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2.xml" ContentType="application/vnd.openxmlformats-officedocument.drawing+xml"/>
  <Override PartName="/xl/worksheets/sheet17.xml" ContentType="application/vnd.openxmlformats-officedocument.spreadsheetml.worksheet+xml"/>
  <Override PartName="/xl/drawings/drawing3.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Panduan" sheetId="1" state="visible" r:id="rId1"/>
    <sheet xmlns:r="http://schemas.openxmlformats.org/officeDocument/2006/relationships" name="Dashboard" sheetId="2" state="visible" r:id="rId2"/>
    <sheet xmlns:r="http://schemas.openxmlformats.org/officeDocument/2006/relationships" name="Transaksi" sheetId="3" state="visible" r:id="rId3"/>
    <sheet xmlns:r="http://schemas.openxmlformats.org/officeDocument/2006/relationships" name="Buku Akun" sheetId="4" state="visible" r:id="rId4"/>
    <sheet xmlns:r="http://schemas.openxmlformats.org/officeDocument/2006/relationships" name="Catatan" sheetId="5" state="visible" r:id="rId5"/>
    <sheet xmlns:r="http://schemas.openxmlformats.org/officeDocument/2006/relationships" name="Saldo Akun" sheetId="6" state="visible" r:id="rId6"/>
    <sheet xmlns:r="http://schemas.openxmlformats.org/officeDocument/2006/relationships" name="Uang Mama" sheetId="7" state="visible" r:id="rId7"/>
    <sheet xmlns:r="http://schemas.openxmlformats.org/officeDocument/2006/relationships" name="Uang Disan" sheetId="8" state="visible" r:id="rId8"/>
    <sheet xmlns:r="http://schemas.openxmlformats.org/officeDocument/2006/relationships" name="Uang Riba" sheetId="9" state="visible" r:id="rId9"/>
    <sheet xmlns:r="http://schemas.openxmlformats.org/officeDocument/2006/relationships" name="Uang Kos Mama" sheetId="10" state="visible" r:id="rId10"/>
    <sheet xmlns:r="http://schemas.openxmlformats.org/officeDocument/2006/relationships" name="Reksadana Kos Mama" sheetId="11" state="visible" r:id="rId11"/>
    <sheet xmlns:r="http://schemas.openxmlformats.org/officeDocument/2006/relationships" name="Anggaran" sheetId="12" state="visible" r:id="rId12"/>
    <sheet xmlns:r="http://schemas.openxmlformats.org/officeDocument/2006/relationships" name="Laporan Bulanan" sheetId="13" state="visible" r:id="rId13"/>
    <sheet xmlns:r="http://schemas.openxmlformats.org/officeDocument/2006/relationships" name="Rekap 2024-2040" sheetId="14" state="visible" r:id="rId14"/>
    <sheet xmlns:r="http://schemas.openxmlformats.org/officeDocument/2006/relationships" name="Aset Bersih" sheetId="15" state="visible" r:id="rId15"/>
    <sheet xmlns:r="http://schemas.openxmlformats.org/officeDocument/2006/relationships" name="Investasi Saham" sheetId="16" state="visible" r:id="rId16"/>
    <sheet xmlns:r="http://schemas.openxmlformats.org/officeDocument/2006/relationships" name="Investasi Reksadana" sheetId="17" state="visible" r:id="rId17"/>
    <sheet xmlns:r="http://schemas.openxmlformats.org/officeDocument/2006/relationships" name="Perencanaan" sheetId="18" state="visible" r:id="rId18"/>
    <sheet xmlns:r="http://schemas.openxmlformats.org/officeDocument/2006/relationships" name="Akun" sheetId="19" state="visible" r:id="rId19"/>
    <sheet xmlns:r="http://schemas.openxmlformats.org/officeDocument/2006/relationships" name="Kategori" sheetId="20" state="visible" r:id="rId20"/>
    <sheet xmlns:r="http://schemas.openxmlformats.org/officeDocument/2006/relationships" name="Ref" sheetId="21" state="hidden" r:id="rId21"/>
  </sheets>
  <definedNames>
    <definedName name="_xlnm._FilterDatabase" localSheetId="2" hidden="1">'Transaksi'!$A$15:$M$5015</definedName>
    <definedName name="_xlnm._FilterDatabase" localSheetId="4" hidden="1">'Catatan'!$A$4:$C$1004</definedName>
    <definedName name="_xlnm._FilterDatabase" localSheetId="12" hidden="1">'Laporan Bulanan'!$A$4:$P$304</definedName>
    <definedName name="_xlnm._FilterDatabase" localSheetId="19" hidden="1">'Kategori'!$A$4:$F$304</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quot;Rp&quot;#,##0;[RED]&quot;-Rp&quot;#,##0;\-"/>
    <numFmt numFmtId="165" formatCode="0.0%"/>
    <numFmt numFmtId="166" formatCode="dd/mm/yyyy"/>
    <numFmt numFmtId="167" formatCode="mm/dd/yy"/>
    <numFmt numFmtId="168" formatCode="&quot;Rp&quot;#,##0;&quot;-Rp&quot;#,##0;\-"/>
  </numFmts>
  <fonts count="37">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5"/>
    </font>
    <font>
      <name val="Arial"/>
      <charset val="1"/>
      <family val="0"/>
      <b val="1"/>
      <color rgb="FF0B2545"/>
      <sz val="10"/>
    </font>
    <font>
      <name val="Arial"/>
      <charset val="1"/>
      <family val="0"/>
      <color rgb="FF1B2430"/>
      <sz val="10"/>
    </font>
    <font>
      <name val="Arial"/>
      <charset val="1"/>
      <family val="0"/>
      <i val="1"/>
      <color rgb="FF5B6B7F"/>
      <sz val="9.5"/>
    </font>
    <font>
      <name val="Arial"/>
      <charset val="1"/>
      <family val="0"/>
      <b val="1"/>
      <color rgb="FF1B2430"/>
      <sz val="12"/>
    </font>
    <font>
      <name val="Cambria"/>
      <charset val="1"/>
      <family val="0"/>
      <color rgb="FFFFFFFF"/>
      <sz val="11"/>
    </font>
    <font>
      <name val="Arial"/>
      <charset val="1"/>
      <family val="0"/>
      <b val="1"/>
      <color rgb="FF0B2545"/>
      <sz val="11.5"/>
    </font>
    <font>
      <name val="Arial"/>
      <charset val="1"/>
      <family val="0"/>
      <b val="1"/>
      <color rgb="FFFFFFFF"/>
      <sz val="10"/>
    </font>
    <font>
      <name val="Arial"/>
      <charset val="1"/>
      <family val="0"/>
      <b val="1"/>
      <color rgb="FF1B6B4A"/>
      <sz val="10"/>
    </font>
    <font>
      <name val="Arial"/>
      <charset val="1"/>
      <family val="0"/>
      <b val="1"/>
      <color rgb="FF1B2430"/>
      <sz val="10"/>
    </font>
    <font>
      <name val="Arial"/>
      <charset val="1"/>
      <family val="0"/>
      <b val="1"/>
      <color rgb="FF9B1C1C"/>
      <sz val="10"/>
    </font>
    <font>
      <name val="Arial"/>
      <charset val="1"/>
      <family val="0"/>
      <b val="1"/>
      <color rgb="FF6A4C93"/>
      <sz val="10"/>
    </font>
    <font>
      <name val="Arial"/>
      <charset val="1"/>
      <family val="0"/>
      <i val="1"/>
      <color rgb="FF5B6B7F"/>
      <sz val="9"/>
    </font>
    <font>
      <name val="Calibri"/>
      <family val="2"/>
      <b val="1"/>
      <color rgb="FF000000"/>
      <sz val="18"/>
    </font>
    <font>
      <name val="Calibri"/>
      <family val="2"/>
      <color rgb="FF000000"/>
      <sz val="10"/>
    </font>
    <font>
      <name val="Arial"/>
      <charset val="1"/>
      <family val="0"/>
      <color rgb="FF5B6B7F"/>
      <sz val="10"/>
    </font>
    <font>
      <name val="Arial"/>
      <charset val="1"/>
      <family val="0"/>
      <b val="1"/>
      <color rgb="FF1B2430"/>
      <sz val="11"/>
    </font>
    <font>
      <name val="Arial"/>
      <charset val="1"/>
      <family val="0"/>
      <color rgb="FF1E5FB3"/>
      <sz val="10"/>
      <u val="single"/>
    </font>
    <font>
      <name val="Arial"/>
      <charset val="1"/>
      <family val="0"/>
      <sz val="10"/>
    </font>
    <font>
      <name val="Cambria"/>
      <charset val="1"/>
      <family val="0"/>
      <b val="1"/>
      <color rgb="FF0F7A55"/>
      <sz val="11"/>
    </font>
    <font>
      <name val="Cambria"/>
      <charset val="1"/>
      <family val="0"/>
      <b val="1"/>
      <sz val="10"/>
    </font>
    <font>
      <name val="Cambria"/>
      <charset val="1"/>
      <family val="0"/>
      <sz val="10"/>
    </font>
    <font>
      <name val="Cambria"/>
      <charset val="1"/>
      <family val="0"/>
      <color rgb="FF0F7A55"/>
      <sz val="11"/>
    </font>
    <font>
      <name val="Cambria"/>
      <charset val="1"/>
      <family val="0"/>
      <color rgb="FFB3261E"/>
      <sz val="11"/>
    </font>
    <font>
      <name val="Cambria"/>
      <charset val="1"/>
      <family val="0"/>
      <b val="1"/>
      <sz val="13"/>
    </font>
    <font>
      <name val="Cambria"/>
      <charset val="1"/>
      <family val="0"/>
      <b val="1"/>
      <color rgb="FFFFFFFF"/>
      <sz val="11"/>
    </font>
    <font>
      <name val="Arial"/>
      <charset val="1"/>
      <family val="0"/>
      <color rgb="FF1E5FB3"/>
      <sz val="11"/>
      <u val="single"/>
    </font>
    <font>
      <name val="Arial"/>
      <charset val="1"/>
      <family val="0"/>
      <color rgb="FF1E5FB3"/>
      <sz val="10"/>
    </font>
    <font>
      <name val="Arial"/>
      <charset val="1"/>
      <family val="0"/>
      <b val="1"/>
      <color rgb="FF1E5FB3"/>
      <sz val="10"/>
    </font>
    <font>
      <name val="Arial"/>
      <charset val="1"/>
      <family val="0"/>
      <i val="1"/>
      <sz val="9"/>
    </font>
    <font>
      <b val="1"/>
      <sz val="12"/>
    </font>
    <font>
      <b val="1"/>
      <color rgb="00FFFFFF"/>
    </font>
    <font>
      <b val="1"/>
    </font>
  </fonts>
  <fills count="11">
    <fill>
      <patternFill/>
    </fill>
    <fill>
      <patternFill patternType="gray125"/>
    </fill>
    <fill>
      <patternFill patternType="solid">
        <fgColor rgb="FF0B2545"/>
        <bgColor rgb="FF1B2430"/>
      </patternFill>
    </fill>
    <fill>
      <patternFill patternType="solid">
        <fgColor rgb="FFFFF4CC"/>
        <bgColor rgb="FFFFF2CC"/>
      </patternFill>
    </fill>
    <fill>
      <patternFill patternType="solid">
        <fgColor rgb="FF13315C"/>
        <bgColor rgb="FF0B2545"/>
      </patternFill>
    </fill>
    <fill>
      <patternFill patternType="solid">
        <fgColor rgb="FFDCE7F3"/>
        <bgColor rgb="FFDDE9FA"/>
      </patternFill>
    </fill>
    <fill>
      <patternFill patternType="solid">
        <fgColor rgb="FFD4EDDA"/>
        <bgColor rgb="FFDCE7F3"/>
      </patternFill>
    </fill>
    <fill>
      <patternFill patternType="solid">
        <fgColor rgb="FFFFF2CC"/>
        <bgColor rgb="FFFFF4CC"/>
      </patternFill>
    </fill>
    <fill>
      <patternFill patternType="solid">
        <fgColor rgb="FFDDE9FA"/>
        <bgColor rgb="FFDCE7F3"/>
      </patternFill>
    </fill>
    <fill>
      <patternFill patternType="solid">
        <fgColor rgb="FF1F6F4A"/>
        <bgColor rgb="FF1B6B4A"/>
      </patternFill>
    </fill>
    <fill>
      <patternFill patternType="solid">
        <fgColor rgb="001F6F4A"/>
      </patternFill>
    </fill>
  </fills>
  <borders count="12">
    <border>
      <left/>
      <right/>
      <top/>
      <bottom/>
      <diagonal/>
    </border>
    <border>
      <left/>
      <right/>
      <top/>
      <bottom style="medium">
        <color rgb="FF13315C"/>
      </bottom>
      <diagonal/>
    </border>
    <border>
      <left style="thin">
        <color rgb="FFD0D7E2"/>
      </left>
      <right style="thin">
        <color rgb="FFD0D7E2"/>
      </right>
      <top style="thin">
        <color rgb="FFD0D7E2"/>
      </top>
      <bottom style="thin">
        <color rgb="FFD0D7E2"/>
      </bottom>
      <diagonal/>
    </border>
    <border>
      <left style="thin">
        <color rgb="FFD0D7E2"/>
      </left>
      <right/>
      <top style="thin">
        <color rgb="FFD0D7E2"/>
      </top>
      <bottom style="thin">
        <color rgb="FFD0D7E2"/>
      </bottom>
      <diagonal/>
    </border>
    <border>
      <left/>
      <right/>
      <top style="thin">
        <color rgb="FFD0D7E2"/>
      </top>
      <bottom/>
      <diagonal/>
    </border>
    <border>
      <left/>
      <right/>
      <top style="thin">
        <color rgb="FFD0D7E2"/>
      </top>
      <bottom style="thin">
        <color rgb="FFD0D7E2"/>
      </bottom>
      <diagonal/>
    </border>
    <border>
      <left/>
      <right style="thin">
        <color rgb="FFD0D7E2"/>
      </right>
      <top style="thin">
        <color rgb="FFD0D7E2"/>
      </top>
      <bottom/>
      <diagonal/>
    </border>
    <border>
      <left/>
      <right style="thin">
        <color rgb="FFD0D7E2"/>
      </right>
      <top style="thin">
        <color rgb="FFD0D7E2"/>
      </top>
      <bottom style="thin">
        <color rgb="FFD0D7E2"/>
      </bottom>
      <diagonal/>
    </border>
    <border>
      <left/>
      <right style="thin">
        <color rgb="FFD0D7E2"/>
      </right>
      <top/>
      <bottom style="medium">
        <color rgb="FF13315C"/>
      </bottom>
      <diagonal/>
    </border>
    <border>
      <left/>
      <right style="thin">
        <color rgb="FFD0D7E2"/>
      </right>
      <top/>
      <bottom/>
      <diagonal/>
    </border>
    <border>
      <left/>
      <right style="thin">
        <color rgb="FFD0D7E2"/>
      </right>
      <top/>
      <bottom style="thin">
        <color rgb="FFD0D7E2"/>
      </bottom>
      <diagonal/>
    </border>
    <border>
      <left/>
      <right/>
      <top/>
      <bottom style="thin">
        <color rgb="FFD0D7E2"/>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9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center" indent="1"/>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1" applyAlignment="1" pivotButton="0" quotePrefix="0" xfId="0">
      <alignment horizontal="general" vertical="bottom"/>
    </xf>
    <xf numFmtId="0" fontId="11" fillId="4" borderId="2" applyAlignment="1" pivotButton="0" quotePrefix="0" xfId="0">
      <alignment horizontal="center" vertical="center" wrapText="1"/>
    </xf>
    <xf numFmtId="0" fontId="12" fillId="0" borderId="0" applyAlignment="1" pivotButton="0" quotePrefix="0" xfId="0">
      <alignment horizontal="general" vertical="bottom"/>
    </xf>
    <xf numFmtId="0" fontId="6" fillId="0" borderId="2" applyAlignment="1" pivotButton="0" quotePrefix="0" xfId="0">
      <alignment horizontal="general" vertical="bottom"/>
    </xf>
    <xf numFmtId="164" fontId="6" fillId="0" borderId="2" applyAlignment="1" pivotButton="0" quotePrefix="0" xfId="0">
      <alignment horizontal="general" vertical="bottom"/>
    </xf>
    <xf numFmtId="165" fontId="6" fillId="0" borderId="2" applyAlignment="1" pivotButton="0" quotePrefix="0" xfId="0">
      <alignment horizontal="general" vertical="bottom"/>
    </xf>
    <xf numFmtId="0" fontId="13" fillId="0" borderId="0" applyAlignment="1" pivotButton="0" quotePrefix="0" xfId="0">
      <alignment horizontal="general" vertical="bottom"/>
    </xf>
    <xf numFmtId="164" fontId="13" fillId="5" borderId="0" applyAlignment="1" pivotButton="0" quotePrefix="0" xfId="0">
      <alignment horizontal="general" vertical="bottom"/>
    </xf>
    <xf numFmtId="0" fontId="14" fillId="0" borderId="0" applyAlignment="1" pivotButton="0" quotePrefix="0" xfId="0">
      <alignment horizontal="general" vertical="bottom"/>
    </xf>
    <xf numFmtId="0" fontId="15" fillId="0" borderId="2" applyAlignment="1" pivotButton="0" quotePrefix="0" xfId="0">
      <alignment horizontal="general" vertical="bottom"/>
    </xf>
    <xf numFmtId="164" fontId="13" fillId="6" borderId="0" applyAlignment="1" pivotButton="0" quotePrefix="0" xfId="0">
      <alignment horizontal="general" vertical="bottom"/>
    </xf>
    <xf numFmtId="164" fontId="13" fillId="0" borderId="2" applyAlignment="1" pivotButton="0" quotePrefix="0" xfId="0">
      <alignment horizontal="general" vertical="bottom"/>
    </xf>
    <xf numFmtId="0" fontId="16" fillId="0" borderId="0" applyAlignment="1" pivotButton="0" quotePrefix="0" xfId="0">
      <alignment horizontal="general" vertical="top" wrapText="1"/>
    </xf>
    <xf numFmtId="0" fontId="19" fillId="0" borderId="0" applyAlignment="1" pivotButton="0" quotePrefix="0" xfId="0">
      <alignment horizontal="general" vertical="bottom"/>
    </xf>
    <xf numFmtId="0" fontId="5" fillId="0" borderId="0" applyAlignment="1" pivotButton="0" quotePrefix="0" xfId="0">
      <alignment horizontal="general" vertical="bottom"/>
    </xf>
    <xf numFmtId="0" fontId="20" fillId="3" borderId="3" applyAlignment="1" pivotButton="0" quotePrefix="0" xfId="0">
      <alignment horizontal="general" vertical="bottom"/>
    </xf>
    <xf numFmtId="3" fontId="20" fillId="0" borderId="0" applyAlignment="1" pivotButton="0" quotePrefix="0" xfId="0">
      <alignment horizontal="general" vertical="bottom"/>
    </xf>
    <xf numFmtId="166" fontId="6" fillId="0" borderId="2" applyAlignment="1" pivotButton="0" quotePrefix="0" xfId="0">
      <alignment horizontal="general" vertical="bottom"/>
    </xf>
    <xf numFmtId="0" fontId="21" fillId="0" borderId="2" applyAlignment="1" pivotButton="0" quotePrefix="0" xfId="0">
      <alignment horizontal="general" vertical="bottom"/>
    </xf>
    <xf numFmtId="164" fontId="20" fillId="0" borderId="0" applyAlignment="1" pivotButton="0" quotePrefix="0" xfId="0">
      <alignment horizontal="general" vertical="bottom"/>
    </xf>
    <xf numFmtId="166" fontId="20" fillId="3" borderId="3" applyAlignment="1" pivotButton="0" quotePrefix="0" xfId="0">
      <alignment horizontal="general" vertical="bottom"/>
    </xf>
    <xf numFmtId="0" fontId="22" fillId="0" borderId="2" applyAlignment="1" pivotButton="0" quotePrefix="0" xfId="0">
      <alignment horizontal="general" vertical="bottom"/>
    </xf>
    <xf numFmtId="166" fontId="22" fillId="0" borderId="2" applyAlignment="1" pivotButton="0" quotePrefix="0" xfId="0">
      <alignment horizontal="general" vertical="bottom"/>
    </xf>
    <xf numFmtId="0" fontId="22" fillId="0" borderId="2" applyAlignment="1" pivotButton="0" quotePrefix="0" xfId="0">
      <alignment horizontal="general" vertical="bottom"/>
    </xf>
    <xf numFmtId="164" fontId="22" fillId="0" borderId="2" applyAlignment="1" pivotButton="0" quotePrefix="0" xfId="0">
      <alignment horizontal="general" vertical="bottom"/>
    </xf>
    <xf numFmtId="167" fontId="0" fillId="0" borderId="0" applyAlignment="1" pivotButton="0" quotePrefix="0" xfId="0">
      <alignment horizontal="general" vertical="bottom"/>
    </xf>
    <xf numFmtId="0" fontId="13" fillId="0" borderId="2" applyAlignment="1" pivotButton="0" quotePrefix="0" xfId="0">
      <alignment horizontal="general" vertical="bottom"/>
    </xf>
    <xf numFmtId="0" fontId="13" fillId="7" borderId="2" applyAlignment="1" pivotButton="0" quotePrefix="0" xfId="0">
      <alignment horizontal="general" vertical="bottom"/>
    </xf>
    <xf numFmtId="166" fontId="0" fillId="0" borderId="0" applyAlignment="1" pivotButton="0" quotePrefix="0" xfId="0">
      <alignment horizontal="general" vertical="bottom"/>
    </xf>
    <xf numFmtId="0" fontId="23" fillId="0" borderId="0" applyAlignment="1" pivotButton="0" quotePrefix="0" xfId="0">
      <alignment horizontal="general" vertical="bottom"/>
    </xf>
    <xf numFmtId="0" fontId="7" fillId="0" borderId="0" applyAlignment="1" pivotButton="0" quotePrefix="0" xfId="0">
      <alignment horizontal="general" vertical="top" wrapText="1"/>
    </xf>
    <xf numFmtId="0" fontId="11" fillId="4" borderId="2" applyAlignment="1" pivotButton="0" quotePrefix="0" xfId="0">
      <alignment horizontal="center" vertical="bottom"/>
    </xf>
    <xf numFmtId="0" fontId="13" fillId="8" borderId="2" applyAlignment="1" pivotButton="0" quotePrefix="0" xfId="0">
      <alignment horizontal="general" vertical="bottom"/>
    </xf>
    <xf numFmtId="0" fontId="0" fillId="8" borderId="0" applyAlignment="1" pivotButton="0" quotePrefix="0" xfId="0">
      <alignment horizontal="general" vertical="bottom"/>
    </xf>
    <xf numFmtId="164" fontId="13" fillId="8" borderId="2" applyAlignment="1" pivotButton="0" quotePrefix="0" xfId="0">
      <alignment horizontal="general" vertical="bottom"/>
    </xf>
    <xf numFmtId="166" fontId="24" fillId="0" borderId="2" applyAlignment="1" pivotButton="0" quotePrefix="0" xfId="0">
      <alignment horizontal="general" vertical="bottom"/>
    </xf>
    <xf numFmtId="0" fontId="25" fillId="0" borderId="2" applyAlignment="1" pivotButton="0" quotePrefix="0" xfId="0">
      <alignment horizontal="general" vertical="top" wrapText="1"/>
    </xf>
    <xf numFmtId="0" fontId="25" fillId="0" borderId="2" applyAlignment="1" pivotButton="0" quotePrefix="0" xfId="0">
      <alignment horizontal="general" vertical="bottom"/>
    </xf>
    <xf numFmtId="164" fontId="26" fillId="0" borderId="2" applyAlignment="1" pivotButton="0" quotePrefix="0" xfId="0">
      <alignment horizontal="general" vertical="bottom"/>
    </xf>
    <xf numFmtId="164" fontId="27" fillId="0" borderId="2" applyAlignment="1" pivotButton="0" quotePrefix="0" xfId="0">
      <alignment horizontal="general" vertical="bottom"/>
    </xf>
    <xf numFmtId="0" fontId="28" fillId="0" borderId="0" applyAlignment="1" pivotButton="0" quotePrefix="0" xfId="0">
      <alignment horizontal="general" vertical="bottom"/>
    </xf>
    <xf numFmtId="0" fontId="29" fillId="9" borderId="0" applyAlignment="1" pivotButton="0" quotePrefix="0" xfId="0">
      <alignment horizontal="general" vertical="bottom"/>
    </xf>
    <xf numFmtId="0" fontId="0" fillId="0" borderId="0" applyAlignment="1" pivotButton="0" quotePrefix="0" xfId="0">
      <alignment horizontal="general" vertical="bottom" wrapText="1"/>
    </xf>
    <xf numFmtId="164" fontId="13" fillId="5" borderId="2" applyAlignment="1" pivotButton="0" quotePrefix="0" xfId="0">
      <alignment horizontal="general" vertical="bottom"/>
    </xf>
    <xf numFmtId="0" fontId="13" fillId="0" borderId="0" applyAlignment="1" pivotButton="0" quotePrefix="0" xfId="0">
      <alignment horizontal="general" vertical="bottom"/>
    </xf>
    <xf numFmtId="164" fontId="13" fillId="3" borderId="2" applyAlignment="1" pivotButton="0" quotePrefix="0" xfId="0">
      <alignment horizontal="general" vertical="bottom"/>
    </xf>
    <xf numFmtId="168" fontId="13" fillId="5" borderId="0" applyAlignment="1" pivotButton="0" quotePrefix="0" xfId="0">
      <alignment horizontal="general" vertical="bottom"/>
    </xf>
    <xf numFmtId="168" fontId="6" fillId="0" borderId="2" applyAlignment="1" pivotButton="0" quotePrefix="0" xfId="0">
      <alignment horizontal="general" vertical="bottom"/>
    </xf>
    <xf numFmtId="168" fontId="13" fillId="0" borderId="2" applyAlignment="1" pivotButton="0" quotePrefix="0" xfId="0">
      <alignment horizontal="general" vertical="bottom"/>
    </xf>
    <xf numFmtId="168" fontId="0" fillId="0" borderId="0" applyAlignment="1" pivotButton="0" quotePrefix="0" xfId="0">
      <alignment horizontal="general" vertical="bottom"/>
    </xf>
    <xf numFmtId="0" fontId="5" fillId="0" borderId="0" applyAlignment="1" pivotButton="0" quotePrefix="0" xfId="0">
      <alignment horizontal="general" vertical="top" wrapText="1"/>
    </xf>
    <xf numFmtId="166" fontId="22" fillId="0" borderId="0" applyAlignment="1" pivotButton="0" quotePrefix="0" xfId="0">
      <alignment horizontal="general" vertical="top" wrapText="1"/>
    </xf>
    <xf numFmtId="0" fontId="22" fillId="0" borderId="0" applyAlignment="1" pivotButton="0" quotePrefix="0" xfId="0">
      <alignment horizontal="general" vertical="top" wrapText="1"/>
    </xf>
    <xf numFmtId="164" fontId="22" fillId="0" borderId="0" applyAlignment="1" pivotButton="0" quotePrefix="0" xfId="0">
      <alignment horizontal="general" vertical="top" wrapText="1"/>
    </xf>
    <xf numFmtId="0" fontId="22" fillId="0" borderId="0" applyAlignment="1" pivotButton="0" quotePrefix="0" xfId="0">
      <alignment horizontal="general" vertical="top" wrapText="1"/>
    </xf>
    <xf numFmtId="0" fontId="30" fillId="0" borderId="0" applyAlignment="1" pivotButton="0" quotePrefix="0" xfId="0">
      <alignment horizontal="general" vertical="bottom"/>
    </xf>
    <xf numFmtId="0" fontId="11" fillId="4" borderId="2" applyAlignment="1" pivotButton="0" quotePrefix="0" xfId="0">
      <alignment horizontal="center" vertical="bottom" wrapText="1"/>
    </xf>
    <xf numFmtId="0" fontId="6" fillId="0" borderId="2" applyAlignment="1" pivotButton="0" quotePrefix="0" xfId="0">
      <alignment horizontal="general" vertical="top" wrapText="1"/>
    </xf>
    <xf numFmtId="0" fontId="13" fillId="5" borderId="2" applyAlignment="1" pivotButton="0" quotePrefix="0" xfId="0">
      <alignment horizontal="general" vertical="bottom"/>
    </xf>
    <xf numFmtId="164" fontId="6" fillId="5" borderId="2" applyAlignment="1" pivotButton="0" quotePrefix="0" xfId="0">
      <alignment horizontal="general" vertical="bottom"/>
    </xf>
    <xf numFmtId="168" fontId="6" fillId="5" borderId="2" applyAlignment="1" pivotButton="0" quotePrefix="0" xfId="0">
      <alignment horizontal="general" vertical="bottom"/>
    </xf>
    <xf numFmtId="168" fontId="13" fillId="5" borderId="2" applyAlignment="1" pivotButton="0" quotePrefix="0" xfId="0">
      <alignment horizontal="general" vertical="bottom"/>
    </xf>
    <xf numFmtId="0" fontId="13" fillId="5" borderId="2" applyAlignment="1" pivotButton="0" quotePrefix="0" xfId="0">
      <alignment horizontal="general" vertical="bottom" wrapText="1"/>
    </xf>
    <xf numFmtId="10" fontId="6" fillId="0" borderId="2" applyAlignment="1" pivotButton="0" quotePrefix="0" xfId="0">
      <alignment horizontal="general" vertical="bottom"/>
    </xf>
    <xf numFmtId="0" fontId="0" fillId="0" borderId="0" applyAlignment="1" pivotButton="0" quotePrefix="0" xfId="0">
      <alignment horizontal="general" vertical="bottom" wrapText="1"/>
    </xf>
    <xf numFmtId="164" fontId="6" fillId="7" borderId="2"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164" fontId="13" fillId="0" borderId="0" applyAlignment="1" pivotButton="0" quotePrefix="0" xfId="0">
      <alignment horizontal="general" vertical="bottom"/>
    </xf>
    <xf numFmtId="3" fontId="6" fillId="0" borderId="2" applyAlignment="1" pivotButton="0" quotePrefix="0" xfId="0">
      <alignment horizontal="general" vertical="bottom"/>
    </xf>
    <xf numFmtId="3" fontId="6" fillId="3" borderId="2" applyAlignment="1" pivotButton="0" quotePrefix="0" xfId="0">
      <alignment horizontal="general" vertical="bottom"/>
    </xf>
    <xf numFmtId="165" fontId="13" fillId="0" borderId="0" applyAlignment="1" pivotButton="0" quotePrefix="0" xfId="0">
      <alignment horizontal="general" vertical="bottom"/>
    </xf>
    <xf numFmtId="0" fontId="14" fillId="0" borderId="2" applyAlignment="1" pivotButton="0" quotePrefix="0" xfId="0">
      <alignment horizontal="general" vertical="bottom"/>
    </xf>
    <xf numFmtId="0" fontId="31" fillId="0" borderId="2" applyAlignment="1" pivotButton="0" quotePrefix="0" xfId="0">
      <alignment horizontal="general" vertical="bottom"/>
    </xf>
    <xf numFmtId="0" fontId="6" fillId="0" borderId="2" applyAlignment="1" pivotButton="0" quotePrefix="0" xfId="0">
      <alignment horizontal="general" vertical="center" wrapText="1"/>
    </xf>
    <xf numFmtId="0" fontId="32" fillId="0" borderId="2" applyAlignment="1" pivotButton="0" quotePrefix="0" xfId="0">
      <alignment horizontal="general" vertical="bottom"/>
    </xf>
    <xf numFmtId="0" fontId="12" fillId="0" borderId="2" applyAlignment="1" pivotButton="0" quotePrefix="0" xfId="0">
      <alignment horizontal="general" vertical="bottom"/>
    </xf>
    <xf numFmtId="164" fontId="6" fillId="3" borderId="2" applyAlignment="1" pivotButton="0" quotePrefix="0" xfId="0">
      <alignment horizontal="general" vertical="bottom"/>
    </xf>
    <xf numFmtId="0" fontId="0" fillId="0" borderId="2" applyAlignment="1" pivotButton="0" quotePrefix="0" xfId="0">
      <alignment horizontal="general" vertical="bottom"/>
    </xf>
    <xf numFmtId="166" fontId="6" fillId="0" borderId="0" applyAlignment="1" pivotButton="0" quotePrefix="0" xfId="0">
      <alignment horizontal="general" vertical="bottom"/>
    </xf>
    <xf numFmtId="1" fontId="6" fillId="0" borderId="0" applyAlignment="1" pivotButton="0" quotePrefix="0" xfId="0">
      <alignment horizontal="general" vertical="bottom"/>
    </xf>
    <xf numFmtId="0" fontId="6" fillId="0" borderId="0" applyAlignment="1" pivotButton="0" quotePrefix="0" xfId="0">
      <alignment horizontal="general" vertical="bottom"/>
    </xf>
    <xf numFmtId="166" fontId="6" fillId="3" borderId="2" applyAlignment="1" pivotButton="0" quotePrefix="0" xfId="0">
      <alignment horizontal="general" vertical="bottom"/>
    </xf>
    <xf numFmtId="0" fontId="6" fillId="3" borderId="2" applyAlignment="1" pivotButton="0" quotePrefix="0" xfId="0">
      <alignment horizontal="general" vertical="bottom"/>
    </xf>
    <xf numFmtId="0" fontId="33"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center" indent="1"/>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0" borderId="0" applyAlignment="1" pivotButton="0" quotePrefix="0" xfId="0">
      <alignment horizontal="general" vertical="top" wrapText="1"/>
    </xf>
    <xf numFmtId="0" fontId="8" fillId="3" borderId="0" applyAlignment="1" pivotButton="0" quotePrefix="0" xfId="0">
      <alignment horizontal="general" vertical="bottom"/>
    </xf>
    <xf numFmtId="0" fontId="9" fillId="0" borderId="0" applyAlignment="1" pivotButton="0" quotePrefix="0" xfId="0">
      <alignment horizontal="general" vertical="bottom"/>
    </xf>
    <xf numFmtId="0" fontId="10" fillId="0" borderId="1" applyAlignment="1" pivotButton="0" quotePrefix="0" xfId="0">
      <alignment horizontal="general" vertical="bottom"/>
    </xf>
    <xf numFmtId="0" fontId="0" fillId="0" borderId="1" pivotButton="0" quotePrefix="0" xfId="0"/>
    <xf numFmtId="0" fontId="11" fillId="4" borderId="2" applyAlignment="1" pivotButton="0" quotePrefix="0" xfId="0">
      <alignment horizontal="center" vertical="center" wrapText="1"/>
    </xf>
    <xf numFmtId="0" fontId="12" fillId="0" borderId="0" applyAlignment="1" pivotButton="0" quotePrefix="0" xfId="0">
      <alignment horizontal="general" vertical="bottom"/>
    </xf>
    <xf numFmtId="0" fontId="6" fillId="0" borderId="2" applyAlignment="1" pivotButton="0" quotePrefix="0" xfId="0">
      <alignment horizontal="general" vertical="bottom"/>
    </xf>
    <xf numFmtId="164" fontId="6" fillId="0" borderId="2" applyAlignment="1" pivotButton="0" quotePrefix="0" xfId="0">
      <alignment horizontal="general" vertical="bottom"/>
    </xf>
    <xf numFmtId="165" fontId="6" fillId="0" borderId="2" applyAlignment="1" pivotButton="0" quotePrefix="0" xfId="0">
      <alignment horizontal="general" vertical="bottom"/>
    </xf>
    <xf numFmtId="0" fontId="13" fillId="0" borderId="0" applyAlignment="1" pivotButton="0" quotePrefix="0" xfId="0">
      <alignment horizontal="general" vertical="bottom"/>
    </xf>
    <xf numFmtId="164" fontId="13" fillId="5" borderId="0" applyAlignment="1" pivotButton="0" quotePrefix="0" xfId="0">
      <alignment horizontal="general" vertical="bottom"/>
    </xf>
    <xf numFmtId="0" fontId="14" fillId="0" borderId="0" applyAlignment="1" pivotButton="0" quotePrefix="0" xfId="0">
      <alignment horizontal="general" vertical="bottom"/>
    </xf>
    <xf numFmtId="0" fontId="15" fillId="0" borderId="2" applyAlignment="1" pivotButton="0" quotePrefix="0" xfId="0">
      <alignment horizontal="general" vertical="bottom"/>
    </xf>
    <xf numFmtId="164" fontId="13" fillId="6" borderId="0" applyAlignment="1" pivotButton="0" quotePrefix="0" xfId="0">
      <alignment horizontal="general" vertical="bottom"/>
    </xf>
    <xf numFmtId="164" fontId="13" fillId="0" borderId="2" applyAlignment="1" pivotButton="0" quotePrefix="0" xfId="0">
      <alignment horizontal="general" vertical="bottom"/>
    </xf>
    <xf numFmtId="0" fontId="16" fillId="0" borderId="0" applyAlignment="1" pivotButton="0" quotePrefix="0" xfId="0">
      <alignment horizontal="general" vertical="top" wrapText="1"/>
    </xf>
    <xf numFmtId="0" fontId="19" fillId="0" borderId="0" applyAlignment="1" pivotButton="0" quotePrefix="0" xfId="0">
      <alignment horizontal="general" vertical="bottom"/>
    </xf>
    <xf numFmtId="0" fontId="20" fillId="3" borderId="3" applyAlignment="1" pivotButton="0" quotePrefix="0" xfId="0">
      <alignment horizontal="general" vertical="bottom"/>
    </xf>
    <xf numFmtId="0" fontId="0" fillId="0" borderId="5" pivotButton="0" quotePrefix="0" xfId="0"/>
    <xf numFmtId="3" fontId="20" fillId="0" borderId="0" applyAlignment="1" pivotButton="0" quotePrefix="0" xfId="0">
      <alignment horizontal="general" vertical="bottom"/>
    </xf>
    <xf numFmtId="166" fontId="6" fillId="0" borderId="2" applyAlignment="1" pivotButton="0" quotePrefix="0" xfId="0">
      <alignment horizontal="general" vertical="bottom"/>
    </xf>
    <xf numFmtId="0" fontId="21" fillId="0" borderId="2" applyAlignment="1" pivotButton="0" quotePrefix="0" xfId="0">
      <alignment horizontal="general" vertical="bottom"/>
    </xf>
    <xf numFmtId="164" fontId="20" fillId="0" borderId="0" applyAlignment="1" pivotButton="0" quotePrefix="0" xfId="0">
      <alignment horizontal="general" vertical="bottom"/>
    </xf>
    <xf numFmtId="166" fontId="20" fillId="3" borderId="3" applyAlignment="1" pivotButton="0" quotePrefix="0" xfId="0">
      <alignment horizontal="general" vertical="bottom"/>
    </xf>
    <xf numFmtId="0" fontId="22" fillId="0" borderId="2" applyAlignment="1" pivotButton="0" quotePrefix="0" xfId="0">
      <alignment horizontal="general" vertical="bottom"/>
    </xf>
    <xf numFmtId="166" fontId="22" fillId="0" borderId="2" applyAlignment="1" pivotButton="0" quotePrefix="0" xfId="0">
      <alignment horizontal="general" vertical="bottom"/>
    </xf>
    <xf numFmtId="164" fontId="22" fillId="0" borderId="2" applyAlignment="1" pivotButton="0" quotePrefix="0" xfId="0">
      <alignment horizontal="general" vertical="bottom"/>
    </xf>
    <xf numFmtId="167" fontId="0" fillId="0" borderId="0" applyAlignment="1" pivotButton="0" quotePrefix="0" xfId="0">
      <alignment horizontal="general" vertical="bottom"/>
    </xf>
    <xf numFmtId="0" fontId="13" fillId="0" borderId="2" applyAlignment="1" pivotButton="0" quotePrefix="0" xfId="0">
      <alignment horizontal="general" vertical="bottom"/>
    </xf>
    <xf numFmtId="0" fontId="13" fillId="7" borderId="2" applyAlignment="1" pivotButton="0" quotePrefix="0" xfId="0">
      <alignment horizontal="general" vertical="bottom"/>
    </xf>
    <xf numFmtId="166" fontId="0" fillId="0" borderId="0" applyAlignment="1" pivotButton="0" quotePrefix="0" xfId="0">
      <alignment horizontal="general" vertical="bottom"/>
    </xf>
    <xf numFmtId="0" fontId="23" fillId="0" borderId="0" applyAlignment="1" pivotButton="0" quotePrefix="0" xfId="0">
      <alignment horizontal="general" vertical="bottom"/>
    </xf>
    <xf numFmtId="0" fontId="11" fillId="4" borderId="2" applyAlignment="1" pivotButton="0" quotePrefix="0" xfId="0">
      <alignment horizontal="center" vertical="bottom"/>
    </xf>
    <xf numFmtId="0" fontId="13" fillId="8" borderId="2" applyAlignment="1" pivotButton="0" quotePrefix="0" xfId="0">
      <alignment horizontal="general" vertical="bottom"/>
    </xf>
    <xf numFmtId="0" fontId="0" fillId="8" borderId="0" applyAlignment="1" pivotButton="0" quotePrefix="0" xfId="0">
      <alignment horizontal="general" vertical="bottom"/>
    </xf>
    <xf numFmtId="164" fontId="13" fillId="8" borderId="2" applyAlignment="1" pivotButton="0" quotePrefix="0" xfId="0">
      <alignment horizontal="general" vertical="bottom"/>
    </xf>
    <xf numFmtId="166" fontId="24" fillId="0" borderId="2" applyAlignment="1" pivotButton="0" quotePrefix="0" xfId="0">
      <alignment horizontal="general" vertical="bottom"/>
    </xf>
    <xf numFmtId="0" fontId="25" fillId="0" borderId="2" applyAlignment="1" pivotButton="0" quotePrefix="0" xfId="0">
      <alignment horizontal="general" vertical="top" wrapText="1"/>
    </xf>
    <xf numFmtId="0" fontId="25" fillId="0" borderId="2" applyAlignment="1" pivotButton="0" quotePrefix="0" xfId="0">
      <alignment horizontal="general" vertical="bottom"/>
    </xf>
    <xf numFmtId="164" fontId="26" fillId="0" borderId="2" applyAlignment="1" pivotButton="0" quotePrefix="0" xfId="0">
      <alignment horizontal="general" vertical="bottom"/>
    </xf>
    <xf numFmtId="164" fontId="27" fillId="0" borderId="2" applyAlignment="1" pivotButton="0" quotePrefix="0" xfId="0">
      <alignment horizontal="general" vertical="bottom"/>
    </xf>
    <xf numFmtId="0" fontId="28" fillId="0" borderId="0" applyAlignment="1" pivotButton="0" quotePrefix="0" xfId="0">
      <alignment horizontal="general" vertical="bottom"/>
    </xf>
    <xf numFmtId="0" fontId="29" fillId="9" borderId="0" applyAlignment="1" pivotButton="0" quotePrefix="0" xfId="0">
      <alignment horizontal="general" vertical="bottom"/>
    </xf>
    <xf numFmtId="0" fontId="0" fillId="0" borderId="0" applyAlignment="1" pivotButton="0" quotePrefix="0" xfId="0">
      <alignment horizontal="general" vertical="bottom" wrapText="1"/>
    </xf>
    <xf numFmtId="164" fontId="13" fillId="5" borderId="2" applyAlignment="1" pivotButton="0" quotePrefix="0" xfId="0">
      <alignment horizontal="general" vertical="bottom"/>
    </xf>
    <xf numFmtId="164" fontId="13" fillId="3" borderId="2" applyAlignment="1" pivotButton="0" quotePrefix="0" xfId="0">
      <alignment horizontal="general" vertical="bottom"/>
    </xf>
    <xf numFmtId="168" fontId="13" fillId="5" borderId="0" applyAlignment="1" pivotButton="0" quotePrefix="0" xfId="0">
      <alignment horizontal="general" vertical="bottom"/>
    </xf>
    <xf numFmtId="168" fontId="6" fillId="0" borderId="2" applyAlignment="1" pivotButton="0" quotePrefix="0" xfId="0">
      <alignment horizontal="general" vertical="bottom"/>
    </xf>
    <xf numFmtId="168" fontId="13" fillId="0" borderId="2" applyAlignment="1" pivotButton="0" quotePrefix="0" xfId="0">
      <alignment horizontal="general" vertical="bottom"/>
    </xf>
    <xf numFmtId="168" fontId="0" fillId="0" borderId="0" applyAlignment="1" pivotButton="0" quotePrefix="0" xfId="0">
      <alignment horizontal="general" vertical="bottom"/>
    </xf>
    <xf numFmtId="0" fontId="5" fillId="0" borderId="0" applyAlignment="1" pivotButton="0" quotePrefix="0" xfId="0">
      <alignment horizontal="general" vertical="top" wrapText="1"/>
    </xf>
    <xf numFmtId="0" fontId="0" fillId="0" borderId="7" pivotButton="0" quotePrefix="0" xfId="0"/>
    <xf numFmtId="166" fontId="22" fillId="0" borderId="0" applyAlignment="1" pivotButton="0" quotePrefix="0" xfId="0">
      <alignment horizontal="general" vertical="top" wrapText="1"/>
    </xf>
    <xf numFmtId="0" fontId="22" fillId="0" borderId="0" applyAlignment="1" pivotButton="0" quotePrefix="0" xfId="0">
      <alignment horizontal="general" vertical="top" wrapText="1"/>
    </xf>
    <xf numFmtId="164" fontId="22" fillId="0" borderId="0" applyAlignment="1" pivotButton="0" quotePrefix="0" xfId="0">
      <alignment horizontal="general" vertical="top" wrapText="1"/>
    </xf>
    <xf numFmtId="0" fontId="30" fillId="0" borderId="0" applyAlignment="1" pivotButton="0" quotePrefix="0" xfId="0">
      <alignment horizontal="general" vertical="bottom"/>
    </xf>
    <xf numFmtId="0" fontId="11" fillId="4" borderId="2" applyAlignment="1" pivotButton="0" quotePrefix="0" xfId="0">
      <alignment horizontal="center" vertical="bottom" wrapText="1"/>
    </xf>
    <xf numFmtId="0" fontId="6" fillId="0" borderId="2" applyAlignment="1" pivotButton="0" quotePrefix="0" xfId="0">
      <alignment horizontal="general" vertical="top" wrapText="1"/>
    </xf>
    <xf numFmtId="0" fontId="13" fillId="5" borderId="2" applyAlignment="1" pivotButton="0" quotePrefix="0" xfId="0">
      <alignment horizontal="general" vertical="bottom"/>
    </xf>
    <xf numFmtId="164" fontId="6" fillId="5" borderId="2" applyAlignment="1" pivotButton="0" quotePrefix="0" xfId="0">
      <alignment horizontal="general" vertical="bottom"/>
    </xf>
    <xf numFmtId="168" fontId="6" fillId="5" borderId="2" applyAlignment="1" pivotButton="0" quotePrefix="0" xfId="0">
      <alignment horizontal="general" vertical="bottom"/>
    </xf>
    <xf numFmtId="168" fontId="13" fillId="5" borderId="2" applyAlignment="1" pivotButton="0" quotePrefix="0" xfId="0">
      <alignment horizontal="general" vertical="bottom"/>
    </xf>
    <xf numFmtId="0" fontId="13" fillId="5" borderId="2" applyAlignment="1" pivotButton="0" quotePrefix="0" xfId="0">
      <alignment horizontal="general" vertical="bottom" wrapText="1"/>
    </xf>
    <xf numFmtId="10" fontId="6" fillId="0" borderId="2" applyAlignment="1" pivotButton="0" quotePrefix="0" xfId="0">
      <alignment horizontal="general" vertical="bottom"/>
    </xf>
    <xf numFmtId="164" fontId="6" fillId="7" borderId="2"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general" vertical="bottom"/>
    </xf>
    <xf numFmtId="164" fontId="13" fillId="0" borderId="0" applyAlignment="1" pivotButton="0" quotePrefix="0" xfId="0">
      <alignment horizontal="general" vertical="bottom"/>
    </xf>
    <xf numFmtId="3" fontId="6" fillId="0" borderId="2" applyAlignment="1" pivotButton="0" quotePrefix="0" xfId="0">
      <alignment horizontal="general" vertical="bottom"/>
    </xf>
    <xf numFmtId="3" fontId="6" fillId="3" borderId="2" applyAlignment="1" pivotButton="0" quotePrefix="0" xfId="0">
      <alignment horizontal="general" vertical="bottom"/>
    </xf>
    <xf numFmtId="165" fontId="13" fillId="0" borderId="0" applyAlignment="1" pivotButton="0" quotePrefix="0" xfId="0">
      <alignment horizontal="general" vertical="bottom"/>
    </xf>
    <xf numFmtId="0" fontId="14" fillId="0" borderId="2" applyAlignment="1" pivotButton="0" quotePrefix="0" xfId="0">
      <alignment horizontal="general" vertical="bottom"/>
    </xf>
    <xf numFmtId="0" fontId="31" fillId="0" borderId="2" applyAlignment="1" pivotButton="0" quotePrefix="0" xfId="0">
      <alignment horizontal="general" vertical="bottom"/>
    </xf>
    <xf numFmtId="0" fontId="6" fillId="0" borderId="2" applyAlignment="1" pivotButton="0" quotePrefix="0" xfId="0">
      <alignment horizontal="general" vertical="center" wrapText="1"/>
    </xf>
    <xf numFmtId="0" fontId="32" fillId="0" borderId="2" applyAlignment="1" pivotButton="0" quotePrefix="0" xfId="0">
      <alignment horizontal="general" vertical="bottom"/>
    </xf>
    <xf numFmtId="0" fontId="12" fillId="0" borderId="2" applyAlignment="1" pivotButton="0" quotePrefix="0" xfId="0">
      <alignment horizontal="general" vertical="bottom"/>
    </xf>
    <xf numFmtId="164" fontId="6" fillId="3" borderId="2" applyAlignment="1" pivotButton="0" quotePrefix="0" xfId="0">
      <alignment horizontal="general" vertical="bottom"/>
    </xf>
    <xf numFmtId="0" fontId="0" fillId="0" borderId="2" applyAlignment="1" pivotButton="0" quotePrefix="0" xfId="0">
      <alignment horizontal="general" vertical="bottom"/>
    </xf>
    <xf numFmtId="166" fontId="6" fillId="0" borderId="0" applyAlignment="1" pivotButton="0" quotePrefix="0" xfId="0">
      <alignment horizontal="general" vertical="bottom"/>
    </xf>
    <xf numFmtId="1" fontId="6" fillId="0" borderId="0" applyAlignment="1" pivotButton="0" quotePrefix="0" xfId="0">
      <alignment horizontal="general" vertical="bottom"/>
    </xf>
    <xf numFmtId="166" fontId="6" fillId="3" borderId="2" applyAlignment="1" pivotButton="0" quotePrefix="0" xfId="0">
      <alignment horizontal="general" vertical="bottom"/>
    </xf>
    <xf numFmtId="0" fontId="6" fillId="3" borderId="2" applyAlignment="1" pivotButton="0" quotePrefix="0" xfId="0">
      <alignment horizontal="general" vertical="bottom"/>
    </xf>
    <xf numFmtId="0" fontId="33" fillId="0" borderId="0" applyAlignment="1" pivotButton="0" quotePrefix="0" xfId="0">
      <alignment horizontal="general" vertical="top" wrapText="1"/>
    </xf>
    <xf numFmtId="0" fontId="34" fillId="0" borderId="0" pivotButton="0" quotePrefix="0" xfId="0"/>
    <xf numFmtId="0" fontId="35" fillId="10" borderId="0" pivotButton="0" quotePrefix="0" xfId="0"/>
    <xf numFmtId="0" fontId="0" fillId="0" borderId="0" applyAlignment="1" pivotButton="0" quotePrefix="0" xfId="0">
      <alignment vertical="top" wrapText="1"/>
    </xf>
    <xf numFmtId="3" fontId="0" fillId="0" borderId="0" applyAlignment="1" pivotButton="0" quotePrefix="0" xfId="0">
      <alignment vertical="top" wrapText="1"/>
    </xf>
    <xf numFmtId="0" fontId="36" fillId="0" borderId="0" pivotButton="0" quotePrefix="0" xfId="0"/>
    <xf numFmtId="3" fontId="36" fillId="0" borderId="0" pivotButton="0" quotePrefix="0" xfId="0"/>
    <xf numFmtId="0" fontId="10" fillId="0" borderId="8" applyAlignment="1" pivotButton="0" quotePrefix="0" xfId="0">
      <alignment horizontal="general" vertical="bottom"/>
    </xf>
    <xf numFmtId="0" fontId="0" fillId="0" borderId="8" pivotButton="0" quotePrefix="0" xfId="0"/>
    <xf numFmtId="0" fontId="13" fillId="0" borderId="10" applyAlignment="1" pivotButton="0" quotePrefix="0" xfId="0">
      <alignment horizontal="general" vertical="bottom"/>
    </xf>
    <xf numFmtId="0" fontId="0" fillId="0" borderId="11" pivotButton="0" quotePrefix="0" xfId="0"/>
    <xf numFmtId="0" fontId="0" fillId="0" borderId="1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9">
    <dxf>
      <font>
        <name val="Arial"/>
        <charset val="1"/>
        <family val="0"/>
        <b val="1"/>
        <color rgb="FFC0392B"/>
        <sz val="10"/>
      </font>
    </dxf>
    <dxf>
      <font>
        <name val="Arial"/>
        <charset val="1"/>
        <family val="0"/>
        <color rgb="FFC0392B"/>
        <sz val="10"/>
      </font>
    </dxf>
    <dxf>
      <fill>
        <patternFill patternType="solid">
          <fgColor rgb="FF13315C"/>
          <bgColor rgb="FF000000"/>
        </patternFill>
      </fill>
    </dxf>
    <dxf>
      <fill>
        <patternFill patternType="solid">
          <bgColor rgb="FF000000"/>
        </patternFill>
      </fill>
    </dxf>
    <dxf>
      <fill>
        <patternFill patternType="solid">
          <fgColor rgb="FFFFFFFF"/>
          <bgColor rgb="FF000000"/>
        </patternFill>
      </fill>
    </dxf>
    <dxf>
      <fill>
        <patternFill patternType="solid">
          <fgColor rgb="FFE8F6EF"/>
          <bgColor rgb="FF000000"/>
        </patternFill>
      </fill>
    </dxf>
    <dxf>
      <fill>
        <patternFill patternType="solid">
          <fgColor rgb="FFEEF1F5"/>
          <bgColor rgb="FF000000"/>
        </patternFill>
      </fill>
    </dxf>
    <dxf>
      <fill>
        <patternFill patternType="solid">
          <fgColor rgb="FFFDECEC"/>
          <bgColor rgb="FF000000"/>
        </patternFill>
      </fill>
    </dxf>
    <dxf>
      <fill>
        <patternFill patternType="solid">
          <fgColor rgb="FF1B6B4A"/>
          <bgColor rgb="FF000000"/>
        </patternFill>
      </fill>
    </dxf>
    <dxf>
      <fill>
        <patternFill patternType="solid">
          <fgColor rgb="FF1E4E9B"/>
          <bgColor rgb="FF000000"/>
        </patternFill>
      </fill>
    </dxf>
    <dxf>
      <fill>
        <patternFill patternType="solid">
          <fgColor rgb="FF9B1C1C"/>
          <bgColor rgb="FF000000"/>
        </patternFill>
      </fill>
    </dxf>
    <dxf>
      <fill>
        <patternFill patternType="solid">
          <fgColor rgb="FFFFF4CC"/>
          <bgColor rgb="FF000000"/>
        </patternFill>
      </fill>
    </dxf>
    <dxf>
      <fill>
        <patternFill patternType="solid">
          <fgColor rgb="FFD4EDDA"/>
          <bgColor rgb="FF000000"/>
        </patternFill>
      </fill>
    </dxf>
    <dxf>
      <fill>
        <patternFill patternType="solid">
          <fgColor rgb="FF1B5E3A"/>
          <bgColor rgb="FF000000"/>
        </patternFill>
      </fill>
    </dxf>
    <dxf>
      <fill>
        <patternFill>
          <bgColor rgb="FFE8F6EF"/>
        </patternFill>
      </fill>
    </dxf>
    <dxf>
      <fill>
        <patternFill>
          <bgColor rgb="FFFDECEC"/>
        </patternFill>
      </fill>
    </dxf>
    <dxf>
      <fill>
        <patternFill>
          <bgColor rgb="FFEEF1F5"/>
        </patternFill>
      </fill>
    </dxf>
    <dxf>
      <font>
        <name val="Arial"/>
        <charset val="1"/>
        <family val="0"/>
        <b val="1"/>
        <color rgb="FF1B6B4A"/>
        <sz val="10"/>
      </font>
      <fill>
        <patternFill>
          <bgColor rgb="FFE8F6EF"/>
        </patternFill>
      </fill>
    </dxf>
    <dxf>
      <font>
        <name val="Arial"/>
        <charset val="1"/>
        <family val="0"/>
        <b val="1"/>
        <color rgb="FF9B1C1C"/>
        <sz val="10"/>
      </font>
      <fill>
        <patternFill>
          <bgColor rgb="FFFDECEC"/>
        </patternFill>
      </fill>
    </dxf>
    <dxf>
      <font>
        <name val="Arial"/>
        <charset val="1"/>
        <family val="0"/>
        <b val="1"/>
        <color rgb="FF1E4E9B"/>
        <sz val="10"/>
      </font>
      <fill>
        <patternFill>
          <bgColor rgb="FFEEF1F5"/>
        </patternFill>
      </fill>
    </dxf>
    <dxf>
      <fill>
        <patternFill>
          <bgColor rgb="FFFFF4CC"/>
        </patternFill>
      </fill>
    </dxf>
    <dxf>
      <font>
        <name val="Arial"/>
        <charset val="1"/>
        <family val="0"/>
        <b val="1"/>
        <color rgb="FF1B5E3A"/>
        <sz val="10"/>
      </font>
      <fill>
        <patternFill>
          <bgColor rgb="FFD4EDDA"/>
        </patternFill>
      </fill>
    </dxf>
    <dxf>
      <fill>
        <patternFill patternType="solid">
          <fgColor rgb="FF1F6F4A"/>
          <bgColor rgb="FF000000"/>
        </patternFill>
      </fill>
    </dxf>
    <dxf>
      <fill>
        <patternFill patternType="solid">
          <fgColor rgb="FF000000"/>
          <bgColor rgb="FF000000"/>
        </patternFill>
      </fill>
    </dxf>
    <dxf>
      <font>
        <name val="Arial"/>
        <charset val="1"/>
        <family val="0"/>
        <b val="1"/>
        <color rgb="FF8A5A00"/>
        <sz val="10"/>
      </font>
      <fill>
        <patternFill>
          <bgColor rgb="FFFFF0C2"/>
        </patternFill>
      </fill>
    </dxf>
    <dxf>
      <font>
        <b val="1"/>
        <color rgb="FFB3261E"/>
      </font>
      <fill>
        <patternFill>
          <bgColor rgb="FFFBE2E0"/>
        </patternFill>
      </fill>
    </dxf>
    <dxf>
      <fill>
        <patternFill>
          <bgColor rgb="FFFAEEDA"/>
        </patternFill>
      </fill>
    </dxf>
    <dxf>
      <fill>
        <patternFill patternType="solid">
          <fgColor rgb="FF1B2430"/>
          <bgColor rgb="FF000000"/>
        </patternFill>
      </fill>
    </dxf>
    <dxf>
      <font>
        <name val="Arial"/>
        <charset val="1"/>
        <family val="0"/>
        <b val="1"/>
        <color rgb="FF1B7F5B"/>
        <sz val="10"/>
      </font>
    </dxf>
  </dxfs>
  <colors>
    <indexedColors>
      <rgbColor rgb="FF000000"/>
      <rgbColor rgb="FFFFFFFF"/>
      <rgbColor rgb="FFC0504D"/>
      <rgbColor rgb="FF00FF00"/>
      <rgbColor rgb="FF0000FF"/>
      <rgbColor rgb="FFFFF2CC"/>
      <rgbColor rgb="FFFF00FF"/>
      <rgbColor rgb="FFEEF1F5"/>
      <rgbColor rgb="FFB3261E"/>
      <rgbColor rgb="FF1F6F4A"/>
      <rgbColor rgb="FF1B6B4A"/>
      <rgbColor rgb="FF8A5A00"/>
      <rgbColor rgb="FF6A4C93"/>
      <rgbColor rgb="FF0F7A55"/>
      <rgbColor rgb="FFD9D9D9"/>
      <rgbColor rgb="FF878787"/>
      <rgbColor rgb="FF93A9CE"/>
      <rgbColor rgb="FFAB4744"/>
      <rgbColor rgb="FFFFF4CC"/>
      <rgbColor rgb="FFE8F6EF"/>
      <rgbColor rgb="FF4F81BD"/>
      <rgbColor rgb="FFE76F51"/>
      <rgbColor rgb="FF1E5FB3"/>
      <rgbColor rgb="FFD0D7E2"/>
      <rgbColor rgb="FF000080"/>
      <rgbColor rgb="FFFF00FF"/>
      <rgbColor rgb="FFFAEEDA"/>
      <rgbColor rgb="FF00FFFF"/>
      <rgbColor rgb="FF725990"/>
      <rgbColor rgb="FF800000"/>
      <rgbColor rgb="FF1B7F5B"/>
      <rgbColor rgb="FF0000FF"/>
      <rgbColor rgb="FF4299B0"/>
      <rgbColor rgb="FFDDE9FA"/>
      <rgbColor rgb="FFD4EDDA"/>
      <rgbColor rgb="FFFFF0C2"/>
      <rgbColor rgb="FFDCE7F3"/>
      <rgbColor rgb="FFFBE2E0"/>
      <rgbColor rgb="FF8064A2"/>
      <rgbColor rgb="FFE9C46A"/>
      <rgbColor rgb="FF4672A8"/>
      <rgbColor rgb="FF4BACC6"/>
      <rgbColor rgb="FF9BBB59"/>
      <rgbColor rgb="FFFDECEC"/>
      <rgbColor rgb="FFF79646"/>
      <rgbColor rgb="FFDC853E"/>
      <rgbColor rgb="FF5B6B7F"/>
      <rgbColor rgb="FF8AA64F"/>
      <rgbColor rgb="FF13315C"/>
      <rgbColor rgb="FF2A9D8F"/>
      <rgbColor rgb="FF0B2545"/>
      <rgbColor rgb="FF1B5E3A"/>
      <rgbColor rgb="FF9B1C1C"/>
      <rgbColor rgb="FFC0392B"/>
      <rgbColor rgb="FF1E4E9B"/>
      <rgbColor rgb="FF1B243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id-ID" sz="1800" b="1" strike="noStrike" spc="-1">
                <a:solidFill>
                  <a:srgbClr val="000000"/>
                </a:solidFill>
                <a:latin typeface="Calibri"/>
              </a:defRPr>
            </a:pPr>
            <a:r>
              <a:rPr lang="id-ID" sz="1800" b="1" strike="noStrike" spc="-1">
                <a:solidFill>
                  <a:srgbClr val="000000"/>
                </a:solidFill>
                <a:latin typeface="Calibri"/>
              </a:rPr>
              <a:t>Pendapatan vs pengeluaran per bulan</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Dashboard!C29</f>
              <strCache>
                <ptCount val="1"/>
                <pt idx="0">
                  <v>Pendapatan</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Dashboard!$B$30:$B$41</f>
              <strCache>
                <ptCount val="12"/>
                <pt idx="0">
                  <v>Januari</v>
                </pt>
                <pt idx="1">
                  <v>Februari</v>
                </pt>
                <pt idx="2">
                  <v>Maret</v>
                </pt>
                <pt idx="3">
                  <v>April</v>
                </pt>
                <pt idx="4">
                  <v>Mei</v>
                </pt>
                <pt idx="5">
                  <v>Juni</v>
                </pt>
                <pt idx="6">
                  <v>Juli</v>
                </pt>
                <pt idx="7">
                  <v>Agustus</v>
                </pt>
                <pt idx="8">
                  <v>September</v>
                </pt>
                <pt idx="9">
                  <v>Oktober</v>
                </pt>
                <pt idx="10">
                  <v>November</v>
                </pt>
                <pt idx="11">
                  <v>Desember</v>
                </pt>
              </strCache>
            </strRef>
          </cat>
          <val>
            <numRef>
              <f>Dashboard!$C$30:$C$41</f>
              <numCache>
                <formatCode>"Rp"#,##0;[RED]"-Rp"#,##0;\-</formatCode>
                <ptCount val="12"/>
                <pt idx="0">
                  <v>5226417</v>
                </pt>
                <pt idx="1">
                  <v>5940630</v>
                </pt>
                <pt idx="2">
                  <v>8542719</v>
                </pt>
                <pt idx="3">
                  <v>4883169</v>
                </pt>
                <pt idx="4">
                  <v>5649591</v>
                </pt>
                <pt idx="5">
                  <v>4833905</v>
                </pt>
                <pt idx="6">
                  <v>4770004</v>
                </pt>
                <pt idx="7">
                  <v>4727215</v>
                </pt>
                <pt idx="8">
                  <v>5905602</v>
                </pt>
                <pt idx="9">
                  <v>0</v>
                </pt>
                <pt idx="10">
                  <v>0</v>
                </pt>
                <pt idx="11">
                  <v>0</v>
                </pt>
              </numCache>
            </numRef>
          </val>
        </ser>
        <ser>
          <idx val="1"/>
          <order val="1"/>
          <tx>
            <strRef>
              <f>Dashboard!D29</f>
              <strCache>
                <ptCount val="1"/>
                <pt idx="0">
                  <v>Pengeluaran</v>
                </pt>
              </strCache>
            </strRef>
          </tx>
          <spPr>
            <a:solidFill xmlns:a="http://schemas.openxmlformats.org/drawingml/2006/main">
              <a:srgbClr val="c0504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Dashboard!$B$30:$B$41</f>
              <strCache>
                <ptCount val="12"/>
                <pt idx="0">
                  <v>Januari</v>
                </pt>
                <pt idx="1">
                  <v>Februari</v>
                </pt>
                <pt idx="2">
                  <v>Maret</v>
                </pt>
                <pt idx="3">
                  <v>April</v>
                </pt>
                <pt idx="4">
                  <v>Mei</v>
                </pt>
                <pt idx="5">
                  <v>Juni</v>
                </pt>
                <pt idx="6">
                  <v>Juli</v>
                </pt>
                <pt idx="7">
                  <v>Agustus</v>
                </pt>
                <pt idx="8">
                  <v>September</v>
                </pt>
                <pt idx="9">
                  <v>Oktober</v>
                </pt>
                <pt idx="10">
                  <v>November</v>
                </pt>
                <pt idx="11">
                  <v>Desember</v>
                </pt>
              </strCache>
            </strRef>
          </cat>
          <val>
            <numRef>
              <f>Dashboard!$D$30:$D$41</f>
              <numCache>
                <formatCode>"Rp"#,##0;[RED]"-Rp"#,##0;\-</formatCode>
                <ptCount val="12"/>
                <pt idx="0">
                  <v>4304028</v>
                </pt>
                <pt idx="1">
                  <v>4631206</v>
                </pt>
                <pt idx="2">
                  <v>5391500</v>
                </pt>
                <pt idx="3">
                  <v>3488002</v>
                </pt>
                <pt idx="4">
                  <v>6725646</v>
                </pt>
                <pt idx="5">
                  <v>2491340</v>
                </pt>
                <pt idx="6">
                  <v>4953919</v>
                </pt>
                <pt idx="7">
                  <v>13588458</v>
                </pt>
                <pt idx="8">
                  <v>1826993</v>
                </pt>
                <pt idx="9">
                  <v>0</v>
                </pt>
                <pt idx="10">
                  <v>0</v>
                </pt>
                <pt idx="11">
                  <v>0</v>
                </pt>
              </numCache>
            </numRef>
          </val>
        </ser>
        <gapWidth val="150"/>
        <overlap val="0"/>
        <axId val="65665235"/>
        <axId val="68660830"/>
      </barChart>
      <catAx>
        <axId val="65665235"/>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8660830"/>
        <crosses val="autoZero"/>
        <auto val="1"/>
        <lblAlgn val="ctr"/>
        <lblOffset val="100"/>
        <noMultiLvlLbl val="0"/>
      </catAx>
      <valAx>
        <axId val="68660830"/>
        <scaling>
          <orientation val="minMax"/>
        </scaling>
        <delete val="0"/>
        <axPos val="l"/>
        <majorGridlines>
          <spPr>
            <a:ln xmlns:a="http://schemas.openxmlformats.org/drawingml/2006/main" w="9360">
              <a:solidFill>
                <a:srgbClr val="878787"/>
              </a:solidFill>
              <a:prstDash val="solid"/>
              <a:round/>
            </a:ln>
          </spPr>
        </majorGridlines>
        <numFmt formatCode="&quot;Rp&quot;#,##0;[RED]&quot;-Rp&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65665235"/>
        <crosses val="autoZero"/>
        <crossBetween val="between"/>
      </valAx>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id-ID" sz="1800" b="1" strike="noStrike" spc="-1">
                <a:solidFill>
                  <a:srgbClr val="000000"/>
                </a:solidFill>
                <a:latin typeface="Calibri"/>
              </a:defRPr>
            </a:pPr>
            <a:r>
              <a:rPr lang="id-ID" sz="1800" b="1" strike="noStrike" spc="-1">
                <a:solidFill>
                  <a:srgbClr val="000000"/>
                </a:solidFill>
                <a:latin typeface="Calibri"/>
              </a:rPr>
              <a:t>Pengeluaran per sumber (tahun ini)</a:t>
            </a:r>
          </a:p>
        </rich>
      </tx>
      <overlay val="0"/>
      <spPr>
        <a:noFill xmlns:a="http://schemas.openxmlformats.org/drawingml/2006/main"/>
        <a:ln xmlns:a="http://schemas.openxmlformats.org/drawingml/2006/main" w="0">
          <a:noFill/>
          <a:prstDash val="solid"/>
        </a:ln>
      </spPr>
    </title>
    <plotArea>
      <pieChart>
        <varyColors val="1"/>
        <ser>
          <idx val="0"/>
          <order val="0"/>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f81bd"/>
              </a:solidFill>
              <a:ln xmlns:a="http://schemas.openxmlformats.org/drawingml/2006/main" w="0">
                <a:noFill/>
                <a:prstDash val="solid"/>
              </a:ln>
            </spPr>
          </dPt>
          <dPt>
            <idx val="1"/>
            <spPr>
              <a:solidFill xmlns:a="http://schemas.openxmlformats.org/drawingml/2006/main">
                <a:srgbClr val="c0504d"/>
              </a:solidFill>
              <a:ln xmlns:a="http://schemas.openxmlformats.org/drawingml/2006/main" w="0">
                <a:noFill/>
                <a:prstDash val="solid"/>
              </a:ln>
            </spPr>
          </dPt>
          <dPt>
            <idx val="2"/>
            <spPr>
              <a:solidFill xmlns:a="http://schemas.openxmlformats.org/drawingml/2006/main">
                <a:srgbClr val="9bbb59"/>
              </a:solidFill>
              <a:ln xmlns:a="http://schemas.openxmlformats.org/drawingml/2006/main" w="0">
                <a:noFill/>
                <a:prstDash val="solid"/>
              </a:ln>
            </spPr>
          </dPt>
          <dPt>
            <idx val="3"/>
            <spPr>
              <a:solidFill xmlns:a="http://schemas.openxmlformats.org/drawingml/2006/main">
                <a:srgbClr val="8064a2"/>
              </a:solidFill>
              <a:ln xmlns:a="http://schemas.openxmlformats.org/drawingml/2006/main" w="0">
                <a:noFill/>
                <a:prstDash val="solid"/>
              </a:ln>
            </spPr>
          </dPt>
          <dPt>
            <idx val="4"/>
            <spPr>
              <a:solidFill xmlns:a="http://schemas.openxmlformats.org/drawingml/2006/main">
                <a:srgbClr val="4bacc6"/>
              </a:solidFill>
              <a:ln xmlns:a="http://schemas.openxmlformats.org/drawingml/2006/main" w="0">
                <a:noFill/>
                <a:prstDash val="solid"/>
              </a:ln>
            </spPr>
          </dPt>
          <dPt>
            <idx val="5"/>
            <spPr>
              <a:solidFill xmlns:a="http://schemas.openxmlformats.org/drawingml/2006/main">
                <a:srgbClr val="f79646"/>
              </a:solidFill>
              <a:ln xmlns:a="http://schemas.openxmlformats.org/drawingml/2006/main" w="0">
                <a:noFill/>
                <a:prstDash val="soli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4"/>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5"/>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showLeaderLines val="1"/>
          </dLbls>
          <cat>
            <strRef>
              <f>Dashboard!$B$27:$B$31</f>
              <strCache>
                <ptCount val="5"/>
                <pt idx="0">
                  <v>None</v>
                </pt>
                <pt idx="1">
                  <v>B. PER BULAN — TAHUN 2026</v>
                </pt>
                <pt idx="2">
                  <v>Bulan</v>
                </pt>
                <pt idx="3">
                  <v>Januari</v>
                </pt>
                <pt idx="4">
                  <v>Februari</v>
                </pt>
              </strCache>
            </strRef>
          </cat>
          <val>
            <numRef>
              <f>Dashboard!$D$26:$D$31</f>
              <numCache>
                <formatCode>"Rp"#,##0;[RED]"-Rp"#,##0;\-</formatCode>
                <ptCount val="6"/>
                <pt idx="0">
                  <v>214009</v>
                </pt>
                <pt idx="4">
                  <v>4304028</v>
                </pt>
                <pt idx="5">
                  <v>4631206</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Untung/rugi per saham</a:t>
            </a:r>
          </a:p>
        </rich>
      </tx>
      <overlay val="0"/>
      <spPr>
        <a:noFill xmlns:a="http://schemas.openxmlformats.org/drawingml/2006/main"/>
        <a:ln xmlns:a="http://schemas.openxmlformats.org/drawingml/2006/main" w="0">
          <a:noFill/>
          <a:prstDash val="solid"/>
        </a:ln>
      </spPr>
    </title>
    <plotArea>
      <barChart>
        <barDir val="col"/>
        <grouping val="clustered"/>
        <varyColors val="0"/>
        <ser>
          <idx val="0"/>
          <order val="0"/>
          <tx>
            <strRef>
              <f>'Investasi Saham'!F5</f>
              <strCache>
                <ptCount val="1"/>
                <pt idx="0">
                  <v>Untung/rugi</v>
                </pt>
              </strCache>
            </strRef>
          </tx>
          <spPr>
            <a:solidFill xmlns:a="http://schemas.openxmlformats.org/drawingml/2006/main">
              <a:srgbClr val="4f81bd"/>
            </a:solidFill>
            <a:ln xmlns:a="http://schemas.openxmlformats.org/drawingml/2006/main" w="0">
              <a:noFill/>
              <a:prstDash val="solid"/>
            </a:ln>
          </spPr>
          <invertIfNegative val="0"/>
          <dLbls>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outEnd"/>
            <showLegendKey val="0"/>
            <showVal val="0"/>
            <showCatName val="0"/>
            <showSerName val="0"/>
            <showPercent val="0"/>
            <showLeaderLines val="0"/>
          </dLbls>
          <cat>
            <strRef>
              <f>'Investasi Saham'!$A$6:$A$13</f>
              <strCache>
                <ptCount val="8"/>
                <pt idx="0">
                  <v>ASII</v>
                </pt>
                <pt idx="1">
                  <v>BBRI</v>
                </pt>
                <pt idx="2">
                  <v>IPCC</v>
                </pt>
                <pt idx="3">
                  <v>BBCA</v>
                </pt>
                <pt idx="4">
                  <v>POWR</v>
                </pt>
                <pt idx="5">
                  <v>MARK</v>
                </pt>
                <pt idx="6">
                  <v>PJHB</v>
                </pt>
                <pt idx="7">
                  <v>PJHB-W</v>
                </pt>
              </strCache>
            </strRef>
          </cat>
          <val>
            <numRef>
              <f>'Investasi Saham'!$F$6:$F$13</f>
              <numCache>
                <formatCode>"Rp"#,##0;[RED]"-Rp"#,##0;\-</formatCode>
                <ptCount val="8"/>
                <pt idx="0">
                  <v>-1201599</v>
                </pt>
                <pt idx="1">
                  <v>-4754351</v>
                </pt>
                <pt idx="2">
                  <v>62800</v>
                </pt>
                <pt idx="3">
                  <v>-1563895</v>
                </pt>
                <pt idx="4">
                  <v>1792144</v>
                </pt>
                <pt idx="5">
                  <v>359802</v>
                </pt>
                <pt idx="6">
                  <v>-16800</v>
                </pt>
                <pt idx="7">
                  <v>-68611</v>
                </pt>
              </numCache>
            </numRef>
          </val>
        </ser>
        <gapWidth val="150"/>
        <overlap val="0"/>
        <axId val="31523796"/>
        <axId val="82671407"/>
      </barChart>
      <catAx>
        <axId val="31523796"/>
        <scaling>
          <orientation val="minMax"/>
        </scaling>
        <delete val="0"/>
        <axPos val="b"/>
        <numFmt formatCode="General"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82671407"/>
        <crosses val="autoZero"/>
        <auto val="1"/>
        <lblAlgn val="ctr"/>
        <lblOffset val="100"/>
        <noMultiLvlLbl val="0"/>
      </catAx>
      <valAx>
        <axId val="82671407"/>
        <scaling>
          <orientation val="minMax"/>
        </scaling>
        <delete val="0"/>
        <axPos val="l"/>
        <majorGridlines>
          <spPr>
            <a:ln xmlns:a="http://schemas.openxmlformats.org/drawingml/2006/main" w="9360">
              <a:solidFill>
                <a:srgbClr val="878787"/>
              </a:solidFill>
              <a:prstDash val="solid"/>
              <a:round/>
            </a:ln>
          </spPr>
        </majorGridlines>
        <numFmt formatCode="&quot;Rp&quot;#,##0;[RED]&quot;-Rp&quot;#,##0;\-" sourceLinked="0"/>
        <majorTickMark val="none"/>
        <minorTickMark val="none"/>
        <tickLblPos val="nextTo"/>
        <spPr>
          <a:ln xmlns:a="http://schemas.openxmlformats.org/drawingml/2006/main" w="9360">
            <a:solidFill>
              <a:srgbClr val="878787"/>
            </a:solidFill>
            <a:prstDash val="solid"/>
            <a:roun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crossAx val="31523796"/>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sz="1800" b="1" strike="noStrike" spc="-1">
                <a:solidFill>
                  <a:srgbClr val="000000"/>
                </a:solidFill>
                <a:latin typeface="Calibri"/>
              </a:defRPr>
            </a:pPr>
            <a:r>
              <a:rPr sz="1800" b="1" strike="noStrike" spc="-1">
                <a:solidFill>
                  <a:srgbClr val="000000"/>
                </a:solidFill>
                <a:latin typeface="Calibri"/>
              </a:rPr>
              <a:t>Nilai reksadana per tujuan</a:t>
            </a:r>
          </a:p>
        </rich>
      </tx>
      <overlay val="0"/>
      <spPr>
        <a:noFill xmlns:a="http://schemas.openxmlformats.org/drawingml/2006/main"/>
        <a:ln xmlns:a="http://schemas.openxmlformats.org/drawingml/2006/main" w="0">
          <a:noFill/>
          <a:prstDash val="solid"/>
        </a:ln>
      </spPr>
    </title>
    <plotArea>
      <pieChart>
        <varyColors val="1"/>
        <ser>
          <idx val="0"/>
          <order val="0"/>
          <tx>
            <strRef>
              <f>'Investasi Reksadana'!D5</f>
              <strCache>
                <ptCount val="1"/>
                <pt idx="0">
                  <v>Nilai sekarang</v>
                </pt>
              </strCache>
            </strRef>
          </tx>
          <spPr>
            <a:solidFill xmlns:a="http://schemas.openxmlformats.org/drawingml/2006/main">
              <a:srgbClr val="4f81bd"/>
            </a:solidFill>
            <a:ln xmlns:a="http://schemas.openxmlformats.org/drawingml/2006/main" w="0">
              <a:noFill/>
              <a:prstDash val="solid"/>
            </a:ln>
          </spPr>
          <explosion val="0"/>
          <dPt>
            <idx val="0"/>
            <spPr>
              <a:solidFill xmlns:a="http://schemas.openxmlformats.org/drawingml/2006/main">
                <a:srgbClr val="4672a8"/>
              </a:solidFill>
              <a:ln xmlns:a="http://schemas.openxmlformats.org/drawingml/2006/main" w="0">
                <a:noFill/>
                <a:prstDash val="solid"/>
              </a:ln>
            </spPr>
          </dPt>
          <dPt>
            <idx val="1"/>
            <spPr>
              <a:solidFill xmlns:a="http://schemas.openxmlformats.org/drawingml/2006/main">
                <a:srgbClr val="ab4744"/>
              </a:solidFill>
              <a:ln xmlns:a="http://schemas.openxmlformats.org/drawingml/2006/main" w="0">
                <a:noFill/>
                <a:prstDash val="solid"/>
              </a:ln>
            </spPr>
          </dPt>
          <dPt>
            <idx val="2"/>
            <spPr>
              <a:solidFill xmlns:a="http://schemas.openxmlformats.org/drawingml/2006/main">
                <a:srgbClr val="8aa64f"/>
              </a:solidFill>
              <a:ln xmlns:a="http://schemas.openxmlformats.org/drawingml/2006/main" w="0">
                <a:noFill/>
                <a:prstDash val="solid"/>
              </a:ln>
            </spPr>
          </dPt>
          <dPt>
            <idx val="3"/>
            <spPr>
              <a:solidFill xmlns:a="http://schemas.openxmlformats.org/drawingml/2006/main">
                <a:srgbClr val="725990"/>
              </a:solidFill>
              <a:ln xmlns:a="http://schemas.openxmlformats.org/drawingml/2006/main" w="0">
                <a:noFill/>
                <a:prstDash val="solid"/>
              </a:ln>
            </spPr>
          </dPt>
          <dPt>
            <idx val="4"/>
            <spPr>
              <a:solidFill xmlns:a="http://schemas.openxmlformats.org/drawingml/2006/main">
                <a:srgbClr val="4299b0"/>
              </a:solidFill>
              <a:ln xmlns:a="http://schemas.openxmlformats.org/drawingml/2006/main" w="0">
                <a:noFill/>
                <a:prstDash val="solid"/>
              </a:ln>
            </spPr>
          </dPt>
          <dPt>
            <idx val="5"/>
            <spPr>
              <a:solidFill xmlns:a="http://schemas.openxmlformats.org/drawingml/2006/main">
                <a:srgbClr val="dc853e"/>
              </a:solidFill>
              <a:ln xmlns:a="http://schemas.openxmlformats.org/drawingml/2006/main" w="0">
                <a:noFill/>
                <a:prstDash val="solid"/>
              </a:ln>
            </spPr>
          </dPt>
          <dPt>
            <idx val="6"/>
            <spPr>
              <a:solidFill xmlns:a="http://schemas.openxmlformats.org/drawingml/2006/main">
                <a:srgbClr val="93a9ce"/>
              </a:solidFill>
              <a:ln xmlns:a="http://schemas.openxmlformats.org/drawingml/2006/main" w="0">
                <a:noFill/>
                <a:prstDash val="solid"/>
              </a:ln>
            </spPr>
          </dPt>
          <dLbls>
            <dLbl>
              <idx val="0"/>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1"/>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2"/>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3"/>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4"/>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5"/>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dLbl>
              <idx val="6"/>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dLbl>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Arial"/>
                  </a:defRPr>
                </a:pPr>
                <a:r>
                  <a:t>None</a:t>
                </a:r>
              </a:p>
            </txPr>
            <dLblPos val="bestFit"/>
            <showLegendKey val="0"/>
            <showVal val="0"/>
            <showCatName val="0"/>
            <showSerName val="0"/>
            <showPercent val="0"/>
            <showLeaderLines val="1"/>
          </dLbls>
          <cat>
            <strRef>
              <f>'Investasi Reksadana'!$A$6:$A$12</f>
              <strCache>
                <ptCount val="7"/>
                <pt idx="0">
                  <v>Dana Darurat</v>
                </pt>
                <pt idx="1">
                  <v>Dana Kuliah</v>
                </pt>
                <pt idx="2">
                  <v>Dana Beli Laptop</v>
                </pt>
                <pt idx="3">
                  <v>Dana Keinginan</v>
                </pt>
                <pt idx="4">
                  <v>Injeksi Dana Syariah</v>
                </pt>
                <pt idx="5">
                  <v>Dana Kebutuhan Perbulan</v>
                </pt>
                <pt idx="6">
                  <v>Dana Suntikan</v>
                </pt>
              </strCache>
            </strRef>
          </cat>
          <val>
            <numRef>
              <f>'Investasi Reksadana'!$D$6:$D$12</f>
              <numCache>
                <formatCode>"Rp"#,##0;[RED]"-Rp"#,##0;\-</formatCode>
                <ptCount val="7"/>
                <pt idx="0">
                  <v>10724443</v>
                </pt>
                <pt idx="1">
                  <v>18936726</v>
                </pt>
                <pt idx="2">
                  <v>6156189</v>
                </pt>
                <pt idx="3">
                  <v>3390055</v>
                </pt>
                <pt idx="4">
                  <v>1487655</v>
                </pt>
                <pt idx="5">
                  <v>101985</v>
                </pt>
                <pt idx="6">
                  <v>0</v>
                </pt>
              </numCache>
            </numRef>
          </val>
        </ser>
        <firstSliceAng val="0"/>
      </pieChart>
    </plotArea>
    <legend>
      <legendPos val="r"/>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1000" b="0" strike="noStrike" spc="-1">
              <a:solidFill>
                <a:srgbClr val="000000"/>
              </a:solidFill>
              <a:latin typeface="Calibri"/>
            </a:defRPr>
          </a:pPr>
          <a:r>
            <a:t>None</a:t>
          </a:r>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drawing1.xml><?xml version="1.0" encoding="utf-8"?>
<wsDr xmlns="http://schemas.openxmlformats.org/drawingml/2006/spreadsheetDrawing">
  <twoCellAnchor editAs="oneCell">
    <from>
      <col>9</col>
      <colOff>0</colOff>
      <row>6</row>
      <rowOff>0</rowOff>
    </from>
    <to>
      <col>23</col>
      <colOff>72000</colOff>
      <row>22</row>
      <rowOff>72720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9</col>
      <colOff>0</colOff>
      <row>24</row>
      <rowOff>78120</rowOff>
    </from>
    <to>
      <col>17</col>
      <colOff>141120</colOff>
      <row>40</row>
      <rowOff>8640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editAs="oneCell">
    <from>
      <col>11</col>
      <colOff>0</colOff>
      <row>3</row>
      <rowOff>0</rowOff>
    </from>
    <to>
      <col>20</col>
      <colOff>249840</colOff>
      <row>17</row>
      <rowOff>93960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3.xml><?xml version="1.0" encoding="utf-8"?>
<wsDr xmlns="http://schemas.openxmlformats.org/drawingml/2006/spreadsheetDrawing">
  <twoCellAnchor editAs="oneCell">
    <from>
      <col>10</col>
      <colOff>0</colOff>
      <row>3</row>
      <rowOff>0</rowOff>
    </from>
    <to>
      <col>18</col>
      <colOff>501120</colOff>
      <row>18</row>
      <rowOff>150840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16.xml.rels><Relationships xmlns="http://schemas.openxmlformats.org/package/2006/relationships"><Relationship Type="http://schemas.openxmlformats.org/officeDocument/2006/relationships/drawing" Target="/xl/drawings/drawing2.xml" Id="rId1"/></Relationships>
</file>

<file path=xl/worksheets/_rels/sheet17.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filterMode="0">
    <outlinePr summaryBelow="1" summaryRight="1"/>
    <pageSetUpPr fitToPage="0"/>
  </sheetPr>
  <dimension ref="A1:C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421875" defaultRowHeight="15" zeroHeight="0" outlineLevelRow="0"/>
  <cols>
    <col width="2.96" customWidth="1" style="93" min="1" max="1"/>
    <col width="27.98" customWidth="1" style="93" min="2" max="2"/>
    <col width="90" customWidth="1" style="93" min="3" max="3"/>
  </cols>
  <sheetData>
    <row r="1" ht="30" customHeight="1" s="94">
      <c r="A1" s="95" t="inlineStr">
        <is>
          <t>PANDUAN SINGKAT</t>
        </is>
      </c>
    </row>
    <row r="2"/>
    <row r="3" ht="43.5" customHeight="1" s="94">
      <c r="B3" s="96" t="inlineStr">
        <is>
          <t>Kos cowok &amp; cewek</t>
        </is>
      </c>
      <c r="C3" s="97" t="inlineStr">
        <is>
          <t>Tab Uang Kos Mama: uang masuk tiap kamar (kos cowok 5 kamar, kos cewek 7 kamar), sumber masuk lain (lapak, penggantian), dan ke mana uang kos dipakai. Label kamar ada di tab Transaksi kolom L (Kos / Kamar).</t>
        </is>
      </c>
    </row>
    <row r="4" ht="43.5" customHeight="1" s="94">
      <c r="B4" s="96" t="inlineStr">
        <is>
          <t>Struktur</t>
        </is>
      </c>
      <c r="C4" s="97" t="inlineStr">
        <is>
          <t>Setiap transaksi punya 3 tingkat: TUJUAN (Pendapatan / Pengeluaran / Pindah Uang) → SUMBER (Gaji, Jasa, Uang Kos Mama, Uang Kedai, Uang Disan / Pengeluaran Gaji, Jasa, Uang Kos, Uang Kedai, Uang Disan) → KATEGORI.</t>
        </is>
      </c>
    </row>
    <row r="5" ht="43.5" customHeight="1" s="94">
      <c r="B5" s="96" t="inlineStr">
        <is>
          <t>Tabungan &amp; investasi</t>
        </is>
      </c>
      <c r="C5" s="97" t="inlineStr">
        <is>
          <t>Tujuan "Tabungan": setor (beli saham/reksadana/jula-jula) dan cair. Di Dashboard dihitung sebagai bagian PENGELUARAN dalam bentuk "Tabungan bersih" (disetor − dicairkan), supaya uang yang diputar tidak terhitung berkali-kali. Dividen &amp; bagi hasil = Pendapatan Gaji. Pembelian Reksadana Dana Kuliah = Pengeluaran Gaji › Pendidikan.</t>
        </is>
      </c>
    </row>
    <row r="6" ht="43.5" customHeight="1" s="94">
      <c r="B6" s="96" t="inlineStr">
        <is>
          <t>Pindah Uang</t>
        </is>
      </c>
      <c r="C6" s="97" t="inlineStr">
        <is>
          <t>Tarik ATM, isi GoPay, pindah kantong, dana riba, utang-piutang → Tipe "Pindah" / Tujuan "Pindah Uang". Tidak dihitung pendapatan/pengeluaran.</t>
        </is>
      </c>
    </row>
    <row r="7" ht="43.5" customHeight="1" s="94">
      <c r="B7" s="96" t="inlineStr">
        <is>
          <t>Mencatat</t>
        </is>
      </c>
      <c r="C7" s="97" t="inlineStr">
        <is>
          <t>Tab Transaksi, baris kosong paling bawah (mulai baris 16): Tanggal → Akun → Tipe → (Akun Tujuan kalau Pindah) → Jumlah → Tujuan → Sumber → Kategori → Keterangan.</t>
        </is>
      </c>
    </row>
    <row r="8" ht="43.5" customHeight="1" s="94">
      <c r="B8" s="96" t="inlineStr">
        <is>
          <t>Mencari &amp; melacak</t>
        </is>
      </c>
      <c r="C8" s="97" t="inlineStr">
        <is>
          <t>Tab Transaksi, panel kuning di atas: kata kunci, tujuan, sumber, kategori, akun, tipe, tanggal. Poin hasilnya muncul di kolom N–U (klik "Buka"); total masuk/keluar &amp; per hari/bulan/tahun di tengah.</t>
        </is>
      </c>
    </row>
    <row r="9" ht="43.5" customHeight="1" s="94">
      <c r="B9" s="96" t="inlineStr">
        <is>
          <t>Asal saldo akun</t>
        </is>
      </c>
      <c r="C9" s="97" t="inlineStr">
        <is>
          <t>Tab Saldo Akun bagian A: saldo awal + masuk − keluar + pindahan masuk − dipindah = saldo sekarang.</t>
        </is>
      </c>
    </row>
    <row r="10" ht="43.5" customHeight="1" s="94">
      <c r="B10" s="96" t="inlineStr">
        <is>
          <t>Uang mama</t>
        </is>
      </c>
      <c r="C10" s="97" t="inlineStr">
        <is>
          <t>Tab Uang Mama: masuk (kos, kedai) − keluar (listrik kos, token &amp; PDAM kedai, dll) = sisa uang mama. Sisa harus ada di Uang Kos Mama Cash / Kantong Uang Kos Mama; kalau belum, status "Pindahkan".</t>
        </is>
      </c>
    </row>
    <row r="11" ht="43.5" customHeight="1" s="94">
      <c r="B11" s="96" t="inlineStr">
        <is>
          <t>Investasi</t>
        </is>
      </c>
      <c r="C11" s="97" t="inlineStr">
        <is>
          <t>Tab Investasi Saham &amp; Investasi Reksadana: setiap beli/jual/dividen ada tautan "Kas" ke transaksinya, dari pengeluaran apa/akun apa, dan dana yang masuk sebelumnya.</t>
        </is>
      </c>
    </row>
    <row r="12" ht="43.5" customHeight="1" s="94">
      <c r="B12" s="96" t="inlineStr">
        <is>
          <t>Perencanaan</t>
        </is>
      </c>
      <c r="C12" s="97" t="inlineStr">
        <is>
          <t>Target Dana Darurat, Kuliah, Laptop terhubung ke nilai reksadana per tujuan. Isi tenggat untuk melihat tabungan per bulan yang dibutuhkan.</t>
        </is>
      </c>
    </row>
    <row r="13" ht="43.5" customHeight="1" s="94">
      <c r="B13" s="96" t="inlineStr">
        <is>
          <t>Perlu Dicek</t>
        </is>
      </c>
      <c r="C13" s="97" t="inlineStr">
        <is>
          <t>Transaksi bertanda kuning di kolom K perlu kamu pastikan. Cari dengan panel: "Hanya Perlu Dicek" = Ya.</t>
        </is>
      </c>
    </row>
    <row r="14" ht="34.5" customHeight="1" s="94">
      <c r="B14" s="96" t="inlineStr">
        <is>
          <t>Uang Riba</t>
        </is>
      </c>
      <c r="C14" s="97" t="inlineStr">
        <is>
          <t>Tab Uang Riba: riba masuk, pajak, selisih bunga, uang riba yang dipinjam &amp; diganti, dan sisa utang ke uang riba per bulan. Pinjam = kategori "Pinjam dari uang riba", ganti = "Ganti uang riba" (Tujuan Pindah Uang › Sumber Pinjam uang riba).</t>
        </is>
      </c>
    </row>
    <row r="15" ht="23.25" customHeight="1" s="94">
      <c r="B15" s="96" t="inlineStr">
        <is>
          <t>Anggaran</t>
        </is>
      </c>
      <c r="C15" s="97" t="inlineStr">
        <is>
          <t>Tab Anggaran: isi batas per kategori di kolom kuning; terpakai per bulan dihitung otomatis dari Pengeluaran Gaji &amp; Jasa. Merah = lewat batas.</t>
        </is>
      </c>
    </row>
    <row r="16" ht="23.25" customHeight="1" s="94">
      <c r="B16" s="96" t="inlineStr">
        <is>
          <t>Aset Bersih</t>
        </is>
      </c>
      <c r="C16" s="97" t="inlineStr">
        <is>
          <t>Tab Aset Bersih: total aset pribadi hari ini (sama dengan Beranda aplikasi) dan perkembangan uang per akhir bulan.</t>
        </is>
      </c>
    </row>
    <row r="17" ht="23.25" customHeight="1" s="94">
      <c r="B17" s="96" t="inlineStr">
        <is>
          <t>Hanya di aplikasi</t>
        </is>
      </c>
      <c r="C17" s="97" t="inlineStr">
        <is>
          <t>Transaksi rutin &amp; pengingat tagihan, cocokkan saldo, foto struk, kunci PIN, dan cadangan Google Drive hanya ada di aplikasi (butuh HP). Datanya tetap sama karena semua transaksi dicatat dari aplikasi.</t>
        </is>
      </c>
    </row>
    <row r="18" ht="23.25" customHeight="1" s="94">
      <c r="B18" s="96" t="inlineStr">
        <is>
          <t>Buku Akun</t>
        </is>
      </c>
      <c r="C18" s="97" t="inlineStr">
        <is>
          <t>Tab Buku Akun: pilih akun, bulan &amp; tahun → transaksi akun itu urut per tanggal dengan saldo setelah tiap transaksi, total masuk/keluar, dan saldo akhir bulan (seperti buku bank).</t>
        </is>
      </c>
    </row>
  </sheetData>
  <mergeCells count="1">
    <mergeCell ref="A1:C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0B2545"/>
    <outlinePr summaryBelow="1" summaryRight="1"/>
    <pageSetUpPr fitToPage="0"/>
  </sheetPr>
  <dimension ref="A1:H64"/>
  <sheetViews>
    <sheetView showFormulas="0" showGridLines="0" showRowColHeaders="1" showZeros="1" rightToLeft="0" tabSelected="0" showOutlineSymbols="1" defaultGridColor="1" view="normal" topLeftCell="B1" colorId="64" zoomScale="100" zoomScaleNormal="100" zoomScalePageLayoutView="100" workbookViewId="0">
      <pane xSplit="0" ySplit="5" topLeftCell="B47" activePane="bottomLeft" state="frozen"/>
      <selection pane="topLeft" activeCell="B1" activeCellId="0" sqref="B1"/>
      <selection pane="bottomLeft" activeCell="A1" activeCellId="0" sqref="A1"/>
    </sheetView>
  </sheetViews>
  <sheetFormatPr baseColWidth="8" defaultColWidth="8.7421875" defaultRowHeight="15" zeroHeight="0" outlineLevelRow="0"/>
  <cols>
    <col width="2.96" customWidth="1" style="93" min="1" max="1"/>
    <col width="34.03" customWidth="1" style="93" min="2" max="2"/>
    <col width="16.95" customWidth="1" style="93" min="3" max="7"/>
    <col width="18.96" customWidth="1" style="93" min="8" max="8"/>
    <col width="2.96" customWidth="1" style="93" min="9" max="9"/>
  </cols>
  <sheetData>
    <row r="1" ht="30" customHeight="1" s="94">
      <c r="A1" s="95" t="inlineStr">
        <is>
          <t>DASHBOARD</t>
        </is>
      </c>
    </row>
    <row r="2" ht="30" customHeight="1" s="94">
      <c r="A2" s="98" t="inlineStr">
        <is>
          <t>Pilih Tahun dan Bulan di sel kuning. Untuk melacak angka mana pun: buka tab Transaksi, lalu isi Tujuan/Sumber/Kategori/Akun dan tanggal di panel pencarian — poin transaksinya muncul di kanan.</t>
        </is>
      </c>
    </row>
    <row r="3"/>
    <row r="4" ht="15" customHeight="1" s="94">
      <c r="B4" s="96" t="inlineStr">
        <is>
          <t>Tahun</t>
        </is>
      </c>
      <c r="C4" s="99" t="n">
        <v>2026</v>
      </c>
      <c r="D4" s="100">
        <f>MATCH(C5,Ref!$A$1:$A$12,0)</f>
        <v/>
      </c>
    </row>
    <row r="5" ht="15" customHeight="1" s="94">
      <c r="B5" s="96" t="inlineStr">
        <is>
          <t>Bulan</t>
        </is>
      </c>
      <c r="C5" s="99" t="inlineStr">
        <is>
          <t>September</t>
        </is>
      </c>
    </row>
    <row r="6"/>
    <row r="7" ht="15" customHeight="1" s="94">
      <c r="B7" s="101">
        <f>"A. PENDAPATAN &amp; PENGELUARAN — "&amp;UPPER(C5)&amp;" "&amp;C4</f>
        <v/>
      </c>
      <c r="C7" s="102" t="n"/>
      <c r="D7" s="102" t="n"/>
      <c r="E7" s="102" t="n"/>
      <c r="F7" s="102" t="n"/>
    </row>
    <row r="8" ht="24.75" customHeight="1" s="94">
      <c r="B8" s="103" t="inlineStr">
        <is>
          <t>Sumber</t>
        </is>
      </c>
      <c r="C8" s="103" t="inlineStr">
        <is>
          <t>Bulan ini</t>
        </is>
      </c>
      <c r="D8" s="103" t="inlineStr">
        <is>
          <t>Tahun ini</t>
        </is>
      </c>
      <c r="E8" s="103" t="inlineStr">
        <is>
          <t>Rata-rata/bulan (tahun ini)</t>
        </is>
      </c>
      <c r="F8" s="103" t="inlineStr">
        <is>
          <t>Porsi (tahun)</t>
        </is>
      </c>
    </row>
    <row r="9" ht="15" customHeight="1" s="94">
      <c r="B9" s="104" t="inlineStr">
        <is>
          <t>PENDAPATAN</t>
        </is>
      </c>
    </row>
    <row r="10" ht="15" customHeight="1" s="94">
      <c r="B10" s="105" t="inlineStr">
        <is>
          <t>Gaji</t>
        </is>
      </c>
      <c r="C10" s="106">
        <f>SUMIFS(Transaksi!$F$16:$F$5015,Transaksi!$G$16:$G$5015,"Pendapatan",Transaksi!$B$16:$B$5015,"&gt;="&amp;DATE(Dashboard!$C$4,Dashboard!$D$4,1),Transaksi!$B$16:$B$5015,"&lt;="&amp;EOMONTH(DATE(Dashboard!$C$4,Dashboard!$D$4,1),0),Transaksi!$H$16:$H$5015,"Gaji")</f>
        <v/>
      </c>
      <c r="D10" s="106">
        <f>SUMIFS(Transaksi!$F$16:$F$5015,Transaksi!$G$16:$G$5015,"Pendapatan",Transaksi!$B$16:$B$5015,"&gt;="&amp;DATE(Dashboard!$C$4,1,1),Transaksi!$B$16:$B$5015,"&lt;="&amp;DATE(Dashboard!$C$4,12,31),Transaksi!$H$16:$H$5015,"Gaji")</f>
        <v/>
      </c>
      <c r="E10" s="106">
        <f>D10/MAX(1,IF(Dashboard!$C$4=YEAR(TODAY()),MONTH(TODAY()),12))</f>
        <v/>
      </c>
      <c r="F10" s="107">
        <f>IF(SUM($D$10:$D$14)=0,"-",D10/SUM($D$10:$D$14))</f>
        <v/>
      </c>
    </row>
    <row r="11" ht="15" customHeight="1" s="94">
      <c r="B11" s="105" t="inlineStr">
        <is>
          <t>Jasa</t>
        </is>
      </c>
      <c r="C11" s="106">
        <f>SUMIFS(Transaksi!$F$16:$F$5015,Transaksi!$G$16:$G$5015,"Pendapatan",Transaksi!$B$16:$B$5015,"&gt;="&amp;DATE(Dashboard!$C$4,Dashboard!$D$4,1),Transaksi!$B$16:$B$5015,"&lt;="&amp;EOMONTH(DATE(Dashboard!$C$4,Dashboard!$D$4,1),0),Transaksi!$H$16:$H$5015,"Jasa")</f>
        <v/>
      </c>
      <c r="D11" s="106">
        <f>SUMIFS(Transaksi!$F$16:$F$5015,Transaksi!$G$16:$G$5015,"Pendapatan",Transaksi!$B$16:$B$5015,"&gt;="&amp;DATE(Dashboard!$C$4,1,1),Transaksi!$B$16:$B$5015,"&lt;="&amp;DATE(Dashboard!$C$4,12,31),Transaksi!$H$16:$H$5015,"Jasa")</f>
        <v/>
      </c>
      <c r="E11" s="106">
        <f>D11/MAX(1,IF(Dashboard!$C$4=YEAR(TODAY()),MONTH(TODAY()),12))</f>
        <v/>
      </c>
      <c r="F11" s="107">
        <f>IF(SUM($D$10:$D$14)=0,"-",D11/SUM($D$10:$D$14))</f>
        <v/>
      </c>
    </row>
    <row r="12" ht="15" customHeight="1" s="94">
      <c r="B12" s="105" t="inlineStr">
        <is>
          <t>Uang Kos Mama</t>
        </is>
      </c>
      <c r="C12" s="106">
        <f>SUMIFS(Transaksi!$F$16:$F$5015,Transaksi!$G$16:$G$5015,"Pendapatan",Transaksi!$B$16:$B$5015,"&gt;="&amp;DATE(Dashboard!$C$4,Dashboard!$D$4,1),Transaksi!$B$16:$B$5015,"&lt;="&amp;EOMONTH(DATE(Dashboard!$C$4,Dashboard!$D$4,1),0),Transaksi!$H$16:$H$5015,"Uang Kos Mama")</f>
        <v/>
      </c>
      <c r="D12" s="106">
        <f>SUMIFS(Transaksi!$F$16:$F$5015,Transaksi!$G$16:$G$5015,"Pendapatan",Transaksi!$B$16:$B$5015,"&gt;="&amp;DATE(Dashboard!$C$4,1,1),Transaksi!$B$16:$B$5015,"&lt;="&amp;DATE(Dashboard!$C$4,12,31),Transaksi!$H$16:$H$5015,"Uang Kos Mama")</f>
        <v/>
      </c>
      <c r="E12" s="106">
        <f>D12/MAX(1,IF(Dashboard!$C$4=YEAR(TODAY()),MONTH(TODAY()),12))</f>
        <v/>
      </c>
      <c r="F12" s="107">
        <f>IF(SUM($D$10:$D$14)=0,"-",D12/SUM($D$10:$D$14))</f>
        <v/>
      </c>
    </row>
    <row r="13" ht="15" customHeight="1" s="94">
      <c r="B13" s="105" t="inlineStr">
        <is>
          <t>Uang Kedai</t>
        </is>
      </c>
      <c r="C13" s="106">
        <f>SUMIFS(Transaksi!$F$16:$F$5015,Transaksi!$G$16:$G$5015,"Pendapatan",Transaksi!$B$16:$B$5015,"&gt;="&amp;DATE(Dashboard!$C$4,Dashboard!$D$4,1),Transaksi!$B$16:$B$5015,"&lt;="&amp;EOMONTH(DATE(Dashboard!$C$4,Dashboard!$D$4,1),0),Transaksi!$H$16:$H$5015,"Uang Kedai")</f>
        <v/>
      </c>
      <c r="D13" s="106">
        <f>SUMIFS(Transaksi!$F$16:$F$5015,Transaksi!$G$16:$G$5015,"Pendapatan",Transaksi!$B$16:$B$5015,"&gt;="&amp;DATE(Dashboard!$C$4,1,1),Transaksi!$B$16:$B$5015,"&lt;="&amp;DATE(Dashboard!$C$4,12,31),Transaksi!$H$16:$H$5015,"Uang Kedai")</f>
        <v/>
      </c>
      <c r="E13" s="106">
        <f>D13/MAX(1,IF(Dashboard!$C$4=YEAR(TODAY()),MONTH(TODAY()),12))</f>
        <v/>
      </c>
      <c r="F13" s="107">
        <f>IF(SUM($D$10:$D$14)=0,"-",D13/SUM($D$10:$D$14))</f>
        <v/>
      </c>
    </row>
    <row r="14" ht="15" customHeight="1" s="94">
      <c r="B14" s="105" t="inlineStr">
        <is>
          <t>Uang Disan</t>
        </is>
      </c>
      <c r="C14" s="106">
        <f>SUMIFS(Transaksi!$F$16:$F$5015,Transaksi!$G$16:$G$5015,"Pendapatan",Transaksi!$B$16:$B$5015,"&gt;="&amp;DATE(Dashboard!$C$4,Dashboard!$D$4,1),Transaksi!$B$16:$B$5015,"&lt;="&amp;EOMONTH(DATE(Dashboard!$C$4,Dashboard!$D$4,1),0),Transaksi!$H$16:$H$5015,"Uang Disan")</f>
        <v/>
      </c>
      <c r="D14" s="106">
        <f>SUMIFS(Transaksi!$F$16:$F$5015,Transaksi!$G$16:$G$5015,"Pendapatan",Transaksi!$B$16:$B$5015,"&gt;="&amp;DATE(Dashboard!$C$4,1,1),Transaksi!$B$16:$B$5015,"&lt;="&amp;DATE(Dashboard!$C$4,12,31),Transaksi!$H$16:$H$5015,"Uang Disan")</f>
        <v/>
      </c>
      <c r="E14" s="106">
        <f>D14/MAX(1,IF(Dashboard!$C$4=YEAR(TODAY()),MONTH(TODAY()),12))</f>
        <v/>
      </c>
      <c r="F14" s="107">
        <f>IF(SUM($D$10:$D$14)=0,"-",D14/SUM($D$10:$D$14))</f>
        <v/>
      </c>
    </row>
    <row r="15" ht="15" customHeight="1" s="94">
      <c r="B15" s="108" t="inlineStr">
        <is>
          <t>Total pendapatan</t>
        </is>
      </c>
      <c r="C15" s="109">
        <f>SUM(C10:C14)</f>
        <v/>
      </c>
      <c r="D15" s="109">
        <f>SUM(D10:D14)</f>
        <v/>
      </c>
      <c r="E15" s="109">
        <f>SUM(E10:E14)</f>
        <v/>
      </c>
    </row>
    <row r="16"/>
    <row r="17" ht="15" customHeight="1" s="94">
      <c r="B17" s="110" t="inlineStr">
        <is>
          <t>PENGELUARAN</t>
        </is>
      </c>
    </row>
    <row r="18" ht="15" customHeight="1" s="94">
      <c r="B18" s="105" t="inlineStr">
        <is>
          <t>Pengeluaran Gaji</t>
        </is>
      </c>
      <c r="C18" s="106">
        <f>SUMIFS(Transaksi!$F$16:$F$5015,Transaksi!$G$16:$G$5015,"Pengeluaran",Transaksi!$B$16:$B$5015,"&gt;="&amp;DATE(Dashboard!$C$4,Dashboard!$D$4,1),Transaksi!$B$16:$B$5015,"&lt;="&amp;EOMONTH(DATE(Dashboard!$C$4,Dashboard!$D$4,1),0),Transaksi!$H$16:$H$5015,"Pengeluaran Gaji")</f>
        <v/>
      </c>
      <c r="D18" s="106">
        <f>SUMIFS(Transaksi!$F$16:$F$5015,Transaksi!$G$16:$G$5015,"Pengeluaran",Transaksi!$B$16:$B$5015,"&gt;="&amp;DATE(Dashboard!$C$4,1,1),Transaksi!$B$16:$B$5015,"&lt;="&amp;DATE(Dashboard!$C$4,12,31),Transaksi!$H$16:$H$5015,"Pengeluaran Gaji")</f>
        <v/>
      </c>
      <c r="E18" s="106">
        <f>D18/MAX(1,IF(Dashboard!$C$4=YEAR(TODAY()),MONTH(TODAY()),12))</f>
        <v/>
      </c>
      <c r="F18" s="107">
        <f>IF(SUM($D$18:$D$22)=0,"-",D18/SUM($D$18:$D$22))</f>
        <v/>
      </c>
    </row>
    <row r="19" ht="15" customHeight="1" s="94">
      <c r="B19" s="105" t="inlineStr">
        <is>
          <t>Pengeluaran Jasa</t>
        </is>
      </c>
      <c r="C19" s="106">
        <f>SUMIFS(Transaksi!$F$16:$F$5015,Transaksi!$G$16:$G$5015,"Pengeluaran",Transaksi!$B$16:$B$5015,"&gt;="&amp;DATE(Dashboard!$C$4,Dashboard!$D$4,1),Transaksi!$B$16:$B$5015,"&lt;="&amp;EOMONTH(DATE(Dashboard!$C$4,Dashboard!$D$4,1),0),Transaksi!$H$16:$H$5015,"Pengeluaran Jasa")</f>
        <v/>
      </c>
      <c r="D19" s="106">
        <f>SUMIFS(Transaksi!$F$16:$F$5015,Transaksi!$G$16:$G$5015,"Pengeluaran",Transaksi!$B$16:$B$5015,"&gt;="&amp;DATE(Dashboard!$C$4,1,1),Transaksi!$B$16:$B$5015,"&lt;="&amp;DATE(Dashboard!$C$4,12,31),Transaksi!$H$16:$H$5015,"Pengeluaran Jasa")</f>
        <v/>
      </c>
      <c r="E19" s="106">
        <f>D19/MAX(1,IF(Dashboard!$C$4=YEAR(TODAY()),MONTH(TODAY()),12))</f>
        <v/>
      </c>
      <c r="F19" s="107">
        <f>IF(SUM($D$18:$D$22)=0,"-",D19/SUM($D$18:$D$22))</f>
        <v/>
      </c>
    </row>
    <row r="20" ht="15" customHeight="1" s="94">
      <c r="B20" s="105" t="inlineStr">
        <is>
          <t>Pengeluaran Uang Kos</t>
        </is>
      </c>
      <c r="C20" s="106">
        <f>SUMIFS(Transaksi!$F$16:$F$5015,Transaksi!$G$16:$G$5015,"Pengeluaran",Transaksi!$B$16:$B$5015,"&gt;="&amp;DATE(Dashboard!$C$4,Dashboard!$D$4,1),Transaksi!$B$16:$B$5015,"&lt;="&amp;EOMONTH(DATE(Dashboard!$C$4,Dashboard!$D$4,1),0),Transaksi!$H$16:$H$5015,"Pengeluaran Uang Kos")</f>
        <v/>
      </c>
      <c r="D20" s="106">
        <f>SUMIFS(Transaksi!$F$16:$F$5015,Transaksi!$G$16:$G$5015,"Pengeluaran",Transaksi!$B$16:$B$5015,"&gt;="&amp;DATE(Dashboard!$C$4,1,1),Transaksi!$B$16:$B$5015,"&lt;="&amp;DATE(Dashboard!$C$4,12,31),Transaksi!$H$16:$H$5015,"Pengeluaran Uang Kos")</f>
        <v/>
      </c>
      <c r="E20" s="106">
        <f>D20/MAX(1,IF(Dashboard!$C$4=YEAR(TODAY()),MONTH(TODAY()),12))</f>
        <v/>
      </c>
      <c r="F20" s="107">
        <f>IF(SUM($D$18:$D$22)=0,"-",D20/SUM($D$18:$D$22))</f>
        <v/>
      </c>
    </row>
    <row r="21" ht="15" customHeight="1" s="94">
      <c r="B21" s="105" t="inlineStr">
        <is>
          <t>Pengeluaran Uang Kedai</t>
        </is>
      </c>
      <c r="C21" s="106">
        <f>SUMIFS(Transaksi!$F$16:$F$5015,Transaksi!$G$16:$G$5015,"Pengeluaran",Transaksi!$B$16:$B$5015,"&gt;="&amp;DATE(Dashboard!$C$4,Dashboard!$D$4,1),Transaksi!$B$16:$B$5015,"&lt;="&amp;EOMONTH(DATE(Dashboard!$C$4,Dashboard!$D$4,1),0),Transaksi!$H$16:$H$5015,"Pengeluaran Uang Kedai")</f>
        <v/>
      </c>
      <c r="D21" s="106">
        <f>SUMIFS(Transaksi!$F$16:$F$5015,Transaksi!$G$16:$G$5015,"Pengeluaran",Transaksi!$B$16:$B$5015,"&gt;="&amp;DATE(Dashboard!$C$4,1,1),Transaksi!$B$16:$B$5015,"&lt;="&amp;DATE(Dashboard!$C$4,12,31),Transaksi!$H$16:$H$5015,"Pengeluaran Uang Kedai")</f>
        <v/>
      </c>
      <c r="E21" s="106">
        <f>D21/MAX(1,IF(Dashboard!$C$4=YEAR(TODAY()),MONTH(TODAY()),12))</f>
        <v/>
      </c>
      <c r="F21" s="107">
        <f>IF(SUM($D$18:$D$22)=0,"-",D21/SUM($D$18:$D$22))</f>
        <v/>
      </c>
    </row>
    <row r="22" ht="15" customHeight="1" s="94">
      <c r="B22" s="105" t="inlineStr">
        <is>
          <t>Pengeluaran Uang Disan</t>
        </is>
      </c>
      <c r="C22" s="106">
        <f>SUMIFS(Transaksi!$F$16:$F$5015,Transaksi!$G$16:$G$5015,"Pengeluaran",Transaksi!$B$16:$B$5015,"&gt;="&amp;DATE(Dashboard!$C$4,Dashboard!$D$4,1),Transaksi!$B$16:$B$5015,"&lt;="&amp;EOMONTH(DATE(Dashboard!$C$4,Dashboard!$D$4,1),0),Transaksi!$H$16:$H$5015,"Pengeluaran Uang Disan")</f>
        <v/>
      </c>
      <c r="D22" s="106">
        <f>SUMIFS(Transaksi!$F$16:$F$5015,Transaksi!$G$16:$G$5015,"Pengeluaran",Transaksi!$B$16:$B$5015,"&gt;="&amp;DATE(Dashboard!$C$4,1,1),Transaksi!$B$16:$B$5015,"&lt;="&amp;DATE(Dashboard!$C$4,12,31),Transaksi!$H$16:$H$5015,"Pengeluaran Uang Disan")</f>
        <v/>
      </c>
      <c r="E22" s="106">
        <f>D22/MAX(1,IF(Dashboard!$C$4=YEAR(TODAY()),MONTH(TODAY()),12))</f>
        <v/>
      </c>
      <c r="F22" s="107">
        <f>IF(SUM($D$18:$D$22)=0,"-",D22/SUM($D$18:$D$22))</f>
        <v/>
      </c>
    </row>
    <row r="23" ht="15" customHeight="1" s="94">
      <c r="B23" s="111" t="inlineStr">
        <is>
          <t>Tabungan bersih (disetor − dicairkan)</t>
        </is>
      </c>
      <c r="C23" s="106">
        <f>(SUMIFS(Transaksi!$F$16:$F$5015,Transaksi!$G$16:$G$5015,"Tabungan",Transaksi!$D$16:$D$5015,"Keluar",Transaksi!$H$16:$H$5015,"&lt;&gt;Reksadana uang kos mama",Transaksi!$B$16:$B$5015,"&gt;="&amp;DATE(Dashboard!$C$4,Dashboard!$D$4,1),Transaksi!$B$16:$B$5015,"&lt;="&amp;EOMONTH(DATE(Dashboard!$C$4,Dashboard!$D$4,1),0))-SUMIFS(Transaksi!$F$16:$F$5015,Transaksi!$G$16:$G$5015,"Tabungan",Transaksi!$D$16:$D$5015,"Masuk",Transaksi!$H$16:$H$5015,"&lt;&gt;Reksadana uang kos mama",Transaksi!$B$16:$B$5015,"&gt;="&amp;DATE(Dashboard!$C$4,Dashboard!$D$4,1),Transaksi!$B$16:$B$5015,"&lt;="&amp;EOMONTH(DATE(Dashboard!$C$4,Dashboard!$D$4,1),0)))</f>
        <v/>
      </c>
      <c r="D23" s="106">
        <f>(SUMIFS(Transaksi!$F$16:$F$5015,Transaksi!$G$16:$G$5015,"Tabungan",Transaksi!$D$16:$D$5015,"Keluar",Transaksi!$H$16:$H$5015,"&lt;&gt;Reksadana uang kos mama",Transaksi!$B$16:$B$5015,"&gt;="&amp;DATE(Dashboard!$C$4,1,1),Transaksi!$B$16:$B$5015,"&lt;="&amp;DATE(Dashboard!$C$4,12,31))-SUMIFS(Transaksi!$F$16:$F$5015,Transaksi!$G$16:$G$5015,"Tabungan",Transaksi!$D$16:$D$5015,"Masuk",Transaksi!$H$16:$H$5015,"&lt;&gt;Reksadana uang kos mama",Transaksi!$B$16:$B$5015,"&gt;="&amp;DATE(Dashboard!$C$4,1,1),Transaksi!$B$16:$B$5015,"&lt;="&amp;DATE(Dashboard!$C$4,12,31)))</f>
        <v/>
      </c>
      <c r="E23" s="106">
        <f>D23/MAX(1,IF(Dashboard!$C$4=YEAR(TODAY()),MONTH(TODAY()),12))</f>
        <v/>
      </c>
      <c r="F23" s="107">
        <f>IF(SUM($D$18:$D$23)=0,"-",D23/SUM($D$18:$D$23))</f>
        <v/>
      </c>
    </row>
    <row r="24" ht="15" customHeight="1" s="94">
      <c r="B24" s="108" t="inlineStr">
        <is>
          <t>Total pengeluaran</t>
        </is>
      </c>
      <c r="C24" s="109">
        <f>SUM(C18:C23)</f>
        <v/>
      </c>
      <c r="D24" s="109">
        <f>SUM(D18:D23)</f>
        <v/>
      </c>
      <c r="E24" s="109">
        <f>SUM(E18:E23)</f>
        <v/>
      </c>
    </row>
    <row r="25"/>
    <row r="26" ht="15" customHeight="1" s="94">
      <c r="B26" s="108" t="inlineStr">
        <is>
          <t>SELISIH (pendapatan − pengeluaran)</t>
        </is>
      </c>
      <c r="C26" s="112">
        <f>C15-C24</f>
        <v/>
      </c>
      <c r="D26" s="112">
        <f>D15-D24</f>
        <v/>
      </c>
      <c r="E26" s="112">
        <f>E15-E24</f>
        <v/>
      </c>
    </row>
    <row r="27"/>
    <row r="28" ht="15" customHeight="1" s="94">
      <c r="B28" s="101">
        <f>"B. PER BULAN — TAHUN "&amp;C4</f>
        <v/>
      </c>
      <c r="C28" s="102" t="n"/>
      <c r="D28" s="102" t="n"/>
      <c r="E28" s="102" t="n"/>
      <c r="F28" s="102" t="n"/>
      <c r="G28" s="102" t="n"/>
    </row>
    <row r="29" ht="36" customHeight="1" s="94">
      <c r="B29" s="103" t="inlineStr">
        <is>
          <t>Bulan</t>
        </is>
      </c>
      <c r="C29" s="103" t="inlineStr">
        <is>
          <t>Pendapatan</t>
        </is>
      </c>
      <c r="D29" s="103" t="inlineStr">
        <is>
          <t>Pengeluaran</t>
        </is>
      </c>
      <c r="E29" s="103" t="inlineStr">
        <is>
          <t>Ditabung (bersih)</t>
        </is>
      </c>
      <c r="F29" s="103" t="inlineStr">
        <is>
          <t>Selisih</t>
        </is>
      </c>
      <c r="G29" s="103" t="inlineStr">
        <is>
          <t>Uang mama bulan ini (masuk − keluar)</t>
        </is>
      </c>
      <c r="H29" s="103" t="inlineStr">
        <is>
          <t>Saldo semua akun (akhir bulan)</t>
        </is>
      </c>
    </row>
    <row r="30" ht="15" customHeight="1" s="94">
      <c r="B30" s="105" t="inlineStr">
        <is>
          <t>Januari</t>
        </is>
      </c>
      <c r="C30" s="106">
        <f>SUMIFS(Transaksi!$F$16:$F$5015,Transaksi!$G$16:$G$5015,"Pendapatan",Transaksi!$B$16:$B$5015,"&gt;="&amp;DATE(Dashboard!$C$4,1,1),Transaksi!$B$16:$B$5015,"&lt;="&amp;EOMONTH(DATE(Dashboard!$C$4,1,1),0))</f>
        <v/>
      </c>
      <c r="D30" s="106">
        <f>SUMIFS(Transaksi!$F$16:$F$5015,Transaksi!$G$16:$G$5015,"Pengeluaran",Transaksi!$B$16:$B$5015,"&gt;="&amp;DATE(Dashboard!$C$4,1,1),Transaksi!$B$16:$B$5015,"&lt;="&amp;EOMONTH(DATE(Dashboard!$C$4,1,1),0))</f>
        <v/>
      </c>
      <c r="E30" s="106">
        <f>(SUMIFS(Transaksi!$F$16:$F$5015,Transaksi!$G$16:$G$5015,"Tabungan",Transaksi!$D$16:$D$5015,"Keluar",Transaksi!$H$16:$H$5015,"&lt;&gt;Reksadana uang kos mama",Transaksi!$B$16:$B$5015,"&gt;="&amp;DATE(Dashboard!$C$4,1,1),Transaksi!$B$16:$B$5015,"&lt;="&amp;EOMONTH(DATE(Dashboard!$C$4,1,1),0))-SUMIFS(Transaksi!$F$16:$F$5015,Transaksi!$G$16:$G$5015,"Tabungan",Transaksi!$D$16:$D$5015,"Masuk",Transaksi!$H$16:$H$5015,"&lt;&gt;Reksadana uang kos mama",Transaksi!$B$16:$B$5015,"&gt;="&amp;DATE(Dashboard!$C$4,1,1),Transaksi!$B$16:$B$5015,"&lt;="&amp;EOMONTH(DATE(Dashboard!$C$4,1,1),0)))</f>
        <v/>
      </c>
      <c r="F30" s="113">
        <f>C30-D30-E30</f>
        <v/>
      </c>
      <c r="G30" s="106">
        <f>SUMIFS(Transaksi!$F$16:$F$5015,Transaksi!$G$16:$G$5015,"Pendapatan",Transaksi!$B$16:$B$5015,"&gt;="&amp;DATE(Dashboard!$C$4,1,1),Transaksi!$B$16:$B$5015,"&lt;="&amp;EOMONTH(DATE(Dashboard!$C$4,1,1),0),Transaksi!$H$16:$H$5015,"Uang Kos Mama")+SUMIFS(Transaksi!$F$16:$F$5015,Transaksi!$G$16:$G$5015,"Pendapatan",Transaksi!$B$16:$B$5015,"&gt;="&amp;DATE(Dashboard!$C$4,1,1),Transaksi!$B$16:$B$5015,"&lt;="&amp;EOMONTH(DATE(Dashboard!$C$4,1,1),0),Transaksi!$H$16:$H$5015,"Uang Kedai")-SUMIFS(Transaksi!$F$16:$F$5015,Transaksi!$G$16:$G$5015,"Pengeluaran",Transaksi!$B$16:$B$5015,"&gt;="&amp;DATE(Dashboard!$C$4,1,1),Transaksi!$B$16:$B$5015,"&lt;="&amp;EOMONTH(DATE(Dashboard!$C$4,1,1),0),Transaksi!$H$16:$H$5015,"Pengeluaran Uang Kos")-SUMIFS(Transaksi!$F$16:$F$5015,Transaksi!$G$16:$G$5015,"Pengeluaran",Transaksi!$B$16:$B$5015,"&gt;="&amp;DATE(Dashboard!$C$4,1,1),Transaksi!$B$16:$B$5015,"&lt;="&amp;EOMONTH(DATE(Dashboard!$C$4,1,1),0),Transaksi!$H$16:$H$5015,"Pengeluaran Uang Kedai")-(SUMIFS(Transaksi!$F$16:$F$5015,Transaksi!$G$16:$G$5015,"Tabungan",Transaksi!$D$16:$D$5015,"Keluar",Transaksi!$H$16:$H$5015,"Reksadana uang kos mama",Transaksi!$B$16:$B$5015,"&gt;="&amp;DATE(Dashboard!$C$4,1,1),Transaksi!$B$16:$B$5015,"&lt;="&amp;EOMONTH(DATE(Dashboard!$C$4,1,1),0))-SUMIFS(Transaksi!$F$16:$F$5015,Transaksi!$G$16:$G$5015,"Tabungan",Transaksi!$D$16:$D$5015,"Masuk",Transaksi!$H$16:$H$5015,"Reksadana uang kos mama",Transaksi!$B$16:$B$5015,"&gt;="&amp;DATE(Dashboard!$C$4,1,1),Transaksi!$B$16:$B$5015,"&lt;="&amp;EOMONTH(DATE(Dashboard!$C$4,1,1),0)))</f>
        <v/>
      </c>
      <c r="H30" s="106">
        <f>IF(DATE(Dashboard!$C$4,1,1)&gt;TODAY(),"",SUMPRODUCT((Akun!$A$5:$A$104&lt;&gt;"")*1,Akun!$C$5:$C$104,--(Akun!$D$5:$D$104&lt;=EOMONTH(DATE(Dashboard!$C$4,1,1),0)))+SUMIFS(Transaksi!$F$16:$F$5015,Transaksi!$D$16:$D$5015,"Masuk",Transaksi!$B$16:$B$5015,"&lt;="&amp;EOMONTH(DATE(Dashboard!$C$4,1,1),0))-SUMIFS(Transaksi!$F$16:$F$5015,Transaksi!$D$16:$D$5015,"Keluar",Transaksi!$B$16:$B$5015,"&lt;="&amp;EOMONTH(DATE(Dashboard!$C$4,1,1),0)))</f>
        <v/>
      </c>
    </row>
    <row r="31" ht="15" customHeight="1" s="94">
      <c r="B31" s="105" t="inlineStr">
        <is>
          <t>Februari</t>
        </is>
      </c>
      <c r="C31" s="106">
        <f>SUMIFS(Transaksi!$F$16:$F$5015,Transaksi!$G$16:$G$5015,"Pendapatan",Transaksi!$B$16:$B$5015,"&gt;="&amp;DATE(Dashboard!$C$4,2,1),Transaksi!$B$16:$B$5015,"&lt;="&amp;EOMONTH(DATE(Dashboard!$C$4,2,1),0))</f>
        <v/>
      </c>
      <c r="D31" s="106">
        <f>SUMIFS(Transaksi!$F$16:$F$5015,Transaksi!$G$16:$G$5015,"Pengeluaran",Transaksi!$B$16:$B$5015,"&gt;="&amp;DATE(Dashboard!$C$4,2,1),Transaksi!$B$16:$B$5015,"&lt;="&amp;EOMONTH(DATE(Dashboard!$C$4,2,1),0))</f>
        <v/>
      </c>
      <c r="E31" s="106">
        <f>(SUMIFS(Transaksi!$F$16:$F$5015,Transaksi!$G$16:$G$5015,"Tabungan",Transaksi!$D$16:$D$5015,"Keluar",Transaksi!$H$16:$H$5015,"&lt;&gt;Reksadana uang kos mama",Transaksi!$B$16:$B$5015,"&gt;="&amp;DATE(Dashboard!$C$4,2,1),Transaksi!$B$16:$B$5015,"&lt;="&amp;EOMONTH(DATE(Dashboard!$C$4,2,1),0))-SUMIFS(Transaksi!$F$16:$F$5015,Transaksi!$G$16:$G$5015,"Tabungan",Transaksi!$D$16:$D$5015,"Masuk",Transaksi!$H$16:$H$5015,"&lt;&gt;Reksadana uang kos mama",Transaksi!$B$16:$B$5015,"&gt;="&amp;DATE(Dashboard!$C$4,2,1),Transaksi!$B$16:$B$5015,"&lt;="&amp;EOMONTH(DATE(Dashboard!$C$4,2,1),0)))</f>
        <v/>
      </c>
      <c r="F31" s="113">
        <f>C31-D31-E31</f>
        <v/>
      </c>
      <c r="G31" s="106">
        <f>SUMIFS(Transaksi!$F$16:$F$5015,Transaksi!$G$16:$G$5015,"Pendapatan",Transaksi!$B$16:$B$5015,"&gt;="&amp;DATE(Dashboard!$C$4,2,1),Transaksi!$B$16:$B$5015,"&lt;="&amp;EOMONTH(DATE(Dashboard!$C$4,2,1),0),Transaksi!$H$16:$H$5015,"Uang Kos Mama")+SUMIFS(Transaksi!$F$16:$F$5015,Transaksi!$G$16:$G$5015,"Pendapatan",Transaksi!$B$16:$B$5015,"&gt;="&amp;DATE(Dashboard!$C$4,2,1),Transaksi!$B$16:$B$5015,"&lt;="&amp;EOMONTH(DATE(Dashboard!$C$4,2,1),0),Transaksi!$H$16:$H$5015,"Uang Kedai")-SUMIFS(Transaksi!$F$16:$F$5015,Transaksi!$G$16:$G$5015,"Pengeluaran",Transaksi!$B$16:$B$5015,"&gt;="&amp;DATE(Dashboard!$C$4,2,1),Transaksi!$B$16:$B$5015,"&lt;="&amp;EOMONTH(DATE(Dashboard!$C$4,2,1),0),Transaksi!$H$16:$H$5015,"Pengeluaran Uang Kos")-SUMIFS(Transaksi!$F$16:$F$5015,Transaksi!$G$16:$G$5015,"Pengeluaran",Transaksi!$B$16:$B$5015,"&gt;="&amp;DATE(Dashboard!$C$4,2,1),Transaksi!$B$16:$B$5015,"&lt;="&amp;EOMONTH(DATE(Dashboard!$C$4,2,1),0),Transaksi!$H$16:$H$5015,"Pengeluaran Uang Kedai")-(SUMIFS(Transaksi!$F$16:$F$5015,Transaksi!$G$16:$G$5015,"Tabungan",Transaksi!$D$16:$D$5015,"Keluar",Transaksi!$H$16:$H$5015,"Reksadana uang kos mama",Transaksi!$B$16:$B$5015,"&gt;="&amp;DATE(Dashboard!$C$4,2,1),Transaksi!$B$16:$B$5015,"&lt;="&amp;EOMONTH(DATE(Dashboard!$C$4,2,1),0))-SUMIFS(Transaksi!$F$16:$F$5015,Transaksi!$G$16:$G$5015,"Tabungan",Transaksi!$D$16:$D$5015,"Masuk",Transaksi!$H$16:$H$5015,"Reksadana uang kos mama",Transaksi!$B$16:$B$5015,"&gt;="&amp;DATE(Dashboard!$C$4,2,1),Transaksi!$B$16:$B$5015,"&lt;="&amp;EOMONTH(DATE(Dashboard!$C$4,2,1),0)))</f>
        <v/>
      </c>
      <c r="H31" s="106">
        <f>IF(DATE(Dashboard!$C$4,2,1)&gt;TODAY(),"",SUMPRODUCT((Akun!$A$5:$A$104&lt;&gt;"")*1,Akun!$C$5:$C$104,--(Akun!$D$5:$D$104&lt;=EOMONTH(DATE(Dashboard!$C$4,2,1),0)))+SUMIFS(Transaksi!$F$16:$F$5015,Transaksi!$D$16:$D$5015,"Masuk",Transaksi!$B$16:$B$5015,"&lt;="&amp;EOMONTH(DATE(Dashboard!$C$4,2,1),0))-SUMIFS(Transaksi!$F$16:$F$5015,Transaksi!$D$16:$D$5015,"Keluar",Transaksi!$B$16:$B$5015,"&lt;="&amp;EOMONTH(DATE(Dashboard!$C$4,2,1),0)))</f>
        <v/>
      </c>
    </row>
    <row r="32" ht="15" customHeight="1" s="94">
      <c r="B32" s="105" t="inlineStr">
        <is>
          <t>Maret</t>
        </is>
      </c>
      <c r="C32" s="106">
        <f>SUMIFS(Transaksi!$F$16:$F$5015,Transaksi!$G$16:$G$5015,"Pendapatan",Transaksi!$B$16:$B$5015,"&gt;="&amp;DATE(Dashboard!$C$4,3,1),Transaksi!$B$16:$B$5015,"&lt;="&amp;EOMONTH(DATE(Dashboard!$C$4,3,1),0))</f>
        <v/>
      </c>
      <c r="D32" s="106">
        <f>SUMIFS(Transaksi!$F$16:$F$5015,Transaksi!$G$16:$G$5015,"Pengeluaran",Transaksi!$B$16:$B$5015,"&gt;="&amp;DATE(Dashboard!$C$4,3,1),Transaksi!$B$16:$B$5015,"&lt;="&amp;EOMONTH(DATE(Dashboard!$C$4,3,1),0))</f>
        <v/>
      </c>
      <c r="E32" s="106">
        <f>(SUMIFS(Transaksi!$F$16:$F$5015,Transaksi!$G$16:$G$5015,"Tabungan",Transaksi!$D$16:$D$5015,"Keluar",Transaksi!$H$16:$H$5015,"&lt;&gt;Reksadana uang kos mama",Transaksi!$B$16:$B$5015,"&gt;="&amp;DATE(Dashboard!$C$4,3,1),Transaksi!$B$16:$B$5015,"&lt;="&amp;EOMONTH(DATE(Dashboard!$C$4,3,1),0))-SUMIFS(Transaksi!$F$16:$F$5015,Transaksi!$G$16:$G$5015,"Tabungan",Transaksi!$D$16:$D$5015,"Masuk",Transaksi!$H$16:$H$5015,"&lt;&gt;Reksadana uang kos mama",Transaksi!$B$16:$B$5015,"&gt;="&amp;DATE(Dashboard!$C$4,3,1),Transaksi!$B$16:$B$5015,"&lt;="&amp;EOMONTH(DATE(Dashboard!$C$4,3,1),0)))</f>
        <v/>
      </c>
      <c r="F32" s="113">
        <f>C32-D32-E32</f>
        <v/>
      </c>
      <c r="G32" s="106">
        <f>SUMIFS(Transaksi!$F$16:$F$5015,Transaksi!$G$16:$G$5015,"Pendapatan",Transaksi!$B$16:$B$5015,"&gt;="&amp;DATE(Dashboard!$C$4,3,1),Transaksi!$B$16:$B$5015,"&lt;="&amp;EOMONTH(DATE(Dashboard!$C$4,3,1),0),Transaksi!$H$16:$H$5015,"Uang Kos Mama")+SUMIFS(Transaksi!$F$16:$F$5015,Transaksi!$G$16:$G$5015,"Pendapatan",Transaksi!$B$16:$B$5015,"&gt;="&amp;DATE(Dashboard!$C$4,3,1),Transaksi!$B$16:$B$5015,"&lt;="&amp;EOMONTH(DATE(Dashboard!$C$4,3,1),0),Transaksi!$H$16:$H$5015,"Uang Kedai")-SUMIFS(Transaksi!$F$16:$F$5015,Transaksi!$G$16:$G$5015,"Pengeluaran",Transaksi!$B$16:$B$5015,"&gt;="&amp;DATE(Dashboard!$C$4,3,1),Transaksi!$B$16:$B$5015,"&lt;="&amp;EOMONTH(DATE(Dashboard!$C$4,3,1),0),Transaksi!$H$16:$H$5015,"Pengeluaran Uang Kos")-SUMIFS(Transaksi!$F$16:$F$5015,Transaksi!$G$16:$G$5015,"Pengeluaran",Transaksi!$B$16:$B$5015,"&gt;="&amp;DATE(Dashboard!$C$4,3,1),Transaksi!$B$16:$B$5015,"&lt;="&amp;EOMONTH(DATE(Dashboard!$C$4,3,1),0),Transaksi!$H$16:$H$5015,"Pengeluaran Uang Kedai")-(SUMIFS(Transaksi!$F$16:$F$5015,Transaksi!$G$16:$G$5015,"Tabungan",Transaksi!$D$16:$D$5015,"Keluar",Transaksi!$H$16:$H$5015,"Reksadana uang kos mama",Transaksi!$B$16:$B$5015,"&gt;="&amp;DATE(Dashboard!$C$4,3,1),Transaksi!$B$16:$B$5015,"&lt;="&amp;EOMONTH(DATE(Dashboard!$C$4,3,1),0))-SUMIFS(Transaksi!$F$16:$F$5015,Transaksi!$G$16:$G$5015,"Tabungan",Transaksi!$D$16:$D$5015,"Masuk",Transaksi!$H$16:$H$5015,"Reksadana uang kos mama",Transaksi!$B$16:$B$5015,"&gt;="&amp;DATE(Dashboard!$C$4,3,1),Transaksi!$B$16:$B$5015,"&lt;="&amp;EOMONTH(DATE(Dashboard!$C$4,3,1),0)))</f>
        <v/>
      </c>
      <c r="H32" s="106">
        <f>IF(DATE(Dashboard!$C$4,3,1)&gt;TODAY(),"",SUMPRODUCT((Akun!$A$5:$A$104&lt;&gt;"")*1,Akun!$C$5:$C$104,--(Akun!$D$5:$D$104&lt;=EOMONTH(DATE(Dashboard!$C$4,3,1),0)))+SUMIFS(Transaksi!$F$16:$F$5015,Transaksi!$D$16:$D$5015,"Masuk",Transaksi!$B$16:$B$5015,"&lt;="&amp;EOMONTH(DATE(Dashboard!$C$4,3,1),0))-SUMIFS(Transaksi!$F$16:$F$5015,Transaksi!$D$16:$D$5015,"Keluar",Transaksi!$B$16:$B$5015,"&lt;="&amp;EOMONTH(DATE(Dashboard!$C$4,3,1),0)))</f>
        <v/>
      </c>
    </row>
    <row r="33" ht="15" customHeight="1" s="94">
      <c r="B33" s="105" t="inlineStr">
        <is>
          <t>April</t>
        </is>
      </c>
      <c r="C33" s="106">
        <f>SUMIFS(Transaksi!$F$16:$F$5015,Transaksi!$G$16:$G$5015,"Pendapatan",Transaksi!$B$16:$B$5015,"&gt;="&amp;DATE(Dashboard!$C$4,4,1),Transaksi!$B$16:$B$5015,"&lt;="&amp;EOMONTH(DATE(Dashboard!$C$4,4,1),0))</f>
        <v/>
      </c>
      <c r="D33" s="106">
        <f>SUMIFS(Transaksi!$F$16:$F$5015,Transaksi!$G$16:$G$5015,"Pengeluaran",Transaksi!$B$16:$B$5015,"&gt;="&amp;DATE(Dashboard!$C$4,4,1),Transaksi!$B$16:$B$5015,"&lt;="&amp;EOMONTH(DATE(Dashboard!$C$4,4,1),0))</f>
        <v/>
      </c>
      <c r="E33" s="106">
        <f>(SUMIFS(Transaksi!$F$16:$F$5015,Transaksi!$G$16:$G$5015,"Tabungan",Transaksi!$D$16:$D$5015,"Keluar",Transaksi!$H$16:$H$5015,"&lt;&gt;Reksadana uang kos mama",Transaksi!$B$16:$B$5015,"&gt;="&amp;DATE(Dashboard!$C$4,4,1),Transaksi!$B$16:$B$5015,"&lt;="&amp;EOMONTH(DATE(Dashboard!$C$4,4,1),0))-SUMIFS(Transaksi!$F$16:$F$5015,Transaksi!$G$16:$G$5015,"Tabungan",Transaksi!$D$16:$D$5015,"Masuk",Transaksi!$H$16:$H$5015,"&lt;&gt;Reksadana uang kos mama",Transaksi!$B$16:$B$5015,"&gt;="&amp;DATE(Dashboard!$C$4,4,1),Transaksi!$B$16:$B$5015,"&lt;="&amp;EOMONTH(DATE(Dashboard!$C$4,4,1),0)))</f>
        <v/>
      </c>
      <c r="F33" s="113">
        <f>C33-D33-E33</f>
        <v/>
      </c>
      <c r="G33" s="106">
        <f>SUMIFS(Transaksi!$F$16:$F$5015,Transaksi!$G$16:$G$5015,"Pendapatan",Transaksi!$B$16:$B$5015,"&gt;="&amp;DATE(Dashboard!$C$4,4,1),Transaksi!$B$16:$B$5015,"&lt;="&amp;EOMONTH(DATE(Dashboard!$C$4,4,1),0),Transaksi!$H$16:$H$5015,"Uang Kos Mama")+SUMIFS(Transaksi!$F$16:$F$5015,Transaksi!$G$16:$G$5015,"Pendapatan",Transaksi!$B$16:$B$5015,"&gt;="&amp;DATE(Dashboard!$C$4,4,1),Transaksi!$B$16:$B$5015,"&lt;="&amp;EOMONTH(DATE(Dashboard!$C$4,4,1),0),Transaksi!$H$16:$H$5015,"Uang Kedai")-SUMIFS(Transaksi!$F$16:$F$5015,Transaksi!$G$16:$G$5015,"Pengeluaran",Transaksi!$B$16:$B$5015,"&gt;="&amp;DATE(Dashboard!$C$4,4,1),Transaksi!$B$16:$B$5015,"&lt;="&amp;EOMONTH(DATE(Dashboard!$C$4,4,1),0),Transaksi!$H$16:$H$5015,"Pengeluaran Uang Kos")-SUMIFS(Transaksi!$F$16:$F$5015,Transaksi!$G$16:$G$5015,"Pengeluaran",Transaksi!$B$16:$B$5015,"&gt;="&amp;DATE(Dashboard!$C$4,4,1),Transaksi!$B$16:$B$5015,"&lt;="&amp;EOMONTH(DATE(Dashboard!$C$4,4,1),0),Transaksi!$H$16:$H$5015,"Pengeluaran Uang Kedai")-(SUMIFS(Transaksi!$F$16:$F$5015,Transaksi!$G$16:$G$5015,"Tabungan",Transaksi!$D$16:$D$5015,"Keluar",Transaksi!$H$16:$H$5015,"Reksadana uang kos mama",Transaksi!$B$16:$B$5015,"&gt;="&amp;DATE(Dashboard!$C$4,4,1),Transaksi!$B$16:$B$5015,"&lt;="&amp;EOMONTH(DATE(Dashboard!$C$4,4,1),0))-SUMIFS(Transaksi!$F$16:$F$5015,Transaksi!$G$16:$G$5015,"Tabungan",Transaksi!$D$16:$D$5015,"Masuk",Transaksi!$H$16:$H$5015,"Reksadana uang kos mama",Transaksi!$B$16:$B$5015,"&gt;="&amp;DATE(Dashboard!$C$4,4,1),Transaksi!$B$16:$B$5015,"&lt;="&amp;EOMONTH(DATE(Dashboard!$C$4,4,1),0)))</f>
        <v/>
      </c>
      <c r="H33" s="106">
        <f>IF(DATE(Dashboard!$C$4,4,1)&gt;TODAY(),"",SUMPRODUCT((Akun!$A$5:$A$104&lt;&gt;"")*1,Akun!$C$5:$C$104,--(Akun!$D$5:$D$104&lt;=EOMONTH(DATE(Dashboard!$C$4,4,1),0)))+SUMIFS(Transaksi!$F$16:$F$5015,Transaksi!$D$16:$D$5015,"Masuk",Transaksi!$B$16:$B$5015,"&lt;="&amp;EOMONTH(DATE(Dashboard!$C$4,4,1),0))-SUMIFS(Transaksi!$F$16:$F$5015,Transaksi!$D$16:$D$5015,"Keluar",Transaksi!$B$16:$B$5015,"&lt;="&amp;EOMONTH(DATE(Dashboard!$C$4,4,1),0)))</f>
        <v/>
      </c>
    </row>
    <row r="34" ht="15" customHeight="1" s="94">
      <c r="B34" s="105" t="inlineStr">
        <is>
          <t>Mei</t>
        </is>
      </c>
      <c r="C34" s="106">
        <f>SUMIFS(Transaksi!$F$16:$F$5015,Transaksi!$G$16:$G$5015,"Pendapatan",Transaksi!$B$16:$B$5015,"&gt;="&amp;DATE(Dashboard!$C$4,5,1),Transaksi!$B$16:$B$5015,"&lt;="&amp;EOMONTH(DATE(Dashboard!$C$4,5,1),0))</f>
        <v/>
      </c>
      <c r="D34" s="106">
        <f>SUMIFS(Transaksi!$F$16:$F$5015,Transaksi!$G$16:$G$5015,"Pengeluaran",Transaksi!$B$16:$B$5015,"&gt;="&amp;DATE(Dashboard!$C$4,5,1),Transaksi!$B$16:$B$5015,"&lt;="&amp;EOMONTH(DATE(Dashboard!$C$4,5,1),0))</f>
        <v/>
      </c>
      <c r="E34" s="106">
        <f>(SUMIFS(Transaksi!$F$16:$F$5015,Transaksi!$G$16:$G$5015,"Tabungan",Transaksi!$D$16:$D$5015,"Keluar",Transaksi!$H$16:$H$5015,"&lt;&gt;Reksadana uang kos mama",Transaksi!$B$16:$B$5015,"&gt;="&amp;DATE(Dashboard!$C$4,5,1),Transaksi!$B$16:$B$5015,"&lt;="&amp;EOMONTH(DATE(Dashboard!$C$4,5,1),0))-SUMIFS(Transaksi!$F$16:$F$5015,Transaksi!$G$16:$G$5015,"Tabungan",Transaksi!$D$16:$D$5015,"Masuk",Transaksi!$H$16:$H$5015,"&lt;&gt;Reksadana uang kos mama",Transaksi!$B$16:$B$5015,"&gt;="&amp;DATE(Dashboard!$C$4,5,1),Transaksi!$B$16:$B$5015,"&lt;="&amp;EOMONTH(DATE(Dashboard!$C$4,5,1),0)))</f>
        <v/>
      </c>
      <c r="F34" s="113">
        <f>C34-D34-E34</f>
        <v/>
      </c>
      <c r="G34" s="106">
        <f>SUMIFS(Transaksi!$F$16:$F$5015,Transaksi!$G$16:$G$5015,"Pendapatan",Transaksi!$B$16:$B$5015,"&gt;="&amp;DATE(Dashboard!$C$4,5,1),Transaksi!$B$16:$B$5015,"&lt;="&amp;EOMONTH(DATE(Dashboard!$C$4,5,1),0),Transaksi!$H$16:$H$5015,"Uang Kos Mama")+SUMIFS(Transaksi!$F$16:$F$5015,Transaksi!$G$16:$G$5015,"Pendapatan",Transaksi!$B$16:$B$5015,"&gt;="&amp;DATE(Dashboard!$C$4,5,1),Transaksi!$B$16:$B$5015,"&lt;="&amp;EOMONTH(DATE(Dashboard!$C$4,5,1),0),Transaksi!$H$16:$H$5015,"Uang Kedai")-SUMIFS(Transaksi!$F$16:$F$5015,Transaksi!$G$16:$G$5015,"Pengeluaran",Transaksi!$B$16:$B$5015,"&gt;="&amp;DATE(Dashboard!$C$4,5,1),Transaksi!$B$16:$B$5015,"&lt;="&amp;EOMONTH(DATE(Dashboard!$C$4,5,1),0),Transaksi!$H$16:$H$5015,"Pengeluaran Uang Kos")-SUMIFS(Transaksi!$F$16:$F$5015,Transaksi!$G$16:$G$5015,"Pengeluaran",Transaksi!$B$16:$B$5015,"&gt;="&amp;DATE(Dashboard!$C$4,5,1),Transaksi!$B$16:$B$5015,"&lt;="&amp;EOMONTH(DATE(Dashboard!$C$4,5,1),0),Transaksi!$H$16:$H$5015,"Pengeluaran Uang Kedai")-(SUMIFS(Transaksi!$F$16:$F$5015,Transaksi!$G$16:$G$5015,"Tabungan",Transaksi!$D$16:$D$5015,"Keluar",Transaksi!$H$16:$H$5015,"Reksadana uang kos mama",Transaksi!$B$16:$B$5015,"&gt;="&amp;DATE(Dashboard!$C$4,5,1),Transaksi!$B$16:$B$5015,"&lt;="&amp;EOMONTH(DATE(Dashboard!$C$4,5,1),0))-SUMIFS(Transaksi!$F$16:$F$5015,Transaksi!$G$16:$G$5015,"Tabungan",Transaksi!$D$16:$D$5015,"Masuk",Transaksi!$H$16:$H$5015,"Reksadana uang kos mama",Transaksi!$B$16:$B$5015,"&gt;="&amp;DATE(Dashboard!$C$4,5,1),Transaksi!$B$16:$B$5015,"&lt;="&amp;EOMONTH(DATE(Dashboard!$C$4,5,1),0)))</f>
        <v/>
      </c>
      <c r="H34" s="106">
        <f>IF(DATE(Dashboard!$C$4,5,1)&gt;TODAY(),"",SUMPRODUCT((Akun!$A$5:$A$104&lt;&gt;"")*1,Akun!$C$5:$C$104,--(Akun!$D$5:$D$104&lt;=EOMONTH(DATE(Dashboard!$C$4,5,1),0)))+SUMIFS(Transaksi!$F$16:$F$5015,Transaksi!$D$16:$D$5015,"Masuk",Transaksi!$B$16:$B$5015,"&lt;="&amp;EOMONTH(DATE(Dashboard!$C$4,5,1),0))-SUMIFS(Transaksi!$F$16:$F$5015,Transaksi!$D$16:$D$5015,"Keluar",Transaksi!$B$16:$B$5015,"&lt;="&amp;EOMONTH(DATE(Dashboard!$C$4,5,1),0)))</f>
        <v/>
      </c>
    </row>
    <row r="35" ht="15" customHeight="1" s="94">
      <c r="B35" s="105" t="inlineStr">
        <is>
          <t>Juni</t>
        </is>
      </c>
      <c r="C35" s="106">
        <f>SUMIFS(Transaksi!$F$16:$F$5015,Transaksi!$G$16:$G$5015,"Pendapatan",Transaksi!$B$16:$B$5015,"&gt;="&amp;DATE(Dashboard!$C$4,6,1),Transaksi!$B$16:$B$5015,"&lt;="&amp;EOMONTH(DATE(Dashboard!$C$4,6,1),0))</f>
        <v/>
      </c>
      <c r="D35" s="106">
        <f>SUMIFS(Transaksi!$F$16:$F$5015,Transaksi!$G$16:$G$5015,"Pengeluaran",Transaksi!$B$16:$B$5015,"&gt;="&amp;DATE(Dashboard!$C$4,6,1),Transaksi!$B$16:$B$5015,"&lt;="&amp;EOMONTH(DATE(Dashboard!$C$4,6,1),0))</f>
        <v/>
      </c>
      <c r="E35" s="106">
        <f>(SUMIFS(Transaksi!$F$16:$F$5015,Transaksi!$G$16:$G$5015,"Tabungan",Transaksi!$D$16:$D$5015,"Keluar",Transaksi!$H$16:$H$5015,"&lt;&gt;Reksadana uang kos mama",Transaksi!$B$16:$B$5015,"&gt;="&amp;DATE(Dashboard!$C$4,6,1),Transaksi!$B$16:$B$5015,"&lt;="&amp;EOMONTH(DATE(Dashboard!$C$4,6,1),0))-SUMIFS(Transaksi!$F$16:$F$5015,Transaksi!$G$16:$G$5015,"Tabungan",Transaksi!$D$16:$D$5015,"Masuk",Transaksi!$H$16:$H$5015,"&lt;&gt;Reksadana uang kos mama",Transaksi!$B$16:$B$5015,"&gt;="&amp;DATE(Dashboard!$C$4,6,1),Transaksi!$B$16:$B$5015,"&lt;="&amp;EOMONTH(DATE(Dashboard!$C$4,6,1),0)))</f>
        <v/>
      </c>
      <c r="F35" s="113">
        <f>C35-D35-E35</f>
        <v/>
      </c>
      <c r="G35" s="106">
        <f>SUMIFS(Transaksi!$F$16:$F$5015,Transaksi!$G$16:$G$5015,"Pendapatan",Transaksi!$B$16:$B$5015,"&gt;="&amp;DATE(Dashboard!$C$4,6,1),Transaksi!$B$16:$B$5015,"&lt;="&amp;EOMONTH(DATE(Dashboard!$C$4,6,1),0),Transaksi!$H$16:$H$5015,"Uang Kos Mama")+SUMIFS(Transaksi!$F$16:$F$5015,Transaksi!$G$16:$G$5015,"Pendapatan",Transaksi!$B$16:$B$5015,"&gt;="&amp;DATE(Dashboard!$C$4,6,1),Transaksi!$B$16:$B$5015,"&lt;="&amp;EOMONTH(DATE(Dashboard!$C$4,6,1),0),Transaksi!$H$16:$H$5015,"Uang Kedai")-SUMIFS(Transaksi!$F$16:$F$5015,Transaksi!$G$16:$G$5015,"Pengeluaran",Transaksi!$B$16:$B$5015,"&gt;="&amp;DATE(Dashboard!$C$4,6,1),Transaksi!$B$16:$B$5015,"&lt;="&amp;EOMONTH(DATE(Dashboard!$C$4,6,1),0),Transaksi!$H$16:$H$5015,"Pengeluaran Uang Kos")-SUMIFS(Transaksi!$F$16:$F$5015,Transaksi!$G$16:$G$5015,"Pengeluaran",Transaksi!$B$16:$B$5015,"&gt;="&amp;DATE(Dashboard!$C$4,6,1),Transaksi!$B$16:$B$5015,"&lt;="&amp;EOMONTH(DATE(Dashboard!$C$4,6,1),0),Transaksi!$H$16:$H$5015,"Pengeluaran Uang Kedai")-(SUMIFS(Transaksi!$F$16:$F$5015,Transaksi!$G$16:$G$5015,"Tabungan",Transaksi!$D$16:$D$5015,"Keluar",Transaksi!$H$16:$H$5015,"Reksadana uang kos mama",Transaksi!$B$16:$B$5015,"&gt;="&amp;DATE(Dashboard!$C$4,6,1),Transaksi!$B$16:$B$5015,"&lt;="&amp;EOMONTH(DATE(Dashboard!$C$4,6,1),0))-SUMIFS(Transaksi!$F$16:$F$5015,Transaksi!$G$16:$G$5015,"Tabungan",Transaksi!$D$16:$D$5015,"Masuk",Transaksi!$H$16:$H$5015,"Reksadana uang kos mama",Transaksi!$B$16:$B$5015,"&gt;="&amp;DATE(Dashboard!$C$4,6,1),Transaksi!$B$16:$B$5015,"&lt;="&amp;EOMONTH(DATE(Dashboard!$C$4,6,1),0)))</f>
        <v/>
      </c>
      <c r="H35" s="106">
        <f>IF(DATE(Dashboard!$C$4,6,1)&gt;TODAY(),"",SUMPRODUCT((Akun!$A$5:$A$104&lt;&gt;"")*1,Akun!$C$5:$C$104,--(Akun!$D$5:$D$104&lt;=EOMONTH(DATE(Dashboard!$C$4,6,1),0)))+SUMIFS(Transaksi!$F$16:$F$5015,Transaksi!$D$16:$D$5015,"Masuk",Transaksi!$B$16:$B$5015,"&lt;="&amp;EOMONTH(DATE(Dashboard!$C$4,6,1),0))-SUMIFS(Transaksi!$F$16:$F$5015,Transaksi!$D$16:$D$5015,"Keluar",Transaksi!$B$16:$B$5015,"&lt;="&amp;EOMONTH(DATE(Dashboard!$C$4,6,1),0)))</f>
        <v/>
      </c>
    </row>
    <row r="36" ht="15" customHeight="1" s="94">
      <c r="B36" s="105" t="inlineStr">
        <is>
          <t>Juli</t>
        </is>
      </c>
      <c r="C36" s="106">
        <f>SUMIFS(Transaksi!$F$16:$F$5015,Transaksi!$G$16:$G$5015,"Pendapatan",Transaksi!$B$16:$B$5015,"&gt;="&amp;DATE(Dashboard!$C$4,7,1),Transaksi!$B$16:$B$5015,"&lt;="&amp;EOMONTH(DATE(Dashboard!$C$4,7,1),0))</f>
        <v/>
      </c>
      <c r="D36" s="106">
        <f>SUMIFS(Transaksi!$F$16:$F$5015,Transaksi!$G$16:$G$5015,"Pengeluaran",Transaksi!$B$16:$B$5015,"&gt;="&amp;DATE(Dashboard!$C$4,7,1),Transaksi!$B$16:$B$5015,"&lt;="&amp;EOMONTH(DATE(Dashboard!$C$4,7,1),0))</f>
        <v/>
      </c>
      <c r="E36" s="106">
        <f>(SUMIFS(Transaksi!$F$16:$F$5015,Transaksi!$G$16:$G$5015,"Tabungan",Transaksi!$D$16:$D$5015,"Keluar",Transaksi!$H$16:$H$5015,"&lt;&gt;Reksadana uang kos mama",Transaksi!$B$16:$B$5015,"&gt;="&amp;DATE(Dashboard!$C$4,7,1),Transaksi!$B$16:$B$5015,"&lt;="&amp;EOMONTH(DATE(Dashboard!$C$4,7,1),0))-SUMIFS(Transaksi!$F$16:$F$5015,Transaksi!$G$16:$G$5015,"Tabungan",Transaksi!$D$16:$D$5015,"Masuk",Transaksi!$H$16:$H$5015,"&lt;&gt;Reksadana uang kos mama",Transaksi!$B$16:$B$5015,"&gt;="&amp;DATE(Dashboard!$C$4,7,1),Transaksi!$B$16:$B$5015,"&lt;="&amp;EOMONTH(DATE(Dashboard!$C$4,7,1),0)))</f>
        <v/>
      </c>
      <c r="F36" s="113">
        <f>C36-D36-E36</f>
        <v/>
      </c>
      <c r="G36" s="106">
        <f>SUMIFS(Transaksi!$F$16:$F$5015,Transaksi!$G$16:$G$5015,"Pendapatan",Transaksi!$B$16:$B$5015,"&gt;="&amp;DATE(Dashboard!$C$4,7,1),Transaksi!$B$16:$B$5015,"&lt;="&amp;EOMONTH(DATE(Dashboard!$C$4,7,1),0),Transaksi!$H$16:$H$5015,"Uang Kos Mama")+SUMIFS(Transaksi!$F$16:$F$5015,Transaksi!$G$16:$G$5015,"Pendapatan",Transaksi!$B$16:$B$5015,"&gt;="&amp;DATE(Dashboard!$C$4,7,1),Transaksi!$B$16:$B$5015,"&lt;="&amp;EOMONTH(DATE(Dashboard!$C$4,7,1),0),Transaksi!$H$16:$H$5015,"Uang Kedai")-SUMIFS(Transaksi!$F$16:$F$5015,Transaksi!$G$16:$G$5015,"Pengeluaran",Transaksi!$B$16:$B$5015,"&gt;="&amp;DATE(Dashboard!$C$4,7,1),Transaksi!$B$16:$B$5015,"&lt;="&amp;EOMONTH(DATE(Dashboard!$C$4,7,1),0),Transaksi!$H$16:$H$5015,"Pengeluaran Uang Kos")-SUMIFS(Transaksi!$F$16:$F$5015,Transaksi!$G$16:$G$5015,"Pengeluaran",Transaksi!$B$16:$B$5015,"&gt;="&amp;DATE(Dashboard!$C$4,7,1),Transaksi!$B$16:$B$5015,"&lt;="&amp;EOMONTH(DATE(Dashboard!$C$4,7,1),0),Transaksi!$H$16:$H$5015,"Pengeluaran Uang Kedai")-(SUMIFS(Transaksi!$F$16:$F$5015,Transaksi!$G$16:$G$5015,"Tabungan",Transaksi!$D$16:$D$5015,"Keluar",Transaksi!$H$16:$H$5015,"Reksadana uang kos mama",Transaksi!$B$16:$B$5015,"&gt;="&amp;DATE(Dashboard!$C$4,7,1),Transaksi!$B$16:$B$5015,"&lt;="&amp;EOMONTH(DATE(Dashboard!$C$4,7,1),0))-SUMIFS(Transaksi!$F$16:$F$5015,Transaksi!$G$16:$G$5015,"Tabungan",Transaksi!$D$16:$D$5015,"Masuk",Transaksi!$H$16:$H$5015,"Reksadana uang kos mama",Transaksi!$B$16:$B$5015,"&gt;="&amp;DATE(Dashboard!$C$4,7,1),Transaksi!$B$16:$B$5015,"&lt;="&amp;EOMONTH(DATE(Dashboard!$C$4,7,1),0)))</f>
        <v/>
      </c>
      <c r="H36" s="106">
        <f>IF(DATE(Dashboard!$C$4,7,1)&gt;TODAY(),"",SUMPRODUCT((Akun!$A$5:$A$104&lt;&gt;"")*1,Akun!$C$5:$C$104,--(Akun!$D$5:$D$104&lt;=EOMONTH(DATE(Dashboard!$C$4,7,1),0)))+SUMIFS(Transaksi!$F$16:$F$5015,Transaksi!$D$16:$D$5015,"Masuk",Transaksi!$B$16:$B$5015,"&lt;="&amp;EOMONTH(DATE(Dashboard!$C$4,7,1),0))-SUMIFS(Transaksi!$F$16:$F$5015,Transaksi!$D$16:$D$5015,"Keluar",Transaksi!$B$16:$B$5015,"&lt;="&amp;EOMONTH(DATE(Dashboard!$C$4,7,1),0)))</f>
        <v/>
      </c>
    </row>
    <row r="37" ht="15" customHeight="1" s="94">
      <c r="B37" s="105" t="inlineStr">
        <is>
          <t>Agustus</t>
        </is>
      </c>
      <c r="C37" s="106">
        <f>SUMIFS(Transaksi!$F$16:$F$5015,Transaksi!$G$16:$G$5015,"Pendapatan",Transaksi!$B$16:$B$5015,"&gt;="&amp;DATE(Dashboard!$C$4,8,1),Transaksi!$B$16:$B$5015,"&lt;="&amp;EOMONTH(DATE(Dashboard!$C$4,8,1),0))</f>
        <v/>
      </c>
      <c r="D37" s="106">
        <f>SUMIFS(Transaksi!$F$16:$F$5015,Transaksi!$G$16:$G$5015,"Pengeluaran",Transaksi!$B$16:$B$5015,"&gt;="&amp;DATE(Dashboard!$C$4,8,1),Transaksi!$B$16:$B$5015,"&lt;="&amp;EOMONTH(DATE(Dashboard!$C$4,8,1),0))</f>
        <v/>
      </c>
      <c r="E37" s="106">
        <f>(SUMIFS(Transaksi!$F$16:$F$5015,Transaksi!$G$16:$G$5015,"Tabungan",Transaksi!$D$16:$D$5015,"Keluar",Transaksi!$H$16:$H$5015,"&lt;&gt;Reksadana uang kos mama",Transaksi!$B$16:$B$5015,"&gt;="&amp;DATE(Dashboard!$C$4,8,1),Transaksi!$B$16:$B$5015,"&lt;="&amp;EOMONTH(DATE(Dashboard!$C$4,8,1),0))-SUMIFS(Transaksi!$F$16:$F$5015,Transaksi!$G$16:$G$5015,"Tabungan",Transaksi!$D$16:$D$5015,"Masuk",Transaksi!$H$16:$H$5015,"&lt;&gt;Reksadana uang kos mama",Transaksi!$B$16:$B$5015,"&gt;="&amp;DATE(Dashboard!$C$4,8,1),Transaksi!$B$16:$B$5015,"&lt;="&amp;EOMONTH(DATE(Dashboard!$C$4,8,1),0)))</f>
        <v/>
      </c>
      <c r="F37" s="113">
        <f>C37-D37-E37</f>
        <v/>
      </c>
      <c r="G37" s="106">
        <f>SUMIFS(Transaksi!$F$16:$F$5015,Transaksi!$G$16:$G$5015,"Pendapatan",Transaksi!$B$16:$B$5015,"&gt;="&amp;DATE(Dashboard!$C$4,8,1),Transaksi!$B$16:$B$5015,"&lt;="&amp;EOMONTH(DATE(Dashboard!$C$4,8,1),0),Transaksi!$H$16:$H$5015,"Uang Kos Mama")+SUMIFS(Transaksi!$F$16:$F$5015,Transaksi!$G$16:$G$5015,"Pendapatan",Transaksi!$B$16:$B$5015,"&gt;="&amp;DATE(Dashboard!$C$4,8,1),Transaksi!$B$16:$B$5015,"&lt;="&amp;EOMONTH(DATE(Dashboard!$C$4,8,1),0),Transaksi!$H$16:$H$5015,"Uang Kedai")-SUMIFS(Transaksi!$F$16:$F$5015,Transaksi!$G$16:$G$5015,"Pengeluaran",Transaksi!$B$16:$B$5015,"&gt;="&amp;DATE(Dashboard!$C$4,8,1),Transaksi!$B$16:$B$5015,"&lt;="&amp;EOMONTH(DATE(Dashboard!$C$4,8,1),0),Transaksi!$H$16:$H$5015,"Pengeluaran Uang Kos")-SUMIFS(Transaksi!$F$16:$F$5015,Transaksi!$G$16:$G$5015,"Pengeluaran",Transaksi!$B$16:$B$5015,"&gt;="&amp;DATE(Dashboard!$C$4,8,1),Transaksi!$B$16:$B$5015,"&lt;="&amp;EOMONTH(DATE(Dashboard!$C$4,8,1),0),Transaksi!$H$16:$H$5015,"Pengeluaran Uang Kedai")-(SUMIFS(Transaksi!$F$16:$F$5015,Transaksi!$G$16:$G$5015,"Tabungan",Transaksi!$D$16:$D$5015,"Keluar",Transaksi!$H$16:$H$5015,"Reksadana uang kos mama",Transaksi!$B$16:$B$5015,"&gt;="&amp;DATE(Dashboard!$C$4,8,1),Transaksi!$B$16:$B$5015,"&lt;="&amp;EOMONTH(DATE(Dashboard!$C$4,8,1),0))-SUMIFS(Transaksi!$F$16:$F$5015,Transaksi!$G$16:$G$5015,"Tabungan",Transaksi!$D$16:$D$5015,"Masuk",Transaksi!$H$16:$H$5015,"Reksadana uang kos mama",Transaksi!$B$16:$B$5015,"&gt;="&amp;DATE(Dashboard!$C$4,8,1),Transaksi!$B$16:$B$5015,"&lt;="&amp;EOMONTH(DATE(Dashboard!$C$4,8,1),0)))</f>
        <v/>
      </c>
      <c r="H37" s="106">
        <f>IF(DATE(Dashboard!$C$4,8,1)&gt;TODAY(),"",SUMPRODUCT((Akun!$A$5:$A$104&lt;&gt;"")*1,Akun!$C$5:$C$104,--(Akun!$D$5:$D$104&lt;=EOMONTH(DATE(Dashboard!$C$4,8,1),0)))+SUMIFS(Transaksi!$F$16:$F$5015,Transaksi!$D$16:$D$5015,"Masuk",Transaksi!$B$16:$B$5015,"&lt;="&amp;EOMONTH(DATE(Dashboard!$C$4,8,1),0))-SUMIFS(Transaksi!$F$16:$F$5015,Transaksi!$D$16:$D$5015,"Keluar",Transaksi!$B$16:$B$5015,"&lt;="&amp;EOMONTH(DATE(Dashboard!$C$4,8,1),0)))</f>
        <v/>
      </c>
    </row>
    <row r="38" ht="15" customHeight="1" s="94">
      <c r="B38" s="105" t="inlineStr">
        <is>
          <t>September</t>
        </is>
      </c>
      <c r="C38" s="106">
        <f>SUMIFS(Transaksi!$F$16:$F$5015,Transaksi!$G$16:$G$5015,"Pendapatan",Transaksi!$B$16:$B$5015,"&gt;="&amp;DATE(Dashboard!$C$4,9,1),Transaksi!$B$16:$B$5015,"&lt;="&amp;EOMONTH(DATE(Dashboard!$C$4,9,1),0))</f>
        <v/>
      </c>
      <c r="D38" s="106">
        <f>SUMIFS(Transaksi!$F$16:$F$5015,Transaksi!$G$16:$G$5015,"Pengeluaran",Transaksi!$B$16:$B$5015,"&gt;="&amp;DATE(Dashboard!$C$4,9,1),Transaksi!$B$16:$B$5015,"&lt;="&amp;EOMONTH(DATE(Dashboard!$C$4,9,1),0))</f>
        <v/>
      </c>
      <c r="E38" s="106">
        <f>(SUMIFS(Transaksi!$F$16:$F$5015,Transaksi!$G$16:$G$5015,"Tabungan",Transaksi!$D$16:$D$5015,"Keluar",Transaksi!$H$16:$H$5015,"&lt;&gt;Reksadana uang kos mama",Transaksi!$B$16:$B$5015,"&gt;="&amp;DATE(Dashboard!$C$4,9,1),Transaksi!$B$16:$B$5015,"&lt;="&amp;EOMONTH(DATE(Dashboard!$C$4,9,1),0))-SUMIFS(Transaksi!$F$16:$F$5015,Transaksi!$G$16:$G$5015,"Tabungan",Transaksi!$D$16:$D$5015,"Masuk",Transaksi!$H$16:$H$5015,"&lt;&gt;Reksadana uang kos mama",Transaksi!$B$16:$B$5015,"&gt;="&amp;DATE(Dashboard!$C$4,9,1),Transaksi!$B$16:$B$5015,"&lt;="&amp;EOMONTH(DATE(Dashboard!$C$4,9,1),0)))</f>
        <v/>
      </c>
      <c r="F38" s="113">
        <f>C38-D38-E38</f>
        <v/>
      </c>
      <c r="G38" s="106">
        <f>SUMIFS(Transaksi!$F$16:$F$5015,Transaksi!$G$16:$G$5015,"Pendapatan",Transaksi!$B$16:$B$5015,"&gt;="&amp;DATE(Dashboard!$C$4,9,1),Transaksi!$B$16:$B$5015,"&lt;="&amp;EOMONTH(DATE(Dashboard!$C$4,9,1),0),Transaksi!$H$16:$H$5015,"Uang Kos Mama")+SUMIFS(Transaksi!$F$16:$F$5015,Transaksi!$G$16:$G$5015,"Pendapatan",Transaksi!$B$16:$B$5015,"&gt;="&amp;DATE(Dashboard!$C$4,9,1),Transaksi!$B$16:$B$5015,"&lt;="&amp;EOMONTH(DATE(Dashboard!$C$4,9,1),0),Transaksi!$H$16:$H$5015,"Uang Kedai")-SUMIFS(Transaksi!$F$16:$F$5015,Transaksi!$G$16:$G$5015,"Pengeluaran",Transaksi!$B$16:$B$5015,"&gt;="&amp;DATE(Dashboard!$C$4,9,1),Transaksi!$B$16:$B$5015,"&lt;="&amp;EOMONTH(DATE(Dashboard!$C$4,9,1),0),Transaksi!$H$16:$H$5015,"Pengeluaran Uang Kos")-SUMIFS(Transaksi!$F$16:$F$5015,Transaksi!$G$16:$G$5015,"Pengeluaran",Transaksi!$B$16:$B$5015,"&gt;="&amp;DATE(Dashboard!$C$4,9,1),Transaksi!$B$16:$B$5015,"&lt;="&amp;EOMONTH(DATE(Dashboard!$C$4,9,1),0),Transaksi!$H$16:$H$5015,"Pengeluaran Uang Kedai")-(SUMIFS(Transaksi!$F$16:$F$5015,Transaksi!$G$16:$G$5015,"Tabungan",Transaksi!$D$16:$D$5015,"Keluar",Transaksi!$H$16:$H$5015,"Reksadana uang kos mama",Transaksi!$B$16:$B$5015,"&gt;="&amp;DATE(Dashboard!$C$4,9,1),Transaksi!$B$16:$B$5015,"&lt;="&amp;EOMONTH(DATE(Dashboard!$C$4,9,1),0))-SUMIFS(Transaksi!$F$16:$F$5015,Transaksi!$G$16:$G$5015,"Tabungan",Transaksi!$D$16:$D$5015,"Masuk",Transaksi!$H$16:$H$5015,"Reksadana uang kos mama",Transaksi!$B$16:$B$5015,"&gt;="&amp;DATE(Dashboard!$C$4,9,1),Transaksi!$B$16:$B$5015,"&lt;="&amp;EOMONTH(DATE(Dashboard!$C$4,9,1),0)))</f>
        <v/>
      </c>
      <c r="H38" s="106">
        <f>IF(DATE(Dashboard!$C$4,9,1)&gt;TODAY(),"",SUMPRODUCT((Akun!$A$5:$A$104&lt;&gt;"")*1,Akun!$C$5:$C$104,--(Akun!$D$5:$D$104&lt;=EOMONTH(DATE(Dashboard!$C$4,9,1),0)))+SUMIFS(Transaksi!$F$16:$F$5015,Transaksi!$D$16:$D$5015,"Masuk",Transaksi!$B$16:$B$5015,"&lt;="&amp;EOMONTH(DATE(Dashboard!$C$4,9,1),0))-SUMIFS(Transaksi!$F$16:$F$5015,Transaksi!$D$16:$D$5015,"Keluar",Transaksi!$B$16:$B$5015,"&lt;="&amp;EOMONTH(DATE(Dashboard!$C$4,9,1),0)))</f>
        <v/>
      </c>
    </row>
    <row r="39" ht="15" customHeight="1" s="94">
      <c r="B39" s="105" t="inlineStr">
        <is>
          <t>Oktober</t>
        </is>
      </c>
      <c r="C39" s="106">
        <f>SUMIFS(Transaksi!$F$16:$F$5015,Transaksi!$G$16:$G$5015,"Pendapatan",Transaksi!$B$16:$B$5015,"&gt;="&amp;DATE(Dashboard!$C$4,10,1),Transaksi!$B$16:$B$5015,"&lt;="&amp;EOMONTH(DATE(Dashboard!$C$4,10,1),0))</f>
        <v/>
      </c>
      <c r="D39" s="106">
        <f>SUMIFS(Transaksi!$F$16:$F$5015,Transaksi!$G$16:$G$5015,"Pengeluaran",Transaksi!$B$16:$B$5015,"&gt;="&amp;DATE(Dashboard!$C$4,10,1),Transaksi!$B$16:$B$5015,"&lt;="&amp;EOMONTH(DATE(Dashboard!$C$4,10,1),0))</f>
        <v/>
      </c>
      <c r="E39" s="106">
        <f>(SUMIFS(Transaksi!$F$16:$F$5015,Transaksi!$G$16:$G$5015,"Tabungan",Transaksi!$D$16:$D$5015,"Keluar",Transaksi!$H$16:$H$5015,"&lt;&gt;Reksadana uang kos mama",Transaksi!$B$16:$B$5015,"&gt;="&amp;DATE(Dashboard!$C$4,10,1),Transaksi!$B$16:$B$5015,"&lt;="&amp;EOMONTH(DATE(Dashboard!$C$4,10,1),0))-SUMIFS(Transaksi!$F$16:$F$5015,Transaksi!$G$16:$G$5015,"Tabungan",Transaksi!$D$16:$D$5015,"Masuk",Transaksi!$H$16:$H$5015,"&lt;&gt;Reksadana uang kos mama",Transaksi!$B$16:$B$5015,"&gt;="&amp;DATE(Dashboard!$C$4,10,1),Transaksi!$B$16:$B$5015,"&lt;="&amp;EOMONTH(DATE(Dashboard!$C$4,10,1),0)))</f>
        <v/>
      </c>
      <c r="F39" s="113">
        <f>C39-D39-E39</f>
        <v/>
      </c>
      <c r="G39" s="106">
        <f>SUMIFS(Transaksi!$F$16:$F$5015,Transaksi!$G$16:$G$5015,"Pendapatan",Transaksi!$B$16:$B$5015,"&gt;="&amp;DATE(Dashboard!$C$4,10,1),Transaksi!$B$16:$B$5015,"&lt;="&amp;EOMONTH(DATE(Dashboard!$C$4,10,1),0),Transaksi!$H$16:$H$5015,"Uang Kos Mama")+SUMIFS(Transaksi!$F$16:$F$5015,Transaksi!$G$16:$G$5015,"Pendapatan",Transaksi!$B$16:$B$5015,"&gt;="&amp;DATE(Dashboard!$C$4,10,1),Transaksi!$B$16:$B$5015,"&lt;="&amp;EOMONTH(DATE(Dashboard!$C$4,10,1),0),Transaksi!$H$16:$H$5015,"Uang Kedai")-SUMIFS(Transaksi!$F$16:$F$5015,Transaksi!$G$16:$G$5015,"Pengeluaran",Transaksi!$B$16:$B$5015,"&gt;="&amp;DATE(Dashboard!$C$4,10,1),Transaksi!$B$16:$B$5015,"&lt;="&amp;EOMONTH(DATE(Dashboard!$C$4,10,1),0),Transaksi!$H$16:$H$5015,"Pengeluaran Uang Kos")-SUMIFS(Transaksi!$F$16:$F$5015,Transaksi!$G$16:$G$5015,"Pengeluaran",Transaksi!$B$16:$B$5015,"&gt;="&amp;DATE(Dashboard!$C$4,10,1),Transaksi!$B$16:$B$5015,"&lt;="&amp;EOMONTH(DATE(Dashboard!$C$4,10,1),0),Transaksi!$H$16:$H$5015,"Pengeluaran Uang Kedai")-(SUMIFS(Transaksi!$F$16:$F$5015,Transaksi!$G$16:$G$5015,"Tabungan",Transaksi!$D$16:$D$5015,"Keluar",Transaksi!$H$16:$H$5015,"Reksadana uang kos mama",Transaksi!$B$16:$B$5015,"&gt;="&amp;DATE(Dashboard!$C$4,10,1),Transaksi!$B$16:$B$5015,"&lt;="&amp;EOMONTH(DATE(Dashboard!$C$4,10,1),0))-SUMIFS(Transaksi!$F$16:$F$5015,Transaksi!$G$16:$G$5015,"Tabungan",Transaksi!$D$16:$D$5015,"Masuk",Transaksi!$H$16:$H$5015,"Reksadana uang kos mama",Transaksi!$B$16:$B$5015,"&gt;="&amp;DATE(Dashboard!$C$4,10,1),Transaksi!$B$16:$B$5015,"&lt;="&amp;EOMONTH(DATE(Dashboard!$C$4,10,1),0)))</f>
        <v/>
      </c>
      <c r="H39" s="106">
        <f>IF(DATE(Dashboard!$C$4,10,1)&gt;TODAY(),"",SUMPRODUCT((Akun!$A$5:$A$104&lt;&gt;"")*1,Akun!$C$5:$C$104,--(Akun!$D$5:$D$104&lt;=EOMONTH(DATE(Dashboard!$C$4,10,1),0)))+SUMIFS(Transaksi!$F$16:$F$5015,Transaksi!$D$16:$D$5015,"Masuk",Transaksi!$B$16:$B$5015,"&lt;="&amp;EOMONTH(DATE(Dashboard!$C$4,10,1),0))-SUMIFS(Transaksi!$F$16:$F$5015,Transaksi!$D$16:$D$5015,"Keluar",Transaksi!$B$16:$B$5015,"&lt;="&amp;EOMONTH(DATE(Dashboard!$C$4,10,1),0)))</f>
        <v/>
      </c>
    </row>
    <row r="40" ht="15" customHeight="1" s="94">
      <c r="B40" s="105" t="inlineStr">
        <is>
          <t>November</t>
        </is>
      </c>
      <c r="C40" s="106">
        <f>SUMIFS(Transaksi!$F$16:$F$5015,Transaksi!$G$16:$G$5015,"Pendapatan",Transaksi!$B$16:$B$5015,"&gt;="&amp;DATE(Dashboard!$C$4,11,1),Transaksi!$B$16:$B$5015,"&lt;="&amp;EOMONTH(DATE(Dashboard!$C$4,11,1),0))</f>
        <v/>
      </c>
      <c r="D40" s="106">
        <f>SUMIFS(Transaksi!$F$16:$F$5015,Transaksi!$G$16:$G$5015,"Pengeluaran",Transaksi!$B$16:$B$5015,"&gt;="&amp;DATE(Dashboard!$C$4,11,1),Transaksi!$B$16:$B$5015,"&lt;="&amp;EOMONTH(DATE(Dashboard!$C$4,11,1),0))</f>
        <v/>
      </c>
      <c r="E40" s="106">
        <f>(SUMIFS(Transaksi!$F$16:$F$5015,Transaksi!$G$16:$G$5015,"Tabungan",Transaksi!$D$16:$D$5015,"Keluar",Transaksi!$H$16:$H$5015,"&lt;&gt;Reksadana uang kos mama",Transaksi!$B$16:$B$5015,"&gt;="&amp;DATE(Dashboard!$C$4,11,1),Transaksi!$B$16:$B$5015,"&lt;="&amp;EOMONTH(DATE(Dashboard!$C$4,11,1),0))-SUMIFS(Transaksi!$F$16:$F$5015,Transaksi!$G$16:$G$5015,"Tabungan",Transaksi!$D$16:$D$5015,"Masuk",Transaksi!$H$16:$H$5015,"&lt;&gt;Reksadana uang kos mama",Transaksi!$B$16:$B$5015,"&gt;="&amp;DATE(Dashboard!$C$4,11,1),Transaksi!$B$16:$B$5015,"&lt;="&amp;EOMONTH(DATE(Dashboard!$C$4,11,1),0)))</f>
        <v/>
      </c>
      <c r="F40" s="113">
        <f>C40-D40-E40</f>
        <v/>
      </c>
      <c r="G40" s="106">
        <f>SUMIFS(Transaksi!$F$16:$F$5015,Transaksi!$G$16:$G$5015,"Pendapatan",Transaksi!$B$16:$B$5015,"&gt;="&amp;DATE(Dashboard!$C$4,11,1),Transaksi!$B$16:$B$5015,"&lt;="&amp;EOMONTH(DATE(Dashboard!$C$4,11,1),0),Transaksi!$H$16:$H$5015,"Uang Kos Mama")+SUMIFS(Transaksi!$F$16:$F$5015,Transaksi!$G$16:$G$5015,"Pendapatan",Transaksi!$B$16:$B$5015,"&gt;="&amp;DATE(Dashboard!$C$4,11,1),Transaksi!$B$16:$B$5015,"&lt;="&amp;EOMONTH(DATE(Dashboard!$C$4,11,1),0),Transaksi!$H$16:$H$5015,"Uang Kedai")-SUMIFS(Transaksi!$F$16:$F$5015,Transaksi!$G$16:$G$5015,"Pengeluaran",Transaksi!$B$16:$B$5015,"&gt;="&amp;DATE(Dashboard!$C$4,11,1),Transaksi!$B$16:$B$5015,"&lt;="&amp;EOMONTH(DATE(Dashboard!$C$4,11,1),0),Transaksi!$H$16:$H$5015,"Pengeluaran Uang Kos")-SUMIFS(Transaksi!$F$16:$F$5015,Transaksi!$G$16:$G$5015,"Pengeluaran",Transaksi!$B$16:$B$5015,"&gt;="&amp;DATE(Dashboard!$C$4,11,1),Transaksi!$B$16:$B$5015,"&lt;="&amp;EOMONTH(DATE(Dashboard!$C$4,11,1),0),Transaksi!$H$16:$H$5015,"Pengeluaran Uang Kedai")-(SUMIFS(Transaksi!$F$16:$F$5015,Transaksi!$G$16:$G$5015,"Tabungan",Transaksi!$D$16:$D$5015,"Keluar",Transaksi!$H$16:$H$5015,"Reksadana uang kos mama",Transaksi!$B$16:$B$5015,"&gt;="&amp;DATE(Dashboard!$C$4,11,1),Transaksi!$B$16:$B$5015,"&lt;="&amp;EOMONTH(DATE(Dashboard!$C$4,11,1),0))-SUMIFS(Transaksi!$F$16:$F$5015,Transaksi!$G$16:$G$5015,"Tabungan",Transaksi!$D$16:$D$5015,"Masuk",Transaksi!$H$16:$H$5015,"Reksadana uang kos mama",Transaksi!$B$16:$B$5015,"&gt;="&amp;DATE(Dashboard!$C$4,11,1),Transaksi!$B$16:$B$5015,"&lt;="&amp;EOMONTH(DATE(Dashboard!$C$4,11,1),0)))</f>
        <v/>
      </c>
      <c r="H40" s="106">
        <f>IF(DATE(Dashboard!$C$4,11,1)&gt;TODAY(),"",SUMPRODUCT((Akun!$A$5:$A$104&lt;&gt;"")*1,Akun!$C$5:$C$104,--(Akun!$D$5:$D$104&lt;=EOMONTH(DATE(Dashboard!$C$4,11,1),0)))+SUMIFS(Transaksi!$F$16:$F$5015,Transaksi!$D$16:$D$5015,"Masuk",Transaksi!$B$16:$B$5015,"&lt;="&amp;EOMONTH(DATE(Dashboard!$C$4,11,1),0))-SUMIFS(Transaksi!$F$16:$F$5015,Transaksi!$D$16:$D$5015,"Keluar",Transaksi!$B$16:$B$5015,"&lt;="&amp;EOMONTH(DATE(Dashboard!$C$4,11,1),0)))</f>
        <v/>
      </c>
    </row>
    <row r="41" ht="15" customHeight="1" s="94">
      <c r="B41" s="105" t="inlineStr">
        <is>
          <t>Desember</t>
        </is>
      </c>
      <c r="C41" s="106">
        <f>SUMIFS(Transaksi!$F$16:$F$5015,Transaksi!$G$16:$G$5015,"Pendapatan",Transaksi!$B$16:$B$5015,"&gt;="&amp;DATE(Dashboard!$C$4,12,1),Transaksi!$B$16:$B$5015,"&lt;="&amp;EOMONTH(DATE(Dashboard!$C$4,12,1),0))</f>
        <v/>
      </c>
      <c r="D41" s="106">
        <f>SUMIFS(Transaksi!$F$16:$F$5015,Transaksi!$G$16:$G$5015,"Pengeluaran",Transaksi!$B$16:$B$5015,"&gt;="&amp;DATE(Dashboard!$C$4,12,1),Transaksi!$B$16:$B$5015,"&lt;="&amp;EOMONTH(DATE(Dashboard!$C$4,12,1),0))</f>
        <v/>
      </c>
      <c r="E41" s="106">
        <f>(SUMIFS(Transaksi!$F$16:$F$5015,Transaksi!$G$16:$G$5015,"Tabungan",Transaksi!$D$16:$D$5015,"Keluar",Transaksi!$H$16:$H$5015,"&lt;&gt;Reksadana uang kos mama",Transaksi!$B$16:$B$5015,"&gt;="&amp;DATE(Dashboard!$C$4,12,1),Transaksi!$B$16:$B$5015,"&lt;="&amp;EOMONTH(DATE(Dashboard!$C$4,12,1),0))-SUMIFS(Transaksi!$F$16:$F$5015,Transaksi!$G$16:$G$5015,"Tabungan",Transaksi!$D$16:$D$5015,"Masuk",Transaksi!$H$16:$H$5015,"&lt;&gt;Reksadana uang kos mama",Transaksi!$B$16:$B$5015,"&gt;="&amp;DATE(Dashboard!$C$4,12,1),Transaksi!$B$16:$B$5015,"&lt;="&amp;EOMONTH(DATE(Dashboard!$C$4,12,1),0)))</f>
        <v/>
      </c>
      <c r="F41" s="113">
        <f>C41-D41-E41</f>
        <v/>
      </c>
      <c r="G41" s="106">
        <f>SUMIFS(Transaksi!$F$16:$F$5015,Transaksi!$G$16:$G$5015,"Pendapatan",Transaksi!$B$16:$B$5015,"&gt;="&amp;DATE(Dashboard!$C$4,12,1),Transaksi!$B$16:$B$5015,"&lt;="&amp;EOMONTH(DATE(Dashboard!$C$4,12,1),0),Transaksi!$H$16:$H$5015,"Uang Kos Mama")+SUMIFS(Transaksi!$F$16:$F$5015,Transaksi!$G$16:$G$5015,"Pendapatan",Transaksi!$B$16:$B$5015,"&gt;="&amp;DATE(Dashboard!$C$4,12,1),Transaksi!$B$16:$B$5015,"&lt;="&amp;EOMONTH(DATE(Dashboard!$C$4,12,1),0),Transaksi!$H$16:$H$5015,"Uang Kedai")-SUMIFS(Transaksi!$F$16:$F$5015,Transaksi!$G$16:$G$5015,"Pengeluaran",Transaksi!$B$16:$B$5015,"&gt;="&amp;DATE(Dashboard!$C$4,12,1),Transaksi!$B$16:$B$5015,"&lt;="&amp;EOMONTH(DATE(Dashboard!$C$4,12,1),0),Transaksi!$H$16:$H$5015,"Pengeluaran Uang Kos")-SUMIFS(Transaksi!$F$16:$F$5015,Transaksi!$G$16:$G$5015,"Pengeluaran",Transaksi!$B$16:$B$5015,"&gt;="&amp;DATE(Dashboard!$C$4,12,1),Transaksi!$B$16:$B$5015,"&lt;="&amp;EOMONTH(DATE(Dashboard!$C$4,12,1),0),Transaksi!$H$16:$H$5015,"Pengeluaran Uang Kedai")-(SUMIFS(Transaksi!$F$16:$F$5015,Transaksi!$G$16:$G$5015,"Tabungan",Transaksi!$D$16:$D$5015,"Keluar",Transaksi!$H$16:$H$5015,"Reksadana uang kos mama",Transaksi!$B$16:$B$5015,"&gt;="&amp;DATE(Dashboard!$C$4,12,1),Transaksi!$B$16:$B$5015,"&lt;="&amp;EOMONTH(DATE(Dashboard!$C$4,12,1),0))-SUMIFS(Transaksi!$F$16:$F$5015,Transaksi!$G$16:$G$5015,"Tabungan",Transaksi!$D$16:$D$5015,"Masuk",Transaksi!$H$16:$H$5015,"Reksadana uang kos mama",Transaksi!$B$16:$B$5015,"&gt;="&amp;DATE(Dashboard!$C$4,12,1),Transaksi!$B$16:$B$5015,"&lt;="&amp;EOMONTH(DATE(Dashboard!$C$4,12,1),0)))</f>
        <v/>
      </c>
      <c r="H41" s="106">
        <f>IF(DATE(Dashboard!$C$4,12,1)&gt;TODAY(),"",SUMPRODUCT((Akun!$A$5:$A$104&lt;&gt;"")*1,Akun!$C$5:$C$104,--(Akun!$D$5:$D$104&lt;=EOMONTH(DATE(Dashboard!$C$4,12,1),0)))+SUMIFS(Transaksi!$F$16:$F$5015,Transaksi!$D$16:$D$5015,"Masuk",Transaksi!$B$16:$B$5015,"&lt;="&amp;EOMONTH(DATE(Dashboard!$C$4,12,1),0))-SUMIFS(Transaksi!$F$16:$F$5015,Transaksi!$D$16:$D$5015,"Keluar",Transaksi!$B$16:$B$5015,"&lt;="&amp;EOMONTH(DATE(Dashboard!$C$4,12,1),0)))</f>
        <v/>
      </c>
    </row>
    <row r="42"/>
    <row r="43"/>
    <row r="44" ht="15" customHeight="1" s="94">
      <c r="B44" s="101">
        <f>"C. SALDO AKUN — AKHIR "&amp;UPPER(C5)&amp;" "&amp;C4</f>
        <v/>
      </c>
      <c r="C44" s="102" t="n"/>
      <c r="D44" s="102" t="n"/>
    </row>
    <row r="45" ht="15" customHeight="1" s="94">
      <c r="B45" s="103" t="inlineStr">
        <is>
          <t>Akun</t>
        </is>
      </c>
      <c r="C45" s="103" t="inlineStr">
        <is>
          <t>Saldo</t>
        </is>
      </c>
      <c r="D45" s="103" t="inlineStr">
        <is>
          <t>Kelompok</t>
        </is>
      </c>
    </row>
    <row r="46" ht="15" customHeight="1" s="94">
      <c r="B46" s="105">
        <f>Akun!A5</f>
        <v/>
      </c>
      <c r="C46" s="113">
        <f>IF(B46="","",(SUMIFS(Akun!$C$5:$C$104,Akun!$A$5:$A$104,B46,Akun!$D$5:$D$104,"&lt;="&amp;EOMONTH(DATE(Dashboard!$C$4,Dashboard!$D$4,1),0))+SUMIFS(Transaksi!$F$16:$F$5015,Transaksi!$C$16:$C$5015,B46,Transaksi!$D$16:$D$5015,"Masuk",Transaksi!$B$16:$B$5015,"&lt;="&amp;EOMONTH(DATE(Dashboard!$C$4,Dashboard!$D$4,1),0))-SUMIFS(Transaksi!$F$16:$F$5015,Transaksi!$C$16:$C$5015,B46,Transaksi!$D$16:$D$5015,"Keluar",Transaksi!$B$16:$B$5015,"&lt;="&amp;EOMONTH(DATE(Dashboard!$C$4,Dashboard!$D$4,1),0))-SUMIFS(Transaksi!$F$16:$F$5015,Transaksi!$C$16:$C$5015,B46,Transaksi!$D$16:$D$5015,"Pindah",Transaksi!$B$16:$B$5015,"&lt;="&amp;EOMONTH(DATE(Dashboard!$C$4,Dashboard!$D$4,1),0))+SUMIFS(Transaksi!$F$16:$F$5015,Transaksi!$E$16:$E$5015,B46,Transaksi!$D$16:$D$5015,"Pindah",Transaksi!$B$16:$B$5015,"&lt;="&amp;EOMONTH(DATE(Dashboard!$C$4,Dashboard!$D$4,1),0))))</f>
        <v/>
      </c>
      <c r="D46" s="105">
        <f>Akun!B5</f>
        <v/>
      </c>
    </row>
    <row r="47" ht="15" customHeight="1" s="94">
      <c r="B47" s="105">
        <f>Akun!A6</f>
        <v/>
      </c>
      <c r="C47" s="113">
        <f>IF(B47="","",(SUMIFS(Akun!$C$5:$C$104,Akun!$A$5:$A$104,B47,Akun!$D$5:$D$104,"&lt;="&amp;EOMONTH(DATE(Dashboard!$C$4,Dashboard!$D$4,1),0))+SUMIFS(Transaksi!$F$16:$F$5015,Transaksi!$C$16:$C$5015,B47,Transaksi!$D$16:$D$5015,"Masuk",Transaksi!$B$16:$B$5015,"&lt;="&amp;EOMONTH(DATE(Dashboard!$C$4,Dashboard!$D$4,1),0))-SUMIFS(Transaksi!$F$16:$F$5015,Transaksi!$C$16:$C$5015,B47,Transaksi!$D$16:$D$5015,"Keluar",Transaksi!$B$16:$B$5015,"&lt;="&amp;EOMONTH(DATE(Dashboard!$C$4,Dashboard!$D$4,1),0))-SUMIFS(Transaksi!$F$16:$F$5015,Transaksi!$C$16:$C$5015,B47,Transaksi!$D$16:$D$5015,"Pindah",Transaksi!$B$16:$B$5015,"&lt;="&amp;EOMONTH(DATE(Dashboard!$C$4,Dashboard!$D$4,1),0))+SUMIFS(Transaksi!$F$16:$F$5015,Transaksi!$E$16:$E$5015,B47,Transaksi!$D$16:$D$5015,"Pindah",Transaksi!$B$16:$B$5015,"&lt;="&amp;EOMONTH(DATE(Dashboard!$C$4,Dashboard!$D$4,1),0))))</f>
        <v/>
      </c>
      <c r="D47" s="105">
        <f>Akun!B6</f>
        <v/>
      </c>
    </row>
    <row r="48" ht="15" customHeight="1" s="94">
      <c r="B48" s="105">
        <f>Akun!A7</f>
        <v/>
      </c>
      <c r="C48" s="113">
        <f>IF(B48="","",(SUMIFS(Akun!$C$5:$C$104,Akun!$A$5:$A$104,B48,Akun!$D$5:$D$104,"&lt;="&amp;EOMONTH(DATE(Dashboard!$C$4,Dashboard!$D$4,1),0))+SUMIFS(Transaksi!$F$16:$F$5015,Transaksi!$C$16:$C$5015,B48,Transaksi!$D$16:$D$5015,"Masuk",Transaksi!$B$16:$B$5015,"&lt;="&amp;EOMONTH(DATE(Dashboard!$C$4,Dashboard!$D$4,1),0))-SUMIFS(Transaksi!$F$16:$F$5015,Transaksi!$C$16:$C$5015,B48,Transaksi!$D$16:$D$5015,"Keluar",Transaksi!$B$16:$B$5015,"&lt;="&amp;EOMONTH(DATE(Dashboard!$C$4,Dashboard!$D$4,1),0))-SUMIFS(Transaksi!$F$16:$F$5015,Transaksi!$C$16:$C$5015,B48,Transaksi!$D$16:$D$5015,"Pindah",Transaksi!$B$16:$B$5015,"&lt;="&amp;EOMONTH(DATE(Dashboard!$C$4,Dashboard!$D$4,1),0))+SUMIFS(Transaksi!$F$16:$F$5015,Transaksi!$E$16:$E$5015,B48,Transaksi!$D$16:$D$5015,"Pindah",Transaksi!$B$16:$B$5015,"&lt;="&amp;EOMONTH(DATE(Dashboard!$C$4,Dashboard!$D$4,1),0))))</f>
        <v/>
      </c>
      <c r="D48" s="105">
        <f>Akun!B7</f>
        <v/>
      </c>
    </row>
    <row r="49" ht="15" customHeight="1" s="94">
      <c r="B49" s="105">
        <f>Akun!A8</f>
        <v/>
      </c>
      <c r="C49" s="113">
        <f>IF(B49="","",(SUMIFS(Akun!$C$5:$C$104,Akun!$A$5:$A$104,B49,Akun!$D$5:$D$104,"&lt;="&amp;EOMONTH(DATE(Dashboard!$C$4,Dashboard!$D$4,1),0))+SUMIFS(Transaksi!$F$16:$F$5015,Transaksi!$C$16:$C$5015,B49,Transaksi!$D$16:$D$5015,"Masuk",Transaksi!$B$16:$B$5015,"&lt;="&amp;EOMONTH(DATE(Dashboard!$C$4,Dashboard!$D$4,1),0))-SUMIFS(Transaksi!$F$16:$F$5015,Transaksi!$C$16:$C$5015,B49,Transaksi!$D$16:$D$5015,"Keluar",Transaksi!$B$16:$B$5015,"&lt;="&amp;EOMONTH(DATE(Dashboard!$C$4,Dashboard!$D$4,1),0))-SUMIFS(Transaksi!$F$16:$F$5015,Transaksi!$C$16:$C$5015,B49,Transaksi!$D$16:$D$5015,"Pindah",Transaksi!$B$16:$B$5015,"&lt;="&amp;EOMONTH(DATE(Dashboard!$C$4,Dashboard!$D$4,1),0))+SUMIFS(Transaksi!$F$16:$F$5015,Transaksi!$E$16:$E$5015,B49,Transaksi!$D$16:$D$5015,"Pindah",Transaksi!$B$16:$B$5015,"&lt;="&amp;EOMONTH(DATE(Dashboard!$C$4,Dashboard!$D$4,1),0))))</f>
        <v/>
      </c>
      <c r="D49" s="105">
        <f>Akun!B8</f>
        <v/>
      </c>
    </row>
    <row r="50" ht="15" customHeight="1" s="94">
      <c r="B50" s="105">
        <f>Akun!A9</f>
        <v/>
      </c>
      <c r="C50" s="113">
        <f>IF(B50="","",(SUMIFS(Akun!$C$5:$C$104,Akun!$A$5:$A$104,B50,Akun!$D$5:$D$104,"&lt;="&amp;EOMONTH(DATE(Dashboard!$C$4,Dashboard!$D$4,1),0))+SUMIFS(Transaksi!$F$16:$F$5015,Transaksi!$C$16:$C$5015,B50,Transaksi!$D$16:$D$5015,"Masuk",Transaksi!$B$16:$B$5015,"&lt;="&amp;EOMONTH(DATE(Dashboard!$C$4,Dashboard!$D$4,1),0))-SUMIFS(Transaksi!$F$16:$F$5015,Transaksi!$C$16:$C$5015,B50,Transaksi!$D$16:$D$5015,"Keluar",Transaksi!$B$16:$B$5015,"&lt;="&amp;EOMONTH(DATE(Dashboard!$C$4,Dashboard!$D$4,1),0))-SUMIFS(Transaksi!$F$16:$F$5015,Transaksi!$C$16:$C$5015,B50,Transaksi!$D$16:$D$5015,"Pindah",Transaksi!$B$16:$B$5015,"&lt;="&amp;EOMONTH(DATE(Dashboard!$C$4,Dashboard!$D$4,1),0))+SUMIFS(Transaksi!$F$16:$F$5015,Transaksi!$E$16:$E$5015,B50,Transaksi!$D$16:$D$5015,"Pindah",Transaksi!$B$16:$B$5015,"&lt;="&amp;EOMONTH(DATE(Dashboard!$C$4,Dashboard!$D$4,1),0))))</f>
        <v/>
      </c>
      <c r="D50" s="105">
        <f>Akun!B9</f>
        <v/>
      </c>
    </row>
    <row r="51" ht="15" customHeight="1" s="94">
      <c r="B51" s="105">
        <f>Akun!A10</f>
        <v/>
      </c>
      <c r="C51" s="113">
        <f>IF(B51="","",(SUMIFS(Akun!$C$5:$C$104,Akun!$A$5:$A$104,B51,Akun!$D$5:$D$104,"&lt;="&amp;EOMONTH(DATE(Dashboard!$C$4,Dashboard!$D$4,1),0))+SUMIFS(Transaksi!$F$16:$F$5015,Transaksi!$C$16:$C$5015,B51,Transaksi!$D$16:$D$5015,"Masuk",Transaksi!$B$16:$B$5015,"&lt;="&amp;EOMONTH(DATE(Dashboard!$C$4,Dashboard!$D$4,1),0))-SUMIFS(Transaksi!$F$16:$F$5015,Transaksi!$C$16:$C$5015,B51,Transaksi!$D$16:$D$5015,"Keluar",Transaksi!$B$16:$B$5015,"&lt;="&amp;EOMONTH(DATE(Dashboard!$C$4,Dashboard!$D$4,1),0))-SUMIFS(Transaksi!$F$16:$F$5015,Transaksi!$C$16:$C$5015,B51,Transaksi!$D$16:$D$5015,"Pindah",Transaksi!$B$16:$B$5015,"&lt;="&amp;EOMONTH(DATE(Dashboard!$C$4,Dashboard!$D$4,1),0))+SUMIFS(Transaksi!$F$16:$F$5015,Transaksi!$E$16:$E$5015,B51,Transaksi!$D$16:$D$5015,"Pindah",Transaksi!$B$16:$B$5015,"&lt;="&amp;EOMONTH(DATE(Dashboard!$C$4,Dashboard!$D$4,1),0))))</f>
        <v/>
      </c>
      <c r="D51" s="105">
        <f>Akun!B10</f>
        <v/>
      </c>
    </row>
    <row r="52" ht="15" customHeight="1" s="94">
      <c r="B52" s="105">
        <f>Akun!A11</f>
        <v/>
      </c>
      <c r="C52" s="113">
        <f>IF(B52="","",(SUMIFS(Akun!$C$5:$C$104,Akun!$A$5:$A$104,B52,Akun!$D$5:$D$104,"&lt;="&amp;EOMONTH(DATE(Dashboard!$C$4,Dashboard!$D$4,1),0))+SUMIFS(Transaksi!$F$16:$F$5015,Transaksi!$C$16:$C$5015,B52,Transaksi!$D$16:$D$5015,"Masuk",Transaksi!$B$16:$B$5015,"&lt;="&amp;EOMONTH(DATE(Dashboard!$C$4,Dashboard!$D$4,1),0))-SUMIFS(Transaksi!$F$16:$F$5015,Transaksi!$C$16:$C$5015,B52,Transaksi!$D$16:$D$5015,"Keluar",Transaksi!$B$16:$B$5015,"&lt;="&amp;EOMONTH(DATE(Dashboard!$C$4,Dashboard!$D$4,1),0))-SUMIFS(Transaksi!$F$16:$F$5015,Transaksi!$C$16:$C$5015,B52,Transaksi!$D$16:$D$5015,"Pindah",Transaksi!$B$16:$B$5015,"&lt;="&amp;EOMONTH(DATE(Dashboard!$C$4,Dashboard!$D$4,1),0))+SUMIFS(Transaksi!$F$16:$F$5015,Transaksi!$E$16:$E$5015,B52,Transaksi!$D$16:$D$5015,"Pindah",Transaksi!$B$16:$B$5015,"&lt;="&amp;EOMONTH(DATE(Dashboard!$C$4,Dashboard!$D$4,1),0))))</f>
        <v/>
      </c>
      <c r="D52" s="105">
        <f>Akun!B11</f>
        <v/>
      </c>
    </row>
    <row r="53" ht="15" customHeight="1" s="94">
      <c r="B53" s="105">
        <f>Akun!A12</f>
        <v/>
      </c>
      <c r="C53" s="113">
        <f>IF(B53="","",(SUMIFS(Akun!$C$5:$C$104,Akun!$A$5:$A$104,B53,Akun!$D$5:$D$104,"&lt;="&amp;EOMONTH(DATE(Dashboard!$C$4,Dashboard!$D$4,1),0))+SUMIFS(Transaksi!$F$16:$F$5015,Transaksi!$C$16:$C$5015,B53,Transaksi!$D$16:$D$5015,"Masuk",Transaksi!$B$16:$B$5015,"&lt;="&amp;EOMONTH(DATE(Dashboard!$C$4,Dashboard!$D$4,1),0))-SUMIFS(Transaksi!$F$16:$F$5015,Transaksi!$C$16:$C$5015,B53,Transaksi!$D$16:$D$5015,"Keluar",Transaksi!$B$16:$B$5015,"&lt;="&amp;EOMONTH(DATE(Dashboard!$C$4,Dashboard!$D$4,1),0))-SUMIFS(Transaksi!$F$16:$F$5015,Transaksi!$C$16:$C$5015,B53,Transaksi!$D$16:$D$5015,"Pindah",Transaksi!$B$16:$B$5015,"&lt;="&amp;EOMONTH(DATE(Dashboard!$C$4,Dashboard!$D$4,1),0))+SUMIFS(Transaksi!$F$16:$F$5015,Transaksi!$E$16:$E$5015,B53,Transaksi!$D$16:$D$5015,"Pindah",Transaksi!$B$16:$B$5015,"&lt;="&amp;EOMONTH(DATE(Dashboard!$C$4,Dashboard!$D$4,1),0))))</f>
        <v/>
      </c>
      <c r="D53" s="105">
        <f>Akun!B12</f>
        <v/>
      </c>
    </row>
    <row r="54" ht="15" customHeight="1" s="94">
      <c r="B54" s="105">
        <f>Akun!A13</f>
        <v/>
      </c>
      <c r="C54" s="113">
        <f>IF(B54="","",(SUMIFS(Akun!$C$5:$C$104,Akun!$A$5:$A$104,B54,Akun!$D$5:$D$104,"&lt;="&amp;EOMONTH(DATE(Dashboard!$C$4,Dashboard!$D$4,1),0))+SUMIFS(Transaksi!$F$16:$F$5015,Transaksi!$C$16:$C$5015,B54,Transaksi!$D$16:$D$5015,"Masuk",Transaksi!$B$16:$B$5015,"&lt;="&amp;EOMONTH(DATE(Dashboard!$C$4,Dashboard!$D$4,1),0))-SUMIFS(Transaksi!$F$16:$F$5015,Transaksi!$C$16:$C$5015,B54,Transaksi!$D$16:$D$5015,"Keluar",Transaksi!$B$16:$B$5015,"&lt;="&amp;EOMONTH(DATE(Dashboard!$C$4,Dashboard!$D$4,1),0))-SUMIFS(Transaksi!$F$16:$F$5015,Transaksi!$C$16:$C$5015,B54,Transaksi!$D$16:$D$5015,"Pindah",Transaksi!$B$16:$B$5015,"&lt;="&amp;EOMONTH(DATE(Dashboard!$C$4,Dashboard!$D$4,1),0))+SUMIFS(Transaksi!$F$16:$F$5015,Transaksi!$E$16:$E$5015,B54,Transaksi!$D$16:$D$5015,"Pindah",Transaksi!$B$16:$B$5015,"&lt;="&amp;EOMONTH(DATE(Dashboard!$C$4,Dashboard!$D$4,1),0))))</f>
        <v/>
      </c>
      <c r="D54" s="105">
        <f>Akun!B13</f>
        <v/>
      </c>
    </row>
    <row r="55" ht="15" customHeight="1" s="94">
      <c r="B55" s="105">
        <f>Akun!A14</f>
        <v/>
      </c>
      <c r="C55" s="113">
        <f>IF(B55="","",(SUMIFS(Akun!$C$5:$C$104,Akun!$A$5:$A$104,B55,Akun!$D$5:$D$104,"&lt;="&amp;EOMONTH(DATE(Dashboard!$C$4,Dashboard!$D$4,1),0))+SUMIFS(Transaksi!$F$16:$F$5015,Transaksi!$C$16:$C$5015,B55,Transaksi!$D$16:$D$5015,"Masuk",Transaksi!$B$16:$B$5015,"&lt;="&amp;EOMONTH(DATE(Dashboard!$C$4,Dashboard!$D$4,1),0))-SUMIFS(Transaksi!$F$16:$F$5015,Transaksi!$C$16:$C$5015,B55,Transaksi!$D$16:$D$5015,"Keluar",Transaksi!$B$16:$B$5015,"&lt;="&amp;EOMONTH(DATE(Dashboard!$C$4,Dashboard!$D$4,1),0))-SUMIFS(Transaksi!$F$16:$F$5015,Transaksi!$C$16:$C$5015,B55,Transaksi!$D$16:$D$5015,"Pindah",Transaksi!$B$16:$B$5015,"&lt;="&amp;EOMONTH(DATE(Dashboard!$C$4,Dashboard!$D$4,1),0))+SUMIFS(Transaksi!$F$16:$F$5015,Transaksi!$E$16:$E$5015,B55,Transaksi!$D$16:$D$5015,"Pindah",Transaksi!$B$16:$B$5015,"&lt;="&amp;EOMONTH(DATE(Dashboard!$C$4,Dashboard!$D$4,1),0))))</f>
        <v/>
      </c>
      <c r="D55" s="105">
        <f>Akun!B14</f>
        <v/>
      </c>
    </row>
    <row r="56" ht="15" customHeight="1" s="94">
      <c r="B56" s="105">
        <f>Akun!A15</f>
        <v/>
      </c>
      <c r="C56" s="113">
        <f>IF(B56="","",(SUMIFS(Akun!$C$5:$C$104,Akun!$A$5:$A$104,B56,Akun!$D$5:$D$104,"&lt;="&amp;EOMONTH(DATE(Dashboard!$C$4,Dashboard!$D$4,1),0))+SUMIFS(Transaksi!$F$16:$F$5015,Transaksi!$C$16:$C$5015,B56,Transaksi!$D$16:$D$5015,"Masuk",Transaksi!$B$16:$B$5015,"&lt;="&amp;EOMONTH(DATE(Dashboard!$C$4,Dashboard!$D$4,1),0))-SUMIFS(Transaksi!$F$16:$F$5015,Transaksi!$C$16:$C$5015,B56,Transaksi!$D$16:$D$5015,"Keluar",Transaksi!$B$16:$B$5015,"&lt;="&amp;EOMONTH(DATE(Dashboard!$C$4,Dashboard!$D$4,1),0))-SUMIFS(Transaksi!$F$16:$F$5015,Transaksi!$C$16:$C$5015,B56,Transaksi!$D$16:$D$5015,"Pindah",Transaksi!$B$16:$B$5015,"&lt;="&amp;EOMONTH(DATE(Dashboard!$C$4,Dashboard!$D$4,1),0))+SUMIFS(Transaksi!$F$16:$F$5015,Transaksi!$E$16:$E$5015,B56,Transaksi!$D$16:$D$5015,"Pindah",Transaksi!$B$16:$B$5015,"&lt;="&amp;EOMONTH(DATE(Dashboard!$C$4,Dashboard!$D$4,1),0))))</f>
        <v/>
      </c>
      <c r="D56" s="105">
        <f>Akun!B15</f>
        <v/>
      </c>
    </row>
    <row r="57" ht="15" customHeight="1" s="94">
      <c r="B57" s="105">
        <f>Akun!A16</f>
        <v/>
      </c>
      <c r="C57" s="113">
        <f>IF(B57="","",(SUMIFS(Akun!$C$5:$C$104,Akun!$A$5:$A$104,B57,Akun!$D$5:$D$104,"&lt;="&amp;EOMONTH(DATE(Dashboard!$C$4,Dashboard!$D$4,1),0))+SUMIFS(Transaksi!$F$16:$F$5015,Transaksi!$C$16:$C$5015,B57,Transaksi!$D$16:$D$5015,"Masuk",Transaksi!$B$16:$B$5015,"&lt;="&amp;EOMONTH(DATE(Dashboard!$C$4,Dashboard!$D$4,1),0))-SUMIFS(Transaksi!$F$16:$F$5015,Transaksi!$C$16:$C$5015,B57,Transaksi!$D$16:$D$5015,"Keluar",Transaksi!$B$16:$B$5015,"&lt;="&amp;EOMONTH(DATE(Dashboard!$C$4,Dashboard!$D$4,1),0))-SUMIFS(Transaksi!$F$16:$F$5015,Transaksi!$C$16:$C$5015,B57,Transaksi!$D$16:$D$5015,"Pindah",Transaksi!$B$16:$B$5015,"&lt;="&amp;EOMONTH(DATE(Dashboard!$C$4,Dashboard!$D$4,1),0))+SUMIFS(Transaksi!$F$16:$F$5015,Transaksi!$E$16:$E$5015,B57,Transaksi!$D$16:$D$5015,"Pindah",Transaksi!$B$16:$B$5015,"&lt;="&amp;EOMONTH(DATE(Dashboard!$C$4,Dashboard!$D$4,1),0))))</f>
        <v/>
      </c>
      <c r="D57" s="105">
        <f>Akun!B16</f>
        <v/>
      </c>
    </row>
    <row r="58" ht="15" customHeight="1" s="94">
      <c r="B58" s="105">
        <f>Akun!A17</f>
        <v/>
      </c>
      <c r="C58" s="113">
        <f>IF(B58="","",(SUMIFS(Akun!$C$5:$C$104,Akun!$A$5:$A$104,B58,Akun!$D$5:$D$104,"&lt;="&amp;EOMONTH(DATE(Dashboard!$C$4,Dashboard!$D$4,1),0))+SUMIFS(Transaksi!$F$16:$F$5015,Transaksi!$C$16:$C$5015,B58,Transaksi!$D$16:$D$5015,"Masuk",Transaksi!$B$16:$B$5015,"&lt;="&amp;EOMONTH(DATE(Dashboard!$C$4,Dashboard!$D$4,1),0))-SUMIFS(Transaksi!$F$16:$F$5015,Transaksi!$C$16:$C$5015,B58,Transaksi!$D$16:$D$5015,"Keluar",Transaksi!$B$16:$B$5015,"&lt;="&amp;EOMONTH(DATE(Dashboard!$C$4,Dashboard!$D$4,1),0))-SUMIFS(Transaksi!$F$16:$F$5015,Transaksi!$C$16:$C$5015,B58,Transaksi!$D$16:$D$5015,"Pindah",Transaksi!$B$16:$B$5015,"&lt;="&amp;EOMONTH(DATE(Dashboard!$C$4,Dashboard!$D$4,1),0))+SUMIFS(Transaksi!$F$16:$F$5015,Transaksi!$E$16:$E$5015,B58,Transaksi!$D$16:$D$5015,"Pindah",Transaksi!$B$16:$B$5015,"&lt;="&amp;EOMONTH(DATE(Dashboard!$C$4,Dashboard!$D$4,1),0))))</f>
        <v/>
      </c>
      <c r="D58" s="105">
        <f>Akun!B17</f>
        <v/>
      </c>
    </row>
    <row r="59" ht="15" customHeight="1" s="94">
      <c r="B59" s="105">
        <f>Akun!A18</f>
        <v/>
      </c>
      <c r="C59" s="113">
        <f>IF(B59="","",(SUMIFS(Akun!$C$5:$C$104,Akun!$A$5:$A$104,B59,Akun!$D$5:$D$104,"&lt;="&amp;EOMONTH(DATE(Dashboard!$C$4,Dashboard!$D$4,1),0))+SUMIFS(Transaksi!$F$16:$F$5015,Transaksi!$C$16:$C$5015,B59,Transaksi!$D$16:$D$5015,"Masuk",Transaksi!$B$16:$B$5015,"&lt;="&amp;EOMONTH(DATE(Dashboard!$C$4,Dashboard!$D$4,1),0))-SUMIFS(Transaksi!$F$16:$F$5015,Transaksi!$C$16:$C$5015,B59,Transaksi!$D$16:$D$5015,"Keluar",Transaksi!$B$16:$B$5015,"&lt;="&amp;EOMONTH(DATE(Dashboard!$C$4,Dashboard!$D$4,1),0))-SUMIFS(Transaksi!$F$16:$F$5015,Transaksi!$C$16:$C$5015,B59,Transaksi!$D$16:$D$5015,"Pindah",Transaksi!$B$16:$B$5015,"&lt;="&amp;EOMONTH(DATE(Dashboard!$C$4,Dashboard!$D$4,1),0))+SUMIFS(Transaksi!$F$16:$F$5015,Transaksi!$E$16:$E$5015,B59,Transaksi!$D$16:$D$5015,"Pindah",Transaksi!$B$16:$B$5015,"&lt;="&amp;EOMONTH(DATE(Dashboard!$C$4,Dashboard!$D$4,1),0))))</f>
        <v/>
      </c>
      <c r="D59" s="105">
        <f>Akun!B18</f>
        <v/>
      </c>
    </row>
    <row r="60" ht="15" customHeight="1" s="94">
      <c r="B60" s="105">
        <f>Akun!A19</f>
        <v/>
      </c>
      <c r="C60" s="113">
        <f>IF(B60="","",(SUMIFS(Akun!$C$5:$C$104,Akun!$A$5:$A$104,B60,Akun!$D$5:$D$104,"&lt;="&amp;EOMONTH(DATE(Dashboard!$C$4,Dashboard!$D$4,1),0))+SUMIFS(Transaksi!$F$16:$F$5015,Transaksi!$C$16:$C$5015,B60,Transaksi!$D$16:$D$5015,"Masuk",Transaksi!$B$16:$B$5015,"&lt;="&amp;EOMONTH(DATE(Dashboard!$C$4,Dashboard!$D$4,1),0))-SUMIFS(Transaksi!$F$16:$F$5015,Transaksi!$C$16:$C$5015,B60,Transaksi!$D$16:$D$5015,"Keluar",Transaksi!$B$16:$B$5015,"&lt;="&amp;EOMONTH(DATE(Dashboard!$C$4,Dashboard!$D$4,1),0))-SUMIFS(Transaksi!$F$16:$F$5015,Transaksi!$C$16:$C$5015,B60,Transaksi!$D$16:$D$5015,"Pindah",Transaksi!$B$16:$B$5015,"&lt;="&amp;EOMONTH(DATE(Dashboard!$C$4,Dashboard!$D$4,1),0))+SUMIFS(Transaksi!$F$16:$F$5015,Transaksi!$E$16:$E$5015,B60,Transaksi!$D$16:$D$5015,"Pindah",Transaksi!$B$16:$B$5015,"&lt;="&amp;EOMONTH(DATE(Dashboard!$C$4,Dashboard!$D$4,1),0))))</f>
        <v/>
      </c>
      <c r="D60" s="105">
        <f>Akun!B19</f>
        <v/>
      </c>
    </row>
    <row r="61" ht="15" customHeight="1" s="94">
      <c r="B61" s="105">
        <f>Akun!A20</f>
        <v/>
      </c>
      <c r="C61" s="113">
        <f>IF(B61="","",(SUMIFS(Akun!$C$5:$C$104,Akun!$A$5:$A$104,B61,Akun!$D$5:$D$104,"&lt;="&amp;EOMONTH(DATE(Dashboard!$C$4,Dashboard!$D$4,1),0))+SUMIFS(Transaksi!$F$16:$F$5015,Transaksi!$C$16:$C$5015,B61,Transaksi!$D$16:$D$5015,"Masuk",Transaksi!$B$16:$B$5015,"&lt;="&amp;EOMONTH(DATE(Dashboard!$C$4,Dashboard!$D$4,1),0))-SUMIFS(Transaksi!$F$16:$F$5015,Transaksi!$C$16:$C$5015,B61,Transaksi!$D$16:$D$5015,"Keluar",Transaksi!$B$16:$B$5015,"&lt;="&amp;EOMONTH(DATE(Dashboard!$C$4,Dashboard!$D$4,1),0))-SUMIFS(Transaksi!$F$16:$F$5015,Transaksi!$C$16:$C$5015,B61,Transaksi!$D$16:$D$5015,"Pindah",Transaksi!$B$16:$B$5015,"&lt;="&amp;EOMONTH(DATE(Dashboard!$C$4,Dashboard!$D$4,1),0))+SUMIFS(Transaksi!$F$16:$F$5015,Transaksi!$E$16:$E$5015,B61,Transaksi!$D$16:$D$5015,"Pindah",Transaksi!$B$16:$B$5015,"&lt;="&amp;EOMONTH(DATE(Dashboard!$C$4,Dashboard!$D$4,1),0))))</f>
        <v/>
      </c>
      <c r="D61" s="105">
        <f>Akun!B20</f>
        <v/>
      </c>
    </row>
    <row r="62"/>
    <row r="63" ht="15" customHeight="1" s="94">
      <c r="B63" s="114" t="inlineStr">
        <is>
          <t>Rincian asal setiap saldo (saldo awal, masuk, keluar, pindah) ada di tab Saldo Akun.</t>
        </is>
      </c>
    </row>
    <row r="64" ht="21.75" customHeight="1" s="94">
      <c r="B64" s="114" t="inlineStr">
        <is>
          <t>Tabungan bersih = uang yang kamu setor ke saham/reksadana/jula-jula dikurangi yang kamu cairkan (tanpa uang kos mama). Minus = lebih banyak dicairkan.</t>
        </is>
      </c>
    </row>
  </sheetData>
  <mergeCells count="7">
    <mergeCell ref="B7:F7"/>
    <mergeCell ref="B28:G28"/>
    <mergeCell ref="B64:F64"/>
    <mergeCell ref="A2:H2"/>
    <mergeCell ref="B63:F63"/>
    <mergeCell ref="B44:D44"/>
    <mergeCell ref="A1:H1"/>
  </mergeCells>
  <conditionalFormatting sqref="C26:E26">
    <cfRule type="cellIs" rank="0" priority="2" equalAverage="0" operator="lessThan" aboveAverage="0" dxfId="0" text="" percent="0" bottom="0">
      <formula>0</formula>
    </cfRule>
  </conditionalFormatting>
  <conditionalFormatting sqref="E30:G41">
    <cfRule type="cellIs" rank="0" priority="3" equalAverage="0" operator="lessThan" aboveAverage="0" dxfId="1" text="" percent="0" bottom="0">
      <formula>0</formula>
    </cfRule>
  </conditionalFormatting>
  <dataValidations count="2">
    <dataValidation sqref="C4" showDropDown="0" showInputMessage="0" showErrorMessage="0" allowBlank="1" type="list" errorStyle="stop" operator="between">
      <formula1>Ref!$B$1:$B$17</formula1>
      <formula2>0</formula2>
    </dataValidation>
    <dataValidation sqref="C5" showDropDown="0" showInputMessage="0" showErrorMessage="0" allowBlank="1" type="list" errorStyle="stop" operator="between">
      <formula1>Ref!$A$1:$A$12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3.xml><?xml version="1.0" encoding="utf-8"?>
<worksheet xmlns="http://schemas.openxmlformats.org/spreadsheetml/2006/main">
  <sheetPr filterMode="0">
    <tabColor rgb="FF2A9D8F"/>
    <outlinePr summaryBelow="1" summaryRight="1"/>
    <pageSetUpPr fitToPage="0"/>
  </sheetPr>
  <dimension ref="A1:X5015"/>
  <sheetViews>
    <sheetView showFormulas="0" showGridLines="0" showRowColHeaders="1" showZeros="1" rightToLeft="0" tabSelected="1" showOutlineSymbols="1" defaultGridColor="1" view="normal" topLeftCell="Q1" colorId="64" zoomScale="100" zoomScaleNormal="100" zoomScalePageLayoutView="100" workbookViewId="0">
      <selection pane="topLeft" activeCell="K8" activeCellId="0" sqref="K8"/>
    </sheetView>
  </sheetViews>
  <sheetFormatPr baseColWidth="8" defaultColWidth="8.7421875" defaultRowHeight="15" zeroHeight="0" outlineLevelRow="1"/>
  <cols>
    <col width="6.05" customWidth="1" style="93" min="1" max="1"/>
    <col width="11.97" customWidth="1" style="93" min="2" max="2"/>
    <col width="22.06" customWidth="1" style="93" min="3" max="3"/>
    <col width="9.01" customWidth="1" style="93" min="4" max="4"/>
    <col width="20.05" customWidth="1" style="93" min="5" max="5"/>
    <col width="18.83" customWidth="1" style="93" min="6" max="6"/>
    <col width="17.76" customWidth="1" style="93" min="7" max="7"/>
    <col width="22.06" customWidth="1" style="93" min="8" max="8"/>
    <col width="30" customWidth="1" style="93" min="9" max="9"/>
    <col width="48.03" customWidth="1" style="93" min="10" max="10"/>
    <col width="25.97" customWidth="1" style="93" min="11" max="11"/>
    <col width="23.94" customWidth="1" style="93" min="12" max="12"/>
    <col width="4.97" customWidth="1" style="93" min="13" max="13"/>
    <col hidden="1" width="13.03" customWidth="1" style="93" min="14" max="14"/>
    <col hidden="1" width="2.96" customWidth="1" style="93" min="15" max="15"/>
    <col width="11.97" customWidth="1" style="93" min="16" max="16"/>
    <col width="22.06" customWidth="1" style="93" min="17" max="17"/>
    <col width="9.01" customWidth="1" style="93" min="18" max="18"/>
    <col width="13.99" customWidth="1" style="93" min="19" max="19"/>
    <col width="34.03" customWidth="1" style="93" min="20" max="20"/>
    <col width="43.99" customWidth="1" style="93" min="21" max="21"/>
    <col width="7.94" customWidth="1" style="93" min="22" max="22"/>
    <col hidden="1" width="13" customWidth="1" style="93" min="24" max="24"/>
  </cols>
  <sheetData>
    <row r="1" ht="30" customHeight="1" s="94">
      <c r="A1" s="95" t="inlineStr">
        <is>
          <t>TRANSAKSI — CATAT, CARI &amp; LACAK</t>
        </is>
      </c>
    </row>
    <row r="2" ht="30" customHeight="1" s="94">
      <c r="A2" s="98" t="inlineStr">
        <is>
          <t>Cara pakai: isi sel kuning di kiri atas (boleh sebagian). Hasilnya langsung muncul: ringkasan di tengah, daftar poin transaksi yang cocok di kanan (kolom P–V, klik "Buka"). Data lengkap ada mulai baris 16 — bisa dilipat dengan tombol [–] di kiri.</t>
        </is>
      </c>
    </row>
    <row r="3" ht="15" customHeight="1" s="94">
      <c r="P3" s="96" t="inlineStr">
        <is>
          <t>DAFTAR TRANSAKSI YANG COCOK</t>
        </is>
      </c>
      <c r="T3" s="115">
        <f>"Ditampilkan "&amp;MIN(300,MAX($N$16:$N$5015))&amp;" dari "&amp;MAX($N$16:$N$5015)&amp;" (terbaru dulu; persempit pencarian bila lebih dari 300)"</f>
        <v/>
      </c>
    </row>
    <row r="4" ht="15" customHeight="1" s="94">
      <c r="A4" s="96" t="inlineStr">
        <is>
          <t>Kata kunci</t>
        </is>
      </c>
      <c r="C4" s="116" t="n"/>
      <c r="D4" s="117" t="n"/>
      <c r="F4" s="96" t="inlineStr">
        <is>
          <t>RINGKASAN HASIL</t>
        </is>
      </c>
      <c r="P4" s="103" t="inlineStr">
        <is>
          <t>Tanggal</t>
        </is>
      </c>
      <c r="Q4" s="103" t="inlineStr">
        <is>
          <t>Akun</t>
        </is>
      </c>
      <c r="R4" s="103" t="inlineStr">
        <is>
          <t>Tipe</t>
        </is>
      </c>
      <c r="S4" s="103" t="inlineStr">
        <is>
          <t>Jumlah</t>
        </is>
      </c>
      <c r="T4" s="103" t="inlineStr">
        <is>
          <t>Tujuan › Sumber › Kategori</t>
        </is>
      </c>
      <c r="U4" s="103" t="inlineStr">
        <is>
          <t>Keterangan</t>
        </is>
      </c>
      <c r="V4" s="103" t="inlineStr">
        <is>
          <t>Buka</t>
        </is>
      </c>
    </row>
    <row r="5" ht="15" customHeight="1" s="94">
      <c r="A5" s="96" t="inlineStr">
        <is>
          <t>Tujuan</t>
        </is>
      </c>
      <c r="C5" s="116" t="inlineStr">
        <is>
          <t>Semua</t>
        </is>
      </c>
      <c r="D5" s="117" t="n"/>
      <c r="F5" s="115" t="inlineStr">
        <is>
          <t>Jumlah transaksi cocok</t>
        </is>
      </c>
      <c r="G5" s="118">
        <f>MAX(N16:N5015)</f>
        <v/>
      </c>
      <c r="P5" s="119">
        <f>IF(1&gt;MAX($N$16:$N$5015),"",INDEX($B$16:$B$5015,MATCH((MAX($N$16:$N$5015)-1+1),$N$16:$N$5015,0)))</f>
        <v/>
      </c>
      <c r="Q5" s="105">
        <f>IF(1&gt;MAX($N$16:$N$5015),"",INDEX($C$16:$C$5015,MATCH((MAX($N$16:$N$5015)-1+1),$N$16:$N$5015,0)))&amp;IF(IF(1&gt;MAX($N$16:$N$5015),"",INDEX($E$16:$E$5015,MATCH((MAX($N$16:$N$5015)-1+1),$N$16:$N$5015,0)))="",""," → "&amp;IF(1&gt;MAX($N$16:$N$5015),"",INDEX($E$16:$E$5015,MATCH((MAX($N$16:$N$5015)-1+1),$N$16:$N$5015,0))))</f>
        <v/>
      </c>
      <c r="R5" s="105">
        <f>IF(1&gt;MAX($N$16:$N$5015),"",INDEX($D$16:$D$5015,MATCH((MAX($N$16:$N$5015)-1+1),$N$16:$N$5015,0)))</f>
        <v/>
      </c>
      <c r="S5" s="113">
        <f>IF(1&gt;MAX($N$16:$N$5015),"",INDEX($F$16:$F$5015,MATCH((MAX($N$16:$N$5015)-1+1),$N$16:$N$5015,0)))</f>
        <v/>
      </c>
      <c r="T5" s="105">
        <f>IF(1&gt;MAX($N$16:$N$5015),"",IF(1&gt;MAX($N$16:$N$5015),"",INDEX($G$16:$G$5015,MATCH((MAX($N$16:$N$5015)-1+1),$N$16:$N$5015,0)))&amp;" › "&amp;IF(1&gt;MAX($N$16:$N$5015),"",INDEX($H$16:$H$5015,MATCH((MAX($N$16:$N$5015)-1+1),$N$16:$N$5015,0)))&amp;" › "&amp;IF(1&gt;MAX($N$16:$N$5015),"",INDEX($I$16:$I$5015,MATCH((MAX($N$16:$N$5015)-1+1),$N$16:$N$5015,0))))</f>
        <v/>
      </c>
      <c r="U5" s="105">
        <f>IF(1&gt;MAX($N$16:$N$5015),"",INDEX($J$16:$J$5015,MATCH((MAX($N$16:$N$5015)-1+1),$N$16:$N$5015,0)))&amp;IF(IF(1&gt;MAX($N$16:$N$5015),"",INDEX($L$16:$L$5015,MATCH((MAX($N$16:$N$5015)-1+1),$N$16:$N$5015,0)))="",""," ["&amp;IF(1&gt;MAX($N$16:$N$5015),"",INDEX($L$16:$L$5015,MATCH((MAX($N$16:$N$5015)-1+1),$N$16:$N$5015,0)))&amp;"]")</f>
        <v/>
      </c>
      <c r="V5" s="120">
        <f>IF(1&gt;MAX($N$16:$N$5015),"",HYPERLINK("#Transaksi!B"&amp;(MATCH((MAX($N$16:$N$5015)-1+1),$N$16:$N$5015,0)+15),"Buka"))</f>
        <v/>
      </c>
    </row>
    <row r="6" ht="15" customHeight="1" s="94">
      <c r="A6" s="96" t="inlineStr">
        <is>
          <t>Sumber</t>
        </is>
      </c>
      <c r="C6" s="116" t="inlineStr">
        <is>
          <t>Semua</t>
        </is>
      </c>
      <c r="D6" s="117" t="n"/>
      <c r="F6" s="115" t="inlineStr">
        <is>
          <t>Uang masuk</t>
        </is>
      </c>
      <c r="G6" s="121">
        <f>SUMIFS(F16:F5015,M16:M5015,"✓",D16:D5015,"Masuk")</f>
        <v/>
      </c>
      <c r="P6" s="119">
        <f>IF(2&gt;MAX($N$16:$N$5015),"",INDEX($B$16:$B$5015,MATCH((MAX($N$16:$N$5015)-2+1),$N$16:$N$5015,0)))</f>
        <v/>
      </c>
      <c r="Q6" s="105">
        <f>IF(2&gt;MAX($N$16:$N$5015),"",INDEX($C$16:$C$5015,MATCH((MAX($N$16:$N$5015)-2+1),$N$16:$N$5015,0)))&amp;IF(IF(2&gt;MAX($N$16:$N$5015),"",INDEX($E$16:$E$5015,MATCH((MAX($N$16:$N$5015)-2+1),$N$16:$N$5015,0)))="",""," → "&amp;IF(2&gt;MAX($N$16:$N$5015),"",INDEX($E$16:$E$5015,MATCH((MAX($N$16:$N$5015)-2+1),$N$16:$N$5015,0))))</f>
        <v/>
      </c>
      <c r="R6" s="105">
        <f>IF(2&gt;MAX($N$16:$N$5015),"",INDEX($D$16:$D$5015,MATCH((MAX($N$16:$N$5015)-2+1),$N$16:$N$5015,0)))</f>
        <v/>
      </c>
      <c r="S6" s="113">
        <f>IF(2&gt;MAX($N$16:$N$5015),"",INDEX($F$16:$F$5015,MATCH((MAX($N$16:$N$5015)-2+1),$N$16:$N$5015,0)))</f>
        <v/>
      </c>
      <c r="T6" s="105">
        <f>IF(2&gt;MAX($N$16:$N$5015),"",IF(2&gt;MAX($N$16:$N$5015),"",INDEX($G$16:$G$5015,MATCH((MAX($N$16:$N$5015)-2+1),$N$16:$N$5015,0)))&amp;" › "&amp;IF(2&gt;MAX($N$16:$N$5015),"",INDEX($H$16:$H$5015,MATCH((MAX($N$16:$N$5015)-2+1),$N$16:$N$5015,0)))&amp;" › "&amp;IF(2&gt;MAX($N$16:$N$5015),"",INDEX($I$16:$I$5015,MATCH((MAX($N$16:$N$5015)-2+1),$N$16:$N$5015,0))))</f>
        <v/>
      </c>
      <c r="U6" s="105">
        <f>IF(2&gt;MAX($N$16:$N$5015),"",INDEX($J$16:$J$5015,MATCH((MAX($N$16:$N$5015)-2+1),$N$16:$N$5015,0)))&amp;IF(IF(2&gt;MAX($N$16:$N$5015),"",INDEX($L$16:$L$5015,MATCH((MAX($N$16:$N$5015)-2+1),$N$16:$N$5015,0)))="",""," ["&amp;IF(2&gt;MAX($N$16:$N$5015),"",INDEX($L$16:$L$5015,MATCH((MAX($N$16:$N$5015)-2+1),$N$16:$N$5015,0)))&amp;"]")</f>
        <v/>
      </c>
      <c r="V6" s="120">
        <f>IF(2&gt;MAX($N$16:$N$5015),"",HYPERLINK("#Transaksi!B"&amp;(MATCH((MAX($N$16:$N$5015)-2+1),$N$16:$N$5015,0)+15),"Buka"))</f>
        <v/>
      </c>
    </row>
    <row r="7" ht="15" customHeight="1" s="94">
      <c r="A7" s="96" t="inlineStr">
        <is>
          <t>Kategori</t>
        </is>
      </c>
      <c r="C7" s="116" t="inlineStr">
        <is>
          <t>Semua</t>
        </is>
      </c>
      <c r="D7" s="117" t="n"/>
      <c r="F7" s="115" t="inlineStr">
        <is>
          <t>Uang keluar</t>
        </is>
      </c>
      <c r="G7" s="121">
        <f>SUMIFS(F16:F5015,M16:M5015,"✓",D16:D5015,"Keluar")</f>
        <v/>
      </c>
      <c r="P7" s="119">
        <f>IF(3&gt;MAX($N$16:$N$5015),"",INDEX($B$16:$B$5015,MATCH((MAX($N$16:$N$5015)-3+1),$N$16:$N$5015,0)))</f>
        <v/>
      </c>
      <c r="Q7" s="105">
        <f>IF(3&gt;MAX($N$16:$N$5015),"",INDEX($C$16:$C$5015,MATCH((MAX($N$16:$N$5015)-3+1),$N$16:$N$5015,0)))&amp;IF(IF(3&gt;MAX($N$16:$N$5015),"",INDEX($E$16:$E$5015,MATCH((MAX($N$16:$N$5015)-3+1),$N$16:$N$5015,0)))="",""," → "&amp;IF(3&gt;MAX($N$16:$N$5015),"",INDEX($E$16:$E$5015,MATCH((MAX($N$16:$N$5015)-3+1),$N$16:$N$5015,0))))</f>
        <v/>
      </c>
      <c r="R7" s="105">
        <f>IF(3&gt;MAX($N$16:$N$5015),"",INDEX($D$16:$D$5015,MATCH((MAX($N$16:$N$5015)-3+1),$N$16:$N$5015,0)))</f>
        <v/>
      </c>
      <c r="S7" s="113">
        <f>IF(3&gt;MAX($N$16:$N$5015),"",INDEX($F$16:$F$5015,MATCH((MAX($N$16:$N$5015)-3+1),$N$16:$N$5015,0)))</f>
        <v/>
      </c>
      <c r="T7" s="105">
        <f>IF(3&gt;MAX($N$16:$N$5015),"",IF(3&gt;MAX($N$16:$N$5015),"",INDEX($G$16:$G$5015,MATCH((MAX($N$16:$N$5015)-3+1),$N$16:$N$5015,0)))&amp;" › "&amp;IF(3&gt;MAX($N$16:$N$5015),"",INDEX($H$16:$H$5015,MATCH((MAX($N$16:$N$5015)-3+1),$N$16:$N$5015,0)))&amp;" › "&amp;IF(3&gt;MAX($N$16:$N$5015),"",INDEX($I$16:$I$5015,MATCH((MAX($N$16:$N$5015)-3+1),$N$16:$N$5015,0))))</f>
        <v/>
      </c>
      <c r="U7" s="105">
        <f>IF(3&gt;MAX($N$16:$N$5015),"",INDEX($J$16:$J$5015,MATCH((MAX($N$16:$N$5015)-3+1),$N$16:$N$5015,0)))&amp;IF(IF(3&gt;MAX($N$16:$N$5015),"",INDEX($L$16:$L$5015,MATCH((MAX($N$16:$N$5015)-3+1),$N$16:$N$5015,0)))="",""," ["&amp;IF(3&gt;MAX($N$16:$N$5015),"",INDEX($L$16:$L$5015,MATCH((MAX($N$16:$N$5015)-3+1),$N$16:$N$5015,0)))&amp;"]")</f>
        <v/>
      </c>
      <c r="V7" s="120">
        <f>IF(3&gt;MAX($N$16:$N$5015),"",HYPERLINK("#Transaksi!B"&amp;(MATCH((MAX($N$16:$N$5015)-3+1),$N$16:$N$5015,0)+15),"Buka"))</f>
        <v/>
      </c>
    </row>
    <row r="8" ht="15" customHeight="1" s="94">
      <c r="A8" s="96" t="inlineStr">
        <is>
          <t>Akun</t>
        </is>
      </c>
      <c r="C8" s="116" t="inlineStr">
        <is>
          <t>Semua</t>
        </is>
      </c>
      <c r="D8" s="117" t="n"/>
      <c r="F8" s="115" t="inlineStr">
        <is>
          <t>Pindah uang</t>
        </is>
      </c>
      <c r="G8" s="121">
        <f>SUMIFS(F16:F5015,M16:M5015,"✓",D16:D5015,"Pindah")</f>
        <v/>
      </c>
      <c r="P8" s="119">
        <f>IF(4&gt;MAX($N$16:$N$5015),"",INDEX($B$16:$B$5015,MATCH((MAX($N$16:$N$5015)-4+1),$N$16:$N$5015,0)))</f>
        <v/>
      </c>
      <c r="Q8" s="105">
        <f>IF(4&gt;MAX($N$16:$N$5015),"",INDEX($C$16:$C$5015,MATCH((MAX($N$16:$N$5015)-4+1),$N$16:$N$5015,0)))&amp;IF(IF(4&gt;MAX($N$16:$N$5015),"",INDEX($E$16:$E$5015,MATCH((MAX($N$16:$N$5015)-4+1),$N$16:$N$5015,0)))="",""," → "&amp;IF(4&gt;MAX($N$16:$N$5015),"",INDEX($E$16:$E$5015,MATCH((MAX($N$16:$N$5015)-4+1),$N$16:$N$5015,0))))</f>
        <v/>
      </c>
      <c r="R8" s="105">
        <f>IF(4&gt;MAX($N$16:$N$5015),"",INDEX($D$16:$D$5015,MATCH((MAX($N$16:$N$5015)-4+1),$N$16:$N$5015,0)))</f>
        <v/>
      </c>
      <c r="S8" s="113">
        <f>IF(4&gt;MAX($N$16:$N$5015),"",INDEX($F$16:$F$5015,MATCH((MAX($N$16:$N$5015)-4+1),$N$16:$N$5015,0)))</f>
        <v/>
      </c>
      <c r="T8" s="105">
        <f>IF(4&gt;MAX($N$16:$N$5015),"",IF(4&gt;MAX($N$16:$N$5015),"",INDEX($G$16:$G$5015,MATCH((MAX($N$16:$N$5015)-4+1),$N$16:$N$5015,0)))&amp;" › "&amp;IF(4&gt;MAX($N$16:$N$5015),"",INDEX($H$16:$H$5015,MATCH((MAX($N$16:$N$5015)-4+1),$N$16:$N$5015,0)))&amp;" › "&amp;IF(4&gt;MAX($N$16:$N$5015),"",INDEX($I$16:$I$5015,MATCH((MAX($N$16:$N$5015)-4+1),$N$16:$N$5015,0))))</f>
        <v/>
      </c>
      <c r="U8" s="105">
        <f>IF(4&gt;MAX($N$16:$N$5015),"",INDEX($J$16:$J$5015,MATCH((MAX($N$16:$N$5015)-4+1),$N$16:$N$5015,0)))&amp;IF(IF(4&gt;MAX($N$16:$N$5015),"",INDEX($L$16:$L$5015,MATCH((MAX($N$16:$N$5015)-4+1),$N$16:$N$5015,0)))="",""," ["&amp;IF(4&gt;MAX($N$16:$N$5015),"",INDEX($L$16:$L$5015,MATCH((MAX($N$16:$N$5015)-4+1),$N$16:$N$5015,0)))&amp;"]")</f>
        <v/>
      </c>
      <c r="V8" s="120">
        <f>IF(4&gt;MAX($N$16:$N$5015),"",HYPERLINK("#Transaksi!B"&amp;(MATCH((MAX($N$16:$N$5015)-4+1),$N$16:$N$5015,0)+15),"Buka"))</f>
        <v/>
      </c>
    </row>
    <row r="9" ht="15" customHeight="1" s="94">
      <c r="A9" s="96" t="inlineStr">
        <is>
          <t>Tipe</t>
        </is>
      </c>
      <c r="C9" s="116" t="inlineStr">
        <is>
          <t>Semua</t>
        </is>
      </c>
      <c r="D9" s="117" t="n"/>
      <c r="F9" s="115" t="inlineStr">
        <is>
          <t>Pendapatan</t>
        </is>
      </c>
      <c r="G9" s="121">
        <f>SUMIFS(F16:F5015,M16:M5015,"✓",G16:G5015,"Pendapatan")</f>
        <v/>
      </c>
      <c r="P9" s="119">
        <f>IF(5&gt;MAX($N$16:$N$5015),"",INDEX($B$16:$B$5015,MATCH((MAX($N$16:$N$5015)-5+1),$N$16:$N$5015,0)))</f>
        <v/>
      </c>
      <c r="Q9" s="105">
        <f>IF(5&gt;MAX($N$16:$N$5015),"",INDEX($C$16:$C$5015,MATCH((MAX($N$16:$N$5015)-5+1),$N$16:$N$5015,0)))&amp;IF(IF(5&gt;MAX($N$16:$N$5015),"",INDEX($E$16:$E$5015,MATCH((MAX($N$16:$N$5015)-5+1),$N$16:$N$5015,0)))="",""," → "&amp;IF(5&gt;MAX($N$16:$N$5015),"",INDEX($E$16:$E$5015,MATCH((MAX($N$16:$N$5015)-5+1),$N$16:$N$5015,0))))</f>
        <v/>
      </c>
      <c r="R9" s="105">
        <f>IF(5&gt;MAX($N$16:$N$5015),"",INDEX($D$16:$D$5015,MATCH((MAX($N$16:$N$5015)-5+1),$N$16:$N$5015,0)))</f>
        <v/>
      </c>
      <c r="S9" s="113">
        <f>IF(5&gt;MAX($N$16:$N$5015),"",INDEX($F$16:$F$5015,MATCH((MAX($N$16:$N$5015)-5+1),$N$16:$N$5015,0)))</f>
        <v/>
      </c>
      <c r="T9" s="105">
        <f>IF(5&gt;MAX($N$16:$N$5015),"",IF(5&gt;MAX($N$16:$N$5015),"",INDEX($G$16:$G$5015,MATCH((MAX($N$16:$N$5015)-5+1),$N$16:$N$5015,0)))&amp;" › "&amp;IF(5&gt;MAX($N$16:$N$5015),"",INDEX($H$16:$H$5015,MATCH((MAX($N$16:$N$5015)-5+1),$N$16:$N$5015,0)))&amp;" › "&amp;IF(5&gt;MAX($N$16:$N$5015),"",INDEX($I$16:$I$5015,MATCH((MAX($N$16:$N$5015)-5+1),$N$16:$N$5015,0))))</f>
        <v/>
      </c>
      <c r="U9" s="105">
        <f>IF(5&gt;MAX($N$16:$N$5015),"",INDEX($J$16:$J$5015,MATCH((MAX($N$16:$N$5015)-5+1),$N$16:$N$5015,0)))&amp;IF(IF(5&gt;MAX($N$16:$N$5015),"",INDEX($L$16:$L$5015,MATCH((MAX($N$16:$N$5015)-5+1),$N$16:$N$5015,0)))="",""," ["&amp;IF(5&gt;MAX($N$16:$N$5015),"",INDEX($L$16:$L$5015,MATCH((MAX($N$16:$N$5015)-5+1),$N$16:$N$5015,0)))&amp;"]")</f>
        <v/>
      </c>
      <c r="V9" s="120">
        <f>IF(5&gt;MAX($N$16:$N$5015),"",HYPERLINK("#Transaksi!B"&amp;(MATCH((MAX($N$16:$N$5015)-5+1),$N$16:$N$5015,0)+15),"Buka"))</f>
        <v/>
      </c>
    </row>
    <row r="10" ht="30" customHeight="1" s="94">
      <c r="A10" s="96" t="inlineStr">
        <is>
          <t>Dari tanggal</t>
        </is>
      </c>
      <c r="C10" s="122" t="n"/>
      <c r="D10" s="117" t="n"/>
      <c r="F10" s="115" t="inlineStr">
        <is>
          <t>Pengeluaran</t>
        </is>
      </c>
      <c r="G10" s="121">
        <f>SUMIFS(F16:F5015,M16:M5015,"✓",G16:G5015,"Pengeluaran")</f>
        <v/>
      </c>
      <c r="P10" s="119">
        <f>IF(6&gt;MAX($N$16:$N$5015),"",INDEX($B$16:$B$5015,MATCH((MAX($N$16:$N$5015)-6+1),$N$16:$N$5015,0)))</f>
        <v/>
      </c>
      <c r="Q10" s="105">
        <f>IF(6&gt;MAX($N$16:$N$5015),"",INDEX($C$16:$C$5015,MATCH((MAX($N$16:$N$5015)-6+1),$N$16:$N$5015,0)))&amp;IF(IF(6&gt;MAX($N$16:$N$5015),"",INDEX($E$16:$E$5015,MATCH((MAX($N$16:$N$5015)-6+1),$N$16:$N$5015,0)))="",""," → "&amp;IF(6&gt;MAX($N$16:$N$5015),"",INDEX($E$16:$E$5015,MATCH((MAX($N$16:$N$5015)-6+1),$N$16:$N$5015,0))))</f>
        <v/>
      </c>
      <c r="R10" s="105">
        <f>IF(6&gt;MAX($N$16:$N$5015),"",INDEX($D$16:$D$5015,MATCH((MAX($N$16:$N$5015)-6+1),$N$16:$N$5015,0)))</f>
        <v/>
      </c>
      <c r="S10" s="113">
        <f>IF(6&gt;MAX($N$16:$N$5015),"",INDEX($F$16:$F$5015,MATCH((MAX($N$16:$N$5015)-6+1),$N$16:$N$5015,0)))</f>
        <v/>
      </c>
      <c r="T10" s="105">
        <f>IF(6&gt;MAX($N$16:$N$5015),"",IF(6&gt;MAX($N$16:$N$5015),"",INDEX($G$16:$G$5015,MATCH((MAX($N$16:$N$5015)-6+1),$N$16:$N$5015,0)))&amp;" › "&amp;IF(6&gt;MAX($N$16:$N$5015),"",INDEX($H$16:$H$5015,MATCH((MAX($N$16:$N$5015)-6+1),$N$16:$N$5015,0)))&amp;" › "&amp;IF(6&gt;MAX($N$16:$N$5015),"",INDEX($I$16:$I$5015,MATCH((MAX($N$16:$N$5015)-6+1),$N$16:$N$5015,0))))</f>
        <v/>
      </c>
      <c r="U10" s="105">
        <f>IF(6&gt;MAX($N$16:$N$5015),"",INDEX($J$16:$J$5015,MATCH((MAX($N$16:$N$5015)-6+1),$N$16:$N$5015,0)))&amp;IF(IF(6&gt;MAX($N$16:$N$5015),"",INDEX($L$16:$L$5015,MATCH((MAX($N$16:$N$5015)-6+1),$N$16:$N$5015,0)))="",""," ["&amp;IF(6&gt;MAX($N$16:$N$5015),"",INDEX($L$16:$L$5015,MATCH((MAX($N$16:$N$5015)-6+1),$N$16:$N$5015,0)))&amp;"]")</f>
        <v/>
      </c>
      <c r="V10" s="120">
        <f>IF(6&gt;MAX($N$16:$N$5015),"",HYPERLINK("#Transaksi!B"&amp;(MATCH((MAX($N$16:$N$5015)-6+1),$N$16:$N$5015,0)+15),"Buka"))</f>
        <v/>
      </c>
    </row>
    <row r="11" ht="15" customHeight="1" s="94">
      <c r="A11" s="96" t="inlineStr">
        <is>
          <t>Sampai tanggal</t>
        </is>
      </c>
      <c r="C11" s="122" t="n"/>
      <c r="D11" s="117" t="n"/>
      <c r="F11" s="115" t="inlineStr">
        <is>
          <t>Saldo akun terpilih</t>
        </is>
      </c>
      <c r="G11" s="121">
        <f>IF(OR($C$8="",$C$8="Semua"),"pilih akun di C8",(SUMIFS(Akun!$C$5:$C$104,Akun!$A$5:$A$104,$C$8,Akun!$D$5:$D$104,"&lt;="&amp;IF($C$11="",TODAY(),$C$11))+SUMIFS(Transaksi!$F$16:$F$5015,Transaksi!$C$16:$C$5015,$C$8,Transaksi!$D$16:$D$5015,"Masuk",Transaksi!$B$16:$B$5015,"&lt;="&amp;IF($C$11="",TODAY(),$C$11))-SUMIFS(Transaksi!$F$16:$F$5015,Transaksi!$C$16:$C$5015,$C$8,Transaksi!$D$16:$D$5015,"Keluar",Transaksi!$B$16:$B$5015,"&lt;="&amp;IF($C$11="",TODAY(),$C$11))-SUMIFS(Transaksi!$F$16:$F$5015,Transaksi!$C$16:$C$5015,$C$8,Transaksi!$D$16:$D$5015,"Pindah",Transaksi!$B$16:$B$5015,"&lt;="&amp;IF($C$11="",TODAY(),$C$11))+SUMIFS(Transaksi!$F$16:$F$5015,Transaksi!$E$16:$E$5015,$C$8,Transaksi!$D$16:$D$5015,"Pindah",Transaksi!$B$16:$B$5015,"&lt;="&amp;IF($C$11="",TODAY(),$C$11))))</f>
        <v/>
      </c>
      <c r="P11" s="119">
        <f>IF(7&gt;MAX($N$16:$N$5015),"",INDEX($B$16:$B$5015,MATCH((MAX($N$16:$N$5015)-7+1),$N$16:$N$5015,0)))</f>
        <v/>
      </c>
      <c r="Q11" s="105">
        <f>IF(7&gt;MAX($N$16:$N$5015),"",INDEX($C$16:$C$5015,MATCH((MAX($N$16:$N$5015)-7+1),$N$16:$N$5015,0)))&amp;IF(IF(7&gt;MAX($N$16:$N$5015),"",INDEX($E$16:$E$5015,MATCH((MAX($N$16:$N$5015)-7+1),$N$16:$N$5015,0)))="",""," → "&amp;IF(7&gt;MAX($N$16:$N$5015),"",INDEX($E$16:$E$5015,MATCH((MAX($N$16:$N$5015)-7+1),$N$16:$N$5015,0))))</f>
        <v/>
      </c>
      <c r="R11" s="105">
        <f>IF(7&gt;MAX($N$16:$N$5015),"",INDEX($D$16:$D$5015,MATCH((MAX($N$16:$N$5015)-7+1),$N$16:$N$5015,0)))</f>
        <v/>
      </c>
      <c r="S11" s="113">
        <f>IF(7&gt;MAX($N$16:$N$5015),"",INDEX($F$16:$F$5015,MATCH((MAX($N$16:$N$5015)-7+1),$N$16:$N$5015,0)))</f>
        <v/>
      </c>
      <c r="T11" s="105">
        <f>IF(7&gt;MAX($N$16:$N$5015),"",IF(7&gt;MAX($N$16:$N$5015),"",INDEX($G$16:$G$5015,MATCH((MAX($N$16:$N$5015)-7+1),$N$16:$N$5015,0)))&amp;" › "&amp;IF(7&gt;MAX($N$16:$N$5015),"",INDEX($H$16:$H$5015,MATCH((MAX($N$16:$N$5015)-7+1),$N$16:$N$5015,0)))&amp;" › "&amp;IF(7&gt;MAX($N$16:$N$5015),"",INDEX($I$16:$I$5015,MATCH((MAX($N$16:$N$5015)-7+1),$N$16:$N$5015,0))))</f>
        <v/>
      </c>
      <c r="U11" s="105">
        <f>IF(7&gt;MAX($N$16:$N$5015),"",INDEX($J$16:$J$5015,MATCH((MAX($N$16:$N$5015)-7+1),$N$16:$N$5015,0)))&amp;IF(IF(7&gt;MAX($N$16:$N$5015),"",INDEX($L$16:$L$5015,MATCH((MAX($N$16:$N$5015)-7+1),$N$16:$N$5015,0)))="",""," ["&amp;IF(7&gt;MAX($N$16:$N$5015),"",INDEX($L$16:$L$5015,MATCH((MAX($N$16:$N$5015)-7+1),$N$16:$N$5015,0)))&amp;"]")</f>
        <v/>
      </c>
      <c r="V11" s="120">
        <f>IF(7&gt;MAX($N$16:$N$5015),"",HYPERLINK("#Transaksi!B"&amp;(MATCH((MAX($N$16:$N$5015)-7+1),$N$16:$N$5015,0)+15),"Buka"))</f>
        <v/>
      </c>
    </row>
    <row r="12" ht="15" customHeight="1" s="94">
      <c r="A12" s="96" t="inlineStr">
        <is>
          <t>Hanya "Perlu Dicek"</t>
        </is>
      </c>
      <c r="C12" s="116" t="inlineStr">
        <is>
          <t>Tidak</t>
        </is>
      </c>
      <c r="D12" s="117" t="n"/>
      <c r="F12" s="115" t="inlineStr">
        <is>
          <t>Saldo awal akun itu</t>
        </is>
      </c>
      <c r="G12" s="121">
        <f>IF(OR($C$8="",$C$8="Semua"),"",SUMIFS(Akun!$C$5:$C$104,Akun!$A$5:$A$104,$C$8))</f>
        <v/>
      </c>
      <c r="P12" s="119">
        <f>IF(8&gt;MAX($N$16:$N$5015),"",INDEX($B$16:$B$5015,MATCH((MAX($N$16:$N$5015)-8+1),$N$16:$N$5015,0)))</f>
        <v/>
      </c>
      <c r="Q12" s="105">
        <f>IF(8&gt;MAX($N$16:$N$5015),"",INDEX($C$16:$C$5015,MATCH((MAX($N$16:$N$5015)-8+1),$N$16:$N$5015,0)))&amp;IF(IF(8&gt;MAX($N$16:$N$5015),"",INDEX($E$16:$E$5015,MATCH((MAX($N$16:$N$5015)-8+1),$N$16:$N$5015,0)))="",""," → "&amp;IF(8&gt;MAX($N$16:$N$5015),"",INDEX($E$16:$E$5015,MATCH((MAX($N$16:$N$5015)-8+1),$N$16:$N$5015,0))))</f>
        <v/>
      </c>
      <c r="R12" s="105">
        <f>IF(8&gt;MAX($N$16:$N$5015),"",INDEX($D$16:$D$5015,MATCH((MAX($N$16:$N$5015)-8+1),$N$16:$N$5015,0)))</f>
        <v/>
      </c>
      <c r="S12" s="113">
        <f>IF(8&gt;MAX($N$16:$N$5015),"",INDEX($F$16:$F$5015,MATCH((MAX($N$16:$N$5015)-8+1),$N$16:$N$5015,0)))</f>
        <v/>
      </c>
      <c r="T12" s="105">
        <f>IF(8&gt;MAX($N$16:$N$5015),"",IF(8&gt;MAX($N$16:$N$5015),"",INDEX($G$16:$G$5015,MATCH((MAX($N$16:$N$5015)-8+1),$N$16:$N$5015,0)))&amp;" › "&amp;IF(8&gt;MAX($N$16:$N$5015),"",INDEX($H$16:$H$5015,MATCH((MAX($N$16:$N$5015)-8+1),$N$16:$N$5015,0)))&amp;" › "&amp;IF(8&gt;MAX($N$16:$N$5015),"",INDEX($I$16:$I$5015,MATCH((MAX($N$16:$N$5015)-8+1),$N$16:$N$5015,0))))</f>
        <v/>
      </c>
      <c r="U12" s="105">
        <f>IF(8&gt;MAX($N$16:$N$5015),"",INDEX($J$16:$J$5015,MATCH((MAX($N$16:$N$5015)-8+1),$N$16:$N$5015,0)))&amp;IF(IF(8&gt;MAX($N$16:$N$5015),"",INDEX($L$16:$L$5015,MATCH((MAX($N$16:$N$5015)-8+1),$N$16:$N$5015,0)))="",""," ["&amp;IF(8&gt;MAX($N$16:$N$5015),"",INDEX($L$16:$L$5015,MATCH((MAX($N$16:$N$5015)-8+1),$N$16:$N$5015,0)))&amp;"]")</f>
        <v/>
      </c>
      <c r="V12" s="120">
        <f>IF(8&gt;MAX($N$16:$N$5015),"",HYPERLINK("#Transaksi!B"&amp;(MATCH((MAX($N$16:$N$5015)-8+1),$N$16:$N$5015,0)+15),"Buka"))</f>
        <v/>
      </c>
    </row>
    <row r="13" ht="39.75" customHeight="1" s="94">
      <c r="A13" s="96" t="inlineStr">
        <is>
          <t>Kos / Kamar</t>
        </is>
      </c>
      <c r="C13" s="116" t="inlineStr">
        <is>
          <t>Semua</t>
        </is>
      </c>
      <c r="D13" s="117" t="n"/>
      <c r="F13" s="114" t="inlineStr">
        <is>
          <t>Saldo akun dihitung sampai "Sampai tanggal" (atau hari ini bila kosong). Contoh melacak saldo akhir Juni 2025 Bank Mandiri: Akun = Bank Mandiri, Sampai tanggal = 30/06/2025.</t>
        </is>
      </c>
      <c r="P13" s="119">
        <f>IF(9&gt;MAX($N$16:$N$5015),"",INDEX($B$16:$B$5015,MATCH((MAX($N$16:$N$5015)-9+1),$N$16:$N$5015,0)))</f>
        <v/>
      </c>
      <c r="Q13" s="105">
        <f>IF(9&gt;MAX($N$16:$N$5015),"",INDEX($C$16:$C$5015,MATCH((MAX($N$16:$N$5015)-9+1),$N$16:$N$5015,0)))&amp;IF(IF(9&gt;MAX($N$16:$N$5015),"",INDEX($E$16:$E$5015,MATCH((MAX($N$16:$N$5015)-9+1),$N$16:$N$5015,0)))="",""," → "&amp;IF(9&gt;MAX($N$16:$N$5015),"",INDEX($E$16:$E$5015,MATCH((MAX($N$16:$N$5015)-9+1),$N$16:$N$5015,0))))</f>
        <v/>
      </c>
      <c r="R13" s="105">
        <f>IF(9&gt;MAX($N$16:$N$5015),"",INDEX($D$16:$D$5015,MATCH((MAX($N$16:$N$5015)-9+1),$N$16:$N$5015,0)))</f>
        <v/>
      </c>
      <c r="S13" s="113">
        <f>IF(9&gt;MAX($N$16:$N$5015),"",INDEX($F$16:$F$5015,MATCH((MAX($N$16:$N$5015)-9+1),$N$16:$N$5015,0)))</f>
        <v/>
      </c>
      <c r="T13" s="105">
        <f>IF(9&gt;MAX($N$16:$N$5015),"",IF(9&gt;MAX($N$16:$N$5015),"",INDEX($G$16:$G$5015,MATCH((MAX($N$16:$N$5015)-9+1),$N$16:$N$5015,0)))&amp;" › "&amp;IF(9&gt;MAX($N$16:$N$5015),"",INDEX($H$16:$H$5015,MATCH((MAX($N$16:$N$5015)-9+1),$N$16:$N$5015,0)))&amp;" › "&amp;IF(9&gt;MAX($N$16:$N$5015),"",INDEX($I$16:$I$5015,MATCH((MAX($N$16:$N$5015)-9+1),$N$16:$N$5015,0))))</f>
        <v/>
      </c>
      <c r="U13" s="105">
        <f>IF(9&gt;MAX($N$16:$N$5015),"",INDEX($J$16:$J$5015,MATCH((MAX($N$16:$N$5015)-9+1),$N$16:$N$5015,0)))&amp;IF(IF(9&gt;MAX($N$16:$N$5015),"",INDEX($L$16:$L$5015,MATCH((MAX($N$16:$N$5015)-9+1),$N$16:$N$5015,0)))="",""," ["&amp;IF(9&gt;MAX($N$16:$N$5015),"",INDEX($L$16:$L$5015,MATCH((MAX($N$16:$N$5015)-9+1),$N$16:$N$5015,0)))&amp;"]")</f>
        <v/>
      </c>
      <c r="V13" s="120">
        <f>IF(9&gt;MAX($N$16:$N$5015),"",HYPERLINK("#Transaksi!B"&amp;(MATCH((MAX($N$16:$N$5015)-9+1),$N$16:$N$5015,0)+15),"Buka"))</f>
        <v/>
      </c>
    </row>
    <row r="14" ht="15" customHeight="1" s="94">
      <c r="P14" s="119">
        <f>IF(10&gt;MAX($N$16:$N$5015),"",INDEX($B$16:$B$5015,MATCH((MAX($N$16:$N$5015)-10+1),$N$16:$N$5015,0)))</f>
        <v/>
      </c>
      <c r="Q14" s="105">
        <f>IF(10&gt;MAX($N$16:$N$5015),"",INDEX($C$16:$C$5015,MATCH((MAX($N$16:$N$5015)-10+1),$N$16:$N$5015,0)))&amp;IF(IF(10&gt;MAX($N$16:$N$5015),"",INDEX($E$16:$E$5015,MATCH((MAX($N$16:$N$5015)-10+1),$N$16:$N$5015,0)))="",""," → "&amp;IF(10&gt;MAX($N$16:$N$5015),"",INDEX($E$16:$E$5015,MATCH((MAX($N$16:$N$5015)-10+1),$N$16:$N$5015,0))))</f>
        <v/>
      </c>
      <c r="R14" s="105">
        <f>IF(10&gt;MAX($N$16:$N$5015),"",INDEX($D$16:$D$5015,MATCH((MAX($N$16:$N$5015)-10+1),$N$16:$N$5015,0)))</f>
        <v/>
      </c>
      <c r="S14" s="113">
        <f>IF(10&gt;MAX($N$16:$N$5015),"",INDEX($F$16:$F$5015,MATCH((MAX($N$16:$N$5015)-10+1),$N$16:$N$5015,0)))</f>
        <v/>
      </c>
      <c r="T14" s="105">
        <f>IF(10&gt;MAX($N$16:$N$5015),"",IF(10&gt;MAX($N$16:$N$5015),"",INDEX($G$16:$G$5015,MATCH((MAX($N$16:$N$5015)-10+1),$N$16:$N$5015,0)))&amp;" › "&amp;IF(10&gt;MAX($N$16:$N$5015),"",INDEX($H$16:$H$5015,MATCH((MAX($N$16:$N$5015)-10+1),$N$16:$N$5015,0)))&amp;" › "&amp;IF(10&gt;MAX($N$16:$N$5015),"",INDEX($I$16:$I$5015,MATCH((MAX($N$16:$N$5015)-10+1),$N$16:$N$5015,0))))</f>
        <v/>
      </c>
      <c r="U14" s="105">
        <f>IF(10&gt;MAX($N$16:$N$5015),"",INDEX($J$16:$J$5015,MATCH((MAX($N$16:$N$5015)-10+1),$N$16:$N$5015,0)))&amp;IF(IF(10&gt;MAX($N$16:$N$5015),"",INDEX($L$16:$L$5015,MATCH((MAX($N$16:$N$5015)-10+1),$N$16:$N$5015,0)))="",""," ["&amp;IF(10&gt;MAX($N$16:$N$5015),"",INDEX($L$16:$L$5015,MATCH((MAX($N$16:$N$5015)-10+1),$N$16:$N$5015,0)))&amp;"]")</f>
        <v/>
      </c>
      <c r="V14" s="120">
        <f>IF(10&gt;MAX($N$16:$N$5015),"",HYPERLINK("#Transaksi!B"&amp;(MATCH((MAX($N$16:$N$5015)-10+1),$N$16:$N$5015,0)+15),"Buka"))</f>
        <v/>
      </c>
    </row>
    <row r="15" ht="31.5" customHeight="1" s="94">
      <c r="A15" s="103" t="inlineStr">
        <is>
          <t>No</t>
        </is>
      </c>
      <c r="B15" s="103" t="inlineStr">
        <is>
          <t>Tanggal</t>
        </is>
      </c>
      <c r="C15" s="103" t="inlineStr">
        <is>
          <t>Akun</t>
        </is>
      </c>
      <c r="D15" s="103" t="inlineStr">
        <is>
          <t>Tipe</t>
        </is>
      </c>
      <c r="E15" s="103" t="inlineStr">
        <is>
          <t>Akun Tujuan (Pindah)</t>
        </is>
      </c>
      <c r="F15" s="103" t="inlineStr">
        <is>
          <t>Jumlah</t>
        </is>
      </c>
      <c r="G15" s="103" t="inlineStr">
        <is>
          <t>Tujuan</t>
        </is>
      </c>
      <c r="H15" s="103" t="inlineStr">
        <is>
          <t>Sumber</t>
        </is>
      </c>
      <c r="I15" s="103" t="inlineStr">
        <is>
          <t>Kategori</t>
        </is>
      </c>
      <c r="J15" s="103" t="inlineStr">
        <is>
          <t>Keterangan</t>
        </is>
      </c>
      <c r="K15" s="103" t="inlineStr">
        <is>
          <t>Perlu Dicek</t>
        </is>
      </c>
      <c r="L15" s="103" t="inlineStr">
        <is>
          <t>Kos / Kamar</t>
        </is>
      </c>
      <c r="M15" s="103" t="inlineStr">
        <is>
          <t>✓</t>
        </is>
      </c>
      <c r="O15" s="93" t="inlineStr">
        <is>
          <t>Riba</t>
        </is>
      </c>
      <c r="P15" s="119">
        <f>IF(11&gt;MAX($N$16:$N$5015),"",INDEX($B$16:$B$5015,MATCH((MAX($N$16:$N$5015)-11+1),$N$16:$N$5015,0)))</f>
        <v/>
      </c>
      <c r="Q15" s="105">
        <f>IF(11&gt;MAX($N$16:$N$5015),"",INDEX($C$16:$C$5015,MATCH((MAX($N$16:$N$5015)-11+1),$N$16:$N$5015,0)))&amp;IF(IF(11&gt;MAX($N$16:$N$5015),"",INDEX($E$16:$E$5015,MATCH((MAX($N$16:$N$5015)-11+1),$N$16:$N$5015,0)))="",""," → "&amp;IF(11&gt;MAX($N$16:$N$5015),"",INDEX($E$16:$E$5015,MATCH((MAX($N$16:$N$5015)-11+1),$N$16:$N$5015,0))))</f>
        <v/>
      </c>
      <c r="R15" s="105">
        <f>IF(11&gt;MAX($N$16:$N$5015),"",INDEX($D$16:$D$5015,MATCH((MAX($N$16:$N$5015)-11+1),$N$16:$N$5015,0)))</f>
        <v/>
      </c>
      <c r="S15" s="113">
        <f>IF(11&gt;MAX($N$16:$N$5015),"",INDEX($F$16:$F$5015,MATCH((MAX($N$16:$N$5015)-11+1),$N$16:$N$5015,0)))</f>
        <v/>
      </c>
      <c r="T15" s="105">
        <f>IF(11&gt;MAX($N$16:$N$5015),"",IF(11&gt;MAX($N$16:$N$5015),"",INDEX($G$16:$G$5015,MATCH((MAX($N$16:$N$5015)-11+1),$N$16:$N$5015,0)))&amp;" › "&amp;IF(11&gt;MAX($N$16:$N$5015),"",INDEX($H$16:$H$5015,MATCH((MAX($N$16:$N$5015)-11+1),$N$16:$N$5015,0)))&amp;" › "&amp;IF(11&gt;MAX($N$16:$N$5015),"",INDEX($I$16:$I$5015,MATCH((MAX($N$16:$N$5015)-11+1),$N$16:$N$5015,0))))</f>
        <v/>
      </c>
      <c r="U15" s="105">
        <f>IF(11&gt;MAX($N$16:$N$5015),"",INDEX($J$16:$J$5015,MATCH((MAX($N$16:$N$5015)-11+1),$N$16:$N$5015,0)))&amp;IF(IF(11&gt;MAX($N$16:$N$5015),"",INDEX($L$16:$L$5015,MATCH((MAX($N$16:$N$5015)-11+1),$N$16:$N$5015,0)))="",""," ["&amp;IF(11&gt;MAX($N$16:$N$5015),"",INDEX($L$16:$L$5015,MATCH((MAX($N$16:$N$5015)-11+1),$N$16:$N$5015,0)))&amp;"]")</f>
        <v/>
      </c>
      <c r="V15" s="120">
        <f>IF(11&gt;MAX($N$16:$N$5015),"",HYPERLINK("#Transaksi!B"&amp;(MATCH((MAX($N$16:$N$5015)-11+1),$N$16:$N$5015,0)+15),"Buka"))</f>
        <v/>
      </c>
      <c r="X15" s="93" t="inlineStr">
        <is>
          <t>Buku</t>
        </is>
      </c>
    </row>
    <row r="16" outlineLevel="1" ht="15" customHeight="1" s="94">
      <c r="A16" s="123">
        <f>IF(B16="","",ROW()-15)</f>
        <v/>
      </c>
      <c r="B16" s="124" t="n"/>
      <c r="C16" s="123" t="n"/>
      <c r="D16" s="123" t="n"/>
      <c r="E16" s="123" t="n"/>
      <c r="F16" s="125" t="n"/>
      <c r="G16" s="123" t="n"/>
      <c r="H16" s="123" t="n"/>
      <c r="I16" s="123" t="n"/>
      <c r="J16" s="123" t="n"/>
      <c r="K16" s="123" t="n"/>
      <c r="L16" s="123" t="n"/>
      <c r="M16" s="123">
        <f>IF(AND(B16&lt;&gt;"",OR($C$4="",ISNUMBER(SEARCH($C$4,C16&amp;" "&amp;E16&amp;" "&amp;G16&amp;" "&amp;H16&amp;" "&amp;I16&amp;" "&amp;J16&amp;" "&amp;K16&amp;" "&amp;L16))),OR($C$5="Semua",$C$5="",G16=$C$5),OR($C$6="Semua",$C$6="",H16=$C$6,H16="Pengeluaran "&amp;$C$6,AND($C$6="Uang Kos Mama",H16="Pengeluaran Uang Kos")),OR($C$7="Semua",$C$7="",I16=$C$7),OR($C$8="Semua",$C$8="",C16=$C$8,E16=$C$8),OR($C$9="Semua",$C$9="",D16=$C$9),OR($C$10="",B16&gt;=$C$10),OR($C$11="",B16&lt;=$C$11),OR($C$12&lt;&gt;"Ya",K16&lt;&gt;""),OR($C$13="Semua",$C$13="",L16=$C$13)),"✓","")</f>
        <v/>
      </c>
      <c r="N16" s="93">
        <f>IF(M16="✓",1,0)</f>
        <v/>
      </c>
      <c r="O16" s="93">
        <f>N(O15)+IF(AND(B16&lt;&gt;"",B16&gt;='Uang Riba'!$H$30,B16&lt;='Uang Riba'!$I$30,OR(H16="Dana riba",H16="Pinjam uang riba",I16="Pinjam dari uang riba",I16="Ganti uang riba",I16="Kelebihan ganti dikembalikan",AND(C16="Kantong Uang Riba",G16="Pengeluaran"))),1,0)</f>
        <v/>
      </c>
      <c r="P16" s="119">
        <f>IF(12&gt;MAX($N$16:$N$5015),"",INDEX($B$16:$B$5015,MATCH((MAX($N$16:$N$5015)-12+1),$N$16:$N$5015,0)))</f>
        <v/>
      </c>
      <c r="Q16" s="105">
        <f>IF(12&gt;MAX($N$16:$N$5015),"",INDEX($C$16:$C$5015,MATCH((MAX($N$16:$N$5015)-12+1),$N$16:$N$5015,0)))&amp;IF(IF(12&gt;MAX($N$16:$N$5015),"",INDEX($E$16:$E$5015,MATCH((MAX($N$16:$N$5015)-12+1),$N$16:$N$5015,0)))="",""," → "&amp;IF(12&gt;MAX($N$16:$N$5015),"",INDEX($E$16:$E$5015,MATCH((MAX($N$16:$N$5015)-12+1),$N$16:$N$5015,0))))</f>
        <v/>
      </c>
      <c r="R16" s="105">
        <f>IF(12&gt;MAX($N$16:$N$5015),"",INDEX($D$16:$D$5015,MATCH((MAX($N$16:$N$5015)-12+1),$N$16:$N$5015,0)))</f>
        <v/>
      </c>
      <c r="S16" s="113">
        <f>IF(12&gt;MAX($N$16:$N$5015),"",INDEX($F$16:$F$5015,MATCH((MAX($N$16:$N$5015)-12+1),$N$16:$N$5015,0)))</f>
        <v/>
      </c>
      <c r="T16" s="105">
        <f>IF(12&gt;MAX($N$16:$N$5015),"",IF(12&gt;MAX($N$16:$N$5015),"",INDEX($G$16:$G$5015,MATCH((MAX($N$16:$N$5015)-12+1),$N$16:$N$5015,0)))&amp;" › "&amp;IF(12&gt;MAX($N$16:$N$5015),"",INDEX($H$16:$H$5015,MATCH((MAX($N$16:$N$5015)-12+1),$N$16:$N$5015,0)))&amp;" › "&amp;IF(12&gt;MAX($N$16:$N$5015),"",INDEX($I$16:$I$5015,MATCH((MAX($N$16:$N$5015)-12+1),$N$16:$N$5015,0))))</f>
        <v/>
      </c>
      <c r="U16" s="105">
        <f>IF(12&gt;MAX($N$16:$N$5015),"",INDEX($J$16:$J$5015,MATCH((MAX($N$16:$N$5015)-12+1),$N$16:$N$5015,0)))&amp;IF(IF(12&gt;MAX($N$16:$N$5015),"",INDEX($L$16:$L$5015,MATCH((MAX($N$16:$N$5015)-12+1),$N$16:$N$5015,0)))="",""," ["&amp;IF(12&gt;MAX($N$16:$N$5015),"",INDEX($L$16:$L$5015,MATCH((MAX($N$16:$N$5015)-12+1),$N$16:$N$5015,0)))&amp;"]")</f>
        <v/>
      </c>
      <c r="V16" s="120">
        <f>IF(12&gt;MAX($N$16:$N$5015),"",HYPERLINK("#Transaksi!B"&amp;(MATCH((MAX($N$16:$N$5015)-12+1),$N$16:$N$5015,0)+15),"Buka"))</f>
        <v/>
      </c>
      <c r="X16" s="93">
        <f>IF(AND(B16&lt;&gt;"",B16&gt;='Buku Akun'!$H$4,B16&lt;='Buku Akun'!$H$5,OR(C16='Buku Akun'!$C$4,AND(D16="Pindah",E16='Buku Akun'!$C$4))),B16+IF(AND(I16="Selisih bunga",DAY(B16)=1),0,0.01)+ROW()/10000000,"")</f>
        <v/>
      </c>
    </row>
    <row r="17" outlineLevel="1" ht="15" customHeight="1" s="94">
      <c r="A17" s="123">
        <f>IF(B17="","",ROW()-15)</f>
        <v/>
      </c>
      <c r="B17" s="124" t="n"/>
      <c r="C17" s="123" t="n"/>
      <c r="D17" s="123" t="n"/>
      <c r="E17" s="123" t="n"/>
      <c r="F17" s="125" t="n"/>
      <c r="G17" s="123" t="n"/>
      <c r="H17" s="123" t="n"/>
      <c r="I17" s="123" t="n"/>
      <c r="J17" s="123" t="n"/>
      <c r="K17" s="123" t="n"/>
      <c r="L17" s="123" t="n"/>
      <c r="M17" s="123">
        <f>IF(AND(B17&lt;&gt;"",OR($C$4="",ISNUMBER(SEARCH($C$4,C17&amp;" "&amp;E17&amp;" "&amp;G17&amp;" "&amp;H17&amp;" "&amp;I17&amp;" "&amp;J17&amp;" "&amp;K17&amp;" "&amp;L17))),OR($C$5="Semua",$C$5="",G17=$C$5),OR($C$6="Semua",$C$6="",H17=$C$6,H17="Pengeluaran "&amp;$C$6,AND($C$6="Uang Kos Mama",H17="Pengeluaran Uang Kos")),OR($C$7="Semua",$C$7="",I17=$C$7),OR($C$8="Semua",$C$8="",C17=$C$8,E17=$C$8),OR($C$9="Semua",$C$9="",D17=$C$9),OR($C$10="",B17&gt;=$C$10),OR($C$11="",B17&lt;=$C$11),OR($C$12&lt;&gt;"Ya",K17&lt;&gt;""),OR($C$13="Semua",$C$13="",L17=$C$13)),"✓","")</f>
        <v/>
      </c>
      <c r="N17" s="93">
        <f>N(N16)+IF(M17="✓",1,0)</f>
        <v/>
      </c>
      <c r="O17" s="93">
        <f>N(O16)+IF(AND(B17&lt;&gt;"",B17&gt;='Uang Riba'!$H$30,B17&lt;='Uang Riba'!$I$30,OR(H17="Dana riba",H17="Pinjam uang riba",I17="Pinjam dari uang riba",I17="Ganti uang riba",I17="Kelebihan ganti dikembalikan",AND(C17="Kantong Uang Riba",G17="Pengeluaran"))),1,0)</f>
        <v/>
      </c>
      <c r="P17" s="119">
        <f>IF(13&gt;MAX($N$16:$N$5015),"",INDEX($B$16:$B$5015,MATCH((MAX($N$16:$N$5015)-13+1),$N$16:$N$5015,0)))</f>
        <v/>
      </c>
      <c r="Q17" s="105">
        <f>IF(13&gt;MAX($N$16:$N$5015),"",INDEX($C$16:$C$5015,MATCH((MAX($N$16:$N$5015)-13+1),$N$16:$N$5015,0)))&amp;IF(IF(13&gt;MAX($N$16:$N$5015),"",INDEX($E$16:$E$5015,MATCH((MAX($N$16:$N$5015)-13+1),$N$16:$N$5015,0)))="",""," → "&amp;IF(13&gt;MAX($N$16:$N$5015),"",INDEX($E$16:$E$5015,MATCH((MAX($N$16:$N$5015)-13+1),$N$16:$N$5015,0))))</f>
        <v/>
      </c>
      <c r="R17" s="105">
        <f>IF(13&gt;MAX($N$16:$N$5015),"",INDEX($D$16:$D$5015,MATCH((MAX($N$16:$N$5015)-13+1),$N$16:$N$5015,0)))</f>
        <v/>
      </c>
      <c r="S17" s="113">
        <f>IF(13&gt;MAX($N$16:$N$5015),"",INDEX($F$16:$F$5015,MATCH((MAX($N$16:$N$5015)-13+1),$N$16:$N$5015,0)))</f>
        <v/>
      </c>
      <c r="T17" s="105">
        <f>IF(13&gt;MAX($N$16:$N$5015),"",IF(13&gt;MAX($N$16:$N$5015),"",INDEX($G$16:$G$5015,MATCH((MAX($N$16:$N$5015)-13+1),$N$16:$N$5015,0)))&amp;" › "&amp;IF(13&gt;MAX($N$16:$N$5015),"",INDEX($H$16:$H$5015,MATCH((MAX($N$16:$N$5015)-13+1),$N$16:$N$5015,0)))&amp;" › "&amp;IF(13&gt;MAX($N$16:$N$5015),"",INDEX($I$16:$I$5015,MATCH((MAX($N$16:$N$5015)-13+1),$N$16:$N$5015,0))))</f>
        <v/>
      </c>
      <c r="U17" s="105">
        <f>IF(13&gt;MAX($N$16:$N$5015),"",INDEX($J$16:$J$5015,MATCH((MAX($N$16:$N$5015)-13+1),$N$16:$N$5015,0)))&amp;IF(IF(13&gt;MAX($N$16:$N$5015),"",INDEX($L$16:$L$5015,MATCH((MAX($N$16:$N$5015)-13+1),$N$16:$N$5015,0)))="",""," ["&amp;IF(13&gt;MAX($N$16:$N$5015),"",INDEX($L$16:$L$5015,MATCH((MAX($N$16:$N$5015)-13+1),$N$16:$N$5015,0)))&amp;"]")</f>
        <v/>
      </c>
      <c r="V17" s="120">
        <f>IF(13&gt;MAX($N$16:$N$5015),"",HYPERLINK("#Transaksi!B"&amp;(MATCH((MAX($N$16:$N$5015)-13+1),$N$16:$N$5015,0)+15),"Buka"))</f>
        <v/>
      </c>
      <c r="X17" s="93">
        <f>IF(AND(B17&lt;&gt;"",B17&gt;='Buku Akun'!$H$4,B17&lt;='Buku Akun'!$H$5,OR(C17='Buku Akun'!$C$4,AND(D17="Pindah",E17='Buku Akun'!$C$4))),B17+IF(AND(I17="Selisih bunga",DAY(B17)=1),0,0.01)+ROW()/10000000,"")</f>
        <v/>
      </c>
    </row>
    <row r="18" outlineLevel="1" ht="15" customHeight="1" s="94">
      <c r="A18" s="123">
        <f>IF(B18="","",ROW()-15)</f>
        <v/>
      </c>
      <c r="B18" s="124" t="n"/>
      <c r="C18" s="123" t="n"/>
      <c r="D18" s="123" t="n"/>
      <c r="E18" s="123" t="n"/>
      <c r="F18" s="125" t="n"/>
      <c r="G18" s="123" t="n"/>
      <c r="H18" s="123" t="n"/>
      <c r="I18" s="123" t="n"/>
      <c r="J18" s="123" t="n"/>
      <c r="K18" s="123" t="n"/>
      <c r="L18" s="123" t="n"/>
      <c r="M18" s="123">
        <f>IF(AND(B18&lt;&gt;"",OR($C$4="",ISNUMBER(SEARCH($C$4,C18&amp;" "&amp;E18&amp;" "&amp;G18&amp;" "&amp;H18&amp;" "&amp;I18&amp;" "&amp;J18&amp;" "&amp;K18&amp;" "&amp;L18))),OR($C$5="Semua",$C$5="",G18=$C$5),OR($C$6="Semua",$C$6="",H18=$C$6,H18="Pengeluaran "&amp;$C$6,AND($C$6="Uang Kos Mama",H18="Pengeluaran Uang Kos")),OR($C$7="Semua",$C$7="",I18=$C$7),OR($C$8="Semua",$C$8="",C18=$C$8,E18=$C$8),OR($C$9="Semua",$C$9="",D18=$C$9),OR($C$10="",B18&gt;=$C$10),OR($C$11="",B18&lt;=$C$11),OR($C$12&lt;&gt;"Ya",K18&lt;&gt;""),OR($C$13="Semua",$C$13="",L18=$C$13)),"✓","")</f>
        <v/>
      </c>
      <c r="N18" s="93">
        <f>N(N17)+IF(M18="✓",1,0)</f>
        <v/>
      </c>
      <c r="O18" s="93">
        <f>N(O17)+IF(AND(B18&lt;&gt;"",B18&gt;='Uang Riba'!$H$30,B18&lt;='Uang Riba'!$I$30,OR(H18="Dana riba",H18="Pinjam uang riba",I18="Pinjam dari uang riba",I18="Ganti uang riba",I18="Kelebihan ganti dikembalikan",AND(C18="Kantong Uang Riba",G18="Pengeluaran"))),1,0)</f>
        <v/>
      </c>
      <c r="P18" s="119">
        <f>IF(14&gt;MAX($N$16:$N$5015),"",INDEX($B$16:$B$5015,MATCH((MAX($N$16:$N$5015)-14+1),$N$16:$N$5015,0)))</f>
        <v/>
      </c>
      <c r="Q18" s="105">
        <f>IF(14&gt;MAX($N$16:$N$5015),"",INDEX($C$16:$C$5015,MATCH((MAX($N$16:$N$5015)-14+1),$N$16:$N$5015,0)))&amp;IF(IF(14&gt;MAX($N$16:$N$5015),"",INDEX($E$16:$E$5015,MATCH((MAX($N$16:$N$5015)-14+1),$N$16:$N$5015,0)))="",""," → "&amp;IF(14&gt;MAX($N$16:$N$5015),"",INDEX($E$16:$E$5015,MATCH((MAX($N$16:$N$5015)-14+1),$N$16:$N$5015,0))))</f>
        <v/>
      </c>
      <c r="R18" s="105">
        <f>IF(14&gt;MAX($N$16:$N$5015),"",INDEX($D$16:$D$5015,MATCH((MAX($N$16:$N$5015)-14+1),$N$16:$N$5015,0)))</f>
        <v/>
      </c>
      <c r="S18" s="113">
        <f>IF(14&gt;MAX($N$16:$N$5015),"",INDEX($F$16:$F$5015,MATCH((MAX($N$16:$N$5015)-14+1),$N$16:$N$5015,0)))</f>
        <v/>
      </c>
      <c r="T18" s="105">
        <f>IF(14&gt;MAX($N$16:$N$5015),"",IF(14&gt;MAX($N$16:$N$5015),"",INDEX($G$16:$G$5015,MATCH((MAX($N$16:$N$5015)-14+1),$N$16:$N$5015,0)))&amp;" › "&amp;IF(14&gt;MAX($N$16:$N$5015),"",INDEX($H$16:$H$5015,MATCH((MAX($N$16:$N$5015)-14+1),$N$16:$N$5015,0)))&amp;" › "&amp;IF(14&gt;MAX($N$16:$N$5015),"",INDEX($I$16:$I$5015,MATCH((MAX($N$16:$N$5015)-14+1),$N$16:$N$5015,0))))</f>
        <v/>
      </c>
      <c r="U18" s="105">
        <f>IF(14&gt;MAX($N$16:$N$5015),"",INDEX($J$16:$J$5015,MATCH((MAX($N$16:$N$5015)-14+1),$N$16:$N$5015,0)))&amp;IF(IF(14&gt;MAX($N$16:$N$5015),"",INDEX($L$16:$L$5015,MATCH((MAX($N$16:$N$5015)-14+1),$N$16:$N$5015,0)))="",""," ["&amp;IF(14&gt;MAX($N$16:$N$5015),"",INDEX($L$16:$L$5015,MATCH((MAX($N$16:$N$5015)-14+1),$N$16:$N$5015,0)))&amp;"]")</f>
        <v/>
      </c>
      <c r="V18" s="120">
        <f>IF(14&gt;MAX($N$16:$N$5015),"",HYPERLINK("#Transaksi!B"&amp;(MATCH((MAX($N$16:$N$5015)-14+1),$N$16:$N$5015,0)+15),"Buka"))</f>
        <v/>
      </c>
      <c r="X18" s="93">
        <f>IF(AND(B18&lt;&gt;"",B18&gt;='Buku Akun'!$H$4,B18&lt;='Buku Akun'!$H$5,OR(C18='Buku Akun'!$C$4,AND(D18="Pindah",E18='Buku Akun'!$C$4))),B18+IF(AND(I18="Selisih bunga",DAY(B18)=1),0,0.01)+ROW()/10000000,"")</f>
        <v/>
      </c>
    </row>
    <row r="19" outlineLevel="1" ht="15" customHeight="1" s="94">
      <c r="A19" s="123">
        <f>IF(B19="","",ROW()-15)</f>
        <v/>
      </c>
      <c r="B19" s="124" t="n"/>
      <c r="C19" s="123" t="n"/>
      <c r="D19" s="123" t="n"/>
      <c r="E19" s="123" t="n"/>
      <c r="F19" s="125" t="n"/>
      <c r="G19" s="123" t="n"/>
      <c r="H19" s="123" t="n"/>
      <c r="I19" s="123" t="n"/>
      <c r="J19" s="123" t="n"/>
      <c r="K19" s="123" t="n"/>
      <c r="L19" s="123" t="n"/>
      <c r="M19" s="123">
        <f>IF(AND(B19&lt;&gt;"",OR($C$4="",ISNUMBER(SEARCH($C$4,C19&amp;" "&amp;E19&amp;" "&amp;G19&amp;" "&amp;H19&amp;" "&amp;I19&amp;" "&amp;J19&amp;" "&amp;K19&amp;" "&amp;L19))),OR($C$5="Semua",$C$5="",G19=$C$5),OR($C$6="Semua",$C$6="",H19=$C$6,H19="Pengeluaran "&amp;$C$6,AND($C$6="Uang Kos Mama",H19="Pengeluaran Uang Kos")),OR($C$7="Semua",$C$7="",I19=$C$7),OR($C$8="Semua",$C$8="",C19=$C$8,E19=$C$8),OR($C$9="Semua",$C$9="",D19=$C$9),OR($C$10="",B19&gt;=$C$10),OR($C$11="",B19&lt;=$C$11),OR($C$12&lt;&gt;"Ya",K19&lt;&gt;""),OR($C$13="Semua",$C$13="",L19=$C$13)),"✓","")</f>
        <v/>
      </c>
      <c r="N19" s="93">
        <f>N(N18)+IF(M19="✓",1,0)</f>
        <v/>
      </c>
      <c r="O19" s="93">
        <f>N(O18)+IF(AND(B19&lt;&gt;"",B19&gt;='Uang Riba'!$H$30,B19&lt;='Uang Riba'!$I$30,OR(H19="Dana riba",H19="Pinjam uang riba",I19="Pinjam dari uang riba",I19="Ganti uang riba",I19="Kelebihan ganti dikembalikan",AND(C19="Kantong Uang Riba",G19="Pengeluaran"))),1,0)</f>
        <v/>
      </c>
      <c r="P19" s="119">
        <f>IF(15&gt;MAX($N$16:$N$5015),"",INDEX($B$16:$B$5015,MATCH((MAX($N$16:$N$5015)-15+1),$N$16:$N$5015,0)))</f>
        <v/>
      </c>
      <c r="Q19" s="105">
        <f>IF(15&gt;MAX($N$16:$N$5015),"",INDEX($C$16:$C$5015,MATCH((MAX($N$16:$N$5015)-15+1),$N$16:$N$5015,0)))&amp;IF(IF(15&gt;MAX($N$16:$N$5015),"",INDEX($E$16:$E$5015,MATCH((MAX($N$16:$N$5015)-15+1),$N$16:$N$5015,0)))="",""," → "&amp;IF(15&gt;MAX($N$16:$N$5015),"",INDEX($E$16:$E$5015,MATCH((MAX($N$16:$N$5015)-15+1),$N$16:$N$5015,0))))</f>
        <v/>
      </c>
      <c r="R19" s="105">
        <f>IF(15&gt;MAX($N$16:$N$5015),"",INDEX($D$16:$D$5015,MATCH((MAX($N$16:$N$5015)-15+1),$N$16:$N$5015,0)))</f>
        <v/>
      </c>
      <c r="S19" s="113">
        <f>IF(15&gt;MAX($N$16:$N$5015),"",INDEX($F$16:$F$5015,MATCH((MAX($N$16:$N$5015)-15+1),$N$16:$N$5015,0)))</f>
        <v/>
      </c>
      <c r="T19" s="105">
        <f>IF(15&gt;MAX($N$16:$N$5015),"",IF(15&gt;MAX($N$16:$N$5015),"",INDEX($G$16:$G$5015,MATCH((MAX($N$16:$N$5015)-15+1),$N$16:$N$5015,0)))&amp;" › "&amp;IF(15&gt;MAX($N$16:$N$5015),"",INDEX($H$16:$H$5015,MATCH((MAX($N$16:$N$5015)-15+1),$N$16:$N$5015,0)))&amp;" › "&amp;IF(15&gt;MAX($N$16:$N$5015),"",INDEX($I$16:$I$5015,MATCH((MAX($N$16:$N$5015)-15+1),$N$16:$N$5015,0))))</f>
        <v/>
      </c>
      <c r="U19" s="105">
        <f>IF(15&gt;MAX($N$16:$N$5015),"",INDEX($J$16:$J$5015,MATCH((MAX($N$16:$N$5015)-15+1),$N$16:$N$5015,0)))&amp;IF(IF(15&gt;MAX($N$16:$N$5015),"",INDEX($L$16:$L$5015,MATCH((MAX($N$16:$N$5015)-15+1),$N$16:$N$5015,0)))="",""," ["&amp;IF(15&gt;MAX($N$16:$N$5015),"",INDEX($L$16:$L$5015,MATCH((MAX($N$16:$N$5015)-15+1),$N$16:$N$5015,0)))&amp;"]")</f>
        <v/>
      </c>
      <c r="V19" s="120">
        <f>IF(15&gt;MAX($N$16:$N$5015),"",HYPERLINK("#Transaksi!B"&amp;(MATCH((MAX($N$16:$N$5015)-15+1),$N$16:$N$5015,0)+15),"Buka"))</f>
        <v/>
      </c>
      <c r="X19" s="93">
        <f>IF(AND(B19&lt;&gt;"",B19&gt;='Buku Akun'!$H$4,B19&lt;='Buku Akun'!$H$5,OR(C19='Buku Akun'!$C$4,AND(D19="Pindah",E19='Buku Akun'!$C$4))),B19+IF(AND(I19="Selisih bunga",DAY(B19)=1),0,0.01)+ROW()/10000000,"")</f>
        <v/>
      </c>
    </row>
    <row r="20" outlineLevel="1" ht="15" customHeight="1" s="94">
      <c r="A20" s="123">
        <f>IF(B20="","",ROW()-15)</f>
        <v/>
      </c>
      <c r="B20" s="124" t="n"/>
      <c r="C20" s="123" t="n"/>
      <c r="D20" s="123" t="n"/>
      <c r="E20" s="123" t="n"/>
      <c r="F20" s="125" t="n"/>
      <c r="G20" s="123" t="n"/>
      <c r="H20" s="123" t="n"/>
      <c r="I20" s="123" t="n"/>
      <c r="J20" s="123" t="n"/>
      <c r="K20" s="123" t="n"/>
      <c r="L20" s="123" t="n"/>
      <c r="M20" s="123">
        <f>IF(AND(B20&lt;&gt;"",OR($C$4="",ISNUMBER(SEARCH($C$4,C20&amp;" "&amp;E20&amp;" "&amp;G20&amp;" "&amp;H20&amp;" "&amp;I20&amp;" "&amp;J20&amp;" "&amp;K20&amp;" "&amp;L20))),OR($C$5="Semua",$C$5="",G20=$C$5),OR($C$6="Semua",$C$6="",H20=$C$6,H20="Pengeluaran "&amp;$C$6,AND($C$6="Uang Kos Mama",H20="Pengeluaran Uang Kos")),OR($C$7="Semua",$C$7="",I20=$C$7),OR($C$8="Semua",$C$8="",C20=$C$8,E20=$C$8),OR($C$9="Semua",$C$9="",D20=$C$9),OR($C$10="",B20&gt;=$C$10),OR($C$11="",B20&lt;=$C$11),OR($C$12&lt;&gt;"Ya",K20&lt;&gt;""),OR($C$13="Semua",$C$13="",L20=$C$13)),"✓","")</f>
        <v/>
      </c>
      <c r="N20" s="93">
        <f>N(N19)+IF(M20="✓",1,0)</f>
        <v/>
      </c>
      <c r="O20" s="93">
        <f>N(O19)+IF(AND(B20&lt;&gt;"",B20&gt;='Uang Riba'!$H$30,B20&lt;='Uang Riba'!$I$30,OR(H20="Dana riba",H20="Pinjam uang riba",I20="Pinjam dari uang riba",I20="Ganti uang riba",I20="Kelebihan ganti dikembalikan",AND(C20="Kantong Uang Riba",G20="Pengeluaran"))),1,0)</f>
        <v/>
      </c>
      <c r="P20" s="119">
        <f>IF(16&gt;MAX($N$16:$N$5015),"",INDEX($B$16:$B$5015,MATCH((MAX($N$16:$N$5015)-16+1),$N$16:$N$5015,0)))</f>
        <v/>
      </c>
      <c r="Q20" s="105">
        <f>IF(16&gt;MAX($N$16:$N$5015),"",INDEX($C$16:$C$5015,MATCH((MAX($N$16:$N$5015)-16+1),$N$16:$N$5015,0)))&amp;IF(IF(16&gt;MAX($N$16:$N$5015),"",INDEX($E$16:$E$5015,MATCH((MAX($N$16:$N$5015)-16+1),$N$16:$N$5015,0)))="",""," → "&amp;IF(16&gt;MAX($N$16:$N$5015),"",INDEX($E$16:$E$5015,MATCH((MAX($N$16:$N$5015)-16+1),$N$16:$N$5015,0))))</f>
        <v/>
      </c>
      <c r="R20" s="105">
        <f>IF(16&gt;MAX($N$16:$N$5015),"",INDEX($D$16:$D$5015,MATCH((MAX($N$16:$N$5015)-16+1),$N$16:$N$5015,0)))</f>
        <v/>
      </c>
      <c r="S20" s="113">
        <f>IF(16&gt;MAX($N$16:$N$5015),"",INDEX($F$16:$F$5015,MATCH((MAX($N$16:$N$5015)-16+1),$N$16:$N$5015,0)))</f>
        <v/>
      </c>
      <c r="T20" s="105">
        <f>IF(16&gt;MAX($N$16:$N$5015),"",IF(16&gt;MAX($N$16:$N$5015),"",INDEX($G$16:$G$5015,MATCH((MAX($N$16:$N$5015)-16+1),$N$16:$N$5015,0)))&amp;" › "&amp;IF(16&gt;MAX($N$16:$N$5015),"",INDEX($H$16:$H$5015,MATCH((MAX($N$16:$N$5015)-16+1),$N$16:$N$5015,0)))&amp;" › "&amp;IF(16&gt;MAX($N$16:$N$5015),"",INDEX($I$16:$I$5015,MATCH((MAX($N$16:$N$5015)-16+1),$N$16:$N$5015,0))))</f>
        <v/>
      </c>
      <c r="U20" s="105">
        <f>IF(16&gt;MAX($N$16:$N$5015),"",INDEX($J$16:$J$5015,MATCH((MAX($N$16:$N$5015)-16+1),$N$16:$N$5015,0)))&amp;IF(IF(16&gt;MAX($N$16:$N$5015),"",INDEX($L$16:$L$5015,MATCH((MAX($N$16:$N$5015)-16+1),$N$16:$N$5015,0)))="",""," ["&amp;IF(16&gt;MAX($N$16:$N$5015),"",INDEX($L$16:$L$5015,MATCH((MAX($N$16:$N$5015)-16+1),$N$16:$N$5015,0)))&amp;"]")</f>
        <v/>
      </c>
      <c r="V20" s="120">
        <f>IF(16&gt;MAX($N$16:$N$5015),"",HYPERLINK("#Transaksi!B"&amp;(MATCH((MAX($N$16:$N$5015)-16+1),$N$16:$N$5015,0)+15),"Buka"))</f>
        <v/>
      </c>
      <c r="X20" s="93">
        <f>IF(AND(B20&lt;&gt;"",B20&gt;='Buku Akun'!$H$4,B20&lt;='Buku Akun'!$H$5,OR(C20='Buku Akun'!$C$4,AND(D20="Pindah",E20='Buku Akun'!$C$4))),B20+IF(AND(I20="Selisih bunga",DAY(B20)=1),0,0.01)+ROW()/10000000,"")</f>
        <v/>
      </c>
    </row>
    <row r="21" outlineLevel="1" ht="15" customHeight="1" s="94">
      <c r="A21" s="123">
        <f>IF(B21="","",ROW()-15)</f>
        <v/>
      </c>
      <c r="B21" s="124" t="n"/>
      <c r="C21" s="123" t="n"/>
      <c r="D21" s="123" t="n"/>
      <c r="E21" s="123" t="n"/>
      <c r="F21" s="125" t="n"/>
      <c r="G21" s="123" t="n"/>
      <c r="H21" s="123" t="n"/>
      <c r="I21" s="123" t="n"/>
      <c r="J21" s="123" t="n"/>
      <c r="K21" s="123" t="n"/>
      <c r="L21" s="123" t="n"/>
      <c r="M21" s="123">
        <f>IF(AND(B21&lt;&gt;"",OR($C$4="",ISNUMBER(SEARCH($C$4,C21&amp;" "&amp;E21&amp;" "&amp;G21&amp;" "&amp;H21&amp;" "&amp;I21&amp;" "&amp;J21&amp;" "&amp;K21&amp;" "&amp;L21))),OR($C$5="Semua",$C$5="",G21=$C$5),OR($C$6="Semua",$C$6="",H21=$C$6,H21="Pengeluaran "&amp;$C$6,AND($C$6="Uang Kos Mama",H21="Pengeluaran Uang Kos")),OR($C$7="Semua",$C$7="",I21=$C$7),OR($C$8="Semua",$C$8="",C21=$C$8,E21=$C$8),OR($C$9="Semua",$C$9="",D21=$C$9),OR($C$10="",B21&gt;=$C$10),OR($C$11="",B21&lt;=$C$11),OR($C$12&lt;&gt;"Ya",K21&lt;&gt;""),OR($C$13="Semua",$C$13="",L21=$C$13)),"✓","")</f>
        <v/>
      </c>
      <c r="N21" s="93">
        <f>N(N20)+IF(M21="✓",1,0)</f>
        <v/>
      </c>
      <c r="O21" s="93">
        <f>N(O20)+IF(AND(B21&lt;&gt;"",B21&gt;='Uang Riba'!$H$30,B21&lt;='Uang Riba'!$I$30,OR(H21="Dana riba",H21="Pinjam uang riba",I21="Pinjam dari uang riba",I21="Ganti uang riba",I21="Kelebihan ganti dikembalikan",AND(C21="Kantong Uang Riba",G21="Pengeluaran"))),1,0)</f>
        <v/>
      </c>
      <c r="P21" s="119">
        <f>IF(17&gt;MAX($N$16:$N$5015),"",INDEX($B$16:$B$5015,MATCH((MAX($N$16:$N$5015)-17+1),$N$16:$N$5015,0)))</f>
        <v/>
      </c>
      <c r="Q21" s="105">
        <f>IF(17&gt;MAX($N$16:$N$5015),"",INDEX($C$16:$C$5015,MATCH((MAX($N$16:$N$5015)-17+1),$N$16:$N$5015,0)))&amp;IF(IF(17&gt;MAX($N$16:$N$5015),"",INDEX($E$16:$E$5015,MATCH((MAX($N$16:$N$5015)-17+1),$N$16:$N$5015,0)))="",""," → "&amp;IF(17&gt;MAX($N$16:$N$5015),"",INDEX($E$16:$E$5015,MATCH((MAX($N$16:$N$5015)-17+1),$N$16:$N$5015,0))))</f>
        <v/>
      </c>
      <c r="R21" s="105">
        <f>IF(17&gt;MAX($N$16:$N$5015),"",INDEX($D$16:$D$5015,MATCH((MAX($N$16:$N$5015)-17+1),$N$16:$N$5015,0)))</f>
        <v/>
      </c>
      <c r="S21" s="113">
        <f>IF(17&gt;MAX($N$16:$N$5015),"",INDEX($F$16:$F$5015,MATCH((MAX($N$16:$N$5015)-17+1),$N$16:$N$5015,0)))</f>
        <v/>
      </c>
      <c r="T21" s="105">
        <f>IF(17&gt;MAX($N$16:$N$5015),"",IF(17&gt;MAX($N$16:$N$5015),"",INDEX($G$16:$G$5015,MATCH((MAX($N$16:$N$5015)-17+1),$N$16:$N$5015,0)))&amp;" › "&amp;IF(17&gt;MAX($N$16:$N$5015),"",INDEX($H$16:$H$5015,MATCH((MAX($N$16:$N$5015)-17+1),$N$16:$N$5015,0)))&amp;" › "&amp;IF(17&gt;MAX($N$16:$N$5015),"",INDEX($I$16:$I$5015,MATCH((MAX($N$16:$N$5015)-17+1),$N$16:$N$5015,0))))</f>
        <v/>
      </c>
      <c r="U21" s="105">
        <f>IF(17&gt;MAX($N$16:$N$5015),"",INDEX($J$16:$J$5015,MATCH((MAX($N$16:$N$5015)-17+1),$N$16:$N$5015,0)))&amp;IF(IF(17&gt;MAX($N$16:$N$5015),"",INDEX($L$16:$L$5015,MATCH((MAX($N$16:$N$5015)-17+1),$N$16:$N$5015,0)))="",""," ["&amp;IF(17&gt;MAX($N$16:$N$5015),"",INDEX($L$16:$L$5015,MATCH((MAX($N$16:$N$5015)-17+1),$N$16:$N$5015,0)))&amp;"]")</f>
        <v/>
      </c>
      <c r="V21" s="120">
        <f>IF(17&gt;MAX($N$16:$N$5015),"",HYPERLINK("#Transaksi!B"&amp;(MATCH((MAX($N$16:$N$5015)-17+1),$N$16:$N$5015,0)+15),"Buka"))</f>
        <v/>
      </c>
      <c r="X21" s="93">
        <f>IF(AND(B21&lt;&gt;"",B21&gt;='Buku Akun'!$H$4,B21&lt;='Buku Akun'!$H$5,OR(C21='Buku Akun'!$C$4,AND(D21="Pindah",E21='Buku Akun'!$C$4))),B21+IF(AND(I21="Selisih bunga",DAY(B21)=1),0,0.01)+ROW()/10000000,"")</f>
        <v/>
      </c>
    </row>
    <row r="22" outlineLevel="1" ht="15" customHeight="1" s="94">
      <c r="A22" s="123">
        <f>IF(B22="","",ROW()-15)</f>
        <v/>
      </c>
      <c r="B22" s="124" t="n"/>
      <c r="C22" s="123" t="n"/>
      <c r="D22" s="123" t="n"/>
      <c r="E22" s="123" t="n"/>
      <c r="F22" s="125" t="n"/>
      <c r="G22" s="123" t="n"/>
      <c r="H22" s="123" t="n"/>
      <c r="I22" s="123" t="n"/>
      <c r="J22" s="123" t="n"/>
      <c r="K22" s="123" t="n"/>
      <c r="L22" s="123" t="n"/>
      <c r="M22" s="123">
        <f>IF(AND(B22&lt;&gt;"",OR($C$4="",ISNUMBER(SEARCH($C$4,C22&amp;" "&amp;E22&amp;" "&amp;G22&amp;" "&amp;H22&amp;" "&amp;I22&amp;" "&amp;J22&amp;" "&amp;K22&amp;" "&amp;L22))),OR($C$5="Semua",$C$5="",G22=$C$5),OR($C$6="Semua",$C$6="",H22=$C$6,H22="Pengeluaran "&amp;$C$6,AND($C$6="Uang Kos Mama",H22="Pengeluaran Uang Kos")),OR($C$7="Semua",$C$7="",I22=$C$7),OR($C$8="Semua",$C$8="",C22=$C$8,E22=$C$8),OR($C$9="Semua",$C$9="",D22=$C$9),OR($C$10="",B22&gt;=$C$10),OR($C$11="",B22&lt;=$C$11),OR($C$12&lt;&gt;"Ya",K22&lt;&gt;""),OR($C$13="Semua",$C$13="",L22=$C$13)),"✓","")</f>
        <v/>
      </c>
      <c r="N22" s="93">
        <f>N(N21)+IF(M22="✓",1,0)</f>
        <v/>
      </c>
      <c r="O22" s="93">
        <f>N(O21)+IF(AND(B22&lt;&gt;"",B22&gt;='Uang Riba'!$H$30,B22&lt;='Uang Riba'!$I$30,OR(H22="Dana riba",H22="Pinjam uang riba",I22="Pinjam dari uang riba",I22="Ganti uang riba",I22="Kelebihan ganti dikembalikan",AND(C22="Kantong Uang Riba",G22="Pengeluaran"))),1,0)</f>
        <v/>
      </c>
      <c r="P22" s="119">
        <f>IF(18&gt;MAX($N$16:$N$5015),"",INDEX($B$16:$B$5015,MATCH((MAX($N$16:$N$5015)-18+1),$N$16:$N$5015,0)))</f>
        <v/>
      </c>
      <c r="Q22" s="105">
        <f>IF(18&gt;MAX($N$16:$N$5015),"",INDEX($C$16:$C$5015,MATCH((MAX($N$16:$N$5015)-18+1),$N$16:$N$5015,0)))&amp;IF(IF(18&gt;MAX($N$16:$N$5015),"",INDEX($E$16:$E$5015,MATCH((MAX($N$16:$N$5015)-18+1),$N$16:$N$5015,0)))="",""," → "&amp;IF(18&gt;MAX($N$16:$N$5015),"",INDEX($E$16:$E$5015,MATCH((MAX($N$16:$N$5015)-18+1),$N$16:$N$5015,0))))</f>
        <v/>
      </c>
      <c r="R22" s="105">
        <f>IF(18&gt;MAX($N$16:$N$5015),"",INDEX($D$16:$D$5015,MATCH((MAX($N$16:$N$5015)-18+1),$N$16:$N$5015,0)))</f>
        <v/>
      </c>
      <c r="S22" s="113">
        <f>IF(18&gt;MAX($N$16:$N$5015),"",INDEX($F$16:$F$5015,MATCH((MAX($N$16:$N$5015)-18+1),$N$16:$N$5015,0)))</f>
        <v/>
      </c>
      <c r="T22" s="105">
        <f>IF(18&gt;MAX($N$16:$N$5015),"",IF(18&gt;MAX($N$16:$N$5015),"",INDEX($G$16:$G$5015,MATCH((MAX($N$16:$N$5015)-18+1),$N$16:$N$5015,0)))&amp;" › "&amp;IF(18&gt;MAX($N$16:$N$5015),"",INDEX($H$16:$H$5015,MATCH((MAX($N$16:$N$5015)-18+1),$N$16:$N$5015,0)))&amp;" › "&amp;IF(18&gt;MAX($N$16:$N$5015),"",INDEX($I$16:$I$5015,MATCH((MAX($N$16:$N$5015)-18+1),$N$16:$N$5015,0))))</f>
        <v/>
      </c>
      <c r="U22" s="105">
        <f>IF(18&gt;MAX($N$16:$N$5015),"",INDEX($J$16:$J$5015,MATCH((MAX($N$16:$N$5015)-18+1),$N$16:$N$5015,0)))&amp;IF(IF(18&gt;MAX($N$16:$N$5015),"",INDEX($L$16:$L$5015,MATCH((MAX($N$16:$N$5015)-18+1),$N$16:$N$5015,0)))="",""," ["&amp;IF(18&gt;MAX($N$16:$N$5015),"",INDEX($L$16:$L$5015,MATCH((MAX($N$16:$N$5015)-18+1),$N$16:$N$5015,0)))&amp;"]")</f>
        <v/>
      </c>
      <c r="V22" s="120">
        <f>IF(18&gt;MAX($N$16:$N$5015),"",HYPERLINK("#Transaksi!B"&amp;(MATCH((MAX($N$16:$N$5015)-18+1),$N$16:$N$5015,0)+15),"Buka"))</f>
        <v/>
      </c>
      <c r="X22" s="93">
        <f>IF(AND(B22&lt;&gt;"",B22&gt;='Buku Akun'!$H$4,B22&lt;='Buku Akun'!$H$5,OR(C22='Buku Akun'!$C$4,AND(D22="Pindah",E22='Buku Akun'!$C$4))),B22+IF(AND(I22="Selisih bunga",DAY(B22)=1),0,0.01)+ROW()/10000000,"")</f>
        <v/>
      </c>
    </row>
    <row r="23" outlineLevel="1" ht="15" customHeight="1" s="94">
      <c r="A23" s="123">
        <f>IF(B23="","",ROW()-15)</f>
        <v/>
      </c>
      <c r="B23" s="124" t="n"/>
      <c r="C23" s="123" t="n"/>
      <c r="D23" s="123" t="n"/>
      <c r="E23" s="123" t="n"/>
      <c r="F23" s="125" t="n"/>
      <c r="G23" s="123" t="n"/>
      <c r="H23" s="123" t="n"/>
      <c r="I23" s="123" t="n"/>
      <c r="J23" s="123" t="n"/>
      <c r="K23" s="123" t="n"/>
      <c r="L23" s="123" t="n"/>
      <c r="M23" s="123">
        <f>IF(AND(B23&lt;&gt;"",OR($C$4="",ISNUMBER(SEARCH($C$4,C23&amp;" "&amp;E23&amp;" "&amp;G23&amp;" "&amp;H23&amp;" "&amp;I23&amp;" "&amp;J23&amp;" "&amp;K23&amp;" "&amp;L23))),OR($C$5="Semua",$C$5="",G23=$C$5),OR($C$6="Semua",$C$6="",H23=$C$6,H23="Pengeluaran "&amp;$C$6,AND($C$6="Uang Kos Mama",H23="Pengeluaran Uang Kos")),OR($C$7="Semua",$C$7="",I23=$C$7),OR($C$8="Semua",$C$8="",C23=$C$8,E23=$C$8),OR($C$9="Semua",$C$9="",D23=$C$9),OR($C$10="",B23&gt;=$C$10),OR($C$11="",B23&lt;=$C$11),OR($C$12&lt;&gt;"Ya",K23&lt;&gt;""),OR($C$13="Semua",$C$13="",L23=$C$13)),"✓","")</f>
        <v/>
      </c>
      <c r="N23" s="93">
        <f>N(N22)+IF(M23="✓",1,0)</f>
        <v/>
      </c>
      <c r="O23" s="93">
        <f>N(O22)+IF(AND(B23&lt;&gt;"",B23&gt;='Uang Riba'!$H$30,B23&lt;='Uang Riba'!$I$30,OR(H23="Dana riba",H23="Pinjam uang riba",I23="Pinjam dari uang riba",I23="Ganti uang riba",I23="Kelebihan ganti dikembalikan",AND(C23="Kantong Uang Riba",G23="Pengeluaran"))),1,0)</f>
        <v/>
      </c>
      <c r="P23" s="119">
        <f>IF(19&gt;MAX($N$16:$N$5015),"",INDEX($B$16:$B$5015,MATCH((MAX($N$16:$N$5015)-19+1),$N$16:$N$5015,0)))</f>
        <v/>
      </c>
      <c r="Q23" s="105">
        <f>IF(19&gt;MAX($N$16:$N$5015),"",INDEX($C$16:$C$5015,MATCH((MAX($N$16:$N$5015)-19+1),$N$16:$N$5015,0)))&amp;IF(IF(19&gt;MAX($N$16:$N$5015),"",INDEX($E$16:$E$5015,MATCH((MAX($N$16:$N$5015)-19+1),$N$16:$N$5015,0)))="",""," → "&amp;IF(19&gt;MAX($N$16:$N$5015),"",INDEX($E$16:$E$5015,MATCH((MAX($N$16:$N$5015)-19+1),$N$16:$N$5015,0))))</f>
        <v/>
      </c>
      <c r="R23" s="105">
        <f>IF(19&gt;MAX($N$16:$N$5015),"",INDEX($D$16:$D$5015,MATCH((MAX($N$16:$N$5015)-19+1),$N$16:$N$5015,0)))</f>
        <v/>
      </c>
      <c r="S23" s="113">
        <f>IF(19&gt;MAX($N$16:$N$5015),"",INDEX($F$16:$F$5015,MATCH((MAX($N$16:$N$5015)-19+1),$N$16:$N$5015,0)))</f>
        <v/>
      </c>
      <c r="T23" s="105">
        <f>IF(19&gt;MAX($N$16:$N$5015),"",IF(19&gt;MAX($N$16:$N$5015),"",INDEX($G$16:$G$5015,MATCH((MAX($N$16:$N$5015)-19+1),$N$16:$N$5015,0)))&amp;" › "&amp;IF(19&gt;MAX($N$16:$N$5015),"",INDEX($H$16:$H$5015,MATCH((MAX($N$16:$N$5015)-19+1),$N$16:$N$5015,0)))&amp;" › "&amp;IF(19&gt;MAX($N$16:$N$5015),"",INDEX($I$16:$I$5015,MATCH((MAX($N$16:$N$5015)-19+1),$N$16:$N$5015,0))))</f>
        <v/>
      </c>
      <c r="U23" s="105">
        <f>IF(19&gt;MAX($N$16:$N$5015),"",INDEX($J$16:$J$5015,MATCH((MAX($N$16:$N$5015)-19+1),$N$16:$N$5015,0)))&amp;IF(IF(19&gt;MAX($N$16:$N$5015),"",INDEX($L$16:$L$5015,MATCH((MAX($N$16:$N$5015)-19+1),$N$16:$N$5015,0)))="",""," ["&amp;IF(19&gt;MAX($N$16:$N$5015),"",INDEX($L$16:$L$5015,MATCH((MAX($N$16:$N$5015)-19+1),$N$16:$N$5015,0)))&amp;"]")</f>
        <v/>
      </c>
      <c r="V23" s="120">
        <f>IF(19&gt;MAX($N$16:$N$5015),"",HYPERLINK("#Transaksi!B"&amp;(MATCH((MAX($N$16:$N$5015)-19+1),$N$16:$N$5015,0)+15),"Buka"))</f>
        <v/>
      </c>
      <c r="X23" s="93">
        <f>IF(AND(B23&lt;&gt;"",B23&gt;='Buku Akun'!$H$4,B23&lt;='Buku Akun'!$H$5,OR(C23='Buku Akun'!$C$4,AND(D23="Pindah",E23='Buku Akun'!$C$4))),B23+IF(AND(I23="Selisih bunga",DAY(B23)=1),0,0.01)+ROW()/10000000,"")</f>
        <v/>
      </c>
    </row>
    <row r="24" outlineLevel="1" ht="15" customHeight="1" s="94">
      <c r="A24" s="123">
        <f>IF(B24="","",ROW()-15)</f>
        <v/>
      </c>
      <c r="B24" s="124" t="n"/>
      <c r="C24" s="123" t="n"/>
      <c r="D24" s="123" t="n"/>
      <c r="E24" s="123" t="n"/>
      <c r="F24" s="125" t="n"/>
      <c r="G24" s="123" t="n"/>
      <c r="H24" s="123" t="n"/>
      <c r="I24" s="123" t="n"/>
      <c r="J24" s="123" t="n"/>
      <c r="K24" s="123" t="n"/>
      <c r="L24" s="123" t="n"/>
      <c r="M24" s="123">
        <f>IF(AND(B24&lt;&gt;"",OR($C$4="",ISNUMBER(SEARCH($C$4,C24&amp;" "&amp;E24&amp;" "&amp;G24&amp;" "&amp;H24&amp;" "&amp;I24&amp;" "&amp;J24&amp;" "&amp;K24&amp;" "&amp;L24))),OR($C$5="Semua",$C$5="",G24=$C$5),OR($C$6="Semua",$C$6="",H24=$C$6,H24="Pengeluaran "&amp;$C$6,AND($C$6="Uang Kos Mama",H24="Pengeluaran Uang Kos")),OR($C$7="Semua",$C$7="",I24=$C$7),OR($C$8="Semua",$C$8="",C24=$C$8,E24=$C$8),OR($C$9="Semua",$C$9="",D24=$C$9),OR($C$10="",B24&gt;=$C$10),OR($C$11="",B24&lt;=$C$11),OR($C$12&lt;&gt;"Ya",K24&lt;&gt;""),OR($C$13="Semua",$C$13="",L24=$C$13)),"✓","")</f>
        <v/>
      </c>
      <c r="N24" s="93">
        <f>N(N23)+IF(M24="✓",1,0)</f>
        <v/>
      </c>
      <c r="O24" s="93">
        <f>N(O23)+IF(AND(B24&lt;&gt;"",B24&gt;='Uang Riba'!$H$30,B24&lt;='Uang Riba'!$I$30,OR(H24="Dana riba",H24="Pinjam uang riba",I24="Pinjam dari uang riba",I24="Ganti uang riba",I24="Kelebihan ganti dikembalikan",AND(C24="Kantong Uang Riba",G24="Pengeluaran"))),1,0)</f>
        <v/>
      </c>
      <c r="P24" s="119">
        <f>IF(20&gt;MAX($N$16:$N$5015),"",INDEX($B$16:$B$5015,MATCH((MAX($N$16:$N$5015)-20+1),$N$16:$N$5015,0)))</f>
        <v/>
      </c>
      <c r="Q24" s="105">
        <f>IF(20&gt;MAX($N$16:$N$5015),"",INDEX($C$16:$C$5015,MATCH((MAX($N$16:$N$5015)-20+1),$N$16:$N$5015,0)))&amp;IF(IF(20&gt;MAX($N$16:$N$5015),"",INDEX($E$16:$E$5015,MATCH((MAX($N$16:$N$5015)-20+1),$N$16:$N$5015,0)))="",""," → "&amp;IF(20&gt;MAX($N$16:$N$5015),"",INDEX($E$16:$E$5015,MATCH((MAX($N$16:$N$5015)-20+1),$N$16:$N$5015,0))))</f>
        <v/>
      </c>
      <c r="R24" s="105">
        <f>IF(20&gt;MAX($N$16:$N$5015),"",INDEX($D$16:$D$5015,MATCH((MAX($N$16:$N$5015)-20+1),$N$16:$N$5015,0)))</f>
        <v/>
      </c>
      <c r="S24" s="113">
        <f>IF(20&gt;MAX($N$16:$N$5015),"",INDEX($F$16:$F$5015,MATCH((MAX($N$16:$N$5015)-20+1),$N$16:$N$5015,0)))</f>
        <v/>
      </c>
      <c r="T24" s="105">
        <f>IF(20&gt;MAX($N$16:$N$5015),"",IF(20&gt;MAX($N$16:$N$5015),"",INDEX($G$16:$G$5015,MATCH((MAX($N$16:$N$5015)-20+1),$N$16:$N$5015,0)))&amp;" › "&amp;IF(20&gt;MAX($N$16:$N$5015),"",INDEX($H$16:$H$5015,MATCH((MAX($N$16:$N$5015)-20+1),$N$16:$N$5015,0)))&amp;" › "&amp;IF(20&gt;MAX($N$16:$N$5015),"",INDEX($I$16:$I$5015,MATCH((MAX($N$16:$N$5015)-20+1),$N$16:$N$5015,0))))</f>
        <v/>
      </c>
      <c r="U24" s="105">
        <f>IF(20&gt;MAX($N$16:$N$5015),"",INDEX($J$16:$J$5015,MATCH((MAX($N$16:$N$5015)-20+1),$N$16:$N$5015,0)))&amp;IF(IF(20&gt;MAX($N$16:$N$5015),"",INDEX($L$16:$L$5015,MATCH((MAX($N$16:$N$5015)-20+1),$N$16:$N$5015,0)))="",""," ["&amp;IF(20&gt;MAX($N$16:$N$5015),"",INDEX($L$16:$L$5015,MATCH((MAX($N$16:$N$5015)-20+1),$N$16:$N$5015,0)))&amp;"]")</f>
        <v/>
      </c>
      <c r="V24" s="120">
        <f>IF(20&gt;MAX($N$16:$N$5015),"",HYPERLINK("#Transaksi!B"&amp;(MATCH((MAX($N$16:$N$5015)-20+1),$N$16:$N$5015,0)+15),"Buka"))</f>
        <v/>
      </c>
      <c r="X24" s="93">
        <f>IF(AND(B24&lt;&gt;"",B24&gt;='Buku Akun'!$H$4,B24&lt;='Buku Akun'!$H$5,OR(C24='Buku Akun'!$C$4,AND(D24="Pindah",E24='Buku Akun'!$C$4))),B24+IF(AND(I24="Selisih bunga",DAY(B24)=1),0,0.01)+ROW()/10000000,"")</f>
        <v/>
      </c>
    </row>
    <row r="25" outlineLevel="1" ht="15" customHeight="1" s="94">
      <c r="A25" s="123">
        <f>IF(B25="","",ROW()-15)</f>
        <v/>
      </c>
      <c r="B25" s="124" t="n"/>
      <c r="C25" s="123" t="n"/>
      <c r="D25" s="123" t="n"/>
      <c r="E25" s="123" t="n"/>
      <c r="F25" s="125" t="n"/>
      <c r="G25" s="123" t="n"/>
      <c r="H25" s="123" t="n"/>
      <c r="I25" s="123" t="n"/>
      <c r="J25" s="123" t="n"/>
      <c r="K25" s="123" t="n"/>
      <c r="L25" s="123" t="n"/>
      <c r="M25" s="123">
        <f>IF(AND(B25&lt;&gt;"",OR($C$4="",ISNUMBER(SEARCH($C$4,C25&amp;" "&amp;E25&amp;" "&amp;G25&amp;" "&amp;H25&amp;" "&amp;I25&amp;" "&amp;J25&amp;" "&amp;K25&amp;" "&amp;L25))),OR($C$5="Semua",$C$5="",G25=$C$5),OR($C$6="Semua",$C$6="",H25=$C$6,H25="Pengeluaran "&amp;$C$6,AND($C$6="Uang Kos Mama",H25="Pengeluaran Uang Kos")),OR($C$7="Semua",$C$7="",I25=$C$7),OR($C$8="Semua",$C$8="",C25=$C$8,E25=$C$8),OR($C$9="Semua",$C$9="",D25=$C$9),OR($C$10="",B25&gt;=$C$10),OR($C$11="",B25&lt;=$C$11),OR($C$12&lt;&gt;"Ya",K25&lt;&gt;""),OR($C$13="Semua",$C$13="",L25=$C$13)),"✓","")</f>
        <v/>
      </c>
      <c r="N25" s="93">
        <f>N(N24)+IF(M25="✓",1,0)</f>
        <v/>
      </c>
      <c r="O25" s="93">
        <f>N(O24)+IF(AND(B25&lt;&gt;"",B25&gt;='Uang Riba'!$H$30,B25&lt;='Uang Riba'!$I$30,OR(H25="Dana riba",H25="Pinjam uang riba",I25="Pinjam dari uang riba",I25="Ganti uang riba",I25="Kelebihan ganti dikembalikan",AND(C25="Kantong Uang Riba",G25="Pengeluaran"))),1,0)</f>
        <v/>
      </c>
      <c r="P25" s="119">
        <f>IF(21&gt;MAX($N$16:$N$5015),"",INDEX($B$16:$B$5015,MATCH((MAX($N$16:$N$5015)-21+1),$N$16:$N$5015,0)))</f>
        <v/>
      </c>
      <c r="Q25" s="105">
        <f>IF(21&gt;MAX($N$16:$N$5015),"",INDEX($C$16:$C$5015,MATCH((MAX($N$16:$N$5015)-21+1),$N$16:$N$5015,0)))&amp;IF(IF(21&gt;MAX($N$16:$N$5015),"",INDEX($E$16:$E$5015,MATCH((MAX($N$16:$N$5015)-21+1),$N$16:$N$5015,0)))="",""," → "&amp;IF(21&gt;MAX($N$16:$N$5015),"",INDEX($E$16:$E$5015,MATCH((MAX($N$16:$N$5015)-21+1),$N$16:$N$5015,0))))</f>
        <v/>
      </c>
      <c r="R25" s="105">
        <f>IF(21&gt;MAX($N$16:$N$5015),"",INDEX($D$16:$D$5015,MATCH((MAX($N$16:$N$5015)-21+1),$N$16:$N$5015,0)))</f>
        <v/>
      </c>
      <c r="S25" s="113">
        <f>IF(21&gt;MAX($N$16:$N$5015),"",INDEX($F$16:$F$5015,MATCH((MAX($N$16:$N$5015)-21+1),$N$16:$N$5015,0)))</f>
        <v/>
      </c>
      <c r="T25" s="105">
        <f>IF(21&gt;MAX($N$16:$N$5015),"",IF(21&gt;MAX($N$16:$N$5015),"",INDEX($G$16:$G$5015,MATCH((MAX($N$16:$N$5015)-21+1),$N$16:$N$5015,0)))&amp;" › "&amp;IF(21&gt;MAX($N$16:$N$5015),"",INDEX($H$16:$H$5015,MATCH((MAX($N$16:$N$5015)-21+1),$N$16:$N$5015,0)))&amp;" › "&amp;IF(21&gt;MAX($N$16:$N$5015),"",INDEX($I$16:$I$5015,MATCH((MAX($N$16:$N$5015)-21+1),$N$16:$N$5015,0))))</f>
        <v/>
      </c>
      <c r="U25" s="105">
        <f>IF(21&gt;MAX($N$16:$N$5015),"",INDEX($J$16:$J$5015,MATCH((MAX($N$16:$N$5015)-21+1),$N$16:$N$5015,0)))&amp;IF(IF(21&gt;MAX($N$16:$N$5015),"",INDEX($L$16:$L$5015,MATCH((MAX($N$16:$N$5015)-21+1),$N$16:$N$5015,0)))="",""," ["&amp;IF(21&gt;MAX($N$16:$N$5015),"",INDEX($L$16:$L$5015,MATCH((MAX($N$16:$N$5015)-21+1),$N$16:$N$5015,0)))&amp;"]")</f>
        <v/>
      </c>
      <c r="V25" s="120">
        <f>IF(21&gt;MAX($N$16:$N$5015),"",HYPERLINK("#Transaksi!B"&amp;(MATCH((MAX($N$16:$N$5015)-21+1),$N$16:$N$5015,0)+15),"Buka"))</f>
        <v/>
      </c>
      <c r="X25" s="93">
        <f>IF(AND(B25&lt;&gt;"",B25&gt;='Buku Akun'!$H$4,B25&lt;='Buku Akun'!$H$5,OR(C25='Buku Akun'!$C$4,AND(D25="Pindah",E25='Buku Akun'!$C$4))),B25+IF(AND(I25="Selisih bunga",DAY(B25)=1),0,0.01)+ROW()/10000000,"")</f>
        <v/>
      </c>
    </row>
    <row r="26" outlineLevel="1" ht="15" customHeight="1" s="94">
      <c r="A26" s="123">
        <f>IF(B26="","",ROW()-15)</f>
        <v/>
      </c>
      <c r="B26" s="124" t="n"/>
      <c r="C26" s="123" t="n"/>
      <c r="D26" s="123" t="n"/>
      <c r="E26" s="123" t="n"/>
      <c r="F26" s="125" t="n"/>
      <c r="G26" s="123" t="n"/>
      <c r="H26" s="123" t="n"/>
      <c r="I26" s="123" t="n"/>
      <c r="J26" s="123" t="n"/>
      <c r="K26" s="123" t="n"/>
      <c r="L26" s="123" t="n"/>
      <c r="M26" s="123">
        <f>IF(AND(B26&lt;&gt;"",OR($C$4="",ISNUMBER(SEARCH($C$4,C26&amp;" "&amp;E26&amp;" "&amp;G26&amp;" "&amp;H26&amp;" "&amp;I26&amp;" "&amp;J26&amp;" "&amp;K26&amp;" "&amp;L26))),OR($C$5="Semua",$C$5="",G26=$C$5),OR($C$6="Semua",$C$6="",H26=$C$6,H26="Pengeluaran "&amp;$C$6,AND($C$6="Uang Kos Mama",H26="Pengeluaran Uang Kos")),OR($C$7="Semua",$C$7="",I26=$C$7),OR($C$8="Semua",$C$8="",C26=$C$8,E26=$C$8),OR($C$9="Semua",$C$9="",D26=$C$9),OR($C$10="",B26&gt;=$C$10),OR($C$11="",B26&lt;=$C$11),OR($C$12&lt;&gt;"Ya",K26&lt;&gt;""),OR($C$13="Semua",$C$13="",L26=$C$13)),"✓","")</f>
        <v/>
      </c>
      <c r="N26" s="93">
        <f>N(N25)+IF(M26="✓",1,0)</f>
        <v/>
      </c>
      <c r="O26" s="93">
        <f>N(O25)+IF(AND(B26&lt;&gt;"",B26&gt;='Uang Riba'!$H$30,B26&lt;='Uang Riba'!$I$30,OR(H26="Dana riba",H26="Pinjam uang riba",I26="Pinjam dari uang riba",I26="Ganti uang riba",I26="Kelebihan ganti dikembalikan",AND(C26="Kantong Uang Riba",G26="Pengeluaran"))),1,0)</f>
        <v/>
      </c>
      <c r="P26" s="119">
        <f>IF(22&gt;MAX($N$16:$N$5015),"",INDEX($B$16:$B$5015,MATCH((MAX($N$16:$N$5015)-22+1),$N$16:$N$5015,0)))</f>
        <v/>
      </c>
      <c r="Q26" s="105">
        <f>IF(22&gt;MAX($N$16:$N$5015),"",INDEX($C$16:$C$5015,MATCH((MAX($N$16:$N$5015)-22+1),$N$16:$N$5015,0)))&amp;IF(IF(22&gt;MAX($N$16:$N$5015),"",INDEX($E$16:$E$5015,MATCH((MAX($N$16:$N$5015)-22+1),$N$16:$N$5015,0)))="",""," → "&amp;IF(22&gt;MAX($N$16:$N$5015),"",INDEX($E$16:$E$5015,MATCH((MAX($N$16:$N$5015)-22+1),$N$16:$N$5015,0))))</f>
        <v/>
      </c>
      <c r="R26" s="105">
        <f>IF(22&gt;MAX($N$16:$N$5015),"",INDEX($D$16:$D$5015,MATCH((MAX($N$16:$N$5015)-22+1),$N$16:$N$5015,0)))</f>
        <v/>
      </c>
      <c r="S26" s="113">
        <f>IF(22&gt;MAX($N$16:$N$5015),"",INDEX($F$16:$F$5015,MATCH((MAX($N$16:$N$5015)-22+1),$N$16:$N$5015,0)))</f>
        <v/>
      </c>
      <c r="T26" s="105">
        <f>IF(22&gt;MAX($N$16:$N$5015),"",IF(22&gt;MAX($N$16:$N$5015),"",INDEX($G$16:$G$5015,MATCH((MAX($N$16:$N$5015)-22+1),$N$16:$N$5015,0)))&amp;" › "&amp;IF(22&gt;MAX($N$16:$N$5015),"",INDEX($H$16:$H$5015,MATCH((MAX($N$16:$N$5015)-22+1),$N$16:$N$5015,0)))&amp;" › "&amp;IF(22&gt;MAX($N$16:$N$5015),"",INDEX($I$16:$I$5015,MATCH((MAX($N$16:$N$5015)-22+1),$N$16:$N$5015,0))))</f>
        <v/>
      </c>
      <c r="U26" s="105">
        <f>IF(22&gt;MAX($N$16:$N$5015),"",INDEX($J$16:$J$5015,MATCH((MAX($N$16:$N$5015)-22+1),$N$16:$N$5015,0)))&amp;IF(IF(22&gt;MAX($N$16:$N$5015),"",INDEX($L$16:$L$5015,MATCH((MAX($N$16:$N$5015)-22+1),$N$16:$N$5015,0)))="",""," ["&amp;IF(22&gt;MAX($N$16:$N$5015),"",INDEX($L$16:$L$5015,MATCH((MAX($N$16:$N$5015)-22+1),$N$16:$N$5015,0)))&amp;"]")</f>
        <v/>
      </c>
      <c r="V26" s="120">
        <f>IF(22&gt;MAX($N$16:$N$5015),"",HYPERLINK("#Transaksi!B"&amp;(MATCH((MAX($N$16:$N$5015)-22+1),$N$16:$N$5015,0)+15),"Buka"))</f>
        <v/>
      </c>
      <c r="X26" s="93">
        <f>IF(AND(B26&lt;&gt;"",B26&gt;='Buku Akun'!$H$4,B26&lt;='Buku Akun'!$H$5,OR(C26='Buku Akun'!$C$4,AND(D26="Pindah",E26='Buku Akun'!$C$4))),B26+IF(AND(I26="Selisih bunga",DAY(B26)=1),0,0.01)+ROW()/10000000,"")</f>
        <v/>
      </c>
    </row>
    <row r="27" outlineLevel="1" ht="15" customHeight="1" s="94">
      <c r="A27" s="123">
        <f>IF(B27="","",ROW()-15)</f>
        <v/>
      </c>
      <c r="B27" s="124" t="n"/>
      <c r="C27" s="123" t="n"/>
      <c r="D27" s="123" t="n"/>
      <c r="E27" s="123" t="n"/>
      <c r="F27" s="125" t="n"/>
      <c r="G27" s="123" t="n"/>
      <c r="H27" s="123" t="n"/>
      <c r="I27" s="123" t="n"/>
      <c r="J27" s="123" t="n"/>
      <c r="K27" s="123" t="n"/>
      <c r="L27" s="123" t="n"/>
      <c r="M27" s="123">
        <f>IF(AND(B27&lt;&gt;"",OR($C$4="",ISNUMBER(SEARCH($C$4,C27&amp;" "&amp;E27&amp;" "&amp;G27&amp;" "&amp;H27&amp;" "&amp;I27&amp;" "&amp;J27&amp;" "&amp;K27&amp;" "&amp;L27))),OR($C$5="Semua",$C$5="",G27=$C$5),OR($C$6="Semua",$C$6="",H27=$C$6,H27="Pengeluaran "&amp;$C$6,AND($C$6="Uang Kos Mama",H27="Pengeluaran Uang Kos")),OR($C$7="Semua",$C$7="",I27=$C$7),OR($C$8="Semua",$C$8="",C27=$C$8,E27=$C$8),OR($C$9="Semua",$C$9="",D27=$C$9),OR($C$10="",B27&gt;=$C$10),OR($C$11="",B27&lt;=$C$11),OR($C$12&lt;&gt;"Ya",K27&lt;&gt;""),OR($C$13="Semua",$C$13="",L27=$C$13)),"✓","")</f>
        <v/>
      </c>
      <c r="N27" s="93">
        <f>N(N26)+IF(M27="✓",1,0)</f>
        <v/>
      </c>
      <c r="O27" s="93">
        <f>N(O26)+IF(AND(B27&lt;&gt;"",B27&gt;='Uang Riba'!$H$30,B27&lt;='Uang Riba'!$I$30,OR(H27="Dana riba",H27="Pinjam uang riba",I27="Pinjam dari uang riba",I27="Ganti uang riba",I27="Kelebihan ganti dikembalikan",AND(C27="Kantong Uang Riba",G27="Pengeluaran"))),1,0)</f>
        <v/>
      </c>
      <c r="P27" s="119">
        <f>IF(23&gt;MAX($N$16:$N$5015),"",INDEX($B$16:$B$5015,MATCH((MAX($N$16:$N$5015)-23+1),$N$16:$N$5015,0)))</f>
        <v/>
      </c>
      <c r="Q27" s="105">
        <f>IF(23&gt;MAX($N$16:$N$5015),"",INDEX($C$16:$C$5015,MATCH((MAX($N$16:$N$5015)-23+1),$N$16:$N$5015,0)))&amp;IF(IF(23&gt;MAX($N$16:$N$5015),"",INDEX($E$16:$E$5015,MATCH((MAX($N$16:$N$5015)-23+1),$N$16:$N$5015,0)))="",""," → "&amp;IF(23&gt;MAX($N$16:$N$5015),"",INDEX($E$16:$E$5015,MATCH((MAX($N$16:$N$5015)-23+1),$N$16:$N$5015,0))))</f>
        <v/>
      </c>
      <c r="R27" s="105">
        <f>IF(23&gt;MAX($N$16:$N$5015),"",INDEX($D$16:$D$5015,MATCH((MAX($N$16:$N$5015)-23+1),$N$16:$N$5015,0)))</f>
        <v/>
      </c>
      <c r="S27" s="113">
        <f>IF(23&gt;MAX($N$16:$N$5015),"",INDEX($F$16:$F$5015,MATCH((MAX($N$16:$N$5015)-23+1),$N$16:$N$5015,0)))</f>
        <v/>
      </c>
      <c r="T27" s="105">
        <f>IF(23&gt;MAX($N$16:$N$5015),"",IF(23&gt;MAX($N$16:$N$5015),"",INDEX($G$16:$G$5015,MATCH((MAX($N$16:$N$5015)-23+1),$N$16:$N$5015,0)))&amp;" › "&amp;IF(23&gt;MAX($N$16:$N$5015),"",INDEX($H$16:$H$5015,MATCH((MAX($N$16:$N$5015)-23+1),$N$16:$N$5015,0)))&amp;" › "&amp;IF(23&gt;MAX($N$16:$N$5015),"",INDEX($I$16:$I$5015,MATCH((MAX($N$16:$N$5015)-23+1),$N$16:$N$5015,0))))</f>
        <v/>
      </c>
      <c r="U27" s="105">
        <f>IF(23&gt;MAX($N$16:$N$5015),"",INDEX($J$16:$J$5015,MATCH((MAX($N$16:$N$5015)-23+1),$N$16:$N$5015,0)))&amp;IF(IF(23&gt;MAX($N$16:$N$5015),"",INDEX($L$16:$L$5015,MATCH((MAX($N$16:$N$5015)-23+1),$N$16:$N$5015,0)))="",""," ["&amp;IF(23&gt;MAX($N$16:$N$5015),"",INDEX($L$16:$L$5015,MATCH((MAX($N$16:$N$5015)-23+1),$N$16:$N$5015,0)))&amp;"]")</f>
        <v/>
      </c>
      <c r="V27" s="120">
        <f>IF(23&gt;MAX($N$16:$N$5015),"",HYPERLINK("#Transaksi!B"&amp;(MATCH((MAX($N$16:$N$5015)-23+1),$N$16:$N$5015,0)+15),"Buka"))</f>
        <v/>
      </c>
      <c r="X27" s="93">
        <f>IF(AND(B27&lt;&gt;"",B27&gt;='Buku Akun'!$H$4,B27&lt;='Buku Akun'!$H$5,OR(C27='Buku Akun'!$C$4,AND(D27="Pindah",E27='Buku Akun'!$C$4))),B27+IF(AND(I27="Selisih bunga",DAY(B27)=1),0,0.01)+ROW()/10000000,"")</f>
        <v/>
      </c>
    </row>
    <row r="28" outlineLevel="1" ht="15" customHeight="1" s="94">
      <c r="A28" s="123">
        <f>IF(B28="","",ROW()-15)</f>
        <v/>
      </c>
      <c r="B28" s="124" t="n"/>
      <c r="C28" s="123" t="n"/>
      <c r="D28" s="123" t="n"/>
      <c r="E28" s="123" t="n"/>
      <c r="F28" s="125" t="n"/>
      <c r="G28" s="123" t="n"/>
      <c r="H28" s="123" t="n"/>
      <c r="I28" s="123" t="n"/>
      <c r="J28" s="123" t="n"/>
      <c r="K28" s="123" t="n"/>
      <c r="L28" s="123" t="n"/>
      <c r="M28" s="123">
        <f>IF(AND(B28&lt;&gt;"",OR($C$4="",ISNUMBER(SEARCH($C$4,C28&amp;" "&amp;E28&amp;" "&amp;G28&amp;" "&amp;H28&amp;" "&amp;I28&amp;" "&amp;J28&amp;" "&amp;K28&amp;" "&amp;L28))),OR($C$5="Semua",$C$5="",G28=$C$5),OR($C$6="Semua",$C$6="",H28=$C$6,H28="Pengeluaran "&amp;$C$6,AND($C$6="Uang Kos Mama",H28="Pengeluaran Uang Kos")),OR($C$7="Semua",$C$7="",I28=$C$7),OR($C$8="Semua",$C$8="",C28=$C$8,E28=$C$8),OR($C$9="Semua",$C$9="",D28=$C$9),OR($C$10="",B28&gt;=$C$10),OR($C$11="",B28&lt;=$C$11),OR($C$12&lt;&gt;"Ya",K28&lt;&gt;""),OR($C$13="Semua",$C$13="",L28=$C$13)),"✓","")</f>
        <v/>
      </c>
      <c r="N28" s="93">
        <f>N(N27)+IF(M28="✓",1,0)</f>
        <v/>
      </c>
      <c r="O28" s="93">
        <f>N(O27)+IF(AND(B28&lt;&gt;"",B28&gt;='Uang Riba'!$H$30,B28&lt;='Uang Riba'!$I$30,OR(H28="Dana riba",H28="Pinjam uang riba",I28="Pinjam dari uang riba",I28="Ganti uang riba",I28="Kelebihan ganti dikembalikan",AND(C28="Kantong Uang Riba",G28="Pengeluaran"))),1,0)</f>
        <v/>
      </c>
      <c r="P28" s="119">
        <f>IF(24&gt;MAX($N$16:$N$5015),"",INDEX($B$16:$B$5015,MATCH((MAX($N$16:$N$5015)-24+1),$N$16:$N$5015,0)))</f>
        <v/>
      </c>
      <c r="Q28" s="105">
        <f>IF(24&gt;MAX($N$16:$N$5015),"",INDEX($C$16:$C$5015,MATCH((MAX($N$16:$N$5015)-24+1),$N$16:$N$5015,0)))&amp;IF(IF(24&gt;MAX($N$16:$N$5015),"",INDEX($E$16:$E$5015,MATCH((MAX($N$16:$N$5015)-24+1),$N$16:$N$5015,0)))="",""," → "&amp;IF(24&gt;MAX($N$16:$N$5015),"",INDEX($E$16:$E$5015,MATCH((MAX($N$16:$N$5015)-24+1),$N$16:$N$5015,0))))</f>
        <v/>
      </c>
      <c r="R28" s="105">
        <f>IF(24&gt;MAX($N$16:$N$5015),"",INDEX($D$16:$D$5015,MATCH((MAX($N$16:$N$5015)-24+1),$N$16:$N$5015,0)))</f>
        <v/>
      </c>
      <c r="S28" s="113">
        <f>IF(24&gt;MAX($N$16:$N$5015),"",INDEX($F$16:$F$5015,MATCH((MAX($N$16:$N$5015)-24+1),$N$16:$N$5015,0)))</f>
        <v/>
      </c>
      <c r="T28" s="105">
        <f>IF(24&gt;MAX($N$16:$N$5015),"",IF(24&gt;MAX($N$16:$N$5015),"",INDEX($G$16:$G$5015,MATCH((MAX($N$16:$N$5015)-24+1),$N$16:$N$5015,0)))&amp;" › "&amp;IF(24&gt;MAX($N$16:$N$5015),"",INDEX($H$16:$H$5015,MATCH((MAX($N$16:$N$5015)-24+1),$N$16:$N$5015,0)))&amp;" › "&amp;IF(24&gt;MAX($N$16:$N$5015),"",INDEX($I$16:$I$5015,MATCH((MAX($N$16:$N$5015)-24+1),$N$16:$N$5015,0))))</f>
        <v/>
      </c>
      <c r="U28" s="105">
        <f>IF(24&gt;MAX($N$16:$N$5015),"",INDEX($J$16:$J$5015,MATCH((MAX($N$16:$N$5015)-24+1),$N$16:$N$5015,0)))&amp;IF(IF(24&gt;MAX($N$16:$N$5015),"",INDEX($L$16:$L$5015,MATCH((MAX($N$16:$N$5015)-24+1),$N$16:$N$5015,0)))="",""," ["&amp;IF(24&gt;MAX($N$16:$N$5015),"",INDEX($L$16:$L$5015,MATCH((MAX($N$16:$N$5015)-24+1),$N$16:$N$5015,0)))&amp;"]")</f>
        <v/>
      </c>
      <c r="V28" s="120">
        <f>IF(24&gt;MAX($N$16:$N$5015),"",HYPERLINK("#Transaksi!B"&amp;(MATCH((MAX($N$16:$N$5015)-24+1),$N$16:$N$5015,0)+15),"Buka"))</f>
        <v/>
      </c>
      <c r="X28" s="93">
        <f>IF(AND(B28&lt;&gt;"",B28&gt;='Buku Akun'!$H$4,B28&lt;='Buku Akun'!$H$5,OR(C28='Buku Akun'!$C$4,AND(D28="Pindah",E28='Buku Akun'!$C$4))),B28+IF(AND(I28="Selisih bunga",DAY(B28)=1),0,0.01)+ROW()/10000000,"")</f>
        <v/>
      </c>
    </row>
    <row r="29" outlineLevel="1" ht="15" customHeight="1" s="94">
      <c r="A29" s="123">
        <f>IF(B29="","",ROW()-15)</f>
        <v/>
      </c>
      <c r="B29" s="124" t="n"/>
      <c r="C29" s="123" t="n"/>
      <c r="D29" s="123" t="n"/>
      <c r="E29" s="123" t="n"/>
      <c r="F29" s="125" t="n"/>
      <c r="G29" s="123" t="n"/>
      <c r="H29" s="123" t="n"/>
      <c r="I29" s="123" t="n"/>
      <c r="J29" s="123" t="n"/>
      <c r="K29" s="123" t="n"/>
      <c r="L29" s="123" t="n"/>
      <c r="M29" s="123">
        <f>IF(AND(B29&lt;&gt;"",OR($C$4="",ISNUMBER(SEARCH($C$4,C29&amp;" "&amp;E29&amp;" "&amp;G29&amp;" "&amp;H29&amp;" "&amp;I29&amp;" "&amp;J29&amp;" "&amp;K29&amp;" "&amp;L29))),OR($C$5="Semua",$C$5="",G29=$C$5),OR($C$6="Semua",$C$6="",H29=$C$6,H29="Pengeluaran "&amp;$C$6,AND($C$6="Uang Kos Mama",H29="Pengeluaran Uang Kos")),OR($C$7="Semua",$C$7="",I29=$C$7),OR($C$8="Semua",$C$8="",C29=$C$8,E29=$C$8),OR($C$9="Semua",$C$9="",D29=$C$9),OR($C$10="",B29&gt;=$C$10),OR($C$11="",B29&lt;=$C$11),OR($C$12&lt;&gt;"Ya",K29&lt;&gt;""),OR($C$13="Semua",$C$13="",L29=$C$13)),"✓","")</f>
        <v/>
      </c>
      <c r="N29" s="93">
        <f>N(N28)+IF(M29="✓",1,0)</f>
        <v/>
      </c>
      <c r="O29" s="93">
        <f>N(O28)+IF(AND(B29&lt;&gt;"",B29&gt;='Uang Riba'!$H$30,B29&lt;='Uang Riba'!$I$30,OR(H29="Dana riba",H29="Pinjam uang riba",I29="Pinjam dari uang riba",I29="Ganti uang riba",I29="Kelebihan ganti dikembalikan",AND(C29="Kantong Uang Riba",G29="Pengeluaran"))),1,0)</f>
        <v/>
      </c>
      <c r="P29" s="119">
        <f>IF(25&gt;MAX($N$16:$N$5015),"",INDEX($B$16:$B$5015,MATCH((MAX($N$16:$N$5015)-25+1),$N$16:$N$5015,0)))</f>
        <v/>
      </c>
      <c r="Q29" s="105">
        <f>IF(25&gt;MAX($N$16:$N$5015),"",INDEX($C$16:$C$5015,MATCH((MAX($N$16:$N$5015)-25+1),$N$16:$N$5015,0)))&amp;IF(IF(25&gt;MAX($N$16:$N$5015),"",INDEX($E$16:$E$5015,MATCH((MAX($N$16:$N$5015)-25+1),$N$16:$N$5015,0)))="",""," → "&amp;IF(25&gt;MAX($N$16:$N$5015),"",INDEX($E$16:$E$5015,MATCH((MAX($N$16:$N$5015)-25+1),$N$16:$N$5015,0))))</f>
        <v/>
      </c>
      <c r="R29" s="105">
        <f>IF(25&gt;MAX($N$16:$N$5015),"",INDEX($D$16:$D$5015,MATCH((MAX($N$16:$N$5015)-25+1),$N$16:$N$5015,0)))</f>
        <v/>
      </c>
      <c r="S29" s="113">
        <f>IF(25&gt;MAX($N$16:$N$5015),"",INDEX($F$16:$F$5015,MATCH((MAX($N$16:$N$5015)-25+1),$N$16:$N$5015,0)))</f>
        <v/>
      </c>
      <c r="T29" s="105">
        <f>IF(25&gt;MAX($N$16:$N$5015),"",IF(25&gt;MAX($N$16:$N$5015),"",INDEX($G$16:$G$5015,MATCH((MAX($N$16:$N$5015)-25+1),$N$16:$N$5015,0)))&amp;" › "&amp;IF(25&gt;MAX($N$16:$N$5015),"",INDEX($H$16:$H$5015,MATCH((MAX($N$16:$N$5015)-25+1),$N$16:$N$5015,0)))&amp;" › "&amp;IF(25&gt;MAX($N$16:$N$5015),"",INDEX($I$16:$I$5015,MATCH((MAX($N$16:$N$5015)-25+1),$N$16:$N$5015,0))))</f>
        <v/>
      </c>
      <c r="U29" s="105">
        <f>IF(25&gt;MAX($N$16:$N$5015),"",INDEX($J$16:$J$5015,MATCH((MAX($N$16:$N$5015)-25+1),$N$16:$N$5015,0)))&amp;IF(IF(25&gt;MAX($N$16:$N$5015),"",INDEX($L$16:$L$5015,MATCH((MAX($N$16:$N$5015)-25+1),$N$16:$N$5015,0)))="",""," ["&amp;IF(25&gt;MAX($N$16:$N$5015),"",INDEX($L$16:$L$5015,MATCH((MAX($N$16:$N$5015)-25+1),$N$16:$N$5015,0)))&amp;"]")</f>
        <v/>
      </c>
      <c r="V29" s="120">
        <f>IF(25&gt;MAX($N$16:$N$5015),"",HYPERLINK("#Transaksi!B"&amp;(MATCH((MAX($N$16:$N$5015)-25+1),$N$16:$N$5015,0)+15),"Buka"))</f>
        <v/>
      </c>
      <c r="X29" s="93">
        <f>IF(AND(B29&lt;&gt;"",B29&gt;='Buku Akun'!$H$4,B29&lt;='Buku Akun'!$H$5,OR(C29='Buku Akun'!$C$4,AND(D29="Pindah",E29='Buku Akun'!$C$4))),B29+IF(AND(I29="Selisih bunga",DAY(B29)=1),0,0.01)+ROW()/10000000,"")</f>
        <v/>
      </c>
    </row>
    <row r="30" outlineLevel="1" ht="15" customHeight="1" s="94">
      <c r="A30" s="123">
        <f>IF(B30="","",ROW()-15)</f>
        <v/>
      </c>
      <c r="B30" s="124" t="n"/>
      <c r="C30" s="123" t="n"/>
      <c r="D30" s="123" t="n"/>
      <c r="E30" s="123" t="n"/>
      <c r="F30" s="125" t="n"/>
      <c r="G30" s="123" t="n"/>
      <c r="H30" s="123" t="n"/>
      <c r="I30" s="123" t="n"/>
      <c r="J30" s="123" t="n"/>
      <c r="K30" s="123" t="n"/>
      <c r="L30" s="123" t="n"/>
      <c r="M30" s="123">
        <f>IF(AND(B30&lt;&gt;"",OR($C$4="",ISNUMBER(SEARCH($C$4,C30&amp;" "&amp;E30&amp;" "&amp;G30&amp;" "&amp;H30&amp;" "&amp;I30&amp;" "&amp;J30&amp;" "&amp;K30&amp;" "&amp;L30))),OR($C$5="Semua",$C$5="",G30=$C$5),OR($C$6="Semua",$C$6="",H30=$C$6,H30="Pengeluaran "&amp;$C$6,AND($C$6="Uang Kos Mama",H30="Pengeluaran Uang Kos")),OR($C$7="Semua",$C$7="",I30=$C$7),OR($C$8="Semua",$C$8="",C30=$C$8,E30=$C$8),OR($C$9="Semua",$C$9="",D30=$C$9),OR($C$10="",B30&gt;=$C$10),OR($C$11="",B30&lt;=$C$11),OR($C$12&lt;&gt;"Ya",K30&lt;&gt;""),OR($C$13="Semua",$C$13="",L30=$C$13)),"✓","")</f>
        <v/>
      </c>
      <c r="N30" s="93">
        <f>N(N29)+IF(M30="✓",1,0)</f>
        <v/>
      </c>
      <c r="O30" s="93">
        <f>N(O29)+IF(AND(B30&lt;&gt;"",B30&gt;='Uang Riba'!$H$30,B30&lt;='Uang Riba'!$I$30,OR(H30="Dana riba",H30="Pinjam uang riba",I30="Pinjam dari uang riba",I30="Ganti uang riba",I30="Kelebihan ganti dikembalikan",AND(C30="Kantong Uang Riba",G30="Pengeluaran"))),1,0)</f>
        <v/>
      </c>
      <c r="P30" s="119">
        <f>IF(26&gt;MAX($N$16:$N$5015),"",INDEX($B$16:$B$5015,MATCH((MAX($N$16:$N$5015)-26+1),$N$16:$N$5015,0)))</f>
        <v/>
      </c>
      <c r="Q30" s="105">
        <f>IF(26&gt;MAX($N$16:$N$5015),"",INDEX($C$16:$C$5015,MATCH((MAX($N$16:$N$5015)-26+1),$N$16:$N$5015,0)))&amp;IF(IF(26&gt;MAX($N$16:$N$5015),"",INDEX($E$16:$E$5015,MATCH((MAX($N$16:$N$5015)-26+1),$N$16:$N$5015,0)))="",""," → "&amp;IF(26&gt;MAX($N$16:$N$5015),"",INDEX($E$16:$E$5015,MATCH((MAX($N$16:$N$5015)-26+1),$N$16:$N$5015,0))))</f>
        <v/>
      </c>
      <c r="R30" s="105">
        <f>IF(26&gt;MAX($N$16:$N$5015),"",INDEX($D$16:$D$5015,MATCH((MAX($N$16:$N$5015)-26+1),$N$16:$N$5015,0)))</f>
        <v/>
      </c>
      <c r="S30" s="113">
        <f>IF(26&gt;MAX($N$16:$N$5015),"",INDEX($F$16:$F$5015,MATCH((MAX($N$16:$N$5015)-26+1),$N$16:$N$5015,0)))</f>
        <v/>
      </c>
      <c r="T30" s="105">
        <f>IF(26&gt;MAX($N$16:$N$5015),"",IF(26&gt;MAX($N$16:$N$5015),"",INDEX($G$16:$G$5015,MATCH((MAX($N$16:$N$5015)-26+1),$N$16:$N$5015,0)))&amp;" › "&amp;IF(26&gt;MAX($N$16:$N$5015),"",INDEX($H$16:$H$5015,MATCH((MAX($N$16:$N$5015)-26+1),$N$16:$N$5015,0)))&amp;" › "&amp;IF(26&gt;MAX($N$16:$N$5015),"",INDEX($I$16:$I$5015,MATCH((MAX($N$16:$N$5015)-26+1),$N$16:$N$5015,0))))</f>
        <v/>
      </c>
      <c r="U30" s="105">
        <f>IF(26&gt;MAX($N$16:$N$5015),"",INDEX($J$16:$J$5015,MATCH((MAX($N$16:$N$5015)-26+1),$N$16:$N$5015,0)))&amp;IF(IF(26&gt;MAX($N$16:$N$5015),"",INDEX($L$16:$L$5015,MATCH((MAX($N$16:$N$5015)-26+1),$N$16:$N$5015,0)))="",""," ["&amp;IF(26&gt;MAX($N$16:$N$5015),"",INDEX($L$16:$L$5015,MATCH((MAX($N$16:$N$5015)-26+1),$N$16:$N$5015,0)))&amp;"]")</f>
        <v/>
      </c>
      <c r="V30" s="120">
        <f>IF(26&gt;MAX($N$16:$N$5015),"",HYPERLINK("#Transaksi!B"&amp;(MATCH((MAX($N$16:$N$5015)-26+1),$N$16:$N$5015,0)+15),"Buka"))</f>
        <v/>
      </c>
      <c r="X30" s="93">
        <f>IF(AND(B30&lt;&gt;"",B30&gt;='Buku Akun'!$H$4,B30&lt;='Buku Akun'!$H$5,OR(C30='Buku Akun'!$C$4,AND(D30="Pindah",E30='Buku Akun'!$C$4))),B30+IF(AND(I30="Selisih bunga",DAY(B30)=1),0,0.01)+ROW()/10000000,"")</f>
        <v/>
      </c>
    </row>
    <row r="31" outlineLevel="1" ht="15" customHeight="1" s="94">
      <c r="A31" s="123">
        <f>IF(B31="","",ROW()-15)</f>
        <v/>
      </c>
      <c r="B31" s="124" t="n"/>
      <c r="C31" s="123" t="n"/>
      <c r="D31" s="123" t="n"/>
      <c r="E31" s="123" t="n"/>
      <c r="F31" s="125" t="n"/>
      <c r="G31" s="123" t="n"/>
      <c r="H31" s="123" t="n"/>
      <c r="I31" s="123" t="n"/>
      <c r="J31" s="123" t="n"/>
      <c r="K31" s="123" t="n"/>
      <c r="L31" s="123" t="n"/>
      <c r="M31" s="123">
        <f>IF(AND(B31&lt;&gt;"",OR($C$4="",ISNUMBER(SEARCH($C$4,C31&amp;" "&amp;E31&amp;" "&amp;G31&amp;" "&amp;H31&amp;" "&amp;I31&amp;" "&amp;J31&amp;" "&amp;K31&amp;" "&amp;L31))),OR($C$5="Semua",$C$5="",G31=$C$5),OR($C$6="Semua",$C$6="",H31=$C$6,H31="Pengeluaran "&amp;$C$6,AND($C$6="Uang Kos Mama",H31="Pengeluaran Uang Kos")),OR($C$7="Semua",$C$7="",I31=$C$7),OR($C$8="Semua",$C$8="",C31=$C$8,E31=$C$8),OR($C$9="Semua",$C$9="",D31=$C$9),OR($C$10="",B31&gt;=$C$10),OR($C$11="",B31&lt;=$C$11),OR($C$12&lt;&gt;"Ya",K31&lt;&gt;""),OR($C$13="Semua",$C$13="",L31=$C$13)),"✓","")</f>
        <v/>
      </c>
      <c r="N31" s="93">
        <f>N(N30)+IF(M31="✓",1,0)</f>
        <v/>
      </c>
      <c r="O31" s="93">
        <f>N(O30)+IF(AND(B31&lt;&gt;"",B31&gt;='Uang Riba'!$H$30,B31&lt;='Uang Riba'!$I$30,OR(H31="Dana riba",H31="Pinjam uang riba",I31="Pinjam dari uang riba",I31="Ganti uang riba",I31="Kelebihan ganti dikembalikan",AND(C31="Kantong Uang Riba",G31="Pengeluaran"))),1,0)</f>
        <v/>
      </c>
      <c r="P31" s="119">
        <f>IF(27&gt;MAX($N$16:$N$5015),"",INDEX($B$16:$B$5015,MATCH((MAX($N$16:$N$5015)-27+1),$N$16:$N$5015,0)))</f>
        <v/>
      </c>
      <c r="Q31" s="105">
        <f>IF(27&gt;MAX($N$16:$N$5015),"",INDEX($C$16:$C$5015,MATCH((MAX($N$16:$N$5015)-27+1),$N$16:$N$5015,0)))&amp;IF(IF(27&gt;MAX($N$16:$N$5015),"",INDEX($E$16:$E$5015,MATCH((MAX($N$16:$N$5015)-27+1),$N$16:$N$5015,0)))="",""," → "&amp;IF(27&gt;MAX($N$16:$N$5015),"",INDEX($E$16:$E$5015,MATCH((MAX($N$16:$N$5015)-27+1),$N$16:$N$5015,0))))</f>
        <v/>
      </c>
      <c r="R31" s="105">
        <f>IF(27&gt;MAX($N$16:$N$5015),"",INDEX($D$16:$D$5015,MATCH((MAX($N$16:$N$5015)-27+1),$N$16:$N$5015,0)))</f>
        <v/>
      </c>
      <c r="S31" s="113">
        <f>IF(27&gt;MAX($N$16:$N$5015),"",INDEX($F$16:$F$5015,MATCH((MAX($N$16:$N$5015)-27+1),$N$16:$N$5015,0)))</f>
        <v/>
      </c>
      <c r="T31" s="105">
        <f>IF(27&gt;MAX($N$16:$N$5015),"",IF(27&gt;MAX($N$16:$N$5015),"",INDEX($G$16:$G$5015,MATCH((MAX($N$16:$N$5015)-27+1),$N$16:$N$5015,0)))&amp;" › "&amp;IF(27&gt;MAX($N$16:$N$5015),"",INDEX($H$16:$H$5015,MATCH((MAX($N$16:$N$5015)-27+1),$N$16:$N$5015,0)))&amp;" › "&amp;IF(27&gt;MAX($N$16:$N$5015),"",INDEX($I$16:$I$5015,MATCH((MAX($N$16:$N$5015)-27+1),$N$16:$N$5015,0))))</f>
        <v/>
      </c>
      <c r="U31" s="105">
        <f>IF(27&gt;MAX($N$16:$N$5015),"",INDEX($J$16:$J$5015,MATCH((MAX($N$16:$N$5015)-27+1),$N$16:$N$5015,0)))&amp;IF(IF(27&gt;MAX($N$16:$N$5015),"",INDEX($L$16:$L$5015,MATCH((MAX($N$16:$N$5015)-27+1),$N$16:$N$5015,0)))="",""," ["&amp;IF(27&gt;MAX($N$16:$N$5015),"",INDEX($L$16:$L$5015,MATCH((MAX($N$16:$N$5015)-27+1),$N$16:$N$5015,0)))&amp;"]")</f>
        <v/>
      </c>
      <c r="V31" s="120">
        <f>IF(27&gt;MAX($N$16:$N$5015),"",HYPERLINK("#Transaksi!B"&amp;(MATCH((MAX($N$16:$N$5015)-27+1),$N$16:$N$5015,0)+15),"Buka"))</f>
        <v/>
      </c>
      <c r="X31" s="93">
        <f>IF(AND(B31&lt;&gt;"",B31&gt;='Buku Akun'!$H$4,B31&lt;='Buku Akun'!$H$5,OR(C31='Buku Akun'!$C$4,AND(D31="Pindah",E31='Buku Akun'!$C$4))),B31+IF(AND(I31="Selisih bunga",DAY(B31)=1),0,0.01)+ROW()/10000000,"")</f>
        <v/>
      </c>
    </row>
    <row r="32" outlineLevel="1" ht="15" customHeight="1" s="94">
      <c r="A32" s="123">
        <f>IF(B32="","",ROW()-15)</f>
        <v/>
      </c>
      <c r="B32" s="124" t="n"/>
      <c r="C32" s="123" t="n"/>
      <c r="D32" s="123" t="n"/>
      <c r="E32" s="123" t="n"/>
      <c r="F32" s="125" t="n"/>
      <c r="G32" s="123" t="n"/>
      <c r="H32" s="123" t="n"/>
      <c r="I32" s="123" t="n"/>
      <c r="J32" s="123" t="n"/>
      <c r="K32" s="123" t="n"/>
      <c r="L32" s="123" t="n"/>
      <c r="M32" s="123">
        <f>IF(AND(B32&lt;&gt;"",OR($C$4="",ISNUMBER(SEARCH($C$4,C32&amp;" "&amp;E32&amp;" "&amp;G32&amp;" "&amp;H32&amp;" "&amp;I32&amp;" "&amp;J32&amp;" "&amp;K32&amp;" "&amp;L32))),OR($C$5="Semua",$C$5="",G32=$C$5),OR($C$6="Semua",$C$6="",H32=$C$6,H32="Pengeluaran "&amp;$C$6,AND($C$6="Uang Kos Mama",H32="Pengeluaran Uang Kos")),OR($C$7="Semua",$C$7="",I32=$C$7),OR($C$8="Semua",$C$8="",C32=$C$8,E32=$C$8),OR($C$9="Semua",$C$9="",D32=$C$9),OR($C$10="",B32&gt;=$C$10),OR($C$11="",B32&lt;=$C$11),OR($C$12&lt;&gt;"Ya",K32&lt;&gt;""),OR($C$13="Semua",$C$13="",L32=$C$13)),"✓","")</f>
        <v/>
      </c>
      <c r="N32" s="93">
        <f>N(N31)+IF(M32="✓",1,0)</f>
        <v/>
      </c>
      <c r="O32" s="93">
        <f>N(O31)+IF(AND(B32&lt;&gt;"",B32&gt;='Uang Riba'!$H$30,B32&lt;='Uang Riba'!$I$30,OR(H32="Dana riba",H32="Pinjam uang riba",I32="Pinjam dari uang riba",I32="Ganti uang riba",I32="Kelebihan ganti dikembalikan",AND(C32="Kantong Uang Riba",G32="Pengeluaran"))),1,0)</f>
        <v/>
      </c>
      <c r="P32" s="119">
        <f>IF(28&gt;MAX($N$16:$N$5015),"",INDEX($B$16:$B$5015,MATCH((MAX($N$16:$N$5015)-28+1),$N$16:$N$5015,0)))</f>
        <v/>
      </c>
      <c r="Q32" s="105">
        <f>IF(28&gt;MAX($N$16:$N$5015),"",INDEX($C$16:$C$5015,MATCH((MAX($N$16:$N$5015)-28+1),$N$16:$N$5015,0)))&amp;IF(IF(28&gt;MAX($N$16:$N$5015),"",INDEX($E$16:$E$5015,MATCH((MAX($N$16:$N$5015)-28+1),$N$16:$N$5015,0)))="",""," → "&amp;IF(28&gt;MAX($N$16:$N$5015),"",INDEX($E$16:$E$5015,MATCH((MAX($N$16:$N$5015)-28+1),$N$16:$N$5015,0))))</f>
        <v/>
      </c>
      <c r="R32" s="105">
        <f>IF(28&gt;MAX($N$16:$N$5015),"",INDEX($D$16:$D$5015,MATCH((MAX($N$16:$N$5015)-28+1),$N$16:$N$5015,0)))</f>
        <v/>
      </c>
      <c r="S32" s="113">
        <f>IF(28&gt;MAX($N$16:$N$5015),"",INDEX($F$16:$F$5015,MATCH((MAX($N$16:$N$5015)-28+1),$N$16:$N$5015,0)))</f>
        <v/>
      </c>
      <c r="T32" s="105">
        <f>IF(28&gt;MAX($N$16:$N$5015),"",IF(28&gt;MAX($N$16:$N$5015),"",INDEX($G$16:$G$5015,MATCH((MAX($N$16:$N$5015)-28+1),$N$16:$N$5015,0)))&amp;" › "&amp;IF(28&gt;MAX($N$16:$N$5015),"",INDEX($H$16:$H$5015,MATCH((MAX($N$16:$N$5015)-28+1),$N$16:$N$5015,0)))&amp;" › "&amp;IF(28&gt;MAX($N$16:$N$5015),"",INDEX($I$16:$I$5015,MATCH((MAX($N$16:$N$5015)-28+1),$N$16:$N$5015,0))))</f>
        <v/>
      </c>
      <c r="U32" s="105">
        <f>IF(28&gt;MAX($N$16:$N$5015),"",INDEX($J$16:$J$5015,MATCH((MAX($N$16:$N$5015)-28+1),$N$16:$N$5015,0)))&amp;IF(IF(28&gt;MAX($N$16:$N$5015),"",INDEX($L$16:$L$5015,MATCH((MAX($N$16:$N$5015)-28+1),$N$16:$N$5015,0)))="",""," ["&amp;IF(28&gt;MAX($N$16:$N$5015),"",INDEX($L$16:$L$5015,MATCH((MAX($N$16:$N$5015)-28+1),$N$16:$N$5015,0)))&amp;"]")</f>
        <v/>
      </c>
      <c r="V32" s="120">
        <f>IF(28&gt;MAX($N$16:$N$5015),"",HYPERLINK("#Transaksi!B"&amp;(MATCH((MAX($N$16:$N$5015)-28+1),$N$16:$N$5015,0)+15),"Buka"))</f>
        <v/>
      </c>
      <c r="X32" s="93">
        <f>IF(AND(B32&lt;&gt;"",B32&gt;='Buku Akun'!$H$4,B32&lt;='Buku Akun'!$H$5,OR(C32='Buku Akun'!$C$4,AND(D32="Pindah",E32='Buku Akun'!$C$4))),B32+IF(AND(I32="Selisih bunga",DAY(B32)=1),0,0.01)+ROW()/10000000,"")</f>
        <v/>
      </c>
    </row>
    <row r="33" outlineLevel="1" ht="15" customHeight="1" s="94">
      <c r="A33" s="123">
        <f>IF(B33="","",ROW()-15)</f>
        <v/>
      </c>
      <c r="B33" s="124" t="n"/>
      <c r="C33" s="123" t="n"/>
      <c r="D33" s="123" t="n"/>
      <c r="E33" s="123" t="n"/>
      <c r="F33" s="125" t="n"/>
      <c r="G33" s="123" t="n"/>
      <c r="H33" s="123" t="n"/>
      <c r="I33" s="123" t="n"/>
      <c r="J33" s="123" t="n"/>
      <c r="K33" s="123" t="n"/>
      <c r="L33" s="123" t="n"/>
      <c r="M33" s="123">
        <f>IF(AND(B33&lt;&gt;"",OR($C$4="",ISNUMBER(SEARCH($C$4,C33&amp;" "&amp;E33&amp;" "&amp;G33&amp;" "&amp;H33&amp;" "&amp;I33&amp;" "&amp;J33&amp;" "&amp;K33&amp;" "&amp;L33))),OR($C$5="Semua",$C$5="",G33=$C$5),OR($C$6="Semua",$C$6="",H33=$C$6,H33="Pengeluaran "&amp;$C$6,AND($C$6="Uang Kos Mama",H33="Pengeluaran Uang Kos")),OR($C$7="Semua",$C$7="",I33=$C$7),OR($C$8="Semua",$C$8="",C33=$C$8,E33=$C$8),OR($C$9="Semua",$C$9="",D33=$C$9),OR($C$10="",B33&gt;=$C$10),OR($C$11="",B33&lt;=$C$11),OR($C$12&lt;&gt;"Ya",K33&lt;&gt;""),OR($C$13="Semua",$C$13="",L33=$C$13)),"✓","")</f>
        <v/>
      </c>
      <c r="N33" s="93">
        <f>N(N32)+IF(M33="✓",1,0)</f>
        <v/>
      </c>
      <c r="O33" s="93">
        <f>N(O32)+IF(AND(B33&lt;&gt;"",B33&gt;='Uang Riba'!$H$30,B33&lt;='Uang Riba'!$I$30,OR(H33="Dana riba",H33="Pinjam uang riba",I33="Pinjam dari uang riba",I33="Ganti uang riba",I33="Kelebihan ganti dikembalikan",AND(C33="Kantong Uang Riba",G33="Pengeluaran"))),1,0)</f>
        <v/>
      </c>
      <c r="P33" s="119">
        <f>IF(29&gt;MAX($N$16:$N$5015),"",INDEX($B$16:$B$5015,MATCH((MAX($N$16:$N$5015)-29+1),$N$16:$N$5015,0)))</f>
        <v/>
      </c>
      <c r="Q33" s="105">
        <f>IF(29&gt;MAX($N$16:$N$5015),"",INDEX($C$16:$C$5015,MATCH((MAX($N$16:$N$5015)-29+1),$N$16:$N$5015,0)))&amp;IF(IF(29&gt;MAX($N$16:$N$5015),"",INDEX($E$16:$E$5015,MATCH((MAX($N$16:$N$5015)-29+1),$N$16:$N$5015,0)))="",""," → "&amp;IF(29&gt;MAX($N$16:$N$5015),"",INDEX($E$16:$E$5015,MATCH((MAX($N$16:$N$5015)-29+1),$N$16:$N$5015,0))))</f>
        <v/>
      </c>
      <c r="R33" s="105">
        <f>IF(29&gt;MAX($N$16:$N$5015),"",INDEX($D$16:$D$5015,MATCH((MAX($N$16:$N$5015)-29+1),$N$16:$N$5015,0)))</f>
        <v/>
      </c>
      <c r="S33" s="113">
        <f>IF(29&gt;MAX($N$16:$N$5015),"",INDEX($F$16:$F$5015,MATCH((MAX($N$16:$N$5015)-29+1),$N$16:$N$5015,0)))</f>
        <v/>
      </c>
      <c r="T33" s="105">
        <f>IF(29&gt;MAX($N$16:$N$5015),"",IF(29&gt;MAX($N$16:$N$5015),"",INDEX($G$16:$G$5015,MATCH((MAX($N$16:$N$5015)-29+1),$N$16:$N$5015,0)))&amp;" › "&amp;IF(29&gt;MAX($N$16:$N$5015),"",INDEX($H$16:$H$5015,MATCH((MAX($N$16:$N$5015)-29+1),$N$16:$N$5015,0)))&amp;" › "&amp;IF(29&gt;MAX($N$16:$N$5015),"",INDEX($I$16:$I$5015,MATCH((MAX($N$16:$N$5015)-29+1),$N$16:$N$5015,0))))</f>
        <v/>
      </c>
      <c r="U33" s="105">
        <f>IF(29&gt;MAX($N$16:$N$5015),"",INDEX($J$16:$J$5015,MATCH((MAX($N$16:$N$5015)-29+1),$N$16:$N$5015,0)))&amp;IF(IF(29&gt;MAX($N$16:$N$5015),"",INDEX($L$16:$L$5015,MATCH((MAX($N$16:$N$5015)-29+1),$N$16:$N$5015,0)))="",""," ["&amp;IF(29&gt;MAX($N$16:$N$5015),"",INDEX($L$16:$L$5015,MATCH((MAX($N$16:$N$5015)-29+1),$N$16:$N$5015,0)))&amp;"]")</f>
        <v/>
      </c>
      <c r="V33" s="120">
        <f>IF(29&gt;MAX($N$16:$N$5015),"",HYPERLINK("#Transaksi!B"&amp;(MATCH((MAX($N$16:$N$5015)-29+1),$N$16:$N$5015,0)+15),"Buka"))</f>
        <v/>
      </c>
      <c r="X33" s="93">
        <f>IF(AND(B33&lt;&gt;"",B33&gt;='Buku Akun'!$H$4,B33&lt;='Buku Akun'!$H$5,OR(C33='Buku Akun'!$C$4,AND(D33="Pindah",E33='Buku Akun'!$C$4))),B33+IF(AND(I33="Selisih bunga",DAY(B33)=1),0,0.01)+ROW()/10000000,"")</f>
        <v/>
      </c>
    </row>
    <row r="34" outlineLevel="1" ht="15" customHeight="1" s="94">
      <c r="A34" s="123">
        <f>IF(B34="","",ROW()-15)</f>
        <v/>
      </c>
      <c r="B34" s="124" t="n"/>
      <c r="C34" s="123" t="n"/>
      <c r="D34" s="123" t="n"/>
      <c r="E34" s="123" t="n"/>
      <c r="F34" s="125" t="n"/>
      <c r="G34" s="123" t="n"/>
      <c r="H34" s="123" t="n"/>
      <c r="I34" s="123" t="n"/>
      <c r="J34" s="123" t="n"/>
      <c r="K34" s="123" t="n"/>
      <c r="L34" s="123" t="n"/>
      <c r="M34" s="123">
        <f>IF(AND(B34&lt;&gt;"",OR($C$4="",ISNUMBER(SEARCH($C$4,C34&amp;" "&amp;E34&amp;" "&amp;G34&amp;" "&amp;H34&amp;" "&amp;I34&amp;" "&amp;J34&amp;" "&amp;K34&amp;" "&amp;L34))),OR($C$5="Semua",$C$5="",G34=$C$5),OR($C$6="Semua",$C$6="",H34=$C$6,H34="Pengeluaran "&amp;$C$6,AND($C$6="Uang Kos Mama",H34="Pengeluaran Uang Kos")),OR($C$7="Semua",$C$7="",I34=$C$7),OR($C$8="Semua",$C$8="",C34=$C$8,E34=$C$8),OR($C$9="Semua",$C$9="",D34=$C$9),OR($C$10="",B34&gt;=$C$10),OR($C$11="",B34&lt;=$C$11),OR($C$12&lt;&gt;"Ya",K34&lt;&gt;""),OR($C$13="Semua",$C$13="",L34=$C$13)),"✓","")</f>
        <v/>
      </c>
      <c r="N34" s="93">
        <f>N(N33)+IF(M34="✓",1,0)</f>
        <v/>
      </c>
      <c r="O34" s="93">
        <f>N(O33)+IF(AND(B34&lt;&gt;"",B34&gt;='Uang Riba'!$H$30,B34&lt;='Uang Riba'!$I$30,OR(H34="Dana riba",H34="Pinjam uang riba",I34="Pinjam dari uang riba",I34="Ganti uang riba",I34="Kelebihan ganti dikembalikan",AND(C34="Kantong Uang Riba",G34="Pengeluaran"))),1,0)</f>
        <v/>
      </c>
      <c r="P34" s="119">
        <f>IF(30&gt;MAX($N$16:$N$5015),"",INDEX($B$16:$B$5015,MATCH((MAX($N$16:$N$5015)-30+1),$N$16:$N$5015,0)))</f>
        <v/>
      </c>
      <c r="Q34" s="105">
        <f>IF(30&gt;MAX($N$16:$N$5015),"",INDEX($C$16:$C$5015,MATCH((MAX($N$16:$N$5015)-30+1),$N$16:$N$5015,0)))&amp;IF(IF(30&gt;MAX($N$16:$N$5015),"",INDEX($E$16:$E$5015,MATCH((MAX($N$16:$N$5015)-30+1),$N$16:$N$5015,0)))="",""," → "&amp;IF(30&gt;MAX($N$16:$N$5015),"",INDEX($E$16:$E$5015,MATCH((MAX($N$16:$N$5015)-30+1),$N$16:$N$5015,0))))</f>
        <v/>
      </c>
      <c r="R34" s="105">
        <f>IF(30&gt;MAX($N$16:$N$5015),"",INDEX($D$16:$D$5015,MATCH((MAX($N$16:$N$5015)-30+1),$N$16:$N$5015,0)))</f>
        <v/>
      </c>
      <c r="S34" s="113">
        <f>IF(30&gt;MAX($N$16:$N$5015),"",INDEX($F$16:$F$5015,MATCH((MAX($N$16:$N$5015)-30+1),$N$16:$N$5015,0)))</f>
        <v/>
      </c>
      <c r="T34" s="105">
        <f>IF(30&gt;MAX($N$16:$N$5015),"",IF(30&gt;MAX($N$16:$N$5015),"",INDEX($G$16:$G$5015,MATCH((MAX($N$16:$N$5015)-30+1),$N$16:$N$5015,0)))&amp;" › "&amp;IF(30&gt;MAX($N$16:$N$5015),"",INDEX($H$16:$H$5015,MATCH((MAX($N$16:$N$5015)-30+1),$N$16:$N$5015,0)))&amp;" › "&amp;IF(30&gt;MAX($N$16:$N$5015),"",INDEX($I$16:$I$5015,MATCH((MAX($N$16:$N$5015)-30+1),$N$16:$N$5015,0))))</f>
        <v/>
      </c>
      <c r="U34" s="105">
        <f>IF(30&gt;MAX($N$16:$N$5015),"",INDEX($J$16:$J$5015,MATCH((MAX($N$16:$N$5015)-30+1),$N$16:$N$5015,0)))&amp;IF(IF(30&gt;MAX($N$16:$N$5015),"",INDEX($L$16:$L$5015,MATCH((MAX($N$16:$N$5015)-30+1),$N$16:$N$5015,0)))="",""," ["&amp;IF(30&gt;MAX($N$16:$N$5015),"",INDEX($L$16:$L$5015,MATCH((MAX($N$16:$N$5015)-30+1),$N$16:$N$5015,0)))&amp;"]")</f>
        <v/>
      </c>
      <c r="V34" s="120">
        <f>IF(30&gt;MAX($N$16:$N$5015),"",HYPERLINK("#Transaksi!B"&amp;(MATCH((MAX($N$16:$N$5015)-30+1),$N$16:$N$5015,0)+15),"Buka"))</f>
        <v/>
      </c>
      <c r="X34" s="93">
        <f>IF(AND(B34&lt;&gt;"",B34&gt;='Buku Akun'!$H$4,B34&lt;='Buku Akun'!$H$5,OR(C34='Buku Akun'!$C$4,AND(D34="Pindah",E34='Buku Akun'!$C$4))),B34+IF(AND(I34="Selisih bunga",DAY(B34)=1),0,0.01)+ROW()/10000000,"")</f>
        <v/>
      </c>
    </row>
    <row r="35" outlineLevel="1" ht="15" customHeight="1" s="94">
      <c r="A35" s="123">
        <f>IF(B35="","",ROW()-15)</f>
        <v/>
      </c>
      <c r="B35" s="124" t="n"/>
      <c r="C35" s="123" t="n"/>
      <c r="D35" s="123" t="n"/>
      <c r="E35" s="123" t="n"/>
      <c r="F35" s="125" t="n"/>
      <c r="G35" s="123" t="n"/>
      <c r="H35" s="123" t="n"/>
      <c r="I35" s="123" t="n"/>
      <c r="J35" s="123" t="n"/>
      <c r="K35" s="123" t="n"/>
      <c r="L35" s="123" t="n"/>
      <c r="M35" s="123">
        <f>IF(AND(B35&lt;&gt;"",OR($C$4="",ISNUMBER(SEARCH($C$4,C35&amp;" "&amp;E35&amp;" "&amp;G35&amp;" "&amp;H35&amp;" "&amp;I35&amp;" "&amp;J35&amp;" "&amp;K35&amp;" "&amp;L35))),OR($C$5="Semua",$C$5="",G35=$C$5),OR($C$6="Semua",$C$6="",H35=$C$6,H35="Pengeluaran "&amp;$C$6,AND($C$6="Uang Kos Mama",H35="Pengeluaran Uang Kos")),OR($C$7="Semua",$C$7="",I35=$C$7),OR($C$8="Semua",$C$8="",C35=$C$8,E35=$C$8),OR($C$9="Semua",$C$9="",D35=$C$9),OR($C$10="",B35&gt;=$C$10),OR($C$11="",B35&lt;=$C$11),OR($C$12&lt;&gt;"Ya",K35&lt;&gt;""),OR($C$13="Semua",$C$13="",L35=$C$13)),"✓","")</f>
        <v/>
      </c>
      <c r="N35" s="93">
        <f>N(N34)+IF(M35="✓",1,0)</f>
        <v/>
      </c>
      <c r="O35" s="93">
        <f>N(O34)+IF(AND(B35&lt;&gt;"",B35&gt;='Uang Riba'!$H$30,B35&lt;='Uang Riba'!$I$30,OR(H35="Dana riba",H35="Pinjam uang riba",I35="Pinjam dari uang riba",I35="Ganti uang riba",I35="Kelebihan ganti dikembalikan",AND(C35="Kantong Uang Riba",G35="Pengeluaran"))),1,0)</f>
        <v/>
      </c>
      <c r="P35" s="119">
        <f>IF(31&gt;MAX($N$16:$N$5015),"",INDEX($B$16:$B$5015,MATCH((MAX($N$16:$N$5015)-31+1),$N$16:$N$5015,0)))</f>
        <v/>
      </c>
      <c r="Q35" s="105">
        <f>IF(31&gt;MAX($N$16:$N$5015),"",INDEX($C$16:$C$5015,MATCH((MAX($N$16:$N$5015)-31+1),$N$16:$N$5015,0)))&amp;IF(IF(31&gt;MAX($N$16:$N$5015),"",INDEX($E$16:$E$5015,MATCH((MAX($N$16:$N$5015)-31+1),$N$16:$N$5015,0)))="",""," → "&amp;IF(31&gt;MAX($N$16:$N$5015),"",INDEX($E$16:$E$5015,MATCH((MAX($N$16:$N$5015)-31+1),$N$16:$N$5015,0))))</f>
        <v/>
      </c>
      <c r="R35" s="105">
        <f>IF(31&gt;MAX($N$16:$N$5015),"",INDEX($D$16:$D$5015,MATCH((MAX($N$16:$N$5015)-31+1),$N$16:$N$5015,0)))</f>
        <v/>
      </c>
      <c r="S35" s="113">
        <f>IF(31&gt;MAX($N$16:$N$5015),"",INDEX($F$16:$F$5015,MATCH((MAX($N$16:$N$5015)-31+1),$N$16:$N$5015,0)))</f>
        <v/>
      </c>
      <c r="T35" s="105">
        <f>IF(31&gt;MAX($N$16:$N$5015),"",IF(31&gt;MAX($N$16:$N$5015),"",INDEX($G$16:$G$5015,MATCH((MAX($N$16:$N$5015)-31+1),$N$16:$N$5015,0)))&amp;" › "&amp;IF(31&gt;MAX($N$16:$N$5015),"",INDEX($H$16:$H$5015,MATCH((MAX($N$16:$N$5015)-31+1),$N$16:$N$5015,0)))&amp;" › "&amp;IF(31&gt;MAX($N$16:$N$5015),"",INDEX($I$16:$I$5015,MATCH((MAX($N$16:$N$5015)-31+1),$N$16:$N$5015,0))))</f>
        <v/>
      </c>
      <c r="U35" s="105">
        <f>IF(31&gt;MAX($N$16:$N$5015),"",INDEX($J$16:$J$5015,MATCH((MAX($N$16:$N$5015)-31+1),$N$16:$N$5015,0)))&amp;IF(IF(31&gt;MAX($N$16:$N$5015),"",INDEX($L$16:$L$5015,MATCH((MAX($N$16:$N$5015)-31+1),$N$16:$N$5015,0)))="",""," ["&amp;IF(31&gt;MAX($N$16:$N$5015),"",INDEX($L$16:$L$5015,MATCH((MAX($N$16:$N$5015)-31+1),$N$16:$N$5015,0)))&amp;"]")</f>
        <v/>
      </c>
      <c r="V35" s="120">
        <f>IF(31&gt;MAX($N$16:$N$5015),"",HYPERLINK("#Transaksi!B"&amp;(MATCH((MAX($N$16:$N$5015)-31+1),$N$16:$N$5015,0)+15),"Buka"))</f>
        <v/>
      </c>
      <c r="X35" s="93">
        <f>IF(AND(B35&lt;&gt;"",B35&gt;='Buku Akun'!$H$4,B35&lt;='Buku Akun'!$H$5,OR(C35='Buku Akun'!$C$4,AND(D35="Pindah",E35='Buku Akun'!$C$4))),B35+IF(AND(I35="Selisih bunga",DAY(B35)=1),0,0.01)+ROW()/10000000,"")</f>
        <v/>
      </c>
    </row>
    <row r="36" outlineLevel="1" ht="15" customHeight="1" s="94">
      <c r="A36" s="123">
        <f>IF(B36="","",ROW()-15)</f>
        <v/>
      </c>
      <c r="B36" s="124" t="n"/>
      <c r="C36" s="123" t="n"/>
      <c r="D36" s="123" t="n"/>
      <c r="E36" s="123" t="n"/>
      <c r="F36" s="125" t="n"/>
      <c r="G36" s="123" t="n"/>
      <c r="H36" s="123" t="n"/>
      <c r="I36" s="123" t="n"/>
      <c r="J36" s="123" t="n"/>
      <c r="K36" s="123" t="n"/>
      <c r="L36" s="123" t="n"/>
      <c r="M36" s="123">
        <f>IF(AND(B36&lt;&gt;"",OR($C$4="",ISNUMBER(SEARCH($C$4,C36&amp;" "&amp;E36&amp;" "&amp;G36&amp;" "&amp;H36&amp;" "&amp;I36&amp;" "&amp;J36&amp;" "&amp;K36&amp;" "&amp;L36))),OR($C$5="Semua",$C$5="",G36=$C$5),OR($C$6="Semua",$C$6="",H36=$C$6,H36="Pengeluaran "&amp;$C$6,AND($C$6="Uang Kos Mama",H36="Pengeluaran Uang Kos")),OR($C$7="Semua",$C$7="",I36=$C$7),OR($C$8="Semua",$C$8="",C36=$C$8,E36=$C$8),OR($C$9="Semua",$C$9="",D36=$C$9),OR($C$10="",B36&gt;=$C$10),OR($C$11="",B36&lt;=$C$11),OR($C$12&lt;&gt;"Ya",K36&lt;&gt;""),OR($C$13="Semua",$C$13="",L36=$C$13)),"✓","")</f>
        <v/>
      </c>
      <c r="N36" s="93">
        <f>N(N35)+IF(M36="✓",1,0)</f>
        <v/>
      </c>
      <c r="O36" s="93">
        <f>N(O35)+IF(AND(B36&lt;&gt;"",B36&gt;='Uang Riba'!$H$30,B36&lt;='Uang Riba'!$I$30,OR(H36="Dana riba",H36="Pinjam uang riba",I36="Pinjam dari uang riba",I36="Ganti uang riba",I36="Kelebihan ganti dikembalikan",AND(C36="Kantong Uang Riba",G36="Pengeluaran"))),1,0)</f>
        <v/>
      </c>
      <c r="P36" s="119">
        <f>IF(32&gt;MAX($N$16:$N$5015),"",INDEX($B$16:$B$5015,MATCH((MAX($N$16:$N$5015)-32+1),$N$16:$N$5015,0)))</f>
        <v/>
      </c>
      <c r="Q36" s="105">
        <f>IF(32&gt;MAX($N$16:$N$5015),"",INDEX($C$16:$C$5015,MATCH((MAX($N$16:$N$5015)-32+1),$N$16:$N$5015,0)))&amp;IF(IF(32&gt;MAX($N$16:$N$5015),"",INDEX($E$16:$E$5015,MATCH((MAX($N$16:$N$5015)-32+1),$N$16:$N$5015,0)))="",""," → "&amp;IF(32&gt;MAX($N$16:$N$5015),"",INDEX($E$16:$E$5015,MATCH((MAX($N$16:$N$5015)-32+1),$N$16:$N$5015,0))))</f>
        <v/>
      </c>
      <c r="R36" s="105">
        <f>IF(32&gt;MAX($N$16:$N$5015),"",INDEX($D$16:$D$5015,MATCH((MAX($N$16:$N$5015)-32+1),$N$16:$N$5015,0)))</f>
        <v/>
      </c>
      <c r="S36" s="113">
        <f>IF(32&gt;MAX($N$16:$N$5015),"",INDEX($F$16:$F$5015,MATCH((MAX($N$16:$N$5015)-32+1),$N$16:$N$5015,0)))</f>
        <v/>
      </c>
      <c r="T36" s="105">
        <f>IF(32&gt;MAX($N$16:$N$5015),"",IF(32&gt;MAX($N$16:$N$5015),"",INDEX($G$16:$G$5015,MATCH((MAX($N$16:$N$5015)-32+1),$N$16:$N$5015,0)))&amp;" › "&amp;IF(32&gt;MAX($N$16:$N$5015),"",INDEX($H$16:$H$5015,MATCH((MAX($N$16:$N$5015)-32+1),$N$16:$N$5015,0)))&amp;" › "&amp;IF(32&gt;MAX($N$16:$N$5015),"",INDEX($I$16:$I$5015,MATCH((MAX($N$16:$N$5015)-32+1),$N$16:$N$5015,0))))</f>
        <v/>
      </c>
      <c r="U36" s="105">
        <f>IF(32&gt;MAX($N$16:$N$5015),"",INDEX($J$16:$J$5015,MATCH((MAX($N$16:$N$5015)-32+1),$N$16:$N$5015,0)))&amp;IF(IF(32&gt;MAX($N$16:$N$5015),"",INDEX($L$16:$L$5015,MATCH((MAX($N$16:$N$5015)-32+1),$N$16:$N$5015,0)))="",""," ["&amp;IF(32&gt;MAX($N$16:$N$5015),"",INDEX($L$16:$L$5015,MATCH((MAX($N$16:$N$5015)-32+1),$N$16:$N$5015,0)))&amp;"]")</f>
        <v/>
      </c>
      <c r="V36" s="120">
        <f>IF(32&gt;MAX($N$16:$N$5015),"",HYPERLINK("#Transaksi!B"&amp;(MATCH((MAX($N$16:$N$5015)-32+1),$N$16:$N$5015,0)+15),"Buka"))</f>
        <v/>
      </c>
      <c r="X36" s="93">
        <f>IF(AND(B36&lt;&gt;"",B36&gt;='Buku Akun'!$H$4,B36&lt;='Buku Akun'!$H$5,OR(C36='Buku Akun'!$C$4,AND(D36="Pindah",E36='Buku Akun'!$C$4))),B36+IF(AND(I36="Selisih bunga",DAY(B36)=1),0,0.01)+ROW()/10000000,"")</f>
        <v/>
      </c>
    </row>
    <row r="37" outlineLevel="1" ht="15" customHeight="1" s="94">
      <c r="A37" s="123">
        <f>IF(B37="","",ROW()-15)</f>
        <v/>
      </c>
      <c r="B37" s="124" t="n"/>
      <c r="C37" s="123" t="n"/>
      <c r="D37" s="123" t="n"/>
      <c r="E37" s="123" t="n"/>
      <c r="F37" s="125" t="n"/>
      <c r="G37" s="123" t="n"/>
      <c r="H37" s="123" t="n"/>
      <c r="I37" s="123" t="n"/>
      <c r="J37" s="123" t="n"/>
      <c r="K37" s="123" t="n"/>
      <c r="L37" s="123" t="n"/>
      <c r="M37" s="123">
        <f>IF(AND(B37&lt;&gt;"",OR($C$4="",ISNUMBER(SEARCH($C$4,C37&amp;" "&amp;E37&amp;" "&amp;G37&amp;" "&amp;H37&amp;" "&amp;I37&amp;" "&amp;J37&amp;" "&amp;K37&amp;" "&amp;L37))),OR($C$5="Semua",$C$5="",G37=$C$5),OR($C$6="Semua",$C$6="",H37=$C$6,H37="Pengeluaran "&amp;$C$6,AND($C$6="Uang Kos Mama",H37="Pengeluaran Uang Kos")),OR($C$7="Semua",$C$7="",I37=$C$7),OR($C$8="Semua",$C$8="",C37=$C$8,E37=$C$8),OR($C$9="Semua",$C$9="",D37=$C$9),OR($C$10="",B37&gt;=$C$10),OR($C$11="",B37&lt;=$C$11),OR($C$12&lt;&gt;"Ya",K37&lt;&gt;""),OR($C$13="Semua",$C$13="",L37=$C$13)),"✓","")</f>
        <v/>
      </c>
      <c r="N37" s="93">
        <f>N(N36)+IF(M37="✓",1,0)</f>
        <v/>
      </c>
      <c r="O37" s="93">
        <f>N(O36)+IF(AND(B37&lt;&gt;"",B37&gt;='Uang Riba'!$H$30,B37&lt;='Uang Riba'!$I$30,OR(H37="Dana riba",H37="Pinjam uang riba",I37="Pinjam dari uang riba",I37="Ganti uang riba",I37="Kelebihan ganti dikembalikan",AND(C37="Kantong Uang Riba",G37="Pengeluaran"))),1,0)</f>
        <v/>
      </c>
      <c r="P37" s="119">
        <f>IF(33&gt;MAX($N$16:$N$5015),"",INDEX($B$16:$B$5015,MATCH((MAX($N$16:$N$5015)-33+1),$N$16:$N$5015,0)))</f>
        <v/>
      </c>
      <c r="Q37" s="105">
        <f>IF(33&gt;MAX($N$16:$N$5015),"",INDEX($C$16:$C$5015,MATCH((MAX($N$16:$N$5015)-33+1),$N$16:$N$5015,0)))&amp;IF(IF(33&gt;MAX($N$16:$N$5015),"",INDEX($E$16:$E$5015,MATCH((MAX($N$16:$N$5015)-33+1),$N$16:$N$5015,0)))="",""," → "&amp;IF(33&gt;MAX($N$16:$N$5015),"",INDEX($E$16:$E$5015,MATCH((MAX($N$16:$N$5015)-33+1),$N$16:$N$5015,0))))</f>
        <v/>
      </c>
      <c r="R37" s="105">
        <f>IF(33&gt;MAX($N$16:$N$5015),"",INDEX($D$16:$D$5015,MATCH((MAX($N$16:$N$5015)-33+1),$N$16:$N$5015,0)))</f>
        <v/>
      </c>
      <c r="S37" s="113">
        <f>IF(33&gt;MAX($N$16:$N$5015),"",INDEX($F$16:$F$5015,MATCH((MAX($N$16:$N$5015)-33+1),$N$16:$N$5015,0)))</f>
        <v/>
      </c>
      <c r="T37" s="105">
        <f>IF(33&gt;MAX($N$16:$N$5015),"",IF(33&gt;MAX($N$16:$N$5015),"",INDEX($G$16:$G$5015,MATCH((MAX($N$16:$N$5015)-33+1),$N$16:$N$5015,0)))&amp;" › "&amp;IF(33&gt;MAX($N$16:$N$5015),"",INDEX($H$16:$H$5015,MATCH((MAX($N$16:$N$5015)-33+1),$N$16:$N$5015,0)))&amp;" › "&amp;IF(33&gt;MAX($N$16:$N$5015),"",INDEX($I$16:$I$5015,MATCH((MAX($N$16:$N$5015)-33+1),$N$16:$N$5015,0))))</f>
        <v/>
      </c>
      <c r="U37" s="105">
        <f>IF(33&gt;MAX($N$16:$N$5015),"",INDEX($J$16:$J$5015,MATCH((MAX($N$16:$N$5015)-33+1),$N$16:$N$5015,0)))&amp;IF(IF(33&gt;MAX($N$16:$N$5015),"",INDEX($L$16:$L$5015,MATCH((MAX($N$16:$N$5015)-33+1),$N$16:$N$5015,0)))="",""," ["&amp;IF(33&gt;MAX($N$16:$N$5015),"",INDEX($L$16:$L$5015,MATCH((MAX($N$16:$N$5015)-33+1),$N$16:$N$5015,0)))&amp;"]")</f>
        <v/>
      </c>
      <c r="V37" s="120">
        <f>IF(33&gt;MAX($N$16:$N$5015),"",HYPERLINK("#Transaksi!B"&amp;(MATCH((MAX($N$16:$N$5015)-33+1),$N$16:$N$5015,0)+15),"Buka"))</f>
        <v/>
      </c>
      <c r="X37" s="93">
        <f>IF(AND(B37&lt;&gt;"",B37&gt;='Buku Akun'!$H$4,B37&lt;='Buku Akun'!$H$5,OR(C37='Buku Akun'!$C$4,AND(D37="Pindah",E37='Buku Akun'!$C$4))),B37+IF(AND(I37="Selisih bunga",DAY(B37)=1),0,0.01)+ROW()/10000000,"")</f>
        <v/>
      </c>
    </row>
    <row r="38" outlineLevel="1" ht="15" customHeight="1" s="94">
      <c r="A38" s="123">
        <f>IF(B38="","",ROW()-15)</f>
        <v/>
      </c>
      <c r="B38" s="124" t="n"/>
      <c r="C38" s="123" t="n"/>
      <c r="D38" s="123" t="n"/>
      <c r="E38" s="123" t="n"/>
      <c r="F38" s="125" t="n"/>
      <c r="G38" s="123" t="n"/>
      <c r="H38" s="123" t="n"/>
      <c r="I38" s="123" t="n"/>
      <c r="J38" s="123" t="n"/>
      <c r="K38" s="123" t="n"/>
      <c r="L38" s="123" t="n"/>
      <c r="M38" s="123">
        <f>IF(AND(B38&lt;&gt;"",OR($C$4="",ISNUMBER(SEARCH($C$4,C38&amp;" "&amp;E38&amp;" "&amp;G38&amp;" "&amp;H38&amp;" "&amp;I38&amp;" "&amp;J38&amp;" "&amp;K38&amp;" "&amp;L38))),OR($C$5="Semua",$C$5="",G38=$C$5),OR($C$6="Semua",$C$6="",H38=$C$6,H38="Pengeluaran "&amp;$C$6,AND($C$6="Uang Kos Mama",H38="Pengeluaran Uang Kos")),OR($C$7="Semua",$C$7="",I38=$C$7),OR($C$8="Semua",$C$8="",C38=$C$8,E38=$C$8),OR($C$9="Semua",$C$9="",D38=$C$9),OR($C$10="",B38&gt;=$C$10),OR($C$11="",B38&lt;=$C$11),OR($C$12&lt;&gt;"Ya",K38&lt;&gt;""),OR($C$13="Semua",$C$13="",L38=$C$13)),"✓","")</f>
        <v/>
      </c>
      <c r="N38" s="93">
        <f>N(N37)+IF(M38="✓",1,0)</f>
        <v/>
      </c>
      <c r="O38" s="93">
        <f>N(O37)+IF(AND(B38&lt;&gt;"",B38&gt;='Uang Riba'!$H$30,B38&lt;='Uang Riba'!$I$30,OR(H38="Dana riba",H38="Pinjam uang riba",I38="Pinjam dari uang riba",I38="Ganti uang riba",I38="Kelebihan ganti dikembalikan",AND(C38="Kantong Uang Riba",G38="Pengeluaran"))),1,0)</f>
        <v/>
      </c>
      <c r="P38" s="119">
        <f>IF(34&gt;MAX($N$16:$N$5015),"",INDEX($B$16:$B$5015,MATCH((MAX($N$16:$N$5015)-34+1),$N$16:$N$5015,0)))</f>
        <v/>
      </c>
      <c r="Q38" s="105">
        <f>IF(34&gt;MAX($N$16:$N$5015),"",INDEX($C$16:$C$5015,MATCH((MAX($N$16:$N$5015)-34+1),$N$16:$N$5015,0)))&amp;IF(IF(34&gt;MAX($N$16:$N$5015),"",INDEX($E$16:$E$5015,MATCH((MAX($N$16:$N$5015)-34+1),$N$16:$N$5015,0)))="",""," → "&amp;IF(34&gt;MAX($N$16:$N$5015),"",INDEX($E$16:$E$5015,MATCH((MAX($N$16:$N$5015)-34+1),$N$16:$N$5015,0))))</f>
        <v/>
      </c>
      <c r="R38" s="105">
        <f>IF(34&gt;MAX($N$16:$N$5015),"",INDEX($D$16:$D$5015,MATCH((MAX($N$16:$N$5015)-34+1),$N$16:$N$5015,0)))</f>
        <v/>
      </c>
      <c r="S38" s="113">
        <f>IF(34&gt;MAX($N$16:$N$5015),"",INDEX($F$16:$F$5015,MATCH((MAX($N$16:$N$5015)-34+1),$N$16:$N$5015,0)))</f>
        <v/>
      </c>
      <c r="T38" s="105">
        <f>IF(34&gt;MAX($N$16:$N$5015),"",IF(34&gt;MAX($N$16:$N$5015),"",INDEX($G$16:$G$5015,MATCH((MAX($N$16:$N$5015)-34+1),$N$16:$N$5015,0)))&amp;" › "&amp;IF(34&gt;MAX($N$16:$N$5015),"",INDEX($H$16:$H$5015,MATCH((MAX($N$16:$N$5015)-34+1),$N$16:$N$5015,0)))&amp;" › "&amp;IF(34&gt;MAX($N$16:$N$5015),"",INDEX($I$16:$I$5015,MATCH((MAX($N$16:$N$5015)-34+1),$N$16:$N$5015,0))))</f>
        <v/>
      </c>
      <c r="U38" s="105">
        <f>IF(34&gt;MAX($N$16:$N$5015),"",INDEX($J$16:$J$5015,MATCH((MAX($N$16:$N$5015)-34+1),$N$16:$N$5015,0)))&amp;IF(IF(34&gt;MAX($N$16:$N$5015),"",INDEX($L$16:$L$5015,MATCH((MAX($N$16:$N$5015)-34+1),$N$16:$N$5015,0)))="",""," ["&amp;IF(34&gt;MAX($N$16:$N$5015),"",INDEX($L$16:$L$5015,MATCH((MAX($N$16:$N$5015)-34+1),$N$16:$N$5015,0)))&amp;"]")</f>
        <v/>
      </c>
      <c r="V38" s="120">
        <f>IF(34&gt;MAX($N$16:$N$5015),"",HYPERLINK("#Transaksi!B"&amp;(MATCH((MAX($N$16:$N$5015)-34+1),$N$16:$N$5015,0)+15),"Buka"))</f>
        <v/>
      </c>
      <c r="X38" s="93">
        <f>IF(AND(B38&lt;&gt;"",B38&gt;='Buku Akun'!$H$4,B38&lt;='Buku Akun'!$H$5,OR(C38='Buku Akun'!$C$4,AND(D38="Pindah",E38='Buku Akun'!$C$4))),B38+IF(AND(I38="Selisih bunga",DAY(B38)=1),0,0.01)+ROW()/10000000,"")</f>
        <v/>
      </c>
    </row>
    <row r="39" outlineLevel="1" ht="15" customHeight="1" s="94">
      <c r="A39" s="123">
        <f>IF(B39="","",ROW()-15)</f>
        <v/>
      </c>
      <c r="B39" s="124" t="n"/>
      <c r="C39" s="123" t="n"/>
      <c r="D39" s="123" t="n"/>
      <c r="E39" s="123" t="n"/>
      <c r="F39" s="125" t="n"/>
      <c r="G39" s="123" t="n"/>
      <c r="H39" s="123" t="n"/>
      <c r="I39" s="123" t="n"/>
      <c r="J39" s="123" t="n"/>
      <c r="K39" s="123" t="n"/>
      <c r="L39" s="123" t="n"/>
      <c r="M39" s="123">
        <f>IF(AND(B39&lt;&gt;"",OR($C$4="",ISNUMBER(SEARCH($C$4,C39&amp;" "&amp;E39&amp;" "&amp;G39&amp;" "&amp;H39&amp;" "&amp;I39&amp;" "&amp;J39&amp;" "&amp;K39&amp;" "&amp;L39))),OR($C$5="Semua",$C$5="",G39=$C$5),OR($C$6="Semua",$C$6="",H39=$C$6,H39="Pengeluaran "&amp;$C$6,AND($C$6="Uang Kos Mama",H39="Pengeluaran Uang Kos")),OR($C$7="Semua",$C$7="",I39=$C$7),OR($C$8="Semua",$C$8="",C39=$C$8,E39=$C$8),OR($C$9="Semua",$C$9="",D39=$C$9),OR($C$10="",B39&gt;=$C$10),OR($C$11="",B39&lt;=$C$11),OR($C$12&lt;&gt;"Ya",K39&lt;&gt;""),OR($C$13="Semua",$C$13="",L39=$C$13)),"✓","")</f>
        <v/>
      </c>
      <c r="N39" s="93">
        <f>N(N38)+IF(M39="✓",1,0)</f>
        <v/>
      </c>
      <c r="O39" s="93">
        <f>N(O38)+IF(AND(B39&lt;&gt;"",B39&gt;='Uang Riba'!$H$30,B39&lt;='Uang Riba'!$I$30,OR(H39="Dana riba",H39="Pinjam uang riba",I39="Pinjam dari uang riba",I39="Ganti uang riba",I39="Kelebihan ganti dikembalikan",AND(C39="Kantong Uang Riba",G39="Pengeluaran"))),1,0)</f>
        <v/>
      </c>
      <c r="P39" s="119">
        <f>IF(35&gt;MAX($N$16:$N$5015),"",INDEX($B$16:$B$5015,MATCH((MAX($N$16:$N$5015)-35+1),$N$16:$N$5015,0)))</f>
        <v/>
      </c>
      <c r="Q39" s="105">
        <f>IF(35&gt;MAX($N$16:$N$5015),"",INDEX($C$16:$C$5015,MATCH((MAX($N$16:$N$5015)-35+1),$N$16:$N$5015,0)))&amp;IF(IF(35&gt;MAX($N$16:$N$5015),"",INDEX($E$16:$E$5015,MATCH((MAX($N$16:$N$5015)-35+1),$N$16:$N$5015,0)))="",""," → "&amp;IF(35&gt;MAX($N$16:$N$5015),"",INDEX($E$16:$E$5015,MATCH((MAX($N$16:$N$5015)-35+1),$N$16:$N$5015,0))))</f>
        <v/>
      </c>
      <c r="R39" s="105">
        <f>IF(35&gt;MAX($N$16:$N$5015),"",INDEX($D$16:$D$5015,MATCH((MAX($N$16:$N$5015)-35+1),$N$16:$N$5015,0)))</f>
        <v/>
      </c>
      <c r="S39" s="113">
        <f>IF(35&gt;MAX($N$16:$N$5015),"",INDEX($F$16:$F$5015,MATCH((MAX($N$16:$N$5015)-35+1),$N$16:$N$5015,0)))</f>
        <v/>
      </c>
      <c r="T39" s="105">
        <f>IF(35&gt;MAX($N$16:$N$5015),"",IF(35&gt;MAX($N$16:$N$5015),"",INDEX($G$16:$G$5015,MATCH((MAX($N$16:$N$5015)-35+1),$N$16:$N$5015,0)))&amp;" › "&amp;IF(35&gt;MAX($N$16:$N$5015),"",INDEX($H$16:$H$5015,MATCH((MAX($N$16:$N$5015)-35+1),$N$16:$N$5015,0)))&amp;" › "&amp;IF(35&gt;MAX($N$16:$N$5015),"",INDEX($I$16:$I$5015,MATCH((MAX($N$16:$N$5015)-35+1),$N$16:$N$5015,0))))</f>
        <v/>
      </c>
      <c r="U39" s="105">
        <f>IF(35&gt;MAX($N$16:$N$5015),"",INDEX($J$16:$J$5015,MATCH((MAX($N$16:$N$5015)-35+1),$N$16:$N$5015,0)))&amp;IF(IF(35&gt;MAX($N$16:$N$5015),"",INDEX($L$16:$L$5015,MATCH((MAX($N$16:$N$5015)-35+1),$N$16:$N$5015,0)))="",""," ["&amp;IF(35&gt;MAX($N$16:$N$5015),"",INDEX($L$16:$L$5015,MATCH((MAX($N$16:$N$5015)-35+1),$N$16:$N$5015,0)))&amp;"]")</f>
        <v/>
      </c>
      <c r="V39" s="120">
        <f>IF(35&gt;MAX($N$16:$N$5015),"",HYPERLINK("#Transaksi!B"&amp;(MATCH((MAX($N$16:$N$5015)-35+1),$N$16:$N$5015,0)+15),"Buka"))</f>
        <v/>
      </c>
      <c r="X39" s="93">
        <f>IF(AND(B39&lt;&gt;"",B39&gt;='Buku Akun'!$H$4,B39&lt;='Buku Akun'!$H$5,OR(C39='Buku Akun'!$C$4,AND(D39="Pindah",E39='Buku Akun'!$C$4))),B39+IF(AND(I39="Selisih bunga",DAY(B39)=1),0,0.01)+ROW()/10000000,"")</f>
        <v/>
      </c>
    </row>
    <row r="40" outlineLevel="1" ht="15" customHeight="1" s="94">
      <c r="A40" s="123">
        <f>IF(B40="","",ROW()-15)</f>
        <v/>
      </c>
      <c r="B40" s="124" t="n"/>
      <c r="C40" s="123" t="n"/>
      <c r="D40" s="123" t="n"/>
      <c r="E40" s="123" t="n"/>
      <c r="F40" s="125" t="n"/>
      <c r="G40" s="123" t="n"/>
      <c r="H40" s="123" t="n"/>
      <c r="I40" s="123" t="n"/>
      <c r="J40" s="123" t="n"/>
      <c r="K40" s="123" t="n"/>
      <c r="L40" s="123" t="n"/>
      <c r="M40" s="123">
        <f>IF(AND(B40&lt;&gt;"",OR($C$4="",ISNUMBER(SEARCH($C$4,C40&amp;" "&amp;E40&amp;" "&amp;G40&amp;" "&amp;H40&amp;" "&amp;I40&amp;" "&amp;J40&amp;" "&amp;K40&amp;" "&amp;L40))),OR($C$5="Semua",$C$5="",G40=$C$5),OR($C$6="Semua",$C$6="",H40=$C$6,H40="Pengeluaran "&amp;$C$6,AND($C$6="Uang Kos Mama",H40="Pengeluaran Uang Kos")),OR($C$7="Semua",$C$7="",I40=$C$7),OR($C$8="Semua",$C$8="",C40=$C$8,E40=$C$8),OR($C$9="Semua",$C$9="",D40=$C$9),OR($C$10="",B40&gt;=$C$10),OR($C$11="",B40&lt;=$C$11),OR($C$12&lt;&gt;"Ya",K40&lt;&gt;""),OR($C$13="Semua",$C$13="",L40=$C$13)),"✓","")</f>
        <v/>
      </c>
      <c r="N40" s="93">
        <f>N(N39)+IF(M40="✓",1,0)</f>
        <v/>
      </c>
      <c r="O40" s="93">
        <f>N(O39)+IF(AND(B40&lt;&gt;"",B40&gt;='Uang Riba'!$H$30,B40&lt;='Uang Riba'!$I$30,OR(H40="Dana riba",H40="Pinjam uang riba",I40="Pinjam dari uang riba",I40="Ganti uang riba",I40="Kelebihan ganti dikembalikan",AND(C40="Kantong Uang Riba",G40="Pengeluaran"))),1,0)</f>
        <v/>
      </c>
      <c r="P40" s="119">
        <f>IF(36&gt;MAX($N$16:$N$5015),"",INDEX($B$16:$B$5015,MATCH((MAX($N$16:$N$5015)-36+1),$N$16:$N$5015,0)))</f>
        <v/>
      </c>
      <c r="Q40" s="105">
        <f>IF(36&gt;MAX($N$16:$N$5015),"",INDEX($C$16:$C$5015,MATCH((MAX($N$16:$N$5015)-36+1),$N$16:$N$5015,0)))&amp;IF(IF(36&gt;MAX($N$16:$N$5015),"",INDEX($E$16:$E$5015,MATCH((MAX($N$16:$N$5015)-36+1),$N$16:$N$5015,0)))="",""," → "&amp;IF(36&gt;MAX($N$16:$N$5015),"",INDEX($E$16:$E$5015,MATCH((MAX($N$16:$N$5015)-36+1),$N$16:$N$5015,0))))</f>
        <v/>
      </c>
      <c r="R40" s="105">
        <f>IF(36&gt;MAX($N$16:$N$5015),"",INDEX($D$16:$D$5015,MATCH((MAX($N$16:$N$5015)-36+1),$N$16:$N$5015,0)))</f>
        <v/>
      </c>
      <c r="S40" s="113">
        <f>IF(36&gt;MAX($N$16:$N$5015),"",INDEX($F$16:$F$5015,MATCH((MAX($N$16:$N$5015)-36+1),$N$16:$N$5015,0)))</f>
        <v/>
      </c>
      <c r="T40" s="105">
        <f>IF(36&gt;MAX($N$16:$N$5015),"",IF(36&gt;MAX($N$16:$N$5015),"",INDEX($G$16:$G$5015,MATCH((MAX($N$16:$N$5015)-36+1),$N$16:$N$5015,0)))&amp;" › "&amp;IF(36&gt;MAX($N$16:$N$5015),"",INDEX($H$16:$H$5015,MATCH((MAX($N$16:$N$5015)-36+1),$N$16:$N$5015,0)))&amp;" › "&amp;IF(36&gt;MAX($N$16:$N$5015),"",INDEX($I$16:$I$5015,MATCH((MAX($N$16:$N$5015)-36+1),$N$16:$N$5015,0))))</f>
        <v/>
      </c>
      <c r="U40" s="105">
        <f>IF(36&gt;MAX($N$16:$N$5015),"",INDEX($J$16:$J$5015,MATCH((MAX($N$16:$N$5015)-36+1),$N$16:$N$5015,0)))&amp;IF(IF(36&gt;MAX($N$16:$N$5015),"",INDEX($L$16:$L$5015,MATCH((MAX($N$16:$N$5015)-36+1),$N$16:$N$5015,0)))="",""," ["&amp;IF(36&gt;MAX($N$16:$N$5015),"",INDEX($L$16:$L$5015,MATCH((MAX($N$16:$N$5015)-36+1),$N$16:$N$5015,0)))&amp;"]")</f>
        <v/>
      </c>
      <c r="V40" s="120">
        <f>IF(36&gt;MAX($N$16:$N$5015),"",HYPERLINK("#Transaksi!B"&amp;(MATCH((MAX($N$16:$N$5015)-36+1),$N$16:$N$5015,0)+15),"Buka"))</f>
        <v/>
      </c>
      <c r="X40" s="93">
        <f>IF(AND(B40&lt;&gt;"",B40&gt;='Buku Akun'!$H$4,B40&lt;='Buku Akun'!$H$5,OR(C40='Buku Akun'!$C$4,AND(D40="Pindah",E40='Buku Akun'!$C$4))),B40+IF(AND(I40="Selisih bunga",DAY(B40)=1),0,0.01)+ROW()/10000000,"")</f>
        <v/>
      </c>
    </row>
    <row r="41" outlineLevel="1" ht="15" customHeight="1" s="94">
      <c r="A41" s="123">
        <f>IF(B41="","",ROW()-15)</f>
        <v/>
      </c>
      <c r="B41" s="124" t="n"/>
      <c r="C41" s="123" t="n"/>
      <c r="D41" s="123" t="n"/>
      <c r="E41" s="123" t="n"/>
      <c r="F41" s="125" t="n"/>
      <c r="G41" s="123" t="n"/>
      <c r="H41" s="123" t="n"/>
      <c r="I41" s="123" t="n"/>
      <c r="J41" s="123" t="n"/>
      <c r="K41" s="123" t="n"/>
      <c r="L41" s="123" t="n"/>
      <c r="M41" s="123">
        <f>IF(AND(B41&lt;&gt;"",OR($C$4="",ISNUMBER(SEARCH($C$4,C41&amp;" "&amp;E41&amp;" "&amp;G41&amp;" "&amp;H41&amp;" "&amp;I41&amp;" "&amp;J41&amp;" "&amp;K41&amp;" "&amp;L41))),OR($C$5="Semua",$C$5="",G41=$C$5),OR($C$6="Semua",$C$6="",H41=$C$6,H41="Pengeluaran "&amp;$C$6,AND($C$6="Uang Kos Mama",H41="Pengeluaran Uang Kos")),OR($C$7="Semua",$C$7="",I41=$C$7),OR($C$8="Semua",$C$8="",C41=$C$8,E41=$C$8),OR($C$9="Semua",$C$9="",D41=$C$9),OR($C$10="",B41&gt;=$C$10),OR($C$11="",B41&lt;=$C$11),OR($C$12&lt;&gt;"Ya",K41&lt;&gt;""),OR($C$13="Semua",$C$13="",L41=$C$13)),"✓","")</f>
        <v/>
      </c>
      <c r="N41" s="93">
        <f>N(N40)+IF(M41="✓",1,0)</f>
        <v/>
      </c>
      <c r="O41" s="93">
        <f>N(O40)+IF(AND(B41&lt;&gt;"",B41&gt;='Uang Riba'!$H$30,B41&lt;='Uang Riba'!$I$30,OR(H41="Dana riba",H41="Pinjam uang riba",I41="Pinjam dari uang riba",I41="Ganti uang riba",I41="Kelebihan ganti dikembalikan",AND(C41="Kantong Uang Riba",G41="Pengeluaran"))),1,0)</f>
        <v/>
      </c>
      <c r="P41" s="119">
        <f>IF(37&gt;MAX($N$16:$N$5015),"",INDEX($B$16:$B$5015,MATCH((MAX($N$16:$N$5015)-37+1),$N$16:$N$5015,0)))</f>
        <v/>
      </c>
      <c r="Q41" s="105">
        <f>IF(37&gt;MAX($N$16:$N$5015),"",INDEX($C$16:$C$5015,MATCH((MAX($N$16:$N$5015)-37+1),$N$16:$N$5015,0)))&amp;IF(IF(37&gt;MAX($N$16:$N$5015),"",INDEX($E$16:$E$5015,MATCH((MAX($N$16:$N$5015)-37+1),$N$16:$N$5015,0)))="",""," → "&amp;IF(37&gt;MAX($N$16:$N$5015),"",INDEX($E$16:$E$5015,MATCH((MAX($N$16:$N$5015)-37+1),$N$16:$N$5015,0))))</f>
        <v/>
      </c>
      <c r="R41" s="105">
        <f>IF(37&gt;MAX($N$16:$N$5015),"",INDEX($D$16:$D$5015,MATCH((MAX($N$16:$N$5015)-37+1),$N$16:$N$5015,0)))</f>
        <v/>
      </c>
      <c r="S41" s="113">
        <f>IF(37&gt;MAX($N$16:$N$5015),"",INDEX($F$16:$F$5015,MATCH((MAX($N$16:$N$5015)-37+1),$N$16:$N$5015,0)))</f>
        <v/>
      </c>
      <c r="T41" s="105">
        <f>IF(37&gt;MAX($N$16:$N$5015),"",IF(37&gt;MAX($N$16:$N$5015),"",INDEX($G$16:$G$5015,MATCH((MAX($N$16:$N$5015)-37+1),$N$16:$N$5015,0)))&amp;" › "&amp;IF(37&gt;MAX($N$16:$N$5015),"",INDEX($H$16:$H$5015,MATCH((MAX($N$16:$N$5015)-37+1),$N$16:$N$5015,0)))&amp;" › "&amp;IF(37&gt;MAX($N$16:$N$5015),"",INDEX($I$16:$I$5015,MATCH((MAX($N$16:$N$5015)-37+1),$N$16:$N$5015,0))))</f>
        <v/>
      </c>
      <c r="U41" s="105">
        <f>IF(37&gt;MAX($N$16:$N$5015),"",INDEX($J$16:$J$5015,MATCH((MAX($N$16:$N$5015)-37+1),$N$16:$N$5015,0)))&amp;IF(IF(37&gt;MAX($N$16:$N$5015),"",INDEX($L$16:$L$5015,MATCH((MAX($N$16:$N$5015)-37+1),$N$16:$N$5015,0)))="",""," ["&amp;IF(37&gt;MAX($N$16:$N$5015),"",INDEX($L$16:$L$5015,MATCH((MAX($N$16:$N$5015)-37+1),$N$16:$N$5015,0)))&amp;"]")</f>
        <v/>
      </c>
      <c r="V41" s="120">
        <f>IF(37&gt;MAX($N$16:$N$5015),"",HYPERLINK("#Transaksi!B"&amp;(MATCH((MAX($N$16:$N$5015)-37+1),$N$16:$N$5015,0)+15),"Buka"))</f>
        <v/>
      </c>
      <c r="X41" s="93">
        <f>IF(AND(B41&lt;&gt;"",B41&gt;='Buku Akun'!$H$4,B41&lt;='Buku Akun'!$H$5,OR(C41='Buku Akun'!$C$4,AND(D41="Pindah",E41='Buku Akun'!$C$4))),B41+IF(AND(I41="Selisih bunga",DAY(B41)=1),0,0.01)+ROW()/10000000,"")</f>
        <v/>
      </c>
    </row>
    <row r="42" outlineLevel="1" ht="15" customHeight="1" s="94">
      <c r="A42" s="123">
        <f>IF(B42="","",ROW()-15)</f>
        <v/>
      </c>
      <c r="B42" s="124" t="n"/>
      <c r="C42" s="123" t="n"/>
      <c r="D42" s="123" t="n"/>
      <c r="E42" s="123" t="n"/>
      <c r="F42" s="125" t="n"/>
      <c r="G42" s="123" t="n"/>
      <c r="H42" s="123" t="n"/>
      <c r="I42" s="123" t="n"/>
      <c r="J42" s="123" t="n"/>
      <c r="K42" s="123" t="n"/>
      <c r="L42" s="123" t="n"/>
      <c r="M42" s="123">
        <f>IF(AND(B42&lt;&gt;"",OR($C$4="",ISNUMBER(SEARCH($C$4,C42&amp;" "&amp;E42&amp;" "&amp;G42&amp;" "&amp;H42&amp;" "&amp;I42&amp;" "&amp;J42&amp;" "&amp;K42&amp;" "&amp;L42))),OR($C$5="Semua",$C$5="",G42=$C$5),OR($C$6="Semua",$C$6="",H42=$C$6,H42="Pengeluaran "&amp;$C$6,AND($C$6="Uang Kos Mama",H42="Pengeluaran Uang Kos")),OR($C$7="Semua",$C$7="",I42=$C$7),OR($C$8="Semua",$C$8="",C42=$C$8,E42=$C$8),OR($C$9="Semua",$C$9="",D42=$C$9),OR($C$10="",B42&gt;=$C$10),OR($C$11="",B42&lt;=$C$11),OR($C$12&lt;&gt;"Ya",K42&lt;&gt;""),OR($C$13="Semua",$C$13="",L42=$C$13)),"✓","")</f>
        <v/>
      </c>
      <c r="N42" s="93">
        <f>N(N41)+IF(M42="✓",1,0)</f>
        <v/>
      </c>
      <c r="O42" s="93">
        <f>N(O41)+IF(AND(B42&lt;&gt;"",B42&gt;='Uang Riba'!$H$30,B42&lt;='Uang Riba'!$I$30,OR(H42="Dana riba",H42="Pinjam uang riba",I42="Pinjam dari uang riba",I42="Ganti uang riba",I42="Kelebihan ganti dikembalikan",AND(C42="Kantong Uang Riba",G42="Pengeluaran"))),1,0)</f>
        <v/>
      </c>
      <c r="P42" s="119">
        <f>IF(38&gt;MAX($N$16:$N$5015),"",INDEX($B$16:$B$5015,MATCH((MAX($N$16:$N$5015)-38+1),$N$16:$N$5015,0)))</f>
        <v/>
      </c>
      <c r="Q42" s="105">
        <f>IF(38&gt;MAX($N$16:$N$5015),"",INDEX($C$16:$C$5015,MATCH((MAX($N$16:$N$5015)-38+1),$N$16:$N$5015,0)))&amp;IF(IF(38&gt;MAX($N$16:$N$5015),"",INDEX($E$16:$E$5015,MATCH((MAX($N$16:$N$5015)-38+1),$N$16:$N$5015,0)))="",""," → "&amp;IF(38&gt;MAX($N$16:$N$5015),"",INDEX($E$16:$E$5015,MATCH((MAX($N$16:$N$5015)-38+1),$N$16:$N$5015,0))))</f>
        <v/>
      </c>
      <c r="R42" s="105">
        <f>IF(38&gt;MAX($N$16:$N$5015),"",INDEX($D$16:$D$5015,MATCH((MAX($N$16:$N$5015)-38+1),$N$16:$N$5015,0)))</f>
        <v/>
      </c>
      <c r="S42" s="113">
        <f>IF(38&gt;MAX($N$16:$N$5015),"",INDEX($F$16:$F$5015,MATCH((MAX($N$16:$N$5015)-38+1),$N$16:$N$5015,0)))</f>
        <v/>
      </c>
      <c r="T42" s="105">
        <f>IF(38&gt;MAX($N$16:$N$5015),"",IF(38&gt;MAX($N$16:$N$5015),"",INDEX($G$16:$G$5015,MATCH((MAX($N$16:$N$5015)-38+1),$N$16:$N$5015,0)))&amp;" › "&amp;IF(38&gt;MAX($N$16:$N$5015),"",INDEX($H$16:$H$5015,MATCH((MAX($N$16:$N$5015)-38+1),$N$16:$N$5015,0)))&amp;" › "&amp;IF(38&gt;MAX($N$16:$N$5015),"",INDEX($I$16:$I$5015,MATCH((MAX($N$16:$N$5015)-38+1),$N$16:$N$5015,0))))</f>
        <v/>
      </c>
      <c r="U42" s="105">
        <f>IF(38&gt;MAX($N$16:$N$5015),"",INDEX($J$16:$J$5015,MATCH((MAX($N$16:$N$5015)-38+1),$N$16:$N$5015,0)))&amp;IF(IF(38&gt;MAX($N$16:$N$5015),"",INDEX($L$16:$L$5015,MATCH((MAX($N$16:$N$5015)-38+1),$N$16:$N$5015,0)))="",""," ["&amp;IF(38&gt;MAX($N$16:$N$5015),"",INDEX($L$16:$L$5015,MATCH((MAX($N$16:$N$5015)-38+1),$N$16:$N$5015,0)))&amp;"]")</f>
        <v/>
      </c>
      <c r="V42" s="120">
        <f>IF(38&gt;MAX($N$16:$N$5015),"",HYPERLINK("#Transaksi!B"&amp;(MATCH((MAX($N$16:$N$5015)-38+1),$N$16:$N$5015,0)+15),"Buka"))</f>
        <v/>
      </c>
      <c r="X42" s="93">
        <f>IF(AND(B42&lt;&gt;"",B42&gt;='Buku Akun'!$H$4,B42&lt;='Buku Akun'!$H$5,OR(C42='Buku Akun'!$C$4,AND(D42="Pindah",E42='Buku Akun'!$C$4))),B42+IF(AND(I42="Selisih bunga",DAY(B42)=1),0,0.01)+ROW()/10000000,"")</f>
        <v/>
      </c>
    </row>
    <row r="43" outlineLevel="1" ht="15" customHeight="1" s="94">
      <c r="A43" s="123">
        <f>IF(B43="","",ROW()-15)</f>
        <v/>
      </c>
      <c r="B43" s="124" t="n"/>
      <c r="C43" s="123" t="n"/>
      <c r="D43" s="123" t="n"/>
      <c r="E43" s="123" t="n"/>
      <c r="F43" s="125" t="n"/>
      <c r="G43" s="123" t="n"/>
      <c r="H43" s="123" t="n"/>
      <c r="I43" s="123" t="n"/>
      <c r="J43" s="123" t="n"/>
      <c r="K43" s="123" t="n"/>
      <c r="L43" s="123" t="n"/>
      <c r="M43" s="123">
        <f>IF(AND(B43&lt;&gt;"",OR($C$4="",ISNUMBER(SEARCH($C$4,C43&amp;" "&amp;E43&amp;" "&amp;G43&amp;" "&amp;H43&amp;" "&amp;I43&amp;" "&amp;J43&amp;" "&amp;K43&amp;" "&amp;L43))),OR($C$5="Semua",$C$5="",G43=$C$5),OR($C$6="Semua",$C$6="",H43=$C$6,H43="Pengeluaran "&amp;$C$6,AND($C$6="Uang Kos Mama",H43="Pengeluaran Uang Kos")),OR($C$7="Semua",$C$7="",I43=$C$7),OR($C$8="Semua",$C$8="",C43=$C$8,E43=$C$8),OR($C$9="Semua",$C$9="",D43=$C$9),OR($C$10="",B43&gt;=$C$10),OR($C$11="",B43&lt;=$C$11),OR($C$12&lt;&gt;"Ya",K43&lt;&gt;""),OR($C$13="Semua",$C$13="",L43=$C$13)),"✓","")</f>
        <v/>
      </c>
      <c r="N43" s="93">
        <f>N(N42)+IF(M43="✓",1,0)</f>
        <v/>
      </c>
      <c r="O43" s="93">
        <f>N(O42)+IF(AND(B43&lt;&gt;"",B43&gt;='Uang Riba'!$H$30,B43&lt;='Uang Riba'!$I$30,OR(H43="Dana riba",H43="Pinjam uang riba",I43="Pinjam dari uang riba",I43="Ganti uang riba",I43="Kelebihan ganti dikembalikan",AND(C43="Kantong Uang Riba",G43="Pengeluaran"))),1,0)</f>
        <v/>
      </c>
      <c r="P43" s="119">
        <f>IF(39&gt;MAX($N$16:$N$5015),"",INDEX($B$16:$B$5015,MATCH((MAX($N$16:$N$5015)-39+1),$N$16:$N$5015,0)))</f>
        <v/>
      </c>
      <c r="Q43" s="105">
        <f>IF(39&gt;MAX($N$16:$N$5015),"",INDEX($C$16:$C$5015,MATCH((MAX($N$16:$N$5015)-39+1),$N$16:$N$5015,0)))&amp;IF(IF(39&gt;MAX($N$16:$N$5015),"",INDEX($E$16:$E$5015,MATCH((MAX($N$16:$N$5015)-39+1),$N$16:$N$5015,0)))="",""," → "&amp;IF(39&gt;MAX($N$16:$N$5015),"",INDEX($E$16:$E$5015,MATCH((MAX($N$16:$N$5015)-39+1),$N$16:$N$5015,0))))</f>
        <v/>
      </c>
      <c r="R43" s="105">
        <f>IF(39&gt;MAX($N$16:$N$5015),"",INDEX($D$16:$D$5015,MATCH((MAX($N$16:$N$5015)-39+1),$N$16:$N$5015,0)))</f>
        <v/>
      </c>
      <c r="S43" s="113">
        <f>IF(39&gt;MAX($N$16:$N$5015),"",INDEX($F$16:$F$5015,MATCH((MAX($N$16:$N$5015)-39+1),$N$16:$N$5015,0)))</f>
        <v/>
      </c>
      <c r="T43" s="105">
        <f>IF(39&gt;MAX($N$16:$N$5015),"",IF(39&gt;MAX($N$16:$N$5015),"",INDEX($G$16:$G$5015,MATCH((MAX($N$16:$N$5015)-39+1),$N$16:$N$5015,0)))&amp;" › "&amp;IF(39&gt;MAX($N$16:$N$5015),"",INDEX($H$16:$H$5015,MATCH((MAX($N$16:$N$5015)-39+1),$N$16:$N$5015,0)))&amp;" › "&amp;IF(39&gt;MAX($N$16:$N$5015),"",INDEX($I$16:$I$5015,MATCH((MAX($N$16:$N$5015)-39+1),$N$16:$N$5015,0))))</f>
        <v/>
      </c>
      <c r="U43" s="105">
        <f>IF(39&gt;MAX($N$16:$N$5015),"",INDEX($J$16:$J$5015,MATCH((MAX($N$16:$N$5015)-39+1),$N$16:$N$5015,0)))&amp;IF(IF(39&gt;MAX($N$16:$N$5015),"",INDEX($L$16:$L$5015,MATCH((MAX($N$16:$N$5015)-39+1),$N$16:$N$5015,0)))="",""," ["&amp;IF(39&gt;MAX($N$16:$N$5015),"",INDEX($L$16:$L$5015,MATCH((MAX($N$16:$N$5015)-39+1),$N$16:$N$5015,0)))&amp;"]")</f>
        <v/>
      </c>
      <c r="V43" s="120">
        <f>IF(39&gt;MAX($N$16:$N$5015),"",HYPERLINK("#Transaksi!B"&amp;(MATCH((MAX($N$16:$N$5015)-39+1),$N$16:$N$5015,0)+15),"Buka"))</f>
        <v/>
      </c>
      <c r="X43" s="93">
        <f>IF(AND(B43&lt;&gt;"",B43&gt;='Buku Akun'!$H$4,B43&lt;='Buku Akun'!$H$5,OR(C43='Buku Akun'!$C$4,AND(D43="Pindah",E43='Buku Akun'!$C$4))),B43+IF(AND(I43="Selisih bunga",DAY(B43)=1),0,0.01)+ROW()/10000000,"")</f>
        <v/>
      </c>
    </row>
    <row r="44" outlineLevel="1" ht="15" customHeight="1" s="94">
      <c r="A44" s="123">
        <f>IF(B44="","",ROW()-15)</f>
        <v/>
      </c>
      <c r="B44" s="124" t="n"/>
      <c r="C44" s="123" t="n"/>
      <c r="D44" s="123" t="n"/>
      <c r="E44" s="123" t="n"/>
      <c r="F44" s="125" t="n"/>
      <c r="G44" s="123" t="n"/>
      <c r="H44" s="123" t="n"/>
      <c r="I44" s="123" t="n"/>
      <c r="J44" s="123" t="n"/>
      <c r="K44" s="123" t="n"/>
      <c r="L44" s="123" t="n"/>
      <c r="M44" s="123">
        <f>IF(AND(B44&lt;&gt;"",OR($C$4="",ISNUMBER(SEARCH($C$4,C44&amp;" "&amp;E44&amp;" "&amp;G44&amp;" "&amp;H44&amp;" "&amp;I44&amp;" "&amp;J44&amp;" "&amp;K44&amp;" "&amp;L44))),OR($C$5="Semua",$C$5="",G44=$C$5),OR($C$6="Semua",$C$6="",H44=$C$6,H44="Pengeluaran "&amp;$C$6,AND($C$6="Uang Kos Mama",H44="Pengeluaran Uang Kos")),OR($C$7="Semua",$C$7="",I44=$C$7),OR($C$8="Semua",$C$8="",C44=$C$8,E44=$C$8),OR($C$9="Semua",$C$9="",D44=$C$9),OR($C$10="",B44&gt;=$C$10),OR($C$11="",B44&lt;=$C$11),OR($C$12&lt;&gt;"Ya",K44&lt;&gt;""),OR($C$13="Semua",$C$13="",L44=$C$13)),"✓","")</f>
        <v/>
      </c>
      <c r="N44" s="93">
        <f>N(N43)+IF(M44="✓",1,0)</f>
        <v/>
      </c>
      <c r="O44" s="93">
        <f>N(O43)+IF(AND(B44&lt;&gt;"",B44&gt;='Uang Riba'!$H$30,B44&lt;='Uang Riba'!$I$30,OR(H44="Dana riba",H44="Pinjam uang riba",I44="Pinjam dari uang riba",I44="Ganti uang riba",I44="Kelebihan ganti dikembalikan",AND(C44="Kantong Uang Riba",G44="Pengeluaran"))),1,0)</f>
        <v/>
      </c>
      <c r="P44" s="119">
        <f>IF(40&gt;MAX($N$16:$N$5015),"",INDEX($B$16:$B$5015,MATCH((MAX($N$16:$N$5015)-40+1),$N$16:$N$5015,0)))</f>
        <v/>
      </c>
      <c r="Q44" s="105">
        <f>IF(40&gt;MAX($N$16:$N$5015),"",INDEX($C$16:$C$5015,MATCH((MAX($N$16:$N$5015)-40+1),$N$16:$N$5015,0)))&amp;IF(IF(40&gt;MAX($N$16:$N$5015),"",INDEX($E$16:$E$5015,MATCH((MAX($N$16:$N$5015)-40+1),$N$16:$N$5015,0)))="",""," → "&amp;IF(40&gt;MAX($N$16:$N$5015),"",INDEX($E$16:$E$5015,MATCH((MAX($N$16:$N$5015)-40+1),$N$16:$N$5015,0))))</f>
        <v/>
      </c>
      <c r="R44" s="105">
        <f>IF(40&gt;MAX($N$16:$N$5015),"",INDEX($D$16:$D$5015,MATCH((MAX($N$16:$N$5015)-40+1),$N$16:$N$5015,0)))</f>
        <v/>
      </c>
      <c r="S44" s="113">
        <f>IF(40&gt;MAX($N$16:$N$5015),"",INDEX($F$16:$F$5015,MATCH((MAX($N$16:$N$5015)-40+1),$N$16:$N$5015,0)))</f>
        <v/>
      </c>
      <c r="T44" s="105">
        <f>IF(40&gt;MAX($N$16:$N$5015),"",IF(40&gt;MAX($N$16:$N$5015),"",INDEX($G$16:$G$5015,MATCH((MAX($N$16:$N$5015)-40+1),$N$16:$N$5015,0)))&amp;" › "&amp;IF(40&gt;MAX($N$16:$N$5015),"",INDEX($H$16:$H$5015,MATCH((MAX($N$16:$N$5015)-40+1),$N$16:$N$5015,0)))&amp;" › "&amp;IF(40&gt;MAX($N$16:$N$5015),"",INDEX($I$16:$I$5015,MATCH((MAX($N$16:$N$5015)-40+1),$N$16:$N$5015,0))))</f>
        <v/>
      </c>
      <c r="U44" s="105">
        <f>IF(40&gt;MAX($N$16:$N$5015),"",INDEX($J$16:$J$5015,MATCH((MAX($N$16:$N$5015)-40+1),$N$16:$N$5015,0)))&amp;IF(IF(40&gt;MAX($N$16:$N$5015),"",INDEX($L$16:$L$5015,MATCH((MAX($N$16:$N$5015)-40+1),$N$16:$N$5015,0)))="",""," ["&amp;IF(40&gt;MAX($N$16:$N$5015),"",INDEX($L$16:$L$5015,MATCH((MAX($N$16:$N$5015)-40+1),$N$16:$N$5015,0)))&amp;"]")</f>
        <v/>
      </c>
      <c r="V44" s="120">
        <f>IF(40&gt;MAX($N$16:$N$5015),"",HYPERLINK("#Transaksi!B"&amp;(MATCH((MAX($N$16:$N$5015)-40+1),$N$16:$N$5015,0)+15),"Buka"))</f>
        <v/>
      </c>
      <c r="X44" s="93">
        <f>IF(AND(B44&lt;&gt;"",B44&gt;='Buku Akun'!$H$4,B44&lt;='Buku Akun'!$H$5,OR(C44='Buku Akun'!$C$4,AND(D44="Pindah",E44='Buku Akun'!$C$4))),B44+IF(AND(I44="Selisih bunga",DAY(B44)=1),0,0.01)+ROW()/10000000,"")</f>
        <v/>
      </c>
    </row>
    <row r="45" outlineLevel="1" ht="15" customHeight="1" s="94">
      <c r="A45" s="123">
        <f>IF(B45="","",ROW()-15)</f>
        <v/>
      </c>
      <c r="B45" s="124" t="n"/>
      <c r="C45" s="123" t="n"/>
      <c r="D45" s="123" t="n"/>
      <c r="E45" s="123" t="n"/>
      <c r="F45" s="125" t="n"/>
      <c r="G45" s="123" t="n"/>
      <c r="H45" s="123" t="n"/>
      <c r="I45" s="123" t="n"/>
      <c r="J45" s="123" t="n"/>
      <c r="K45" s="123" t="n"/>
      <c r="L45" s="123" t="n"/>
      <c r="M45" s="123">
        <f>IF(AND(B45&lt;&gt;"",OR($C$4="",ISNUMBER(SEARCH($C$4,C45&amp;" "&amp;E45&amp;" "&amp;G45&amp;" "&amp;H45&amp;" "&amp;I45&amp;" "&amp;J45&amp;" "&amp;K45&amp;" "&amp;L45))),OR($C$5="Semua",$C$5="",G45=$C$5),OR($C$6="Semua",$C$6="",H45=$C$6,H45="Pengeluaran "&amp;$C$6,AND($C$6="Uang Kos Mama",H45="Pengeluaran Uang Kos")),OR($C$7="Semua",$C$7="",I45=$C$7),OR($C$8="Semua",$C$8="",C45=$C$8,E45=$C$8),OR($C$9="Semua",$C$9="",D45=$C$9),OR($C$10="",B45&gt;=$C$10),OR($C$11="",B45&lt;=$C$11),OR($C$12&lt;&gt;"Ya",K45&lt;&gt;""),OR($C$13="Semua",$C$13="",L45=$C$13)),"✓","")</f>
        <v/>
      </c>
      <c r="N45" s="93">
        <f>N(N44)+IF(M45="✓",1,0)</f>
        <v/>
      </c>
      <c r="O45" s="93">
        <f>N(O44)+IF(AND(B45&lt;&gt;"",B45&gt;='Uang Riba'!$H$30,B45&lt;='Uang Riba'!$I$30,OR(H45="Dana riba",H45="Pinjam uang riba",I45="Pinjam dari uang riba",I45="Ganti uang riba",I45="Kelebihan ganti dikembalikan",AND(C45="Kantong Uang Riba",G45="Pengeluaran"))),1,0)</f>
        <v/>
      </c>
      <c r="P45" s="119">
        <f>IF(41&gt;MAX($N$16:$N$5015),"",INDEX($B$16:$B$5015,MATCH((MAX($N$16:$N$5015)-41+1),$N$16:$N$5015,0)))</f>
        <v/>
      </c>
      <c r="Q45" s="105">
        <f>IF(41&gt;MAX($N$16:$N$5015),"",INDEX($C$16:$C$5015,MATCH((MAX($N$16:$N$5015)-41+1),$N$16:$N$5015,0)))&amp;IF(IF(41&gt;MAX($N$16:$N$5015),"",INDEX($E$16:$E$5015,MATCH((MAX($N$16:$N$5015)-41+1),$N$16:$N$5015,0)))="",""," → "&amp;IF(41&gt;MAX($N$16:$N$5015),"",INDEX($E$16:$E$5015,MATCH((MAX($N$16:$N$5015)-41+1),$N$16:$N$5015,0))))</f>
        <v/>
      </c>
      <c r="R45" s="105">
        <f>IF(41&gt;MAX($N$16:$N$5015),"",INDEX($D$16:$D$5015,MATCH((MAX($N$16:$N$5015)-41+1),$N$16:$N$5015,0)))</f>
        <v/>
      </c>
      <c r="S45" s="113">
        <f>IF(41&gt;MAX($N$16:$N$5015),"",INDEX($F$16:$F$5015,MATCH((MAX($N$16:$N$5015)-41+1),$N$16:$N$5015,0)))</f>
        <v/>
      </c>
      <c r="T45" s="105">
        <f>IF(41&gt;MAX($N$16:$N$5015),"",IF(41&gt;MAX($N$16:$N$5015),"",INDEX($G$16:$G$5015,MATCH((MAX($N$16:$N$5015)-41+1),$N$16:$N$5015,0)))&amp;" › "&amp;IF(41&gt;MAX($N$16:$N$5015),"",INDEX($H$16:$H$5015,MATCH((MAX($N$16:$N$5015)-41+1),$N$16:$N$5015,0)))&amp;" › "&amp;IF(41&gt;MAX($N$16:$N$5015),"",INDEX($I$16:$I$5015,MATCH((MAX($N$16:$N$5015)-41+1),$N$16:$N$5015,0))))</f>
        <v/>
      </c>
      <c r="U45" s="105">
        <f>IF(41&gt;MAX($N$16:$N$5015),"",INDEX($J$16:$J$5015,MATCH((MAX($N$16:$N$5015)-41+1),$N$16:$N$5015,0)))&amp;IF(IF(41&gt;MAX($N$16:$N$5015),"",INDEX($L$16:$L$5015,MATCH((MAX($N$16:$N$5015)-41+1),$N$16:$N$5015,0)))="",""," ["&amp;IF(41&gt;MAX($N$16:$N$5015),"",INDEX($L$16:$L$5015,MATCH((MAX($N$16:$N$5015)-41+1),$N$16:$N$5015,0)))&amp;"]")</f>
        <v/>
      </c>
      <c r="V45" s="120">
        <f>IF(41&gt;MAX($N$16:$N$5015),"",HYPERLINK("#Transaksi!B"&amp;(MATCH((MAX($N$16:$N$5015)-41+1),$N$16:$N$5015,0)+15),"Buka"))</f>
        <v/>
      </c>
      <c r="X45" s="93">
        <f>IF(AND(B45&lt;&gt;"",B45&gt;='Buku Akun'!$H$4,B45&lt;='Buku Akun'!$H$5,OR(C45='Buku Akun'!$C$4,AND(D45="Pindah",E45='Buku Akun'!$C$4))),B45+IF(AND(I45="Selisih bunga",DAY(B45)=1),0,0.01)+ROW()/10000000,"")</f>
        <v/>
      </c>
    </row>
    <row r="46" outlineLevel="1" ht="15" customHeight="1" s="94">
      <c r="A46" s="123">
        <f>IF(B46="","",ROW()-15)</f>
        <v/>
      </c>
      <c r="B46" s="124" t="n"/>
      <c r="C46" s="123" t="n"/>
      <c r="D46" s="123" t="n"/>
      <c r="E46" s="123" t="n"/>
      <c r="F46" s="125" t="n"/>
      <c r="G46" s="123" t="n"/>
      <c r="H46" s="123" t="n"/>
      <c r="I46" s="123" t="n"/>
      <c r="J46" s="123" t="n"/>
      <c r="K46" s="123" t="n"/>
      <c r="L46" s="123" t="n"/>
      <c r="M46" s="123">
        <f>IF(AND(B46&lt;&gt;"",OR($C$4="",ISNUMBER(SEARCH($C$4,C46&amp;" "&amp;E46&amp;" "&amp;G46&amp;" "&amp;H46&amp;" "&amp;I46&amp;" "&amp;J46&amp;" "&amp;K46&amp;" "&amp;L46))),OR($C$5="Semua",$C$5="",G46=$C$5),OR($C$6="Semua",$C$6="",H46=$C$6,H46="Pengeluaran "&amp;$C$6,AND($C$6="Uang Kos Mama",H46="Pengeluaran Uang Kos")),OR($C$7="Semua",$C$7="",I46=$C$7),OR($C$8="Semua",$C$8="",C46=$C$8,E46=$C$8),OR($C$9="Semua",$C$9="",D46=$C$9),OR($C$10="",B46&gt;=$C$10),OR($C$11="",B46&lt;=$C$11),OR($C$12&lt;&gt;"Ya",K46&lt;&gt;""),OR($C$13="Semua",$C$13="",L46=$C$13)),"✓","")</f>
        <v/>
      </c>
      <c r="N46" s="93">
        <f>N(N45)+IF(M46="✓",1,0)</f>
        <v/>
      </c>
      <c r="O46" s="93">
        <f>N(O45)+IF(AND(B46&lt;&gt;"",B46&gt;='Uang Riba'!$H$30,B46&lt;='Uang Riba'!$I$30,OR(H46="Dana riba",H46="Pinjam uang riba",I46="Pinjam dari uang riba",I46="Ganti uang riba",I46="Kelebihan ganti dikembalikan",AND(C46="Kantong Uang Riba",G46="Pengeluaran"))),1,0)</f>
        <v/>
      </c>
      <c r="P46" s="119">
        <f>IF(42&gt;MAX($N$16:$N$5015),"",INDEX($B$16:$B$5015,MATCH((MAX($N$16:$N$5015)-42+1),$N$16:$N$5015,0)))</f>
        <v/>
      </c>
      <c r="Q46" s="105">
        <f>IF(42&gt;MAX($N$16:$N$5015),"",INDEX($C$16:$C$5015,MATCH((MAX($N$16:$N$5015)-42+1),$N$16:$N$5015,0)))&amp;IF(IF(42&gt;MAX($N$16:$N$5015),"",INDEX($E$16:$E$5015,MATCH((MAX($N$16:$N$5015)-42+1),$N$16:$N$5015,0)))="",""," → "&amp;IF(42&gt;MAX($N$16:$N$5015),"",INDEX($E$16:$E$5015,MATCH((MAX($N$16:$N$5015)-42+1),$N$16:$N$5015,0))))</f>
        <v/>
      </c>
      <c r="R46" s="105">
        <f>IF(42&gt;MAX($N$16:$N$5015),"",INDEX($D$16:$D$5015,MATCH((MAX($N$16:$N$5015)-42+1),$N$16:$N$5015,0)))</f>
        <v/>
      </c>
      <c r="S46" s="113">
        <f>IF(42&gt;MAX($N$16:$N$5015),"",INDEX($F$16:$F$5015,MATCH((MAX($N$16:$N$5015)-42+1),$N$16:$N$5015,0)))</f>
        <v/>
      </c>
      <c r="T46" s="105">
        <f>IF(42&gt;MAX($N$16:$N$5015),"",IF(42&gt;MAX($N$16:$N$5015),"",INDEX($G$16:$G$5015,MATCH((MAX($N$16:$N$5015)-42+1),$N$16:$N$5015,0)))&amp;" › "&amp;IF(42&gt;MAX($N$16:$N$5015),"",INDEX($H$16:$H$5015,MATCH((MAX($N$16:$N$5015)-42+1),$N$16:$N$5015,0)))&amp;" › "&amp;IF(42&gt;MAX($N$16:$N$5015),"",INDEX($I$16:$I$5015,MATCH((MAX($N$16:$N$5015)-42+1),$N$16:$N$5015,0))))</f>
        <v/>
      </c>
      <c r="U46" s="105">
        <f>IF(42&gt;MAX($N$16:$N$5015),"",INDEX($J$16:$J$5015,MATCH((MAX($N$16:$N$5015)-42+1),$N$16:$N$5015,0)))&amp;IF(IF(42&gt;MAX($N$16:$N$5015),"",INDEX($L$16:$L$5015,MATCH((MAX($N$16:$N$5015)-42+1),$N$16:$N$5015,0)))="",""," ["&amp;IF(42&gt;MAX($N$16:$N$5015),"",INDEX($L$16:$L$5015,MATCH((MAX($N$16:$N$5015)-42+1),$N$16:$N$5015,0)))&amp;"]")</f>
        <v/>
      </c>
      <c r="V46" s="120">
        <f>IF(42&gt;MAX($N$16:$N$5015),"",HYPERLINK("#Transaksi!B"&amp;(MATCH((MAX($N$16:$N$5015)-42+1),$N$16:$N$5015,0)+15),"Buka"))</f>
        <v/>
      </c>
      <c r="X46" s="93">
        <f>IF(AND(B46&lt;&gt;"",B46&gt;='Buku Akun'!$H$4,B46&lt;='Buku Akun'!$H$5,OR(C46='Buku Akun'!$C$4,AND(D46="Pindah",E46='Buku Akun'!$C$4))),B46+IF(AND(I46="Selisih bunga",DAY(B46)=1),0,0.01)+ROW()/10000000,"")</f>
        <v/>
      </c>
    </row>
    <row r="47" outlineLevel="1" ht="15" customHeight="1" s="94">
      <c r="A47" s="123">
        <f>IF(B47="","",ROW()-15)</f>
        <v/>
      </c>
      <c r="B47" s="124" t="n"/>
      <c r="C47" s="123" t="n"/>
      <c r="D47" s="123" t="n"/>
      <c r="E47" s="123" t="n"/>
      <c r="F47" s="125" t="n"/>
      <c r="G47" s="123" t="n"/>
      <c r="H47" s="123" t="n"/>
      <c r="I47" s="123" t="n"/>
      <c r="J47" s="123" t="n"/>
      <c r="K47" s="123" t="n"/>
      <c r="L47" s="123" t="n"/>
      <c r="M47" s="123">
        <f>IF(AND(B47&lt;&gt;"",OR($C$4="",ISNUMBER(SEARCH($C$4,C47&amp;" "&amp;E47&amp;" "&amp;G47&amp;" "&amp;H47&amp;" "&amp;I47&amp;" "&amp;J47&amp;" "&amp;K47&amp;" "&amp;L47))),OR($C$5="Semua",$C$5="",G47=$C$5),OR($C$6="Semua",$C$6="",H47=$C$6,H47="Pengeluaran "&amp;$C$6,AND($C$6="Uang Kos Mama",H47="Pengeluaran Uang Kos")),OR($C$7="Semua",$C$7="",I47=$C$7),OR($C$8="Semua",$C$8="",C47=$C$8,E47=$C$8),OR($C$9="Semua",$C$9="",D47=$C$9),OR($C$10="",B47&gt;=$C$10),OR($C$11="",B47&lt;=$C$11),OR($C$12&lt;&gt;"Ya",K47&lt;&gt;""),OR($C$13="Semua",$C$13="",L47=$C$13)),"✓","")</f>
        <v/>
      </c>
      <c r="N47" s="93">
        <f>N(N46)+IF(M47="✓",1,0)</f>
        <v/>
      </c>
      <c r="O47" s="93">
        <f>N(O46)+IF(AND(B47&lt;&gt;"",B47&gt;='Uang Riba'!$H$30,B47&lt;='Uang Riba'!$I$30,OR(H47="Dana riba",H47="Pinjam uang riba",I47="Pinjam dari uang riba",I47="Ganti uang riba",I47="Kelebihan ganti dikembalikan",AND(C47="Kantong Uang Riba",G47="Pengeluaran"))),1,0)</f>
        <v/>
      </c>
      <c r="P47" s="119">
        <f>IF(43&gt;MAX($N$16:$N$5015),"",INDEX($B$16:$B$5015,MATCH((MAX($N$16:$N$5015)-43+1),$N$16:$N$5015,0)))</f>
        <v/>
      </c>
      <c r="Q47" s="105">
        <f>IF(43&gt;MAX($N$16:$N$5015),"",INDEX($C$16:$C$5015,MATCH((MAX($N$16:$N$5015)-43+1),$N$16:$N$5015,0)))&amp;IF(IF(43&gt;MAX($N$16:$N$5015),"",INDEX($E$16:$E$5015,MATCH((MAX($N$16:$N$5015)-43+1),$N$16:$N$5015,0)))="",""," → "&amp;IF(43&gt;MAX($N$16:$N$5015),"",INDEX($E$16:$E$5015,MATCH((MAX($N$16:$N$5015)-43+1),$N$16:$N$5015,0))))</f>
        <v/>
      </c>
      <c r="R47" s="105">
        <f>IF(43&gt;MAX($N$16:$N$5015),"",INDEX($D$16:$D$5015,MATCH((MAX($N$16:$N$5015)-43+1),$N$16:$N$5015,0)))</f>
        <v/>
      </c>
      <c r="S47" s="113">
        <f>IF(43&gt;MAX($N$16:$N$5015),"",INDEX($F$16:$F$5015,MATCH((MAX($N$16:$N$5015)-43+1),$N$16:$N$5015,0)))</f>
        <v/>
      </c>
      <c r="T47" s="105">
        <f>IF(43&gt;MAX($N$16:$N$5015),"",IF(43&gt;MAX($N$16:$N$5015),"",INDEX($G$16:$G$5015,MATCH((MAX($N$16:$N$5015)-43+1),$N$16:$N$5015,0)))&amp;" › "&amp;IF(43&gt;MAX($N$16:$N$5015),"",INDEX($H$16:$H$5015,MATCH((MAX($N$16:$N$5015)-43+1),$N$16:$N$5015,0)))&amp;" › "&amp;IF(43&gt;MAX($N$16:$N$5015),"",INDEX($I$16:$I$5015,MATCH((MAX($N$16:$N$5015)-43+1),$N$16:$N$5015,0))))</f>
        <v/>
      </c>
      <c r="U47" s="105">
        <f>IF(43&gt;MAX($N$16:$N$5015),"",INDEX($J$16:$J$5015,MATCH((MAX($N$16:$N$5015)-43+1),$N$16:$N$5015,0)))&amp;IF(IF(43&gt;MAX($N$16:$N$5015),"",INDEX($L$16:$L$5015,MATCH((MAX($N$16:$N$5015)-43+1),$N$16:$N$5015,0)))="",""," ["&amp;IF(43&gt;MAX($N$16:$N$5015),"",INDEX($L$16:$L$5015,MATCH((MAX($N$16:$N$5015)-43+1),$N$16:$N$5015,0)))&amp;"]")</f>
        <v/>
      </c>
      <c r="V47" s="120">
        <f>IF(43&gt;MAX($N$16:$N$5015),"",HYPERLINK("#Transaksi!B"&amp;(MATCH((MAX($N$16:$N$5015)-43+1),$N$16:$N$5015,0)+15),"Buka"))</f>
        <v/>
      </c>
      <c r="X47" s="93">
        <f>IF(AND(B47&lt;&gt;"",B47&gt;='Buku Akun'!$H$4,B47&lt;='Buku Akun'!$H$5,OR(C47='Buku Akun'!$C$4,AND(D47="Pindah",E47='Buku Akun'!$C$4))),B47+IF(AND(I47="Selisih bunga",DAY(B47)=1),0,0.01)+ROW()/10000000,"")</f>
        <v/>
      </c>
    </row>
    <row r="48" outlineLevel="1" ht="15" customHeight="1" s="94">
      <c r="A48" s="123">
        <f>IF(B48="","",ROW()-15)</f>
        <v/>
      </c>
      <c r="B48" s="124" t="n"/>
      <c r="C48" s="123" t="n"/>
      <c r="D48" s="123" t="n"/>
      <c r="E48" s="123" t="n"/>
      <c r="F48" s="125" t="n"/>
      <c r="G48" s="123" t="n"/>
      <c r="H48" s="123" t="n"/>
      <c r="I48" s="123" t="n"/>
      <c r="J48" s="123" t="n"/>
      <c r="K48" s="123" t="n"/>
      <c r="L48" s="123" t="n"/>
      <c r="M48" s="123">
        <f>IF(AND(B48&lt;&gt;"",OR($C$4="",ISNUMBER(SEARCH($C$4,C48&amp;" "&amp;E48&amp;" "&amp;G48&amp;" "&amp;H48&amp;" "&amp;I48&amp;" "&amp;J48&amp;" "&amp;K48&amp;" "&amp;L48))),OR($C$5="Semua",$C$5="",G48=$C$5),OR($C$6="Semua",$C$6="",H48=$C$6,H48="Pengeluaran "&amp;$C$6,AND($C$6="Uang Kos Mama",H48="Pengeluaran Uang Kos")),OR($C$7="Semua",$C$7="",I48=$C$7),OR($C$8="Semua",$C$8="",C48=$C$8,E48=$C$8),OR($C$9="Semua",$C$9="",D48=$C$9),OR($C$10="",B48&gt;=$C$10),OR($C$11="",B48&lt;=$C$11),OR($C$12&lt;&gt;"Ya",K48&lt;&gt;""),OR($C$13="Semua",$C$13="",L48=$C$13)),"✓","")</f>
        <v/>
      </c>
      <c r="N48" s="93">
        <f>N(N47)+IF(M48="✓",1,0)</f>
        <v/>
      </c>
      <c r="O48" s="93">
        <f>N(O47)+IF(AND(B48&lt;&gt;"",B48&gt;='Uang Riba'!$H$30,B48&lt;='Uang Riba'!$I$30,OR(H48="Dana riba",H48="Pinjam uang riba",I48="Pinjam dari uang riba",I48="Ganti uang riba",I48="Kelebihan ganti dikembalikan",AND(C48="Kantong Uang Riba",G48="Pengeluaran"))),1,0)</f>
        <v/>
      </c>
      <c r="P48" s="119">
        <f>IF(44&gt;MAX($N$16:$N$5015),"",INDEX($B$16:$B$5015,MATCH((MAX($N$16:$N$5015)-44+1),$N$16:$N$5015,0)))</f>
        <v/>
      </c>
      <c r="Q48" s="105">
        <f>IF(44&gt;MAX($N$16:$N$5015),"",INDEX($C$16:$C$5015,MATCH((MAX($N$16:$N$5015)-44+1),$N$16:$N$5015,0)))&amp;IF(IF(44&gt;MAX($N$16:$N$5015),"",INDEX($E$16:$E$5015,MATCH((MAX($N$16:$N$5015)-44+1),$N$16:$N$5015,0)))="",""," → "&amp;IF(44&gt;MAX($N$16:$N$5015),"",INDEX($E$16:$E$5015,MATCH((MAX($N$16:$N$5015)-44+1),$N$16:$N$5015,0))))</f>
        <v/>
      </c>
      <c r="R48" s="105">
        <f>IF(44&gt;MAX($N$16:$N$5015),"",INDEX($D$16:$D$5015,MATCH((MAX($N$16:$N$5015)-44+1),$N$16:$N$5015,0)))</f>
        <v/>
      </c>
      <c r="S48" s="113">
        <f>IF(44&gt;MAX($N$16:$N$5015),"",INDEX($F$16:$F$5015,MATCH((MAX($N$16:$N$5015)-44+1),$N$16:$N$5015,0)))</f>
        <v/>
      </c>
      <c r="T48" s="105">
        <f>IF(44&gt;MAX($N$16:$N$5015),"",IF(44&gt;MAX($N$16:$N$5015),"",INDEX($G$16:$G$5015,MATCH((MAX($N$16:$N$5015)-44+1),$N$16:$N$5015,0)))&amp;" › "&amp;IF(44&gt;MAX($N$16:$N$5015),"",INDEX($H$16:$H$5015,MATCH((MAX($N$16:$N$5015)-44+1),$N$16:$N$5015,0)))&amp;" › "&amp;IF(44&gt;MAX($N$16:$N$5015),"",INDEX($I$16:$I$5015,MATCH((MAX($N$16:$N$5015)-44+1),$N$16:$N$5015,0))))</f>
        <v/>
      </c>
      <c r="U48" s="105">
        <f>IF(44&gt;MAX($N$16:$N$5015),"",INDEX($J$16:$J$5015,MATCH((MAX($N$16:$N$5015)-44+1),$N$16:$N$5015,0)))&amp;IF(IF(44&gt;MAX($N$16:$N$5015),"",INDEX($L$16:$L$5015,MATCH((MAX($N$16:$N$5015)-44+1),$N$16:$N$5015,0)))="",""," ["&amp;IF(44&gt;MAX($N$16:$N$5015),"",INDEX($L$16:$L$5015,MATCH((MAX($N$16:$N$5015)-44+1),$N$16:$N$5015,0)))&amp;"]")</f>
        <v/>
      </c>
      <c r="V48" s="120">
        <f>IF(44&gt;MAX($N$16:$N$5015),"",HYPERLINK("#Transaksi!B"&amp;(MATCH((MAX($N$16:$N$5015)-44+1),$N$16:$N$5015,0)+15),"Buka"))</f>
        <v/>
      </c>
      <c r="X48" s="93">
        <f>IF(AND(B48&lt;&gt;"",B48&gt;='Buku Akun'!$H$4,B48&lt;='Buku Akun'!$H$5,OR(C48='Buku Akun'!$C$4,AND(D48="Pindah",E48='Buku Akun'!$C$4))),B48+IF(AND(I48="Selisih bunga",DAY(B48)=1),0,0.01)+ROW()/10000000,"")</f>
        <v/>
      </c>
    </row>
    <row r="49" outlineLevel="1" ht="15" customHeight="1" s="94">
      <c r="A49" s="123">
        <f>IF(B49="","",ROW()-15)</f>
        <v/>
      </c>
      <c r="B49" s="124" t="n"/>
      <c r="C49" s="123" t="n"/>
      <c r="D49" s="123" t="n"/>
      <c r="E49" s="123" t="n"/>
      <c r="F49" s="125" t="n"/>
      <c r="G49" s="123" t="n"/>
      <c r="H49" s="123" t="n"/>
      <c r="I49" s="123" t="n"/>
      <c r="J49" s="123" t="n"/>
      <c r="K49" s="123" t="n"/>
      <c r="L49" s="123" t="n"/>
      <c r="M49" s="123">
        <f>IF(AND(B49&lt;&gt;"",OR($C$4="",ISNUMBER(SEARCH($C$4,C49&amp;" "&amp;E49&amp;" "&amp;G49&amp;" "&amp;H49&amp;" "&amp;I49&amp;" "&amp;J49&amp;" "&amp;K49&amp;" "&amp;L49))),OR($C$5="Semua",$C$5="",G49=$C$5),OR($C$6="Semua",$C$6="",H49=$C$6,H49="Pengeluaran "&amp;$C$6,AND($C$6="Uang Kos Mama",H49="Pengeluaran Uang Kos")),OR($C$7="Semua",$C$7="",I49=$C$7),OR($C$8="Semua",$C$8="",C49=$C$8,E49=$C$8),OR($C$9="Semua",$C$9="",D49=$C$9),OR($C$10="",B49&gt;=$C$10),OR($C$11="",B49&lt;=$C$11),OR($C$12&lt;&gt;"Ya",K49&lt;&gt;""),OR($C$13="Semua",$C$13="",L49=$C$13)),"✓","")</f>
        <v/>
      </c>
      <c r="N49" s="93">
        <f>N(N48)+IF(M49="✓",1,0)</f>
        <v/>
      </c>
      <c r="O49" s="93">
        <f>N(O48)+IF(AND(B49&lt;&gt;"",B49&gt;='Uang Riba'!$H$30,B49&lt;='Uang Riba'!$I$30,OR(H49="Dana riba",H49="Pinjam uang riba",I49="Pinjam dari uang riba",I49="Ganti uang riba",I49="Kelebihan ganti dikembalikan",AND(C49="Kantong Uang Riba",G49="Pengeluaran"))),1,0)</f>
        <v/>
      </c>
      <c r="P49" s="119">
        <f>IF(45&gt;MAX($N$16:$N$5015),"",INDEX($B$16:$B$5015,MATCH((MAX($N$16:$N$5015)-45+1),$N$16:$N$5015,0)))</f>
        <v/>
      </c>
      <c r="Q49" s="105">
        <f>IF(45&gt;MAX($N$16:$N$5015),"",INDEX($C$16:$C$5015,MATCH((MAX($N$16:$N$5015)-45+1),$N$16:$N$5015,0)))&amp;IF(IF(45&gt;MAX($N$16:$N$5015),"",INDEX($E$16:$E$5015,MATCH((MAX($N$16:$N$5015)-45+1),$N$16:$N$5015,0)))="",""," → "&amp;IF(45&gt;MAX($N$16:$N$5015),"",INDEX($E$16:$E$5015,MATCH((MAX($N$16:$N$5015)-45+1),$N$16:$N$5015,0))))</f>
        <v/>
      </c>
      <c r="R49" s="105">
        <f>IF(45&gt;MAX($N$16:$N$5015),"",INDEX($D$16:$D$5015,MATCH((MAX($N$16:$N$5015)-45+1),$N$16:$N$5015,0)))</f>
        <v/>
      </c>
      <c r="S49" s="113">
        <f>IF(45&gt;MAX($N$16:$N$5015),"",INDEX($F$16:$F$5015,MATCH((MAX($N$16:$N$5015)-45+1),$N$16:$N$5015,0)))</f>
        <v/>
      </c>
      <c r="T49" s="105">
        <f>IF(45&gt;MAX($N$16:$N$5015),"",IF(45&gt;MAX($N$16:$N$5015),"",INDEX($G$16:$G$5015,MATCH((MAX($N$16:$N$5015)-45+1),$N$16:$N$5015,0)))&amp;" › "&amp;IF(45&gt;MAX($N$16:$N$5015),"",INDEX($H$16:$H$5015,MATCH((MAX($N$16:$N$5015)-45+1),$N$16:$N$5015,0)))&amp;" › "&amp;IF(45&gt;MAX($N$16:$N$5015),"",INDEX($I$16:$I$5015,MATCH((MAX($N$16:$N$5015)-45+1),$N$16:$N$5015,0))))</f>
        <v/>
      </c>
      <c r="U49" s="105">
        <f>IF(45&gt;MAX($N$16:$N$5015),"",INDEX($J$16:$J$5015,MATCH((MAX($N$16:$N$5015)-45+1),$N$16:$N$5015,0)))&amp;IF(IF(45&gt;MAX($N$16:$N$5015),"",INDEX($L$16:$L$5015,MATCH((MAX($N$16:$N$5015)-45+1),$N$16:$N$5015,0)))="",""," ["&amp;IF(45&gt;MAX($N$16:$N$5015),"",INDEX($L$16:$L$5015,MATCH((MAX($N$16:$N$5015)-45+1),$N$16:$N$5015,0)))&amp;"]")</f>
        <v/>
      </c>
      <c r="V49" s="120">
        <f>IF(45&gt;MAX($N$16:$N$5015),"",HYPERLINK("#Transaksi!B"&amp;(MATCH((MAX($N$16:$N$5015)-45+1),$N$16:$N$5015,0)+15),"Buka"))</f>
        <v/>
      </c>
      <c r="X49" s="93">
        <f>IF(AND(B49&lt;&gt;"",B49&gt;='Buku Akun'!$H$4,B49&lt;='Buku Akun'!$H$5,OR(C49='Buku Akun'!$C$4,AND(D49="Pindah",E49='Buku Akun'!$C$4))),B49+IF(AND(I49="Selisih bunga",DAY(B49)=1),0,0.01)+ROW()/10000000,"")</f>
        <v/>
      </c>
    </row>
    <row r="50" outlineLevel="1" ht="15" customHeight="1" s="94">
      <c r="A50" s="123">
        <f>IF(B50="","",ROW()-15)</f>
        <v/>
      </c>
      <c r="B50" s="124" t="n"/>
      <c r="C50" s="123" t="n"/>
      <c r="D50" s="123" t="n"/>
      <c r="E50" s="123" t="n"/>
      <c r="F50" s="125" t="n"/>
      <c r="G50" s="123" t="n"/>
      <c r="H50" s="123" t="n"/>
      <c r="I50" s="123" t="n"/>
      <c r="J50" s="123" t="n"/>
      <c r="K50" s="123" t="n"/>
      <c r="L50" s="123" t="n"/>
      <c r="M50" s="123">
        <f>IF(AND(B50&lt;&gt;"",OR($C$4="",ISNUMBER(SEARCH($C$4,C50&amp;" "&amp;E50&amp;" "&amp;G50&amp;" "&amp;H50&amp;" "&amp;I50&amp;" "&amp;J50&amp;" "&amp;K50&amp;" "&amp;L50))),OR($C$5="Semua",$C$5="",G50=$C$5),OR($C$6="Semua",$C$6="",H50=$C$6,H50="Pengeluaran "&amp;$C$6,AND($C$6="Uang Kos Mama",H50="Pengeluaran Uang Kos")),OR($C$7="Semua",$C$7="",I50=$C$7),OR($C$8="Semua",$C$8="",C50=$C$8,E50=$C$8),OR($C$9="Semua",$C$9="",D50=$C$9),OR($C$10="",B50&gt;=$C$10),OR($C$11="",B50&lt;=$C$11),OR($C$12&lt;&gt;"Ya",K50&lt;&gt;""),OR($C$13="Semua",$C$13="",L50=$C$13)),"✓","")</f>
        <v/>
      </c>
      <c r="N50" s="93">
        <f>N(N49)+IF(M50="✓",1,0)</f>
        <v/>
      </c>
      <c r="O50" s="93">
        <f>N(O49)+IF(AND(B50&lt;&gt;"",B50&gt;='Uang Riba'!$H$30,B50&lt;='Uang Riba'!$I$30,OR(H50="Dana riba",H50="Pinjam uang riba",I50="Pinjam dari uang riba",I50="Ganti uang riba",I50="Kelebihan ganti dikembalikan",AND(C50="Kantong Uang Riba",G50="Pengeluaran"))),1,0)</f>
        <v/>
      </c>
      <c r="P50" s="119">
        <f>IF(46&gt;MAX($N$16:$N$5015),"",INDEX($B$16:$B$5015,MATCH((MAX($N$16:$N$5015)-46+1),$N$16:$N$5015,0)))</f>
        <v/>
      </c>
      <c r="Q50" s="105">
        <f>IF(46&gt;MAX($N$16:$N$5015),"",INDEX($C$16:$C$5015,MATCH((MAX($N$16:$N$5015)-46+1),$N$16:$N$5015,0)))&amp;IF(IF(46&gt;MAX($N$16:$N$5015),"",INDEX($E$16:$E$5015,MATCH((MAX($N$16:$N$5015)-46+1),$N$16:$N$5015,0)))="",""," → "&amp;IF(46&gt;MAX($N$16:$N$5015),"",INDEX($E$16:$E$5015,MATCH((MAX($N$16:$N$5015)-46+1),$N$16:$N$5015,0))))</f>
        <v/>
      </c>
      <c r="R50" s="105">
        <f>IF(46&gt;MAX($N$16:$N$5015),"",INDEX($D$16:$D$5015,MATCH((MAX($N$16:$N$5015)-46+1),$N$16:$N$5015,0)))</f>
        <v/>
      </c>
      <c r="S50" s="113">
        <f>IF(46&gt;MAX($N$16:$N$5015),"",INDEX($F$16:$F$5015,MATCH((MAX($N$16:$N$5015)-46+1),$N$16:$N$5015,0)))</f>
        <v/>
      </c>
      <c r="T50" s="105">
        <f>IF(46&gt;MAX($N$16:$N$5015),"",IF(46&gt;MAX($N$16:$N$5015),"",INDEX($G$16:$G$5015,MATCH((MAX($N$16:$N$5015)-46+1),$N$16:$N$5015,0)))&amp;" › "&amp;IF(46&gt;MAX($N$16:$N$5015),"",INDEX($H$16:$H$5015,MATCH((MAX($N$16:$N$5015)-46+1),$N$16:$N$5015,0)))&amp;" › "&amp;IF(46&gt;MAX($N$16:$N$5015),"",INDEX($I$16:$I$5015,MATCH((MAX($N$16:$N$5015)-46+1),$N$16:$N$5015,0))))</f>
        <v/>
      </c>
      <c r="U50" s="105">
        <f>IF(46&gt;MAX($N$16:$N$5015),"",INDEX($J$16:$J$5015,MATCH((MAX($N$16:$N$5015)-46+1),$N$16:$N$5015,0)))&amp;IF(IF(46&gt;MAX($N$16:$N$5015),"",INDEX($L$16:$L$5015,MATCH((MAX($N$16:$N$5015)-46+1),$N$16:$N$5015,0)))="",""," ["&amp;IF(46&gt;MAX($N$16:$N$5015),"",INDEX($L$16:$L$5015,MATCH((MAX($N$16:$N$5015)-46+1),$N$16:$N$5015,0)))&amp;"]")</f>
        <v/>
      </c>
      <c r="V50" s="120">
        <f>IF(46&gt;MAX($N$16:$N$5015),"",HYPERLINK("#Transaksi!B"&amp;(MATCH((MAX($N$16:$N$5015)-46+1),$N$16:$N$5015,0)+15),"Buka"))</f>
        <v/>
      </c>
      <c r="X50" s="93">
        <f>IF(AND(B50&lt;&gt;"",B50&gt;='Buku Akun'!$H$4,B50&lt;='Buku Akun'!$H$5,OR(C50='Buku Akun'!$C$4,AND(D50="Pindah",E50='Buku Akun'!$C$4))),B50+IF(AND(I50="Selisih bunga",DAY(B50)=1),0,0.01)+ROW()/10000000,"")</f>
        <v/>
      </c>
    </row>
    <row r="51" outlineLevel="1" ht="15" customHeight="1" s="94">
      <c r="A51" s="123">
        <f>IF(B51="","",ROW()-15)</f>
        <v/>
      </c>
      <c r="B51" s="124" t="n"/>
      <c r="C51" s="123" t="n"/>
      <c r="D51" s="123" t="n"/>
      <c r="E51" s="123" t="n"/>
      <c r="F51" s="125" t="n"/>
      <c r="G51" s="123" t="n"/>
      <c r="H51" s="123" t="n"/>
      <c r="I51" s="123" t="n"/>
      <c r="J51" s="123" t="n"/>
      <c r="K51" s="123" t="n"/>
      <c r="L51" s="123" t="n"/>
      <c r="M51" s="123">
        <f>IF(AND(B51&lt;&gt;"",OR($C$4="",ISNUMBER(SEARCH($C$4,C51&amp;" "&amp;E51&amp;" "&amp;G51&amp;" "&amp;H51&amp;" "&amp;I51&amp;" "&amp;J51&amp;" "&amp;K51&amp;" "&amp;L51))),OR($C$5="Semua",$C$5="",G51=$C$5),OR($C$6="Semua",$C$6="",H51=$C$6,H51="Pengeluaran "&amp;$C$6,AND($C$6="Uang Kos Mama",H51="Pengeluaran Uang Kos")),OR($C$7="Semua",$C$7="",I51=$C$7),OR($C$8="Semua",$C$8="",C51=$C$8,E51=$C$8),OR($C$9="Semua",$C$9="",D51=$C$9),OR($C$10="",B51&gt;=$C$10),OR($C$11="",B51&lt;=$C$11),OR($C$12&lt;&gt;"Ya",K51&lt;&gt;""),OR($C$13="Semua",$C$13="",L51=$C$13)),"✓","")</f>
        <v/>
      </c>
      <c r="N51" s="93">
        <f>N(N50)+IF(M51="✓",1,0)</f>
        <v/>
      </c>
      <c r="O51" s="93">
        <f>N(O50)+IF(AND(B51&lt;&gt;"",B51&gt;='Uang Riba'!$H$30,B51&lt;='Uang Riba'!$I$30,OR(H51="Dana riba",H51="Pinjam uang riba",I51="Pinjam dari uang riba",I51="Ganti uang riba",I51="Kelebihan ganti dikembalikan",AND(C51="Kantong Uang Riba",G51="Pengeluaran"))),1,0)</f>
        <v/>
      </c>
      <c r="P51" s="119">
        <f>IF(47&gt;MAX($N$16:$N$5015),"",INDEX($B$16:$B$5015,MATCH((MAX($N$16:$N$5015)-47+1),$N$16:$N$5015,0)))</f>
        <v/>
      </c>
      <c r="Q51" s="105">
        <f>IF(47&gt;MAX($N$16:$N$5015),"",INDEX($C$16:$C$5015,MATCH((MAX($N$16:$N$5015)-47+1),$N$16:$N$5015,0)))&amp;IF(IF(47&gt;MAX($N$16:$N$5015),"",INDEX($E$16:$E$5015,MATCH((MAX($N$16:$N$5015)-47+1),$N$16:$N$5015,0)))="",""," → "&amp;IF(47&gt;MAX($N$16:$N$5015),"",INDEX($E$16:$E$5015,MATCH((MAX($N$16:$N$5015)-47+1),$N$16:$N$5015,0))))</f>
        <v/>
      </c>
      <c r="R51" s="105">
        <f>IF(47&gt;MAX($N$16:$N$5015),"",INDEX($D$16:$D$5015,MATCH((MAX($N$16:$N$5015)-47+1),$N$16:$N$5015,0)))</f>
        <v/>
      </c>
      <c r="S51" s="113">
        <f>IF(47&gt;MAX($N$16:$N$5015),"",INDEX($F$16:$F$5015,MATCH((MAX($N$16:$N$5015)-47+1),$N$16:$N$5015,0)))</f>
        <v/>
      </c>
      <c r="T51" s="105">
        <f>IF(47&gt;MAX($N$16:$N$5015),"",IF(47&gt;MAX($N$16:$N$5015),"",INDEX($G$16:$G$5015,MATCH((MAX($N$16:$N$5015)-47+1),$N$16:$N$5015,0)))&amp;" › "&amp;IF(47&gt;MAX($N$16:$N$5015),"",INDEX($H$16:$H$5015,MATCH((MAX($N$16:$N$5015)-47+1),$N$16:$N$5015,0)))&amp;" › "&amp;IF(47&gt;MAX($N$16:$N$5015),"",INDEX($I$16:$I$5015,MATCH((MAX($N$16:$N$5015)-47+1),$N$16:$N$5015,0))))</f>
        <v/>
      </c>
      <c r="U51" s="105">
        <f>IF(47&gt;MAX($N$16:$N$5015),"",INDEX($J$16:$J$5015,MATCH((MAX($N$16:$N$5015)-47+1),$N$16:$N$5015,0)))&amp;IF(IF(47&gt;MAX($N$16:$N$5015),"",INDEX($L$16:$L$5015,MATCH((MAX($N$16:$N$5015)-47+1),$N$16:$N$5015,0)))="",""," ["&amp;IF(47&gt;MAX($N$16:$N$5015),"",INDEX($L$16:$L$5015,MATCH((MAX($N$16:$N$5015)-47+1),$N$16:$N$5015,0)))&amp;"]")</f>
        <v/>
      </c>
      <c r="V51" s="120">
        <f>IF(47&gt;MAX($N$16:$N$5015),"",HYPERLINK("#Transaksi!B"&amp;(MATCH((MAX($N$16:$N$5015)-47+1),$N$16:$N$5015,0)+15),"Buka"))</f>
        <v/>
      </c>
      <c r="X51" s="93">
        <f>IF(AND(B51&lt;&gt;"",B51&gt;='Buku Akun'!$H$4,B51&lt;='Buku Akun'!$H$5,OR(C51='Buku Akun'!$C$4,AND(D51="Pindah",E51='Buku Akun'!$C$4))),B51+IF(AND(I51="Selisih bunga",DAY(B51)=1),0,0.01)+ROW()/10000000,"")</f>
        <v/>
      </c>
    </row>
    <row r="52" outlineLevel="1" ht="15" customHeight="1" s="94">
      <c r="A52" s="123">
        <f>IF(B52="","",ROW()-15)</f>
        <v/>
      </c>
      <c r="B52" s="124" t="n"/>
      <c r="C52" s="123" t="n"/>
      <c r="D52" s="123" t="n"/>
      <c r="E52" s="123" t="n"/>
      <c r="F52" s="125" t="n"/>
      <c r="G52" s="123" t="n"/>
      <c r="H52" s="123" t="n"/>
      <c r="I52" s="123" t="n"/>
      <c r="J52" s="123" t="n"/>
      <c r="K52" s="123" t="n"/>
      <c r="L52" s="123" t="n"/>
      <c r="M52" s="123">
        <f>IF(AND(B52&lt;&gt;"",OR($C$4="",ISNUMBER(SEARCH($C$4,C52&amp;" "&amp;E52&amp;" "&amp;G52&amp;" "&amp;H52&amp;" "&amp;I52&amp;" "&amp;J52&amp;" "&amp;K52&amp;" "&amp;L52))),OR($C$5="Semua",$C$5="",G52=$C$5),OR($C$6="Semua",$C$6="",H52=$C$6,H52="Pengeluaran "&amp;$C$6,AND($C$6="Uang Kos Mama",H52="Pengeluaran Uang Kos")),OR($C$7="Semua",$C$7="",I52=$C$7),OR($C$8="Semua",$C$8="",C52=$C$8,E52=$C$8),OR($C$9="Semua",$C$9="",D52=$C$9),OR($C$10="",B52&gt;=$C$10),OR($C$11="",B52&lt;=$C$11),OR($C$12&lt;&gt;"Ya",K52&lt;&gt;""),OR($C$13="Semua",$C$13="",L52=$C$13)),"✓","")</f>
        <v/>
      </c>
      <c r="N52" s="93">
        <f>N(N51)+IF(M52="✓",1,0)</f>
        <v/>
      </c>
      <c r="O52" s="93">
        <f>N(O51)+IF(AND(B52&lt;&gt;"",B52&gt;='Uang Riba'!$H$30,B52&lt;='Uang Riba'!$I$30,OR(H52="Dana riba",H52="Pinjam uang riba",I52="Pinjam dari uang riba",I52="Ganti uang riba",I52="Kelebihan ganti dikembalikan",AND(C52="Kantong Uang Riba",G52="Pengeluaran"))),1,0)</f>
        <v/>
      </c>
      <c r="P52" s="119">
        <f>IF(48&gt;MAX($N$16:$N$5015),"",INDEX($B$16:$B$5015,MATCH((MAX($N$16:$N$5015)-48+1),$N$16:$N$5015,0)))</f>
        <v/>
      </c>
      <c r="Q52" s="105">
        <f>IF(48&gt;MAX($N$16:$N$5015),"",INDEX($C$16:$C$5015,MATCH((MAX($N$16:$N$5015)-48+1),$N$16:$N$5015,0)))&amp;IF(IF(48&gt;MAX($N$16:$N$5015),"",INDEX($E$16:$E$5015,MATCH((MAX($N$16:$N$5015)-48+1),$N$16:$N$5015,0)))="",""," → "&amp;IF(48&gt;MAX($N$16:$N$5015),"",INDEX($E$16:$E$5015,MATCH((MAX($N$16:$N$5015)-48+1),$N$16:$N$5015,0))))</f>
        <v/>
      </c>
      <c r="R52" s="105">
        <f>IF(48&gt;MAX($N$16:$N$5015),"",INDEX($D$16:$D$5015,MATCH((MAX($N$16:$N$5015)-48+1),$N$16:$N$5015,0)))</f>
        <v/>
      </c>
      <c r="S52" s="113">
        <f>IF(48&gt;MAX($N$16:$N$5015),"",INDEX($F$16:$F$5015,MATCH((MAX($N$16:$N$5015)-48+1),$N$16:$N$5015,0)))</f>
        <v/>
      </c>
      <c r="T52" s="105">
        <f>IF(48&gt;MAX($N$16:$N$5015),"",IF(48&gt;MAX($N$16:$N$5015),"",INDEX($G$16:$G$5015,MATCH((MAX($N$16:$N$5015)-48+1),$N$16:$N$5015,0)))&amp;" › "&amp;IF(48&gt;MAX($N$16:$N$5015),"",INDEX($H$16:$H$5015,MATCH((MAX($N$16:$N$5015)-48+1),$N$16:$N$5015,0)))&amp;" › "&amp;IF(48&gt;MAX($N$16:$N$5015),"",INDEX($I$16:$I$5015,MATCH((MAX($N$16:$N$5015)-48+1),$N$16:$N$5015,0))))</f>
        <v/>
      </c>
      <c r="U52" s="105">
        <f>IF(48&gt;MAX($N$16:$N$5015),"",INDEX($J$16:$J$5015,MATCH((MAX($N$16:$N$5015)-48+1),$N$16:$N$5015,0)))&amp;IF(IF(48&gt;MAX($N$16:$N$5015),"",INDEX($L$16:$L$5015,MATCH((MAX($N$16:$N$5015)-48+1),$N$16:$N$5015,0)))="",""," ["&amp;IF(48&gt;MAX($N$16:$N$5015),"",INDEX($L$16:$L$5015,MATCH((MAX($N$16:$N$5015)-48+1),$N$16:$N$5015,0)))&amp;"]")</f>
        <v/>
      </c>
      <c r="V52" s="120">
        <f>IF(48&gt;MAX($N$16:$N$5015),"",HYPERLINK("#Transaksi!B"&amp;(MATCH((MAX($N$16:$N$5015)-48+1),$N$16:$N$5015,0)+15),"Buka"))</f>
        <v/>
      </c>
      <c r="X52" s="93">
        <f>IF(AND(B52&lt;&gt;"",B52&gt;='Buku Akun'!$H$4,B52&lt;='Buku Akun'!$H$5,OR(C52='Buku Akun'!$C$4,AND(D52="Pindah",E52='Buku Akun'!$C$4))),B52+IF(AND(I52="Selisih bunga",DAY(B52)=1),0,0.01)+ROW()/10000000,"")</f>
        <v/>
      </c>
    </row>
    <row r="53" outlineLevel="1" ht="15" customHeight="1" s="94">
      <c r="A53" s="123">
        <f>IF(B53="","",ROW()-15)</f>
        <v/>
      </c>
      <c r="B53" s="124" t="n"/>
      <c r="C53" s="123" t="n"/>
      <c r="D53" s="123" t="n"/>
      <c r="E53" s="123" t="n"/>
      <c r="F53" s="125" t="n"/>
      <c r="G53" s="123" t="n"/>
      <c r="H53" s="123" t="n"/>
      <c r="I53" s="123" t="n"/>
      <c r="J53" s="123" t="n"/>
      <c r="K53" s="123" t="n"/>
      <c r="L53" s="123" t="n"/>
      <c r="M53" s="123">
        <f>IF(AND(B53&lt;&gt;"",OR($C$4="",ISNUMBER(SEARCH($C$4,C53&amp;" "&amp;E53&amp;" "&amp;G53&amp;" "&amp;H53&amp;" "&amp;I53&amp;" "&amp;J53&amp;" "&amp;K53&amp;" "&amp;L53))),OR($C$5="Semua",$C$5="",G53=$C$5),OR($C$6="Semua",$C$6="",H53=$C$6,H53="Pengeluaran "&amp;$C$6,AND($C$6="Uang Kos Mama",H53="Pengeluaran Uang Kos")),OR($C$7="Semua",$C$7="",I53=$C$7),OR($C$8="Semua",$C$8="",C53=$C$8,E53=$C$8),OR($C$9="Semua",$C$9="",D53=$C$9),OR($C$10="",B53&gt;=$C$10),OR($C$11="",B53&lt;=$C$11),OR($C$12&lt;&gt;"Ya",K53&lt;&gt;""),OR($C$13="Semua",$C$13="",L53=$C$13)),"✓","")</f>
        <v/>
      </c>
      <c r="N53" s="93">
        <f>N(N52)+IF(M53="✓",1,0)</f>
        <v/>
      </c>
      <c r="O53" s="93">
        <f>N(O52)+IF(AND(B53&lt;&gt;"",B53&gt;='Uang Riba'!$H$30,B53&lt;='Uang Riba'!$I$30,OR(H53="Dana riba",H53="Pinjam uang riba",I53="Pinjam dari uang riba",I53="Ganti uang riba",I53="Kelebihan ganti dikembalikan",AND(C53="Kantong Uang Riba",G53="Pengeluaran"))),1,0)</f>
        <v/>
      </c>
      <c r="P53" s="119">
        <f>IF(49&gt;MAX($N$16:$N$5015),"",INDEX($B$16:$B$5015,MATCH((MAX($N$16:$N$5015)-49+1),$N$16:$N$5015,0)))</f>
        <v/>
      </c>
      <c r="Q53" s="105">
        <f>IF(49&gt;MAX($N$16:$N$5015),"",INDEX($C$16:$C$5015,MATCH((MAX($N$16:$N$5015)-49+1),$N$16:$N$5015,0)))&amp;IF(IF(49&gt;MAX($N$16:$N$5015),"",INDEX($E$16:$E$5015,MATCH((MAX($N$16:$N$5015)-49+1),$N$16:$N$5015,0)))="",""," → "&amp;IF(49&gt;MAX($N$16:$N$5015),"",INDEX($E$16:$E$5015,MATCH((MAX($N$16:$N$5015)-49+1),$N$16:$N$5015,0))))</f>
        <v/>
      </c>
      <c r="R53" s="105">
        <f>IF(49&gt;MAX($N$16:$N$5015),"",INDEX($D$16:$D$5015,MATCH((MAX($N$16:$N$5015)-49+1),$N$16:$N$5015,0)))</f>
        <v/>
      </c>
      <c r="S53" s="113">
        <f>IF(49&gt;MAX($N$16:$N$5015),"",INDEX($F$16:$F$5015,MATCH((MAX($N$16:$N$5015)-49+1),$N$16:$N$5015,0)))</f>
        <v/>
      </c>
      <c r="T53" s="105">
        <f>IF(49&gt;MAX($N$16:$N$5015),"",IF(49&gt;MAX($N$16:$N$5015),"",INDEX($G$16:$G$5015,MATCH((MAX($N$16:$N$5015)-49+1),$N$16:$N$5015,0)))&amp;" › "&amp;IF(49&gt;MAX($N$16:$N$5015),"",INDEX($H$16:$H$5015,MATCH((MAX($N$16:$N$5015)-49+1),$N$16:$N$5015,0)))&amp;" › "&amp;IF(49&gt;MAX($N$16:$N$5015),"",INDEX($I$16:$I$5015,MATCH((MAX($N$16:$N$5015)-49+1),$N$16:$N$5015,0))))</f>
        <v/>
      </c>
      <c r="U53" s="105">
        <f>IF(49&gt;MAX($N$16:$N$5015),"",INDEX($J$16:$J$5015,MATCH((MAX($N$16:$N$5015)-49+1),$N$16:$N$5015,0)))&amp;IF(IF(49&gt;MAX($N$16:$N$5015),"",INDEX($L$16:$L$5015,MATCH((MAX($N$16:$N$5015)-49+1),$N$16:$N$5015,0)))="",""," ["&amp;IF(49&gt;MAX($N$16:$N$5015),"",INDEX($L$16:$L$5015,MATCH((MAX($N$16:$N$5015)-49+1),$N$16:$N$5015,0)))&amp;"]")</f>
        <v/>
      </c>
      <c r="V53" s="120">
        <f>IF(49&gt;MAX($N$16:$N$5015),"",HYPERLINK("#Transaksi!B"&amp;(MATCH((MAX($N$16:$N$5015)-49+1),$N$16:$N$5015,0)+15),"Buka"))</f>
        <v/>
      </c>
      <c r="X53" s="93">
        <f>IF(AND(B53&lt;&gt;"",B53&gt;='Buku Akun'!$H$4,B53&lt;='Buku Akun'!$H$5,OR(C53='Buku Akun'!$C$4,AND(D53="Pindah",E53='Buku Akun'!$C$4))),B53+IF(AND(I53="Selisih bunga",DAY(B53)=1),0,0.01)+ROW()/10000000,"")</f>
        <v/>
      </c>
    </row>
    <row r="54" outlineLevel="1" ht="15" customHeight="1" s="94">
      <c r="A54" s="123">
        <f>IF(B54="","",ROW()-15)</f>
        <v/>
      </c>
      <c r="B54" s="124" t="n"/>
      <c r="C54" s="123" t="n"/>
      <c r="D54" s="123" t="n"/>
      <c r="E54" s="123" t="n"/>
      <c r="F54" s="125" t="n"/>
      <c r="G54" s="123" t="n"/>
      <c r="H54" s="123" t="n"/>
      <c r="I54" s="123" t="n"/>
      <c r="J54" s="123" t="n"/>
      <c r="K54" s="123" t="n"/>
      <c r="L54" s="123" t="n"/>
      <c r="M54" s="123">
        <f>IF(AND(B54&lt;&gt;"",OR($C$4="",ISNUMBER(SEARCH($C$4,C54&amp;" "&amp;E54&amp;" "&amp;G54&amp;" "&amp;H54&amp;" "&amp;I54&amp;" "&amp;J54&amp;" "&amp;K54&amp;" "&amp;L54))),OR($C$5="Semua",$C$5="",G54=$C$5),OR($C$6="Semua",$C$6="",H54=$C$6,H54="Pengeluaran "&amp;$C$6,AND($C$6="Uang Kos Mama",H54="Pengeluaran Uang Kos")),OR($C$7="Semua",$C$7="",I54=$C$7),OR($C$8="Semua",$C$8="",C54=$C$8,E54=$C$8),OR($C$9="Semua",$C$9="",D54=$C$9),OR($C$10="",B54&gt;=$C$10),OR($C$11="",B54&lt;=$C$11),OR($C$12&lt;&gt;"Ya",K54&lt;&gt;""),OR($C$13="Semua",$C$13="",L54=$C$13)),"✓","")</f>
        <v/>
      </c>
      <c r="N54" s="93">
        <f>N(N53)+IF(M54="✓",1,0)</f>
        <v/>
      </c>
      <c r="O54" s="93">
        <f>N(O53)+IF(AND(B54&lt;&gt;"",B54&gt;='Uang Riba'!$H$30,B54&lt;='Uang Riba'!$I$30,OR(H54="Dana riba",H54="Pinjam uang riba",I54="Pinjam dari uang riba",I54="Ganti uang riba",I54="Kelebihan ganti dikembalikan",AND(C54="Kantong Uang Riba",G54="Pengeluaran"))),1,0)</f>
        <v/>
      </c>
      <c r="P54" s="119">
        <f>IF(50&gt;MAX($N$16:$N$5015),"",INDEX($B$16:$B$5015,MATCH((MAX($N$16:$N$5015)-50+1),$N$16:$N$5015,0)))</f>
        <v/>
      </c>
      <c r="Q54" s="105">
        <f>IF(50&gt;MAX($N$16:$N$5015),"",INDEX($C$16:$C$5015,MATCH((MAX($N$16:$N$5015)-50+1),$N$16:$N$5015,0)))&amp;IF(IF(50&gt;MAX($N$16:$N$5015),"",INDEX($E$16:$E$5015,MATCH((MAX($N$16:$N$5015)-50+1),$N$16:$N$5015,0)))="",""," → "&amp;IF(50&gt;MAX($N$16:$N$5015),"",INDEX($E$16:$E$5015,MATCH((MAX($N$16:$N$5015)-50+1),$N$16:$N$5015,0))))</f>
        <v/>
      </c>
      <c r="R54" s="105">
        <f>IF(50&gt;MAX($N$16:$N$5015),"",INDEX($D$16:$D$5015,MATCH((MAX($N$16:$N$5015)-50+1),$N$16:$N$5015,0)))</f>
        <v/>
      </c>
      <c r="S54" s="113">
        <f>IF(50&gt;MAX($N$16:$N$5015),"",INDEX($F$16:$F$5015,MATCH((MAX($N$16:$N$5015)-50+1),$N$16:$N$5015,0)))</f>
        <v/>
      </c>
      <c r="T54" s="105">
        <f>IF(50&gt;MAX($N$16:$N$5015),"",IF(50&gt;MAX($N$16:$N$5015),"",INDEX($G$16:$G$5015,MATCH((MAX($N$16:$N$5015)-50+1),$N$16:$N$5015,0)))&amp;" › "&amp;IF(50&gt;MAX($N$16:$N$5015),"",INDEX($H$16:$H$5015,MATCH((MAX($N$16:$N$5015)-50+1),$N$16:$N$5015,0)))&amp;" › "&amp;IF(50&gt;MAX($N$16:$N$5015),"",INDEX($I$16:$I$5015,MATCH((MAX($N$16:$N$5015)-50+1),$N$16:$N$5015,0))))</f>
        <v/>
      </c>
      <c r="U54" s="105">
        <f>IF(50&gt;MAX($N$16:$N$5015),"",INDEX($J$16:$J$5015,MATCH((MAX($N$16:$N$5015)-50+1),$N$16:$N$5015,0)))&amp;IF(IF(50&gt;MAX($N$16:$N$5015),"",INDEX($L$16:$L$5015,MATCH((MAX($N$16:$N$5015)-50+1),$N$16:$N$5015,0)))="",""," ["&amp;IF(50&gt;MAX($N$16:$N$5015),"",INDEX($L$16:$L$5015,MATCH((MAX($N$16:$N$5015)-50+1),$N$16:$N$5015,0)))&amp;"]")</f>
        <v/>
      </c>
      <c r="V54" s="120">
        <f>IF(50&gt;MAX($N$16:$N$5015),"",HYPERLINK("#Transaksi!B"&amp;(MATCH((MAX($N$16:$N$5015)-50+1),$N$16:$N$5015,0)+15),"Buka"))</f>
        <v/>
      </c>
      <c r="X54" s="93">
        <f>IF(AND(B54&lt;&gt;"",B54&gt;='Buku Akun'!$H$4,B54&lt;='Buku Akun'!$H$5,OR(C54='Buku Akun'!$C$4,AND(D54="Pindah",E54='Buku Akun'!$C$4))),B54+IF(AND(I54="Selisih bunga",DAY(B54)=1),0,0.01)+ROW()/10000000,"")</f>
        <v/>
      </c>
    </row>
    <row r="55" outlineLevel="1" ht="15" customHeight="1" s="94">
      <c r="A55" s="123">
        <f>IF(B55="","",ROW()-15)</f>
        <v/>
      </c>
      <c r="B55" s="124" t="n"/>
      <c r="C55" s="123" t="n"/>
      <c r="D55" s="123" t="n"/>
      <c r="E55" s="123" t="n"/>
      <c r="F55" s="125" t="n"/>
      <c r="G55" s="123" t="n"/>
      <c r="H55" s="123" t="n"/>
      <c r="I55" s="123" t="n"/>
      <c r="J55" s="123" t="n"/>
      <c r="K55" s="123" t="n"/>
      <c r="L55" s="123" t="n"/>
      <c r="M55" s="123">
        <f>IF(AND(B55&lt;&gt;"",OR($C$4="",ISNUMBER(SEARCH($C$4,C55&amp;" "&amp;E55&amp;" "&amp;G55&amp;" "&amp;H55&amp;" "&amp;I55&amp;" "&amp;J55&amp;" "&amp;K55&amp;" "&amp;L55))),OR($C$5="Semua",$C$5="",G55=$C$5),OR($C$6="Semua",$C$6="",H55=$C$6,H55="Pengeluaran "&amp;$C$6,AND($C$6="Uang Kos Mama",H55="Pengeluaran Uang Kos")),OR($C$7="Semua",$C$7="",I55=$C$7),OR($C$8="Semua",$C$8="",C55=$C$8,E55=$C$8),OR($C$9="Semua",$C$9="",D55=$C$9),OR($C$10="",B55&gt;=$C$10),OR($C$11="",B55&lt;=$C$11),OR($C$12&lt;&gt;"Ya",K55&lt;&gt;""),OR($C$13="Semua",$C$13="",L55=$C$13)),"✓","")</f>
        <v/>
      </c>
      <c r="N55" s="93">
        <f>N(N54)+IF(M55="✓",1,0)</f>
        <v/>
      </c>
      <c r="O55" s="93">
        <f>N(O54)+IF(AND(B55&lt;&gt;"",B55&gt;='Uang Riba'!$H$30,B55&lt;='Uang Riba'!$I$30,OR(H55="Dana riba",H55="Pinjam uang riba",I55="Pinjam dari uang riba",I55="Ganti uang riba",I55="Kelebihan ganti dikembalikan",AND(C55="Kantong Uang Riba",G55="Pengeluaran"))),1,0)</f>
        <v/>
      </c>
      <c r="P55" s="119">
        <f>IF(51&gt;MAX($N$16:$N$5015),"",INDEX($B$16:$B$5015,MATCH((MAX($N$16:$N$5015)-51+1),$N$16:$N$5015,0)))</f>
        <v/>
      </c>
      <c r="Q55" s="105">
        <f>IF(51&gt;MAX($N$16:$N$5015),"",INDEX($C$16:$C$5015,MATCH((MAX($N$16:$N$5015)-51+1),$N$16:$N$5015,0)))&amp;IF(IF(51&gt;MAX($N$16:$N$5015),"",INDEX($E$16:$E$5015,MATCH((MAX($N$16:$N$5015)-51+1),$N$16:$N$5015,0)))="",""," → "&amp;IF(51&gt;MAX($N$16:$N$5015),"",INDEX($E$16:$E$5015,MATCH((MAX($N$16:$N$5015)-51+1),$N$16:$N$5015,0))))</f>
        <v/>
      </c>
      <c r="R55" s="105">
        <f>IF(51&gt;MAX($N$16:$N$5015),"",INDEX($D$16:$D$5015,MATCH((MAX($N$16:$N$5015)-51+1),$N$16:$N$5015,0)))</f>
        <v/>
      </c>
      <c r="S55" s="113">
        <f>IF(51&gt;MAX($N$16:$N$5015),"",INDEX($F$16:$F$5015,MATCH((MAX($N$16:$N$5015)-51+1),$N$16:$N$5015,0)))</f>
        <v/>
      </c>
      <c r="T55" s="105">
        <f>IF(51&gt;MAX($N$16:$N$5015),"",IF(51&gt;MAX($N$16:$N$5015),"",INDEX($G$16:$G$5015,MATCH((MAX($N$16:$N$5015)-51+1),$N$16:$N$5015,0)))&amp;" › "&amp;IF(51&gt;MAX($N$16:$N$5015),"",INDEX($H$16:$H$5015,MATCH((MAX($N$16:$N$5015)-51+1),$N$16:$N$5015,0)))&amp;" › "&amp;IF(51&gt;MAX($N$16:$N$5015),"",INDEX($I$16:$I$5015,MATCH((MAX($N$16:$N$5015)-51+1),$N$16:$N$5015,0))))</f>
        <v/>
      </c>
      <c r="U55" s="105">
        <f>IF(51&gt;MAX($N$16:$N$5015),"",INDEX($J$16:$J$5015,MATCH((MAX($N$16:$N$5015)-51+1),$N$16:$N$5015,0)))&amp;IF(IF(51&gt;MAX($N$16:$N$5015),"",INDEX($L$16:$L$5015,MATCH((MAX($N$16:$N$5015)-51+1),$N$16:$N$5015,0)))="",""," ["&amp;IF(51&gt;MAX($N$16:$N$5015),"",INDEX($L$16:$L$5015,MATCH((MAX($N$16:$N$5015)-51+1),$N$16:$N$5015,0)))&amp;"]")</f>
        <v/>
      </c>
      <c r="V55" s="120">
        <f>IF(51&gt;MAX($N$16:$N$5015),"",HYPERLINK("#Transaksi!B"&amp;(MATCH((MAX($N$16:$N$5015)-51+1),$N$16:$N$5015,0)+15),"Buka"))</f>
        <v/>
      </c>
      <c r="X55" s="93">
        <f>IF(AND(B55&lt;&gt;"",B55&gt;='Buku Akun'!$H$4,B55&lt;='Buku Akun'!$H$5,OR(C55='Buku Akun'!$C$4,AND(D55="Pindah",E55='Buku Akun'!$C$4))),B55+IF(AND(I55="Selisih bunga",DAY(B55)=1),0,0.01)+ROW()/10000000,"")</f>
        <v/>
      </c>
    </row>
    <row r="56" outlineLevel="1" ht="15" customHeight="1" s="94">
      <c r="A56" s="123">
        <f>IF(B56="","",ROW()-15)</f>
        <v/>
      </c>
      <c r="B56" s="124" t="n"/>
      <c r="C56" s="123" t="n"/>
      <c r="D56" s="123" t="n"/>
      <c r="E56" s="123" t="n"/>
      <c r="F56" s="125" t="n"/>
      <c r="G56" s="123" t="n"/>
      <c r="H56" s="123" t="n"/>
      <c r="I56" s="123" t="n"/>
      <c r="J56" s="123" t="n"/>
      <c r="K56" s="123" t="n"/>
      <c r="L56" s="123" t="n"/>
      <c r="M56" s="123">
        <f>IF(AND(B56&lt;&gt;"",OR($C$4="",ISNUMBER(SEARCH($C$4,C56&amp;" "&amp;E56&amp;" "&amp;G56&amp;" "&amp;H56&amp;" "&amp;I56&amp;" "&amp;J56&amp;" "&amp;K56&amp;" "&amp;L56))),OR($C$5="Semua",$C$5="",G56=$C$5),OR($C$6="Semua",$C$6="",H56=$C$6,H56="Pengeluaran "&amp;$C$6,AND($C$6="Uang Kos Mama",H56="Pengeluaran Uang Kos")),OR($C$7="Semua",$C$7="",I56=$C$7),OR($C$8="Semua",$C$8="",C56=$C$8,E56=$C$8),OR($C$9="Semua",$C$9="",D56=$C$9),OR($C$10="",B56&gt;=$C$10),OR($C$11="",B56&lt;=$C$11),OR($C$12&lt;&gt;"Ya",K56&lt;&gt;""),OR($C$13="Semua",$C$13="",L56=$C$13)),"✓","")</f>
        <v/>
      </c>
      <c r="N56" s="93">
        <f>N(N55)+IF(M56="✓",1,0)</f>
        <v/>
      </c>
      <c r="O56" s="93">
        <f>N(O55)+IF(AND(B56&lt;&gt;"",B56&gt;='Uang Riba'!$H$30,B56&lt;='Uang Riba'!$I$30,OR(H56="Dana riba",H56="Pinjam uang riba",I56="Pinjam dari uang riba",I56="Ganti uang riba",I56="Kelebihan ganti dikembalikan",AND(C56="Kantong Uang Riba",G56="Pengeluaran"))),1,0)</f>
        <v/>
      </c>
      <c r="P56" s="119">
        <f>IF(52&gt;MAX($N$16:$N$5015),"",INDEX($B$16:$B$5015,MATCH((MAX($N$16:$N$5015)-52+1),$N$16:$N$5015,0)))</f>
        <v/>
      </c>
      <c r="Q56" s="105">
        <f>IF(52&gt;MAX($N$16:$N$5015),"",INDEX($C$16:$C$5015,MATCH((MAX($N$16:$N$5015)-52+1),$N$16:$N$5015,0)))&amp;IF(IF(52&gt;MAX($N$16:$N$5015),"",INDEX($E$16:$E$5015,MATCH((MAX($N$16:$N$5015)-52+1),$N$16:$N$5015,0)))="",""," → "&amp;IF(52&gt;MAX($N$16:$N$5015),"",INDEX($E$16:$E$5015,MATCH((MAX($N$16:$N$5015)-52+1),$N$16:$N$5015,0))))</f>
        <v/>
      </c>
      <c r="R56" s="105">
        <f>IF(52&gt;MAX($N$16:$N$5015),"",INDEX($D$16:$D$5015,MATCH((MAX($N$16:$N$5015)-52+1),$N$16:$N$5015,0)))</f>
        <v/>
      </c>
      <c r="S56" s="113">
        <f>IF(52&gt;MAX($N$16:$N$5015),"",INDEX($F$16:$F$5015,MATCH((MAX($N$16:$N$5015)-52+1),$N$16:$N$5015,0)))</f>
        <v/>
      </c>
      <c r="T56" s="105">
        <f>IF(52&gt;MAX($N$16:$N$5015),"",IF(52&gt;MAX($N$16:$N$5015),"",INDEX($G$16:$G$5015,MATCH((MAX($N$16:$N$5015)-52+1),$N$16:$N$5015,0)))&amp;" › "&amp;IF(52&gt;MAX($N$16:$N$5015),"",INDEX($H$16:$H$5015,MATCH((MAX($N$16:$N$5015)-52+1),$N$16:$N$5015,0)))&amp;" › "&amp;IF(52&gt;MAX($N$16:$N$5015),"",INDEX($I$16:$I$5015,MATCH((MAX($N$16:$N$5015)-52+1),$N$16:$N$5015,0))))</f>
        <v/>
      </c>
      <c r="U56" s="105">
        <f>IF(52&gt;MAX($N$16:$N$5015),"",INDEX($J$16:$J$5015,MATCH((MAX($N$16:$N$5015)-52+1),$N$16:$N$5015,0)))&amp;IF(IF(52&gt;MAX($N$16:$N$5015),"",INDEX($L$16:$L$5015,MATCH((MAX($N$16:$N$5015)-52+1),$N$16:$N$5015,0)))="",""," ["&amp;IF(52&gt;MAX($N$16:$N$5015),"",INDEX($L$16:$L$5015,MATCH((MAX($N$16:$N$5015)-52+1),$N$16:$N$5015,0)))&amp;"]")</f>
        <v/>
      </c>
      <c r="V56" s="120">
        <f>IF(52&gt;MAX($N$16:$N$5015),"",HYPERLINK("#Transaksi!B"&amp;(MATCH((MAX($N$16:$N$5015)-52+1),$N$16:$N$5015,0)+15),"Buka"))</f>
        <v/>
      </c>
      <c r="X56" s="93">
        <f>IF(AND(B56&lt;&gt;"",B56&gt;='Buku Akun'!$H$4,B56&lt;='Buku Akun'!$H$5,OR(C56='Buku Akun'!$C$4,AND(D56="Pindah",E56='Buku Akun'!$C$4))),B56+IF(AND(I56="Selisih bunga",DAY(B56)=1),0,0.01)+ROW()/10000000,"")</f>
        <v/>
      </c>
    </row>
    <row r="57" outlineLevel="1" ht="15" customHeight="1" s="94">
      <c r="A57" s="123">
        <f>IF(B57="","",ROW()-15)</f>
        <v/>
      </c>
      <c r="B57" s="124" t="n"/>
      <c r="C57" s="123" t="n"/>
      <c r="D57" s="123" t="n"/>
      <c r="E57" s="123" t="n"/>
      <c r="F57" s="125" t="n"/>
      <c r="G57" s="123" t="n"/>
      <c r="H57" s="123" t="n"/>
      <c r="I57" s="123" t="n"/>
      <c r="J57" s="123" t="n"/>
      <c r="K57" s="123" t="n"/>
      <c r="L57" s="123" t="n"/>
      <c r="M57" s="123">
        <f>IF(AND(B57&lt;&gt;"",OR($C$4="",ISNUMBER(SEARCH($C$4,C57&amp;" "&amp;E57&amp;" "&amp;G57&amp;" "&amp;H57&amp;" "&amp;I57&amp;" "&amp;J57&amp;" "&amp;K57&amp;" "&amp;L57))),OR($C$5="Semua",$C$5="",G57=$C$5),OR($C$6="Semua",$C$6="",H57=$C$6,H57="Pengeluaran "&amp;$C$6,AND($C$6="Uang Kos Mama",H57="Pengeluaran Uang Kos")),OR($C$7="Semua",$C$7="",I57=$C$7),OR($C$8="Semua",$C$8="",C57=$C$8,E57=$C$8),OR($C$9="Semua",$C$9="",D57=$C$9),OR($C$10="",B57&gt;=$C$10),OR($C$11="",B57&lt;=$C$11),OR($C$12&lt;&gt;"Ya",K57&lt;&gt;""),OR($C$13="Semua",$C$13="",L57=$C$13)),"✓","")</f>
        <v/>
      </c>
      <c r="N57" s="93">
        <f>N(N56)+IF(M57="✓",1,0)</f>
        <v/>
      </c>
      <c r="O57" s="93">
        <f>N(O56)+IF(AND(B57&lt;&gt;"",B57&gt;='Uang Riba'!$H$30,B57&lt;='Uang Riba'!$I$30,OR(H57="Dana riba",H57="Pinjam uang riba",I57="Pinjam dari uang riba",I57="Ganti uang riba",I57="Kelebihan ganti dikembalikan",AND(C57="Kantong Uang Riba",G57="Pengeluaran"))),1,0)</f>
        <v/>
      </c>
      <c r="P57" s="119">
        <f>IF(53&gt;MAX($N$16:$N$5015),"",INDEX($B$16:$B$5015,MATCH((MAX($N$16:$N$5015)-53+1),$N$16:$N$5015,0)))</f>
        <v/>
      </c>
      <c r="Q57" s="105">
        <f>IF(53&gt;MAX($N$16:$N$5015),"",INDEX($C$16:$C$5015,MATCH((MAX($N$16:$N$5015)-53+1),$N$16:$N$5015,0)))&amp;IF(IF(53&gt;MAX($N$16:$N$5015),"",INDEX($E$16:$E$5015,MATCH((MAX($N$16:$N$5015)-53+1),$N$16:$N$5015,0)))="",""," → "&amp;IF(53&gt;MAX($N$16:$N$5015),"",INDEX($E$16:$E$5015,MATCH((MAX($N$16:$N$5015)-53+1),$N$16:$N$5015,0))))</f>
        <v/>
      </c>
      <c r="R57" s="105">
        <f>IF(53&gt;MAX($N$16:$N$5015),"",INDEX($D$16:$D$5015,MATCH((MAX($N$16:$N$5015)-53+1),$N$16:$N$5015,0)))</f>
        <v/>
      </c>
      <c r="S57" s="113">
        <f>IF(53&gt;MAX($N$16:$N$5015),"",INDEX($F$16:$F$5015,MATCH((MAX($N$16:$N$5015)-53+1),$N$16:$N$5015,0)))</f>
        <v/>
      </c>
      <c r="T57" s="105">
        <f>IF(53&gt;MAX($N$16:$N$5015),"",IF(53&gt;MAX($N$16:$N$5015),"",INDEX($G$16:$G$5015,MATCH((MAX($N$16:$N$5015)-53+1),$N$16:$N$5015,0)))&amp;" › "&amp;IF(53&gt;MAX($N$16:$N$5015),"",INDEX($H$16:$H$5015,MATCH((MAX($N$16:$N$5015)-53+1),$N$16:$N$5015,0)))&amp;" › "&amp;IF(53&gt;MAX($N$16:$N$5015),"",INDEX($I$16:$I$5015,MATCH((MAX($N$16:$N$5015)-53+1),$N$16:$N$5015,0))))</f>
        <v/>
      </c>
      <c r="U57" s="105">
        <f>IF(53&gt;MAX($N$16:$N$5015),"",INDEX($J$16:$J$5015,MATCH((MAX($N$16:$N$5015)-53+1),$N$16:$N$5015,0)))&amp;IF(IF(53&gt;MAX($N$16:$N$5015),"",INDEX($L$16:$L$5015,MATCH((MAX($N$16:$N$5015)-53+1),$N$16:$N$5015,0)))="",""," ["&amp;IF(53&gt;MAX($N$16:$N$5015),"",INDEX($L$16:$L$5015,MATCH((MAX($N$16:$N$5015)-53+1),$N$16:$N$5015,0)))&amp;"]")</f>
        <v/>
      </c>
      <c r="V57" s="120">
        <f>IF(53&gt;MAX($N$16:$N$5015),"",HYPERLINK("#Transaksi!B"&amp;(MATCH((MAX($N$16:$N$5015)-53+1),$N$16:$N$5015,0)+15),"Buka"))</f>
        <v/>
      </c>
      <c r="X57" s="93">
        <f>IF(AND(B57&lt;&gt;"",B57&gt;='Buku Akun'!$H$4,B57&lt;='Buku Akun'!$H$5,OR(C57='Buku Akun'!$C$4,AND(D57="Pindah",E57='Buku Akun'!$C$4))),B57+IF(AND(I57="Selisih bunga",DAY(B57)=1),0,0.01)+ROW()/10000000,"")</f>
        <v/>
      </c>
    </row>
    <row r="58" outlineLevel="1" ht="15" customHeight="1" s="94">
      <c r="A58" s="123">
        <f>IF(B58="","",ROW()-15)</f>
        <v/>
      </c>
      <c r="B58" s="124" t="n"/>
      <c r="C58" s="123" t="n"/>
      <c r="D58" s="123" t="n"/>
      <c r="E58" s="123" t="n"/>
      <c r="F58" s="125" t="n"/>
      <c r="G58" s="123" t="n"/>
      <c r="H58" s="123" t="n"/>
      <c r="I58" s="123" t="n"/>
      <c r="J58" s="123" t="n"/>
      <c r="K58" s="123" t="n"/>
      <c r="L58" s="123" t="n"/>
      <c r="M58" s="123">
        <f>IF(AND(B58&lt;&gt;"",OR($C$4="",ISNUMBER(SEARCH($C$4,C58&amp;" "&amp;E58&amp;" "&amp;G58&amp;" "&amp;H58&amp;" "&amp;I58&amp;" "&amp;J58&amp;" "&amp;K58&amp;" "&amp;L58))),OR($C$5="Semua",$C$5="",G58=$C$5),OR($C$6="Semua",$C$6="",H58=$C$6,H58="Pengeluaran "&amp;$C$6,AND($C$6="Uang Kos Mama",H58="Pengeluaran Uang Kos")),OR($C$7="Semua",$C$7="",I58=$C$7),OR($C$8="Semua",$C$8="",C58=$C$8,E58=$C$8),OR($C$9="Semua",$C$9="",D58=$C$9),OR($C$10="",B58&gt;=$C$10),OR($C$11="",B58&lt;=$C$11),OR($C$12&lt;&gt;"Ya",K58&lt;&gt;""),OR($C$13="Semua",$C$13="",L58=$C$13)),"✓","")</f>
        <v/>
      </c>
      <c r="N58" s="93">
        <f>N(N57)+IF(M58="✓",1,0)</f>
        <v/>
      </c>
      <c r="O58" s="93">
        <f>N(O57)+IF(AND(B58&lt;&gt;"",B58&gt;='Uang Riba'!$H$30,B58&lt;='Uang Riba'!$I$30,OR(H58="Dana riba",H58="Pinjam uang riba",I58="Pinjam dari uang riba",I58="Ganti uang riba",I58="Kelebihan ganti dikembalikan",AND(C58="Kantong Uang Riba",G58="Pengeluaran"))),1,0)</f>
        <v/>
      </c>
      <c r="P58" s="119">
        <f>IF(54&gt;MAX($N$16:$N$5015),"",INDEX($B$16:$B$5015,MATCH((MAX($N$16:$N$5015)-54+1),$N$16:$N$5015,0)))</f>
        <v/>
      </c>
      <c r="Q58" s="105">
        <f>IF(54&gt;MAX($N$16:$N$5015),"",INDEX($C$16:$C$5015,MATCH((MAX($N$16:$N$5015)-54+1),$N$16:$N$5015,0)))&amp;IF(IF(54&gt;MAX($N$16:$N$5015),"",INDEX($E$16:$E$5015,MATCH((MAX($N$16:$N$5015)-54+1),$N$16:$N$5015,0)))="",""," → "&amp;IF(54&gt;MAX($N$16:$N$5015),"",INDEX($E$16:$E$5015,MATCH((MAX($N$16:$N$5015)-54+1),$N$16:$N$5015,0))))</f>
        <v/>
      </c>
      <c r="R58" s="105">
        <f>IF(54&gt;MAX($N$16:$N$5015),"",INDEX($D$16:$D$5015,MATCH((MAX($N$16:$N$5015)-54+1),$N$16:$N$5015,0)))</f>
        <v/>
      </c>
      <c r="S58" s="113">
        <f>IF(54&gt;MAX($N$16:$N$5015),"",INDEX($F$16:$F$5015,MATCH((MAX($N$16:$N$5015)-54+1),$N$16:$N$5015,0)))</f>
        <v/>
      </c>
      <c r="T58" s="105">
        <f>IF(54&gt;MAX($N$16:$N$5015),"",IF(54&gt;MAX($N$16:$N$5015),"",INDEX($G$16:$G$5015,MATCH((MAX($N$16:$N$5015)-54+1),$N$16:$N$5015,0)))&amp;" › "&amp;IF(54&gt;MAX($N$16:$N$5015),"",INDEX($H$16:$H$5015,MATCH((MAX($N$16:$N$5015)-54+1),$N$16:$N$5015,0)))&amp;" › "&amp;IF(54&gt;MAX($N$16:$N$5015),"",INDEX($I$16:$I$5015,MATCH((MAX($N$16:$N$5015)-54+1),$N$16:$N$5015,0))))</f>
        <v/>
      </c>
      <c r="U58" s="105">
        <f>IF(54&gt;MAX($N$16:$N$5015),"",INDEX($J$16:$J$5015,MATCH((MAX($N$16:$N$5015)-54+1),$N$16:$N$5015,0)))&amp;IF(IF(54&gt;MAX($N$16:$N$5015),"",INDEX($L$16:$L$5015,MATCH((MAX($N$16:$N$5015)-54+1),$N$16:$N$5015,0)))="",""," ["&amp;IF(54&gt;MAX($N$16:$N$5015),"",INDEX($L$16:$L$5015,MATCH((MAX($N$16:$N$5015)-54+1),$N$16:$N$5015,0)))&amp;"]")</f>
        <v/>
      </c>
      <c r="V58" s="120">
        <f>IF(54&gt;MAX($N$16:$N$5015),"",HYPERLINK("#Transaksi!B"&amp;(MATCH((MAX($N$16:$N$5015)-54+1),$N$16:$N$5015,0)+15),"Buka"))</f>
        <v/>
      </c>
      <c r="X58" s="93">
        <f>IF(AND(B58&lt;&gt;"",B58&gt;='Buku Akun'!$H$4,B58&lt;='Buku Akun'!$H$5,OR(C58='Buku Akun'!$C$4,AND(D58="Pindah",E58='Buku Akun'!$C$4))),B58+IF(AND(I58="Selisih bunga",DAY(B58)=1),0,0.01)+ROW()/10000000,"")</f>
        <v/>
      </c>
    </row>
    <row r="59" outlineLevel="1" ht="15" customHeight="1" s="94">
      <c r="A59" s="123">
        <f>IF(B59="","",ROW()-15)</f>
        <v/>
      </c>
      <c r="B59" s="124" t="n"/>
      <c r="C59" s="123" t="n"/>
      <c r="D59" s="123" t="n"/>
      <c r="E59" s="123" t="n"/>
      <c r="F59" s="125" t="n"/>
      <c r="G59" s="123" t="n"/>
      <c r="H59" s="123" t="n"/>
      <c r="I59" s="123" t="n"/>
      <c r="J59" s="123" t="n"/>
      <c r="K59" s="123" t="n"/>
      <c r="L59" s="123" t="n"/>
      <c r="M59" s="123">
        <f>IF(AND(B59&lt;&gt;"",OR($C$4="",ISNUMBER(SEARCH($C$4,C59&amp;" "&amp;E59&amp;" "&amp;G59&amp;" "&amp;H59&amp;" "&amp;I59&amp;" "&amp;J59&amp;" "&amp;K59&amp;" "&amp;L59))),OR($C$5="Semua",$C$5="",G59=$C$5),OR($C$6="Semua",$C$6="",H59=$C$6,H59="Pengeluaran "&amp;$C$6,AND($C$6="Uang Kos Mama",H59="Pengeluaran Uang Kos")),OR($C$7="Semua",$C$7="",I59=$C$7),OR($C$8="Semua",$C$8="",C59=$C$8,E59=$C$8),OR($C$9="Semua",$C$9="",D59=$C$9),OR($C$10="",B59&gt;=$C$10),OR($C$11="",B59&lt;=$C$11),OR($C$12&lt;&gt;"Ya",K59&lt;&gt;""),OR($C$13="Semua",$C$13="",L59=$C$13)),"✓","")</f>
        <v/>
      </c>
      <c r="N59" s="93">
        <f>N(N58)+IF(M59="✓",1,0)</f>
        <v/>
      </c>
      <c r="O59" s="93">
        <f>N(O58)+IF(AND(B59&lt;&gt;"",B59&gt;='Uang Riba'!$H$30,B59&lt;='Uang Riba'!$I$30,OR(H59="Dana riba",H59="Pinjam uang riba",I59="Pinjam dari uang riba",I59="Ganti uang riba",I59="Kelebihan ganti dikembalikan",AND(C59="Kantong Uang Riba",G59="Pengeluaran"))),1,0)</f>
        <v/>
      </c>
      <c r="P59" s="119">
        <f>IF(55&gt;MAX($N$16:$N$5015),"",INDEX($B$16:$B$5015,MATCH((MAX($N$16:$N$5015)-55+1),$N$16:$N$5015,0)))</f>
        <v/>
      </c>
      <c r="Q59" s="105">
        <f>IF(55&gt;MAX($N$16:$N$5015),"",INDEX($C$16:$C$5015,MATCH((MAX($N$16:$N$5015)-55+1),$N$16:$N$5015,0)))&amp;IF(IF(55&gt;MAX($N$16:$N$5015),"",INDEX($E$16:$E$5015,MATCH((MAX($N$16:$N$5015)-55+1),$N$16:$N$5015,0)))="",""," → "&amp;IF(55&gt;MAX($N$16:$N$5015),"",INDEX($E$16:$E$5015,MATCH((MAX($N$16:$N$5015)-55+1),$N$16:$N$5015,0))))</f>
        <v/>
      </c>
      <c r="R59" s="105">
        <f>IF(55&gt;MAX($N$16:$N$5015),"",INDEX($D$16:$D$5015,MATCH((MAX($N$16:$N$5015)-55+1),$N$16:$N$5015,0)))</f>
        <v/>
      </c>
      <c r="S59" s="113">
        <f>IF(55&gt;MAX($N$16:$N$5015),"",INDEX($F$16:$F$5015,MATCH((MAX($N$16:$N$5015)-55+1),$N$16:$N$5015,0)))</f>
        <v/>
      </c>
      <c r="T59" s="105">
        <f>IF(55&gt;MAX($N$16:$N$5015),"",IF(55&gt;MAX($N$16:$N$5015),"",INDEX($G$16:$G$5015,MATCH((MAX($N$16:$N$5015)-55+1),$N$16:$N$5015,0)))&amp;" › "&amp;IF(55&gt;MAX($N$16:$N$5015),"",INDEX($H$16:$H$5015,MATCH((MAX($N$16:$N$5015)-55+1),$N$16:$N$5015,0)))&amp;" › "&amp;IF(55&gt;MAX($N$16:$N$5015),"",INDEX($I$16:$I$5015,MATCH((MAX($N$16:$N$5015)-55+1),$N$16:$N$5015,0))))</f>
        <v/>
      </c>
      <c r="U59" s="105">
        <f>IF(55&gt;MAX($N$16:$N$5015),"",INDEX($J$16:$J$5015,MATCH((MAX($N$16:$N$5015)-55+1),$N$16:$N$5015,0)))&amp;IF(IF(55&gt;MAX($N$16:$N$5015),"",INDEX($L$16:$L$5015,MATCH((MAX($N$16:$N$5015)-55+1),$N$16:$N$5015,0)))="",""," ["&amp;IF(55&gt;MAX($N$16:$N$5015),"",INDEX($L$16:$L$5015,MATCH((MAX($N$16:$N$5015)-55+1),$N$16:$N$5015,0)))&amp;"]")</f>
        <v/>
      </c>
      <c r="V59" s="120">
        <f>IF(55&gt;MAX($N$16:$N$5015),"",HYPERLINK("#Transaksi!B"&amp;(MATCH((MAX($N$16:$N$5015)-55+1),$N$16:$N$5015,0)+15),"Buka"))</f>
        <v/>
      </c>
      <c r="X59" s="93">
        <f>IF(AND(B59&lt;&gt;"",B59&gt;='Buku Akun'!$H$4,B59&lt;='Buku Akun'!$H$5,OR(C59='Buku Akun'!$C$4,AND(D59="Pindah",E59='Buku Akun'!$C$4))),B59+IF(AND(I59="Selisih bunga",DAY(B59)=1),0,0.01)+ROW()/10000000,"")</f>
        <v/>
      </c>
    </row>
    <row r="60" outlineLevel="1" ht="15" customHeight="1" s="94">
      <c r="A60" s="123">
        <f>IF(B60="","",ROW()-15)</f>
        <v/>
      </c>
      <c r="B60" s="124" t="n"/>
      <c r="C60" s="123" t="n"/>
      <c r="D60" s="123" t="n"/>
      <c r="E60" s="123" t="n"/>
      <c r="F60" s="125" t="n"/>
      <c r="G60" s="123" t="n"/>
      <c r="H60" s="123" t="n"/>
      <c r="I60" s="123" t="n"/>
      <c r="J60" s="123" t="n"/>
      <c r="K60" s="123" t="n"/>
      <c r="L60" s="123" t="n"/>
      <c r="M60" s="123">
        <f>IF(AND(B60&lt;&gt;"",OR($C$4="",ISNUMBER(SEARCH($C$4,C60&amp;" "&amp;E60&amp;" "&amp;G60&amp;" "&amp;H60&amp;" "&amp;I60&amp;" "&amp;J60&amp;" "&amp;K60&amp;" "&amp;L60))),OR($C$5="Semua",$C$5="",G60=$C$5),OR($C$6="Semua",$C$6="",H60=$C$6,H60="Pengeluaran "&amp;$C$6,AND($C$6="Uang Kos Mama",H60="Pengeluaran Uang Kos")),OR($C$7="Semua",$C$7="",I60=$C$7),OR($C$8="Semua",$C$8="",C60=$C$8,E60=$C$8),OR($C$9="Semua",$C$9="",D60=$C$9),OR($C$10="",B60&gt;=$C$10),OR($C$11="",B60&lt;=$C$11),OR($C$12&lt;&gt;"Ya",K60&lt;&gt;""),OR($C$13="Semua",$C$13="",L60=$C$13)),"✓","")</f>
        <v/>
      </c>
      <c r="N60" s="93">
        <f>N(N59)+IF(M60="✓",1,0)</f>
        <v/>
      </c>
      <c r="O60" s="93">
        <f>N(O59)+IF(AND(B60&lt;&gt;"",B60&gt;='Uang Riba'!$H$30,B60&lt;='Uang Riba'!$I$30,OR(H60="Dana riba",H60="Pinjam uang riba",I60="Pinjam dari uang riba",I60="Ganti uang riba",I60="Kelebihan ganti dikembalikan",AND(C60="Kantong Uang Riba",G60="Pengeluaran"))),1,0)</f>
        <v/>
      </c>
      <c r="P60" s="119">
        <f>IF(56&gt;MAX($N$16:$N$5015),"",INDEX($B$16:$B$5015,MATCH((MAX($N$16:$N$5015)-56+1),$N$16:$N$5015,0)))</f>
        <v/>
      </c>
      <c r="Q60" s="105">
        <f>IF(56&gt;MAX($N$16:$N$5015),"",INDEX($C$16:$C$5015,MATCH((MAX($N$16:$N$5015)-56+1),$N$16:$N$5015,0)))&amp;IF(IF(56&gt;MAX($N$16:$N$5015),"",INDEX($E$16:$E$5015,MATCH((MAX($N$16:$N$5015)-56+1),$N$16:$N$5015,0)))="",""," → "&amp;IF(56&gt;MAX($N$16:$N$5015),"",INDEX($E$16:$E$5015,MATCH((MAX($N$16:$N$5015)-56+1),$N$16:$N$5015,0))))</f>
        <v/>
      </c>
      <c r="R60" s="105">
        <f>IF(56&gt;MAX($N$16:$N$5015),"",INDEX($D$16:$D$5015,MATCH((MAX($N$16:$N$5015)-56+1),$N$16:$N$5015,0)))</f>
        <v/>
      </c>
      <c r="S60" s="113">
        <f>IF(56&gt;MAX($N$16:$N$5015),"",INDEX($F$16:$F$5015,MATCH((MAX($N$16:$N$5015)-56+1),$N$16:$N$5015,0)))</f>
        <v/>
      </c>
      <c r="T60" s="105">
        <f>IF(56&gt;MAX($N$16:$N$5015),"",IF(56&gt;MAX($N$16:$N$5015),"",INDEX($G$16:$G$5015,MATCH((MAX($N$16:$N$5015)-56+1),$N$16:$N$5015,0)))&amp;" › "&amp;IF(56&gt;MAX($N$16:$N$5015),"",INDEX($H$16:$H$5015,MATCH((MAX($N$16:$N$5015)-56+1),$N$16:$N$5015,0)))&amp;" › "&amp;IF(56&gt;MAX($N$16:$N$5015),"",INDEX($I$16:$I$5015,MATCH((MAX($N$16:$N$5015)-56+1),$N$16:$N$5015,0))))</f>
        <v/>
      </c>
      <c r="U60" s="105">
        <f>IF(56&gt;MAX($N$16:$N$5015),"",INDEX($J$16:$J$5015,MATCH((MAX($N$16:$N$5015)-56+1),$N$16:$N$5015,0)))&amp;IF(IF(56&gt;MAX($N$16:$N$5015),"",INDEX($L$16:$L$5015,MATCH((MAX($N$16:$N$5015)-56+1),$N$16:$N$5015,0)))="",""," ["&amp;IF(56&gt;MAX($N$16:$N$5015),"",INDEX($L$16:$L$5015,MATCH((MAX($N$16:$N$5015)-56+1),$N$16:$N$5015,0)))&amp;"]")</f>
        <v/>
      </c>
      <c r="V60" s="120">
        <f>IF(56&gt;MAX($N$16:$N$5015),"",HYPERLINK("#Transaksi!B"&amp;(MATCH((MAX($N$16:$N$5015)-56+1),$N$16:$N$5015,0)+15),"Buka"))</f>
        <v/>
      </c>
      <c r="X60" s="93">
        <f>IF(AND(B60&lt;&gt;"",B60&gt;='Buku Akun'!$H$4,B60&lt;='Buku Akun'!$H$5,OR(C60='Buku Akun'!$C$4,AND(D60="Pindah",E60='Buku Akun'!$C$4))),B60+IF(AND(I60="Selisih bunga",DAY(B60)=1),0,0.01)+ROW()/10000000,"")</f>
        <v/>
      </c>
    </row>
    <row r="61" outlineLevel="1" ht="15" customHeight="1" s="94">
      <c r="A61" s="123">
        <f>IF(B61="","",ROW()-15)</f>
        <v/>
      </c>
      <c r="B61" s="124" t="n"/>
      <c r="C61" s="123" t="n"/>
      <c r="D61" s="123" t="n"/>
      <c r="E61" s="123" t="n"/>
      <c r="F61" s="125" t="n"/>
      <c r="G61" s="123" t="n"/>
      <c r="H61" s="123" t="n"/>
      <c r="I61" s="123" t="n"/>
      <c r="J61" s="123" t="n"/>
      <c r="K61" s="123" t="n"/>
      <c r="L61" s="123" t="n"/>
      <c r="M61" s="123">
        <f>IF(AND(B61&lt;&gt;"",OR($C$4="",ISNUMBER(SEARCH($C$4,C61&amp;" "&amp;E61&amp;" "&amp;G61&amp;" "&amp;H61&amp;" "&amp;I61&amp;" "&amp;J61&amp;" "&amp;K61&amp;" "&amp;L61))),OR($C$5="Semua",$C$5="",G61=$C$5),OR($C$6="Semua",$C$6="",H61=$C$6,H61="Pengeluaran "&amp;$C$6,AND($C$6="Uang Kos Mama",H61="Pengeluaran Uang Kos")),OR($C$7="Semua",$C$7="",I61=$C$7),OR($C$8="Semua",$C$8="",C61=$C$8,E61=$C$8),OR($C$9="Semua",$C$9="",D61=$C$9),OR($C$10="",B61&gt;=$C$10),OR($C$11="",B61&lt;=$C$11),OR($C$12&lt;&gt;"Ya",K61&lt;&gt;""),OR($C$13="Semua",$C$13="",L61=$C$13)),"✓","")</f>
        <v/>
      </c>
      <c r="N61" s="93">
        <f>N(N60)+IF(M61="✓",1,0)</f>
        <v/>
      </c>
      <c r="O61" s="93">
        <f>N(O60)+IF(AND(B61&lt;&gt;"",B61&gt;='Uang Riba'!$H$30,B61&lt;='Uang Riba'!$I$30,OR(H61="Dana riba",H61="Pinjam uang riba",I61="Pinjam dari uang riba",I61="Ganti uang riba",I61="Kelebihan ganti dikembalikan",AND(C61="Kantong Uang Riba",G61="Pengeluaran"))),1,0)</f>
        <v/>
      </c>
      <c r="P61" s="119">
        <f>IF(57&gt;MAX($N$16:$N$5015),"",INDEX($B$16:$B$5015,MATCH((MAX($N$16:$N$5015)-57+1),$N$16:$N$5015,0)))</f>
        <v/>
      </c>
      <c r="Q61" s="105">
        <f>IF(57&gt;MAX($N$16:$N$5015),"",INDEX($C$16:$C$5015,MATCH((MAX($N$16:$N$5015)-57+1),$N$16:$N$5015,0)))&amp;IF(IF(57&gt;MAX($N$16:$N$5015),"",INDEX($E$16:$E$5015,MATCH((MAX($N$16:$N$5015)-57+1),$N$16:$N$5015,0)))="",""," → "&amp;IF(57&gt;MAX($N$16:$N$5015),"",INDEX($E$16:$E$5015,MATCH((MAX($N$16:$N$5015)-57+1),$N$16:$N$5015,0))))</f>
        <v/>
      </c>
      <c r="R61" s="105">
        <f>IF(57&gt;MAX($N$16:$N$5015),"",INDEX($D$16:$D$5015,MATCH((MAX($N$16:$N$5015)-57+1),$N$16:$N$5015,0)))</f>
        <v/>
      </c>
      <c r="S61" s="113">
        <f>IF(57&gt;MAX($N$16:$N$5015),"",INDEX($F$16:$F$5015,MATCH((MAX($N$16:$N$5015)-57+1),$N$16:$N$5015,0)))</f>
        <v/>
      </c>
      <c r="T61" s="105">
        <f>IF(57&gt;MAX($N$16:$N$5015),"",IF(57&gt;MAX($N$16:$N$5015),"",INDEX($G$16:$G$5015,MATCH((MAX($N$16:$N$5015)-57+1),$N$16:$N$5015,0)))&amp;" › "&amp;IF(57&gt;MAX($N$16:$N$5015),"",INDEX($H$16:$H$5015,MATCH((MAX($N$16:$N$5015)-57+1),$N$16:$N$5015,0)))&amp;" › "&amp;IF(57&gt;MAX($N$16:$N$5015),"",INDEX($I$16:$I$5015,MATCH((MAX($N$16:$N$5015)-57+1),$N$16:$N$5015,0))))</f>
        <v/>
      </c>
      <c r="U61" s="105">
        <f>IF(57&gt;MAX($N$16:$N$5015),"",INDEX($J$16:$J$5015,MATCH((MAX($N$16:$N$5015)-57+1),$N$16:$N$5015,0)))&amp;IF(IF(57&gt;MAX($N$16:$N$5015),"",INDEX($L$16:$L$5015,MATCH((MAX($N$16:$N$5015)-57+1),$N$16:$N$5015,0)))="",""," ["&amp;IF(57&gt;MAX($N$16:$N$5015),"",INDEX($L$16:$L$5015,MATCH((MAX($N$16:$N$5015)-57+1),$N$16:$N$5015,0)))&amp;"]")</f>
        <v/>
      </c>
      <c r="V61" s="120">
        <f>IF(57&gt;MAX($N$16:$N$5015),"",HYPERLINK("#Transaksi!B"&amp;(MATCH((MAX($N$16:$N$5015)-57+1),$N$16:$N$5015,0)+15),"Buka"))</f>
        <v/>
      </c>
      <c r="X61" s="93">
        <f>IF(AND(B61&lt;&gt;"",B61&gt;='Buku Akun'!$H$4,B61&lt;='Buku Akun'!$H$5,OR(C61='Buku Akun'!$C$4,AND(D61="Pindah",E61='Buku Akun'!$C$4))),B61+IF(AND(I61="Selisih bunga",DAY(B61)=1),0,0.01)+ROW()/10000000,"")</f>
        <v/>
      </c>
    </row>
    <row r="62" outlineLevel="1" ht="15" customHeight="1" s="94">
      <c r="A62" s="123">
        <f>IF(B62="","",ROW()-15)</f>
        <v/>
      </c>
      <c r="B62" s="124" t="n"/>
      <c r="C62" s="123" t="n"/>
      <c r="D62" s="123" t="n"/>
      <c r="E62" s="123" t="n"/>
      <c r="F62" s="125" t="n"/>
      <c r="G62" s="123" t="n"/>
      <c r="H62" s="123" t="n"/>
      <c r="I62" s="123" t="n"/>
      <c r="J62" s="123" t="n"/>
      <c r="K62" s="123" t="n"/>
      <c r="L62" s="123" t="n"/>
      <c r="M62" s="123">
        <f>IF(AND(B62&lt;&gt;"",OR($C$4="",ISNUMBER(SEARCH($C$4,C62&amp;" "&amp;E62&amp;" "&amp;G62&amp;" "&amp;H62&amp;" "&amp;I62&amp;" "&amp;J62&amp;" "&amp;K62&amp;" "&amp;L62))),OR($C$5="Semua",$C$5="",G62=$C$5),OR($C$6="Semua",$C$6="",H62=$C$6,H62="Pengeluaran "&amp;$C$6,AND($C$6="Uang Kos Mama",H62="Pengeluaran Uang Kos")),OR($C$7="Semua",$C$7="",I62=$C$7),OR($C$8="Semua",$C$8="",C62=$C$8,E62=$C$8),OR($C$9="Semua",$C$9="",D62=$C$9),OR($C$10="",B62&gt;=$C$10),OR($C$11="",B62&lt;=$C$11),OR($C$12&lt;&gt;"Ya",K62&lt;&gt;""),OR($C$13="Semua",$C$13="",L62=$C$13)),"✓","")</f>
        <v/>
      </c>
      <c r="N62" s="93">
        <f>N(N61)+IF(M62="✓",1,0)</f>
        <v/>
      </c>
      <c r="O62" s="93">
        <f>N(O61)+IF(AND(B62&lt;&gt;"",B62&gt;='Uang Riba'!$H$30,B62&lt;='Uang Riba'!$I$30,OR(H62="Dana riba",H62="Pinjam uang riba",I62="Pinjam dari uang riba",I62="Ganti uang riba",I62="Kelebihan ganti dikembalikan",AND(C62="Kantong Uang Riba",G62="Pengeluaran"))),1,0)</f>
        <v/>
      </c>
      <c r="P62" s="119">
        <f>IF(58&gt;MAX($N$16:$N$5015),"",INDEX($B$16:$B$5015,MATCH((MAX($N$16:$N$5015)-58+1),$N$16:$N$5015,0)))</f>
        <v/>
      </c>
      <c r="Q62" s="105">
        <f>IF(58&gt;MAX($N$16:$N$5015),"",INDEX($C$16:$C$5015,MATCH((MAX($N$16:$N$5015)-58+1),$N$16:$N$5015,0)))&amp;IF(IF(58&gt;MAX($N$16:$N$5015),"",INDEX($E$16:$E$5015,MATCH((MAX($N$16:$N$5015)-58+1),$N$16:$N$5015,0)))="",""," → "&amp;IF(58&gt;MAX($N$16:$N$5015),"",INDEX($E$16:$E$5015,MATCH((MAX($N$16:$N$5015)-58+1),$N$16:$N$5015,0))))</f>
        <v/>
      </c>
      <c r="R62" s="105">
        <f>IF(58&gt;MAX($N$16:$N$5015),"",INDEX($D$16:$D$5015,MATCH((MAX($N$16:$N$5015)-58+1),$N$16:$N$5015,0)))</f>
        <v/>
      </c>
      <c r="S62" s="113">
        <f>IF(58&gt;MAX($N$16:$N$5015),"",INDEX($F$16:$F$5015,MATCH((MAX($N$16:$N$5015)-58+1),$N$16:$N$5015,0)))</f>
        <v/>
      </c>
      <c r="T62" s="105">
        <f>IF(58&gt;MAX($N$16:$N$5015),"",IF(58&gt;MAX($N$16:$N$5015),"",INDEX($G$16:$G$5015,MATCH((MAX($N$16:$N$5015)-58+1),$N$16:$N$5015,0)))&amp;" › "&amp;IF(58&gt;MAX($N$16:$N$5015),"",INDEX($H$16:$H$5015,MATCH((MAX($N$16:$N$5015)-58+1),$N$16:$N$5015,0)))&amp;" › "&amp;IF(58&gt;MAX($N$16:$N$5015),"",INDEX($I$16:$I$5015,MATCH((MAX($N$16:$N$5015)-58+1),$N$16:$N$5015,0))))</f>
        <v/>
      </c>
      <c r="U62" s="105">
        <f>IF(58&gt;MAX($N$16:$N$5015),"",INDEX($J$16:$J$5015,MATCH((MAX($N$16:$N$5015)-58+1),$N$16:$N$5015,0)))&amp;IF(IF(58&gt;MAX($N$16:$N$5015),"",INDEX($L$16:$L$5015,MATCH((MAX($N$16:$N$5015)-58+1),$N$16:$N$5015,0)))="",""," ["&amp;IF(58&gt;MAX($N$16:$N$5015),"",INDEX($L$16:$L$5015,MATCH((MAX($N$16:$N$5015)-58+1),$N$16:$N$5015,0)))&amp;"]")</f>
        <v/>
      </c>
      <c r="V62" s="120">
        <f>IF(58&gt;MAX($N$16:$N$5015),"",HYPERLINK("#Transaksi!B"&amp;(MATCH((MAX($N$16:$N$5015)-58+1),$N$16:$N$5015,0)+15),"Buka"))</f>
        <v/>
      </c>
      <c r="X62" s="93">
        <f>IF(AND(B62&lt;&gt;"",B62&gt;='Buku Akun'!$H$4,B62&lt;='Buku Akun'!$H$5,OR(C62='Buku Akun'!$C$4,AND(D62="Pindah",E62='Buku Akun'!$C$4))),B62+IF(AND(I62="Selisih bunga",DAY(B62)=1),0,0.01)+ROW()/10000000,"")</f>
        <v/>
      </c>
    </row>
    <row r="63" outlineLevel="1" ht="15" customHeight="1" s="94">
      <c r="A63" s="123">
        <f>IF(B63="","",ROW()-15)</f>
        <v/>
      </c>
      <c r="B63" s="124" t="n"/>
      <c r="C63" s="123" t="n"/>
      <c r="D63" s="123" t="n"/>
      <c r="E63" s="123" t="n"/>
      <c r="F63" s="125" t="n"/>
      <c r="G63" s="123" t="n"/>
      <c r="H63" s="123" t="n"/>
      <c r="I63" s="123" t="n"/>
      <c r="J63" s="123" t="n"/>
      <c r="K63" s="123" t="n"/>
      <c r="L63" s="123" t="n"/>
      <c r="M63" s="123">
        <f>IF(AND(B63&lt;&gt;"",OR($C$4="",ISNUMBER(SEARCH($C$4,C63&amp;" "&amp;E63&amp;" "&amp;G63&amp;" "&amp;H63&amp;" "&amp;I63&amp;" "&amp;J63&amp;" "&amp;K63&amp;" "&amp;L63))),OR($C$5="Semua",$C$5="",G63=$C$5),OR($C$6="Semua",$C$6="",H63=$C$6,H63="Pengeluaran "&amp;$C$6,AND($C$6="Uang Kos Mama",H63="Pengeluaran Uang Kos")),OR($C$7="Semua",$C$7="",I63=$C$7),OR($C$8="Semua",$C$8="",C63=$C$8,E63=$C$8),OR($C$9="Semua",$C$9="",D63=$C$9),OR($C$10="",B63&gt;=$C$10),OR($C$11="",B63&lt;=$C$11),OR($C$12&lt;&gt;"Ya",K63&lt;&gt;""),OR($C$13="Semua",$C$13="",L63=$C$13)),"✓","")</f>
        <v/>
      </c>
      <c r="N63" s="93">
        <f>N(N62)+IF(M63="✓",1,0)</f>
        <v/>
      </c>
      <c r="O63" s="93">
        <f>N(O62)+IF(AND(B63&lt;&gt;"",B63&gt;='Uang Riba'!$H$30,B63&lt;='Uang Riba'!$I$30,OR(H63="Dana riba",H63="Pinjam uang riba",I63="Pinjam dari uang riba",I63="Ganti uang riba",I63="Kelebihan ganti dikembalikan",AND(C63="Kantong Uang Riba",G63="Pengeluaran"))),1,0)</f>
        <v/>
      </c>
      <c r="P63" s="119">
        <f>IF(59&gt;MAX($N$16:$N$5015),"",INDEX($B$16:$B$5015,MATCH((MAX($N$16:$N$5015)-59+1),$N$16:$N$5015,0)))</f>
        <v/>
      </c>
      <c r="Q63" s="105">
        <f>IF(59&gt;MAX($N$16:$N$5015),"",INDEX($C$16:$C$5015,MATCH((MAX($N$16:$N$5015)-59+1),$N$16:$N$5015,0)))&amp;IF(IF(59&gt;MAX($N$16:$N$5015),"",INDEX($E$16:$E$5015,MATCH((MAX($N$16:$N$5015)-59+1),$N$16:$N$5015,0)))="",""," → "&amp;IF(59&gt;MAX($N$16:$N$5015),"",INDEX($E$16:$E$5015,MATCH((MAX($N$16:$N$5015)-59+1),$N$16:$N$5015,0))))</f>
        <v/>
      </c>
      <c r="R63" s="105">
        <f>IF(59&gt;MAX($N$16:$N$5015),"",INDEX($D$16:$D$5015,MATCH((MAX($N$16:$N$5015)-59+1),$N$16:$N$5015,0)))</f>
        <v/>
      </c>
      <c r="S63" s="113">
        <f>IF(59&gt;MAX($N$16:$N$5015),"",INDEX($F$16:$F$5015,MATCH((MAX($N$16:$N$5015)-59+1),$N$16:$N$5015,0)))</f>
        <v/>
      </c>
      <c r="T63" s="105">
        <f>IF(59&gt;MAX($N$16:$N$5015),"",IF(59&gt;MAX($N$16:$N$5015),"",INDEX($G$16:$G$5015,MATCH((MAX($N$16:$N$5015)-59+1),$N$16:$N$5015,0)))&amp;" › "&amp;IF(59&gt;MAX($N$16:$N$5015),"",INDEX($H$16:$H$5015,MATCH((MAX($N$16:$N$5015)-59+1),$N$16:$N$5015,0)))&amp;" › "&amp;IF(59&gt;MAX($N$16:$N$5015),"",INDEX($I$16:$I$5015,MATCH((MAX($N$16:$N$5015)-59+1),$N$16:$N$5015,0))))</f>
        <v/>
      </c>
      <c r="U63" s="105">
        <f>IF(59&gt;MAX($N$16:$N$5015),"",INDEX($J$16:$J$5015,MATCH((MAX($N$16:$N$5015)-59+1),$N$16:$N$5015,0)))&amp;IF(IF(59&gt;MAX($N$16:$N$5015),"",INDEX($L$16:$L$5015,MATCH((MAX($N$16:$N$5015)-59+1),$N$16:$N$5015,0)))="",""," ["&amp;IF(59&gt;MAX($N$16:$N$5015),"",INDEX($L$16:$L$5015,MATCH((MAX($N$16:$N$5015)-59+1),$N$16:$N$5015,0)))&amp;"]")</f>
        <v/>
      </c>
      <c r="V63" s="120">
        <f>IF(59&gt;MAX($N$16:$N$5015),"",HYPERLINK("#Transaksi!B"&amp;(MATCH((MAX($N$16:$N$5015)-59+1),$N$16:$N$5015,0)+15),"Buka"))</f>
        <v/>
      </c>
      <c r="X63" s="93">
        <f>IF(AND(B63&lt;&gt;"",B63&gt;='Buku Akun'!$H$4,B63&lt;='Buku Akun'!$H$5,OR(C63='Buku Akun'!$C$4,AND(D63="Pindah",E63='Buku Akun'!$C$4))),B63+IF(AND(I63="Selisih bunga",DAY(B63)=1),0,0.01)+ROW()/10000000,"")</f>
        <v/>
      </c>
    </row>
    <row r="64" outlineLevel="1" ht="15" customHeight="1" s="94">
      <c r="A64" s="123">
        <f>IF(B64="","",ROW()-15)</f>
        <v/>
      </c>
      <c r="B64" s="124" t="n"/>
      <c r="C64" s="123" t="n"/>
      <c r="D64" s="123" t="n"/>
      <c r="E64" s="123" t="n"/>
      <c r="F64" s="125" t="n"/>
      <c r="G64" s="123" t="n"/>
      <c r="H64" s="123" t="n"/>
      <c r="I64" s="123" t="n"/>
      <c r="J64" s="123" t="n"/>
      <c r="K64" s="123" t="n"/>
      <c r="L64" s="123" t="n"/>
      <c r="M64" s="123">
        <f>IF(AND(B64&lt;&gt;"",OR($C$4="",ISNUMBER(SEARCH($C$4,C64&amp;" "&amp;E64&amp;" "&amp;G64&amp;" "&amp;H64&amp;" "&amp;I64&amp;" "&amp;J64&amp;" "&amp;K64&amp;" "&amp;L64))),OR($C$5="Semua",$C$5="",G64=$C$5),OR($C$6="Semua",$C$6="",H64=$C$6,H64="Pengeluaran "&amp;$C$6,AND($C$6="Uang Kos Mama",H64="Pengeluaran Uang Kos")),OR($C$7="Semua",$C$7="",I64=$C$7),OR($C$8="Semua",$C$8="",C64=$C$8,E64=$C$8),OR($C$9="Semua",$C$9="",D64=$C$9),OR($C$10="",B64&gt;=$C$10),OR($C$11="",B64&lt;=$C$11),OR($C$12&lt;&gt;"Ya",K64&lt;&gt;""),OR($C$13="Semua",$C$13="",L64=$C$13)),"✓","")</f>
        <v/>
      </c>
      <c r="N64" s="93">
        <f>N(N63)+IF(M64="✓",1,0)</f>
        <v/>
      </c>
      <c r="O64" s="93">
        <f>N(O63)+IF(AND(B64&lt;&gt;"",B64&gt;='Uang Riba'!$H$30,B64&lt;='Uang Riba'!$I$30,OR(H64="Dana riba",H64="Pinjam uang riba",I64="Pinjam dari uang riba",I64="Ganti uang riba",I64="Kelebihan ganti dikembalikan",AND(C64="Kantong Uang Riba",G64="Pengeluaran"))),1,0)</f>
        <v/>
      </c>
      <c r="P64" s="119">
        <f>IF(60&gt;MAX($N$16:$N$5015),"",INDEX($B$16:$B$5015,MATCH((MAX($N$16:$N$5015)-60+1),$N$16:$N$5015,0)))</f>
        <v/>
      </c>
      <c r="Q64" s="105">
        <f>IF(60&gt;MAX($N$16:$N$5015),"",INDEX($C$16:$C$5015,MATCH((MAX($N$16:$N$5015)-60+1),$N$16:$N$5015,0)))&amp;IF(IF(60&gt;MAX($N$16:$N$5015),"",INDEX($E$16:$E$5015,MATCH((MAX($N$16:$N$5015)-60+1),$N$16:$N$5015,0)))="",""," → "&amp;IF(60&gt;MAX($N$16:$N$5015),"",INDEX($E$16:$E$5015,MATCH((MAX($N$16:$N$5015)-60+1),$N$16:$N$5015,0))))</f>
        <v/>
      </c>
      <c r="R64" s="105">
        <f>IF(60&gt;MAX($N$16:$N$5015),"",INDEX($D$16:$D$5015,MATCH((MAX($N$16:$N$5015)-60+1),$N$16:$N$5015,0)))</f>
        <v/>
      </c>
      <c r="S64" s="113">
        <f>IF(60&gt;MAX($N$16:$N$5015),"",INDEX($F$16:$F$5015,MATCH((MAX($N$16:$N$5015)-60+1),$N$16:$N$5015,0)))</f>
        <v/>
      </c>
      <c r="T64" s="105">
        <f>IF(60&gt;MAX($N$16:$N$5015),"",IF(60&gt;MAX($N$16:$N$5015),"",INDEX($G$16:$G$5015,MATCH((MAX($N$16:$N$5015)-60+1),$N$16:$N$5015,0)))&amp;" › "&amp;IF(60&gt;MAX($N$16:$N$5015),"",INDEX($H$16:$H$5015,MATCH((MAX($N$16:$N$5015)-60+1),$N$16:$N$5015,0)))&amp;" › "&amp;IF(60&gt;MAX($N$16:$N$5015),"",INDEX($I$16:$I$5015,MATCH((MAX($N$16:$N$5015)-60+1),$N$16:$N$5015,0))))</f>
        <v/>
      </c>
      <c r="U64" s="105">
        <f>IF(60&gt;MAX($N$16:$N$5015),"",INDEX($J$16:$J$5015,MATCH((MAX($N$16:$N$5015)-60+1),$N$16:$N$5015,0)))&amp;IF(IF(60&gt;MAX($N$16:$N$5015),"",INDEX($L$16:$L$5015,MATCH((MAX($N$16:$N$5015)-60+1),$N$16:$N$5015,0)))="",""," ["&amp;IF(60&gt;MAX($N$16:$N$5015),"",INDEX($L$16:$L$5015,MATCH((MAX($N$16:$N$5015)-60+1),$N$16:$N$5015,0)))&amp;"]")</f>
        <v/>
      </c>
      <c r="V64" s="120">
        <f>IF(60&gt;MAX($N$16:$N$5015),"",HYPERLINK("#Transaksi!B"&amp;(MATCH((MAX($N$16:$N$5015)-60+1),$N$16:$N$5015,0)+15),"Buka"))</f>
        <v/>
      </c>
      <c r="X64" s="93">
        <f>IF(AND(B64&lt;&gt;"",B64&gt;='Buku Akun'!$H$4,B64&lt;='Buku Akun'!$H$5,OR(C64='Buku Akun'!$C$4,AND(D64="Pindah",E64='Buku Akun'!$C$4))),B64+IF(AND(I64="Selisih bunga",DAY(B64)=1),0,0.01)+ROW()/10000000,"")</f>
        <v/>
      </c>
    </row>
    <row r="65" outlineLevel="1" ht="15" customHeight="1" s="94">
      <c r="A65" s="123">
        <f>IF(B65="","",ROW()-15)</f>
        <v/>
      </c>
      <c r="B65" s="124" t="n"/>
      <c r="C65" s="123" t="n"/>
      <c r="D65" s="123" t="n"/>
      <c r="E65" s="123" t="n"/>
      <c r="F65" s="125" t="n"/>
      <c r="G65" s="123" t="n"/>
      <c r="H65" s="123" t="n"/>
      <c r="I65" s="123" t="n"/>
      <c r="J65" s="123" t="n"/>
      <c r="K65" s="123" t="n"/>
      <c r="L65" s="123" t="n"/>
      <c r="M65" s="123">
        <f>IF(AND(B65&lt;&gt;"",OR($C$4="",ISNUMBER(SEARCH($C$4,C65&amp;" "&amp;E65&amp;" "&amp;G65&amp;" "&amp;H65&amp;" "&amp;I65&amp;" "&amp;J65&amp;" "&amp;K65&amp;" "&amp;L65))),OR($C$5="Semua",$C$5="",G65=$C$5),OR($C$6="Semua",$C$6="",H65=$C$6,H65="Pengeluaran "&amp;$C$6,AND($C$6="Uang Kos Mama",H65="Pengeluaran Uang Kos")),OR($C$7="Semua",$C$7="",I65=$C$7),OR($C$8="Semua",$C$8="",C65=$C$8,E65=$C$8),OR($C$9="Semua",$C$9="",D65=$C$9),OR($C$10="",B65&gt;=$C$10),OR($C$11="",B65&lt;=$C$11),OR($C$12&lt;&gt;"Ya",K65&lt;&gt;""),OR($C$13="Semua",$C$13="",L65=$C$13)),"✓","")</f>
        <v/>
      </c>
      <c r="N65" s="93">
        <f>N(N64)+IF(M65="✓",1,0)</f>
        <v/>
      </c>
      <c r="O65" s="93">
        <f>N(O64)+IF(AND(B65&lt;&gt;"",B65&gt;='Uang Riba'!$H$30,B65&lt;='Uang Riba'!$I$30,OR(H65="Dana riba",H65="Pinjam uang riba",I65="Pinjam dari uang riba",I65="Ganti uang riba",I65="Kelebihan ganti dikembalikan",AND(C65="Kantong Uang Riba",G65="Pengeluaran"))),1,0)</f>
        <v/>
      </c>
      <c r="P65" s="119">
        <f>IF(61&gt;MAX($N$16:$N$5015),"",INDEX($B$16:$B$5015,MATCH((MAX($N$16:$N$5015)-61+1),$N$16:$N$5015,0)))</f>
        <v/>
      </c>
      <c r="Q65" s="105">
        <f>IF(61&gt;MAX($N$16:$N$5015),"",INDEX($C$16:$C$5015,MATCH((MAX($N$16:$N$5015)-61+1),$N$16:$N$5015,0)))&amp;IF(IF(61&gt;MAX($N$16:$N$5015),"",INDEX($E$16:$E$5015,MATCH((MAX($N$16:$N$5015)-61+1),$N$16:$N$5015,0)))="",""," → "&amp;IF(61&gt;MAX($N$16:$N$5015),"",INDEX($E$16:$E$5015,MATCH((MAX($N$16:$N$5015)-61+1),$N$16:$N$5015,0))))</f>
        <v/>
      </c>
      <c r="R65" s="105">
        <f>IF(61&gt;MAX($N$16:$N$5015),"",INDEX($D$16:$D$5015,MATCH((MAX($N$16:$N$5015)-61+1),$N$16:$N$5015,0)))</f>
        <v/>
      </c>
      <c r="S65" s="113">
        <f>IF(61&gt;MAX($N$16:$N$5015),"",INDEX($F$16:$F$5015,MATCH((MAX($N$16:$N$5015)-61+1),$N$16:$N$5015,0)))</f>
        <v/>
      </c>
      <c r="T65" s="105">
        <f>IF(61&gt;MAX($N$16:$N$5015),"",IF(61&gt;MAX($N$16:$N$5015),"",INDEX($G$16:$G$5015,MATCH((MAX($N$16:$N$5015)-61+1),$N$16:$N$5015,0)))&amp;" › "&amp;IF(61&gt;MAX($N$16:$N$5015),"",INDEX($H$16:$H$5015,MATCH((MAX($N$16:$N$5015)-61+1),$N$16:$N$5015,0)))&amp;" › "&amp;IF(61&gt;MAX($N$16:$N$5015),"",INDEX($I$16:$I$5015,MATCH((MAX($N$16:$N$5015)-61+1),$N$16:$N$5015,0))))</f>
        <v/>
      </c>
      <c r="U65" s="105">
        <f>IF(61&gt;MAX($N$16:$N$5015),"",INDEX($J$16:$J$5015,MATCH((MAX($N$16:$N$5015)-61+1),$N$16:$N$5015,0)))&amp;IF(IF(61&gt;MAX($N$16:$N$5015),"",INDEX($L$16:$L$5015,MATCH((MAX($N$16:$N$5015)-61+1),$N$16:$N$5015,0)))="",""," ["&amp;IF(61&gt;MAX($N$16:$N$5015),"",INDEX($L$16:$L$5015,MATCH((MAX($N$16:$N$5015)-61+1),$N$16:$N$5015,0)))&amp;"]")</f>
        <v/>
      </c>
      <c r="V65" s="120">
        <f>IF(61&gt;MAX($N$16:$N$5015),"",HYPERLINK("#Transaksi!B"&amp;(MATCH((MAX($N$16:$N$5015)-61+1),$N$16:$N$5015,0)+15),"Buka"))</f>
        <v/>
      </c>
      <c r="X65" s="93">
        <f>IF(AND(B65&lt;&gt;"",B65&gt;='Buku Akun'!$H$4,B65&lt;='Buku Akun'!$H$5,OR(C65='Buku Akun'!$C$4,AND(D65="Pindah",E65='Buku Akun'!$C$4))),B65+IF(AND(I65="Selisih bunga",DAY(B65)=1),0,0.01)+ROW()/10000000,"")</f>
        <v/>
      </c>
    </row>
    <row r="66" outlineLevel="1" ht="15" customHeight="1" s="94">
      <c r="A66" s="123">
        <f>IF(B66="","",ROW()-15)</f>
        <v/>
      </c>
      <c r="B66" s="124" t="n"/>
      <c r="C66" s="123" t="n"/>
      <c r="D66" s="123" t="n"/>
      <c r="E66" s="123" t="n"/>
      <c r="F66" s="125" t="n"/>
      <c r="G66" s="123" t="n"/>
      <c r="H66" s="123" t="n"/>
      <c r="I66" s="123" t="n"/>
      <c r="J66" s="123" t="n"/>
      <c r="K66" s="123" t="n"/>
      <c r="L66" s="123" t="n"/>
      <c r="M66" s="123">
        <f>IF(AND(B66&lt;&gt;"",OR($C$4="",ISNUMBER(SEARCH($C$4,C66&amp;" "&amp;E66&amp;" "&amp;G66&amp;" "&amp;H66&amp;" "&amp;I66&amp;" "&amp;J66&amp;" "&amp;K66&amp;" "&amp;L66))),OR($C$5="Semua",$C$5="",G66=$C$5),OR($C$6="Semua",$C$6="",H66=$C$6,H66="Pengeluaran "&amp;$C$6,AND($C$6="Uang Kos Mama",H66="Pengeluaran Uang Kos")),OR($C$7="Semua",$C$7="",I66=$C$7),OR($C$8="Semua",$C$8="",C66=$C$8,E66=$C$8),OR($C$9="Semua",$C$9="",D66=$C$9),OR($C$10="",B66&gt;=$C$10),OR($C$11="",B66&lt;=$C$11),OR($C$12&lt;&gt;"Ya",K66&lt;&gt;""),OR($C$13="Semua",$C$13="",L66=$C$13)),"✓","")</f>
        <v/>
      </c>
      <c r="N66" s="93">
        <f>N(N65)+IF(M66="✓",1,0)</f>
        <v/>
      </c>
      <c r="O66" s="93">
        <f>N(O65)+IF(AND(B66&lt;&gt;"",B66&gt;='Uang Riba'!$H$30,B66&lt;='Uang Riba'!$I$30,OR(H66="Dana riba",H66="Pinjam uang riba",I66="Pinjam dari uang riba",I66="Ganti uang riba",I66="Kelebihan ganti dikembalikan",AND(C66="Kantong Uang Riba",G66="Pengeluaran"))),1,0)</f>
        <v/>
      </c>
      <c r="P66" s="119">
        <f>IF(62&gt;MAX($N$16:$N$5015),"",INDEX($B$16:$B$5015,MATCH((MAX($N$16:$N$5015)-62+1),$N$16:$N$5015,0)))</f>
        <v/>
      </c>
      <c r="Q66" s="105">
        <f>IF(62&gt;MAX($N$16:$N$5015),"",INDEX($C$16:$C$5015,MATCH((MAX($N$16:$N$5015)-62+1),$N$16:$N$5015,0)))&amp;IF(IF(62&gt;MAX($N$16:$N$5015),"",INDEX($E$16:$E$5015,MATCH((MAX($N$16:$N$5015)-62+1),$N$16:$N$5015,0)))="",""," → "&amp;IF(62&gt;MAX($N$16:$N$5015),"",INDEX($E$16:$E$5015,MATCH((MAX($N$16:$N$5015)-62+1),$N$16:$N$5015,0))))</f>
        <v/>
      </c>
      <c r="R66" s="105">
        <f>IF(62&gt;MAX($N$16:$N$5015),"",INDEX($D$16:$D$5015,MATCH((MAX($N$16:$N$5015)-62+1),$N$16:$N$5015,0)))</f>
        <v/>
      </c>
      <c r="S66" s="113">
        <f>IF(62&gt;MAX($N$16:$N$5015),"",INDEX($F$16:$F$5015,MATCH((MAX($N$16:$N$5015)-62+1),$N$16:$N$5015,0)))</f>
        <v/>
      </c>
      <c r="T66" s="105">
        <f>IF(62&gt;MAX($N$16:$N$5015),"",IF(62&gt;MAX($N$16:$N$5015),"",INDEX($G$16:$G$5015,MATCH((MAX($N$16:$N$5015)-62+1),$N$16:$N$5015,0)))&amp;" › "&amp;IF(62&gt;MAX($N$16:$N$5015),"",INDEX($H$16:$H$5015,MATCH((MAX($N$16:$N$5015)-62+1),$N$16:$N$5015,0)))&amp;" › "&amp;IF(62&gt;MAX($N$16:$N$5015),"",INDEX($I$16:$I$5015,MATCH((MAX($N$16:$N$5015)-62+1),$N$16:$N$5015,0))))</f>
        <v/>
      </c>
      <c r="U66" s="105">
        <f>IF(62&gt;MAX($N$16:$N$5015),"",INDEX($J$16:$J$5015,MATCH((MAX($N$16:$N$5015)-62+1),$N$16:$N$5015,0)))&amp;IF(IF(62&gt;MAX($N$16:$N$5015),"",INDEX($L$16:$L$5015,MATCH((MAX($N$16:$N$5015)-62+1),$N$16:$N$5015,0)))="",""," ["&amp;IF(62&gt;MAX($N$16:$N$5015),"",INDEX($L$16:$L$5015,MATCH((MAX($N$16:$N$5015)-62+1),$N$16:$N$5015,0)))&amp;"]")</f>
        <v/>
      </c>
      <c r="V66" s="120">
        <f>IF(62&gt;MAX($N$16:$N$5015),"",HYPERLINK("#Transaksi!B"&amp;(MATCH((MAX($N$16:$N$5015)-62+1),$N$16:$N$5015,0)+15),"Buka"))</f>
        <v/>
      </c>
      <c r="X66" s="93">
        <f>IF(AND(B66&lt;&gt;"",B66&gt;='Buku Akun'!$H$4,B66&lt;='Buku Akun'!$H$5,OR(C66='Buku Akun'!$C$4,AND(D66="Pindah",E66='Buku Akun'!$C$4))),B66+IF(AND(I66="Selisih bunga",DAY(B66)=1),0,0.01)+ROW()/10000000,"")</f>
        <v/>
      </c>
    </row>
    <row r="67" outlineLevel="1" ht="15" customHeight="1" s="94">
      <c r="A67" s="123">
        <f>IF(B67="","",ROW()-15)</f>
        <v/>
      </c>
      <c r="B67" s="124" t="n"/>
      <c r="C67" s="123" t="n"/>
      <c r="D67" s="123" t="n"/>
      <c r="E67" s="123" t="n"/>
      <c r="F67" s="125" t="n"/>
      <c r="G67" s="123" t="n"/>
      <c r="H67" s="123" t="n"/>
      <c r="I67" s="123" t="n"/>
      <c r="J67" s="123" t="n"/>
      <c r="K67" s="123" t="n"/>
      <c r="L67" s="123" t="n"/>
      <c r="M67" s="123">
        <f>IF(AND(B67&lt;&gt;"",OR($C$4="",ISNUMBER(SEARCH($C$4,C67&amp;" "&amp;E67&amp;" "&amp;G67&amp;" "&amp;H67&amp;" "&amp;I67&amp;" "&amp;J67&amp;" "&amp;K67&amp;" "&amp;L67))),OR($C$5="Semua",$C$5="",G67=$C$5),OR($C$6="Semua",$C$6="",H67=$C$6,H67="Pengeluaran "&amp;$C$6,AND($C$6="Uang Kos Mama",H67="Pengeluaran Uang Kos")),OR($C$7="Semua",$C$7="",I67=$C$7),OR($C$8="Semua",$C$8="",C67=$C$8,E67=$C$8),OR($C$9="Semua",$C$9="",D67=$C$9),OR($C$10="",B67&gt;=$C$10),OR($C$11="",B67&lt;=$C$11),OR($C$12&lt;&gt;"Ya",K67&lt;&gt;""),OR($C$13="Semua",$C$13="",L67=$C$13)),"✓","")</f>
        <v/>
      </c>
      <c r="N67" s="93">
        <f>N(N66)+IF(M67="✓",1,0)</f>
        <v/>
      </c>
      <c r="O67" s="93">
        <f>N(O66)+IF(AND(B67&lt;&gt;"",B67&gt;='Uang Riba'!$H$30,B67&lt;='Uang Riba'!$I$30,OR(H67="Dana riba",H67="Pinjam uang riba",I67="Pinjam dari uang riba",I67="Ganti uang riba",I67="Kelebihan ganti dikembalikan",AND(C67="Kantong Uang Riba",G67="Pengeluaran"))),1,0)</f>
        <v/>
      </c>
      <c r="P67" s="119">
        <f>IF(63&gt;MAX($N$16:$N$5015),"",INDEX($B$16:$B$5015,MATCH((MAX($N$16:$N$5015)-63+1),$N$16:$N$5015,0)))</f>
        <v/>
      </c>
      <c r="Q67" s="105">
        <f>IF(63&gt;MAX($N$16:$N$5015),"",INDEX($C$16:$C$5015,MATCH((MAX($N$16:$N$5015)-63+1),$N$16:$N$5015,0)))&amp;IF(IF(63&gt;MAX($N$16:$N$5015),"",INDEX($E$16:$E$5015,MATCH((MAX($N$16:$N$5015)-63+1),$N$16:$N$5015,0)))="",""," → "&amp;IF(63&gt;MAX($N$16:$N$5015),"",INDEX($E$16:$E$5015,MATCH((MAX($N$16:$N$5015)-63+1),$N$16:$N$5015,0))))</f>
        <v/>
      </c>
      <c r="R67" s="105">
        <f>IF(63&gt;MAX($N$16:$N$5015),"",INDEX($D$16:$D$5015,MATCH((MAX($N$16:$N$5015)-63+1),$N$16:$N$5015,0)))</f>
        <v/>
      </c>
      <c r="S67" s="113">
        <f>IF(63&gt;MAX($N$16:$N$5015),"",INDEX($F$16:$F$5015,MATCH((MAX($N$16:$N$5015)-63+1),$N$16:$N$5015,0)))</f>
        <v/>
      </c>
      <c r="T67" s="105">
        <f>IF(63&gt;MAX($N$16:$N$5015),"",IF(63&gt;MAX($N$16:$N$5015),"",INDEX($G$16:$G$5015,MATCH((MAX($N$16:$N$5015)-63+1),$N$16:$N$5015,0)))&amp;" › "&amp;IF(63&gt;MAX($N$16:$N$5015),"",INDEX($H$16:$H$5015,MATCH((MAX($N$16:$N$5015)-63+1),$N$16:$N$5015,0)))&amp;" › "&amp;IF(63&gt;MAX($N$16:$N$5015),"",INDEX($I$16:$I$5015,MATCH((MAX($N$16:$N$5015)-63+1),$N$16:$N$5015,0))))</f>
        <v/>
      </c>
      <c r="U67" s="105">
        <f>IF(63&gt;MAX($N$16:$N$5015),"",INDEX($J$16:$J$5015,MATCH((MAX($N$16:$N$5015)-63+1),$N$16:$N$5015,0)))&amp;IF(IF(63&gt;MAX($N$16:$N$5015),"",INDEX($L$16:$L$5015,MATCH((MAX($N$16:$N$5015)-63+1),$N$16:$N$5015,0)))="",""," ["&amp;IF(63&gt;MAX($N$16:$N$5015),"",INDEX($L$16:$L$5015,MATCH((MAX($N$16:$N$5015)-63+1),$N$16:$N$5015,0)))&amp;"]")</f>
        <v/>
      </c>
      <c r="V67" s="120">
        <f>IF(63&gt;MAX($N$16:$N$5015),"",HYPERLINK("#Transaksi!B"&amp;(MATCH((MAX($N$16:$N$5015)-63+1),$N$16:$N$5015,0)+15),"Buka"))</f>
        <v/>
      </c>
      <c r="X67" s="93">
        <f>IF(AND(B67&lt;&gt;"",B67&gt;='Buku Akun'!$H$4,B67&lt;='Buku Akun'!$H$5,OR(C67='Buku Akun'!$C$4,AND(D67="Pindah",E67='Buku Akun'!$C$4))),B67+IF(AND(I67="Selisih bunga",DAY(B67)=1),0,0.01)+ROW()/10000000,"")</f>
        <v/>
      </c>
    </row>
    <row r="68" outlineLevel="1" ht="15" customHeight="1" s="94">
      <c r="A68" s="123">
        <f>IF(B68="","",ROW()-15)</f>
        <v/>
      </c>
      <c r="B68" s="124" t="n"/>
      <c r="C68" s="123" t="n"/>
      <c r="D68" s="123" t="n"/>
      <c r="E68" s="123" t="n"/>
      <c r="F68" s="125" t="n"/>
      <c r="G68" s="123" t="n"/>
      <c r="H68" s="123" t="n"/>
      <c r="I68" s="123" t="n"/>
      <c r="J68" s="123" t="n"/>
      <c r="K68" s="123" t="n"/>
      <c r="L68" s="123" t="n"/>
      <c r="M68" s="123">
        <f>IF(AND(B68&lt;&gt;"",OR($C$4="",ISNUMBER(SEARCH($C$4,C68&amp;" "&amp;E68&amp;" "&amp;G68&amp;" "&amp;H68&amp;" "&amp;I68&amp;" "&amp;J68&amp;" "&amp;K68&amp;" "&amp;L68))),OR($C$5="Semua",$C$5="",G68=$C$5),OR($C$6="Semua",$C$6="",H68=$C$6,H68="Pengeluaran "&amp;$C$6,AND($C$6="Uang Kos Mama",H68="Pengeluaran Uang Kos")),OR($C$7="Semua",$C$7="",I68=$C$7),OR($C$8="Semua",$C$8="",C68=$C$8,E68=$C$8),OR($C$9="Semua",$C$9="",D68=$C$9),OR($C$10="",B68&gt;=$C$10),OR($C$11="",B68&lt;=$C$11),OR($C$12&lt;&gt;"Ya",K68&lt;&gt;""),OR($C$13="Semua",$C$13="",L68=$C$13)),"✓","")</f>
        <v/>
      </c>
      <c r="N68" s="93">
        <f>N(N67)+IF(M68="✓",1,0)</f>
        <v/>
      </c>
      <c r="O68" s="93">
        <f>N(O67)+IF(AND(B68&lt;&gt;"",B68&gt;='Uang Riba'!$H$30,B68&lt;='Uang Riba'!$I$30,OR(H68="Dana riba",H68="Pinjam uang riba",I68="Pinjam dari uang riba",I68="Ganti uang riba",I68="Kelebihan ganti dikembalikan",AND(C68="Kantong Uang Riba",G68="Pengeluaran"))),1,0)</f>
        <v/>
      </c>
      <c r="P68" s="119">
        <f>IF(64&gt;MAX($N$16:$N$5015),"",INDEX($B$16:$B$5015,MATCH((MAX($N$16:$N$5015)-64+1),$N$16:$N$5015,0)))</f>
        <v/>
      </c>
      <c r="Q68" s="105">
        <f>IF(64&gt;MAX($N$16:$N$5015),"",INDEX($C$16:$C$5015,MATCH((MAX($N$16:$N$5015)-64+1),$N$16:$N$5015,0)))&amp;IF(IF(64&gt;MAX($N$16:$N$5015),"",INDEX($E$16:$E$5015,MATCH((MAX($N$16:$N$5015)-64+1),$N$16:$N$5015,0)))="",""," → "&amp;IF(64&gt;MAX($N$16:$N$5015),"",INDEX($E$16:$E$5015,MATCH((MAX($N$16:$N$5015)-64+1),$N$16:$N$5015,0))))</f>
        <v/>
      </c>
      <c r="R68" s="105">
        <f>IF(64&gt;MAX($N$16:$N$5015),"",INDEX($D$16:$D$5015,MATCH((MAX($N$16:$N$5015)-64+1),$N$16:$N$5015,0)))</f>
        <v/>
      </c>
      <c r="S68" s="113">
        <f>IF(64&gt;MAX($N$16:$N$5015),"",INDEX($F$16:$F$5015,MATCH((MAX($N$16:$N$5015)-64+1),$N$16:$N$5015,0)))</f>
        <v/>
      </c>
      <c r="T68" s="105">
        <f>IF(64&gt;MAX($N$16:$N$5015),"",IF(64&gt;MAX($N$16:$N$5015),"",INDEX($G$16:$G$5015,MATCH((MAX($N$16:$N$5015)-64+1),$N$16:$N$5015,0)))&amp;" › "&amp;IF(64&gt;MAX($N$16:$N$5015),"",INDEX($H$16:$H$5015,MATCH((MAX($N$16:$N$5015)-64+1),$N$16:$N$5015,0)))&amp;" › "&amp;IF(64&gt;MAX($N$16:$N$5015),"",INDEX($I$16:$I$5015,MATCH((MAX($N$16:$N$5015)-64+1),$N$16:$N$5015,0))))</f>
        <v/>
      </c>
      <c r="U68" s="105">
        <f>IF(64&gt;MAX($N$16:$N$5015),"",INDEX($J$16:$J$5015,MATCH((MAX($N$16:$N$5015)-64+1),$N$16:$N$5015,0)))&amp;IF(IF(64&gt;MAX($N$16:$N$5015),"",INDEX($L$16:$L$5015,MATCH((MAX($N$16:$N$5015)-64+1),$N$16:$N$5015,0)))="",""," ["&amp;IF(64&gt;MAX($N$16:$N$5015),"",INDEX($L$16:$L$5015,MATCH((MAX($N$16:$N$5015)-64+1),$N$16:$N$5015,0)))&amp;"]")</f>
        <v/>
      </c>
      <c r="V68" s="120">
        <f>IF(64&gt;MAX($N$16:$N$5015),"",HYPERLINK("#Transaksi!B"&amp;(MATCH((MAX($N$16:$N$5015)-64+1),$N$16:$N$5015,0)+15),"Buka"))</f>
        <v/>
      </c>
      <c r="X68" s="93">
        <f>IF(AND(B68&lt;&gt;"",B68&gt;='Buku Akun'!$H$4,B68&lt;='Buku Akun'!$H$5,OR(C68='Buku Akun'!$C$4,AND(D68="Pindah",E68='Buku Akun'!$C$4))),B68+IF(AND(I68="Selisih bunga",DAY(B68)=1),0,0.01)+ROW()/10000000,"")</f>
        <v/>
      </c>
    </row>
    <row r="69" outlineLevel="1" ht="15" customHeight="1" s="94">
      <c r="A69" s="123">
        <f>IF(B69="","",ROW()-15)</f>
        <v/>
      </c>
      <c r="B69" s="124" t="n"/>
      <c r="C69" s="123" t="n"/>
      <c r="D69" s="123" t="n"/>
      <c r="E69" s="123" t="n"/>
      <c r="F69" s="125" t="n"/>
      <c r="G69" s="123" t="n"/>
      <c r="H69" s="123" t="n"/>
      <c r="I69" s="123" t="n"/>
      <c r="J69" s="123" t="n"/>
      <c r="K69" s="123" t="n"/>
      <c r="L69" s="123" t="n"/>
      <c r="M69" s="123">
        <f>IF(AND(B69&lt;&gt;"",OR($C$4="",ISNUMBER(SEARCH($C$4,C69&amp;" "&amp;E69&amp;" "&amp;G69&amp;" "&amp;H69&amp;" "&amp;I69&amp;" "&amp;J69&amp;" "&amp;K69&amp;" "&amp;L69))),OR($C$5="Semua",$C$5="",G69=$C$5),OR($C$6="Semua",$C$6="",H69=$C$6,H69="Pengeluaran "&amp;$C$6,AND($C$6="Uang Kos Mama",H69="Pengeluaran Uang Kos")),OR($C$7="Semua",$C$7="",I69=$C$7),OR($C$8="Semua",$C$8="",C69=$C$8,E69=$C$8),OR($C$9="Semua",$C$9="",D69=$C$9),OR($C$10="",B69&gt;=$C$10),OR($C$11="",B69&lt;=$C$11),OR($C$12&lt;&gt;"Ya",K69&lt;&gt;""),OR($C$13="Semua",$C$13="",L69=$C$13)),"✓","")</f>
        <v/>
      </c>
      <c r="N69" s="93">
        <f>N(N68)+IF(M69="✓",1,0)</f>
        <v/>
      </c>
      <c r="O69" s="93">
        <f>N(O68)+IF(AND(B69&lt;&gt;"",B69&gt;='Uang Riba'!$H$30,B69&lt;='Uang Riba'!$I$30,OR(H69="Dana riba",H69="Pinjam uang riba",I69="Pinjam dari uang riba",I69="Ganti uang riba",I69="Kelebihan ganti dikembalikan",AND(C69="Kantong Uang Riba",G69="Pengeluaran"))),1,0)</f>
        <v/>
      </c>
      <c r="P69" s="119">
        <f>IF(65&gt;MAX($N$16:$N$5015),"",INDEX($B$16:$B$5015,MATCH((MAX($N$16:$N$5015)-65+1),$N$16:$N$5015,0)))</f>
        <v/>
      </c>
      <c r="Q69" s="105">
        <f>IF(65&gt;MAX($N$16:$N$5015),"",INDEX($C$16:$C$5015,MATCH((MAX($N$16:$N$5015)-65+1),$N$16:$N$5015,0)))&amp;IF(IF(65&gt;MAX($N$16:$N$5015),"",INDEX($E$16:$E$5015,MATCH((MAX($N$16:$N$5015)-65+1),$N$16:$N$5015,0)))="",""," → "&amp;IF(65&gt;MAX($N$16:$N$5015),"",INDEX($E$16:$E$5015,MATCH((MAX($N$16:$N$5015)-65+1),$N$16:$N$5015,0))))</f>
        <v/>
      </c>
      <c r="R69" s="105">
        <f>IF(65&gt;MAX($N$16:$N$5015),"",INDEX($D$16:$D$5015,MATCH((MAX($N$16:$N$5015)-65+1),$N$16:$N$5015,0)))</f>
        <v/>
      </c>
      <c r="S69" s="113">
        <f>IF(65&gt;MAX($N$16:$N$5015),"",INDEX($F$16:$F$5015,MATCH((MAX($N$16:$N$5015)-65+1),$N$16:$N$5015,0)))</f>
        <v/>
      </c>
      <c r="T69" s="105">
        <f>IF(65&gt;MAX($N$16:$N$5015),"",IF(65&gt;MAX($N$16:$N$5015),"",INDEX($G$16:$G$5015,MATCH((MAX($N$16:$N$5015)-65+1),$N$16:$N$5015,0)))&amp;" › "&amp;IF(65&gt;MAX($N$16:$N$5015),"",INDEX($H$16:$H$5015,MATCH((MAX($N$16:$N$5015)-65+1),$N$16:$N$5015,0)))&amp;" › "&amp;IF(65&gt;MAX($N$16:$N$5015),"",INDEX($I$16:$I$5015,MATCH((MAX($N$16:$N$5015)-65+1),$N$16:$N$5015,0))))</f>
        <v/>
      </c>
      <c r="U69" s="105">
        <f>IF(65&gt;MAX($N$16:$N$5015),"",INDEX($J$16:$J$5015,MATCH((MAX($N$16:$N$5015)-65+1),$N$16:$N$5015,0)))&amp;IF(IF(65&gt;MAX($N$16:$N$5015),"",INDEX($L$16:$L$5015,MATCH((MAX($N$16:$N$5015)-65+1),$N$16:$N$5015,0)))="",""," ["&amp;IF(65&gt;MAX($N$16:$N$5015),"",INDEX($L$16:$L$5015,MATCH((MAX($N$16:$N$5015)-65+1),$N$16:$N$5015,0)))&amp;"]")</f>
        <v/>
      </c>
      <c r="V69" s="120">
        <f>IF(65&gt;MAX($N$16:$N$5015),"",HYPERLINK("#Transaksi!B"&amp;(MATCH((MAX($N$16:$N$5015)-65+1),$N$16:$N$5015,0)+15),"Buka"))</f>
        <v/>
      </c>
      <c r="X69" s="93">
        <f>IF(AND(B69&lt;&gt;"",B69&gt;='Buku Akun'!$H$4,B69&lt;='Buku Akun'!$H$5,OR(C69='Buku Akun'!$C$4,AND(D69="Pindah",E69='Buku Akun'!$C$4))),B69+IF(AND(I69="Selisih bunga",DAY(B69)=1),0,0.01)+ROW()/10000000,"")</f>
        <v/>
      </c>
    </row>
    <row r="70" outlineLevel="1" ht="15" customHeight="1" s="94">
      <c r="A70" s="123">
        <f>IF(B70="","",ROW()-15)</f>
        <v/>
      </c>
      <c r="B70" s="124" t="n"/>
      <c r="C70" s="123" t="n"/>
      <c r="D70" s="123" t="n"/>
      <c r="E70" s="123" t="n"/>
      <c r="F70" s="125" t="n"/>
      <c r="G70" s="123" t="n"/>
      <c r="H70" s="123" t="n"/>
      <c r="I70" s="123" t="n"/>
      <c r="J70" s="123" t="n"/>
      <c r="K70" s="123" t="n"/>
      <c r="L70" s="123" t="n"/>
      <c r="M70" s="123">
        <f>IF(AND(B70&lt;&gt;"",OR($C$4="",ISNUMBER(SEARCH($C$4,C70&amp;" "&amp;E70&amp;" "&amp;G70&amp;" "&amp;H70&amp;" "&amp;I70&amp;" "&amp;J70&amp;" "&amp;K70&amp;" "&amp;L70))),OR($C$5="Semua",$C$5="",G70=$C$5),OR($C$6="Semua",$C$6="",H70=$C$6,H70="Pengeluaran "&amp;$C$6,AND($C$6="Uang Kos Mama",H70="Pengeluaran Uang Kos")),OR($C$7="Semua",$C$7="",I70=$C$7),OR($C$8="Semua",$C$8="",C70=$C$8,E70=$C$8),OR($C$9="Semua",$C$9="",D70=$C$9),OR($C$10="",B70&gt;=$C$10),OR($C$11="",B70&lt;=$C$11),OR($C$12&lt;&gt;"Ya",K70&lt;&gt;""),OR($C$13="Semua",$C$13="",L70=$C$13)),"✓","")</f>
        <v/>
      </c>
      <c r="N70" s="93">
        <f>N(N69)+IF(M70="✓",1,0)</f>
        <v/>
      </c>
      <c r="O70" s="93">
        <f>N(O69)+IF(AND(B70&lt;&gt;"",B70&gt;='Uang Riba'!$H$30,B70&lt;='Uang Riba'!$I$30,OR(H70="Dana riba",H70="Pinjam uang riba",I70="Pinjam dari uang riba",I70="Ganti uang riba",I70="Kelebihan ganti dikembalikan",AND(C70="Kantong Uang Riba",G70="Pengeluaran"))),1,0)</f>
        <v/>
      </c>
      <c r="P70" s="119">
        <f>IF(66&gt;MAX($N$16:$N$5015),"",INDEX($B$16:$B$5015,MATCH((MAX($N$16:$N$5015)-66+1),$N$16:$N$5015,0)))</f>
        <v/>
      </c>
      <c r="Q70" s="105">
        <f>IF(66&gt;MAX($N$16:$N$5015),"",INDEX($C$16:$C$5015,MATCH((MAX($N$16:$N$5015)-66+1),$N$16:$N$5015,0)))&amp;IF(IF(66&gt;MAX($N$16:$N$5015),"",INDEX($E$16:$E$5015,MATCH((MAX($N$16:$N$5015)-66+1),$N$16:$N$5015,0)))="",""," → "&amp;IF(66&gt;MAX($N$16:$N$5015),"",INDEX($E$16:$E$5015,MATCH((MAX($N$16:$N$5015)-66+1),$N$16:$N$5015,0))))</f>
        <v/>
      </c>
      <c r="R70" s="105">
        <f>IF(66&gt;MAX($N$16:$N$5015),"",INDEX($D$16:$D$5015,MATCH((MAX($N$16:$N$5015)-66+1),$N$16:$N$5015,0)))</f>
        <v/>
      </c>
      <c r="S70" s="113">
        <f>IF(66&gt;MAX($N$16:$N$5015),"",INDEX($F$16:$F$5015,MATCH((MAX($N$16:$N$5015)-66+1),$N$16:$N$5015,0)))</f>
        <v/>
      </c>
      <c r="T70" s="105">
        <f>IF(66&gt;MAX($N$16:$N$5015),"",IF(66&gt;MAX($N$16:$N$5015),"",INDEX($G$16:$G$5015,MATCH((MAX($N$16:$N$5015)-66+1),$N$16:$N$5015,0)))&amp;" › "&amp;IF(66&gt;MAX($N$16:$N$5015),"",INDEX($H$16:$H$5015,MATCH((MAX($N$16:$N$5015)-66+1),$N$16:$N$5015,0)))&amp;" › "&amp;IF(66&gt;MAX($N$16:$N$5015),"",INDEX($I$16:$I$5015,MATCH((MAX($N$16:$N$5015)-66+1),$N$16:$N$5015,0))))</f>
        <v/>
      </c>
      <c r="U70" s="105">
        <f>IF(66&gt;MAX($N$16:$N$5015),"",INDEX($J$16:$J$5015,MATCH((MAX($N$16:$N$5015)-66+1),$N$16:$N$5015,0)))&amp;IF(IF(66&gt;MAX($N$16:$N$5015),"",INDEX($L$16:$L$5015,MATCH((MAX($N$16:$N$5015)-66+1),$N$16:$N$5015,0)))="",""," ["&amp;IF(66&gt;MAX($N$16:$N$5015),"",INDEX($L$16:$L$5015,MATCH((MAX($N$16:$N$5015)-66+1),$N$16:$N$5015,0)))&amp;"]")</f>
        <v/>
      </c>
      <c r="V70" s="120">
        <f>IF(66&gt;MAX($N$16:$N$5015),"",HYPERLINK("#Transaksi!B"&amp;(MATCH((MAX($N$16:$N$5015)-66+1),$N$16:$N$5015,0)+15),"Buka"))</f>
        <v/>
      </c>
      <c r="X70" s="93">
        <f>IF(AND(B70&lt;&gt;"",B70&gt;='Buku Akun'!$H$4,B70&lt;='Buku Akun'!$H$5,OR(C70='Buku Akun'!$C$4,AND(D70="Pindah",E70='Buku Akun'!$C$4))),B70+IF(AND(I70="Selisih bunga",DAY(B70)=1),0,0.01)+ROW()/10000000,"")</f>
        <v/>
      </c>
    </row>
    <row r="71" outlineLevel="1" ht="15" customHeight="1" s="94">
      <c r="A71" s="123">
        <f>IF(B71="","",ROW()-15)</f>
        <v/>
      </c>
      <c r="B71" s="124" t="n"/>
      <c r="C71" s="123" t="n"/>
      <c r="D71" s="123" t="n"/>
      <c r="E71" s="123" t="n"/>
      <c r="F71" s="125" t="n"/>
      <c r="G71" s="123" t="n"/>
      <c r="H71" s="123" t="n"/>
      <c r="I71" s="123" t="n"/>
      <c r="J71" s="123" t="n"/>
      <c r="K71" s="123" t="n"/>
      <c r="L71" s="123" t="n"/>
      <c r="M71" s="123">
        <f>IF(AND(B71&lt;&gt;"",OR($C$4="",ISNUMBER(SEARCH($C$4,C71&amp;" "&amp;E71&amp;" "&amp;G71&amp;" "&amp;H71&amp;" "&amp;I71&amp;" "&amp;J71&amp;" "&amp;K71&amp;" "&amp;L71))),OR($C$5="Semua",$C$5="",G71=$C$5),OR($C$6="Semua",$C$6="",H71=$C$6,H71="Pengeluaran "&amp;$C$6,AND($C$6="Uang Kos Mama",H71="Pengeluaran Uang Kos")),OR($C$7="Semua",$C$7="",I71=$C$7),OR($C$8="Semua",$C$8="",C71=$C$8,E71=$C$8),OR($C$9="Semua",$C$9="",D71=$C$9),OR($C$10="",B71&gt;=$C$10),OR($C$11="",B71&lt;=$C$11),OR($C$12&lt;&gt;"Ya",K71&lt;&gt;""),OR($C$13="Semua",$C$13="",L71=$C$13)),"✓","")</f>
        <v/>
      </c>
      <c r="N71" s="93">
        <f>N(N70)+IF(M71="✓",1,0)</f>
        <v/>
      </c>
      <c r="O71" s="93">
        <f>N(O70)+IF(AND(B71&lt;&gt;"",B71&gt;='Uang Riba'!$H$30,B71&lt;='Uang Riba'!$I$30,OR(H71="Dana riba",H71="Pinjam uang riba",I71="Pinjam dari uang riba",I71="Ganti uang riba",I71="Kelebihan ganti dikembalikan",AND(C71="Kantong Uang Riba",G71="Pengeluaran"))),1,0)</f>
        <v/>
      </c>
      <c r="P71" s="119">
        <f>IF(67&gt;MAX($N$16:$N$5015),"",INDEX($B$16:$B$5015,MATCH((MAX($N$16:$N$5015)-67+1),$N$16:$N$5015,0)))</f>
        <v/>
      </c>
      <c r="Q71" s="105">
        <f>IF(67&gt;MAX($N$16:$N$5015),"",INDEX($C$16:$C$5015,MATCH((MAX($N$16:$N$5015)-67+1),$N$16:$N$5015,0)))&amp;IF(IF(67&gt;MAX($N$16:$N$5015),"",INDEX($E$16:$E$5015,MATCH((MAX($N$16:$N$5015)-67+1),$N$16:$N$5015,0)))="",""," → "&amp;IF(67&gt;MAX($N$16:$N$5015),"",INDEX($E$16:$E$5015,MATCH((MAX($N$16:$N$5015)-67+1),$N$16:$N$5015,0))))</f>
        <v/>
      </c>
      <c r="R71" s="105">
        <f>IF(67&gt;MAX($N$16:$N$5015),"",INDEX($D$16:$D$5015,MATCH((MAX($N$16:$N$5015)-67+1),$N$16:$N$5015,0)))</f>
        <v/>
      </c>
      <c r="S71" s="113">
        <f>IF(67&gt;MAX($N$16:$N$5015),"",INDEX($F$16:$F$5015,MATCH((MAX($N$16:$N$5015)-67+1),$N$16:$N$5015,0)))</f>
        <v/>
      </c>
      <c r="T71" s="105">
        <f>IF(67&gt;MAX($N$16:$N$5015),"",IF(67&gt;MAX($N$16:$N$5015),"",INDEX($G$16:$G$5015,MATCH((MAX($N$16:$N$5015)-67+1),$N$16:$N$5015,0)))&amp;" › "&amp;IF(67&gt;MAX($N$16:$N$5015),"",INDEX($H$16:$H$5015,MATCH((MAX($N$16:$N$5015)-67+1),$N$16:$N$5015,0)))&amp;" › "&amp;IF(67&gt;MAX($N$16:$N$5015),"",INDEX($I$16:$I$5015,MATCH((MAX($N$16:$N$5015)-67+1),$N$16:$N$5015,0))))</f>
        <v/>
      </c>
      <c r="U71" s="105">
        <f>IF(67&gt;MAX($N$16:$N$5015),"",INDEX($J$16:$J$5015,MATCH((MAX($N$16:$N$5015)-67+1),$N$16:$N$5015,0)))&amp;IF(IF(67&gt;MAX($N$16:$N$5015),"",INDEX($L$16:$L$5015,MATCH((MAX($N$16:$N$5015)-67+1),$N$16:$N$5015,0)))="",""," ["&amp;IF(67&gt;MAX($N$16:$N$5015),"",INDEX($L$16:$L$5015,MATCH((MAX($N$16:$N$5015)-67+1),$N$16:$N$5015,0)))&amp;"]")</f>
        <v/>
      </c>
      <c r="V71" s="120">
        <f>IF(67&gt;MAX($N$16:$N$5015),"",HYPERLINK("#Transaksi!B"&amp;(MATCH((MAX($N$16:$N$5015)-67+1),$N$16:$N$5015,0)+15),"Buka"))</f>
        <v/>
      </c>
      <c r="X71" s="93">
        <f>IF(AND(B71&lt;&gt;"",B71&gt;='Buku Akun'!$H$4,B71&lt;='Buku Akun'!$H$5,OR(C71='Buku Akun'!$C$4,AND(D71="Pindah",E71='Buku Akun'!$C$4))),B71+IF(AND(I71="Selisih bunga",DAY(B71)=1),0,0.01)+ROW()/10000000,"")</f>
        <v/>
      </c>
    </row>
    <row r="72" outlineLevel="1" ht="15" customHeight="1" s="94">
      <c r="A72" s="123">
        <f>IF(B72="","",ROW()-15)</f>
        <v/>
      </c>
      <c r="B72" s="124" t="n"/>
      <c r="C72" s="123" t="n"/>
      <c r="D72" s="123" t="n"/>
      <c r="E72" s="123" t="n"/>
      <c r="F72" s="125" t="n"/>
      <c r="G72" s="123" t="n"/>
      <c r="H72" s="123" t="n"/>
      <c r="I72" s="123" t="n"/>
      <c r="J72" s="123" t="n"/>
      <c r="K72" s="123" t="n"/>
      <c r="L72" s="123" t="n"/>
      <c r="M72" s="123">
        <f>IF(AND(B72&lt;&gt;"",OR($C$4="",ISNUMBER(SEARCH($C$4,C72&amp;" "&amp;E72&amp;" "&amp;G72&amp;" "&amp;H72&amp;" "&amp;I72&amp;" "&amp;J72&amp;" "&amp;K72&amp;" "&amp;L72))),OR($C$5="Semua",$C$5="",G72=$C$5),OR($C$6="Semua",$C$6="",H72=$C$6,H72="Pengeluaran "&amp;$C$6,AND($C$6="Uang Kos Mama",H72="Pengeluaran Uang Kos")),OR($C$7="Semua",$C$7="",I72=$C$7),OR($C$8="Semua",$C$8="",C72=$C$8,E72=$C$8),OR($C$9="Semua",$C$9="",D72=$C$9),OR($C$10="",B72&gt;=$C$10),OR($C$11="",B72&lt;=$C$11),OR($C$12&lt;&gt;"Ya",K72&lt;&gt;""),OR($C$13="Semua",$C$13="",L72=$C$13)),"✓","")</f>
        <v/>
      </c>
      <c r="N72" s="93">
        <f>N(N71)+IF(M72="✓",1,0)</f>
        <v/>
      </c>
      <c r="O72" s="93">
        <f>N(O71)+IF(AND(B72&lt;&gt;"",B72&gt;='Uang Riba'!$H$30,B72&lt;='Uang Riba'!$I$30,OR(H72="Dana riba",H72="Pinjam uang riba",I72="Pinjam dari uang riba",I72="Ganti uang riba",I72="Kelebihan ganti dikembalikan",AND(C72="Kantong Uang Riba",G72="Pengeluaran"))),1,0)</f>
        <v/>
      </c>
      <c r="P72" s="119">
        <f>IF(68&gt;MAX($N$16:$N$5015),"",INDEX($B$16:$B$5015,MATCH((MAX($N$16:$N$5015)-68+1),$N$16:$N$5015,0)))</f>
        <v/>
      </c>
      <c r="Q72" s="105">
        <f>IF(68&gt;MAX($N$16:$N$5015),"",INDEX($C$16:$C$5015,MATCH((MAX($N$16:$N$5015)-68+1),$N$16:$N$5015,0)))&amp;IF(IF(68&gt;MAX($N$16:$N$5015),"",INDEX($E$16:$E$5015,MATCH((MAX($N$16:$N$5015)-68+1),$N$16:$N$5015,0)))="",""," → "&amp;IF(68&gt;MAX($N$16:$N$5015),"",INDEX($E$16:$E$5015,MATCH((MAX($N$16:$N$5015)-68+1),$N$16:$N$5015,0))))</f>
        <v/>
      </c>
      <c r="R72" s="105">
        <f>IF(68&gt;MAX($N$16:$N$5015),"",INDEX($D$16:$D$5015,MATCH((MAX($N$16:$N$5015)-68+1),$N$16:$N$5015,0)))</f>
        <v/>
      </c>
      <c r="S72" s="113">
        <f>IF(68&gt;MAX($N$16:$N$5015),"",INDEX($F$16:$F$5015,MATCH((MAX($N$16:$N$5015)-68+1),$N$16:$N$5015,0)))</f>
        <v/>
      </c>
      <c r="T72" s="105">
        <f>IF(68&gt;MAX($N$16:$N$5015),"",IF(68&gt;MAX($N$16:$N$5015),"",INDEX($G$16:$G$5015,MATCH((MAX($N$16:$N$5015)-68+1),$N$16:$N$5015,0)))&amp;" › "&amp;IF(68&gt;MAX($N$16:$N$5015),"",INDEX($H$16:$H$5015,MATCH((MAX($N$16:$N$5015)-68+1),$N$16:$N$5015,0)))&amp;" › "&amp;IF(68&gt;MAX($N$16:$N$5015),"",INDEX($I$16:$I$5015,MATCH((MAX($N$16:$N$5015)-68+1),$N$16:$N$5015,0))))</f>
        <v/>
      </c>
      <c r="U72" s="105">
        <f>IF(68&gt;MAX($N$16:$N$5015),"",INDEX($J$16:$J$5015,MATCH((MAX($N$16:$N$5015)-68+1),$N$16:$N$5015,0)))&amp;IF(IF(68&gt;MAX($N$16:$N$5015),"",INDEX($L$16:$L$5015,MATCH((MAX($N$16:$N$5015)-68+1),$N$16:$N$5015,0)))="",""," ["&amp;IF(68&gt;MAX($N$16:$N$5015),"",INDEX($L$16:$L$5015,MATCH((MAX($N$16:$N$5015)-68+1),$N$16:$N$5015,0)))&amp;"]")</f>
        <v/>
      </c>
      <c r="V72" s="120">
        <f>IF(68&gt;MAX($N$16:$N$5015),"",HYPERLINK("#Transaksi!B"&amp;(MATCH((MAX($N$16:$N$5015)-68+1),$N$16:$N$5015,0)+15),"Buka"))</f>
        <v/>
      </c>
      <c r="X72" s="93">
        <f>IF(AND(B72&lt;&gt;"",B72&gt;='Buku Akun'!$H$4,B72&lt;='Buku Akun'!$H$5,OR(C72='Buku Akun'!$C$4,AND(D72="Pindah",E72='Buku Akun'!$C$4))),B72+IF(AND(I72="Selisih bunga",DAY(B72)=1),0,0.01)+ROW()/10000000,"")</f>
        <v/>
      </c>
    </row>
    <row r="73" outlineLevel="1" ht="15" customHeight="1" s="94">
      <c r="A73" s="123">
        <f>IF(B73="","",ROW()-15)</f>
        <v/>
      </c>
      <c r="B73" s="124" t="n"/>
      <c r="C73" s="123" t="n"/>
      <c r="D73" s="123" t="n"/>
      <c r="E73" s="123" t="n"/>
      <c r="F73" s="125" t="n"/>
      <c r="G73" s="123" t="n"/>
      <c r="H73" s="123" t="n"/>
      <c r="I73" s="123" t="n"/>
      <c r="J73" s="123" t="n"/>
      <c r="K73" s="123" t="n"/>
      <c r="L73" s="123" t="n"/>
      <c r="M73" s="123">
        <f>IF(AND(B73&lt;&gt;"",OR($C$4="",ISNUMBER(SEARCH($C$4,C73&amp;" "&amp;E73&amp;" "&amp;G73&amp;" "&amp;H73&amp;" "&amp;I73&amp;" "&amp;J73&amp;" "&amp;K73&amp;" "&amp;L73))),OR($C$5="Semua",$C$5="",G73=$C$5),OR($C$6="Semua",$C$6="",H73=$C$6,H73="Pengeluaran "&amp;$C$6,AND($C$6="Uang Kos Mama",H73="Pengeluaran Uang Kos")),OR($C$7="Semua",$C$7="",I73=$C$7),OR($C$8="Semua",$C$8="",C73=$C$8,E73=$C$8),OR($C$9="Semua",$C$9="",D73=$C$9),OR($C$10="",B73&gt;=$C$10),OR($C$11="",B73&lt;=$C$11),OR($C$12&lt;&gt;"Ya",K73&lt;&gt;""),OR($C$13="Semua",$C$13="",L73=$C$13)),"✓","")</f>
        <v/>
      </c>
      <c r="N73" s="93">
        <f>N(N72)+IF(M73="✓",1,0)</f>
        <v/>
      </c>
      <c r="O73" s="93">
        <f>N(O72)+IF(AND(B73&lt;&gt;"",B73&gt;='Uang Riba'!$H$30,B73&lt;='Uang Riba'!$I$30,OR(H73="Dana riba",H73="Pinjam uang riba",I73="Pinjam dari uang riba",I73="Ganti uang riba",I73="Kelebihan ganti dikembalikan",AND(C73="Kantong Uang Riba",G73="Pengeluaran"))),1,0)</f>
        <v/>
      </c>
      <c r="P73" s="119">
        <f>IF(69&gt;MAX($N$16:$N$5015),"",INDEX($B$16:$B$5015,MATCH((MAX($N$16:$N$5015)-69+1),$N$16:$N$5015,0)))</f>
        <v/>
      </c>
      <c r="Q73" s="105">
        <f>IF(69&gt;MAX($N$16:$N$5015),"",INDEX($C$16:$C$5015,MATCH((MAX($N$16:$N$5015)-69+1),$N$16:$N$5015,0)))&amp;IF(IF(69&gt;MAX($N$16:$N$5015),"",INDEX($E$16:$E$5015,MATCH((MAX($N$16:$N$5015)-69+1),$N$16:$N$5015,0)))="",""," → "&amp;IF(69&gt;MAX($N$16:$N$5015),"",INDEX($E$16:$E$5015,MATCH((MAX($N$16:$N$5015)-69+1),$N$16:$N$5015,0))))</f>
        <v/>
      </c>
      <c r="R73" s="105">
        <f>IF(69&gt;MAX($N$16:$N$5015),"",INDEX($D$16:$D$5015,MATCH((MAX($N$16:$N$5015)-69+1),$N$16:$N$5015,0)))</f>
        <v/>
      </c>
      <c r="S73" s="113">
        <f>IF(69&gt;MAX($N$16:$N$5015),"",INDEX($F$16:$F$5015,MATCH((MAX($N$16:$N$5015)-69+1),$N$16:$N$5015,0)))</f>
        <v/>
      </c>
      <c r="T73" s="105">
        <f>IF(69&gt;MAX($N$16:$N$5015),"",IF(69&gt;MAX($N$16:$N$5015),"",INDEX($G$16:$G$5015,MATCH((MAX($N$16:$N$5015)-69+1),$N$16:$N$5015,0)))&amp;" › "&amp;IF(69&gt;MAX($N$16:$N$5015),"",INDEX($H$16:$H$5015,MATCH((MAX($N$16:$N$5015)-69+1),$N$16:$N$5015,0)))&amp;" › "&amp;IF(69&gt;MAX($N$16:$N$5015),"",INDEX($I$16:$I$5015,MATCH((MAX($N$16:$N$5015)-69+1),$N$16:$N$5015,0))))</f>
        <v/>
      </c>
      <c r="U73" s="105">
        <f>IF(69&gt;MAX($N$16:$N$5015),"",INDEX($J$16:$J$5015,MATCH((MAX($N$16:$N$5015)-69+1),$N$16:$N$5015,0)))&amp;IF(IF(69&gt;MAX($N$16:$N$5015),"",INDEX($L$16:$L$5015,MATCH((MAX($N$16:$N$5015)-69+1),$N$16:$N$5015,0)))="",""," ["&amp;IF(69&gt;MAX($N$16:$N$5015),"",INDEX($L$16:$L$5015,MATCH((MAX($N$16:$N$5015)-69+1),$N$16:$N$5015,0)))&amp;"]")</f>
        <v/>
      </c>
      <c r="V73" s="120">
        <f>IF(69&gt;MAX($N$16:$N$5015),"",HYPERLINK("#Transaksi!B"&amp;(MATCH((MAX($N$16:$N$5015)-69+1),$N$16:$N$5015,0)+15),"Buka"))</f>
        <v/>
      </c>
      <c r="X73" s="93">
        <f>IF(AND(B73&lt;&gt;"",B73&gt;='Buku Akun'!$H$4,B73&lt;='Buku Akun'!$H$5,OR(C73='Buku Akun'!$C$4,AND(D73="Pindah",E73='Buku Akun'!$C$4))),B73+IF(AND(I73="Selisih bunga",DAY(B73)=1),0,0.01)+ROW()/10000000,"")</f>
        <v/>
      </c>
    </row>
    <row r="74" outlineLevel="1" ht="15" customHeight="1" s="94">
      <c r="A74" s="123">
        <f>IF(B74="","",ROW()-15)</f>
        <v/>
      </c>
      <c r="B74" s="124" t="n"/>
      <c r="C74" s="123" t="n"/>
      <c r="D74" s="123" t="n"/>
      <c r="E74" s="123" t="n"/>
      <c r="F74" s="125" t="n"/>
      <c r="G74" s="123" t="n"/>
      <c r="H74" s="123" t="n"/>
      <c r="I74" s="123" t="n"/>
      <c r="J74" s="123" t="n"/>
      <c r="K74" s="123" t="n"/>
      <c r="L74" s="123" t="n"/>
      <c r="M74" s="123">
        <f>IF(AND(B74&lt;&gt;"",OR($C$4="",ISNUMBER(SEARCH($C$4,C74&amp;" "&amp;E74&amp;" "&amp;G74&amp;" "&amp;H74&amp;" "&amp;I74&amp;" "&amp;J74&amp;" "&amp;K74&amp;" "&amp;L74))),OR($C$5="Semua",$C$5="",G74=$C$5),OR($C$6="Semua",$C$6="",H74=$C$6,H74="Pengeluaran "&amp;$C$6,AND($C$6="Uang Kos Mama",H74="Pengeluaran Uang Kos")),OR($C$7="Semua",$C$7="",I74=$C$7),OR($C$8="Semua",$C$8="",C74=$C$8,E74=$C$8),OR($C$9="Semua",$C$9="",D74=$C$9),OR($C$10="",B74&gt;=$C$10),OR($C$11="",B74&lt;=$C$11),OR($C$12&lt;&gt;"Ya",K74&lt;&gt;""),OR($C$13="Semua",$C$13="",L74=$C$13)),"✓","")</f>
        <v/>
      </c>
      <c r="N74" s="93">
        <f>N(N73)+IF(M74="✓",1,0)</f>
        <v/>
      </c>
      <c r="O74" s="93">
        <f>N(O73)+IF(AND(B74&lt;&gt;"",B74&gt;='Uang Riba'!$H$30,B74&lt;='Uang Riba'!$I$30,OR(H74="Dana riba",H74="Pinjam uang riba",I74="Pinjam dari uang riba",I74="Ganti uang riba",I74="Kelebihan ganti dikembalikan",AND(C74="Kantong Uang Riba",G74="Pengeluaran"))),1,0)</f>
        <v/>
      </c>
      <c r="P74" s="119">
        <f>IF(70&gt;MAX($N$16:$N$5015),"",INDEX($B$16:$B$5015,MATCH((MAX($N$16:$N$5015)-70+1),$N$16:$N$5015,0)))</f>
        <v/>
      </c>
      <c r="Q74" s="105">
        <f>IF(70&gt;MAX($N$16:$N$5015),"",INDEX($C$16:$C$5015,MATCH((MAX($N$16:$N$5015)-70+1),$N$16:$N$5015,0)))&amp;IF(IF(70&gt;MAX($N$16:$N$5015),"",INDEX($E$16:$E$5015,MATCH((MAX($N$16:$N$5015)-70+1),$N$16:$N$5015,0)))="",""," → "&amp;IF(70&gt;MAX($N$16:$N$5015),"",INDEX($E$16:$E$5015,MATCH((MAX($N$16:$N$5015)-70+1),$N$16:$N$5015,0))))</f>
        <v/>
      </c>
      <c r="R74" s="105">
        <f>IF(70&gt;MAX($N$16:$N$5015),"",INDEX($D$16:$D$5015,MATCH((MAX($N$16:$N$5015)-70+1),$N$16:$N$5015,0)))</f>
        <v/>
      </c>
      <c r="S74" s="113">
        <f>IF(70&gt;MAX($N$16:$N$5015),"",INDEX($F$16:$F$5015,MATCH((MAX($N$16:$N$5015)-70+1),$N$16:$N$5015,0)))</f>
        <v/>
      </c>
      <c r="T74" s="105">
        <f>IF(70&gt;MAX($N$16:$N$5015),"",IF(70&gt;MAX($N$16:$N$5015),"",INDEX($G$16:$G$5015,MATCH((MAX($N$16:$N$5015)-70+1),$N$16:$N$5015,0)))&amp;" › "&amp;IF(70&gt;MAX($N$16:$N$5015),"",INDEX($H$16:$H$5015,MATCH((MAX($N$16:$N$5015)-70+1),$N$16:$N$5015,0)))&amp;" › "&amp;IF(70&gt;MAX($N$16:$N$5015),"",INDEX($I$16:$I$5015,MATCH((MAX($N$16:$N$5015)-70+1),$N$16:$N$5015,0))))</f>
        <v/>
      </c>
      <c r="U74" s="105">
        <f>IF(70&gt;MAX($N$16:$N$5015),"",INDEX($J$16:$J$5015,MATCH((MAX($N$16:$N$5015)-70+1),$N$16:$N$5015,0)))&amp;IF(IF(70&gt;MAX($N$16:$N$5015),"",INDEX($L$16:$L$5015,MATCH((MAX($N$16:$N$5015)-70+1),$N$16:$N$5015,0)))="",""," ["&amp;IF(70&gt;MAX($N$16:$N$5015),"",INDEX($L$16:$L$5015,MATCH((MAX($N$16:$N$5015)-70+1),$N$16:$N$5015,0)))&amp;"]")</f>
        <v/>
      </c>
      <c r="V74" s="120">
        <f>IF(70&gt;MAX($N$16:$N$5015),"",HYPERLINK("#Transaksi!B"&amp;(MATCH((MAX($N$16:$N$5015)-70+1),$N$16:$N$5015,0)+15),"Buka"))</f>
        <v/>
      </c>
      <c r="X74" s="93">
        <f>IF(AND(B74&lt;&gt;"",B74&gt;='Buku Akun'!$H$4,B74&lt;='Buku Akun'!$H$5,OR(C74='Buku Akun'!$C$4,AND(D74="Pindah",E74='Buku Akun'!$C$4))),B74+IF(AND(I74="Selisih bunga",DAY(B74)=1),0,0.01)+ROW()/10000000,"")</f>
        <v/>
      </c>
    </row>
    <row r="75" outlineLevel="1" ht="15" customHeight="1" s="94">
      <c r="A75" s="123">
        <f>IF(B75="","",ROW()-15)</f>
        <v/>
      </c>
      <c r="B75" s="124" t="n"/>
      <c r="C75" s="123" t="n"/>
      <c r="D75" s="123" t="n"/>
      <c r="E75" s="123" t="n"/>
      <c r="F75" s="125" t="n"/>
      <c r="G75" s="123" t="n"/>
      <c r="H75" s="123" t="n"/>
      <c r="I75" s="123" t="n"/>
      <c r="J75" s="123" t="n"/>
      <c r="K75" s="123" t="n"/>
      <c r="L75" s="123" t="n"/>
      <c r="M75" s="123">
        <f>IF(AND(B75&lt;&gt;"",OR($C$4="",ISNUMBER(SEARCH($C$4,C75&amp;" "&amp;E75&amp;" "&amp;G75&amp;" "&amp;H75&amp;" "&amp;I75&amp;" "&amp;J75&amp;" "&amp;K75&amp;" "&amp;L75))),OR($C$5="Semua",$C$5="",G75=$C$5),OR($C$6="Semua",$C$6="",H75=$C$6,H75="Pengeluaran "&amp;$C$6,AND($C$6="Uang Kos Mama",H75="Pengeluaran Uang Kos")),OR($C$7="Semua",$C$7="",I75=$C$7),OR($C$8="Semua",$C$8="",C75=$C$8,E75=$C$8),OR($C$9="Semua",$C$9="",D75=$C$9),OR($C$10="",B75&gt;=$C$10),OR($C$11="",B75&lt;=$C$11),OR($C$12&lt;&gt;"Ya",K75&lt;&gt;""),OR($C$13="Semua",$C$13="",L75=$C$13)),"✓","")</f>
        <v/>
      </c>
      <c r="N75" s="93">
        <f>N(N74)+IF(M75="✓",1,0)</f>
        <v/>
      </c>
      <c r="O75" s="93">
        <f>N(O74)+IF(AND(B75&lt;&gt;"",B75&gt;='Uang Riba'!$H$30,B75&lt;='Uang Riba'!$I$30,OR(H75="Dana riba",H75="Pinjam uang riba",I75="Pinjam dari uang riba",I75="Ganti uang riba",I75="Kelebihan ganti dikembalikan",AND(C75="Kantong Uang Riba",G75="Pengeluaran"))),1,0)</f>
        <v/>
      </c>
      <c r="P75" s="119">
        <f>IF(71&gt;MAX($N$16:$N$5015),"",INDEX($B$16:$B$5015,MATCH((MAX($N$16:$N$5015)-71+1),$N$16:$N$5015,0)))</f>
        <v/>
      </c>
      <c r="Q75" s="105">
        <f>IF(71&gt;MAX($N$16:$N$5015),"",INDEX($C$16:$C$5015,MATCH((MAX($N$16:$N$5015)-71+1),$N$16:$N$5015,0)))&amp;IF(IF(71&gt;MAX($N$16:$N$5015),"",INDEX($E$16:$E$5015,MATCH((MAX($N$16:$N$5015)-71+1),$N$16:$N$5015,0)))="",""," → "&amp;IF(71&gt;MAX($N$16:$N$5015),"",INDEX($E$16:$E$5015,MATCH((MAX($N$16:$N$5015)-71+1),$N$16:$N$5015,0))))</f>
        <v/>
      </c>
      <c r="R75" s="105">
        <f>IF(71&gt;MAX($N$16:$N$5015),"",INDEX($D$16:$D$5015,MATCH((MAX($N$16:$N$5015)-71+1),$N$16:$N$5015,0)))</f>
        <v/>
      </c>
      <c r="S75" s="113">
        <f>IF(71&gt;MAX($N$16:$N$5015),"",INDEX($F$16:$F$5015,MATCH((MAX($N$16:$N$5015)-71+1),$N$16:$N$5015,0)))</f>
        <v/>
      </c>
      <c r="T75" s="105">
        <f>IF(71&gt;MAX($N$16:$N$5015),"",IF(71&gt;MAX($N$16:$N$5015),"",INDEX($G$16:$G$5015,MATCH((MAX($N$16:$N$5015)-71+1),$N$16:$N$5015,0)))&amp;" › "&amp;IF(71&gt;MAX($N$16:$N$5015),"",INDEX($H$16:$H$5015,MATCH((MAX($N$16:$N$5015)-71+1),$N$16:$N$5015,0)))&amp;" › "&amp;IF(71&gt;MAX($N$16:$N$5015),"",INDEX($I$16:$I$5015,MATCH((MAX($N$16:$N$5015)-71+1),$N$16:$N$5015,0))))</f>
        <v/>
      </c>
      <c r="U75" s="105">
        <f>IF(71&gt;MAX($N$16:$N$5015),"",INDEX($J$16:$J$5015,MATCH((MAX($N$16:$N$5015)-71+1),$N$16:$N$5015,0)))&amp;IF(IF(71&gt;MAX($N$16:$N$5015),"",INDEX($L$16:$L$5015,MATCH((MAX($N$16:$N$5015)-71+1),$N$16:$N$5015,0)))="",""," ["&amp;IF(71&gt;MAX($N$16:$N$5015),"",INDEX($L$16:$L$5015,MATCH((MAX($N$16:$N$5015)-71+1),$N$16:$N$5015,0)))&amp;"]")</f>
        <v/>
      </c>
      <c r="V75" s="120">
        <f>IF(71&gt;MAX($N$16:$N$5015),"",HYPERLINK("#Transaksi!B"&amp;(MATCH((MAX($N$16:$N$5015)-71+1),$N$16:$N$5015,0)+15),"Buka"))</f>
        <v/>
      </c>
      <c r="X75" s="93">
        <f>IF(AND(B75&lt;&gt;"",B75&gt;='Buku Akun'!$H$4,B75&lt;='Buku Akun'!$H$5,OR(C75='Buku Akun'!$C$4,AND(D75="Pindah",E75='Buku Akun'!$C$4))),B75+IF(AND(I75="Selisih bunga",DAY(B75)=1),0,0.01)+ROW()/10000000,"")</f>
        <v/>
      </c>
    </row>
    <row r="76" outlineLevel="1" ht="15" customHeight="1" s="94">
      <c r="A76" s="123">
        <f>IF(B76="","",ROW()-15)</f>
        <v/>
      </c>
      <c r="B76" s="124" t="n"/>
      <c r="C76" s="123" t="n"/>
      <c r="D76" s="123" t="n"/>
      <c r="E76" s="123" t="n"/>
      <c r="F76" s="125" t="n"/>
      <c r="G76" s="123" t="n"/>
      <c r="H76" s="123" t="n"/>
      <c r="I76" s="123" t="n"/>
      <c r="J76" s="123" t="n"/>
      <c r="K76" s="123" t="n"/>
      <c r="L76" s="123" t="n"/>
      <c r="M76" s="123">
        <f>IF(AND(B76&lt;&gt;"",OR($C$4="",ISNUMBER(SEARCH($C$4,C76&amp;" "&amp;E76&amp;" "&amp;G76&amp;" "&amp;H76&amp;" "&amp;I76&amp;" "&amp;J76&amp;" "&amp;K76&amp;" "&amp;L76))),OR($C$5="Semua",$C$5="",G76=$C$5),OR($C$6="Semua",$C$6="",H76=$C$6,H76="Pengeluaran "&amp;$C$6,AND($C$6="Uang Kos Mama",H76="Pengeluaran Uang Kos")),OR($C$7="Semua",$C$7="",I76=$C$7),OR($C$8="Semua",$C$8="",C76=$C$8,E76=$C$8),OR($C$9="Semua",$C$9="",D76=$C$9),OR($C$10="",B76&gt;=$C$10),OR($C$11="",B76&lt;=$C$11),OR($C$12&lt;&gt;"Ya",K76&lt;&gt;""),OR($C$13="Semua",$C$13="",L76=$C$13)),"✓","")</f>
        <v/>
      </c>
      <c r="N76" s="93">
        <f>N(N75)+IF(M76="✓",1,0)</f>
        <v/>
      </c>
      <c r="O76" s="93">
        <f>N(O75)+IF(AND(B76&lt;&gt;"",B76&gt;='Uang Riba'!$H$30,B76&lt;='Uang Riba'!$I$30,OR(H76="Dana riba",H76="Pinjam uang riba",I76="Pinjam dari uang riba",I76="Ganti uang riba",I76="Kelebihan ganti dikembalikan",AND(C76="Kantong Uang Riba",G76="Pengeluaran"))),1,0)</f>
        <v/>
      </c>
      <c r="P76" s="119">
        <f>IF(72&gt;MAX($N$16:$N$5015),"",INDEX($B$16:$B$5015,MATCH((MAX($N$16:$N$5015)-72+1),$N$16:$N$5015,0)))</f>
        <v/>
      </c>
      <c r="Q76" s="105">
        <f>IF(72&gt;MAX($N$16:$N$5015),"",INDEX($C$16:$C$5015,MATCH((MAX($N$16:$N$5015)-72+1),$N$16:$N$5015,0)))&amp;IF(IF(72&gt;MAX($N$16:$N$5015),"",INDEX($E$16:$E$5015,MATCH((MAX($N$16:$N$5015)-72+1),$N$16:$N$5015,0)))="",""," → "&amp;IF(72&gt;MAX($N$16:$N$5015),"",INDEX($E$16:$E$5015,MATCH((MAX($N$16:$N$5015)-72+1),$N$16:$N$5015,0))))</f>
        <v/>
      </c>
      <c r="R76" s="105">
        <f>IF(72&gt;MAX($N$16:$N$5015),"",INDEX($D$16:$D$5015,MATCH((MAX($N$16:$N$5015)-72+1),$N$16:$N$5015,0)))</f>
        <v/>
      </c>
      <c r="S76" s="113">
        <f>IF(72&gt;MAX($N$16:$N$5015),"",INDEX($F$16:$F$5015,MATCH((MAX($N$16:$N$5015)-72+1),$N$16:$N$5015,0)))</f>
        <v/>
      </c>
      <c r="T76" s="105">
        <f>IF(72&gt;MAX($N$16:$N$5015),"",IF(72&gt;MAX($N$16:$N$5015),"",INDEX($G$16:$G$5015,MATCH((MAX($N$16:$N$5015)-72+1),$N$16:$N$5015,0)))&amp;" › "&amp;IF(72&gt;MAX($N$16:$N$5015),"",INDEX($H$16:$H$5015,MATCH((MAX($N$16:$N$5015)-72+1),$N$16:$N$5015,0)))&amp;" › "&amp;IF(72&gt;MAX($N$16:$N$5015),"",INDEX($I$16:$I$5015,MATCH((MAX($N$16:$N$5015)-72+1),$N$16:$N$5015,0))))</f>
        <v/>
      </c>
      <c r="U76" s="105">
        <f>IF(72&gt;MAX($N$16:$N$5015),"",INDEX($J$16:$J$5015,MATCH((MAX($N$16:$N$5015)-72+1),$N$16:$N$5015,0)))&amp;IF(IF(72&gt;MAX($N$16:$N$5015),"",INDEX($L$16:$L$5015,MATCH((MAX($N$16:$N$5015)-72+1),$N$16:$N$5015,0)))="",""," ["&amp;IF(72&gt;MAX($N$16:$N$5015),"",INDEX($L$16:$L$5015,MATCH((MAX($N$16:$N$5015)-72+1),$N$16:$N$5015,0)))&amp;"]")</f>
        <v/>
      </c>
      <c r="V76" s="120">
        <f>IF(72&gt;MAX($N$16:$N$5015),"",HYPERLINK("#Transaksi!B"&amp;(MATCH((MAX($N$16:$N$5015)-72+1),$N$16:$N$5015,0)+15),"Buka"))</f>
        <v/>
      </c>
      <c r="X76" s="93">
        <f>IF(AND(B76&lt;&gt;"",B76&gt;='Buku Akun'!$H$4,B76&lt;='Buku Akun'!$H$5,OR(C76='Buku Akun'!$C$4,AND(D76="Pindah",E76='Buku Akun'!$C$4))),B76+IF(AND(I76="Selisih bunga",DAY(B76)=1),0,0.01)+ROW()/10000000,"")</f>
        <v/>
      </c>
    </row>
    <row r="77" outlineLevel="1" ht="15" customHeight="1" s="94">
      <c r="A77" s="123">
        <f>IF(B77="","",ROW()-15)</f>
        <v/>
      </c>
      <c r="B77" s="124" t="n"/>
      <c r="C77" s="123" t="n"/>
      <c r="D77" s="123" t="n"/>
      <c r="E77" s="123" t="n"/>
      <c r="F77" s="125" t="n"/>
      <c r="G77" s="123" t="n"/>
      <c r="H77" s="123" t="n"/>
      <c r="I77" s="123" t="n"/>
      <c r="J77" s="123" t="n"/>
      <c r="K77" s="123" t="n"/>
      <c r="L77" s="123" t="n"/>
      <c r="M77" s="123">
        <f>IF(AND(B77&lt;&gt;"",OR($C$4="",ISNUMBER(SEARCH($C$4,C77&amp;" "&amp;E77&amp;" "&amp;G77&amp;" "&amp;H77&amp;" "&amp;I77&amp;" "&amp;J77&amp;" "&amp;K77&amp;" "&amp;L77))),OR($C$5="Semua",$C$5="",G77=$C$5),OR($C$6="Semua",$C$6="",H77=$C$6,H77="Pengeluaran "&amp;$C$6,AND($C$6="Uang Kos Mama",H77="Pengeluaran Uang Kos")),OR($C$7="Semua",$C$7="",I77=$C$7),OR($C$8="Semua",$C$8="",C77=$C$8,E77=$C$8),OR($C$9="Semua",$C$9="",D77=$C$9),OR($C$10="",B77&gt;=$C$10),OR($C$11="",B77&lt;=$C$11),OR($C$12&lt;&gt;"Ya",K77&lt;&gt;""),OR($C$13="Semua",$C$13="",L77=$C$13)),"✓","")</f>
        <v/>
      </c>
      <c r="N77" s="93">
        <f>N(N76)+IF(M77="✓",1,0)</f>
        <v/>
      </c>
      <c r="O77" s="93">
        <f>N(O76)+IF(AND(B77&lt;&gt;"",B77&gt;='Uang Riba'!$H$30,B77&lt;='Uang Riba'!$I$30,OR(H77="Dana riba",H77="Pinjam uang riba",I77="Pinjam dari uang riba",I77="Ganti uang riba",I77="Kelebihan ganti dikembalikan",AND(C77="Kantong Uang Riba",G77="Pengeluaran"))),1,0)</f>
        <v/>
      </c>
      <c r="P77" s="119">
        <f>IF(73&gt;MAX($N$16:$N$5015),"",INDEX($B$16:$B$5015,MATCH((MAX($N$16:$N$5015)-73+1),$N$16:$N$5015,0)))</f>
        <v/>
      </c>
      <c r="Q77" s="105">
        <f>IF(73&gt;MAX($N$16:$N$5015),"",INDEX($C$16:$C$5015,MATCH((MAX($N$16:$N$5015)-73+1),$N$16:$N$5015,0)))&amp;IF(IF(73&gt;MAX($N$16:$N$5015),"",INDEX($E$16:$E$5015,MATCH((MAX($N$16:$N$5015)-73+1),$N$16:$N$5015,0)))="",""," → "&amp;IF(73&gt;MAX($N$16:$N$5015),"",INDEX($E$16:$E$5015,MATCH((MAX($N$16:$N$5015)-73+1),$N$16:$N$5015,0))))</f>
        <v/>
      </c>
      <c r="R77" s="105">
        <f>IF(73&gt;MAX($N$16:$N$5015),"",INDEX($D$16:$D$5015,MATCH((MAX($N$16:$N$5015)-73+1),$N$16:$N$5015,0)))</f>
        <v/>
      </c>
      <c r="S77" s="113">
        <f>IF(73&gt;MAX($N$16:$N$5015),"",INDEX($F$16:$F$5015,MATCH((MAX($N$16:$N$5015)-73+1),$N$16:$N$5015,0)))</f>
        <v/>
      </c>
      <c r="T77" s="105">
        <f>IF(73&gt;MAX($N$16:$N$5015),"",IF(73&gt;MAX($N$16:$N$5015),"",INDEX($G$16:$G$5015,MATCH((MAX($N$16:$N$5015)-73+1),$N$16:$N$5015,0)))&amp;" › "&amp;IF(73&gt;MAX($N$16:$N$5015),"",INDEX($H$16:$H$5015,MATCH((MAX($N$16:$N$5015)-73+1),$N$16:$N$5015,0)))&amp;" › "&amp;IF(73&gt;MAX($N$16:$N$5015),"",INDEX($I$16:$I$5015,MATCH((MAX($N$16:$N$5015)-73+1),$N$16:$N$5015,0))))</f>
        <v/>
      </c>
      <c r="U77" s="105">
        <f>IF(73&gt;MAX($N$16:$N$5015),"",INDEX($J$16:$J$5015,MATCH((MAX($N$16:$N$5015)-73+1),$N$16:$N$5015,0)))&amp;IF(IF(73&gt;MAX($N$16:$N$5015),"",INDEX($L$16:$L$5015,MATCH((MAX($N$16:$N$5015)-73+1),$N$16:$N$5015,0)))="",""," ["&amp;IF(73&gt;MAX($N$16:$N$5015),"",INDEX($L$16:$L$5015,MATCH((MAX($N$16:$N$5015)-73+1),$N$16:$N$5015,0)))&amp;"]")</f>
        <v/>
      </c>
      <c r="V77" s="120">
        <f>IF(73&gt;MAX($N$16:$N$5015),"",HYPERLINK("#Transaksi!B"&amp;(MATCH((MAX($N$16:$N$5015)-73+1),$N$16:$N$5015,0)+15),"Buka"))</f>
        <v/>
      </c>
      <c r="X77" s="93">
        <f>IF(AND(B77&lt;&gt;"",B77&gt;='Buku Akun'!$H$4,B77&lt;='Buku Akun'!$H$5,OR(C77='Buku Akun'!$C$4,AND(D77="Pindah",E77='Buku Akun'!$C$4))),B77+IF(AND(I77="Selisih bunga",DAY(B77)=1),0,0.01)+ROW()/10000000,"")</f>
        <v/>
      </c>
    </row>
    <row r="78" outlineLevel="1" ht="15" customHeight="1" s="94">
      <c r="A78" s="123">
        <f>IF(B78="","",ROW()-15)</f>
        <v/>
      </c>
      <c r="B78" s="124" t="n"/>
      <c r="C78" s="123" t="n"/>
      <c r="D78" s="123" t="n"/>
      <c r="E78" s="123" t="n"/>
      <c r="F78" s="125" t="n"/>
      <c r="G78" s="123" t="n"/>
      <c r="H78" s="123" t="n"/>
      <c r="I78" s="123" t="n"/>
      <c r="J78" s="123" t="n"/>
      <c r="K78" s="123" t="n"/>
      <c r="L78" s="123" t="n"/>
      <c r="M78" s="123">
        <f>IF(AND(B78&lt;&gt;"",OR($C$4="",ISNUMBER(SEARCH($C$4,C78&amp;" "&amp;E78&amp;" "&amp;G78&amp;" "&amp;H78&amp;" "&amp;I78&amp;" "&amp;J78&amp;" "&amp;K78&amp;" "&amp;L78))),OR($C$5="Semua",$C$5="",G78=$C$5),OR($C$6="Semua",$C$6="",H78=$C$6,H78="Pengeluaran "&amp;$C$6,AND($C$6="Uang Kos Mama",H78="Pengeluaran Uang Kos")),OR($C$7="Semua",$C$7="",I78=$C$7),OR($C$8="Semua",$C$8="",C78=$C$8,E78=$C$8),OR($C$9="Semua",$C$9="",D78=$C$9),OR($C$10="",B78&gt;=$C$10),OR($C$11="",B78&lt;=$C$11),OR($C$12&lt;&gt;"Ya",K78&lt;&gt;""),OR($C$13="Semua",$C$13="",L78=$C$13)),"✓","")</f>
        <v/>
      </c>
      <c r="N78" s="93">
        <f>N(N77)+IF(M78="✓",1,0)</f>
        <v/>
      </c>
      <c r="O78" s="93">
        <f>N(O77)+IF(AND(B78&lt;&gt;"",B78&gt;='Uang Riba'!$H$30,B78&lt;='Uang Riba'!$I$30,OR(H78="Dana riba",H78="Pinjam uang riba",I78="Pinjam dari uang riba",I78="Ganti uang riba",I78="Kelebihan ganti dikembalikan",AND(C78="Kantong Uang Riba",G78="Pengeluaran"))),1,0)</f>
        <v/>
      </c>
      <c r="P78" s="119">
        <f>IF(74&gt;MAX($N$16:$N$5015),"",INDEX($B$16:$B$5015,MATCH((MAX($N$16:$N$5015)-74+1),$N$16:$N$5015,0)))</f>
        <v/>
      </c>
      <c r="Q78" s="105">
        <f>IF(74&gt;MAX($N$16:$N$5015),"",INDEX($C$16:$C$5015,MATCH((MAX($N$16:$N$5015)-74+1),$N$16:$N$5015,0)))&amp;IF(IF(74&gt;MAX($N$16:$N$5015),"",INDEX($E$16:$E$5015,MATCH((MAX($N$16:$N$5015)-74+1),$N$16:$N$5015,0)))="",""," → "&amp;IF(74&gt;MAX($N$16:$N$5015),"",INDEX($E$16:$E$5015,MATCH((MAX($N$16:$N$5015)-74+1),$N$16:$N$5015,0))))</f>
        <v/>
      </c>
      <c r="R78" s="105">
        <f>IF(74&gt;MAX($N$16:$N$5015),"",INDEX($D$16:$D$5015,MATCH((MAX($N$16:$N$5015)-74+1),$N$16:$N$5015,0)))</f>
        <v/>
      </c>
      <c r="S78" s="113">
        <f>IF(74&gt;MAX($N$16:$N$5015),"",INDEX($F$16:$F$5015,MATCH((MAX($N$16:$N$5015)-74+1),$N$16:$N$5015,0)))</f>
        <v/>
      </c>
      <c r="T78" s="105">
        <f>IF(74&gt;MAX($N$16:$N$5015),"",IF(74&gt;MAX($N$16:$N$5015),"",INDEX($G$16:$G$5015,MATCH((MAX($N$16:$N$5015)-74+1),$N$16:$N$5015,0)))&amp;" › "&amp;IF(74&gt;MAX($N$16:$N$5015),"",INDEX($H$16:$H$5015,MATCH((MAX($N$16:$N$5015)-74+1),$N$16:$N$5015,0)))&amp;" › "&amp;IF(74&gt;MAX($N$16:$N$5015),"",INDEX($I$16:$I$5015,MATCH((MAX($N$16:$N$5015)-74+1),$N$16:$N$5015,0))))</f>
        <v/>
      </c>
      <c r="U78" s="105">
        <f>IF(74&gt;MAX($N$16:$N$5015),"",INDEX($J$16:$J$5015,MATCH((MAX($N$16:$N$5015)-74+1),$N$16:$N$5015,0)))&amp;IF(IF(74&gt;MAX($N$16:$N$5015),"",INDEX($L$16:$L$5015,MATCH((MAX($N$16:$N$5015)-74+1),$N$16:$N$5015,0)))="",""," ["&amp;IF(74&gt;MAX($N$16:$N$5015),"",INDEX($L$16:$L$5015,MATCH((MAX($N$16:$N$5015)-74+1),$N$16:$N$5015,0)))&amp;"]")</f>
        <v/>
      </c>
      <c r="V78" s="120">
        <f>IF(74&gt;MAX($N$16:$N$5015),"",HYPERLINK("#Transaksi!B"&amp;(MATCH((MAX($N$16:$N$5015)-74+1),$N$16:$N$5015,0)+15),"Buka"))</f>
        <v/>
      </c>
      <c r="X78" s="93">
        <f>IF(AND(B78&lt;&gt;"",B78&gt;='Buku Akun'!$H$4,B78&lt;='Buku Akun'!$H$5,OR(C78='Buku Akun'!$C$4,AND(D78="Pindah",E78='Buku Akun'!$C$4))),B78+IF(AND(I78="Selisih bunga",DAY(B78)=1),0,0.01)+ROW()/10000000,"")</f>
        <v/>
      </c>
    </row>
    <row r="79" outlineLevel="1" ht="15" customHeight="1" s="94">
      <c r="A79" s="123">
        <f>IF(B79="","",ROW()-15)</f>
        <v/>
      </c>
      <c r="B79" s="124" t="n"/>
      <c r="C79" s="123" t="n"/>
      <c r="D79" s="123" t="n"/>
      <c r="E79" s="123" t="n"/>
      <c r="F79" s="125" t="n"/>
      <c r="G79" s="123" t="n"/>
      <c r="H79" s="123" t="n"/>
      <c r="I79" s="123" t="n"/>
      <c r="J79" s="123" t="n"/>
      <c r="K79" s="123" t="n"/>
      <c r="L79" s="123" t="n"/>
      <c r="M79" s="123">
        <f>IF(AND(B79&lt;&gt;"",OR($C$4="",ISNUMBER(SEARCH($C$4,C79&amp;" "&amp;E79&amp;" "&amp;G79&amp;" "&amp;H79&amp;" "&amp;I79&amp;" "&amp;J79&amp;" "&amp;K79&amp;" "&amp;L79))),OR($C$5="Semua",$C$5="",G79=$C$5),OR($C$6="Semua",$C$6="",H79=$C$6,H79="Pengeluaran "&amp;$C$6,AND($C$6="Uang Kos Mama",H79="Pengeluaran Uang Kos")),OR($C$7="Semua",$C$7="",I79=$C$7),OR($C$8="Semua",$C$8="",C79=$C$8,E79=$C$8),OR($C$9="Semua",$C$9="",D79=$C$9),OR($C$10="",B79&gt;=$C$10),OR($C$11="",B79&lt;=$C$11),OR($C$12&lt;&gt;"Ya",K79&lt;&gt;""),OR($C$13="Semua",$C$13="",L79=$C$13)),"✓","")</f>
        <v/>
      </c>
      <c r="N79" s="93">
        <f>N(N78)+IF(M79="✓",1,0)</f>
        <v/>
      </c>
      <c r="O79" s="93">
        <f>N(O78)+IF(AND(B79&lt;&gt;"",B79&gt;='Uang Riba'!$H$30,B79&lt;='Uang Riba'!$I$30,OR(H79="Dana riba",H79="Pinjam uang riba",I79="Pinjam dari uang riba",I79="Ganti uang riba",I79="Kelebihan ganti dikembalikan",AND(C79="Kantong Uang Riba",G79="Pengeluaran"))),1,0)</f>
        <v/>
      </c>
      <c r="P79" s="119">
        <f>IF(75&gt;MAX($N$16:$N$5015),"",INDEX($B$16:$B$5015,MATCH((MAX($N$16:$N$5015)-75+1),$N$16:$N$5015,0)))</f>
        <v/>
      </c>
      <c r="Q79" s="105">
        <f>IF(75&gt;MAX($N$16:$N$5015),"",INDEX($C$16:$C$5015,MATCH((MAX($N$16:$N$5015)-75+1),$N$16:$N$5015,0)))&amp;IF(IF(75&gt;MAX($N$16:$N$5015),"",INDEX($E$16:$E$5015,MATCH((MAX($N$16:$N$5015)-75+1),$N$16:$N$5015,0)))="",""," → "&amp;IF(75&gt;MAX($N$16:$N$5015),"",INDEX($E$16:$E$5015,MATCH((MAX($N$16:$N$5015)-75+1),$N$16:$N$5015,0))))</f>
        <v/>
      </c>
      <c r="R79" s="105">
        <f>IF(75&gt;MAX($N$16:$N$5015),"",INDEX($D$16:$D$5015,MATCH((MAX($N$16:$N$5015)-75+1),$N$16:$N$5015,0)))</f>
        <v/>
      </c>
      <c r="S79" s="113">
        <f>IF(75&gt;MAX($N$16:$N$5015),"",INDEX($F$16:$F$5015,MATCH((MAX($N$16:$N$5015)-75+1),$N$16:$N$5015,0)))</f>
        <v/>
      </c>
      <c r="T79" s="105">
        <f>IF(75&gt;MAX($N$16:$N$5015),"",IF(75&gt;MAX($N$16:$N$5015),"",INDEX($G$16:$G$5015,MATCH((MAX($N$16:$N$5015)-75+1),$N$16:$N$5015,0)))&amp;" › "&amp;IF(75&gt;MAX($N$16:$N$5015),"",INDEX($H$16:$H$5015,MATCH((MAX($N$16:$N$5015)-75+1),$N$16:$N$5015,0)))&amp;" › "&amp;IF(75&gt;MAX($N$16:$N$5015),"",INDEX($I$16:$I$5015,MATCH((MAX($N$16:$N$5015)-75+1),$N$16:$N$5015,0))))</f>
        <v/>
      </c>
      <c r="U79" s="105">
        <f>IF(75&gt;MAX($N$16:$N$5015),"",INDEX($J$16:$J$5015,MATCH((MAX($N$16:$N$5015)-75+1),$N$16:$N$5015,0)))&amp;IF(IF(75&gt;MAX($N$16:$N$5015),"",INDEX($L$16:$L$5015,MATCH((MAX($N$16:$N$5015)-75+1),$N$16:$N$5015,0)))="",""," ["&amp;IF(75&gt;MAX($N$16:$N$5015),"",INDEX($L$16:$L$5015,MATCH((MAX($N$16:$N$5015)-75+1),$N$16:$N$5015,0)))&amp;"]")</f>
        <v/>
      </c>
      <c r="V79" s="120">
        <f>IF(75&gt;MAX($N$16:$N$5015),"",HYPERLINK("#Transaksi!B"&amp;(MATCH((MAX($N$16:$N$5015)-75+1),$N$16:$N$5015,0)+15),"Buka"))</f>
        <v/>
      </c>
      <c r="X79" s="93">
        <f>IF(AND(B79&lt;&gt;"",B79&gt;='Buku Akun'!$H$4,B79&lt;='Buku Akun'!$H$5,OR(C79='Buku Akun'!$C$4,AND(D79="Pindah",E79='Buku Akun'!$C$4))),B79+IF(AND(I79="Selisih bunga",DAY(B79)=1),0,0.01)+ROW()/10000000,"")</f>
        <v/>
      </c>
    </row>
    <row r="80" outlineLevel="1" ht="15" customHeight="1" s="94">
      <c r="A80" s="123">
        <f>IF(B80="","",ROW()-15)</f>
        <v/>
      </c>
      <c r="B80" s="124" t="n"/>
      <c r="C80" s="123" t="n"/>
      <c r="D80" s="123" t="n"/>
      <c r="E80" s="123" t="n"/>
      <c r="F80" s="125" t="n"/>
      <c r="G80" s="123" t="n"/>
      <c r="H80" s="123" t="n"/>
      <c r="I80" s="123" t="n"/>
      <c r="J80" s="123" t="n"/>
      <c r="K80" s="123" t="n"/>
      <c r="L80" s="123" t="n"/>
      <c r="M80" s="123">
        <f>IF(AND(B80&lt;&gt;"",OR($C$4="",ISNUMBER(SEARCH($C$4,C80&amp;" "&amp;E80&amp;" "&amp;G80&amp;" "&amp;H80&amp;" "&amp;I80&amp;" "&amp;J80&amp;" "&amp;K80&amp;" "&amp;L80))),OR($C$5="Semua",$C$5="",G80=$C$5),OR($C$6="Semua",$C$6="",H80=$C$6,H80="Pengeluaran "&amp;$C$6,AND($C$6="Uang Kos Mama",H80="Pengeluaran Uang Kos")),OR($C$7="Semua",$C$7="",I80=$C$7),OR($C$8="Semua",$C$8="",C80=$C$8,E80=$C$8),OR($C$9="Semua",$C$9="",D80=$C$9),OR($C$10="",B80&gt;=$C$10),OR($C$11="",B80&lt;=$C$11),OR($C$12&lt;&gt;"Ya",K80&lt;&gt;""),OR($C$13="Semua",$C$13="",L80=$C$13)),"✓","")</f>
        <v/>
      </c>
      <c r="N80" s="93">
        <f>N(N79)+IF(M80="✓",1,0)</f>
        <v/>
      </c>
      <c r="O80" s="93">
        <f>N(O79)+IF(AND(B80&lt;&gt;"",B80&gt;='Uang Riba'!$H$30,B80&lt;='Uang Riba'!$I$30,OR(H80="Dana riba",H80="Pinjam uang riba",I80="Pinjam dari uang riba",I80="Ganti uang riba",I80="Kelebihan ganti dikembalikan",AND(C80="Kantong Uang Riba",G80="Pengeluaran"))),1,0)</f>
        <v/>
      </c>
      <c r="P80" s="119">
        <f>IF(76&gt;MAX($N$16:$N$5015),"",INDEX($B$16:$B$5015,MATCH((MAX($N$16:$N$5015)-76+1),$N$16:$N$5015,0)))</f>
        <v/>
      </c>
      <c r="Q80" s="105">
        <f>IF(76&gt;MAX($N$16:$N$5015),"",INDEX($C$16:$C$5015,MATCH((MAX($N$16:$N$5015)-76+1),$N$16:$N$5015,0)))&amp;IF(IF(76&gt;MAX($N$16:$N$5015),"",INDEX($E$16:$E$5015,MATCH((MAX($N$16:$N$5015)-76+1),$N$16:$N$5015,0)))="",""," → "&amp;IF(76&gt;MAX($N$16:$N$5015),"",INDEX($E$16:$E$5015,MATCH((MAX($N$16:$N$5015)-76+1),$N$16:$N$5015,0))))</f>
        <v/>
      </c>
      <c r="R80" s="105">
        <f>IF(76&gt;MAX($N$16:$N$5015),"",INDEX($D$16:$D$5015,MATCH((MAX($N$16:$N$5015)-76+1),$N$16:$N$5015,0)))</f>
        <v/>
      </c>
      <c r="S80" s="113">
        <f>IF(76&gt;MAX($N$16:$N$5015),"",INDEX($F$16:$F$5015,MATCH((MAX($N$16:$N$5015)-76+1),$N$16:$N$5015,0)))</f>
        <v/>
      </c>
      <c r="T80" s="105">
        <f>IF(76&gt;MAX($N$16:$N$5015),"",IF(76&gt;MAX($N$16:$N$5015),"",INDEX($G$16:$G$5015,MATCH((MAX($N$16:$N$5015)-76+1),$N$16:$N$5015,0)))&amp;" › "&amp;IF(76&gt;MAX($N$16:$N$5015),"",INDEX($H$16:$H$5015,MATCH((MAX($N$16:$N$5015)-76+1),$N$16:$N$5015,0)))&amp;" › "&amp;IF(76&gt;MAX($N$16:$N$5015),"",INDEX($I$16:$I$5015,MATCH((MAX($N$16:$N$5015)-76+1),$N$16:$N$5015,0))))</f>
        <v/>
      </c>
      <c r="U80" s="105">
        <f>IF(76&gt;MAX($N$16:$N$5015),"",INDEX($J$16:$J$5015,MATCH((MAX($N$16:$N$5015)-76+1),$N$16:$N$5015,0)))&amp;IF(IF(76&gt;MAX($N$16:$N$5015),"",INDEX($L$16:$L$5015,MATCH((MAX($N$16:$N$5015)-76+1),$N$16:$N$5015,0)))="",""," ["&amp;IF(76&gt;MAX($N$16:$N$5015),"",INDEX($L$16:$L$5015,MATCH((MAX($N$16:$N$5015)-76+1),$N$16:$N$5015,0)))&amp;"]")</f>
        <v/>
      </c>
      <c r="V80" s="120">
        <f>IF(76&gt;MAX($N$16:$N$5015),"",HYPERLINK("#Transaksi!B"&amp;(MATCH((MAX($N$16:$N$5015)-76+1),$N$16:$N$5015,0)+15),"Buka"))</f>
        <v/>
      </c>
      <c r="X80" s="93">
        <f>IF(AND(B80&lt;&gt;"",B80&gt;='Buku Akun'!$H$4,B80&lt;='Buku Akun'!$H$5,OR(C80='Buku Akun'!$C$4,AND(D80="Pindah",E80='Buku Akun'!$C$4))),B80+IF(AND(I80="Selisih bunga",DAY(B80)=1),0,0.01)+ROW()/10000000,"")</f>
        <v/>
      </c>
    </row>
    <row r="81" outlineLevel="1" ht="15" customHeight="1" s="94">
      <c r="A81" s="123">
        <f>IF(B81="","",ROW()-15)</f>
        <v/>
      </c>
      <c r="B81" s="124" t="n"/>
      <c r="C81" s="123" t="n"/>
      <c r="D81" s="123" t="n"/>
      <c r="E81" s="123" t="n"/>
      <c r="F81" s="125" t="n"/>
      <c r="G81" s="123" t="n"/>
      <c r="H81" s="123" t="n"/>
      <c r="I81" s="123" t="n"/>
      <c r="J81" s="123" t="n"/>
      <c r="K81" s="123" t="n"/>
      <c r="L81" s="123" t="n"/>
      <c r="M81" s="123">
        <f>IF(AND(B81&lt;&gt;"",OR($C$4="",ISNUMBER(SEARCH($C$4,C81&amp;" "&amp;E81&amp;" "&amp;G81&amp;" "&amp;H81&amp;" "&amp;I81&amp;" "&amp;J81&amp;" "&amp;K81&amp;" "&amp;L81))),OR($C$5="Semua",$C$5="",G81=$C$5),OR($C$6="Semua",$C$6="",H81=$C$6,H81="Pengeluaran "&amp;$C$6,AND($C$6="Uang Kos Mama",H81="Pengeluaran Uang Kos")),OR($C$7="Semua",$C$7="",I81=$C$7),OR($C$8="Semua",$C$8="",C81=$C$8,E81=$C$8),OR($C$9="Semua",$C$9="",D81=$C$9),OR($C$10="",B81&gt;=$C$10),OR($C$11="",B81&lt;=$C$11),OR($C$12&lt;&gt;"Ya",K81&lt;&gt;""),OR($C$13="Semua",$C$13="",L81=$C$13)),"✓","")</f>
        <v/>
      </c>
      <c r="N81" s="93">
        <f>N(N80)+IF(M81="✓",1,0)</f>
        <v/>
      </c>
      <c r="O81" s="93">
        <f>N(O80)+IF(AND(B81&lt;&gt;"",B81&gt;='Uang Riba'!$H$30,B81&lt;='Uang Riba'!$I$30,OR(H81="Dana riba",H81="Pinjam uang riba",I81="Pinjam dari uang riba",I81="Ganti uang riba",I81="Kelebihan ganti dikembalikan",AND(C81="Kantong Uang Riba",G81="Pengeluaran"))),1,0)</f>
        <v/>
      </c>
      <c r="P81" s="119">
        <f>IF(77&gt;MAX($N$16:$N$5015),"",INDEX($B$16:$B$5015,MATCH((MAX($N$16:$N$5015)-77+1),$N$16:$N$5015,0)))</f>
        <v/>
      </c>
      <c r="Q81" s="105">
        <f>IF(77&gt;MAX($N$16:$N$5015),"",INDEX($C$16:$C$5015,MATCH((MAX($N$16:$N$5015)-77+1),$N$16:$N$5015,0)))&amp;IF(IF(77&gt;MAX($N$16:$N$5015),"",INDEX($E$16:$E$5015,MATCH((MAX($N$16:$N$5015)-77+1),$N$16:$N$5015,0)))="",""," → "&amp;IF(77&gt;MAX($N$16:$N$5015),"",INDEX($E$16:$E$5015,MATCH((MAX($N$16:$N$5015)-77+1),$N$16:$N$5015,0))))</f>
        <v/>
      </c>
      <c r="R81" s="105">
        <f>IF(77&gt;MAX($N$16:$N$5015),"",INDEX($D$16:$D$5015,MATCH((MAX($N$16:$N$5015)-77+1),$N$16:$N$5015,0)))</f>
        <v/>
      </c>
      <c r="S81" s="113">
        <f>IF(77&gt;MAX($N$16:$N$5015),"",INDEX($F$16:$F$5015,MATCH((MAX($N$16:$N$5015)-77+1),$N$16:$N$5015,0)))</f>
        <v/>
      </c>
      <c r="T81" s="105">
        <f>IF(77&gt;MAX($N$16:$N$5015),"",IF(77&gt;MAX($N$16:$N$5015),"",INDEX($G$16:$G$5015,MATCH((MAX($N$16:$N$5015)-77+1),$N$16:$N$5015,0)))&amp;" › "&amp;IF(77&gt;MAX($N$16:$N$5015),"",INDEX($H$16:$H$5015,MATCH((MAX($N$16:$N$5015)-77+1),$N$16:$N$5015,0)))&amp;" › "&amp;IF(77&gt;MAX($N$16:$N$5015),"",INDEX($I$16:$I$5015,MATCH((MAX($N$16:$N$5015)-77+1),$N$16:$N$5015,0))))</f>
        <v/>
      </c>
      <c r="U81" s="105">
        <f>IF(77&gt;MAX($N$16:$N$5015),"",INDEX($J$16:$J$5015,MATCH((MAX($N$16:$N$5015)-77+1),$N$16:$N$5015,0)))&amp;IF(IF(77&gt;MAX($N$16:$N$5015),"",INDEX($L$16:$L$5015,MATCH((MAX($N$16:$N$5015)-77+1),$N$16:$N$5015,0)))="",""," ["&amp;IF(77&gt;MAX($N$16:$N$5015),"",INDEX($L$16:$L$5015,MATCH((MAX($N$16:$N$5015)-77+1),$N$16:$N$5015,0)))&amp;"]")</f>
        <v/>
      </c>
      <c r="V81" s="120">
        <f>IF(77&gt;MAX($N$16:$N$5015),"",HYPERLINK("#Transaksi!B"&amp;(MATCH((MAX($N$16:$N$5015)-77+1),$N$16:$N$5015,0)+15),"Buka"))</f>
        <v/>
      </c>
      <c r="X81" s="93">
        <f>IF(AND(B81&lt;&gt;"",B81&gt;='Buku Akun'!$H$4,B81&lt;='Buku Akun'!$H$5,OR(C81='Buku Akun'!$C$4,AND(D81="Pindah",E81='Buku Akun'!$C$4))),B81+IF(AND(I81="Selisih bunga",DAY(B81)=1),0,0.01)+ROW()/10000000,"")</f>
        <v/>
      </c>
    </row>
    <row r="82" outlineLevel="1" ht="15" customHeight="1" s="94">
      <c r="A82" s="123">
        <f>IF(B82="","",ROW()-15)</f>
        <v/>
      </c>
      <c r="B82" s="124" t="n"/>
      <c r="C82" s="123" t="n"/>
      <c r="D82" s="123" t="n"/>
      <c r="E82" s="123" t="n"/>
      <c r="F82" s="125" t="n"/>
      <c r="G82" s="123" t="n"/>
      <c r="H82" s="123" t="n"/>
      <c r="I82" s="123" t="n"/>
      <c r="J82" s="123" t="n"/>
      <c r="K82" s="123" t="n"/>
      <c r="L82" s="123" t="n"/>
      <c r="M82" s="123">
        <f>IF(AND(B82&lt;&gt;"",OR($C$4="",ISNUMBER(SEARCH($C$4,C82&amp;" "&amp;E82&amp;" "&amp;G82&amp;" "&amp;H82&amp;" "&amp;I82&amp;" "&amp;J82&amp;" "&amp;K82&amp;" "&amp;L82))),OR($C$5="Semua",$C$5="",G82=$C$5),OR($C$6="Semua",$C$6="",H82=$C$6,H82="Pengeluaran "&amp;$C$6,AND($C$6="Uang Kos Mama",H82="Pengeluaran Uang Kos")),OR($C$7="Semua",$C$7="",I82=$C$7),OR($C$8="Semua",$C$8="",C82=$C$8,E82=$C$8),OR($C$9="Semua",$C$9="",D82=$C$9),OR($C$10="",B82&gt;=$C$10),OR($C$11="",B82&lt;=$C$11),OR($C$12&lt;&gt;"Ya",K82&lt;&gt;""),OR($C$13="Semua",$C$13="",L82=$C$13)),"✓","")</f>
        <v/>
      </c>
      <c r="N82" s="93">
        <f>N(N81)+IF(M82="✓",1,0)</f>
        <v/>
      </c>
      <c r="O82" s="93">
        <f>N(O81)+IF(AND(B82&lt;&gt;"",B82&gt;='Uang Riba'!$H$30,B82&lt;='Uang Riba'!$I$30,OR(H82="Dana riba",H82="Pinjam uang riba",I82="Pinjam dari uang riba",I82="Ganti uang riba",I82="Kelebihan ganti dikembalikan",AND(C82="Kantong Uang Riba",G82="Pengeluaran"))),1,0)</f>
        <v/>
      </c>
      <c r="P82" s="119">
        <f>IF(78&gt;MAX($N$16:$N$5015),"",INDEX($B$16:$B$5015,MATCH((MAX($N$16:$N$5015)-78+1),$N$16:$N$5015,0)))</f>
        <v/>
      </c>
      <c r="Q82" s="105">
        <f>IF(78&gt;MAX($N$16:$N$5015),"",INDEX($C$16:$C$5015,MATCH((MAX($N$16:$N$5015)-78+1),$N$16:$N$5015,0)))&amp;IF(IF(78&gt;MAX($N$16:$N$5015),"",INDEX($E$16:$E$5015,MATCH((MAX($N$16:$N$5015)-78+1),$N$16:$N$5015,0)))="",""," → "&amp;IF(78&gt;MAX($N$16:$N$5015),"",INDEX($E$16:$E$5015,MATCH((MAX($N$16:$N$5015)-78+1),$N$16:$N$5015,0))))</f>
        <v/>
      </c>
      <c r="R82" s="105">
        <f>IF(78&gt;MAX($N$16:$N$5015),"",INDEX($D$16:$D$5015,MATCH((MAX($N$16:$N$5015)-78+1),$N$16:$N$5015,0)))</f>
        <v/>
      </c>
      <c r="S82" s="113">
        <f>IF(78&gt;MAX($N$16:$N$5015),"",INDEX($F$16:$F$5015,MATCH((MAX($N$16:$N$5015)-78+1),$N$16:$N$5015,0)))</f>
        <v/>
      </c>
      <c r="T82" s="105">
        <f>IF(78&gt;MAX($N$16:$N$5015),"",IF(78&gt;MAX($N$16:$N$5015),"",INDEX($G$16:$G$5015,MATCH((MAX($N$16:$N$5015)-78+1),$N$16:$N$5015,0)))&amp;" › "&amp;IF(78&gt;MAX($N$16:$N$5015),"",INDEX($H$16:$H$5015,MATCH((MAX($N$16:$N$5015)-78+1),$N$16:$N$5015,0)))&amp;" › "&amp;IF(78&gt;MAX($N$16:$N$5015),"",INDEX($I$16:$I$5015,MATCH((MAX($N$16:$N$5015)-78+1),$N$16:$N$5015,0))))</f>
        <v/>
      </c>
      <c r="U82" s="105">
        <f>IF(78&gt;MAX($N$16:$N$5015),"",INDEX($J$16:$J$5015,MATCH((MAX($N$16:$N$5015)-78+1),$N$16:$N$5015,0)))&amp;IF(IF(78&gt;MAX($N$16:$N$5015),"",INDEX($L$16:$L$5015,MATCH((MAX($N$16:$N$5015)-78+1),$N$16:$N$5015,0)))="",""," ["&amp;IF(78&gt;MAX($N$16:$N$5015),"",INDEX($L$16:$L$5015,MATCH((MAX($N$16:$N$5015)-78+1),$N$16:$N$5015,0)))&amp;"]")</f>
        <v/>
      </c>
      <c r="V82" s="120">
        <f>IF(78&gt;MAX($N$16:$N$5015),"",HYPERLINK("#Transaksi!B"&amp;(MATCH((MAX($N$16:$N$5015)-78+1),$N$16:$N$5015,0)+15),"Buka"))</f>
        <v/>
      </c>
      <c r="X82" s="93">
        <f>IF(AND(B82&lt;&gt;"",B82&gt;='Buku Akun'!$H$4,B82&lt;='Buku Akun'!$H$5,OR(C82='Buku Akun'!$C$4,AND(D82="Pindah",E82='Buku Akun'!$C$4))),B82+IF(AND(I82="Selisih bunga",DAY(B82)=1),0,0.01)+ROW()/10000000,"")</f>
        <v/>
      </c>
    </row>
    <row r="83" outlineLevel="1" ht="15" customHeight="1" s="94">
      <c r="A83" s="123">
        <f>IF(B83="","",ROW()-15)</f>
        <v/>
      </c>
      <c r="B83" s="124" t="n"/>
      <c r="C83" s="123" t="n"/>
      <c r="D83" s="123" t="n"/>
      <c r="E83" s="123" t="n"/>
      <c r="F83" s="125" t="n"/>
      <c r="G83" s="123" t="n"/>
      <c r="H83" s="123" t="n"/>
      <c r="I83" s="123" t="n"/>
      <c r="J83" s="123" t="n"/>
      <c r="K83" s="123" t="n"/>
      <c r="L83" s="123" t="n"/>
      <c r="M83" s="123">
        <f>IF(AND(B83&lt;&gt;"",OR($C$4="",ISNUMBER(SEARCH($C$4,C83&amp;" "&amp;E83&amp;" "&amp;G83&amp;" "&amp;H83&amp;" "&amp;I83&amp;" "&amp;J83&amp;" "&amp;K83&amp;" "&amp;L83))),OR($C$5="Semua",$C$5="",G83=$C$5),OR($C$6="Semua",$C$6="",H83=$C$6,H83="Pengeluaran "&amp;$C$6,AND($C$6="Uang Kos Mama",H83="Pengeluaran Uang Kos")),OR($C$7="Semua",$C$7="",I83=$C$7),OR($C$8="Semua",$C$8="",C83=$C$8,E83=$C$8),OR($C$9="Semua",$C$9="",D83=$C$9),OR($C$10="",B83&gt;=$C$10),OR($C$11="",B83&lt;=$C$11),OR($C$12&lt;&gt;"Ya",K83&lt;&gt;""),OR($C$13="Semua",$C$13="",L83=$C$13)),"✓","")</f>
        <v/>
      </c>
      <c r="N83" s="93">
        <f>N(N82)+IF(M83="✓",1,0)</f>
        <v/>
      </c>
      <c r="O83" s="93">
        <f>N(O82)+IF(AND(B83&lt;&gt;"",B83&gt;='Uang Riba'!$H$30,B83&lt;='Uang Riba'!$I$30,OR(H83="Dana riba",H83="Pinjam uang riba",I83="Pinjam dari uang riba",I83="Ganti uang riba",I83="Kelebihan ganti dikembalikan",AND(C83="Kantong Uang Riba",G83="Pengeluaran"))),1,0)</f>
        <v/>
      </c>
      <c r="P83" s="119">
        <f>IF(79&gt;MAX($N$16:$N$5015),"",INDEX($B$16:$B$5015,MATCH((MAX($N$16:$N$5015)-79+1),$N$16:$N$5015,0)))</f>
        <v/>
      </c>
      <c r="Q83" s="105">
        <f>IF(79&gt;MAX($N$16:$N$5015),"",INDEX($C$16:$C$5015,MATCH((MAX($N$16:$N$5015)-79+1),$N$16:$N$5015,0)))&amp;IF(IF(79&gt;MAX($N$16:$N$5015),"",INDEX($E$16:$E$5015,MATCH((MAX($N$16:$N$5015)-79+1),$N$16:$N$5015,0)))="",""," → "&amp;IF(79&gt;MAX($N$16:$N$5015),"",INDEX($E$16:$E$5015,MATCH((MAX($N$16:$N$5015)-79+1),$N$16:$N$5015,0))))</f>
        <v/>
      </c>
      <c r="R83" s="105">
        <f>IF(79&gt;MAX($N$16:$N$5015),"",INDEX($D$16:$D$5015,MATCH((MAX($N$16:$N$5015)-79+1),$N$16:$N$5015,0)))</f>
        <v/>
      </c>
      <c r="S83" s="113">
        <f>IF(79&gt;MAX($N$16:$N$5015),"",INDEX($F$16:$F$5015,MATCH((MAX($N$16:$N$5015)-79+1),$N$16:$N$5015,0)))</f>
        <v/>
      </c>
      <c r="T83" s="105">
        <f>IF(79&gt;MAX($N$16:$N$5015),"",IF(79&gt;MAX($N$16:$N$5015),"",INDEX($G$16:$G$5015,MATCH((MAX($N$16:$N$5015)-79+1),$N$16:$N$5015,0)))&amp;" › "&amp;IF(79&gt;MAX($N$16:$N$5015),"",INDEX($H$16:$H$5015,MATCH((MAX($N$16:$N$5015)-79+1),$N$16:$N$5015,0)))&amp;" › "&amp;IF(79&gt;MAX($N$16:$N$5015),"",INDEX($I$16:$I$5015,MATCH((MAX($N$16:$N$5015)-79+1),$N$16:$N$5015,0))))</f>
        <v/>
      </c>
      <c r="U83" s="105">
        <f>IF(79&gt;MAX($N$16:$N$5015),"",INDEX($J$16:$J$5015,MATCH((MAX($N$16:$N$5015)-79+1),$N$16:$N$5015,0)))&amp;IF(IF(79&gt;MAX($N$16:$N$5015),"",INDEX($L$16:$L$5015,MATCH((MAX($N$16:$N$5015)-79+1),$N$16:$N$5015,0)))="",""," ["&amp;IF(79&gt;MAX($N$16:$N$5015),"",INDEX($L$16:$L$5015,MATCH((MAX($N$16:$N$5015)-79+1),$N$16:$N$5015,0)))&amp;"]")</f>
        <v/>
      </c>
      <c r="V83" s="120">
        <f>IF(79&gt;MAX($N$16:$N$5015),"",HYPERLINK("#Transaksi!B"&amp;(MATCH((MAX($N$16:$N$5015)-79+1),$N$16:$N$5015,0)+15),"Buka"))</f>
        <v/>
      </c>
      <c r="X83" s="93">
        <f>IF(AND(B83&lt;&gt;"",B83&gt;='Buku Akun'!$H$4,B83&lt;='Buku Akun'!$H$5,OR(C83='Buku Akun'!$C$4,AND(D83="Pindah",E83='Buku Akun'!$C$4))),B83+IF(AND(I83="Selisih bunga",DAY(B83)=1),0,0.01)+ROW()/10000000,"")</f>
        <v/>
      </c>
    </row>
    <row r="84" outlineLevel="1" ht="15" customHeight="1" s="94">
      <c r="A84" s="123">
        <f>IF(B84="","",ROW()-15)</f>
        <v/>
      </c>
      <c r="B84" s="124" t="n"/>
      <c r="C84" s="123" t="n"/>
      <c r="D84" s="123" t="n"/>
      <c r="E84" s="123" t="n"/>
      <c r="F84" s="125" t="n"/>
      <c r="G84" s="123" t="n"/>
      <c r="H84" s="123" t="n"/>
      <c r="I84" s="123" t="n"/>
      <c r="J84" s="123" t="n"/>
      <c r="K84" s="123" t="n"/>
      <c r="L84" s="123" t="n"/>
      <c r="M84" s="123">
        <f>IF(AND(B84&lt;&gt;"",OR($C$4="",ISNUMBER(SEARCH($C$4,C84&amp;" "&amp;E84&amp;" "&amp;G84&amp;" "&amp;H84&amp;" "&amp;I84&amp;" "&amp;J84&amp;" "&amp;K84&amp;" "&amp;L84))),OR($C$5="Semua",$C$5="",G84=$C$5),OR($C$6="Semua",$C$6="",H84=$C$6,H84="Pengeluaran "&amp;$C$6,AND($C$6="Uang Kos Mama",H84="Pengeluaran Uang Kos")),OR($C$7="Semua",$C$7="",I84=$C$7),OR($C$8="Semua",$C$8="",C84=$C$8,E84=$C$8),OR($C$9="Semua",$C$9="",D84=$C$9),OR($C$10="",B84&gt;=$C$10),OR($C$11="",B84&lt;=$C$11),OR($C$12&lt;&gt;"Ya",K84&lt;&gt;""),OR($C$13="Semua",$C$13="",L84=$C$13)),"✓","")</f>
        <v/>
      </c>
      <c r="N84" s="93">
        <f>N(N83)+IF(M84="✓",1,0)</f>
        <v/>
      </c>
      <c r="O84" s="93">
        <f>N(O83)+IF(AND(B84&lt;&gt;"",B84&gt;='Uang Riba'!$H$30,B84&lt;='Uang Riba'!$I$30,OR(H84="Dana riba",H84="Pinjam uang riba",I84="Pinjam dari uang riba",I84="Ganti uang riba",I84="Kelebihan ganti dikembalikan",AND(C84="Kantong Uang Riba",G84="Pengeluaran"))),1,0)</f>
        <v/>
      </c>
      <c r="P84" s="119">
        <f>IF(80&gt;MAX($N$16:$N$5015),"",INDEX($B$16:$B$5015,MATCH((MAX($N$16:$N$5015)-80+1),$N$16:$N$5015,0)))</f>
        <v/>
      </c>
      <c r="Q84" s="105">
        <f>IF(80&gt;MAX($N$16:$N$5015),"",INDEX($C$16:$C$5015,MATCH((MAX($N$16:$N$5015)-80+1),$N$16:$N$5015,0)))&amp;IF(IF(80&gt;MAX($N$16:$N$5015),"",INDEX($E$16:$E$5015,MATCH((MAX($N$16:$N$5015)-80+1),$N$16:$N$5015,0)))="",""," → "&amp;IF(80&gt;MAX($N$16:$N$5015),"",INDEX($E$16:$E$5015,MATCH((MAX($N$16:$N$5015)-80+1),$N$16:$N$5015,0))))</f>
        <v/>
      </c>
      <c r="R84" s="105">
        <f>IF(80&gt;MAX($N$16:$N$5015),"",INDEX($D$16:$D$5015,MATCH((MAX($N$16:$N$5015)-80+1),$N$16:$N$5015,0)))</f>
        <v/>
      </c>
      <c r="S84" s="113">
        <f>IF(80&gt;MAX($N$16:$N$5015),"",INDEX($F$16:$F$5015,MATCH((MAX($N$16:$N$5015)-80+1),$N$16:$N$5015,0)))</f>
        <v/>
      </c>
      <c r="T84" s="105">
        <f>IF(80&gt;MAX($N$16:$N$5015),"",IF(80&gt;MAX($N$16:$N$5015),"",INDEX($G$16:$G$5015,MATCH((MAX($N$16:$N$5015)-80+1),$N$16:$N$5015,0)))&amp;" › "&amp;IF(80&gt;MAX($N$16:$N$5015),"",INDEX($H$16:$H$5015,MATCH((MAX($N$16:$N$5015)-80+1),$N$16:$N$5015,0)))&amp;" › "&amp;IF(80&gt;MAX($N$16:$N$5015),"",INDEX($I$16:$I$5015,MATCH((MAX($N$16:$N$5015)-80+1),$N$16:$N$5015,0))))</f>
        <v/>
      </c>
      <c r="U84" s="105">
        <f>IF(80&gt;MAX($N$16:$N$5015),"",INDEX($J$16:$J$5015,MATCH((MAX($N$16:$N$5015)-80+1),$N$16:$N$5015,0)))&amp;IF(IF(80&gt;MAX($N$16:$N$5015),"",INDEX($L$16:$L$5015,MATCH((MAX($N$16:$N$5015)-80+1),$N$16:$N$5015,0)))="",""," ["&amp;IF(80&gt;MAX($N$16:$N$5015),"",INDEX($L$16:$L$5015,MATCH((MAX($N$16:$N$5015)-80+1),$N$16:$N$5015,0)))&amp;"]")</f>
        <v/>
      </c>
      <c r="V84" s="120">
        <f>IF(80&gt;MAX($N$16:$N$5015),"",HYPERLINK("#Transaksi!B"&amp;(MATCH((MAX($N$16:$N$5015)-80+1),$N$16:$N$5015,0)+15),"Buka"))</f>
        <v/>
      </c>
      <c r="X84" s="93">
        <f>IF(AND(B84&lt;&gt;"",B84&gt;='Buku Akun'!$H$4,B84&lt;='Buku Akun'!$H$5,OR(C84='Buku Akun'!$C$4,AND(D84="Pindah",E84='Buku Akun'!$C$4))),B84+IF(AND(I84="Selisih bunga",DAY(B84)=1),0,0.01)+ROW()/10000000,"")</f>
        <v/>
      </c>
    </row>
    <row r="85" outlineLevel="1" ht="15" customHeight="1" s="94">
      <c r="A85" s="123">
        <f>IF(B85="","",ROW()-15)</f>
        <v/>
      </c>
      <c r="B85" s="124" t="n"/>
      <c r="C85" s="123" t="n"/>
      <c r="D85" s="123" t="n"/>
      <c r="E85" s="123" t="n"/>
      <c r="F85" s="125" t="n"/>
      <c r="G85" s="123" t="n"/>
      <c r="H85" s="123" t="n"/>
      <c r="I85" s="123" t="n"/>
      <c r="J85" s="123" t="n"/>
      <c r="K85" s="123" t="n"/>
      <c r="L85" s="123" t="n"/>
      <c r="M85" s="123">
        <f>IF(AND(B85&lt;&gt;"",OR($C$4="",ISNUMBER(SEARCH($C$4,C85&amp;" "&amp;E85&amp;" "&amp;G85&amp;" "&amp;H85&amp;" "&amp;I85&amp;" "&amp;J85&amp;" "&amp;K85&amp;" "&amp;L85))),OR($C$5="Semua",$C$5="",G85=$C$5),OR($C$6="Semua",$C$6="",H85=$C$6,H85="Pengeluaran "&amp;$C$6,AND($C$6="Uang Kos Mama",H85="Pengeluaran Uang Kos")),OR($C$7="Semua",$C$7="",I85=$C$7),OR($C$8="Semua",$C$8="",C85=$C$8,E85=$C$8),OR($C$9="Semua",$C$9="",D85=$C$9),OR($C$10="",B85&gt;=$C$10),OR($C$11="",B85&lt;=$C$11),OR($C$12&lt;&gt;"Ya",K85&lt;&gt;""),OR($C$13="Semua",$C$13="",L85=$C$13)),"✓","")</f>
        <v/>
      </c>
      <c r="N85" s="93">
        <f>N(N84)+IF(M85="✓",1,0)</f>
        <v/>
      </c>
      <c r="O85" s="93">
        <f>N(O84)+IF(AND(B85&lt;&gt;"",B85&gt;='Uang Riba'!$H$30,B85&lt;='Uang Riba'!$I$30,OR(H85="Dana riba",H85="Pinjam uang riba",I85="Pinjam dari uang riba",I85="Ganti uang riba",I85="Kelebihan ganti dikembalikan",AND(C85="Kantong Uang Riba",G85="Pengeluaran"))),1,0)</f>
        <v/>
      </c>
      <c r="P85" s="119">
        <f>IF(81&gt;MAX($N$16:$N$5015),"",INDEX($B$16:$B$5015,MATCH((MAX($N$16:$N$5015)-81+1),$N$16:$N$5015,0)))</f>
        <v/>
      </c>
      <c r="Q85" s="105">
        <f>IF(81&gt;MAX($N$16:$N$5015),"",INDEX($C$16:$C$5015,MATCH((MAX($N$16:$N$5015)-81+1),$N$16:$N$5015,0)))&amp;IF(IF(81&gt;MAX($N$16:$N$5015),"",INDEX($E$16:$E$5015,MATCH((MAX($N$16:$N$5015)-81+1),$N$16:$N$5015,0)))="",""," → "&amp;IF(81&gt;MAX($N$16:$N$5015),"",INDEX($E$16:$E$5015,MATCH((MAX($N$16:$N$5015)-81+1),$N$16:$N$5015,0))))</f>
        <v/>
      </c>
      <c r="R85" s="105">
        <f>IF(81&gt;MAX($N$16:$N$5015),"",INDEX($D$16:$D$5015,MATCH((MAX($N$16:$N$5015)-81+1),$N$16:$N$5015,0)))</f>
        <v/>
      </c>
      <c r="S85" s="113">
        <f>IF(81&gt;MAX($N$16:$N$5015),"",INDEX($F$16:$F$5015,MATCH((MAX($N$16:$N$5015)-81+1),$N$16:$N$5015,0)))</f>
        <v/>
      </c>
      <c r="T85" s="105">
        <f>IF(81&gt;MAX($N$16:$N$5015),"",IF(81&gt;MAX($N$16:$N$5015),"",INDEX($G$16:$G$5015,MATCH((MAX($N$16:$N$5015)-81+1),$N$16:$N$5015,0)))&amp;" › "&amp;IF(81&gt;MAX($N$16:$N$5015),"",INDEX($H$16:$H$5015,MATCH((MAX($N$16:$N$5015)-81+1),$N$16:$N$5015,0)))&amp;" › "&amp;IF(81&gt;MAX($N$16:$N$5015),"",INDEX($I$16:$I$5015,MATCH((MAX($N$16:$N$5015)-81+1),$N$16:$N$5015,0))))</f>
        <v/>
      </c>
      <c r="U85" s="105">
        <f>IF(81&gt;MAX($N$16:$N$5015),"",INDEX($J$16:$J$5015,MATCH((MAX($N$16:$N$5015)-81+1),$N$16:$N$5015,0)))&amp;IF(IF(81&gt;MAX($N$16:$N$5015),"",INDEX($L$16:$L$5015,MATCH((MAX($N$16:$N$5015)-81+1),$N$16:$N$5015,0)))="",""," ["&amp;IF(81&gt;MAX($N$16:$N$5015),"",INDEX($L$16:$L$5015,MATCH((MAX($N$16:$N$5015)-81+1),$N$16:$N$5015,0)))&amp;"]")</f>
        <v/>
      </c>
      <c r="V85" s="120">
        <f>IF(81&gt;MAX($N$16:$N$5015),"",HYPERLINK("#Transaksi!B"&amp;(MATCH((MAX($N$16:$N$5015)-81+1),$N$16:$N$5015,0)+15),"Buka"))</f>
        <v/>
      </c>
      <c r="X85" s="93">
        <f>IF(AND(B85&lt;&gt;"",B85&gt;='Buku Akun'!$H$4,B85&lt;='Buku Akun'!$H$5,OR(C85='Buku Akun'!$C$4,AND(D85="Pindah",E85='Buku Akun'!$C$4))),B85+IF(AND(I85="Selisih bunga",DAY(B85)=1),0,0.01)+ROW()/10000000,"")</f>
        <v/>
      </c>
    </row>
    <row r="86" outlineLevel="1" ht="15" customHeight="1" s="94">
      <c r="A86" s="123">
        <f>IF(B86="","",ROW()-15)</f>
        <v/>
      </c>
      <c r="B86" s="124" t="n"/>
      <c r="C86" s="123" t="n"/>
      <c r="D86" s="123" t="n"/>
      <c r="E86" s="123" t="n"/>
      <c r="F86" s="125" t="n"/>
      <c r="G86" s="123" t="n"/>
      <c r="H86" s="123" t="n"/>
      <c r="I86" s="123" t="n"/>
      <c r="J86" s="123" t="n"/>
      <c r="K86" s="123" t="n"/>
      <c r="L86" s="123" t="n"/>
      <c r="M86" s="123">
        <f>IF(AND(B86&lt;&gt;"",OR($C$4="",ISNUMBER(SEARCH($C$4,C86&amp;" "&amp;E86&amp;" "&amp;G86&amp;" "&amp;H86&amp;" "&amp;I86&amp;" "&amp;J86&amp;" "&amp;K86&amp;" "&amp;L86))),OR($C$5="Semua",$C$5="",G86=$C$5),OR($C$6="Semua",$C$6="",H86=$C$6,H86="Pengeluaran "&amp;$C$6,AND($C$6="Uang Kos Mama",H86="Pengeluaran Uang Kos")),OR($C$7="Semua",$C$7="",I86=$C$7),OR($C$8="Semua",$C$8="",C86=$C$8,E86=$C$8),OR($C$9="Semua",$C$9="",D86=$C$9),OR($C$10="",B86&gt;=$C$10),OR($C$11="",B86&lt;=$C$11),OR($C$12&lt;&gt;"Ya",K86&lt;&gt;""),OR($C$13="Semua",$C$13="",L86=$C$13)),"✓","")</f>
        <v/>
      </c>
      <c r="N86" s="93">
        <f>N(N85)+IF(M86="✓",1,0)</f>
        <v/>
      </c>
      <c r="O86" s="93">
        <f>N(O85)+IF(AND(B86&lt;&gt;"",B86&gt;='Uang Riba'!$H$30,B86&lt;='Uang Riba'!$I$30,OR(H86="Dana riba",H86="Pinjam uang riba",I86="Pinjam dari uang riba",I86="Ganti uang riba",I86="Kelebihan ganti dikembalikan",AND(C86="Kantong Uang Riba",G86="Pengeluaran"))),1,0)</f>
        <v/>
      </c>
      <c r="P86" s="119">
        <f>IF(82&gt;MAX($N$16:$N$5015),"",INDEX($B$16:$B$5015,MATCH((MAX($N$16:$N$5015)-82+1),$N$16:$N$5015,0)))</f>
        <v/>
      </c>
      <c r="Q86" s="105">
        <f>IF(82&gt;MAX($N$16:$N$5015),"",INDEX($C$16:$C$5015,MATCH((MAX($N$16:$N$5015)-82+1),$N$16:$N$5015,0)))&amp;IF(IF(82&gt;MAX($N$16:$N$5015),"",INDEX($E$16:$E$5015,MATCH((MAX($N$16:$N$5015)-82+1),$N$16:$N$5015,0)))="",""," → "&amp;IF(82&gt;MAX($N$16:$N$5015),"",INDEX($E$16:$E$5015,MATCH((MAX($N$16:$N$5015)-82+1),$N$16:$N$5015,0))))</f>
        <v/>
      </c>
      <c r="R86" s="105">
        <f>IF(82&gt;MAX($N$16:$N$5015),"",INDEX($D$16:$D$5015,MATCH((MAX($N$16:$N$5015)-82+1),$N$16:$N$5015,0)))</f>
        <v/>
      </c>
      <c r="S86" s="113">
        <f>IF(82&gt;MAX($N$16:$N$5015),"",INDEX($F$16:$F$5015,MATCH((MAX($N$16:$N$5015)-82+1),$N$16:$N$5015,0)))</f>
        <v/>
      </c>
      <c r="T86" s="105">
        <f>IF(82&gt;MAX($N$16:$N$5015),"",IF(82&gt;MAX($N$16:$N$5015),"",INDEX($G$16:$G$5015,MATCH((MAX($N$16:$N$5015)-82+1),$N$16:$N$5015,0)))&amp;" › "&amp;IF(82&gt;MAX($N$16:$N$5015),"",INDEX($H$16:$H$5015,MATCH((MAX($N$16:$N$5015)-82+1),$N$16:$N$5015,0)))&amp;" › "&amp;IF(82&gt;MAX($N$16:$N$5015),"",INDEX($I$16:$I$5015,MATCH((MAX($N$16:$N$5015)-82+1),$N$16:$N$5015,0))))</f>
        <v/>
      </c>
      <c r="U86" s="105">
        <f>IF(82&gt;MAX($N$16:$N$5015),"",INDEX($J$16:$J$5015,MATCH((MAX($N$16:$N$5015)-82+1),$N$16:$N$5015,0)))&amp;IF(IF(82&gt;MAX($N$16:$N$5015),"",INDEX($L$16:$L$5015,MATCH((MAX($N$16:$N$5015)-82+1),$N$16:$N$5015,0)))="",""," ["&amp;IF(82&gt;MAX($N$16:$N$5015),"",INDEX($L$16:$L$5015,MATCH((MAX($N$16:$N$5015)-82+1),$N$16:$N$5015,0)))&amp;"]")</f>
        <v/>
      </c>
      <c r="V86" s="120">
        <f>IF(82&gt;MAX($N$16:$N$5015),"",HYPERLINK("#Transaksi!B"&amp;(MATCH((MAX($N$16:$N$5015)-82+1),$N$16:$N$5015,0)+15),"Buka"))</f>
        <v/>
      </c>
      <c r="X86" s="93">
        <f>IF(AND(B86&lt;&gt;"",B86&gt;='Buku Akun'!$H$4,B86&lt;='Buku Akun'!$H$5,OR(C86='Buku Akun'!$C$4,AND(D86="Pindah",E86='Buku Akun'!$C$4))),B86+IF(AND(I86="Selisih bunga",DAY(B86)=1),0,0.01)+ROW()/10000000,"")</f>
        <v/>
      </c>
    </row>
    <row r="87" outlineLevel="1" ht="15" customHeight="1" s="94">
      <c r="A87" s="123">
        <f>IF(B87="","",ROW()-15)</f>
        <v/>
      </c>
      <c r="B87" s="124" t="n"/>
      <c r="C87" s="123" t="n"/>
      <c r="D87" s="123" t="n"/>
      <c r="E87" s="123" t="n"/>
      <c r="F87" s="125" t="n"/>
      <c r="G87" s="123" t="n"/>
      <c r="H87" s="123" t="n"/>
      <c r="I87" s="123" t="n"/>
      <c r="J87" s="123" t="n"/>
      <c r="K87" s="123" t="n"/>
      <c r="L87" s="123" t="n"/>
      <c r="M87" s="123">
        <f>IF(AND(B87&lt;&gt;"",OR($C$4="",ISNUMBER(SEARCH($C$4,C87&amp;" "&amp;E87&amp;" "&amp;G87&amp;" "&amp;H87&amp;" "&amp;I87&amp;" "&amp;J87&amp;" "&amp;K87&amp;" "&amp;L87))),OR($C$5="Semua",$C$5="",G87=$C$5),OR($C$6="Semua",$C$6="",H87=$C$6,H87="Pengeluaran "&amp;$C$6,AND($C$6="Uang Kos Mama",H87="Pengeluaran Uang Kos")),OR($C$7="Semua",$C$7="",I87=$C$7),OR($C$8="Semua",$C$8="",C87=$C$8,E87=$C$8),OR($C$9="Semua",$C$9="",D87=$C$9),OR($C$10="",B87&gt;=$C$10),OR($C$11="",B87&lt;=$C$11),OR($C$12&lt;&gt;"Ya",K87&lt;&gt;""),OR($C$13="Semua",$C$13="",L87=$C$13)),"✓","")</f>
        <v/>
      </c>
      <c r="N87" s="93">
        <f>N(N86)+IF(M87="✓",1,0)</f>
        <v/>
      </c>
      <c r="O87" s="93">
        <f>N(O86)+IF(AND(B87&lt;&gt;"",B87&gt;='Uang Riba'!$H$30,B87&lt;='Uang Riba'!$I$30,OR(H87="Dana riba",H87="Pinjam uang riba",I87="Pinjam dari uang riba",I87="Ganti uang riba",I87="Kelebihan ganti dikembalikan",AND(C87="Kantong Uang Riba",G87="Pengeluaran"))),1,0)</f>
        <v/>
      </c>
      <c r="P87" s="119">
        <f>IF(83&gt;MAX($N$16:$N$5015),"",INDEX($B$16:$B$5015,MATCH((MAX($N$16:$N$5015)-83+1),$N$16:$N$5015,0)))</f>
        <v/>
      </c>
      <c r="Q87" s="105">
        <f>IF(83&gt;MAX($N$16:$N$5015),"",INDEX($C$16:$C$5015,MATCH((MAX($N$16:$N$5015)-83+1),$N$16:$N$5015,0)))&amp;IF(IF(83&gt;MAX($N$16:$N$5015),"",INDEX($E$16:$E$5015,MATCH((MAX($N$16:$N$5015)-83+1),$N$16:$N$5015,0)))="",""," → "&amp;IF(83&gt;MAX($N$16:$N$5015),"",INDEX($E$16:$E$5015,MATCH((MAX($N$16:$N$5015)-83+1),$N$16:$N$5015,0))))</f>
        <v/>
      </c>
      <c r="R87" s="105">
        <f>IF(83&gt;MAX($N$16:$N$5015),"",INDEX($D$16:$D$5015,MATCH((MAX($N$16:$N$5015)-83+1),$N$16:$N$5015,0)))</f>
        <v/>
      </c>
      <c r="S87" s="113">
        <f>IF(83&gt;MAX($N$16:$N$5015),"",INDEX($F$16:$F$5015,MATCH((MAX($N$16:$N$5015)-83+1),$N$16:$N$5015,0)))</f>
        <v/>
      </c>
      <c r="T87" s="105">
        <f>IF(83&gt;MAX($N$16:$N$5015),"",IF(83&gt;MAX($N$16:$N$5015),"",INDEX($G$16:$G$5015,MATCH((MAX($N$16:$N$5015)-83+1),$N$16:$N$5015,0)))&amp;" › "&amp;IF(83&gt;MAX($N$16:$N$5015),"",INDEX($H$16:$H$5015,MATCH((MAX($N$16:$N$5015)-83+1),$N$16:$N$5015,0)))&amp;" › "&amp;IF(83&gt;MAX($N$16:$N$5015),"",INDEX($I$16:$I$5015,MATCH((MAX($N$16:$N$5015)-83+1),$N$16:$N$5015,0))))</f>
        <v/>
      </c>
      <c r="U87" s="105">
        <f>IF(83&gt;MAX($N$16:$N$5015),"",INDEX($J$16:$J$5015,MATCH((MAX($N$16:$N$5015)-83+1),$N$16:$N$5015,0)))&amp;IF(IF(83&gt;MAX($N$16:$N$5015),"",INDEX($L$16:$L$5015,MATCH((MAX($N$16:$N$5015)-83+1),$N$16:$N$5015,0)))="",""," ["&amp;IF(83&gt;MAX($N$16:$N$5015),"",INDEX($L$16:$L$5015,MATCH((MAX($N$16:$N$5015)-83+1),$N$16:$N$5015,0)))&amp;"]")</f>
        <v/>
      </c>
      <c r="V87" s="120">
        <f>IF(83&gt;MAX($N$16:$N$5015),"",HYPERLINK("#Transaksi!B"&amp;(MATCH((MAX($N$16:$N$5015)-83+1),$N$16:$N$5015,0)+15),"Buka"))</f>
        <v/>
      </c>
      <c r="X87" s="93">
        <f>IF(AND(B87&lt;&gt;"",B87&gt;='Buku Akun'!$H$4,B87&lt;='Buku Akun'!$H$5,OR(C87='Buku Akun'!$C$4,AND(D87="Pindah",E87='Buku Akun'!$C$4))),B87+IF(AND(I87="Selisih bunga",DAY(B87)=1),0,0.01)+ROW()/10000000,"")</f>
        <v/>
      </c>
    </row>
    <row r="88" outlineLevel="1" ht="15" customHeight="1" s="94">
      <c r="A88" s="123">
        <f>IF(B88="","",ROW()-15)</f>
        <v/>
      </c>
      <c r="B88" s="124" t="n"/>
      <c r="C88" s="123" t="n"/>
      <c r="D88" s="123" t="n"/>
      <c r="E88" s="123" t="n"/>
      <c r="F88" s="125" t="n"/>
      <c r="G88" s="123" t="n"/>
      <c r="H88" s="123" t="n"/>
      <c r="I88" s="123" t="n"/>
      <c r="J88" s="123" t="n"/>
      <c r="K88" s="123" t="n"/>
      <c r="L88" s="123" t="n"/>
      <c r="M88" s="123">
        <f>IF(AND(B88&lt;&gt;"",OR($C$4="",ISNUMBER(SEARCH($C$4,C88&amp;" "&amp;E88&amp;" "&amp;G88&amp;" "&amp;H88&amp;" "&amp;I88&amp;" "&amp;J88&amp;" "&amp;K88&amp;" "&amp;L88))),OR($C$5="Semua",$C$5="",G88=$C$5),OR($C$6="Semua",$C$6="",H88=$C$6,H88="Pengeluaran "&amp;$C$6,AND($C$6="Uang Kos Mama",H88="Pengeluaran Uang Kos")),OR($C$7="Semua",$C$7="",I88=$C$7),OR($C$8="Semua",$C$8="",C88=$C$8,E88=$C$8),OR($C$9="Semua",$C$9="",D88=$C$9),OR($C$10="",B88&gt;=$C$10),OR($C$11="",B88&lt;=$C$11),OR($C$12&lt;&gt;"Ya",K88&lt;&gt;""),OR($C$13="Semua",$C$13="",L88=$C$13)),"✓","")</f>
        <v/>
      </c>
      <c r="N88" s="93">
        <f>N(N87)+IF(M88="✓",1,0)</f>
        <v/>
      </c>
      <c r="O88" s="93">
        <f>N(O87)+IF(AND(B88&lt;&gt;"",B88&gt;='Uang Riba'!$H$30,B88&lt;='Uang Riba'!$I$30,OR(H88="Dana riba",H88="Pinjam uang riba",I88="Pinjam dari uang riba",I88="Ganti uang riba",I88="Kelebihan ganti dikembalikan",AND(C88="Kantong Uang Riba",G88="Pengeluaran"))),1,0)</f>
        <v/>
      </c>
      <c r="P88" s="119">
        <f>IF(84&gt;MAX($N$16:$N$5015),"",INDEX($B$16:$B$5015,MATCH((MAX($N$16:$N$5015)-84+1),$N$16:$N$5015,0)))</f>
        <v/>
      </c>
      <c r="Q88" s="105">
        <f>IF(84&gt;MAX($N$16:$N$5015),"",INDEX($C$16:$C$5015,MATCH((MAX($N$16:$N$5015)-84+1),$N$16:$N$5015,0)))&amp;IF(IF(84&gt;MAX($N$16:$N$5015),"",INDEX($E$16:$E$5015,MATCH((MAX($N$16:$N$5015)-84+1),$N$16:$N$5015,0)))="",""," → "&amp;IF(84&gt;MAX($N$16:$N$5015),"",INDEX($E$16:$E$5015,MATCH((MAX($N$16:$N$5015)-84+1),$N$16:$N$5015,0))))</f>
        <v/>
      </c>
      <c r="R88" s="105">
        <f>IF(84&gt;MAX($N$16:$N$5015),"",INDEX($D$16:$D$5015,MATCH((MAX($N$16:$N$5015)-84+1),$N$16:$N$5015,0)))</f>
        <v/>
      </c>
      <c r="S88" s="113">
        <f>IF(84&gt;MAX($N$16:$N$5015),"",INDEX($F$16:$F$5015,MATCH((MAX($N$16:$N$5015)-84+1),$N$16:$N$5015,0)))</f>
        <v/>
      </c>
      <c r="T88" s="105">
        <f>IF(84&gt;MAX($N$16:$N$5015),"",IF(84&gt;MAX($N$16:$N$5015),"",INDEX($G$16:$G$5015,MATCH((MAX($N$16:$N$5015)-84+1),$N$16:$N$5015,0)))&amp;" › "&amp;IF(84&gt;MAX($N$16:$N$5015),"",INDEX($H$16:$H$5015,MATCH((MAX($N$16:$N$5015)-84+1),$N$16:$N$5015,0)))&amp;" › "&amp;IF(84&gt;MAX($N$16:$N$5015),"",INDEX($I$16:$I$5015,MATCH((MAX($N$16:$N$5015)-84+1),$N$16:$N$5015,0))))</f>
        <v/>
      </c>
      <c r="U88" s="105">
        <f>IF(84&gt;MAX($N$16:$N$5015),"",INDEX($J$16:$J$5015,MATCH((MAX($N$16:$N$5015)-84+1),$N$16:$N$5015,0)))&amp;IF(IF(84&gt;MAX($N$16:$N$5015),"",INDEX($L$16:$L$5015,MATCH((MAX($N$16:$N$5015)-84+1),$N$16:$N$5015,0)))="",""," ["&amp;IF(84&gt;MAX($N$16:$N$5015),"",INDEX($L$16:$L$5015,MATCH((MAX($N$16:$N$5015)-84+1),$N$16:$N$5015,0)))&amp;"]")</f>
        <v/>
      </c>
      <c r="V88" s="120">
        <f>IF(84&gt;MAX($N$16:$N$5015),"",HYPERLINK("#Transaksi!B"&amp;(MATCH((MAX($N$16:$N$5015)-84+1),$N$16:$N$5015,0)+15),"Buka"))</f>
        <v/>
      </c>
      <c r="X88" s="93">
        <f>IF(AND(B88&lt;&gt;"",B88&gt;='Buku Akun'!$H$4,B88&lt;='Buku Akun'!$H$5,OR(C88='Buku Akun'!$C$4,AND(D88="Pindah",E88='Buku Akun'!$C$4))),B88+IF(AND(I88="Selisih bunga",DAY(B88)=1),0,0.01)+ROW()/10000000,"")</f>
        <v/>
      </c>
    </row>
    <row r="89" outlineLevel="1" ht="15" customHeight="1" s="94">
      <c r="A89" s="123">
        <f>IF(B89="","",ROW()-15)</f>
        <v/>
      </c>
      <c r="B89" s="124" t="n"/>
      <c r="C89" s="123" t="n"/>
      <c r="D89" s="123" t="n"/>
      <c r="E89" s="123" t="n"/>
      <c r="F89" s="125" t="n"/>
      <c r="G89" s="123" t="n"/>
      <c r="H89" s="123" t="n"/>
      <c r="I89" s="123" t="n"/>
      <c r="J89" s="123" t="n"/>
      <c r="K89" s="123" t="n"/>
      <c r="L89" s="123" t="n"/>
      <c r="M89" s="123">
        <f>IF(AND(B89&lt;&gt;"",OR($C$4="",ISNUMBER(SEARCH($C$4,C89&amp;" "&amp;E89&amp;" "&amp;G89&amp;" "&amp;H89&amp;" "&amp;I89&amp;" "&amp;J89&amp;" "&amp;K89&amp;" "&amp;L89))),OR($C$5="Semua",$C$5="",G89=$C$5),OR($C$6="Semua",$C$6="",H89=$C$6,H89="Pengeluaran "&amp;$C$6,AND($C$6="Uang Kos Mama",H89="Pengeluaran Uang Kos")),OR($C$7="Semua",$C$7="",I89=$C$7),OR($C$8="Semua",$C$8="",C89=$C$8,E89=$C$8),OR($C$9="Semua",$C$9="",D89=$C$9),OR($C$10="",B89&gt;=$C$10),OR($C$11="",B89&lt;=$C$11),OR($C$12&lt;&gt;"Ya",K89&lt;&gt;""),OR($C$13="Semua",$C$13="",L89=$C$13)),"✓","")</f>
        <v/>
      </c>
      <c r="N89" s="93">
        <f>N(N88)+IF(M89="✓",1,0)</f>
        <v/>
      </c>
      <c r="O89" s="93">
        <f>N(O88)+IF(AND(B89&lt;&gt;"",B89&gt;='Uang Riba'!$H$30,B89&lt;='Uang Riba'!$I$30,OR(H89="Dana riba",H89="Pinjam uang riba",I89="Pinjam dari uang riba",I89="Ganti uang riba",I89="Kelebihan ganti dikembalikan",AND(C89="Kantong Uang Riba",G89="Pengeluaran"))),1,0)</f>
        <v/>
      </c>
      <c r="P89" s="119">
        <f>IF(85&gt;MAX($N$16:$N$5015),"",INDEX($B$16:$B$5015,MATCH((MAX($N$16:$N$5015)-85+1),$N$16:$N$5015,0)))</f>
        <v/>
      </c>
      <c r="Q89" s="105">
        <f>IF(85&gt;MAX($N$16:$N$5015),"",INDEX($C$16:$C$5015,MATCH((MAX($N$16:$N$5015)-85+1),$N$16:$N$5015,0)))&amp;IF(IF(85&gt;MAX($N$16:$N$5015),"",INDEX($E$16:$E$5015,MATCH((MAX($N$16:$N$5015)-85+1),$N$16:$N$5015,0)))="",""," → "&amp;IF(85&gt;MAX($N$16:$N$5015),"",INDEX($E$16:$E$5015,MATCH((MAX($N$16:$N$5015)-85+1),$N$16:$N$5015,0))))</f>
        <v/>
      </c>
      <c r="R89" s="105">
        <f>IF(85&gt;MAX($N$16:$N$5015),"",INDEX($D$16:$D$5015,MATCH((MAX($N$16:$N$5015)-85+1),$N$16:$N$5015,0)))</f>
        <v/>
      </c>
      <c r="S89" s="113">
        <f>IF(85&gt;MAX($N$16:$N$5015),"",INDEX($F$16:$F$5015,MATCH((MAX($N$16:$N$5015)-85+1),$N$16:$N$5015,0)))</f>
        <v/>
      </c>
      <c r="T89" s="105">
        <f>IF(85&gt;MAX($N$16:$N$5015),"",IF(85&gt;MAX($N$16:$N$5015),"",INDEX($G$16:$G$5015,MATCH((MAX($N$16:$N$5015)-85+1),$N$16:$N$5015,0)))&amp;" › "&amp;IF(85&gt;MAX($N$16:$N$5015),"",INDEX($H$16:$H$5015,MATCH((MAX($N$16:$N$5015)-85+1),$N$16:$N$5015,0)))&amp;" › "&amp;IF(85&gt;MAX($N$16:$N$5015),"",INDEX($I$16:$I$5015,MATCH((MAX($N$16:$N$5015)-85+1),$N$16:$N$5015,0))))</f>
        <v/>
      </c>
      <c r="U89" s="105">
        <f>IF(85&gt;MAX($N$16:$N$5015),"",INDEX($J$16:$J$5015,MATCH((MAX($N$16:$N$5015)-85+1),$N$16:$N$5015,0)))&amp;IF(IF(85&gt;MAX($N$16:$N$5015),"",INDEX($L$16:$L$5015,MATCH((MAX($N$16:$N$5015)-85+1),$N$16:$N$5015,0)))="",""," ["&amp;IF(85&gt;MAX($N$16:$N$5015),"",INDEX($L$16:$L$5015,MATCH((MAX($N$16:$N$5015)-85+1),$N$16:$N$5015,0)))&amp;"]")</f>
        <v/>
      </c>
      <c r="V89" s="120">
        <f>IF(85&gt;MAX($N$16:$N$5015),"",HYPERLINK("#Transaksi!B"&amp;(MATCH((MAX($N$16:$N$5015)-85+1),$N$16:$N$5015,0)+15),"Buka"))</f>
        <v/>
      </c>
      <c r="X89" s="93">
        <f>IF(AND(B89&lt;&gt;"",B89&gt;='Buku Akun'!$H$4,B89&lt;='Buku Akun'!$H$5,OR(C89='Buku Akun'!$C$4,AND(D89="Pindah",E89='Buku Akun'!$C$4))),B89+IF(AND(I89="Selisih bunga",DAY(B89)=1),0,0.01)+ROW()/10000000,"")</f>
        <v/>
      </c>
    </row>
    <row r="90" outlineLevel="1" ht="15" customHeight="1" s="94">
      <c r="A90" s="123">
        <f>IF(B90="","",ROW()-15)</f>
        <v/>
      </c>
      <c r="B90" s="124" t="n"/>
      <c r="C90" s="123" t="n"/>
      <c r="D90" s="123" t="n"/>
      <c r="E90" s="123" t="n"/>
      <c r="F90" s="125" t="n"/>
      <c r="G90" s="123" t="n"/>
      <c r="H90" s="123" t="n"/>
      <c r="I90" s="123" t="n"/>
      <c r="J90" s="123" t="n"/>
      <c r="K90" s="123" t="n"/>
      <c r="L90" s="123" t="n"/>
      <c r="M90" s="123">
        <f>IF(AND(B90&lt;&gt;"",OR($C$4="",ISNUMBER(SEARCH($C$4,C90&amp;" "&amp;E90&amp;" "&amp;G90&amp;" "&amp;H90&amp;" "&amp;I90&amp;" "&amp;J90&amp;" "&amp;K90&amp;" "&amp;L90))),OR($C$5="Semua",$C$5="",G90=$C$5),OR($C$6="Semua",$C$6="",H90=$C$6,H90="Pengeluaran "&amp;$C$6,AND($C$6="Uang Kos Mama",H90="Pengeluaran Uang Kos")),OR($C$7="Semua",$C$7="",I90=$C$7),OR($C$8="Semua",$C$8="",C90=$C$8,E90=$C$8),OR($C$9="Semua",$C$9="",D90=$C$9),OR($C$10="",B90&gt;=$C$10),OR($C$11="",B90&lt;=$C$11),OR($C$12&lt;&gt;"Ya",K90&lt;&gt;""),OR($C$13="Semua",$C$13="",L90=$C$13)),"✓","")</f>
        <v/>
      </c>
      <c r="N90" s="93">
        <f>N(N89)+IF(M90="✓",1,0)</f>
        <v/>
      </c>
      <c r="O90" s="93">
        <f>N(O89)+IF(AND(B90&lt;&gt;"",B90&gt;='Uang Riba'!$H$30,B90&lt;='Uang Riba'!$I$30,OR(H90="Dana riba",H90="Pinjam uang riba",I90="Pinjam dari uang riba",I90="Ganti uang riba",I90="Kelebihan ganti dikembalikan",AND(C90="Kantong Uang Riba",G90="Pengeluaran"))),1,0)</f>
        <v/>
      </c>
      <c r="P90" s="119">
        <f>IF(86&gt;MAX($N$16:$N$5015),"",INDEX($B$16:$B$5015,MATCH((MAX($N$16:$N$5015)-86+1),$N$16:$N$5015,0)))</f>
        <v/>
      </c>
      <c r="Q90" s="105">
        <f>IF(86&gt;MAX($N$16:$N$5015),"",INDEX($C$16:$C$5015,MATCH((MAX($N$16:$N$5015)-86+1),$N$16:$N$5015,0)))&amp;IF(IF(86&gt;MAX($N$16:$N$5015),"",INDEX($E$16:$E$5015,MATCH((MAX($N$16:$N$5015)-86+1),$N$16:$N$5015,0)))="",""," → "&amp;IF(86&gt;MAX($N$16:$N$5015),"",INDEX($E$16:$E$5015,MATCH((MAX($N$16:$N$5015)-86+1),$N$16:$N$5015,0))))</f>
        <v/>
      </c>
      <c r="R90" s="105">
        <f>IF(86&gt;MAX($N$16:$N$5015),"",INDEX($D$16:$D$5015,MATCH((MAX($N$16:$N$5015)-86+1),$N$16:$N$5015,0)))</f>
        <v/>
      </c>
      <c r="S90" s="113">
        <f>IF(86&gt;MAX($N$16:$N$5015),"",INDEX($F$16:$F$5015,MATCH((MAX($N$16:$N$5015)-86+1),$N$16:$N$5015,0)))</f>
        <v/>
      </c>
      <c r="T90" s="105">
        <f>IF(86&gt;MAX($N$16:$N$5015),"",IF(86&gt;MAX($N$16:$N$5015),"",INDEX($G$16:$G$5015,MATCH((MAX($N$16:$N$5015)-86+1),$N$16:$N$5015,0)))&amp;" › "&amp;IF(86&gt;MAX($N$16:$N$5015),"",INDEX($H$16:$H$5015,MATCH((MAX($N$16:$N$5015)-86+1),$N$16:$N$5015,0)))&amp;" › "&amp;IF(86&gt;MAX($N$16:$N$5015),"",INDEX($I$16:$I$5015,MATCH((MAX($N$16:$N$5015)-86+1),$N$16:$N$5015,0))))</f>
        <v/>
      </c>
      <c r="U90" s="105">
        <f>IF(86&gt;MAX($N$16:$N$5015),"",INDEX($J$16:$J$5015,MATCH((MAX($N$16:$N$5015)-86+1),$N$16:$N$5015,0)))&amp;IF(IF(86&gt;MAX($N$16:$N$5015),"",INDEX($L$16:$L$5015,MATCH((MAX($N$16:$N$5015)-86+1),$N$16:$N$5015,0)))="",""," ["&amp;IF(86&gt;MAX($N$16:$N$5015),"",INDEX($L$16:$L$5015,MATCH((MAX($N$16:$N$5015)-86+1),$N$16:$N$5015,0)))&amp;"]")</f>
        <v/>
      </c>
      <c r="V90" s="120">
        <f>IF(86&gt;MAX($N$16:$N$5015),"",HYPERLINK("#Transaksi!B"&amp;(MATCH((MAX($N$16:$N$5015)-86+1),$N$16:$N$5015,0)+15),"Buka"))</f>
        <v/>
      </c>
      <c r="X90" s="93">
        <f>IF(AND(B90&lt;&gt;"",B90&gt;='Buku Akun'!$H$4,B90&lt;='Buku Akun'!$H$5,OR(C90='Buku Akun'!$C$4,AND(D90="Pindah",E90='Buku Akun'!$C$4))),B90+IF(AND(I90="Selisih bunga",DAY(B90)=1),0,0.01)+ROW()/10000000,"")</f>
        <v/>
      </c>
    </row>
    <row r="91" outlineLevel="1" ht="15" customHeight="1" s="94">
      <c r="A91" s="123">
        <f>IF(B91="","",ROW()-15)</f>
        <v/>
      </c>
      <c r="B91" s="124" t="n"/>
      <c r="C91" s="123" t="n"/>
      <c r="D91" s="123" t="n"/>
      <c r="E91" s="123" t="n"/>
      <c r="F91" s="125" t="n"/>
      <c r="G91" s="123" t="n"/>
      <c r="H91" s="123" t="n"/>
      <c r="I91" s="123" t="n"/>
      <c r="J91" s="123" t="n"/>
      <c r="K91" s="123" t="n"/>
      <c r="L91" s="123" t="n"/>
      <c r="M91" s="123">
        <f>IF(AND(B91&lt;&gt;"",OR($C$4="",ISNUMBER(SEARCH($C$4,C91&amp;" "&amp;E91&amp;" "&amp;G91&amp;" "&amp;H91&amp;" "&amp;I91&amp;" "&amp;J91&amp;" "&amp;K91&amp;" "&amp;L91))),OR($C$5="Semua",$C$5="",G91=$C$5),OR($C$6="Semua",$C$6="",H91=$C$6,H91="Pengeluaran "&amp;$C$6,AND($C$6="Uang Kos Mama",H91="Pengeluaran Uang Kos")),OR($C$7="Semua",$C$7="",I91=$C$7),OR($C$8="Semua",$C$8="",C91=$C$8,E91=$C$8),OR($C$9="Semua",$C$9="",D91=$C$9),OR($C$10="",B91&gt;=$C$10),OR($C$11="",B91&lt;=$C$11),OR($C$12&lt;&gt;"Ya",K91&lt;&gt;""),OR($C$13="Semua",$C$13="",L91=$C$13)),"✓","")</f>
        <v/>
      </c>
      <c r="N91" s="93">
        <f>N(N90)+IF(M91="✓",1,0)</f>
        <v/>
      </c>
      <c r="O91" s="93">
        <f>N(O90)+IF(AND(B91&lt;&gt;"",B91&gt;='Uang Riba'!$H$30,B91&lt;='Uang Riba'!$I$30,OR(H91="Dana riba",H91="Pinjam uang riba",I91="Pinjam dari uang riba",I91="Ganti uang riba",I91="Kelebihan ganti dikembalikan",AND(C91="Kantong Uang Riba",G91="Pengeluaran"))),1,0)</f>
        <v/>
      </c>
      <c r="P91" s="119">
        <f>IF(87&gt;MAX($N$16:$N$5015),"",INDEX($B$16:$B$5015,MATCH((MAX($N$16:$N$5015)-87+1),$N$16:$N$5015,0)))</f>
        <v/>
      </c>
      <c r="Q91" s="105">
        <f>IF(87&gt;MAX($N$16:$N$5015),"",INDEX($C$16:$C$5015,MATCH((MAX($N$16:$N$5015)-87+1),$N$16:$N$5015,0)))&amp;IF(IF(87&gt;MAX($N$16:$N$5015),"",INDEX($E$16:$E$5015,MATCH((MAX($N$16:$N$5015)-87+1),$N$16:$N$5015,0)))="",""," → "&amp;IF(87&gt;MAX($N$16:$N$5015),"",INDEX($E$16:$E$5015,MATCH((MAX($N$16:$N$5015)-87+1),$N$16:$N$5015,0))))</f>
        <v/>
      </c>
      <c r="R91" s="105">
        <f>IF(87&gt;MAX($N$16:$N$5015),"",INDEX($D$16:$D$5015,MATCH((MAX($N$16:$N$5015)-87+1),$N$16:$N$5015,0)))</f>
        <v/>
      </c>
      <c r="S91" s="113">
        <f>IF(87&gt;MAX($N$16:$N$5015),"",INDEX($F$16:$F$5015,MATCH((MAX($N$16:$N$5015)-87+1),$N$16:$N$5015,0)))</f>
        <v/>
      </c>
      <c r="T91" s="105">
        <f>IF(87&gt;MAX($N$16:$N$5015),"",IF(87&gt;MAX($N$16:$N$5015),"",INDEX($G$16:$G$5015,MATCH((MAX($N$16:$N$5015)-87+1),$N$16:$N$5015,0)))&amp;" › "&amp;IF(87&gt;MAX($N$16:$N$5015),"",INDEX($H$16:$H$5015,MATCH((MAX($N$16:$N$5015)-87+1),$N$16:$N$5015,0)))&amp;" › "&amp;IF(87&gt;MAX($N$16:$N$5015),"",INDEX($I$16:$I$5015,MATCH((MAX($N$16:$N$5015)-87+1),$N$16:$N$5015,0))))</f>
        <v/>
      </c>
      <c r="U91" s="105">
        <f>IF(87&gt;MAX($N$16:$N$5015),"",INDEX($J$16:$J$5015,MATCH((MAX($N$16:$N$5015)-87+1),$N$16:$N$5015,0)))&amp;IF(IF(87&gt;MAX($N$16:$N$5015),"",INDEX($L$16:$L$5015,MATCH((MAX($N$16:$N$5015)-87+1),$N$16:$N$5015,0)))="",""," ["&amp;IF(87&gt;MAX($N$16:$N$5015),"",INDEX($L$16:$L$5015,MATCH((MAX($N$16:$N$5015)-87+1),$N$16:$N$5015,0)))&amp;"]")</f>
        <v/>
      </c>
      <c r="V91" s="120">
        <f>IF(87&gt;MAX($N$16:$N$5015),"",HYPERLINK("#Transaksi!B"&amp;(MATCH((MAX($N$16:$N$5015)-87+1),$N$16:$N$5015,0)+15),"Buka"))</f>
        <v/>
      </c>
      <c r="X91" s="93">
        <f>IF(AND(B91&lt;&gt;"",B91&gt;='Buku Akun'!$H$4,B91&lt;='Buku Akun'!$H$5,OR(C91='Buku Akun'!$C$4,AND(D91="Pindah",E91='Buku Akun'!$C$4))),B91+IF(AND(I91="Selisih bunga",DAY(B91)=1),0,0.01)+ROW()/10000000,"")</f>
        <v/>
      </c>
    </row>
    <row r="92" outlineLevel="1" ht="15" customHeight="1" s="94">
      <c r="A92" s="123">
        <f>IF(B92="","",ROW()-15)</f>
        <v/>
      </c>
      <c r="B92" s="124" t="n"/>
      <c r="C92" s="123" t="n"/>
      <c r="D92" s="123" t="n"/>
      <c r="E92" s="123" t="n"/>
      <c r="F92" s="125" t="n"/>
      <c r="G92" s="123" t="n"/>
      <c r="H92" s="123" t="n"/>
      <c r="I92" s="123" t="n"/>
      <c r="J92" s="123" t="n"/>
      <c r="K92" s="123" t="n"/>
      <c r="L92" s="123" t="n"/>
      <c r="M92" s="123">
        <f>IF(AND(B92&lt;&gt;"",OR($C$4="",ISNUMBER(SEARCH($C$4,C92&amp;" "&amp;E92&amp;" "&amp;G92&amp;" "&amp;H92&amp;" "&amp;I92&amp;" "&amp;J92&amp;" "&amp;K92&amp;" "&amp;L92))),OR($C$5="Semua",$C$5="",G92=$C$5),OR($C$6="Semua",$C$6="",H92=$C$6,H92="Pengeluaran "&amp;$C$6,AND($C$6="Uang Kos Mama",H92="Pengeluaran Uang Kos")),OR($C$7="Semua",$C$7="",I92=$C$7),OR($C$8="Semua",$C$8="",C92=$C$8,E92=$C$8),OR($C$9="Semua",$C$9="",D92=$C$9),OR($C$10="",B92&gt;=$C$10),OR($C$11="",B92&lt;=$C$11),OR($C$12&lt;&gt;"Ya",K92&lt;&gt;""),OR($C$13="Semua",$C$13="",L92=$C$13)),"✓","")</f>
        <v/>
      </c>
      <c r="N92" s="93">
        <f>N(N91)+IF(M92="✓",1,0)</f>
        <v/>
      </c>
      <c r="O92" s="93">
        <f>N(O91)+IF(AND(B92&lt;&gt;"",B92&gt;='Uang Riba'!$H$30,B92&lt;='Uang Riba'!$I$30,OR(H92="Dana riba",H92="Pinjam uang riba",I92="Pinjam dari uang riba",I92="Ganti uang riba",I92="Kelebihan ganti dikembalikan",AND(C92="Kantong Uang Riba",G92="Pengeluaran"))),1,0)</f>
        <v/>
      </c>
      <c r="P92" s="119">
        <f>IF(88&gt;MAX($N$16:$N$5015),"",INDEX($B$16:$B$5015,MATCH((MAX($N$16:$N$5015)-88+1),$N$16:$N$5015,0)))</f>
        <v/>
      </c>
      <c r="Q92" s="105">
        <f>IF(88&gt;MAX($N$16:$N$5015),"",INDEX($C$16:$C$5015,MATCH((MAX($N$16:$N$5015)-88+1),$N$16:$N$5015,0)))&amp;IF(IF(88&gt;MAX($N$16:$N$5015),"",INDEX($E$16:$E$5015,MATCH((MAX($N$16:$N$5015)-88+1),$N$16:$N$5015,0)))="",""," → "&amp;IF(88&gt;MAX($N$16:$N$5015),"",INDEX($E$16:$E$5015,MATCH((MAX($N$16:$N$5015)-88+1),$N$16:$N$5015,0))))</f>
        <v/>
      </c>
      <c r="R92" s="105">
        <f>IF(88&gt;MAX($N$16:$N$5015),"",INDEX($D$16:$D$5015,MATCH((MAX($N$16:$N$5015)-88+1),$N$16:$N$5015,0)))</f>
        <v/>
      </c>
      <c r="S92" s="113">
        <f>IF(88&gt;MAX($N$16:$N$5015),"",INDEX($F$16:$F$5015,MATCH((MAX($N$16:$N$5015)-88+1),$N$16:$N$5015,0)))</f>
        <v/>
      </c>
      <c r="T92" s="105">
        <f>IF(88&gt;MAX($N$16:$N$5015),"",IF(88&gt;MAX($N$16:$N$5015),"",INDEX($G$16:$G$5015,MATCH((MAX($N$16:$N$5015)-88+1),$N$16:$N$5015,0)))&amp;" › "&amp;IF(88&gt;MAX($N$16:$N$5015),"",INDEX($H$16:$H$5015,MATCH((MAX($N$16:$N$5015)-88+1),$N$16:$N$5015,0)))&amp;" › "&amp;IF(88&gt;MAX($N$16:$N$5015),"",INDEX($I$16:$I$5015,MATCH((MAX($N$16:$N$5015)-88+1),$N$16:$N$5015,0))))</f>
        <v/>
      </c>
      <c r="U92" s="105">
        <f>IF(88&gt;MAX($N$16:$N$5015),"",INDEX($J$16:$J$5015,MATCH((MAX($N$16:$N$5015)-88+1),$N$16:$N$5015,0)))&amp;IF(IF(88&gt;MAX($N$16:$N$5015),"",INDEX($L$16:$L$5015,MATCH((MAX($N$16:$N$5015)-88+1),$N$16:$N$5015,0)))="",""," ["&amp;IF(88&gt;MAX($N$16:$N$5015),"",INDEX($L$16:$L$5015,MATCH((MAX($N$16:$N$5015)-88+1),$N$16:$N$5015,0)))&amp;"]")</f>
        <v/>
      </c>
      <c r="V92" s="120">
        <f>IF(88&gt;MAX($N$16:$N$5015),"",HYPERLINK("#Transaksi!B"&amp;(MATCH((MAX($N$16:$N$5015)-88+1),$N$16:$N$5015,0)+15),"Buka"))</f>
        <v/>
      </c>
      <c r="X92" s="93">
        <f>IF(AND(B92&lt;&gt;"",B92&gt;='Buku Akun'!$H$4,B92&lt;='Buku Akun'!$H$5,OR(C92='Buku Akun'!$C$4,AND(D92="Pindah",E92='Buku Akun'!$C$4))),B92+IF(AND(I92="Selisih bunga",DAY(B92)=1),0,0.01)+ROW()/10000000,"")</f>
        <v/>
      </c>
    </row>
    <row r="93" outlineLevel="1" ht="15" customHeight="1" s="94">
      <c r="A93" s="123">
        <f>IF(B93="","",ROW()-15)</f>
        <v/>
      </c>
      <c r="B93" s="124" t="n"/>
      <c r="C93" s="123" t="n"/>
      <c r="D93" s="123" t="n"/>
      <c r="E93" s="123" t="n"/>
      <c r="F93" s="125" t="n"/>
      <c r="G93" s="123" t="n"/>
      <c r="H93" s="123" t="n"/>
      <c r="I93" s="123" t="n"/>
      <c r="J93" s="123" t="n"/>
      <c r="K93" s="123" t="n"/>
      <c r="L93" s="123" t="n"/>
      <c r="M93" s="123">
        <f>IF(AND(B93&lt;&gt;"",OR($C$4="",ISNUMBER(SEARCH($C$4,C93&amp;" "&amp;E93&amp;" "&amp;G93&amp;" "&amp;H93&amp;" "&amp;I93&amp;" "&amp;J93&amp;" "&amp;K93&amp;" "&amp;L93))),OR($C$5="Semua",$C$5="",G93=$C$5),OR($C$6="Semua",$C$6="",H93=$C$6,H93="Pengeluaran "&amp;$C$6,AND($C$6="Uang Kos Mama",H93="Pengeluaran Uang Kos")),OR($C$7="Semua",$C$7="",I93=$C$7),OR($C$8="Semua",$C$8="",C93=$C$8,E93=$C$8),OR($C$9="Semua",$C$9="",D93=$C$9),OR($C$10="",B93&gt;=$C$10),OR($C$11="",B93&lt;=$C$11),OR($C$12&lt;&gt;"Ya",K93&lt;&gt;""),OR($C$13="Semua",$C$13="",L93=$C$13)),"✓","")</f>
        <v/>
      </c>
      <c r="N93" s="93">
        <f>N(N92)+IF(M93="✓",1,0)</f>
        <v/>
      </c>
      <c r="O93" s="93">
        <f>N(O92)+IF(AND(B93&lt;&gt;"",B93&gt;='Uang Riba'!$H$30,B93&lt;='Uang Riba'!$I$30,OR(H93="Dana riba",H93="Pinjam uang riba",I93="Pinjam dari uang riba",I93="Ganti uang riba",I93="Kelebihan ganti dikembalikan",AND(C93="Kantong Uang Riba",G93="Pengeluaran"))),1,0)</f>
        <v/>
      </c>
      <c r="P93" s="119">
        <f>IF(89&gt;MAX($N$16:$N$5015),"",INDEX($B$16:$B$5015,MATCH((MAX($N$16:$N$5015)-89+1),$N$16:$N$5015,0)))</f>
        <v/>
      </c>
      <c r="Q93" s="105">
        <f>IF(89&gt;MAX($N$16:$N$5015),"",INDEX($C$16:$C$5015,MATCH((MAX($N$16:$N$5015)-89+1),$N$16:$N$5015,0)))&amp;IF(IF(89&gt;MAX($N$16:$N$5015),"",INDEX($E$16:$E$5015,MATCH((MAX($N$16:$N$5015)-89+1),$N$16:$N$5015,0)))="",""," → "&amp;IF(89&gt;MAX($N$16:$N$5015),"",INDEX($E$16:$E$5015,MATCH((MAX($N$16:$N$5015)-89+1),$N$16:$N$5015,0))))</f>
        <v/>
      </c>
      <c r="R93" s="105">
        <f>IF(89&gt;MAX($N$16:$N$5015),"",INDEX($D$16:$D$5015,MATCH((MAX($N$16:$N$5015)-89+1),$N$16:$N$5015,0)))</f>
        <v/>
      </c>
      <c r="S93" s="113">
        <f>IF(89&gt;MAX($N$16:$N$5015),"",INDEX($F$16:$F$5015,MATCH((MAX($N$16:$N$5015)-89+1),$N$16:$N$5015,0)))</f>
        <v/>
      </c>
      <c r="T93" s="105">
        <f>IF(89&gt;MAX($N$16:$N$5015),"",IF(89&gt;MAX($N$16:$N$5015),"",INDEX($G$16:$G$5015,MATCH((MAX($N$16:$N$5015)-89+1),$N$16:$N$5015,0)))&amp;" › "&amp;IF(89&gt;MAX($N$16:$N$5015),"",INDEX($H$16:$H$5015,MATCH((MAX($N$16:$N$5015)-89+1),$N$16:$N$5015,0)))&amp;" › "&amp;IF(89&gt;MAX($N$16:$N$5015),"",INDEX($I$16:$I$5015,MATCH((MAX($N$16:$N$5015)-89+1),$N$16:$N$5015,0))))</f>
        <v/>
      </c>
      <c r="U93" s="105">
        <f>IF(89&gt;MAX($N$16:$N$5015),"",INDEX($J$16:$J$5015,MATCH((MAX($N$16:$N$5015)-89+1),$N$16:$N$5015,0)))&amp;IF(IF(89&gt;MAX($N$16:$N$5015),"",INDEX($L$16:$L$5015,MATCH((MAX($N$16:$N$5015)-89+1),$N$16:$N$5015,0)))="",""," ["&amp;IF(89&gt;MAX($N$16:$N$5015),"",INDEX($L$16:$L$5015,MATCH((MAX($N$16:$N$5015)-89+1),$N$16:$N$5015,0)))&amp;"]")</f>
        <v/>
      </c>
      <c r="V93" s="120">
        <f>IF(89&gt;MAX($N$16:$N$5015),"",HYPERLINK("#Transaksi!B"&amp;(MATCH((MAX($N$16:$N$5015)-89+1),$N$16:$N$5015,0)+15),"Buka"))</f>
        <v/>
      </c>
      <c r="X93" s="93">
        <f>IF(AND(B93&lt;&gt;"",B93&gt;='Buku Akun'!$H$4,B93&lt;='Buku Akun'!$H$5,OR(C93='Buku Akun'!$C$4,AND(D93="Pindah",E93='Buku Akun'!$C$4))),B93+IF(AND(I93="Selisih bunga",DAY(B93)=1),0,0.01)+ROW()/10000000,"")</f>
        <v/>
      </c>
    </row>
    <row r="94" outlineLevel="1" ht="15" customHeight="1" s="94">
      <c r="A94" s="123">
        <f>IF(B94="","",ROW()-15)</f>
        <v/>
      </c>
      <c r="B94" s="124" t="n"/>
      <c r="C94" s="123" t="n"/>
      <c r="D94" s="123" t="n"/>
      <c r="E94" s="123" t="n"/>
      <c r="F94" s="125" t="n"/>
      <c r="G94" s="123" t="n"/>
      <c r="H94" s="123" t="n"/>
      <c r="I94" s="123" t="n"/>
      <c r="J94" s="123" t="n"/>
      <c r="K94" s="123" t="n"/>
      <c r="L94" s="123" t="n"/>
      <c r="M94" s="123">
        <f>IF(AND(B94&lt;&gt;"",OR($C$4="",ISNUMBER(SEARCH($C$4,C94&amp;" "&amp;E94&amp;" "&amp;G94&amp;" "&amp;H94&amp;" "&amp;I94&amp;" "&amp;J94&amp;" "&amp;K94&amp;" "&amp;L94))),OR($C$5="Semua",$C$5="",G94=$C$5),OR($C$6="Semua",$C$6="",H94=$C$6,H94="Pengeluaran "&amp;$C$6,AND($C$6="Uang Kos Mama",H94="Pengeluaran Uang Kos")),OR($C$7="Semua",$C$7="",I94=$C$7),OR($C$8="Semua",$C$8="",C94=$C$8,E94=$C$8),OR($C$9="Semua",$C$9="",D94=$C$9),OR($C$10="",B94&gt;=$C$10),OR($C$11="",B94&lt;=$C$11),OR($C$12&lt;&gt;"Ya",K94&lt;&gt;""),OR($C$13="Semua",$C$13="",L94=$C$13)),"✓","")</f>
        <v/>
      </c>
      <c r="N94" s="93">
        <f>N(N93)+IF(M94="✓",1,0)</f>
        <v/>
      </c>
      <c r="O94" s="93">
        <f>N(O93)+IF(AND(B94&lt;&gt;"",B94&gt;='Uang Riba'!$H$30,B94&lt;='Uang Riba'!$I$30,OR(H94="Dana riba",H94="Pinjam uang riba",I94="Pinjam dari uang riba",I94="Ganti uang riba",I94="Kelebihan ganti dikembalikan",AND(C94="Kantong Uang Riba",G94="Pengeluaran"))),1,0)</f>
        <v/>
      </c>
      <c r="P94" s="119">
        <f>IF(90&gt;MAX($N$16:$N$5015),"",INDEX($B$16:$B$5015,MATCH((MAX($N$16:$N$5015)-90+1),$N$16:$N$5015,0)))</f>
        <v/>
      </c>
      <c r="Q94" s="105">
        <f>IF(90&gt;MAX($N$16:$N$5015),"",INDEX($C$16:$C$5015,MATCH((MAX($N$16:$N$5015)-90+1),$N$16:$N$5015,0)))&amp;IF(IF(90&gt;MAX($N$16:$N$5015),"",INDEX($E$16:$E$5015,MATCH((MAX($N$16:$N$5015)-90+1),$N$16:$N$5015,0)))="",""," → "&amp;IF(90&gt;MAX($N$16:$N$5015),"",INDEX($E$16:$E$5015,MATCH((MAX($N$16:$N$5015)-90+1),$N$16:$N$5015,0))))</f>
        <v/>
      </c>
      <c r="R94" s="105">
        <f>IF(90&gt;MAX($N$16:$N$5015),"",INDEX($D$16:$D$5015,MATCH((MAX($N$16:$N$5015)-90+1),$N$16:$N$5015,0)))</f>
        <v/>
      </c>
      <c r="S94" s="113">
        <f>IF(90&gt;MAX($N$16:$N$5015),"",INDEX($F$16:$F$5015,MATCH((MAX($N$16:$N$5015)-90+1),$N$16:$N$5015,0)))</f>
        <v/>
      </c>
      <c r="T94" s="105">
        <f>IF(90&gt;MAX($N$16:$N$5015),"",IF(90&gt;MAX($N$16:$N$5015),"",INDEX($G$16:$G$5015,MATCH((MAX($N$16:$N$5015)-90+1),$N$16:$N$5015,0)))&amp;" › "&amp;IF(90&gt;MAX($N$16:$N$5015),"",INDEX($H$16:$H$5015,MATCH((MAX($N$16:$N$5015)-90+1),$N$16:$N$5015,0)))&amp;" › "&amp;IF(90&gt;MAX($N$16:$N$5015),"",INDEX($I$16:$I$5015,MATCH((MAX($N$16:$N$5015)-90+1),$N$16:$N$5015,0))))</f>
        <v/>
      </c>
      <c r="U94" s="105">
        <f>IF(90&gt;MAX($N$16:$N$5015),"",INDEX($J$16:$J$5015,MATCH((MAX($N$16:$N$5015)-90+1),$N$16:$N$5015,0)))&amp;IF(IF(90&gt;MAX($N$16:$N$5015),"",INDEX($L$16:$L$5015,MATCH((MAX($N$16:$N$5015)-90+1),$N$16:$N$5015,0)))="",""," ["&amp;IF(90&gt;MAX($N$16:$N$5015),"",INDEX($L$16:$L$5015,MATCH((MAX($N$16:$N$5015)-90+1),$N$16:$N$5015,0)))&amp;"]")</f>
        <v/>
      </c>
      <c r="V94" s="120">
        <f>IF(90&gt;MAX($N$16:$N$5015),"",HYPERLINK("#Transaksi!B"&amp;(MATCH((MAX($N$16:$N$5015)-90+1),$N$16:$N$5015,0)+15),"Buka"))</f>
        <v/>
      </c>
      <c r="X94" s="93">
        <f>IF(AND(B94&lt;&gt;"",B94&gt;='Buku Akun'!$H$4,B94&lt;='Buku Akun'!$H$5,OR(C94='Buku Akun'!$C$4,AND(D94="Pindah",E94='Buku Akun'!$C$4))),B94+IF(AND(I94="Selisih bunga",DAY(B94)=1),0,0.01)+ROW()/10000000,"")</f>
        <v/>
      </c>
    </row>
    <row r="95" outlineLevel="1" ht="15" customHeight="1" s="94">
      <c r="A95" s="123">
        <f>IF(B95="","",ROW()-15)</f>
        <v/>
      </c>
      <c r="B95" s="124" t="n"/>
      <c r="C95" s="123" t="n"/>
      <c r="D95" s="123" t="n"/>
      <c r="E95" s="123" t="n"/>
      <c r="F95" s="125" t="n"/>
      <c r="G95" s="123" t="n"/>
      <c r="H95" s="123" t="n"/>
      <c r="I95" s="123" t="n"/>
      <c r="J95" s="123" t="n"/>
      <c r="K95" s="123" t="n"/>
      <c r="L95" s="123" t="n"/>
      <c r="M95" s="123">
        <f>IF(AND(B95&lt;&gt;"",OR($C$4="",ISNUMBER(SEARCH($C$4,C95&amp;" "&amp;E95&amp;" "&amp;G95&amp;" "&amp;H95&amp;" "&amp;I95&amp;" "&amp;J95&amp;" "&amp;K95&amp;" "&amp;L95))),OR($C$5="Semua",$C$5="",G95=$C$5),OR($C$6="Semua",$C$6="",H95=$C$6,H95="Pengeluaran "&amp;$C$6,AND($C$6="Uang Kos Mama",H95="Pengeluaran Uang Kos")),OR($C$7="Semua",$C$7="",I95=$C$7),OR($C$8="Semua",$C$8="",C95=$C$8,E95=$C$8),OR($C$9="Semua",$C$9="",D95=$C$9),OR($C$10="",B95&gt;=$C$10),OR($C$11="",B95&lt;=$C$11),OR($C$12&lt;&gt;"Ya",K95&lt;&gt;""),OR($C$13="Semua",$C$13="",L95=$C$13)),"✓","")</f>
        <v/>
      </c>
      <c r="N95" s="93">
        <f>N(N94)+IF(M95="✓",1,0)</f>
        <v/>
      </c>
      <c r="O95" s="93">
        <f>N(O94)+IF(AND(B95&lt;&gt;"",B95&gt;='Uang Riba'!$H$30,B95&lt;='Uang Riba'!$I$30,OR(H95="Dana riba",H95="Pinjam uang riba",I95="Pinjam dari uang riba",I95="Ganti uang riba",I95="Kelebihan ganti dikembalikan",AND(C95="Kantong Uang Riba",G95="Pengeluaran"))),1,0)</f>
        <v/>
      </c>
      <c r="P95" s="119">
        <f>IF(91&gt;MAX($N$16:$N$5015),"",INDEX($B$16:$B$5015,MATCH((MAX($N$16:$N$5015)-91+1),$N$16:$N$5015,0)))</f>
        <v/>
      </c>
      <c r="Q95" s="105">
        <f>IF(91&gt;MAX($N$16:$N$5015),"",INDEX($C$16:$C$5015,MATCH((MAX($N$16:$N$5015)-91+1),$N$16:$N$5015,0)))&amp;IF(IF(91&gt;MAX($N$16:$N$5015),"",INDEX($E$16:$E$5015,MATCH((MAX($N$16:$N$5015)-91+1),$N$16:$N$5015,0)))="",""," → "&amp;IF(91&gt;MAX($N$16:$N$5015),"",INDEX($E$16:$E$5015,MATCH((MAX($N$16:$N$5015)-91+1),$N$16:$N$5015,0))))</f>
        <v/>
      </c>
      <c r="R95" s="105">
        <f>IF(91&gt;MAX($N$16:$N$5015),"",INDEX($D$16:$D$5015,MATCH((MAX($N$16:$N$5015)-91+1),$N$16:$N$5015,0)))</f>
        <v/>
      </c>
      <c r="S95" s="113">
        <f>IF(91&gt;MAX($N$16:$N$5015),"",INDEX($F$16:$F$5015,MATCH((MAX($N$16:$N$5015)-91+1),$N$16:$N$5015,0)))</f>
        <v/>
      </c>
      <c r="T95" s="105">
        <f>IF(91&gt;MAX($N$16:$N$5015),"",IF(91&gt;MAX($N$16:$N$5015),"",INDEX($G$16:$G$5015,MATCH((MAX($N$16:$N$5015)-91+1),$N$16:$N$5015,0)))&amp;" › "&amp;IF(91&gt;MAX($N$16:$N$5015),"",INDEX($H$16:$H$5015,MATCH((MAX($N$16:$N$5015)-91+1),$N$16:$N$5015,0)))&amp;" › "&amp;IF(91&gt;MAX($N$16:$N$5015),"",INDEX($I$16:$I$5015,MATCH((MAX($N$16:$N$5015)-91+1),$N$16:$N$5015,0))))</f>
        <v/>
      </c>
      <c r="U95" s="105">
        <f>IF(91&gt;MAX($N$16:$N$5015),"",INDEX($J$16:$J$5015,MATCH((MAX($N$16:$N$5015)-91+1),$N$16:$N$5015,0)))&amp;IF(IF(91&gt;MAX($N$16:$N$5015),"",INDEX($L$16:$L$5015,MATCH((MAX($N$16:$N$5015)-91+1),$N$16:$N$5015,0)))="",""," ["&amp;IF(91&gt;MAX($N$16:$N$5015),"",INDEX($L$16:$L$5015,MATCH((MAX($N$16:$N$5015)-91+1),$N$16:$N$5015,0)))&amp;"]")</f>
        <v/>
      </c>
      <c r="V95" s="120">
        <f>IF(91&gt;MAX($N$16:$N$5015),"",HYPERLINK("#Transaksi!B"&amp;(MATCH((MAX($N$16:$N$5015)-91+1),$N$16:$N$5015,0)+15),"Buka"))</f>
        <v/>
      </c>
      <c r="X95" s="93">
        <f>IF(AND(B95&lt;&gt;"",B95&gt;='Buku Akun'!$H$4,B95&lt;='Buku Akun'!$H$5,OR(C95='Buku Akun'!$C$4,AND(D95="Pindah",E95='Buku Akun'!$C$4))),B95+IF(AND(I95="Selisih bunga",DAY(B95)=1),0,0.01)+ROW()/10000000,"")</f>
        <v/>
      </c>
    </row>
    <row r="96" outlineLevel="1" ht="15" customHeight="1" s="94">
      <c r="A96" s="123">
        <f>IF(B96="","",ROW()-15)</f>
        <v/>
      </c>
      <c r="B96" s="124" t="n"/>
      <c r="C96" s="123" t="n"/>
      <c r="D96" s="123" t="n"/>
      <c r="E96" s="123" t="n"/>
      <c r="F96" s="125" t="n"/>
      <c r="G96" s="123" t="n"/>
      <c r="H96" s="123" t="n"/>
      <c r="I96" s="123" t="n"/>
      <c r="J96" s="123" t="n"/>
      <c r="K96" s="123" t="n"/>
      <c r="L96" s="123" t="n"/>
      <c r="M96" s="123">
        <f>IF(AND(B96&lt;&gt;"",OR($C$4="",ISNUMBER(SEARCH($C$4,C96&amp;" "&amp;E96&amp;" "&amp;G96&amp;" "&amp;H96&amp;" "&amp;I96&amp;" "&amp;J96&amp;" "&amp;K96&amp;" "&amp;L96))),OR($C$5="Semua",$C$5="",G96=$C$5),OR($C$6="Semua",$C$6="",H96=$C$6,H96="Pengeluaran "&amp;$C$6,AND($C$6="Uang Kos Mama",H96="Pengeluaran Uang Kos")),OR($C$7="Semua",$C$7="",I96=$C$7),OR($C$8="Semua",$C$8="",C96=$C$8,E96=$C$8),OR($C$9="Semua",$C$9="",D96=$C$9),OR($C$10="",B96&gt;=$C$10),OR($C$11="",B96&lt;=$C$11),OR($C$12&lt;&gt;"Ya",K96&lt;&gt;""),OR($C$13="Semua",$C$13="",L96=$C$13)),"✓","")</f>
        <v/>
      </c>
      <c r="N96" s="93">
        <f>N(N95)+IF(M96="✓",1,0)</f>
        <v/>
      </c>
      <c r="O96" s="93">
        <f>N(O95)+IF(AND(B96&lt;&gt;"",B96&gt;='Uang Riba'!$H$30,B96&lt;='Uang Riba'!$I$30,OR(H96="Dana riba",H96="Pinjam uang riba",I96="Pinjam dari uang riba",I96="Ganti uang riba",I96="Kelebihan ganti dikembalikan",AND(C96="Kantong Uang Riba",G96="Pengeluaran"))),1,0)</f>
        <v/>
      </c>
      <c r="P96" s="119">
        <f>IF(92&gt;MAX($N$16:$N$5015),"",INDEX($B$16:$B$5015,MATCH((MAX($N$16:$N$5015)-92+1),$N$16:$N$5015,0)))</f>
        <v/>
      </c>
      <c r="Q96" s="105">
        <f>IF(92&gt;MAX($N$16:$N$5015),"",INDEX($C$16:$C$5015,MATCH((MAX($N$16:$N$5015)-92+1),$N$16:$N$5015,0)))&amp;IF(IF(92&gt;MAX($N$16:$N$5015),"",INDEX($E$16:$E$5015,MATCH((MAX($N$16:$N$5015)-92+1),$N$16:$N$5015,0)))="",""," → "&amp;IF(92&gt;MAX($N$16:$N$5015),"",INDEX($E$16:$E$5015,MATCH((MAX($N$16:$N$5015)-92+1),$N$16:$N$5015,0))))</f>
        <v/>
      </c>
      <c r="R96" s="105">
        <f>IF(92&gt;MAX($N$16:$N$5015),"",INDEX($D$16:$D$5015,MATCH((MAX($N$16:$N$5015)-92+1),$N$16:$N$5015,0)))</f>
        <v/>
      </c>
      <c r="S96" s="113">
        <f>IF(92&gt;MAX($N$16:$N$5015),"",INDEX($F$16:$F$5015,MATCH((MAX($N$16:$N$5015)-92+1),$N$16:$N$5015,0)))</f>
        <v/>
      </c>
      <c r="T96" s="105">
        <f>IF(92&gt;MAX($N$16:$N$5015),"",IF(92&gt;MAX($N$16:$N$5015),"",INDEX($G$16:$G$5015,MATCH((MAX($N$16:$N$5015)-92+1),$N$16:$N$5015,0)))&amp;" › "&amp;IF(92&gt;MAX($N$16:$N$5015),"",INDEX($H$16:$H$5015,MATCH((MAX($N$16:$N$5015)-92+1),$N$16:$N$5015,0)))&amp;" › "&amp;IF(92&gt;MAX($N$16:$N$5015),"",INDEX($I$16:$I$5015,MATCH((MAX($N$16:$N$5015)-92+1),$N$16:$N$5015,0))))</f>
        <v/>
      </c>
      <c r="U96" s="105">
        <f>IF(92&gt;MAX($N$16:$N$5015),"",INDEX($J$16:$J$5015,MATCH((MAX($N$16:$N$5015)-92+1),$N$16:$N$5015,0)))&amp;IF(IF(92&gt;MAX($N$16:$N$5015),"",INDEX($L$16:$L$5015,MATCH((MAX($N$16:$N$5015)-92+1),$N$16:$N$5015,0)))="",""," ["&amp;IF(92&gt;MAX($N$16:$N$5015),"",INDEX($L$16:$L$5015,MATCH((MAX($N$16:$N$5015)-92+1),$N$16:$N$5015,0)))&amp;"]")</f>
        <v/>
      </c>
      <c r="V96" s="120">
        <f>IF(92&gt;MAX($N$16:$N$5015),"",HYPERLINK("#Transaksi!B"&amp;(MATCH((MAX($N$16:$N$5015)-92+1),$N$16:$N$5015,0)+15),"Buka"))</f>
        <v/>
      </c>
      <c r="X96" s="93">
        <f>IF(AND(B96&lt;&gt;"",B96&gt;='Buku Akun'!$H$4,B96&lt;='Buku Akun'!$H$5,OR(C96='Buku Akun'!$C$4,AND(D96="Pindah",E96='Buku Akun'!$C$4))),B96+IF(AND(I96="Selisih bunga",DAY(B96)=1),0,0.01)+ROW()/10000000,"")</f>
        <v/>
      </c>
    </row>
    <row r="97" outlineLevel="1" ht="15" customHeight="1" s="94">
      <c r="A97" s="123">
        <f>IF(B97="","",ROW()-15)</f>
        <v/>
      </c>
      <c r="B97" s="124" t="n"/>
      <c r="C97" s="123" t="n"/>
      <c r="D97" s="123" t="n"/>
      <c r="E97" s="123" t="n"/>
      <c r="F97" s="125" t="n"/>
      <c r="G97" s="123" t="n"/>
      <c r="H97" s="123" t="n"/>
      <c r="I97" s="123" t="n"/>
      <c r="J97" s="123" t="n"/>
      <c r="K97" s="123" t="n"/>
      <c r="L97" s="123" t="n"/>
      <c r="M97" s="123">
        <f>IF(AND(B97&lt;&gt;"",OR($C$4="",ISNUMBER(SEARCH($C$4,C97&amp;" "&amp;E97&amp;" "&amp;G97&amp;" "&amp;H97&amp;" "&amp;I97&amp;" "&amp;J97&amp;" "&amp;K97&amp;" "&amp;L97))),OR($C$5="Semua",$C$5="",G97=$C$5),OR($C$6="Semua",$C$6="",H97=$C$6,H97="Pengeluaran "&amp;$C$6,AND($C$6="Uang Kos Mama",H97="Pengeluaran Uang Kos")),OR($C$7="Semua",$C$7="",I97=$C$7),OR($C$8="Semua",$C$8="",C97=$C$8,E97=$C$8),OR($C$9="Semua",$C$9="",D97=$C$9),OR($C$10="",B97&gt;=$C$10),OR($C$11="",B97&lt;=$C$11),OR($C$12&lt;&gt;"Ya",K97&lt;&gt;""),OR($C$13="Semua",$C$13="",L97=$C$13)),"✓","")</f>
        <v/>
      </c>
      <c r="N97" s="93">
        <f>N(N96)+IF(M97="✓",1,0)</f>
        <v/>
      </c>
      <c r="O97" s="93">
        <f>N(O96)+IF(AND(B97&lt;&gt;"",B97&gt;='Uang Riba'!$H$30,B97&lt;='Uang Riba'!$I$30,OR(H97="Dana riba",H97="Pinjam uang riba",I97="Pinjam dari uang riba",I97="Ganti uang riba",I97="Kelebihan ganti dikembalikan",AND(C97="Kantong Uang Riba",G97="Pengeluaran"))),1,0)</f>
        <v/>
      </c>
      <c r="P97" s="119">
        <f>IF(93&gt;MAX($N$16:$N$5015),"",INDEX($B$16:$B$5015,MATCH((MAX($N$16:$N$5015)-93+1),$N$16:$N$5015,0)))</f>
        <v/>
      </c>
      <c r="Q97" s="105">
        <f>IF(93&gt;MAX($N$16:$N$5015),"",INDEX($C$16:$C$5015,MATCH((MAX($N$16:$N$5015)-93+1),$N$16:$N$5015,0)))&amp;IF(IF(93&gt;MAX($N$16:$N$5015),"",INDEX($E$16:$E$5015,MATCH((MAX($N$16:$N$5015)-93+1),$N$16:$N$5015,0)))="",""," → "&amp;IF(93&gt;MAX($N$16:$N$5015),"",INDEX($E$16:$E$5015,MATCH((MAX($N$16:$N$5015)-93+1),$N$16:$N$5015,0))))</f>
        <v/>
      </c>
      <c r="R97" s="105">
        <f>IF(93&gt;MAX($N$16:$N$5015),"",INDEX($D$16:$D$5015,MATCH((MAX($N$16:$N$5015)-93+1),$N$16:$N$5015,0)))</f>
        <v/>
      </c>
      <c r="S97" s="113">
        <f>IF(93&gt;MAX($N$16:$N$5015),"",INDEX($F$16:$F$5015,MATCH((MAX($N$16:$N$5015)-93+1),$N$16:$N$5015,0)))</f>
        <v/>
      </c>
      <c r="T97" s="105">
        <f>IF(93&gt;MAX($N$16:$N$5015),"",IF(93&gt;MAX($N$16:$N$5015),"",INDEX($G$16:$G$5015,MATCH((MAX($N$16:$N$5015)-93+1),$N$16:$N$5015,0)))&amp;" › "&amp;IF(93&gt;MAX($N$16:$N$5015),"",INDEX($H$16:$H$5015,MATCH((MAX($N$16:$N$5015)-93+1),$N$16:$N$5015,0)))&amp;" › "&amp;IF(93&gt;MAX($N$16:$N$5015),"",INDEX($I$16:$I$5015,MATCH((MAX($N$16:$N$5015)-93+1),$N$16:$N$5015,0))))</f>
        <v/>
      </c>
      <c r="U97" s="105">
        <f>IF(93&gt;MAX($N$16:$N$5015),"",INDEX($J$16:$J$5015,MATCH((MAX($N$16:$N$5015)-93+1),$N$16:$N$5015,0)))&amp;IF(IF(93&gt;MAX($N$16:$N$5015),"",INDEX($L$16:$L$5015,MATCH((MAX($N$16:$N$5015)-93+1),$N$16:$N$5015,0)))="",""," ["&amp;IF(93&gt;MAX($N$16:$N$5015),"",INDEX($L$16:$L$5015,MATCH((MAX($N$16:$N$5015)-93+1),$N$16:$N$5015,0)))&amp;"]")</f>
        <v/>
      </c>
      <c r="V97" s="120">
        <f>IF(93&gt;MAX($N$16:$N$5015),"",HYPERLINK("#Transaksi!B"&amp;(MATCH((MAX($N$16:$N$5015)-93+1),$N$16:$N$5015,0)+15),"Buka"))</f>
        <v/>
      </c>
      <c r="X97" s="93">
        <f>IF(AND(B97&lt;&gt;"",B97&gt;='Buku Akun'!$H$4,B97&lt;='Buku Akun'!$H$5,OR(C97='Buku Akun'!$C$4,AND(D97="Pindah",E97='Buku Akun'!$C$4))),B97+IF(AND(I97="Selisih bunga",DAY(B97)=1),0,0.01)+ROW()/10000000,"")</f>
        <v/>
      </c>
    </row>
    <row r="98" outlineLevel="1" ht="15" customHeight="1" s="94">
      <c r="A98" s="123">
        <f>IF(B98="","",ROW()-15)</f>
        <v/>
      </c>
      <c r="B98" s="124" t="n"/>
      <c r="C98" s="123" t="n"/>
      <c r="D98" s="123" t="n"/>
      <c r="E98" s="123" t="n"/>
      <c r="F98" s="125" t="n"/>
      <c r="G98" s="123" t="n"/>
      <c r="H98" s="123" t="n"/>
      <c r="I98" s="123" t="n"/>
      <c r="J98" s="123" t="n"/>
      <c r="K98" s="123" t="n"/>
      <c r="L98" s="123" t="n"/>
      <c r="M98" s="123">
        <f>IF(AND(B98&lt;&gt;"",OR($C$4="",ISNUMBER(SEARCH($C$4,C98&amp;" "&amp;E98&amp;" "&amp;G98&amp;" "&amp;H98&amp;" "&amp;I98&amp;" "&amp;J98&amp;" "&amp;K98&amp;" "&amp;L98))),OR($C$5="Semua",$C$5="",G98=$C$5),OR($C$6="Semua",$C$6="",H98=$C$6,H98="Pengeluaran "&amp;$C$6,AND($C$6="Uang Kos Mama",H98="Pengeluaran Uang Kos")),OR($C$7="Semua",$C$7="",I98=$C$7),OR($C$8="Semua",$C$8="",C98=$C$8,E98=$C$8),OR($C$9="Semua",$C$9="",D98=$C$9),OR($C$10="",B98&gt;=$C$10),OR($C$11="",B98&lt;=$C$11),OR($C$12&lt;&gt;"Ya",K98&lt;&gt;""),OR($C$13="Semua",$C$13="",L98=$C$13)),"✓","")</f>
        <v/>
      </c>
      <c r="N98" s="93">
        <f>N(N97)+IF(M98="✓",1,0)</f>
        <v/>
      </c>
      <c r="O98" s="93">
        <f>N(O97)+IF(AND(B98&lt;&gt;"",B98&gt;='Uang Riba'!$H$30,B98&lt;='Uang Riba'!$I$30,OR(H98="Dana riba",H98="Pinjam uang riba",I98="Pinjam dari uang riba",I98="Ganti uang riba",I98="Kelebihan ganti dikembalikan",AND(C98="Kantong Uang Riba",G98="Pengeluaran"))),1,0)</f>
        <v/>
      </c>
      <c r="P98" s="119">
        <f>IF(94&gt;MAX($N$16:$N$5015),"",INDEX($B$16:$B$5015,MATCH((MAX($N$16:$N$5015)-94+1),$N$16:$N$5015,0)))</f>
        <v/>
      </c>
      <c r="Q98" s="105">
        <f>IF(94&gt;MAX($N$16:$N$5015),"",INDEX($C$16:$C$5015,MATCH((MAX($N$16:$N$5015)-94+1),$N$16:$N$5015,0)))&amp;IF(IF(94&gt;MAX($N$16:$N$5015),"",INDEX($E$16:$E$5015,MATCH((MAX($N$16:$N$5015)-94+1),$N$16:$N$5015,0)))="",""," → "&amp;IF(94&gt;MAX($N$16:$N$5015),"",INDEX($E$16:$E$5015,MATCH((MAX($N$16:$N$5015)-94+1),$N$16:$N$5015,0))))</f>
        <v/>
      </c>
      <c r="R98" s="105">
        <f>IF(94&gt;MAX($N$16:$N$5015),"",INDEX($D$16:$D$5015,MATCH((MAX($N$16:$N$5015)-94+1),$N$16:$N$5015,0)))</f>
        <v/>
      </c>
      <c r="S98" s="113">
        <f>IF(94&gt;MAX($N$16:$N$5015),"",INDEX($F$16:$F$5015,MATCH((MAX($N$16:$N$5015)-94+1),$N$16:$N$5015,0)))</f>
        <v/>
      </c>
      <c r="T98" s="105">
        <f>IF(94&gt;MAX($N$16:$N$5015),"",IF(94&gt;MAX($N$16:$N$5015),"",INDEX($G$16:$G$5015,MATCH((MAX($N$16:$N$5015)-94+1),$N$16:$N$5015,0)))&amp;" › "&amp;IF(94&gt;MAX($N$16:$N$5015),"",INDEX($H$16:$H$5015,MATCH((MAX($N$16:$N$5015)-94+1),$N$16:$N$5015,0)))&amp;" › "&amp;IF(94&gt;MAX($N$16:$N$5015),"",INDEX($I$16:$I$5015,MATCH((MAX($N$16:$N$5015)-94+1),$N$16:$N$5015,0))))</f>
        <v/>
      </c>
      <c r="U98" s="105">
        <f>IF(94&gt;MAX($N$16:$N$5015),"",INDEX($J$16:$J$5015,MATCH((MAX($N$16:$N$5015)-94+1),$N$16:$N$5015,0)))&amp;IF(IF(94&gt;MAX($N$16:$N$5015),"",INDEX($L$16:$L$5015,MATCH((MAX($N$16:$N$5015)-94+1),$N$16:$N$5015,0)))="",""," ["&amp;IF(94&gt;MAX($N$16:$N$5015),"",INDEX($L$16:$L$5015,MATCH((MAX($N$16:$N$5015)-94+1),$N$16:$N$5015,0)))&amp;"]")</f>
        <v/>
      </c>
      <c r="V98" s="120">
        <f>IF(94&gt;MAX($N$16:$N$5015),"",HYPERLINK("#Transaksi!B"&amp;(MATCH((MAX($N$16:$N$5015)-94+1),$N$16:$N$5015,0)+15),"Buka"))</f>
        <v/>
      </c>
      <c r="X98" s="93">
        <f>IF(AND(B98&lt;&gt;"",B98&gt;='Buku Akun'!$H$4,B98&lt;='Buku Akun'!$H$5,OR(C98='Buku Akun'!$C$4,AND(D98="Pindah",E98='Buku Akun'!$C$4))),B98+IF(AND(I98="Selisih bunga",DAY(B98)=1),0,0.01)+ROW()/10000000,"")</f>
        <v/>
      </c>
    </row>
    <row r="99" outlineLevel="1" ht="15" customHeight="1" s="94">
      <c r="A99" s="123">
        <f>IF(B99="","",ROW()-15)</f>
        <v/>
      </c>
      <c r="B99" s="124" t="n"/>
      <c r="C99" s="123" t="n"/>
      <c r="D99" s="123" t="n"/>
      <c r="E99" s="123" t="n"/>
      <c r="F99" s="125" t="n"/>
      <c r="G99" s="123" t="n"/>
      <c r="H99" s="123" t="n"/>
      <c r="I99" s="123" t="n"/>
      <c r="J99" s="123" t="n"/>
      <c r="K99" s="123" t="n"/>
      <c r="L99" s="123" t="n"/>
      <c r="M99" s="123">
        <f>IF(AND(B99&lt;&gt;"",OR($C$4="",ISNUMBER(SEARCH($C$4,C99&amp;" "&amp;E99&amp;" "&amp;G99&amp;" "&amp;H99&amp;" "&amp;I99&amp;" "&amp;J99&amp;" "&amp;K99&amp;" "&amp;L99))),OR($C$5="Semua",$C$5="",G99=$C$5),OR($C$6="Semua",$C$6="",H99=$C$6,H99="Pengeluaran "&amp;$C$6,AND($C$6="Uang Kos Mama",H99="Pengeluaran Uang Kos")),OR($C$7="Semua",$C$7="",I99=$C$7),OR($C$8="Semua",$C$8="",C99=$C$8,E99=$C$8),OR($C$9="Semua",$C$9="",D99=$C$9),OR($C$10="",B99&gt;=$C$10),OR($C$11="",B99&lt;=$C$11),OR($C$12&lt;&gt;"Ya",K99&lt;&gt;""),OR($C$13="Semua",$C$13="",L99=$C$13)),"✓","")</f>
        <v/>
      </c>
      <c r="N99" s="93">
        <f>N(N98)+IF(M99="✓",1,0)</f>
        <v/>
      </c>
      <c r="O99" s="93">
        <f>N(O98)+IF(AND(B99&lt;&gt;"",B99&gt;='Uang Riba'!$H$30,B99&lt;='Uang Riba'!$I$30,OR(H99="Dana riba",H99="Pinjam uang riba",I99="Pinjam dari uang riba",I99="Ganti uang riba",I99="Kelebihan ganti dikembalikan",AND(C99="Kantong Uang Riba",G99="Pengeluaran"))),1,0)</f>
        <v/>
      </c>
      <c r="P99" s="119">
        <f>IF(95&gt;MAX($N$16:$N$5015),"",INDEX($B$16:$B$5015,MATCH((MAX($N$16:$N$5015)-95+1),$N$16:$N$5015,0)))</f>
        <v/>
      </c>
      <c r="Q99" s="105">
        <f>IF(95&gt;MAX($N$16:$N$5015),"",INDEX($C$16:$C$5015,MATCH((MAX($N$16:$N$5015)-95+1),$N$16:$N$5015,0)))&amp;IF(IF(95&gt;MAX($N$16:$N$5015),"",INDEX($E$16:$E$5015,MATCH((MAX($N$16:$N$5015)-95+1),$N$16:$N$5015,0)))="",""," → "&amp;IF(95&gt;MAX($N$16:$N$5015),"",INDEX($E$16:$E$5015,MATCH((MAX($N$16:$N$5015)-95+1),$N$16:$N$5015,0))))</f>
        <v/>
      </c>
      <c r="R99" s="105">
        <f>IF(95&gt;MAX($N$16:$N$5015),"",INDEX($D$16:$D$5015,MATCH((MAX($N$16:$N$5015)-95+1),$N$16:$N$5015,0)))</f>
        <v/>
      </c>
      <c r="S99" s="113">
        <f>IF(95&gt;MAX($N$16:$N$5015),"",INDEX($F$16:$F$5015,MATCH((MAX($N$16:$N$5015)-95+1),$N$16:$N$5015,0)))</f>
        <v/>
      </c>
      <c r="T99" s="105">
        <f>IF(95&gt;MAX($N$16:$N$5015),"",IF(95&gt;MAX($N$16:$N$5015),"",INDEX($G$16:$G$5015,MATCH((MAX($N$16:$N$5015)-95+1),$N$16:$N$5015,0)))&amp;" › "&amp;IF(95&gt;MAX($N$16:$N$5015),"",INDEX($H$16:$H$5015,MATCH((MAX($N$16:$N$5015)-95+1),$N$16:$N$5015,0)))&amp;" › "&amp;IF(95&gt;MAX($N$16:$N$5015),"",INDEX($I$16:$I$5015,MATCH((MAX($N$16:$N$5015)-95+1),$N$16:$N$5015,0))))</f>
        <v/>
      </c>
      <c r="U99" s="105">
        <f>IF(95&gt;MAX($N$16:$N$5015),"",INDEX($J$16:$J$5015,MATCH((MAX($N$16:$N$5015)-95+1),$N$16:$N$5015,0)))&amp;IF(IF(95&gt;MAX($N$16:$N$5015),"",INDEX($L$16:$L$5015,MATCH((MAX($N$16:$N$5015)-95+1),$N$16:$N$5015,0)))="",""," ["&amp;IF(95&gt;MAX($N$16:$N$5015),"",INDEX($L$16:$L$5015,MATCH((MAX($N$16:$N$5015)-95+1),$N$16:$N$5015,0)))&amp;"]")</f>
        <v/>
      </c>
      <c r="V99" s="120">
        <f>IF(95&gt;MAX($N$16:$N$5015),"",HYPERLINK("#Transaksi!B"&amp;(MATCH((MAX($N$16:$N$5015)-95+1),$N$16:$N$5015,0)+15),"Buka"))</f>
        <v/>
      </c>
      <c r="X99" s="93">
        <f>IF(AND(B99&lt;&gt;"",B99&gt;='Buku Akun'!$H$4,B99&lt;='Buku Akun'!$H$5,OR(C99='Buku Akun'!$C$4,AND(D99="Pindah",E99='Buku Akun'!$C$4))),B99+IF(AND(I99="Selisih bunga",DAY(B99)=1),0,0.01)+ROW()/10000000,"")</f>
        <v/>
      </c>
    </row>
    <row r="100" outlineLevel="1" ht="15" customHeight="1" s="94">
      <c r="A100" s="123">
        <f>IF(B100="","",ROW()-15)</f>
        <v/>
      </c>
      <c r="B100" s="124" t="n"/>
      <c r="C100" s="123" t="n"/>
      <c r="D100" s="123" t="n"/>
      <c r="E100" s="123" t="n"/>
      <c r="F100" s="125" t="n"/>
      <c r="G100" s="123" t="n"/>
      <c r="H100" s="123" t="n"/>
      <c r="I100" s="123" t="n"/>
      <c r="J100" s="123" t="n"/>
      <c r="K100" s="123" t="n"/>
      <c r="L100" s="123" t="n"/>
      <c r="M100" s="123">
        <f>IF(AND(B100&lt;&gt;"",OR($C$4="",ISNUMBER(SEARCH($C$4,C100&amp;" "&amp;E100&amp;" "&amp;G100&amp;" "&amp;H100&amp;" "&amp;I100&amp;" "&amp;J100&amp;" "&amp;K100&amp;" "&amp;L100))),OR($C$5="Semua",$C$5="",G100=$C$5),OR($C$6="Semua",$C$6="",H100=$C$6,H100="Pengeluaran "&amp;$C$6,AND($C$6="Uang Kos Mama",H100="Pengeluaran Uang Kos")),OR($C$7="Semua",$C$7="",I100=$C$7),OR($C$8="Semua",$C$8="",C100=$C$8,E100=$C$8),OR($C$9="Semua",$C$9="",D100=$C$9),OR($C$10="",B100&gt;=$C$10),OR($C$11="",B100&lt;=$C$11),OR($C$12&lt;&gt;"Ya",K100&lt;&gt;""),OR($C$13="Semua",$C$13="",L100=$C$13)),"✓","")</f>
        <v/>
      </c>
      <c r="N100" s="93">
        <f>N(N99)+IF(M100="✓",1,0)</f>
        <v/>
      </c>
      <c r="O100" s="93">
        <f>N(O99)+IF(AND(B100&lt;&gt;"",B100&gt;='Uang Riba'!$H$30,B100&lt;='Uang Riba'!$I$30,OR(H100="Dana riba",H100="Pinjam uang riba",I100="Pinjam dari uang riba",I100="Ganti uang riba",I100="Kelebihan ganti dikembalikan",AND(C100="Kantong Uang Riba",G100="Pengeluaran"))),1,0)</f>
        <v/>
      </c>
      <c r="P100" s="119">
        <f>IF(96&gt;MAX($N$16:$N$5015),"",INDEX($B$16:$B$5015,MATCH((MAX($N$16:$N$5015)-96+1),$N$16:$N$5015,0)))</f>
        <v/>
      </c>
      <c r="Q100" s="105">
        <f>IF(96&gt;MAX($N$16:$N$5015),"",INDEX($C$16:$C$5015,MATCH((MAX($N$16:$N$5015)-96+1),$N$16:$N$5015,0)))&amp;IF(IF(96&gt;MAX($N$16:$N$5015),"",INDEX($E$16:$E$5015,MATCH((MAX($N$16:$N$5015)-96+1),$N$16:$N$5015,0)))="",""," → "&amp;IF(96&gt;MAX($N$16:$N$5015),"",INDEX($E$16:$E$5015,MATCH((MAX($N$16:$N$5015)-96+1),$N$16:$N$5015,0))))</f>
        <v/>
      </c>
      <c r="R100" s="105">
        <f>IF(96&gt;MAX($N$16:$N$5015),"",INDEX($D$16:$D$5015,MATCH((MAX($N$16:$N$5015)-96+1),$N$16:$N$5015,0)))</f>
        <v/>
      </c>
      <c r="S100" s="113">
        <f>IF(96&gt;MAX($N$16:$N$5015),"",INDEX($F$16:$F$5015,MATCH((MAX($N$16:$N$5015)-96+1),$N$16:$N$5015,0)))</f>
        <v/>
      </c>
      <c r="T100" s="105">
        <f>IF(96&gt;MAX($N$16:$N$5015),"",IF(96&gt;MAX($N$16:$N$5015),"",INDEX($G$16:$G$5015,MATCH((MAX($N$16:$N$5015)-96+1),$N$16:$N$5015,0)))&amp;" › "&amp;IF(96&gt;MAX($N$16:$N$5015),"",INDEX($H$16:$H$5015,MATCH((MAX($N$16:$N$5015)-96+1),$N$16:$N$5015,0)))&amp;" › "&amp;IF(96&gt;MAX($N$16:$N$5015),"",INDEX($I$16:$I$5015,MATCH((MAX($N$16:$N$5015)-96+1),$N$16:$N$5015,0))))</f>
        <v/>
      </c>
      <c r="U100" s="105">
        <f>IF(96&gt;MAX($N$16:$N$5015),"",INDEX($J$16:$J$5015,MATCH((MAX($N$16:$N$5015)-96+1),$N$16:$N$5015,0)))&amp;IF(IF(96&gt;MAX($N$16:$N$5015),"",INDEX($L$16:$L$5015,MATCH((MAX($N$16:$N$5015)-96+1),$N$16:$N$5015,0)))="",""," ["&amp;IF(96&gt;MAX($N$16:$N$5015),"",INDEX($L$16:$L$5015,MATCH((MAX($N$16:$N$5015)-96+1),$N$16:$N$5015,0)))&amp;"]")</f>
        <v/>
      </c>
      <c r="V100" s="120">
        <f>IF(96&gt;MAX($N$16:$N$5015),"",HYPERLINK("#Transaksi!B"&amp;(MATCH((MAX($N$16:$N$5015)-96+1),$N$16:$N$5015,0)+15),"Buka"))</f>
        <v/>
      </c>
      <c r="X100" s="93">
        <f>IF(AND(B100&lt;&gt;"",B100&gt;='Buku Akun'!$H$4,B100&lt;='Buku Akun'!$H$5,OR(C100='Buku Akun'!$C$4,AND(D100="Pindah",E100='Buku Akun'!$C$4))),B100+IF(AND(I100="Selisih bunga",DAY(B100)=1),0,0.01)+ROW()/10000000,"")</f>
        <v/>
      </c>
    </row>
    <row r="101" outlineLevel="1" ht="15" customHeight="1" s="94">
      <c r="A101" s="123">
        <f>IF(B101="","",ROW()-15)</f>
        <v/>
      </c>
      <c r="B101" s="124" t="n"/>
      <c r="C101" s="123" t="n"/>
      <c r="D101" s="123" t="n"/>
      <c r="E101" s="123" t="n"/>
      <c r="F101" s="125" t="n"/>
      <c r="G101" s="123" t="n"/>
      <c r="H101" s="123" t="n"/>
      <c r="I101" s="123" t="n"/>
      <c r="J101" s="123" t="n"/>
      <c r="K101" s="123" t="n"/>
      <c r="L101" s="123" t="n"/>
      <c r="M101" s="123">
        <f>IF(AND(B101&lt;&gt;"",OR($C$4="",ISNUMBER(SEARCH($C$4,C101&amp;" "&amp;E101&amp;" "&amp;G101&amp;" "&amp;H101&amp;" "&amp;I101&amp;" "&amp;J101&amp;" "&amp;K101&amp;" "&amp;L101))),OR($C$5="Semua",$C$5="",G101=$C$5),OR($C$6="Semua",$C$6="",H101=$C$6,H101="Pengeluaran "&amp;$C$6,AND($C$6="Uang Kos Mama",H101="Pengeluaran Uang Kos")),OR($C$7="Semua",$C$7="",I101=$C$7),OR($C$8="Semua",$C$8="",C101=$C$8,E101=$C$8),OR($C$9="Semua",$C$9="",D101=$C$9),OR($C$10="",B101&gt;=$C$10),OR($C$11="",B101&lt;=$C$11),OR($C$12&lt;&gt;"Ya",K101&lt;&gt;""),OR($C$13="Semua",$C$13="",L101=$C$13)),"✓","")</f>
        <v/>
      </c>
      <c r="N101" s="93">
        <f>N(N100)+IF(M101="✓",1,0)</f>
        <v/>
      </c>
      <c r="O101" s="93">
        <f>N(O100)+IF(AND(B101&lt;&gt;"",B101&gt;='Uang Riba'!$H$30,B101&lt;='Uang Riba'!$I$30,OR(H101="Dana riba",H101="Pinjam uang riba",I101="Pinjam dari uang riba",I101="Ganti uang riba",I101="Kelebihan ganti dikembalikan",AND(C101="Kantong Uang Riba",G101="Pengeluaran"))),1,0)</f>
        <v/>
      </c>
      <c r="P101" s="119">
        <f>IF(97&gt;MAX($N$16:$N$5015),"",INDEX($B$16:$B$5015,MATCH((MAX($N$16:$N$5015)-97+1),$N$16:$N$5015,0)))</f>
        <v/>
      </c>
      <c r="Q101" s="105">
        <f>IF(97&gt;MAX($N$16:$N$5015),"",INDEX($C$16:$C$5015,MATCH((MAX($N$16:$N$5015)-97+1),$N$16:$N$5015,0)))&amp;IF(IF(97&gt;MAX($N$16:$N$5015),"",INDEX($E$16:$E$5015,MATCH((MAX($N$16:$N$5015)-97+1),$N$16:$N$5015,0)))="",""," → "&amp;IF(97&gt;MAX($N$16:$N$5015),"",INDEX($E$16:$E$5015,MATCH((MAX($N$16:$N$5015)-97+1),$N$16:$N$5015,0))))</f>
        <v/>
      </c>
      <c r="R101" s="105">
        <f>IF(97&gt;MAX($N$16:$N$5015),"",INDEX($D$16:$D$5015,MATCH((MAX($N$16:$N$5015)-97+1),$N$16:$N$5015,0)))</f>
        <v/>
      </c>
      <c r="S101" s="113">
        <f>IF(97&gt;MAX($N$16:$N$5015),"",INDEX($F$16:$F$5015,MATCH((MAX($N$16:$N$5015)-97+1),$N$16:$N$5015,0)))</f>
        <v/>
      </c>
      <c r="T101" s="105">
        <f>IF(97&gt;MAX($N$16:$N$5015),"",IF(97&gt;MAX($N$16:$N$5015),"",INDEX($G$16:$G$5015,MATCH((MAX($N$16:$N$5015)-97+1),$N$16:$N$5015,0)))&amp;" › "&amp;IF(97&gt;MAX($N$16:$N$5015),"",INDEX($H$16:$H$5015,MATCH((MAX($N$16:$N$5015)-97+1),$N$16:$N$5015,0)))&amp;" › "&amp;IF(97&gt;MAX($N$16:$N$5015),"",INDEX($I$16:$I$5015,MATCH((MAX($N$16:$N$5015)-97+1),$N$16:$N$5015,0))))</f>
        <v/>
      </c>
      <c r="U101" s="105">
        <f>IF(97&gt;MAX($N$16:$N$5015),"",INDEX($J$16:$J$5015,MATCH((MAX($N$16:$N$5015)-97+1),$N$16:$N$5015,0)))&amp;IF(IF(97&gt;MAX($N$16:$N$5015),"",INDEX($L$16:$L$5015,MATCH((MAX($N$16:$N$5015)-97+1),$N$16:$N$5015,0)))="",""," ["&amp;IF(97&gt;MAX($N$16:$N$5015),"",INDEX($L$16:$L$5015,MATCH((MAX($N$16:$N$5015)-97+1),$N$16:$N$5015,0)))&amp;"]")</f>
        <v/>
      </c>
      <c r="V101" s="120">
        <f>IF(97&gt;MAX($N$16:$N$5015),"",HYPERLINK("#Transaksi!B"&amp;(MATCH((MAX($N$16:$N$5015)-97+1),$N$16:$N$5015,0)+15),"Buka"))</f>
        <v/>
      </c>
      <c r="X101" s="93">
        <f>IF(AND(B101&lt;&gt;"",B101&gt;='Buku Akun'!$H$4,B101&lt;='Buku Akun'!$H$5,OR(C101='Buku Akun'!$C$4,AND(D101="Pindah",E101='Buku Akun'!$C$4))),B101+IF(AND(I101="Selisih bunga",DAY(B101)=1),0,0.01)+ROW()/10000000,"")</f>
        <v/>
      </c>
    </row>
    <row r="102" outlineLevel="1" ht="15" customHeight="1" s="94">
      <c r="A102" s="123">
        <f>IF(B102="","",ROW()-15)</f>
        <v/>
      </c>
      <c r="B102" s="124" t="n"/>
      <c r="C102" s="123" t="n"/>
      <c r="D102" s="123" t="n"/>
      <c r="E102" s="123" t="n"/>
      <c r="F102" s="125" t="n"/>
      <c r="G102" s="123" t="n"/>
      <c r="H102" s="123" t="n"/>
      <c r="I102" s="123" t="n"/>
      <c r="J102" s="123" t="n"/>
      <c r="K102" s="123" t="n"/>
      <c r="L102" s="123" t="n"/>
      <c r="M102" s="123">
        <f>IF(AND(B102&lt;&gt;"",OR($C$4="",ISNUMBER(SEARCH($C$4,C102&amp;" "&amp;E102&amp;" "&amp;G102&amp;" "&amp;H102&amp;" "&amp;I102&amp;" "&amp;J102&amp;" "&amp;K102&amp;" "&amp;L102))),OR($C$5="Semua",$C$5="",G102=$C$5),OR($C$6="Semua",$C$6="",H102=$C$6,H102="Pengeluaran "&amp;$C$6,AND($C$6="Uang Kos Mama",H102="Pengeluaran Uang Kos")),OR($C$7="Semua",$C$7="",I102=$C$7),OR($C$8="Semua",$C$8="",C102=$C$8,E102=$C$8),OR($C$9="Semua",$C$9="",D102=$C$9),OR($C$10="",B102&gt;=$C$10),OR($C$11="",B102&lt;=$C$11),OR($C$12&lt;&gt;"Ya",K102&lt;&gt;""),OR($C$13="Semua",$C$13="",L102=$C$13)),"✓","")</f>
        <v/>
      </c>
      <c r="N102" s="93">
        <f>N(N101)+IF(M102="✓",1,0)</f>
        <v/>
      </c>
      <c r="O102" s="93">
        <f>N(O101)+IF(AND(B102&lt;&gt;"",B102&gt;='Uang Riba'!$H$30,B102&lt;='Uang Riba'!$I$30,OR(H102="Dana riba",H102="Pinjam uang riba",I102="Pinjam dari uang riba",I102="Ganti uang riba",I102="Kelebihan ganti dikembalikan",AND(C102="Kantong Uang Riba",G102="Pengeluaran"))),1,0)</f>
        <v/>
      </c>
      <c r="P102" s="119">
        <f>IF(98&gt;MAX($N$16:$N$5015),"",INDEX($B$16:$B$5015,MATCH((MAX($N$16:$N$5015)-98+1),$N$16:$N$5015,0)))</f>
        <v/>
      </c>
      <c r="Q102" s="105">
        <f>IF(98&gt;MAX($N$16:$N$5015),"",INDEX($C$16:$C$5015,MATCH((MAX($N$16:$N$5015)-98+1),$N$16:$N$5015,0)))&amp;IF(IF(98&gt;MAX($N$16:$N$5015),"",INDEX($E$16:$E$5015,MATCH((MAX($N$16:$N$5015)-98+1),$N$16:$N$5015,0)))="",""," → "&amp;IF(98&gt;MAX($N$16:$N$5015),"",INDEX($E$16:$E$5015,MATCH((MAX($N$16:$N$5015)-98+1),$N$16:$N$5015,0))))</f>
        <v/>
      </c>
      <c r="R102" s="105">
        <f>IF(98&gt;MAX($N$16:$N$5015),"",INDEX($D$16:$D$5015,MATCH((MAX($N$16:$N$5015)-98+1),$N$16:$N$5015,0)))</f>
        <v/>
      </c>
      <c r="S102" s="113">
        <f>IF(98&gt;MAX($N$16:$N$5015),"",INDEX($F$16:$F$5015,MATCH((MAX($N$16:$N$5015)-98+1),$N$16:$N$5015,0)))</f>
        <v/>
      </c>
      <c r="T102" s="105">
        <f>IF(98&gt;MAX($N$16:$N$5015),"",IF(98&gt;MAX($N$16:$N$5015),"",INDEX($G$16:$G$5015,MATCH((MAX($N$16:$N$5015)-98+1),$N$16:$N$5015,0)))&amp;" › "&amp;IF(98&gt;MAX($N$16:$N$5015),"",INDEX($H$16:$H$5015,MATCH((MAX($N$16:$N$5015)-98+1),$N$16:$N$5015,0)))&amp;" › "&amp;IF(98&gt;MAX($N$16:$N$5015),"",INDEX($I$16:$I$5015,MATCH((MAX($N$16:$N$5015)-98+1),$N$16:$N$5015,0))))</f>
        <v/>
      </c>
      <c r="U102" s="105">
        <f>IF(98&gt;MAX($N$16:$N$5015),"",INDEX($J$16:$J$5015,MATCH((MAX($N$16:$N$5015)-98+1),$N$16:$N$5015,0)))&amp;IF(IF(98&gt;MAX($N$16:$N$5015),"",INDEX($L$16:$L$5015,MATCH((MAX($N$16:$N$5015)-98+1),$N$16:$N$5015,0)))="",""," ["&amp;IF(98&gt;MAX($N$16:$N$5015),"",INDEX($L$16:$L$5015,MATCH((MAX($N$16:$N$5015)-98+1),$N$16:$N$5015,0)))&amp;"]")</f>
        <v/>
      </c>
      <c r="V102" s="120">
        <f>IF(98&gt;MAX($N$16:$N$5015),"",HYPERLINK("#Transaksi!B"&amp;(MATCH((MAX($N$16:$N$5015)-98+1),$N$16:$N$5015,0)+15),"Buka"))</f>
        <v/>
      </c>
      <c r="X102" s="93">
        <f>IF(AND(B102&lt;&gt;"",B102&gt;='Buku Akun'!$H$4,B102&lt;='Buku Akun'!$H$5,OR(C102='Buku Akun'!$C$4,AND(D102="Pindah",E102='Buku Akun'!$C$4))),B102+IF(AND(I102="Selisih bunga",DAY(B102)=1),0,0.01)+ROW()/10000000,"")</f>
        <v/>
      </c>
    </row>
    <row r="103" outlineLevel="1" ht="15" customHeight="1" s="94">
      <c r="A103" s="123">
        <f>IF(B103="","",ROW()-15)</f>
        <v/>
      </c>
      <c r="B103" s="124" t="n"/>
      <c r="C103" s="123" t="n"/>
      <c r="D103" s="123" t="n"/>
      <c r="E103" s="123" t="n"/>
      <c r="F103" s="125" t="n"/>
      <c r="G103" s="123" t="n"/>
      <c r="H103" s="123" t="n"/>
      <c r="I103" s="123" t="n"/>
      <c r="J103" s="123" t="n"/>
      <c r="K103" s="123" t="n"/>
      <c r="L103" s="123" t="n"/>
      <c r="M103" s="123">
        <f>IF(AND(B103&lt;&gt;"",OR($C$4="",ISNUMBER(SEARCH($C$4,C103&amp;" "&amp;E103&amp;" "&amp;G103&amp;" "&amp;H103&amp;" "&amp;I103&amp;" "&amp;J103&amp;" "&amp;K103&amp;" "&amp;L103))),OR($C$5="Semua",$C$5="",G103=$C$5),OR($C$6="Semua",$C$6="",H103=$C$6,H103="Pengeluaran "&amp;$C$6,AND($C$6="Uang Kos Mama",H103="Pengeluaran Uang Kos")),OR($C$7="Semua",$C$7="",I103=$C$7),OR($C$8="Semua",$C$8="",C103=$C$8,E103=$C$8),OR($C$9="Semua",$C$9="",D103=$C$9),OR($C$10="",B103&gt;=$C$10),OR($C$11="",B103&lt;=$C$11),OR($C$12&lt;&gt;"Ya",K103&lt;&gt;""),OR($C$13="Semua",$C$13="",L103=$C$13)),"✓","")</f>
        <v/>
      </c>
      <c r="N103" s="93">
        <f>N(N102)+IF(M103="✓",1,0)</f>
        <v/>
      </c>
      <c r="O103" s="93">
        <f>N(O102)+IF(AND(B103&lt;&gt;"",B103&gt;='Uang Riba'!$H$30,B103&lt;='Uang Riba'!$I$30,OR(H103="Dana riba",H103="Pinjam uang riba",I103="Pinjam dari uang riba",I103="Ganti uang riba",I103="Kelebihan ganti dikembalikan",AND(C103="Kantong Uang Riba",G103="Pengeluaran"))),1,0)</f>
        <v/>
      </c>
      <c r="P103" s="119">
        <f>IF(99&gt;MAX($N$16:$N$5015),"",INDEX($B$16:$B$5015,MATCH((MAX($N$16:$N$5015)-99+1),$N$16:$N$5015,0)))</f>
        <v/>
      </c>
      <c r="Q103" s="105">
        <f>IF(99&gt;MAX($N$16:$N$5015),"",INDEX($C$16:$C$5015,MATCH((MAX($N$16:$N$5015)-99+1),$N$16:$N$5015,0)))&amp;IF(IF(99&gt;MAX($N$16:$N$5015),"",INDEX($E$16:$E$5015,MATCH((MAX($N$16:$N$5015)-99+1),$N$16:$N$5015,0)))="",""," → "&amp;IF(99&gt;MAX($N$16:$N$5015),"",INDEX($E$16:$E$5015,MATCH((MAX($N$16:$N$5015)-99+1),$N$16:$N$5015,0))))</f>
        <v/>
      </c>
      <c r="R103" s="105">
        <f>IF(99&gt;MAX($N$16:$N$5015),"",INDEX($D$16:$D$5015,MATCH((MAX($N$16:$N$5015)-99+1),$N$16:$N$5015,0)))</f>
        <v/>
      </c>
      <c r="S103" s="113">
        <f>IF(99&gt;MAX($N$16:$N$5015),"",INDEX($F$16:$F$5015,MATCH((MAX($N$16:$N$5015)-99+1),$N$16:$N$5015,0)))</f>
        <v/>
      </c>
      <c r="T103" s="105">
        <f>IF(99&gt;MAX($N$16:$N$5015),"",IF(99&gt;MAX($N$16:$N$5015),"",INDEX($G$16:$G$5015,MATCH((MAX($N$16:$N$5015)-99+1),$N$16:$N$5015,0)))&amp;" › "&amp;IF(99&gt;MAX($N$16:$N$5015),"",INDEX($H$16:$H$5015,MATCH((MAX($N$16:$N$5015)-99+1),$N$16:$N$5015,0)))&amp;" › "&amp;IF(99&gt;MAX($N$16:$N$5015),"",INDEX($I$16:$I$5015,MATCH((MAX($N$16:$N$5015)-99+1),$N$16:$N$5015,0))))</f>
        <v/>
      </c>
      <c r="U103" s="105">
        <f>IF(99&gt;MAX($N$16:$N$5015),"",INDEX($J$16:$J$5015,MATCH((MAX($N$16:$N$5015)-99+1),$N$16:$N$5015,0)))&amp;IF(IF(99&gt;MAX($N$16:$N$5015),"",INDEX($L$16:$L$5015,MATCH((MAX($N$16:$N$5015)-99+1),$N$16:$N$5015,0)))="",""," ["&amp;IF(99&gt;MAX($N$16:$N$5015),"",INDEX($L$16:$L$5015,MATCH((MAX($N$16:$N$5015)-99+1),$N$16:$N$5015,0)))&amp;"]")</f>
        <v/>
      </c>
      <c r="V103" s="120">
        <f>IF(99&gt;MAX($N$16:$N$5015),"",HYPERLINK("#Transaksi!B"&amp;(MATCH((MAX($N$16:$N$5015)-99+1),$N$16:$N$5015,0)+15),"Buka"))</f>
        <v/>
      </c>
      <c r="X103" s="93">
        <f>IF(AND(B103&lt;&gt;"",B103&gt;='Buku Akun'!$H$4,B103&lt;='Buku Akun'!$H$5,OR(C103='Buku Akun'!$C$4,AND(D103="Pindah",E103='Buku Akun'!$C$4))),B103+IF(AND(I103="Selisih bunga",DAY(B103)=1),0,0.01)+ROW()/10000000,"")</f>
        <v/>
      </c>
    </row>
    <row r="104" outlineLevel="1" ht="15" customHeight="1" s="94">
      <c r="A104" s="123">
        <f>IF(B104="","",ROW()-15)</f>
        <v/>
      </c>
      <c r="B104" s="124" t="n"/>
      <c r="C104" s="123" t="n"/>
      <c r="D104" s="123" t="n"/>
      <c r="E104" s="123" t="n"/>
      <c r="F104" s="125" t="n"/>
      <c r="G104" s="123" t="n"/>
      <c r="H104" s="123" t="n"/>
      <c r="I104" s="123" t="n"/>
      <c r="J104" s="123" t="n"/>
      <c r="K104" s="123" t="n"/>
      <c r="L104" s="123" t="n"/>
      <c r="M104" s="123">
        <f>IF(AND(B104&lt;&gt;"",OR($C$4="",ISNUMBER(SEARCH($C$4,C104&amp;" "&amp;E104&amp;" "&amp;G104&amp;" "&amp;H104&amp;" "&amp;I104&amp;" "&amp;J104&amp;" "&amp;K104&amp;" "&amp;L104))),OR($C$5="Semua",$C$5="",G104=$C$5),OR($C$6="Semua",$C$6="",H104=$C$6,H104="Pengeluaran "&amp;$C$6,AND($C$6="Uang Kos Mama",H104="Pengeluaran Uang Kos")),OR($C$7="Semua",$C$7="",I104=$C$7),OR($C$8="Semua",$C$8="",C104=$C$8,E104=$C$8),OR($C$9="Semua",$C$9="",D104=$C$9),OR($C$10="",B104&gt;=$C$10),OR($C$11="",B104&lt;=$C$11),OR($C$12&lt;&gt;"Ya",K104&lt;&gt;""),OR($C$13="Semua",$C$13="",L104=$C$13)),"✓","")</f>
        <v/>
      </c>
      <c r="N104" s="93">
        <f>N(N103)+IF(M104="✓",1,0)</f>
        <v/>
      </c>
      <c r="O104" s="93">
        <f>N(O103)+IF(AND(B104&lt;&gt;"",B104&gt;='Uang Riba'!$H$30,B104&lt;='Uang Riba'!$I$30,OR(H104="Dana riba",H104="Pinjam uang riba",I104="Pinjam dari uang riba",I104="Ganti uang riba",I104="Kelebihan ganti dikembalikan",AND(C104="Kantong Uang Riba",G104="Pengeluaran"))),1,0)</f>
        <v/>
      </c>
      <c r="P104" s="119">
        <f>IF(100&gt;MAX($N$16:$N$5015),"",INDEX($B$16:$B$5015,MATCH((MAX($N$16:$N$5015)-100+1),$N$16:$N$5015,0)))</f>
        <v/>
      </c>
      <c r="Q104" s="105">
        <f>IF(100&gt;MAX($N$16:$N$5015),"",INDEX($C$16:$C$5015,MATCH((MAX($N$16:$N$5015)-100+1),$N$16:$N$5015,0)))&amp;IF(IF(100&gt;MAX($N$16:$N$5015),"",INDEX($E$16:$E$5015,MATCH((MAX($N$16:$N$5015)-100+1),$N$16:$N$5015,0)))="",""," → "&amp;IF(100&gt;MAX($N$16:$N$5015),"",INDEX($E$16:$E$5015,MATCH((MAX($N$16:$N$5015)-100+1),$N$16:$N$5015,0))))</f>
        <v/>
      </c>
      <c r="R104" s="105">
        <f>IF(100&gt;MAX($N$16:$N$5015),"",INDEX($D$16:$D$5015,MATCH((MAX($N$16:$N$5015)-100+1),$N$16:$N$5015,0)))</f>
        <v/>
      </c>
      <c r="S104" s="113">
        <f>IF(100&gt;MAX($N$16:$N$5015),"",INDEX($F$16:$F$5015,MATCH((MAX($N$16:$N$5015)-100+1),$N$16:$N$5015,0)))</f>
        <v/>
      </c>
      <c r="T104" s="105">
        <f>IF(100&gt;MAX($N$16:$N$5015),"",IF(100&gt;MAX($N$16:$N$5015),"",INDEX($G$16:$G$5015,MATCH((MAX($N$16:$N$5015)-100+1),$N$16:$N$5015,0)))&amp;" › "&amp;IF(100&gt;MAX($N$16:$N$5015),"",INDEX($H$16:$H$5015,MATCH((MAX($N$16:$N$5015)-100+1),$N$16:$N$5015,0)))&amp;" › "&amp;IF(100&gt;MAX($N$16:$N$5015),"",INDEX($I$16:$I$5015,MATCH((MAX($N$16:$N$5015)-100+1),$N$16:$N$5015,0))))</f>
        <v/>
      </c>
      <c r="U104" s="105">
        <f>IF(100&gt;MAX($N$16:$N$5015),"",INDEX($J$16:$J$5015,MATCH((MAX($N$16:$N$5015)-100+1),$N$16:$N$5015,0)))&amp;IF(IF(100&gt;MAX($N$16:$N$5015),"",INDEX($L$16:$L$5015,MATCH((MAX($N$16:$N$5015)-100+1),$N$16:$N$5015,0)))="",""," ["&amp;IF(100&gt;MAX($N$16:$N$5015),"",INDEX($L$16:$L$5015,MATCH((MAX($N$16:$N$5015)-100+1),$N$16:$N$5015,0)))&amp;"]")</f>
        <v/>
      </c>
      <c r="V104" s="120">
        <f>IF(100&gt;MAX($N$16:$N$5015),"",HYPERLINK("#Transaksi!B"&amp;(MATCH((MAX($N$16:$N$5015)-100+1),$N$16:$N$5015,0)+15),"Buka"))</f>
        <v/>
      </c>
      <c r="X104" s="93">
        <f>IF(AND(B104&lt;&gt;"",B104&gt;='Buku Akun'!$H$4,B104&lt;='Buku Akun'!$H$5,OR(C104='Buku Akun'!$C$4,AND(D104="Pindah",E104='Buku Akun'!$C$4))),B104+IF(AND(I104="Selisih bunga",DAY(B104)=1),0,0.01)+ROW()/10000000,"")</f>
        <v/>
      </c>
    </row>
    <row r="105" outlineLevel="1" ht="15" customHeight="1" s="94">
      <c r="A105" s="123">
        <f>IF(B105="","",ROW()-15)</f>
        <v/>
      </c>
      <c r="B105" s="124" t="n"/>
      <c r="C105" s="123" t="n"/>
      <c r="D105" s="123" t="n"/>
      <c r="E105" s="123" t="n"/>
      <c r="F105" s="125" t="n"/>
      <c r="G105" s="123" t="n"/>
      <c r="H105" s="123" t="n"/>
      <c r="I105" s="123" t="n"/>
      <c r="J105" s="123" t="n"/>
      <c r="K105" s="123" t="n"/>
      <c r="L105" s="123" t="n"/>
      <c r="M105" s="123">
        <f>IF(AND(B105&lt;&gt;"",OR($C$4="",ISNUMBER(SEARCH($C$4,C105&amp;" "&amp;E105&amp;" "&amp;G105&amp;" "&amp;H105&amp;" "&amp;I105&amp;" "&amp;J105&amp;" "&amp;K105&amp;" "&amp;L105))),OR($C$5="Semua",$C$5="",G105=$C$5),OR($C$6="Semua",$C$6="",H105=$C$6,H105="Pengeluaran "&amp;$C$6,AND($C$6="Uang Kos Mama",H105="Pengeluaran Uang Kos")),OR($C$7="Semua",$C$7="",I105=$C$7),OR($C$8="Semua",$C$8="",C105=$C$8,E105=$C$8),OR($C$9="Semua",$C$9="",D105=$C$9),OR($C$10="",B105&gt;=$C$10),OR($C$11="",B105&lt;=$C$11),OR($C$12&lt;&gt;"Ya",K105&lt;&gt;""),OR($C$13="Semua",$C$13="",L105=$C$13)),"✓","")</f>
        <v/>
      </c>
      <c r="N105" s="93">
        <f>N(N104)+IF(M105="✓",1,0)</f>
        <v/>
      </c>
      <c r="O105" s="93">
        <f>N(O104)+IF(AND(B105&lt;&gt;"",B105&gt;='Uang Riba'!$H$30,B105&lt;='Uang Riba'!$I$30,OR(H105="Dana riba",H105="Pinjam uang riba",I105="Pinjam dari uang riba",I105="Ganti uang riba",I105="Kelebihan ganti dikembalikan",AND(C105="Kantong Uang Riba",G105="Pengeluaran"))),1,0)</f>
        <v/>
      </c>
      <c r="P105" s="119">
        <f>IF(101&gt;MAX($N$16:$N$5015),"",INDEX($B$16:$B$5015,MATCH((MAX($N$16:$N$5015)-101+1),$N$16:$N$5015,0)))</f>
        <v/>
      </c>
      <c r="Q105" s="105">
        <f>IF(101&gt;MAX($N$16:$N$5015),"",INDEX($C$16:$C$5015,MATCH((MAX($N$16:$N$5015)-101+1),$N$16:$N$5015,0)))&amp;IF(IF(101&gt;MAX($N$16:$N$5015),"",INDEX($E$16:$E$5015,MATCH((MAX($N$16:$N$5015)-101+1),$N$16:$N$5015,0)))="",""," → "&amp;IF(101&gt;MAX($N$16:$N$5015),"",INDEX($E$16:$E$5015,MATCH((MAX($N$16:$N$5015)-101+1),$N$16:$N$5015,0))))</f>
        <v/>
      </c>
      <c r="R105" s="105">
        <f>IF(101&gt;MAX($N$16:$N$5015),"",INDEX($D$16:$D$5015,MATCH((MAX($N$16:$N$5015)-101+1),$N$16:$N$5015,0)))</f>
        <v/>
      </c>
      <c r="S105" s="113">
        <f>IF(101&gt;MAX($N$16:$N$5015),"",INDEX($F$16:$F$5015,MATCH((MAX($N$16:$N$5015)-101+1),$N$16:$N$5015,0)))</f>
        <v/>
      </c>
      <c r="T105" s="105">
        <f>IF(101&gt;MAX($N$16:$N$5015),"",IF(101&gt;MAX($N$16:$N$5015),"",INDEX($G$16:$G$5015,MATCH((MAX($N$16:$N$5015)-101+1),$N$16:$N$5015,0)))&amp;" › "&amp;IF(101&gt;MAX($N$16:$N$5015),"",INDEX($H$16:$H$5015,MATCH((MAX($N$16:$N$5015)-101+1),$N$16:$N$5015,0)))&amp;" › "&amp;IF(101&gt;MAX($N$16:$N$5015),"",INDEX($I$16:$I$5015,MATCH((MAX($N$16:$N$5015)-101+1),$N$16:$N$5015,0))))</f>
        <v/>
      </c>
      <c r="U105" s="105">
        <f>IF(101&gt;MAX($N$16:$N$5015),"",INDEX($J$16:$J$5015,MATCH((MAX($N$16:$N$5015)-101+1),$N$16:$N$5015,0)))&amp;IF(IF(101&gt;MAX($N$16:$N$5015),"",INDEX($L$16:$L$5015,MATCH((MAX($N$16:$N$5015)-101+1),$N$16:$N$5015,0)))="",""," ["&amp;IF(101&gt;MAX($N$16:$N$5015),"",INDEX($L$16:$L$5015,MATCH((MAX($N$16:$N$5015)-101+1),$N$16:$N$5015,0)))&amp;"]")</f>
        <v/>
      </c>
      <c r="V105" s="120">
        <f>IF(101&gt;MAX($N$16:$N$5015),"",HYPERLINK("#Transaksi!B"&amp;(MATCH((MAX($N$16:$N$5015)-101+1),$N$16:$N$5015,0)+15),"Buka"))</f>
        <v/>
      </c>
      <c r="X105" s="93">
        <f>IF(AND(B105&lt;&gt;"",B105&gt;='Buku Akun'!$H$4,B105&lt;='Buku Akun'!$H$5,OR(C105='Buku Akun'!$C$4,AND(D105="Pindah",E105='Buku Akun'!$C$4))),B105+IF(AND(I105="Selisih bunga",DAY(B105)=1),0,0.01)+ROW()/10000000,"")</f>
        <v/>
      </c>
    </row>
    <row r="106" outlineLevel="1" ht="15" customHeight="1" s="94">
      <c r="A106" s="123">
        <f>IF(B106="","",ROW()-15)</f>
        <v/>
      </c>
      <c r="B106" s="124" t="n"/>
      <c r="C106" s="123" t="n"/>
      <c r="D106" s="123" t="n"/>
      <c r="E106" s="123" t="n"/>
      <c r="F106" s="125" t="n"/>
      <c r="G106" s="123" t="n"/>
      <c r="H106" s="123" t="n"/>
      <c r="I106" s="123" t="n"/>
      <c r="J106" s="123" t="n"/>
      <c r="K106" s="123" t="n"/>
      <c r="L106" s="123" t="n"/>
      <c r="M106" s="123">
        <f>IF(AND(B106&lt;&gt;"",OR($C$4="",ISNUMBER(SEARCH($C$4,C106&amp;" "&amp;E106&amp;" "&amp;G106&amp;" "&amp;H106&amp;" "&amp;I106&amp;" "&amp;J106&amp;" "&amp;K106&amp;" "&amp;L106))),OR($C$5="Semua",$C$5="",G106=$C$5),OR($C$6="Semua",$C$6="",H106=$C$6,H106="Pengeluaran "&amp;$C$6,AND($C$6="Uang Kos Mama",H106="Pengeluaran Uang Kos")),OR($C$7="Semua",$C$7="",I106=$C$7),OR($C$8="Semua",$C$8="",C106=$C$8,E106=$C$8),OR($C$9="Semua",$C$9="",D106=$C$9),OR($C$10="",B106&gt;=$C$10),OR($C$11="",B106&lt;=$C$11),OR($C$12&lt;&gt;"Ya",K106&lt;&gt;""),OR($C$13="Semua",$C$13="",L106=$C$13)),"✓","")</f>
        <v/>
      </c>
      <c r="N106" s="93">
        <f>N(N105)+IF(M106="✓",1,0)</f>
        <v/>
      </c>
      <c r="O106" s="93">
        <f>N(O105)+IF(AND(B106&lt;&gt;"",B106&gt;='Uang Riba'!$H$30,B106&lt;='Uang Riba'!$I$30,OR(H106="Dana riba",H106="Pinjam uang riba",I106="Pinjam dari uang riba",I106="Ganti uang riba",I106="Kelebihan ganti dikembalikan",AND(C106="Kantong Uang Riba",G106="Pengeluaran"))),1,0)</f>
        <v/>
      </c>
      <c r="P106" s="119">
        <f>IF(102&gt;MAX($N$16:$N$5015),"",INDEX($B$16:$B$5015,MATCH((MAX($N$16:$N$5015)-102+1),$N$16:$N$5015,0)))</f>
        <v/>
      </c>
      <c r="Q106" s="105">
        <f>IF(102&gt;MAX($N$16:$N$5015),"",INDEX($C$16:$C$5015,MATCH((MAX($N$16:$N$5015)-102+1),$N$16:$N$5015,0)))&amp;IF(IF(102&gt;MAX($N$16:$N$5015),"",INDEX($E$16:$E$5015,MATCH((MAX($N$16:$N$5015)-102+1),$N$16:$N$5015,0)))="",""," → "&amp;IF(102&gt;MAX($N$16:$N$5015),"",INDEX($E$16:$E$5015,MATCH((MAX($N$16:$N$5015)-102+1),$N$16:$N$5015,0))))</f>
        <v/>
      </c>
      <c r="R106" s="105">
        <f>IF(102&gt;MAX($N$16:$N$5015),"",INDEX($D$16:$D$5015,MATCH((MAX($N$16:$N$5015)-102+1),$N$16:$N$5015,0)))</f>
        <v/>
      </c>
      <c r="S106" s="113">
        <f>IF(102&gt;MAX($N$16:$N$5015),"",INDEX($F$16:$F$5015,MATCH((MAX($N$16:$N$5015)-102+1),$N$16:$N$5015,0)))</f>
        <v/>
      </c>
      <c r="T106" s="105">
        <f>IF(102&gt;MAX($N$16:$N$5015),"",IF(102&gt;MAX($N$16:$N$5015),"",INDEX($G$16:$G$5015,MATCH((MAX($N$16:$N$5015)-102+1),$N$16:$N$5015,0)))&amp;" › "&amp;IF(102&gt;MAX($N$16:$N$5015),"",INDEX($H$16:$H$5015,MATCH((MAX($N$16:$N$5015)-102+1),$N$16:$N$5015,0)))&amp;" › "&amp;IF(102&gt;MAX($N$16:$N$5015),"",INDEX($I$16:$I$5015,MATCH((MAX($N$16:$N$5015)-102+1),$N$16:$N$5015,0))))</f>
        <v/>
      </c>
      <c r="U106" s="105">
        <f>IF(102&gt;MAX($N$16:$N$5015),"",INDEX($J$16:$J$5015,MATCH((MAX($N$16:$N$5015)-102+1),$N$16:$N$5015,0)))&amp;IF(IF(102&gt;MAX($N$16:$N$5015),"",INDEX($L$16:$L$5015,MATCH((MAX($N$16:$N$5015)-102+1),$N$16:$N$5015,0)))="",""," ["&amp;IF(102&gt;MAX($N$16:$N$5015),"",INDEX($L$16:$L$5015,MATCH((MAX($N$16:$N$5015)-102+1),$N$16:$N$5015,0)))&amp;"]")</f>
        <v/>
      </c>
      <c r="V106" s="120">
        <f>IF(102&gt;MAX($N$16:$N$5015),"",HYPERLINK("#Transaksi!B"&amp;(MATCH((MAX($N$16:$N$5015)-102+1),$N$16:$N$5015,0)+15),"Buka"))</f>
        <v/>
      </c>
      <c r="X106" s="93">
        <f>IF(AND(B106&lt;&gt;"",B106&gt;='Buku Akun'!$H$4,B106&lt;='Buku Akun'!$H$5,OR(C106='Buku Akun'!$C$4,AND(D106="Pindah",E106='Buku Akun'!$C$4))),B106+IF(AND(I106="Selisih bunga",DAY(B106)=1),0,0.01)+ROW()/10000000,"")</f>
        <v/>
      </c>
    </row>
    <row r="107" outlineLevel="1" ht="15" customHeight="1" s="94">
      <c r="A107" s="123">
        <f>IF(B107="","",ROW()-15)</f>
        <v/>
      </c>
      <c r="B107" s="124" t="n"/>
      <c r="C107" s="123" t="n"/>
      <c r="D107" s="123" t="n"/>
      <c r="E107" s="123" t="n"/>
      <c r="F107" s="125" t="n"/>
      <c r="G107" s="123" t="n"/>
      <c r="H107" s="123" t="n"/>
      <c r="I107" s="123" t="n"/>
      <c r="J107" s="123" t="n"/>
      <c r="K107" s="123" t="n"/>
      <c r="L107" s="123" t="n"/>
      <c r="M107" s="123">
        <f>IF(AND(B107&lt;&gt;"",OR($C$4="",ISNUMBER(SEARCH($C$4,C107&amp;" "&amp;E107&amp;" "&amp;G107&amp;" "&amp;H107&amp;" "&amp;I107&amp;" "&amp;J107&amp;" "&amp;K107&amp;" "&amp;L107))),OR($C$5="Semua",$C$5="",G107=$C$5),OR($C$6="Semua",$C$6="",H107=$C$6,H107="Pengeluaran "&amp;$C$6,AND($C$6="Uang Kos Mama",H107="Pengeluaran Uang Kos")),OR($C$7="Semua",$C$7="",I107=$C$7),OR($C$8="Semua",$C$8="",C107=$C$8,E107=$C$8),OR($C$9="Semua",$C$9="",D107=$C$9),OR($C$10="",B107&gt;=$C$10),OR($C$11="",B107&lt;=$C$11),OR($C$12&lt;&gt;"Ya",K107&lt;&gt;""),OR($C$13="Semua",$C$13="",L107=$C$13)),"✓","")</f>
        <v/>
      </c>
      <c r="N107" s="93">
        <f>N(N106)+IF(M107="✓",1,0)</f>
        <v/>
      </c>
      <c r="O107" s="93">
        <f>N(O106)+IF(AND(B107&lt;&gt;"",B107&gt;='Uang Riba'!$H$30,B107&lt;='Uang Riba'!$I$30,OR(H107="Dana riba",H107="Pinjam uang riba",I107="Pinjam dari uang riba",I107="Ganti uang riba",I107="Kelebihan ganti dikembalikan",AND(C107="Kantong Uang Riba",G107="Pengeluaran"))),1,0)</f>
        <v/>
      </c>
      <c r="P107" s="119">
        <f>IF(103&gt;MAX($N$16:$N$5015),"",INDEX($B$16:$B$5015,MATCH((MAX($N$16:$N$5015)-103+1),$N$16:$N$5015,0)))</f>
        <v/>
      </c>
      <c r="Q107" s="105">
        <f>IF(103&gt;MAX($N$16:$N$5015),"",INDEX($C$16:$C$5015,MATCH((MAX($N$16:$N$5015)-103+1),$N$16:$N$5015,0)))&amp;IF(IF(103&gt;MAX($N$16:$N$5015),"",INDEX($E$16:$E$5015,MATCH((MAX($N$16:$N$5015)-103+1),$N$16:$N$5015,0)))="",""," → "&amp;IF(103&gt;MAX($N$16:$N$5015),"",INDEX($E$16:$E$5015,MATCH((MAX($N$16:$N$5015)-103+1),$N$16:$N$5015,0))))</f>
        <v/>
      </c>
      <c r="R107" s="105">
        <f>IF(103&gt;MAX($N$16:$N$5015),"",INDEX($D$16:$D$5015,MATCH((MAX($N$16:$N$5015)-103+1),$N$16:$N$5015,0)))</f>
        <v/>
      </c>
      <c r="S107" s="113">
        <f>IF(103&gt;MAX($N$16:$N$5015),"",INDEX($F$16:$F$5015,MATCH((MAX($N$16:$N$5015)-103+1),$N$16:$N$5015,0)))</f>
        <v/>
      </c>
      <c r="T107" s="105">
        <f>IF(103&gt;MAX($N$16:$N$5015),"",IF(103&gt;MAX($N$16:$N$5015),"",INDEX($G$16:$G$5015,MATCH((MAX($N$16:$N$5015)-103+1),$N$16:$N$5015,0)))&amp;" › "&amp;IF(103&gt;MAX($N$16:$N$5015),"",INDEX($H$16:$H$5015,MATCH((MAX($N$16:$N$5015)-103+1),$N$16:$N$5015,0)))&amp;" › "&amp;IF(103&gt;MAX($N$16:$N$5015),"",INDEX($I$16:$I$5015,MATCH((MAX($N$16:$N$5015)-103+1),$N$16:$N$5015,0))))</f>
        <v/>
      </c>
      <c r="U107" s="105">
        <f>IF(103&gt;MAX($N$16:$N$5015),"",INDEX($J$16:$J$5015,MATCH((MAX($N$16:$N$5015)-103+1),$N$16:$N$5015,0)))&amp;IF(IF(103&gt;MAX($N$16:$N$5015),"",INDEX($L$16:$L$5015,MATCH((MAX($N$16:$N$5015)-103+1),$N$16:$N$5015,0)))="",""," ["&amp;IF(103&gt;MAX($N$16:$N$5015),"",INDEX($L$16:$L$5015,MATCH((MAX($N$16:$N$5015)-103+1),$N$16:$N$5015,0)))&amp;"]")</f>
        <v/>
      </c>
      <c r="V107" s="120">
        <f>IF(103&gt;MAX($N$16:$N$5015),"",HYPERLINK("#Transaksi!B"&amp;(MATCH((MAX($N$16:$N$5015)-103+1),$N$16:$N$5015,0)+15),"Buka"))</f>
        <v/>
      </c>
      <c r="X107" s="93">
        <f>IF(AND(B107&lt;&gt;"",B107&gt;='Buku Akun'!$H$4,B107&lt;='Buku Akun'!$H$5,OR(C107='Buku Akun'!$C$4,AND(D107="Pindah",E107='Buku Akun'!$C$4))),B107+IF(AND(I107="Selisih bunga",DAY(B107)=1),0,0.01)+ROW()/10000000,"")</f>
        <v/>
      </c>
    </row>
    <row r="108" outlineLevel="1" ht="15" customHeight="1" s="94">
      <c r="A108" s="123">
        <f>IF(B108="","",ROW()-15)</f>
        <v/>
      </c>
      <c r="B108" s="124" t="n"/>
      <c r="C108" s="123" t="n"/>
      <c r="D108" s="123" t="n"/>
      <c r="E108" s="123" t="n"/>
      <c r="F108" s="125" t="n"/>
      <c r="G108" s="123" t="n"/>
      <c r="H108" s="123" t="n"/>
      <c r="I108" s="123" t="n"/>
      <c r="J108" s="123" t="n"/>
      <c r="K108" s="123" t="n"/>
      <c r="L108" s="123" t="n"/>
      <c r="M108" s="123">
        <f>IF(AND(B108&lt;&gt;"",OR($C$4="",ISNUMBER(SEARCH($C$4,C108&amp;" "&amp;E108&amp;" "&amp;G108&amp;" "&amp;H108&amp;" "&amp;I108&amp;" "&amp;J108&amp;" "&amp;K108&amp;" "&amp;L108))),OR($C$5="Semua",$C$5="",G108=$C$5),OR($C$6="Semua",$C$6="",H108=$C$6,H108="Pengeluaran "&amp;$C$6,AND($C$6="Uang Kos Mama",H108="Pengeluaran Uang Kos")),OR($C$7="Semua",$C$7="",I108=$C$7),OR($C$8="Semua",$C$8="",C108=$C$8,E108=$C$8),OR($C$9="Semua",$C$9="",D108=$C$9),OR($C$10="",B108&gt;=$C$10),OR($C$11="",B108&lt;=$C$11),OR($C$12&lt;&gt;"Ya",K108&lt;&gt;""),OR($C$13="Semua",$C$13="",L108=$C$13)),"✓","")</f>
        <v/>
      </c>
      <c r="N108" s="93">
        <f>N(N107)+IF(M108="✓",1,0)</f>
        <v/>
      </c>
      <c r="O108" s="93">
        <f>N(O107)+IF(AND(B108&lt;&gt;"",B108&gt;='Uang Riba'!$H$30,B108&lt;='Uang Riba'!$I$30,OR(H108="Dana riba",H108="Pinjam uang riba",I108="Pinjam dari uang riba",I108="Ganti uang riba",I108="Kelebihan ganti dikembalikan",AND(C108="Kantong Uang Riba",G108="Pengeluaran"))),1,0)</f>
        <v/>
      </c>
      <c r="P108" s="119">
        <f>IF(104&gt;MAX($N$16:$N$5015),"",INDEX($B$16:$B$5015,MATCH((MAX($N$16:$N$5015)-104+1),$N$16:$N$5015,0)))</f>
        <v/>
      </c>
      <c r="Q108" s="105">
        <f>IF(104&gt;MAX($N$16:$N$5015),"",INDEX($C$16:$C$5015,MATCH((MAX($N$16:$N$5015)-104+1),$N$16:$N$5015,0)))&amp;IF(IF(104&gt;MAX($N$16:$N$5015),"",INDEX($E$16:$E$5015,MATCH((MAX($N$16:$N$5015)-104+1),$N$16:$N$5015,0)))="",""," → "&amp;IF(104&gt;MAX($N$16:$N$5015),"",INDEX($E$16:$E$5015,MATCH((MAX($N$16:$N$5015)-104+1),$N$16:$N$5015,0))))</f>
        <v/>
      </c>
      <c r="R108" s="105">
        <f>IF(104&gt;MAX($N$16:$N$5015),"",INDEX($D$16:$D$5015,MATCH((MAX($N$16:$N$5015)-104+1),$N$16:$N$5015,0)))</f>
        <v/>
      </c>
      <c r="S108" s="113">
        <f>IF(104&gt;MAX($N$16:$N$5015),"",INDEX($F$16:$F$5015,MATCH((MAX($N$16:$N$5015)-104+1),$N$16:$N$5015,0)))</f>
        <v/>
      </c>
      <c r="T108" s="105">
        <f>IF(104&gt;MAX($N$16:$N$5015),"",IF(104&gt;MAX($N$16:$N$5015),"",INDEX($G$16:$G$5015,MATCH((MAX($N$16:$N$5015)-104+1),$N$16:$N$5015,0)))&amp;" › "&amp;IF(104&gt;MAX($N$16:$N$5015),"",INDEX($H$16:$H$5015,MATCH((MAX($N$16:$N$5015)-104+1),$N$16:$N$5015,0)))&amp;" › "&amp;IF(104&gt;MAX($N$16:$N$5015),"",INDEX($I$16:$I$5015,MATCH((MAX($N$16:$N$5015)-104+1),$N$16:$N$5015,0))))</f>
        <v/>
      </c>
      <c r="U108" s="105">
        <f>IF(104&gt;MAX($N$16:$N$5015),"",INDEX($J$16:$J$5015,MATCH((MAX($N$16:$N$5015)-104+1),$N$16:$N$5015,0)))&amp;IF(IF(104&gt;MAX($N$16:$N$5015),"",INDEX($L$16:$L$5015,MATCH((MAX($N$16:$N$5015)-104+1),$N$16:$N$5015,0)))="",""," ["&amp;IF(104&gt;MAX($N$16:$N$5015),"",INDEX($L$16:$L$5015,MATCH((MAX($N$16:$N$5015)-104+1),$N$16:$N$5015,0)))&amp;"]")</f>
        <v/>
      </c>
      <c r="V108" s="120">
        <f>IF(104&gt;MAX($N$16:$N$5015),"",HYPERLINK("#Transaksi!B"&amp;(MATCH((MAX($N$16:$N$5015)-104+1),$N$16:$N$5015,0)+15),"Buka"))</f>
        <v/>
      </c>
      <c r="X108" s="93">
        <f>IF(AND(B108&lt;&gt;"",B108&gt;='Buku Akun'!$H$4,B108&lt;='Buku Akun'!$H$5,OR(C108='Buku Akun'!$C$4,AND(D108="Pindah",E108='Buku Akun'!$C$4))),B108+IF(AND(I108="Selisih bunga",DAY(B108)=1),0,0.01)+ROW()/10000000,"")</f>
        <v/>
      </c>
    </row>
    <row r="109" outlineLevel="1" ht="15" customHeight="1" s="94">
      <c r="A109" s="123">
        <f>IF(B109="","",ROW()-15)</f>
        <v/>
      </c>
      <c r="B109" s="124" t="n"/>
      <c r="C109" s="123" t="n"/>
      <c r="D109" s="123" t="n"/>
      <c r="E109" s="123" t="n"/>
      <c r="F109" s="125" t="n"/>
      <c r="G109" s="123" t="n"/>
      <c r="H109" s="123" t="n"/>
      <c r="I109" s="123" t="n"/>
      <c r="J109" s="123" t="n"/>
      <c r="K109" s="123" t="n"/>
      <c r="L109" s="123" t="n"/>
      <c r="M109" s="123">
        <f>IF(AND(B109&lt;&gt;"",OR($C$4="",ISNUMBER(SEARCH($C$4,C109&amp;" "&amp;E109&amp;" "&amp;G109&amp;" "&amp;H109&amp;" "&amp;I109&amp;" "&amp;J109&amp;" "&amp;K109&amp;" "&amp;L109))),OR($C$5="Semua",$C$5="",G109=$C$5),OR($C$6="Semua",$C$6="",H109=$C$6,H109="Pengeluaran "&amp;$C$6,AND($C$6="Uang Kos Mama",H109="Pengeluaran Uang Kos")),OR($C$7="Semua",$C$7="",I109=$C$7),OR($C$8="Semua",$C$8="",C109=$C$8,E109=$C$8),OR($C$9="Semua",$C$9="",D109=$C$9),OR($C$10="",B109&gt;=$C$10),OR($C$11="",B109&lt;=$C$11),OR($C$12&lt;&gt;"Ya",K109&lt;&gt;""),OR($C$13="Semua",$C$13="",L109=$C$13)),"✓","")</f>
        <v/>
      </c>
      <c r="N109" s="93">
        <f>N(N108)+IF(M109="✓",1,0)</f>
        <v/>
      </c>
      <c r="O109" s="93">
        <f>N(O108)+IF(AND(B109&lt;&gt;"",B109&gt;='Uang Riba'!$H$30,B109&lt;='Uang Riba'!$I$30,OR(H109="Dana riba",H109="Pinjam uang riba",I109="Pinjam dari uang riba",I109="Ganti uang riba",I109="Kelebihan ganti dikembalikan",AND(C109="Kantong Uang Riba",G109="Pengeluaran"))),1,0)</f>
        <v/>
      </c>
      <c r="P109" s="119">
        <f>IF(105&gt;MAX($N$16:$N$5015),"",INDEX($B$16:$B$5015,MATCH((MAX($N$16:$N$5015)-105+1),$N$16:$N$5015,0)))</f>
        <v/>
      </c>
      <c r="Q109" s="105">
        <f>IF(105&gt;MAX($N$16:$N$5015),"",INDEX($C$16:$C$5015,MATCH((MAX($N$16:$N$5015)-105+1),$N$16:$N$5015,0)))&amp;IF(IF(105&gt;MAX($N$16:$N$5015),"",INDEX($E$16:$E$5015,MATCH((MAX($N$16:$N$5015)-105+1),$N$16:$N$5015,0)))="",""," → "&amp;IF(105&gt;MAX($N$16:$N$5015),"",INDEX($E$16:$E$5015,MATCH((MAX($N$16:$N$5015)-105+1),$N$16:$N$5015,0))))</f>
        <v/>
      </c>
      <c r="R109" s="105">
        <f>IF(105&gt;MAX($N$16:$N$5015),"",INDEX($D$16:$D$5015,MATCH((MAX($N$16:$N$5015)-105+1),$N$16:$N$5015,0)))</f>
        <v/>
      </c>
      <c r="S109" s="113">
        <f>IF(105&gt;MAX($N$16:$N$5015),"",INDEX($F$16:$F$5015,MATCH((MAX($N$16:$N$5015)-105+1),$N$16:$N$5015,0)))</f>
        <v/>
      </c>
      <c r="T109" s="105">
        <f>IF(105&gt;MAX($N$16:$N$5015),"",IF(105&gt;MAX($N$16:$N$5015),"",INDEX($G$16:$G$5015,MATCH((MAX($N$16:$N$5015)-105+1),$N$16:$N$5015,0)))&amp;" › "&amp;IF(105&gt;MAX($N$16:$N$5015),"",INDEX($H$16:$H$5015,MATCH((MAX($N$16:$N$5015)-105+1),$N$16:$N$5015,0)))&amp;" › "&amp;IF(105&gt;MAX($N$16:$N$5015),"",INDEX($I$16:$I$5015,MATCH((MAX($N$16:$N$5015)-105+1),$N$16:$N$5015,0))))</f>
        <v/>
      </c>
      <c r="U109" s="105">
        <f>IF(105&gt;MAX($N$16:$N$5015),"",INDEX($J$16:$J$5015,MATCH((MAX($N$16:$N$5015)-105+1),$N$16:$N$5015,0)))&amp;IF(IF(105&gt;MAX($N$16:$N$5015),"",INDEX($L$16:$L$5015,MATCH((MAX($N$16:$N$5015)-105+1),$N$16:$N$5015,0)))="",""," ["&amp;IF(105&gt;MAX($N$16:$N$5015),"",INDEX($L$16:$L$5015,MATCH((MAX($N$16:$N$5015)-105+1),$N$16:$N$5015,0)))&amp;"]")</f>
        <v/>
      </c>
      <c r="V109" s="120">
        <f>IF(105&gt;MAX($N$16:$N$5015),"",HYPERLINK("#Transaksi!B"&amp;(MATCH((MAX($N$16:$N$5015)-105+1),$N$16:$N$5015,0)+15),"Buka"))</f>
        <v/>
      </c>
      <c r="X109" s="93">
        <f>IF(AND(B109&lt;&gt;"",B109&gt;='Buku Akun'!$H$4,B109&lt;='Buku Akun'!$H$5,OR(C109='Buku Akun'!$C$4,AND(D109="Pindah",E109='Buku Akun'!$C$4))),B109+IF(AND(I109="Selisih bunga",DAY(B109)=1),0,0.01)+ROW()/10000000,"")</f>
        <v/>
      </c>
    </row>
    <row r="110" outlineLevel="1" ht="15" customHeight="1" s="94">
      <c r="A110" s="123">
        <f>IF(B110="","",ROW()-15)</f>
        <v/>
      </c>
      <c r="B110" s="124" t="n"/>
      <c r="C110" s="123" t="n"/>
      <c r="D110" s="123" t="n"/>
      <c r="E110" s="123" t="n"/>
      <c r="F110" s="125" t="n"/>
      <c r="G110" s="123" t="n"/>
      <c r="H110" s="123" t="n"/>
      <c r="I110" s="123" t="n"/>
      <c r="J110" s="123" t="n"/>
      <c r="K110" s="123" t="n"/>
      <c r="L110" s="123" t="n"/>
      <c r="M110" s="123">
        <f>IF(AND(B110&lt;&gt;"",OR($C$4="",ISNUMBER(SEARCH($C$4,C110&amp;" "&amp;E110&amp;" "&amp;G110&amp;" "&amp;H110&amp;" "&amp;I110&amp;" "&amp;J110&amp;" "&amp;K110&amp;" "&amp;L110))),OR($C$5="Semua",$C$5="",G110=$C$5),OR($C$6="Semua",$C$6="",H110=$C$6,H110="Pengeluaran "&amp;$C$6,AND($C$6="Uang Kos Mama",H110="Pengeluaran Uang Kos")),OR($C$7="Semua",$C$7="",I110=$C$7),OR($C$8="Semua",$C$8="",C110=$C$8,E110=$C$8),OR($C$9="Semua",$C$9="",D110=$C$9),OR($C$10="",B110&gt;=$C$10),OR($C$11="",B110&lt;=$C$11),OR($C$12&lt;&gt;"Ya",K110&lt;&gt;""),OR($C$13="Semua",$C$13="",L110=$C$13)),"✓","")</f>
        <v/>
      </c>
      <c r="N110" s="93">
        <f>N(N109)+IF(M110="✓",1,0)</f>
        <v/>
      </c>
      <c r="O110" s="93">
        <f>N(O109)+IF(AND(B110&lt;&gt;"",B110&gt;='Uang Riba'!$H$30,B110&lt;='Uang Riba'!$I$30,OR(H110="Dana riba",H110="Pinjam uang riba",I110="Pinjam dari uang riba",I110="Ganti uang riba",I110="Kelebihan ganti dikembalikan",AND(C110="Kantong Uang Riba",G110="Pengeluaran"))),1,0)</f>
        <v/>
      </c>
      <c r="P110" s="119">
        <f>IF(106&gt;MAX($N$16:$N$5015),"",INDEX($B$16:$B$5015,MATCH((MAX($N$16:$N$5015)-106+1),$N$16:$N$5015,0)))</f>
        <v/>
      </c>
      <c r="Q110" s="105">
        <f>IF(106&gt;MAX($N$16:$N$5015),"",INDEX($C$16:$C$5015,MATCH((MAX($N$16:$N$5015)-106+1),$N$16:$N$5015,0)))&amp;IF(IF(106&gt;MAX($N$16:$N$5015),"",INDEX($E$16:$E$5015,MATCH((MAX($N$16:$N$5015)-106+1),$N$16:$N$5015,0)))="",""," → "&amp;IF(106&gt;MAX($N$16:$N$5015),"",INDEX($E$16:$E$5015,MATCH((MAX($N$16:$N$5015)-106+1),$N$16:$N$5015,0))))</f>
        <v/>
      </c>
      <c r="R110" s="105">
        <f>IF(106&gt;MAX($N$16:$N$5015),"",INDEX($D$16:$D$5015,MATCH((MAX($N$16:$N$5015)-106+1),$N$16:$N$5015,0)))</f>
        <v/>
      </c>
      <c r="S110" s="113">
        <f>IF(106&gt;MAX($N$16:$N$5015),"",INDEX($F$16:$F$5015,MATCH((MAX($N$16:$N$5015)-106+1),$N$16:$N$5015,0)))</f>
        <v/>
      </c>
      <c r="T110" s="105">
        <f>IF(106&gt;MAX($N$16:$N$5015),"",IF(106&gt;MAX($N$16:$N$5015),"",INDEX($G$16:$G$5015,MATCH((MAX($N$16:$N$5015)-106+1),$N$16:$N$5015,0)))&amp;" › "&amp;IF(106&gt;MAX($N$16:$N$5015),"",INDEX($H$16:$H$5015,MATCH((MAX($N$16:$N$5015)-106+1),$N$16:$N$5015,0)))&amp;" › "&amp;IF(106&gt;MAX($N$16:$N$5015),"",INDEX($I$16:$I$5015,MATCH((MAX($N$16:$N$5015)-106+1),$N$16:$N$5015,0))))</f>
        <v/>
      </c>
      <c r="U110" s="105">
        <f>IF(106&gt;MAX($N$16:$N$5015),"",INDEX($J$16:$J$5015,MATCH((MAX($N$16:$N$5015)-106+1),$N$16:$N$5015,0)))&amp;IF(IF(106&gt;MAX($N$16:$N$5015),"",INDEX($L$16:$L$5015,MATCH((MAX($N$16:$N$5015)-106+1),$N$16:$N$5015,0)))="",""," ["&amp;IF(106&gt;MAX($N$16:$N$5015),"",INDEX($L$16:$L$5015,MATCH((MAX($N$16:$N$5015)-106+1),$N$16:$N$5015,0)))&amp;"]")</f>
        <v/>
      </c>
      <c r="V110" s="120">
        <f>IF(106&gt;MAX($N$16:$N$5015),"",HYPERLINK("#Transaksi!B"&amp;(MATCH((MAX($N$16:$N$5015)-106+1),$N$16:$N$5015,0)+15),"Buka"))</f>
        <v/>
      </c>
      <c r="X110" s="93">
        <f>IF(AND(B110&lt;&gt;"",B110&gt;='Buku Akun'!$H$4,B110&lt;='Buku Akun'!$H$5,OR(C110='Buku Akun'!$C$4,AND(D110="Pindah",E110='Buku Akun'!$C$4))),B110+IF(AND(I110="Selisih bunga",DAY(B110)=1),0,0.01)+ROW()/10000000,"")</f>
        <v/>
      </c>
    </row>
    <row r="111" outlineLevel="1" ht="15" customHeight="1" s="94">
      <c r="A111" s="123">
        <f>IF(B111="","",ROW()-15)</f>
        <v/>
      </c>
      <c r="B111" s="124" t="n"/>
      <c r="C111" s="123" t="n"/>
      <c r="D111" s="123" t="n"/>
      <c r="E111" s="123" t="n"/>
      <c r="F111" s="125" t="n"/>
      <c r="G111" s="123" t="n"/>
      <c r="H111" s="123" t="n"/>
      <c r="I111" s="123" t="n"/>
      <c r="J111" s="123" t="n"/>
      <c r="K111" s="123" t="n"/>
      <c r="L111" s="123" t="n"/>
      <c r="M111" s="123">
        <f>IF(AND(B111&lt;&gt;"",OR($C$4="",ISNUMBER(SEARCH($C$4,C111&amp;" "&amp;E111&amp;" "&amp;G111&amp;" "&amp;H111&amp;" "&amp;I111&amp;" "&amp;J111&amp;" "&amp;K111&amp;" "&amp;L111))),OR($C$5="Semua",$C$5="",G111=$C$5),OR($C$6="Semua",$C$6="",H111=$C$6,H111="Pengeluaran "&amp;$C$6,AND($C$6="Uang Kos Mama",H111="Pengeluaran Uang Kos")),OR($C$7="Semua",$C$7="",I111=$C$7),OR($C$8="Semua",$C$8="",C111=$C$8,E111=$C$8),OR($C$9="Semua",$C$9="",D111=$C$9),OR($C$10="",B111&gt;=$C$10),OR($C$11="",B111&lt;=$C$11),OR($C$12&lt;&gt;"Ya",K111&lt;&gt;""),OR($C$13="Semua",$C$13="",L111=$C$13)),"✓","")</f>
        <v/>
      </c>
      <c r="N111" s="93">
        <f>N(N110)+IF(M111="✓",1,0)</f>
        <v/>
      </c>
      <c r="O111" s="93">
        <f>N(O110)+IF(AND(B111&lt;&gt;"",B111&gt;='Uang Riba'!$H$30,B111&lt;='Uang Riba'!$I$30,OR(H111="Dana riba",H111="Pinjam uang riba",I111="Pinjam dari uang riba",I111="Ganti uang riba",I111="Kelebihan ganti dikembalikan",AND(C111="Kantong Uang Riba",G111="Pengeluaran"))),1,0)</f>
        <v/>
      </c>
      <c r="P111" s="119">
        <f>IF(107&gt;MAX($N$16:$N$5015),"",INDEX($B$16:$B$5015,MATCH((MAX($N$16:$N$5015)-107+1),$N$16:$N$5015,0)))</f>
        <v/>
      </c>
      <c r="Q111" s="105">
        <f>IF(107&gt;MAX($N$16:$N$5015),"",INDEX($C$16:$C$5015,MATCH((MAX($N$16:$N$5015)-107+1),$N$16:$N$5015,0)))&amp;IF(IF(107&gt;MAX($N$16:$N$5015),"",INDEX($E$16:$E$5015,MATCH((MAX($N$16:$N$5015)-107+1),$N$16:$N$5015,0)))="",""," → "&amp;IF(107&gt;MAX($N$16:$N$5015),"",INDEX($E$16:$E$5015,MATCH((MAX($N$16:$N$5015)-107+1),$N$16:$N$5015,0))))</f>
        <v/>
      </c>
      <c r="R111" s="105">
        <f>IF(107&gt;MAX($N$16:$N$5015),"",INDEX($D$16:$D$5015,MATCH((MAX($N$16:$N$5015)-107+1),$N$16:$N$5015,0)))</f>
        <v/>
      </c>
      <c r="S111" s="113">
        <f>IF(107&gt;MAX($N$16:$N$5015),"",INDEX($F$16:$F$5015,MATCH((MAX($N$16:$N$5015)-107+1),$N$16:$N$5015,0)))</f>
        <v/>
      </c>
      <c r="T111" s="105">
        <f>IF(107&gt;MAX($N$16:$N$5015),"",IF(107&gt;MAX($N$16:$N$5015),"",INDEX($G$16:$G$5015,MATCH((MAX($N$16:$N$5015)-107+1),$N$16:$N$5015,0)))&amp;" › "&amp;IF(107&gt;MAX($N$16:$N$5015),"",INDEX($H$16:$H$5015,MATCH((MAX($N$16:$N$5015)-107+1),$N$16:$N$5015,0)))&amp;" › "&amp;IF(107&gt;MAX($N$16:$N$5015),"",INDEX($I$16:$I$5015,MATCH((MAX($N$16:$N$5015)-107+1),$N$16:$N$5015,0))))</f>
        <v/>
      </c>
      <c r="U111" s="105">
        <f>IF(107&gt;MAX($N$16:$N$5015),"",INDEX($J$16:$J$5015,MATCH((MAX($N$16:$N$5015)-107+1),$N$16:$N$5015,0)))&amp;IF(IF(107&gt;MAX($N$16:$N$5015),"",INDEX($L$16:$L$5015,MATCH((MAX($N$16:$N$5015)-107+1),$N$16:$N$5015,0)))="",""," ["&amp;IF(107&gt;MAX($N$16:$N$5015),"",INDEX($L$16:$L$5015,MATCH((MAX($N$16:$N$5015)-107+1),$N$16:$N$5015,0)))&amp;"]")</f>
        <v/>
      </c>
      <c r="V111" s="120">
        <f>IF(107&gt;MAX($N$16:$N$5015),"",HYPERLINK("#Transaksi!B"&amp;(MATCH((MAX($N$16:$N$5015)-107+1),$N$16:$N$5015,0)+15),"Buka"))</f>
        <v/>
      </c>
      <c r="X111" s="93">
        <f>IF(AND(B111&lt;&gt;"",B111&gt;='Buku Akun'!$H$4,B111&lt;='Buku Akun'!$H$5,OR(C111='Buku Akun'!$C$4,AND(D111="Pindah",E111='Buku Akun'!$C$4))),B111+IF(AND(I111="Selisih bunga",DAY(B111)=1),0,0.01)+ROW()/10000000,"")</f>
        <v/>
      </c>
    </row>
    <row r="112" outlineLevel="1" ht="15" customHeight="1" s="94">
      <c r="A112" s="123">
        <f>IF(B112="","",ROW()-15)</f>
        <v/>
      </c>
      <c r="B112" s="124" t="n"/>
      <c r="C112" s="123" t="n"/>
      <c r="D112" s="123" t="n"/>
      <c r="E112" s="123" t="n"/>
      <c r="F112" s="125" t="n"/>
      <c r="G112" s="123" t="n"/>
      <c r="H112" s="123" t="n"/>
      <c r="I112" s="123" t="n"/>
      <c r="J112" s="123" t="n"/>
      <c r="K112" s="123" t="n"/>
      <c r="L112" s="123" t="n"/>
      <c r="M112" s="123">
        <f>IF(AND(B112&lt;&gt;"",OR($C$4="",ISNUMBER(SEARCH($C$4,C112&amp;" "&amp;E112&amp;" "&amp;G112&amp;" "&amp;H112&amp;" "&amp;I112&amp;" "&amp;J112&amp;" "&amp;K112&amp;" "&amp;L112))),OR($C$5="Semua",$C$5="",G112=$C$5),OR($C$6="Semua",$C$6="",H112=$C$6,H112="Pengeluaran "&amp;$C$6,AND($C$6="Uang Kos Mama",H112="Pengeluaran Uang Kos")),OR($C$7="Semua",$C$7="",I112=$C$7),OR($C$8="Semua",$C$8="",C112=$C$8,E112=$C$8),OR($C$9="Semua",$C$9="",D112=$C$9),OR($C$10="",B112&gt;=$C$10),OR($C$11="",B112&lt;=$C$11),OR($C$12&lt;&gt;"Ya",K112&lt;&gt;""),OR($C$13="Semua",$C$13="",L112=$C$13)),"✓","")</f>
        <v/>
      </c>
      <c r="N112" s="93">
        <f>N(N111)+IF(M112="✓",1,0)</f>
        <v/>
      </c>
      <c r="O112" s="93">
        <f>N(O111)+IF(AND(B112&lt;&gt;"",B112&gt;='Uang Riba'!$H$30,B112&lt;='Uang Riba'!$I$30,OR(H112="Dana riba",H112="Pinjam uang riba",I112="Pinjam dari uang riba",I112="Ganti uang riba",I112="Kelebihan ganti dikembalikan",AND(C112="Kantong Uang Riba",G112="Pengeluaran"))),1,0)</f>
        <v/>
      </c>
      <c r="P112" s="119">
        <f>IF(108&gt;MAX($N$16:$N$5015),"",INDEX($B$16:$B$5015,MATCH((MAX($N$16:$N$5015)-108+1),$N$16:$N$5015,0)))</f>
        <v/>
      </c>
      <c r="Q112" s="105">
        <f>IF(108&gt;MAX($N$16:$N$5015),"",INDEX($C$16:$C$5015,MATCH((MAX($N$16:$N$5015)-108+1),$N$16:$N$5015,0)))&amp;IF(IF(108&gt;MAX($N$16:$N$5015),"",INDEX($E$16:$E$5015,MATCH((MAX($N$16:$N$5015)-108+1),$N$16:$N$5015,0)))="",""," → "&amp;IF(108&gt;MAX($N$16:$N$5015),"",INDEX($E$16:$E$5015,MATCH((MAX($N$16:$N$5015)-108+1),$N$16:$N$5015,0))))</f>
        <v/>
      </c>
      <c r="R112" s="105">
        <f>IF(108&gt;MAX($N$16:$N$5015),"",INDEX($D$16:$D$5015,MATCH((MAX($N$16:$N$5015)-108+1),$N$16:$N$5015,0)))</f>
        <v/>
      </c>
      <c r="S112" s="113">
        <f>IF(108&gt;MAX($N$16:$N$5015),"",INDEX($F$16:$F$5015,MATCH((MAX($N$16:$N$5015)-108+1),$N$16:$N$5015,0)))</f>
        <v/>
      </c>
      <c r="T112" s="105">
        <f>IF(108&gt;MAX($N$16:$N$5015),"",IF(108&gt;MAX($N$16:$N$5015),"",INDEX($G$16:$G$5015,MATCH((MAX($N$16:$N$5015)-108+1),$N$16:$N$5015,0)))&amp;" › "&amp;IF(108&gt;MAX($N$16:$N$5015),"",INDEX($H$16:$H$5015,MATCH((MAX($N$16:$N$5015)-108+1),$N$16:$N$5015,0)))&amp;" › "&amp;IF(108&gt;MAX($N$16:$N$5015),"",INDEX($I$16:$I$5015,MATCH((MAX($N$16:$N$5015)-108+1),$N$16:$N$5015,0))))</f>
        <v/>
      </c>
      <c r="U112" s="105">
        <f>IF(108&gt;MAX($N$16:$N$5015),"",INDEX($J$16:$J$5015,MATCH((MAX($N$16:$N$5015)-108+1),$N$16:$N$5015,0)))&amp;IF(IF(108&gt;MAX($N$16:$N$5015),"",INDEX($L$16:$L$5015,MATCH((MAX($N$16:$N$5015)-108+1),$N$16:$N$5015,0)))="",""," ["&amp;IF(108&gt;MAX($N$16:$N$5015),"",INDEX($L$16:$L$5015,MATCH((MAX($N$16:$N$5015)-108+1),$N$16:$N$5015,0)))&amp;"]")</f>
        <v/>
      </c>
      <c r="V112" s="120">
        <f>IF(108&gt;MAX($N$16:$N$5015),"",HYPERLINK("#Transaksi!B"&amp;(MATCH((MAX($N$16:$N$5015)-108+1),$N$16:$N$5015,0)+15),"Buka"))</f>
        <v/>
      </c>
      <c r="X112" s="93">
        <f>IF(AND(B112&lt;&gt;"",B112&gt;='Buku Akun'!$H$4,B112&lt;='Buku Akun'!$H$5,OR(C112='Buku Akun'!$C$4,AND(D112="Pindah",E112='Buku Akun'!$C$4))),B112+IF(AND(I112="Selisih bunga",DAY(B112)=1),0,0.01)+ROW()/10000000,"")</f>
        <v/>
      </c>
    </row>
    <row r="113" outlineLevel="1" ht="15" customHeight="1" s="94">
      <c r="A113" s="123">
        <f>IF(B113="","",ROW()-15)</f>
        <v/>
      </c>
      <c r="B113" s="124" t="n"/>
      <c r="C113" s="123" t="n"/>
      <c r="D113" s="123" t="n"/>
      <c r="E113" s="123" t="n"/>
      <c r="F113" s="125" t="n"/>
      <c r="G113" s="123" t="n"/>
      <c r="H113" s="123" t="n"/>
      <c r="I113" s="123" t="n"/>
      <c r="J113" s="123" t="n"/>
      <c r="K113" s="123" t="n"/>
      <c r="L113" s="123" t="n"/>
      <c r="M113" s="123">
        <f>IF(AND(B113&lt;&gt;"",OR($C$4="",ISNUMBER(SEARCH($C$4,C113&amp;" "&amp;E113&amp;" "&amp;G113&amp;" "&amp;H113&amp;" "&amp;I113&amp;" "&amp;J113&amp;" "&amp;K113&amp;" "&amp;L113))),OR($C$5="Semua",$C$5="",G113=$C$5),OR($C$6="Semua",$C$6="",H113=$C$6,H113="Pengeluaran "&amp;$C$6,AND($C$6="Uang Kos Mama",H113="Pengeluaran Uang Kos")),OR($C$7="Semua",$C$7="",I113=$C$7),OR($C$8="Semua",$C$8="",C113=$C$8,E113=$C$8),OR($C$9="Semua",$C$9="",D113=$C$9),OR($C$10="",B113&gt;=$C$10),OR($C$11="",B113&lt;=$C$11),OR($C$12&lt;&gt;"Ya",K113&lt;&gt;""),OR($C$13="Semua",$C$13="",L113=$C$13)),"✓","")</f>
        <v/>
      </c>
      <c r="N113" s="93">
        <f>N(N112)+IF(M113="✓",1,0)</f>
        <v/>
      </c>
      <c r="O113" s="93">
        <f>N(O112)+IF(AND(B113&lt;&gt;"",B113&gt;='Uang Riba'!$H$30,B113&lt;='Uang Riba'!$I$30,OR(H113="Dana riba",H113="Pinjam uang riba",I113="Pinjam dari uang riba",I113="Ganti uang riba",I113="Kelebihan ganti dikembalikan",AND(C113="Kantong Uang Riba",G113="Pengeluaran"))),1,0)</f>
        <v/>
      </c>
      <c r="P113" s="119">
        <f>IF(109&gt;MAX($N$16:$N$5015),"",INDEX($B$16:$B$5015,MATCH((MAX($N$16:$N$5015)-109+1),$N$16:$N$5015,0)))</f>
        <v/>
      </c>
      <c r="Q113" s="105">
        <f>IF(109&gt;MAX($N$16:$N$5015),"",INDEX($C$16:$C$5015,MATCH((MAX($N$16:$N$5015)-109+1),$N$16:$N$5015,0)))&amp;IF(IF(109&gt;MAX($N$16:$N$5015),"",INDEX($E$16:$E$5015,MATCH((MAX($N$16:$N$5015)-109+1),$N$16:$N$5015,0)))="",""," → "&amp;IF(109&gt;MAX($N$16:$N$5015),"",INDEX($E$16:$E$5015,MATCH((MAX($N$16:$N$5015)-109+1),$N$16:$N$5015,0))))</f>
        <v/>
      </c>
      <c r="R113" s="105">
        <f>IF(109&gt;MAX($N$16:$N$5015),"",INDEX($D$16:$D$5015,MATCH((MAX($N$16:$N$5015)-109+1),$N$16:$N$5015,0)))</f>
        <v/>
      </c>
      <c r="S113" s="113">
        <f>IF(109&gt;MAX($N$16:$N$5015),"",INDEX($F$16:$F$5015,MATCH((MAX($N$16:$N$5015)-109+1),$N$16:$N$5015,0)))</f>
        <v/>
      </c>
      <c r="T113" s="105">
        <f>IF(109&gt;MAX($N$16:$N$5015),"",IF(109&gt;MAX($N$16:$N$5015),"",INDEX($G$16:$G$5015,MATCH((MAX($N$16:$N$5015)-109+1),$N$16:$N$5015,0)))&amp;" › "&amp;IF(109&gt;MAX($N$16:$N$5015),"",INDEX($H$16:$H$5015,MATCH((MAX($N$16:$N$5015)-109+1),$N$16:$N$5015,0)))&amp;" › "&amp;IF(109&gt;MAX($N$16:$N$5015),"",INDEX($I$16:$I$5015,MATCH((MAX($N$16:$N$5015)-109+1),$N$16:$N$5015,0))))</f>
        <v/>
      </c>
      <c r="U113" s="105">
        <f>IF(109&gt;MAX($N$16:$N$5015),"",INDEX($J$16:$J$5015,MATCH((MAX($N$16:$N$5015)-109+1),$N$16:$N$5015,0)))&amp;IF(IF(109&gt;MAX($N$16:$N$5015),"",INDEX($L$16:$L$5015,MATCH((MAX($N$16:$N$5015)-109+1),$N$16:$N$5015,0)))="",""," ["&amp;IF(109&gt;MAX($N$16:$N$5015),"",INDEX($L$16:$L$5015,MATCH((MAX($N$16:$N$5015)-109+1),$N$16:$N$5015,0)))&amp;"]")</f>
        <v/>
      </c>
      <c r="V113" s="120">
        <f>IF(109&gt;MAX($N$16:$N$5015),"",HYPERLINK("#Transaksi!B"&amp;(MATCH((MAX($N$16:$N$5015)-109+1),$N$16:$N$5015,0)+15),"Buka"))</f>
        <v/>
      </c>
      <c r="X113" s="93">
        <f>IF(AND(B113&lt;&gt;"",B113&gt;='Buku Akun'!$H$4,B113&lt;='Buku Akun'!$H$5,OR(C113='Buku Akun'!$C$4,AND(D113="Pindah",E113='Buku Akun'!$C$4))),B113+IF(AND(I113="Selisih bunga",DAY(B113)=1),0,0.01)+ROW()/10000000,"")</f>
        <v/>
      </c>
    </row>
    <row r="114" outlineLevel="1" ht="15" customHeight="1" s="94">
      <c r="A114" s="123">
        <f>IF(B114="","",ROW()-15)</f>
        <v/>
      </c>
      <c r="B114" s="124" t="n"/>
      <c r="C114" s="123" t="n"/>
      <c r="D114" s="123" t="n"/>
      <c r="E114" s="123" t="n"/>
      <c r="F114" s="125" t="n"/>
      <c r="G114" s="123" t="n"/>
      <c r="H114" s="123" t="n"/>
      <c r="I114" s="123" t="n"/>
      <c r="J114" s="123" t="n"/>
      <c r="K114" s="123" t="n"/>
      <c r="L114" s="123" t="n"/>
      <c r="M114" s="123">
        <f>IF(AND(B114&lt;&gt;"",OR($C$4="",ISNUMBER(SEARCH($C$4,C114&amp;" "&amp;E114&amp;" "&amp;G114&amp;" "&amp;H114&amp;" "&amp;I114&amp;" "&amp;J114&amp;" "&amp;K114&amp;" "&amp;L114))),OR($C$5="Semua",$C$5="",G114=$C$5),OR($C$6="Semua",$C$6="",H114=$C$6,H114="Pengeluaran "&amp;$C$6,AND($C$6="Uang Kos Mama",H114="Pengeluaran Uang Kos")),OR($C$7="Semua",$C$7="",I114=$C$7),OR($C$8="Semua",$C$8="",C114=$C$8,E114=$C$8),OR($C$9="Semua",$C$9="",D114=$C$9),OR($C$10="",B114&gt;=$C$10),OR($C$11="",B114&lt;=$C$11),OR($C$12&lt;&gt;"Ya",K114&lt;&gt;""),OR($C$13="Semua",$C$13="",L114=$C$13)),"✓","")</f>
        <v/>
      </c>
      <c r="N114" s="93">
        <f>N(N113)+IF(M114="✓",1,0)</f>
        <v/>
      </c>
      <c r="O114" s="93">
        <f>N(O113)+IF(AND(B114&lt;&gt;"",B114&gt;='Uang Riba'!$H$30,B114&lt;='Uang Riba'!$I$30,OR(H114="Dana riba",H114="Pinjam uang riba",I114="Pinjam dari uang riba",I114="Ganti uang riba",I114="Kelebihan ganti dikembalikan",AND(C114="Kantong Uang Riba",G114="Pengeluaran"))),1,0)</f>
        <v/>
      </c>
      <c r="P114" s="119">
        <f>IF(110&gt;MAX($N$16:$N$5015),"",INDEX($B$16:$B$5015,MATCH((MAX($N$16:$N$5015)-110+1),$N$16:$N$5015,0)))</f>
        <v/>
      </c>
      <c r="Q114" s="105">
        <f>IF(110&gt;MAX($N$16:$N$5015),"",INDEX($C$16:$C$5015,MATCH((MAX($N$16:$N$5015)-110+1),$N$16:$N$5015,0)))&amp;IF(IF(110&gt;MAX($N$16:$N$5015),"",INDEX($E$16:$E$5015,MATCH((MAX($N$16:$N$5015)-110+1),$N$16:$N$5015,0)))="",""," → "&amp;IF(110&gt;MAX($N$16:$N$5015),"",INDEX($E$16:$E$5015,MATCH((MAX($N$16:$N$5015)-110+1),$N$16:$N$5015,0))))</f>
        <v/>
      </c>
      <c r="R114" s="105">
        <f>IF(110&gt;MAX($N$16:$N$5015),"",INDEX($D$16:$D$5015,MATCH((MAX($N$16:$N$5015)-110+1),$N$16:$N$5015,0)))</f>
        <v/>
      </c>
      <c r="S114" s="113">
        <f>IF(110&gt;MAX($N$16:$N$5015),"",INDEX($F$16:$F$5015,MATCH((MAX($N$16:$N$5015)-110+1),$N$16:$N$5015,0)))</f>
        <v/>
      </c>
      <c r="T114" s="105">
        <f>IF(110&gt;MAX($N$16:$N$5015),"",IF(110&gt;MAX($N$16:$N$5015),"",INDEX($G$16:$G$5015,MATCH((MAX($N$16:$N$5015)-110+1),$N$16:$N$5015,0)))&amp;" › "&amp;IF(110&gt;MAX($N$16:$N$5015),"",INDEX($H$16:$H$5015,MATCH((MAX($N$16:$N$5015)-110+1),$N$16:$N$5015,0)))&amp;" › "&amp;IF(110&gt;MAX($N$16:$N$5015),"",INDEX($I$16:$I$5015,MATCH((MAX($N$16:$N$5015)-110+1),$N$16:$N$5015,0))))</f>
        <v/>
      </c>
      <c r="U114" s="105">
        <f>IF(110&gt;MAX($N$16:$N$5015),"",INDEX($J$16:$J$5015,MATCH((MAX($N$16:$N$5015)-110+1),$N$16:$N$5015,0)))&amp;IF(IF(110&gt;MAX($N$16:$N$5015),"",INDEX($L$16:$L$5015,MATCH((MAX($N$16:$N$5015)-110+1),$N$16:$N$5015,0)))="",""," ["&amp;IF(110&gt;MAX($N$16:$N$5015),"",INDEX($L$16:$L$5015,MATCH((MAX($N$16:$N$5015)-110+1),$N$16:$N$5015,0)))&amp;"]")</f>
        <v/>
      </c>
      <c r="V114" s="120">
        <f>IF(110&gt;MAX($N$16:$N$5015),"",HYPERLINK("#Transaksi!B"&amp;(MATCH((MAX($N$16:$N$5015)-110+1),$N$16:$N$5015,0)+15),"Buka"))</f>
        <v/>
      </c>
      <c r="X114" s="93">
        <f>IF(AND(B114&lt;&gt;"",B114&gt;='Buku Akun'!$H$4,B114&lt;='Buku Akun'!$H$5,OR(C114='Buku Akun'!$C$4,AND(D114="Pindah",E114='Buku Akun'!$C$4))),B114+IF(AND(I114="Selisih bunga",DAY(B114)=1),0,0.01)+ROW()/10000000,"")</f>
        <v/>
      </c>
    </row>
    <row r="115" outlineLevel="1" ht="15" customHeight="1" s="94">
      <c r="A115" s="123">
        <f>IF(B115="","",ROW()-15)</f>
        <v/>
      </c>
      <c r="B115" s="124" t="n"/>
      <c r="C115" s="123" t="n"/>
      <c r="D115" s="123" t="n"/>
      <c r="E115" s="123" t="n"/>
      <c r="F115" s="125" t="n"/>
      <c r="G115" s="123" t="n"/>
      <c r="H115" s="123" t="n"/>
      <c r="I115" s="123" t="n"/>
      <c r="J115" s="123" t="n"/>
      <c r="K115" s="123" t="n"/>
      <c r="L115" s="123" t="n"/>
      <c r="M115" s="123">
        <f>IF(AND(B115&lt;&gt;"",OR($C$4="",ISNUMBER(SEARCH($C$4,C115&amp;" "&amp;E115&amp;" "&amp;G115&amp;" "&amp;H115&amp;" "&amp;I115&amp;" "&amp;J115&amp;" "&amp;K115&amp;" "&amp;L115))),OR($C$5="Semua",$C$5="",G115=$C$5),OR($C$6="Semua",$C$6="",H115=$C$6,H115="Pengeluaran "&amp;$C$6,AND($C$6="Uang Kos Mama",H115="Pengeluaran Uang Kos")),OR($C$7="Semua",$C$7="",I115=$C$7),OR($C$8="Semua",$C$8="",C115=$C$8,E115=$C$8),OR($C$9="Semua",$C$9="",D115=$C$9),OR($C$10="",B115&gt;=$C$10),OR($C$11="",B115&lt;=$C$11),OR($C$12&lt;&gt;"Ya",K115&lt;&gt;""),OR($C$13="Semua",$C$13="",L115=$C$13)),"✓","")</f>
        <v/>
      </c>
      <c r="N115" s="93">
        <f>N(N114)+IF(M115="✓",1,0)</f>
        <v/>
      </c>
      <c r="O115" s="93">
        <f>N(O114)+IF(AND(B115&lt;&gt;"",B115&gt;='Uang Riba'!$H$30,B115&lt;='Uang Riba'!$I$30,OR(H115="Dana riba",H115="Pinjam uang riba",I115="Pinjam dari uang riba",I115="Ganti uang riba",I115="Kelebihan ganti dikembalikan",AND(C115="Kantong Uang Riba",G115="Pengeluaran"))),1,0)</f>
        <v/>
      </c>
      <c r="P115" s="119">
        <f>IF(111&gt;MAX($N$16:$N$5015),"",INDEX($B$16:$B$5015,MATCH((MAX($N$16:$N$5015)-111+1),$N$16:$N$5015,0)))</f>
        <v/>
      </c>
      <c r="Q115" s="105">
        <f>IF(111&gt;MAX($N$16:$N$5015),"",INDEX($C$16:$C$5015,MATCH((MAX($N$16:$N$5015)-111+1),$N$16:$N$5015,0)))&amp;IF(IF(111&gt;MAX($N$16:$N$5015),"",INDEX($E$16:$E$5015,MATCH((MAX($N$16:$N$5015)-111+1),$N$16:$N$5015,0)))="",""," → "&amp;IF(111&gt;MAX($N$16:$N$5015),"",INDEX($E$16:$E$5015,MATCH((MAX($N$16:$N$5015)-111+1),$N$16:$N$5015,0))))</f>
        <v/>
      </c>
      <c r="R115" s="105">
        <f>IF(111&gt;MAX($N$16:$N$5015),"",INDEX($D$16:$D$5015,MATCH((MAX($N$16:$N$5015)-111+1),$N$16:$N$5015,0)))</f>
        <v/>
      </c>
      <c r="S115" s="113">
        <f>IF(111&gt;MAX($N$16:$N$5015),"",INDEX($F$16:$F$5015,MATCH((MAX($N$16:$N$5015)-111+1),$N$16:$N$5015,0)))</f>
        <v/>
      </c>
      <c r="T115" s="105">
        <f>IF(111&gt;MAX($N$16:$N$5015),"",IF(111&gt;MAX($N$16:$N$5015),"",INDEX($G$16:$G$5015,MATCH((MAX($N$16:$N$5015)-111+1),$N$16:$N$5015,0)))&amp;" › "&amp;IF(111&gt;MAX($N$16:$N$5015),"",INDEX($H$16:$H$5015,MATCH((MAX($N$16:$N$5015)-111+1),$N$16:$N$5015,0)))&amp;" › "&amp;IF(111&gt;MAX($N$16:$N$5015),"",INDEX($I$16:$I$5015,MATCH((MAX($N$16:$N$5015)-111+1),$N$16:$N$5015,0))))</f>
        <v/>
      </c>
      <c r="U115" s="105">
        <f>IF(111&gt;MAX($N$16:$N$5015),"",INDEX($J$16:$J$5015,MATCH((MAX($N$16:$N$5015)-111+1),$N$16:$N$5015,0)))&amp;IF(IF(111&gt;MAX($N$16:$N$5015),"",INDEX($L$16:$L$5015,MATCH((MAX($N$16:$N$5015)-111+1),$N$16:$N$5015,0)))="",""," ["&amp;IF(111&gt;MAX($N$16:$N$5015),"",INDEX($L$16:$L$5015,MATCH((MAX($N$16:$N$5015)-111+1),$N$16:$N$5015,0)))&amp;"]")</f>
        <v/>
      </c>
      <c r="V115" s="120">
        <f>IF(111&gt;MAX($N$16:$N$5015),"",HYPERLINK("#Transaksi!B"&amp;(MATCH((MAX($N$16:$N$5015)-111+1),$N$16:$N$5015,0)+15),"Buka"))</f>
        <v/>
      </c>
      <c r="X115" s="93">
        <f>IF(AND(B115&lt;&gt;"",B115&gt;='Buku Akun'!$H$4,B115&lt;='Buku Akun'!$H$5,OR(C115='Buku Akun'!$C$4,AND(D115="Pindah",E115='Buku Akun'!$C$4))),B115+IF(AND(I115="Selisih bunga",DAY(B115)=1),0,0.01)+ROW()/10000000,"")</f>
        <v/>
      </c>
    </row>
    <row r="116" outlineLevel="1" ht="15" customHeight="1" s="94">
      <c r="A116" s="123">
        <f>IF(B116="","",ROW()-15)</f>
        <v/>
      </c>
      <c r="B116" s="124" t="n"/>
      <c r="C116" s="123" t="n"/>
      <c r="D116" s="123" t="n"/>
      <c r="E116" s="123" t="n"/>
      <c r="F116" s="125" t="n"/>
      <c r="G116" s="123" t="n"/>
      <c r="H116" s="123" t="n"/>
      <c r="I116" s="123" t="n"/>
      <c r="J116" s="123" t="n"/>
      <c r="K116" s="123" t="n"/>
      <c r="L116" s="123" t="n"/>
      <c r="M116" s="123">
        <f>IF(AND(B116&lt;&gt;"",OR($C$4="",ISNUMBER(SEARCH($C$4,C116&amp;" "&amp;E116&amp;" "&amp;G116&amp;" "&amp;H116&amp;" "&amp;I116&amp;" "&amp;J116&amp;" "&amp;K116&amp;" "&amp;L116))),OR($C$5="Semua",$C$5="",G116=$C$5),OR($C$6="Semua",$C$6="",H116=$C$6,H116="Pengeluaran "&amp;$C$6,AND($C$6="Uang Kos Mama",H116="Pengeluaran Uang Kos")),OR($C$7="Semua",$C$7="",I116=$C$7),OR($C$8="Semua",$C$8="",C116=$C$8,E116=$C$8),OR($C$9="Semua",$C$9="",D116=$C$9),OR($C$10="",B116&gt;=$C$10),OR($C$11="",B116&lt;=$C$11),OR($C$12&lt;&gt;"Ya",K116&lt;&gt;""),OR($C$13="Semua",$C$13="",L116=$C$13)),"✓","")</f>
        <v/>
      </c>
      <c r="N116" s="93">
        <f>N(N115)+IF(M116="✓",1,0)</f>
        <v/>
      </c>
      <c r="O116" s="93">
        <f>N(O115)+IF(AND(B116&lt;&gt;"",B116&gt;='Uang Riba'!$H$30,B116&lt;='Uang Riba'!$I$30,OR(H116="Dana riba",H116="Pinjam uang riba",I116="Pinjam dari uang riba",I116="Ganti uang riba",I116="Kelebihan ganti dikembalikan",AND(C116="Kantong Uang Riba",G116="Pengeluaran"))),1,0)</f>
        <v/>
      </c>
      <c r="P116" s="119">
        <f>IF(112&gt;MAX($N$16:$N$5015),"",INDEX($B$16:$B$5015,MATCH((MAX($N$16:$N$5015)-112+1),$N$16:$N$5015,0)))</f>
        <v/>
      </c>
      <c r="Q116" s="105">
        <f>IF(112&gt;MAX($N$16:$N$5015),"",INDEX($C$16:$C$5015,MATCH((MAX($N$16:$N$5015)-112+1),$N$16:$N$5015,0)))&amp;IF(IF(112&gt;MAX($N$16:$N$5015),"",INDEX($E$16:$E$5015,MATCH((MAX($N$16:$N$5015)-112+1),$N$16:$N$5015,0)))="",""," → "&amp;IF(112&gt;MAX($N$16:$N$5015),"",INDEX($E$16:$E$5015,MATCH((MAX($N$16:$N$5015)-112+1),$N$16:$N$5015,0))))</f>
        <v/>
      </c>
      <c r="R116" s="105">
        <f>IF(112&gt;MAX($N$16:$N$5015),"",INDEX($D$16:$D$5015,MATCH((MAX($N$16:$N$5015)-112+1),$N$16:$N$5015,0)))</f>
        <v/>
      </c>
      <c r="S116" s="113">
        <f>IF(112&gt;MAX($N$16:$N$5015),"",INDEX($F$16:$F$5015,MATCH((MAX($N$16:$N$5015)-112+1),$N$16:$N$5015,0)))</f>
        <v/>
      </c>
      <c r="T116" s="105">
        <f>IF(112&gt;MAX($N$16:$N$5015),"",IF(112&gt;MAX($N$16:$N$5015),"",INDEX($G$16:$G$5015,MATCH((MAX($N$16:$N$5015)-112+1),$N$16:$N$5015,0)))&amp;" › "&amp;IF(112&gt;MAX($N$16:$N$5015),"",INDEX($H$16:$H$5015,MATCH((MAX($N$16:$N$5015)-112+1),$N$16:$N$5015,0)))&amp;" › "&amp;IF(112&gt;MAX($N$16:$N$5015),"",INDEX($I$16:$I$5015,MATCH((MAX($N$16:$N$5015)-112+1),$N$16:$N$5015,0))))</f>
        <v/>
      </c>
      <c r="U116" s="105">
        <f>IF(112&gt;MAX($N$16:$N$5015),"",INDEX($J$16:$J$5015,MATCH((MAX($N$16:$N$5015)-112+1),$N$16:$N$5015,0)))&amp;IF(IF(112&gt;MAX($N$16:$N$5015),"",INDEX($L$16:$L$5015,MATCH((MAX($N$16:$N$5015)-112+1),$N$16:$N$5015,0)))="",""," ["&amp;IF(112&gt;MAX($N$16:$N$5015),"",INDEX($L$16:$L$5015,MATCH((MAX($N$16:$N$5015)-112+1),$N$16:$N$5015,0)))&amp;"]")</f>
        <v/>
      </c>
      <c r="V116" s="120">
        <f>IF(112&gt;MAX($N$16:$N$5015),"",HYPERLINK("#Transaksi!B"&amp;(MATCH((MAX($N$16:$N$5015)-112+1),$N$16:$N$5015,0)+15),"Buka"))</f>
        <v/>
      </c>
      <c r="X116" s="93">
        <f>IF(AND(B116&lt;&gt;"",B116&gt;='Buku Akun'!$H$4,B116&lt;='Buku Akun'!$H$5,OR(C116='Buku Akun'!$C$4,AND(D116="Pindah",E116='Buku Akun'!$C$4))),B116+IF(AND(I116="Selisih bunga",DAY(B116)=1),0,0.01)+ROW()/10000000,"")</f>
        <v/>
      </c>
    </row>
    <row r="117" outlineLevel="1" ht="15" customHeight="1" s="94">
      <c r="A117" s="123">
        <f>IF(B117="","",ROW()-15)</f>
        <v/>
      </c>
      <c r="B117" s="124" t="n"/>
      <c r="C117" s="123" t="n"/>
      <c r="D117" s="123" t="n"/>
      <c r="E117" s="123" t="n"/>
      <c r="F117" s="125" t="n"/>
      <c r="G117" s="123" t="n"/>
      <c r="H117" s="123" t="n"/>
      <c r="I117" s="123" t="n"/>
      <c r="J117" s="123" t="n"/>
      <c r="K117" s="123" t="n"/>
      <c r="L117" s="123" t="n"/>
      <c r="M117" s="123">
        <f>IF(AND(B117&lt;&gt;"",OR($C$4="",ISNUMBER(SEARCH($C$4,C117&amp;" "&amp;E117&amp;" "&amp;G117&amp;" "&amp;H117&amp;" "&amp;I117&amp;" "&amp;J117&amp;" "&amp;K117&amp;" "&amp;L117))),OR($C$5="Semua",$C$5="",G117=$C$5),OR($C$6="Semua",$C$6="",H117=$C$6,H117="Pengeluaran "&amp;$C$6,AND($C$6="Uang Kos Mama",H117="Pengeluaran Uang Kos")),OR($C$7="Semua",$C$7="",I117=$C$7),OR($C$8="Semua",$C$8="",C117=$C$8,E117=$C$8),OR($C$9="Semua",$C$9="",D117=$C$9),OR($C$10="",B117&gt;=$C$10),OR($C$11="",B117&lt;=$C$11),OR($C$12&lt;&gt;"Ya",K117&lt;&gt;""),OR($C$13="Semua",$C$13="",L117=$C$13)),"✓","")</f>
        <v/>
      </c>
      <c r="N117" s="93">
        <f>N(N116)+IF(M117="✓",1,0)</f>
        <v/>
      </c>
      <c r="O117" s="93">
        <f>N(O116)+IF(AND(B117&lt;&gt;"",B117&gt;='Uang Riba'!$H$30,B117&lt;='Uang Riba'!$I$30,OR(H117="Dana riba",H117="Pinjam uang riba",I117="Pinjam dari uang riba",I117="Ganti uang riba",I117="Kelebihan ganti dikembalikan",AND(C117="Kantong Uang Riba",G117="Pengeluaran"))),1,0)</f>
        <v/>
      </c>
      <c r="P117" s="119">
        <f>IF(113&gt;MAX($N$16:$N$5015),"",INDEX($B$16:$B$5015,MATCH((MAX($N$16:$N$5015)-113+1),$N$16:$N$5015,0)))</f>
        <v/>
      </c>
      <c r="Q117" s="105">
        <f>IF(113&gt;MAX($N$16:$N$5015),"",INDEX($C$16:$C$5015,MATCH((MAX($N$16:$N$5015)-113+1),$N$16:$N$5015,0)))&amp;IF(IF(113&gt;MAX($N$16:$N$5015),"",INDEX($E$16:$E$5015,MATCH((MAX($N$16:$N$5015)-113+1),$N$16:$N$5015,0)))="",""," → "&amp;IF(113&gt;MAX($N$16:$N$5015),"",INDEX($E$16:$E$5015,MATCH((MAX($N$16:$N$5015)-113+1),$N$16:$N$5015,0))))</f>
        <v/>
      </c>
      <c r="R117" s="105">
        <f>IF(113&gt;MAX($N$16:$N$5015),"",INDEX($D$16:$D$5015,MATCH((MAX($N$16:$N$5015)-113+1),$N$16:$N$5015,0)))</f>
        <v/>
      </c>
      <c r="S117" s="113">
        <f>IF(113&gt;MAX($N$16:$N$5015),"",INDEX($F$16:$F$5015,MATCH((MAX($N$16:$N$5015)-113+1),$N$16:$N$5015,0)))</f>
        <v/>
      </c>
      <c r="T117" s="105">
        <f>IF(113&gt;MAX($N$16:$N$5015),"",IF(113&gt;MAX($N$16:$N$5015),"",INDEX($G$16:$G$5015,MATCH((MAX($N$16:$N$5015)-113+1),$N$16:$N$5015,0)))&amp;" › "&amp;IF(113&gt;MAX($N$16:$N$5015),"",INDEX($H$16:$H$5015,MATCH((MAX($N$16:$N$5015)-113+1),$N$16:$N$5015,0)))&amp;" › "&amp;IF(113&gt;MAX($N$16:$N$5015),"",INDEX($I$16:$I$5015,MATCH((MAX($N$16:$N$5015)-113+1),$N$16:$N$5015,0))))</f>
        <v/>
      </c>
      <c r="U117" s="105">
        <f>IF(113&gt;MAX($N$16:$N$5015),"",INDEX($J$16:$J$5015,MATCH((MAX($N$16:$N$5015)-113+1),$N$16:$N$5015,0)))&amp;IF(IF(113&gt;MAX($N$16:$N$5015),"",INDEX($L$16:$L$5015,MATCH((MAX($N$16:$N$5015)-113+1),$N$16:$N$5015,0)))="",""," ["&amp;IF(113&gt;MAX($N$16:$N$5015),"",INDEX($L$16:$L$5015,MATCH((MAX($N$16:$N$5015)-113+1),$N$16:$N$5015,0)))&amp;"]")</f>
        <v/>
      </c>
      <c r="V117" s="120">
        <f>IF(113&gt;MAX($N$16:$N$5015),"",HYPERLINK("#Transaksi!B"&amp;(MATCH((MAX($N$16:$N$5015)-113+1),$N$16:$N$5015,0)+15),"Buka"))</f>
        <v/>
      </c>
      <c r="X117" s="93">
        <f>IF(AND(B117&lt;&gt;"",B117&gt;='Buku Akun'!$H$4,B117&lt;='Buku Akun'!$H$5,OR(C117='Buku Akun'!$C$4,AND(D117="Pindah",E117='Buku Akun'!$C$4))),B117+IF(AND(I117="Selisih bunga",DAY(B117)=1),0,0.01)+ROW()/10000000,"")</f>
        <v/>
      </c>
    </row>
    <row r="118" outlineLevel="1" ht="15" customHeight="1" s="94">
      <c r="A118" s="123">
        <f>IF(B118="","",ROW()-15)</f>
        <v/>
      </c>
      <c r="B118" s="124" t="n"/>
      <c r="C118" s="123" t="n"/>
      <c r="D118" s="123" t="n"/>
      <c r="E118" s="123" t="n"/>
      <c r="F118" s="125" t="n"/>
      <c r="G118" s="123" t="n"/>
      <c r="H118" s="123" t="n"/>
      <c r="I118" s="123" t="n"/>
      <c r="J118" s="123" t="n"/>
      <c r="K118" s="123" t="n"/>
      <c r="L118" s="123" t="n"/>
      <c r="M118" s="123">
        <f>IF(AND(B118&lt;&gt;"",OR($C$4="",ISNUMBER(SEARCH($C$4,C118&amp;" "&amp;E118&amp;" "&amp;G118&amp;" "&amp;H118&amp;" "&amp;I118&amp;" "&amp;J118&amp;" "&amp;K118&amp;" "&amp;L118))),OR($C$5="Semua",$C$5="",G118=$C$5),OR($C$6="Semua",$C$6="",H118=$C$6,H118="Pengeluaran "&amp;$C$6,AND($C$6="Uang Kos Mama",H118="Pengeluaran Uang Kos")),OR($C$7="Semua",$C$7="",I118=$C$7),OR($C$8="Semua",$C$8="",C118=$C$8,E118=$C$8),OR($C$9="Semua",$C$9="",D118=$C$9),OR($C$10="",B118&gt;=$C$10),OR($C$11="",B118&lt;=$C$11),OR($C$12&lt;&gt;"Ya",K118&lt;&gt;""),OR($C$13="Semua",$C$13="",L118=$C$13)),"✓","")</f>
        <v/>
      </c>
      <c r="N118" s="93">
        <f>N(N117)+IF(M118="✓",1,0)</f>
        <v/>
      </c>
      <c r="O118" s="93">
        <f>N(O117)+IF(AND(B118&lt;&gt;"",B118&gt;='Uang Riba'!$H$30,B118&lt;='Uang Riba'!$I$30,OR(H118="Dana riba",H118="Pinjam uang riba",I118="Pinjam dari uang riba",I118="Ganti uang riba",I118="Kelebihan ganti dikembalikan",AND(C118="Kantong Uang Riba",G118="Pengeluaran"))),1,0)</f>
        <v/>
      </c>
      <c r="P118" s="119">
        <f>IF(114&gt;MAX($N$16:$N$5015),"",INDEX($B$16:$B$5015,MATCH((MAX($N$16:$N$5015)-114+1),$N$16:$N$5015,0)))</f>
        <v/>
      </c>
      <c r="Q118" s="105">
        <f>IF(114&gt;MAX($N$16:$N$5015),"",INDEX($C$16:$C$5015,MATCH((MAX($N$16:$N$5015)-114+1),$N$16:$N$5015,0)))&amp;IF(IF(114&gt;MAX($N$16:$N$5015),"",INDEX($E$16:$E$5015,MATCH((MAX($N$16:$N$5015)-114+1),$N$16:$N$5015,0)))="",""," → "&amp;IF(114&gt;MAX($N$16:$N$5015),"",INDEX($E$16:$E$5015,MATCH((MAX($N$16:$N$5015)-114+1),$N$16:$N$5015,0))))</f>
        <v/>
      </c>
      <c r="R118" s="105">
        <f>IF(114&gt;MAX($N$16:$N$5015),"",INDEX($D$16:$D$5015,MATCH((MAX($N$16:$N$5015)-114+1),$N$16:$N$5015,0)))</f>
        <v/>
      </c>
      <c r="S118" s="113">
        <f>IF(114&gt;MAX($N$16:$N$5015),"",INDEX($F$16:$F$5015,MATCH((MAX($N$16:$N$5015)-114+1),$N$16:$N$5015,0)))</f>
        <v/>
      </c>
      <c r="T118" s="105">
        <f>IF(114&gt;MAX($N$16:$N$5015),"",IF(114&gt;MAX($N$16:$N$5015),"",INDEX($G$16:$G$5015,MATCH((MAX($N$16:$N$5015)-114+1),$N$16:$N$5015,0)))&amp;" › "&amp;IF(114&gt;MAX($N$16:$N$5015),"",INDEX($H$16:$H$5015,MATCH((MAX($N$16:$N$5015)-114+1),$N$16:$N$5015,0)))&amp;" › "&amp;IF(114&gt;MAX($N$16:$N$5015),"",INDEX($I$16:$I$5015,MATCH((MAX($N$16:$N$5015)-114+1),$N$16:$N$5015,0))))</f>
        <v/>
      </c>
      <c r="U118" s="105">
        <f>IF(114&gt;MAX($N$16:$N$5015),"",INDEX($J$16:$J$5015,MATCH((MAX($N$16:$N$5015)-114+1),$N$16:$N$5015,0)))&amp;IF(IF(114&gt;MAX($N$16:$N$5015),"",INDEX($L$16:$L$5015,MATCH((MAX($N$16:$N$5015)-114+1),$N$16:$N$5015,0)))="",""," ["&amp;IF(114&gt;MAX($N$16:$N$5015),"",INDEX($L$16:$L$5015,MATCH((MAX($N$16:$N$5015)-114+1),$N$16:$N$5015,0)))&amp;"]")</f>
        <v/>
      </c>
      <c r="V118" s="120">
        <f>IF(114&gt;MAX($N$16:$N$5015),"",HYPERLINK("#Transaksi!B"&amp;(MATCH((MAX($N$16:$N$5015)-114+1),$N$16:$N$5015,0)+15),"Buka"))</f>
        <v/>
      </c>
      <c r="X118" s="93">
        <f>IF(AND(B118&lt;&gt;"",B118&gt;='Buku Akun'!$H$4,B118&lt;='Buku Akun'!$H$5,OR(C118='Buku Akun'!$C$4,AND(D118="Pindah",E118='Buku Akun'!$C$4))),B118+IF(AND(I118="Selisih bunga",DAY(B118)=1),0,0.01)+ROW()/10000000,"")</f>
        <v/>
      </c>
    </row>
    <row r="119" outlineLevel="1" ht="15" customHeight="1" s="94">
      <c r="A119" s="123">
        <f>IF(B119="","",ROW()-15)</f>
        <v/>
      </c>
      <c r="B119" s="124" t="n"/>
      <c r="C119" s="123" t="n"/>
      <c r="D119" s="123" t="n"/>
      <c r="E119" s="123" t="n"/>
      <c r="F119" s="125" t="n"/>
      <c r="G119" s="123" t="n"/>
      <c r="H119" s="123" t="n"/>
      <c r="I119" s="123" t="n"/>
      <c r="J119" s="123" t="n"/>
      <c r="K119" s="123" t="n"/>
      <c r="L119" s="123" t="n"/>
      <c r="M119" s="123">
        <f>IF(AND(B119&lt;&gt;"",OR($C$4="",ISNUMBER(SEARCH($C$4,C119&amp;" "&amp;E119&amp;" "&amp;G119&amp;" "&amp;H119&amp;" "&amp;I119&amp;" "&amp;J119&amp;" "&amp;K119&amp;" "&amp;L119))),OR($C$5="Semua",$C$5="",G119=$C$5),OR($C$6="Semua",$C$6="",H119=$C$6,H119="Pengeluaran "&amp;$C$6,AND($C$6="Uang Kos Mama",H119="Pengeluaran Uang Kos")),OR($C$7="Semua",$C$7="",I119=$C$7),OR($C$8="Semua",$C$8="",C119=$C$8,E119=$C$8),OR($C$9="Semua",$C$9="",D119=$C$9),OR($C$10="",B119&gt;=$C$10),OR($C$11="",B119&lt;=$C$11),OR($C$12&lt;&gt;"Ya",K119&lt;&gt;""),OR($C$13="Semua",$C$13="",L119=$C$13)),"✓","")</f>
        <v/>
      </c>
      <c r="N119" s="93">
        <f>N(N118)+IF(M119="✓",1,0)</f>
        <v/>
      </c>
      <c r="O119" s="93">
        <f>N(O118)+IF(AND(B119&lt;&gt;"",B119&gt;='Uang Riba'!$H$30,B119&lt;='Uang Riba'!$I$30,OR(H119="Dana riba",H119="Pinjam uang riba",I119="Pinjam dari uang riba",I119="Ganti uang riba",I119="Kelebihan ganti dikembalikan",AND(C119="Kantong Uang Riba",G119="Pengeluaran"))),1,0)</f>
        <v/>
      </c>
      <c r="P119" s="119">
        <f>IF(115&gt;MAX($N$16:$N$5015),"",INDEX($B$16:$B$5015,MATCH((MAX($N$16:$N$5015)-115+1),$N$16:$N$5015,0)))</f>
        <v/>
      </c>
      <c r="Q119" s="105">
        <f>IF(115&gt;MAX($N$16:$N$5015),"",INDEX($C$16:$C$5015,MATCH((MAX($N$16:$N$5015)-115+1),$N$16:$N$5015,0)))&amp;IF(IF(115&gt;MAX($N$16:$N$5015),"",INDEX($E$16:$E$5015,MATCH((MAX($N$16:$N$5015)-115+1),$N$16:$N$5015,0)))="",""," → "&amp;IF(115&gt;MAX($N$16:$N$5015),"",INDEX($E$16:$E$5015,MATCH((MAX($N$16:$N$5015)-115+1),$N$16:$N$5015,0))))</f>
        <v/>
      </c>
      <c r="R119" s="105">
        <f>IF(115&gt;MAX($N$16:$N$5015),"",INDEX($D$16:$D$5015,MATCH((MAX($N$16:$N$5015)-115+1),$N$16:$N$5015,0)))</f>
        <v/>
      </c>
      <c r="S119" s="113">
        <f>IF(115&gt;MAX($N$16:$N$5015),"",INDEX($F$16:$F$5015,MATCH((MAX($N$16:$N$5015)-115+1),$N$16:$N$5015,0)))</f>
        <v/>
      </c>
      <c r="T119" s="105">
        <f>IF(115&gt;MAX($N$16:$N$5015),"",IF(115&gt;MAX($N$16:$N$5015),"",INDEX($G$16:$G$5015,MATCH((MAX($N$16:$N$5015)-115+1),$N$16:$N$5015,0)))&amp;" › "&amp;IF(115&gt;MAX($N$16:$N$5015),"",INDEX($H$16:$H$5015,MATCH((MAX($N$16:$N$5015)-115+1),$N$16:$N$5015,0)))&amp;" › "&amp;IF(115&gt;MAX($N$16:$N$5015),"",INDEX($I$16:$I$5015,MATCH((MAX($N$16:$N$5015)-115+1),$N$16:$N$5015,0))))</f>
        <v/>
      </c>
      <c r="U119" s="105">
        <f>IF(115&gt;MAX($N$16:$N$5015),"",INDEX($J$16:$J$5015,MATCH((MAX($N$16:$N$5015)-115+1),$N$16:$N$5015,0)))&amp;IF(IF(115&gt;MAX($N$16:$N$5015),"",INDEX($L$16:$L$5015,MATCH((MAX($N$16:$N$5015)-115+1),$N$16:$N$5015,0)))="",""," ["&amp;IF(115&gt;MAX($N$16:$N$5015),"",INDEX($L$16:$L$5015,MATCH((MAX($N$16:$N$5015)-115+1),$N$16:$N$5015,0)))&amp;"]")</f>
        <v/>
      </c>
      <c r="V119" s="120">
        <f>IF(115&gt;MAX($N$16:$N$5015),"",HYPERLINK("#Transaksi!B"&amp;(MATCH((MAX($N$16:$N$5015)-115+1),$N$16:$N$5015,0)+15),"Buka"))</f>
        <v/>
      </c>
      <c r="X119" s="93">
        <f>IF(AND(B119&lt;&gt;"",B119&gt;='Buku Akun'!$H$4,B119&lt;='Buku Akun'!$H$5,OR(C119='Buku Akun'!$C$4,AND(D119="Pindah",E119='Buku Akun'!$C$4))),B119+IF(AND(I119="Selisih bunga",DAY(B119)=1),0,0.01)+ROW()/10000000,"")</f>
        <v/>
      </c>
    </row>
    <row r="120" outlineLevel="1" ht="15" customHeight="1" s="94">
      <c r="A120" s="123">
        <f>IF(B120="","",ROW()-15)</f>
        <v/>
      </c>
      <c r="B120" s="124" t="n"/>
      <c r="C120" s="123" t="n"/>
      <c r="D120" s="123" t="n"/>
      <c r="E120" s="123" t="n"/>
      <c r="F120" s="125" t="n"/>
      <c r="G120" s="123" t="n"/>
      <c r="H120" s="123" t="n"/>
      <c r="I120" s="123" t="n"/>
      <c r="J120" s="123" t="n"/>
      <c r="K120" s="123" t="n"/>
      <c r="L120" s="123" t="n"/>
      <c r="M120" s="123">
        <f>IF(AND(B120&lt;&gt;"",OR($C$4="",ISNUMBER(SEARCH($C$4,C120&amp;" "&amp;E120&amp;" "&amp;G120&amp;" "&amp;H120&amp;" "&amp;I120&amp;" "&amp;J120&amp;" "&amp;K120&amp;" "&amp;L120))),OR($C$5="Semua",$C$5="",G120=$C$5),OR($C$6="Semua",$C$6="",H120=$C$6,H120="Pengeluaran "&amp;$C$6,AND($C$6="Uang Kos Mama",H120="Pengeluaran Uang Kos")),OR($C$7="Semua",$C$7="",I120=$C$7),OR($C$8="Semua",$C$8="",C120=$C$8,E120=$C$8),OR($C$9="Semua",$C$9="",D120=$C$9),OR($C$10="",B120&gt;=$C$10),OR($C$11="",B120&lt;=$C$11),OR($C$12&lt;&gt;"Ya",K120&lt;&gt;""),OR($C$13="Semua",$C$13="",L120=$C$13)),"✓","")</f>
        <v/>
      </c>
      <c r="N120" s="93">
        <f>N(N119)+IF(M120="✓",1,0)</f>
        <v/>
      </c>
      <c r="O120" s="93">
        <f>N(O119)+IF(AND(B120&lt;&gt;"",B120&gt;='Uang Riba'!$H$30,B120&lt;='Uang Riba'!$I$30,OR(H120="Dana riba",H120="Pinjam uang riba",I120="Pinjam dari uang riba",I120="Ganti uang riba",I120="Kelebihan ganti dikembalikan",AND(C120="Kantong Uang Riba",G120="Pengeluaran"))),1,0)</f>
        <v/>
      </c>
      <c r="P120" s="119">
        <f>IF(116&gt;MAX($N$16:$N$5015),"",INDEX($B$16:$B$5015,MATCH((MAX($N$16:$N$5015)-116+1),$N$16:$N$5015,0)))</f>
        <v/>
      </c>
      <c r="Q120" s="105">
        <f>IF(116&gt;MAX($N$16:$N$5015),"",INDEX($C$16:$C$5015,MATCH((MAX($N$16:$N$5015)-116+1),$N$16:$N$5015,0)))&amp;IF(IF(116&gt;MAX($N$16:$N$5015),"",INDEX($E$16:$E$5015,MATCH((MAX($N$16:$N$5015)-116+1),$N$16:$N$5015,0)))="",""," → "&amp;IF(116&gt;MAX($N$16:$N$5015),"",INDEX($E$16:$E$5015,MATCH((MAX($N$16:$N$5015)-116+1),$N$16:$N$5015,0))))</f>
        <v/>
      </c>
      <c r="R120" s="105">
        <f>IF(116&gt;MAX($N$16:$N$5015),"",INDEX($D$16:$D$5015,MATCH((MAX($N$16:$N$5015)-116+1),$N$16:$N$5015,0)))</f>
        <v/>
      </c>
      <c r="S120" s="113">
        <f>IF(116&gt;MAX($N$16:$N$5015),"",INDEX($F$16:$F$5015,MATCH((MAX($N$16:$N$5015)-116+1),$N$16:$N$5015,0)))</f>
        <v/>
      </c>
      <c r="T120" s="105">
        <f>IF(116&gt;MAX($N$16:$N$5015),"",IF(116&gt;MAX($N$16:$N$5015),"",INDEX($G$16:$G$5015,MATCH((MAX($N$16:$N$5015)-116+1),$N$16:$N$5015,0)))&amp;" › "&amp;IF(116&gt;MAX($N$16:$N$5015),"",INDEX($H$16:$H$5015,MATCH((MAX($N$16:$N$5015)-116+1),$N$16:$N$5015,0)))&amp;" › "&amp;IF(116&gt;MAX($N$16:$N$5015),"",INDEX($I$16:$I$5015,MATCH((MAX($N$16:$N$5015)-116+1),$N$16:$N$5015,0))))</f>
        <v/>
      </c>
      <c r="U120" s="105">
        <f>IF(116&gt;MAX($N$16:$N$5015),"",INDEX($J$16:$J$5015,MATCH((MAX($N$16:$N$5015)-116+1),$N$16:$N$5015,0)))&amp;IF(IF(116&gt;MAX($N$16:$N$5015),"",INDEX($L$16:$L$5015,MATCH((MAX($N$16:$N$5015)-116+1),$N$16:$N$5015,0)))="",""," ["&amp;IF(116&gt;MAX($N$16:$N$5015),"",INDEX($L$16:$L$5015,MATCH((MAX($N$16:$N$5015)-116+1),$N$16:$N$5015,0)))&amp;"]")</f>
        <v/>
      </c>
      <c r="V120" s="120">
        <f>IF(116&gt;MAX($N$16:$N$5015),"",HYPERLINK("#Transaksi!B"&amp;(MATCH((MAX($N$16:$N$5015)-116+1),$N$16:$N$5015,0)+15),"Buka"))</f>
        <v/>
      </c>
      <c r="X120" s="93">
        <f>IF(AND(B120&lt;&gt;"",B120&gt;='Buku Akun'!$H$4,B120&lt;='Buku Akun'!$H$5,OR(C120='Buku Akun'!$C$4,AND(D120="Pindah",E120='Buku Akun'!$C$4))),B120+IF(AND(I120="Selisih bunga",DAY(B120)=1),0,0.01)+ROW()/10000000,"")</f>
        <v/>
      </c>
    </row>
    <row r="121" outlineLevel="1" ht="15" customHeight="1" s="94">
      <c r="A121" s="123">
        <f>IF(B121="","",ROW()-15)</f>
        <v/>
      </c>
      <c r="B121" s="124" t="n"/>
      <c r="C121" s="123" t="n"/>
      <c r="D121" s="123" t="n"/>
      <c r="E121" s="123" t="n"/>
      <c r="F121" s="125" t="n"/>
      <c r="G121" s="123" t="n"/>
      <c r="H121" s="123" t="n"/>
      <c r="I121" s="123" t="n"/>
      <c r="J121" s="123" t="n"/>
      <c r="K121" s="123" t="n"/>
      <c r="L121" s="123" t="n"/>
      <c r="M121" s="123">
        <f>IF(AND(B121&lt;&gt;"",OR($C$4="",ISNUMBER(SEARCH($C$4,C121&amp;" "&amp;E121&amp;" "&amp;G121&amp;" "&amp;H121&amp;" "&amp;I121&amp;" "&amp;J121&amp;" "&amp;K121&amp;" "&amp;L121))),OR($C$5="Semua",$C$5="",G121=$C$5),OR($C$6="Semua",$C$6="",H121=$C$6,H121="Pengeluaran "&amp;$C$6,AND($C$6="Uang Kos Mama",H121="Pengeluaran Uang Kos")),OR($C$7="Semua",$C$7="",I121=$C$7),OR($C$8="Semua",$C$8="",C121=$C$8,E121=$C$8),OR($C$9="Semua",$C$9="",D121=$C$9),OR($C$10="",B121&gt;=$C$10),OR($C$11="",B121&lt;=$C$11),OR($C$12&lt;&gt;"Ya",K121&lt;&gt;""),OR($C$13="Semua",$C$13="",L121=$C$13)),"✓","")</f>
        <v/>
      </c>
      <c r="N121" s="93">
        <f>N(N120)+IF(M121="✓",1,0)</f>
        <v/>
      </c>
      <c r="O121" s="93">
        <f>N(O120)+IF(AND(B121&lt;&gt;"",B121&gt;='Uang Riba'!$H$30,B121&lt;='Uang Riba'!$I$30,OR(H121="Dana riba",H121="Pinjam uang riba",I121="Pinjam dari uang riba",I121="Ganti uang riba",I121="Kelebihan ganti dikembalikan",AND(C121="Kantong Uang Riba",G121="Pengeluaran"))),1,0)</f>
        <v/>
      </c>
      <c r="P121" s="119">
        <f>IF(117&gt;MAX($N$16:$N$5015),"",INDEX($B$16:$B$5015,MATCH((MAX($N$16:$N$5015)-117+1),$N$16:$N$5015,0)))</f>
        <v/>
      </c>
      <c r="Q121" s="105">
        <f>IF(117&gt;MAX($N$16:$N$5015),"",INDEX($C$16:$C$5015,MATCH((MAX($N$16:$N$5015)-117+1),$N$16:$N$5015,0)))&amp;IF(IF(117&gt;MAX($N$16:$N$5015),"",INDEX($E$16:$E$5015,MATCH((MAX($N$16:$N$5015)-117+1),$N$16:$N$5015,0)))="",""," → "&amp;IF(117&gt;MAX($N$16:$N$5015),"",INDEX($E$16:$E$5015,MATCH((MAX($N$16:$N$5015)-117+1),$N$16:$N$5015,0))))</f>
        <v/>
      </c>
      <c r="R121" s="105">
        <f>IF(117&gt;MAX($N$16:$N$5015),"",INDEX($D$16:$D$5015,MATCH((MAX($N$16:$N$5015)-117+1),$N$16:$N$5015,0)))</f>
        <v/>
      </c>
      <c r="S121" s="113">
        <f>IF(117&gt;MAX($N$16:$N$5015),"",INDEX($F$16:$F$5015,MATCH((MAX($N$16:$N$5015)-117+1),$N$16:$N$5015,0)))</f>
        <v/>
      </c>
      <c r="T121" s="105">
        <f>IF(117&gt;MAX($N$16:$N$5015),"",IF(117&gt;MAX($N$16:$N$5015),"",INDEX($G$16:$G$5015,MATCH((MAX($N$16:$N$5015)-117+1),$N$16:$N$5015,0)))&amp;" › "&amp;IF(117&gt;MAX($N$16:$N$5015),"",INDEX($H$16:$H$5015,MATCH((MAX($N$16:$N$5015)-117+1),$N$16:$N$5015,0)))&amp;" › "&amp;IF(117&gt;MAX($N$16:$N$5015),"",INDEX($I$16:$I$5015,MATCH((MAX($N$16:$N$5015)-117+1),$N$16:$N$5015,0))))</f>
        <v/>
      </c>
      <c r="U121" s="105">
        <f>IF(117&gt;MAX($N$16:$N$5015),"",INDEX($J$16:$J$5015,MATCH((MAX($N$16:$N$5015)-117+1),$N$16:$N$5015,0)))&amp;IF(IF(117&gt;MAX($N$16:$N$5015),"",INDEX($L$16:$L$5015,MATCH((MAX($N$16:$N$5015)-117+1),$N$16:$N$5015,0)))="",""," ["&amp;IF(117&gt;MAX($N$16:$N$5015),"",INDEX($L$16:$L$5015,MATCH((MAX($N$16:$N$5015)-117+1),$N$16:$N$5015,0)))&amp;"]")</f>
        <v/>
      </c>
      <c r="V121" s="120">
        <f>IF(117&gt;MAX($N$16:$N$5015),"",HYPERLINK("#Transaksi!B"&amp;(MATCH((MAX($N$16:$N$5015)-117+1),$N$16:$N$5015,0)+15),"Buka"))</f>
        <v/>
      </c>
      <c r="X121" s="93">
        <f>IF(AND(B121&lt;&gt;"",B121&gt;='Buku Akun'!$H$4,B121&lt;='Buku Akun'!$H$5,OR(C121='Buku Akun'!$C$4,AND(D121="Pindah",E121='Buku Akun'!$C$4))),B121+IF(AND(I121="Selisih bunga",DAY(B121)=1),0,0.01)+ROW()/10000000,"")</f>
        <v/>
      </c>
    </row>
    <row r="122" outlineLevel="1" ht="15" customHeight="1" s="94">
      <c r="A122" s="123">
        <f>IF(B122="","",ROW()-15)</f>
        <v/>
      </c>
      <c r="B122" s="124" t="n"/>
      <c r="C122" s="123" t="n"/>
      <c r="D122" s="123" t="n"/>
      <c r="E122" s="123" t="n"/>
      <c r="F122" s="125" t="n"/>
      <c r="G122" s="123" t="n"/>
      <c r="H122" s="123" t="n"/>
      <c r="I122" s="123" t="n"/>
      <c r="J122" s="123" t="n"/>
      <c r="K122" s="123" t="n"/>
      <c r="L122" s="123" t="n"/>
      <c r="M122" s="123">
        <f>IF(AND(B122&lt;&gt;"",OR($C$4="",ISNUMBER(SEARCH($C$4,C122&amp;" "&amp;E122&amp;" "&amp;G122&amp;" "&amp;H122&amp;" "&amp;I122&amp;" "&amp;J122&amp;" "&amp;K122&amp;" "&amp;L122))),OR($C$5="Semua",$C$5="",G122=$C$5),OR($C$6="Semua",$C$6="",H122=$C$6,H122="Pengeluaran "&amp;$C$6,AND($C$6="Uang Kos Mama",H122="Pengeluaran Uang Kos")),OR($C$7="Semua",$C$7="",I122=$C$7),OR($C$8="Semua",$C$8="",C122=$C$8,E122=$C$8),OR($C$9="Semua",$C$9="",D122=$C$9),OR($C$10="",B122&gt;=$C$10),OR($C$11="",B122&lt;=$C$11),OR($C$12&lt;&gt;"Ya",K122&lt;&gt;""),OR($C$13="Semua",$C$13="",L122=$C$13)),"✓","")</f>
        <v/>
      </c>
      <c r="N122" s="93">
        <f>N(N121)+IF(M122="✓",1,0)</f>
        <v/>
      </c>
      <c r="O122" s="93">
        <f>N(O121)+IF(AND(B122&lt;&gt;"",B122&gt;='Uang Riba'!$H$30,B122&lt;='Uang Riba'!$I$30,OR(H122="Dana riba",H122="Pinjam uang riba",I122="Pinjam dari uang riba",I122="Ganti uang riba",I122="Kelebihan ganti dikembalikan",AND(C122="Kantong Uang Riba",G122="Pengeluaran"))),1,0)</f>
        <v/>
      </c>
      <c r="P122" s="119">
        <f>IF(118&gt;MAX($N$16:$N$5015),"",INDEX($B$16:$B$5015,MATCH((MAX($N$16:$N$5015)-118+1),$N$16:$N$5015,0)))</f>
        <v/>
      </c>
      <c r="Q122" s="105">
        <f>IF(118&gt;MAX($N$16:$N$5015),"",INDEX($C$16:$C$5015,MATCH((MAX($N$16:$N$5015)-118+1),$N$16:$N$5015,0)))&amp;IF(IF(118&gt;MAX($N$16:$N$5015),"",INDEX($E$16:$E$5015,MATCH((MAX($N$16:$N$5015)-118+1),$N$16:$N$5015,0)))="",""," → "&amp;IF(118&gt;MAX($N$16:$N$5015),"",INDEX($E$16:$E$5015,MATCH((MAX($N$16:$N$5015)-118+1),$N$16:$N$5015,0))))</f>
        <v/>
      </c>
      <c r="R122" s="105">
        <f>IF(118&gt;MAX($N$16:$N$5015),"",INDEX($D$16:$D$5015,MATCH((MAX($N$16:$N$5015)-118+1),$N$16:$N$5015,0)))</f>
        <v/>
      </c>
      <c r="S122" s="113">
        <f>IF(118&gt;MAX($N$16:$N$5015),"",INDEX($F$16:$F$5015,MATCH((MAX($N$16:$N$5015)-118+1),$N$16:$N$5015,0)))</f>
        <v/>
      </c>
      <c r="T122" s="105">
        <f>IF(118&gt;MAX($N$16:$N$5015),"",IF(118&gt;MAX($N$16:$N$5015),"",INDEX($G$16:$G$5015,MATCH((MAX($N$16:$N$5015)-118+1),$N$16:$N$5015,0)))&amp;" › "&amp;IF(118&gt;MAX($N$16:$N$5015),"",INDEX($H$16:$H$5015,MATCH((MAX($N$16:$N$5015)-118+1),$N$16:$N$5015,0)))&amp;" › "&amp;IF(118&gt;MAX($N$16:$N$5015),"",INDEX($I$16:$I$5015,MATCH((MAX($N$16:$N$5015)-118+1),$N$16:$N$5015,0))))</f>
        <v/>
      </c>
      <c r="U122" s="105">
        <f>IF(118&gt;MAX($N$16:$N$5015),"",INDEX($J$16:$J$5015,MATCH((MAX($N$16:$N$5015)-118+1),$N$16:$N$5015,0)))&amp;IF(IF(118&gt;MAX($N$16:$N$5015),"",INDEX($L$16:$L$5015,MATCH((MAX($N$16:$N$5015)-118+1),$N$16:$N$5015,0)))="",""," ["&amp;IF(118&gt;MAX($N$16:$N$5015),"",INDEX($L$16:$L$5015,MATCH((MAX($N$16:$N$5015)-118+1),$N$16:$N$5015,0)))&amp;"]")</f>
        <v/>
      </c>
      <c r="V122" s="120">
        <f>IF(118&gt;MAX($N$16:$N$5015),"",HYPERLINK("#Transaksi!B"&amp;(MATCH((MAX($N$16:$N$5015)-118+1),$N$16:$N$5015,0)+15),"Buka"))</f>
        <v/>
      </c>
      <c r="X122" s="93">
        <f>IF(AND(B122&lt;&gt;"",B122&gt;='Buku Akun'!$H$4,B122&lt;='Buku Akun'!$H$5,OR(C122='Buku Akun'!$C$4,AND(D122="Pindah",E122='Buku Akun'!$C$4))),B122+IF(AND(I122="Selisih bunga",DAY(B122)=1),0,0.01)+ROW()/10000000,"")</f>
        <v/>
      </c>
    </row>
    <row r="123" outlineLevel="1" ht="15" customHeight="1" s="94">
      <c r="A123" s="123">
        <f>IF(B123="","",ROW()-15)</f>
        <v/>
      </c>
      <c r="B123" s="124" t="n"/>
      <c r="C123" s="123" t="n"/>
      <c r="D123" s="123" t="n"/>
      <c r="E123" s="123" t="n"/>
      <c r="F123" s="125" t="n"/>
      <c r="G123" s="123" t="n"/>
      <c r="H123" s="123" t="n"/>
      <c r="I123" s="123" t="n"/>
      <c r="J123" s="123" t="n"/>
      <c r="K123" s="123" t="n"/>
      <c r="L123" s="123" t="n"/>
      <c r="M123" s="123">
        <f>IF(AND(B123&lt;&gt;"",OR($C$4="",ISNUMBER(SEARCH($C$4,C123&amp;" "&amp;E123&amp;" "&amp;G123&amp;" "&amp;H123&amp;" "&amp;I123&amp;" "&amp;J123&amp;" "&amp;K123&amp;" "&amp;L123))),OR($C$5="Semua",$C$5="",G123=$C$5),OR($C$6="Semua",$C$6="",H123=$C$6,H123="Pengeluaran "&amp;$C$6,AND($C$6="Uang Kos Mama",H123="Pengeluaran Uang Kos")),OR($C$7="Semua",$C$7="",I123=$C$7),OR($C$8="Semua",$C$8="",C123=$C$8,E123=$C$8),OR($C$9="Semua",$C$9="",D123=$C$9),OR($C$10="",B123&gt;=$C$10),OR($C$11="",B123&lt;=$C$11),OR($C$12&lt;&gt;"Ya",K123&lt;&gt;""),OR($C$13="Semua",$C$13="",L123=$C$13)),"✓","")</f>
        <v/>
      </c>
      <c r="N123" s="93">
        <f>N(N122)+IF(M123="✓",1,0)</f>
        <v/>
      </c>
      <c r="O123" s="93">
        <f>N(O122)+IF(AND(B123&lt;&gt;"",B123&gt;='Uang Riba'!$H$30,B123&lt;='Uang Riba'!$I$30,OR(H123="Dana riba",H123="Pinjam uang riba",I123="Pinjam dari uang riba",I123="Ganti uang riba",I123="Kelebihan ganti dikembalikan",AND(C123="Kantong Uang Riba",G123="Pengeluaran"))),1,0)</f>
        <v/>
      </c>
      <c r="P123" s="119">
        <f>IF(119&gt;MAX($N$16:$N$5015),"",INDEX($B$16:$B$5015,MATCH((MAX($N$16:$N$5015)-119+1),$N$16:$N$5015,0)))</f>
        <v/>
      </c>
      <c r="Q123" s="105">
        <f>IF(119&gt;MAX($N$16:$N$5015),"",INDEX($C$16:$C$5015,MATCH((MAX($N$16:$N$5015)-119+1),$N$16:$N$5015,0)))&amp;IF(IF(119&gt;MAX($N$16:$N$5015),"",INDEX($E$16:$E$5015,MATCH((MAX($N$16:$N$5015)-119+1),$N$16:$N$5015,0)))="",""," → "&amp;IF(119&gt;MAX($N$16:$N$5015),"",INDEX($E$16:$E$5015,MATCH((MAX($N$16:$N$5015)-119+1),$N$16:$N$5015,0))))</f>
        <v/>
      </c>
      <c r="R123" s="105">
        <f>IF(119&gt;MAX($N$16:$N$5015),"",INDEX($D$16:$D$5015,MATCH((MAX($N$16:$N$5015)-119+1),$N$16:$N$5015,0)))</f>
        <v/>
      </c>
      <c r="S123" s="113">
        <f>IF(119&gt;MAX($N$16:$N$5015),"",INDEX($F$16:$F$5015,MATCH((MAX($N$16:$N$5015)-119+1),$N$16:$N$5015,0)))</f>
        <v/>
      </c>
      <c r="T123" s="105">
        <f>IF(119&gt;MAX($N$16:$N$5015),"",IF(119&gt;MAX($N$16:$N$5015),"",INDEX($G$16:$G$5015,MATCH((MAX($N$16:$N$5015)-119+1),$N$16:$N$5015,0)))&amp;" › "&amp;IF(119&gt;MAX($N$16:$N$5015),"",INDEX($H$16:$H$5015,MATCH((MAX($N$16:$N$5015)-119+1),$N$16:$N$5015,0)))&amp;" › "&amp;IF(119&gt;MAX($N$16:$N$5015),"",INDEX($I$16:$I$5015,MATCH((MAX($N$16:$N$5015)-119+1),$N$16:$N$5015,0))))</f>
        <v/>
      </c>
      <c r="U123" s="105">
        <f>IF(119&gt;MAX($N$16:$N$5015),"",INDEX($J$16:$J$5015,MATCH((MAX($N$16:$N$5015)-119+1),$N$16:$N$5015,0)))&amp;IF(IF(119&gt;MAX($N$16:$N$5015),"",INDEX($L$16:$L$5015,MATCH((MAX($N$16:$N$5015)-119+1),$N$16:$N$5015,0)))="",""," ["&amp;IF(119&gt;MAX($N$16:$N$5015),"",INDEX($L$16:$L$5015,MATCH((MAX($N$16:$N$5015)-119+1),$N$16:$N$5015,0)))&amp;"]")</f>
        <v/>
      </c>
      <c r="V123" s="120">
        <f>IF(119&gt;MAX($N$16:$N$5015),"",HYPERLINK("#Transaksi!B"&amp;(MATCH((MAX($N$16:$N$5015)-119+1),$N$16:$N$5015,0)+15),"Buka"))</f>
        <v/>
      </c>
      <c r="X123" s="93">
        <f>IF(AND(B123&lt;&gt;"",B123&gt;='Buku Akun'!$H$4,B123&lt;='Buku Akun'!$H$5,OR(C123='Buku Akun'!$C$4,AND(D123="Pindah",E123='Buku Akun'!$C$4))),B123+IF(AND(I123="Selisih bunga",DAY(B123)=1),0,0.01)+ROW()/10000000,"")</f>
        <v/>
      </c>
    </row>
    <row r="124" outlineLevel="1" ht="15" customHeight="1" s="94">
      <c r="A124" s="123">
        <f>IF(B124="","",ROW()-15)</f>
        <v/>
      </c>
      <c r="B124" s="124" t="n"/>
      <c r="C124" s="123" t="n"/>
      <c r="D124" s="123" t="n"/>
      <c r="E124" s="123" t="n"/>
      <c r="F124" s="125" t="n"/>
      <c r="G124" s="123" t="n"/>
      <c r="H124" s="123" t="n"/>
      <c r="I124" s="123" t="n"/>
      <c r="J124" s="123" t="n"/>
      <c r="K124" s="123" t="n"/>
      <c r="L124" s="123" t="n"/>
      <c r="M124" s="123">
        <f>IF(AND(B124&lt;&gt;"",OR($C$4="",ISNUMBER(SEARCH($C$4,C124&amp;" "&amp;E124&amp;" "&amp;G124&amp;" "&amp;H124&amp;" "&amp;I124&amp;" "&amp;J124&amp;" "&amp;K124&amp;" "&amp;L124))),OR($C$5="Semua",$C$5="",G124=$C$5),OR($C$6="Semua",$C$6="",H124=$C$6,H124="Pengeluaran "&amp;$C$6,AND($C$6="Uang Kos Mama",H124="Pengeluaran Uang Kos")),OR($C$7="Semua",$C$7="",I124=$C$7),OR($C$8="Semua",$C$8="",C124=$C$8,E124=$C$8),OR($C$9="Semua",$C$9="",D124=$C$9),OR($C$10="",B124&gt;=$C$10),OR($C$11="",B124&lt;=$C$11),OR($C$12&lt;&gt;"Ya",K124&lt;&gt;""),OR($C$13="Semua",$C$13="",L124=$C$13)),"✓","")</f>
        <v/>
      </c>
      <c r="N124" s="93">
        <f>N(N123)+IF(M124="✓",1,0)</f>
        <v/>
      </c>
      <c r="O124" s="93">
        <f>N(O123)+IF(AND(B124&lt;&gt;"",B124&gt;='Uang Riba'!$H$30,B124&lt;='Uang Riba'!$I$30,OR(H124="Dana riba",H124="Pinjam uang riba",I124="Pinjam dari uang riba",I124="Ganti uang riba",I124="Kelebihan ganti dikembalikan",AND(C124="Kantong Uang Riba",G124="Pengeluaran"))),1,0)</f>
        <v/>
      </c>
      <c r="P124" s="119">
        <f>IF(120&gt;MAX($N$16:$N$5015),"",INDEX($B$16:$B$5015,MATCH((MAX($N$16:$N$5015)-120+1),$N$16:$N$5015,0)))</f>
        <v/>
      </c>
      <c r="Q124" s="105">
        <f>IF(120&gt;MAX($N$16:$N$5015),"",INDEX($C$16:$C$5015,MATCH((MAX($N$16:$N$5015)-120+1),$N$16:$N$5015,0)))&amp;IF(IF(120&gt;MAX($N$16:$N$5015),"",INDEX($E$16:$E$5015,MATCH((MAX($N$16:$N$5015)-120+1),$N$16:$N$5015,0)))="",""," → "&amp;IF(120&gt;MAX($N$16:$N$5015),"",INDEX($E$16:$E$5015,MATCH((MAX($N$16:$N$5015)-120+1),$N$16:$N$5015,0))))</f>
        <v/>
      </c>
      <c r="R124" s="105">
        <f>IF(120&gt;MAX($N$16:$N$5015),"",INDEX($D$16:$D$5015,MATCH((MAX($N$16:$N$5015)-120+1),$N$16:$N$5015,0)))</f>
        <v/>
      </c>
      <c r="S124" s="113">
        <f>IF(120&gt;MAX($N$16:$N$5015),"",INDEX($F$16:$F$5015,MATCH((MAX($N$16:$N$5015)-120+1),$N$16:$N$5015,0)))</f>
        <v/>
      </c>
      <c r="T124" s="105">
        <f>IF(120&gt;MAX($N$16:$N$5015),"",IF(120&gt;MAX($N$16:$N$5015),"",INDEX($G$16:$G$5015,MATCH((MAX($N$16:$N$5015)-120+1),$N$16:$N$5015,0)))&amp;" › "&amp;IF(120&gt;MAX($N$16:$N$5015),"",INDEX($H$16:$H$5015,MATCH((MAX($N$16:$N$5015)-120+1),$N$16:$N$5015,0)))&amp;" › "&amp;IF(120&gt;MAX($N$16:$N$5015),"",INDEX($I$16:$I$5015,MATCH((MAX($N$16:$N$5015)-120+1),$N$16:$N$5015,0))))</f>
        <v/>
      </c>
      <c r="U124" s="105">
        <f>IF(120&gt;MAX($N$16:$N$5015),"",INDEX($J$16:$J$5015,MATCH((MAX($N$16:$N$5015)-120+1),$N$16:$N$5015,0)))&amp;IF(IF(120&gt;MAX($N$16:$N$5015),"",INDEX($L$16:$L$5015,MATCH((MAX($N$16:$N$5015)-120+1),$N$16:$N$5015,0)))="",""," ["&amp;IF(120&gt;MAX($N$16:$N$5015),"",INDEX($L$16:$L$5015,MATCH((MAX($N$16:$N$5015)-120+1),$N$16:$N$5015,0)))&amp;"]")</f>
        <v/>
      </c>
      <c r="V124" s="120">
        <f>IF(120&gt;MAX($N$16:$N$5015),"",HYPERLINK("#Transaksi!B"&amp;(MATCH((MAX($N$16:$N$5015)-120+1),$N$16:$N$5015,0)+15),"Buka"))</f>
        <v/>
      </c>
      <c r="X124" s="93">
        <f>IF(AND(B124&lt;&gt;"",B124&gt;='Buku Akun'!$H$4,B124&lt;='Buku Akun'!$H$5,OR(C124='Buku Akun'!$C$4,AND(D124="Pindah",E124='Buku Akun'!$C$4))),B124+IF(AND(I124="Selisih bunga",DAY(B124)=1),0,0.01)+ROW()/10000000,"")</f>
        <v/>
      </c>
    </row>
    <row r="125" outlineLevel="1" ht="15" customHeight="1" s="94">
      <c r="A125" s="123">
        <f>IF(B125="","",ROW()-15)</f>
        <v/>
      </c>
      <c r="B125" s="124" t="n"/>
      <c r="C125" s="123" t="n"/>
      <c r="D125" s="123" t="n"/>
      <c r="E125" s="123" t="n"/>
      <c r="F125" s="125" t="n"/>
      <c r="G125" s="123" t="n"/>
      <c r="H125" s="123" t="n"/>
      <c r="I125" s="123" t="n"/>
      <c r="J125" s="123" t="n"/>
      <c r="K125" s="123" t="n"/>
      <c r="L125" s="123" t="n"/>
      <c r="M125" s="123">
        <f>IF(AND(B125&lt;&gt;"",OR($C$4="",ISNUMBER(SEARCH($C$4,C125&amp;" "&amp;E125&amp;" "&amp;G125&amp;" "&amp;H125&amp;" "&amp;I125&amp;" "&amp;J125&amp;" "&amp;K125&amp;" "&amp;L125))),OR($C$5="Semua",$C$5="",G125=$C$5),OR($C$6="Semua",$C$6="",H125=$C$6,H125="Pengeluaran "&amp;$C$6,AND($C$6="Uang Kos Mama",H125="Pengeluaran Uang Kos")),OR($C$7="Semua",$C$7="",I125=$C$7),OR($C$8="Semua",$C$8="",C125=$C$8,E125=$C$8),OR($C$9="Semua",$C$9="",D125=$C$9),OR($C$10="",B125&gt;=$C$10),OR($C$11="",B125&lt;=$C$11),OR($C$12&lt;&gt;"Ya",K125&lt;&gt;""),OR($C$13="Semua",$C$13="",L125=$C$13)),"✓","")</f>
        <v/>
      </c>
      <c r="N125" s="93">
        <f>N(N124)+IF(M125="✓",1,0)</f>
        <v/>
      </c>
      <c r="O125" s="93">
        <f>N(O124)+IF(AND(B125&lt;&gt;"",B125&gt;='Uang Riba'!$H$30,B125&lt;='Uang Riba'!$I$30,OR(H125="Dana riba",H125="Pinjam uang riba",I125="Pinjam dari uang riba",I125="Ganti uang riba",I125="Kelebihan ganti dikembalikan",AND(C125="Kantong Uang Riba",G125="Pengeluaran"))),1,0)</f>
        <v/>
      </c>
      <c r="P125" s="119">
        <f>IF(121&gt;MAX($N$16:$N$5015),"",INDEX($B$16:$B$5015,MATCH((MAX($N$16:$N$5015)-121+1),$N$16:$N$5015,0)))</f>
        <v/>
      </c>
      <c r="Q125" s="105">
        <f>IF(121&gt;MAX($N$16:$N$5015),"",INDEX($C$16:$C$5015,MATCH((MAX($N$16:$N$5015)-121+1),$N$16:$N$5015,0)))&amp;IF(IF(121&gt;MAX($N$16:$N$5015),"",INDEX($E$16:$E$5015,MATCH((MAX($N$16:$N$5015)-121+1),$N$16:$N$5015,0)))="",""," → "&amp;IF(121&gt;MAX($N$16:$N$5015),"",INDEX($E$16:$E$5015,MATCH((MAX($N$16:$N$5015)-121+1),$N$16:$N$5015,0))))</f>
        <v/>
      </c>
      <c r="R125" s="105">
        <f>IF(121&gt;MAX($N$16:$N$5015),"",INDEX($D$16:$D$5015,MATCH((MAX($N$16:$N$5015)-121+1),$N$16:$N$5015,0)))</f>
        <v/>
      </c>
      <c r="S125" s="113">
        <f>IF(121&gt;MAX($N$16:$N$5015),"",INDEX($F$16:$F$5015,MATCH((MAX($N$16:$N$5015)-121+1),$N$16:$N$5015,0)))</f>
        <v/>
      </c>
      <c r="T125" s="105">
        <f>IF(121&gt;MAX($N$16:$N$5015),"",IF(121&gt;MAX($N$16:$N$5015),"",INDEX($G$16:$G$5015,MATCH((MAX($N$16:$N$5015)-121+1),$N$16:$N$5015,0)))&amp;" › "&amp;IF(121&gt;MAX($N$16:$N$5015),"",INDEX($H$16:$H$5015,MATCH((MAX($N$16:$N$5015)-121+1),$N$16:$N$5015,0)))&amp;" › "&amp;IF(121&gt;MAX($N$16:$N$5015),"",INDEX($I$16:$I$5015,MATCH((MAX($N$16:$N$5015)-121+1),$N$16:$N$5015,0))))</f>
        <v/>
      </c>
      <c r="U125" s="105">
        <f>IF(121&gt;MAX($N$16:$N$5015),"",INDEX($J$16:$J$5015,MATCH((MAX($N$16:$N$5015)-121+1),$N$16:$N$5015,0)))&amp;IF(IF(121&gt;MAX($N$16:$N$5015),"",INDEX($L$16:$L$5015,MATCH((MAX($N$16:$N$5015)-121+1),$N$16:$N$5015,0)))="",""," ["&amp;IF(121&gt;MAX($N$16:$N$5015),"",INDEX($L$16:$L$5015,MATCH((MAX($N$16:$N$5015)-121+1),$N$16:$N$5015,0)))&amp;"]")</f>
        <v/>
      </c>
      <c r="V125" s="120">
        <f>IF(121&gt;MAX($N$16:$N$5015),"",HYPERLINK("#Transaksi!B"&amp;(MATCH((MAX($N$16:$N$5015)-121+1),$N$16:$N$5015,0)+15),"Buka"))</f>
        <v/>
      </c>
      <c r="X125" s="93">
        <f>IF(AND(B125&lt;&gt;"",B125&gt;='Buku Akun'!$H$4,B125&lt;='Buku Akun'!$H$5,OR(C125='Buku Akun'!$C$4,AND(D125="Pindah",E125='Buku Akun'!$C$4))),B125+IF(AND(I125="Selisih bunga",DAY(B125)=1),0,0.01)+ROW()/10000000,"")</f>
        <v/>
      </c>
    </row>
    <row r="126" outlineLevel="1" ht="15" customHeight="1" s="94">
      <c r="A126" s="123">
        <f>IF(B126="","",ROW()-15)</f>
        <v/>
      </c>
      <c r="B126" s="124" t="n"/>
      <c r="C126" s="123" t="n"/>
      <c r="D126" s="123" t="n"/>
      <c r="E126" s="123" t="n"/>
      <c r="F126" s="125" t="n"/>
      <c r="G126" s="123" t="n"/>
      <c r="H126" s="123" t="n"/>
      <c r="I126" s="123" t="n"/>
      <c r="J126" s="123" t="n"/>
      <c r="K126" s="123" t="n"/>
      <c r="L126" s="123" t="n"/>
      <c r="M126" s="123">
        <f>IF(AND(B126&lt;&gt;"",OR($C$4="",ISNUMBER(SEARCH($C$4,C126&amp;" "&amp;E126&amp;" "&amp;G126&amp;" "&amp;H126&amp;" "&amp;I126&amp;" "&amp;J126&amp;" "&amp;K126&amp;" "&amp;L126))),OR($C$5="Semua",$C$5="",G126=$C$5),OR($C$6="Semua",$C$6="",H126=$C$6,H126="Pengeluaran "&amp;$C$6,AND($C$6="Uang Kos Mama",H126="Pengeluaran Uang Kos")),OR($C$7="Semua",$C$7="",I126=$C$7),OR($C$8="Semua",$C$8="",C126=$C$8,E126=$C$8),OR($C$9="Semua",$C$9="",D126=$C$9),OR($C$10="",B126&gt;=$C$10),OR($C$11="",B126&lt;=$C$11),OR($C$12&lt;&gt;"Ya",K126&lt;&gt;""),OR($C$13="Semua",$C$13="",L126=$C$13)),"✓","")</f>
        <v/>
      </c>
      <c r="N126" s="93">
        <f>N(N125)+IF(M126="✓",1,0)</f>
        <v/>
      </c>
      <c r="O126" s="93">
        <f>N(O125)+IF(AND(B126&lt;&gt;"",B126&gt;='Uang Riba'!$H$30,B126&lt;='Uang Riba'!$I$30,OR(H126="Dana riba",H126="Pinjam uang riba",I126="Pinjam dari uang riba",I126="Ganti uang riba",I126="Kelebihan ganti dikembalikan",AND(C126="Kantong Uang Riba",G126="Pengeluaran"))),1,0)</f>
        <v/>
      </c>
      <c r="P126" s="119">
        <f>IF(122&gt;MAX($N$16:$N$5015),"",INDEX($B$16:$B$5015,MATCH((MAX($N$16:$N$5015)-122+1),$N$16:$N$5015,0)))</f>
        <v/>
      </c>
      <c r="Q126" s="105">
        <f>IF(122&gt;MAX($N$16:$N$5015),"",INDEX($C$16:$C$5015,MATCH((MAX($N$16:$N$5015)-122+1),$N$16:$N$5015,0)))&amp;IF(IF(122&gt;MAX($N$16:$N$5015),"",INDEX($E$16:$E$5015,MATCH((MAX($N$16:$N$5015)-122+1),$N$16:$N$5015,0)))="",""," → "&amp;IF(122&gt;MAX($N$16:$N$5015),"",INDEX($E$16:$E$5015,MATCH((MAX($N$16:$N$5015)-122+1),$N$16:$N$5015,0))))</f>
        <v/>
      </c>
      <c r="R126" s="105">
        <f>IF(122&gt;MAX($N$16:$N$5015),"",INDEX($D$16:$D$5015,MATCH((MAX($N$16:$N$5015)-122+1),$N$16:$N$5015,0)))</f>
        <v/>
      </c>
      <c r="S126" s="113">
        <f>IF(122&gt;MAX($N$16:$N$5015),"",INDEX($F$16:$F$5015,MATCH((MAX($N$16:$N$5015)-122+1),$N$16:$N$5015,0)))</f>
        <v/>
      </c>
      <c r="T126" s="105">
        <f>IF(122&gt;MAX($N$16:$N$5015),"",IF(122&gt;MAX($N$16:$N$5015),"",INDEX($G$16:$G$5015,MATCH((MAX($N$16:$N$5015)-122+1),$N$16:$N$5015,0)))&amp;" › "&amp;IF(122&gt;MAX($N$16:$N$5015),"",INDEX($H$16:$H$5015,MATCH((MAX($N$16:$N$5015)-122+1),$N$16:$N$5015,0)))&amp;" › "&amp;IF(122&gt;MAX($N$16:$N$5015),"",INDEX($I$16:$I$5015,MATCH((MAX($N$16:$N$5015)-122+1),$N$16:$N$5015,0))))</f>
        <v/>
      </c>
      <c r="U126" s="105">
        <f>IF(122&gt;MAX($N$16:$N$5015),"",INDEX($J$16:$J$5015,MATCH((MAX($N$16:$N$5015)-122+1),$N$16:$N$5015,0)))&amp;IF(IF(122&gt;MAX($N$16:$N$5015),"",INDEX($L$16:$L$5015,MATCH((MAX($N$16:$N$5015)-122+1),$N$16:$N$5015,0)))="",""," ["&amp;IF(122&gt;MAX($N$16:$N$5015),"",INDEX($L$16:$L$5015,MATCH((MAX($N$16:$N$5015)-122+1),$N$16:$N$5015,0)))&amp;"]")</f>
        <v/>
      </c>
      <c r="V126" s="120">
        <f>IF(122&gt;MAX($N$16:$N$5015),"",HYPERLINK("#Transaksi!B"&amp;(MATCH((MAX($N$16:$N$5015)-122+1),$N$16:$N$5015,0)+15),"Buka"))</f>
        <v/>
      </c>
      <c r="X126" s="93">
        <f>IF(AND(B126&lt;&gt;"",B126&gt;='Buku Akun'!$H$4,B126&lt;='Buku Akun'!$H$5,OR(C126='Buku Akun'!$C$4,AND(D126="Pindah",E126='Buku Akun'!$C$4))),B126+IF(AND(I126="Selisih bunga",DAY(B126)=1),0,0.01)+ROW()/10000000,"")</f>
        <v/>
      </c>
    </row>
    <row r="127" outlineLevel="1" ht="15" customHeight="1" s="94">
      <c r="A127" s="123">
        <f>IF(B127="","",ROW()-15)</f>
        <v/>
      </c>
      <c r="B127" s="124" t="n"/>
      <c r="C127" s="123" t="n"/>
      <c r="D127" s="123" t="n"/>
      <c r="E127" s="123" t="n"/>
      <c r="F127" s="125" t="n"/>
      <c r="G127" s="123" t="n"/>
      <c r="H127" s="123" t="n"/>
      <c r="I127" s="123" t="n"/>
      <c r="J127" s="123" t="n"/>
      <c r="K127" s="123" t="n"/>
      <c r="L127" s="123" t="n"/>
      <c r="M127" s="123">
        <f>IF(AND(B127&lt;&gt;"",OR($C$4="",ISNUMBER(SEARCH($C$4,C127&amp;" "&amp;E127&amp;" "&amp;G127&amp;" "&amp;H127&amp;" "&amp;I127&amp;" "&amp;J127&amp;" "&amp;K127&amp;" "&amp;L127))),OR($C$5="Semua",$C$5="",G127=$C$5),OR($C$6="Semua",$C$6="",H127=$C$6,H127="Pengeluaran "&amp;$C$6,AND($C$6="Uang Kos Mama",H127="Pengeluaran Uang Kos")),OR($C$7="Semua",$C$7="",I127=$C$7),OR($C$8="Semua",$C$8="",C127=$C$8,E127=$C$8),OR($C$9="Semua",$C$9="",D127=$C$9),OR($C$10="",B127&gt;=$C$10),OR($C$11="",B127&lt;=$C$11),OR($C$12&lt;&gt;"Ya",K127&lt;&gt;""),OR($C$13="Semua",$C$13="",L127=$C$13)),"✓","")</f>
        <v/>
      </c>
      <c r="N127" s="93">
        <f>N(N126)+IF(M127="✓",1,0)</f>
        <v/>
      </c>
      <c r="O127" s="93">
        <f>N(O126)+IF(AND(B127&lt;&gt;"",B127&gt;='Uang Riba'!$H$30,B127&lt;='Uang Riba'!$I$30,OR(H127="Dana riba",H127="Pinjam uang riba",I127="Pinjam dari uang riba",I127="Ganti uang riba",I127="Kelebihan ganti dikembalikan",AND(C127="Kantong Uang Riba",G127="Pengeluaran"))),1,0)</f>
        <v/>
      </c>
      <c r="P127" s="119">
        <f>IF(123&gt;MAX($N$16:$N$5015),"",INDEX($B$16:$B$5015,MATCH((MAX($N$16:$N$5015)-123+1),$N$16:$N$5015,0)))</f>
        <v/>
      </c>
      <c r="Q127" s="105">
        <f>IF(123&gt;MAX($N$16:$N$5015),"",INDEX($C$16:$C$5015,MATCH((MAX($N$16:$N$5015)-123+1),$N$16:$N$5015,0)))&amp;IF(IF(123&gt;MAX($N$16:$N$5015),"",INDEX($E$16:$E$5015,MATCH((MAX($N$16:$N$5015)-123+1),$N$16:$N$5015,0)))="",""," → "&amp;IF(123&gt;MAX($N$16:$N$5015),"",INDEX($E$16:$E$5015,MATCH((MAX($N$16:$N$5015)-123+1),$N$16:$N$5015,0))))</f>
        <v/>
      </c>
      <c r="R127" s="105">
        <f>IF(123&gt;MAX($N$16:$N$5015),"",INDEX($D$16:$D$5015,MATCH((MAX($N$16:$N$5015)-123+1),$N$16:$N$5015,0)))</f>
        <v/>
      </c>
      <c r="S127" s="113">
        <f>IF(123&gt;MAX($N$16:$N$5015),"",INDEX($F$16:$F$5015,MATCH((MAX($N$16:$N$5015)-123+1),$N$16:$N$5015,0)))</f>
        <v/>
      </c>
      <c r="T127" s="105">
        <f>IF(123&gt;MAX($N$16:$N$5015),"",IF(123&gt;MAX($N$16:$N$5015),"",INDEX($G$16:$G$5015,MATCH((MAX($N$16:$N$5015)-123+1),$N$16:$N$5015,0)))&amp;" › "&amp;IF(123&gt;MAX($N$16:$N$5015),"",INDEX($H$16:$H$5015,MATCH((MAX($N$16:$N$5015)-123+1),$N$16:$N$5015,0)))&amp;" › "&amp;IF(123&gt;MAX($N$16:$N$5015),"",INDEX($I$16:$I$5015,MATCH((MAX($N$16:$N$5015)-123+1),$N$16:$N$5015,0))))</f>
        <v/>
      </c>
      <c r="U127" s="105">
        <f>IF(123&gt;MAX($N$16:$N$5015),"",INDEX($J$16:$J$5015,MATCH((MAX($N$16:$N$5015)-123+1),$N$16:$N$5015,0)))&amp;IF(IF(123&gt;MAX($N$16:$N$5015),"",INDEX($L$16:$L$5015,MATCH((MAX($N$16:$N$5015)-123+1),$N$16:$N$5015,0)))="",""," ["&amp;IF(123&gt;MAX($N$16:$N$5015),"",INDEX($L$16:$L$5015,MATCH((MAX($N$16:$N$5015)-123+1),$N$16:$N$5015,0)))&amp;"]")</f>
        <v/>
      </c>
      <c r="V127" s="120">
        <f>IF(123&gt;MAX($N$16:$N$5015),"",HYPERLINK("#Transaksi!B"&amp;(MATCH((MAX($N$16:$N$5015)-123+1),$N$16:$N$5015,0)+15),"Buka"))</f>
        <v/>
      </c>
      <c r="X127" s="93">
        <f>IF(AND(B127&lt;&gt;"",B127&gt;='Buku Akun'!$H$4,B127&lt;='Buku Akun'!$H$5,OR(C127='Buku Akun'!$C$4,AND(D127="Pindah",E127='Buku Akun'!$C$4))),B127+IF(AND(I127="Selisih bunga",DAY(B127)=1),0,0.01)+ROW()/10000000,"")</f>
        <v/>
      </c>
    </row>
    <row r="128" outlineLevel="1" ht="15" customHeight="1" s="94">
      <c r="A128" s="123">
        <f>IF(B128="","",ROW()-15)</f>
        <v/>
      </c>
      <c r="B128" s="124" t="n"/>
      <c r="C128" s="123" t="n"/>
      <c r="D128" s="123" t="n"/>
      <c r="E128" s="123" t="n"/>
      <c r="F128" s="125" t="n"/>
      <c r="G128" s="123" t="n"/>
      <c r="H128" s="123" t="n"/>
      <c r="I128" s="123" t="n"/>
      <c r="J128" s="123" t="n"/>
      <c r="K128" s="123" t="n"/>
      <c r="L128" s="123" t="n"/>
      <c r="M128" s="123">
        <f>IF(AND(B128&lt;&gt;"",OR($C$4="",ISNUMBER(SEARCH($C$4,C128&amp;" "&amp;E128&amp;" "&amp;G128&amp;" "&amp;H128&amp;" "&amp;I128&amp;" "&amp;J128&amp;" "&amp;K128&amp;" "&amp;L128))),OR($C$5="Semua",$C$5="",G128=$C$5),OR($C$6="Semua",$C$6="",H128=$C$6,H128="Pengeluaran "&amp;$C$6,AND($C$6="Uang Kos Mama",H128="Pengeluaran Uang Kos")),OR($C$7="Semua",$C$7="",I128=$C$7),OR($C$8="Semua",$C$8="",C128=$C$8,E128=$C$8),OR($C$9="Semua",$C$9="",D128=$C$9),OR($C$10="",B128&gt;=$C$10),OR($C$11="",B128&lt;=$C$11),OR($C$12&lt;&gt;"Ya",K128&lt;&gt;""),OR($C$13="Semua",$C$13="",L128=$C$13)),"✓","")</f>
        <v/>
      </c>
      <c r="N128" s="93">
        <f>N(N127)+IF(M128="✓",1,0)</f>
        <v/>
      </c>
      <c r="O128" s="93">
        <f>N(O127)+IF(AND(B128&lt;&gt;"",B128&gt;='Uang Riba'!$H$30,B128&lt;='Uang Riba'!$I$30,OR(H128="Dana riba",H128="Pinjam uang riba",I128="Pinjam dari uang riba",I128="Ganti uang riba",I128="Kelebihan ganti dikembalikan",AND(C128="Kantong Uang Riba",G128="Pengeluaran"))),1,0)</f>
        <v/>
      </c>
      <c r="P128" s="119">
        <f>IF(124&gt;MAX($N$16:$N$5015),"",INDEX($B$16:$B$5015,MATCH((MAX($N$16:$N$5015)-124+1),$N$16:$N$5015,0)))</f>
        <v/>
      </c>
      <c r="Q128" s="105">
        <f>IF(124&gt;MAX($N$16:$N$5015),"",INDEX($C$16:$C$5015,MATCH((MAX($N$16:$N$5015)-124+1),$N$16:$N$5015,0)))&amp;IF(IF(124&gt;MAX($N$16:$N$5015),"",INDEX($E$16:$E$5015,MATCH((MAX($N$16:$N$5015)-124+1),$N$16:$N$5015,0)))="",""," → "&amp;IF(124&gt;MAX($N$16:$N$5015),"",INDEX($E$16:$E$5015,MATCH((MAX($N$16:$N$5015)-124+1),$N$16:$N$5015,0))))</f>
        <v/>
      </c>
      <c r="R128" s="105">
        <f>IF(124&gt;MAX($N$16:$N$5015),"",INDEX($D$16:$D$5015,MATCH((MAX($N$16:$N$5015)-124+1),$N$16:$N$5015,0)))</f>
        <v/>
      </c>
      <c r="S128" s="113">
        <f>IF(124&gt;MAX($N$16:$N$5015),"",INDEX($F$16:$F$5015,MATCH((MAX($N$16:$N$5015)-124+1),$N$16:$N$5015,0)))</f>
        <v/>
      </c>
      <c r="T128" s="105">
        <f>IF(124&gt;MAX($N$16:$N$5015),"",IF(124&gt;MAX($N$16:$N$5015),"",INDEX($G$16:$G$5015,MATCH((MAX($N$16:$N$5015)-124+1),$N$16:$N$5015,0)))&amp;" › "&amp;IF(124&gt;MAX($N$16:$N$5015),"",INDEX($H$16:$H$5015,MATCH((MAX($N$16:$N$5015)-124+1),$N$16:$N$5015,0)))&amp;" › "&amp;IF(124&gt;MAX($N$16:$N$5015),"",INDEX($I$16:$I$5015,MATCH((MAX($N$16:$N$5015)-124+1),$N$16:$N$5015,0))))</f>
        <v/>
      </c>
      <c r="U128" s="105">
        <f>IF(124&gt;MAX($N$16:$N$5015),"",INDEX($J$16:$J$5015,MATCH((MAX($N$16:$N$5015)-124+1),$N$16:$N$5015,0)))&amp;IF(IF(124&gt;MAX($N$16:$N$5015),"",INDEX($L$16:$L$5015,MATCH((MAX($N$16:$N$5015)-124+1),$N$16:$N$5015,0)))="",""," ["&amp;IF(124&gt;MAX($N$16:$N$5015),"",INDEX($L$16:$L$5015,MATCH((MAX($N$16:$N$5015)-124+1),$N$16:$N$5015,0)))&amp;"]")</f>
        <v/>
      </c>
      <c r="V128" s="120">
        <f>IF(124&gt;MAX($N$16:$N$5015),"",HYPERLINK("#Transaksi!B"&amp;(MATCH((MAX($N$16:$N$5015)-124+1),$N$16:$N$5015,0)+15),"Buka"))</f>
        <v/>
      </c>
      <c r="X128" s="93">
        <f>IF(AND(B128&lt;&gt;"",B128&gt;='Buku Akun'!$H$4,B128&lt;='Buku Akun'!$H$5,OR(C128='Buku Akun'!$C$4,AND(D128="Pindah",E128='Buku Akun'!$C$4))),B128+IF(AND(I128="Selisih bunga",DAY(B128)=1),0,0.01)+ROW()/10000000,"")</f>
        <v/>
      </c>
    </row>
    <row r="129" outlineLevel="1" ht="15" customHeight="1" s="94">
      <c r="A129" s="123">
        <f>IF(B129="","",ROW()-15)</f>
        <v/>
      </c>
      <c r="B129" s="124" t="n"/>
      <c r="C129" s="123" t="n"/>
      <c r="D129" s="123" t="n"/>
      <c r="E129" s="123" t="n"/>
      <c r="F129" s="125" t="n"/>
      <c r="G129" s="123" t="n"/>
      <c r="H129" s="123" t="n"/>
      <c r="I129" s="123" t="n"/>
      <c r="J129" s="123" t="n"/>
      <c r="K129" s="123" t="n"/>
      <c r="L129" s="123" t="n"/>
      <c r="M129" s="123">
        <f>IF(AND(B129&lt;&gt;"",OR($C$4="",ISNUMBER(SEARCH($C$4,C129&amp;" "&amp;E129&amp;" "&amp;G129&amp;" "&amp;H129&amp;" "&amp;I129&amp;" "&amp;J129&amp;" "&amp;K129&amp;" "&amp;L129))),OR($C$5="Semua",$C$5="",G129=$C$5),OR($C$6="Semua",$C$6="",H129=$C$6,H129="Pengeluaran "&amp;$C$6,AND($C$6="Uang Kos Mama",H129="Pengeluaran Uang Kos")),OR($C$7="Semua",$C$7="",I129=$C$7),OR($C$8="Semua",$C$8="",C129=$C$8,E129=$C$8),OR($C$9="Semua",$C$9="",D129=$C$9),OR($C$10="",B129&gt;=$C$10),OR($C$11="",B129&lt;=$C$11),OR($C$12&lt;&gt;"Ya",K129&lt;&gt;""),OR($C$13="Semua",$C$13="",L129=$C$13)),"✓","")</f>
        <v/>
      </c>
      <c r="N129" s="93">
        <f>N(N128)+IF(M129="✓",1,0)</f>
        <v/>
      </c>
      <c r="O129" s="93">
        <f>N(O128)+IF(AND(B129&lt;&gt;"",B129&gt;='Uang Riba'!$H$30,B129&lt;='Uang Riba'!$I$30,OR(H129="Dana riba",H129="Pinjam uang riba",I129="Pinjam dari uang riba",I129="Ganti uang riba",I129="Kelebihan ganti dikembalikan",AND(C129="Kantong Uang Riba",G129="Pengeluaran"))),1,0)</f>
        <v/>
      </c>
      <c r="P129" s="119">
        <f>IF(125&gt;MAX($N$16:$N$5015),"",INDEX($B$16:$B$5015,MATCH((MAX($N$16:$N$5015)-125+1),$N$16:$N$5015,0)))</f>
        <v/>
      </c>
      <c r="Q129" s="105">
        <f>IF(125&gt;MAX($N$16:$N$5015),"",INDEX($C$16:$C$5015,MATCH((MAX($N$16:$N$5015)-125+1),$N$16:$N$5015,0)))&amp;IF(IF(125&gt;MAX($N$16:$N$5015),"",INDEX($E$16:$E$5015,MATCH((MAX($N$16:$N$5015)-125+1),$N$16:$N$5015,0)))="",""," → "&amp;IF(125&gt;MAX($N$16:$N$5015),"",INDEX($E$16:$E$5015,MATCH((MAX($N$16:$N$5015)-125+1),$N$16:$N$5015,0))))</f>
        <v/>
      </c>
      <c r="R129" s="105">
        <f>IF(125&gt;MAX($N$16:$N$5015),"",INDEX($D$16:$D$5015,MATCH((MAX($N$16:$N$5015)-125+1),$N$16:$N$5015,0)))</f>
        <v/>
      </c>
      <c r="S129" s="113">
        <f>IF(125&gt;MAX($N$16:$N$5015),"",INDEX($F$16:$F$5015,MATCH((MAX($N$16:$N$5015)-125+1),$N$16:$N$5015,0)))</f>
        <v/>
      </c>
      <c r="T129" s="105">
        <f>IF(125&gt;MAX($N$16:$N$5015),"",IF(125&gt;MAX($N$16:$N$5015),"",INDEX($G$16:$G$5015,MATCH((MAX($N$16:$N$5015)-125+1),$N$16:$N$5015,0)))&amp;" › "&amp;IF(125&gt;MAX($N$16:$N$5015),"",INDEX($H$16:$H$5015,MATCH((MAX($N$16:$N$5015)-125+1),$N$16:$N$5015,0)))&amp;" › "&amp;IF(125&gt;MAX($N$16:$N$5015),"",INDEX($I$16:$I$5015,MATCH((MAX($N$16:$N$5015)-125+1),$N$16:$N$5015,0))))</f>
        <v/>
      </c>
      <c r="U129" s="105">
        <f>IF(125&gt;MAX($N$16:$N$5015),"",INDEX($J$16:$J$5015,MATCH((MAX($N$16:$N$5015)-125+1),$N$16:$N$5015,0)))&amp;IF(IF(125&gt;MAX($N$16:$N$5015),"",INDEX($L$16:$L$5015,MATCH((MAX($N$16:$N$5015)-125+1),$N$16:$N$5015,0)))="",""," ["&amp;IF(125&gt;MAX($N$16:$N$5015),"",INDEX($L$16:$L$5015,MATCH((MAX($N$16:$N$5015)-125+1),$N$16:$N$5015,0)))&amp;"]")</f>
        <v/>
      </c>
      <c r="V129" s="120">
        <f>IF(125&gt;MAX($N$16:$N$5015),"",HYPERLINK("#Transaksi!B"&amp;(MATCH((MAX($N$16:$N$5015)-125+1),$N$16:$N$5015,0)+15),"Buka"))</f>
        <v/>
      </c>
      <c r="X129" s="93">
        <f>IF(AND(B129&lt;&gt;"",B129&gt;='Buku Akun'!$H$4,B129&lt;='Buku Akun'!$H$5,OR(C129='Buku Akun'!$C$4,AND(D129="Pindah",E129='Buku Akun'!$C$4))),B129+IF(AND(I129="Selisih bunga",DAY(B129)=1),0,0.01)+ROW()/10000000,"")</f>
        <v/>
      </c>
    </row>
    <row r="130" outlineLevel="1" ht="15" customHeight="1" s="94">
      <c r="A130" s="123">
        <f>IF(B130="","",ROW()-15)</f>
        <v/>
      </c>
      <c r="B130" s="124" t="n"/>
      <c r="C130" s="123" t="n"/>
      <c r="D130" s="123" t="n"/>
      <c r="E130" s="123" t="n"/>
      <c r="F130" s="125" t="n"/>
      <c r="G130" s="123" t="n"/>
      <c r="H130" s="123" t="n"/>
      <c r="I130" s="123" t="n"/>
      <c r="J130" s="123" t="n"/>
      <c r="K130" s="123" t="n"/>
      <c r="L130" s="123" t="n"/>
      <c r="M130" s="123">
        <f>IF(AND(B130&lt;&gt;"",OR($C$4="",ISNUMBER(SEARCH($C$4,C130&amp;" "&amp;E130&amp;" "&amp;G130&amp;" "&amp;H130&amp;" "&amp;I130&amp;" "&amp;J130&amp;" "&amp;K130&amp;" "&amp;L130))),OR($C$5="Semua",$C$5="",G130=$C$5),OR($C$6="Semua",$C$6="",H130=$C$6,H130="Pengeluaran "&amp;$C$6,AND($C$6="Uang Kos Mama",H130="Pengeluaran Uang Kos")),OR($C$7="Semua",$C$7="",I130=$C$7),OR($C$8="Semua",$C$8="",C130=$C$8,E130=$C$8),OR($C$9="Semua",$C$9="",D130=$C$9),OR($C$10="",B130&gt;=$C$10),OR($C$11="",B130&lt;=$C$11),OR($C$12&lt;&gt;"Ya",K130&lt;&gt;""),OR($C$13="Semua",$C$13="",L130=$C$13)),"✓","")</f>
        <v/>
      </c>
      <c r="N130" s="93">
        <f>N(N129)+IF(M130="✓",1,0)</f>
        <v/>
      </c>
      <c r="O130" s="93">
        <f>N(O129)+IF(AND(B130&lt;&gt;"",B130&gt;='Uang Riba'!$H$30,B130&lt;='Uang Riba'!$I$30,OR(H130="Dana riba",H130="Pinjam uang riba",I130="Pinjam dari uang riba",I130="Ganti uang riba",I130="Kelebihan ganti dikembalikan",AND(C130="Kantong Uang Riba",G130="Pengeluaran"))),1,0)</f>
        <v/>
      </c>
      <c r="P130" s="119">
        <f>IF(126&gt;MAX($N$16:$N$5015),"",INDEX($B$16:$B$5015,MATCH((MAX($N$16:$N$5015)-126+1),$N$16:$N$5015,0)))</f>
        <v/>
      </c>
      <c r="Q130" s="105">
        <f>IF(126&gt;MAX($N$16:$N$5015),"",INDEX($C$16:$C$5015,MATCH((MAX($N$16:$N$5015)-126+1),$N$16:$N$5015,0)))&amp;IF(IF(126&gt;MAX($N$16:$N$5015),"",INDEX($E$16:$E$5015,MATCH((MAX($N$16:$N$5015)-126+1),$N$16:$N$5015,0)))="",""," → "&amp;IF(126&gt;MAX($N$16:$N$5015),"",INDEX($E$16:$E$5015,MATCH((MAX($N$16:$N$5015)-126+1),$N$16:$N$5015,0))))</f>
        <v/>
      </c>
      <c r="R130" s="105">
        <f>IF(126&gt;MAX($N$16:$N$5015),"",INDEX($D$16:$D$5015,MATCH((MAX($N$16:$N$5015)-126+1),$N$16:$N$5015,0)))</f>
        <v/>
      </c>
      <c r="S130" s="113">
        <f>IF(126&gt;MAX($N$16:$N$5015),"",INDEX($F$16:$F$5015,MATCH((MAX($N$16:$N$5015)-126+1),$N$16:$N$5015,0)))</f>
        <v/>
      </c>
      <c r="T130" s="105">
        <f>IF(126&gt;MAX($N$16:$N$5015),"",IF(126&gt;MAX($N$16:$N$5015),"",INDEX($G$16:$G$5015,MATCH((MAX($N$16:$N$5015)-126+1),$N$16:$N$5015,0)))&amp;" › "&amp;IF(126&gt;MAX($N$16:$N$5015),"",INDEX($H$16:$H$5015,MATCH((MAX($N$16:$N$5015)-126+1),$N$16:$N$5015,0)))&amp;" › "&amp;IF(126&gt;MAX($N$16:$N$5015),"",INDEX($I$16:$I$5015,MATCH((MAX($N$16:$N$5015)-126+1),$N$16:$N$5015,0))))</f>
        <v/>
      </c>
      <c r="U130" s="105">
        <f>IF(126&gt;MAX($N$16:$N$5015),"",INDEX($J$16:$J$5015,MATCH((MAX($N$16:$N$5015)-126+1),$N$16:$N$5015,0)))&amp;IF(IF(126&gt;MAX($N$16:$N$5015),"",INDEX($L$16:$L$5015,MATCH((MAX($N$16:$N$5015)-126+1),$N$16:$N$5015,0)))="",""," ["&amp;IF(126&gt;MAX($N$16:$N$5015),"",INDEX($L$16:$L$5015,MATCH((MAX($N$16:$N$5015)-126+1),$N$16:$N$5015,0)))&amp;"]")</f>
        <v/>
      </c>
      <c r="V130" s="120">
        <f>IF(126&gt;MAX($N$16:$N$5015),"",HYPERLINK("#Transaksi!B"&amp;(MATCH((MAX($N$16:$N$5015)-126+1),$N$16:$N$5015,0)+15),"Buka"))</f>
        <v/>
      </c>
      <c r="X130" s="93">
        <f>IF(AND(B130&lt;&gt;"",B130&gt;='Buku Akun'!$H$4,B130&lt;='Buku Akun'!$H$5,OR(C130='Buku Akun'!$C$4,AND(D130="Pindah",E130='Buku Akun'!$C$4))),B130+IF(AND(I130="Selisih bunga",DAY(B130)=1),0,0.01)+ROW()/10000000,"")</f>
        <v/>
      </c>
    </row>
    <row r="131" outlineLevel="1" ht="15" customHeight="1" s="94">
      <c r="A131" s="123">
        <f>IF(B131="","",ROW()-15)</f>
        <v/>
      </c>
      <c r="B131" s="124" t="n"/>
      <c r="C131" s="123" t="n"/>
      <c r="D131" s="123" t="n"/>
      <c r="E131" s="123" t="n"/>
      <c r="F131" s="125" t="n"/>
      <c r="G131" s="123" t="n"/>
      <c r="H131" s="123" t="n"/>
      <c r="I131" s="123" t="n"/>
      <c r="J131" s="123" t="n"/>
      <c r="K131" s="123" t="n"/>
      <c r="L131" s="123" t="n"/>
      <c r="M131" s="123">
        <f>IF(AND(B131&lt;&gt;"",OR($C$4="",ISNUMBER(SEARCH($C$4,C131&amp;" "&amp;E131&amp;" "&amp;G131&amp;" "&amp;H131&amp;" "&amp;I131&amp;" "&amp;J131&amp;" "&amp;K131&amp;" "&amp;L131))),OR($C$5="Semua",$C$5="",G131=$C$5),OR($C$6="Semua",$C$6="",H131=$C$6,H131="Pengeluaran "&amp;$C$6,AND($C$6="Uang Kos Mama",H131="Pengeluaran Uang Kos")),OR($C$7="Semua",$C$7="",I131=$C$7),OR($C$8="Semua",$C$8="",C131=$C$8,E131=$C$8),OR($C$9="Semua",$C$9="",D131=$C$9),OR($C$10="",B131&gt;=$C$10),OR($C$11="",B131&lt;=$C$11),OR($C$12&lt;&gt;"Ya",K131&lt;&gt;""),OR($C$13="Semua",$C$13="",L131=$C$13)),"✓","")</f>
        <v/>
      </c>
      <c r="N131" s="93">
        <f>N(N130)+IF(M131="✓",1,0)</f>
        <v/>
      </c>
      <c r="O131" s="93">
        <f>N(O130)+IF(AND(B131&lt;&gt;"",B131&gt;='Uang Riba'!$H$30,B131&lt;='Uang Riba'!$I$30,OR(H131="Dana riba",H131="Pinjam uang riba",I131="Pinjam dari uang riba",I131="Ganti uang riba",I131="Kelebihan ganti dikembalikan",AND(C131="Kantong Uang Riba",G131="Pengeluaran"))),1,0)</f>
        <v/>
      </c>
      <c r="P131" s="119">
        <f>IF(127&gt;MAX($N$16:$N$5015),"",INDEX($B$16:$B$5015,MATCH((MAX($N$16:$N$5015)-127+1),$N$16:$N$5015,0)))</f>
        <v/>
      </c>
      <c r="Q131" s="105">
        <f>IF(127&gt;MAX($N$16:$N$5015),"",INDEX($C$16:$C$5015,MATCH((MAX($N$16:$N$5015)-127+1),$N$16:$N$5015,0)))&amp;IF(IF(127&gt;MAX($N$16:$N$5015),"",INDEX($E$16:$E$5015,MATCH((MAX($N$16:$N$5015)-127+1),$N$16:$N$5015,0)))="",""," → "&amp;IF(127&gt;MAX($N$16:$N$5015),"",INDEX($E$16:$E$5015,MATCH((MAX($N$16:$N$5015)-127+1),$N$16:$N$5015,0))))</f>
        <v/>
      </c>
      <c r="R131" s="105">
        <f>IF(127&gt;MAX($N$16:$N$5015),"",INDEX($D$16:$D$5015,MATCH((MAX($N$16:$N$5015)-127+1),$N$16:$N$5015,0)))</f>
        <v/>
      </c>
      <c r="S131" s="113">
        <f>IF(127&gt;MAX($N$16:$N$5015),"",INDEX($F$16:$F$5015,MATCH((MAX($N$16:$N$5015)-127+1),$N$16:$N$5015,0)))</f>
        <v/>
      </c>
      <c r="T131" s="105">
        <f>IF(127&gt;MAX($N$16:$N$5015),"",IF(127&gt;MAX($N$16:$N$5015),"",INDEX($G$16:$G$5015,MATCH((MAX($N$16:$N$5015)-127+1),$N$16:$N$5015,0)))&amp;" › "&amp;IF(127&gt;MAX($N$16:$N$5015),"",INDEX($H$16:$H$5015,MATCH((MAX($N$16:$N$5015)-127+1),$N$16:$N$5015,0)))&amp;" › "&amp;IF(127&gt;MAX($N$16:$N$5015),"",INDEX($I$16:$I$5015,MATCH((MAX($N$16:$N$5015)-127+1),$N$16:$N$5015,0))))</f>
        <v/>
      </c>
      <c r="U131" s="105">
        <f>IF(127&gt;MAX($N$16:$N$5015),"",INDEX($J$16:$J$5015,MATCH((MAX($N$16:$N$5015)-127+1),$N$16:$N$5015,0)))&amp;IF(IF(127&gt;MAX($N$16:$N$5015),"",INDEX($L$16:$L$5015,MATCH((MAX($N$16:$N$5015)-127+1),$N$16:$N$5015,0)))="",""," ["&amp;IF(127&gt;MAX($N$16:$N$5015),"",INDEX($L$16:$L$5015,MATCH((MAX($N$16:$N$5015)-127+1),$N$16:$N$5015,0)))&amp;"]")</f>
        <v/>
      </c>
      <c r="V131" s="120">
        <f>IF(127&gt;MAX($N$16:$N$5015),"",HYPERLINK("#Transaksi!B"&amp;(MATCH((MAX($N$16:$N$5015)-127+1),$N$16:$N$5015,0)+15),"Buka"))</f>
        <v/>
      </c>
      <c r="X131" s="93">
        <f>IF(AND(B131&lt;&gt;"",B131&gt;='Buku Akun'!$H$4,B131&lt;='Buku Akun'!$H$5,OR(C131='Buku Akun'!$C$4,AND(D131="Pindah",E131='Buku Akun'!$C$4))),B131+IF(AND(I131="Selisih bunga",DAY(B131)=1),0,0.01)+ROW()/10000000,"")</f>
        <v/>
      </c>
    </row>
    <row r="132" outlineLevel="1" ht="15" customHeight="1" s="94">
      <c r="A132" s="123">
        <f>IF(B132="","",ROW()-15)</f>
        <v/>
      </c>
      <c r="B132" s="124" t="n"/>
      <c r="C132" s="123" t="n"/>
      <c r="D132" s="123" t="n"/>
      <c r="E132" s="123" t="n"/>
      <c r="F132" s="125" t="n"/>
      <c r="G132" s="123" t="n"/>
      <c r="H132" s="123" t="n"/>
      <c r="I132" s="123" t="n"/>
      <c r="J132" s="123" t="n"/>
      <c r="K132" s="123" t="n"/>
      <c r="L132" s="123" t="n"/>
      <c r="M132" s="123">
        <f>IF(AND(B132&lt;&gt;"",OR($C$4="",ISNUMBER(SEARCH($C$4,C132&amp;" "&amp;E132&amp;" "&amp;G132&amp;" "&amp;H132&amp;" "&amp;I132&amp;" "&amp;J132&amp;" "&amp;K132&amp;" "&amp;L132))),OR($C$5="Semua",$C$5="",G132=$C$5),OR($C$6="Semua",$C$6="",H132=$C$6,H132="Pengeluaran "&amp;$C$6,AND($C$6="Uang Kos Mama",H132="Pengeluaran Uang Kos")),OR($C$7="Semua",$C$7="",I132=$C$7),OR($C$8="Semua",$C$8="",C132=$C$8,E132=$C$8),OR($C$9="Semua",$C$9="",D132=$C$9),OR($C$10="",B132&gt;=$C$10),OR($C$11="",B132&lt;=$C$11),OR($C$12&lt;&gt;"Ya",K132&lt;&gt;""),OR($C$13="Semua",$C$13="",L132=$C$13)),"✓","")</f>
        <v/>
      </c>
      <c r="N132" s="93">
        <f>N(N131)+IF(M132="✓",1,0)</f>
        <v/>
      </c>
      <c r="O132" s="93">
        <f>N(O131)+IF(AND(B132&lt;&gt;"",B132&gt;='Uang Riba'!$H$30,B132&lt;='Uang Riba'!$I$30,OR(H132="Dana riba",H132="Pinjam uang riba",I132="Pinjam dari uang riba",I132="Ganti uang riba",I132="Kelebihan ganti dikembalikan",AND(C132="Kantong Uang Riba",G132="Pengeluaran"))),1,0)</f>
        <v/>
      </c>
      <c r="P132" s="119">
        <f>IF(128&gt;MAX($N$16:$N$5015),"",INDEX($B$16:$B$5015,MATCH((MAX($N$16:$N$5015)-128+1),$N$16:$N$5015,0)))</f>
        <v/>
      </c>
      <c r="Q132" s="105">
        <f>IF(128&gt;MAX($N$16:$N$5015),"",INDEX($C$16:$C$5015,MATCH((MAX($N$16:$N$5015)-128+1),$N$16:$N$5015,0)))&amp;IF(IF(128&gt;MAX($N$16:$N$5015),"",INDEX($E$16:$E$5015,MATCH((MAX($N$16:$N$5015)-128+1),$N$16:$N$5015,0)))="",""," → "&amp;IF(128&gt;MAX($N$16:$N$5015),"",INDEX($E$16:$E$5015,MATCH((MAX($N$16:$N$5015)-128+1),$N$16:$N$5015,0))))</f>
        <v/>
      </c>
      <c r="R132" s="105">
        <f>IF(128&gt;MAX($N$16:$N$5015),"",INDEX($D$16:$D$5015,MATCH((MAX($N$16:$N$5015)-128+1),$N$16:$N$5015,0)))</f>
        <v/>
      </c>
      <c r="S132" s="113">
        <f>IF(128&gt;MAX($N$16:$N$5015),"",INDEX($F$16:$F$5015,MATCH((MAX($N$16:$N$5015)-128+1),$N$16:$N$5015,0)))</f>
        <v/>
      </c>
      <c r="T132" s="105">
        <f>IF(128&gt;MAX($N$16:$N$5015),"",IF(128&gt;MAX($N$16:$N$5015),"",INDEX($G$16:$G$5015,MATCH((MAX($N$16:$N$5015)-128+1),$N$16:$N$5015,0)))&amp;" › "&amp;IF(128&gt;MAX($N$16:$N$5015),"",INDEX($H$16:$H$5015,MATCH((MAX($N$16:$N$5015)-128+1),$N$16:$N$5015,0)))&amp;" › "&amp;IF(128&gt;MAX($N$16:$N$5015),"",INDEX($I$16:$I$5015,MATCH((MAX($N$16:$N$5015)-128+1),$N$16:$N$5015,0))))</f>
        <v/>
      </c>
      <c r="U132" s="105">
        <f>IF(128&gt;MAX($N$16:$N$5015),"",INDEX($J$16:$J$5015,MATCH((MAX($N$16:$N$5015)-128+1),$N$16:$N$5015,0)))&amp;IF(IF(128&gt;MAX($N$16:$N$5015),"",INDEX($L$16:$L$5015,MATCH((MAX($N$16:$N$5015)-128+1),$N$16:$N$5015,0)))="",""," ["&amp;IF(128&gt;MAX($N$16:$N$5015),"",INDEX($L$16:$L$5015,MATCH((MAX($N$16:$N$5015)-128+1),$N$16:$N$5015,0)))&amp;"]")</f>
        <v/>
      </c>
      <c r="V132" s="120">
        <f>IF(128&gt;MAX($N$16:$N$5015),"",HYPERLINK("#Transaksi!B"&amp;(MATCH((MAX($N$16:$N$5015)-128+1),$N$16:$N$5015,0)+15),"Buka"))</f>
        <v/>
      </c>
      <c r="X132" s="93">
        <f>IF(AND(B132&lt;&gt;"",B132&gt;='Buku Akun'!$H$4,B132&lt;='Buku Akun'!$H$5,OR(C132='Buku Akun'!$C$4,AND(D132="Pindah",E132='Buku Akun'!$C$4))),B132+IF(AND(I132="Selisih bunga",DAY(B132)=1),0,0.01)+ROW()/10000000,"")</f>
        <v/>
      </c>
    </row>
    <row r="133" outlineLevel="1" ht="15" customHeight="1" s="94">
      <c r="A133" s="123">
        <f>IF(B133="","",ROW()-15)</f>
        <v/>
      </c>
      <c r="B133" s="124" t="n"/>
      <c r="C133" s="123" t="n"/>
      <c r="D133" s="123" t="n"/>
      <c r="E133" s="123" t="n"/>
      <c r="F133" s="125" t="n"/>
      <c r="G133" s="123" t="n"/>
      <c r="H133" s="123" t="n"/>
      <c r="I133" s="123" t="n"/>
      <c r="J133" s="123" t="n"/>
      <c r="K133" s="123" t="n"/>
      <c r="L133" s="123" t="n"/>
      <c r="M133" s="123">
        <f>IF(AND(B133&lt;&gt;"",OR($C$4="",ISNUMBER(SEARCH($C$4,C133&amp;" "&amp;E133&amp;" "&amp;G133&amp;" "&amp;H133&amp;" "&amp;I133&amp;" "&amp;J133&amp;" "&amp;K133&amp;" "&amp;L133))),OR($C$5="Semua",$C$5="",G133=$C$5),OR($C$6="Semua",$C$6="",H133=$C$6,H133="Pengeluaran "&amp;$C$6,AND($C$6="Uang Kos Mama",H133="Pengeluaran Uang Kos")),OR($C$7="Semua",$C$7="",I133=$C$7),OR($C$8="Semua",$C$8="",C133=$C$8,E133=$C$8),OR($C$9="Semua",$C$9="",D133=$C$9),OR($C$10="",B133&gt;=$C$10),OR($C$11="",B133&lt;=$C$11),OR($C$12&lt;&gt;"Ya",K133&lt;&gt;""),OR($C$13="Semua",$C$13="",L133=$C$13)),"✓","")</f>
        <v/>
      </c>
      <c r="N133" s="93">
        <f>N(N132)+IF(M133="✓",1,0)</f>
        <v/>
      </c>
      <c r="O133" s="93">
        <f>N(O132)+IF(AND(B133&lt;&gt;"",B133&gt;='Uang Riba'!$H$30,B133&lt;='Uang Riba'!$I$30,OR(H133="Dana riba",H133="Pinjam uang riba",I133="Pinjam dari uang riba",I133="Ganti uang riba",I133="Kelebihan ganti dikembalikan",AND(C133="Kantong Uang Riba",G133="Pengeluaran"))),1,0)</f>
        <v/>
      </c>
      <c r="P133" s="119">
        <f>IF(129&gt;MAX($N$16:$N$5015),"",INDEX($B$16:$B$5015,MATCH((MAX($N$16:$N$5015)-129+1),$N$16:$N$5015,0)))</f>
        <v/>
      </c>
      <c r="Q133" s="105">
        <f>IF(129&gt;MAX($N$16:$N$5015),"",INDEX($C$16:$C$5015,MATCH((MAX($N$16:$N$5015)-129+1),$N$16:$N$5015,0)))&amp;IF(IF(129&gt;MAX($N$16:$N$5015),"",INDEX($E$16:$E$5015,MATCH((MAX($N$16:$N$5015)-129+1),$N$16:$N$5015,0)))="",""," → "&amp;IF(129&gt;MAX($N$16:$N$5015),"",INDEX($E$16:$E$5015,MATCH((MAX($N$16:$N$5015)-129+1),$N$16:$N$5015,0))))</f>
        <v/>
      </c>
      <c r="R133" s="105">
        <f>IF(129&gt;MAX($N$16:$N$5015),"",INDEX($D$16:$D$5015,MATCH((MAX($N$16:$N$5015)-129+1),$N$16:$N$5015,0)))</f>
        <v/>
      </c>
      <c r="S133" s="113">
        <f>IF(129&gt;MAX($N$16:$N$5015),"",INDEX($F$16:$F$5015,MATCH((MAX($N$16:$N$5015)-129+1),$N$16:$N$5015,0)))</f>
        <v/>
      </c>
      <c r="T133" s="105">
        <f>IF(129&gt;MAX($N$16:$N$5015),"",IF(129&gt;MAX($N$16:$N$5015),"",INDEX($G$16:$G$5015,MATCH((MAX($N$16:$N$5015)-129+1),$N$16:$N$5015,0)))&amp;" › "&amp;IF(129&gt;MAX($N$16:$N$5015),"",INDEX($H$16:$H$5015,MATCH((MAX($N$16:$N$5015)-129+1),$N$16:$N$5015,0)))&amp;" › "&amp;IF(129&gt;MAX($N$16:$N$5015),"",INDEX($I$16:$I$5015,MATCH((MAX($N$16:$N$5015)-129+1),$N$16:$N$5015,0))))</f>
        <v/>
      </c>
      <c r="U133" s="105">
        <f>IF(129&gt;MAX($N$16:$N$5015),"",INDEX($J$16:$J$5015,MATCH((MAX($N$16:$N$5015)-129+1),$N$16:$N$5015,0)))&amp;IF(IF(129&gt;MAX($N$16:$N$5015),"",INDEX($L$16:$L$5015,MATCH((MAX($N$16:$N$5015)-129+1),$N$16:$N$5015,0)))="",""," ["&amp;IF(129&gt;MAX($N$16:$N$5015),"",INDEX($L$16:$L$5015,MATCH((MAX($N$16:$N$5015)-129+1),$N$16:$N$5015,0)))&amp;"]")</f>
        <v/>
      </c>
      <c r="V133" s="120">
        <f>IF(129&gt;MAX($N$16:$N$5015),"",HYPERLINK("#Transaksi!B"&amp;(MATCH((MAX($N$16:$N$5015)-129+1),$N$16:$N$5015,0)+15),"Buka"))</f>
        <v/>
      </c>
      <c r="X133" s="93">
        <f>IF(AND(B133&lt;&gt;"",B133&gt;='Buku Akun'!$H$4,B133&lt;='Buku Akun'!$H$5,OR(C133='Buku Akun'!$C$4,AND(D133="Pindah",E133='Buku Akun'!$C$4))),B133+IF(AND(I133="Selisih bunga",DAY(B133)=1),0,0.01)+ROW()/10000000,"")</f>
        <v/>
      </c>
    </row>
    <row r="134" outlineLevel="1" ht="15" customHeight="1" s="94">
      <c r="A134" s="123">
        <f>IF(B134="","",ROW()-15)</f>
        <v/>
      </c>
      <c r="B134" s="124" t="n"/>
      <c r="C134" s="123" t="n"/>
      <c r="D134" s="123" t="n"/>
      <c r="E134" s="123" t="n"/>
      <c r="F134" s="125" t="n"/>
      <c r="G134" s="123" t="n"/>
      <c r="H134" s="123" t="n"/>
      <c r="I134" s="123" t="n"/>
      <c r="J134" s="123" t="n"/>
      <c r="K134" s="123" t="n"/>
      <c r="L134" s="123" t="n"/>
      <c r="M134" s="123">
        <f>IF(AND(B134&lt;&gt;"",OR($C$4="",ISNUMBER(SEARCH($C$4,C134&amp;" "&amp;E134&amp;" "&amp;G134&amp;" "&amp;H134&amp;" "&amp;I134&amp;" "&amp;J134&amp;" "&amp;K134&amp;" "&amp;L134))),OR($C$5="Semua",$C$5="",G134=$C$5),OR($C$6="Semua",$C$6="",H134=$C$6,H134="Pengeluaran "&amp;$C$6,AND($C$6="Uang Kos Mama",H134="Pengeluaran Uang Kos")),OR($C$7="Semua",$C$7="",I134=$C$7),OR($C$8="Semua",$C$8="",C134=$C$8,E134=$C$8),OR($C$9="Semua",$C$9="",D134=$C$9),OR($C$10="",B134&gt;=$C$10),OR($C$11="",B134&lt;=$C$11),OR($C$12&lt;&gt;"Ya",K134&lt;&gt;""),OR($C$13="Semua",$C$13="",L134=$C$13)),"✓","")</f>
        <v/>
      </c>
      <c r="N134" s="93">
        <f>N(N133)+IF(M134="✓",1,0)</f>
        <v/>
      </c>
      <c r="O134" s="93">
        <f>N(O133)+IF(AND(B134&lt;&gt;"",B134&gt;='Uang Riba'!$H$30,B134&lt;='Uang Riba'!$I$30,OR(H134="Dana riba",H134="Pinjam uang riba",I134="Pinjam dari uang riba",I134="Ganti uang riba",I134="Kelebihan ganti dikembalikan",AND(C134="Kantong Uang Riba",G134="Pengeluaran"))),1,0)</f>
        <v/>
      </c>
      <c r="P134" s="119">
        <f>IF(130&gt;MAX($N$16:$N$5015),"",INDEX($B$16:$B$5015,MATCH((MAX($N$16:$N$5015)-130+1),$N$16:$N$5015,0)))</f>
        <v/>
      </c>
      <c r="Q134" s="105">
        <f>IF(130&gt;MAX($N$16:$N$5015),"",INDEX($C$16:$C$5015,MATCH((MAX($N$16:$N$5015)-130+1),$N$16:$N$5015,0)))&amp;IF(IF(130&gt;MAX($N$16:$N$5015),"",INDEX($E$16:$E$5015,MATCH((MAX($N$16:$N$5015)-130+1),$N$16:$N$5015,0)))="",""," → "&amp;IF(130&gt;MAX($N$16:$N$5015),"",INDEX($E$16:$E$5015,MATCH((MAX($N$16:$N$5015)-130+1),$N$16:$N$5015,0))))</f>
        <v/>
      </c>
      <c r="R134" s="105">
        <f>IF(130&gt;MAX($N$16:$N$5015),"",INDEX($D$16:$D$5015,MATCH((MAX($N$16:$N$5015)-130+1),$N$16:$N$5015,0)))</f>
        <v/>
      </c>
      <c r="S134" s="113">
        <f>IF(130&gt;MAX($N$16:$N$5015),"",INDEX($F$16:$F$5015,MATCH((MAX($N$16:$N$5015)-130+1),$N$16:$N$5015,0)))</f>
        <v/>
      </c>
      <c r="T134" s="105">
        <f>IF(130&gt;MAX($N$16:$N$5015),"",IF(130&gt;MAX($N$16:$N$5015),"",INDEX($G$16:$G$5015,MATCH((MAX($N$16:$N$5015)-130+1),$N$16:$N$5015,0)))&amp;" › "&amp;IF(130&gt;MAX($N$16:$N$5015),"",INDEX($H$16:$H$5015,MATCH((MAX($N$16:$N$5015)-130+1),$N$16:$N$5015,0)))&amp;" › "&amp;IF(130&gt;MAX($N$16:$N$5015),"",INDEX($I$16:$I$5015,MATCH((MAX($N$16:$N$5015)-130+1),$N$16:$N$5015,0))))</f>
        <v/>
      </c>
      <c r="U134" s="105">
        <f>IF(130&gt;MAX($N$16:$N$5015),"",INDEX($J$16:$J$5015,MATCH((MAX($N$16:$N$5015)-130+1),$N$16:$N$5015,0)))&amp;IF(IF(130&gt;MAX($N$16:$N$5015),"",INDEX($L$16:$L$5015,MATCH((MAX($N$16:$N$5015)-130+1),$N$16:$N$5015,0)))="",""," ["&amp;IF(130&gt;MAX($N$16:$N$5015),"",INDEX($L$16:$L$5015,MATCH((MAX($N$16:$N$5015)-130+1),$N$16:$N$5015,0)))&amp;"]")</f>
        <v/>
      </c>
      <c r="V134" s="120">
        <f>IF(130&gt;MAX($N$16:$N$5015),"",HYPERLINK("#Transaksi!B"&amp;(MATCH((MAX($N$16:$N$5015)-130+1),$N$16:$N$5015,0)+15),"Buka"))</f>
        <v/>
      </c>
      <c r="X134" s="93">
        <f>IF(AND(B134&lt;&gt;"",B134&gt;='Buku Akun'!$H$4,B134&lt;='Buku Akun'!$H$5,OR(C134='Buku Akun'!$C$4,AND(D134="Pindah",E134='Buku Akun'!$C$4))),B134+IF(AND(I134="Selisih bunga",DAY(B134)=1),0,0.01)+ROW()/10000000,"")</f>
        <v/>
      </c>
    </row>
    <row r="135" outlineLevel="1" ht="15" customHeight="1" s="94">
      <c r="A135" s="123">
        <f>IF(B135="","",ROW()-15)</f>
        <v/>
      </c>
      <c r="B135" s="124" t="n"/>
      <c r="C135" s="123" t="n"/>
      <c r="D135" s="123" t="n"/>
      <c r="E135" s="123" t="n"/>
      <c r="F135" s="125" t="n"/>
      <c r="G135" s="123" t="n"/>
      <c r="H135" s="123" t="n"/>
      <c r="I135" s="123" t="n"/>
      <c r="J135" s="123" t="n"/>
      <c r="K135" s="123" t="n"/>
      <c r="L135" s="123" t="n"/>
      <c r="M135" s="123">
        <f>IF(AND(B135&lt;&gt;"",OR($C$4="",ISNUMBER(SEARCH($C$4,C135&amp;" "&amp;E135&amp;" "&amp;G135&amp;" "&amp;H135&amp;" "&amp;I135&amp;" "&amp;J135&amp;" "&amp;K135&amp;" "&amp;L135))),OR($C$5="Semua",$C$5="",G135=$C$5),OR($C$6="Semua",$C$6="",H135=$C$6,H135="Pengeluaran "&amp;$C$6,AND($C$6="Uang Kos Mama",H135="Pengeluaran Uang Kos")),OR($C$7="Semua",$C$7="",I135=$C$7),OR($C$8="Semua",$C$8="",C135=$C$8,E135=$C$8),OR($C$9="Semua",$C$9="",D135=$C$9),OR($C$10="",B135&gt;=$C$10),OR($C$11="",B135&lt;=$C$11),OR($C$12&lt;&gt;"Ya",K135&lt;&gt;""),OR($C$13="Semua",$C$13="",L135=$C$13)),"✓","")</f>
        <v/>
      </c>
      <c r="N135" s="93">
        <f>N(N134)+IF(M135="✓",1,0)</f>
        <v/>
      </c>
      <c r="O135" s="93">
        <f>N(O134)+IF(AND(B135&lt;&gt;"",B135&gt;='Uang Riba'!$H$30,B135&lt;='Uang Riba'!$I$30,OR(H135="Dana riba",H135="Pinjam uang riba",I135="Pinjam dari uang riba",I135="Ganti uang riba",I135="Kelebihan ganti dikembalikan",AND(C135="Kantong Uang Riba",G135="Pengeluaran"))),1,0)</f>
        <v/>
      </c>
      <c r="P135" s="119">
        <f>IF(131&gt;MAX($N$16:$N$5015),"",INDEX($B$16:$B$5015,MATCH((MAX($N$16:$N$5015)-131+1),$N$16:$N$5015,0)))</f>
        <v/>
      </c>
      <c r="Q135" s="105">
        <f>IF(131&gt;MAX($N$16:$N$5015),"",INDEX($C$16:$C$5015,MATCH((MAX($N$16:$N$5015)-131+1),$N$16:$N$5015,0)))&amp;IF(IF(131&gt;MAX($N$16:$N$5015),"",INDEX($E$16:$E$5015,MATCH((MAX($N$16:$N$5015)-131+1),$N$16:$N$5015,0)))="",""," → "&amp;IF(131&gt;MAX($N$16:$N$5015),"",INDEX($E$16:$E$5015,MATCH((MAX($N$16:$N$5015)-131+1),$N$16:$N$5015,0))))</f>
        <v/>
      </c>
      <c r="R135" s="105">
        <f>IF(131&gt;MAX($N$16:$N$5015),"",INDEX($D$16:$D$5015,MATCH((MAX($N$16:$N$5015)-131+1),$N$16:$N$5015,0)))</f>
        <v/>
      </c>
      <c r="S135" s="113">
        <f>IF(131&gt;MAX($N$16:$N$5015),"",INDEX($F$16:$F$5015,MATCH((MAX($N$16:$N$5015)-131+1),$N$16:$N$5015,0)))</f>
        <v/>
      </c>
      <c r="T135" s="105">
        <f>IF(131&gt;MAX($N$16:$N$5015),"",IF(131&gt;MAX($N$16:$N$5015),"",INDEX($G$16:$G$5015,MATCH((MAX($N$16:$N$5015)-131+1),$N$16:$N$5015,0)))&amp;" › "&amp;IF(131&gt;MAX($N$16:$N$5015),"",INDEX($H$16:$H$5015,MATCH((MAX($N$16:$N$5015)-131+1),$N$16:$N$5015,0)))&amp;" › "&amp;IF(131&gt;MAX($N$16:$N$5015),"",INDEX($I$16:$I$5015,MATCH((MAX($N$16:$N$5015)-131+1),$N$16:$N$5015,0))))</f>
        <v/>
      </c>
      <c r="U135" s="105">
        <f>IF(131&gt;MAX($N$16:$N$5015),"",INDEX($J$16:$J$5015,MATCH((MAX($N$16:$N$5015)-131+1),$N$16:$N$5015,0)))&amp;IF(IF(131&gt;MAX($N$16:$N$5015),"",INDEX($L$16:$L$5015,MATCH((MAX($N$16:$N$5015)-131+1),$N$16:$N$5015,0)))="",""," ["&amp;IF(131&gt;MAX($N$16:$N$5015),"",INDEX($L$16:$L$5015,MATCH((MAX($N$16:$N$5015)-131+1),$N$16:$N$5015,0)))&amp;"]")</f>
        <v/>
      </c>
      <c r="V135" s="120">
        <f>IF(131&gt;MAX($N$16:$N$5015),"",HYPERLINK("#Transaksi!B"&amp;(MATCH((MAX($N$16:$N$5015)-131+1),$N$16:$N$5015,0)+15),"Buka"))</f>
        <v/>
      </c>
      <c r="X135" s="93">
        <f>IF(AND(B135&lt;&gt;"",B135&gt;='Buku Akun'!$H$4,B135&lt;='Buku Akun'!$H$5,OR(C135='Buku Akun'!$C$4,AND(D135="Pindah",E135='Buku Akun'!$C$4))),B135+IF(AND(I135="Selisih bunga",DAY(B135)=1),0,0.01)+ROW()/10000000,"")</f>
        <v/>
      </c>
    </row>
    <row r="136" outlineLevel="1" ht="15" customHeight="1" s="94">
      <c r="A136" s="123">
        <f>IF(B136="","",ROW()-15)</f>
        <v/>
      </c>
      <c r="B136" s="124" t="n"/>
      <c r="C136" s="123" t="n"/>
      <c r="D136" s="123" t="n"/>
      <c r="E136" s="123" t="n"/>
      <c r="F136" s="125" t="n"/>
      <c r="G136" s="123" t="n"/>
      <c r="H136" s="123" t="n"/>
      <c r="I136" s="123" t="n"/>
      <c r="J136" s="123" t="n"/>
      <c r="K136" s="123" t="n"/>
      <c r="L136" s="123" t="n"/>
      <c r="M136" s="123">
        <f>IF(AND(B136&lt;&gt;"",OR($C$4="",ISNUMBER(SEARCH($C$4,C136&amp;" "&amp;E136&amp;" "&amp;G136&amp;" "&amp;H136&amp;" "&amp;I136&amp;" "&amp;J136&amp;" "&amp;K136&amp;" "&amp;L136))),OR($C$5="Semua",$C$5="",G136=$C$5),OR($C$6="Semua",$C$6="",H136=$C$6,H136="Pengeluaran "&amp;$C$6,AND($C$6="Uang Kos Mama",H136="Pengeluaran Uang Kos")),OR($C$7="Semua",$C$7="",I136=$C$7),OR($C$8="Semua",$C$8="",C136=$C$8,E136=$C$8),OR($C$9="Semua",$C$9="",D136=$C$9),OR($C$10="",B136&gt;=$C$10),OR($C$11="",B136&lt;=$C$11),OR($C$12&lt;&gt;"Ya",K136&lt;&gt;""),OR($C$13="Semua",$C$13="",L136=$C$13)),"✓","")</f>
        <v/>
      </c>
      <c r="N136" s="93">
        <f>N(N135)+IF(M136="✓",1,0)</f>
        <v/>
      </c>
      <c r="O136" s="93">
        <f>N(O135)+IF(AND(B136&lt;&gt;"",B136&gt;='Uang Riba'!$H$30,B136&lt;='Uang Riba'!$I$30,OR(H136="Dana riba",H136="Pinjam uang riba",I136="Pinjam dari uang riba",I136="Ganti uang riba",I136="Kelebihan ganti dikembalikan",AND(C136="Kantong Uang Riba",G136="Pengeluaran"))),1,0)</f>
        <v/>
      </c>
      <c r="P136" s="119">
        <f>IF(132&gt;MAX($N$16:$N$5015),"",INDEX($B$16:$B$5015,MATCH((MAX($N$16:$N$5015)-132+1),$N$16:$N$5015,0)))</f>
        <v/>
      </c>
      <c r="Q136" s="105">
        <f>IF(132&gt;MAX($N$16:$N$5015),"",INDEX($C$16:$C$5015,MATCH((MAX($N$16:$N$5015)-132+1),$N$16:$N$5015,0)))&amp;IF(IF(132&gt;MAX($N$16:$N$5015),"",INDEX($E$16:$E$5015,MATCH((MAX($N$16:$N$5015)-132+1),$N$16:$N$5015,0)))="",""," → "&amp;IF(132&gt;MAX($N$16:$N$5015),"",INDEX($E$16:$E$5015,MATCH((MAX($N$16:$N$5015)-132+1),$N$16:$N$5015,0))))</f>
        <v/>
      </c>
      <c r="R136" s="105">
        <f>IF(132&gt;MAX($N$16:$N$5015),"",INDEX($D$16:$D$5015,MATCH((MAX($N$16:$N$5015)-132+1),$N$16:$N$5015,0)))</f>
        <v/>
      </c>
      <c r="S136" s="113">
        <f>IF(132&gt;MAX($N$16:$N$5015),"",INDEX($F$16:$F$5015,MATCH((MAX($N$16:$N$5015)-132+1),$N$16:$N$5015,0)))</f>
        <v/>
      </c>
      <c r="T136" s="105">
        <f>IF(132&gt;MAX($N$16:$N$5015),"",IF(132&gt;MAX($N$16:$N$5015),"",INDEX($G$16:$G$5015,MATCH((MAX($N$16:$N$5015)-132+1),$N$16:$N$5015,0)))&amp;" › "&amp;IF(132&gt;MAX($N$16:$N$5015),"",INDEX($H$16:$H$5015,MATCH((MAX($N$16:$N$5015)-132+1),$N$16:$N$5015,0)))&amp;" › "&amp;IF(132&gt;MAX($N$16:$N$5015),"",INDEX($I$16:$I$5015,MATCH((MAX($N$16:$N$5015)-132+1),$N$16:$N$5015,0))))</f>
        <v/>
      </c>
      <c r="U136" s="105">
        <f>IF(132&gt;MAX($N$16:$N$5015),"",INDEX($J$16:$J$5015,MATCH((MAX($N$16:$N$5015)-132+1),$N$16:$N$5015,0)))&amp;IF(IF(132&gt;MAX($N$16:$N$5015),"",INDEX($L$16:$L$5015,MATCH((MAX($N$16:$N$5015)-132+1),$N$16:$N$5015,0)))="",""," ["&amp;IF(132&gt;MAX($N$16:$N$5015),"",INDEX($L$16:$L$5015,MATCH((MAX($N$16:$N$5015)-132+1),$N$16:$N$5015,0)))&amp;"]")</f>
        <v/>
      </c>
      <c r="V136" s="120">
        <f>IF(132&gt;MAX($N$16:$N$5015),"",HYPERLINK("#Transaksi!B"&amp;(MATCH((MAX($N$16:$N$5015)-132+1),$N$16:$N$5015,0)+15),"Buka"))</f>
        <v/>
      </c>
      <c r="X136" s="93">
        <f>IF(AND(B136&lt;&gt;"",B136&gt;='Buku Akun'!$H$4,B136&lt;='Buku Akun'!$H$5,OR(C136='Buku Akun'!$C$4,AND(D136="Pindah",E136='Buku Akun'!$C$4))),B136+IF(AND(I136="Selisih bunga",DAY(B136)=1),0,0.01)+ROW()/10000000,"")</f>
        <v/>
      </c>
    </row>
    <row r="137" outlineLevel="1" ht="15" customHeight="1" s="94">
      <c r="A137" s="123">
        <f>IF(B137="","",ROW()-15)</f>
        <v/>
      </c>
      <c r="B137" s="124" t="n"/>
      <c r="C137" s="123" t="n"/>
      <c r="D137" s="123" t="n"/>
      <c r="E137" s="123" t="n"/>
      <c r="F137" s="125" t="n"/>
      <c r="G137" s="123" t="n"/>
      <c r="H137" s="123" t="n"/>
      <c r="I137" s="123" t="n"/>
      <c r="J137" s="123" t="n"/>
      <c r="K137" s="123" t="n"/>
      <c r="L137" s="123" t="n"/>
      <c r="M137" s="123">
        <f>IF(AND(B137&lt;&gt;"",OR($C$4="",ISNUMBER(SEARCH($C$4,C137&amp;" "&amp;E137&amp;" "&amp;G137&amp;" "&amp;H137&amp;" "&amp;I137&amp;" "&amp;J137&amp;" "&amp;K137&amp;" "&amp;L137))),OR($C$5="Semua",$C$5="",G137=$C$5),OR($C$6="Semua",$C$6="",H137=$C$6,H137="Pengeluaran "&amp;$C$6,AND($C$6="Uang Kos Mama",H137="Pengeluaran Uang Kos")),OR($C$7="Semua",$C$7="",I137=$C$7),OR($C$8="Semua",$C$8="",C137=$C$8,E137=$C$8),OR($C$9="Semua",$C$9="",D137=$C$9),OR($C$10="",B137&gt;=$C$10),OR($C$11="",B137&lt;=$C$11),OR($C$12&lt;&gt;"Ya",K137&lt;&gt;""),OR($C$13="Semua",$C$13="",L137=$C$13)),"✓","")</f>
        <v/>
      </c>
      <c r="N137" s="93">
        <f>N(N136)+IF(M137="✓",1,0)</f>
        <v/>
      </c>
      <c r="O137" s="93">
        <f>N(O136)+IF(AND(B137&lt;&gt;"",B137&gt;='Uang Riba'!$H$30,B137&lt;='Uang Riba'!$I$30,OR(H137="Dana riba",H137="Pinjam uang riba",I137="Pinjam dari uang riba",I137="Ganti uang riba",I137="Kelebihan ganti dikembalikan",AND(C137="Kantong Uang Riba",G137="Pengeluaran"))),1,0)</f>
        <v/>
      </c>
      <c r="P137" s="119">
        <f>IF(133&gt;MAX($N$16:$N$5015),"",INDEX($B$16:$B$5015,MATCH((MAX($N$16:$N$5015)-133+1),$N$16:$N$5015,0)))</f>
        <v/>
      </c>
      <c r="Q137" s="105">
        <f>IF(133&gt;MAX($N$16:$N$5015),"",INDEX($C$16:$C$5015,MATCH((MAX($N$16:$N$5015)-133+1),$N$16:$N$5015,0)))&amp;IF(IF(133&gt;MAX($N$16:$N$5015),"",INDEX($E$16:$E$5015,MATCH((MAX($N$16:$N$5015)-133+1),$N$16:$N$5015,0)))="",""," → "&amp;IF(133&gt;MAX($N$16:$N$5015),"",INDEX($E$16:$E$5015,MATCH((MAX($N$16:$N$5015)-133+1),$N$16:$N$5015,0))))</f>
        <v/>
      </c>
      <c r="R137" s="105">
        <f>IF(133&gt;MAX($N$16:$N$5015),"",INDEX($D$16:$D$5015,MATCH((MAX($N$16:$N$5015)-133+1),$N$16:$N$5015,0)))</f>
        <v/>
      </c>
      <c r="S137" s="113">
        <f>IF(133&gt;MAX($N$16:$N$5015),"",INDEX($F$16:$F$5015,MATCH((MAX($N$16:$N$5015)-133+1),$N$16:$N$5015,0)))</f>
        <v/>
      </c>
      <c r="T137" s="105">
        <f>IF(133&gt;MAX($N$16:$N$5015),"",IF(133&gt;MAX($N$16:$N$5015),"",INDEX($G$16:$G$5015,MATCH((MAX($N$16:$N$5015)-133+1),$N$16:$N$5015,0)))&amp;" › "&amp;IF(133&gt;MAX($N$16:$N$5015),"",INDEX($H$16:$H$5015,MATCH((MAX($N$16:$N$5015)-133+1),$N$16:$N$5015,0)))&amp;" › "&amp;IF(133&gt;MAX($N$16:$N$5015),"",INDEX($I$16:$I$5015,MATCH((MAX($N$16:$N$5015)-133+1),$N$16:$N$5015,0))))</f>
        <v/>
      </c>
      <c r="U137" s="105">
        <f>IF(133&gt;MAX($N$16:$N$5015),"",INDEX($J$16:$J$5015,MATCH((MAX($N$16:$N$5015)-133+1),$N$16:$N$5015,0)))&amp;IF(IF(133&gt;MAX($N$16:$N$5015),"",INDEX($L$16:$L$5015,MATCH((MAX($N$16:$N$5015)-133+1),$N$16:$N$5015,0)))="",""," ["&amp;IF(133&gt;MAX($N$16:$N$5015),"",INDEX($L$16:$L$5015,MATCH((MAX($N$16:$N$5015)-133+1),$N$16:$N$5015,0)))&amp;"]")</f>
        <v/>
      </c>
      <c r="V137" s="120">
        <f>IF(133&gt;MAX($N$16:$N$5015),"",HYPERLINK("#Transaksi!B"&amp;(MATCH((MAX($N$16:$N$5015)-133+1),$N$16:$N$5015,0)+15),"Buka"))</f>
        <v/>
      </c>
      <c r="X137" s="93">
        <f>IF(AND(B137&lt;&gt;"",B137&gt;='Buku Akun'!$H$4,B137&lt;='Buku Akun'!$H$5,OR(C137='Buku Akun'!$C$4,AND(D137="Pindah",E137='Buku Akun'!$C$4))),B137+IF(AND(I137="Selisih bunga",DAY(B137)=1),0,0.01)+ROW()/10000000,"")</f>
        <v/>
      </c>
    </row>
    <row r="138" outlineLevel="1" ht="15" customHeight="1" s="94">
      <c r="A138" s="123">
        <f>IF(B138="","",ROW()-15)</f>
        <v/>
      </c>
      <c r="B138" s="124" t="n"/>
      <c r="C138" s="123" t="n"/>
      <c r="D138" s="123" t="n"/>
      <c r="E138" s="123" t="n"/>
      <c r="F138" s="125" t="n"/>
      <c r="G138" s="123" t="n"/>
      <c r="H138" s="123" t="n"/>
      <c r="I138" s="123" t="n"/>
      <c r="J138" s="123" t="n"/>
      <c r="K138" s="123" t="n"/>
      <c r="L138" s="123" t="n"/>
      <c r="M138" s="123">
        <f>IF(AND(B138&lt;&gt;"",OR($C$4="",ISNUMBER(SEARCH($C$4,C138&amp;" "&amp;E138&amp;" "&amp;G138&amp;" "&amp;H138&amp;" "&amp;I138&amp;" "&amp;J138&amp;" "&amp;K138&amp;" "&amp;L138))),OR($C$5="Semua",$C$5="",G138=$C$5),OR($C$6="Semua",$C$6="",H138=$C$6,H138="Pengeluaran "&amp;$C$6,AND($C$6="Uang Kos Mama",H138="Pengeluaran Uang Kos")),OR($C$7="Semua",$C$7="",I138=$C$7),OR($C$8="Semua",$C$8="",C138=$C$8,E138=$C$8),OR($C$9="Semua",$C$9="",D138=$C$9),OR($C$10="",B138&gt;=$C$10),OR($C$11="",B138&lt;=$C$11),OR($C$12&lt;&gt;"Ya",K138&lt;&gt;""),OR($C$13="Semua",$C$13="",L138=$C$13)),"✓","")</f>
        <v/>
      </c>
      <c r="N138" s="93">
        <f>N(N137)+IF(M138="✓",1,0)</f>
        <v/>
      </c>
      <c r="O138" s="93">
        <f>N(O137)+IF(AND(B138&lt;&gt;"",B138&gt;='Uang Riba'!$H$30,B138&lt;='Uang Riba'!$I$30,OR(H138="Dana riba",H138="Pinjam uang riba",I138="Pinjam dari uang riba",I138="Ganti uang riba",I138="Kelebihan ganti dikembalikan",AND(C138="Kantong Uang Riba",G138="Pengeluaran"))),1,0)</f>
        <v/>
      </c>
      <c r="P138" s="119">
        <f>IF(134&gt;MAX($N$16:$N$5015),"",INDEX($B$16:$B$5015,MATCH((MAX($N$16:$N$5015)-134+1),$N$16:$N$5015,0)))</f>
        <v/>
      </c>
      <c r="Q138" s="105">
        <f>IF(134&gt;MAX($N$16:$N$5015),"",INDEX($C$16:$C$5015,MATCH((MAX($N$16:$N$5015)-134+1),$N$16:$N$5015,0)))&amp;IF(IF(134&gt;MAX($N$16:$N$5015),"",INDEX($E$16:$E$5015,MATCH((MAX($N$16:$N$5015)-134+1),$N$16:$N$5015,0)))="",""," → "&amp;IF(134&gt;MAX($N$16:$N$5015),"",INDEX($E$16:$E$5015,MATCH((MAX($N$16:$N$5015)-134+1),$N$16:$N$5015,0))))</f>
        <v/>
      </c>
      <c r="R138" s="105">
        <f>IF(134&gt;MAX($N$16:$N$5015),"",INDEX($D$16:$D$5015,MATCH((MAX($N$16:$N$5015)-134+1),$N$16:$N$5015,0)))</f>
        <v/>
      </c>
      <c r="S138" s="113">
        <f>IF(134&gt;MAX($N$16:$N$5015),"",INDEX($F$16:$F$5015,MATCH((MAX($N$16:$N$5015)-134+1),$N$16:$N$5015,0)))</f>
        <v/>
      </c>
      <c r="T138" s="105">
        <f>IF(134&gt;MAX($N$16:$N$5015),"",IF(134&gt;MAX($N$16:$N$5015),"",INDEX($G$16:$G$5015,MATCH((MAX($N$16:$N$5015)-134+1),$N$16:$N$5015,0)))&amp;" › "&amp;IF(134&gt;MAX($N$16:$N$5015),"",INDEX($H$16:$H$5015,MATCH((MAX($N$16:$N$5015)-134+1),$N$16:$N$5015,0)))&amp;" › "&amp;IF(134&gt;MAX($N$16:$N$5015),"",INDEX($I$16:$I$5015,MATCH((MAX($N$16:$N$5015)-134+1),$N$16:$N$5015,0))))</f>
        <v/>
      </c>
      <c r="U138" s="105">
        <f>IF(134&gt;MAX($N$16:$N$5015),"",INDEX($J$16:$J$5015,MATCH((MAX($N$16:$N$5015)-134+1),$N$16:$N$5015,0)))&amp;IF(IF(134&gt;MAX($N$16:$N$5015),"",INDEX($L$16:$L$5015,MATCH((MAX($N$16:$N$5015)-134+1),$N$16:$N$5015,0)))="",""," ["&amp;IF(134&gt;MAX($N$16:$N$5015),"",INDEX($L$16:$L$5015,MATCH((MAX($N$16:$N$5015)-134+1),$N$16:$N$5015,0)))&amp;"]")</f>
        <v/>
      </c>
      <c r="V138" s="120">
        <f>IF(134&gt;MAX($N$16:$N$5015),"",HYPERLINK("#Transaksi!B"&amp;(MATCH((MAX($N$16:$N$5015)-134+1),$N$16:$N$5015,0)+15),"Buka"))</f>
        <v/>
      </c>
      <c r="X138" s="93">
        <f>IF(AND(B138&lt;&gt;"",B138&gt;='Buku Akun'!$H$4,B138&lt;='Buku Akun'!$H$5,OR(C138='Buku Akun'!$C$4,AND(D138="Pindah",E138='Buku Akun'!$C$4))),B138+IF(AND(I138="Selisih bunga",DAY(B138)=1),0,0.01)+ROW()/10000000,"")</f>
        <v/>
      </c>
    </row>
    <row r="139" outlineLevel="1" ht="15" customHeight="1" s="94">
      <c r="A139" s="123">
        <f>IF(B139="","",ROW()-15)</f>
        <v/>
      </c>
      <c r="B139" s="124" t="n"/>
      <c r="C139" s="123" t="n"/>
      <c r="D139" s="123" t="n"/>
      <c r="E139" s="123" t="n"/>
      <c r="F139" s="125" t="n"/>
      <c r="G139" s="123" t="n"/>
      <c r="H139" s="123" t="n"/>
      <c r="I139" s="123" t="n"/>
      <c r="J139" s="123" t="n"/>
      <c r="K139" s="123" t="n"/>
      <c r="L139" s="123" t="n"/>
      <c r="M139" s="123">
        <f>IF(AND(B139&lt;&gt;"",OR($C$4="",ISNUMBER(SEARCH($C$4,C139&amp;" "&amp;E139&amp;" "&amp;G139&amp;" "&amp;H139&amp;" "&amp;I139&amp;" "&amp;J139&amp;" "&amp;K139&amp;" "&amp;L139))),OR($C$5="Semua",$C$5="",G139=$C$5),OR($C$6="Semua",$C$6="",H139=$C$6,H139="Pengeluaran "&amp;$C$6,AND($C$6="Uang Kos Mama",H139="Pengeluaran Uang Kos")),OR($C$7="Semua",$C$7="",I139=$C$7),OR($C$8="Semua",$C$8="",C139=$C$8,E139=$C$8),OR($C$9="Semua",$C$9="",D139=$C$9),OR($C$10="",B139&gt;=$C$10),OR($C$11="",B139&lt;=$C$11),OR($C$12&lt;&gt;"Ya",K139&lt;&gt;""),OR($C$13="Semua",$C$13="",L139=$C$13)),"✓","")</f>
        <v/>
      </c>
      <c r="N139" s="93">
        <f>N(N138)+IF(M139="✓",1,0)</f>
        <v/>
      </c>
      <c r="O139" s="93">
        <f>N(O138)+IF(AND(B139&lt;&gt;"",B139&gt;='Uang Riba'!$H$30,B139&lt;='Uang Riba'!$I$30,OR(H139="Dana riba",H139="Pinjam uang riba",I139="Pinjam dari uang riba",I139="Ganti uang riba",I139="Kelebihan ganti dikembalikan",AND(C139="Kantong Uang Riba",G139="Pengeluaran"))),1,0)</f>
        <v/>
      </c>
      <c r="P139" s="119">
        <f>IF(135&gt;MAX($N$16:$N$5015),"",INDEX($B$16:$B$5015,MATCH((MAX($N$16:$N$5015)-135+1),$N$16:$N$5015,0)))</f>
        <v/>
      </c>
      <c r="Q139" s="105">
        <f>IF(135&gt;MAX($N$16:$N$5015),"",INDEX($C$16:$C$5015,MATCH((MAX($N$16:$N$5015)-135+1),$N$16:$N$5015,0)))&amp;IF(IF(135&gt;MAX($N$16:$N$5015),"",INDEX($E$16:$E$5015,MATCH((MAX($N$16:$N$5015)-135+1),$N$16:$N$5015,0)))="",""," → "&amp;IF(135&gt;MAX($N$16:$N$5015),"",INDEX($E$16:$E$5015,MATCH((MAX($N$16:$N$5015)-135+1),$N$16:$N$5015,0))))</f>
        <v/>
      </c>
      <c r="R139" s="105">
        <f>IF(135&gt;MAX($N$16:$N$5015),"",INDEX($D$16:$D$5015,MATCH((MAX($N$16:$N$5015)-135+1),$N$16:$N$5015,0)))</f>
        <v/>
      </c>
      <c r="S139" s="113">
        <f>IF(135&gt;MAX($N$16:$N$5015),"",INDEX($F$16:$F$5015,MATCH((MAX($N$16:$N$5015)-135+1),$N$16:$N$5015,0)))</f>
        <v/>
      </c>
      <c r="T139" s="105">
        <f>IF(135&gt;MAX($N$16:$N$5015),"",IF(135&gt;MAX($N$16:$N$5015),"",INDEX($G$16:$G$5015,MATCH((MAX($N$16:$N$5015)-135+1),$N$16:$N$5015,0)))&amp;" › "&amp;IF(135&gt;MAX($N$16:$N$5015),"",INDEX($H$16:$H$5015,MATCH((MAX($N$16:$N$5015)-135+1),$N$16:$N$5015,0)))&amp;" › "&amp;IF(135&gt;MAX($N$16:$N$5015),"",INDEX($I$16:$I$5015,MATCH((MAX($N$16:$N$5015)-135+1),$N$16:$N$5015,0))))</f>
        <v/>
      </c>
      <c r="U139" s="105">
        <f>IF(135&gt;MAX($N$16:$N$5015),"",INDEX($J$16:$J$5015,MATCH((MAX($N$16:$N$5015)-135+1),$N$16:$N$5015,0)))&amp;IF(IF(135&gt;MAX($N$16:$N$5015),"",INDEX($L$16:$L$5015,MATCH((MAX($N$16:$N$5015)-135+1),$N$16:$N$5015,0)))="",""," ["&amp;IF(135&gt;MAX($N$16:$N$5015),"",INDEX($L$16:$L$5015,MATCH((MAX($N$16:$N$5015)-135+1),$N$16:$N$5015,0)))&amp;"]")</f>
        <v/>
      </c>
      <c r="V139" s="120">
        <f>IF(135&gt;MAX($N$16:$N$5015),"",HYPERLINK("#Transaksi!B"&amp;(MATCH((MAX($N$16:$N$5015)-135+1),$N$16:$N$5015,0)+15),"Buka"))</f>
        <v/>
      </c>
      <c r="X139" s="93">
        <f>IF(AND(B139&lt;&gt;"",B139&gt;='Buku Akun'!$H$4,B139&lt;='Buku Akun'!$H$5,OR(C139='Buku Akun'!$C$4,AND(D139="Pindah",E139='Buku Akun'!$C$4))),B139+IF(AND(I139="Selisih bunga",DAY(B139)=1),0,0.01)+ROW()/10000000,"")</f>
        <v/>
      </c>
    </row>
    <row r="140" outlineLevel="1" ht="15" customHeight="1" s="94">
      <c r="A140" s="123">
        <f>IF(B140="","",ROW()-15)</f>
        <v/>
      </c>
      <c r="B140" s="124" t="n"/>
      <c r="C140" s="123" t="n"/>
      <c r="D140" s="123" t="n"/>
      <c r="E140" s="123" t="n"/>
      <c r="F140" s="125" t="n"/>
      <c r="G140" s="123" t="n"/>
      <c r="H140" s="123" t="n"/>
      <c r="I140" s="123" t="n"/>
      <c r="J140" s="123" t="n"/>
      <c r="K140" s="123" t="n"/>
      <c r="L140" s="123" t="n"/>
      <c r="M140" s="123">
        <f>IF(AND(B140&lt;&gt;"",OR($C$4="",ISNUMBER(SEARCH($C$4,C140&amp;" "&amp;E140&amp;" "&amp;G140&amp;" "&amp;H140&amp;" "&amp;I140&amp;" "&amp;J140&amp;" "&amp;K140&amp;" "&amp;L140))),OR($C$5="Semua",$C$5="",G140=$C$5),OR($C$6="Semua",$C$6="",H140=$C$6,H140="Pengeluaran "&amp;$C$6,AND($C$6="Uang Kos Mama",H140="Pengeluaran Uang Kos")),OR($C$7="Semua",$C$7="",I140=$C$7),OR($C$8="Semua",$C$8="",C140=$C$8,E140=$C$8),OR($C$9="Semua",$C$9="",D140=$C$9),OR($C$10="",B140&gt;=$C$10),OR($C$11="",B140&lt;=$C$11),OR($C$12&lt;&gt;"Ya",K140&lt;&gt;""),OR($C$13="Semua",$C$13="",L140=$C$13)),"✓","")</f>
        <v/>
      </c>
      <c r="N140" s="93">
        <f>N(N139)+IF(M140="✓",1,0)</f>
        <v/>
      </c>
      <c r="O140" s="93">
        <f>N(O139)+IF(AND(B140&lt;&gt;"",B140&gt;='Uang Riba'!$H$30,B140&lt;='Uang Riba'!$I$30,OR(H140="Dana riba",H140="Pinjam uang riba",I140="Pinjam dari uang riba",I140="Ganti uang riba",I140="Kelebihan ganti dikembalikan",AND(C140="Kantong Uang Riba",G140="Pengeluaran"))),1,0)</f>
        <v/>
      </c>
      <c r="P140" s="119">
        <f>IF(136&gt;MAX($N$16:$N$5015),"",INDEX($B$16:$B$5015,MATCH((MAX($N$16:$N$5015)-136+1),$N$16:$N$5015,0)))</f>
        <v/>
      </c>
      <c r="Q140" s="105">
        <f>IF(136&gt;MAX($N$16:$N$5015),"",INDEX($C$16:$C$5015,MATCH((MAX($N$16:$N$5015)-136+1),$N$16:$N$5015,0)))&amp;IF(IF(136&gt;MAX($N$16:$N$5015),"",INDEX($E$16:$E$5015,MATCH((MAX($N$16:$N$5015)-136+1),$N$16:$N$5015,0)))="",""," → "&amp;IF(136&gt;MAX($N$16:$N$5015),"",INDEX($E$16:$E$5015,MATCH((MAX($N$16:$N$5015)-136+1),$N$16:$N$5015,0))))</f>
        <v/>
      </c>
      <c r="R140" s="105">
        <f>IF(136&gt;MAX($N$16:$N$5015),"",INDEX($D$16:$D$5015,MATCH((MAX($N$16:$N$5015)-136+1),$N$16:$N$5015,0)))</f>
        <v/>
      </c>
      <c r="S140" s="113">
        <f>IF(136&gt;MAX($N$16:$N$5015),"",INDEX($F$16:$F$5015,MATCH((MAX($N$16:$N$5015)-136+1),$N$16:$N$5015,0)))</f>
        <v/>
      </c>
      <c r="T140" s="105">
        <f>IF(136&gt;MAX($N$16:$N$5015),"",IF(136&gt;MAX($N$16:$N$5015),"",INDEX($G$16:$G$5015,MATCH((MAX($N$16:$N$5015)-136+1),$N$16:$N$5015,0)))&amp;" › "&amp;IF(136&gt;MAX($N$16:$N$5015),"",INDEX($H$16:$H$5015,MATCH((MAX($N$16:$N$5015)-136+1),$N$16:$N$5015,0)))&amp;" › "&amp;IF(136&gt;MAX($N$16:$N$5015),"",INDEX($I$16:$I$5015,MATCH((MAX($N$16:$N$5015)-136+1),$N$16:$N$5015,0))))</f>
        <v/>
      </c>
      <c r="U140" s="105">
        <f>IF(136&gt;MAX($N$16:$N$5015),"",INDEX($J$16:$J$5015,MATCH((MAX($N$16:$N$5015)-136+1),$N$16:$N$5015,0)))&amp;IF(IF(136&gt;MAX($N$16:$N$5015),"",INDEX($L$16:$L$5015,MATCH((MAX($N$16:$N$5015)-136+1),$N$16:$N$5015,0)))="",""," ["&amp;IF(136&gt;MAX($N$16:$N$5015),"",INDEX($L$16:$L$5015,MATCH((MAX($N$16:$N$5015)-136+1),$N$16:$N$5015,0)))&amp;"]")</f>
        <v/>
      </c>
      <c r="V140" s="120">
        <f>IF(136&gt;MAX($N$16:$N$5015),"",HYPERLINK("#Transaksi!B"&amp;(MATCH((MAX($N$16:$N$5015)-136+1),$N$16:$N$5015,0)+15),"Buka"))</f>
        <v/>
      </c>
      <c r="X140" s="93">
        <f>IF(AND(B140&lt;&gt;"",B140&gt;='Buku Akun'!$H$4,B140&lt;='Buku Akun'!$H$5,OR(C140='Buku Akun'!$C$4,AND(D140="Pindah",E140='Buku Akun'!$C$4))),B140+IF(AND(I140="Selisih bunga",DAY(B140)=1),0,0.01)+ROW()/10000000,"")</f>
        <v/>
      </c>
    </row>
    <row r="141" outlineLevel="1" ht="15" customHeight="1" s="94">
      <c r="A141" s="123">
        <f>IF(B141="","",ROW()-15)</f>
        <v/>
      </c>
      <c r="B141" s="124" t="n"/>
      <c r="C141" s="123" t="n"/>
      <c r="D141" s="123" t="n"/>
      <c r="E141" s="123" t="n"/>
      <c r="F141" s="125" t="n"/>
      <c r="G141" s="123" t="n"/>
      <c r="H141" s="123" t="n"/>
      <c r="I141" s="123" t="n"/>
      <c r="J141" s="123" t="n"/>
      <c r="K141" s="123" t="n"/>
      <c r="L141" s="123" t="n"/>
      <c r="M141" s="123">
        <f>IF(AND(B141&lt;&gt;"",OR($C$4="",ISNUMBER(SEARCH($C$4,C141&amp;" "&amp;E141&amp;" "&amp;G141&amp;" "&amp;H141&amp;" "&amp;I141&amp;" "&amp;J141&amp;" "&amp;K141&amp;" "&amp;L141))),OR($C$5="Semua",$C$5="",G141=$C$5),OR($C$6="Semua",$C$6="",H141=$C$6,H141="Pengeluaran "&amp;$C$6,AND($C$6="Uang Kos Mama",H141="Pengeluaran Uang Kos")),OR($C$7="Semua",$C$7="",I141=$C$7),OR($C$8="Semua",$C$8="",C141=$C$8,E141=$C$8),OR($C$9="Semua",$C$9="",D141=$C$9),OR($C$10="",B141&gt;=$C$10),OR($C$11="",B141&lt;=$C$11),OR($C$12&lt;&gt;"Ya",K141&lt;&gt;""),OR($C$13="Semua",$C$13="",L141=$C$13)),"✓","")</f>
        <v/>
      </c>
      <c r="N141" s="93">
        <f>N(N140)+IF(M141="✓",1,0)</f>
        <v/>
      </c>
      <c r="O141" s="93">
        <f>N(O140)+IF(AND(B141&lt;&gt;"",B141&gt;='Uang Riba'!$H$30,B141&lt;='Uang Riba'!$I$30,OR(H141="Dana riba",H141="Pinjam uang riba",I141="Pinjam dari uang riba",I141="Ganti uang riba",I141="Kelebihan ganti dikembalikan",AND(C141="Kantong Uang Riba",G141="Pengeluaran"))),1,0)</f>
        <v/>
      </c>
      <c r="P141" s="119">
        <f>IF(137&gt;MAX($N$16:$N$5015),"",INDEX($B$16:$B$5015,MATCH((MAX($N$16:$N$5015)-137+1),$N$16:$N$5015,0)))</f>
        <v/>
      </c>
      <c r="Q141" s="105">
        <f>IF(137&gt;MAX($N$16:$N$5015),"",INDEX($C$16:$C$5015,MATCH((MAX($N$16:$N$5015)-137+1),$N$16:$N$5015,0)))&amp;IF(IF(137&gt;MAX($N$16:$N$5015),"",INDEX($E$16:$E$5015,MATCH((MAX($N$16:$N$5015)-137+1),$N$16:$N$5015,0)))="",""," → "&amp;IF(137&gt;MAX($N$16:$N$5015),"",INDEX($E$16:$E$5015,MATCH((MAX($N$16:$N$5015)-137+1),$N$16:$N$5015,0))))</f>
        <v/>
      </c>
      <c r="R141" s="105">
        <f>IF(137&gt;MAX($N$16:$N$5015),"",INDEX($D$16:$D$5015,MATCH((MAX($N$16:$N$5015)-137+1),$N$16:$N$5015,0)))</f>
        <v/>
      </c>
      <c r="S141" s="113">
        <f>IF(137&gt;MAX($N$16:$N$5015),"",INDEX($F$16:$F$5015,MATCH((MAX($N$16:$N$5015)-137+1),$N$16:$N$5015,0)))</f>
        <v/>
      </c>
      <c r="T141" s="105">
        <f>IF(137&gt;MAX($N$16:$N$5015),"",IF(137&gt;MAX($N$16:$N$5015),"",INDEX($G$16:$G$5015,MATCH((MAX($N$16:$N$5015)-137+1),$N$16:$N$5015,0)))&amp;" › "&amp;IF(137&gt;MAX($N$16:$N$5015),"",INDEX($H$16:$H$5015,MATCH((MAX($N$16:$N$5015)-137+1),$N$16:$N$5015,0)))&amp;" › "&amp;IF(137&gt;MAX($N$16:$N$5015),"",INDEX($I$16:$I$5015,MATCH((MAX($N$16:$N$5015)-137+1),$N$16:$N$5015,0))))</f>
        <v/>
      </c>
      <c r="U141" s="105">
        <f>IF(137&gt;MAX($N$16:$N$5015),"",INDEX($J$16:$J$5015,MATCH((MAX($N$16:$N$5015)-137+1),$N$16:$N$5015,0)))&amp;IF(IF(137&gt;MAX($N$16:$N$5015),"",INDEX($L$16:$L$5015,MATCH((MAX($N$16:$N$5015)-137+1),$N$16:$N$5015,0)))="",""," ["&amp;IF(137&gt;MAX($N$16:$N$5015),"",INDEX($L$16:$L$5015,MATCH((MAX($N$16:$N$5015)-137+1),$N$16:$N$5015,0)))&amp;"]")</f>
        <v/>
      </c>
      <c r="V141" s="120">
        <f>IF(137&gt;MAX($N$16:$N$5015),"",HYPERLINK("#Transaksi!B"&amp;(MATCH((MAX($N$16:$N$5015)-137+1),$N$16:$N$5015,0)+15),"Buka"))</f>
        <v/>
      </c>
      <c r="X141" s="93">
        <f>IF(AND(B141&lt;&gt;"",B141&gt;='Buku Akun'!$H$4,B141&lt;='Buku Akun'!$H$5,OR(C141='Buku Akun'!$C$4,AND(D141="Pindah",E141='Buku Akun'!$C$4))),B141+IF(AND(I141="Selisih bunga",DAY(B141)=1),0,0.01)+ROW()/10000000,"")</f>
        <v/>
      </c>
    </row>
    <row r="142" outlineLevel="1" ht="15" customHeight="1" s="94">
      <c r="A142" s="123">
        <f>IF(B142="","",ROW()-15)</f>
        <v/>
      </c>
      <c r="B142" s="124" t="n"/>
      <c r="C142" s="123" t="n"/>
      <c r="D142" s="123" t="n"/>
      <c r="E142" s="123" t="n"/>
      <c r="F142" s="125" t="n"/>
      <c r="G142" s="123" t="n"/>
      <c r="H142" s="123" t="n"/>
      <c r="I142" s="123" t="n"/>
      <c r="J142" s="123" t="n"/>
      <c r="K142" s="123" t="n"/>
      <c r="L142" s="123" t="n"/>
      <c r="M142" s="123">
        <f>IF(AND(B142&lt;&gt;"",OR($C$4="",ISNUMBER(SEARCH($C$4,C142&amp;" "&amp;E142&amp;" "&amp;G142&amp;" "&amp;H142&amp;" "&amp;I142&amp;" "&amp;J142&amp;" "&amp;K142&amp;" "&amp;L142))),OR($C$5="Semua",$C$5="",G142=$C$5),OR($C$6="Semua",$C$6="",H142=$C$6,H142="Pengeluaran "&amp;$C$6,AND($C$6="Uang Kos Mama",H142="Pengeluaran Uang Kos")),OR($C$7="Semua",$C$7="",I142=$C$7),OR($C$8="Semua",$C$8="",C142=$C$8,E142=$C$8),OR($C$9="Semua",$C$9="",D142=$C$9),OR($C$10="",B142&gt;=$C$10),OR($C$11="",B142&lt;=$C$11),OR($C$12&lt;&gt;"Ya",K142&lt;&gt;""),OR($C$13="Semua",$C$13="",L142=$C$13)),"✓","")</f>
        <v/>
      </c>
      <c r="N142" s="93">
        <f>N(N141)+IF(M142="✓",1,0)</f>
        <v/>
      </c>
      <c r="O142" s="93">
        <f>N(O141)+IF(AND(B142&lt;&gt;"",B142&gt;='Uang Riba'!$H$30,B142&lt;='Uang Riba'!$I$30,OR(H142="Dana riba",H142="Pinjam uang riba",I142="Pinjam dari uang riba",I142="Ganti uang riba",I142="Kelebihan ganti dikembalikan",AND(C142="Kantong Uang Riba",G142="Pengeluaran"))),1,0)</f>
        <v/>
      </c>
      <c r="P142" s="119">
        <f>IF(138&gt;MAX($N$16:$N$5015),"",INDEX($B$16:$B$5015,MATCH((MAX($N$16:$N$5015)-138+1),$N$16:$N$5015,0)))</f>
        <v/>
      </c>
      <c r="Q142" s="105">
        <f>IF(138&gt;MAX($N$16:$N$5015),"",INDEX($C$16:$C$5015,MATCH((MAX($N$16:$N$5015)-138+1),$N$16:$N$5015,0)))&amp;IF(IF(138&gt;MAX($N$16:$N$5015),"",INDEX($E$16:$E$5015,MATCH((MAX($N$16:$N$5015)-138+1),$N$16:$N$5015,0)))="",""," → "&amp;IF(138&gt;MAX($N$16:$N$5015),"",INDEX($E$16:$E$5015,MATCH((MAX($N$16:$N$5015)-138+1),$N$16:$N$5015,0))))</f>
        <v/>
      </c>
      <c r="R142" s="105">
        <f>IF(138&gt;MAX($N$16:$N$5015),"",INDEX($D$16:$D$5015,MATCH((MAX($N$16:$N$5015)-138+1),$N$16:$N$5015,0)))</f>
        <v/>
      </c>
      <c r="S142" s="113">
        <f>IF(138&gt;MAX($N$16:$N$5015),"",INDEX($F$16:$F$5015,MATCH((MAX($N$16:$N$5015)-138+1),$N$16:$N$5015,0)))</f>
        <v/>
      </c>
      <c r="T142" s="105">
        <f>IF(138&gt;MAX($N$16:$N$5015),"",IF(138&gt;MAX($N$16:$N$5015),"",INDEX($G$16:$G$5015,MATCH((MAX($N$16:$N$5015)-138+1),$N$16:$N$5015,0)))&amp;" › "&amp;IF(138&gt;MAX($N$16:$N$5015),"",INDEX($H$16:$H$5015,MATCH((MAX($N$16:$N$5015)-138+1),$N$16:$N$5015,0)))&amp;" › "&amp;IF(138&gt;MAX($N$16:$N$5015),"",INDEX($I$16:$I$5015,MATCH((MAX($N$16:$N$5015)-138+1),$N$16:$N$5015,0))))</f>
        <v/>
      </c>
      <c r="U142" s="105">
        <f>IF(138&gt;MAX($N$16:$N$5015),"",INDEX($J$16:$J$5015,MATCH((MAX($N$16:$N$5015)-138+1),$N$16:$N$5015,0)))&amp;IF(IF(138&gt;MAX($N$16:$N$5015),"",INDEX($L$16:$L$5015,MATCH((MAX($N$16:$N$5015)-138+1),$N$16:$N$5015,0)))="",""," ["&amp;IF(138&gt;MAX($N$16:$N$5015),"",INDEX($L$16:$L$5015,MATCH((MAX($N$16:$N$5015)-138+1),$N$16:$N$5015,0)))&amp;"]")</f>
        <v/>
      </c>
      <c r="V142" s="120">
        <f>IF(138&gt;MAX($N$16:$N$5015),"",HYPERLINK("#Transaksi!B"&amp;(MATCH((MAX($N$16:$N$5015)-138+1),$N$16:$N$5015,0)+15),"Buka"))</f>
        <v/>
      </c>
      <c r="X142" s="93">
        <f>IF(AND(B142&lt;&gt;"",B142&gt;='Buku Akun'!$H$4,B142&lt;='Buku Akun'!$H$5,OR(C142='Buku Akun'!$C$4,AND(D142="Pindah",E142='Buku Akun'!$C$4))),B142+IF(AND(I142="Selisih bunga",DAY(B142)=1),0,0.01)+ROW()/10000000,"")</f>
        <v/>
      </c>
    </row>
    <row r="143" outlineLevel="1" ht="15" customHeight="1" s="94">
      <c r="A143" s="123">
        <f>IF(B143="","",ROW()-15)</f>
        <v/>
      </c>
      <c r="B143" s="124" t="n"/>
      <c r="C143" s="123" t="n"/>
      <c r="D143" s="123" t="n"/>
      <c r="E143" s="123" t="n"/>
      <c r="F143" s="125" t="n"/>
      <c r="G143" s="123" t="n"/>
      <c r="H143" s="123" t="n"/>
      <c r="I143" s="123" t="n"/>
      <c r="J143" s="123" t="n"/>
      <c r="K143" s="123" t="n"/>
      <c r="L143" s="123" t="n"/>
      <c r="M143" s="123">
        <f>IF(AND(B143&lt;&gt;"",OR($C$4="",ISNUMBER(SEARCH($C$4,C143&amp;" "&amp;E143&amp;" "&amp;G143&amp;" "&amp;H143&amp;" "&amp;I143&amp;" "&amp;J143&amp;" "&amp;K143&amp;" "&amp;L143))),OR($C$5="Semua",$C$5="",G143=$C$5),OR($C$6="Semua",$C$6="",H143=$C$6,H143="Pengeluaran "&amp;$C$6,AND($C$6="Uang Kos Mama",H143="Pengeluaran Uang Kos")),OR($C$7="Semua",$C$7="",I143=$C$7),OR($C$8="Semua",$C$8="",C143=$C$8,E143=$C$8),OR($C$9="Semua",$C$9="",D143=$C$9),OR($C$10="",B143&gt;=$C$10),OR($C$11="",B143&lt;=$C$11),OR($C$12&lt;&gt;"Ya",K143&lt;&gt;""),OR($C$13="Semua",$C$13="",L143=$C$13)),"✓","")</f>
        <v/>
      </c>
      <c r="N143" s="93">
        <f>N(N142)+IF(M143="✓",1,0)</f>
        <v/>
      </c>
      <c r="O143" s="93">
        <f>N(O142)+IF(AND(B143&lt;&gt;"",B143&gt;='Uang Riba'!$H$30,B143&lt;='Uang Riba'!$I$30,OR(H143="Dana riba",H143="Pinjam uang riba",I143="Pinjam dari uang riba",I143="Ganti uang riba",I143="Kelebihan ganti dikembalikan",AND(C143="Kantong Uang Riba",G143="Pengeluaran"))),1,0)</f>
        <v/>
      </c>
      <c r="P143" s="119">
        <f>IF(139&gt;MAX($N$16:$N$5015),"",INDEX($B$16:$B$5015,MATCH((MAX($N$16:$N$5015)-139+1),$N$16:$N$5015,0)))</f>
        <v/>
      </c>
      <c r="Q143" s="105">
        <f>IF(139&gt;MAX($N$16:$N$5015),"",INDEX($C$16:$C$5015,MATCH((MAX($N$16:$N$5015)-139+1),$N$16:$N$5015,0)))&amp;IF(IF(139&gt;MAX($N$16:$N$5015),"",INDEX($E$16:$E$5015,MATCH((MAX($N$16:$N$5015)-139+1),$N$16:$N$5015,0)))="",""," → "&amp;IF(139&gt;MAX($N$16:$N$5015),"",INDEX($E$16:$E$5015,MATCH((MAX($N$16:$N$5015)-139+1),$N$16:$N$5015,0))))</f>
        <v/>
      </c>
      <c r="R143" s="105">
        <f>IF(139&gt;MAX($N$16:$N$5015),"",INDEX($D$16:$D$5015,MATCH((MAX($N$16:$N$5015)-139+1),$N$16:$N$5015,0)))</f>
        <v/>
      </c>
      <c r="S143" s="113">
        <f>IF(139&gt;MAX($N$16:$N$5015),"",INDEX($F$16:$F$5015,MATCH((MAX($N$16:$N$5015)-139+1),$N$16:$N$5015,0)))</f>
        <v/>
      </c>
      <c r="T143" s="105">
        <f>IF(139&gt;MAX($N$16:$N$5015),"",IF(139&gt;MAX($N$16:$N$5015),"",INDEX($G$16:$G$5015,MATCH((MAX($N$16:$N$5015)-139+1),$N$16:$N$5015,0)))&amp;" › "&amp;IF(139&gt;MAX($N$16:$N$5015),"",INDEX($H$16:$H$5015,MATCH((MAX($N$16:$N$5015)-139+1),$N$16:$N$5015,0)))&amp;" › "&amp;IF(139&gt;MAX($N$16:$N$5015),"",INDEX($I$16:$I$5015,MATCH((MAX($N$16:$N$5015)-139+1),$N$16:$N$5015,0))))</f>
        <v/>
      </c>
      <c r="U143" s="105">
        <f>IF(139&gt;MAX($N$16:$N$5015),"",INDEX($J$16:$J$5015,MATCH((MAX($N$16:$N$5015)-139+1),$N$16:$N$5015,0)))&amp;IF(IF(139&gt;MAX($N$16:$N$5015),"",INDEX($L$16:$L$5015,MATCH((MAX($N$16:$N$5015)-139+1),$N$16:$N$5015,0)))="",""," ["&amp;IF(139&gt;MAX($N$16:$N$5015),"",INDEX($L$16:$L$5015,MATCH((MAX($N$16:$N$5015)-139+1),$N$16:$N$5015,0)))&amp;"]")</f>
        <v/>
      </c>
      <c r="V143" s="120">
        <f>IF(139&gt;MAX($N$16:$N$5015),"",HYPERLINK("#Transaksi!B"&amp;(MATCH((MAX($N$16:$N$5015)-139+1),$N$16:$N$5015,0)+15),"Buka"))</f>
        <v/>
      </c>
      <c r="X143" s="93">
        <f>IF(AND(B143&lt;&gt;"",B143&gt;='Buku Akun'!$H$4,B143&lt;='Buku Akun'!$H$5,OR(C143='Buku Akun'!$C$4,AND(D143="Pindah",E143='Buku Akun'!$C$4))),B143+IF(AND(I143="Selisih bunga",DAY(B143)=1),0,0.01)+ROW()/10000000,"")</f>
        <v/>
      </c>
    </row>
    <row r="144" outlineLevel="1" ht="15" customHeight="1" s="94">
      <c r="A144" s="123">
        <f>IF(B144="","",ROW()-15)</f>
        <v/>
      </c>
      <c r="B144" s="124" t="n"/>
      <c r="C144" s="123" t="n"/>
      <c r="D144" s="123" t="n"/>
      <c r="E144" s="123" t="n"/>
      <c r="F144" s="125" t="n"/>
      <c r="G144" s="123" t="n"/>
      <c r="H144" s="123" t="n"/>
      <c r="I144" s="123" t="n"/>
      <c r="J144" s="123" t="n"/>
      <c r="K144" s="123" t="n"/>
      <c r="L144" s="123" t="n"/>
      <c r="M144" s="123">
        <f>IF(AND(B144&lt;&gt;"",OR($C$4="",ISNUMBER(SEARCH($C$4,C144&amp;" "&amp;E144&amp;" "&amp;G144&amp;" "&amp;H144&amp;" "&amp;I144&amp;" "&amp;J144&amp;" "&amp;K144&amp;" "&amp;L144))),OR($C$5="Semua",$C$5="",G144=$C$5),OR($C$6="Semua",$C$6="",H144=$C$6,H144="Pengeluaran "&amp;$C$6,AND($C$6="Uang Kos Mama",H144="Pengeluaran Uang Kos")),OR($C$7="Semua",$C$7="",I144=$C$7),OR($C$8="Semua",$C$8="",C144=$C$8,E144=$C$8),OR($C$9="Semua",$C$9="",D144=$C$9),OR($C$10="",B144&gt;=$C$10),OR($C$11="",B144&lt;=$C$11),OR($C$12&lt;&gt;"Ya",K144&lt;&gt;""),OR($C$13="Semua",$C$13="",L144=$C$13)),"✓","")</f>
        <v/>
      </c>
      <c r="N144" s="93">
        <f>N(N143)+IF(M144="✓",1,0)</f>
        <v/>
      </c>
      <c r="O144" s="93">
        <f>N(O143)+IF(AND(B144&lt;&gt;"",B144&gt;='Uang Riba'!$H$30,B144&lt;='Uang Riba'!$I$30,OR(H144="Dana riba",H144="Pinjam uang riba",I144="Pinjam dari uang riba",I144="Ganti uang riba",I144="Kelebihan ganti dikembalikan",AND(C144="Kantong Uang Riba",G144="Pengeluaran"))),1,0)</f>
        <v/>
      </c>
      <c r="P144" s="119">
        <f>IF(140&gt;MAX($N$16:$N$5015),"",INDEX($B$16:$B$5015,MATCH((MAX($N$16:$N$5015)-140+1),$N$16:$N$5015,0)))</f>
        <v/>
      </c>
      <c r="Q144" s="105">
        <f>IF(140&gt;MAX($N$16:$N$5015),"",INDEX($C$16:$C$5015,MATCH((MAX($N$16:$N$5015)-140+1),$N$16:$N$5015,0)))&amp;IF(IF(140&gt;MAX($N$16:$N$5015),"",INDEX($E$16:$E$5015,MATCH((MAX($N$16:$N$5015)-140+1),$N$16:$N$5015,0)))="",""," → "&amp;IF(140&gt;MAX($N$16:$N$5015),"",INDEX($E$16:$E$5015,MATCH((MAX($N$16:$N$5015)-140+1),$N$16:$N$5015,0))))</f>
        <v/>
      </c>
      <c r="R144" s="105">
        <f>IF(140&gt;MAX($N$16:$N$5015),"",INDEX($D$16:$D$5015,MATCH((MAX($N$16:$N$5015)-140+1),$N$16:$N$5015,0)))</f>
        <v/>
      </c>
      <c r="S144" s="113">
        <f>IF(140&gt;MAX($N$16:$N$5015),"",INDEX($F$16:$F$5015,MATCH((MAX($N$16:$N$5015)-140+1),$N$16:$N$5015,0)))</f>
        <v/>
      </c>
      <c r="T144" s="105">
        <f>IF(140&gt;MAX($N$16:$N$5015),"",IF(140&gt;MAX($N$16:$N$5015),"",INDEX($G$16:$G$5015,MATCH((MAX($N$16:$N$5015)-140+1),$N$16:$N$5015,0)))&amp;" › "&amp;IF(140&gt;MAX($N$16:$N$5015),"",INDEX($H$16:$H$5015,MATCH((MAX($N$16:$N$5015)-140+1),$N$16:$N$5015,0)))&amp;" › "&amp;IF(140&gt;MAX($N$16:$N$5015),"",INDEX($I$16:$I$5015,MATCH((MAX($N$16:$N$5015)-140+1),$N$16:$N$5015,0))))</f>
        <v/>
      </c>
      <c r="U144" s="105">
        <f>IF(140&gt;MAX($N$16:$N$5015),"",INDEX($J$16:$J$5015,MATCH((MAX($N$16:$N$5015)-140+1),$N$16:$N$5015,0)))&amp;IF(IF(140&gt;MAX($N$16:$N$5015),"",INDEX($L$16:$L$5015,MATCH((MAX($N$16:$N$5015)-140+1),$N$16:$N$5015,0)))="",""," ["&amp;IF(140&gt;MAX($N$16:$N$5015),"",INDEX($L$16:$L$5015,MATCH((MAX($N$16:$N$5015)-140+1),$N$16:$N$5015,0)))&amp;"]")</f>
        <v/>
      </c>
      <c r="V144" s="120">
        <f>IF(140&gt;MAX($N$16:$N$5015),"",HYPERLINK("#Transaksi!B"&amp;(MATCH((MAX($N$16:$N$5015)-140+1),$N$16:$N$5015,0)+15),"Buka"))</f>
        <v/>
      </c>
      <c r="X144" s="93">
        <f>IF(AND(B144&lt;&gt;"",B144&gt;='Buku Akun'!$H$4,B144&lt;='Buku Akun'!$H$5,OR(C144='Buku Akun'!$C$4,AND(D144="Pindah",E144='Buku Akun'!$C$4))),B144+IF(AND(I144="Selisih bunga",DAY(B144)=1),0,0.01)+ROW()/10000000,"")</f>
        <v/>
      </c>
    </row>
    <row r="145" outlineLevel="1" ht="15" customHeight="1" s="94">
      <c r="A145" s="123">
        <f>IF(B145="","",ROW()-15)</f>
        <v/>
      </c>
      <c r="B145" s="124" t="n"/>
      <c r="C145" s="123" t="n"/>
      <c r="D145" s="123" t="n"/>
      <c r="E145" s="123" t="n"/>
      <c r="F145" s="125" t="n"/>
      <c r="G145" s="123" t="n"/>
      <c r="H145" s="123" t="n"/>
      <c r="I145" s="123" t="n"/>
      <c r="J145" s="123" t="n"/>
      <c r="K145" s="123" t="n"/>
      <c r="L145" s="123" t="n"/>
      <c r="M145" s="123">
        <f>IF(AND(B145&lt;&gt;"",OR($C$4="",ISNUMBER(SEARCH($C$4,C145&amp;" "&amp;E145&amp;" "&amp;G145&amp;" "&amp;H145&amp;" "&amp;I145&amp;" "&amp;J145&amp;" "&amp;K145&amp;" "&amp;L145))),OR($C$5="Semua",$C$5="",G145=$C$5),OR($C$6="Semua",$C$6="",H145=$C$6,H145="Pengeluaran "&amp;$C$6,AND($C$6="Uang Kos Mama",H145="Pengeluaran Uang Kos")),OR($C$7="Semua",$C$7="",I145=$C$7),OR($C$8="Semua",$C$8="",C145=$C$8,E145=$C$8),OR($C$9="Semua",$C$9="",D145=$C$9),OR($C$10="",B145&gt;=$C$10),OR($C$11="",B145&lt;=$C$11),OR($C$12&lt;&gt;"Ya",K145&lt;&gt;""),OR($C$13="Semua",$C$13="",L145=$C$13)),"✓","")</f>
        <v/>
      </c>
      <c r="N145" s="93">
        <f>N(N144)+IF(M145="✓",1,0)</f>
        <v/>
      </c>
      <c r="O145" s="93">
        <f>N(O144)+IF(AND(B145&lt;&gt;"",B145&gt;='Uang Riba'!$H$30,B145&lt;='Uang Riba'!$I$30,OR(H145="Dana riba",H145="Pinjam uang riba",I145="Pinjam dari uang riba",I145="Ganti uang riba",I145="Kelebihan ganti dikembalikan",AND(C145="Kantong Uang Riba",G145="Pengeluaran"))),1,0)</f>
        <v/>
      </c>
      <c r="P145" s="119">
        <f>IF(141&gt;MAX($N$16:$N$5015),"",INDEX($B$16:$B$5015,MATCH((MAX($N$16:$N$5015)-141+1),$N$16:$N$5015,0)))</f>
        <v/>
      </c>
      <c r="Q145" s="105">
        <f>IF(141&gt;MAX($N$16:$N$5015),"",INDEX($C$16:$C$5015,MATCH((MAX($N$16:$N$5015)-141+1),$N$16:$N$5015,0)))&amp;IF(IF(141&gt;MAX($N$16:$N$5015),"",INDEX($E$16:$E$5015,MATCH((MAX($N$16:$N$5015)-141+1),$N$16:$N$5015,0)))="",""," → "&amp;IF(141&gt;MAX($N$16:$N$5015),"",INDEX($E$16:$E$5015,MATCH((MAX($N$16:$N$5015)-141+1),$N$16:$N$5015,0))))</f>
        <v/>
      </c>
      <c r="R145" s="105">
        <f>IF(141&gt;MAX($N$16:$N$5015),"",INDEX($D$16:$D$5015,MATCH((MAX($N$16:$N$5015)-141+1),$N$16:$N$5015,0)))</f>
        <v/>
      </c>
      <c r="S145" s="113">
        <f>IF(141&gt;MAX($N$16:$N$5015),"",INDEX($F$16:$F$5015,MATCH((MAX($N$16:$N$5015)-141+1),$N$16:$N$5015,0)))</f>
        <v/>
      </c>
      <c r="T145" s="105">
        <f>IF(141&gt;MAX($N$16:$N$5015),"",IF(141&gt;MAX($N$16:$N$5015),"",INDEX($G$16:$G$5015,MATCH((MAX($N$16:$N$5015)-141+1),$N$16:$N$5015,0)))&amp;" › "&amp;IF(141&gt;MAX($N$16:$N$5015),"",INDEX($H$16:$H$5015,MATCH((MAX($N$16:$N$5015)-141+1),$N$16:$N$5015,0)))&amp;" › "&amp;IF(141&gt;MAX($N$16:$N$5015),"",INDEX($I$16:$I$5015,MATCH((MAX($N$16:$N$5015)-141+1),$N$16:$N$5015,0))))</f>
        <v/>
      </c>
      <c r="U145" s="105">
        <f>IF(141&gt;MAX($N$16:$N$5015),"",INDEX($J$16:$J$5015,MATCH((MAX($N$16:$N$5015)-141+1),$N$16:$N$5015,0)))&amp;IF(IF(141&gt;MAX($N$16:$N$5015),"",INDEX($L$16:$L$5015,MATCH((MAX($N$16:$N$5015)-141+1),$N$16:$N$5015,0)))="",""," ["&amp;IF(141&gt;MAX($N$16:$N$5015),"",INDEX($L$16:$L$5015,MATCH((MAX($N$16:$N$5015)-141+1),$N$16:$N$5015,0)))&amp;"]")</f>
        <v/>
      </c>
      <c r="V145" s="120">
        <f>IF(141&gt;MAX($N$16:$N$5015),"",HYPERLINK("#Transaksi!B"&amp;(MATCH((MAX($N$16:$N$5015)-141+1),$N$16:$N$5015,0)+15),"Buka"))</f>
        <v/>
      </c>
      <c r="X145" s="93">
        <f>IF(AND(B145&lt;&gt;"",B145&gt;='Buku Akun'!$H$4,B145&lt;='Buku Akun'!$H$5,OR(C145='Buku Akun'!$C$4,AND(D145="Pindah",E145='Buku Akun'!$C$4))),B145+IF(AND(I145="Selisih bunga",DAY(B145)=1),0,0.01)+ROW()/10000000,"")</f>
        <v/>
      </c>
    </row>
    <row r="146" outlineLevel="1" ht="15" customHeight="1" s="94">
      <c r="A146" s="123">
        <f>IF(B146="","",ROW()-15)</f>
        <v/>
      </c>
      <c r="B146" s="124" t="n"/>
      <c r="C146" s="123" t="n"/>
      <c r="D146" s="123" t="n"/>
      <c r="E146" s="123" t="n"/>
      <c r="F146" s="125" t="n"/>
      <c r="G146" s="123" t="n"/>
      <c r="H146" s="123" t="n"/>
      <c r="I146" s="123" t="n"/>
      <c r="J146" s="123" t="n"/>
      <c r="K146" s="123" t="n"/>
      <c r="L146" s="123" t="n"/>
      <c r="M146" s="123">
        <f>IF(AND(B146&lt;&gt;"",OR($C$4="",ISNUMBER(SEARCH($C$4,C146&amp;" "&amp;E146&amp;" "&amp;G146&amp;" "&amp;H146&amp;" "&amp;I146&amp;" "&amp;J146&amp;" "&amp;K146&amp;" "&amp;L146))),OR($C$5="Semua",$C$5="",G146=$C$5),OR($C$6="Semua",$C$6="",H146=$C$6,H146="Pengeluaran "&amp;$C$6,AND($C$6="Uang Kos Mama",H146="Pengeluaran Uang Kos")),OR($C$7="Semua",$C$7="",I146=$C$7),OR($C$8="Semua",$C$8="",C146=$C$8,E146=$C$8),OR($C$9="Semua",$C$9="",D146=$C$9),OR($C$10="",B146&gt;=$C$10),OR($C$11="",B146&lt;=$C$11),OR($C$12&lt;&gt;"Ya",K146&lt;&gt;""),OR($C$13="Semua",$C$13="",L146=$C$13)),"✓","")</f>
        <v/>
      </c>
      <c r="N146" s="93">
        <f>N(N145)+IF(M146="✓",1,0)</f>
        <v/>
      </c>
      <c r="O146" s="93">
        <f>N(O145)+IF(AND(B146&lt;&gt;"",B146&gt;='Uang Riba'!$H$30,B146&lt;='Uang Riba'!$I$30,OR(H146="Dana riba",H146="Pinjam uang riba",I146="Pinjam dari uang riba",I146="Ganti uang riba",I146="Kelebihan ganti dikembalikan",AND(C146="Kantong Uang Riba",G146="Pengeluaran"))),1,0)</f>
        <v/>
      </c>
      <c r="P146" s="119">
        <f>IF(142&gt;MAX($N$16:$N$5015),"",INDEX($B$16:$B$5015,MATCH((MAX($N$16:$N$5015)-142+1),$N$16:$N$5015,0)))</f>
        <v/>
      </c>
      <c r="Q146" s="105">
        <f>IF(142&gt;MAX($N$16:$N$5015),"",INDEX($C$16:$C$5015,MATCH((MAX($N$16:$N$5015)-142+1),$N$16:$N$5015,0)))&amp;IF(IF(142&gt;MAX($N$16:$N$5015),"",INDEX($E$16:$E$5015,MATCH((MAX($N$16:$N$5015)-142+1),$N$16:$N$5015,0)))="",""," → "&amp;IF(142&gt;MAX($N$16:$N$5015),"",INDEX($E$16:$E$5015,MATCH((MAX($N$16:$N$5015)-142+1),$N$16:$N$5015,0))))</f>
        <v/>
      </c>
      <c r="R146" s="105">
        <f>IF(142&gt;MAX($N$16:$N$5015),"",INDEX($D$16:$D$5015,MATCH((MAX($N$16:$N$5015)-142+1),$N$16:$N$5015,0)))</f>
        <v/>
      </c>
      <c r="S146" s="113">
        <f>IF(142&gt;MAX($N$16:$N$5015),"",INDEX($F$16:$F$5015,MATCH((MAX($N$16:$N$5015)-142+1),$N$16:$N$5015,0)))</f>
        <v/>
      </c>
      <c r="T146" s="105">
        <f>IF(142&gt;MAX($N$16:$N$5015),"",IF(142&gt;MAX($N$16:$N$5015),"",INDEX($G$16:$G$5015,MATCH((MAX($N$16:$N$5015)-142+1),$N$16:$N$5015,0)))&amp;" › "&amp;IF(142&gt;MAX($N$16:$N$5015),"",INDEX($H$16:$H$5015,MATCH((MAX($N$16:$N$5015)-142+1),$N$16:$N$5015,0)))&amp;" › "&amp;IF(142&gt;MAX($N$16:$N$5015),"",INDEX($I$16:$I$5015,MATCH((MAX($N$16:$N$5015)-142+1),$N$16:$N$5015,0))))</f>
        <v/>
      </c>
      <c r="U146" s="105">
        <f>IF(142&gt;MAX($N$16:$N$5015),"",INDEX($J$16:$J$5015,MATCH((MAX($N$16:$N$5015)-142+1),$N$16:$N$5015,0)))&amp;IF(IF(142&gt;MAX($N$16:$N$5015),"",INDEX($L$16:$L$5015,MATCH((MAX($N$16:$N$5015)-142+1),$N$16:$N$5015,0)))="",""," ["&amp;IF(142&gt;MAX($N$16:$N$5015),"",INDEX($L$16:$L$5015,MATCH((MAX($N$16:$N$5015)-142+1),$N$16:$N$5015,0)))&amp;"]")</f>
        <v/>
      </c>
      <c r="V146" s="120">
        <f>IF(142&gt;MAX($N$16:$N$5015),"",HYPERLINK("#Transaksi!B"&amp;(MATCH((MAX($N$16:$N$5015)-142+1),$N$16:$N$5015,0)+15),"Buka"))</f>
        <v/>
      </c>
      <c r="X146" s="93">
        <f>IF(AND(B146&lt;&gt;"",B146&gt;='Buku Akun'!$H$4,B146&lt;='Buku Akun'!$H$5,OR(C146='Buku Akun'!$C$4,AND(D146="Pindah",E146='Buku Akun'!$C$4))),B146+IF(AND(I146="Selisih bunga",DAY(B146)=1),0,0.01)+ROW()/10000000,"")</f>
        <v/>
      </c>
    </row>
    <row r="147" outlineLevel="1" ht="15" customHeight="1" s="94">
      <c r="A147" s="123">
        <f>IF(B147="","",ROW()-15)</f>
        <v/>
      </c>
      <c r="B147" s="124" t="n"/>
      <c r="C147" s="123" t="n"/>
      <c r="D147" s="123" t="n"/>
      <c r="E147" s="123" t="n"/>
      <c r="F147" s="125" t="n"/>
      <c r="G147" s="123" t="n"/>
      <c r="H147" s="123" t="n"/>
      <c r="I147" s="123" t="n"/>
      <c r="J147" s="123" t="n"/>
      <c r="K147" s="123" t="n"/>
      <c r="L147" s="123" t="n"/>
      <c r="M147" s="123">
        <f>IF(AND(B147&lt;&gt;"",OR($C$4="",ISNUMBER(SEARCH($C$4,C147&amp;" "&amp;E147&amp;" "&amp;G147&amp;" "&amp;H147&amp;" "&amp;I147&amp;" "&amp;J147&amp;" "&amp;K147&amp;" "&amp;L147))),OR($C$5="Semua",$C$5="",G147=$C$5),OR($C$6="Semua",$C$6="",H147=$C$6,H147="Pengeluaran "&amp;$C$6,AND($C$6="Uang Kos Mama",H147="Pengeluaran Uang Kos")),OR($C$7="Semua",$C$7="",I147=$C$7),OR($C$8="Semua",$C$8="",C147=$C$8,E147=$C$8),OR($C$9="Semua",$C$9="",D147=$C$9),OR($C$10="",B147&gt;=$C$10),OR($C$11="",B147&lt;=$C$11),OR($C$12&lt;&gt;"Ya",K147&lt;&gt;""),OR($C$13="Semua",$C$13="",L147=$C$13)),"✓","")</f>
        <v/>
      </c>
      <c r="N147" s="93">
        <f>N(N146)+IF(M147="✓",1,0)</f>
        <v/>
      </c>
      <c r="O147" s="93">
        <f>N(O146)+IF(AND(B147&lt;&gt;"",B147&gt;='Uang Riba'!$H$30,B147&lt;='Uang Riba'!$I$30,OR(H147="Dana riba",H147="Pinjam uang riba",I147="Pinjam dari uang riba",I147="Ganti uang riba",I147="Kelebihan ganti dikembalikan",AND(C147="Kantong Uang Riba",G147="Pengeluaran"))),1,0)</f>
        <v/>
      </c>
      <c r="P147" s="119">
        <f>IF(143&gt;MAX($N$16:$N$5015),"",INDEX($B$16:$B$5015,MATCH((MAX($N$16:$N$5015)-143+1),$N$16:$N$5015,0)))</f>
        <v/>
      </c>
      <c r="Q147" s="105">
        <f>IF(143&gt;MAX($N$16:$N$5015),"",INDEX($C$16:$C$5015,MATCH((MAX($N$16:$N$5015)-143+1),$N$16:$N$5015,0)))&amp;IF(IF(143&gt;MAX($N$16:$N$5015),"",INDEX($E$16:$E$5015,MATCH((MAX($N$16:$N$5015)-143+1),$N$16:$N$5015,0)))="",""," → "&amp;IF(143&gt;MAX($N$16:$N$5015),"",INDEX($E$16:$E$5015,MATCH((MAX($N$16:$N$5015)-143+1),$N$16:$N$5015,0))))</f>
        <v/>
      </c>
      <c r="R147" s="105">
        <f>IF(143&gt;MAX($N$16:$N$5015),"",INDEX($D$16:$D$5015,MATCH((MAX($N$16:$N$5015)-143+1),$N$16:$N$5015,0)))</f>
        <v/>
      </c>
      <c r="S147" s="113">
        <f>IF(143&gt;MAX($N$16:$N$5015),"",INDEX($F$16:$F$5015,MATCH((MAX($N$16:$N$5015)-143+1),$N$16:$N$5015,0)))</f>
        <v/>
      </c>
      <c r="T147" s="105">
        <f>IF(143&gt;MAX($N$16:$N$5015),"",IF(143&gt;MAX($N$16:$N$5015),"",INDEX($G$16:$G$5015,MATCH((MAX($N$16:$N$5015)-143+1),$N$16:$N$5015,0)))&amp;" › "&amp;IF(143&gt;MAX($N$16:$N$5015),"",INDEX($H$16:$H$5015,MATCH((MAX($N$16:$N$5015)-143+1),$N$16:$N$5015,0)))&amp;" › "&amp;IF(143&gt;MAX($N$16:$N$5015),"",INDEX($I$16:$I$5015,MATCH((MAX($N$16:$N$5015)-143+1),$N$16:$N$5015,0))))</f>
        <v/>
      </c>
      <c r="U147" s="105">
        <f>IF(143&gt;MAX($N$16:$N$5015),"",INDEX($J$16:$J$5015,MATCH((MAX($N$16:$N$5015)-143+1),$N$16:$N$5015,0)))&amp;IF(IF(143&gt;MAX($N$16:$N$5015),"",INDEX($L$16:$L$5015,MATCH((MAX($N$16:$N$5015)-143+1),$N$16:$N$5015,0)))="",""," ["&amp;IF(143&gt;MAX($N$16:$N$5015),"",INDEX($L$16:$L$5015,MATCH((MAX($N$16:$N$5015)-143+1),$N$16:$N$5015,0)))&amp;"]")</f>
        <v/>
      </c>
      <c r="V147" s="120">
        <f>IF(143&gt;MAX($N$16:$N$5015),"",HYPERLINK("#Transaksi!B"&amp;(MATCH((MAX($N$16:$N$5015)-143+1),$N$16:$N$5015,0)+15),"Buka"))</f>
        <v/>
      </c>
      <c r="X147" s="93">
        <f>IF(AND(B147&lt;&gt;"",B147&gt;='Buku Akun'!$H$4,B147&lt;='Buku Akun'!$H$5,OR(C147='Buku Akun'!$C$4,AND(D147="Pindah",E147='Buku Akun'!$C$4))),B147+IF(AND(I147="Selisih bunga",DAY(B147)=1),0,0.01)+ROW()/10000000,"")</f>
        <v/>
      </c>
    </row>
    <row r="148" outlineLevel="1" ht="15" customHeight="1" s="94">
      <c r="A148" s="123">
        <f>IF(B148="","",ROW()-15)</f>
        <v/>
      </c>
      <c r="B148" s="124" t="n"/>
      <c r="C148" s="123" t="n"/>
      <c r="D148" s="123" t="n"/>
      <c r="E148" s="123" t="n"/>
      <c r="F148" s="125" t="n"/>
      <c r="G148" s="123" t="n"/>
      <c r="H148" s="123" t="n"/>
      <c r="I148" s="123" t="n"/>
      <c r="J148" s="123" t="n"/>
      <c r="K148" s="123" t="n"/>
      <c r="L148" s="123" t="n"/>
      <c r="M148" s="123">
        <f>IF(AND(B148&lt;&gt;"",OR($C$4="",ISNUMBER(SEARCH($C$4,C148&amp;" "&amp;E148&amp;" "&amp;G148&amp;" "&amp;H148&amp;" "&amp;I148&amp;" "&amp;J148&amp;" "&amp;K148&amp;" "&amp;L148))),OR($C$5="Semua",$C$5="",G148=$C$5),OR($C$6="Semua",$C$6="",H148=$C$6,H148="Pengeluaran "&amp;$C$6,AND($C$6="Uang Kos Mama",H148="Pengeluaran Uang Kos")),OR($C$7="Semua",$C$7="",I148=$C$7),OR($C$8="Semua",$C$8="",C148=$C$8,E148=$C$8),OR($C$9="Semua",$C$9="",D148=$C$9),OR($C$10="",B148&gt;=$C$10),OR($C$11="",B148&lt;=$C$11),OR($C$12&lt;&gt;"Ya",K148&lt;&gt;""),OR($C$13="Semua",$C$13="",L148=$C$13)),"✓","")</f>
        <v/>
      </c>
      <c r="N148" s="93">
        <f>N(N147)+IF(M148="✓",1,0)</f>
        <v/>
      </c>
      <c r="O148" s="93">
        <f>N(O147)+IF(AND(B148&lt;&gt;"",B148&gt;='Uang Riba'!$H$30,B148&lt;='Uang Riba'!$I$30,OR(H148="Dana riba",H148="Pinjam uang riba",I148="Pinjam dari uang riba",I148="Ganti uang riba",I148="Kelebihan ganti dikembalikan",AND(C148="Kantong Uang Riba",G148="Pengeluaran"))),1,0)</f>
        <v/>
      </c>
      <c r="P148" s="119">
        <f>IF(144&gt;MAX($N$16:$N$5015),"",INDEX($B$16:$B$5015,MATCH((MAX($N$16:$N$5015)-144+1),$N$16:$N$5015,0)))</f>
        <v/>
      </c>
      <c r="Q148" s="105">
        <f>IF(144&gt;MAX($N$16:$N$5015),"",INDEX($C$16:$C$5015,MATCH((MAX($N$16:$N$5015)-144+1),$N$16:$N$5015,0)))&amp;IF(IF(144&gt;MAX($N$16:$N$5015),"",INDEX($E$16:$E$5015,MATCH((MAX($N$16:$N$5015)-144+1),$N$16:$N$5015,0)))="",""," → "&amp;IF(144&gt;MAX($N$16:$N$5015),"",INDEX($E$16:$E$5015,MATCH((MAX($N$16:$N$5015)-144+1),$N$16:$N$5015,0))))</f>
        <v/>
      </c>
      <c r="R148" s="105">
        <f>IF(144&gt;MAX($N$16:$N$5015),"",INDEX($D$16:$D$5015,MATCH((MAX($N$16:$N$5015)-144+1),$N$16:$N$5015,0)))</f>
        <v/>
      </c>
      <c r="S148" s="113">
        <f>IF(144&gt;MAX($N$16:$N$5015),"",INDEX($F$16:$F$5015,MATCH((MAX($N$16:$N$5015)-144+1),$N$16:$N$5015,0)))</f>
        <v/>
      </c>
      <c r="T148" s="105">
        <f>IF(144&gt;MAX($N$16:$N$5015),"",IF(144&gt;MAX($N$16:$N$5015),"",INDEX($G$16:$G$5015,MATCH((MAX($N$16:$N$5015)-144+1),$N$16:$N$5015,0)))&amp;" › "&amp;IF(144&gt;MAX($N$16:$N$5015),"",INDEX($H$16:$H$5015,MATCH((MAX($N$16:$N$5015)-144+1),$N$16:$N$5015,0)))&amp;" › "&amp;IF(144&gt;MAX($N$16:$N$5015),"",INDEX($I$16:$I$5015,MATCH((MAX($N$16:$N$5015)-144+1),$N$16:$N$5015,0))))</f>
        <v/>
      </c>
      <c r="U148" s="105">
        <f>IF(144&gt;MAX($N$16:$N$5015),"",INDEX($J$16:$J$5015,MATCH((MAX($N$16:$N$5015)-144+1),$N$16:$N$5015,0)))&amp;IF(IF(144&gt;MAX($N$16:$N$5015),"",INDEX($L$16:$L$5015,MATCH((MAX($N$16:$N$5015)-144+1),$N$16:$N$5015,0)))="",""," ["&amp;IF(144&gt;MAX($N$16:$N$5015),"",INDEX($L$16:$L$5015,MATCH((MAX($N$16:$N$5015)-144+1),$N$16:$N$5015,0)))&amp;"]")</f>
        <v/>
      </c>
      <c r="V148" s="120">
        <f>IF(144&gt;MAX($N$16:$N$5015),"",HYPERLINK("#Transaksi!B"&amp;(MATCH((MAX($N$16:$N$5015)-144+1),$N$16:$N$5015,0)+15),"Buka"))</f>
        <v/>
      </c>
      <c r="X148" s="93">
        <f>IF(AND(B148&lt;&gt;"",B148&gt;='Buku Akun'!$H$4,B148&lt;='Buku Akun'!$H$5,OR(C148='Buku Akun'!$C$4,AND(D148="Pindah",E148='Buku Akun'!$C$4))),B148+IF(AND(I148="Selisih bunga",DAY(B148)=1),0,0.01)+ROW()/10000000,"")</f>
        <v/>
      </c>
    </row>
    <row r="149" outlineLevel="1" ht="15" customHeight="1" s="94">
      <c r="A149" s="123">
        <f>IF(B149="","",ROW()-15)</f>
        <v/>
      </c>
      <c r="B149" s="124" t="n"/>
      <c r="C149" s="123" t="n"/>
      <c r="D149" s="123" t="n"/>
      <c r="E149" s="123" t="n"/>
      <c r="F149" s="125" t="n"/>
      <c r="G149" s="123" t="n"/>
      <c r="H149" s="123" t="n"/>
      <c r="I149" s="123" t="n"/>
      <c r="J149" s="123" t="n"/>
      <c r="K149" s="123" t="n"/>
      <c r="L149" s="123" t="n"/>
      <c r="M149" s="123">
        <f>IF(AND(B149&lt;&gt;"",OR($C$4="",ISNUMBER(SEARCH($C$4,C149&amp;" "&amp;E149&amp;" "&amp;G149&amp;" "&amp;H149&amp;" "&amp;I149&amp;" "&amp;J149&amp;" "&amp;K149&amp;" "&amp;L149))),OR($C$5="Semua",$C$5="",G149=$C$5),OR($C$6="Semua",$C$6="",H149=$C$6,H149="Pengeluaran "&amp;$C$6,AND($C$6="Uang Kos Mama",H149="Pengeluaran Uang Kos")),OR($C$7="Semua",$C$7="",I149=$C$7),OR($C$8="Semua",$C$8="",C149=$C$8,E149=$C$8),OR($C$9="Semua",$C$9="",D149=$C$9),OR($C$10="",B149&gt;=$C$10),OR($C$11="",B149&lt;=$C$11),OR($C$12&lt;&gt;"Ya",K149&lt;&gt;""),OR($C$13="Semua",$C$13="",L149=$C$13)),"✓","")</f>
        <v/>
      </c>
      <c r="N149" s="93">
        <f>N(N148)+IF(M149="✓",1,0)</f>
        <v/>
      </c>
      <c r="O149" s="93">
        <f>N(O148)+IF(AND(B149&lt;&gt;"",B149&gt;='Uang Riba'!$H$30,B149&lt;='Uang Riba'!$I$30,OR(H149="Dana riba",H149="Pinjam uang riba",I149="Pinjam dari uang riba",I149="Ganti uang riba",I149="Kelebihan ganti dikembalikan",AND(C149="Kantong Uang Riba",G149="Pengeluaran"))),1,0)</f>
        <v/>
      </c>
      <c r="P149" s="119">
        <f>IF(145&gt;MAX($N$16:$N$5015),"",INDEX($B$16:$B$5015,MATCH((MAX($N$16:$N$5015)-145+1),$N$16:$N$5015,0)))</f>
        <v/>
      </c>
      <c r="Q149" s="105">
        <f>IF(145&gt;MAX($N$16:$N$5015),"",INDEX($C$16:$C$5015,MATCH((MAX($N$16:$N$5015)-145+1),$N$16:$N$5015,0)))&amp;IF(IF(145&gt;MAX($N$16:$N$5015),"",INDEX($E$16:$E$5015,MATCH((MAX($N$16:$N$5015)-145+1),$N$16:$N$5015,0)))="",""," → "&amp;IF(145&gt;MAX($N$16:$N$5015),"",INDEX($E$16:$E$5015,MATCH((MAX($N$16:$N$5015)-145+1),$N$16:$N$5015,0))))</f>
        <v/>
      </c>
      <c r="R149" s="105">
        <f>IF(145&gt;MAX($N$16:$N$5015),"",INDEX($D$16:$D$5015,MATCH((MAX($N$16:$N$5015)-145+1),$N$16:$N$5015,0)))</f>
        <v/>
      </c>
      <c r="S149" s="113">
        <f>IF(145&gt;MAX($N$16:$N$5015),"",INDEX($F$16:$F$5015,MATCH((MAX($N$16:$N$5015)-145+1),$N$16:$N$5015,0)))</f>
        <v/>
      </c>
      <c r="T149" s="105">
        <f>IF(145&gt;MAX($N$16:$N$5015),"",IF(145&gt;MAX($N$16:$N$5015),"",INDEX($G$16:$G$5015,MATCH((MAX($N$16:$N$5015)-145+1),$N$16:$N$5015,0)))&amp;" › "&amp;IF(145&gt;MAX($N$16:$N$5015),"",INDEX($H$16:$H$5015,MATCH((MAX($N$16:$N$5015)-145+1),$N$16:$N$5015,0)))&amp;" › "&amp;IF(145&gt;MAX($N$16:$N$5015),"",INDEX($I$16:$I$5015,MATCH((MAX($N$16:$N$5015)-145+1),$N$16:$N$5015,0))))</f>
        <v/>
      </c>
      <c r="U149" s="105">
        <f>IF(145&gt;MAX($N$16:$N$5015),"",INDEX($J$16:$J$5015,MATCH((MAX($N$16:$N$5015)-145+1),$N$16:$N$5015,0)))&amp;IF(IF(145&gt;MAX($N$16:$N$5015),"",INDEX($L$16:$L$5015,MATCH((MAX($N$16:$N$5015)-145+1),$N$16:$N$5015,0)))="",""," ["&amp;IF(145&gt;MAX($N$16:$N$5015),"",INDEX($L$16:$L$5015,MATCH((MAX($N$16:$N$5015)-145+1),$N$16:$N$5015,0)))&amp;"]")</f>
        <v/>
      </c>
      <c r="V149" s="120">
        <f>IF(145&gt;MAX($N$16:$N$5015),"",HYPERLINK("#Transaksi!B"&amp;(MATCH((MAX($N$16:$N$5015)-145+1),$N$16:$N$5015,0)+15),"Buka"))</f>
        <v/>
      </c>
      <c r="X149" s="93">
        <f>IF(AND(B149&lt;&gt;"",B149&gt;='Buku Akun'!$H$4,B149&lt;='Buku Akun'!$H$5,OR(C149='Buku Akun'!$C$4,AND(D149="Pindah",E149='Buku Akun'!$C$4))),B149+IF(AND(I149="Selisih bunga",DAY(B149)=1),0,0.01)+ROW()/10000000,"")</f>
        <v/>
      </c>
    </row>
    <row r="150" outlineLevel="1" ht="15" customHeight="1" s="94">
      <c r="A150" s="123">
        <f>IF(B150="","",ROW()-15)</f>
        <v/>
      </c>
      <c r="B150" s="124" t="n"/>
      <c r="C150" s="123" t="n"/>
      <c r="D150" s="123" t="n"/>
      <c r="E150" s="123" t="n"/>
      <c r="F150" s="125" t="n"/>
      <c r="G150" s="123" t="n"/>
      <c r="H150" s="123" t="n"/>
      <c r="I150" s="123" t="n"/>
      <c r="J150" s="123" t="n"/>
      <c r="K150" s="123" t="n"/>
      <c r="L150" s="123" t="n"/>
      <c r="M150" s="123">
        <f>IF(AND(B150&lt;&gt;"",OR($C$4="",ISNUMBER(SEARCH($C$4,C150&amp;" "&amp;E150&amp;" "&amp;G150&amp;" "&amp;H150&amp;" "&amp;I150&amp;" "&amp;J150&amp;" "&amp;K150&amp;" "&amp;L150))),OR($C$5="Semua",$C$5="",G150=$C$5),OR($C$6="Semua",$C$6="",H150=$C$6,H150="Pengeluaran "&amp;$C$6,AND($C$6="Uang Kos Mama",H150="Pengeluaran Uang Kos")),OR($C$7="Semua",$C$7="",I150=$C$7),OR($C$8="Semua",$C$8="",C150=$C$8,E150=$C$8),OR($C$9="Semua",$C$9="",D150=$C$9),OR($C$10="",B150&gt;=$C$10),OR($C$11="",B150&lt;=$C$11),OR($C$12&lt;&gt;"Ya",K150&lt;&gt;""),OR($C$13="Semua",$C$13="",L150=$C$13)),"✓","")</f>
        <v/>
      </c>
      <c r="N150" s="93">
        <f>N(N149)+IF(M150="✓",1,0)</f>
        <v/>
      </c>
      <c r="O150" s="93">
        <f>N(O149)+IF(AND(B150&lt;&gt;"",B150&gt;='Uang Riba'!$H$30,B150&lt;='Uang Riba'!$I$30,OR(H150="Dana riba",H150="Pinjam uang riba",I150="Pinjam dari uang riba",I150="Ganti uang riba",I150="Kelebihan ganti dikembalikan",AND(C150="Kantong Uang Riba",G150="Pengeluaran"))),1,0)</f>
        <v/>
      </c>
      <c r="P150" s="119">
        <f>IF(146&gt;MAX($N$16:$N$5015),"",INDEX($B$16:$B$5015,MATCH((MAX($N$16:$N$5015)-146+1),$N$16:$N$5015,0)))</f>
        <v/>
      </c>
      <c r="Q150" s="105">
        <f>IF(146&gt;MAX($N$16:$N$5015),"",INDEX($C$16:$C$5015,MATCH((MAX($N$16:$N$5015)-146+1),$N$16:$N$5015,0)))&amp;IF(IF(146&gt;MAX($N$16:$N$5015),"",INDEX($E$16:$E$5015,MATCH((MAX($N$16:$N$5015)-146+1),$N$16:$N$5015,0)))="",""," → "&amp;IF(146&gt;MAX($N$16:$N$5015),"",INDEX($E$16:$E$5015,MATCH((MAX($N$16:$N$5015)-146+1),$N$16:$N$5015,0))))</f>
        <v/>
      </c>
      <c r="R150" s="105">
        <f>IF(146&gt;MAX($N$16:$N$5015),"",INDEX($D$16:$D$5015,MATCH((MAX($N$16:$N$5015)-146+1),$N$16:$N$5015,0)))</f>
        <v/>
      </c>
      <c r="S150" s="113">
        <f>IF(146&gt;MAX($N$16:$N$5015),"",INDEX($F$16:$F$5015,MATCH((MAX($N$16:$N$5015)-146+1),$N$16:$N$5015,0)))</f>
        <v/>
      </c>
      <c r="T150" s="105">
        <f>IF(146&gt;MAX($N$16:$N$5015),"",IF(146&gt;MAX($N$16:$N$5015),"",INDEX($G$16:$G$5015,MATCH((MAX($N$16:$N$5015)-146+1),$N$16:$N$5015,0)))&amp;" › "&amp;IF(146&gt;MAX($N$16:$N$5015),"",INDEX($H$16:$H$5015,MATCH((MAX($N$16:$N$5015)-146+1),$N$16:$N$5015,0)))&amp;" › "&amp;IF(146&gt;MAX($N$16:$N$5015),"",INDEX($I$16:$I$5015,MATCH((MAX($N$16:$N$5015)-146+1),$N$16:$N$5015,0))))</f>
        <v/>
      </c>
      <c r="U150" s="105">
        <f>IF(146&gt;MAX($N$16:$N$5015),"",INDEX($J$16:$J$5015,MATCH((MAX($N$16:$N$5015)-146+1),$N$16:$N$5015,0)))&amp;IF(IF(146&gt;MAX($N$16:$N$5015),"",INDEX($L$16:$L$5015,MATCH((MAX($N$16:$N$5015)-146+1),$N$16:$N$5015,0)))="",""," ["&amp;IF(146&gt;MAX($N$16:$N$5015),"",INDEX($L$16:$L$5015,MATCH((MAX($N$16:$N$5015)-146+1),$N$16:$N$5015,0)))&amp;"]")</f>
        <v/>
      </c>
      <c r="V150" s="120">
        <f>IF(146&gt;MAX($N$16:$N$5015),"",HYPERLINK("#Transaksi!B"&amp;(MATCH((MAX($N$16:$N$5015)-146+1),$N$16:$N$5015,0)+15),"Buka"))</f>
        <v/>
      </c>
      <c r="X150" s="93">
        <f>IF(AND(B150&lt;&gt;"",B150&gt;='Buku Akun'!$H$4,B150&lt;='Buku Akun'!$H$5,OR(C150='Buku Akun'!$C$4,AND(D150="Pindah",E150='Buku Akun'!$C$4))),B150+IF(AND(I150="Selisih bunga",DAY(B150)=1),0,0.01)+ROW()/10000000,"")</f>
        <v/>
      </c>
    </row>
    <row r="151" outlineLevel="1" ht="15" customHeight="1" s="94">
      <c r="A151" s="123">
        <f>IF(B151="","",ROW()-15)</f>
        <v/>
      </c>
      <c r="B151" s="124" t="n"/>
      <c r="C151" s="123" t="n"/>
      <c r="D151" s="123" t="n"/>
      <c r="E151" s="123" t="n"/>
      <c r="F151" s="125" t="n"/>
      <c r="G151" s="123" t="n"/>
      <c r="H151" s="123" t="n"/>
      <c r="I151" s="123" t="n"/>
      <c r="J151" s="123" t="n"/>
      <c r="K151" s="123" t="n"/>
      <c r="L151" s="123" t="n"/>
      <c r="M151" s="123">
        <f>IF(AND(B151&lt;&gt;"",OR($C$4="",ISNUMBER(SEARCH($C$4,C151&amp;" "&amp;E151&amp;" "&amp;G151&amp;" "&amp;H151&amp;" "&amp;I151&amp;" "&amp;J151&amp;" "&amp;K151&amp;" "&amp;L151))),OR($C$5="Semua",$C$5="",G151=$C$5),OR($C$6="Semua",$C$6="",H151=$C$6,H151="Pengeluaran "&amp;$C$6,AND($C$6="Uang Kos Mama",H151="Pengeluaran Uang Kos")),OR($C$7="Semua",$C$7="",I151=$C$7),OR($C$8="Semua",$C$8="",C151=$C$8,E151=$C$8),OR($C$9="Semua",$C$9="",D151=$C$9),OR($C$10="",B151&gt;=$C$10),OR($C$11="",B151&lt;=$C$11),OR($C$12&lt;&gt;"Ya",K151&lt;&gt;""),OR($C$13="Semua",$C$13="",L151=$C$13)),"✓","")</f>
        <v/>
      </c>
      <c r="N151" s="93">
        <f>N(N150)+IF(M151="✓",1,0)</f>
        <v/>
      </c>
      <c r="O151" s="93">
        <f>N(O150)+IF(AND(B151&lt;&gt;"",B151&gt;='Uang Riba'!$H$30,B151&lt;='Uang Riba'!$I$30,OR(H151="Dana riba",H151="Pinjam uang riba",I151="Pinjam dari uang riba",I151="Ganti uang riba",I151="Kelebihan ganti dikembalikan",AND(C151="Kantong Uang Riba",G151="Pengeluaran"))),1,0)</f>
        <v/>
      </c>
      <c r="P151" s="119">
        <f>IF(147&gt;MAX($N$16:$N$5015),"",INDEX($B$16:$B$5015,MATCH((MAX($N$16:$N$5015)-147+1),$N$16:$N$5015,0)))</f>
        <v/>
      </c>
      <c r="Q151" s="105">
        <f>IF(147&gt;MAX($N$16:$N$5015),"",INDEX($C$16:$C$5015,MATCH((MAX($N$16:$N$5015)-147+1),$N$16:$N$5015,0)))&amp;IF(IF(147&gt;MAX($N$16:$N$5015),"",INDEX($E$16:$E$5015,MATCH((MAX($N$16:$N$5015)-147+1),$N$16:$N$5015,0)))="",""," → "&amp;IF(147&gt;MAX($N$16:$N$5015),"",INDEX($E$16:$E$5015,MATCH((MAX($N$16:$N$5015)-147+1),$N$16:$N$5015,0))))</f>
        <v/>
      </c>
      <c r="R151" s="105">
        <f>IF(147&gt;MAX($N$16:$N$5015),"",INDEX($D$16:$D$5015,MATCH((MAX($N$16:$N$5015)-147+1),$N$16:$N$5015,0)))</f>
        <v/>
      </c>
      <c r="S151" s="113">
        <f>IF(147&gt;MAX($N$16:$N$5015),"",INDEX($F$16:$F$5015,MATCH((MAX($N$16:$N$5015)-147+1),$N$16:$N$5015,0)))</f>
        <v/>
      </c>
      <c r="T151" s="105">
        <f>IF(147&gt;MAX($N$16:$N$5015),"",IF(147&gt;MAX($N$16:$N$5015),"",INDEX($G$16:$G$5015,MATCH((MAX($N$16:$N$5015)-147+1),$N$16:$N$5015,0)))&amp;" › "&amp;IF(147&gt;MAX($N$16:$N$5015),"",INDEX($H$16:$H$5015,MATCH((MAX($N$16:$N$5015)-147+1),$N$16:$N$5015,0)))&amp;" › "&amp;IF(147&gt;MAX($N$16:$N$5015),"",INDEX($I$16:$I$5015,MATCH((MAX($N$16:$N$5015)-147+1),$N$16:$N$5015,0))))</f>
        <v/>
      </c>
      <c r="U151" s="105">
        <f>IF(147&gt;MAX($N$16:$N$5015),"",INDEX($J$16:$J$5015,MATCH((MAX($N$16:$N$5015)-147+1),$N$16:$N$5015,0)))&amp;IF(IF(147&gt;MAX($N$16:$N$5015),"",INDEX($L$16:$L$5015,MATCH((MAX($N$16:$N$5015)-147+1),$N$16:$N$5015,0)))="",""," ["&amp;IF(147&gt;MAX($N$16:$N$5015),"",INDEX($L$16:$L$5015,MATCH((MAX($N$16:$N$5015)-147+1),$N$16:$N$5015,0)))&amp;"]")</f>
        <v/>
      </c>
      <c r="V151" s="120">
        <f>IF(147&gt;MAX($N$16:$N$5015),"",HYPERLINK("#Transaksi!B"&amp;(MATCH((MAX($N$16:$N$5015)-147+1),$N$16:$N$5015,0)+15),"Buka"))</f>
        <v/>
      </c>
      <c r="X151" s="93">
        <f>IF(AND(B151&lt;&gt;"",B151&gt;='Buku Akun'!$H$4,B151&lt;='Buku Akun'!$H$5,OR(C151='Buku Akun'!$C$4,AND(D151="Pindah",E151='Buku Akun'!$C$4))),B151+IF(AND(I151="Selisih bunga",DAY(B151)=1),0,0.01)+ROW()/10000000,"")</f>
        <v/>
      </c>
    </row>
    <row r="152" outlineLevel="1" ht="15" customHeight="1" s="94">
      <c r="A152" s="123">
        <f>IF(B152="","",ROW()-15)</f>
        <v/>
      </c>
      <c r="B152" s="124" t="n"/>
      <c r="C152" s="123" t="n"/>
      <c r="D152" s="123" t="n"/>
      <c r="E152" s="123" t="n"/>
      <c r="F152" s="125" t="n"/>
      <c r="G152" s="123" t="n"/>
      <c r="H152" s="123" t="n"/>
      <c r="I152" s="123" t="n"/>
      <c r="J152" s="123" t="n"/>
      <c r="K152" s="123" t="n"/>
      <c r="L152" s="123" t="n"/>
      <c r="M152" s="123">
        <f>IF(AND(B152&lt;&gt;"",OR($C$4="",ISNUMBER(SEARCH($C$4,C152&amp;" "&amp;E152&amp;" "&amp;G152&amp;" "&amp;H152&amp;" "&amp;I152&amp;" "&amp;J152&amp;" "&amp;K152&amp;" "&amp;L152))),OR($C$5="Semua",$C$5="",G152=$C$5),OR($C$6="Semua",$C$6="",H152=$C$6,H152="Pengeluaran "&amp;$C$6,AND($C$6="Uang Kos Mama",H152="Pengeluaran Uang Kos")),OR($C$7="Semua",$C$7="",I152=$C$7),OR($C$8="Semua",$C$8="",C152=$C$8,E152=$C$8),OR($C$9="Semua",$C$9="",D152=$C$9),OR($C$10="",B152&gt;=$C$10),OR($C$11="",B152&lt;=$C$11),OR($C$12&lt;&gt;"Ya",K152&lt;&gt;""),OR($C$13="Semua",$C$13="",L152=$C$13)),"✓","")</f>
        <v/>
      </c>
      <c r="N152" s="93">
        <f>N(N151)+IF(M152="✓",1,0)</f>
        <v/>
      </c>
      <c r="O152" s="93">
        <f>N(O151)+IF(AND(B152&lt;&gt;"",B152&gt;='Uang Riba'!$H$30,B152&lt;='Uang Riba'!$I$30,OR(H152="Dana riba",H152="Pinjam uang riba",I152="Pinjam dari uang riba",I152="Ganti uang riba",I152="Kelebihan ganti dikembalikan",AND(C152="Kantong Uang Riba",G152="Pengeluaran"))),1,0)</f>
        <v/>
      </c>
      <c r="P152" s="119">
        <f>IF(148&gt;MAX($N$16:$N$5015),"",INDEX($B$16:$B$5015,MATCH((MAX($N$16:$N$5015)-148+1),$N$16:$N$5015,0)))</f>
        <v/>
      </c>
      <c r="Q152" s="105">
        <f>IF(148&gt;MAX($N$16:$N$5015),"",INDEX($C$16:$C$5015,MATCH((MAX($N$16:$N$5015)-148+1),$N$16:$N$5015,0)))&amp;IF(IF(148&gt;MAX($N$16:$N$5015),"",INDEX($E$16:$E$5015,MATCH((MAX($N$16:$N$5015)-148+1),$N$16:$N$5015,0)))="",""," → "&amp;IF(148&gt;MAX($N$16:$N$5015),"",INDEX($E$16:$E$5015,MATCH((MAX($N$16:$N$5015)-148+1),$N$16:$N$5015,0))))</f>
        <v/>
      </c>
      <c r="R152" s="105">
        <f>IF(148&gt;MAX($N$16:$N$5015),"",INDEX($D$16:$D$5015,MATCH((MAX($N$16:$N$5015)-148+1),$N$16:$N$5015,0)))</f>
        <v/>
      </c>
      <c r="S152" s="113">
        <f>IF(148&gt;MAX($N$16:$N$5015),"",INDEX($F$16:$F$5015,MATCH((MAX($N$16:$N$5015)-148+1),$N$16:$N$5015,0)))</f>
        <v/>
      </c>
      <c r="T152" s="105">
        <f>IF(148&gt;MAX($N$16:$N$5015),"",IF(148&gt;MAX($N$16:$N$5015),"",INDEX($G$16:$G$5015,MATCH((MAX($N$16:$N$5015)-148+1),$N$16:$N$5015,0)))&amp;" › "&amp;IF(148&gt;MAX($N$16:$N$5015),"",INDEX($H$16:$H$5015,MATCH((MAX($N$16:$N$5015)-148+1),$N$16:$N$5015,0)))&amp;" › "&amp;IF(148&gt;MAX($N$16:$N$5015),"",INDEX($I$16:$I$5015,MATCH((MAX($N$16:$N$5015)-148+1),$N$16:$N$5015,0))))</f>
        <v/>
      </c>
      <c r="U152" s="105">
        <f>IF(148&gt;MAX($N$16:$N$5015),"",INDEX($J$16:$J$5015,MATCH((MAX($N$16:$N$5015)-148+1),$N$16:$N$5015,0)))&amp;IF(IF(148&gt;MAX($N$16:$N$5015),"",INDEX($L$16:$L$5015,MATCH((MAX($N$16:$N$5015)-148+1),$N$16:$N$5015,0)))="",""," ["&amp;IF(148&gt;MAX($N$16:$N$5015),"",INDEX($L$16:$L$5015,MATCH((MAX($N$16:$N$5015)-148+1),$N$16:$N$5015,0)))&amp;"]")</f>
        <v/>
      </c>
      <c r="V152" s="120">
        <f>IF(148&gt;MAX($N$16:$N$5015),"",HYPERLINK("#Transaksi!B"&amp;(MATCH((MAX($N$16:$N$5015)-148+1),$N$16:$N$5015,0)+15),"Buka"))</f>
        <v/>
      </c>
      <c r="X152" s="93">
        <f>IF(AND(B152&lt;&gt;"",B152&gt;='Buku Akun'!$H$4,B152&lt;='Buku Akun'!$H$5,OR(C152='Buku Akun'!$C$4,AND(D152="Pindah",E152='Buku Akun'!$C$4))),B152+IF(AND(I152="Selisih bunga",DAY(B152)=1),0,0.01)+ROW()/10000000,"")</f>
        <v/>
      </c>
    </row>
    <row r="153" outlineLevel="1" ht="15" customHeight="1" s="94">
      <c r="A153" s="123">
        <f>IF(B153="","",ROW()-15)</f>
        <v/>
      </c>
      <c r="B153" s="124" t="n"/>
      <c r="C153" s="123" t="n"/>
      <c r="D153" s="123" t="n"/>
      <c r="E153" s="123" t="n"/>
      <c r="F153" s="125" t="n"/>
      <c r="G153" s="123" t="n"/>
      <c r="H153" s="123" t="n"/>
      <c r="I153" s="123" t="n"/>
      <c r="J153" s="123" t="n"/>
      <c r="K153" s="123" t="n"/>
      <c r="L153" s="123" t="n"/>
      <c r="M153" s="123">
        <f>IF(AND(B153&lt;&gt;"",OR($C$4="",ISNUMBER(SEARCH($C$4,C153&amp;" "&amp;E153&amp;" "&amp;G153&amp;" "&amp;H153&amp;" "&amp;I153&amp;" "&amp;J153&amp;" "&amp;K153&amp;" "&amp;L153))),OR($C$5="Semua",$C$5="",G153=$C$5),OR($C$6="Semua",$C$6="",H153=$C$6,H153="Pengeluaran "&amp;$C$6,AND($C$6="Uang Kos Mama",H153="Pengeluaran Uang Kos")),OR($C$7="Semua",$C$7="",I153=$C$7),OR($C$8="Semua",$C$8="",C153=$C$8,E153=$C$8),OR($C$9="Semua",$C$9="",D153=$C$9),OR($C$10="",B153&gt;=$C$10),OR($C$11="",B153&lt;=$C$11),OR($C$12&lt;&gt;"Ya",K153&lt;&gt;""),OR($C$13="Semua",$C$13="",L153=$C$13)),"✓","")</f>
        <v/>
      </c>
      <c r="N153" s="93">
        <f>N(N152)+IF(M153="✓",1,0)</f>
        <v/>
      </c>
      <c r="O153" s="93">
        <f>N(O152)+IF(AND(B153&lt;&gt;"",B153&gt;='Uang Riba'!$H$30,B153&lt;='Uang Riba'!$I$30,OR(H153="Dana riba",H153="Pinjam uang riba",I153="Pinjam dari uang riba",I153="Ganti uang riba",I153="Kelebihan ganti dikembalikan",AND(C153="Kantong Uang Riba",G153="Pengeluaran"))),1,0)</f>
        <v/>
      </c>
      <c r="P153" s="119">
        <f>IF(149&gt;MAX($N$16:$N$5015),"",INDEX($B$16:$B$5015,MATCH((MAX($N$16:$N$5015)-149+1),$N$16:$N$5015,0)))</f>
        <v/>
      </c>
      <c r="Q153" s="105">
        <f>IF(149&gt;MAX($N$16:$N$5015),"",INDEX($C$16:$C$5015,MATCH((MAX($N$16:$N$5015)-149+1),$N$16:$N$5015,0)))&amp;IF(IF(149&gt;MAX($N$16:$N$5015),"",INDEX($E$16:$E$5015,MATCH((MAX($N$16:$N$5015)-149+1),$N$16:$N$5015,0)))="",""," → "&amp;IF(149&gt;MAX($N$16:$N$5015),"",INDEX($E$16:$E$5015,MATCH((MAX($N$16:$N$5015)-149+1),$N$16:$N$5015,0))))</f>
        <v/>
      </c>
      <c r="R153" s="105">
        <f>IF(149&gt;MAX($N$16:$N$5015),"",INDEX($D$16:$D$5015,MATCH((MAX($N$16:$N$5015)-149+1),$N$16:$N$5015,0)))</f>
        <v/>
      </c>
      <c r="S153" s="113">
        <f>IF(149&gt;MAX($N$16:$N$5015),"",INDEX($F$16:$F$5015,MATCH((MAX($N$16:$N$5015)-149+1),$N$16:$N$5015,0)))</f>
        <v/>
      </c>
      <c r="T153" s="105">
        <f>IF(149&gt;MAX($N$16:$N$5015),"",IF(149&gt;MAX($N$16:$N$5015),"",INDEX($G$16:$G$5015,MATCH((MAX($N$16:$N$5015)-149+1),$N$16:$N$5015,0)))&amp;" › "&amp;IF(149&gt;MAX($N$16:$N$5015),"",INDEX($H$16:$H$5015,MATCH((MAX($N$16:$N$5015)-149+1),$N$16:$N$5015,0)))&amp;" › "&amp;IF(149&gt;MAX($N$16:$N$5015),"",INDEX($I$16:$I$5015,MATCH((MAX($N$16:$N$5015)-149+1),$N$16:$N$5015,0))))</f>
        <v/>
      </c>
      <c r="U153" s="105">
        <f>IF(149&gt;MAX($N$16:$N$5015),"",INDEX($J$16:$J$5015,MATCH((MAX($N$16:$N$5015)-149+1),$N$16:$N$5015,0)))&amp;IF(IF(149&gt;MAX($N$16:$N$5015),"",INDEX($L$16:$L$5015,MATCH((MAX($N$16:$N$5015)-149+1),$N$16:$N$5015,0)))="",""," ["&amp;IF(149&gt;MAX($N$16:$N$5015),"",INDEX($L$16:$L$5015,MATCH((MAX($N$16:$N$5015)-149+1),$N$16:$N$5015,0)))&amp;"]")</f>
        <v/>
      </c>
      <c r="V153" s="120">
        <f>IF(149&gt;MAX($N$16:$N$5015),"",HYPERLINK("#Transaksi!B"&amp;(MATCH((MAX($N$16:$N$5015)-149+1),$N$16:$N$5015,0)+15),"Buka"))</f>
        <v/>
      </c>
      <c r="X153" s="93">
        <f>IF(AND(B153&lt;&gt;"",B153&gt;='Buku Akun'!$H$4,B153&lt;='Buku Akun'!$H$5,OR(C153='Buku Akun'!$C$4,AND(D153="Pindah",E153='Buku Akun'!$C$4))),B153+IF(AND(I153="Selisih bunga",DAY(B153)=1),0,0.01)+ROW()/10000000,"")</f>
        <v/>
      </c>
    </row>
    <row r="154" outlineLevel="1" ht="15" customHeight="1" s="94">
      <c r="A154" s="123">
        <f>IF(B154="","",ROW()-15)</f>
        <v/>
      </c>
      <c r="B154" s="124" t="n"/>
      <c r="C154" s="123" t="n"/>
      <c r="D154" s="123" t="n"/>
      <c r="E154" s="123" t="n"/>
      <c r="F154" s="125" t="n"/>
      <c r="G154" s="123" t="n"/>
      <c r="H154" s="123" t="n"/>
      <c r="I154" s="123" t="n"/>
      <c r="J154" s="123" t="n"/>
      <c r="K154" s="123" t="n"/>
      <c r="L154" s="123" t="n"/>
      <c r="M154" s="123">
        <f>IF(AND(B154&lt;&gt;"",OR($C$4="",ISNUMBER(SEARCH($C$4,C154&amp;" "&amp;E154&amp;" "&amp;G154&amp;" "&amp;H154&amp;" "&amp;I154&amp;" "&amp;J154&amp;" "&amp;K154&amp;" "&amp;L154))),OR($C$5="Semua",$C$5="",G154=$C$5),OR($C$6="Semua",$C$6="",H154=$C$6,H154="Pengeluaran "&amp;$C$6,AND($C$6="Uang Kos Mama",H154="Pengeluaran Uang Kos")),OR($C$7="Semua",$C$7="",I154=$C$7),OR($C$8="Semua",$C$8="",C154=$C$8,E154=$C$8),OR($C$9="Semua",$C$9="",D154=$C$9),OR($C$10="",B154&gt;=$C$10),OR($C$11="",B154&lt;=$C$11),OR($C$12&lt;&gt;"Ya",K154&lt;&gt;""),OR($C$13="Semua",$C$13="",L154=$C$13)),"✓","")</f>
        <v/>
      </c>
      <c r="N154" s="93">
        <f>N(N153)+IF(M154="✓",1,0)</f>
        <v/>
      </c>
      <c r="O154" s="93">
        <f>N(O153)+IF(AND(B154&lt;&gt;"",B154&gt;='Uang Riba'!$H$30,B154&lt;='Uang Riba'!$I$30,OR(H154="Dana riba",H154="Pinjam uang riba",I154="Pinjam dari uang riba",I154="Ganti uang riba",I154="Kelebihan ganti dikembalikan",AND(C154="Kantong Uang Riba",G154="Pengeluaran"))),1,0)</f>
        <v/>
      </c>
      <c r="P154" s="119">
        <f>IF(150&gt;MAX($N$16:$N$5015),"",INDEX($B$16:$B$5015,MATCH((MAX($N$16:$N$5015)-150+1),$N$16:$N$5015,0)))</f>
        <v/>
      </c>
      <c r="Q154" s="105">
        <f>IF(150&gt;MAX($N$16:$N$5015),"",INDEX($C$16:$C$5015,MATCH((MAX($N$16:$N$5015)-150+1),$N$16:$N$5015,0)))&amp;IF(IF(150&gt;MAX($N$16:$N$5015),"",INDEX($E$16:$E$5015,MATCH((MAX($N$16:$N$5015)-150+1),$N$16:$N$5015,0)))="",""," → "&amp;IF(150&gt;MAX($N$16:$N$5015),"",INDEX($E$16:$E$5015,MATCH((MAX($N$16:$N$5015)-150+1),$N$16:$N$5015,0))))</f>
        <v/>
      </c>
      <c r="R154" s="105">
        <f>IF(150&gt;MAX($N$16:$N$5015),"",INDEX($D$16:$D$5015,MATCH((MAX($N$16:$N$5015)-150+1),$N$16:$N$5015,0)))</f>
        <v/>
      </c>
      <c r="S154" s="113">
        <f>IF(150&gt;MAX($N$16:$N$5015),"",INDEX($F$16:$F$5015,MATCH((MAX($N$16:$N$5015)-150+1),$N$16:$N$5015,0)))</f>
        <v/>
      </c>
      <c r="T154" s="105">
        <f>IF(150&gt;MAX($N$16:$N$5015),"",IF(150&gt;MAX($N$16:$N$5015),"",INDEX($G$16:$G$5015,MATCH((MAX($N$16:$N$5015)-150+1),$N$16:$N$5015,0)))&amp;" › "&amp;IF(150&gt;MAX($N$16:$N$5015),"",INDEX($H$16:$H$5015,MATCH((MAX($N$16:$N$5015)-150+1),$N$16:$N$5015,0)))&amp;" › "&amp;IF(150&gt;MAX($N$16:$N$5015),"",INDEX($I$16:$I$5015,MATCH((MAX($N$16:$N$5015)-150+1),$N$16:$N$5015,0))))</f>
        <v/>
      </c>
      <c r="U154" s="105">
        <f>IF(150&gt;MAX($N$16:$N$5015),"",INDEX($J$16:$J$5015,MATCH((MAX($N$16:$N$5015)-150+1),$N$16:$N$5015,0)))&amp;IF(IF(150&gt;MAX($N$16:$N$5015),"",INDEX($L$16:$L$5015,MATCH((MAX($N$16:$N$5015)-150+1),$N$16:$N$5015,0)))="",""," ["&amp;IF(150&gt;MAX($N$16:$N$5015),"",INDEX($L$16:$L$5015,MATCH((MAX($N$16:$N$5015)-150+1),$N$16:$N$5015,0)))&amp;"]")</f>
        <v/>
      </c>
      <c r="V154" s="120">
        <f>IF(150&gt;MAX($N$16:$N$5015),"",HYPERLINK("#Transaksi!B"&amp;(MATCH((MAX($N$16:$N$5015)-150+1),$N$16:$N$5015,0)+15),"Buka"))</f>
        <v/>
      </c>
      <c r="X154" s="93">
        <f>IF(AND(B154&lt;&gt;"",B154&gt;='Buku Akun'!$H$4,B154&lt;='Buku Akun'!$H$5,OR(C154='Buku Akun'!$C$4,AND(D154="Pindah",E154='Buku Akun'!$C$4))),B154+IF(AND(I154="Selisih bunga",DAY(B154)=1),0,0.01)+ROW()/10000000,"")</f>
        <v/>
      </c>
    </row>
    <row r="155" outlineLevel="1" ht="15" customHeight="1" s="94">
      <c r="A155" s="123">
        <f>IF(B155="","",ROW()-15)</f>
        <v/>
      </c>
      <c r="B155" s="124" t="n"/>
      <c r="C155" s="123" t="n"/>
      <c r="D155" s="123" t="n"/>
      <c r="E155" s="123" t="n"/>
      <c r="F155" s="125" t="n"/>
      <c r="G155" s="123" t="n"/>
      <c r="H155" s="123" t="n"/>
      <c r="I155" s="123" t="n"/>
      <c r="J155" s="123" t="n"/>
      <c r="K155" s="123" t="n"/>
      <c r="L155" s="123" t="n"/>
      <c r="M155" s="123">
        <f>IF(AND(B155&lt;&gt;"",OR($C$4="",ISNUMBER(SEARCH($C$4,C155&amp;" "&amp;E155&amp;" "&amp;G155&amp;" "&amp;H155&amp;" "&amp;I155&amp;" "&amp;J155&amp;" "&amp;K155&amp;" "&amp;L155))),OR($C$5="Semua",$C$5="",G155=$C$5),OR($C$6="Semua",$C$6="",H155=$C$6,H155="Pengeluaran "&amp;$C$6,AND($C$6="Uang Kos Mama",H155="Pengeluaran Uang Kos")),OR($C$7="Semua",$C$7="",I155=$C$7),OR($C$8="Semua",$C$8="",C155=$C$8,E155=$C$8),OR($C$9="Semua",$C$9="",D155=$C$9),OR($C$10="",B155&gt;=$C$10),OR($C$11="",B155&lt;=$C$11),OR($C$12&lt;&gt;"Ya",K155&lt;&gt;""),OR($C$13="Semua",$C$13="",L155=$C$13)),"✓","")</f>
        <v/>
      </c>
      <c r="N155" s="93">
        <f>N(N154)+IF(M155="✓",1,0)</f>
        <v/>
      </c>
      <c r="O155" s="93">
        <f>N(O154)+IF(AND(B155&lt;&gt;"",B155&gt;='Uang Riba'!$H$30,B155&lt;='Uang Riba'!$I$30,OR(H155="Dana riba",H155="Pinjam uang riba",I155="Pinjam dari uang riba",I155="Ganti uang riba",I155="Kelebihan ganti dikembalikan",AND(C155="Kantong Uang Riba",G155="Pengeluaran"))),1,0)</f>
        <v/>
      </c>
      <c r="P155" s="119">
        <f>IF(151&gt;MAX($N$16:$N$5015),"",INDEX($B$16:$B$5015,MATCH((MAX($N$16:$N$5015)-151+1),$N$16:$N$5015,0)))</f>
        <v/>
      </c>
      <c r="Q155" s="105">
        <f>IF(151&gt;MAX($N$16:$N$5015),"",INDEX($C$16:$C$5015,MATCH((MAX($N$16:$N$5015)-151+1),$N$16:$N$5015,0)))&amp;IF(IF(151&gt;MAX($N$16:$N$5015),"",INDEX($E$16:$E$5015,MATCH((MAX($N$16:$N$5015)-151+1),$N$16:$N$5015,0)))="",""," → "&amp;IF(151&gt;MAX($N$16:$N$5015),"",INDEX($E$16:$E$5015,MATCH((MAX($N$16:$N$5015)-151+1),$N$16:$N$5015,0))))</f>
        <v/>
      </c>
      <c r="R155" s="105">
        <f>IF(151&gt;MAX($N$16:$N$5015),"",INDEX($D$16:$D$5015,MATCH((MAX($N$16:$N$5015)-151+1),$N$16:$N$5015,0)))</f>
        <v/>
      </c>
      <c r="S155" s="113">
        <f>IF(151&gt;MAX($N$16:$N$5015),"",INDEX($F$16:$F$5015,MATCH((MAX($N$16:$N$5015)-151+1),$N$16:$N$5015,0)))</f>
        <v/>
      </c>
      <c r="T155" s="105">
        <f>IF(151&gt;MAX($N$16:$N$5015),"",IF(151&gt;MAX($N$16:$N$5015),"",INDEX($G$16:$G$5015,MATCH((MAX($N$16:$N$5015)-151+1),$N$16:$N$5015,0)))&amp;" › "&amp;IF(151&gt;MAX($N$16:$N$5015),"",INDEX($H$16:$H$5015,MATCH((MAX($N$16:$N$5015)-151+1),$N$16:$N$5015,0)))&amp;" › "&amp;IF(151&gt;MAX($N$16:$N$5015),"",INDEX($I$16:$I$5015,MATCH((MAX($N$16:$N$5015)-151+1),$N$16:$N$5015,0))))</f>
        <v/>
      </c>
      <c r="U155" s="105">
        <f>IF(151&gt;MAX($N$16:$N$5015),"",INDEX($J$16:$J$5015,MATCH((MAX($N$16:$N$5015)-151+1),$N$16:$N$5015,0)))&amp;IF(IF(151&gt;MAX($N$16:$N$5015),"",INDEX($L$16:$L$5015,MATCH((MAX($N$16:$N$5015)-151+1),$N$16:$N$5015,0)))="",""," ["&amp;IF(151&gt;MAX($N$16:$N$5015),"",INDEX($L$16:$L$5015,MATCH((MAX($N$16:$N$5015)-151+1),$N$16:$N$5015,0)))&amp;"]")</f>
        <v/>
      </c>
      <c r="V155" s="120">
        <f>IF(151&gt;MAX($N$16:$N$5015),"",HYPERLINK("#Transaksi!B"&amp;(MATCH((MAX($N$16:$N$5015)-151+1),$N$16:$N$5015,0)+15),"Buka"))</f>
        <v/>
      </c>
      <c r="X155" s="93">
        <f>IF(AND(B155&lt;&gt;"",B155&gt;='Buku Akun'!$H$4,B155&lt;='Buku Akun'!$H$5,OR(C155='Buku Akun'!$C$4,AND(D155="Pindah",E155='Buku Akun'!$C$4))),B155+IF(AND(I155="Selisih bunga",DAY(B155)=1),0,0.01)+ROW()/10000000,"")</f>
        <v/>
      </c>
    </row>
    <row r="156" outlineLevel="1" ht="15" customHeight="1" s="94">
      <c r="A156" s="123">
        <f>IF(B156="","",ROW()-15)</f>
        <v/>
      </c>
      <c r="B156" s="124" t="n"/>
      <c r="C156" s="123" t="n"/>
      <c r="D156" s="123" t="n"/>
      <c r="E156" s="123" t="n"/>
      <c r="F156" s="125" t="n"/>
      <c r="G156" s="123" t="n"/>
      <c r="H156" s="123" t="n"/>
      <c r="I156" s="123" t="n"/>
      <c r="J156" s="123" t="n"/>
      <c r="K156" s="123" t="n"/>
      <c r="L156" s="123" t="n"/>
      <c r="M156" s="123">
        <f>IF(AND(B156&lt;&gt;"",OR($C$4="",ISNUMBER(SEARCH($C$4,C156&amp;" "&amp;E156&amp;" "&amp;G156&amp;" "&amp;H156&amp;" "&amp;I156&amp;" "&amp;J156&amp;" "&amp;K156&amp;" "&amp;L156))),OR($C$5="Semua",$C$5="",G156=$C$5),OR($C$6="Semua",$C$6="",H156=$C$6,H156="Pengeluaran "&amp;$C$6,AND($C$6="Uang Kos Mama",H156="Pengeluaran Uang Kos")),OR($C$7="Semua",$C$7="",I156=$C$7),OR($C$8="Semua",$C$8="",C156=$C$8,E156=$C$8),OR($C$9="Semua",$C$9="",D156=$C$9),OR($C$10="",B156&gt;=$C$10),OR($C$11="",B156&lt;=$C$11),OR($C$12&lt;&gt;"Ya",K156&lt;&gt;""),OR($C$13="Semua",$C$13="",L156=$C$13)),"✓","")</f>
        <v/>
      </c>
      <c r="N156" s="93">
        <f>N(N155)+IF(M156="✓",1,0)</f>
        <v/>
      </c>
      <c r="O156" s="93">
        <f>N(O155)+IF(AND(B156&lt;&gt;"",B156&gt;='Uang Riba'!$H$30,B156&lt;='Uang Riba'!$I$30,OR(H156="Dana riba",H156="Pinjam uang riba",I156="Pinjam dari uang riba",I156="Ganti uang riba",I156="Kelebihan ganti dikembalikan",AND(C156="Kantong Uang Riba",G156="Pengeluaran"))),1,0)</f>
        <v/>
      </c>
      <c r="P156" s="119">
        <f>IF(152&gt;MAX($N$16:$N$5015),"",INDEX($B$16:$B$5015,MATCH((MAX($N$16:$N$5015)-152+1),$N$16:$N$5015,0)))</f>
        <v/>
      </c>
      <c r="Q156" s="105">
        <f>IF(152&gt;MAX($N$16:$N$5015),"",INDEX($C$16:$C$5015,MATCH((MAX($N$16:$N$5015)-152+1),$N$16:$N$5015,0)))&amp;IF(IF(152&gt;MAX($N$16:$N$5015),"",INDEX($E$16:$E$5015,MATCH((MAX($N$16:$N$5015)-152+1),$N$16:$N$5015,0)))="",""," → "&amp;IF(152&gt;MAX($N$16:$N$5015),"",INDEX($E$16:$E$5015,MATCH((MAX($N$16:$N$5015)-152+1),$N$16:$N$5015,0))))</f>
        <v/>
      </c>
      <c r="R156" s="105">
        <f>IF(152&gt;MAX($N$16:$N$5015),"",INDEX($D$16:$D$5015,MATCH((MAX($N$16:$N$5015)-152+1),$N$16:$N$5015,0)))</f>
        <v/>
      </c>
      <c r="S156" s="113">
        <f>IF(152&gt;MAX($N$16:$N$5015),"",INDEX($F$16:$F$5015,MATCH((MAX($N$16:$N$5015)-152+1),$N$16:$N$5015,0)))</f>
        <v/>
      </c>
      <c r="T156" s="105">
        <f>IF(152&gt;MAX($N$16:$N$5015),"",IF(152&gt;MAX($N$16:$N$5015),"",INDEX($G$16:$G$5015,MATCH((MAX($N$16:$N$5015)-152+1),$N$16:$N$5015,0)))&amp;" › "&amp;IF(152&gt;MAX($N$16:$N$5015),"",INDEX($H$16:$H$5015,MATCH((MAX($N$16:$N$5015)-152+1),$N$16:$N$5015,0)))&amp;" › "&amp;IF(152&gt;MAX($N$16:$N$5015),"",INDEX($I$16:$I$5015,MATCH((MAX($N$16:$N$5015)-152+1),$N$16:$N$5015,0))))</f>
        <v/>
      </c>
      <c r="U156" s="105">
        <f>IF(152&gt;MAX($N$16:$N$5015),"",INDEX($J$16:$J$5015,MATCH((MAX($N$16:$N$5015)-152+1),$N$16:$N$5015,0)))&amp;IF(IF(152&gt;MAX($N$16:$N$5015),"",INDEX($L$16:$L$5015,MATCH((MAX($N$16:$N$5015)-152+1),$N$16:$N$5015,0)))="",""," ["&amp;IF(152&gt;MAX($N$16:$N$5015),"",INDEX($L$16:$L$5015,MATCH((MAX($N$16:$N$5015)-152+1),$N$16:$N$5015,0)))&amp;"]")</f>
        <v/>
      </c>
      <c r="V156" s="120">
        <f>IF(152&gt;MAX($N$16:$N$5015),"",HYPERLINK("#Transaksi!B"&amp;(MATCH((MAX($N$16:$N$5015)-152+1),$N$16:$N$5015,0)+15),"Buka"))</f>
        <v/>
      </c>
      <c r="X156" s="93">
        <f>IF(AND(B156&lt;&gt;"",B156&gt;='Buku Akun'!$H$4,B156&lt;='Buku Akun'!$H$5,OR(C156='Buku Akun'!$C$4,AND(D156="Pindah",E156='Buku Akun'!$C$4))),B156+IF(AND(I156="Selisih bunga",DAY(B156)=1),0,0.01)+ROW()/10000000,"")</f>
        <v/>
      </c>
    </row>
    <row r="157" outlineLevel="1" ht="15" customHeight="1" s="94">
      <c r="A157" s="123">
        <f>IF(B157="","",ROW()-15)</f>
        <v/>
      </c>
      <c r="B157" s="124" t="n"/>
      <c r="C157" s="123" t="n"/>
      <c r="D157" s="123" t="n"/>
      <c r="E157" s="123" t="n"/>
      <c r="F157" s="125" t="n"/>
      <c r="G157" s="123" t="n"/>
      <c r="H157" s="123" t="n"/>
      <c r="I157" s="123" t="n"/>
      <c r="J157" s="123" t="n"/>
      <c r="K157" s="123" t="n"/>
      <c r="L157" s="123" t="n"/>
      <c r="M157" s="123">
        <f>IF(AND(B157&lt;&gt;"",OR($C$4="",ISNUMBER(SEARCH($C$4,C157&amp;" "&amp;E157&amp;" "&amp;G157&amp;" "&amp;H157&amp;" "&amp;I157&amp;" "&amp;J157&amp;" "&amp;K157&amp;" "&amp;L157))),OR($C$5="Semua",$C$5="",G157=$C$5),OR($C$6="Semua",$C$6="",H157=$C$6,H157="Pengeluaran "&amp;$C$6,AND($C$6="Uang Kos Mama",H157="Pengeluaran Uang Kos")),OR($C$7="Semua",$C$7="",I157=$C$7),OR($C$8="Semua",$C$8="",C157=$C$8,E157=$C$8),OR($C$9="Semua",$C$9="",D157=$C$9),OR($C$10="",B157&gt;=$C$10),OR($C$11="",B157&lt;=$C$11),OR($C$12&lt;&gt;"Ya",K157&lt;&gt;""),OR($C$13="Semua",$C$13="",L157=$C$13)),"✓","")</f>
        <v/>
      </c>
      <c r="N157" s="93">
        <f>N(N156)+IF(M157="✓",1,0)</f>
        <v/>
      </c>
      <c r="O157" s="93">
        <f>N(O156)+IF(AND(B157&lt;&gt;"",B157&gt;='Uang Riba'!$H$30,B157&lt;='Uang Riba'!$I$30,OR(H157="Dana riba",H157="Pinjam uang riba",I157="Pinjam dari uang riba",I157="Ganti uang riba",I157="Kelebihan ganti dikembalikan",AND(C157="Kantong Uang Riba",G157="Pengeluaran"))),1,0)</f>
        <v/>
      </c>
      <c r="P157" s="119">
        <f>IF(153&gt;MAX($N$16:$N$5015),"",INDEX($B$16:$B$5015,MATCH((MAX($N$16:$N$5015)-153+1),$N$16:$N$5015,0)))</f>
        <v/>
      </c>
      <c r="Q157" s="105">
        <f>IF(153&gt;MAX($N$16:$N$5015),"",INDEX($C$16:$C$5015,MATCH((MAX($N$16:$N$5015)-153+1),$N$16:$N$5015,0)))&amp;IF(IF(153&gt;MAX($N$16:$N$5015),"",INDEX($E$16:$E$5015,MATCH((MAX($N$16:$N$5015)-153+1),$N$16:$N$5015,0)))="",""," → "&amp;IF(153&gt;MAX($N$16:$N$5015),"",INDEX($E$16:$E$5015,MATCH((MAX($N$16:$N$5015)-153+1),$N$16:$N$5015,0))))</f>
        <v/>
      </c>
      <c r="R157" s="105">
        <f>IF(153&gt;MAX($N$16:$N$5015),"",INDEX($D$16:$D$5015,MATCH((MAX($N$16:$N$5015)-153+1),$N$16:$N$5015,0)))</f>
        <v/>
      </c>
      <c r="S157" s="113">
        <f>IF(153&gt;MAX($N$16:$N$5015),"",INDEX($F$16:$F$5015,MATCH((MAX($N$16:$N$5015)-153+1),$N$16:$N$5015,0)))</f>
        <v/>
      </c>
      <c r="T157" s="105">
        <f>IF(153&gt;MAX($N$16:$N$5015),"",IF(153&gt;MAX($N$16:$N$5015),"",INDEX($G$16:$G$5015,MATCH((MAX($N$16:$N$5015)-153+1),$N$16:$N$5015,0)))&amp;" › "&amp;IF(153&gt;MAX($N$16:$N$5015),"",INDEX($H$16:$H$5015,MATCH((MAX($N$16:$N$5015)-153+1),$N$16:$N$5015,0)))&amp;" › "&amp;IF(153&gt;MAX($N$16:$N$5015),"",INDEX($I$16:$I$5015,MATCH((MAX($N$16:$N$5015)-153+1),$N$16:$N$5015,0))))</f>
        <v/>
      </c>
      <c r="U157" s="105">
        <f>IF(153&gt;MAX($N$16:$N$5015),"",INDEX($J$16:$J$5015,MATCH((MAX($N$16:$N$5015)-153+1),$N$16:$N$5015,0)))&amp;IF(IF(153&gt;MAX($N$16:$N$5015),"",INDEX($L$16:$L$5015,MATCH((MAX($N$16:$N$5015)-153+1),$N$16:$N$5015,0)))="",""," ["&amp;IF(153&gt;MAX($N$16:$N$5015),"",INDEX($L$16:$L$5015,MATCH((MAX($N$16:$N$5015)-153+1),$N$16:$N$5015,0)))&amp;"]")</f>
        <v/>
      </c>
      <c r="V157" s="120">
        <f>IF(153&gt;MAX($N$16:$N$5015),"",HYPERLINK("#Transaksi!B"&amp;(MATCH((MAX($N$16:$N$5015)-153+1),$N$16:$N$5015,0)+15),"Buka"))</f>
        <v/>
      </c>
      <c r="X157" s="93">
        <f>IF(AND(B157&lt;&gt;"",B157&gt;='Buku Akun'!$H$4,B157&lt;='Buku Akun'!$H$5,OR(C157='Buku Akun'!$C$4,AND(D157="Pindah",E157='Buku Akun'!$C$4))),B157+IF(AND(I157="Selisih bunga",DAY(B157)=1),0,0.01)+ROW()/10000000,"")</f>
        <v/>
      </c>
    </row>
    <row r="158" outlineLevel="1" ht="15" customHeight="1" s="94">
      <c r="A158" s="123">
        <f>IF(B158="","",ROW()-15)</f>
        <v/>
      </c>
      <c r="B158" s="124" t="n"/>
      <c r="C158" s="123" t="n"/>
      <c r="D158" s="123" t="n"/>
      <c r="E158" s="123" t="n"/>
      <c r="F158" s="125" t="n"/>
      <c r="G158" s="123" t="n"/>
      <c r="H158" s="123" t="n"/>
      <c r="I158" s="123" t="n"/>
      <c r="J158" s="123" t="n"/>
      <c r="K158" s="123" t="n"/>
      <c r="L158" s="123" t="n"/>
      <c r="M158" s="123">
        <f>IF(AND(B158&lt;&gt;"",OR($C$4="",ISNUMBER(SEARCH($C$4,C158&amp;" "&amp;E158&amp;" "&amp;G158&amp;" "&amp;H158&amp;" "&amp;I158&amp;" "&amp;J158&amp;" "&amp;K158&amp;" "&amp;L158))),OR($C$5="Semua",$C$5="",G158=$C$5),OR($C$6="Semua",$C$6="",H158=$C$6,H158="Pengeluaran "&amp;$C$6,AND($C$6="Uang Kos Mama",H158="Pengeluaran Uang Kos")),OR($C$7="Semua",$C$7="",I158=$C$7),OR($C$8="Semua",$C$8="",C158=$C$8,E158=$C$8),OR($C$9="Semua",$C$9="",D158=$C$9),OR($C$10="",B158&gt;=$C$10),OR($C$11="",B158&lt;=$C$11),OR($C$12&lt;&gt;"Ya",K158&lt;&gt;""),OR($C$13="Semua",$C$13="",L158=$C$13)),"✓","")</f>
        <v/>
      </c>
      <c r="N158" s="93">
        <f>N(N157)+IF(M158="✓",1,0)</f>
        <v/>
      </c>
      <c r="O158" s="93">
        <f>N(O157)+IF(AND(B158&lt;&gt;"",B158&gt;='Uang Riba'!$H$30,B158&lt;='Uang Riba'!$I$30,OR(H158="Dana riba",H158="Pinjam uang riba",I158="Pinjam dari uang riba",I158="Ganti uang riba",I158="Kelebihan ganti dikembalikan",AND(C158="Kantong Uang Riba",G158="Pengeluaran"))),1,0)</f>
        <v/>
      </c>
      <c r="P158" s="119">
        <f>IF(154&gt;MAX($N$16:$N$5015),"",INDEX($B$16:$B$5015,MATCH((MAX($N$16:$N$5015)-154+1),$N$16:$N$5015,0)))</f>
        <v/>
      </c>
      <c r="Q158" s="105">
        <f>IF(154&gt;MAX($N$16:$N$5015),"",INDEX($C$16:$C$5015,MATCH((MAX($N$16:$N$5015)-154+1),$N$16:$N$5015,0)))&amp;IF(IF(154&gt;MAX($N$16:$N$5015),"",INDEX($E$16:$E$5015,MATCH((MAX($N$16:$N$5015)-154+1),$N$16:$N$5015,0)))="",""," → "&amp;IF(154&gt;MAX($N$16:$N$5015),"",INDEX($E$16:$E$5015,MATCH((MAX($N$16:$N$5015)-154+1),$N$16:$N$5015,0))))</f>
        <v/>
      </c>
      <c r="R158" s="105">
        <f>IF(154&gt;MAX($N$16:$N$5015),"",INDEX($D$16:$D$5015,MATCH((MAX($N$16:$N$5015)-154+1),$N$16:$N$5015,0)))</f>
        <v/>
      </c>
      <c r="S158" s="113">
        <f>IF(154&gt;MAX($N$16:$N$5015),"",INDEX($F$16:$F$5015,MATCH((MAX($N$16:$N$5015)-154+1),$N$16:$N$5015,0)))</f>
        <v/>
      </c>
      <c r="T158" s="105">
        <f>IF(154&gt;MAX($N$16:$N$5015),"",IF(154&gt;MAX($N$16:$N$5015),"",INDEX($G$16:$G$5015,MATCH((MAX($N$16:$N$5015)-154+1),$N$16:$N$5015,0)))&amp;" › "&amp;IF(154&gt;MAX($N$16:$N$5015),"",INDEX($H$16:$H$5015,MATCH((MAX($N$16:$N$5015)-154+1),$N$16:$N$5015,0)))&amp;" › "&amp;IF(154&gt;MAX($N$16:$N$5015),"",INDEX($I$16:$I$5015,MATCH((MAX($N$16:$N$5015)-154+1),$N$16:$N$5015,0))))</f>
        <v/>
      </c>
      <c r="U158" s="105">
        <f>IF(154&gt;MAX($N$16:$N$5015),"",INDEX($J$16:$J$5015,MATCH((MAX($N$16:$N$5015)-154+1),$N$16:$N$5015,0)))&amp;IF(IF(154&gt;MAX($N$16:$N$5015),"",INDEX($L$16:$L$5015,MATCH((MAX($N$16:$N$5015)-154+1),$N$16:$N$5015,0)))="",""," ["&amp;IF(154&gt;MAX($N$16:$N$5015),"",INDEX($L$16:$L$5015,MATCH((MAX($N$16:$N$5015)-154+1),$N$16:$N$5015,0)))&amp;"]")</f>
        <v/>
      </c>
      <c r="V158" s="120">
        <f>IF(154&gt;MAX($N$16:$N$5015),"",HYPERLINK("#Transaksi!B"&amp;(MATCH((MAX($N$16:$N$5015)-154+1),$N$16:$N$5015,0)+15),"Buka"))</f>
        <v/>
      </c>
      <c r="X158" s="93">
        <f>IF(AND(B158&lt;&gt;"",B158&gt;='Buku Akun'!$H$4,B158&lt;='Buku Akun'!$H$5,OR(C158='Buku Akun'!$C$4,AND(D158="Pindah",E158='Buku Akun'!$C$4))),B158+IF(AND(I158="Selisih bunga",DAY(B158)=1),0,0.01)+ROW()/10000000,"")</f>
        <v/>
      </c>
    </row>
    <row r="159" outlineLevel="1" ht="15" customHeight="1" s="94">
      <c r="A159" s="123">
        <f>IF(B159="","",ROW()-15)</f>
        <v/>
      </c>
      <c r="B159" s="124" t="n"/>
      <c r="C159" s="123" t="n"/>
      <c r="D159" s="123" t="n"/>
      <c r="E159" s="123" t="n"/>
      <c r="F159" s="125" t="n"/>
      <c r="G159" s="123" t="n"/>
      <c r="H159" s="123" t="n"/>
      <c r="I159" s="123" t="n"/>
      <c r="J159" s="123" t="n"/>
      <c r="K159" s="123" t="n"/>
      <c r="L159" s="123" t="n"/>
      <c r="M159" s="123">
        <f>IF(AND(B159&lt;&gt;"",OR($C$4="",ISNUMBER(SEARCH($C$4,C159&amp;" "&amp;E159&amp;" "&amp;G159&amp;" "&amp;H159&amp;" "&amp;I159&amp;" "&amp;J159&amp;" "&amp;K159&amp;" "&amp;L159))),OR($C$5="Semua",$C$5="",G159=$C$5),OR($C$6="Semua",$C$6="",H159=$C$6,H159="Pengeluaran "&amp;$C$6,AND($C$6="Uang Kos Mama",H159="Pengeluaran Uang Kos")),OR($C$7="Semua",$C$7="",I159=$C$7),OR($C$8="Semua",$C$8="",C159=$C$8,E159=$C$8),OR($C$9="Semua",$C$9="",D159=$C$9),OR($C$10="",B159&gt;=$C$10),OR($C$11="",B159&lt;=$C$11),OR($C$12&lt;&gt;"Ya",K159&lt;&gt;""),OR($C$13="Semua",$C$13="",L159=$C$13)),"✓","")</f>
        <v/>
      </c>
      <c r="N159" s="93">
        <f>N(N158)+IF(M159="✓",1,0)</f>
        <v/>
      </c>
      <c r="O159" s="93">
        <f>N(O158)+IF(AND(B159&lt;&gt;"",B159&gt;='Uang Riba'!$H$30,B159&lt;='Uang Riba'!$I$30,OR(H159="Dana riba",H159="Pinjam uang riba",I159="Pinjam dari uang riba",I159="Ganti uang riba",I159="Kelebihan ganti dikembalikan",AND(C159="Kantong Uang Riba",G159="Pengeluaran"))),1,0)</f>
        <v/>
      </c>
      <c r="P159" s="119">
        <f>IF(155&gt;MAX($N$16:$N$5015),"",INDEX($B$16:$B$5015,MATCH((MAX($N$16:$N$5015)-155+1),$N$16:$N$5015,0)))</f>
        <v/>
      </c>
      <c r="Q159" s="105">
        <f>IF(155&gt;MAX($N$16:$N$5015),"",INDEX($C$16:$C$5015,MATCH((MAX($N$16:$N$5015)-155+1),$N$16:$N$5015,0)))&amp;IF(IF(155&gt;MAX($N$16:$N$5015),"",INDEX($E$16:$E$5015,MATCH((MAX($N$16:$N$5015)-155+1),$N$16:$N$5015,0)))="",""," → "&amp;IF(155&gt;MAX($N$16:$N$5015),"",INDEX($E$16:$E$5015,MATCH((MAX($N$16:$N$5015)-155+1),$N$16:$N$5015,0))))</f>
        <v/>
      </c>
      <c r="R159" s="105">
        <f>IF(155&gt;MAX($N$16:$N$5015),"",INDEX($D$16:$D$5015,MATCH((MAX($N$16:$N$5015)-155+1),$N$16:$N$5015,0)))</f>
        <v/>
      </c>
      <c r="S159" s="113">
        <f>IF(155&gt;MAX($N$16:$N$5015),"",INDEX($F$16:$F$5015,MATCH((MAX($N$16:$N$5015)-155+1),$N$16:$N$5015,0)))</f>
        <v/>
      </c>
      <c r="T159" s="105">
        <f>IF(155&gt;MAX($N$16:$N$5015),"",IF(155&gt;MAX($N$16:$N$5015),"",INDEX($G$16:$G$5015,MATCH((MAX($N$16:$N$5015)-155+1),$N$16:$N$5015,0)))&amp;" › "&amp;IF(155&gt;MAX($N$16:$N$5015),"",INDEX($H$16:$H$5015,MATCH((MAX($N$16:$N$5015)-155+1),$N$16:$N$5015,0)))&amp;" › "&amp;IF(155&gt;MAX($N$16:$N$5015),"",INDEX($I$16:$I$5015,MATCH((MAX($N$16:$N$5015)-155+1),$N$16:$N$5015,0))))</f>
        <v/>
      </c>
      <c r="U159" s="105">
        <f>IF(155&gt;MAX($N$16:$N$5015),"",INDEX($J$16:$J$5015,MATCH((MAX($N$16:$N$5015)-155+1),$N$16:$N$5015,0)))&amp;IF(IF(155&gt;MAX($N$16:$N$5015),"",INDEX($L$16:$L$5015,MATCH((MAX($N$16:$N$5015)-155+1),$N$16:$N$5015,0)))="",""," ["&amp;IF(155&gt;MAX($N$16:$N$5015),"",INDEX($L$16:$L$5015,MATCH((MAX($N$16:$N$5015)-155+1),$N$16:$N$5015,0)))&amp;"]")</f>
        <v/>
      </c>
      <c r="V159" s="120">
        <f>IF(155&gt;MAX($N$16:$N$5015),"",HYPERLINK("#Transaksi!B"&amp;(MATCH((MAX($N$16:$N$5015)-155+1),$N$16:$N$5015,0)+15),"Buka"))</f>
        <v/>
      </c>
      <c r="X159" s="93">
        <f>IF(AND(B159&lt;&gt;"",B159&gt;='Buku Akun'!$H$4,B159&lt;='Buku Akun'!$H$5,OR(C159='Buku Akun'!$C$4,AND(D159="Pindah",E159='Buku Akun'!$C$4))),B159+IF(AND(I159="Selisih bunga",DAY(B159)=1),0,0.01)+ROW()/10000000,"")</f>
        <v/>
      </c>
    </row>
    <row r="160" outlineLevel="1" ht="15" customHeight="1" s="94">
      <c r="A160" s="123">
        <f>IF(B160="","",ROW()-15)</f>
        <v/>
      </c>
      <c r="B160" s="124" t="n"/>
      <c r="C160" s="123" t="n"/>
      <c r="D160" s="123" t="n"/>
      <c r="E160" s="123" t="n"/>
      <c r="F160" s="125" t="n"/>
      <c r="G160" s="123" t="n"/>
      <c r="H160" s="123" t="n"/>
      <c r="I160" s="123" t="n"/>
      <c r="J160" s="123" t="n"/>
      <c r="K160" s="123" t="n"/>
      <c r="L160" s="123" t="n"/>
      <c r="M160" s="123">
        <f>IF(AND(B160&lt;&gt;"",OR($C$4="",ISNUMBER(SEARCH($C$4,C160&amp;" "&amp;E160&amp;" "&amp;G160&amp;" "&amp;H160&amp;" "&amp;I160&amp;" "&amp;J160&amp;" "&amp;K160&amp;" "&amp;L160))),OR($C$5="Semua",$C$5="",G160=$C$5),OR($C$6="Semua",$C$6="",H160=$C$6,H160="Pengeluaran "&amp;$C$6,AND($C$6="Uang Kos Mama",H160="Pengeluaran Uang Kos")),OR($C$7="Semua",$C$7="",I160=$C$7),OR($C$8="Semua",$C$8="",C160=$C$8,E160=$C$8),OR($C$9="Semua",$C$9="",D160=$C$9),OR($C$10="",B160&gt;=$C$10),OR($C$11="",B160&lt;=$C$11),OR($C$12&lt;&gt;"Ya",K160&lt;&gt;""),OR($C$13="Semua",$C$13="",L160=$C$13)),"✓","")</f>
        <v/>
      </c>
      <c r="N160" s="93">
        <f>N(N159)+IF(M160="✓",1,0)</f>
        <v/>
      </c>
      <c r="O160" s="93">
        <f>N(O159)+IF(AND(B160&lt;&gt;"",B160&gt;='Uang Riba'!$H$30,B160&lt;='Uang Riba'!$I$30,OR(H160="Dana riba",H160="Pinjam uang riba",I160="Pinjam dari uang riba",I160="Ganti uang riba",I160="Kelebihan ganti dikembalikan",AND(C160="Kantong Uang Riba",G160="Pengeluaran"))),1,0)</f>
        <v/>
      </c>
      <c r="P160" s="119">
        <f>IF(156&gt;MAX($N$16:$N$5015),"",INDEX($B$16:$B$5015,MATCH((MAX($N$16:$N$5015)-156+1),$N$16:$N$5015,0)))</f>
        <v/>
      </c>
      <c r="Q160" s="105">
        <f>IF(156&gt;MAX($N$16:$N$5015),"",INDEX($C$16:$C$5015,MATCH((MAX($N$16:$N$5015)-156+1),$N$16:$N$5015,0)))&amp;IF(IF(156&gt;MAX($N$16:$N$5015),"",INDEX($E$16:$E$5015,MATCH((MAX($N$16:$N$5015)-156+1),$N$16:$N$5015,0)))="",""," → "&amp;IF(156&gt;MAX($N$16:$N$5015),"",INDEX($E$16:$E$5015,MATCH((MAX($N$16:$N$5015)-156+1),$N$16:$N$5015,0))))</f>
        <v/>
      </c>
      <c r="R160" s="105">
        <f>IF(156&gt;MAX($N$16:$N$5015),"",INDEX($D$16:$D$5015,MATCH((MAX($N$16:$N$5015)-156+1),$N$16:$N$5015,0)))</f>
        <v/>
      </c>
      <c r="S160" s="113">
        <f>IF(156&gt;MAX($N$16:$N$5015),"",INDEX($F$16:$F$5015,MATCH((MAX($N$16:$N$5015)-156+1),$N$16:$N$5015,0)))</f>
        <v/>
      </c>
      <c r="T160" s="105">
        <f>IF(156&gt;MAX($N$16:$N$5015),"",IF(156&gt;MAX($N$16:$N$5015),"",INDEX($G$16:$G$5015,MATCH((MAX($N$16:$N$5015)-156+1),$N$16:$N$5015,0)))&amp;" › "&amp;IF(156&gt;MAX($N$16:$N$5015),"",INDEX($H$16:$H$5015,MATCH((MAX($N$16:$N$5015)-156+1),$N$16:$N$5015,0)))&amp;" › "&amp;IF(156&gt;MAX($N$16:$N$5015),"",INDEX($I$16:$I$5015,MATCH((MAX($N$16:$N$5015)-156+1),$N$16:$N$5015,0))))</f>
        <v/>
      </c>
      <c r="U160" s="105">
        <f>IF(156&gt;MAX($N$16:$N$5015),"",INDEX($J$16:$J$5015,MATCH((MAX($N$16:$N$5015)-156+1),$N$16:$N$5015,0)))&amp;IF(IF(156&gt;MAX($N$16:$N$5015),"",INDEX($L$16:$L$5015,MATCH((MAX($N$16:$N$5015)-156+1),$N$16:$N$5015,0)))="",""," ["&amp;IF(156&gt;MAX($N$16:$N$5015),"",INDEX($L$16:$L$5015,MATCH((MAX($N$16:$N$5015)-156+1),$N$16:$N$5015,0)))&amp;"]")</f>
        <v/>
      </c>
      <c r="V160" s="120">
        <f>IF(156&gt;MAX($N$16:$N$5015),"",HYPERLINK("#Transaksi!B"&amp;(MATCH((MAX($N$16:$N$5015)-156+1),$N$16:$N$5015,0)+15),"Buka"))</f>
        <v/>
      </c>
      <c r="X160" s="93">
        <f>IF(AND(B160&lt;&gt;"",B160&gt;='Buku Akun'!$H$4,B160&lt;='Buku Akun'!$H$5,OR(C160='Buku Akun'!$C$4,AND(D160="Pindah",E160='Buku Akun'!$C$4))),B160+IF(AND(I160="Selisih bunga",DAY(B160)=1),0,0.01)+ROW()/10000000,"")</f>
        <v/>
      </c>
    </row>
    <row r="161" outlineLevel="1" ht="15" customHeight="1" s="94">
      <c r="A161" s="123">
        <f>IF(B161="","",ROW()-15)</f>
        <v/>
      </c>
      <c r="B161" s="124" t="n"/>
      <c r="C161" s="123" t="n"/>
      <c r="D161" s="123" t="n"/>
      <c r="E161" s="123" t="n"/>
      <c r="F161" s="125" t="n"/>
      <c r="G161" s="123" t="n"/>
      <c r="H161" s="123" t="n"/>
      <c r="I161" s="123" t="n"/>
      <c r="J161" s="123" t="n"/>
      <c r="K161" s="123" t="n"/>
      <c r="L161" s="123" t="n"/>
      <c r="M161" s="123">
        <f>IF(AND(B161&lt;&gt;"",OR($C$4="",ISNUMBER(SEARCH($C$4,C161&amp;" "&amp;E161&amp;" "&amp;G161&amp;" "&amp;H161&amp;" "&amp;I161&amp;" "&amp;J161&amp;" "&amp;K161&amp;" "&amp;L161))),OR($C$5="Semua",$C$5="",G161=$C$5),OR($C$6="Semua",$C$6="",H161=$C$6,H161="Pengeluaran "&amp;$C$6,AND($C$6="Uang Kos Mama",H161="Pengeluaran Uang Kos")),OR($C$7="Semua",$C$7="",I161=$C$7),OR($C$8="Semua",$C$8="",C161=$C$8,E161=$C$8),OR($C$9="Semua",$C$9="",D161=$C$9),OR($C$10="",B161&gt;=$C$10),OR($C$11="",B161&lt;=$C$11),OR($C$12&lt;&gt;"Ya",K161&lt;&gt;""),OR($C$13="Semua",$C$13="",L161=$C$13)),"✓","")</f>
        <v/>
      </c>
      <c r="N161" s="93">
        <f>N(N160)+IF(M161="✓",1,0)</f>
        <v/>
      </c>
      <c r="O161" s="93">
        <f>N(O160)+IF(AND(B161&lt;&gt;"",B161&gt;='Uang Riba'!$H$30,B161&lt;='Uang Riba'!$I$30,OR(H161="Dana riba",H161="Pinjam uang riba",I161="Pinjam dari uang riba",I161="Ganti uang riba",I161="Kelebihan ganti dikembalikan",AND(C161="Kantong Uang Riba",G161="Pengeluaran"))),1,0)</f>
        <v/>
      </c>
      <c r="P161" s="119">
        <f>IF(157&gt;MAX($N$16:$N$5015),"",INDEX($B$16:$B$5015,MATCH((MAX($N$16:$N$5015)-157+1),$N$16:$N$5015,0)))</f>
        <v/>
      </c>
      <c r="Q161" s="105">
        <f>IF(157&gt;MAX($N$16:$N$5015),"",INDEX($C$16:$C$5015,MATCH((MAX($N$16:$N$5015)-157+1),$N$16:$N$5015,0)))&amp;IF(IF(157&gt;MAX($N$16:$N$5015),"",INDEX($E$16:$E$5015,MATCH((MAX($N$16:$N$5015)-157+1),$N$16:$N$5015,0)))="",""," → "&amp;IF(157&gt;MAX($N$16:$N$5015),"",INDEX($E$16:$E$5015,MATCH((MAX($N$16:$N$5015)-157+1),$N$16:$N$5015,0))))</f>
        <v/>
      </c>
      <c r="R161" s="105">
        <f>IF(157&gt;MAX($N$16:$N$5015),"",INDEX($D$16:$D$5015,MATCH((MAX($N$16:$N$5015)-157+1),$N$16:$N$5015,0)))</f>
        <v/>
      </c>
      <c r="S161" s="113">
        <f>IF(157&gt;MAX($N$16:$N$5015),"",INDEX($F$16:$F$5015,MATCH((MAX($N$16:$N$5015)-157+1),$N$16:$N$5015,0)))</f>
        <v/>
      </c>
      <c r="T161" s="105">
        <f>IF(157&gt;MAX($N$16:$N$5015),"",IF(157&gt;MAX($N$16:$N$5015),"",INDEX($G$16:$G$5015,MATCH((MAX($N$16:$N$5015)-157+1),$N$16:$N$5015,0)))&amp;" › "&amp;IF(157&gt;MAX($N$16:$N$5015),"",INDEX($H$16:$H$5015,MATCH((MAX($N$16:$N$5015)-157+1),$N$16:$N$5015,0)))&amp;" › "&amp;IF(157&gt;MAX($N$16:$N$5015),"",INDEX($I$16:$I$5015,MATCH((MAX($N$16:$N$5015)-157+1),$N$16:$N$5015,0))))</f>
        <v/>
      </c>
      <c r="U161" s="105">
        <f>IF(157&gt;MAX($N$16:$N$5015),"",INDEX($J$16:$J$5015,MATCH((MAX($N$16:$N$5015)-157+1),$N$16:$N$5015,0)))&amp;IF(IF(157&gt;MAX($N$16:$N$5015),"",INDEX($L$16:$L$5015,MATCH((MAX($N$16:$N$5015)-157+1),$N$16:$N$5015,0)))="",""," ["&amp;IF(157&gt;MAX($N$16:$N$5015),"",INDEX($L$16:$L$5015,MATCH((MAX($N$16:$N$5015)-157+1),$N$16:$N$5015,0)))&amp;"]")</f>
        <v/>
      </c>
      <c r="V161" s="120">
        <f>IF(157&gt;MAX($N$16:$N$5015),"",HYPERLINK("#Transaksi!B"&amp;(MATCH((MAX($N$16:$N$5015)-157+1),$N$16:$N$5015,0)+15),"Buka"))</f>
        <v/>
      </c>
      <c r="X161" s="93">
        <f>IF(AND(B161&lt;&gt;"",B161&gt;='Buku Akun'!$H$4,B161&lt;='Buku Akun'!$H$5,OR(C161='Buku Akun'!$C$4,AND(D161="Pindah",E161='Buku Akun'!$C$4))),B161+IF(AND(I161="Selisih bunga",DAY(B161)=1),0,0.01)+ROW()/10000000,"")</f>
        <v/>
      </c>
    </row>
    <row r="162" outlineLevel="1" ht="15" customHeight="1" s="94">
      <c r="A162" s="123">
        <f>IF(B162="","",ROW()-15)</f>
        <v/>
      </c>
      <c r="B162" s="124" t="n"/>
      <c r="C162" s="123" t="n"/>
      <c r="D162" s="123" t="n"/>
      <c r="E162" s="123" t="n"/>
      <c r="F162" s="125" t="n"/>
      <c r="G162" s="123" t="n"/>
      <c r="H162" s="123" t="n"/>
      <c r="I162" s="123" t="n"/>
      <c r="J162" s="123" t="n"/>
      <c r="K162" s="123" t="n"/>
      <c r="L162" s="123" t="n"/>
      <c r="M162" s="123">
        <f>IF(AND(B162&lt;&gt;"",OR($C$4="",ISNUMBER(SEARCH($C$4,C162&amp;" "&amp;E162&amp;" "&amp;G162&amp;" "&amp;H162&amp;" "&amp;I162&amp;" "&amp;J162&amp;" "&amp;K162&amp;" "&amp;L162))),OR($C$5="Semua",$C$5="",G162=$C$5),OR($C$6="Semua",$C$6="",H162=$C$6,H162="Pengeluaran "&amp;$C$6,AND($C$6="Uang Kos Mama",H162="Pengeluaran Uang Kos")),OR($C$7="Semua",$C$7="",I162=$C$7),OR($C$8="Semua",$C$8="",C162=$C$8,E162=$C$8),OR($C$9="Semua",$C$9="",D162=$C$9),OR($C$10="",B162&gt;=$C$10),OR($C$11="",B162&lt;=$C$11),OR($C$12&lt;&gt;"Ya",K162&lt;&gt;""),OR($C$13="Semua",$C$13="",L162=$C$13)),"✓","")</f>
        <v/>
      </c>
      <c r="N162" s="93">
        <f>N(N161)+IF(M162="✓",1,0)</f>
        <v/>
      </c>
      <c r="O162" s="93">
        <f>N(O161)+IF(AND(B162&lt;&gt;"",B162&gt;='Uang Riba'!$H$30,B162&lt;='Uang Riba'!$I$30,OR(H162="Dana riba",H162="Pinjam uang riba",I162="Pinjam dari uang riba",I162="Ganti uang riba",I162="Kelebihan ganti dikembalikan",AND(C162="Kantong Uang Riba",G162="Pengeluaran"))),1,0)</f>
        <v/>
      </c>
      <c r="P162" s="119">
        <f>IF(158&gt;MAX($N$16:$N$5015),"",INDEX($B$16:$B$5015,MATCH((MAX($N$16:$N$5015)-158+1),$N$16:$N$5015,0)))</f>
        <v/>
      </c>
      <c r="Q162" s="105">
        <f>IF(158&gt;MAX($N$16:$N$5015),"",INDEX($C$16:$C$5015,MATCH((MAX($N$16:$N$5015)-158+1),$N$16:$N$5015,0)))&amp;IF(IF(158&gt;MAX($N$16:$N$5015),"",INDEX($E$16:$E$5015,MATCH((MAX($N$16:$N$5015)-158+1),$N$16:$N$5015,0)))="",""," → "&amp;IF(158&gt;MAX($N$16:$N$5015),"",INDEX($E$16:$E$5015,MATCH((MAX($N$16:$N$5015)-158+1),$N$16:$N$5015,0))))</f>
        <v/>
      </c>
      <c r="R162" s="105">
        <f>IF(158&gt;MAX($N$16:$N$5015),"",INDEX($D$16:$D$5015,MATCH((MAX($N$16:$N$5015)-158+1),$N$16:$N$5015,0)))</f>
        <v/>
      </c>
      <c r="S162" s="113">
        <f>IF(158&gt;MAX($N$16:$N$5015),"",INDEX($F$16:$F$5015,MATCH((MAX($N$16:$N$5015)-158+1),$N$16:$N$5015,0)))</f>
        <v/>
      </c>
      <c r="T162" s="105">
        <f>IF(158&gt;MAX($N$16:$N$5015),"",IF(158&gt;MAX($N$16:$N$5015),"",INDEX($G$16:$G$5015,MATCH((MAX($N$16:$N$5015)-158+1),$N$16:$N$5015,0)))&amp;" › "&amp;IF(158&gt;MAX($N$16:$N$5015),"",INDEX($H$16:$H$5015,MATCH((MAX($N$16:$N$5015)-158+1),$N$16:$N$5015,0)))&amp;" › "&amp;IF(158&gt;MAX($N$16:$N$5015),"",INDEX($I$16:$I$5015,MATCH((MAX($N$16:$N$5015)-158+1),$N$16:$N$5015,0))))</f>
        <v/>
      </c>
      <c r="U162" s="105">
        <f>IF(158&gt;MAX($N$16:$N$5015),"",INDEX($J$16:$J$5015,MATCH((MAX($N$16:$N$5015)-158+1),$N$16:$N$5015,0)))&amp;IF(IF(158&gt;MAX($N$16:$N$5015),"",INDEX($L$16:$L$5015,MATCH((MAX($N$16:$N$5015)-158+1),$N$16:$N$5015,0)))="",""," ["&amp;IF(158&gt;MAX($N$16:$N$5015),"",INDEX($L$16:$L$5015,MATCH((MAX($N$16:$N$5015)-158+1),$N$16:$N$5015,0)))&amp;"]")</f>
        <v/>
      </c>
      <c r="V162" s="120">
        <f>IF(158&gt;MAX($N$16:$N$5015),"",HYPERLINK("#Transaksi!B"&amp;(MATCH((MAX($N$16:$N$5015)-158+1),$N$16:$N$5015,0)+15),"Buka"))</f>
        <v/>
      </c>
      <c r="X162" s="93">
        <f>IF(AND(B162&lt;&gt;"",B162&gt;='Buku Akun'!$H$4,B162&lt;='Buku Akun'!$H$5,OR(C162='Buku Akun'!$C$4,AND(D162="Pindah",E162='Buku Akun'!$C$4))),B162+IF(AND(I162="Selisih bunga",DAY(B162)=1),0,0.01)+ROW()/10000000,"")</f>
        <v/>
      </c>
    </row>
    <row r="163" outlineLevel="1" ht="15" customHeight="1" s="94">
      <c r="A163" s="123">
        <f>IF(B163="","",ROW()-15)</f>
        <v/>
      </c>
      <c r="B163" s="124" t="n"/>
      <c r="C163" s="123" t="n"/>
      <c r="D163" s="123" t="n"/>
      <c r="E163" s="123" t="n"/>
      <c r="F163" s="125" t="n"/>
      <c r="G163" s="123" t="n"/>
      <c r="H163" s="123" t="n"/>
      <c r="I163" s="123" t="n"/>
      <c r="J163" s="123" t="n"/>
      <c r="K163" s="123" t="n"/>
      <c r="L163" s="123" t="n"/>
      <c r="M163" s="123">
        <f>IF(AND(B163&lt;&gt;"",OR($C$4="",ISNUMBER(SEARCH($C$4,C163&amp;" "&amp;E163&amp;" "&amp;G163&amp;" "&amp;H163&amp;" "&amp;I163&amp;" "&amp;J163&amp;" "&amp;K163&amp;" "&amp;L163))),OR($C$5="Semua",$C$5="",G163=$C$5),OR($C$6="Semua",$C$6="",H163=$C$6,H163="Pengeluaran "&amp;$C$6,AND($C$6="Uang Kos Mama",H163="Pengeluaran Uang Kos")),OR($C$7="Semua",$C$7="",I163=$C$7),OR($C$8="Semua",$C$8="",C163=$C$8,E163=$C$8),OR($C$9="Semua",$C$9="",D163=$C$9),OR($C$10="",B163&gt;=$C$10),OR($C$11="",B163&lt;=$C$11),OR($C$12&lt;&gt;"Ya",K163&lt;&gt;""),OR($C$13="Semua",$C$13="",L163=$C$13)),"✓","")</f>
        <v/>
      </c>
      <c r="N163" s="93">
        <f>N(N162)+IF(M163="✓",1,0)</f>
        <v/>
      </c>
      <c r="O163" s="93">
        <f>N(O162)+IF(AND(B163&lt;&gt;"",B163&gt;='Uang Riba'!$H$30,B163&lt;='Uang Riba'!$I$30,OR(H163="Dana riba",H163="Pinjam uang riba",I163="Pinjam dari uang riba",I163="Ganti uang riba",I163="Kelebihan ganti dikembalikan",AND(C163="Kantong Uang Riba",G163="Pengeluaran"))),1,0)</f>
        <v/>
      </c>
      <c r="P163" s="119">
        <f>IF(159&gt;MAX($N$16:$N$5015),"",INDEX($B$16:$B$5015,MATCH((MAX($N$16:$N$5015)-159+1),$N$16:$N$5015,0)))</f>
        <v/>
      </c>
      <c r="Q163" s="105">
        <f>IF(159&gt;MAX($N$16:$N$5015),"",INDEX($C$16:$C$5015,MATCH((MAX($N$16:$N$5015)-159+1),$N$16:$N$5015,0)))&amp;IF(IF(159&gt;MAX($N$16:$N$5015),"",INDEX($E$16:$E$5015,MATCH((MAX($N$16:$N$5015)-159+1),$N$16:$N$5015,0)))="",""," → "&amp;IF(159&gt;MAX($N$16:$N$5015),"",INDEX($E$16:$E$5015,MATCH((MAX($N$16:$N$5015)-159+1),$N$16:$N$5015,0))))</f>
        <v/>
      </c>
      <c r="R163" s="105">
        <f>IF(159&gt;MAX($N$16:$N$5015),"",INDEX($D$16:$D$5015,MATCH((MAX($N$16:$N$5015)-159+1),$N$16:$N$5015,0)))</f>
        <v/>
      </c>
      <c r="S163" s="113">
        <f>IF(159&gt;MAX($N$16:$N$5015),"",INDEX($F$16:$F$5015,MATCH((MAX($N$16:$N$5015)-159+1),$N$16:$N$5015,0)))</f>
        <v/>
      </c>
      <c r="T163" s="105">
        <f>IF(159&gt;MAX($N$16:$N$5015),"",IF(159&gt;MAX($N$16:$N$5015),"",INDEX($G$16:$G$5015,MATCH((MAX($N$16:$N$5015)-159+1),$N$16:$N$5015,0)))&amp;" › "&amp;IF(159&gt;MAX($N$16:$N$5015),"",INDEX($H$16:$H$5015,MATCH((MAX($N$16:$N$5015)-159+1),$N$16:$N$5015,0)))&amp;" › "&amp;IF(159&gt;MAX($N$16:$N$5015),"",INDEX($I$16:$I$5015,MATCH((MAX($N$16:$N$5015)-159+1),$N$16:$N$5015,0))))</f>
        <v/>
      </c>
      <c r="U163" s="105">
        <f>IF(159&gt;MAX($N$16:$N$5015),"",INDEX($J$16:$J$5015,MATCH((MAX($N$16:$N$5015)-159+1),$N$16:$N$5015,0)))&amp;IF(IF(159&gt;MAX($N$16:$N$5015),"",INDEX($L$16:$L$5015,MATCH((MAX($N$16:$N$5015)-159+1),$N$16:$N$5015,0)))="",""," ["&amp;IF(159&gt;MAX($N$16:$N$5015),"",INDEX($L$16:$L$5015,MATCH((MAX($N$16:$N$5015)-159+1),$N$16:$N$5015,0)))&amp;"]")</f>
        <v/>
      </c>
      <c r="V163" s="120">
        <f>IF(159&gt;MAX($N$16:$N$5015),"",HYPERLINK("#Transaksi!B"&amp;(MATCH((MAX($N$16:$N$5015)-159+1),$N$16:$N$5015,0)+15),"Buka"))</f>
        <v/>
      </c>
      <c r="X163" s="93">
        <f>IF(AND(B163&lt;&gt;"",B163&gt;='Buku Akun'!$H$4,B163&lt;='Buku Akun'!$H$5,OR(C163='Buku Akun'!$C$4,AND(D163="Pindah",E163='Buku Akun'!$C$4))),B163+IF(AND(I163="Selisih bunga",DAY(B163)=1),0,0.01)+ROW()/10000000,"")</f>
        <v/>
      </c>
    </row>
    <row r="164" outlineLevel="1" ht="15" customHeight="1" s="94">
      <c r="A164" s="123">
        <f>IF(B164="","",ROW()-15)</f>
        <v/>
      </c>
      <c r="B164" s="124" t="n"/>
      <c r="C164" s="123" t="n"/>
      <c r="D164" s="123" t="n"/>
      <c r="E164" s="123" t="n"/>
      <c r="F164" s="125" t="n"/>
      <c r="G164" s="123" t="n"/>
      <c r="H164" s="123" t="n"/>
      <c r="I164" s="123" t="n"/>
      <c r="J164" s="123" t="n"/>
      <c r="K164" s="123" t="n"/>
      <c r="L164" s="123" t="n"/>
      <c r="M164" s="123">
        <f>IF(AND(B164&lt;&gt;"",OR($C$4="",ISNUMBER(SEARCH($C$4,C164&amp;" "&amp;E164&amp;" "&amp;G164&amp;" "&amp;H164&amp;" "&amp;I164&amp;" "&amp;J164&amp;" "&amp;K164&amp;" "&amp;L164))),OR($C$5="Semua",$C$5="",G164=$C$5),OR($C$6="Semua",$C$6="",H164=$C$6,H164="Pengeluaran "&amp;$C$6,AND($C$6="Uang Kos Mama",H164="Pengeluaran Uang Kos")),OR($C$7="Semua",$C$7="",I164=$C$7),OR($C$8="Semua",$C$8="",C164=$C$8,E164=$C$8),OR($C$9="Semua",$C$9="",D164=$C$9),OR($C$10="",B164&gt;=$C$10),OR($C$11="",B164&lt;=$C$11),OR($C$12&lt;&gt;"Ya",K164&lt;&gt;""),OR($C$13="Semua",$C$13="",L164=$C$13)),"✓","")</f>
        <v/>
      </c>
      <c r="N164" s="93">
        <f>N(N163)+IF(M164="✓",1,0)</f>
        <v/>
      </c>
      <c r="O164" s="93">
        <f>N(O163)+IF(AND(B164&lt;&gt;"",B164&gt;='Uang Riba'!$H$30,B164&lt;='Uang Riba'!$I$30,OR(H164="Dana riba",H164="Pinjam uang riba",I164="Pinjam dari uang riba",I164="Ganti uang riba",I164="Kelebihan ganti dikembalikan",AND(C164="Kantong Uang Riba",G164="Pengeluaran"))),1,0)</f>
        <v/>
      </c>
      <c r="P164" s="119">
        <f>IF(160&gt;MAX($N$16:$N$5015),"",INDEX($B$16:$B$5015,MATCH((MAX($N$16:$N$5015)-160+1),$N$16:$N$5015,0)))</f>
        <v/>
      </c>
      <c r="Q164" s="105">
        <f>IF(160&gt;MAX($N$16:$N$5015),"",INDEX($C$16:$C$5015,MATCH((MAX($N$16:$N$5015)-160+1),$N$16:$N$5015,0)))&amp;IF(IF(160&gt;MAX($N$16:$N$5015),"",INDEX($E$16:$E$5015,MATCH((MAX($N$16:$N$5015)-160+1),$N$16:$N$5015,0)))="",""," → "&amp;IF(160&gt;MAX($N$16:$N$5015),"",INDEX($E$16:$E$5015,MATCH((MAX($N$16:$N$5015)-160+1),$N$16:$N$5015,0))))</f>
        <v/>
      </c>
      <c r="R164" s="105">
        <f>IF(160&gt;MAX($N$16:$N$5015),"",INDEX($D$16:$D$5015,MATCH((MAX($N$16:$N$5015)-160+1),$N$16:$N$5015,0)))</f>
        <v/>
      </c>
      <c r="S164" s="113">
        <f>IF(160&gt;MAX($N$16:$N$5015),"",INDEX($F$16:$F$5015,MATCH((MAX($N$16:$N$5015)-160+1),$N$16:$N$5015,0)))</f>
        <v/>
      </c>
      <c r="T164" s="105">
        <f>IF(160&gt;MAX($N$16:$N$5015),"",IF(160&gt;MAX($N$16:$N$5015),"",INDEX($G$16:$G$5015,MATCH((MAX($N$16:$N$5015)-160+1),$N$16:$N$5015,0)))&amp;" › "&amp;IF(160&gt;MAX($N$16:$N$5015),"",INDEX($H$16:$H$5015,MATCH((MAX($N$16:$N$5015)-160+1),$N$16:$N$5015,0)))&amp;" › "&amp;IF(160&gt;MAX($N$16:$N$5015),"",INDEX($I$16:$I$5015,MATCH((MAX($N$16:$N$5015)-160+1),$N$16:$N$5015,0))))</f>
        <v/>
      </c>
      <c r="U164" s="105">
        <f>IF(160&gt;MAX($N$16:$N$5015),"",INDEX($J$16:$J$5015,MATCH((MAX($N$16:$N$5015)-160+1),$N$16:$N$5015,0)))&amp;IF(IF(160&gt;MAX($N$16:$N$5015),"",INDEX($L$16:$L$5015,MATCH((MAX($N$16:$N$5015)-160+1),$N$16:$N$5015,0)))="",""," ["&amp;IF(160&gt;MAX($N$16:$N$5015),"",INDEX($L$16:$L$5015,MATCH((MAX($N$16:$N$5015)-160+1),$N$16:$N$5015,0)))&amp;"]")</f>
        <v/>
      </c>
      <c r="V164" s="120">
        <f>IF(160&gt;MAX($N$16:$N$5015),"",HYPERLINK("#Transaksi!B"&amp;(MATCH((MAX($N$16:$N$5015)-160+1),$N$16:$N$5015,0)+15),"Buka"))</f>
        <v/>
      </c>
      <c r="X164" s="93">
        <f>IF(AND(B164&lt;&gt;"",B164&gt;='Buku Akun'!$H$4,B164&lt;='Buku Akun'!$H$5,OR(C164='Buku Akun'!$C$4,AND(D164="Pindah",E164='Buku Akun'!$C$4))),B164+IF(AND(I164="Selisih bunga",DAY(B164)=1),0,0.01)+ROW()/10000000,"")</f>
        <v/>
      </c>
    </row>
    <row r="165" outlineLevel="1" ht="15" customHeight="1" s="94">
      <c r="A165" s="123">
        <f>IF(B165="","",ROW()-15)</f>
        <v/>
      </c>
      <c r="B165" s="124" t="n"/>
      <c r="C165" s="123" t="n"/>
      <c r="D165" s="123" t="n"/>
      <c r="E165" s="123" t="n"/>
      <c r="F165" s="125" t="n"/>
      <c r="G165" s="123" t="n"/>
      <c r="H165" s="123" t="n"/>
      <c r="I165" s="123" t="n"/>
      <c r="J165" s="123" t="n"/>
      <c r="K165" s="123" t="n"/>
      <c r="L165" s="123" t="n"/>
      <c r="M165" s="123">
        <f>IF(AND(B165&lt;&gt;"",OR($C$4="",ISNUMBER(SEARCH($C$4,C165&amp;" "&amp;E165&amp;" "&amp;G165&amp;" "&amp;H165&amp;" "&amp;I165&amp;" "&amp;J165&amp;" "&amp;K165&amp;" "&amp;L165))),OR($C$5="Semua",$C$5="",G165=$C$5),OR($C$6="Semua",$C$6="",H165=$C$6,H165="Pengeluaran "&amp;$C$6,AND($C$6="Uang Kos Mama",H165="Pengeluaran Uang Kos")),OR($C$7="Semua",$C$7="",I165=$C$7),OR($C$8="Semua",$C$8="",C165=$C$8,E165=$C$8),OR($C$9="Semua",$C$9="",D165=$C$9),OR($C$10="",B165&gt;=$C$10),OR($C$11="",B165&lt;=$C$11),OR($C$12&lt;&gt;"Ya",K165&lt;&gt;""),OR($C$13="Semua",$C$13="",L165=$C$13)),"✓","")</f>
        <v/>
      </c>
      <c r="N165" s="93">
        <f>N(N164)+IF(M165="✓",1,0)</f>
        <v/>
      </c>
      <c r="O165" s="93">
        <f>N(O164)+IF(AND(B165&lt;&gt;"",B165&gt;='Uang Riba'!$H$30,B165&lt;='Uang Riba'!$I$30,OR(H165="Dana riba",H165="Pinjam uang riba",I165="Pinjam dari uang riba",I165="Ganti uang riba",I165="Kelebihan ganti dikembalikan",AND(C165="Kantong Uang Riba",G165="Pengeluaran"))),1,0)</f>
        <v/>
      </c>
      <c r="P165" s="119">
        <f>IF(161&gt;MAX($N$16:$N$5015),"",INDEX($B$16:$B$5015,MATCH((MAX($N$16:$N$5015)-161+1),$N$16:$N$5015,0)))</f>
        <v/>
      </c>
      <c r="Q165" s="105">
        <f>IF(161&gt;MAX($N$16:$N$5015),"",INDEX($C$16:$C$5015,MATCH((MAX($N$16:$N$5015)-161+1),$N$16:$N$5015,0)))&amp;IF(IF(161&gt;MAX($N$16:$N$5015),"",INDEX($E$16:$E$5015,MATCH((MAX($N$16:$N$5015)-161+1),$N$16:$N$5015,0)))="",""," → "&amp;IF(161&gt;MAX($N$16:$N$5015),"",INDEX($E$16:$E$5015,MATCH((MAX($N$16:$N$5015)-161+1),$N$16:$N$5015,0))))</f>
        <v/>
      </c>
      <c r="R165" s="105">
        <f>IF(161&gt;MAX($N$16:$N$5015),"",INDEX($D$16:$D$5015,MATCH((MAX($N$16:$N$5015)-161+1),$N$16:$N$5015,0)))</f>
        <v/>
      </c>
      <c r="S165" s="113">
        <f>IF(161&gt;MAX($N$16:$N$5015),"",INDEX($F$16:$F$5015,MATCH((MAX($N$16:$N$5015)-161+1),$N$16:$N$5015,0)))</f>
        <v/>
      </c>
      <c r="T165" s="105">
        <f>IF(161&gt;MAX($N$16:$N$5015),"",IF(161&gt;MAX($N$16:$N$5015),"",INDEX($G$16:$G$5015,MATCH((MAX($N$16:$N$5015)-161+1),$N$16:$N$5015,0)))&amp;" › "&amp;IF(161&gt;MAX($N$16:$N$5015),"",INDEX($H$16:$H$5015,MATCH((MAX($N$16:$N$5015)-161+1),$N$16:$N$5015,0)))&amp;" › "&amp;IF(161&gt;MAX($N$16:$N$5015),"",INDEX($I$16:$I$5015,MATCH((MAX($N$16:$N$5015)-161+1),$N$16:$N$5015,0))))</f>
        <v/>
      </c>
      <c r="U165" s="105">
        <f>IF(161&gt;MAX($N$16:$N$5015),"",INDEX($J$16:$J$5015,MATCH((MAX($N$16:$N$5015)-161+1),$N$16:$N$5015,0)))&amp;IF(IF(161&gt;MAX($N$16:$N$5015),"",INDEX($L$16:$L$5015,MATCH((MAX($N$16:$N$5015)-161+1),$N$16:$N$5015,0)))="",""," ["&amp;IF(161&gt;MAX($N$16:$N$5015),"",INDEX($L$16:$L$5015,MATCH((MAX($N$16:$N$5015)-161+1),$N$16:$N$5015,0)))&amp;"]")</f>
        <v/>
      </c>
      <c r="V165" s="120">
        <f>IF(161&gt;MAX($N$16:$N$5015),"",HYPERLINK("#Transaksi!B"&amp;(MATCH((MAX($N$16:$N$5015)-161+1),$N$16:$N$5015,0)+15),"Buka"))</f>
        <v/>
      </c>
      <c r="X165" s="93">
        <f>IF(AND(B165&lt;&gt;"",B165&gt;='Buku Akun'!$H$4,B165&lt;='Buku Akun'!$H$5,OR(C165='Buku Akun'!$C$4,AND(D165="Pindah",E165='Buku Akun'!$C$4))),B165+IF(AND(I165="Selisih bunga",DAY(B165)=1),0,0.01)+ROW()/10000000,"")</f>
        <v/>
      </c>
    </row>
    <row r="166" outlineLevel="1" ht="15" customHeight="1" s="94">
      <c r="A166" s="123">
        <f>IF(B166="","",ROW()-15)</f>
        <v/>
      </c>
      <c r="B166" s="124" t="n"/>
      <c r="C166" s="123" t="n"/>
      <c r="D166" s="123" t="n"/>
      <c r="E166" s="123" t="n"/>
      <c r="F166" s="125" t="n"/>
      <c r="G166" s="123" t="n"/>
      <c r="H166" s="123" t="n"/>
      <c r="I166" s="123" t="n"/>
      <c r="J166" s="123" t="n"/>
      <c r="K166" s="123" t="n"/>
      <c r="L166" s="123" t="n"/>
      <c r="M166" s="123">
        <f>IF(AND(B166&lt;&gt;"",OR($C$4="",ISNUMBER(SEARCH($C$4,C166&amp;" "&amp;E166&amp;" "&amp;G166&amp;" "&amp;H166&amp;" "&amp;I166&amp;" "&amp;J166&amp;" "&amp;K166&amp;" "&amp;L166))),OR($C$5="Semua",$C$5="",G166=$C$5),OR($C$6="Semua",$C$6="",H166=$C$6,H166="Pengeluaran "&amp;$C$6,AND($C$6="Uang Kos Mama",H166="Pengeluaran Uang Kos")),OR($C$7="Semua",$C$7="",I166=$C$7),OR($C$8="Semua",$C$8="",C166=$C$8,E166=$C$8),OR($C$9="Semua",$C$9="",D166=$C$9),OR($C$10="",B166&gt;=$C$10),OR($C$11="",B166&lt;=$C$11),OR($C$12&lt;&gt;"Ya",K166&lt;&gt;""),OR($C$13="Semua",$C$13="",L166=$C$13)),"✓","")</f>
        <v/>
      </c>
      <c r="N166" s="93">
        <f>N(N165)+IF(M166="✓",1,0)</f>
        <v/>
      </c>
      <c r="O166" s="93">
        <f>N(O165)+IF(AND(B166&lt;&gt;"",B166&gt;='Uang Riba'!$H$30,B166&lt;='Uang Riba'!$I$30,OR(H166="Dana riba",H166="Pinjam uang riba",I166="Pinjam dari uang riba",I166="Ganti uang riba",I166="Kelebihan ganti dikembalikan",AND(C166="Kantong Uang Riba",G166="Pengeluaran"))),1,0)</f>
        <v/>
      </c>
      <c r="P166" s="119">
        <f>IF(162&gt;MAX($N$16:$N$5015),"",INDEX($B$16:$B$5015,MATCH((MAX($N$16:$N$5015)-162+1),$N$16:$N$5015,0)))</f>
        <v/>
      </c>
      <c r="Q166" s="105">
        <f>IF(162&gt;MAX($N$16:$N$5015),"",INDEX($C$16:$C$5015,MATCH((MAX($N$16:$N$5015)-162+1),$N$16:$N$5015,0)))&amp;IF(IF(162&gt;MAX($N$16:$N$5015),"",INDEX($E$16:$E$5015,MATCH((MAX($N$16:$N$5015)-162+1),$N$16:$N$5015,0)))="",""," → "&amp;IF(162&gt;MAX($N$16:$N$5015),"",INDEX($E$16:$E$5015,MATCH((MAX($N$16:$N$5015)-162+1),$N$16:$N$5015,0))))</f>
        <v/>
      </c>
      <c r="R166" s="105">
        <f>IF(162&gt;MAX($N$16:$N$5015),"",INDEX($D$16:$D$5015,MATCH((MAX($N$16:$N$5015)-162+1),$N$16:$N$5015,0)))</f>
        <v/>
      </c>
      <c r="S166" s="113">
        <f>IF(162&gt;MAX($N$16:$N$5015),"",INDEX($F$16:$F$5015,MATCH((MAX($N$16:$N$5015)-162+1),$N$16:$N$5015,0)))</f>
        <v/>
      </c>
      <c r="T166" s="105">
        <f>IF(162&gt;MAX($N$16:$N$5015),"",IF(162&gt;MAX($N$16:$N$5015),"",INDEX($G$16:$G$5015,MATCH((MAX($N$16:$N$5015)-162+1),$N$16:$N$5015,0)))&amp;" › "&amp;IF(162&gt;MAX($N$16:$N$5015),"",INDEX($H$16:$H$5015,MATCH((MAX($N$16:$N$5015)-162+1),$N$16:$N$5015,0)))&amp;" › "&amp;IF(162&gt;MAX($N$16:$N$5015),"",INDEX($I$16:$I$5015,MATCH((MAX($N$16:$N$5015)-162+1),$N$16:$N$5015,0))))</f>
        <v/>
      </c>
      <c r="U166" s="105">
        <f>IF(162&gt;MAX($N$16:$N$5015),"",INDEX($J$16:$J$5015,MATCH((MAX($N$16:$N$5015)-162+1),$N$16:$N$5015,0)))&amp;IF(IF(162&gt;MAX($N$16:$N$5015),"",INDEX($L$16:$L$5015,MATCH((MAX($N$16:$N$5015)-162+1),$N$16:$N$5015,0)))="",""," ["&amp;IF(162&gt;MAX($N$16:$N$5015),"",INDEX($L$16:$L$5015,MATCH((MAX($N$16:$N$5015)-162+1),$N$16:$N$5015,0)))&amp;"]")</f>
        <v/>
      </c>
      <c r="V166" s="120">
        <f>IF(162&gt;MAX($N$16:$N$5015),"",HYPERLINK("#Transaksi!B"&amp;(MATCH((MAX($N$16:$N$5015)-162+1),$N$16:$N$5015,0)+15),"Buka"))</f>
        <v/>
      </c>
      <c r="X166" s="93">
        <f>IF(AND(B166&lt;&gt;"",B166&gt;='Buku Akun'!$H$4,B166&lt;='Buku Akun'!$H$5,OR(C166='Buku Akun'!$C$4,AND(D166="Pindah",E166='Buku Akun'!$C$4))),B166+IF(AND(I166="Selisih bunga",DAY(B166)=1),0,0.01)+ROW()/10000000,"")</f>
        <v/>
      </c>
    </row>
    <row r="167" outlineLevel="1" ht="15" customHeight="1" s="94">
      <c r="A167" s="123">
        <f>IF(B167="","",ROW()-15)</f>
        <v/>
      </c>
      <c r="B167" s="124" t="n"/>
      <c r="C167" s="123" t="n"/>
      <c r="D167" s="123" t="n"/>
      <c r="E167" s="123" t="n"/>
      <c r="F167" s="125" t="n"/>
      <c r="G167" s="123" t="n"/>
      <c r="H167" s="123" t="n"/>
      <c r="I167" s="123" t="n"/>
      <c r="J167" s="123" t="n"/>
      <c r="K167" s="123" t="n"/>
      <c r="L167" s="123" t="n"/>
      <c r="M167" s="123">
        <f>IF(AND(B167&lt;&gt;"",OR($C$4="",ISNUMBER(SEARCH($C$4,C167&amp;" "&amp;E167&amp;" "&amp;G167&amp;" "&amp;H167&amp;" "&amp;I167&amp;" "&amp;J167&amp;" "&amp;K167&amp;" "&amp;L167))),OR($C$5="Semua",$C$5="",G167=$C$5),OR($C$6="Semua",$C$6="",H167=$C$6,H167="Pengeluaran "&amp;$C$6,AND($C$6="Uang Kos Mama",H167="Pengeluaran Uang Kos")),OR($C$7="Semua",$C$7="",I167=$C$7),OR($C$8="Semua",$C$8="",C167=$C$8,E167=$C$8),OR($C$9="Semua",$C$9="",D167=$C$9),OR($C$10="",B167&gt;=$C$10),OR($C$11="",B167&lt;=$C$11),OR($C$12&lt;&gt;"Ya",K167&lt;&gt;""),OR($C$13="Semua",$C$13="",L167=$C$13)),"✓","")</f>
        <v/>
      </c>
      <c r="N167" s="93">
        <f>N(N166)+IF(M167="✓",1,0)</f>
        <v/>
      </c>
      <c r="O167" s="93">
        <f>N(O166)+IF(AND(B167&lt;&gt;"",B167&gt;='Uang Riba'!$H$30,B167&lt;='Uang Riba'!$I$30,OR(H167="Dana riba",H167="Pinjam uang riba",I167="Pinjam dari uang riba",I167="Ganti uang riba",I167="Kelebihan ganti dikembalikan",AND(C167="Kantong Uang Riba",G167="Pengeluaran"))),1,0)</f>
        <v/>
      </c>
      <c r="P167" s="119">
        <f>IF(163&gt;MAX($N$16:$N$5015),"",INDEX($B$16:$B$5015,MATCH((MAX($N$16:$N$5015)-163+1),$N$16:$N$5015,0)))</f>
        <v/>
      </c>
      <c r="Q167" s="105">
        <f>IF(163&gt;MAX($N$16:$N$5015),"",INDEX($C$16:$C$5015,MATCH((MAX($N$16:$N$5015)-163+1),$N$16:$N$5015,0)))&amp;IF(IF(163&gt;MAX($N$16:$N$5015),"",INDEX($E$16:$E$5015,MATCH((MAX($N$16:$N$5015)-163+1),$N$16:$N$5015,0)))="",""," → "&amp;IF(163&gt;MAX($N$16:$N$5015),"",INDEX($E$16:$E$5015,MATCH((MAX($N$16:$N$5015)-163+1),$N$16:$N$5015,0))))</f>
        <v/>
      </c>
      <c r="R167" s="105">
        <f>IF(163&gt;MAX($N$16:$N$5015),"",INDEX($D$16:$D$5015,MATCH((MAX($N$16:$N$5015)-163+1),$N$16:$N$5015,0)))</f>
        <v/>
      </c>
      <c r="S167" s="113">
        <f>IF(163&gt;MAX($N$16:$N$5015),"",INDEX($F$16:$F$5015,MATCH((MAX($N$16:$N$5015)-163+1),$N$16:$N$5015,0)))</f>
        <v/>
      </c>
      <c r="T167" s="105">
        <f>IF(163&gt;MAX($N$16:$N$5015),"",IF(163&gt;MAX($N$16:$N$5015),"",INDEX($G$16:$G$5015,MATCH((MAX($N$16:$N$5015)-163+1),$N$16:$N$5015,0)))&amp;" › "&amp;IF(163&gt;MAX($N$16:$N$5015),"",INDEX($H$16:$H$5015,MATCH((MAX($N$16:$N$5015)-163+1),$N$16:$N$5015,0)))&amp;" › "&amp;IF(163&gt;MAX($N$16:$N$5015),"",INDEX($I$16:$I$5015,MATCH((MAX($N$16:$N$5015)-163+1),$N$16:$N$5015,0))))</f>
        <v/>
      </c>
      <c r="U167" s="105">
        <f>IF(163&gt;MAX($N$16:$N$5015),"",INDEX($J$16:$J$5015,MATCH((MAX($N$16:$N$5015)-163+1),$N$16:$N$5015,0)))&amp;IF(IF(163&gt;MAX($N$16:$N$5015),"",INDEX($L$16:$L$5015,MATCH((MAX($N$16:$N$5015)-163+1),$N$16:$N$5015,0)))="",""," ["&amp;IF(163&gt;MAX($N$16:$N$5015),"",INDEX($L$16:$L$5015,MATCH((MAX($N$16:$N$5015)-163+1),$N$16:$N$5015,0)))&amp;"]")</f>
        <v/>
      </c>
      <c r="V167" s="120">
        <f>IF(163&gt;MAX($N$16:$N$5015),"",HYPERLINK("#Transaksi!B"&amp;(MATCH((MAX($N$16:$N$5015)-163+1),$N$16:$N$5015,0)+15),"Buka"))</f>
        <v/>
      </c>
      <c r="X167" s="93">
        <f>IF(AND(B167&lt;&gt;"",B167&gt;='Buku Akun'!$H$4,B167&lt;='Buku Akun'!$H$5,OR(C167='Buku Akun'!$C$4,AND(D167="Pindah",E167='Buku Akun'!$C$4))),B167+IF(AND(I167="Selisih bunga",DAY(B167)=1),0,0.01)+ROW()/10000000,"")</f>
        <v/>
      </c>
    </row>
    <row r="168" outlineLevel="1" ht="15" customHeight="1" s="94">
      <c r="A168" s="123">
        <f>IF(B168="","",ROW()-15)</f>
        <v/>
      </c>
      <c r="B168" s="124" t="n"/>
      <c r="C168" s="123" t="n"/>
      <c r="D168" s="123" t="n"/>
      <c r="E168" s="123" t="n"/>
      <c r="F168" s="125" t="n"/>
      <c r="G168" s="123" t="n"/>
      <c r="H168" s="123" t="n"/>
      <c r="I168" s="123" t="n"/>
      <c r="J168" s="123" t="n"/>
      <c r="K168" s="123" t="n"/>
      <c r="L168" s="123" t="n"/>
      <c r="M168" s="123">
        <f>IF(AND(B168&lt;&gt;"",OR($C$4="",ISNUMBER(SEARCH($C$4,C168&amp;" "&amp;E168&amp;" "&amp;G168&amp;" "&amp;H168&amp;" "&amp;I168&amp;" "&amp;J168&amp;" "&amp;K168&amp;" "&amp;L168))),OR($C$5="Semua",$C$5="",G168=$C$5),OR($C$6="Semua",$C$6="",H168=$C$6,H168="Pengeluaran "&amp;$C$6,AND($C$6="Uang Kos Mama",H168="Pengeluaran Uang Kos")),OR($C$7="Semua",$C$7="",I168=$C$7),OR($C$8="Semua",$C$8="",C168=$C$8,E168=$C$8),OR($C$9="Semua",$C$9="",D168=$C$9),OR($C$10="",B168&gt;=$C$10),OR($C$11="",B168&lt;=$C$11),OR($C$12&lt;&gt;"Ya",K168&lt;&gt;""),OR($C$13="Semua",$C$13="",L168=$C$13)),"✓","")</f>
        <v/>
      </c>
      <c r="N168" s="93">
        <f>N(N167)+IF(M168="✓",1,0)</f>
        <v/>
      </c>
      <c r="O168" s="93">
        <f>N(O167)+IF(AND(B168&lt;&gt;"",B168&gt;='Uang Riba'!$H$30,B168&lt;='Uang Riba'!$I$30,OR(H168="Dana riba",H168="Pinjam uang riba",I168="Pinjam dari uang riba",I168="Ganti uang riba",I168="Kelebihan ganti dikembalikan",AND(C168="Kantong Uang Riba",G168="Pengeluaran"))),1,0)</f>
        <v/>
      </c>
      <c r="P168" s="119">
        <f>IF(164&gt;MAX($N$16:$N$5015),"",INDEX($B$16:$B$5015,MATCH((MAX($N$16:$N$5015)-164+1),$N$16:$N$5015,0)))</f>
        <v/>
      </c>
      <c r="Q168" s="105">
        <f>IF(164&gt;MAX($N$16:$N$5015),"",INDEX($C$16:$C$5015,MATCH((MAX($N$16:$N$5015)-164+1),$N$16:$N$5015,0)))&amp;IF(IF(164&gt;MAX($N$16:$N$5015),"",INDEX($E$16:$E$5015,MATCH((MAX($N$16:$N$5015)-164+1),$N$16:$N$5015,0)))="",""," → "&amp;IF(164&gt;MAX($N$16:$N$5015),"",INDEX($E$16:$E$5015,MATCH((MAX($N$16:$N$5015)-164+1),$N$16:$N$5015,0))))</f>
        <v/>
      </c>
      <c r="R168" s="105">
        <f>IF(164&gt;MAX($N$16:$N$5015),"",INDEX($D$16:$D$5015,MATCH((MAX($N$16:$N$5015)-164+1),$N$16:$N$5015,0)))</f>
        <v/>
      </c>
      <c r="S168" s="113">
        <f>IF(164&gt;MAX($N$16:$N$5015),"",INDEX($F$16:$F$5015,MATCH((MAX($N$16:$N$5015)-164+1),$N$16:$N$5015,0)))</f>
        <v/>
      </c>
      <c r="T168" s="105">
        <f>IF(164&gt;MAX($N$16:$N$5015),"",IF(164&gt;MAX($N$16:$N$5015),"",INDEX($G$16:$G$5015,MATCH((MAX($N$16:$N$5015)-164+1),$N$16:$N$5015,0)))&amp;" › "&amp;IF(164&gt;MAX($N$16:$N$5015),"",INDEX($H$16:$H$5015,MATCH((MAX($N$16:$N$5015)-164+1),$N$16:$N$5015,0)))&amp;" › "&amp;IF(164&gt;MAX($N$16:$N$5015),"",INDEX($I$16:$I$5015,MATCH((MAX($N$16:$N$5015)-164+1),$N$16:$N$5015,0))))</f>
        <v/>
      </c>
      <c r="U168" s="105">
        <f>IF(164&gt;MAX($N$16:$N$5015),"",INDEX($J$16:$J$5015,MATCH((MAX($N$16:$N$5015)-164+1),$N$16:$N$5015,0)))&amp;IF(IF(164&gt;MAX($N$16:$N$5015),"",INDEX($L$16:$L$5015,MATCH((MAX($N$16:$N$5015)-164+1),$N$16:$N$5015,0)))="",""," ["&amp;IF(164&gt;MAX($N$16:$N$5015),"",INDEX($L$16:$L$5015,MATCH((MAX($N$16:$N$5015)-164+1),$N$16:$N$5015,0)))&amp;"]")</f>
        <v/>
      </c>
      <c r="V168" s="120">
        <f>IF(164&gt;MAX($N$16:$N$5015),"",HYPERLINK("#Transaksi!B"&amp;(MATCH((MAX($N$16:$N$5015)-164+1),$N$16:$N$5015,0)+15),"Buka"))</f>
        <v/>
      </c>
      <c r="X168" s="93">
        <f>IF(AND(B168&lt;&gt;"",B168&gt;='Buku Akun'!$H$4,B168&lt;='Buku Akun'!$H$5,OR(C168='Buku Akun'!$C$4,AND(D168="Pindah",E168='Buku Akun'!$C$4))),B168+IF(AND(I168="Selisih bunga",DAY(B168)=1),0,0.01)+ROW()/10000000,"")</f>
        <v/>
      </c>
    </row>
    <row r="169" outlineLevel="1" ht="15" customHeight="1" s="94">
      <c r="A169" s="123">
        <f>IF(B169="","",ROW()-15)</f>
        <v/>
      </c>
      <c r="B169" s="124" t="n"/>
      <c r="C169" s="123" t="n"/>
      <c r="D169" s="123" t="n"/>
      <c r="E169" s="123" t="n"/>
      <c r="F169" s="125" t="n"/>
      <c r="G169" s="123" t="n"/>
      <c r="H169" s="123" t="n"/>
      <c r="I169" s="123" t="n"/>
      <c r="J169" s="123" t="n"/>
      <c r="K169" s="123" t="n"/>
      <c r="L169" s="123" t="n"/>
      <c r="M169" s="123">
        <f>IF(AND(B169&lt;&gt;"",OR($C$4="",ISNUMBER(SEARCH($C$4,C169&amp;" "&amp;E169&amp;" "&amp;G169&amp;" "&amp;H169&amp;" "&amp;I169&amp;" "&amp;J169&amp;" "&amp;K169&amp;" "&amp;L169))),OR($C$5="Semua",$C$5="",G169=$C$5),OR($C$6="Semua",$C$6="",H169=$C$6,H169="Pengeluaran "&amp;$C$6,AND($C$6="Uang Kos Mama",H169="Pengeluaran Uang Kos")),OR($C$7="Semua",$C$7="",I169=$C$7),OR($C$8="Semua",$C$8="",C169=$C$8,E169=$C$8),OR($C$9="Semua",$C$9="",D169=$C$9),OR($C$10="",B169&gt;=$C$10),OR($C$11="",B169&lt;=$C$11),OR($C$12&lt;&gt;"Ya",K169&lt;&gt;""),OR($C$13="Semua",$C$13="",L169=$C$13)),"✓","")</f>
        <v/>
      </c>
      <c r="N169" s="93">
        <f>N(N168)+IF(M169="✓",1,0)</f>
        <v/>
      </c>
      <c r="O169" s="93">
        <f>N(O168)+IF(AND(B169&lt;&gt;"",B169&gt;='Uang Riba'!$H$30,B169&lt;='Uang Riba'!$I$30,OR(H169="Dana riba",H169="Pinjam uang riba",I169="Pinjam dari uang riba",I169="Ganti uang riba",I169="Kelebihan ganti dikembalikan",AND(C169="Kantong Uang Riba",G169="Pengeluaran"))),1,0)</f>
        <v/>
      </c>
      <c r="P169" s="119">
        <f>IF(165&gt;MAX($N$16:$N$5015),"",INDEX($B$16:$B$5015,MATCH((MAX($N$16:$N$5015)-165+1),$N$16:$N$5015,0)))</f>
        <v/>
      </c>
      <c r="Q169" s="105">
        <f>IF(165&gt;MAX($N$16:$N$5015),"",INDEX($C$16:$C$5015,MATCH((MAX($N$16:$N$5015)-165+1),$N$16:$N$5015,0)))&amp;IF(IF(165&gt;MAX($N$16:$N$5015),"",INDEX($E$16:$E$5015,MATCH((MAX($N$16:$N$5015)-165+1),$N$16:$N$5015,0)))="",""," → "&amp;IF(165&gt;MAX($N$16:$N$5015),"",INDEX($E$16:$E$5015,MATCH((MAX($N$16:$N$5015)-165+1),$N$16:$N$5015,0))))</f>
        <v/>
      </c>
      <c r="R169" s="105">
        <f>IF(165&gt;MAX($N$16:$N$5015),"",INDEX($D$16:$D$5015,MATCH((MAX($N$16:$N$5015)-165+1),$N$16:$N$5015,0)))</f>
        <v/>
      </c>
      <c r="S169" s="113">
        <f>IF(165&gt;MAX($N$16:$N$5015),"",INDEX($F$16:$F$5015,MATCH((MAX($N$16:$N$5015)-165+1),$N$16:$N$5015,0)))</f>
        <v/>
      </c>
      <c r="T169" s="105">
        <f>IF(165&gt;MAX($N$16:$N$5015),"",IF(165&gt;MAX($N$16:$N$5015),"",INDEX($G$16:$G$5015,MATCH((MAX($N$16:$N$5015)-165+1),$N$16:$N$5015,0)))&amp;" › "&amp;IF(165&gt;MAX($N$16:$N$5015),"",INDEX($H$16:$H$5015,MATCH((MAX($N$16:$N$5015)-165+1),$N$16:$N$5015,0)))&amp;" › "&amp;IF(165&gt;MAX($N$16:$N$5015),"",INDEX($I$16:$I$5015,MATCH((MAX($N$16:$N$5015)-165+1),$N$16:$N$5015,0))))</f>
        <v/>
      </c>
      <c r="U169" s="105">
        <f>IF(165&gt;MAX($N$16:$N$5015),"",INDEX($J$16:$J$5015,MATCH((MAX($N$16:$N$5015)-165+1),$N$16:$N$5015,0)))&amp;IF(IF(165&gt;MAX($N$16:$N$5015),"",INDEX($L$16:$L$5015,MATCH((MAX($N$16:$N$5015)-165+1),$N$16:$N$5015,0)))="",""," ["&amp;IF(165&gt;MAX($N$16:$N$5015),"",INDEX($L$16:$L$5015,MATCH((MAX($N$16:$N$5015)-165+1),$N$16:$N$5015,0)))&amp;"]")</f>
        <v/>
      </c>
      <c r="V169" s="120">
        <f>IF(165&gt;MAX($N$16:$N$5015),"",HYPERLINK("#Transaksi!B"&amp;(MATCH((MAX($N$16:$N$5015)-165+1),$N$16:$N$5015,0)+15),"Buka"))</f>
        <v/>
      </c>
      <c r="X169" s="93">
        <f>IF(AND(B169&lt;&gt;"",B169&gt;='Buku Akun'!$H$4,B169&lt;='Buku Akun'!$H$5,OR(C169='Buku Akun'!$C$4,AND(D169="Pindah",E169='Buku Akun'!$C$4))),B169+IF(AND(I169="Selisih bunga",DAY(B169)=1),0,0.01)+ROW()/10000000,"")</f>
        <v/>
      </c>
    </row>
    <row r="170" outlineLevel="1" ht="15" customHeight="1" s="94">
      <c r="A170" s="123">
        <f>IF(B170="","",ROW()-15)</f>
        <v/>
      </c>
      <c r="B170" s="124" t="n"/>
      <c r="C170" s="123" t="n"/>
      <c r="D170" s="123" t="n"/>
      <c r="E170" s="123" t="n"/>
      <c r="F170" s="125" t="n"/>
      <c r="G170" s="123" t="n"/>
      <c r="H170" s="123" t="n"/>
      <c r="I170" s="123" t="n"/>
      <c r="J170" s="123" t="n"/>
      <c r="K170" s="123" t="n"/>
      <c r="L170" s="123" t="n"/>
      <c r="M170" s="123">
        <f>IF(AND(B170&lt;&gt;"",OR($C$4="",ISNUMBER(SEARCH($C$4,C170&amp;" "&amp;E170&amp;" "&amp;G170&amp;" "&amp;H170&amp;" "&amp;I170&amp;" "&amp;J170&amp;" "&amp;K170&amp;" "&amp;L170))),OR($C$5="Semua",$C$5="",G170=$C$5),OR($C$6="Semua",$C$6="",H170=$C$6,H170="Pengeluaran "&amp;$C$6,AND($C$6="Uang Kos Mama",H170="Pengeluaran Uang Kos")),OR($C$7="Semua",$C$7="",I170=$C$7),OR($C$8="Semua",$C$8="",C170=$C$8,E170=$C$8),OR($C$9="Semua",$C$9="",D170=$C$9),OR($C$10="",B170&gt;=$C$10),OR($C$11="",B170&lt;=$C$11),OR($C$12&lt;&gt;"Ya",K170&lt;&gt;""),OR($C$13="Semua",$C$13="",L170=$C$13)),"✓","")</f>
        <v/>
      </c>
      <c r="N170" s="93">
        <f>N(N169)+IF(M170="✓",1,0)</f>
        <v/>
      </c>
      <c r="O170" s="93">
        <f>N(O169)+IF(AND(B170&lt;&gt;"",B170&gt;='Uang Riba'!$H$30,B170&lt;='Uang Riba'!$I$30,OR(H170="Dana riba",H170="Pinjam uang riba",I170="Pinjam dari uang riba",I170="Ganti uang riba",I170="Kelebihan ganti dikembalikan",AND(C170="Kantong Uang Riba",G170="Pengeluaran"))),1,0)</f>
        <v/>
      </c>
      <c r="P170" s="119">
        <f>IF(166&gt;MAX($N$16:$N$5015),"",INDEX($B$16:$B$5015,MATCH((MAX($N$16:$N$5015)-166+1),$N$16:$N$5015,0)))</f>
        <v/>
      </c>
      <c r="Q170" s="105">
        <f>IF(166&gt;MAX($N$16:$N$5015),"",INDEX($C$16:$C$5015,MATCH((MAX($N$16:$N$5015)-166+1),$N$16:$N$5015,0)))&amp;IF(IF(166&gt;MAX($N$16:$N$5015),"",INDEX($E$16:$E$5015,MATCH((MAX($N$16:$N$5015)-166+1),$N$16:$N$5015,0)))="",""," → "&amp;IF(166&gt;MAX($N$16:$N$5015),"",INDEX($E$16:$E$5015,MATCH((MAX($N$16:$N$5015)-166+1),$N$16:$N$5015,0))))</f>
        <v/>
      </c>
      <c r="R170" s="105">
        <f>IF(166&gt;MAX($N$16:$N$5015),"",INDEX($D$16:$D$5015,MATCH((MAX($N$16:$N$5015)-166+1),$N$16:$N$5015,0)))</f>
        <v/>
      </c>
      <c r="S170" s="113">
        <f>IF(166&gt;MAX($N$16:$N$5015),"",INDEX($F$16:$F$5015,MATCH((MAX($N$16:$N$5015)-166+1),$N$16:$N$5015,0)))</f>
        <v/>
      </c>
      <c r="T170" s="105">
        <f>IF(166&gt;MAX($N$16:$N$5015),"",IF(166&gt;MAX($N$16:$N$5015),"",INDEX($G$16:$G$5015,MATCH((MAX($N$16:$N$5015)-166+1),$N$16:$N$5015,0)))&amp;" › "&amp;IF(166&gt;MAX($N$16:$N$5015),"",INDEX($H$16:$H$5015,MATCH((MAX($N$16:$N$5015)-166+1),$N$16:$N$5015,0)))&amp;" › "&amp;IF(166&gt;MAX($N$16:$N$5015),"",INDEX($I$16:$I$5015,MATCH((MAX($N$16:$N$5015)-166+1),$N$16:$N$5015,0))))</f>
        <v/>
      </c>
      <c r="U170" s="105">
        <f>IF(166&gt;MAX($N$16:$N$5015),"",INDEX($J$16:$J$5015,MATCH((MAX($N$16:$N$5015)-166+1),$N$16:$N$5015,0)))&amp;IF(IF(166&gt;MAX($N$16:$N$5015),"",INDEX($L$16:$L$5015,MATCH((MAX($N$16:$N$5015)-166+1),$N$16:$N$5015,0)))="",""," ["&amp;IF(166&gt;MAX($N$16:$N$5015),"",INDEX($L$16:$L$5015,MATCH((MAX($N$16:$N$5015)-166+1),$N$16:$N$5015,0)))&amp;"]")</f>
        <v/>
      </c>
      <c r="V170" s="120">
        <f>IF(166&gt;MAX($N$16:$N$5015),"",HYPERLINK("#Transaksi!B"&amp;(MATCH((MAX($N$16:$N$5015)-166+1),$N$16:$N$5015,0)+15),"Buka"))</f>
        <v/>
      </c>
      <c r="X170" s="93">
        <f>IF(AND(B170&lt;&gt;"",B170&gt;='Buku Akun'!$H$4,B170&lt;='Buku Akun'!$H$5,OR(C170='Buku Akun'!$C$4,AND(D170="Pindah",E170='Buku Akun'!$C$4))),B170+IF(AND(I170="Selisih bunga",DAY(B170)=1),0,0.01)+ROW()/10000000,"")</f>
        <v/>
      </c>
    </row>
    <row r="171" outlineLevel="1" ht="15" customHeight="1" s="94">
      <c r="A171" s="123">
        <f>IF(B171="","",ROW()-15)</f>
        <v/>
      </c>
      <c r="B171" s="124" t="n"/>
      <c r="C171" s="123" t="n"/>
      <c r="D171" s="123" t="n"/>
      <c r="E171" s="123" t="n"/>
      <c r="F171" s="125" t="n"/>
      <c r="G171" s="123" t="n"/>
      <c r="H171" s="123" t="n"/>
      <c r="I171" s="123" t="n"/>
      <c r="J171" s="123" t="n"/>
      <c r="K171" s="123" t="n"/>
      <c r="L171" s="123" t="n"/>
      <c r="M171" s="123">
        <f>IF(AND(B171&lt;&gt;"",OR($C$4="",ISNUMBER(SEARCH($C$4,C171&amp;" "&amp;E171&amp;" "&amp;G171&amp;" "&amp;H171&amp;" "&amp;I171&amp;" "&amp;J171&amp;" "&amp;K171&amp;" "&amp;L171))),OR($C$5="Semua",$C$5="",G171=$C$5),OR($C$6="Semua",$C$6="",H171=$C$6,H171="Pengeluaran "&amp;$C$6,AND($C$6="Uang Kos Mama",H171="Pengeluaran Uang Kos")),OR($C$7="Semua",$C$7="",I171=$C$7),OR($C$8="Semua",$C$8="",C171=$C$8,E171=$C$8),OR($C$9="Semua",$C$9="",D171=$C$9),OR($C$10="",B171&gt;=$C$10),OR($C$11="",B171&lt;=$C$11),OR($C$12&lt;&gt;"Ya",K171&lt;&gt;""),OR($C$13="Semua",$C$13="",L171=$C$13)),"✓","")</f>
        <v/>
      </c>
      <c r="N171" s="93">
        <f>N(N170)+IF(M171="✓",1,0)</f>
        <v/>
      </c>
      <c r="O171" s="93">
        <f>N(O170)+IF(AND(B171&lt;&gt;"",B171&gt;='Uang Riba'!$H$30,B171&lt;='Uang Riba'!$I$30,OR(H171="Dana riba",H171="Pinjam uang riba",I171="Pinjam dari uang riba",I171="Ganti uang riba",I171="Kelebihan ganti dikembalikan",AND(C171="Kantong Uang Riba",G171="Pengeluaran"))),1,0)</f>
        <v/>
      </c>
      <c r="P171" s="119">
        <f>IF(167&gt;MAX($N$16:$N$5015),"",INDEX($B$16:$B$5015,MATCH((MAX($N$16:$N$5015)-167+1),$N$16:$N$5015,0)))</f>
        <v/>
      </c>
      <c r="Q171" s="105">
        <f>IF(167&gt;MAX($N$16:$N$5015),"",INDEX($C$16:$C$5015,MATCH((MAX($N$16:$N$5015)-167+1),$N$16:$N$5015,0)))&amp;IF(IF(167&gt;MAX($N$16:$N$5015),"",INDEX($E$16:$E$5015,MATCH((MAX($N$16:$N$5015)-167+1),$N$16:$N$5015,0)))="",""," → "&amp;IF(167&gt;MAX($N$16:$N$5015),"",INDEX($E$16:$E$5015,MATCH((MAX($N$16:$N$5015)-167+1),$N$16:$N$5015,0))))</f>
        <v/>
      </c>
      <c r="R171" s="105">
        <f>IF(167&gt;MAX($N$16:$N$5015),"",INDEX($D$16:$D$5015,MATCH((MAX($N$16:$N$5015)-167+1),$N$16:$N$5015,0)))</f>
        <v/>
      </c>
      <c r="S171" s="113">
        <f>IF(167&gt;MAX($N$16:$N$5015),"",INDEX($F$16:$F$5015,MATCH((MAX($N$16:$N$5015)-167+1),$N$16:$N$5015,0)))</f>
        <v/>
      </c>
      <c r="T171" s="105">
        <f>IF(167&gt;MAX($N$16:$N$5015),"",IF(167&gt;MAX($N$16:$N$5015),"",INDEX($G$16:$G$5015,MATCH((MAX($N$16:$N$5015)-167+1),$N$16:$N$5015,0)))&amp;" › "&amp;IF(167&gt;MAX($N$16:$N$5015),"",INDEX($H$16:$H$5015,MATCH((MAX($N$16:$N$5015)-167+1),$N$16:$N$5015,0)))&amp;" › "&amp;IF(167&gt;MAX($N$16:$N$5015),"",INDEX($I$16:$I$5015,MATCH((MAX($N$16:$N$5015)-167+1),$N$16:$N$5015,0))))</f>
        <v/>
      </c>
      <c r="U171" s="105">
        <f>IF(167&gt;MAX($N$16:$N$5015),"",INDEX($J$16:$J$5015,MATCH((MAX($N$16:$N$5015)-167+1),$N$16:$N$5015,0)))&amp;IF(IF(167&gt;MAX($N$16:$N$5015),"",INDEX($L$16:$L$5015,MATCH((MAX($N$16:$N$5015)-167+1),$N$16:$N$5015,0)))="",""," ["&amp;IF(167&gt;MAX($N$16:$N$5015),"",INDEX($L$16:$L$5015,MATCH((MAX($N$16:$N$5015)-167+1),$N$16:$N$5015,0)))&amp;"]")</f>
        <v/>
      </c>
      <c r="V171" s="120">
        <f>IF(167&gt;MAX($N$16:$N$5015),"",HYPERLINK("#Transaksi!B"&amp;(MATCH((MAX($N$16:$N$5015)-167+1),$N$16:$N$5015,0)+15),"Buka"))</f>
        <v/>
      </c>
      <c r="X171" s="93">
        <f>IF(AND(B171&lt;&gt;"",B171&gt;='Buku Akun'!$H$4,B171&lt;='Buku Akun'!$H$5,OR(C171='Buku Akun'!$C$4,AND(D171="Pindah",E171='Buku Akun'!$C$4))),B171+IF(AND(I171="Selisih bunga",DAY(B171)=1),0,0.01)+ROW()/10000000,"")</f>
        <v/>
      </c>
    </row>
    <row r="172" outlineLevel="1" ht="15" customHeight="1" s="94">
      <c r="A172" s="123">
        <f>IF(B172="","",ROW()-15)</f>
        <v/>
      </c>
      <c r="B172" s="124" t="n"/>
      <c r="C172" s="123" t="n"/>
      <c r="D172" s="123" t="n"/>
      <c r="E172" s="123" t="n"/>
      <c r="F172" s="125" t="n"/>
      <c r="G172" s="123" t="n"/>
      <c r="H172" s="123" t="n"/>
      <c r="I172" s="123" t="n"/>
      <c r="J172" s="123" t="n"/>
      <c r="K172" s="123" t="n"/>
      <c r="L172" s="123" t="n"/>
      <c r="M172" s="123">
        <f>IF(AND(B172&lt;&gt;"",OR($C$4="",ISNUMBER(SEARCH($C$4,C172&amp;" "&amp;E172&amp;" "&amp;G172&amp;" "&amp;H172&amp;" "&amp;I172&amp;" "&amp;J172&amp;" "&amp;K172&amp;" "&amp;L172))),OR($C$5="Semua",$C$5="",G172=$C$5),OR($C$6="Semua",$C$6="",H172=$C$6,H172="Pengeluaran "&amp;$C$6,AND($C$6="Uang Kos Mama",H172="Pengeluaran Uang Kos")),OR($C$7="Semua",$C$7="",I172=$C$7),OR($C$8="Semua",$C$8="",C172=$C$8,E172=$C$8),OR($C$9="Semua",$C$9="",D172=$C$9),OR($C$10="",B172&gt;=$C$10),OR($C$11="",B172&lt;=$C$11),OR($C$12&lt;&gt;"Ya",K172&lt;&gt;""),OR($C$13="Semua",$C$13="",L172=$C$13)),"✓","")</f>
        <v/>
      </c>
      <c r="N172" s="93">
        <f>N(N171)+IF(M172="✓",1,0)</f>
        <v/>
      </c>
      <c r="O172" s="93">
        <f>N(O171)+IF(AND(B172&lt;&gt;"",B172&gt;='Uang Riba'!$H$30,B172&lt;='Uang Riba'!$I$30,OR(H172="Dana riba",H172="Pinjam uang riba",I172="Pinjam dari uang riba",I172="Ganti uang riba",I172="Kelebihan ganti dikembalikan",AND(C172="Kantong Uang Riba",G172="Pengeluaran"))),1,0)</f>
        <v/>
      </c>
      <c r="P172" s="119">
        <f>IF(168&gt;MAX($N$16:$N$5015),"",INDEX($B$16:$B$5015,MATCH((MAX($N$16:$N$5015)-168+1),$N$16:$N$5015,0)))</f>
        <v/>
      </c>
      <c r="Q172" s="105">
        <f>IF(168&gt;MAX($N$16:$N$5015),"",INDEX($C$16:$C$5015,MATCH((MAX($N$16:$N$5015)-168+1),$N$16:$N$5015,0)))&amp;IF(IF(168&gt;MAX($N$16:$N$5015),"",INDEX($E$16:$E$5015,MATCH((MAX($N$16:$N$5015)-168+1),$N$16:$N$5015,0)))="",""," → "&amp;IF(168&gt;MAX($N$16:$N$5015),"",INDEX($E$16:$E$5015,MATCH((MAX($N$16:$N$5015)-168+1),$N$16:$N$5015,0))))</f>
        <v/>
      </c>
      <c r="R172" s="105">
        <f>IF(168&gt;MAX($N$16:$N$5015),"",INDEX($D$16:$D$5015,MATCH((MAX($N$16:$N$5015)-168+1),$N$16:$N$5015,0)))</f>
        <v/>
      </c>
      <c r="S172" s="113">
        <f>IF(168&gt;MAX($N$16:$N$5015),"",INDEX($F$16:$F$5015,MATCH((MAX($N$16:$N$5015)-168+1),$N$16:$N$5015,0)))</f>
        <v/>
      </c>
      <c r="T172" s="105">
        <f>IF(168&gt;MAX($N$16:$N$5015),"",IF(168&gt;MAX($N$16:$N$5015),"",INDEX($G$16:$G$5015,MATCH((MAX($N$16:$N$5015)-168+1),$N$16:$N$5015,0)))&amp;" › "&amp;IF(168&gt;MAX($N$16:$N$5015),"",INDEX($H$16:$H$5015,MATCH((MAX($N$16:$N$5015)-168+1),$N$16:$N$5015,0)))&amp;" › "&amp;IF(168&gt;MAX($N$16:$N$5015),"",INDEX($I$16:$I$5015,MATCH((MAX($N$16:$N$5015)-168+1),$N$16:$N$5015,0))))</f>
        <v/>
      </c>
      <c r="U172" s="105">
        <f>IF(168&gt;MAX($N$16:$N$5015),"",INDEX($J$16:$J$5015,MATCH((MAX($N$16:$N$5015)-168+1),$N$16:$N$5015,0)))&amp;IF(IF(168&gt;MAX($N$16:$N$5015),"",INDEX($L$16:$L$5015,MATCH((MAX($N$16:$N$5015)-168+1),$N$16:$N$5015,0)))="",""," ["&amp;IF(168&gt;MAX($N$16:$N$5015),"",INDEX($L$16:$L$5015,MATCH((MAX($N$16:$N$5015)-168+1),$N$16:$N$5015,0)))&amp;"]")</f>
        <v/>
      </c>
      <c r="V172" s="120">
        <f>IF(168&gt;MAX($N$16:$N$5015),"",HYPERLINK("#Transaksi!B"&amp;(MATCH((MAX($N$16:$N$5015)-168+1),$N$16:$N$5015,0)+15),"Buka"))</f>
        <v/>
      </c>
      <c r="X172" s="93">
        <f>IF(AND(B172&lt;&gt;"",B172&gt;='Buku Akun'!$H$4,B172&lt;='Buku Akun'!$H$5,OR(C172='Buku Akun'!$C$4,AND(D172="Pindah",E172='Buku Akun'!$C$4))),B172+IF(AND(I172="Selisih bunga",DAY(B172)=1),0,0.01)+ROW()/10000000,"")</f>
        <v/>
      </c>
    </row>
    <row r="173" outlineLevel="1" ht="15" customHeight="1" s="94">
      <c r="A173" s="123">
        <f>IF(B173="","",ROW()-15)</f>
        <v/>
      </c>
      <c r="B173" s="124" t="n"/>
      <c r="C173" s="123" t="n"/>
      <c r="D173" s="123" t="n"/>
      <c r="E173" s="123" t="n"/>
      <c r="F173" s="125" t="n"/>
      <c r="G173" s="123" t="n"/>
      <c r="H173" s="123" t="n"/>
      <c r="I173" s="123" t="n"/>
      <c r="J173" s="123" t="n"/>
      <c r="K173" s="123" t="n"/>
      <c r="L173" s="123" t="n"/>
      <c r="M173" s="123">
        <f>IF(AND(B173&lt;&gt;"",OR($C$4="",ISNUMBER(SEARCH($C$4,C173&amp;" "&amp;E173&amp;" "&amp;G173&amp;" "&amp;H173&amp;" "&amp;I173&amp;" "&amp;J173&amp;" "&amp;K173&amp;" "&amp;L173))),OR($C$5="Semua",$C$5="",G173=$C$5),OR($C$6="Semua",$C$6="",H173=$C$6,H173="Pengeluaran "&amp;$C$6,AND($C$6="Uang Kos Mama",H173="Pengeluaran Uang Kos")),OR($C$7="Semua",$C$7="",I173=$C$7),OR($C$8="Semua",$C$8="",C173=$C$8,E173=$C$8),OR($C$9="Semua",$C$9="",D173=$C$9),OR($C$10="",B173&gt;=$C$10),OR($C$11="",B173&lt;=$C$11),OR($C$12&lt;&gt;"Ya",K173&lt;&gt;""),OR($C$13="Semua",$C$13="",L173=$C$13)),"✓","")</f>
        <v/>
      </c>
      <c r="N173" s="93">
        <f>N(N172)+IF(M173="✓",1,0)</f>
        <v/>
      </c>
      <c r="O173" s="93">
        <f>N(O172)+IF(AND(B173&lt;&gt;"",B173&gt;='Uang Riba'!$H$30,B173&lt;='Uang Riba'!$I$30,OR(H173="Dana riba",H173="Pinjam uang riba",I173="Pinjam dari uang riba",I173="Ganti uang riba",I173="Kelebihan ganti dikembalikan",AND(C173="Kantong Uang Riba",G173="Pengeluaran"))),1,0)</f>
        <v/>
      </c>
      <c r="P173" s="119">
        <f>IF(169&gt;MAX($N$16:$N$5015),"",INDEX($B$16:$B$5015,MATCH((MAX($N$16:$N$5015)-169+1),$N$16:$N$5015,0)))</f>
        <v/>
      </c>
      <c r="Q173" s="105">
        <f>IF(169&gt;MAX($N$16:$N$5015),"",INDEX($C$16:$C$5015,MATCH((MAX($N$16:$N$5015)-169+1),$N$16:$N$5015,0)))&amp;IF(IF(169&gt;MAX($N$16:$N$5015),"",INDEX($E$16:$E$5015,MATCH((MAX($N$16:$N$5015)-169+1),$N$16:$N$5015,0)))="",""," → "&amp;IF(169&gt;MAX($N$16:$N$5015),"",INDEX($E$16:$E$5015,MATCH((MAX($N$16:$N$5015)-169+1),$N$16:$N$5015,0))))</f>
        <v/>
      </c>
      <c r="R173" s="105">
        <f>IF(169&gt;MAX($N$16:$N$5015),"",INDEX($D$16:$D$5015,MATCH((MAX($N$16:$N$5015)-169+1),$N$16:$N$5015,0)))</f>
        <v/>
      </c>
      <c r="S173" s="113">
        <f>IF(169&gt;MAX($N$16:$N$5015),"",INDEX($F$16:$F$5015,MATCH((MAX($N$16:$N$5015)-169+1),$N$16:$N$5015,0)))</f>
        <v/>
      </c>
      <c r="T173" s="105">
        <f>IF(169&gt;MAX($N$16:$N$5015),"",IF(169&gt;MAX($N$16:$N$5015),"",INDEX($G$16:$G$5015,MATCH((MAX($N$16:$N$5015)-169+1),$N$16:$N$5015,0)))&amp;" › "&amp;IF(169&gt;MAX($N$16:$N$5015),"",INDEX($H$16:$H$5015,MATCH((MAX($N$16:$N$5015)-169+1),$N$16:$N$5015,0)))&amp;" › "&amp;IF(169&gt;MAX($N$16:$N$5015),"",INDEX($I$16:$I$5015,MATCH((MAX($N$16:$N$5015)-169+1),$N$16:$N$5015,0))))</f>
        <v/>
      </c>
      <c r="U173" s="105">
        <f>IF(169&gt;MAX($N$16:$N$5015),"",INDEX($J$16:$J$5015,MATCH((MAX($N$16:$N$5015)-169+1),$N$16:$N$5015,0)))&amp;IF(IF(169&gt;MAX($N$16:$N$5015),"",INDEX($L$16:$L$5015,MATCH((MAX($N$16:$N$5015)-169+1),$N$16:$N$5015,0)))="",""," ["&amp;IF(169&gt;MAX($N$16:$N$5015),"",INDEX($L$16:$L$5015,MATCH((MAX($N$16:$N$5015)-169+1),$N$16:$N$5015,0)))&amp;"]")</f>
        <v/>
      </c>
      <c r="V173" s="120">
        <f>IF(169&gt;MAX($N$16:$N$5015),"",HYPERLINK("#Transaksi!B"&amp;(MATCH((MAX($N$16:$N$5015)-169+1),$N$16:$N$5015,0)+15),"Buka"))</f>
        <v/>
      </c>
      <c r="X173" s="93">
        <f>IF(AND(B173&lt;&gt;"",B173&gt;='Buku Akun'!$H$4,B173&lt;='Buku Akun'!$H$5,OR(C173='Buku Akun'!$C$4,AND(D173="Pindah",E173='Buku Akun'!$C$4))),B173+IF(AND(I173="Selisih bunga",DAY(B173)=1),0,0.01)+ROW()/10000000,"")</f>
        <v/>
      </c>
    </row>
    <row r="174" outlineLevel="1" ht="15" customHeight="1" s="94">
      <c r="A174" s="123">
        <f>IF(B174="","",ROW()-15)</f>
        <v/>
      </c>
      <c r="B174" s="124" t="n"/>
      <c r="C174" s="123" t="n"/>
      <c r="D174" s="123" t="n"/>
      <c r="E174" s="123" t="n"/>
      <c r="F174" s="125" t="n"/>
      <c r="G174" s="123" t="n"/>
      <c r="H174" s="123" t="n"/>
      <c r="I174" s="123" t="n"/>
      <c r="J174" s="123" t="n"/>
      <c r="K174" s="123" t="n"/>
      <c r="L174" s="123" t="n"/>
      <c r="M174" s="123">
        <f>IF(AND(B174&lt;&gt;"",OR($C$4="",ISNUMBER(SEARCH($C$4,C174&amp;" "&amp;E174&amp;" "&amp;G174&amp;" "&amp;H174&amp;" "&amp;I174&amp;" "&amp;J174&amp;" "&amp;K174&amp;" "&amp;L174))),OR($C$5="Semua",$C$5="",G174=$C$5),OR($C$6="Semua",$C$6="",H174=$C$6,H174="Pengeluaran "&amp;$C$6,AND($C$6="Uang Kos Mama",H174="Pengeluaran Uang Kos")),OR($C$7="Semua",$C$7="",I174=$C$7),OR($C$8="Semua",$C$8="",C174=$C$8,E174=$C$8),OR($C$9="Semua",$C$9="",D174=$C$9),OR($C$10="",B174&gt;=$C$10),OR($C$11="",B174&lt;=$C$11),OR($C$12&lt;&gt;"Ya",K174&lt;&gt;""),OR($C$13="Semua",$C$13="",L174=$C$13)),"✓","")</f>
        <v/>
      </c>
      <c r="N174" s="93">
        <f>N(N173)+IF(M174="✓",1,0)</f>
        <v/>
      </c>
      <c r="O174" s="93">
        <f>N(O173)+IF(AND(B174&lt;&gt;"",B174&gt;='Uang Riba'!$H$30,B174&lt;='Uang Riba'!$I$30,OR(H174="Dana riba",H174="Pinjam uang riba",I174="Pinjam dari uang riba",I174="Ganti uang riba",I174="Kelebihan ganti dikembalikan",AND(C174="Kantong Uang Riba",G174="Pengeluaran"))),1,0)</f>
        <v/>
      </c>
      <c r="P174" s="119">
        <f>IF(170&gt;MAX($N$16:$N$5015),"",INDEX($B$16:$B$5015,MATCH((MAX($N$16:$N$5015)-170+1),$N$16:$N$5015,0)))</f>
        <v/>
      </c>
      <c r="Q174" s="105">
        <f>IF(170&gt;MAX($N$16:$N$5015),"",INDEX($C$16:$C$5015,MATCH((MAX($N$16:$N$5015)-170+1),$N$16:$N$5015,0)))&amp;IF(IF(170&gt;MAX($N$16:$N$5015),"",INDEX($E$16:$E$5015,MATCH((MAX($N$16:$N$5015)-170+1),$N$16:$N$5015,0)))="",""," → "&amp;IF(170&gt;MAX($N$16:$N$5015),"",INDEX($E$16:$E$5015,MATCH((MAX($N$16:$N$5015)-170+1),$N$16:$N$5015,0))))</f>
        <v/>
      </c>
      <c r="R174" s="105">
        <f>IF(170&gt;MAX($N$16:$N$5015),"",INDEX($D$16:$D$5015,MATCH((MAX($N$16:$N$5015)-170+1),$N$16:$N$5015,0)))</f>
        <v/>
      </c>
      <c r="S174" s="113">
        <f>IF(170&gt;MAX($N$16:$N$5015),"",INDEX($F$16:$F$5015,MATCH((MAX($N$16:$N$5015)-170+1),$N$16:$N$5015,0)))</f>
        <v/>
      </c>
      <c r="T174" s="105">
        <f>IF(170&gt;MAX($N$16:$N$5015),"",IF(170&gt;MAX($N$16:$N$5015),"",INDEX($G$16:$G$5015,MATCH((MAX($N$16:$N$5015)-170+1),$N$16:$N$5015,0)))&amp;" › "&amp;IF(170&gt;MAX($N$16:$N$5015),"",INDEX($H$16:$H$5015,MATCH((MAX($N$16:$N$5015)-170+1),$N$16:$N$5015,0)))&amp;" › "&amp;IF(170&gt;MAX($N$16:$N$5015),"",INDEX($I$16:$I$5015,MATCH((MAX($N$16:$N$5015)-170+1),$N$16:$N$5015,0))))</f>
        <v/>
      </c>
      <c r="U174" s="105">
        <f>IF(170&gt;MAX($N$16:$N$5015),"",INDEX($J$16:$J$5015,MATCH((MAX($N$16:$N$5015)-170+1),$N$16:$N$5015,0)))&amp;IF(IF(170&gt;MAX($N$16:$N$5015),"",INDEX($L$16:$L$5015,MATCH((MAX($N$16:$N$5015)-170+1),$N$16:$N$5015,0)))="",""," ["&amp;IF(170&gt;MAX($N$16:$N$5015),"",INDEX($L$16:$L$5015,MATCH((MAX($N$16:$N$5015)-170+1),$N$16:$N$5015,0)))&amp;"]")</f>
        <v/>
      </c>
      <c r="V174" s="120">
        <f>IF(170&gt;MAX($N$16:$N$5015),"",HYPERLINK("#Transaksi!B"&amp;(MATCH((MAX($N$16:$N$5015)-170+1),$N$16:$N$5015,0)+15),"Buka"))</f>
        <v/>
      </c>
      <c r="X174" s="93">
        <f>IF(AND(B174&lt;&gt;"",B174&gt;='Buku Akun'!$H$4,B174&lt;='Buku Akun'!$H$5,OR(C174='Buku Akun'!$C$4,AND(D174="Pindah",E174='Buku Akun'!$C$4))),B174+IF(AND(I174="Selisih bunga",DAY(B174)=1),0,0.01)+ROW()/10000000,"")</f>
        <v/>
      </c>
    </row>
    <row r="175" outlineLevel="1" ht="15" customHeight="1" s="94">
      <c r="A175" s="123">
        <f>IF(B175="","",ROW()-15)</f>
        <v/>
      </c>
      <c r="B175" s="124" t="n"/>
      <c r="C175" s="123" t="n"/>
      <c r="D175" s="123" t="n"/>
      <c r="E175" s="123" t="n"/>
      <c r="F175" s="125" t="n"/>
      <c r="G175" s="123" t="n"/>
      <c r="H175" s="123" t="n"/>
      <c r="I175" s="123" t="n"/>
      <c r="J175" s="123" t="n"/>
      <c r="K175" s="123" t="n"/>
      <c r="L175" s="123" t="n"/>
      <c r="M175" s="123">
        <f>IF(AND(B175&lt;&gt;"",OR($C$4="",ISNUMBER(SEARCH($C$4,C175&amp;" "&amp;E175&amp;" "&amp;G175&amp;" "&amp;H175&amp;" "&amp;I175&amp;" "&amp;J175&amp;" "&amp;K175&amp;" "&amp;L175))),OR($C$5="Semua",$C$5="",G175=$C$5),OR($C$6="Semua",$C$6="",H175=$C$6,H175="Pengeluaran "&amp;$C$6,AND($C$6="Uang Kos Mama",H175="Pengeluaran Uang Kos")),OR($C$7="Semua",$C$7="",I175=$C$7),OR($C$8="Semua",$C$8="",C175=$C$8,E175=$C$8),OR($C$9="Semua",$C$9="",D175=$C$9),OR($C$10="",B175&gt;=$C$10),OR($C$11="",B175&lt;=$C$11),OR($C$12&lt;&gt;"Ya",K175&lt;&gt;""),OR($C$13="Semua",$C$13="",L175=$C$13)),"✓","")</f>
        <v/>
      </c>
      <c r="N175" s="93">
        <f>N(N174)+IF(M175="✓",1,0)</f>
        <v/>
      </c>
      <c r="O175" s="93">
        <f>N(O174)+IF(AND(B175&lt;&gt;"",B175&gt;='Uang Riba'!$H$30,B175&lt;='Uang Riba'!$I$30,OR(H175="Dana riba",H175="Pinjam uang riba",I175="Pinjam dari uang riba",I175="Ganti uang riba",I175="Kelebihan ganti dikembalikan",AND(C175="Kantong Uang Riba",G175="Pengeluaran"))),1,0)</f>
        <v/>
      </c>
      <c r="P175" s="119">
        <f>IF(171&gt;MAX($N$16:$N$5015),"",INDEX($B$16:$B$5015,MATCH((MAX($N$16:$N$5015)-171+1),$N$16:$N$5015,0)))</f>
        <v/>
      </c>
      <c r="Q175" s="105">
        <f>IF(171&gt;MAX($N$16:$N$5015),"",INDEX($C$16:$C$5015,MATCH((MAX($N$16:$N$5015)-171+1),$N$16:$N$5015,0)))&amp;IF(IF(171&gt;MAX($N$16:$N$5015),"",INDEX($E$16:$E$5015,MATCH((MAX($N$16:$N$5015)-171+1),$N$16:$N$5015,0)))="",""," → "&amp;IF(171&gt;MAX($N$16:$N$5015),"",INDEX($E$16:$E$5015,MATCH((MAX($N$16:$N$5015)-171+1),$N$16:$N$5015,0))))</f>
        <v/>
      </c>
      <c r="R175" s="105">
        <f>IF(171&gt;MAX($N$16:$N$5015),"",INDEX($D$16:$D$5015,MATCH((MAX($N$16:$N$5015)-171+1),$N$16:$N$5015,0)))</f>
        <v/>
      </c>
      <c r="S175" s="113">
        <f>IF(171&gt;MAX($N$16:$N$5015),"",INDEX($F$16:$F$5015,MATCH((MAX($N$16:$N$5015)-171+1),$N$16:$N$5015,0)))</f>
        <v/>
      </c>
      <c r="T175" s="105">
        <f>IF(171&gt;MAX($N$16:$N$5015),"",IF(171&gt;MAX($N$16:$N$5015),"",INDEX($G$16:$G$5015,MATCH((MAX($N$16:$N$5015)-171+1),$N$16:$N$5015,0)))&amp;" › "&amp;IF(171&gt;MAX($N$16:$N$5015),"",INDEX($H$16:$H$5015,MATCH((MAX($N$16:$N$5015)-171+1),$N$16:$N$5015,0)))&amp;" › "&amp;IF(171&gt;MAX($N$16:$N$5015),"",INDEX($I$16:$I$5015,MATCH((MAX($N$16:$N$5015)-171+1),$N$16:$N$5015,0))))</f>
        <v/>
      </c>
      <c r="U175" s="105">
        <f>IF(171&gt;MAX($N$16:$N$5015),"",INDEX($J$16:$J$5015,MATCH((MAX($N$16:$N$5015)-171+1),$N$16:$N$5015,0)))&amp;IF(IF(171&gt;MAX($N$16:$N$5015),"",INDEX($L$16:$L$5015,MATCH((MAX($N$16:$N$5015)-171+1),$N$16:$N$5015,0)))="",""," ["&amp;IF(171&gt;MAX($N$16:$N$5015),"",INDEX($L$16:$L$5015,MATCH((MAX($N$16:$N$5015)-171+1),$N$16:$N$5015,0)))&amp;"]")</f>
        <v/>
      </c>
      <c r="V175" s="120">
        <f>IF(171&gt;MAX($N$16:$N$5015),"",HYPERLINK("#Transaksi!B"&amp;(MATCH((MAX($N$16:$N$5015)-171+1),$N$16:$N$5015,0)+15),"Buka"))</f>
        <v/>
      </c>
      <c r="X175" s="93">
        <f>IF(AND(B175&lt;&gt;"",B175&gt;='Buku Akun'!$H$4,B175&lt;='Buku Akun'!$H$5,OR(C175='Buku Akun'!$C$4,AND(D175="Pindah",E175='Buku Akun'!$C$4))),B175+IF(AND(I175="Selisih bunga",DAY(B175)=1),0,0.01)+ROW()/10000000,"")</f>
        <v/>
      </c>
    </row>
    <row r="176" outlineLevel="1" ht="15" customHeight="1" s="94">
      <c r="A176" s="123">
        <f>IF(B176="","",ROW()-15)</f>
        <v/>
      </c>
      <c r="B176" s="124" t="n"/>
      <c r="C176" s="123" t="n"/>
      <c r="D176" s="123" t="n"/>
      <c r="E176" s="123" t="n"/>
      <c r="F176" s="125" t="n"/>
      <c r="G176" s="123" t="n"/>
      <c r="H176" s="123" t="n"/>
      <c r="I176" s="123" t="n"/>
      <c r="J176" s="123" t="n"/>
      <c r="K176" s="123" t="n"/>
      <c r="L176" s="123" t="n"/>
      <c r="M176" s="123">
        <f>IF(AND(B176&lt;&gt;"",OR($C$4="",ISNUMBER(SEARCH($C$4,C176&amp;" "&amp;E176&amp;" "&amp;G176&amp;" "&amp;H176&amp;" "&amp;I176&amp;" "&amp;J176&amp;" "&amp;K176&amp;" "&amp;L176))),OR($C$5="Semua",$C$5="",G176=$C$5),OR($C$6="Semua",$C$6="",H176=$C$6,H176="Pengeluaran "&amp;$C$6,AND($C$6="Uang Kos Mama",H176="Pengeluaran Uang Kos")),OR($C$7="Semua",$C$7="",I176=$C$7),OR($C$8="Semua",$C$8="",C176=$C$8,E176=$C$8),OR($C$9="Semua",$C$9="",D176=$C$9),OR($C$10="",B176&gt;=$C$10),OR($C$11="",B176&lt;=$C$11),OR($C$12&lt;&gt;"Ya",K176&lt;&gt;""),OR($C$13="Semua",$C$13="",L176=$C$13)),"✓","")</f>
        <v/>
      </c>
      <c r="N176" s="93">
        <f>N(N175)+IF(M176="✓",1,0)</f>
        <v/>
      </c>
      <c r="O176" s="93">
        <f>N(O175)+IF(AND(B176&lt;&gt;"",B176&gt;='Uang Riba'!$H$30,B176&lt;='Uang Riba'!$I$30,OR(H176="Dana riba",H176="Pinjam uang riba",I176="Pinjam dari uang riba",I176="Ganti uang riba",I176="Kelebihan ganti dikembalikan",AND(C176="Kantong Uang Riba",G176="Pengeluaran"))),1,0)</f>
        <v/>
      </c>
      <c r="P176" s="119">
        <f>IF(172&gt;MAX($N$16:$N$5015),"",INDEX($B$16:$B$5015,MATCH((MAX($N$16:$N$5015)-172+1),$N$16:$N$5015,0)))</f>
        <v/>
      </c>
      <c r="Q176" s="105">
        <f>IF(172&gt;MAX($N$16:$N$5015),"",INDEX($C$16:$C$5015,MATCH((MAX($N$16:$N$5015)-172+1),$N$16:$N$5015,0)))&amp;IF(IF(172&gt;MAX($N$16:$N$5015),"",INDEX($E$16:$E$5015,MATCH((MAX($N$16:$N$5015)-172+1),$N$16:$N$5015,0)))="",""," → "&amp;IF(172&gt;MAX($N$16:$N$5015),"",INDEX($E$16:$E$5015,MATCH((MAX($N$16:$N$5015)-172+1),$N$16:$N$5015,0))))</f>
        <v/>
      </c>
      <c r="R176" s="105">
        <f>IF(172&gt;MAX($N$16:$N$5015),"",INDEX($D$16:$D$5015,MATCH((MAX($N$16:$N$5015)-172+1),$N$16:$N$5015,0)))</f>
        <v/>
      </c>
      <c r="S176" s="113">
        <f>IF(172&gt;MAX($N$16:$N$5015),"",INDEX($F$16:$F$5015,MATCH((MAX($N$16:$N$5015)-172+1),$N$16:$N$5015,0)))</f>
        <v/>
      </c>
      <c r="T176" s="105">
        <f>IF(172&gt;MAX($N$16:$N$5015),"",IF(172&gt;MAX($N$16:$N$5015),"",INDEX($G$16:$G$5015,MATCH((MAX($N$16:$N$5015)-172+1),$N$16:$N$5015,0)))&amp;" › "&amp;IF(172&gt;MAX($N$16:$N$5015),"",INDEX($H$16:$H$5015,MATCH((MAX($N$16:$N$5015)-172+1),$N$16:$N$5015,0)))&amp;" › "&amp;IF(172&gt;MAX($N$16:$N$5015),"",INDEX($I$16:$I$5015,MATCH((MAX($N$16:$N$5015)-172+1),$N$16:$N$5015,0))))</f>
        <v/>
      </c>
      <c r="U176" s="105">
        <f>IF(172&gt;MAX($N$16:$N$5015),"",INDEX($J$16:$J$5015,MATCH((MAX($N$16:$N$5015)-172+1),$N$16:$N$5015,0)))&amp;IF(IF(172&gt;MAX($N$16:$N$5015),"",INDEX($L$16:$L$5015,MATCH((MAX($N$16:$N$5015)-172+1),$N$16:$N$5015,0)))="",""," ["&amp;IF(172&gt;MAX($N$16:$N$5015),"",INDEX($L$16:$L$5015,MATCH((MAX($N$16:$N$5015)-172+1),$N$16:$N$5015,0)))&amp;"]")</f>
        <v/>
      </c>
      <c r="V176" s="120">
        <f>IF(172&gt;MAX($N$16:$N$5015),"",HYPERLINK("#Transaksi!B"&amp;(MATCH((MAX($N$16:$N$5015)-172+1),$N$16:$N$5015,0)+15),"Buka"))</f>
        <v/>
      </c>
      <c r="X176" s="93">
        <f>IF(AND(B176&lt;&gt;"",B176&gt;='Buku Akun'!$H$4,B176&lt;='Buku Akun'!$H$5,OR(C176='Buku Akun'!$C$4,AND(D176="Pindah",E176='Buku Akun'!$C$4))),B176+IF(AND(I176="Selisih bunga",DAY(B176)=1),0,0.01)+ROW()/10000000,"")</f>
        <v/>
      </c>
    </row>
    <row r="177" outlineLevel="1" ht="15" customHeight="1" s="94">
      <c r="A177" s="123">
        <f>IF(B177="","",ROW()-15)</f>
        <v/>
      </c>
      <c r="B177" s="124" t="n"/>
      <c r="C177" s="123" t="n"/>
      <c r="D177" s="123" t="n"/>
      <c r="E177" s="123" t="n"/>
      <c r="F177" s="125" t="n"/>
      <c r="G177" s="123" t="n"/>
      <c r="H177" s="123" t="n"/>
      <c r="I177" s="123" t="n"/>
      <c r="J177" s="123" t="n"/>
      <c r="K177" s="123" t="n"/>
      <c r="L177" s="123" t="n"/>
      <c r="M177" s="123">
        <f>IF(AND(B177&lt;&gt;"",OR($C$4="",ISNUMBER(SEARCH($C$4,C177&amp;" "&amp;E177&amp;" "&amp;G177&amp;" "&amp;H177&amp;" "&amp;I177&amp;" "&amp;J177&amp;" "&amp;K177&amp;" "&amp;L177))),OR($C$5="Semua",$C$5="",G177=$C$5),OR($C$6="Semua",$C$6="",H177=$C$6,H177="Pengeluaran "&amp;$C$6,AND($C$6="Uang Kos Mama",H177="Pengeluaran Uang Kos")),OR($C$7="Semua",$C$7="",I177=$C$7),OR($C$8="Semua",$C$8="",C177=$C$8,E177=$C$8),OR($C$9="Semua",$C$9="",D177=$C$9),OR($C$10="",B177&gt;=$C$10),OR($C$11="",B177&lt;=$C$11),OR($C$12&lt;&gt;"Ya",K177&lt;&gt;""),OR($C$13="Semua",$C$13="",L177=$C$13)),"✓","")</f>
        <v/>
      </c>
      <c r="N177" s="93">
        <f>N(N176)+IF(M177="✓",1,0)</f>
        <v/>
      </c>
      <c r="O177" s="93">
        <f>N(O176)+IF(AND(B177&lt;&gt;"",B177&gt;='Uang Riba'!$H$30,B177&lt;='Uang Riba'!$I$30,OR(H177="Dana riba",H177="Pinjam uang riba",I177="Pinjam dari uang riba",I177="Ganti uang riba",I177="Kelebihan ganti dikembalikan",AND(C177="Kantong Uang Riba",G177="Pengeluaran"))),1,0)</f>
        <v/>
      </c>
      <c r="P177" s="119">
        <f>IF(173&gt;MAX($N$16:$N$5015),"",INDEX($B$16:$B$5015,MATCH((MAX($N$16:$N$5015)-173+1),$N$16:$N$5015,0)))</f>
        <v/>
      </c>
      <c r="Q177" s="105">
        <f>IF(173&gt;MAX($N$16:$N$5015),"",INDEX($C$16:$C$5015,MATCH((MAX($N$16:$N$5015)-173+1),$N$16:$N$5015,0)))&amp;IF(IF(173&gt;MAX($N$16:$N$5015),"",INDEX($E$16:$E$5015,MATCH((MAX($N$16:$N$5015)-173+1),$N$16:$N$5015,0)))="",""," → "&amp;IF(173&gt;MAX($N$16:$N$5015),"",INDEX($E$16:$E$5015,MATCH((MAX($N$16:$N$5015)-173+1),$N$16:$N$5015,0))))</f>
        <v/>
      </c>
      <c r="R177" s="105">
        <f>IF(173&gt;MAX($N$16:$N$5015),"",INDEX($D$16:$D$5015,MATCH((MAX($N$16:$N$5015)-173+1),$N$16:$N$5015,0)))</f>
        <v/>
      </c>
      <c r="S177" s="113">
        <f>IF(173&gt;MAX($N$16:$N$5015),"",INDEX($F$16:$F$5015,MATCH((MAX($N$16:$N$5015)-173+1),$N$16:$N$5015,0)))</f>
        <v/>
      </c>
      <c r="T177" s="105">
        <f>IF(173&gt;MAX($N$16:$N$5015),"",IF(173&gt;MAX($N$16:$N$5015),"",INDEX($G$16:$G$5015,MATCH((MAX($N$16:$N$5015)-173+1),$N$16:$N$5015,0)))&amp;" › "&amp;IF(173&gt;MAX($N$16:$N$5015),"",INDEX($H$16:$H$5015,MATCH((MAX($N$16:$N$5015)-173+1),$N$16:$N$5015,0)))&amp;" › "&amp;IF(173&gt;MAX($N$16:$N$5015),"",INDEX($I$16:$I$5015,MATCH((MAX($N$16:$N$5015)-173+1),$N$16:$N$5015,0))))</f>
        <v/>
      </c>
      <c r="U177" s="105">
        <f>IF(173&gt;MAX($N$16:$N$5015),"",INDEX($J$16:$J$5015,MATCH((MAX($N$16:$N$5015)-173+1),$N$16:$N$5015,0)))&amp;IF(IF(173&gt;MAX($N$16:$N$5015),"",INDEX($L$16:$L$5015,MATCH((MAX($N$16:$N$5015)-173+1),$N$16:$N$5015,0)))="",""," ["&amp;IF(173&gt;MAX($N$16:$N$5015),"",INDEX($L$16:$L$5015,MATCH((MAX($N$16:$N$5015)-173+1),$N$16:$N$5015,0)))&amp;"]")</f>
        <v/>
      </c>
      <c r="V177" s="120">
        <f>IF(173&gt;MAX($N$16:$N$5015),"",HYPERLINK("#Transaksi!B"&amp;(MATCH((MAX($N$16:$N$5015)-173+1),$N$16:$N$5015,0)+15),"Buka"))</f>
        <v/>
      </c>
      <c r="X177" s="93">
        <f>IF(AND(B177&lt;&gt;"",B177&gt;='Buku Akun'!$H$4,B177&lt;='Buku Akun'!$H$5,OR(C177='Buku Akun'!$C$4,AND(D177="Pindah",E177='Buku Akun'!$C$4))),B177+IF(AND(I177="Selisih bunga",DAY(B177)=1),0,0.01)+ROW()/10000000,"")</f>
        <v/>
      </c>
    </row>
    <row r="178" outlineLevel="1" ht="15" customHeight="1" s="94">
      <c r="A178" s="123">
        <f>IF(B178="","",ROW()-15)</f>
        <v/>
      </c>
      <c r="B178" s="124" t="n"/>
      <c r="C178" s="123" t="n"/>
      <c r="D178" s="123" t="n"/>
      <c r="E178" s="123" t="n"/>
      <c r="F178" s="125" t="n"/>
      <c r="G178" s="123" t="n"/>
      <c r="H178" s="123" t="n"/>
      <c r="I178" s="123" t="n"/>
      <c r="J178" s="123" t="n"/>
      <c r="K178" s="123" t="n"/>
      <c r="L178" s="123" t="n"/>
      <c r="M178" s="123">
        <f>IF(AND(B178&lt;&gt;"",OR($C$4="",ISNUMBER(SEARCH($C$4,C178&amp;" "&amp;E178&amp;" "&amp;G178&amp;" "&amp;H178&amp;" "&amp;I178&amp;" "&amp;J178&amp;" "&amp;K178&amp;" "&amp;L178))),OR($C$5="Semua",$C$5="",G178=$C$5),OR($C$6="Semua",$C$6="",H178=$C$6,H178="Pengeluaran "&amp;$C$6,AND($C$6="Uang Kos Mama",H178="Pengeluaran Uang Kos")),OR($C$7="Semua",$C$7="",I178=$C$7),OR($C$8="Semua",$C$8="",C178=$C$8,E178=$C$8),OR($C$9="Semua",$C$9="",D178=$C$9),OR($C$10="",B178&gt;=$C$10),OR($C$11="",B178&lt;=$C$11),OR($C$12&lt;&gt;"Ya",K178&lt;&gt;""),OR($C$13="Semua",$C$13="",L178=$C$13)),"✓","")</f>
        <v/>
      </c>
      <c r="N178" s="93">
        <f>N(N177)+IF(M178="✓",1,0)</f>
        <v/>
      </c>
      <c r="O178" s="93">
        <f>N(O177)+IF(AND(B178&lt;&gt;"",B178&gt;='Uang Riba'!$H$30,B178&lt;='Uang Riba'!$I$30,OR(H178="Dana riba",H178="Pinjam uang riba",I178="Pinjam dari uang riba",I178="Ganti uang riba",I178="Kelebihan ganti dikembalikan",AND(C178="Kantong Uang Riba",G178="Pengeluaran"))),1,0)</f>
        <v/>
      </c>
      <c r="P178" s="119">
        <f>IF(174&gt;MAX($N$16:$N$5015),"",INDEX($B$16:$B$5015,MATCH((MAX($N$16:$N$5015)-174+1),$N$16:$N$5015,0)))</f>
        <v/>
      </c>
      <c r="Q178" s="105">
        <f>IF(174&gt;MAX($N$16:$N$5015),"",INDEX($C$16:$C$5015,MATCH((MAX($N$16:$N$5015)-174+1),$N$16:$N$5015,0)))&amp;IF(IF(174&gt;MAX($N$16:$N$5015),"",INDEX($E$16:$E$5015,MATCH((MAX($N$16:$N$5015)-174+1),$N$16:$N$5015,0)))="",""," → "&amp;IF(174&gt;MAX($N$16:$N$5015),"",INDEX($E$16:$E$5015,MATCH((MAX($N$16:$N$5015)-174+1),$N$16:$N$5015,0))))</f>
        <v/>
      </c>
      <c r="R178" s="105">
        <f>IF(174&gt;MAX($N$16:$N$5015),"",INDEX($D$16:$D$5015,MATCH((MAX($N$16:$N$5015)-174+1),$N$16:$N$5015,0)))</f>
        <v/>
      </c>
      <c r="S178" s="113">
        <f>IF(174&gt;MAX($N$16:$N$5015),"",INDEX($F$16:$F$5015,MATCH((MAX($N$16:$N$5015)-174+1),$N$16:$N$5015,0)))</f>
        <v/>
      </c>
      <c r="T178" s="105">
        <f>IF(174&gt;MAX($N$16:$N$5015),"",IF(174&gt;MAX($N$16:$N$5015),"",INDEX($G$16:$G$5015,MATCH((MAX($N$16:$N$5015)-174+1),$N$16:$N$5015,0)))&amp;" › "&amp;IF(174&gt;MAX($N$16:$N$5015),"",INDEX($H$16:$H$5015,MATCH((MAX($N$16:$N$5015)-174+1),$N$16:$N$5015,0)))&amp;" › "&amp;IF(174&gt;MAX($N$16:$N$5015),"",INDEX($I$16:$I$5015,MATCH((MAX($N$16:$N$5015)-174+1),$N$16:$N$5015,0))))</f>
        <v/>
      </c>
      <c r="U178" s="105">
        <f>IF(174&gt;MAX($N$16:$N$5015),"",INDEX($J$16:$J$5015,MATCH((MAX($N$16:$N$5015)-174+1),$N$16:$N$5015,0)))&amp;IF(IF(174&gt;MAX($N$16:$N$5015),"",INDEX($L$16:$L$5015,MATCH((MAX($N$16:$N$5015)-174+1),$N$16:$N$5015,0)))="",""," ["&amp;IF(174&gt;MAX($N$16:$N$5015),"",INDEX($L$16:$L$5015,MATCH((MAX($N$16:$N$5015)-174+1),$N$16:$N$5015,0)))&amp;"]")</f>
        <v/>
      </c>
      <c r="V178" s="120">
        <f>IF(174&gt;MAX($N$16:$N$5015),"",HYPERLINK("#Transaksi!B"&amp;(MATCH((MAX($N$16:$N$5015)-174+1),$N$16:$N$5015,0)+15),"Buka"))</f>
        <v/>
      </c>
      <c r="X178" s="93">
        <f>IF(AND(B178&lt;&gt;"",B178&gt;='Buku Akun'!$H$4,B178&lt;='Buku Akun'!$H$5,OR(C178='Buku Akun'!$C$4,AND(D178="Pindah",E178='Buku Akun'!$C$4))),B178+IF(AND(I178="Selisih bunga",DAY(B178)=1),0,0.01)+ROW()/10000000,"")</f>
        <v/>
      </c>
    </row>
    <row r="179" outlineLevel="1" ht="15" customHeight="1" s="94">
      <c r="A179" s="123">
        <f>IF(B179="","",ROW()-15)</f>
        <v/>
      </c>
      <c r="B179" s="124" t="n"/>
      <c r="C179" s="123" t="n"/>
      <c r="D179" s="123" t="n"/>
      <c r="E179" s="123" t="n"/>
      <c r="F179" s="125" t="n"/>
      <c r="G179" s="123" t="n"/>
      <c r="H179" s="123" t="n"/>
      <c r="I179" s="123" t="n"/>
      <c r="J179" s="123" t="n"/>
      <c r="K179" s="123" t="n"/>
      <c r="L179" s="123" t="n"/>
      <c r="M179" s="123">
        <f>IF(AND(B179&lt;&gt;"",OR($C$4="",ISNUMBER(SEARCH($C$4,C179&amp;" "&amp;E179&amp;" "&amp;G179&amp;" "&amp;H179&amp;" "&amp;I179&amp;" "&amp;J179&amp;" "&amp;K179&amp;" "&amp;L179))),OR($C$5="Semua",$C$5="",G179=$C$5),OR($C$6="Semua",$C$6="",H179=$C$6,H179="Pengeluaran "&amp;$C$6,AND($C$6="Uang Kos Mama",H179="Pengeluaran Uang Kos")),OR($C$7="Semua",$C$7="",I179=$C$7),OR($C$8="Semua",$C$8="",C179=$C$8,E179=$C$8),OR($C$9="Semua",$C$9="",D179=$C$9),OR($C$10="",B179&gt;=$C$10),OR($C$11="",B179&lt;=$C$11),OR($C$12&lt;&gt;"Ya",K179&lt;&gt;""),OR($C$13="Semua",$C$13="",L179=$C$13)),"✓","")</f>
        <v/>
      </c>
      <c r="N179" s="93">
        <f>N(N178)+IF(M179="✓",1,0)</f>
        <v/>
      </c>
      <c r="O179" s="93">
        <f>N(O178)+IF(AND(B179&lt;&gt;"",B179&gt;='Uang Riba'!$H$30,B179&lt;='Uang Riba'!$I$30,OR(H179="Dana riba",H179="Pinjam uang riba",I179="Pinjam dari uang riba",I179="Ganti uang riba",I179="Kelebihan ganti dikembalikan",AND(C179="Kantong Uang Riba",G179="Pengeluaran"))),1,0)</f>
        <v/>
      </c>
      <c r="P179" s="119">
        <f>IF(175&gt;MAX($N$16:$N$5015),"",INDEX($B$16:$B$5015,MATCH((MAX($N$16:$N$5015)-175+1),$N$16:$N$5015,0)))</f>
        <v/>
      </c>
      <c r="Q179" s="105">
        <f>IF(175&gt;MAX($N$16:$N$5015),"",INDEX($C$16:$C$5015,MATCH((MAX($N$16:$N$5015)-175+1),$N$16:$N$5015,0)))&amp;IF(IF(175&gt;MAX($N$16:$N$5015),"",INDEX($E$16:$E$5015,MATCH((MAX($N$16:$N$5015)-175+1),$N$16:$N$5015,0)))="",""," → "&amp;IF(175&gt;MAX($N$16:$N$5015),"",INDEX($E$16:$E$5015,MATCH((MAX($N$16:$N$5015)-175+1),$N$16:$N$5015,0))))</f>
        <v/>
      </c>
      <c r="R179" s="105">
        <f>IF(175&gt;MAX($N$16:$N$5015),"",INDEX($D$16:$D$5015,MATCH((MAX($N$16:$N$5015)-175+1),$N$16:$N$5015,0)))</f>
        <v/>
      </c>
      <c r="S179" s="113">
        <f>IF(175&gt;MAX($N$16:$N$5015),"",INDEX($F$16:$F$5015,MATCH((MAX($N$16:$N$5015)-175+1),$N$16:$N$5015,0)))</f>
        <v/>
      </c>
      <c r="T179" s="105">
        <f>IF(175&gt;MAX($N$16:$N$5015),"",IF(175&gt;MAX($N$16:$N$5015),"",INDEX($G$16:$G$5015,MATCH((MAX($N$16:$N$5015)-175+1),$N$16:$N$5015,0)))&amp;" › "&amp;IF(175&gt;MAX($N$16:$N$5015),"",INDEX($H$16:$H$5015,MATCH((MAX($N$16:$N$5015)-175+1),$N$16:$N$5015,0)))&amp;" › "&amp;IF(175&gt;MAX($N$16:$N$5015),"",INDEX($I$16:$I$5015,MATCH((MAX($N$16:$N$5015)-175+1),$N$16:$N$5015,0))))</f>
        <v/>
      </c>
      <c r="U179" s="105">
        <f>IF(175&gt;MAX($N$16:$N$5015),"",INDEX($J$16:$J$5015,MATCH((MAX($N$16:$N$5015)-175+1),$N$16:$N$5015,0)))&amp;IF(IF(175&gt;MAX($N$16:$N$5015),"",INDEX($L$16:$L$5015,MATCH((MAX($N$16:$N$5015)-175+1),$N$16:$N$5015,0)))="",""," ["&amp;IF(175&gt;MAX($N$16:$N$5015),"",INDEX($L$16:$L$5015,MATCH((MAX($N$16:$N$5015)-175+1),$N$16:$N$5015,0)))&amp;"]")</f>
        <v/>
      </c>
      <c r="V179" s="120">
        <f>IF(175&gt;MAX($N$16:$N$5015),"",HYPERLINK("#Transaksi!B"&amp;(MATCH((MAX($N$16:$N$5015)-175+1),$N$16:$N$5015,0)+15),"Buka"))</f>
        <v/>
      </c>
      <c r="X179" s="93">
        <f>IF(AND(B179&lt;&gt;"",B179&gt;='Buku Akun'!$H$4,B179&lt;='Buku Akun'!$H$5,OR(C179='Buku Akun'!$C$4,AND(D179="Pindah",E179='Buku Akun'!$C$4))),B179+IF(AND(I179="Selisih bunga",DAY(B179)=1),0,0.01)+ROW()/10000000,"")</f>
        <v/>
      </c>
    </row>
    <row r="180" outlineLevel="1" ht="15" customHeight="1" s="94">
      <c r="A180" s="123">
        <f>IF(B180="","",ROW()-15)</f>
        <v/>
      </c>
      <c r="B180" s="124" t="n"/>
      <c r="C180" s="123" t="n"/>
      <c r="D180" s="123" t="n"/>
      <c r="E180" s="123" t="n"/>
      <c r="F180" s="125" t="n"/>
      <c r="G180" s="123" t="n"/>
      <c r="H180" s="123" t="n"/>
      <c r="I180" s="123" t="n"/>
      <c r="J180" s="123" t="n"/>
      <c r="K180" s="123" t="n"/>
      <c r="L180" s="123" t="n"/>
      <c r="M180" s="123">
        <f>IF(AND(B180&lt;&gt;"",OR($C$4="",ISNUMBER(SEARCH($C$4,C180&amp;" "&amp;E180&amp;" "&amp;G180&amp;" "&amp;H180&amp;" "&amp;I180&amp;" "&amp;J180&amp;" "&amp;K180&amp;" "&amp;L180))),OR($C$5="Semua",$C$5="",G180=$C$5),OR($C$6="Semua",$C$6="",H180=$C$6,H180="Pengeluaran "&amp;$C$6,AND($C$6="Uang Kos Mama",H180="Pengeluaran Uang Kos")),OR($C$7="Semua",$C$7="",I180=$C$7),OR($C$8="Semua",$C$8="",C180=$C$8,E180=$C$8),OR($C$9="Semua",$C$9="",D180=$C$9),OR($C$10="",B180&gt;=$C$10),OR($C$11="",B180&lt;=$C$11),OR($C$12&lt;&gt;"Ya",K180&lt;&gt;""),OR($C$13="Semua",$C$13="",L180=$C$13)),"✓","")</f>
        <v/>
      </c>
      <c r="N180" s="93">
        <f>N(N179)+IF(M180="✓",1,0)</f>
        <v/>
      </c>
      <c r="O180" s="93">
        <f>N(O179)+IF(AND(B180&lt;&gt;"",B180&gt;='Uang Riba'!$H$30,B180&lt;='Uang Riba'!$I$30,OR(H180="Dana riba",H180="Pinjam uang riba",I180="Pinjam dari uang riba",I180="Ganti uang riba",I180="Kelebihan ganti dikembalikan",AND(C180="Kantong Uang Riba",G180="Pengeluaran"))),1,0)</f>
        <v/>
      </c>
      <c r="P180" s="119">
        <f>IF(176&gt;MAX($N$16:$N$5015),"",INDEX($B$16:$B$5015,MATCH((MAX($N$16:$N$5015)-176+1),$N$16:$N$5015,0)))</f>
        <v/>
      </c>
      <c r="Q180" s="105">
        <f>IF(176&gt;MAX($N$16:$N$5015),"",INDEX($C$16:$C$5015,MATCH((MAX($N$16:$N$5015)-176+1),$N$16:$N$5015,0)))&amp;IF(IF(176&gt;MAX($N$16:$N$5015),"",INDEX($E$16:$E$5015,MATCH((MAX($N$16:$N$5015)-176+1),$N$16:$N$5015,0)))="",""," → "&amp;IF(176&gt;MAX($N$16:$N$5015),"",INDEX($E$16:$E$5015,MATCH((MAX($N$16:$N$5015)-176+1),$N$16:$N$5015,0))))</f>
        <v/>
      </c>
      <c r="R180" s="105">
        <f>IF(176&gt;MAX($N$16:$N$5015),"",INDEX($D$16:$D$5015,MATCH((MAX($N$16:$N$5015)-176+1),$N$16:$N$5015,0)))</f>
        <v/>
      </c>
      <c r="S180" s="113">
        <f>IF(176&gt;MAX($N$16:$N$5015),"",INDEX($F$16:$F$5015,MATCH((MAX($N$16:$N$5015)-176+1),$N$16:$N$5015,0)))</f>
        <v/>
      </c>
      <c r="T180" s="105">
        <f>IF(176&gt;MAX($N$16:$N$5015),"",IF(176&gt;MAX($N$16:$N$5015),"",INDEX($G$16:$G$5015,MATCH((MAX($N$16:$N$5015)-176+1),$N$16:$N$5015,0)))&amp;" › "&amp;IF(176&gt;MAX($N$16:$N$5015),"",INDEX($H$16:$H$5015,MATCH((MAX($N$16:$N$5015)-176+1),$N$16:$N$5015,0)))&amp;" › "&amp;IF(176&gt;MAX($N$16:$N$5015),"",INDEX($I$16:$I$5015,MATCH((MAX($N$16:$N$5015)-176+1),$N$16:$N$5015,0))))</f>
        <v/>
      </c>
      <c r="U180" s="105">
        <f>IF(176&gt;MAX($N$16:$N$5015),"",INDEX($J$16:$J$5015,MATCH((MAX($N$16:$N$5015)-176+1),$N$16:$N$5015,0)))&amp;IF(IF(176&gt;MAX($N$16:$N$5015),"",INDEX($L$16:$L$5015,MATCH((MAX($N$16:$N$5015)-176+1),$N$16:$N$5015,0)))="",""," ["&amp;IF(176&gt;MAX($N$16:$N$5015),"",INDEX($L$16:$L$5015,MATCH((MAX($N$16:$N$5015)-176+1),$N$16:$N$5015,0)))&amp;"]")</f>
        <v/>
      </c>
      <c r="V180" s="120">
        <f>IF(176&gt;MAX($N$16:$N$5015),"",HYPERLINK("#Transaksi!B"&amp;(MATCH((MAX($N$16:$N$5015)-176+1),$N$16:$N$5015,0)+15),"Buka"))</f>
        <v/>
      </c>
      <c r="X180" s="93">
        <f>IF(AND(B180&lt;&gt;"",B180&gt;='Buku Akun'!$H$4,B180&lt;='Buku Akun'!$H$5,OR(C180='Buku Akun'!$C$4,AND(D180="Pindah",E180='Buku Akun'!$C$4))),B180+IF(AND(I180="Selisih bunga",DAY(B180)=1),0,0.01)+ROW()/10000000,"")</f>
        <v/>
      </c>
    </row>
    <row r="181" outlineLevel="1" ht="15" customHeight="1" s="94">
      <c r="A181" s="123">
        <f>IF(B181="","",ROW()-15)</f>
        <v/>
      </c>
      <c r="B181" s="124" t="n"/>
      <c r="C181" s="123" t="n"/>
      <c r="D181" s="123" t="n"/>
      <c r="E181" s="123" t="n"/>
      <c r="F181" s="125" t="n"/>
      <c r="G181" s="123" t="n"/>
      <c r="H181" s="123" t="n"/>
      <c r="I181" s="123" t="n"/>
      <c r="J181" s="123" t="n"/>
      <c r="K181" s="123" t="n"/>
      <c r="L181" s="123" t="n"/>
      <c r="M181" s="123">
        <f>IF(AND(B181&lt;&gt;"",OR($C$4="",ISNUMBER(SEARCH($C$4,C181&amp;" "&amp;E181&amp;" "&amp;G181&amp;" "&amp;H181&amp;" "&amp;I181&amp;" "&amp;J181&amp;" "&amp;K181&amp;" "&amp;L181))),OR($C$5="Semua",$C$5="",G181=$C$5),OR($C$6="Semua",$C$6="",H181=$C$6,H181="Pengeluaran "&amp;$C$6,AND($C$6="Uang Kos Mama",H181="Pengeluaran Uang Kos")),OR($C$7="Semua",$C$7="",I181=$C$7),OR($C$8="Semua",$C$8="",C181=$C$8,E181=$C$8),OR($C$9="Semua",$C$9="",D181=$C$9),OR($C$10="",B181&gt;=$C$10),OR($C$11="",B181&lt;=$C$11),OR($C$12&lt;&gt;"Ya",K181&lt;&gt;""),OR($C$13="Semua",$C$13="",L181=$C$13)),"✓","")</f>
        <v/>
      </c>
      <c r="N181" s="93">
        <f>N(N180)+IF(M181="✓",1,0)</f>
        <v/>
      </c>
      <c r="O181" s="93">
        <f>N(O180)+IF(AND(B181&lt;&gt;"",B181&gt;='Uang Riba'!$H$30,B181&lt;='Uang Riba'!$I$30,OR(H181="Dana riba",H181="Pinjam uang riba",I181="Pinjam dari uang riba",I181="Ganti uang riba",I181="Kelebihan ganti dikembalikan",AND(C181="Kantong Uang Riba",G181="Pengeluaran"))),1,0)</f>
        <v/>
      </c>
      <c r="P181" s="119">
        <f>IF(177&gt;MAX($N$16:$N$5015),"",INDEX($B$16:$B$5015,MATCH((MAX($N$16:$N$5015)-177+1),$N$16:$N$5015,0)))</f>
        <v/>
      </c>
      <c r="Q181" s="105">
        <f>IF(177&gt;MAX($N$16:$N$5015),"",INDEX($C$16:$C$5015,MATCH((MAX($N$16:$N$5015)-177+1),$N$16:$N$5015,0)))&amp;IF(IF(177&gt;MAX($N$16:$N$5015),"",INDEX($E$16:$E$5015,MATCH((MAX($N$16:$N$5015)-177+1),$N$16:$N$5015,0)))="",""," → "&amp;IF(177&gt;MAX($N$16:$N$5015),"",INDEX($E$16:$E$5015,MATCH((MAX($N$16:$N$5015)-177+1),$N$16:$N$5015,0))))</f>
        <v/>
      </c>
      <c r="R181" s="105">
        <f>IF(177&gt;MAX($N$16:$N$5015),"",INDEX($D$16:$D$5015,MATCH((MAX($N$16:$N$5015)-177+1),$N$16:$N$5015,0)))</f>
        <v/>
      </c>
      <c r="S181" s="113">
        <f>IF(177&gt;MAX($N$16:$N$5015),"",INDEX($F$16:$F$5015,MATCH((MAX($N$16:$N$5015)-177+1),$N$16:$N$5015,0)))</f>
        <v/>
      </c>
      <c r="T181" s="105">
        <f>IF(177&gt;MAX($N$16:$N$5015),"",IF(177&gt;MAX($N$16:$N$5015),"",INDEX($G$16:$G$5015,MATCH((MAX($N$16:$N$5015)-177+1),$N$16:$N$5015,0)))&amp;" › "&amp;IF(177&gt;MAX($N$16:$N$5015),"",INDEX($H$16:$H$5015,MATCH((MAX($N$16:$N$5015)-177+1),$N$16:$N$5015,0)))&amp;" › "&amp;IF(177&gt;MAX($N$16:$N$5015),"",INDEX($I$16:$I$5015,MATCH((MAX($N$16:$N$5015)-177+1),$N$16:$N$5015,0))))</f>
        <v/>
      </c>
      <c r="U181" s="105">
        <f>IF(177&gt;MAX($N$16:$N$5015),"",INDEX($J$16:$J$5015,MATCH((MAX($N$16:$N$5015)-177+1),$N$16:$N$5015,0)))&amp;IF(IF(177&gt;MAX($N$16:$N$5015),"",INDEX($L$16:$L$5015,MATCH((MAX($N$16:$N$5015)-177+1),$N$16:$N$5015,0)))="",""," ["&amp;IF(177&gt;MAX($N$16:$N$5015),"",INDEX($L$16:$L$5015,MATCH((MAX($N$16:$N$5015)-177+1),$N$16:$N$5015,0)))&amp;"]")</f>
        <v/>
      </c>
      <c r="V181" s="120">
        <f>IF(177&gt;MAX($N$16:$N$5015),"",HYPERLINK("#Transaksi!B"&amp;(MATCH((MAX($N$16:$N$5015)-177+1),$N$16:$N$5015,0)+15),"Buka"))</f>
        <v/>
      </c>
      <c r="X181" s="93">
        <f>IF(AND(B181&lt;&gt;"",B181&gt;='Buku Akun'!$H$4,B181&lt;='Buku Akun'!$H$5,OR(C181='Buku Akun'!$C$4,AND(D181="Pindah",E181='Buku Akun'!$C$4))),B181+IF(AND(I181="Selisih bunga",DAY(B181)=1),0,0.01)+ROW()/10000000,"")</f>
        <v/>
      </c>
    </row>
    <row r="182" outlineLevel="1" ht="15" customHeight="1" s="94">
      <c r="A182" s="123">
        <f>IF(B182="","",ROW()-15)</f>
        <v/>
      </c>
      <c r="B182" s="124" t="n"/>
      <c r="C182" s="123" t="n"/>
      <c r="D182" s="123" t="n"/>
      <c r="E182" s="123" t="n"/>
      <c r="F182" s="125" t="n"/>
      <c r="G182" s="123" t="n"/>
      <c r="H182" s="123" t="n"/>
      <c r="I182" s="123" t="n"/>
      <c r="J182" s="123" t="n"/>
      <c r="K182" s="123" t="n"/>
      <c r="L182" s="123" t="n"/>
      <c r="M182" s="123">
        <f>IF(AND(B182&lt;&gt;"",OR($C$4="",ISNUMBER(SEARCH($C$4,C182&amp;" "&amp;E182&amp;" "&amp;G182&amp;" "&amp;H182&amp;" "&amp;I182&amp;" "&amp;J182&amp;" "&amp;K182&amp;" "&amp;L182))),OR($C$5="Semua",$C$5="",G182=$C$5),OR($C$6="Semua",$C$6="",H182=$C$6,H182="Pengeluaran "&amp;$C$6,AND($C$6="Uang Kos Mama",H182="Pengeluaran Uang Kos")),OR($C$7="Semua",$C$7="",I182=$C$7),OR($C$8="Semua",$C$8="",C182=$C$8,E182=$C$8),OR($C$9="Semua",$C$9="",D182=$C$9),OR($C$10="",B182&gt;=$C$10),OR($C$11="",B182&lt;=$C$11),OR($C$12&lt;&gt;"Ya",K182&lt;&gt;""),OR($C$13="Semua",$C$13="",L182=$C$13)),"✓","")</f>
        <v/>
      </c>
      <c r="N182" s="93">
        <f>N(N181)+IF(M182="✓",1,0)</f>
        <v/>
      </c>
      <c r="O182" s="93">
        <f>N(O181)+IF(AND(B182&lt;&gt;"",B182&gt;='Uang Riba'!$H$30,B182&lt;='Uang Riba'!$I$30,OR(H182="Dana riba",H182="Pinjam uang riba",I182="Pinjam dari uang riba",I182="Ganti uang riba",I182="Kelebihan ganti dikembalikan",AND(C182="Kantong Uang Riba",G182="Pengeluaran"))),1,0)</f>
        <v/>
      </c>
      <c r="P182" s="119">
        <f>IF(178&gt;MAX($N$16:$N$5015),"",INDEX($B$16:$B$5015,MATCH((MAX($N$16:$N$5015)-178+1),$N$16:$N$5015,0)))</f>
        <v/>
      </c>
      <c r="Q182" s="105">
        <f>IF(178&gt;MAX($N$16:$N$5015),"",INDEX($C$16:$C$5015,MATCH((MAX($N$16:$N$5015)-178+1),$N$16:$N$5015,0)))&amp;IF(IF(178&gt;MAX($N$16:$N$5015),"",INDEX($E$16:$E$5015,MATCH((MAX($N$16:$N$5015)-178+1),$N$16:$N$5015,0)))="",""," → "&amp;IF(178&gt;MAX($N$16:$N$5015),"",INDEX($E$16:$E$5015,MATCH((MAX($N$16:$N$5015)-178+1),$N$16:$N$5015,0))))</f>
        <v/>
      </c>
      <c r="R182" s="105">
        <f>IF(178&gt;MAX($N$16:$N$5015),"",INDEX($D$16:$D$5015,MATCH((MAX($N$16:$N$5015)-178+1),$N$16:$N$5015,0)))</f>
        <v/>
      </c>
      <c r="S182" s="113">
        <f>IF(178&gt;MAX($N$16:$N$5015),"",INDEX($F$16:$F$5015,MATCH((MAX($N$16:$N$5015)-178+1),$N$16:$N$5015,0)))</f>
        <v/>
      </c>
      <c r="T182" s="105">
        <f>IF(178&gt;MAX($N$16:$N$5015),"",IF(178&gt;MAX($N$16:$N$5015),"",INDEX($G$16:$G$5015,MATCH((MAX($N$16:$N$5015)-178+1),$N$16:$N$5015,0)))&amp;" › "&amp;IF(178&gt;MAX($N$16:$N$5015),"",INDEX($H$16:$H$5015,MATCH((MAX($N$16:$N$5015)-178+1),$N$16:$N$5015,0)))&amp;" › "&amp;IF(178&gt;MAX($N$16:$N$5015),"",INDEX($I$16:$I$5015,MATCH((MAX($N$16:$N$5015)-178+1),$N$16:$N$5015,0))))</f>
        <v/>
      </c>
      <c r="U182" s="105">
        <f>IF(178&gt;MAX($N$16:$N$5015),"",INDEX($J$16:$J$5015,MATCH((MAX($N$16:$N$5015)-178+1),$N$16:$N$5015,0)))&amp;IF(IF(178&gt;MAX($N$16:$N$5015),"",INDEX($L$16:$L$5015,MATCH((MAX($N$16:$N$5015)-178+1),$N$16:$N$5015,0)))="",""," ["&amp;IF(178&gt;MAX($N$16:$N$5015),"",INDEX($L$16:$L$5015,MATCH((MAX($N$16:$N$5015)-178+1),$N$16:$N$5015,0)))&amp;"]")</f>
        <v/>
      </c>
      <c r="V182" s="120">
        <f>IF(178&gt;MAX($N$16:$N$5015),"",HYPERLINK("#Transaksi!B"&amp;(MATCH((MAX($N$16:$N$5015)-178+1),$N$16:$N$5015,0)+15),"Buka"))</f>
        <v/>
      </c>
      <c r="X182" s="93">
        <f>IF(AND(B182&lt;&gt;"",B182&gt;='Buku Akun'!$H$4,B182&lt;='Buku Akun'!$H$5,OR(C182='Buku Akun'!$C$4,AND(D182="Pindah",E182='Buku Akun'!$C$4))),B182+IF(AND(I182="Selisih bunga",DAY(B182)=1),0,0.01)+ROW()/10000000,"")</f>
        <v/>
      </c>
    </row>
    <row r="183" outlineLevel="1" ht="15" customHeight="1" s="94">
      <c r="A183" s="123">
        <f>IF(B183="","",ROW()-15)</f>
        <v/>
      </c>
      <c r="B183" s="124" t="n"/>
      <c r="C183" s="123" t="n"/>
      <c r="D183" s="123" t="n"/>
      <c r="E183" s="123" t="n"/>
      <c r="F183" s="125" t="n"/>
      <c r="G183" s="123" t="n"/>
      <c r="H183" s="123" t="n"/>
      <c r="I183" s="123" t="n"/>
      <c r="J183" s="123" t="n"/>
      <c r="K183" s="123" t="n"/>
      <c r="L183" s="123" t="n"/>
      <c r="M183" s="123">
        <f>IF(AND(B183&lt;&gt;"",OR($C$4="",ISNUMBER(SEARCH($C$4,C183&amp;" "&amp;E183&amp;" "&amp;G183&amp;" "&amp;H183&amp;" "&amp;I183&amp;" "&amp;J183&amp;" "&amp;K183&amp;" "&amp;L183))),OR($C$5="Semua",$C$5="",G183=$C$5),OR($C$6="Semua",$C$6="",H183=$C$6,H183="Pengeluaran "&amp;$C$6,AND($C$6="Uang Kos Mama",H183="Pengeluaran Uang Kos")),OR($C$7="Semua",$C$7="",I183=$C$7),OR($C$8="Semua",$C$8="",C183=$C$8,E183=$C$8),OR($C$9="Semua",$C$9="",D183=$C$9),OR($C$10="",B183&gt;=$C$10),OR($C$11="",B183&lt;=$C$11),OR($C$12&lt;&gt;"Ya",K183&lt;&gt;""),OR($C$13="Semua",$C$13="",L183=$C$13)),"✓","")</f>
        <v/>
      </c>
      <c r="N183" s="93">
        <f>N(N182)+IF(M183="✓",1,0)</f>
        <v/>
      </c>
      <c r="O183" s="93">
        <f>N(O182)+IF(AND(B183&lt;&gt;"",B183&gt;='Uang Riba'!$H$30,B183&lt;='Uang Riba'!$I$30,OR(H183="Dana riba",H183="Pinjam uang riba",I183="Pinjam dari uang riba",I183="Ganti uang riba",I183="Kelebihan ganti dikembalikan",AND(C183="Kantong Uang Riba",G183="Pengeluaran"))),1,0)</f>
        <v/>
      </c>
      <c r="P183" s="119">
        <f>IF(179&gt;MAX($N$16:$N$5015),"",INDEX($B$16:$B$5015,MATCH((MAX($N$16:$N$5015)-179+1),$N$16:$N$5015,0)))</f>
        <v/>
      </c>
      <c r="Q183" s="105">
        <f>IF(179&gt;MAX($N$16:$N$5015),"",INDEX($C$16:$C$5015,MATCH((MAX($N$16:$N$5015)-179+1),$N$16:$N$5015,0)))&amp;IF(IF(179&gt;MAX($N$16:$N$5015),"",INDEX($E$16:$E$5015,MATCH((MAX($N$16:$N$5015)-179+1),$N$16:$N$5015,0)))="",""," → "&amp;IF(179&gt;MAX($N$16:$N$5015),"",INDEX($E$16:$E$5015,MATCH((MAX($N$16:$N$5015)-179+1),$N$16:$N$5015,0))))</f>
        <v/>
      </c>
      <c r="R183" s="105">
        <f>IF(179&gt;MAX($N$16:$N$5015),"",INDEX($D$16:$D$5015,MATCH((MAX($N$16:$N$5015)-179+1),$N$16:$N$5015,0)))</f>
        <v/>
      </c>
      <c r="S183" s="113">
        <f>IF(179&gt;MAX($N$16:$N$5015),"",INDEX($F$16:$F$5015,MATCH((MAX($N$16:$N$5015)-179+1),$N$16:$N$5015,0)))</f>
        <v/>
      </c>
      <c r="T183" s="105">
        <f>IF(179&gt;MAX($N$16:$N$5015),"",IF(179&gt;MAX($N$16:$N$5015),"",INDEX($G$16:$G$5015,MATCH((MAX($N$16:$N$5015)-179+1),$N$16:$N$5015,0)))&amp;" › "&amp;IF(179&gt;MAX($N$16:$N$5015),"",INDEX($H$16:$H$5015,MATCH((MAX($N$16:$N$5015)-179+1),$N$16:$N$5015,0)))&amp;" › "&amp;IF(179&gt;MAX($N$16:$N$5015),"",INDEX($I$16:$I$5015,MATCH((MAX($N$16:$N$5015)-179+1),$N$16:$N$5015,0))))</f>
        <v/>
      </c>
      <c r="U183" s="105">
        <f>IF(179&gt;MAX($N$16:$N$5015),"",INDEX($J$16:$J$5015,MATCH((MAX($N$16:$N$5015)-179+1),$N$16:$N$5015,0)))&amp;IF(IF(179&gt;MAX($N$16:$N$5015),"",INDEX($L$16:$L$5015,MATCH((MAX($N$16:$N$5015)-179+1),$N$16:$N$5015,0)))="",""," ["&amp;IF(179&gt;MAX($N$16:$N$5015),"",INDEX($L$16:$L$5015,MATCH((MAX($N$16:$N$5015)-179+1),$N$16:$N$5015,0)))&amp;"]")</f>
        <v/>
      </c>
      <c r="V183" s="120">
        <f>IF(179&gt;MAX($N$16:$N$5015),"",HYPERLINK("#Transaksi!B"&amp;(MATCH((MAX($N$16:$N$5015)-179+1),$N$16:$N$5015,0)+15),"Buka"))</f>
        <v/>
      </c>
      <c r="X183" s="93">
        <f>IF(AND(B183&lt;&gt;"",B183&gt;='Buku Akun'!$H$4,B183&lt;='Buku Akun'!$H$5,OR(C183='Buku Akun'!$C$4,AND(D183="Pindah",E183='Buku Akun'!$C$4))),B183+IF(AND(I183="Selisih bunga",DAY(B183)=1),0,0.01)+ROW()/10000000,"")</f>
        <v/>
      </c>
    </row>
    <row r="184" outlineLevel="1" ht="15" customHeight="1" s="94">
      <c r="A184" s="123">
        <f>IF(B184="","",ROW()-15)</f>
        <v/>
      </c>
      <c r="B184" s="124" t="n"/>
      <c r="C184" s="123" t="n"/>
      <c r="D184" s="123" t="n"/>
      <c r="E184" s="123" t="n"/>
      <c r="F184" s="125" t="n"/>
      <c r="G184" s="123" t="n"/>
      <c r="H184" s="123" t="n"/>
      <c r="I184" s="123" t="n"/>
      <c r="J184" s="123" t="n"/>
      <c r="K184" s="123" t="n"/>
      <c r="L184" s="123" t="n"/>
      <c r="M184" s="123">
        <f>IF(AND(B184&lt;&gt;"",OR($C$4="",ISNUMBER(SEARCH($C$4,C184&amp;" "&amp;E184&amp;" "&amp;G184&amp;" "&amp;H184&amp;" "&amp;I184&amp;" "&amp;J184&amp;" "&amp;K184&amp;" "&amp;L184))),OR($C$5="Semua",$C$5="",G184=$C$5),OR($C$6="Semua",$C$6="",H184=$C$6,H184="Pengeluaran "&amp;$C$6,AND($C$6="Uang Kos Mama",H184="Pengeluaran Uang Kos")),OR($C$7="Semua",$C$7="",I184=$C$7),OR($C$8="Semua",$C$8="",C184=$C$8,E184=$C$8),OR($C$9="Semua",$C$9="",D184=$C$9),OR($C$10="",B184&gt;=$C$10),OR($C$11="",B184&lt;=$C$11),OR($C$12&lt;&gt;"Ya",K184&lt;&gt;""),OR($C$13="Semua",$C$13="",L184=$C$13)),"✓","")</f>
        <v/>
      </c>
      <c r="N184" s="93">
        <f>N(N183)+IF(M184="✓",1,0)</f>
        <v/>
      </c>
      <c r="O184" s="93">
        <f>N(O183)+IF(AND(B184&lt;&gt;"",B184&gt;='Uang Riba'!$H$30,B184&lt;='Uang Riba'!$I$30,OR(H184="Dana riba",H184="Pinjam uang riba",I184="Pinjam dari uang riba",I184="Ganti uang riba",I184="Kelebihan ganti dikembalikan",AND(C184="Kantong Uang Riba",G184="Pengeluaran"))),1,0)</f>
        <v/>
      </c>
      <c r="P184" s="119">
        <f>IF(180&gt;MAX($N$16:$N$5015),"",INDEX($B$16:$B$5015,MATCH((MAX($N$16:$N$5015)-180+1),$N$16:$N$5015,0)))</f>
        <v/>
      </c>
      <c r="Q184" s="105">
        <f>IF(180&gt;MAX($N$16:$N$5015),"",INDEX($C$16:$C$5015,MATCH((MAX($N$16:$N$5015)-180+1),$N$16:$N$5015,0)))&amp;IF(IF(180&gt;MAX($N$16:$N$5015),"",INDEX($E$16:$E$5015,MATCH((MAX($N$16:$N$5015)-180+1),$N$16:$N$5015,0)))="",""," → "&amp;IF(180&gt;MAX($N$16:$N$5015),"",INDEX($E$16:$E$5015,MATCH((MAX($N$16:$N$5015)-180+1),$N$16:$N$5015,0))))</f>
        <v/>
      </c>
      <c r="R184" s="105">
        <f>IF(180&gt;MAX($N$16:$N$5015),"",INDEX($D$16:$D$5015,MATCH((MAX($N$16:$N$5015)-180+1),$N$16:$N$5015,0)))</f>
        <v/>
      </c>
      <c r="S184" s="113">
        <f>IF(180&gt;MAX($N$16:$N$5015),"",INDEX($F$16:$F$5015,MATCH((MAX($N$16:$N$5015)-180+1),$N$16:$N$5015,0)))</f>
        <v/>
      </c>
      <c r="T184" s="105">
        <f>IF(180&gt;MAX($N$16:$N$5015),"",IF(180&gt;MAX($N$16:$N$5015),"",INDEX($G$16:$G$5015,MATCH((MAX($N$16:$N$5015)-180+1),$N$16:$N$5015,0)))&amp;" › "&amp;IF(180&gt;MAX($N$16:$N$5015),"",INDEX($H$16:$H$5015,MATCH((MAX($N$16:$N$5015)-180+1),$N$16:$N$5015,0)))&amp;" › "&amp;IF(180&gt;MAX($N$16:$N$5015),"",INDEX($I$16:$I$5015,MATCH((MAX($N$16:$N$5015)-180+1),$N$16:$N$5015,0))))</f>
        <v/>
      </c>
      <c r="U184" s="105">
        <f>IF(180&gt;MAX($N$16:$N$5015),"",INDEX($J$16:$J$5015,MATCH((MAX($N$16:$N$5015)-180+1),$N$16:$N$5015,0)))&amp;IF(IF(180&gt;MAX($N$16:$N$5015),"",INDEX($L$16:$L$5015,MATCH((MAX($N$16:$N$5015)-180+1),$N$16:$N$5015,0)))="",""," ["&amp;IF(180&gt;MAX($N$16:$N$5015),"",INDEX($L$16:$L$5015,MATCH((MAX($N$16:$N$5015)-180+1),$N$16:$N$5015,0)))&amp;"]")</f>
        <v/>
      </c>
      <c r="V184" s="120">
        <f>IF(180&gt;MAX($N$16:$N$5015),"",HYPERLINK("#Transaksi!B"&amp;(MATCH((MAX($N$16:$N$5015)-180+1),$N$16:$N$5015,0)+15),"Buka"))</f>
        <v/>
      </c>
      <c r="X184" s="93">
        <f>IF(AND(B184&lt;&gt;"",B184&gt;='Buku Akun'!$H$4,B184&lt;='Buku Akun'!$H$5,OR(C184='Buku Akun'!$C$4,AND(D184="Pindah",E184='Buku Akun'!$C$4))),B184+IF(AND(I184="Selisih bunga",DAY(B184)=1),0,0.01)+ROW()/10000000,"")</f>
        <v/>
      </c>
    </row>
    <row r="185" outlineLevel="1" ht="15" customHeight="1" s="94">
      <c r="A185" s="123">
        <f>IF(B185="","",ROW()-15)</f>
        <v/>
      </c>
      <c r="B185" s="124" t="n"/>
      <c r="C185" s="123" t="n"/>
      <c r="D185" s="123" t="n"/>
      <c r="E185" s="123" t="n"/>
      <c r="F185" s="125" t="n"/>
      <c r="G185" s="123" t="n"/>
      <c r="H185" s="123" t="n"/>
      <c r="I185" s="123" t="n"/>
      <c r="J185" s="123" t="n"/>
      <c r="K185" s="123" t="n"/>
      <c r="L185" s="123" t="n"/>
      <c r="M185" s="123">
        <f>IF(AND(B185&lt;&gt;"",OR($C$4="",ISNUMBER(SEARCH($C$4,C185&amp;" "&amp;E185&amp;" "&amp;G185&amp;" "&amp;H185&amp;" "&amp;I185&amp;" "&amp;J185&amp;" "&amp;K185&amp;" "&amp;L185))),OR($C$5="Semua",$C$5="",G185=$C$5),OR($C$6="Semua",$C$6="",H185=$C$6,H185="Pengeluaran "&amp;$C$6,AND($C$6="Uang Kos Mama",H185="Pengeluaran Uang Kos")),OR($C$7="Semua",$C$7="",I185=$C$7),OR($C$8="Semua",$C$8="",C185=$C$8,E185=$C$8),OR($C$9="Semua",$C$9="",D185=$C$9),OR($C$10="",B185&gt;=$C$10),OR($C$11="",B185&lt;=$C$11),OR($C$12&lt;&gt;"Ya",K185&lt;&gt;""),OR($C$13="Semua",$C$13="",L185=$C$13)),"✓","")</f>
        <v/>
      </c>
      <c r="N185" s="93">
        <f>N(N184)+IF(M185="✓",1,0)</f>
        <v/>
      </c>
      <c r="O185" s="93">
        <f>N(O184)+IF(AND(B185&lt;&gt;"",B185&gt;='Uang Riba'!$H$30,B185&lt;='Uang Riba'!$I$30,OR(H185="Dana riba",H185="Pinjam uang riba",I185="Pinjam dari uang riba",I185="Ganti uang riba",I185="Kelebihan ganti dikembalikan",AND(C185="Kantong Uang Riba",G185="Pengeluaran"))),1,0)</f>
        <v/>
      </c>
      <c r="P185" s="119">
        <f>IF(181&gt;MAX($N$16:$N$5015),"",INDEX($B$16:$B$5015,MATCH((MAX($N$16:$N$5015)-181+1),$N$16:$N$5015,0)))</f>
        <v/>
      </c>
      <c r="Q185" s="105">
        <f>IF(181&gt;MAX($N$16:$N$5015),"",INDEX($C$16:$C$5015,MATCH((MAX($N$16:$N$5015)-181+1),$N$16:$N$5015,0)))&amp;IF(IF(181&gt;MAX($N$16:$N$5015),"",INDEX($E$16:$E$5015,MATCH((MAX($N$16:$N$5015)-181+1),$N$16:$N$5015,0)))="",""," → "&amp;IF(181&gt;MAX($N$16:$N$5015),"",INDEX($E$16:$E$5015,MATCH((MAX($N$16:$N$5015)-181+1),$N$16:$N$5015,0))))</f>
        <v/>
      </c>
      <c r="R185" s="105">
        <f>IF(181&gt;MAX($N$16:$N$5015),"",INDEX($D$16:$D$5015,MATCH((MAX($N$16:$N$5015)-181+1),$N$16:$N$5015,0)))</f>
        <v/>
      </c>
      <c r="S185" s="113">
        <f>IF(181&gt;MAX($N$16:$N$5015),"",INDEX($F$16:$F$5015,MATCH((MAX($N$16:$N$5015)-181+1),$N$16:$N$5015,0)))</f>
        <v/>
      </c>
      <c r="T185" s="105">
        <f>IF(181&gt;MAX($N$16:$N$5015),"",IF(181&gt;MAX($N$16:$N$5015),"",INDEX($G$16:$G$5015,MATCH((MAX($N$16:$N$5015)-181+1),$N$16:$N$5015,0)))&amp;" › "&amp;IF(181&gt;MAX($N$16:$N$5015),"",INDEX($H$16:$H$5015,MATCH((MAX($N$16:$N$5015)-181+1),$N$16:$N$5015,0)))&amp;" › "&amp;IF(181&gt;MAX($N$16:$N$5015),"",INDEX($I$16:$I$5015,MATCH((MAX($N$16:$N$5015)-181+1),$N$16:$N$5015,0))))</f>
        <v/>
      </c>
      <c r="U185" s="105">
        <f>IF(181&gt;MAX($N$16:$N$5015),"",INDEX($J$16:$J$5015,MATCH((MAX($N$16:$N$5015)-181+1),$N$16:$N$5015,0)))&amp;IF(IF(181&gt;MAX($N$16:$N$5015),"",INDEX($L$16:$L$5015,MATCH((MAX($N$16:$N$5015)-181+1),$N$16:$N$5015,0)))="",""," ["&amp;IF(181&gt;MAX($N$16:$N$5015),"",INDEX($L$16:$L$5015,MATCH((MAX($N$16:$N$5015)-181+1),$N$16:$N$5015,0)))&amp;"]")</f>
        <v/>
      </c>
      <c r="V185" s="120">
        <f>IF(181&gt;MAX($N$16:$N$5015),"",HYPERLINK("#Transaksi!B"&amp;(MATCH((MAX($N$16:$N$5015)-181+1),$N$16:$N$5015,0)+15),"Buka"))</f>
        <v/>
      </c>
      <c r="X185" s="93">
        <f>IF(AND(B185&lt;&gt;"",B185&gt;='Buku Akun'!$H$4,B185&lt;='Buku Akun'!$H$5,OR(C185='Buku Akun'!$C$4,AND(D185="Pindah",E185='Buku Akun'!$C$4))),B185+IF(AND(I185="Selisih bunga",DAY(B185)=1),0,0.01)+ROW()/10000000,"")</f>
        <v/>
      </c>
    </row>
    <row r="186" outlineLevel="1" ht="15" customHeight="1" s="94">
      <c r="A186" s="123">
        <f>IF(B186="","",ROW()-15)</f>
        <v/>
      </c>
      <c r="B186" s="124" t="n"/>
      <c r="C186" s="123" t="n"/>
      <c r="D186" s="123" t="n"/>
      <c r="E186" s="123" t="n"/>
      <c r="F186" s="125" t="n"/>
      <c r="G186" s="123" t="n"/>
      <c r="H186" s="123" t="n"/>
      <c r="I186" s="123" t="n"/>
      <c r="J186" s="123" t="n"/>
      <c r="K186" s="123" t="n"/>
      <c r="L186" s="123" t="n"/>
      <c r="M186" s="123">
        <f>IF(AND(B186&lt;&gt;"",OR($C$4="",ISNUMBER(SEARCH($C$4,C186&amp;" "&amp;E186&amp;" "&amp;G186&amp;" "&amp;H186&amp;" "&amp;I186&amp;" "&amp;J186&amp;" "&amp;K186&amp;" "&amp;L186))),OR($C$5="Semua",$C$5="",G186=$C$5),OR($C$6="Semua",$C$6="",H186=$C$6,H186="Pengeluaran "&amp;$C$6,AND($C$6="Uang Kos Mama",H186="Pengeluaran Uang Kos")),OR($C$7="Semua",$C$7="",I186=$C$7),OR($C$8="Semua",$C$8="",C186=$C$8,E186=$C$8),OR($C$9="Semua",$C$9="",D186=$C$9),OR($C$10="",B186&gt;=$C$10),OR($C$11="",B186&lt;=$C$11),OR($C$12&lt;&gt;"Ya",K186&lt;&gt;""),OR($C$13="Semua",$C$13="",L186=$C$13)),"✓","")</f>
        <v/>
      </c>
      <c r="N186" s="93">
        <f>N(N185)+IF(M186="✓",1,0)</f>
        <v/>
      </c>
      <c r="O186" s="93">
        <f>N(O185)+IF(AND(B186&lt;&gt;"",B186&gt;='Uang Riba'!$H$30,B186&lt;='Uang Riba'!$I$30,OR(H186="Dana riba",H186="Pinjam uang riba",I186="Pinjam dari uang riba",I186="Ganti uang riba",I186="Kelebihan ganti dikembalikan",AND(C186="Kantong Uang Riba",G186="Pengeluaran"))),1,0)</f>
        <v/>
      </c>
      <c r="P186" s="119">
        <f>IF(182&gt;MAX($N$16:$N$5015),"",INDEX($B$16:$B$5015,MATCH((MAX($N$16:$N$5015)-182+1),$N$16:$N$5015,0)))</f>
        <v/>
      </c>
      <c r="Q186" s="105">
        <f>IF(182&gt;MAX($N$16:$N$5015),"",INDEX($C$16:$C$5015,MATCH((MAX($N$16:$N$5015)-182+1),$N$16:$N$5015,0)))&amp;IF(IF(182&gt;MAX($N$16:$N$5015),"",INDEX($E$16:$E$5015,MATCH((MAX($N$16:$N$5015)-182+1),$N$16:$N$5015,0)))="",""," → "&amp;IF(182&gt;MAX($N$16:$N$5015),"",INDEX($E$16:$E$5015,MATCH((MAX($N$16:$N$5015)-182+1),$N$16:$N$5015,0))))</f>
        <v/>
      </c>
      <c r="R186" s="105">
        <f>IF(182&gt;MAX($N$16:$N$5015),"",INDEX($D$16:$D$5015,MATCH((MAX($N$16:$N$5015)-182+1),$N$16:$N$5015,0)))</f>
        <v/>
      </c>
      <c r="S186" s="113">
        <f>IF(182&gt;MAX($N$16:$N$5015),"",INDEX($F$16:$F$5015,MATCH((MAX($N$16:$N$5015)-182+1),$N$16:$N$5015,0)))</f>
        <v/>
      </c>
      <c r="T186" s="105">
        <f>IF(182&gt;MAX($N$16:$N$5015),"",IF(182&gt;MAX($N$16:$N$5015),"",INDEX($G$16:$G$5015,MATCH((MAX($N$16:$N$5015)-182+1),$N$16:$N$5015,0)))&amp;" › "&amp;IF(182&gt;MAX($N$16:$N$5015),"",INDEX($H$16:$H$5015,MATCH((MAX($N$16:$N$5015)-182+1),$N$16:$N$5015,0)))&amp;" › "&amp;IF(182&gt;MAX($N$16:$N$5015),"",INDEX($I$16:$I$5015,MATCH((MAX($N$16:$N$5015)-182+1),$N$16:$N$5015,0))))</f>
        <v/>
      </c>
      <c r="U186" s="105">
        <f>IF(182&gt;MAX($N$16:$N$5015),"",INDEX($J$16:$J$5015,MATCH((MAX($N$16:$N$5015)-182+1),$N$16:$N$5015,0)))&amp;IF(IF(182&gt;MAX($N$16:$N$5015),"",INDEX($L$16:$L$5015,MATCH((MAX($N$16:$N$5015)-182+1),$N$16:$N$5015,0)))="",""," ["&amp;IF(182&gt;MAX($N$16:$N$5015),"",INDEX($L$16:$L$5015,MATCH((MAX($N$16:$N$5015)-182+1),$N$16:$N$5015,0)))&amp;"]")</f>
        <v/>
      </c>
      <c r="V186" s="120">
        <f>IF(182&gt;MAX($N$16:$N$5015),"",HYPERLINK("#Transaksi!B"&amp;(MATCH((MAX($N$16:$N$5015)-182+1),$N$16:$N$5015,0)+15),"Buka"))</f>
        <v/>
      </c>
      <c r="X186" s="93">
        <f>IF(AND(B186&lt;&gt;"",B186&gt;='Buku Akun'!$H$4,B186&lt;='Buku Akun'!$H$5,OR(C186='Buku Akun'!$C$4,AND(D186="Pindah",E186='Buku Akun'!$C$4))),B186+IF(AND(I186="Selisih bunga",DAY(B186)=1),0,0.01)+ROW()/10000000,"")</f>
        <v/>
      </c>
    </row>
    <row r="187" outlineLevel="1" ht="15" customHeight="1" s="94">
      <c r="A187" s="123">
        <f>IF(B187="","",ROW()-15)</f>
        <v/>
      </c>
      <c r="B187" s="124" t="n"/>
      <c r="C187" s="123" t="n"/>
      <c r="D187" s="123" t="n"/>
      <c r="E187" s="123" t="n"/>
      <c r="F187" s="125" t="n"/>
      <c r="G187" s="123" t="n"/>
      <c r="H187" s="123" t="n"/>
      <c r="I187" s="123" t="n"/>
      <c r="J187" s="123" t="n"/>
      <c r="K187" s="123" t="n"/>
      <c r="L187" s="123" t="n"/>
      <c r="M187" s="123">
        <f>IF(AND(B187&lt;&gt;"",OR($C$4="",ISNUMBER(SEARCH($C$4,C187&amp;" "&amp;E187&amp;" "&amp;G187&amp;" "&amp;H187&amp;" "&amp;I187&amp;" "&amp;J187&amp;" "&amp;K187&amp;" "&amp;L187))),OR($C$5="Semua",$C$5="",G187=$C$5),OR($C$6="Semua",$C$6="",H187=$C$6,H187="Pengeluaran "&amp;$C$6,AND($C$6="Uang Kos Mama",H187="Pengeluaran Uang Kos")),OR($C$7="Semua",$C$7="",I187=$C$7),OR($C$8="Semua",$C$8="",C187=$C$8,E187=$C$8),OR($C$9="Semua",$C$9="",D187=$C$9),OR($C$10="",B187&gt;=$C$10),OR($C$11="",B187&lt;=$C$11),OR($C$12&lt;&gt;"Ya",K187&lt;&gt;""),OR($C$13="Semua",$C$13="",L187=$C$13)),"✓","")</f>
        <v/>
      </c>
      <c r="N187" s="93">
        <f>N(N186)+IF(M187="✓",1,0)</f>
        <v/>
      </c>
      <c r="O187" s="93">
        <f>N(O186)+IF(AND(B187&lt;&gt;"",B187&gt;='Uang Riba'!$H$30,B187&lt;='Uang Riba'!$I$30,OR(H187="Dana riba",H187="Pinjam uang riba",I187="Pinjam dari uang riba",I187="Ganti uang riba",I187="Kelebihan ganti dikembalikan",AND(C187="Kantong Uang Riba",G187="Pengeluaran"))),1,0)</f>
        <v/>
      </c>
      <c r="P187" s="119">
        <f>IF(183&gt;MAX($N$16:$N$5015),"",INDEX($B$16:$B$5015,MATCH((MAX($N$16:$N$5015)-183+1),$N$16:$N$5015,0)))</f>
        <v/>
      </c>
      <c r="Q187" s="105">
        <f>IF(183&gt;MAX($N$16:$N$5015),"",INDEX($C$16:$C$5015,MATCH((MAX($N$16:$N$5015)-183+1),$N$16:$N$5015,0)))&amp;IF(IF(183&gt;MAX($N$16:$N$5015),"",INDEX($E$16:$E$5015,MATCH((MAX($N$16:$N$5015)-183+1),$N$16:$N$5015,0)))="",""," → "&amp;IF(183&gt;MAX($N$16:$N$5015),"",INDEX($E$16:$E$5015,MATCH((MAX($N$16:$N$5015)-183+1),$N$16:$N$5015,0))))</f>
        <v/>
      </c>
      <c r="R187" s="105">
        <f>IF(183&gt;MAX($N$16:$N$5015),"",INDEX($D$16:$D$5015,MATCH((MAX($N$16:$N$5015)-183+1),$N$16:$N$5015,0)))</f>
        <v/>
      </c>
      <c r="S187" s="113">
        <f>IF(183&gt;MAX($N$16:$N$5015),"",INDEX($F$16:$F$5015,MATCH((MAX($N$16:$N$5015)-183+1),$N$16:$N$5015,0)))</f>
        <v/>
      </c>
      <c r="T187" s="105">
        <f>IF(183&gt;MAX($N$16:$N$5015),"",IF(183&gt;MAX($N$16:$N$5015),"",INDEX($G$16:$G$5015,MATCH((MAX($N$16:$N$5015)-183+1),$N$16:$N$5015,0)))&amp;" › "&amp;IF(183&gt;MAX($N$16:$N$5015),"",INDEX($H$16:$H$5015,MATCH((MAX($N$16:$N$5015)-183+1),$N$16:$N$5015,0)))&amp;" › "&amp;IF(183&gt;MAX($N$16:$N$5015),"",INDEX($I$16:$I$5015,MATCH((MAX($N$16:$N$5015)-183+1),$N$16:$N$5015,0))))</f>
        <v/>
      </c>
      <c r="U187" s="105">
        <f>IF(183&gt;MAX($N$16:$N$5015),"",INDEX($J$16:$J$5015,MATCH((MAX($N$16:$N$5015)-183+1),$N$16:$N$5015,0)))&amp;IF(IF(183&gt;MAX($N$16:$N$5015),"",INDEX($L$16:$L$5015,MATCH((MAX($N$16:$N$5015)-183+1),$N$16:$N$5015,0)))="",""," ["&amp;IF(183&gt;MAX($N$16:$N$5015),"",INDEX($L$16:$L$5015,MATCH((MAX($N$16:$N$5015)-183+1),$N$16:$N$5015,0)))&amp;"]")</f>
        <v/>
      </c>
      <c r="V187" s="120">
        <f>IF(183&gt;MAX($N$16:$N$5015),"",HYPERLINK("#Transaksi!B"&amp;(MATCH((MAX($N$16:$N$5015)-183+1),$N$16:$N$5015,0)+15),"Buka"))</f>
        <v/>
      </c>
      <c r="X187" s="93">
        <f>IF(AND(B187&lt;&gt;"",B187&gt;='Buku Akun'!$H$4,B187&lt;='Buku Akun'!$H$5,OR(C187='Buku Akun'!$C$4,AND(D187="Pindah",E187='Buku Akun'!$C$4))),B187+IF(AND(I187="Selisih bunga",DAY(B187)=1),0,0.01)+ROW()/10000000,"")</f>
        <v/>
      </c>
    </row>
    <row r="188" outlineLevel="1" ht="15" customHeight="1" s="94">
      <c r="A188" s="123">
        <f>IF(B188="","",ROW()-15)</f>
        <v/>
      </c>
      <c r="B188" s="124" t="n"/>
      <c r="C188" s="123" t="n"/>
      <c r="D188" s="123" t="n"/>
      <c r="E188" s="123" t="n"/>
      <c r="F188" s="125" t="n"/>
      <c r="G188" s="123" t="n"/>
      <c r="H188" s="123" t="n"/>
      <c r="I188" s="123" t="n"/>
      <c r="J188" s="123" t="n"/>
      <c r="K188" s="123" t="n"/>
      <c r="L188" s="123" t="n"/>
      <c r="M188" s="123">
        <f>IF(AND(B188&lt;&gt;"",OR($C$4="",ISNUMBER(SEARCH($C$4,C188&amp;" "&amp;E188&amp;" "&amp;G188&amp;" "&amp;H188&amp;" "&amp;I188&amp;" "&amp;J188&amp;" "&amp;K188&amp;" "&amp;L188))),OR($C$5="Semua",$C$5="",G188=$C$5),OR($C$6="Semua",$C$6="",H188=$C$6,H188="Pengeluaran "&amp;$C$6,AND($C$6="Uang Kos Mama",H188="Pengeluaran Uang Kos")),OR($C$7="Semua",$C$7="",I188=$C$7),OR($C$8="Semua",$C$8="",C188=$C$8,E188=$C$8),OR($C$9="Semua",$C$9="",D188=$C$9),OR($C$10="",B188&gt;=$C$10),OR($C$11="",B188&lt;=$C$11),OR($C$12&lt;&gt;"Ya",K188&lt;&gt;""),OR($C$13="Semua",$C$13="",L188=$C$13)),"✓","")</f>
        <v/>
      </c>
      <c r="N188" s="93">
        <f>N(N187)+IF(M188="✓",1,0)</f>
        <v/>
      </c>
      <c r="O188" s="93">
        <f>N(O187)+IF(AND(B188&lt;&gt;"",B188&gt;='Uang Riba'!$H$30,B188&lt;='Uang Riba'!$I$30,OR(H188="Dana riba",H188="Pinjam uang riba",I188="Pinjam dari uang riba",I188="Ganti uang riba",I188="Kelebihan ganti dikembalikan",AND(C188="Kantong Uang Riba",G188="Pengeluaran"))),1,0)</f>
        <v/>
      </c>
      <c r="P188" s="119">
        <f>IF(184&gt;MAX($N$16:$N$5015),"",INDEX($B$16:$B$5015,MATCH((MAX($N$16:$N$5015)-184+1),$N$16:$N$5015,0)))</f>
        <v/>
      </c>
      <c r="Q188" s="105">
        <f>IF(184&gt;MAX($N$16:$N$5015),"",INDEX($C$16:$C$5015,MATCH((MAX($N$16:$N$5015)-184+1),$N$16:$N$5015,0)))&amp;IF(IF(184&gt;MAX($N$16:$N$5015),"",INDEX($E$16:$E$5015,MATCH((MAX($N$16:$N$5015)-184+1),$N$16:$N$5015,0)))="",""," → "&amp;IF(184&gt;MAX($N$16:$N$5015),"",INDEX($E$16:$E$5015,MATCH((MAX($N$16:$N$5015)-184+1),$N$16:$N$5015,0))))</f>
        <v/>
      </c>
      <c r="R188" s="105">
        <f>IF(184&gt;MAX($N$16:$N$5015),"",INDEX($D$16:$D$5015,MATCH((MAX($N$16:$N$5015)-184+1),$N$16:$N$5015,0)))</f>
        <v/>
      </c>
      <c r="S188" s="113">
        <f>IF(184&gt;MAX($N$16:$N$5015),"",INDEX($F$16:$F$5015,MATCH((MAX($N$16:$N$5015)-184+1),$N$16:$N$5015,0)))</f>
        <v/>
      </c>
      <c r="T188" s="105">
        <f>IF(184&gt;MAX($N$16:$N$5015),"",IF(184&gt;MAX($N$16:$N$5015),"",INDEX($G$16:$G$5015,MATCH((MAX($N$16:$N$5015)-184+1),$N$16:$N$5015,0)))&amp;" › "&amp;IF(184&gt;MAX($N$16:$N$5015),"",INDEX($H$16:$H$5015,MATCH((MAX($N$16:$N$5015)-184+1),$N$16:$N$5015,0)))&amp;" › "&amp;IF(184&gt;MAX($N$16:$N$5015),"",INDEX($I$16:$I$5015,MATCH((MAX($N$16:$N$5015)-184+1),$N$16:$N$5015,0))))</f>
        <v/>
      </c>
      <c r="U188" s="105">
        <f>IF(184&gt;MAX($N$16:$N$5015),"",INDEX($J$16:$J$5015,MATCH((MAX($N$16:$N$5015)-184+1),$N$16:$N$5015,0)))&amp;IF(IF(184&gt;MAX($N$16:$N$5015),"",INDEX($L$16:$L$5015,MATCH((MAX($N$16:$N$5015)-184+1),$N$16:$N$5015,0)))="",""," ["&amp;IF(184&gt;MAX($N$16:$N$5015),"",INDEX($L$16:$L$5015,MATCH((MAX($N$16:$N$5015)-184+1),$N$16:$N$5015,0)))&amp;"]")</f>
        <v/>
      </c>
      <c r="V188" s="120">
        <f>IF(184&gt;MAX($N$16:$N$5015),"",HYPERLINK("#Transaksi!B"&amp;(MATCH((MAX($N$16:$N$5015)-184+1),$N$16:$N$5015,0)+15),"Buka"))</f>
        <v/>
      </c>
      <c r="X188" s="93">
        <f>IF(AND(B188&lt;&gt;"",B188&gt;='Buku Akun'!$H$4,B188&lt;='Buku Akun'!$H$5,OR(C188='Buku Akun'!$C$4,AND(D188="Pindah",E188='Buku Akun'!$C$4))),B188+IF(AND(I188="Selisih bunga",DAY(B188)=1),0,0.01)+ROW()/10000000,"")</f>
        <v/>
      </c>
    </row>
    <row r="189" outlineLevel="1" ht="15" customHeight="1" s="94">
      <c r="A189" s="123">
        <f>IF(B189="","",ROW()-15)</f>
        <v/>
      </c>
      <c r="B189" s="124" t="n"/>
      <c r="C189" s="123" t="n"/>
      <c r="D189" s="123" t="n"/>
      <c r="E189" s="123" t="n"/>
      <c r="F189" s="125" t="n"/>
      <c r="G189" s="123" t="n"/>
      <c r="H189" s="123" t="n"/>
      <c r="I189" s="123" t="n"/>
      <c r="J189" s="123" t="n"/>
      <c r="K189" s="123" t="n"/>
      <c r="L189" s="123" t="n"/>
      <c r="M189" s="123">
        <f>IF(AND(B189&lt;&gt;"",OR($C$4="",ISNUMBER(SEARCH($C$4,C189&amp;" "&amp;E189&amp;" "&amp;G189&amp;" "&amp;H189&amp;" "&amp;I189&amp;" "&amp;J189&amp;" "&amp;K189&amp;" "&amp;L189))),OR($C$5="Semua",$C$5="",G189=$C$5),OR($C$6="Semua",$C$6="",H189=$C$6,H189="Pengeluaran "&amp;$C$6,AND($C$6="Uang Kos Mama",H189="Pengeluaran Uang Kos")),OR($C$7="Semua",$C$7="",I189=$C$7),OR($C$8="Semua",$C$8="",C189=$C$8,E189=$C$8),OR($C$9="Semua",$C$9="",D189=$C$9),OR($C$10="",B189&gt;=$C$10),OR($C$11="",B189&lt;=$C$11),OR($C$12&lt;&gt;"Ya",K189&lt;&gt;""),OR($C$13="Semua",$C$13="",L189=$C$13)),"✓","")</f>
        <v/>
      </c>
      <c r="N189" s="93">
        <f>N(N188)+IF(M189="✓",1,0)</f>
        <v/>
      </c>
      <c r="O189" s="93">
        <f>N(O188)+IF(AND(B189&lt;&gt;"",B189&gt;='Uang Riba'!$H$30,B189&lt;='Uang Riba'!$I$30,OR(H189="Dana riba",H189="Pinjam uang riba",I189="Pinjam dari uang riba",I189="Ganti uang riba",I189="Kelebihan ganti dikembalikan",AND(C189="Kantong Uang Riba",G189="Pengeluaran"))),1,0)</f>
        <v/>
      </c>
      <c r="P189" s="119">
        <f>IF(185&gt;MAX($N$16:$N$5015),"",INDEX($B$16:$B$5015,MATCH((MAX($N$16:$N$5015)-185+1),$N$16:$N$5015,0)))</f>
        <v/>
      </c>
      <c r="Q189" s="105">
        <f>IF(185&gt;MAX($N$16:$N$5015),"",INDEX($C$16:$C$5015,MATCH((MAX($N$16:$N$5015)-185+1),$N$16:$N$5015,0)))&amp;IF(IF(185&gt;MAX($N$16:$N$5015),"",INDEX($E$16:$E$5015,MATCH((MAX($N$16:$N$5015)-185+1),$N$16:$N$5015,0)))="",""," → "&amp;IF(185&gt;MAX($N$16:$N$5015),"",INDEX($E$16:$E$5015,MATCH((MAX($N$16:$N$5015)-185+1),$N$16:$N$5015,0))))</f>
        <v/>
      </c>
      <c r="R189" s="105">
        <f>IF(185&gt;MAX($N$16:$N$5015),"",INDEX($D$16:$D$5015,MATCH((MAX($N$16:$N$5015)-185+1),$N$16:$N$5015,0)))</f>
        <v/>
      </c>
      <c r="S189" s="113">
        <f>IF(185&gt;MAX($N$16:$N$5015),"",INDEX($F$16:$F$5015,MATCH((MAX($N$16:$N$5015)-185+1),$N$16:$N$5015,0)))</f>
        <v/>
      </c>
      <c r="T189" s="105">
        <f>IF(185&gt;MAX($N$16:$N$5015),"",IF(185&gt;MAX($N$16:$N$5015),"",INDEX($G$16:$G$5015,MATCH((MAX($N$16:$N$5015)-185+1),$N$16:$N$5015,0)))&amp;" › "&amp;IF(185&gt;MAX($N$16:$N$5015),"",INDEX($H$16:$H$5015,MATCH((MAX($N$16:$N$5015)-185+1),$N$16:$N$5015,0)))&amp;" › "&amp;IF(185&gt;MAX($N$16:$N$5015),"",INDEX($I$16:$I$5015,MATCH((MAX($N$16:$N$5015)-185+1),$N$16:$N$5015,0))))</f>
        <v/>
      </c>
      <c r="U189" s="105">
        <f>IF(185&gt;MAX($N$16:$N$5015),"",INDEX($J$16:$J$5015,MATCH((MAX($N$16:$N$5015)-185+1),$N$16:$N$5015,0)))&amp;IF(IF(185&gt;MAX($N$16:$N$5015),"",INDEX($L$16:$L$5015,MATCH((MAX($N$16:$N$5015)-185+1),$N$16:$N$5015,0)))="",""," ["&amp;IF(185&gt;MAX($N$16:$N$5015),"",INDEX($L$16:$L$5015,MATCH((MAX($N$16:$N$5015)-185+1),$N$16:$N$5015,0)))&amp;"]")</f>
        <v/>
      </c>
      <c r="V189" s="120">
        <f>IF(185&gt;MAX($N$16:$N$5015),"",HYPERLINK("#Transaksi!B"&amp;(MATCH((MAX($N$16:$N$5015)-185+1),$N$16:$N$5015,0)+15),"Buka"))</f>
        <v/>
      </c>
      <c r="X189" s="93">
        <f>IF(AND(B189&lt;&gt;"",B189&gt;='Buku Akun'!$H$4,B189&lt;='Buku Akun'!$H$5,OR(C189='Buku Akun'!$C$4,AND(D189="Pindah",E189='Buku Akun'!$C$4))),B189+IF(AND(I189="Selisih bunga",DAY(B189)=1),0,0.01)+ROW()/10000000,"")</f>
        <v/>
      </c>
    </row>
    <row r="190" outlineLevel="1" ht="15" customHeight="1" s="94">
      <c r="A190" s="123">
        <f>IF(B190="","",ROW()-15)</f>
        <v/>
      </c>
      <c r="B190" s="124" t="n"/>
      <c r="C190" s="123" t="n"/>
      <c r="D190" s="123" t="n"/>
      <c r="E190" s="123" t="n"/>
      <c r="F190" s="125" t="n"/>
      <c r="G190" s="123" t="n"/>
      <c r="H190" s="123" t="n"/>
      <c r="I190" s="123" t="n"/>
      <c r="J190" s="123" t="n"/>
      <c r="K190" s="123" t="n"/>
      <c r="L190" s="123" t="n"/>
      <c r="M190" s="123">
        <f>IF(AND(B190&lt;&gt;"",OR($C$4="",ISNUMBER(SEARCH($C$4,C190&amp;" "&amp;E190&amp;" "&amp;G190&amp;" "&amp;H190&amp;" "&amp;I190&amp;" "&amp;J190&amp;" "&amp;K190&amp;" "&amp;L190))),OR($C$5="Semua",$C$5="",G190=$C$5),OR($C$6="Semua",$C$6="",H190=$C$6,H190="Pengeluaran "&amp;$C$6,AND($C$6="Uang Kos Mama",H190="Pengeluaran Uang Kos")),OR($C$7="Semua",$C$7="",I190=$C$7),OR($C$8="Semua",$C$8="",C190=$C$8,E190=$C$8),OR($C$9="Semua",$C$9="",D190=$C$9),OR($C$10="",B190&gt;=$C$10),OR($C$11="",B190&lt;=$C$11),OR($C$12&lt;&gt;"Ya",K190&lt;&gt;""),OR($C$13="Semua",$C$13="",L190=$C$13)),"✓","")</f>
        <v/>
      </c>
      <c r="N190" s="93">
        <f>N(N189)+IF(M190="✓",1,0)</f>
        <v/>
      </c>
      <c r="O190" s="93">
        <f>N(O189)+IF(AND(B190&lt;&gt;"",B190&gt;='Uang Riba'!$H$30,B190&lt;='Uang Riba'!$I$30,OR(H190="Dana riba",H190="Pinjam uang riba",I190="Pinjam dari uang riba",I190="Ganti uang riba",I190="Kelebihan ganti dikembalikan",AND(C190="Kantong Uang Riba",G190="Pengeluaran"))),1,0)</f>
        <v/>
      </c>
      <c r="P190" s="119">
        <f>IF(186&gt;MAX($N$16:$N$5015),"",INDEX($B$16:$B$5015,MATCH((MAX($N$16:$N$5015)-186+1),$N$16:$N$5015,0)))</f>
        <v/>
      </c>
      <c r="Q190" s="105">
        <f>IF(186&gt;MAX($N$16:$N$5015),"",INDEX($C$16:$C$5015,MATCH((MAX($N$16:$N$5015)-186+1),$N$16:$N$5015,0)))&amp;IF(IF(186&gt;MAX($N$16:$N$5015),"",INDEX($E$16:$E$5015,MATCH((MAX($N$16:$N$5015)-186+1),$N$16:$N$5015,0)))="",""," → "&amp;IF(186&gt;MAX($N$16:$N$5015),"",INDEX($E$16:$E$5015,MATCH((MAX($N$16:$N$5015)-186+1),$N$16:$N$5015,0))))</f>
        <v/>
      </c>
      <c r="R190" s="105">
        <f>IF(186&gt;MAX($N$16:$N$5015),"",INDEX($D$16:$D$5015,MATCH((MAX($N$16:$N$5015)-186+1),$N$16:$N$5015,0)))</f>
        <v/>
      </c>
      <c r="S190" s="113">
        <f>IF(186&gt;MAX($N$16:$N$5015),"",INDEX($F$16:$F$5015,MATCH((MAX($N$16:$N$5015)-186+1),$N$16:$N$5015,0)))</f>
        <v/>
      </c>
      <c r="T190" s="105">
        <f>IF(186&gt;MAX($N$16:$N$5015),"",IF(186&gt;MAX($N$16:$N$5015),"",INDEX($G$16:$G$5015,MATCH((MAX($N$16:$N$5015)-186+1),$N$16:$N$5015,0)))&amp;" › "&amp;IF(186&gt;MAX($N$16:$N$5015),"",INDEX($H$16:$H$5015,MATCH((MAX($N$16:$N$5015)-186+1),$N$16:$N$5015,0)))&amp;" › "&amp;IF(186&gt;MAX($N$16:$N$5015),"",INDEX($I$16:$I$5015,MATCH((MAX($N$16:$N$5015)-186+1),$N$16:$N$5015,0))))</f>
        <v/>
      </c>
      <c r="U190" s="105">
        <f>IF(186&gt;MAX($N$16:$N$5015),"",INDEX($J$16:$J$5015,MATCH((MAX($N$16:$N$5015)-186+1),$N$16:$N$5015,0)))&amp;IF(IF(186&gt;MAX($N$16:$N$5015),"",INDEX($L$16:$L$5015,MATCH((MAX($N$16:$N$5015)-186+1),$N$16:$N$5015,0)))="",""," ["&amp;IF(186&gt;MAX($N$16:$N$5015),"",INDEX($L$16:$L$5015,MATCH((MAX($N$16:$N$5015)-186+1),$N$16:$N$5015,0)))&amp;"]")</f>
        <v/>
      </c>
      <c r="V190" s="120">
        <f>IF(186&gt;MAX($N$16:$N$5015),"",HYPERLINK("#Transaksi!B"&amp;(MATCH((MAX($N$16:$N$5015)-186+1),$N$16:$N$5015,0)+15),"Buka"))</f>
        <v/>
      </c>
      <c r="X190" s="93">
        <f>IF(AND(B190&lt;&gt;"",B190&gt;='Buku Akun'!$H$4,B190&lt;='Buku Akun'!$H$5,OR(C190='Buku Akun'!$C$4,AND(D190="Pindah",E190='Buku Akun'!$C$4))),B190+IF(AND(I190="Selisih bunga",DAY(B190)=1),0,0.01)+ROW()/10000000,"")</f>
        <v/>
      </c>
    </row>
    <row r="191" outlineLevel="1" ht="15" customHeight="1" s="94">
      <c r="A191" s="123">
        <f>IF(B191="","",ROW()-15)</f>
        <v/>
      </c>
      <c r="B191" s="124" t="n"/>
      <c r="C191" s="123" t="n"/>
      <c r="D191" s="123" t="n"/>
      <c r="E191" s="123" t="n"/>
      <c r="F191" s="125" t="n"/>
      <c r="G191" s="123" t="n"/>
      <c r="H191" s="123" t="n"/>
      <c r="I191" s="123" t="n"/>
      <c r="J191" s="123" t="n"/>
      <c r="K191" s="123" t="n"/>
      <c r="L191" s="123" t="n"/>
      <c r="M191" s="123">
        <f>IF(AND(B191&lt;&gt;"",OR($C$4="",ISNUMBER(SEARCH($C$4,C191&amp;" "&amp;E191&amp;" "&amp;G191&amp;" "&amp;H191&amp;" "&amp;I191&amp;" "&amp;J191&amp;" "&amp;K191&amp;" "&amp;L191))),OR($C$5="Semua",$C$5="",G191=$C$5),OR($C$6="Semua",$C$6="",H191=$C$6,H191="Pengeluaran "&amp;$C$6,AND($C$6="Uang Kos Mama",H191="Pengeluaran Uang Kos")),OR($C$7="Semua",$C$7="",I191=$C$7),OR($C$8="Semua",$C$8="",C191=$C$8,E191=$C$8),OR($C$9="Semua",$C$9="",D191=$C$9),OR($C$10="",B191&gt;=$C$10),OR($C$11="",B191&lt;=$C$11),OR($C$12&lt;&gt;"Ya",K191&lt;&gt;""),OR($C$13="Semua",$C$13="",L191=$C$13)),"✓","")</f>
        <v/>
      </c>
      <c r="N191" s="93">
        <f>N(N190)+IF(M191="✓",1,0)</f>
        <v/>
      </c>
      <c r="O191" s="93">
        <f>N(O190)+IF(AND(B191&lt;&gt;"",B191&gt;='Uang Riba'!$H$30,B191&lt;='Uang Riba'!$I$30,OR(H191="Dana riba",H191="Pinjam uang riba",I191="Pinjam dari uang riba",I191="Ganti uang riba",I191="Kelebihan ganti dikembalikan",AND(C191="Kantong Uang Riba",G191="Pengeluaran"))),1,0)</f>
        <v/>
      </c>
      <c r="P191" s="119">
        <f>IF(187&gt;MAX($N$16:$N$5015),"",INDEX($B$16:$B$5015,MATCH((MAX($N$16:$N$5015)-187+1),$N$16:$N$5015,0)))</f>
        <v/>
      </c>
      <c r="Q191" s="105">
        <f>IF(187&gt;MAX($N$16:$N$5015),"",INDEX($C$16:$C$5015,MATCH((MAX($N$16:$N$5015)-187+1),$N$16:$N$5015,0)))&amp;IF(IF(187&gt;MAX($N$16:$N$5015),"",INDEX($E$16:$E$5015,MATCH((MAX($N$16:$N$5015)-187+1),$N$16:$N$5015,0)))="",""," → "&amp;IF(187&gt;MAX($N$16:$N$5015),"",INDEX($E$16:$E$5015,MATCH((MAX($N$16:$N$5015)-187+1),$N$16:$N$5015,0))))</f>
        <v/>
      </c>
      <c r="R191" s="105">
        <f>IF(187&gt;MAX($N$16:$N$5015),"",INDEX($D$16:$D$5015,MATCH((MAX($N$16:$N$5015)-187+1),$N$16:$N$5015,0)))</f>
        <v/>
      </c>
      <c r="S191" s="113">
        <f>IF(187&gt;MAX($N$16:$N$5015),"",INDEX($F$16:$F$5015,MATCH((MAX($N$16:$N$5015)-187+1),$N$16:$N$5015,0)))</f>
        <v/>
      </c>
      <c r="T191" s="105">
        <f>IF(187&gt;MAX($N$16:$N$5015),"",IF(187&gt;MAX($N$16:$N$5015),"",INDEX($G$16:$G$5015,MATCH((MAX($N$16:$N$5015)-187+1),$N$16:$N$5015,0)))&amp;" › "&amp;IF(187&gt;MAX($N$16:$N$5015),"",INDEX($H$16:$H$5015,MATCH((MAX($N$16:$N$5015)-187+1),$N$16:$N$5015,0)))&amp;" › "&amp;IF(187&gt;MAX($N$16:$N$5015),"",INDEX($I$16:$I$5015,MATCH((MAX($N$16:$N$5015)-187+1),$N$16:$N$5015,0))))</f>
        <v/>
      </c>
      <c r="U191" s="105">
        <f>IF(187&gt;MAX($N$16:$N$5015),"",INDEX($J$16:$J$5015,MATCH((MAX($N$16:$N$5015)-187+1),$N$16:$N$5015,0)))&amp;IF(IF(187&gt;MAX($N$16:$N$5015),"",INDEX($L$16:$L$5015,MATCH((MAX($N$16:$N$5015)-187+1),$N$16:$N$5015,0)))="",""," ["&amp;IF(187&gt;MAX($N$16:$N$5015),"",INDEX($L$16:$L$5015,MATCH((MAX($N$16:$N$5015)-187+1),$N$16:$N$5015,0)))&amp;"]")</f>
        <v/>
      </c>
      <c r="V191" s="120">
        <f>IF(187&gt;MAX($N$16:$N$5015),"",HYPERLINK("#Transaksi!B"&amp;(MATCH((MAX($N$16:$N$5015)-187+1),$N$16:$N$5015,0)+15),"Buka"))</f>
        <v/>
      </c>
      <c r="X191" s="93">
        <f>IF(AND(B191&lt;&gt;"",B191&gt;='Buku Akun'!$H$4,B191&lt;='Buku Akun'!$H$5,OR(C191='Buku Akun'!$C$4,AND(D191="Pindah",E191='Buku Akun'!$C$4))),B191+IF(AND(I191="Selisih bunga",DAY(B191)=1),0,0.01)+ROW()/10000000,"")</f>
        <v/>
      </c>
    </row>
    <row r="192" outlineLevel="1" ht="15" customHeight="1" s="94">
      <c r="A192" s="123">
        <f>IF(B192="","",ROW()-15)</f>
        <v/>
      </c>
      <c r="B192" s="124" t="n"/>
      <c r="C192" s="123" t="n"/>
      <c r="D192" s="123" t="n"/>
      <c r="E192" s="123" t="n"/>
      <c r="F192" s="125" t="n"/>
      <c r="G192" s="123" t="n"/>
      <c r="H192" s="123" t="n"/>
      <c r="I192" s="123" t="n"/>
      <c r="J192" s="123" t="n"/>
      <c r="K192" s="123" t="n"/>
      <c r="L192" s="123" t="n"/>
      <c r="M192" s="123">
        <f>IF(AND(B192&lt;&gt;"",OR($C$4="",ISNUMBER(SEARCH($C$4,C192&amp;" "&amp;E192&amp;" "&amp;G192&amp;" "&amp;H192&amp;" "&amp;I192&amp;" "&amp;J192&amp;" "&amp;K192&amp;" "&amp;L192))),OR($C$5="Semua",$C$5="",G192=$C$5),OR($C$6="Semua",$C$6="",H192=$C$6,H192="Pengeluaran "&amp;$C$6,AND($C$6="Uang Kos Mama",H192="Pengeluaran Uang Kos")),OR($C$7="Semua",$C$7="",I192=$C$7),OR($C$8="Semua",$C$8="",C192=$C$8,E192=$C$8),OR($C$9="Semua",$C$9="",D192=$C$9),OR($C$10="",B192&gt;=$C$10),OR($C$11="",B192&lt;=$C$11),OR($C$12&lt;&gt;"Ya",K192&lt;&gt;""),OR($C$13="Semua",$C$13="",L192=$C$13)),"✓","")</f>
        <v/>
      </c>
      <c r="N192" s="93">
        <f>N(N191)+IF(M192="✓",1,0)</f>
        <v/>
      </c>
      <c r="O192" s="93">
        <f>N(O191)+IF(AND(B192&lt;&gt;"",B192&gt;='Uang Riba'!$H$30,B192&lt;='Uang Riba'!$I$30,OR(H192="Dana riba",H192="Pinjam uang riba",I192="Pinjam dari uang riba",I192="Ganti uang riba",I192="Kelebihan ganti dikembalikan",AND(C192="Kantong Uang Riba",G192="Pengeluaran"))),1,0)</f>
        <v/>
      </c>
      <c r="P192" s="119">
        <f>IF(188&gt;MAX($N$16:$N$5015),"",INDEX($B$16:$B$5015,MATCH((MAX($N$16:$N$5015)-188+1),$N$16:$N$5015,0)))</f>
        <v/>
      </c>
      <c r="Q192" s="105">
        <f>IF(188&gt;MAX($N$16:$N$5015),"",INDEX($C$16:$C$5015,MATCH((MAX($N$16:$N$5015)-188+1),$N$16:$N$5015,0)))&amp;IF(IF(188&gt;MAX($N$16:$N$5015),"",INDEX($E$16:$E$5015,MATCH((MAX($N$16:$N$5015)-188+1),$N$16:$N$5015,0)))="",""," → "&amp;IF(188&gt;MAX($N$16:$N$5015),"",INDEX($E$16:$E$5015,MATCH((MAX($N$16:$N$5015)-188+1),$N$16:$N$5015,0))))</f>
        <v/>
      </c>
      <c r="R192" s="105">
        <f>IF(188&gt;MAX($N$16:$N$5015),"",INDEX($D$16:$D$5015,MATCH((MAX($N$16:$N$5015)-188+1),$N$16:$N$5015,0)))</f>
        <v/>
      </c>
      <c r="S192" s="113">
        <f>IF(188&gt;MAX($N$16:$N$5015),"",INDEX($F$16:$F$5015,MATCH((MAX($N$16:$N$5015)-188+1),$N$16:$N$5015,0)))</f>
        <v/>
      </c>
      <c r="T192" s="105">
        <f>IF(188&gt;MAX($N$16:$N$5015),"",IF(188&gt;MAX($N$16:$N$5015),"",INDEX($G$16:$G$5015,MATCH((MAX($N$16:$N$5015)-188+1),$N$16:$N$5015,0)))&amp;" › "&amp;IF(188&gt;MAX($N$16:$N$5015),"",INDEX($H$16:$H$5015,MATCH((MAX($N$16:$N$5015)-188+1),$N$16:$N$5015,0)))&amp;" › "&amp;IF(188&gt;MAX($N$16:$N$5015),"",INDEX($I$16:$I$5015,MATCH((MAX($N$16:$N$5015)-188+1),$N$16:$N$5015,0))))</f>
        <v/>
      </c>
      <c r="U192" s="105">
        <f>IF(188&gt;MAX($N$16:$N$5015),"",INDEX($J$16:$J$5015,MATCH((MAX($N$16:$N$5015)-188+1),$N$16:$N$5015,0)))&amp;IF(IF(188&gt;MAX($N$16:$N$5015),"",INDEX($L$16:$L$5015,MATCH((MAX($N$16:$N$5015)-188+1),$N$16:$N$5015,0)))="",""," ["&amp;IF(188&gt;MAX($N$16:$N$5015),"",INDEX($L$16:$L$5015,MATCH((MAX($N$16:$N$5015)-188+1),$N$16:$N$5015,0)))&amp;"]")</f>
        <v/>
      </c>
      <c r="V192" s="120">
        <f>IF(188&gt;MAX($N$16:$N$5015),"",HYPERLINK("#Transaksi!B"&amp;(MATCH((MAX($N$16:$N$5015)-188+1),$N$16:$N$5015,0)+15),"Buka"))</f>
        <v/>
      </c>
      <c r="X192" s="93">
        <f>IF(AND(B192&lt;&gt;"",B192&gt;='Buku Akun'!$H$4,B192&lt;='Buku Akun'!$H$5,OR(C192='Buku Akun'!$C$4,AND(D192="Pindah",E192='Buku Akun'!$C$4))),B192+IF(AND(I192="Selisih bunga",DAY(B192)=1),0,0.01)+ROW()/10000000,"")</f>
        <v/>
      </c>
    </row>
    <row r="193" outlineLevel="1" ht="15" customHeight="1" s="94">
      <c r="A193" s="123">
        <f>IF(B193="","",ROW()-15)</f>
        <v/>
      </c>
      <c r="B193" s="124" t="n"/>
      <c r="C193" s="123" t="n"/>
      <c r="D193" s="123" t="n"/>
      <c r="E193" s="123" t="n"/>
      <c r="F193" s="125" t="n"/>
      <c r="G193" s="123" t="n"/>
      <c r="H193" s="123" t="n"/>
      <c r="I193" s="123" t="n"/>
      <c r="J193" s="123" t="n"/>
      <c r="K193" s="123" t="n"/>
      <c r="L193" s="123" t="n"/>
      <c r="M193" s="123">
        <f>IF(AND(B193&lt;&gt;"",OR($C$4="",ISNUMBER(SEARCH($C$4,C193&amp;" "&amp;E193&amp;" "&amp;G193&amp;" "&amp;H193&amp;" "&amp;I193&amp;" "&amp;J193&amp;" "&amp;K193&amp;" "&amp;L193))),OR($C$5="Semua",$C$5="",G193=$C$5),OR($C$6="Semua",$C$6="",H193=$C$6,H193="Pengeluaran "&amp;$C$6,AND($C$6="Uang Kos Mama",H193="Pengeluaran Uang Kos")),OR($C$7="Semua",$C$7="",I193=$C$7),OR($C$8="Semua",$C$8="",C193=$C$8,E193=$C$8),OR($C$9="Semua",$C$9="",D193=$C$9),OR($C$10="",B193&gt;=$C$10),OR($C$11="",B193&lt;=$C$11),OR($C$12&lt;&gt;"Ya",K193&lt;&gt;""),OR($C$13="Semua",$C$13="",L193=$C$13)),"✓","")</f>
        <v/>
      </c>
      <c r="N193" s="93">
        <f>N(N192)+IF(M193="✓",1,0)</f>
        <v/>
      </c>
      <c r="O193" s="93">
        <f>N(O192)+IF(AND(B193&lt;&gt;"",B193&gt;='Uang Riba'!$H$30,B193&lt;='Uang Riba'!$I$30,OR(H193="Dana riba",H193="Pinjam uang riba",I193="Pinjam dari uang riba",I193="Ganti uang riba",I193="Kelebihan ganti dikembalikan",AND(C193="Kantong Uang Riba",G193="Pengeluaran"))),1,0)</f>
        <v/>
      </c>
      <c r="P193" s="119">
        <f>IF(189&gt;MAX($N$16:$N$5015),"",INDEX($B$16:$B$5015,MATCH((MAX($N$16:$N$5015)-189+1),$N$16:$N$5015,0)))</f>
        <v/>
      </c>
      <c r="Q193" s="105">
        <f>IF(189&gt;MAX($N$16:$N$5015),"",INDEX($C$16:$C$5015,MATCH((MAX($N$16:$N$5015)-189+1),$N$16:$N$5015,0)))&amp;IF(IF(189&gt;MAX($N$16:$N$5015),"",INDEX($E$16:$E$5015,MATCH((MAX($N$16:$N$5015)-189+1),$N$16:$N$5015,0)))="",""," → "&amp;IF(189&gt;MAX($N$16:$N$5015),"",INDEX($E$16:$E$5015,MATCH((MAX($N$16:$N$5015)-189+1),$N$16:$N$5015,0))))</f>
        <v/>
      </c>
      <c r="R193" s="105">
        <f>IF(189&gt;MAX($N$16:$N$5015),"",INDEX($D$16:$D$5015,MATCH((MAX($N$16:$N$5015)-189+1),$N$16:$N$5015,0)))</f>
        <v/>
      </c>
      <c r="S193" s="113">
        <f>IF(189&gt;MAX($N$16:$N$5015),"",INDEX($F$16:$F$5015,MATCH((MAX($N$16:$N$5015)-189+1),$N$16:$N$5015,0)))</f>
        <v/>
      </c>
      <c r="T193" s="105">
        <f>IF(189&gt;MAX($N$16:$N$5015),"",IF(189&gt;MAX($N$16:$N$5015),"",INDEX($G$16:$G$5015,MATCH((MAX($N$16:$N$5015)-189+1),$N$16:$N$5015,0)))&amp;" › "&amp;IF(189&gt;MAX($N$16:$N$5015),"",INDEX($H$16:$H$5015,MATCH((MAX($N$16:$N$5015)-189+1),$N$16:$N$5015,0)))&amp;" › "&amp;IF(189&gt;MAX($N$16:$N$5015),"",INDEX($I$16:$I$5015,MATCH((MAX($N$16:$N$5015)-189+1),$N$16:$N$5015,0))))</f>
        <v/>
      </c>
      <c r="U193" s="105">
        <f>IF(189&gt;MAX($N$16:$N$5015),"",INDEX($J$16:$J$5015,MATCH((MAX($N$16:$N$5015)-189+1),$N$16:$N$5015,0)))&amp;IF(IF(189&gt;MAX($N$16:$N$5015),"",INDEX($L$16:$L$5015,MATCH((MAX($N$16:$N$5015)-189+1),$N$16:$N$5015,0)))="",""," ["&amp;IF(189&gt;MAX($N$16:$N$5015),"",INDEX($L$16:$L$5015,MATCH((MAX($N$16:$N$5015)-189+1),$N$16:$N$5015,0)))&amp;"]")</f>
        <v/>
      </c>
      <c r="V193" s="120">
        <f>IF(189&gt;MAX($N$16:$N$5015),"",HYPERLINK("#Transaksi!B"&amp;(MATCH((MAX($N$16:$N$5015)-189+1),$N$16:$N$5015,0)+15),"Buka"))</f>
        <v/>
      </c>
      <c r="X193" s="93">
        <f>IF(AND(B193&lt;&gt;"",B193&gt;='Buku Akun'!$H$4,B193&lt;='Buku Akun'!$H$5,OR(C193='Buku Akun'!$C$4,AND(D193="Pindah",E193='Buku Akun'!$C$4))),B193+IF(AND(I193="Selisih bunga",DAY(B193)=1),0,0.01)+ROW()/10000000,"")</f>
        <v/>
      </c>
    </row>
    <row r="194" outlineLevel="1" ht="15" customHeight="1" s="94">
      <c r="A194" s="123">
        <f>IF(B194="","",ROW()-15)</f>
        <v/>
      </c>
      <c r="B194" s="124" t="n"/>
      <c r="C194" s="123" t="n"/>
      <c r="D194" s="123" t="n"/>
      <c r="E194" s="123" t="n"/>
      <c r="F194" s="125" t="n"/>
      <c r="G194" s="123" t="n"/>
      <c r="H194" s="123" t="n"/>
      <c r="I194" s="123" t="n"/>
      <c r="J194" s="123" t="n"/>
      <c r="K194" s="123" t="n"/>
      <c r="L194" s="123" t="n"/>
      <c r="M194" s="123">
        <f>IF(AND(B194&lt;&gt;"",OR($C$4="",ISNUMBER(SEARCH($C$4,C194&amp;" "&amp;E194&amp;" "&amp;G194&amp;" "&amp;H194&amp;" "&amp;I194&amp;" "&amp;J194&amp;" "&amp;K194&amp;" "&amp;L194))),OR($C$5="Semua",$C$5="",G194=$C$5),OR($C$6="Semua",$C$6="",H194=$C$6,H194="Pengeluaran "&amp;$C$6,AND($C$6="Uang Kos Mama",H194="Pengeluaran Uang Kos")),OR($C$7="Semua",$C$7="",I194=$C$7),OR($C$8="Semua",$C$8="",C194=$C$8,E194=$C$8),OR($C$9="Semua",$C$9="",D194=$C$9),OR($C$10="",B194&gt;=$C$10),OR($C$11="",B194&lt;=$C$11),OR($C$12&lt;&gt;"Ya",K194&lt;&gt;""),OR($C$13="Semua",$C$13="",L194=$C$13)),"✓","")</f>
        <v/>
      </c>
      <c r="N194" s="93">
        <f>N(N193)+IF(M194="✓",1,0)</f>
        <v/>
      </c>
      <c r="O194" s="93">
        <f>N(O193)+IF(AND(B194&lt;&gt;"",B194&gt;='Uang Riba'!$H$30,B194&lt;='Uang Riba'!$I$30,OR(H194="Dana riba",H194="Pinjam uang riba",I194="Pinjam dari uang riba",I194="Ganti uang riba",I194="Kelebihan ganti dikembalikan",AND(C194="Kantong Uang Riba",G194="Pengeluaran"))),1,0)</f>
        <v/>
      </c>
      <c r="P194" s="119">
        <f>IF(190&gt;MAX($N$16:$N$5015),"",INDEX($B$16:$B$5015,MATCH((MAX($N$16:$N$5015)-190+1),$N$16:$N$5015,0)))</f>
        <v/>
      </c>
      <c r="Q194" s="105">
        <f>IF(190&gt;MAX($N$16:$N$5015),"",INDEX($C$16:$C$5015,MATCH((MAX($N$16:$N$5015)-190+1),$N$16:$N$5015,0)))&amp;IF(IF(190&gt;MAX($N$16:$N$5015),"",INDEX($E$16:$E$5015,MATCH((MAX($N$16:$N$5015)-190+1),$N$16:$N$5015,0)))="",""," → "&amp;IF(190&gt;MAX($N$16:$N$5015),"",INDEX($E$16:$E$5015,MATCH((MAX($N$16:$N$5015)-190+1),$N$16:$N$5015,0))))</f>
        <v/>
      </c>
      <c r="R194" s="105">
        <f>IF(190&gt;MAX($N$16:$N$5015),"",INDEX($D$16:$D$5015,MATCH((MAX($N$16:$N$5015)-190+1),$N$16:$N$5015,0)))</f>
        <v/>
      </c>
      <c r="S194" s="113">
        <f>IF(190&gt;MAX($N$16:$N$5015),"",INDEX($F$16:$F$5015,MATCH((MAX($N$16:$N$5015)-190+1),$N$16:$N$5015,0)))</f>
        <v/>
      </c>
      <c r="T194" s="105">
        <f>IF(190&gt;MAX($N$16:$N$5015),"",IF(190&gt;MAX($N$16:$N$5015),"",INDEX($G$16:$G$5015,MATCH((MAX($N$16:$N$5015)-190+1),$N$16:$N$5015,0)))&amp;" › "&amp;IF(190&gt;MAX($N$16:$N$5015),"",INDEX($H$16:$H$5015,MATCH((MAX($N$16:$N$5015)-190+1),$N$16:$N$5015,0)))&amp;" › "&amp;IF(190&gt;MAX($N$16:$N$5015),"",INDEX($I$16:$I$5015,MATCH((MAX($N$16:$N$5015)-190+1),$N$16:$N$5015,0))))</f>
        <v/>
      </c>
      <c r="U194" s="105">
        <f>IF(190&gt;MAX($N$16:$N$5015),"",INDEX($J$16:$J$5015,MATCH((MAX($N$16:$N$5015)-190+1),$N$16:$N$5015,0)))&amp;IF(IF(190&gt;MAX($N$16:$N$5015),"",INDEX($L$16:$L$5015,MATCH((MAX($N$16:$N$5015)-190+1),$N$16:$N$5015,0)))="",""," ["&amp;IF(190&gt;MAX($N$16:$N$5015),"",INDEX($L$16:$L$5015,MATCH((MAX($N$16:$N$5015)-190+1),$N$16:$N$5015,0)))&amp;"]")</f>
        <v/>
      </c>
      <c r="V194" s="120">
        <f>IF(190&gt;MAX($N$16:$N$5015),"",HYPERLINK("#Transaksi!B"&amp;(MATCH((MAX($N$16:$N$5015)-190+1),$N$16:$N$5015,0)+15),"Buka"))</f>
        <v/>
      </c>
      <c r="X194" s="93">
        <f>IF(AND(B194&lt;&gt;"",B194&gt;='Buku Akun'!$H$4,B194&lt;='Buku Akun'!$H$5,OR(C194='Buku Akun'!$C$4,AND(D194="Pindah",E194='Buku Akun'!$C$4))),B194+IF(AND(I194="Selisih bunga",DAY(B194)=1),0,0.01)+ROW()/10000000,"")</f>
        <v/>
      </c>
    </row>
    <row r="195" outlineLevel="1" ht="15" customHeight="1" s="94">
      <c r="A195" s="123">
        <f>IF(B195="","",ROW()-15)</f>
        <v/>
      </c>
      <c r="B195" s="124" t="n"/>
      <c r="C195" s="123" t="n"/>
      <c r="D195" s="123" t="n"/>
      <c r="E195" s="123" t="n"/>
      <c r="F195" s="125" t="n"/>
      <c r="G195" s="123" t="n"/>
      <c r="H195" s="123" t="n"/>
      <c r="I195" s="123" t="n"/>
      <c r="J195" s="123" t="n"/>
      <c r="K195" s="123" t="n"/>
      <c r="L195" s="123" t="n"/>
      <c r="M195" s="123">
        <f>IF(AND(B195&lt;&gt;"",OR($C$4="",ISNUMBER(SEARCH($C$4,C195&amp;" "&amp;E195&amp;" "&amp;G195&amp;" "&amp;H195&amp;" "&amp;I195&amp;" "&amp;J195&amp;" "&amp;K195&amp;" "&amp;L195))),OR($C$5="Semua",$C$5="",G195=$C$5),OR($C$6="Semua",$C$6="",H195=$C$6,H195="Pengeluaran "&amp;$C$6,AND($C$6="Uang Kos Mama",H195="Pengeluaran Uang Kos")),OR($C$7="Semua",$C$7="",I195=$C$7),OR($C$8="Semua",$C$8="",C195=$C$8,E195=$C$8),OR($C$9="Semua",$C$9="",D195=$C$9),OR($C$10="",B195&gt;=$C$10),OR($C$11="",B195&lt;=$C$11),OR($C$12&lt;&gt;"Ya",K195&lt;&gt;""),OR($C$13="Semua",$C$13="",L195=$C$13)),"✓","")</f>
        <v/>
      </c>
      <c r="N195" s="93">
        <f>N(N194)+IF(M195="✓",1,0)</f>
        <v/>
      </c>
      <c r="O195" s="93">
        <f>N(O194)+IF(AND(B195&lt;&gt;"",B195&gt;='Uang Riba'!$H$30,B195&lt;='Uang Riba'!$I$30,OR(H195="Dana riba",H195="Pinjam uang riba",I195="Pinjam dari uang riba",I195="Ganti uang riba",I195="Kelebihan ganti dikembalikan",AND(C195="Kantong Uang Riba",G195="Pengeluaran"))),1,0)</f>
        <v/>
      </c>
      <c r="P195" s="119">
        <f>IF(191&gt;MAX($N$16:$N$5015),"",INDEX($B$16:$B$5015,MATCH((MAX($N$16:$N$5015)-191+1),$N$16:$N$5015,0)))</f>
        <v/>
      </c>
      <c r="Q195" s="105">
        <f>IF(191&gt;MAX($N$16:$N$5015),"",INDEX($C$16:$C$5015,MATCH((MAX($N$16:$N$5015)-191+1),$N$16:$N$5015,0)))&amp;IF(IF(191&gt;MAX($N$16:$N$5015),"",INDEX($E$16:$E$5015,MATCH((MAX($N$16:$N$5015)-191+1),$N$16:$N$5015,0)))="",""," → "&amp;IF(191&gt;MAX($N$16:$N$5015),"",INDEX($E$16:$E$5015,MATCH((MAX($N$16:$N$5015)-191+1),$N$16:$N$5015,0))))</f>
        <v/>
      </c>
      <c r="R195" s="105">
        <f>IF(191&gt;MAX($N$16:$N$5015),"",INDEX($D$16:$D$5015,MATCH((MAX($N$16:$N$5015)-191+1),$N$16:$N$5015,0)))</f>
        <v/>
      </c>
      <c r="S195" s="113">
        <f>IF(191&gt;MAX($N$16:$N$5015),"",INDEX($F$16:$F$5015,MATCH((MAX($N$16:$N$5015)-191+1),$N$16:$N$5015,0)))</f>
        <v/>
      </c>
      <c r="T195" s="105">
        <f>IF(191&gt;MAX($N$16:$N$5015),"",IF(191&gt;MAX($N$16:$N$5015),"",INDEX($G$16:$G$5015,MATCH((MAX($N$16:$N$5015)-191+1),$N$16:$N$5015,0)))&amp;" › "&amp;IF(191&gt;MAX($N$16:$N$5015),"",INDEX($H$16:$H$5015,MATCH((MAX($N$16:$N$5015)-191+1),$N$16:$N$5015,0)))&amp;" › "&amp;IF(191&gt;MAX($N$16:$N$5015),"",INDEX($I$16:$I$5015,MATCH((MAX($N$16:$N$5015)-191+1),$N$16:$N$5015,0))))</f>
        <v/>
      </c>
      <c r="U195" s="105">
        <f>IF(191&gt;MAX($N$16:$N$5015),"",INDEX($J$16:$J$5015,MATCH((MAX($N$16:$N$5015)-191+1),$N$16:$N$5015,0)))&amp;IF(IF(191&gt;MAX($N$16:$N$5015),"",INDEX($L$16:$L$5015,MATCH((MAX($N$16:$N$5015)-191+1),$N$16:$N$5015,0)))="",""," ["&amp;IF(191&gt;MAX($N$16:$N$5015),"",INDEX($L$16:$L$5015,MATCH((MAX($N$16:$N$5015)-191+1),$N$16:$N$5015,0)))&amp;"]")</f>
        <v/>
      </c>
      <c r="V195" s="120">
        <f>IF(191&gt;MAX($N$16:$N$5015),"",HYPERLINK("#Transaksi!B"&amp;(MATCH((MAX($N$16:$N$5015)-191+1),$N$16:$N$5015,0)+15),"Buka"))</f>
        <v/>
      </c>
      <c r="X195" s="93">
        <f>IF(AND(B195&lt;&gt;"",B195&gt;='Buku Akun'!$H$4,B195&lt;='Buku Akun'!$H$5,OR(C195='Buku Akun'!$C$4,AND(D195="Pindah",E195='Buku Akun'!$C$4))),B195+IF(AND(I195="Selisih bunga",DAY(B195)=1),0,0.01)+ROW()/10000000,"")</f>
        <v/>
      </c>
    </row>
    <row r="196" outlineLevel="1" ht="15" customHeight="1" s="94">
      <c r="A196" s="123">
        <f>IF(B196="","",ROW()-15)</f>
        <v/>
      </c>
      <c r="B196" s="124" t="n"/>
      <c r="C196" s="123" t="n"/>
      <c r="D196" s="123" t="n"/>
      <c r="E196" s="123" t="n"/>
      <c r="F196" s="125" t="n"/>
      <c r="G196" s="123" t="n"/>
      <c r="H196" s="123" t="n"/>
      <c r="I196" s="123" t="n"/>
      <c r="J196" s="123" t="n"/>
      <c r="K196" s="123" t="n"/>
      <c r="L196" s="123" t="n"/>
      <c r="M196" s="123">
        <f>IF(AND(B196&lt;&gt;"",OR($C$4="",ISNUMBER(SEARCH($C$4,C196&amp;" "&amp;E196&amp;" "&amp;G196&amp;" "&amp;H196&amp;" "&amp;I196&amp;" "&amp;J196&amp;" "&amp;K196&amp;" "&amp;L196))),OR($C$5="Semua",$C$5="",G196=$C$5),OR($C$6="Semua",$C$6="",H196=$C$6,H196="Pengeluaran "&amp;$C$6,AND($C$6="Uang Kos Mama",H196="Pengeluaran Uang Kos")),OR($C$7="Semua",$C$7="",I196=$C$7),OR($C$8="Semua",$C$8="",C196=$C$8,E196=$C$8),OR($C$9="Semua",$C$9="",D196=$C$9),OR($C$10="",B196&gt;=$C$10),OR($C$11="",B196&lt;=$C$11),OR($C$12&lt;&gt;"Ya",K196&lt;&gt;""),OR($C$13="Semua",$C$13="",L196=$C$13)),"✓","")</f>
        <v/>
      </c>
      <c r="N196" s="93">
        <f>N(N195)+IF(M196="✓",1,0)</f>
        <v/>
      </c>
      <c r="O196" s="93">
        <f>N(O195)+IF(AND(B196&lt;&gt;"",B196&gt;='Uang Riba'!$H$30,B196&lt;='Uang Riba'!$I$30,OR(H196="Dana riba",H196="Pinjam uang riba",I196="Pinjam dari uang riba",I196="Ganti uang riba",I196="Kelebihan ganti dikembalikan",AND(C196="Kantong Uang Riba",G196="Pengeluaran"))),1,0)</f>
        <v/>
      </c>
      <c r="P196" s="119">
        <f>IF(192&gt;MAX($N$16:$N$5015),"",INDEX($B$16:$B$5015,MATCH((MAX($N$16:$N$5015)-192+1),$N$16:$N$5015,0)))</f>
        <v/>
      </c>
      <c r="Q196" s="105">
        <f>IF(192&gt;MAX($N$16:$N$5015),"",INDEX($C$16:$C$5015,MATCH((MAX($N$16:$N$5015)-192+1),$N$16:$N$5015,0)))&amp;IF(IF(192&gt;MAX($N$16:$N$5015),"",INDEX($E$16:$E$5015,MATCH((MAX($N$16:$N$5015)-192+1),$N$16:$N$5015,0)))="",""," → "&amp;IF(192&gt;MAX($N$16:$N$5015),"",INDEX($E$16:$E$5015,MATCH((MAX($N$16:$N$5015)-192+1),$N$16:$N$5015,0))))</f>
        <v/>
      </c>
      <c r="R196" s="105">
        <f>IF(192&gt;MAX($N$16:$N$5015),"",INDEX($D$16:$D$5015,MATCH((MAX($N$16:$N$5015)-192+1),$N$16:$N$5015,0)))</f>
        <v/>
      </c>
      <c r="S196" s="113">
        <f>IF(192&gt;MAX($N$16:$N$5015),"",INDEX($F$16:$F$5015,MATCH((MAX($N$16:$N$5015)-192+1),$N$16:$N$5015,0)))</f>
        <v/>
      </c>
      <c r="T196" s="105">
        <f>IF(192&gt;MAX($N$16:$N$5015),"",IF(192&gt;MAX($N$16:$N$5015),"",INDEX($G$16:$G$5015,MATCH((MAX($N$16:$N$5015)-192+1),$N$16:$N$5015,0)))&amp;" › "&amp;IF(192&gt;MAX($N$16:$N$5015),"",INDEX($H$16:$H$5015,MATCH((MAX($N$16:$N$5015)-192+1),$N$16:$N$5015,0)))&amp;" › "&amp;IF(192&gt;MAX($N$16:$N$5015),"",INDEX($I$16:$I$5015,MATCH((MAX($N$16:$N$5015)-192+1),$N$16:$N$5015,0))))</f>
        <v/>
      </c>
      <c r="U196" s="105">
        <f>IF(192&gt;MAX($N$16:$N$5015),"",INDEX($J$16:$J$5015,MATCH((MAX($N$16:$N$5015)-192+1),$N$16:$N$5015,0)))&amp;IF(IF(192&gt;MAX($N$16:$N$5015),"",INDEX($L$16:$L$5015,MATCH((MAX($N$16:$N$5015)-192+1),$N$16:$N$5015,0)))="",""," ["&amp;IF(192&gt;MAX($N$16:$N$5015),"",INDEX($L$16:$L$5015,MATCH((MAX($N$16:$N$5015)-192+1),$N$16:$N$5015,0)))&amp;"]")</f>
        <v/>
      </c>
      <c r="V196" s="120">
        <f>IF(192&gt;MAX($N$16:$N$5015),"",HYPERLINK("#Transaksi!B"&amp;(MATCH((MAX($N$16:$N$5015)-192+1),$N$16:$N$5015,0)+15),"Buka"))</f>
        <v/>
      </c>
      <c r="X196" s="93">
        <f>IF(AND(B196&lt;&gt;"",B196&gt;='Buku Akun'!$H$4,B196&lt;='Buku Akun'!$H$5,OR(C196='Buku Akun'!$C$4,AND(D196="Pindah",E196='Buku Akun'!$C$4))),B196+IF(AND(I196="Selisih bunga",DAY(B196)=1),0,0.01)+ROW()/10000000,"")</f>
        <v/>
      </c>
    </row>
    <row r="197" outlineLevel="1" ht="15" customHeight="1" s="94">
      <c r="A197" s="123">
        <f>IF(B197="","",ROW()-15)</f>
        <v/>
      </c>
      <c r="B197" s="124" t="n"/>
      <c r="C197" s="123" t="n"/>
      <c r="D197" s="123" t="n"/>
      <c r="E197" s="123" t="n"/>
      <c r="F197" s="125" t="n"/>
      <c r="G197" s="123" t="n"/>
      <c r="H197" s="123" t="n"/>
      <c r="I197" s="123" t="n"/>
      <c r="J197" s="123" t="n"/>
      <c r="K197" s="123" t="n"/>
      <c r="L197" s="123" t="n"/>
      <c r="M197" s="123">
        <f>IF(AND(B197&lt;&gt;"",OR($C$4="",ISNUMBER(SEARCH($C$4,C197&amp;" "&amp;E197&amp;" "&amp;G197&amp;" "&amp;H197&amp;" "&amp;I197&amp;" "&amp;J197&amp;" "&amp;K197&amp;" "&amp;L197))),OR($C$5="Semua",$C$5="",G197=$C$5),OR($C$6="Semua",$C$6="",H197=$C$6,H197="Pengeluaran "&amp;$C$6,AND($C$6="Uang Kos Mama",H197="Pengeluaran Uang Kos")),OR($C$7="Semua",$C$7="",I197=$C$7),OR($C$8="Semua",$C$8="",C197=$C$8,E197=$C$8),OR($C$9="Semua",$C$9="",D197=$C$9),OR($C$10="",B197&gt;=$C$10),OR($C$11="",B197&lt;=$C$11),OR($C$12&lt;&gt;"Ya",K197&lt;&gt;""),OR($C$13="Semua",$C$13="",L197=$C$13)),"✓","")</f>
        <v/>
      </c>
      <c r="N197" s="93">
        <f>N(N196)+IF(M197="✓",1,0)</f>
        <v/>
      </c>
      <c r="O197" s="93">
        <f>N(O196)+IF(AND(B197&lt;&gt;"",B197&gt;='Uang Riba'!$H$30,B197&lt;='Uang Riba'!$I$30,OR(H197="Dana riba",H197="Pinjam uang riba",I197="Pinjam dari uang riba",I197="Ganti uang riba",I197="Kelebihan ganti dikembalikan",AND(C197="Kantong Uang Riba",G197="Pengeluaran"))),1,0)</f>
        <v/>
      </c>
      <c r="P197" s="119">
        <f>IF(193&gt;MAX($N$16:$N$5015),"",INDEX($B$16:$B$5015,MATCH((MAX($N$16:$N$5015)-193+1),$N$16:$N$5015,0)))</f>
        <v/>
      </c>
      <c r="Q197" s="105">
        <f>IF(193&gt;MAX($N$16:$N$5015),"",INDEX($C$16:$C$5015,MATCH((MAX($N$16:$N$5015)-193+1),$N$16:$N$5015,0)))&amp;IF(IF(193&gt;MAX($N$16:$N$5015),"",INDEX($E$16:$E$5015,MATCH((MAX($N$16:$N$5015)-193+1),$N$16:$N$5015,0)))="",""," → "&amp;IF(193&gt;MAX($N$16:$N$5015),"",INDEX($E$16:$E$5015,MATCH((MAX($N$16:$N$5015)-193+1),$N$16:$N$5015,0))))</f>
        <v/>
      </c>
      <c r="R197" s="105">
        <f>IF(193&gt;MAX($N$16:$N$5015),"",INDEX($D$16:$D$5015,MATCH((MAX($N$16:$N$5015)-193+1),$N$16:$N$5015,0)))</f>
        <v/>
      </c>
      <c r="S197" s="113">
        <f>IF(193&gt;MAX($N$16:$N$5015),"",INDEX($F$16:$F$5015,MATCH((MAX($N$16:$N$5015)-193+1),$N$16:$N$5015,0)))</f>
        <v/>
      </c>
      <c r="T197" s="105">
        <f>IF(193&gt;MAX($N$16:$N$5015),"",IF(193&gt;MAX($N$16:$N$5015),"",INDEX($G$16:$G$5015,MATCH((MAX($N$16:$N$5015)-193+1),$N$16:$N$5015,0)))&amp;" › "&amp;IF(193&gt;MAX($N$16:$N$5015),"",INDEX($H$16:$H$5015,MATCH((MAX($N$16:$N$5015)-193+1),$N$16:$N$5015,0)))&amp;" › "&amp;IF(193&gt;MAX($N$16:$N$5015),"",INDEX($I$16:$I$5015,MATCH((MAX($N$16:$N$5015)-193+1),$N$16:$N$5015,0))))</f>
        <v/>
      </c>
      <c r="U197" s="105">
        <f>IF(193&gt;MAX($N$16:$N$5015),"",INDEX($J$16:$J$5015,MATCH((MAX($N$16:$N$5015)-193+1),$N$16:$N$5015,0)))&amp;IF(IF(193&gt;MAX($N$16:$N$5015),"",INDEX($L$16:$L$5015,MATCH((MAX($N$16:$N$5015)-193+1),$N$16:$N$5015,0)))="",""," ["&amp;IF(193&gt;MAX($N$16:$N$5015),"",INDEX($L$16:$L$5015,MATCH((MAX($N$16:$N$5015)-193+1),$N$16:$N$5015,0)))&amp;"]")</f>
        <v/>
      </c>
      <c r="V197" s="120">
        <f>IF(193&gt;MAX($N$16:$N$5015),"",HYPERLINK("#Transaksi!B"&amp;(MATCH((MAX($N$16:$N$5015)-193+1),$N$16:$N$5015,0)+15),"Buka"))</f>
        <v/>
      </c>
      <c r="X197" s="93">
        <f>IF(AND(B197&lt;&gt;"",B197&gt;='Buku Akun'!$H$4,B197&lt;='Buku Akun'!$H$5,OR(C197='Buku Akun'!$C$4,AND(D197="Pindah",E197='Buku Akun'!$C$4))),B197+IF(AND(I197="Selisih bunga",DAY(B197)=1),0,0.01)+ROW()/10000000,"")</f>
        <v/>
      </c>
    </row>
    <row r="198" outlineLevel="1" ht="15" customHeight="1" s="94">
      <c r="A198" s="123">
        <f>IF(B198="","",ROW()-15)</f>
        <v/>
      </c>
      <c r="B198" s="124" t="n"/>
      <c r="C198" s="123" t="n"/>
      <c r="D198" s="123" t="n"/>
      <c r="E198" s="123" t="n"/>
      <c r="F198" s="125" t="n"/>
      <c r="G198" s="123" t="n"/>
      <c r="H198" s="123" t="n"/>
      <c r="I198" s="123" t="n"/>
      <c r="J198" s="123" t="n"/>
      <c r="K198" s="123" t="n"/>
      <c r="L198" s="123" t="n"/>
      <c r="M198" s="123">
        <f>IF(AND(B198&lt;&gt;"",OR($C$4="",ISNUMBER(SEARCH($C$4,C198&amp;" "&amp;E198&amp;" "&amp;G198&amp;" "&amp;H198&amp;" "&amp;I198&amp;" "&amp;J198&amp;" "&amp;K198&amp;" "&amp;L198))),OR($C$5="Semua",$C$5="",G198=$C$5),OR($C$6="Semua",$C$6="",H198=$C$6,H198="Pengeluaran "&amp;$C$6,AND($C$6="Uang Kos Mama",H198="Pengeluaran Uang Kos")),OR($C$7="Semua",$C$7="",I198=$C$7),OR($C$8="Semua",$C$8="",C198=$C$8,E198=$C$8),OR($C$9="Semua",$C$9="",D198=$C$9),OR($C$10="",B198&gt;=$C$10),OR($C$11="",B198&lt;=$C$11),OR($C$12&lt;&gt;"Ya",K198&lt;&gt;""),OR($C$13="Semua",$C$13="",L198=$C$13)),"✓","")</f>
        <v/>
      </c>
      <c r="N198" s="93">
        <f>N(N197)+IF(M198="✓",1,0)</f>
        <v/>
      </c>
      <c r="O198" s="93">
        <f>N(O197)+IF(AND(B198&lt;&gt;"",B198&gt;='Uang Riba'!$H$30,B198&lt;='Uang Riba'!$I$30,OR(H198="Dana riba",H198="Pinjam uang riba",I198="Pinjam dari uang riba",I198="Ganti uang riba",I198="Kelebihan ganti dikembalikan",AND(C198="Kantong Uang Riba",G198="Pengeluaran"))),1,0)</f>
        <v/>
      </c>
      <c r="P198" s="119">
        <f>IF(194&gt;MAX($N$16:$N$5015),"",INDEX($B$16:$B$5015,MATCH((MAX($N$16:$N$5015)-194+1),$N$16:$N$5015,0)))</f>
        <v/>
      </c>
      <c r="Q198" s="105">
        <f>IF(194&gt;MAX($N$16:$N$5015),"",INDEX($C$16:$C$5015,MATCH((MAX($N$16:$N$5015)-194+1),$N$16:$N$5015,0)))&amp;IF(IF(194&gt;MAX($N$16:$N$5015),"",INDEX($E$16:$E$5015,MATCH((MAX($N$16:$N$5015)-194+1),$N$16:$N$5015,0)))="",""," → "&amp;IF(194&gt;MAX($N$16:$N$5015),"",INDEX($E$16:$E$5015,MATCH((MAX($N$16:$N$5015)-194+1),$N$16:$N$5015,0))))</f>
        <v/>
      </c>
      <c r="R198" s="105">
        <f>IF(194&gt;MAX($N$16:$N$5015),"",INDEX($D$16:$D$5015,MATCH((MAX($N$16:$N$5015)-194+1),$N$16:$N$5015,0)))</f>
        <v/>
      </c>
      <c r="S198" s="113">
        <f>IF(194&gt;MAX($N$16:$N$5015),"",INDEX($F$16:$F$5015,MATCH((MAX($N$16:$N$5015)-194+1),$N$16:$N$5015,0)))</f>
        <v/>
      </c>
      <c r="T198" s="105">
        <f>IF(194&gt;MAX($N$16:$N$5015),"",IF(194&gt;MAX($N$16:$N$5015),"",INDEX($G$16:$G$5015,MATCH((MAX($N$16:$N$5015)-194+1),$N$16:$N$5015,0)))&amp;" › "&amp;IF(194&gt;MAX($N$16:$N$5015),"",INDEX($H$16:$H$5015,MATCH((MAX($N$16:$N$5015)-194+1),$N$16:$N$5015,0)))&amp;" › "&amp;IF(194&gt;MAX($N$16:$N$5015),"",INDEX($I$16:$I$5015,MATCH((MAX($N$16:$N$5015)-194+1),$N$16:$N$5015,0))))</f>
        <v/>
      </c>
      <c r="U198" s="105">
        <f>IF(194&gt;MAX($N$16:$N$5015),"",INDEX($J$16:$J$5015,MATCH((MAX($N$16:$N$5015)-194+1),$N$16:$N$5015,0)))&amp;IF(IF(194&gt;MAX($N$16:$N$5015),"",INDEX($L$16:$L$5015,MATCH((MAX($N$16:$N$5015)-194+1),$N$16:$N$5015,0)))="",""," ["&amp;IF(194&gt;MAX($N$16:$N$5015),"",INDEX($L$16:$L$5015,MATCH((MAX($N$16:$N$5015)-194+1),$N$16:$N$5015,0)))&amp;"]")</f>
        <v/>
      </c>
      <c r="V198" s="120">
        <f>IF(194&gt;MAX($N$16:$N$5015),"",HYPERLINK("#Transaksi!B"&amp;(MATCH((MAX($N$16:$N$5015)-194+1),$N$16:$N$5015,0)+15),"Buka"))</f>
        <v/>
      </c>
      <c r="X198" s="93">
        <f>IF(AND(B198&lt;&gt;"",B198&gt;='Buku Akun'!$H$4,B198&lt;='Buku Akun'!$H$5,OR(C198='Buku Akun'!$C$4,AND(D198="Pindah",E198='Buku Akun'!$C$4))),B198+IF(AND(I198="Selisih bunga",DAY(B198)=1),0,0.01)+ROW()/10000000,"")</f>
        <v/>
      </c>
    </row>
    <row r="199" outlineLevel="1" ht="15" customHeight="1" s="94">
      <c r="A199" s="123">
        <f>IF(B199="","",ROW()-15)</f>
        <v/>
      </c>
      <c r="B199" s="124" t="n"/>
      <c r="C199" s="123" t="n"/>
      <c r="D199" s="123" t="n"/>
      <c r="E199" s="123" t="n"/>
      <c r="F199" s="125" t="n"/>
      <c r="G199" s="123" t="n"/>
      <c r="H199" s="123" t="n"/>
      <c r="I199" s="123" t="n"/>
      <c r="J199" s="123" t="n"/>
      <c r="K199" s="123" t="n"/>
      <c r="L199" s="123" t="n"/>
      <c r="M199" s="123">
        <f>IF(AND(B199&lt;&gt;"",OR($C$4="",ISNUMBER(SEARCH($C$4,C199&amp;" "&amp;E199&amp;" "&amp;G199&amp;" "&amp;H199&amp;" "&amp;I199&amp;" "&amp;J199&amp;" "&amp;K199&amp;" "&amp;L199))),OR($C$5="Semua",$C$5="",G199=$C$5),OR($C$6="Semua",$C$6="",H199=$C$6,H199="Pengeluaran "&amp;$C$6,AND($C$6="Uang Kos Mama",H199="Pengeluaran Uang Kos")),OR($C$7="Semua",$C$7="",I199=$C$7),OR($C$8="Semua",$C$8="",C199=$C$8,E199=$C$8),OR($C$9="Semua",$C$9="",D199=$C$9),OR($C$10="",B199&gt;=$C$10),OR($C$11="",B199&lt;=$C$11),OR($C$12&lt;&gt;"Ya",K199&lt;&gt;""),OR($C$13="Semua",$C$13="",L199=$C$13)),"✓","")</f>
        <v/>
      </c>
      <c r="N199" s="93">
        <f>N(N198)+IF(M199="✓",1,0)</f>
        <v/>
      </c>
      <c r="O199" s="93">
        <f>N(O198)+IF(AND(B199&lt;&gt;"",B199&gt;='Uang Riba'!$H$30,B199&lt;='Uang Riba'!$I$30,OR(H199="Dana riba",H199="Pinjam uang riba",I199="Pinjam dari uang riba",I199="Ganti uang riba",I199="Kelebihan ganti dikembalikan",AND(C199="Kantong Uang Riba",G199="Pengeluaran"))),1,0)</f>
        <v/>
      </c>
      <c r="P199" s="119">
        <f>IF(195&gt;MAX($N$16:$N$5015),"",INDEX($B$16:$B$5015,MATCH((MAX($N$16:$N$5015)-195+1),$N$16:$N$5015,0)))</f>
        <v/>
      </c>
      <c r="Q199" s="105">
        <f>IF(195&gt;MAX($N$16:$N$5015),"",INDEX($C$16:$C$5015,MATCH((MAX($N$16:$N$5015)-195+1),$N$16:$N$5015,0)))&amp;IF(IF(195&gt;MAX($N$16:$N$5015),"",INDEX($E$16:$E$5015,MATCH((MAX($N$16:$N$5015)-195+1),$N$16:$N$5015,0)))="",""," → "&amp;IF(195&gt;MAX($N$16:$N$5015),"",INDEX($E$16:$E$5015,MATCH((MAX($N$16:$N$5015)-195+1),$N$16:$N$5015,0))))</f>
        <v/>
      </c>
      <c r="R199" s="105">
        <f>IF(195&gt;MAX($N$16:$N$5015),"",INDEX($D$16:$D$5015,MATCH((MAX($N$16:$N$5015)-195+1),$N$16:$N$5015,0)))</f>
        <v/>
      </c>
      <c r="S199" s="113">
        <f>IF(195&gt;MAX($N$16:$N$5015),"",INDEX($F$16:$F$5015,MATCH((MAX($N$16:$N$5015)-195+1),$N$16:$N$5015,0)))</f>
        <v/>
      </c>
      <c r="T199" s="105">
        <f>IF(195&gt;MAX($N$16:$N$5015),"",IF(195&gt;MAX($N$16:$N$5015),"",INDEX($G$16:$G$5015,MATCH((MAX($N$16:$N$5015)-195+1),$N$16:$N$5015,0)))&amp;" › "&amp;IF(195&gt;MAX($N$16:$N$5015),"",INDEX($H$16:$H$5015,MATCH((MAX($N$16:$N$5015)-195+1),$N$16:$N$5015,0)))&amp;" › "&amp;IF(195&gt;MAX($N$16:$N$5015),"",INDEX($I$16:$I$5015,MATCH((MAX($N$16:$N$5015)-195+1),$N$16:$N$5015,0))))</f>
        <v/>
      </c>
      <c r="U199" s="105">
        <f>IF(195&gt;MAX($N$16:$N$5015),"",INDEX($J$16:$J$5015,MATCH((MAX($N$16:$N$5015)-195+1),$N$16:$N$5015,0)))&amp;IF(IF(195&gt;MAX($N$16:$N$5015),"",INDEX($L$16:$L$5015,MATCH((MAX($N$16:$N$5015)-195+1),$N$16:$N$5015,0)))="",""," ["&amp;IF(195&gt;MAX($N$16:$N$5015),"",INDEX($L$16:$L$5015,MATCH((MAX($N$16:$N$5015)-195+1),$N$16:$N$5015,0)))&amp;"]")</f>
        <v/>
      </c>
      <c r="V199" s="120">
        <f>IF(195&gt;MAX($N$16:$N$5015),"",HYPERLINK("#Transaksi!B"&amp;(MATCH((MAX($N$16:$N$5015)-195+1),$N$16:$N$5015,0)+15),"Buka"))</f>
        <v/>
      </c>
      <c r="X199" s="93">
        <f>IF(AND(B199&lt;&gt;"",B199&gt;='Buku Akun'!$H$4,B199&lt;='Buku Akun'!$H$5,OR(C199='Buku Akun'!$C$4,AND(D199="Pindah",E199='Buku Akun'!$C$4))),B199+IF(AND(I199="Selisih bunga",DAY(B199)=1),0,0.01)+ROW()/10000000,"")</f>
        <v/>
      </c>
    </row>
    <row r="200" outlineLevel="1" ht="15" customHeight="1" s="94">
      <c r="A200" s="123">
        <f>IF(B200="","",ROW()-15)</f>
        <v/>
      </c>
      <c r="B200" s="124" t="n"/>
      <c r="C200" s="123" t="n"/>
      <c r="D200" s="123" t="n"/>
      <c r="E200" s="123" t="n"/>
      <c r="F200" s="125" t="n"/>
      <c r="G200" s="123" t="n"/>
      <c r="H200" s="123" t="n"/>
      <c r="I200" s="123" t="n"/>
      <c r="J200" s="123" t="n"/>
      <c r="K200" s="123" t="n"/>
      <c r="L200" s="123" t="n"/>
      <c r="M200" s="123">
        <f>IF(AND(B200&lt;&gt;"",OR($C$4="",ISNUMBER(SEARCH($C$4,C200&amp;" "&amp;E200&amp;" "&amp;G200&amp;" "&amp;H200&amp;" "&amp;I200&amp;" "&amp;J200&amp;" "&amp;K200&amp;" "&amp;L200))),OR($C$5="Semua",$C$5="",G200=$C$5),OR($C$6="Semua",$C$6="",H200=$C$6,H200="Pengeluaran "&amp;$C$6,AND($C$6="Uang Kos Mama",H200="Pengeluaran Uang Kos")),OR($C$7="Semua",$C$7="",I200=$C$7),OR($C$8="Semua",$C$8="",C200=$C$8,E200=$C$8),OR($C$9="Semua",$C$9="",D200=$C$9),OR($C$10="",B200&gt;=$C$10),OR($C$11="",B200&lt;=$C$11),OR($C$12&lt;&gt;"Ya",K200&lt;&gt;""),OR($C$13="Semua",$C$13="",L200=$C$13)),"✓","")</f>
        <v/>
      </c>
      <c r="N200" s="93">
        <f>N(N199)+IF(M200="✓",1,0)</f>
        <v/>
      </c>
      <c r="O200" s="93">
        <f>N(O199)+IF(AND(B200&lt;&gt;"",B200&gt;='Uang Riba'!$H$30,B200&lt;='Uang Riba'!$I$30,OR(H200="Dana riba",H200="Pinjam uang riba",I200="Pinjam dari uang riba",I200="Ganti uang riba",I200="Kelebihan ganti dikembalikan",AND(C200="Kantong Uang Riba",G200="Pengeluaran"))),1,0)</f>
        <v/>
      </c>
      <c r="P200" s="119">
        <f>IF(196&gt;MAX($N$16:$N$5015),"",INDEX($B$16:$B$5015,MATCH((MAX($N$16:$N$5015)-196+1),$N$16:$N$5015,0)))</f>
        <v/>
      </c>
      <c r="Q200" s="105">
        <f>IF(196&gt;MAX($N$16:$N$5015),"",INDEX($C$16:$C$5015,MATCH((MAX($N$16:$N$5015)-196+1),$N$16:$N$5015,0)))&amp;IF(IF(196&gt;MAX($N$16:$N$5015),"",INDEX($E$16:$E$5015,MATCH((MAX($N$16:$N$5015)-196+1),$N$16:$N$5015,0)))="",""," → "&amp;IF(196&gt;MAX($N$16:$N$5015),"",INDEX($E$16:$E$5015,MATCH((MAX($N$16:$N$5015)-196+1),$N$16:$N$5015,0))))</f>
        <v/>
      </c>
      <c r="R200" s="105">
        <f>IF(196&gt;MAX($N$16:$N$5015),"",INDEX($D$16:$D$5015,MATCH((MAX($N$16:$N$5015)-196+1),$N$16:$N$5015,0)))</f>
        <v/>
      </c>
      <c r="S200" s="113">
        <f>IF(196&gt;MAX($N$16:$N$5015),"",INDEX($F$16:$F$5015,MATCH((MAX($N$16:$N$5015)-196+1),$N$16:$N$5015,0)))</f>
        <v/>
      </c>
      <c r="T200" s="105">
        <f>IF(196&gt;MAX($N$16:$N$5015),"",IF(196&gt;MAX($N$16:$N$5015),"",INDEX($G$16:$G$5015,MATCH((MAX($N$16:$N$5015)-196+1),$N$16:$N$5015,0)))&amp;" › "&amp;IF(196&gt;MAX($N$16:$N$5015),"",INDEX($H$16:$H$5015,MATCH((MAX($N$16:$N$5015)-196+1),$N$16:$N$5015,0)))&amp;" › "&amp;IF(196&gt;MAX($N$16:$N$5015),"",INDEX($I$16:$I$5015,MATCH((MAX($N$16:$N$5015)-196+1),$N$16:$N$5015,0))))</f>
        <v/>
      </c>
      <c r="U200" s="105">
        <f>IF(196&gt;MAX($N$16:$N$5015),"",INDEX($J$16:$J$5015,MATCH((MAX($N$16:$N$5015)-196+1),$N$16:$N$5015,0)))&amp;IF(IF(196&gt;MAX($N$16:$N$5015),"",INDEX($L$16:$L$5015,MATCH((MAX($N$16:$N$5015)-196+1),$N$16:$N$5015,0)))="",""," ["&amp;IF(196&gt;MAX($N$16:$N$5015),"",INDEX($L$16:$L$5015,MATCH((MAX($N$16:$N$5015)-196+1),$N$16:$N$5015,0)))&amp;"]")</f>
        <v/>
      </c>
      <c r="V200" s="120">
        <f>IF(196&gt;MAX($N$16:$N$5015),"",HYPERLINK("#Transaksi!B"&amp;(MATCH((MAX($N$16:$N$5015)-196+1),$N$16:$N$5015,0)+15),"Buka"))</f>
        <v/>
      </c>
      <c r="X200" s="93">
        <f>IF(AND(B200&lt;&gt;"",B200&gt;='Buku Akun'!$H$4,B200&lt;='Buku Akun'!$H$5,OR(C200='Buku Akun'!$C$4,AND(D200="Pindah",E200='Buku Akun'!$C$4))),B200+IF(AND(I200="Selisih bunga",DAY(B200)=1),0,0.01)+ROW()/10000000,"")</f>
        <v/>
      </c>
    </row>
    <row r="201" outlineLevel="1" ht="15" customHeight="1" s="94">
      <c r="A201" s="123">
        <f>IF(B201="","",ROW()-15)</f>
        <v/>
      </c>
      <c r="B201" s="124" t="n"/>
      <c r="C201" s="123" t="n"/>
      <c r="D201" s="123" t="n"/>
      <c r="E201" s="123" t="n"/>
      <c r="F201" s="125" t="n"/>
      <c r="G201" s="123" t="n"/>
      <c r="H201" s="123" t="n"/>
      <c r="I201" s="123" t="n"/>
      <c r="J201" s="123" t="n"/>
      <c r="K201" s="123" t="n"/>
      <c r="L201" s="123" t="n"/>
      <c r="M201" s="123">
        <f>IF(AND(B201&lt;&gt;"",OR($C$4="",ISNUMBER(SEARCH($C$4,C201&amp;" "&amp;E201&amp;" "&amp;G201&amp;" "&amp;H201&amp;" "&amp;I201&amp;" "&amp;J201&amp;" "&amp;K201&amp;" "&amp;L201))),OR($C$5="Semua",$C$5="",G201=$C$5),OR($C$6="Semua",$C$6="",H201=$C$6,H201="Pengeluaran "&amp;$C$6,AND($C$6="Uang Kos Mama",H201="Pengeluaran Uang Kos")),OR($C$7="Semua",$C$7="",I201=$C$7),OR($C$8="Semua",$C$8="",C201=$C$8,E201=$C$8),OR($C$9="Semua",$C$9="",D201=$C$9),OR($C$10="",B201&gt;=$C$10),OR($C$11="",B201&lt;=$C$11),OR($C$12&lt;&gt;"Ya",K201&lt;&gt;""),OR($C$13="Semua",$C$13="",L201=$C$13)),"✓","")</f>
        <v/>
      </c>
      <c r="N201" s="93">
        <f>N(N200)+IF(M201="✓",1,0)</f>
        <v/>
      </c>
      <c r="O201" s="93">
        <f>N(O200)+IF(AND(B201&lt;&gt;"",B201&gt;='Uang Riba'!$H$30,B201&lt;='Uang Riba'!$I$30,OR(H201="Dana riba",H201="Pinjam uang riba",I201="Pinjam dari uang riba",I201="Ganti uang riba",I201="Kelebihan ganti dikembalikan",AND(C201="Kantong Uang Riba",G201="Pengeluaran"))),1,0)</f>
        <v/>
      </c>
      <c r="P201" s="119">
        <f>IF(197&gt;MAX($N$16:$N$5015),"",INDEX($B$16:$B$5015,MATCH((MAX($N$16:$N$5015)-197+1),$N$16:$N$5015,0)))</f>
        <v/>
      </c>
      <c r="Q201" s="105">
        <f>IF(197&gt;MAX($N$16:$N$5015),"",INDEX($C$16:$C$5015,MATCH((MAX($N$16:$N$5015)-197+1),$N$16:$N$5015,0)))&amp;IF(IF(197&gt;MAX($N$16:$N$5015),"",INDEX($E$16:$E$5015,MATCH((MAX($N$16:$N$5015)-197+1),$N$16:$N$5015,0)))="",""," → "&amp;IF(197&gt;MAX($N$16:$N$5015),"",INDEX($E$16:$E$5015,MATCH((MAX($N$16:$N$5015)-197+1),$N$16:$N$5015,0))))</f>
        <v/>
      </c>
      <c r="R201" s="105">
        <f>IF(197&gt;MAX($N$16:$N$5015),"",INDEX($D$16:$D$5015,MATCH((MAX($N$16:$N$5015)-197+1),$N$16:$N$5015,0)))</f>
        <v/>
      </c>
      <c r="S201" s="113">
        <f>IF(197&gt;MAX($N$16:$N$5015),"",INDEX($F$16:$F$5015,MATCH((MAX($N$16:$N$5015)-197+1),$N$16:$N$5015,0)))</f>
        <v/>
      </c>
      <c r="T201" s="105">
        <f>IF(197&gt;MAX($N$16:$N$5015),"",IF(197&gt;MAX($N$16:$N$5015),"",INDEX($G$16:$G$5015,MATCH((MAX($N$16:$N$5015)-197+1),$N$16:$N$5015,0)))&amp;" › "&amp;IF(197&gt;MAX($N$16:$N$5015),"",INDEX($H$16:$H$5015,MATCH((MAX($N$16:$N$5015)-197+1),$N$16:$N$5015,0)))&amp;" › "&amp;IF(197&gt;MAX($N$16:$N$5015),"",INDEX($I$16:$I$5015,MATCH((MAX($N$16:$N$5015)-197+1),$N$16:$N$5015,0))))</f>
        <v/>
      </c>
      <c r="U201" s="105">
        <f>IF(197&gt;MAX($N$16:$N$5015),"",INDEX($J$16:$J$5015,MATCH((MAX($N$16:$N$5015)-197+1),$N$16:$N$5015,0)))&amp;IF(IF(197&gt;MAX($N$16:$N$5015),"",INDEX($L$16:$L$5015,MATCH((MAX($N$16:$N$5015)-197+1),$N$16:$N$5015,0)))="",""," ["&amp;IF(197&gt;MAX($N$16:$N$5015),"",INDEX($L$16:$L$5015,MATCH((MAX($N$16:$N$5015)-197+1),$N$16:$N$5015,0)))&amp;"]")</f>
        <v/>
      </c>
      <c r="V201" s="120">
        <f>IF(197&gt;MAX($N$16:$N$5015),"",HYPERLINK("#Transaksi!B"&amp;(MATCH((MAX($N$16:$N$5015)-197+1),$N$16:$N$5015,0)+15),"Buka"))</f>
        <v/>
      </c>
      <c r="X201" s="93">
        <f>IF(AND(B201&lt;&gt;"",B201&gt;='Buku Akun'!$H$4,B201&lt;='Buku Akun'!$H$5,OR(C201='Buku Akun'!$C$4,AND(D201="Pindah",E201='Buku Akun'!$C$4))),B201+IF(AND(I201="Selisih bunga",DAY(B201)=1),0,0.01)+ROW()/10000000,"")</f>
        <v/>
      </c>
    </row>
    <row r="202" outlineLevel="1" ht="15" customHeight="1" s="94">
      <c r="A202" s="123">
        <f>IF(B202="","",ROW()-15)</f>
        <v/>
      </c>
      <c r="B202" s="124" t="n"/>
      <c r="C202" s="123" t="n"/>
      <c r="D202" s="123" t="n"/>
      <c r="E202" s="123" t="n"/>
      <c r="F202" s="125" t="n"/>
      <c r="G202" s="123" t="n"/>
      <c r="H202" s="123" t="n"/>
      <c r="I202" s="123" t="n"/>
      <c r="J202" s="123" t="n"/>
      <c r="K202" s="123" t="n"/>
      <c r="L202" s="123" t="n"/>
      <c r="M202" s="123">
        <f>IF(AND(B202&lt;&gt;"",OR($C$4="",ISNUMBER(SEARCH($C$4,C202&amp;" "&amp;E202&amp;" "&amp;G202&amp;" "&amp;H202&amp;" "&amp;I202&amp;" "&amp;J202&amp;" "&amp;K202&amp;" "&amp;L202))),OR($C$5="Semua",$C$5="",G202=$C$5),OR($C$6="Semua",$C$6="",H202=$C$6,H202="Pengeluaran "&amp;$C$6,AND($C$6="Uang Kos Mama",H202="Pengeluaran Uang Kos")),OR($C$7="Semua",$C$7="",I202=$C$7),OR($C$8="Semua",$C$8="",C202=$C$8,E202=$C$8),OR($C$9="Semua",$C$9="",D202=$C$9),OR($C$10="",B202&gt;=$C$10),OR($C$11="",B202&lt;=$C$11),OR($C$12&lt;&gt;"Ya",K202&lt;&gt;""),OR($C$13="Semua",$C$13="",L202=$C$13)),"✓","")</f>
        <v/>
      </c>
      <c r="N202" s="93">
        <f>N(N201)+IF(M202="✓",1,0)</f>
        <v/>
      </c>
      <c r="O202" s="93">
        <f>N(O201)+IF(AND(B202&lt;&gt;"",B202&gt;='Uang Riba'!$H$30,B202&lt;='Uang Riba'!$I$30,OR(H202="Dana riba",H202="Pinjam uang riba",I202="Pinjam dari uang riba",I202="Ganti uang riba",I202="Kelebihan ganti dikembalikan",AND(C202="Kantong Uang Riba",G202="Pengeluaran"))),1,0)</f>
        <v/>
      </c>
      <c r="P202" s="119">
        <f>IF(198&gt;MAX($N$16:$N$5015),"",INDEX($B$16:$B$5015,MATCH((MAX($N$16:$N$5015)-198+1),$N$16:$N$5015,0)))</f>
        <v/>
      </c>
      <c r="Q202" s="105">
        <f>IF(198&gt;MAX($N$16:$N$5015),"",INDEX($C$16:$C$5015,MATCH((MAX($N$16:$N$5015)-198+1),$N$16:$N$5015,0)))&amp;IF(IF(198&gt;MAX($N$16:$N$5015),"",INDEX($E$16:$E$5015,MATCH((MAX($N$16:$N$5015)-198+1),$N$16:$N$5015,0)))="",""," → "&amp;IF(198&gt;MAX($N$16:$N$5015),"",INDEX($E$16:$E$5015,MATCH((MAX($N$16:$N$5015)-198+1),$N$16:$N$5015,0))))</f>
        <v/>
      </c>
      <c r="R202" s="105">
        <f>IF(198&gt;MAX($N$16:$N$5015),"",INDEX($D$16:$D$5015,MATCH((MAX($N$16:$N$5015)-198+1),$N$16:$N$5015,0)))</f>
        <v/>
      </c>
      <c r="S202" s="113">
        <f>IF(198&gt;MAX($N$16:$N$5015),"",INDEX($F$16:$F$5015,MATCH((MAX($N$16:$N$5015)-198+1),$N$16:$N$5015,0)))</f>
        <v/>
      </c>
      <c r="T202" s="105">
        <f>IF(198&gt;MAX($N$16:$N$5015),"",IF(198&gt;MAX($N$16:$N$5015),"",INDEX($G$16:$G$5015,MATCH((MAX($N$16:$N$5015)-198+1),$N$16:$N$5015,0)))&amp;" › "&amp;IF(198&gt;MAX($N$16:$N$5015),"",INDEX($H$16:$H$5015,MATCH((MAX($N$16:$N$5015)-198+1),$N$16:$N$5015,0)))&amp;" › "&amp;IF(198&gt;MAX($N$16:$N$5015),"",INDEX($I$16:$I$5015,MATCH((MAX($N$16:$N$5015)-198+1),$N$16:$N$5015,0))))</f>
        <v/>
      </c>
      <c r="U202" s="105">
        <f>IF(198&gt;MAX($N$16:$N$5015),"",INDEX($J$16:$J$5015,MATCH((MAX($N$16:$N$5015)-198+1),$N$16:$N$5015,0)))&amp;IF(IF(198&gt;MAX($N$16:$N$5015),"",INDEX($L$16:$L$5015,MATCH((MAX($N$16:$N$5015)-198+1),$N$16:$N$5015,0)))="",""," ["&amp;IF(198&gt;MAX($N$16:$N$5015),"",INDEX($L$16:$L$5015,MATCH((MAX($N$16:$N$5015)-198+1),$N$16:$N$5015,0)))&amp;"]")</f>
        <v/>
      </c>
      <c r="V202" s="120">
        <f>IF(198&gt;MAX($N$16:$N$5015),"",HYPERLINK("#Transaksi!B"&amp;(MATCH((MAX($N$16:$N$5015)-198+1),$N$16:$N$5015,0)+15),"Buka"))</f>
        <v/>
      </c>
      <c r="X202" s="93">
        <f>IF(AND(B202&lt;&gt;"",B202&gt;='Buku Akun'!$H$4,B202&lt;='Buku Akun'!$H$5,OR(C202='Buku Akun'!$C$4,AND(D202="Pindah",E202='Buku Akun'!$C$4))),B202+IF(AND(I202="Selisih bunga",DAY(B202)=1),0,0.01)+ROW()/10000000,"")</f>
        <v/>
      </c>
    </row>
    <row r="203" outlineLevel="1" ht="15" customHeight="1" s="94">
      <c r="A203" s="123">
        <f>IF(B203="","",ROW()-15)</f>
        <v/>
      </c>
      <c r="B203" s="124" t="n"/>
      <c r="C203" s="123" t="n"/>
      <c r="D203" s="123" t="n"/>
      <c r="E203" s="123" t="n"/>
      <c r="F203" s="125" t="n"/>
      <c r="G203" s="123" t="n"/>
      <c r="H203" s="123" t="n"/>
      <c r="I203" s="123" t="n"/>
      <c r="J203" s="123" t="n"/>
      <c r="K203" s="123" t="n"/>
      <c r="L203" s="123" t="n"/>
      <c r="M203" s="123">
        <f>IF(AND(B203&lt;&gt;"",OR($C$4="",ISNUMBER(SEARCH($C$4,C203&amp;" "&amp;E203&amp;" "&amp;G203&amp;" "&amp;H203&amp;" "&amp;I203&amp;" "&amp;J203&amp;" "&amp;K203&amp;" "&amp;L203))),OR($C$5="Semua",$C$5="",G203=$C$5),OR($C$6="Semua",$C$6="",H203=$C$6,H203="Pengeluaran "&amp;$C$6,AND($C$6="Uang Kos Mama",H203="Pengeluaran Uang Kos")),OR($C$7="Semua",$C$7="",I203=$C$7),OR($C$8="Semua",$C$8="",C203=$C$8,E203=$C$8),OR($C$9="Semua",$C$9="",D203=$C$9),OR($C$10="",B203&gt;=$C$10),OR($C$11="",B203&lt;=$C$11),OR($C$12&lt;&gt;"Ya",K203&lt;&gt;""),OR($C$13="Semua",$C$13="",L203=$C$13)),"✓","")</f>
        <v/>
      </c>
      <c r="N203" s="93">
        <f>N(N202)+IF(M203="✓",1,0)</f>
        <v/>
      </c>
      <c r="O203" s="93">
        <f>N(O202)+IF(AND(B203&lt;&gt;"",B203&gt;='Uang Riba'!$H$30,B203&lt;='Uang Riba'!$I$30,OR(H203="Dana riba",H203="Pinjam uang riba",I203="Pinjam dari uang riba",I203="Ganti uang riba",I203="Kelebihan ganti dikembalikan",AND(C203="Kantong Uang Riba",G203="Pengeluaran"))),1,0)</f>
        <v/>
      </c>
      <c r="P203" s="119">
        <f>IF(199&gt;MAX($N$16:$N$5015),"",INDEX($B$16:$B$5015,MATCH((MAX($N$16:$N$5015)-199+1),$N$16:$N$5015,0)))</f>
        <v/>
      </c>
      <c r="Q203" s="105">
        <f>IF(199&gt;MAX($N$16:$N$5015),"",INDEX($C$16:$C$5015,MATCH((MAX($N$16:$N$5015)-199+1),$N$16:$N$5015,0)))&amp;IF(IF(199&gt;MAX($N$16:$N$5015),"",INDEX($E$16:$E$5015,MATCH((MAX($N$16:$N$5015)-199+1),$N$16:$N$5015,0)))="",""," → "&amp;IF(199&gt;MAX($N$16:$N$5015),"",INDEX($E$16:$E$5015,MATCH((MAX($N$16:$N$5015)-199+1),$N$16:$N$5015,0))))</f>
        <v/>
      </c>
      <c r="R203" s="105">
        <f>IF(199&gt;MAX($N$16:$N$5015),"",INDEX($D$16:$D$5015,MATCH((MAX($N$16:$N$5015)-199+1),$N$16:$N$5015,0)))</f>
        <v/>
      </c>
      <c r="S203" s="113">
        <f>IF(199&gt;MAX($N$16:$N$5015),"",INDEX($F$16:$F$5015,MATCH((MAX($N$16:$N$5015)-199+1),$N$16:$N$5015,0)))</f>
        <v/>
      </c>
      <c r="T203" s="105">
        <f>IF(199&gt;MAX($N$16:$N$5015),"",IF(199&gt;MAX($N$16:$N$5015),"",INDEX($G$16:$G$5015,MATCH((MAX($N$16:$N$5015)-199+1),$N$16:$N$5015,0)))&amp;" › "&amp;IF(199&gt;MAX($N$16:$N$5015),"",INDEX($H$16:$H$5015,MATCH((MAX($N$16:$N$5015)-199+1),$N$16:$N$5015,0)))&amp;" › "&amp;IF(199&gt;MAX($N$16:$N$5015),"",INDEX($I$16:$I$5015,MATCH((MAX($N$16:$N$5015)-199+1),$N$16:$N$5015,0))))</f>
        <v/>
      </c>
      <c r="U203" s="105">
        <f>IF(199&gt;MAX($N$16:$N$5015),"",INDEX($J$16:$J$5015,MATCH((MAX($N$16:$N$5015)-199+1),$N$16:$N$5015,0)))&amp;IF(IF(199&gt;MAX($N$16:$N$5015),"",INDEX($L$16:$L$5015,MATCH((MAX($N$16:$N$5015)-199+1),$N$16:$N$5015,0)))="",""," ["&amp;IF(199&gt;MAX($N$16:$N$5015),"",INDEX($L$16:$L$5015,MATCH((MAX($N$16:$N$5015)-199+1),$N$16:$N$5015,0)))&amp;"]")</f>
        <v/>
      </c>
      <c r="V203" s="120">
        <f>IF(199&gt;MAX($N$16:$N$5015),"",HYPERLINK("#Transaksi!B"&amp;(MATCH((MAX($N$16:$N$5015)-199+1),$N$16:$N$5015,0)+15),"Buka"))</f>
        <v/>
      </c>
      <c r="X203" s="93">
        <f>IF(AND(B203&lt;&gt;"",B203&gt;='Buku Akun'!$H$4,B203&lt;='Buku Akun'!$H$5,OR(C203='Buku Akun'!$C$4,AND(D203="Pindah",E203='Buku Akun'!$C$4))),B203+IF(AND(I203="Selisih bunga",DAY(B203)=1),0,0.01)+ROW()/10000000,"")</f>
        <v/>
      </c>
    </row>
    <row r="204" outlineLevel="1" ht="15" customHeight="1" s="94">
      <c r="A204" s="123">
        <f>IF(B204="","",ROW()-15)</f>
        <v/>
      </c>
      <c r="B204" s="124" t="n"/>
      <c r="C204" s="123" t="n"/>
      <c r="D204" s="123" t="n"/>
      <c r="E204" s="123" t="n"/>
      <c r="F204" s="125" t="n"/>
      <c r="G204" s="123" t="n"/>
      <c r="H204" s="123" t="n"/>
      <c r="I204" s="123" t="n"/>
      <c r="J204" s="123" t="n"/>
      <c r="K204" s="123" t="n"/>
      <c r="L204" s="123" t="n"/>
      <c r="M204" s="123">
        <f>IF(AND(B204&lt;&gt;"",OR($C$4="",ISNUMBER(SEARCH($C$4,C204&amp;" "&amp;E204&amp;" "&amp;G204&amp;" "&amp;H204&amp;" "&amp;I204&amp;" "&amp;J204&amp;" "&amp;K204&amp;" "&amp;L204))),OR($C$5="Semua",$C$5="",G204=$C$5),OR($C$6="Semua",$C$6="",H204=$C$6,H204="Pengeluaran "&amp;$C$6,AND($C$6="Uang Kos Mama",H204="Pengeluaran Uang Kos")),OR($C$7="Semua",$C$7="",I204=$C$7),OR($C$8="Semua",$C$8="",C204=$C$8,E204=$C$8),OR($C$9="Semua",$C$9="",D204=$C$9),OR($C$10="",B204&gt;=$C$10),OR($C$11="",B204&lt;=$C$11),OR($C$12&lt;&gt;"Ya",K204&lt;&gt;""),OR($C$13="Semua",$C$13="",L204=$C$13)),"✓","")</f>
        <v/>
      </c>
      <c r="N204" s="93">
        <f>N(N203)+IF(M204="✓",1,0)</f>
        <v/>
      </c>
      <c r="O204" s="93">
        <f>N(O203)+IF(AND(B204&lt;&gt;"",B204&gt;='Uang Riba'!$H$30,B204&lt;='Uang Riba'!$I$30,OR(H204="Dana riba",H204="Pinjam uang riba",I204="Pinjam dari uang riba",I204="Ganti uang riba",I204="Kelebihan ganti dikembalikan",AND(C204="Kantong Uang Riba",G204="Pengeluaran"))),1,0)</f>
        <v/>
      </c>
      <c r="P204" s="119">
        <f>IF(200&gt;MAX($N$16:$N$5015),"",INDEX($B$16:$B$5015,MATCH((MAX($N$16:$N$5015)-200+1),$N$16:$N$5015,0)))</f>
        <v/>
      </c>
      <c r="Q204" s="105">
        <f>IF(200&gt;MAX($N$16:$N$5015),"",INDEX($C$16:$C$5015,MATCH((MAX($N$16:$N$5015)-200+1),$N$16:$N$5015,0)))&amp;IF(IF(200&gt;MAX($N$16:$N$5015),"",INDEX($E$16:$E$5015,MATCH((MAX($N$16:$N$5015)-200+1),$N$16:$N$5015,0)))="",""," → "&amp;IF(200&gt;MAX($N$16:$N$5015),"",INDEX($E$16:$E$5015,MATCH((MAX($N$16:$N$5015)-200+1),$N$16:$N$5015,0))))</f>
        <v/>
      </c>
      <c r="R204" s="105">
        <f>IF(200&gt;MAX($N$16:$N$5015),"",INDEX($D$16:$D$5015,MATCH((MAX($N$16:$N$5015)-200+1),$N$16:$N$5015,0)))</f>
        <v/>
      </c>
      <c r="S204" s="113">
        <f>IF(200&gt;MAX($N$16:$N$5015),"",INDEX($F$16:$F$5015,MATCH((MAX($N$16:$N$5015)-200+1),$N$16:$N$5015,0)))</f>
        <v/>
      </c>
      <c r="T204" s="105">
        <f>IF(200&gt;MAX($N$16:$N$5015),"",IF(200&gt;MAX($N$16:$N$5015),"",INDEX($G$16:$G$5015,MATCH((MAX($N$16:$N$5015)-200+1),$N$16:$N$5015,0)))&amp;" › "&amp;IF(200&gt;MAX($N$16:$N$5015),"",INDEX($H$16:$H$5015,MATCH((MAX($N$16:$N$5015)-200+1),$N$16:$N$5015,0)))&amp;" › "&amp;IF(200&gt;MAX($N$16:$N$5015),"",INDEX($I$16:$I$5015,MATCH((MAX($N$16:$N$5015)-200+1),$N$16:$N$5015,0))))</f>
        <v/>
      </c>
      <c r="U204" s="105">
        <f>IF(200&gt;MAX($N$16:$N$5015),"",INDEX($J$16:$J$5015,MATCH((MAX($N$16:$N$5015)-200+1),$N$16:$N$5015,0)))&amp;IF(IF(200&gt;MAX($N$16:$N$5015),"",INDEX($L$16:$L$5015,MATCH((MAX($N$16:$N$5015)-200+1),$N$16:$N$5015,0)))="",""," ["&amp;IF(200&gt;MAX($N$16:$N$5015),"",INDEX($L$16:$L$5015,MATCH((MAX($N$16:$N$5015)-200+1),$N$16:$N$5015,0)))&amp;"]")</f>
        <v/>
      </c>
      <c r="V204" s="120">
        <f>IF(200&gt;MAX($N$16:$N$5015),"",HYPERLINK("#Transaksi!B"&amp;(MATCH((MAX($N$16:$N$5015)-200+1),$N$16:$N$5015,0)+15),"Buka"))</f>
        <v/>
      </c>
      <c r="X204" s="93">
        <f>IF(AND(B204&lt;&gt;"",B204&gt;='Buku Akun'!$H$4,B204&lt;='Buku Akun'!$H$5,OR(C204='Buku Akun'!$C$4,AND(D204="Pindah",E204='Buku Akun'!$C$4))),B204+IF(AND(I204="Selisih bunga",DAY(B204)=1),0,0.01)+ROW()/10000000,"")</f>
        <v/>
      </c>
    </row>
    <row r="205" outlineLevel="1" ht="15" customHeight="1" s="94">
      <c r="A205" s="123">
        <f>IF(B205="","",ROW()-15)</f>
        <v/>
      </c>
      <c r="B205" s="124" t="n"/>
      <c r="C205" s="123" t="n"/>
      <c r="D205" s="123" t="n"/>
      <c r="E205" s="123" t="n"/>
      <c r="F205" s="125" t="n"/>
      <c r="G205" s="123" t="n"/>
      <c r="H205" s="123" t="n"/>
      <c r="I205" s="123" t="n"/>
      <c r="J205" s="123" t="n"/>
      <c r="K205" s="123" t="n"/>
      <c r="L205" s="123" t="n"/>
      <c r="M205" s="123">
        <f>IF(AND(B205&lt;&gt;"",OR($C$4="",ISNUMBER(SEARCH($C$4,C205&amp;" "&amp;E205&amp;" "&amp;G205&amp;" "&amp;H205&amp;" "&amp;I205&amp;" "&amp;J205&amp;" "&amp;K205&amp;" "&amp;L205))),OR($C$5="Semua",$C$5="",G205=$C$5),OR($C$6="Semua",$C$6="",H205=$C$6,H205="Pengeluaran "&amp;$C$6,AND($C$6="Uang Kos Mama",H205="Pengeluaran Uang Kos")),OR($C$7="Semua",$C$7="",I205=$C$7),OR($C$8="Semua",$C$8="",C205=$C$8,E205=$C$8),OR($C$9="Semua",$C$9="",D205=$C$9),OR($C$10="",B205&gt;=$C$10),OR($C$11="",B205&lt;=$C$11),OR($C$12&lt;&gt;"Ya",K205&lt;&gt;""),OR($C$13="Semua",$C$13="",L205=$C$13)),"✓","")</f>
        <v/>
      </c>
      <c r="N205" s="93">
        <f>N(N204)+IF(M205="✓",1,0)</f>
        <v/>
      </c>
      <c r="O205" s="93">
        <f>N(O204)+IF(AND(B205&lt;&gt;"",B205&gt;='Uang Riba'!$H$30,B205&lt;='Uang Riba'!$I$30,OR(H205="Dana riba",H205="Pinjam uang riba",I205="Pinjam dari uang riba",I205="Ganti uang riba",I205="Kelebihan ganti dikembalikan",AND(C205="Kantong Uang Riba",G205="Pengeluaran"))),1,0)</f>
        <v/>
      </c>
      <c r="P205" s="119">
        <f>IF(201&gt;MAX($N$16:$N$5015),"",INDEX($B$16:$B$5015,MATCH((MAX($N$16:$N$5015)-201+1),$N$16:$N$5015,0)))</f>
        <v/>
      </c>
      <c r="Q205" s="105">
        <f>IF(201&gt;MAX($N$16:$N$5015),"",INDEX($C$16:$C$5015,MATCH((MAX($N$16:$N$5015)-201+1),$N$16:$N$5015,0)))&amp;IF(IF(201&gt;MAX($N$16:$N$5015),"",INDEX($E$16:$E$5015,MATCH((MAX($N$16:$N$5015)-201+1),$N$16:$N$5015,0)))="",""," → "&amp;IF(201&gt;MAX($N$16:$N$5015),"",INDEX($E$16:$E$5015,MATCH((MAX($N$16:$N$5015)-201+1),$N$16:$N$5015,0))))</f>
        <v/>
      </c>
      <c r="R205" s="105">
        <f>IF(201&gt;MAX($N$16:$N$5015),"",INDEX($D$16:$D$5015,MATCH((MAX($N$16:$N$5015)-201+1),$N$16:$N$5015,0)))</f>
        <v/>
      </c>
      <c r="S205" s="113">
        <f>IF(201&gt;MAX($N$16:$N$5015),"",INDEX($F$16:$F$5015,MATCH((MAX($N$16:$N$5015)-201+1),$N$16:$N$5015,0)))</f>
        <v/>
      </c>
      <c r="T205" s="105">
        <f>IF(201&gt;MAX($N$16:$N$5015),"",IF(201&gt;MAX($N$16:$N$5015),"",INDEX($G$16:$G$5015,MATCH((MAX($N$16:$N$5015)-201+1),$N$16:$N$5015,0)))&amp;" › "&amp;IF(201&gt;MAX($N$16:$N$5015),"",INDEX($H$16:$H$5015,MATCH((MAX($N$16:$N$5015)-201+1),$N$16:$N$5015,0)))&amp;" › "&amp;IF(201&gt;MAX($N$16:$N$5015),"",INDEX($I$16:$I$5015,MATCH((MAX($N$16:$N$5015)-201+1),$N$16:$N$5015,0))))</f>
        <v/>
      </c>
      <c r="U205" s="105">
        <f>IF(201&gt;MAX($N$16:$N$5015),"",INDEX($J$16:$J$5015,MATCH((MAX($N$16:$N$5015)-201+1),$N$16:$N$5015,0)))&amp;IF(IF(201&gt;MAX($N$16:$N$5015),"",INDEX($L$16:$L$5015,MATCH((MAX($N$16:$N$5015)-201+1),$N$16:$N$5015,0)))="",""," ["&amp;IF(201&gt;MAX($N$16:$N$5015),"",INDEX($L$16:$L$5015,MATCH((MAX($N$16:$N$5015)-201+1),$N$16:$N$5015,0)))&amp;"]")</f>
        <v/>
      </c>
      <c r="V205" s="120">
        <f>IF(201&gt;MAX($N$16:$N$5015),"",HYPERLINK("#Transaksi!B"&amp;(MATCH((MAX($N$16:$N$5015)-201+1),$N$16:$N$5015,0)+15),"Buka"))</f>
        <v/>
      </c>
      <c r="X205" s="93">
        <f>IF(AND(B205&lt;&gt;"",B205&gt;='Buku Akun'!$H$4,B205&lt;='Buku Akun'!$H$5,OR(C205='Buku Akun'!$C$4,AND(D205="Pindah",E205='Buku Akun'!$C$4))),B205+IF(AND(I205="Selisih bunga",DAY(B205)=1),0,0.01)+ROW()/10000000,"")</f>
        <v/>
      </c>
    </row>
    <row r="206" outlineLevel="1" ht="15" customHeight="1" s="94">
      <c r="A206" s="123">
        <f>IF(B206="","",ROW()-15)</f>
        <v/>
      </c>
      <c r="B206" s="124" t="n"/>
      <c r="C206" s="123" t="n"/>
      <c r="D206" s="123" t="n"/>
      <c r="E206" s="123" t="n"/>
      <c r="F206" s="125" t="n"/>
      <c r="G206" s="123" t="n"/>
      <c r="H206" s="123" t="n"/>
      <c r="I206" s="123" t="n"/>
      <c r="J206" s="123" t="n"/>
      <c r="K206" s="123" t="n"/>
      <c r="L206" s="123" t="n"/>
      <c r="M206" s="123">
        <f>IF(AND(B206&lt;&gt;"",OR($C$4="",ISNUMBER(SEARCH($C$4,C206&amp;" "&amp;E206&amp;" "&amp;G206&amp;" "&amp;H206&amp;" "&amp;I206&amp;" "&amp;J206&amp;" "&amp;K206&amp;" "&amp;L206))),OR($C$5="Semua",$C$5="",G206=$C$5),OR($C$6="Semua",$C$6="",H206=$C$6,H206="Pengeluaran "&amp;$C$6,AND($C$6="Uang Kos Mama",H206="Pengeluaran Uang Kos")),OR($C$7="Semua",$C$7="",I206=$C$7),OR($C$8="Semua",$C$8="",C206=$C$8,E206=$C$8),OR($C$9="Semua",$C$9="",D206=$C$9),OR($C$10="",B206&gt;=$C$10),OR($C$11="",B206&lt;=$C$11),OR($C$12&lt;&gt;"Ya",K206&lt;&gt;""),OR($C$13="Semua",$C$13="",L206=$C$13)),"✓","")</f>
        <v/>
      </c>
      <c r="N206" s="93">
        <f>N(N205)+IF(M206="✓",1,0)</f>
        <v/>
      </c>
      <c r="O206" s="93">
        <f>N(O205)+IF(AND(B206&lt;&gt;"",B206&gt;='Uang Riba'!$H$30,B206&lt;='Uang Riba'!$I$30,OR(H206="Dana riba",H206="Pinjam uang riba",I206="Pinjam dari uang riba",I206="Ganti uang riba",I206="Kelebihan ganti dikembalikan",AND(C206="Kantong Uang Riba",G206="Pengeluaran"))),1,0)</f>
        <v/>
      </c>
      <c r="P206" s="119">
        <f>IF(202&gt;MAX($N$16:$N$5015),"",INDEX($B$16:$B$5015,MATCH((MAX($N$16:$N$5015)-202+1),$N$16:$N$5015,0)))</f>
        <v/>
      </c>
      <c r="Q206" s="105">
        <f>IF(202&gt;MAX($N$16:$N$5015),"",INDEX($C$16:$C$5015,MATCH((MAX($N$16:$N$5015)-202+1),$N$16:$N$5015,0)))&amp;IF(IF(202&gt;MAX($N$16:$N$5015),"",INDEX($E$16:$E$5015,MATCH((MAX($N$16:$N$5015)-202+1),$N$16:$N$5015,0)))="",""," → "&amp;IF(202&gt;MAX($N$16:$N$5015),"",INDEX($E$16:$E$5015,MATCH((MAX($N$16:$N$5015)-202+1),$N$16:$N$5015,0))))</f>
        <v/>
      </c>
      <c r="R206" s="105">
        <f>IF(202&gt;MAX($N$16:$N$5015),"",INDEX($D$16:$D$5015,MATCH((MAX($N$16:$N$5015)-202+1),$N$16:$N$5015,0)))</f>
        <v/>
      </c>
      <c r="S206" s="113">
        <f>IF(202&gt;MAX($N$16:$N$5015),"",INDEX($F$16:$F$5015,MATCH((MAX($N$16:$N$5015)-202+1),$N$16:$N$5015,0)))</f>
        <v/>
      </c>
      <c r="T206" s="105">
        <f>IF(202&gt;MAX($N$16:$N$5015),"",IF(202&gt;MAX($N$16:$N$5015),"",INDEX($G$16:$G$5015,MATCH((MAX($N$16:$N$5015)-202+1),$N$16:$N$5015,0)))&amp;" › "&amp;IF(202&gt;MAX($N$16:$N$5015),"",INDEX($H$16:$H$5015,MATCH((MAX($N$16:$N$5015)-202+1),$N$16:$N$5015,0)))&amp;" › "&amp;IF(202&gt;MAX($N$16:$N$5015),"",INDEX($I$16:$I$5015,MATCH((MAX($N$16:$N$5015)-202+1),$N$16:$N$5015,0))))</f>
        <v/>
      </c>
      <c r="U206" s="105">
        <f>IF(202&gt;MAX($N$16:$N$5015),"",INDEX($J$16:$J$5015,MATCH((MAX($N$16:$N$5015)-202+1),$N$16:$N$5015,0)))&amp;IF(IF(202&gt;MAX($N$16:$N$5015),"",INDEX($L$16:$L$5015,MATCH((MAX($N$16:$N$5015)-202+1),$N$16:$N$5015,0)))="",""," ["&amp;IF(202&gt;MAX($N$16:$N$5015),"",INDEX($L$16:$L$5015,MATCH((MAX($N$16:$N$5015)-202+1),$N$16:$N$5015,0)))&amp;"]")</f>
        <v/>
      </c>
      <c r="V206" s="120">
        <f>IF(202&gt;MAX($N$16:$N$5015),"",HYPERLINK("#Transaksi!B"&amp;(MATCH((MAX($N$16:$N$5015)-202+1),$N$16:$N$5015,0)+15),"Buka"))</f>
        <v/>
      </c>
      <c r="X206" s="93">
        <f>IF(AND(B206&lt;&gt;"",B206&gt;='Buku Akun'!$H$4,B206&lt;='Buku Akun'!$H$5,OR(C206='Buku Akun'!$C$4,AND(D206="Pindah",E206='Buku Akun'!$C$4))),B206+IF(AND(I206="Selisih bunga",DAY(B206)=1),0,0.01)+ROW()/10000000,"")</f>
        <v/>
      </c>
    </row>
    <row r="207" outlineLevel="1" ht="15" customHeight="1" s="94">
      <c r="A207" s="123">
        <f>IF(B207="","",ROW()-15)</f>
        <v/>
      </c>
      <c r="B207" s="124" t="n"/>
      <c r="C207" s="123" t="n"/>
      <c r="D207" s="123" t="n"/>
      <c r="E207" s="123" t="n"/>
      <c r="F207" s="125" t="n"/>
      <c r="G207" s="123" t="n"/>
      <c r="H207" s="123" t="n"/>
      <c r="I207" s="123" t="n"/>
      <c r="J207" s="123" t="n"/>
      <c r="K207" s="123" t="n"/>
      <c r="L207" s="123" t="n"/>
      <c r="M207" s="123">
        <f>IF(AND(B207&lt;&gt;"",OR($C$4="",ISNUMBER(SEARCH($C$4,C207&amp;" "&amp;E207&amp;" "&amp;G207&amp;" "&amp;H207&amp;" "&amp;I207&amp;" "&amp;J207&amp;" "&amp;K207&amp;" "&amp;L207))),OR($C$5="Semua",$C$5="",G207=$C$5),OR($C$6="Semua",$C$6="",H207=$C$6,H207="Pengeluaran "&amp;$C$6,AND($C$6="Uang Kos Mama",H207="Pengeluaran Uang Kos")),OR($C$7="Semua",$C$7="",I207=$C$7),OR($C$8="Semua",$C$8="",C207=$C$8,E207=$C$8),OR($C$9="Semua",$C$9="",D207=$C$9),OR($C$10="",B207&gt;=$C$10),OR($C$11="",B207&lt;=$C$11),OR($C$12&lt;&gt;"Ya",K207&lt;&gt;""),OR($C$13="Semua",$C$13="",L207=$C$13)),"✓","")</f>
        <v/>
      </c>
      <c r="N207" s="93">
        <f>N(N206)+IF(M207="✓",1,0)</f>
        <v/>
      </c>
      <c r="O207" s="93">
        <f>N(O206)+IF(AND(B207&lt;&gt;"",B207&gt;='Uang Riba'!$H$30,B207&lt;='Uang Riba'!$I$30,OR(H207="Dana riba",H207="Pinjam uang riba",I207="Pinjam dari uang riba",I207="Ganti uang riba",I207="Kelebihan ganti dikembalikan",AND(C207="Kantong Uang Riba",G207="Pengeluaran"))),1,0)</f>
        <v/>
      </c>
      <c r="P207" s="119">
        <f>IF(203&gt;MAX($N$16:$N$5015),"",INDEX($B$16:$B$5015,MATCH((MAX($N$16:$N$5015)-203+1),$N$16:$N$5015,0)))</f>
        <v/>
      </c>
      <c r="Q207" s="105">
        <f>IF(203&gt;MAX($N$16:$N$5015),"",INDEX($C$16:$C$5015,MATCH((MAX($N$16:$N$5015)-203+1),$N$16:$N$5015,0)))&amp;IF(IF(203&gt;MAX($N$16:$N$5015),"",INDEX($E$16:$E$5015,MATCH((MAX($N$16:$N$5015)-203+1),$N$16:$N$5015,0)))="",""," → "&amp;IF(203&gt;MAX($N$16:$N$5015),"",INDEX($E$16:$E$5015,MATCH((MAX($N$16:$N$5015)-203+1),$N$16:$N$5015,0))))</f>
        <v/>
      </c>
      <c r="R207" s="105">
        <f>IF(203&gt;MAX($N$16:$N$5015),"",INDEX($D$16:$D$5015,MATCH((MAX($N$16:$N$5015)-203+1),$N$16:$N$5015,0)))</f>
        <v/>
      </c>
      <c r="S207" s="113">
        <f>IF(203&gt;MAX($N$16:$N$5015),"",INDEX($F$16:$F$5015,MATCH((MAX($N$16:$N$5015)-203+1),$N$16:$N$5015,0)))</f>
        <v/>
      </c>
      <c r="T207" s="105">
        <f>IF(203&gt;MAX($N$16:$N$5015),"",IF(203&gt;MAX($N$16:$N$5015),"",INDEX($G$16:$G$5015,MATCH((MAX($N$16:$N$5015)-203+1),$N$16:$N$5015,0)))&amp;" › "&amp;IF(203&gt;MAX($N$16:$N$5015),"",INDEX($H$16:$H$5015,MATCH((MAX($N$16:$N$5015)-203+1),$N$16:$N$5015,0)))&amp;" › "&amp;IF(203&gt;MAX($N$16:$N$5015),"",INDEX($I$16:$I$5015,MATCH((MAX($N$16:$N$5015)-203+1),$N$16:$N$5015,0))))</f>
        <v/>
      </c>
      <c r="U207" s="105">
        <f>IF(203&gt;MAX($N$16:$N$5015),"",INDEX($J$16:$J$5015,MATCH((MAX($N$16:$N$5015)-203+1),$N$16:$N$5015,0)))&amp;IF(IF(203&gt;MAX($N$16:$N$5015),"",INDEX($L$16:$L$5015,MATCH((MAX($N$16:$N$5015)-203+1),$N$16:$N$5015,0)))="",""," ["&amp;IF(203&gt;MAX($N$16:$N$5015),"",INDEX($L$16:$L$5015,MATCH((MAX($N$16:$N$5015)-203+1),$N$16:$N$5015,0)))&amp;"]")</f>
        <v/>
      </c>
      <c r="V207" s="120">
        <f>IF(203&gt;MAX($N$16:$N$5015),"",HYPERLINK("#Transaksi!B"&amp;(MATCH((MAX($N$16:$N$5015)-203+1),$N$16:$N$5015,0)+15),"Buka"))</f>
        <v/>
      </c>
      <c r="X207" s="93">
        <f>IF(AND(B207&lt;&gt;"",B207&gt;='Buku Akun'!$H$4,B207&lt;='Buku Akun'!$H$5,OR(C207='Buku Akun'!$C$4,AND(D207="Pindah",E207='Buku Akun'!$C$4))),B207+IF(AND(I207="Selisih bunga",DAY(B207)=1),0,0.01)+ROW()/10000000,"")</f>
        <v/>
      </c>
    </row>
    <row r="208" outlineLevel="1" ht="15" customHeight="1" s="94">
      <c r="A208" s="123">
        <f>IF(B208="","",ROW()-15)</f>
        <v/>
      </c>
      <c r="B208" s="124" t="n"/>
      <c r="C208" s="123" t="n"/>
      <c r="D208" s="123" t="n"/>
      <c r="E208" s="123" t="n"/>
      <c r="F208" s="125" t="n"/>
      <c r="G208" s="123" t="n"/>
      <c r="H208" s="123" t="n"/>
      <c r="I208" s="123" t="n"/>
      <c r="J208" s="123" t="n"/>
      <c r="K208" s="123" t="n"/>
      <c r="L208" s="123" t="n"/>
      <c r="M208" s="123">
        <f>IF(AND(B208&lt;&gt;"",OR($C$4="",ISNUMBER(SEARCH($C$4,C208&amp;" "&amp;E208&amp;" "&amp;G208&amp;" "&amp;H208&amp;" "&amp;I208&amp;" "&amp;J208&amp;" "&amp;K208&amp;" "&amp;L208))),OR($C$5="Semua",$C$5="",G208=$C$5),OR($C$6="Semua",$C$6="",H208=$C$6,H208="Pengeluaran "&amp;$C$6,AND($C$6="Uang Kos Mama",H208="Pengeluaran Uang Kos")),OR($C$7="Semua",$C$7="",I208=$C$7),OR($C$8="Semua",$C$8="",C208=$C$8,E208=$C$8),OR($C$9="Semua",$C$9="",D208=$C$9),OR($C$10="",B208&gt;=$C$10),OR($C$11="",B208&lt;=$C$11),OR($C$12&lt;&gt;"Ya",K208&lt;&gt;""),OR($C$13="Semua",$C$13="",L208=$C$13)),"✓","")</f>
        <v/>
      </c>
      <c r="N208" s="93">
        <f>N(N207)+IF(M208="✓",1,0)</f>
        <v/>
      </c>
      <c r="O208" s="93">
        <f>N(O207)+IF(AND(B208&lt;&gt;"",B208&gt;='Uang Riba'!$H$30,B208&lt;='Uang Riba'!$I$30,OR(H208="Dana riba",H208="Pinjam uang riba",I208="Pinjam dari uang riba",I208="Ganti uang riba",I208="Kelebihan ganti dikembalikan",AND(C208="Kantong Uang Riba",G208="Pengeluaran"))),1,0)</f>
        <v/>
      </c>
      <c r="P208" s="119">
        <f>IF(204&gt;MAX($N$16:$N$5015),"",INDEX($B$16:$B$5015,MATCH((MAX($N$16:$N$5015)-204+1),$N$16:$N$5015,0)))</f>
        <v/>
      </c>
      <c r="Q208" s="105">
        <f>IF(204&gt;MAX($N$16:$N$5015),"",INDEX($C$16:$C$5015,MATCH((MAX($N$16:$N$5015)-204+1),$N$16:$N$5015,0)))&amp;IF(IF(204&gt;MAX($N$16:$N$5015),"",INDEX($E$16:$E$5015,MATCH((MAX($N$16:$N$5015)-204+1),$N$16:$N$5015,0)))="",""," → "&amp;IF(204&gt;MAX($N$16:$N$5015),"",INDEX($E$16:$E$5015,MATCH((MAX($N$16:$N$5015)-204+1),$N$16:$N$5015,0))))</f>
        <v/>
      </c>
      <c r="R208" s="105">
        <f>IF(204&gt;MAX($N$16:$N$5015),"",INDEX($D$16:$D$5015,MATCH((MAX($N$16:$N$5015)-204+1),$N$16:$N$5015,0)))</f>
        <v/>
      </c>
      <c r="S208" s="113">
        <f>IF(204&gt;MAX($N$16:$N$5015),"",INDEX($F$16:$F$5015,MATCH((MAX($N$16:$N$5015)-204+1),$N$16:$N$5015,0)))</f>
        <v/>
      </c>
      <c r="T208" s="105">
        <f>IF(204&gt;MAX($N$16:$N$5015),"",IF(204&gt;MAX($N$16:$N$5015),"",INDEX($G$16:$G$5015,MATCH((MAX($N$16:$N$5015)-204+1),$N$16:$N$5015,0)))&amp;" › "&amp;IF(204&gt;MAX($N$16:$N$5015),"",INDEX($H$16:$H$5015,MATCH((MAX($N$16:$N$5015)-204+1),$N$16:$N$5015,0)))&amp;" › "&amp;IF(204&gt;MAX($N$16:$N$5015),"",INDEX($I$16:$I$5015,MATCH((MAX($N$16:$N$5015)-204+1),$N$16:$N$5015,0))))</f>
        <v/>
      </c>
      <c r="U208" s="105">
        <f>IF(204&gt;MAX($N$16:$N$5015),"",INDEX($J$16:$J$5015,MATCH((MAX($N$16:$N$5015)-204+1),$N$16:$N$5015,0)))&amp;IF(IF(204&gt;MAX($N$16:$N$5015),"",INDEX($L$16:$L$5015,MATCH((MAX($N$16:$N$5015)-204+1),$N$16:$N$5015,0)))="",""," ["&amp;IF(204&gt;MAX($N$16:$N$5015),"",INDEX($L$16:$L$5015,MATCH((MAX($N$16:$N$5015)-204+1),$N$16:$N$5015,0)))&amp;"]")</f>
        <v/>
      </c>
      <c r="V208" s="120">
        <f>IF(204&gt;MAX($N$16:$N$5015),"",HYPERLINK("#Transaksi!B"&amp;(MATCH((MAX($N$16:$N$5015)-204+1),$N$16:$N$5015,0)+15),"Buka"))</f>
        <v/>
      </c>
      <c r="X208" s="93">
        <f>IF(AND(B208&lt;&gt;"",B208&gt;='Buku Akun'!$H$4,B208&lt;='Buku Akun'!$H$5,OR(C208='Buku Akun'!$C$4,AND(D208="Pindah",E208='Buku Akun'!$C$4))),B208+IF(AND(I208="Selisih bunga",DAY(B208)=1),0,0.01)+ROW()/10000000,"")</f>
        <v/>
      </c>
    </row>
    <row r="209" outlineLevel="1" ht="15" customHeight="1" s="94">
      <c r="A209" s="123">
        <f>IF(B209="","",ROW()-15)</f>
        <v/>
      </c>
      <c r="B209" s="124" t="n"/>
      <c r="C209" s="123" t="n"/>
      <c r="D209" s="123" t="n"/>
      <c r="E209" s="123" t="n"/>
      <c r="F209" s="125" t="n"/>
      <c r="G209" s="123" t="n"/>
      <c r="H209" s="123" t="n"/>
      <c r="I209" s="123" t="n"/>
      <c r="J209" s="123" t="n"/>
      <c r="K209" s="123" t="n"/>
      <c r="L209" s="123" t="n"/>
      <c r="M209" s="123">
        <f>IF(AND(B209&lt;&gt;"",OR($C$4="",ISNUMBER(SEARCH($C$4,C209&amp;" "&amp;E209&amp;" "&amp;G209&amp;" "&amp;H209&amp;" "&amp;I209&amp;" "&amp;J209&amp;" "&amp;K209&amp;" "&amp;L209))),OR($C$5="Semua",$C$5="",G209=$C$5),OR($C$6="Semua",$C$6="",H209=$C$6,H209="Pengeluaran "&amp;$C$6,AND($C$6="Uang Kos Mama",H209="Pengeluaran Uang Kos")),OR($C$7="Semua",$C$7="",I209=$C$7),OR($C$8="Semua",$C$8="",C209=$C$8,E209=$C$8),OR($C$9="Semua",$C$9="",D209=$C$9),OR($C$10="",B209&gt;=$C$10),OR($C$11="",B209&lt;=$C$11),OR($C$12&lt;&gt;"Ya",K209&lt;&gt;""),OR($C$13="Semua",$C$13="",L209=$C$13)),"✓","")</f>
        <v/>
      </c>
      <c r="N209" s="93">
        <f>N(N208)+IF(M209="✓",1,0)</f>
        <v/>
      </c>
      <c r="O209" s="93">
        <f>N(O208)+IF(AND(B209&lt;&gt;"",B209&gt;='Uang Riba'!$H$30,B209&lt;='Uang Riba'!$I$30,OR(H209="Dana riba",H209="Pinjam uang riba",I209="Pinjam dari uang riba",I209="Ganti uang riba",I209="Kelebihan ganti dikembalikan",AND(C209="Kantong Uang Riba",G209="Pengeluaran"))),1,0)</f>
        <v/>
      </c>
      <c r="P209" s="119">
        <f>IF(205&gt;MAX($N$16:$N$5015),"",INDEX($B$16:$B$5015,MATCH((MAX($N$16:$N$5015)-205+1),$N$16:$N$5015,0)))</f>
        <v/>
      </c>
      <c r="Q209" s="105">
        <f>IF(205&gt;MAX($N$16:$N$5015),"",INDEX($C$16:$C$5015,MATCH((MAX($N$16:$N$5015)-205+1),$N$16:$N$5015,0)))&amp;IF(IF(205&gt;MAX($N$16:$N$5015),"",INDEX($E$16:$E$5015,MATCH((MAX($N$16:$N$5015)-205+1),$N$16:$N$5015,0)))="",""," → "&amp;IF(205&gt;MAX($N$16:$N$5015),"",INDEX($E$16:$E$5015,MATCH((MAX($N$16:$N$5015)-205+1),$N$16:$N$5015,0))))</f>
        <v/>
      </c>
      <c r="R209" s="105">
        <f>IF(205&gt;MAX($N$16:$N$5015),"",INDEX($D$16:$D$5015,MATCH((MAX($N$16:$N$5015)-205+1),$N$16:$N$5015,0)))</f>
        <v/>
      </c>
      <c r="S209" s="113">
        <f>IF(205&gt;MAX($N$16:$N$5015),"",INDEX($F$16:$F$5015,MATCH((MAX($N$16:$N$5015)-205+1),$N$16:$N$5015,0)))</f>
        <v/>
      </c>
      <c r="T209" s="105">
        <f>IF(205&gt;MAX($N$16:$N$5015),"",IF(205&gt;MAX($N$16:$N$5015),"",INDEX($G$16:$G$5015,MATCH((MAX($N$16:$N$5015)-205+1),$N$16:$N$5015,0)))&amp;" › "&amp;IF(205&gt;MAX($N$16:$N$5015),"",INDEX($H$16:$H$5015,MATCH((MAX($N$16:$N$5015)-205+1),$N$16:$N$5015,0)))&amp;" › "&amp;IF(205&gt;MAX($N$16:$N$5015),"",INDEX($I$16:$I$5015,MATCH((MAX($N$16:$N$5015)-205+1),$N$16:$N$5015,0))))</f>
        <v/>
      </c>
      <c r="U209" s="105">
        <f>IF(205&gt;MAX($N$16:$N$5015),"",INDEX($J$16:$J$5015,MATCH((MAX($N$16:$N$5015)-205+1),$N$16:$N$5015,0)))&amp;IF(IF(205&gt;MAX($N$16:$N$5015),"",INDEX($L$16:$L$5015,MATCH((MAX($N$16:$N$5015)-205+1),$N$16:$N$5015,0)))="",""," ["&amp;IF(205&gt;MAX($N$16:$N$5015),"",INDEX($L$16:$L$5015,MATCH((MAX($N$16:$N$5015)-205+1),$N$16:$N$5015,0)))&amp;"]")</f>
        <v/>
      </c>
      <c r="V209" s="120">
        <f>IF(205&gt;MAX($N$16:$N$5015),"",HYPERLINK("#Transaksi!B"&amp;(MATCH((MAX($N$16:$N$5015)-205+1),$N$16:$N$5015,0)+15),"Buka"))</f>
        <v/>
      </c>
      <c r="X209" s="93">
        <f>IF(AND(B209&lt;&gt;"",B209&gt;='Buku Akun'!$H$4,B209&lt;='Buku Akun'!$H$5,OR(C209='Buku Akun'!$C$4,AND(D209="Pindah",E209='Buku Akun'!$C$4))),B209+IF(AND(I209="Selisih bunga",DAY(B209)=1),0,0.01)+ROW()/10000000,"")</f>
        <v/>
      </c>
    </row>
    <row r="210" outlineLevel="1" ht="15" customHeight="1" s="94">
      <c r="A210" s="123">
        <f>IF(B210="","",ROW()-15)</f>
        <v/>
      </c>
      <c r="B210" s="124" t="n"/>
      <c r="C210" s="123" t="n"/>
      <c r="D210" s="123" t="n"/>
      <c r="E210" s="123" t="n"/>
      <c r="F210" s="125" t="n"/>
      <c r="G210" s="123" t="n"/>
      <c r="H210" s="123" t="n"/>
      <c r="I210" s="123" t="n"/>
      <c r="J210" s="123" t="n"/>
      <c r="K210" s="123" t="n"/>
      <c r="L210" s="123" t="n"/>
      <c r="M210" s="123">
        <f>IF(AND(B210&lt;&gt;"",OR($C$4="",ISNUMBER(SEARCH($C$4,C210&amp;" "&amp;E210&amp;" "&amp;G210&amp;" "&amp;H210&amp;" "&amp;I210&amp;" "&amp;J210&amp;" "&amp;K210&amp;" "&amp;L210))),OR($C$5="Semua",$C$5="",G210=$C$5),OR($C$6="Semua",$C$6="",H210=$C$6,H210="Pengeluaran "&amp;$C$6,AND($C$6="Uang Kos Mama",H210="Pengeluaran Uang Kos")),OR($C$7="Semua",$C$7="",I210=$C$7),OR($C$8="Semua",$C$8="",C210=$C$8,E210=$C$8),OR($C$9="Semua",$C$9="",D210=$C$9),OR($C$10="",B210&gt;=$C$10),OR($C$11="",B210&lt;=$C$11),OR($C$12&lt;&gt;"Ya",K210&lt;&gt;""),OR($C$13="Semua",$C$13="",L210=$C$13)),"✓","")</f>
        <v/>
      </c>
      <c r="N210" s="93">
        <f>N(N209)+IF(M210="✓",1,0)</f>
        <v/>
      </c>
      <c r="O210" s="93">
        <f>N(O209)+IF(AND(B210&lt;&gt;"",B210&gt;='Uang Riba'!$H$30,B210&lt;='Uang Riba'!$I$30,OR(H210="Dana riba",H210="Pinjam uang riba",I210="Pinjam dari uang riba",I210="Ganti uang riba",I210="Kelebihan ganti dikembalikan",AND(C210="Kantong Uang Riba",G210="Pengeluaran"))),1,0)</f>
        <v/>
      </c>
      <c r="P210" s="119">
        <f>IF(206&gt;MAX($N$16:$N$5015),"",INDEX($B$16:$B$5015,MATCH((MAX($N$16:$N$5015)-206+1),$N$16:$N$5015,0)))</f>
        <v/>
      </c>
      <c r="Q210" s="105">
        <f>IF(206&gt;MAX($N$16:$N$5015),"",INDEX($C$16:$C$5015,MATCH((MAX($N$16:$N$5015)-206+1),$N$16:$N$5015,0)))&amp;IF(IF(206&gt;MAX($N$16:$N$5015),"",INDEX($E$16:$E$5015,MATCH((MAX($N$16:$N$5015)-206+1),$N$16:$N$5015,0)))="",""," → "&amp;IF(206&gt;MAX($N$16:$N$5015),"",INDEX($E$16:$E$5015,MATCH((MAX($N$16:$N$5015)-206+1),$N$16:$N$5015,0))))</f>
        <v/>
      </c>
      <c r="R210" s="105">
        <f>IF(206&gt;MAX($N$16:$N$5015),"",INDEX($D$16:$D$5015,MATCH((MAX($N$16:$N$5015)-206+1),$N$16:$N$5015,0)))</f>
        <v/>
      </c>
      <c r="S210" s="113">
        <f>IF(206&gt;MAX($N$16:$N$5015),"",INDEX($F$16:$F$5015,MATCH((MAX($N$16:$N$5015)-206+1),$N$16:$N$5015,0)))</f>
        <v/>
      </c>
      <c r="T210" s="105">
        <f>IF(206&gt;MAX($N$16:$N$5015),"",IF(206&gt;MAX($N$16:$N$5015),"",INDEX($G$16:$G$5015,MATCH((MAX($N$16:$N$5015)-206+1),$N$16:$N$5015,0)))&amp;" › "&amp;IF(206&gt;MAX($N$16:$N$5015),"",INDEX($H$16:$H$5015,MATCH((MAX($N$16:$N$5015)-206+1),$N$16:$N$5015,0)))&amp;" › "&amp;IF(206&gt;MAX($N$16:$N$5015),"",INDEX($I$16:$I$5015,MATCH((MAX($N$16:$N$5015)-206+1),$N$16:$N$5015,0))))</f>
        <v/>
      </c>
      <c r="U210" s="105">
        <f>IF(206&gt;MAX($N$16:$N$5015),"",INDEX($J$16:$J$5015,MATCH((MAX($N$16:$N$5015)-206+1),$N$16:$N$5015,0)))&amp;IF(IF(206&gt;MAX($N$16:$N$5015),"",INDEX($L$16:$L$5015,MATCH((MAX($N$16:$N$5015)-206+1),$N$16:$N$5015,0)))="",""," ["&amp;IF(206&gt;MAX($N$16:$N$5015),"",INDEX($L$16:$L$5015,MATCH((MAX($N$16:$N$5015)-206+1),$N$16:$N$5015,0)))&amp;"]")</f>
        <v/>
      </c>
      <c r="V210" s="120">
        <f>IF(206&gt;MAX($N$16:$N$5015),"",HYPERLINK("#Transaksi!B"&amp;(MATCH((MAX($N$16:$N$5015)-206+1),$N$16:$N$5015,0)+15),"Buka"))</f>
        <v/>
      </c>
      <c r="X210" s="93">
        <f>IF(AND(B210&lt;&gt;"",B210&gt;='Buku Akun'!$H$4,B210&lt;='Buku Akun'!$H$5,OR(C210='Buku Akun'!$C$4,AND(D210="Pindah",E210='Buku Akun'!$C$4))),B210+IF(AND(I210="Selisih bunga",DAY(B210)=1),0,0.01)+ROW()/10000000,"")</f>
        <v/>
      </c>
    </row>
    <row r="211" outlineLevel="1" ht="15" customHeight="1" s="94">
      <c r="A211" s="123">
        <f>IF(B211="","",ROW()-15)</f>
        <v/>
      </c>
      <c r="B211" s="124" t="n"/>
      <c r="C211" s="123" t="n"/>
      <c r="D211" s="123" t="n"/>
      <c r="E211" s="123" t="n"/>
      <c r="F211" s="125" t="n"/>
      <c r="G211" s="123" t="n"/>
      <c r="H211" s="123" t="n"/>
      <c r="I211" s="123" t="n"/>
      <c r="J211" s="123" t="n"/>
      <c r="K211" s="123" t="n"/>
      <c r="L211" s="123" t="n"/>
      <c r="M211" s="123">
        <f>IF(AND(B211&lt;&gt;"",OR($C$4="",ISNUMBER(SEARCH($C$4,C211&amp;" "&amp;E211&amp;" "&amp;G211&amp;" "&amp;H211&amp;" "&amp;I211&amp;" "&amp;J211&amp;" "&amp;K211&amp;" "&amp;L211))),OR($C$5="Semua",$C$5="",G211=$C$5),OR($C$6="Semua",$C$6="",H211=$C$6,H211="Pengeluaran "&amp;$C$6,AND($C$6="Uang Kos Mama",H211="Pengeluaran Uang Kos")),OR($C$7="Semua",$C$7="",I211=$C$7),OR($C$8="Semua",$C$8="",C211=$C$8,E211=$C$8),OR($C$9="Semua",$C$9="",D211=$C$9),OR($C$10="",B211&gt;=$C$10),OR($C$11="",B211&lt;=$C$11),OR($C$12&lt;&gt;"Ya",K211&lt;&gt;""),OR($C$13="Semua",$C$13="",L211=$C$13)),"✓","")</f>
        <v/>
      </c>
      <c r="N211" s="93">
        <f>N(N210)+IF(M211="✓",1,0)</f>
        <v/>
      </c>
      <c r="O211" s="93">
        <f>N(O210)+IF(AND(B211&lt;&gt;"",B211&gt;='Uang Riba'!$H$30,B211&lt;='Uang Riba'!$I$30,OR(H211="Dana riba",H211="Pinjam uang riba",I211="Pinjam dari uang riba",I211="Ganti uang riba",I211="Kelebihan ganti dikembalikan",AND(C211="Kantong Uang Riba",G211="Pengeluaran"))),1,0)</f>
        <v/>
      </c>
      <c r="P211" s="119">
        <f>IF(207&gt;MAX($N$16:$N$5015),"",INDEX($B$16:$B$5015,MATCH((MAX($N$16:$N$5015)-207+1),$N$16:$N$5015,0)))</f>
        <v/>
      </c>
      <c r="Q211" s="105">
        <f>IF(207&gt;MAX($N$16:$N$5015),"",INDEX($C$16:$C$5015,MATCH((MAX($N$16:$N$5015)-207+1),$N$16:$N$5015,0)))&amp;IF(IF(207&gt;MAX($N$16:$N$5015),"",INDEX($E$16:$E$5015,MATCH((MAX($N$16:$N$5015)-207+1),$N$16:$N$5015,0)))="",""," → "&amp;IF(207&gt;MAX($N$16:$N$5015),"",INDEX($E$16:$E$5015,MATCH((MAX($N$16:$N$5015)-207+1),$N$16:$N$5015,0))))</f>
        <v/>
      </c>
      <c r="R211" s="105">
        <f>IF(207&gt;MAX($N$16:$N$5015),"",INDEX($D$16:$D$5015,MATCH((MAX($N$16:$N$5015)-207+1),$N$16:$N$5015,0)))</f>
        <v/>
      </c>
      <c r="S211" s="113">
        <f>IF(207&gt;MAX($N$16:$N$5015),"",INDEX($F$16:$F$5015,MATCH((MAX($N$16:$N$5015)-207+1),$N$16:$N$5015,0)))</f>
        <v/>
      </c>
      <c r="T211" s="105">
        <f>IF(207&gt;MAX($N$16:$N$5015),"",IF(207&gt;MAX($N$16:$N$5015),"",INDEX($G$16:$G$5015,MATCH((MAX($N$16:$N$5015)-207+1),$N$16:$N$5015,0)))&amp;" › "&amp;IF(207&gt;MAX($N$16:$N$5015),"",INDEX($H$16:$H$5015,MATCH((MAX($N$16:$N$5015)-207+1),$N$16:$N$5015,0)))&amp;" › "&amp;IF(207&gt;MAX($N$16:$N$5015),"",INDEX($I$16:$I$5015,MATCH((MAX($N$16:$N$5015)-207+1),$N$16:$N$5015,0))))</f>
        <v/>
      </c>
      <c r="U211" s="105">
        <f>IF(207&gt;MAX($N$16:$N$5015),"",INDEX($J$16:$J$5015,MATCH((MAX($N$16:$N$5015)-207+1),$N$16:$N$5015,0)))&amp;IF(IF(207&gt;MAX($N$16:$N$5015),"",INDEX($L$16:$L$5015,MATCH((MAX($N$16:$N$5015)-207+1),$N$16:$N$5015,0)))="",""," ["&amp;IF(207&gt;MAX($N$16:$N$5015),"",INDEX($L$16:$L$5015,MATCH((MAX($N$16:$N$5015)-207+1),$N$16:$N$5015,0)))&amp;"]")</f>
        <v/>
      </c>
      <c r="V211" s="120">
        <f>IF(207&gt;MAX($N$16:$N$5015),"",HYPERLINK("#Transaksi!B"&amp;(MATCH((MAX($N$16:$N$5015)-207+1),$N$16:$N$5015,0)+15),"Buka"))</f>
        <v/>
      </c>
      <c r="X211" s="93">
        <f>IF(AND(B211&lt;&gt;"",B211&gt;='Buku Akun'!$H$4,B211&lt;='Buku Akun'!$H$5,OR(C211='Buku Akun'!$C$4,AND(D211="Pindah",E211='Buku Akun'!$C$4))),B211+IF(AND(I211="Selisih bunga",DAY(B211)=1),0,0.01)+ROW()/10000000,"")</f>
        <v/>
      </c>
    </row>
    <row r="212" outlineLevel="1" ht="15" customHeight="1" s="94">
      <c r="A212" s="123">
        <f>IF(B212="","",ROW()-15)</f>
        <v/>
      </c>
      <c r="B212" s="124" t="n"/>
      <c r="C212" s="123" t="n"/>
      <c r="D212" s="123" t="n"/>
      <c r="E212" s="123" t="n"/>
      <c r="F212" s="125" t="n"/>
      <c r="G212" s="123" t="n"/>
      <c r="H212" s="123" t="n"/>
      <c r="I212" s="123" t="n"/>
      <c r="J212" s="123" t="n"/>
      <c r="K212" s="123" t="n"/>
      <c r="L212" s="123" t="n"/>
      <c r="M212" s="123">
        <f>IF(AND(B212&lt;&gt;"",OR($C$4="",ISNUMBER(SEARCH($C$4,C212&amp;" "&amp;E212&amp;" "&amp;G212&amp;" "&amp;H212&amp;" "&amp;I212&amp;" "&amp;J212&amp;" "&amp;K212&amp;" "&amp;L212))),OR($C$5="Semua",$C$5="",G212=$C$5),OR($C$6="Semua",$C$6="",H212=$C$6,H212="Pengeluaran "&amp;$C$6,AND($C$6="Uang Kos Mama",H212="Pengeluaran Uang Kos")),OR($C$7="Semua",$C$7="",I212=$C$7),OR($C$8="Semua",$C$8="",C212=$C$8,E212=$C$8),OR($C$9="Semua",$C$9="",D212=$C$9),OR($C$10="",B212&gt;=$C$10),OR($C$11="",B212&lt;=$C$11),OR($C$12&lt;&gt;"Ya",K212&lt;&gt;""),OR($C$13="Semua",$C$13="",L212=$C$13)),"✓","")</f>
        <v/>
      </c>
      <c r="N212" s="93">
        <f>N(N211)+IF(M212="✓",1,0)</f>
        <v/>
      </c>
      <c r="O212" s="93">
        <f>N(O211)+IF(AND(B212&lt;&gt;"",B212&gt;='Uang Riba'!$H$30,B212&lt;='Uang Riba'!$I$30,OR(H212="Dana riba",H212="Pinjam uang riba",I212="Pinjam dari uang riba",I212="Ganti uang riba",I212="Kelebihan ganti dikembalikan",AND(C212="Kantong Uang Riba",G212="Pengeluaran"))),1,0)</f>
        <v/>
      </c>
      <c r="P212" s="119">
        <f>IF(208&gt;MAX($N$16:$N$5015),"",INDEX($B$16:$B$5015,MATCH((MAX($N$16:$N$5015)-208+1),$N$16:$N$5015,0)))</f>
        <v/>
      </c>
      <c r="Q212" s="105">
        <f>IF(208&gt;MAX($N$16:$N$5015),"",INDEX($C$16:$C$5015,MATCH((MAX($N$16:$N$5015)-208+1),$N$16:$N$5015,0)))&amp;IF(IF(208&gt;MAX($N$16:$N$5015),"",INDEX($E$16:$E$5015,MATCH((MAX($N$16:$N$5015)-208+1),$N$16:$N$5015,0)))="",""," → "&amp;IF(208&gt;MAX($N$16:$N$5015),"",INDEX($E$16:$E$5015,MATCH((MAX($N$16:$N$5015)-208+1),$N$16:$N$5015,0))))</f>
        <v/>
      </c>
      <c r="R212" s="105">
        <f>IF(208&gt;MAX($N$16:$N$5015),"",INDEX($D$16:$D$5015,MATCH((MAX($N$16:$N$5015)-208+1),$N$16:$N$5015,0)))</f>
        <v/>
      </c>
      <c r="S212" s="113">
        <f>IF(208&gt;MAX($N$16:$N$5015),"",INDEX($F$16:$F$5015,MATCH((MAX($N$16:$N$5015)-208+1),$N$16:$N$5015,0)))</f>
        <v/>
      </c>
      <c r="T212" s="105">
        <f>IF(208&gt;MAX($N$16:$N$5015),"",IF(208&gt;MAX($N$16:$N$5015),"",INDEX($G$16:$G$5015,MATCH((MAX($N$16:$N$5015)-208+1),$N$16:$N$5015,0)))&amp;" › "&amp;IF(208&gt;MAX($N$16:$N$5015),"",INDEX($H$16:$H$5015,MATCH((MAX($N$16:$N$5015)-208+1),$N$16:$N$5015,0)))&amp;" › "&amp;IF(208&gt;MAX($N$16:$N$5015),"",INDEX($I$16:$I$5015,MATCH((MAX($N$16:$N$5015)-208+1),$N$16:$N$5015,0))))</f>
        <v/>
      </c>
      <c r="U212" s="105">
        <f>IF(208&gt;MAX($N$16:$N$5015),"",INDEX($J$16:$J$5015,MATCH((MAX($N$16:$N$5015)-208+1),$N$16:$N$5015,0)))&amp;IF(IF(208&gt;MAX($N$16:$N$5015),"",INDEX($L$16:$L$5015,MATCH((MAX($N$16:$N$5015)-208+1),$N$16:$N$5015,0)))="",""," ["&amp;IF(208&gt;MAX($N$16:$N$5015),"",INDEX($L$16:$L$5015,MATCH((MAX($N$16:$N$5015)-208+1),$N$16:$N$5015,0)))&amp;"]")</f>
        <v/>
      </c>
      <c r="V212" s="120">
        <f>IF(208&gt;MAX($N$16:$N$5015),"",HYPERLINK("#Transaksi!B"&amp;(MATCH((MAX($N$16:$N$5015)-208+1),$N$16:$N$5015,0)+15),"Buka"))</f>
        <v/>
      </c>
      <c r="X212" s="93">
        <f>IF(AND(B212&lt;&gt;"",B212&gt;='Buku Akun'!$H$4,B212&lt;='Buku Akun'!$H$5,OR(C212='Buku Akun'!$C$4,AND(D212="Pindah",E212='Buku Akun'!$C$4))),B212+IF(AND(I212="Selisih bunga",DAY(B212)=1),0,0.01)+ROW()/10000000,"")</f>
        <v/>
      </c>
    </row>
    <row r="213" outlineLevel="1" ht="15" customHeight="1" s="94">
      <c r="A213" s="123">
        <f>IF(B213="","",ROW()-15)</f>
        <v/>
      </c>
      <c r="B213" s="124" t="n"/>
      <c r="C213" s="123" t="n"/>
      <c r="D213" s="123" t="n"/>
      <c r="E213" s="123" t="n"/>
      <c r="F213" s="125" t="n"/>
      <c r="G213" s="123" t="n"/>
      <c r="H213" s="123" t="n"/>
      <c r="I213" s="123" t="n"/>
      <c r="J213" s="123" t="n"/>
      <c r="K213" s="123" t="n"/>
      <c r="L213" s="123" t="n"/>
      <c r="M213" s="123">
        <f>IF(AND(B213&lt;&gt;"",OR($C$4="",ISNUMBER(SEARCH($C$4,C213&amp;" "&amp;E213&amp;" "&amp;G213&amp;" "&amp;H213&amp;" "&amp;I213&amp;" "&amp;J213&amp;" "&amp;K213&amp;" "&amp;L213))),OR($C$5="Semua",$C$5="",G213=$C$5),OR($C$6="Semua",$C$6="",H213=$C$6,H213="Pengeluaran "&amp;$C$6,AND($C$6="Uang Kos Mama",H213="Pengeluaran Uang Kos")),OR($C$7="Semua",$C$7="",I213=$C$7),OR($C$8="Semua",$C$8="",C213=$C$8,E213=$C$8),OR($C$9="Semua",$C$9="",D213=$C$9),OR($C$10="",B213&gt;=$C$10),OR($C$11="",B213&lt;=$C$11),OR($C$12&lt;&gt;"Ya",K213&lt;&gt;""),OR($C$13="Semua",$C$13="",L213=$C$13)),"✓","")</f>
        <v/>
      </c>
      <c r="N213" s="93">
        <f>N(N212)+IF(M213="✓",1,0)</f>
        <v/>
      </c>
      <c r="O213" s="93">
        <f>N(O212)+IF(AND(B213&lt;&gt;"",B213&gt;='Uang Riba'!$H$30,B213&lt;='Uang Riba'!$I$30,OR(H213="Dana riba",H213="Pinjam uang riba",I213="Pinjam dari uang riba",I213="Ganti uang riba",I213="Kelebihan ganti dikembalikan",AND(C213="Kantong Uang Riba",G213="Pengeluaran"))),1,0)</f>
        <v/>
      </c>
      <c r="P213" s="119">
        <f>IF(209&gt;MAX($N$16:$N$5015),"",INDEX($B$16:$B$5015,MATCH((MAX($N$16:$N$5015)-209+1),$N$16:$N$5015,0)))</f>
        <v/>
      </c>
      <c r="Q213" s="105">
        <f>IF(209&gt;MAX($N$16:$N$5015),"",INDEX($C$16:$C$5015,MATCH((MAX($N$16:$N$5015)-209+1),$N$16:$N$5015,0)))&amp;IF(IF(209&gt;MAX($N$16:$N$5015),"",INDEX($E$16:$E$5015,MATCH((MAX($N$16:$N$5015)-209+1),$N$16:$N$5015,0)))="",""," → "&amp;IF(209&gt;MAX($N$16:$N$5015),"",INDEX($E$16:$E$5015,MATCH((MAX($N$16:$N$5015)-209+1),$N$16:$N$5015,0))))</f>
        <v/>
      </c>
      <c r="R213" s="105">
        <f>IF(209&gt;MAX($N$16:$N$5015),"",INDEX($D$16:$D$5015,MATCH((MAX($N$16:$N$5015)-209+1),$N$16:$N$5015,0)))</f>
        <v/>
      </c>
      <c r="S213" s="113">
        <f>IF(209&gt;MAX($N$16:$N$5015),"",INDEX($F$16:$F$5015,MATCH((MAX($N$16:$N$5015)-209+1),$N$16:$N$5015,0)))</f>
        <v/>
      </c>
      <c r="T213" s="105">
        <f>IF(209&gt;MAX($N$16:$N$5015),"",IF(209&gt;MAX($N$16:$N$5015),"",INDEX($G$16:$G$5015,MATCH((MAX($N$16:$N$5015)-209+1),$N$16:$N$5015,0)))&amp;" › "&amp;IF(209&gt;MAX($N$16:$N$5015),"",INDEX($H$16:$H$5015,MATCH((MAX($N$16:$N$5015)-209+1),$N$16:$N$5015,0)))&amp;" › "&amp;IF(209&gt;MAX($N$16:$N$5015),"",INDEX($I$16:$I$5015,MATCH((MAX($N$16:$N$5015)-209+1),$N$16:$N$5015,0))))</f>
        <v/>
      </c>
      <c r="U213" s="105">
        <f>IF(209&gt;MAX($N$16:$N$5015),"",INDEX($J$16:$J$5015,MATCH((MAX($N$16:$N$5015)-209+1),$N$16:$N$5015,0)))&amp;IF(IF(209&gt;MAX($N$16:$N$5015),"",INDEX($L$16:$L$5015,MATCH((MAX($N$16:$N$5015)-209+1),$N$16:$N$5015,0)))="",""," ["&amp;IF(209&gt;MAX($N$16:$N$5015),"",INDEX($L$16:$L$5015,MATCH((MAX($N$16:$N$5015)-209+1),$N$16:$N$5015,0)))&amp;"]")</f>
        <v/>
      </c>
      <c r="V213" s="120">
        <f>IF(209&gt;MAX($N$16:$N$5015),"",HYPERLINK("#Transaksi!B"&amp;(MATCH((MAX($N$16:$N$5015)-209+1),$N$16:$N$5015,0)+15),"Buka"))</f>
        <v/>
      </c>
      <c r="X213" s="93">
        <f>IF(AND(B213&lt;&gt;"",B213&gt;='Buku Akun'!$H$4,B213&lt;='Buku Akun'!$H$5,OR(C213='Buku Akun'!$C$4,AND(D213="Pindah",E213='Buku Akun'!$C$4))),B213+IF(AND(I213="Selisih bunga",DAY(B213)=1),0,0.01)+ROW()/10000000,"")</f>
        <v/>
      </c>
    </row>
    <row r="214" outlineLevel="1" ht="15" customHeight="1" s="94">
      <c r="A214" s="123">
        <f>IF(B214="","",ROW()-15)</f>
        <v/>
      </c>
      <c r="B214" s="124" t="n"/>
      <c r="C214" s="123" t="n"/>
      <c r="D214" s="123" t="n"/>
      <c r="E214" s="123" t="n"/>
      <c r="F214" s="125" t="n"/>
      <c r="G214" s="123" t="n"/>
      <c r="H214" s="123" t="n"/>
      <c r="I214" s="123" t="n"/>
      <c r="J214" s="123" t="n"/>
      <c r="K214" s="123" t="n"/>
      <c r="L214" s="123" t="n"/>
      <c r="M214" s="123">
        <f>IF(AND(B214&lt;&gt;"",OR($C$4="",ISNUMBER(SEARCH($C$4,C214&amp;" "&amp;E214&amp;" "&amp;G214&amp;" "&amp;H214&amp;" "&amp;I214&amp;" "&amp;J214&amp;" "&amp;K214&amp;" "&amp;L214))),OR($C$5="Semua",$C$5="",G214=$C$5),OR($C$6="Semua",$C$6="",H214=$C$6,H214="Pengeluaran "&amp;$C$6,AND($C$6="Uang Kos Mama",H214="Pengeluaran Uang Kos")),OR($C$7="Semua",$C$7="",I214=$C$7),OR($C$8="Semua",$C$8="",C214=$C$8,E214=$C$8),OR($C$9="Semua",$C$9="",D214=$C$9),OR($C$10="",B214&gt;=$C$10),OR($C$11="",B214&lt;=$C$11),OR($C$12&lt;&gt;"Ya",K214&lt;&gt;""),OR($C$13="Semua",$C$13="",L214=$C$13)),"✓","")</f>
        <v/>
      </c>
      <c r="N214" s="93">
        <f>N(N213)+IF(M214="✓",1,0)</f>
        <v/>
      </c>
      <c r="O214" s="93">
        <f>N(O213)+IF(AND(B214&lt;&gt;"",B214&gt;='Uang Riba'!$H$30,B214&lt;='Uang Riba'!$I$30,OR(H214="Dana riba",H214="Pinjam uang riba",I214="Pinjam dari uang riba",I214="Ganti uang riba",I214="Kelebihan ganti dikembalikan",AND(C214="Kantong Uang Riba",G214="Pengeluaran"))),1,0)</f>
        <v/>
      </c>
      <c r="P214" s="119">
        <f>IF(210&gt;MAX($N$16:$N$5015),"",INDEX($B$16:$B$5015,MATCH((MAX($N$16:$N$5015)-210+1),$N$16:$N$5015,0)))</f>
        <v/>
      </c>
      <c r="Q214" s="105">
        <f>IF(210&gt;MAX($N$16:$N$5015),"",INDEX($C$16:$C$5015,MATCH((MAX($N$16:$N$5015)-210+1),$N$16:$N$5015,0)))&amp;IF(IF(210&gt;MAX($N$16:$N$5015),"",INDEX($E$16:$E$5015,MATCH((MAX($N$16:$N$5015)-210+1),$N$16:$N$5015,0)))="",""," → "&amp;IF(210&gt;MAX($N$16:$N$5015),"",INDEX($E$16:$E$5015,MATCH((MAX($N$16:$N$5015)-210+1),$N$16:$N$5015,0))))</f>
        <v/>
      </c>
      <c r="R214" s="105">
        <f>IF(210&gt;MAX($N$16:$N$5015),"",INDEX($D$16:$D$5015,MATCH((MAX($N$16:$N$5015)-210+1),$N$16:$N$5015,0)))</f>
        <v/>
      </c>
      <c r="S214" s="113">
        <f>IF(210&gt;MAX($N$16:$N$5015),"",INDEX($F$16:$F$5015,MATCH((MAX($N$16:$N$5015)-210+1),$N$16:$N$5015,0)))</f>
        <v/>
      </c>
      <c r="T214" s="105">
        <f>IF(210&gt;MAX($N$16:$N$5015),"",IF(210&gt;MAX($N$16:$N$5015),"",INDEX($G$16:$G$5015,MATCH((MAX($N$16:$N$5015)-210+1),$N$16:$N$5015,0)))&amp;" › "&amp;IF(210&gt;MAX($N$16:$N$5015),"",INDEX($H$16:$H$5015,MATCH((MAX($N$16:$N$5015)-210+1),$N$16:$N$5015,0)))&amp;" › "&amp;IF(210&gt;MAX($N$16:$N$5015),"",INDEX($I$16:$I$5015,MATCH((MAX($N$16:$N$5015)-210+1),$N$16:$N$5015,0))))</f>
        <v/>
      </c>
      <c r="U214" s="105">
        <f>IF(210&gt;MAX($N$16:$N$5015),"",INDEX($J$16:$J$5015,MATCH((MAX($N$16:$N$5015)-210+1),$N$16:$N$5015,0)))&amp;IF(IF(210&gt;MAX($N$16:$N$5015),"",INDEX($L$16:$L$5015,MATCH((MAX($N$16:$N$5015)-210+1),$N$16:$N$5015,0)))="",""," ["&amp;IF(210&gt;MAX($N$16:$N$5015),"",INDEX($L$16:$L$5015,MATCH((MAX($N$16:$N$5015)-210+1),$N$16:$N$5015,0)))&amp;"]")</f>
        <v/>
      </c>
      <c r="V214" s="120">
        <f>IF(210&gt;MAX($N$16:$N$5015),"",HYPERLINK("#Transaksi!B"&amp;(MATCH((MAX($N$16:$N$5015)-210+1),$N$16:$N$5015,0)+15),"Buka"))</f>
        <v/>
      </c>
      <c r="X214" s="93">
        <f>IF(AND(B214&lt;&gt;"",B214&gt;='Buku Akun'!$H$4,B214&lt;='Buku Akun'!$H$5,OR(C214='Buku Akun'!$C$4,AND(D214="Pindah",E214='Buku Akun'!$C$4))),B214+IF(AND(I214="Selisih bunga",DAY(B214)=1),0,0.01)+ROW()/10000000,"")</f>
        <v/>
      </c>
    </row>
    <row r="215" outlineLevel="1" ht="15" customHeight="1" s="94">
      <c r="A215" s="123">
        <f>IF(B215="","",ROW()-15)</f>
        <v/>
      </c>
      <c r="B215" s="124" t="n"/>
      <c r="C215" s="123" t="n"/>
      <c r="D215" s="123" t="n"/>
      <c r="E215" s="123" t="n"/>
      <c r="F215" s="125" t="n"/>
      <c r="G215" s="123" t="n"/>
      <c r="H215" s="123" t="n"/>
      <c r="I215" s="123" t="n"/>
      <c r="J215" s="123" t="n"/>
      <c r="K215" s="123" t="n"/>
      <c r="L215" s="123" t="n"/>
      <c r="M215" s="123">
        <f>IF(AND(B215&lt;&gt;"",OR($C$4="",ISNUMBER(SEARCH($C$4,C215&amp;" "&amp;E215&amp;" "&amp;G215&amp;" "&amp;H215&amp;" "&amp;I215&amp;" "&amp;J215&amp;" "&amp;K215&amp;" "&amp;L215))),OR($C$5="Semua",$C$5="",G215=$C$5),OR($C$6="Semua",$C$6="",H215=$C$6,H215="Pengeluaran "&amp;$C$6,AND($C$6="Uang Kos Mama",H215="Pengeluaran Uang Kos")),OR($C$7="Semua",$C$7="",I215=$C$7),OR($C$8="Semua",$C$8="",C215=$C$8,E215=$C$8),OR($C$9="Semua",$C$9="",D215=$C$9),OR($C$10="",B215&gt;=$C$10),OR($C$11="",B215&lt;=$C$11),OR($C$12&lt;&gt;"Ya",K215&lt;&gt;""),OR($C$13="Semua",$C$13="",L215=$C$13)),"✓","")</f>
        <v/>
      </c>
      <c r="N215" s="93">
        <f>N(N214)+IF(M215="✓",1,0)</f>
        <v/>
      </c>
      <c r="O215" s="93">
        <f>N(O214)+IF(AND(B215&lt;&gt;"",B215&gt;='Uang Riba'!$H$30,B215&lt;='Uang Riba'!$I$30,OR(H215="Dana riba",H215="Pinjam uang riba",I215="Pinjam dari uang riba",I215="Ganti uang riba",I215="Kelebihan ganti dikembalikan",AND(C215="Kantong Uang Riba",G215="Pengeluaran"))),1,0)</f>
        <v/>
      </c>
      <c r="P215" s="119">
        <f>IF(211&gt;MAX($N$16:$N$5015),"",INDEX($B$16:$B$5015,MATCH((MAX($N$16:$N$5015)-211+1),$N$16:$N$5015,0)))</f>
        <v/>
      </c>
      <c r="Q215" s="105">
        <f>IF(211&gt;MAX($N$16:$N$5015),"",INDEX($C$16:$C$5015,MATCH((MAX($N$16:$N$5015)-211+1),$N$16:$N$5015,0)))&amp;IF(IF(211&gt;MAX($N$16:$N$5015),"",INDEX($E$16:$E$5015,MATCH((MAX($N$16:$N$5015)-211+1),$N$16:$N$5015,0)))="",""," → "&amp;IF(211&gt;MAX($N$16:$N$5015),"",INDEX($E$16:$E$5015,MATCH((MAX($N$16:$N$5015)-211+1),$N$16:$N$5015,0))))</f>
        <v/>
      </c>
      <c r="R215" s="105">
        <f>IF(211&gt;MAX($N$16:$N$5015),"",INDEX($D$16:$D$5015,MATCH((MAX($N$16:$N$5015)-211+1),$N$16:$N$5015,0)))</f>
        <v/>
      </c>
      <c r="S215" s="113">
        <f>IF(211&gt;MAX($N$16:$N$5015),"",INDEX($F$16:$F$5015,MATCH((MAX($N$16:$N$5015)-211+1),$N$16:$N$5015,0)))</f>
        <v/>
      </c>
      <c r="T215" s="105">
        <f>IF(211&gt;MAX($N$16:$N$5015),"",IF(211&gt;MAX($N$16:$N$5015),"",INDEX($G$16:$G$5015,MATCH((MAX($N$16:$N$5015)-211+1),$N$16:$N$5015,0)))&amp;" › "&amp;IF(211&gt;MAX($N$16:$N$5015),"",INDEX($H$16:$H$5015,MATCH((MAX($N$16:$N$5015)-211+1),$N$16:$N$5015,0)))&amp;" › "&amp;IF(211&gt;MAX($N$16:$N$5015),"",INDEX($I$16:$I$5015,MATCH((MAX($N$16:$N$5015)-211+1),$N$16:$N$5015,0))))</f>
        <v/>
      </c>
      <c r="U215" s="105">
        <f>IF(211&gt;MAX($N$16:$N$5015),"",INDEX($J$16:$J$5015,MATCH((MAX($N$16:$N$5015)-211+1),$N$16:$N$5015,0)))&amp;IF(IF(211&gt;MAX($N$16:$N$5015),"",INDEX($L$16:$L$5015,MATCH((MAX($N$16:$N$5015)-211+1),$N$16:$N$5015,0)))="",""," ["&amp;IF(211&gt;MAX($N$16:$N$5015),"",INDEX($L$16:$L$5015,MATCH((MAX($N$16:$N$5015)-211+1),$N$16:$N$5015,0)))&amp;"]")</f>
        <v/>
      </c>
      <c r="V215" s="120">
        <f>IF(211&gt;MAX($N$16:$N$5015),"",HYPERLINK("#Transaksi!B"&amp;(MATCH((MAX($N$16:$N$5015)-211+1),$N$16:$N$5015,0)+15),"Buka"))</f>
        <v/>
      </c>
      <c r="X215" s="93">
        <f>IF(AND(B215&lt;&gt;"",B215&gt;='Buku Akun'!$H$4,B215&lt;='Buku Akun'!$H$5,OR(C215='Buku Akun'!$C$4,AND(D215="Pindah",E215='Buku Akun'!$C$4))),B215+IF(AND(I215="Selisih bunga",DAY(B215)=1),0,0.01)+ROW()/10000000,"")</f>
        <v/>
      </c>
    </row>
    <row r="216" outlineLevel="1" ht="15" customHeight="1" s="94">
      <c r="A216" s="123">
        <f>IF(B216="","",ROW()-15)</f>
        <v/>
      </c>
      <c r="B216" s="124" t="n"/>
      <c r="C216" s="123" t="n"/>
      <c r="D216" s="123" t="n"/>
      <c r="E216" s="123" t="n"/>
      <c r="F216" s="125" t="n"/>
      <c r="G216" s="123" t="n"/>
      <c r="H216" s="123" t="n"/>
      <c r="I216" s="123" t="n"/>
      <c r="J216" s="123" t="n"/>
      <c r="K216" s="123" t="n"/>
      <c r="L216" s="123" t="n"/>
      <c r="M216" s="123">
        <f>IF(AND(B216&lt;&gt;"",OR($C$4="",ISNUMBER(SEARCH($C$4,C216&amp;" "&amp;E216&amp;" "&amp;G216&amp;" "&amp;H216&amp;" "&amp;I216&amp;" "&amp;J216&amp;" "&amp;K216&amp;" "&amp;L216))),OR($C$5="Semua",$C$5="",G216=$C$5),OR($C$6="Semua",$C$6="",H216=$C$6,H216="Pengeluaran "&amp;$C$6,AND($C$6="Uang Kos Mama",H216="Pengeluaran Uang Kos")),OR($C$7="Semua",$C$7="",I216=$C$7),OR($C$8="Semua",$C$8="",C216=$C$8,E216=$C$8),OR($C$9="Semua",$C$9="",D216=$C$9),OR($C$10="",B216&gt;=$C$10),OR($C$11="",B216&lt;=$C$11),OR($C$12&lt;&gt;"Ya",K216&lt;&gt;""),OR($C$13="Semua",$C$13="",L216=$C$13)),"✓","")</f>
        <v/>
      </c>
      <c r="N216" s="93">
        <f>N(N215)+IF(M216="✓",1,0)</f>
        <v/>
      </c>
      <c r="O216" s="93">
        <f>N(O215)+IF(AND(B216&lt;&gt;"",B216&gt;='Uang Riba'!$H$30,B216&lt;='Uang Riba'!$I$30,OR(H216="Dana riba",H216="Pinjam uang riba",I216="Pinjam dari uang riba",I216="Ganti uang riba",I216="Kelebihan ganti dikembalikan",AND(C216="Kantong Uang Riba",G216="Pengeluaran"))),1,0)</f>
        <v/>
      </c>
      <c r="P216" s="119">
        <f>IF(212&gt;MAX($N$16:$N$5015),"",INDEX($B$16:$B$5015,MATCH((MAX($N$16:$N$5015)-212+1),$N$16:$N$5015,0)))</f>
        <v/>
      </c>
      <c r="Q216" s="105">
        <f>IF(212&gt;MAX($N$16:$N$5015),"",INDEX($C$16:$C$5015,MATCH((MAX($N$16:$N$5015)-212+1),$N$16:$N$5015,0)))&amp;IF(IF(212&gt;MAX($N$16:$N$5015),"",INDEX($E$16:$E$5015,MATCH((MAX($N$16:$N$5015)-212+1),$N$16:$N$5015,0)))="",""," → "&amp;IF(212&gt;MAX($N$16:$N$5015),"",INDEX($E$16:$E$5015,MATCH((MAX($N$16:$N$5015)-212+1),$N$16:$N$5015,0))))</f>
        <v/>
      </c>
      <c r="R216" s="105">
        <f>IF(212&gt;MAX($N$16:$N$5015),"",INDEX($D$16:$D$5015,MATCH((MAX($N$16:$N$5015)-212+1),$N$16:$N$5015,0)))</f>
        <v/>
      </c>
      <c r="S216" s="113">
        <f>IF(212&gt;MAX($N$16:$N$5015),"",INDEX($F$16:$F$5015,MATCH((MAX($N$16:$N$5015)-212+1),$N$16:$N$5015,0)))</f>
        <v/>
      </c>
      <c r="T216" s="105">
        <f>IF(212&gt;MAX($N$16:$N$5015),"",IF(212&gt;MAX($N$16:$N$5015),"",INDEX($G$16:$G$5015,MATCH((MAX($N$16:$N$5015)-212+1),$N$16:$N$5015,0)))&amp;" › "&amp;IF(212&gt;MAX($N$16:$N$5015),"",INDEX($H$16:$H$5015,MATCH((MAX($N$16:$N$5015)-212+1),$N$16:$N$5015,0)))&amp;" › "&amp;IF(212&gt;MAX($N$16:$N$5015),"",INDEX($I$16:$I$5015,MATCH((MAX($N$16:$N$5015)-212+1),$N$16:$N$5015,0))))</f>
        <v/>
      </c>
      <c r="U216" s="105">
        <f>IF(212&gt;MAX($N$16:$N$5015),"",INDEX($J$16:$J$5015,MATCH((MAX($N$16:$N$5015)-212+1),$N$16:$N$5015,0)))&amp;IF(IF(212&gt;MAX($N$16:$N$5015),"",INDEX($L$16:$L$5015,MATCH((MAX($N$16:$N$5015)-212+1),$N$16:$N$5015,0)))="",""," ["&amp;IF(212&gt;MAX($N$16:$N$5015),"",INDEX($L$16:$L$5015,MATCH((MAX($N$16:$N$5015)-212+1),$N$16:$N$5015,0)))&amp;"]")</f>
        <v/>
      </c>
      <c r="V216" s="120">
        <f>IF(212&gt;MAX($N$16:$N$5015),"",HYPERLINK("#Transaksi!B"&amp;(MATCH((MAX($N$16:$N$5015)-212+1),$N$16:$N$5015,0)+15),"Buka"))</f>
        <v/>
      </c>
      <c r="X216" s="93">
        <f>IF(AND(B216&lt;&gt;"",B216&gt;='Buku Akun'!$H$4,B216&lt;='Buku Akun'!$H$5,OR(C216='Buku Akun'!$C$4,AND(D216="Pindah",E216='Buku Akun'!$C$4))),B216+IF(AND(I216="Selisih bunga",DAY(B216)=1),0,0.01)+ROW()/10000000,"")</f>
        <v/>
      </c>
    </row>
    <row r="217" outlineLevel="1" ht="15" customHeight="1" s="94">
      <c r="A217" s="123">
        <f>IF(B217="","",ROW()-15)</f>
        <v/>
      </c>
      <c r="B217" s="124" t="n"/>
      <c r="C217" s="123" t="n"/>
      <c r="D217" s="123" t="n"/>
      <c r="E217" s="123" t="n"/>
      <c r="F217" s="125" t="n"/>
      <c r="G217" s="123" t="n"/>
      <c r="H217" s="123" t="n"/>
      <c r="I217" s="123" t="n"/>
      <c r="J217" s="123" t="n"/>
      <c r="K217" s="123" t="n"/>
      <c r="L217" s="123" t="n"/>
      <c r="M217" s="123">
        <f>IF(AND(B217&lt;&gt;"",OR($C$4="",ISNUMBER(SEARCH($C$4,C217&amp;" "&amp;E217&amp;" "&amp;G217&amp;" "&amp;H217&amp;" "&amp;I217&amp;" "&amp;J217&amp;" "&amp;K217&amp;" "&amp;L217))),OR($C$5="Semua",$C$5="",G217=$C$5),OR($C$6="Semua",$C$6="",H217=$C$6,H217="Pengeluaran "&amp;$C$6,AND($C$6="Uang Kos Mama",H217="Pengeluaran Uang Kos")),OR($C$7="Semua",$C$7="",I217=$C$7),OR($C$8="Semua",$C$8="",C217=$C$8,E217=$C$8),OR($C$9="Semua",$C$9="",D217=$C$9),OR($C$10="",B217&gt;=$C$10),OR($C$11="",B217&lt;=$C$11),OR($C$12&lt;&gt;"Ya",K217&lt;&gt;""),OR($C$13="Semua",$C$13="",L217=$C$13)),"✓","")</f>
        <v/>
      </c>
      <c r="N217" s="93">
        <f>N(N216)+IF(M217="✓",1,0)</f>
        <v/>
      </c>
      <c r="O217" s="93">
        <f>N(O216)+IF(AND(B217&lt;&gt;"",B217&gt;='Uang Riba'!$H$30,B217&lt;='Uang Riba'!$I$30,OR(H217="Dana riba",H217="Pinjam uang riba",I217="Pinjam dari uang riba",I217="Ganti uang riba",I217="Kelebihan ganti dikembalikan",AND(C217="Kantong Uang Riba",G217="Pengeluaran"))),1,0)</f>
        <v/>
      </c>
      <c r="P217" s="119">
        <f>IF(213&gt;MAX($N$16:$N$5015),"",INDEX($B$16:$B$5015,MATCH((MAX($N$16:$N$5015)-213+1),$N$16:$N$5015,0)))</f>
        <v/>
      </c>
      <c r="Q217" s="105">
        <f>IF(213&gt;MAX($N$16:$N$5015),"",INDEX($C$16:$C$5015,MATCH((MAX($N$16:$N$5015)-213+1),$N$16:$N$5015,0)))&amp;IF(IF(213&gt;MAX($N$16:$N$5015),"",INDEX($E$16:$E$5015,MATCH((MAX($N$16:$N$5015)-213+1),$N$16:$N$5015,0)))="",""," → "&amp;IF(213&gt;MAX($N$16:$N$5015),"",INDEX($E$16:$E$5015,MATCH((MAX($N$16:$N$5015)-213+1),$N$16:$N$5015,0))))</f>
        <v/>
      </c>
      <c r="R217" s="105">
        <f>IF(213&gt;MAX($N$16:$N$5015),"",INDEX($D$16:$D$5015,MATCH((MAX($N$16:$N$5015)-213+1),$N$16:$N$5015,0)))</f>
        <v/>
      </c>
      <c r="S217" s="113">
        <f>IF(213&gt;MAX($N$16:$N$5015),"",INDEX($F$16:$F$5015,MATCH((MAX($N$16:$N$5015)-213+1),$N$16:$N$5015,0)))</f>
        <v/>
      </c>
      <c r="T217" s="105">
        <f>IF(213&gt;MAX($N$16:$N$5015),"",IF(213&gt;MAX($N$16:$N$5015),"",INDEX($G$16:$G$5015,MATCH((MAX($N$16:$N$5015)-213+1),$N$16:$N$5015,0)))&amp;" › "&amp;IF(213&gt;MAX($N$16:$N$5015),"",INDEX($H$16:$H$5015,MATCH((MAX($N$16:$N$5015)-213+1),$N$16:$N$5015,0)))&amp;" › "&amp;IF(213&gt;MAX($N$16:$N$5015),"",INDEX($I$16:$I$5015,MATCH((MAX($N$16:$N$5015)-213+1),$N$16:$N$5015,0))))</f>
        <v/>
      </c>
      <c r="U217" s="105">
        <f>IF(213&gt;MAX($N$16:$N$5015),"",INDEX($J$16:$J$5015,MATCH((MAX($N$16:$N$5015)-213+1),$N$16:$N$5015,0)))&amp;IF(IF(213&gt;MAX($N$16:$N$5015),"",INDEX($L$16:$L$5015,MATCH((MAX($N$16:$N$5015)-213+1),$N$16:$N$5015,0)))="",""," ["&amp;IF(213&gt;MAX($N$16:$N$5015),"",INDEX($L$16:$L$5015,MATCH((MAX($N$16:$N$5015)-213+1),$N$16:$N$5015,0)))&amp;"]")</f>
        <v/>
      </c>
      <c r="V217" s="120">
        <f>IF(213&gt;MAX($N$16:$N$5015),"",HYPERLINK("#Transaksi!B"&amp;(MATCH((MAX($N$16:$N$5015)-213+1),$N$16:$N$5015,0)+15),"Buka"))</f>
        <v/>
      </c>
      <c r="X217" s="93">
        <f>IF(AND(B217&lt;&gt;"",B217&gt;='Buku Akun'!$H$4,B217&lt;='Buku Akun'!$H$5,OR(C217='Buku Akun'!$C$4,AND(D217="Pindah",E217='Buku Akun'!$C$4))),B217+IF(AND(I217="Selisih bunga",DAY(B217)=1),0,0.01)+ROW()/10000000,"")</f>
        <v/>
      </c>
    </row>
    <row r="218" outlineLevel="1" ht="15" customHeight="1" s="94">
      <c r="A218" s="123">
        <f>IF(B218="","",ROW()-15)</f>
        <v/>
      </c>
      <c r="B218" s="124" t="n"/>
      <c r="C218" s="123" t="n"/>
      <c r="D218" s="123" t="n"/>
      <c r="E218" s="123" t="n"/>
      <c r="F218" s="125" t="n"/>
      <c r="G218" s="123" t="n"/>
      <c r="H218" s="123" t="n"/>
      <c r="I218" s="123" t="n"/>
      <c r="J218" s="123" t="n"/>
      <c r="K218" s="123" t="n"/>
      <c r="L218" s="123" t="n"/>
      <c r="M218" s="123">
        <f>IF(AND(B218&lt;&gt;"",OR($C$4="",ISNUMBER(SEARCH($C$4,C218&amp;" "&amp;E218&amp;" "&amp;G218&amp;" "&amp;H218&amp;" "&amp;I218&amp;" "&amp;J218&amp;" "&amp;K218&amp;" "&amp;L218))),OR($C$5="Semua",$C$5="",G218=$C$5),OR($C$6="Semua",$C$6="",H218=$C$6,H218="Pengeluaran "&amp;$C$6,AND($C$6="Uang Kos Mama",H218="Pengeluaran Uang Kos")),OR($C$7="Semua",$C$7="",I218=$C$7),OR($C$8="Semua",$C$8="",C218=$C$8,E218=$C$8),OR($C$9="Semua",$C$9="",D218=$C$9),OR($C$10="",B218&gt;=$C$10),OR($C$11="",B218&lt;=$C$11),OR($C$12&lt;&gt;"Ya",K218&lt;&gt;""),OR($C$13="Semua",$C$13="",L218=$C$13)),"✓","")</f>
        <v/>
      </c>
      <c r="N218" s="93">
        <f>N(N217)+IF(M218="✓",1,0)</f>
        <v/>
      </c>
      <c r="O218" s="93">
        <f>N(O217)+IF(AND(B218&lt;&gt;"",B218&gt;='Uang Riba'!$H$30,B218&lt;='Uang Riba'!$I$30,OR(H218="Dana riba",H218="Pinjam uang riba",I218="Pinjam dari uang riba",I218="Ganti uang riba",I218="Kelebihan ganti dikembalikan",AND(C218="Kantong Uang Riba",G218="Pengeluaran"))),1,0)</f>
        <v/>
      </c>
      <c r="P218" s="119">
        <f>IF(214&gt;MAX($N$16:$N$5015),"",INDEX($B$16:$B$5015,MATCH((MAX($N$16:$N$5015)-214+1),$N$16:$N$5015,0)))</f>
        <v/>
      </c>
      <c r="Q218" s="105">
        <f>IF(214&gt;MAX($N$16:$N$5015),"",INDEX($C$16:$C$5015,MATCH((MAX($N$16:$N$5015)-214+1),$N$16:$N$5015,0)))&amp;IF(IF(214&gt;MAX($N$16:$N$5015),"",INDEX($E$16:$E$5015,MATCH((MAX($N$16:$N$5015)-214+1),$N$16:$N$5015,0)))="",""," → "&amp;IF(214&gt;MAX($N$16:$N$5015),"",INDEX($E$16:$E$5015,MATCH((MAX($N$16:$N$5015)-214+1),$N$16:$N$5015,0))))</f>
        <v/>
      </c>
      <c r="R218" s="105">
        <f>IF(214&gt;MAX($N$16:$N$5015),"",INDEX($D$16:$D$5015,MATCH((MAX($N$16:$N$5015)-214+1),$N$16:$N$5015,0)))</f>
        <v/>
      </c>
      <c r="S218" s="113">
        <f>IF(214&gt;MAX($N$16:$N$5015),"",INDEX($F$16:$F$5015,MATCH((MAX($N$16:$N$5015)-214+1),$N$16:$N$5015,0)))</f>
        <v/>
      </c>
      <c r="T218" s="105">
        <f>IF(214&gt;MAX($N$16:$N$5015),"",IF(214&gt;MAX($N$16:$N$5015),"",INDEX($G$16:$G$5015,MATCH((MAX($N$16:$N$5015)-214+1),$N$16:$N$5015,0)))&amp;" › "&amp;IF(214&gt;MAX($N$16:$N$5015),"",INDEX($H$16:$H$5015,MATCH((MAX($N$16:$N$5015)-214+1),$N$16:$N$5015,0)))&amp;" › "&amp;IF(214&gt;MAX($N$16:$N$5015),"",INDEX($I$16:$I$5015,MATCH((MAX($N$16:$N$5015)-214+1),$N$16:$N$5015,0))))</f>
        <v/>
      </c>
      <c r="U218" s="105">
        <f>IF(214&gt;MAX($N$16:$N$5015),"",INDEX($J$16:$J$5015,MATCH((MAX($N$16:$N$5015)-214+1),$N$16:$N$5015,0)))&amp;IF(IF(214&gt;MAX($N$16:$N$5015),"",INDEX($L$16:$L$5015,MATCH((MAX($N$16:$N$5015)-214+1),$N$16:$N$5015,0)))="",""," ["&amp;IF(214&gt;MAX($N$16:$N$5015),"",INDEX($L$16:$L$5015,MATCH((MAX($N$16:$N$5015)-214+1),$N$16:$N$5015,0)))&amp;"]")</f>
        <v/>
      </c>
      <c r="V218" s="120">
        <f>IF(214&gt;MAX($N$16:$N$5015),"",HYPERLINK("#Transaksi!B"&amp;(MATCH((MAX($N$16:$N$5015)-214+1),$N$16:$N$5015,0)+15),"Buka"))</f>
        <v/>
      </c>
      <c r="X218" s="93">
        <f>IF(AND(B218&lt;&gt;"",B218&gt;='Buku Akun'!$H$4,B218&lt;='Buku Akun'!$H$5,OR(C218='Buku Akun'!$C$4,AND(D218="Pindah",E218='Buku Akun'!$C$4))),B218+IF(AND(I218="Selisih bunga",DAY(B218)=1),0,0.01)+ROW()/10000000,"")</f>
        <v/>
      </c>
    </row>
    <row r="219" outlineLevel="1" ht="15" customHeight="1" s="94">
      <c r="A219" s="123">
        <f>IF(B219="","",ROW()-15)</f>
        <v/>
      </c>
      <c r="B219" s="124" t="n"/>
      <c r="C219" s="123" t="n"/>
      <c r="D219" s="123" t="n"/>
      <c r="E219" s="123" t="n"/>
      <c r="F219" s="125" t="n"/>
      <c r="G219" s="123" t="n"/>
      <c r="H219" s="123" t="n"/>
      <c r="I219" s="123" t="n"/>
      <c r="J219" s="123" t="n"/>
      <c r="K219" s="123" t="n"/>
      <c r="L219" s="123" t="n"/>
      <c r="M219" s="123">
        <f>IF(AND(B219&lt;&gt;"",OR($C$4="",ISNUMBER(SEARCH($C$4,C219&amp;" "&amp;E219&amp;" "&amp;G219&amp;" "&amp;H219&amp;" "&amp;I219&amp;" "&amp;J219&amp;" "&amp;K219&amp;" "&amp;L219))),OR($C$5="Semua",$C$5="",G219=$C$5),OR($C$6="Semua",$C$6="",H219=$C$6,H219="Pengeluaran "&amp;$C$6,AND($C$6="Uang Kos Mama",H219="Pengeluaran Uang Kos")),OR($C$7="Semua",$C$7="",I219=$C$7),OR($C$8="Semua",$C$8="",C219=$C$8,E219=$C$8),OR($C$9="Semua",$C$9="",D219=$C$9),OR($C$10="",B219&gt;=$C$10),OR($C$11="",B219&lt;=$C$11),OR($C$12&lt;&gt;"Ya",K219&lt;&gt;""),OR($C$13="Semua",$C$13="",L219=$C$13)),"✓","")</f>
        <v/>
      </c>
      <c r="N219" s="93">
        <f>N(N218)+IF(M219="✓",1,0)</f>
        <v/>
      </c>
      <c r="O219" s="93">
        <f>N(O218)+IF(AND(B219&lt;&gt;"",B219&gt;='Uang Riba'!$H$30,B219&lt;='Uang Riba'!$I$30,OR(H219="Dana riba",H219="Pinjam uang riba",I219="Pinjam dari uang riba",I219="Ganti uang riba",I219="Kelebihan ganti dikembalikan",AND(C219="Kantong Uang Riba",G219="Pengeluaran"))),1,0)</f>
        <v/>
      </c>
      <c r="P219" s="119">
        <f>IF(215&gt;MAX($N$16:$N$5015),"",INDEX($B$16:$B$5015,MATCH((MAX($N$16:$N$5015)-215+1),$N$16:$N$5015,0)))</f>
        <v/>
      </c>
      <c r="Q219" s="105">
        <f>IF(215&gt;MAX($N$16:$N$5015),"",INDEX($C$16:$C$5015,MATCH((MAX($N$16:$N$5015)-215+1),$N$16:$N$5015,0)))&amp;IF(IF(215&gt;MAX($N$16:$N$5015),"",INDEX($E$16:$E$5015,MATCH((MAX($N$16:$N$5015)-215+1),$N$16:$N$5015,0)))="",""," → "&amp;IF(215&gt;MAX($N$16:$N$5015),"",INDEX($E$16:$E$5015,MATCH((MAX($N$16:$N$5015)-215+1),$N$16:$N$5015,0))))</f>
        <v/>
      </c>
      <c r="R219" s="105">
        <f>IF(215&gt;MAX($N$16:$N$5015),"",INDEX($D$16:$D$5015,MATCH((MAX($N$16:$N$5015)-215+1),$N$16:$N$5015,0)))</f>
        <v/>
      </c>
      <c r="S219" s="113">
        <f>IF(215&gt;MAX($N$16:$N$5015),"",INDEX($F$16:$F$5015,MATCH((MAX($N$16:$N$5015)-215+1),$N$16:$N$5015,0)))</f>
        <v/>
      </c>
      <c r="T219" s="105">
        <f>IF(215&gt;MAX($N$16:$N$5015),"",IF(215&gt;MAX($N$16:$N$5015),"",INDEX($G$16:$G$5015,MATCH((MAX($N$16:$N$5015)-215+1),$N$16:$N$5015,0)))&amp;" › "&amp;IF(215&gt;MAX($N$16:$N$5015),"",INDEX($H$16:$H$5015,MATCH((MAX($N$16:$N$5015)-215+1),$N$16:$N$5015,0)))&amp;" › "&amp;IF(215&gt;MAX($N$16:$N$5015),"",INDEX($I$16:$I$5015,MATCH((MAX($N$16:$N$5015)-215+1),$N$16:$N$5015,0))))</f>
        <v/>
      </c>
      <c r="U219" s="105">
        <f>IF(215&gt;MAX($N$16:$N$5015),"",INDEX($J$16:$J$5015,MATCH((MAX($N$16:$N$5015)-215+1),$N$16:$N$5015,0)))&amp;IF(IF(215&gt;MAX($N$16:$N$5015),"",INDEX($L$16:$L$5015,MATCH((MAX($N$16:$N$5015)-215+1),$N$16:$N$5015,0)))="",""," ["&amp;IF(215&gt;MAX($N$16:$N$5015),"",INDEX($L$16:$L$5015,MATCH((MAX($N$16:$N$5015)-215+1),$N$16:$N$5015,0)))&amp;"]")</f>
        <v/>
      </c>
      <c r="V219" s="120">
        <f>IF(215&gt;MAX($N$16:$N$5015),"",HYPERLINK("#Transaksi!B"&amp;(MATCH((MAX($N$16:$N$5015)-215+1),$N$16:$N$5015,0)+15),"Buka"))</f>
        <v/>
      </c>
      <c r="X219" s="93">
        <f>IF(AND(B219&lt;&gt;"",B219&gt;='Buku Akun'!$H$4,B219&lt;='Buku Akun'!$H$5,OR(C219='Buku Akun'!$C$4,AND(D219="Pindah",E219='Buku Akun'!$C$4))),B219+IF(AND(I219="Selisih bunga",DAY(B219)=1),0,0.01)+ROW()/10000000,"")</f>
        <v/>
      </c>
    </row>
    <row r="220" outlineLevel="1" ht="15" customHeight="1" s="94">
      <c r="A220" s="123">
        <f>IF(B220="","",ROW()-15)</f>
        <v/>
      </c>
      <c r="B220" s="124" t="n"/>
      <c r="C220" s="123" t="n"/>
      <c r="D220" s="123" t="n"/>
      <c r="E220" s="123" t="n"/>
      <c r="F220" s="125" t="n"/>
      <c r="G220" s="123" t="n"/>
      <c r="H220" s="123" t="n"/>
      <c r="I220" s="123" t="n"/>
      <c r="J220" s="123" t="n"/>
      <c r="K220" s="123" t="n"/>
      <c r="L220" s="123" t="n"/>
      <c r="M220" s="123">
        <f>IF(AND(B220&lt;&gt;"",OR($C$4="",ISNUMBER(SEARCH($C$4,C220&amp;" "&amp;E220&amp;" "&amp;G220&amp;" "&amp;H220&amp;" "&amp;I220&amp;" "&amp;J220&amp;" "&amp;K220&amp;" "&amp;L220))),OR($C$5="Semua",$C$5="",G220=$C$5),OR($C$6="Semua",$C$6="",H220=$C$6,H220="Pengeluaran "&amp;$C$6,AND($C$6="Uang Kos Mama",H220="Pengeluaran Uang Kos")),OR($C$7="Semua",$C$7="",I220=$C$7),OR($C$8="Semua",$C$8="",C220=$C$8,E220=$C$8),OR($C$9="Semua",$C$9="",D220=$C$9),OR($C$10="",B220&gt;=$C$10),OR($C$11="",B220&lt;=$C$11),OR($C$12&lt;&gt;"Ya",K220&lt;&gt;""),OR($C$13="Semua",$C$13="",L220=$C$13)),"✓","")</f>
        <v/>
      </c>
      <c r="N220" s="93">
        <f>N(N219)+IF(M220="✓",1,0)</f>
        <v/>
      </c>
      <c r="O220" s="93">
        <f>N(O219)+IF(AND(B220&lt;&gt;"",B220&gt;='Uang Riba'!$H$30,B220&lt;='Uang Riba'!$I$30,OR(H220="Dana riba",H220="Pinjam uang riba",I220="Pinjam dari uang riba",I220="Ganti uang riba",I220="Kelebihan ganti dikembalikan",AND(C220="Kantong Uang Riba",G220="Pengeluaran"))),1,0)</f>
        <v/>
      </c>
      <c r="P220" s="119">
        <f>IF(216&gt;MAX($N$16:$N$5015),"",INDEX($B$16:$B$5015,MATCH((MAX($N$16:$N$5015)-216+1),$N$16:$N$5015,0)))</f>
        <v/>
      </c>
      <c r="Q220" s="105">
        <f>IF(216&gt;MAX($N$16:$N$5015),"",INDEX($C$16:$C$5015,MATCH((MAX($N$16:$N$5015)-216+1),$N$16:$N$5015,0)))&amp;IF(IF(216&gt;MAX($N$16:$N$5015),"",INDEX($E$16:$E$5015,MATCH((MAX($N$16:$N$5015)-216+1),$N$16:$N$5015,0)))="",""," → "&amp;IF(216&gt;MAX($N$16:$N$5015),"",INDEX($E$16:$E$5015,MATCH((MAX($N$16:$N$5015)-216+1),$N$16:$N$5015,0))))</f>
        <v/>
      </c>
      <c r="R220" s="105">
        <f>IF(216&gt;MAX($N$16:$N$5015),"",INDEX($D$16:$D$5015,MATCH((MAX($N$16:$N$5015)-216+1),$N$16:$N$5015,0)))</f>
        <v/>
      </c>
      <c r="S220" s="113">
        <f>IF(216&gt;MAX($N$16:$N$5015),"",INDEX($F$16:$F$5015,MATCH((MAX($N$16:$N$5015)-216+1),$N$16:$N$5015,0)))</f>
        <v/>
      </c>
      <c r="T220" s="105">
        <f>IF(216&gt;MAX($N$16:$N$5015),"",IF(216&gt;MAX($N$16:$N$5015),"",INDEX($G$16:$G$5015,MATCH((MAX($N$16:$N$5015)-216+1),$N$16:$N$5015,0)))&amp;" › "&amp;IF(216&gt;MAX($N$16:$N$5015),"",INDEX($H$16:$H$5015,MATCH((MAX($N$16:$N$5015)-216+1),$N$16:$N$5015,0)))&amp;" › "&amp;IF(216&gt;MAX($N$16:$N$5015),"",INDEX($I$16:$I$5015,MATCH((MAX($N$16:$N$5015)-216+1),$N$16:$N$5015,0))))</f>
        <v/>
      </c>
      <c r="U220" s="105">
        <f>IF(216&gt;MAX($N$16:$N$5015),"",INDEX($J$16:$J$5015,MATCH((MAX($N$16:$N$5015)-216+1),$N$16:$N$5015,0)))&amp;IF(IF(216&gt;MAX($N$16:$N$5015),"",INDEX($L$16:$L$5015,MATCH((MAX($N$16:$N$5015)-216+1),$N$16:$N$5015,0)))="",""," ["&amp;IF(216&gt;MAX($N$16:$N$5015),"",INDEX($L$16:$L$5015,MATCH((MAX($N$16:$N$5015)-216+1),$N$16:$N$5015,0)))&amp;"]")</f>
        <v/>
      </c>
      <c r="V220" s="120">
        <f>IF(216&gt;MAX($N$16:$N$5015),"",HYPERLINK("#Transaksi!B"&amp;(MATCH((MAX($N$16:$N$5015)-216+1),$N$16:$N$5015,0)+15),"Buka"))</f>
        <v/>
      </c>
      <c r="X220" s="93">
        <f>IF(AND(B220&lt;&gt;"",B220&gt;='Buku Akun'!$H$4,B220&lt;='Buku Akun'!$H$5,OR(C220='Buku Akun'!$C$4,AND(D220="Pindah",E220='Buku Akun'!$C$4))),B220+IF(AND(I220="Selisih bunga",DAY(B220)=1),0,0.01)+ROW()/10000000,"")</f>
        <v/>
      </c>
    </row>
    <row r="221" outlineLevel="1" ht="15" customHeight="1" s="94">
      <c r="A221" s="123">
        <f>IF(B221="","",ROW()-15)</f>
        <v/>
      </c>
      <c r="B221" s="124" t="n"/>
      <c r="C221" s="123" t="n"/>
      <c r="D221" s="123" t="n"/>
      <c r="E221" s="123" t="n"/>
      <c r="F221" s="125" t="n"/>
      <c r="G221" s="123" t="n"/>
      <c r="H221" s="123" t="n"/>
      <c r="I221" s="123" t="n"/>
      <c r="J221" s="123" t="n"/>
      <c r="K221" s="123" t="n"/>
      <c r="L221" s="123" t="n"/>
      <c r="M221" s="123">
        <f>IF(AND(B221&lt;&gt;"",OR($C$4="",ISNUMBER(SEARCH($C$4,C221&amp;" "&amp;E221&amp;" "&amp;G221&amp;" "&amp;H221&amp;" "&amp;I221&amp;" "&amp;J221&amp;" "&amp;K221&amp;" "&amp;L221))),OR($C$5="Semua",$C$5="",G221=$C$5),OR($C$6="Semua",$C$6="",H221=$C$6,H221="Pengeluaran "&amp;$C$6,AND($C$6="Uang Kos Mama",H221="Pengeluaran Uang Kos")),OR($C$7="Semua",$C$7="",I221=$C$7),OR($C$8="Semua",$C$8="",C221=$C$8,E221=$C$8),OR($C$9="Semua",$C$9="",D221=$C$9),OR($C$10="",B221&gt;=$C$10),OR($C$11="",B221&lt;=$C$11),OR($C$12&lt;&gt;"Ya",K221&lt;&gt;""),OR($C$13="Semua",$C$13="",L221=$C$13)),"✓","")</f>
        <v/>
      </c>
      <c r="N221" s="93">
        <f>N(N220)+IF(M221="✓",1,0)</f>
        <v/>
      </c>
      <c r="O221" s="93">
        <f>N(O220)+IF(AND(B221&lt;&gt;"",B221&gt;='Uang Riba'!$H$30,B221&lt;='Uang Riba'!$I$30,OR(H221="Dana riba",H221="Pinjam uang riba",I221="Pinjam dari uang riba",I221="Ganti uang riba",I221="Kelebihan ganti dikembalikan",AND(C221="Kantong Uang Riba",G221="Pengeluaran"))),1,0)</f>
        <v/>
      </c>
      <c r="P221" s="119">
        <f>IF(217&gt;MAX($N$16:$N$5015),"",INDEX($B$16:$B$5015,MATCH((MAX($N$16:$N$5015)-217+1),$N$16:$N$5015,0)))</f>
        <v/>
      </c>
      <c r="Q221" s="105">
        <f>IF(217&gt;MAX($N$16:$N$5015),"",INDEX($C$16:$C$5015,MATCH((MAX($N$16:$N$5015)-217+1),$N$16:$N$5015,0)))&amp;IF(IF(217&gt;MAX($N$16:$N$5015),"",INDEX($E$16:$E$5015,MATCH((MAX($N$16:$N$5015)-217+1),$N$16:$N$5015,0)))="",""," → "&amp;IF(217&gt;MAX($N$16:$N$5015),"",INDEX($E$16:$E$5015,MATCH((MAX($N$16:$N$5015)-217+1),$N$16:$N$5015,0))))</f>
        <v/>
      </c>
      <c r="R221" s="105">
        <f>IF(217&gt;MAX($N$16:$N$5015),"",INDEX($D$16:$D$5015,MATCH((MAX($N$16:$N$5015)-217+1),$N$16:$N$5015,0)))</f>
        <v/>
      </c>
      <c r="S221" s="113">
        <f>IF(217&gt;MAX($N$16:$N$5015),"",INDEX($F$16:$F$5015,MATCH((MAX($N$16:$N$5015)-217+1),$N$16:$N$5015,0)))</f>
        <v/>
      </c>
      <c r="T221" s="105">
        <f>IF(217&gt;MAX($N$16:$N$5015),"",IF(217&gt;MAX($N$16:$N$5015),"",INDEX($G$16:$G$5015,MATCH((MAX($N$16:$N$5015)-217+1),$N$16:$N$5015,0)))&amp;" › "&amp;IF(217&gt;MAX($N$16:$N$5015),"",INDEX($H$16:$H$5015,MATCH((MAX($N$16:$N$5015)-217+1),$N$16:$N$5015,0)))&amp;" › "&amp;IF(217&gt;MAX($N$16:$N$5015),"",INDEX($I$16:$I$5015,MATCH((MAX($N$16:$N$5015)-217+1),$N$16:$N$5015,0))))</f>
        <v/>
      </c>
      <c r="U221" s="105">
        <f>IF(217&gt;MAX($N$16:$N$5015),"",INDEX($J$16:$J$5015,MATCH((MAX($N$16:$N$5015)-217+1),$N$16:$N$5015,0)))&amp;IF(IF(217&gt;MAX($N$16:$N$5015),"",INDEX($L$16:$L$5015,MATCH((MAX($N$16:$N$5015)-217+1),$N$16:$N$5015,0)))="",""," ["&amp;IF(217&gt;MAX($N$16:$N$5015),"",INDEX($L$16:$L$5015,MATCH((MAX($N$16:$N$5015)-217+1),$N$16:$N$5015,0)))&amp;"]")</f>
        <v/>
      </c>
      <c r="V221" s="120">
        <f>IF(217&gt;MAX($N$16:$N$5015),"",HYPERLINK("#Transaksi!B"&amp;(MATCH((MAX($N$16:$N$5015)-217+1),$N$16:$N$5015,0)+15),"Buka"))</f>
        <v/>
      </c>
      <c r="X221" s="93">
        <f>IF(AND(B221&lt;&gt;"",B221&gt;='Buku Akun'!$H$4,B221&lt;='Buku Akun'!$H$5,OR(C221='Buku Akun'!$C$4,AND(D221="Pindah",E221='Buku Akun'!$C$4))),B221+IF(AND(I221="Selisih bunga",DAY(B221)=1),0,0.01)+ROW()/10000000,"")</f>
        <v/>
      </c>
    </row>
    <row r="222" outlineLevel="1" ht="15" customHeight="1" s="94">
      <c r="A222" s="123">
        <f>IF(B222="","",ROW()-15)</f>
        <v/>
      </c>
      <c r="B222" s="124" t="n"/>
      <c r="C222" s="123" t="n"/>
      <c r="D222" s="123" t="n"/>
      <c r="E222" s="123" t="n"/>
      <c r="F222" s="125" t="n"/>
      <c r="G222" s="123" t="n"/>
      <c r="H222" s="123" t="n"/>
      <c r="I222" s="123" t="n"/>
      <c r="J222" s="123" t="n"/>
      <c r="K222" s="123" t="n"/>
      <c r="L222" s="123" t="n"/>
      <c r="M222" s="123">
        <f>IF(AND(B222&lt;&gt;"",OR($C$4="",ISNUMBER(SEARCH($C$4,C222&amp;" "&amp;E222&amp;" "&amp;G222&amp;" "&amp;H222&amp;" "&amp;I222&amp;" "&amp;J222&amp;" "&amp;K222&amp;" "&amp;L222))),OR($C$5="Semua",$C$5="",G222=$C$5),OR($C$6="Semua",$C$6="",H222=$C$6,H222="Pengeluaran "&amp;$C$6,AND($C$6="Uang Kos Mama",H222="Pengeluaran Uang Kos")),OR($C$7="Semua",$C$7="",I222=$C$7),OR($C$8="Semua",$C$8="",C222=$C$8,E222=$C$8),OR($C$9="Semua",$C$9="",D222=$C$9),OR($C$10="",B222&gt;=$C$10),OR($C$11="",B222&lt;=$C$11),OR($C$12&lt;&gt;"Ya",K222&lt;&gt;""),OR($C$13="Semua",$C$13="",L222=$C$13)),"✓","")</f>
        <v/>
      </c>
      <c r="N222" s="93">
        <f>N(N221)+IF(M222="✓",1,0)</f>
        <v/>
      </c>
      <c r="O222" s="93">
        <f>N(O221)+IF(AND(B222&lt;&gt;"",B222&gt;='Uang Riba'!$H$30,B222&lt;='Uang Riba'!$I$30,OR(H222="Dana riba",H222="Pinjam uang riba",I222="Pinjam dari uang riba",I222="Ganti uang riba",I222="Kelebihan ganti dikembalikan",AND(C222="Kantong Uang Riba",G222="Pengeluaran"))),1,0)</f>
        <v/>
      </c>
      <c r="P222" s="119">
        <f>IF(218&gt;MAX($N$16:$N$5015),"",INDEX($B$16:$B$5015,MATCH((MAX($N$16:$N$5015)-218+1),$N$16:$N$5015,0)))</f>
        <v/>
      </c>
      <c r="Q222" s="105">
        <f>IF(218&gt;MAX($N$16:$N$5015),"",INDEX($C$16:$C$5015,MATCH((MAX($N$16:$N$5015)-218+1),$N$16:$N$5015,0)))&amp;IF(IF(218&gt;MAX($N$16:$N$5015),"",INDEX($E$16:$E$5015,MATCH((MAX($N$16:$N$5015)-218+1),$N$16:$N$5015,0)))="",""," → "&amp;IF(218&gt;MAX($N$16:$N$5015),"",INDEX($E$16:$E$5015,MATCH((MAX($N$16:$N$5015)-218+1),$N$16:$N$5015,0))))</f>
        <v/>
      </c>
      <c r="R222" s="105">
        <f>IF(218&gt;MAX($N$16:$N$5015),"",INDEX($D$16:$D$5015,MATCH((MAX($N$16:$N$5015)-218+1),$N$16:$N$5015,0)))</f>
        <v/>
      </c>
      <c r="S222" s="113">
        <f>IF(218&gt;MAX($N$16:$N$5015),"",INDEX($F$16:$F$5015,MATCH((MAX($N$16:$N$5015)-218+1),$N$16:$N$5015,0)))</f>
        <v/>
      </c>
      <c r="T222" s="105">
        <f>IF(218&gt;MAX($N$16:$N$5015),"",IF(218&gt;MAX($N$16:$N$5015),"",INDEX($G$16:$G$5015,MATCH((MAX($N$16:$N$5015)-218+1),$N$16:$N$5015,0)))&amp;" › "&amp;IF(218&gt;MAX($N$16:$N$5015),"",INDEX($H$16:$H$5015,MATCH((MAX($N$16:$N$5015)-218+1),$N$16:$N$5015,0)))&amp;" › "&amp;IF(218&gt;MAX($N$16:$N$5015),"",INDEX($I$16:$I$5015,MATCH((MAX($N$16:$N$5015)-218+1),$N$16:$N$5015,0))))</f>
        <v/>
      </c>
      <c r="U222" s="105">
        <f>IF(218&gt;MAX($N$16:$N$5015),"",INDEX($J$16:$J$5015,MATCH((MAX($N$16:$N$5015)-218+1),$N$16:$N$5015,0)))&amp;IF(IF(218&gt;MAX($N$16:$N$5015),"",INDEX($L$16:$L$5015,MATCH((MAX($N$16:$N$5015)-218+1),$N$16:$N$5015,0)))="",""," ["&amp;IF(218&gt;MAX($N$16:$N$5015),"",INDEX($L$16:$L$5015,MATCH((MAX($N$16:$N$5015)-218+1),$N$16:$N$5015,0)))&amp;"]")</f>
        <v/>
      </c>
      <c r="V222" s="120">
        <f>IF(218&gt;MAX($N$16:$N$5015),"",HYPERLINK("#Transaksi!B"&amp;(MATCH((MAX($N$16:$N$5015)-218+1),$N$16:$N$5015,0)+15),"Buka"))</f>
        <v/>
      </c>
      <c r="X222" s="93">
        <f>IF(AND(B222&lt;&gt;"",B222&gt;='Buku Akun'!$H$4,B222&lt;='Buku Akun'!$H$5,OR(C222='Buku Akun'!$C$4,AND(D222="Pindah",E222='Buku Akun'!$C$4))),B222+IF(AND(I222="Selisih bunga",DAY(B222)=1),0,0.01)+ROW()/10000000,"")</f>
        <v/>
      </c>
    </row>
    <row r="223" outlineLevel="1" ht="15" customHeight="1" s="94">
      <c r="A223" s="123">
        <f>IF(B223="","",ROW()-15)</f>
        <v/>
      </c>
      <c r="B223" s="124" t="n"/>
      <c r="C223" s="123" t="n"/>
      <c r="D223" s="123" t="n"/>
      <c r="E223" s="123" t="n"/>
      <c r="F223" s="125" t="n"/>
      <c r="G223" s="123" t="n"/>
      <c r="H223" s="123" t="n"/>
      <c r="I223" s="123" t="n"/>
      <c r="J223" s="123" t="n"/>
      <c r="K223" s="123" t="n"/>
      <c r="L223" s="123" t="n"/>
      <c r="M223" s="123">
        <f>IF(AND(B223&lt;&gt;"",OR($C$4="",ISNUMBER(SEARCH($C$4,C223&amp;" "&amp;E223&amp;" "&amp;G223&amp;" "&amp;H223&amp;" "&amp;I223&amp;" "&amp;J223&amp;" "&amp;K223&amp;" "&amp;L223))),OR($C$5="Semua",$C$5="",G223=$C$5),OR($C$6="Semua",$C$6="",H223=$C$6,H223="Pengeluaran "&amp;$C$6,AND($C$6="Uang Kos Mama",H223="Pengeluaran Uang Kos")),OR($C$7="Semua",$C$7="",I223=$C$7),OR($C$8="Semua",$C$8="",C223=$C$8,E223=$C$8),OR($C$9="Semua",$C$9="",D223=$C$9),OR($C$10="",B223&gt;=$C$10),OR($C$11="",B223&lt;=$C$11),OR($C$12&lt;&gt;"Ya",K223&lt;&gt;""),OR($C$13="Semua",$C$13="",L223=$C$13)),"✓","")</f>
        <v/>
      </c>
      <c r="N223" s="93">
        <f>N(N222)+IF(M223="✓",1,0)</f>
        <v/>
      </c>
      <c r="O223" s="93">
        <f>N(O222)+IF(AND(B223&lt;&gt;"",B223&gt;='Uang Riba'!$H$30,B223&lt;='Uang Riba'!$I$30,OR(H223="Dana riba",H223="Pinjam uang riba",I223="Pinjam dari uang riba",I223="Ganti uang riba",I223="Kelebihan ganti dikembalikan",AND(C223="Kantong Uang Riba",G223="Pengeluaran"))),1,0)</f>
        <v/>
      </c>
      <c r="P223" s="119">
        <f>IF(219&gt;MAX($N$16:$N$5015),"",INDEX($B$16:$B$5015,MATCH((MAX($N$16:$N$5015)-219+1),$N$16:$N$5015,0)))</f>
        <v/>
      </c>
      <c r="Q223" s="105">
        <f>IF(219&gt;MAX($N$16:$N$5015),"",INDEX($C$16:$C$5015,MATCH((MAX($N$16:$N$5015)-219+1),$N$16:$N$5015,0)))&amp;IF(IF(219&gt;MAX($N$16:$N$5015),"",INDEX($E$16:$E$5015,MATCH((MAX($N$16:$N$5015)-219+1),$N$16:$N$5015,0)))="",""," → "&amp;IF(219&gt;MAX($N$16:$N$5015),"",INDEX($E$16:$E$5015,MATCH((MAX($N$16:$N$5015)-219+1),$N$16:$N$5015,0))))</f>
        <v/>
      </c>
      <c r="R223" s="105">
        <f>IF(219&gt;MAX($N$16:$N$5015),"",INDEX($D$16:$D$5015,MATCH((MAX($N$16:$N$5015)-219+1),$N$16:$N$5015,0)))</f>
        <v/>
      </c>
      <c r="S223" s="113">
        <f>IF(219&gt;MAX($N$16:$N$5015),"",INDEX($F$16:$F$5015,MATCH((MAX($N$16:$N$5015)-219+1),$N$16:$N$5015,0)))</f>
        <v/>
      </c>
      <c r="T223" s="105">
        <f>IF(219&gt;MAX($N$16:$N$5015),"",IF(219&gt;MAX($N$16:$N$5015),"",INDEX($G$16:$G$5015,MATCH((MAX($N$16:$N$5015)-219+1),$N$16:$N$5015,0)))&amp;" › "&amp;IF(219&gt;MAX($N$16:$N$5015),"",INDEX($H$16:$H$5015,MATCH((MAX($N$16:$N$5015)-219+1),$N$16:$N$5015,0)))&amp;" › "&amp;IF(219&gt;MAX($N$16:$N$5015),"",INDEX($I$16:$I$5015,MATCH((MAX($N$16:$N$5015)-219+1),$N$16:$N$5015,0))))</f>
        <v/>
      </c>
      <c r="U223" s="105">
        <f>IF(219&gt;MAX($N$16:$N$5015),"",INDEX($J$16:$J$5015,MATCH((MAX($N$16:$N$5015)-219+1),$N$16:$N$5015,0)))&amp;IF(IF(219&gt;MAX($N$16:$N$5015),"",INDEX($L$16:$L$5015,MATCH((MAX($N$16:$N$5015)-219+1),$N$16:$N$5015,0)))="",""," ["&amp;IF(219&gt;MAX($N$16:$N$5015),"",INDEX($L$16:$L$5015,MATCH((MAX($N$16:$N$5015)-219+1),$N$16:$N$5015,0)))&amp;"]")</f>
        <v/>
      </c>
      <c r="V223" s="120">
        <f>IF(219&gt;MAX($N$16:$N$5015),"",HYPERLINK("#Transaksi!B"&amp;(MATCH((MAX($N$16:$N$5015)-219+1),$N$16:$N$5015,0)+15),"Buka"))</f>
        <v/>
      </c>
      <c r="X223" s="93">
        <f>IF(AND(B223&lt;&gt;"",B223&gt;='Buku Akun'!$H$4,B223&lt;='Buku Akun'!$H$5,OR(C223='Buku Akun'!$C$4,AND(D223="Pindah",E223='Buku Akun'!$C$4))),B223+IF(AND(I223="Selisih bunga",DAY(B223)=1),0,0.01)+ROW()/10000000,"")</f>
        <v/>
      </c>
    </row>
    <row r="224" outlineLevel="1" ht="15" customHeight="1" s="94">
      <c r="A224" s="123">
        <f>IF(B224="","",ROW()-15)</f>
        <v/>
      </c>
      <c r="B224" s="124" t="n"/>
      <c r="C224" s="123" t="n"/>
      <c r="D224" s="123" t="n"/>
      <c r="E224" s="123" t="n"/>
      <c r="F224" s="125" t="n"/>
      <c r="G224" s="123" t="n"/>
      <c r="H224" s="123" t="n"/>
      <c r="I224" s="123" t="n"/>
      <c r="J224" s="123" t="n"/>
      <c r="K224" s="123" t="n"/>
      <c r="L224" s="123" t="n"/>
      <c r="M224" s="123">
        <f>IF(AND(B224&lt;&gt;"",OR($C$4="",ISNUMBER(SEARCH($C$4,C224&amp;" "&amp;E224&amp;" "&amp;G224&amp;" "&amp;H224&amp;" "&amp;I224&amp;" "&amp;J224&amp;" "&amp;K224&amp;" "&amp;L224))),OR($C$5="Semua",$C$5="",G224=$C$5),OR($C$6="Semua",$C$6="",H224=$C$6,H224="Pengeluaran "&amp;$C$6,AND($C$6="Uang Kos Mama",H224="Pengeluaran Uang Kos")),OR($C$7="Semua",$C$7="",I224=$C$7),OR($C$8="Semua",$C$8="",C224=$C$8,E224=$C$8),OR($C$9="Semua",$C$9="",D224=$C$9),OR($C$10="",B224&gt;=$C$10),OR($C$11="",B224&lt;=$C$11),OR($C$12&lt;&gt;"Ya",K224&lt;&gt;""),OR($C$13="Semua",$C$13="",L224=$C$13)),"✓","")</f>
        <v/>
      </c>
      <c r="N224" s="93">
        <f>N(N223)+IF(M224="✓",1,0)</f>
        <v/>
      </c>
      <c r="O224" s="93">
        <f>N(O223)+IF(AND(B224&lt;&gt;"",B224&gt;='Uang Riba'!$H$30,B224&lt;='Uang Riba'!$I$30,OR(H224="Dana riba",H224="Pinjam uang riba",I224="Pinjam dari uang riba",I224="Ganti uang riba",I224="Kelebihan ganti dikembalikan",AND(C224="Kantong Uang Riba",G224="Pengeluaran"))),1,0)</f>
        <v/>
      </c>
      <c r="P224" s="119">
        <f>IF(220&gt;MAX($N$16:$N$5015),"",INDEX($B$16:$B$5015,MATCH((MAX($N$16:$N$5015)-220+1),$N$16:$N$5015,0)))</f>
        <v/>
      </c>
      <c r="Q224" s="105">
        <f>IF(220&gt;MAX($N$16:$N$5015),"",INDEX($C$16:$C$5015,MATCH((MAX($N$16:$N$5015)-220+1),$N$16:$N$5015,0)))&amp;IF(IF(220&gt;MAX($N$16:$N$5015),"",INDEX($E$16:$E$5015,MATCH((MAX($N$16:$N$5015)-220+1),$N$16:$N$5015,0)))="",""," → "&amp;IF(220&gt;MAX($N$16:$N$5015),"",INDEX($E$16:$E$5015,MATCH((MAX($N$16:$N$5015)-220+1),$N$16:$N$5015,0))))</f>
        <v/>
      </c>
      <c r="R224" s="105">
        <f>IF(220&gt;MAX($N$16:$N$5015),"",INDEX($D$16:$D$5015,MATCH((MAX($N$16:$N$5015)-220+1),$N$16:$N$5015,0)))</f>
        <v/>
      </c>
      <c r="S224" s="113">
        <f>IF(220&gt;MAX($N$16:$N$5015),"",INDEX($F$16:$F$5015,MATCH((MAX($N$16:$N$5015)-220+1),$N$16:$N$5015,0)))</f>
        <v/>
      </c>
      <c r="T224" s="105">
        <f>IF(220&gt;MAX($N$16:$N$5015),"",IF(220&gt;MAX($N$16:$N$5015),"",INDEX($G$16:$G$5015,MATCH((MAX($N$16:$N$5015)-220+1),$N$16:$N$5015,0)))&amp;" › "&amp;IF(220&gt;MAX($N$16:$N$5015),"",INDEX($H$16:$H$5015,MATCH((MAX($N$16:$N$5015)-220+1),$N$16:$N$5015,0)))&amp;" › "&amp;IF(220&gt;MAX($N$16:$N$5015),"",INDEX($I$16:$I$5015,MATCH((MAX($N$16:$N$5015)-220+1),$N$16:$N$5015,0))))</f>
        <v/>
      </c>
      <c r="U224" s="105">
        <f>IF(220&gt;MAX($N$16:$N$5015),"",INDEX($J$16:$J$5015,MATCH((MAX($N$16:$N$5015)-220+1),$N$16:$N$5015,0)))&amp;IF(IF(220&gt;MAX($N$16:$N$5015),"",INDEX($L$16:$L$5015,MATCH((MAX($N$16:$N$5015)-220+1),$N$16:$N$5015,0)))="",""," ["&amp;IF(220&gt;MAX($N$16:$N$5015),"",INDEX($L$16:$L$5015,MATCH((MAX($N$16:$N$5015)-220+1),$N$16:$N$5015,0)))&amp;"]")</f>
        <v/>
      </c>
      <c r="V224" s="120">
        <f>IF(220&gt;MAX($N$16:$N$5015),"",HYPERLINK("#Transaksi!B"&amp;(MATCH((MAX($N$16:$N$5015)-220+1),$N$16:$N$5015,0)+15),"Buka"))</f>
        <v/>
      </c>
      <c r="X224" s="93">
        <f>IF(AND(B224&lt;&gt;"",B224&gt;='Buku Akun'!$H$4,B224&lt;='Buku Akun'!$H$5,OR(C224='Buku Akun'!$C$4,AND(D224="Pindah",E224='Buku Akun'!$C$4))),B224+IF(AND(I224="Selisih bunga",DAY(B224)=1),0,0.01)+ROW()/10000000,"")</f>
        <v/>
      </c>
    </row>
    <row r="225" outlineLevel="1" ht="15" customHeight="1" s="94">
      <c r="A225" s="123">
        <f>IF(B225="","",ROW()-15)</f>
        <v/>
      </c>
      <c r="B225" s="124" t="n"/>
      <c r="C225" s="123" t="n"/>
      <c r="D225" s="123" t="n"/>
      <c r="E225" s="123" t="n"/>
      <c r="F225" s="125" t="n"/>
      <c r="G225" s="123" t="n"/>
      <c r="H225" s="123" t="n"/>
      <c r="I225" s="123" t="n"/>
      <c r="J225" s="123" t="n"/>
      <c r="K225" s="123" t="n"/>
      <c r="L225" s="123" t="n"/>
      <c r="M225" s="123">
        <f>IF(AND(B225&lt;&gt;"",OR($C$4="",ISNUMBER(SEARCH($C$4,C225&amp;" "&amp;E225&amp;" "&amp;G225&amp;" "&amp;H225&amp;" "&amp;I225&amp;" "&amp;J225&amp;" "&amp;K225&amp;" "&amp;L225))),OR($C$5="Semua",$C$5="",G225=$C$5),OR($C$6="Semua",$C$6="",H225=$C$6,H225="Pengeluaran "&amp;$C$6,AND($C$6="Uang Kos Mama",H225="Pengeluaran Uang Kos")),OR($C$7="Semua",$C$7="",I225=$C$7),OR($C$8="Semua",$C$8="",C225=$C$8,E225=$C$8),OR($C$9="Semua",$C$9="",D225=$C$9),OR($C$10="",B225&gt;=$C$10),OR($C$11="",B225&lt;=$C$11),OR($C$12&lt;&gt;"Ya",K225&lt;&gt;""),OR($C$13="Semua",$C$13="",L225=$C$13)),"✓","")</f>
        <v/>
      </c>
      <c r="N225" s="93">
        <f>N(N224)+IF(M225="✓",1,0)</f>
        <v/>
      </c>
      <c r="O225" s="93">
        <f>N(O224)+IF(AND(B225&lt;&gt;"",B225&gt;='Uang Riba'!$H$30,B225&lt;='Uang Riba'!$I$30,OR(H225="Dana riba",H225="Pinjam uang riba",I225="Pinjam dari uang riba",I225="Ganti uang riba",I225="Kelebihan ganti dikembalikan",AND(C225="Kantong Uang Riba",G225="Pengeluaran"))),1,0)</f>
        <v/>
      </c>
      <c r="P225" s="119">
        <f>IF(221&gt;MAX($N$16:$N$5015),"",INDEX($B$16:$B$5015,MATCH((MAX($N$16:$N$5015)-221+1),$N$16:$N$5015,0)))</f>
        <v/>
      </c>
      <c r="Q225" s="105">
        <f>IF(221&gt;MAX($N$16:$N$5015),"",INDEX($C$16:$C$5015,MATCH((MAX($N$16:$N$5015)-221+1),$N$16:$N$5015,0)))&amp;IF(IF(221&gt;MAX($N$16:$N$5015),"",INDEX($E$16:$E$5015,MATCH((MAX($N$16:$N$5015)-221+1),$N$16:$N$5015,0)))="",""," → "&amp;IF(221&gt;MAX($N$16:$N$5015),"",INDEX($E$16:$E$5015,MATCH((MAX($N$16:$N$5015)-221+1),$N$16:$N$5015,0))))</f>
        <v/>
      </c>
      <c r="R225" s="105">
        <f>IF(221&gt;MAX($N$16:$N$5015),"",INDEX($D$16:$D$5015,MATCH((MAX($N$16:$N$5015)-221+1),$N$16:$N$5015,0)))</f>
        <v/>
      </c>
      <c r="S225" s="113">
        <f>IF(221&gt;MAX($N$16:$N$5015),"",INDEX($F$16:$F$5015,MATCH((MAX($N$16:$N$5015)-221+1),$N$16:$N$5015,0)))</f>
        <v/>
      </c>
      <c r="T225" s="105">
        <f>IF(221&gt;MAX($N$16:$N$5015),"",IF(221&gt;MAX($N$16:$N$5015),"",INDEX($G$16:$G$5015,MATCH((MAX($N$16:$N$5015)-221+1),$N$16:$N$5015,0)))&amp;" › "&amp;IF(221&gt;MAX($N$16:$N$5015),"",INDEX($H$16:$H$5015,MATCH((MAX($N$16:$N$5015)-221+1),$N$16:$N$5015,0)))&amp;" › "&amp;IF(221&gt;MAX($N$16:$N$5015),"",INDEX($I$16:$I$5015,MATCH((MAX($N$16:$N$5015)-221+1),$N$16:$N$5015,0))))</f>
        <v/>
      </c>
      <c r="U225" s="105">
        <f>IF(221&gt;MAX($N$16:$N$5015),"",INDEX($J$16:$J$5015,MATCH((MAX($N$16:$N$5015)-221+1),$N$16:$N$5015,0)))&amp;IF(IF(221&gt;MAX($N$16:$N$5015),"",INDEX($L$16:$L$5015,MATCH((MAX($N$16:$N$5015)-221+1),$N$16:$N$5015,0)))="",""," ["&amp;IF(221&gt;MAX($N$16:$N$5015),"",INDEX($L$16:$L$5015,MATCH((MAX($N$16:$N$5015)-221+1),$N$16:$N$5015,0)))&amp;"]")</f>
        <v/>
      </c>
      <c r="V225" s="120">
        <f>IF(221&gt;MAX($N$16:$N$5015),"",HYPERLINK("#Transaksi!B"&amp;(MATCH((MAX($N$16:$N$5015)-221+1),$N$16:$N$5015,0)+15),"Buka"))</f>
        <v/>
      </c>
      <c r="X225" s="93">
        <f>IF(AND(B225&lt;&gt;"",B225&gt;='Buku Akun'!$H$4,B225&lt;='Buku Akun'!$H$5,OR(C225='Buku Akun'!$C$4,AND(D225="Pindah",E225='Buku Akun'!$C$4))),B225+IF(AND(I225="Selisih bunga",DAY(B225)=1),0,0.01)+ROW()/10000000,"")</f>
        <v/>
      </c>
    </row>
    <row r="226" outlineLevel="1" ht="15" customHeight="1" s="94">
      <c r="A226" s="123">
        <f>IF(B226="","",ROW()-15)</f>
        <v/>
      </c>
      <c r="B226" s="124" t="n"/>
      <c r="C226" s="123" t="n"/>
      <c r="D226" s="123" t="n"/>
      <c r="E226" s="123" t="n"/>
      <c r="F226" s="125" t="n"/>
      <c r="G226" s="123" t="n"/>
      <c r="H226" s="123" t="n"/>
      <c r="I226" s="123" t="n"/>
      <c r="J226" s="123" t="n"/>
      <c r="K226" s="123" t="n"/>
      <c r="L226" s="123" t="n"/>
      <c r="M226" s="123">
        <f>IF(AND(B226&lt;&gt;"",OR($C$4="",ISNUMBER(SEARCH($C$4,C226&amp;" "&amp;E226&amp;" "&amp;G226&amp;" "&amp;H226&amp;" "&amp;I226&amp;" "&amp;J226&amp;" "&amp;K226&amp;" "&amp;L226))),OR($C$5="Semua",$C$5="",G226=$C$5),OR($C$6="Semua",$C$6="",H226=$C$6,H226="Pengeluaran "&amp;$C$6,AND($C$6="Uang Kos Mama",H226="Pengeluaran Uang Kos")),OR($C$7="Semua",$C$7="",I226=$C$7),OR($C$8="Semua",$C$8="",C226=$C$8,E226=$C$8),OR($C$9="Semua",$C$9="",D226=$C$9),OR($C$10="",B226&gt;=$C$10),OR($C$11="",B226&lt;=$C$11),OR($C$12&lt;&gt;"Ya",K226&lt;&gt;""),OR($C$13="Semua",$C$13="",L226=$C$13)),"✓","")</f>
        <v/>
      </c>
      <c r="N226" s="93">
        <f>N(N225)+IF(M226="✓",1,0)</f>
        <v/>
      </c>
      <c r="O226" s="93">
        <f>N(O225)+IF(AND(B226&lt;&gt;"",B226&gt;='Uang Riba'!$H$30,B226&lt;='Uang Riba'!$I$30,OR(H226="Dana riba",H226="Pinjam uang riba",I226="Pinjam dari uang riba",I226="Ganti uang riba",I226="Kelebihan ganti dikembalikan",AND(C226="Kantong Uang Riba",G226="Pengeluaran"))),1,0)</f>
        <v/>
      </c>
      <c r="P226" s="119">
        <f>IF(222&gt;MAX($N$16:$N$5015),"",INDEX($B$16:$B$5015,MATCH((MAX($N$16:$N$5015)-222+1),$N$16:$N$5015,0)))</f>
        <v/>
      </c>
      <c r="Q226" s="105">
        <f>IF(222&gt;MAX($N$16:$N$5015),"",INDEX($C$16:$C$5015,MATCH((MAX($N$16:$N$5015)-222+1),$N$16:$N$5015,0)))&amp;IF(IF(222&gt;MAX($N$16:$N$5015),"",INDEX($E$16:$E$5015,MATCH((MAX($N$16:$N$5015)-222+1),$N$16:$N$5015,0)))="",""," → "&amp;IF(222&gt;MAX($N$16:$N$5015),"",INDEX($E$16:$E$5015,MATCH((MAX($N$16:$N$5015)-222+1),$N$16:$N$5015,0))))</f>
        <v/>
      </c>
      <c r="R226" s="105">
        <f>IF(222&gt;MAX($N$16:$N$5015),"",INDEX($D$16:$D$5015,MATCH((MAX($N$16:$N$5015)-222+1),$N$16:$N$5015,0)))</f>
        <v/>
      </c>
      <c r="S226" s="113">
        <f>IF(222&gt;MAX($N$16:$N$5015),"",INDEX($F$16:$F$5015,MATCH((MAX($N$16:$N$5015)-222+1),$N$16:$N$5015,0)))</f>
        <v/>
      </c>
      <c r="T226" s="105">
        <f>IF(222&gt;MAX($N$16:$N$5015),"",IF(222&gt;MAX($N$16:$N$5015),"",INDEX($G$16:$G$5015,MATCH((MAX($N$16:$N$5015)-222+1),$N$16:$N$5015,0)))&amp;" › "&amp;IF(222&gt;MAX($N$16:$N$5015),"",INDEX($H$16:$H$5015,MATCH((MAX($N$16:$N$5015)-222+1),$N$16:$N$5015,0)))&amp;" › "&amp;IF(222&gt;MAX($N$16:$N$5015),"",INDEX($I$16:$I$5015,MATCH((MAX($N$16:$N$5015)-222+1),$N$16:$N$5015,0))))</f>
        <v/>
      </c>
      <c r="U226" s="105">
        <f>IF(222&gt;MAX($N$16:$N$5015),"",INDEX($J$16:$J$5015,MATCH((MAX($N$16:$N$5015)-222+1),$N$16:$N$5015,0)))&amp;IF(IF(222&gt;MAX($N$16:$N$5015),"",INDEX($L$16:$L$5015,MATCH((MAX($N$16:$N$5015)-222+1),$N$16:$N$5015,0)))="",""," ["&amp;IF(222&gt;MAX($N$16:$N$5015),"",INDEX($L$16:$L$5015,MATCH((MAX($N$16:$N$5015)-222+1),$N$16:$N$5015,0)))&amp;"]")</f>
        <v/>
      </c>
      <c r="V226" s="120">
        <f>IF(222&gt;MAX($N$16:$N$5015),"",HYPERLINK("#Transaksi!B"&amp;(MATCH((MAX($N$16:$N$5015)-222+1),$N$16:$N$5015,0)+15),"Buka"))</f>
        <v/>
      </c>
      <c r="X226" s="93">
        <f>IF(AND(B226&lt;&gt;"",B226&gt;='Buku Akun'!$H$4,B226&lt;='Buku Akun'!$H$5,OR(C226='Buku Akun'!$C$4,AND(D226="Pindah",E226='Buku Akun'!$C$4))),B226+IF(AND(I226="Selisih bunga",DAY(B226)=1),0,0.01)+ROW()/10000000,"")</f>
        <v/>
      </c>
    </row>
    <row r="227" outlineLevel="1" ht="15" customHeight="1" s="94">
      <c r="A227" s="123">
        <f>IF(B227="","",ROW()-15)</f>
        <v/>
      </c>
      <c r="B227" s="124" t="n"/>
      <c r="C227" s="123" t="n"/>
      <c r="D227" s="123" t="n"/>
      <c r="E227" s="123" t="n"/>
      <c r="F227" s="125" t="n"/>
      <c r="G227" s="123" t="n"/>
      <c r="H227" s="123" t="n"/>
      <c r="I227" s="123" t="n"/>
      <c r="J227" s="123" t="n"/>
      <c r="K227" s="123" t="n"/>
      <c r="L227" s="123" t="n"/>
      <c r="M227" s="123">
        <f>IF(AND(B227&lt;&gt;"",OR($C$4="",ISNUMBER(SEARCH($C$4,C227&amp;" "&amp;E227&amp;" "&amp;G227&amp;" "&amp;H227&amp;" "&amp;I227&amp;" "&amp;J227&amp;" "&amp;K227&amp;" "&amp;L227))),OR($C$5="Semua",$C$5="",G227=$C$5),OR($C$6="Semua",$C$6="",H227=$C$6,H227="Pengeluaran "&amp;$C$6,AND($C$6="Uang Kos Mama",H227="Pengeluaran Uang Kos")),OR($C$7="Semua",$C$7="",I227=$C$7),OR($C$8="Semua",$C$8="",C227=$C$8,E227=$C$8),OR($C$9="Semua",$C$9="",D227=$C$9),OR($C$10="",B227&gt;=$C$10),OR($C$11="",B227&lt;=$C$11),OR($C$12&lt;&gt;"Ya",K227&lt;&gt;""),OR($C$13="Semua",$C$13="",L227=$C$13)),"✓","")</f>
        <v/>
      </c>
      <c r="N227" s="93">
        <f>N(N226)+IF(M227="✓",1,0)</f>
        <v/>
      </c>
      <c r="O227" s="93">
        <f>N(O226)+IF(AND(B227&lt;&gt;"",B227&gt;='Uang Riba'!$H$30,B227&lt;='Uang Riba'!$I$30,OR(H227="Dana riba",H227="Pinjam uang riba",I227="Pinjam dari uang riba",I227="Ganti uang riba",I227="Kelebihan ganti dikembalikan",AND(C227="Kantong Uang Riba",G227="Pengeluaran"))),1,0)</f>
        <v/>
      </c>
      <c r="P227" s="119">
        <f>IF(223&gt;MAX($N$16:$N$5015),"",INDEX($B$16:$B$5015,MATCH((MAX($N$16:$N$5015)-223+1),$N$16:$N$5015,0)))</f>
        <v/>
      </c>
      <c r="Q227" s="105">
        <f>IF(223&gt;MAX($N$16:$N$5015),"",INDEX($C$16:$C$5015,MATCH((MAX($N$16:$N$5015)-223+1),$N$16:$N$5015,0)))&amp;IF(IF(223&gt;MAX($N$16:$N$5015),"",INDEX($E$16:$E$5015,MATCH((MAX($N$16:$N$5015)-223+1),$N$16:$N$5015,0)))="",""," → "&amp;IF(223&gt;MAX($N$16:$N$5015),"",INDEX($E$16:$E$5015,MATCH((MAX($N$16:$N$5015)-223+1),$N$16:$N$5015,0))))</f>
        <v/>
      </c>
      <c r="R227" s="105">
        <f>IF(223&gt;MAX($N$16:$N$5015),"",INDEX($D$16:$D$5015,MATCH((MAX($N$16:$N$5015)-223+1),$N$16:$N$5015,0)))</f>
        <v/>
      </c>
      <c r="S227" s="113">
        <f>IF(223&gt;MAX($N$16:$N$5015),"",INDEX($F$16:$F$5015,MATCH((MAX($N$16:$N$5015)-223+1),$N$16:$N$5015,0)))</f>
        <v/>
      </c>
      <c r="T227" s="105">
        <f>IF(223&gt;MAX($N$16:$N$5015),"",IF(223&gt;MAX($N$16:$N$5015),"",INDEX($G$16:$G$5015,MATCH((MAX($N$16:$N$5015)-223+1),$N$16:$N$5015,0)))&amp;" › "&amp;IF(223&gt;MAX($N$16:$N$5015),"",INDEX($H$16:$H$5015,MATCH((MAX($N$16:$N$5015)-223+1),$N$16:$N$5015,0)))&amp;" › "&amp;IF(223&gt;MAX($N$16:$N$5015),"",INDEX($I$16:$I$5015,MATCH((MAX($N$16:$N$5015)-223+1),$N$16:$N$5015,0))))</f>
        <v/>
      </c>
      <c r="U227" s="105">
        <f>IF(223&gt;MAX($N$16:$N$5015),"",INDEX($J$16:$J$5015,MATCH((MAX($N$16:$N$5015)-223+1),$N$16:$N$5015,0)))&amp;IF(IF(223&gt;MAX($N$16:$N$5015),"",INDEX($L$16:$L$5015,MATCH((MAX($N$16:$N$5015)-223+1),$N$16:$N$5015,0)))="",""," ["&amp;IF(223&gt;MAX($N$16:$N$5015),"",INDEX($L$16:$L$5015,MATCH((MAX($N$16:$N$5015)-223+1),$N$16:$N$5015,0)))&amp;"]")</f>
        <v/>
      </c>
      <c r="V227" s="120">
        <f>IF(223&gt;MAX($N$16:$N$5015),"",HYPERLINK("#Transaksi!B"&amp;(MATCH((MAX($N$16:$N$5015)-223+1),$N$16:$N$5015,0)+15),"Buka"))</f>
        <v/>
      </c>
      <c r="X227" s="93">
        <f>IF(AND(B227&lt;&gt;"",B227&gt;='Buku Akun'!$H$4,B227&lt;='Buku Akun'!$H$5,OR(C227='Buku Akun'!$C$4,AND(D227="Pindah",E227='Buku Akun'!$C$4))),B227+IF(AND(I227="Selisih bunga",DAY(B227)=1),0,0.01)+ROW()/10000000,"")</f>
        <v/>
      </c>
    </row>
    <row r="228" outlineLevel="1" ht="15" customHeight="1" s="94">
      <c r="A228" s="123">
        <f>IF(B228="","",ROW()-15)</f>
        <v/>
      </c>
      <c r="B228" s="124" t="n"/>
      <c r="C228" s="123" t="n"/>
      <c r="D228" s="123" t="n"/>
      <c r="E228" s="123" t="n"/>
      <c r="F228" s="125" t="n"/>
      <c r="G228" s="123" t="n"/>
      <c r="H228" s="123" t="n"/>
      <c r="I228" s="123" t="n"/>
      <c r="J228" s="123" t="n"/>
      <c r="K228" s="123" t="n"/>
      <c r="L228" s="123" t="n"/>
      <c r="M228" s="123">
        <f>IF(AND(B228&lt;&gt;"",OR($C$4="",ISNUMBER(SEARCH($C$4,C228&amp;" "&amp;E228&amp;" "&amp;G228&amp;" "&amp;H228&amp;" "&amp;I228&amp;" "&amp;J228&amp;" "&amp;K228&amp;" "&amp;L228))),OR($C$5="Semua",$C$5="",G228=$C$5),OR($C$6="Semua",$C$6="",H228=$C$6,H228="Pengeluaran "&amp;$C$6,AND($C$6="Uang Kos Mama",H228="Pengeluaran Uang Kos")),OR($C$7="Semua",$C$7="",I228=$C$7),OR($C$8="Semua",$C$8="",C228=$C$8,E228=$C$8),OR($C$9="Semua",$C$9="",D228=$C$9),OR($C$10="",B228&gt;=$C$10),OR($C$11="",B228&lt;=$C$11),OR($C$12&lt;&gt;"Ya",K228&lt;&gt;""),OR($C$13="Semua",$C$13="",L228=$C$13)),"✓","")</f>
        <v/>
      </c>
      <c r="N228" s="93">
        <f>N(N227)+IF(M228="✓",1,0)</f>
        <v/>
      </c>
      <c r="O228" s="93">
        <f>N(O227)+IF(AND(B228&lt;&gt;"",B228&gt;='Uang Riba'!$H$30,B228&lt;='Uang Riba'!$I$30,OR(H228="Dana riba",H228="Pinjam uang riba",I228="Pinjam dari uang riba",I228="Ganti uang riba",I228="Kelebihan ganti dikembalikan",AND(C228="Kantong Uang Riba",G228="Pengeluaran"))),1,0)</f>
        <v/>
      </c>
      <c r="P228" s="119">
        <f>IF(224&gt;MAX($N$16:$N$5015),"",INDEX($B$16:$B$5015,MATCH((MAX($N$16:$N$5015)-224+1),$N$16:$N$5015,0)))</f>
        <v/>
      </c>
      <c r="Q228" s="105">
        <f>IF(224&gt;MAX($N$16:$N$5015),"",INDEX($C$16:$C$5015,MATCH((MAX($N$16:$N$5015)-224+1),$N$16:$N$5015,0)))&amp;IF(IF(224&gt;MAX($N$16:$N$5015),"",INDEX($E$16:$E$5015,MATCH((MAX($N$16:$N$5015)-224+1),$N$16:$N$5015,0)))="",""," → "&amp;IF(224&gt;MAX($N$16:$N$5015),"",INDEX($E$16:$E$5015,MATCH((MAX($N$16:$N$5015)-224+1),$N$16:$N$5015,0))))</f>
        <v/>
      </c>
      <c r="R228" s="105">
        <f>IF(224&gt;MAX($N$16:$N$5015),"",INDEX($D$16:$D$5015,MATCH((MAX($N$16:$N$5015)-224+1),$N$16:$N$5015,0)))</f>
        <v/>
      </c>
      <c r="S228" s="113">
        <f>IF(224&gt;MAX($N$16:$N$5015),"",INDEX($F$16:$F$5015,MATCH((MAX($N$16:$N$5015)-224+1),$N$16:$N$5015,0)))</f>
        <v/>
      </c>
      <c r="T228" s="105">
        <f>IF(224&gt;MAX($N$16:$N$5015),"",IF(224&gt;MAX($N$16:$N$5015),"",INDEX($G$16:$G$5015,MATCH((MAX($N$16:$N$5015)-224+1),$N$16:$N$5015,0)))&amp;" › "&amp;IF(224&gt;MAX($N$16:$N$5015),"",INDEX($H$16:$H$5015,MATCH((MAX($N$16:$N$5015)-224+1),$N$16:$N$5015,0)))&amp;" › "&amp;IF(224&gt;MAX($N$16:$N$5015),"",INDEX($I$16:$I$5015,MATCH((MAX($N$16:$N$5015)-224+1),$N$16:$N$5015,0))))</f>
        <v/>
      </c>
      <c r="U228" s="105">
        <f>IF(224&gt;MAX($N$16:$N$5015),"",INDEX($J$16:$J$5015,MATCH((MAX($N$16:$N$5015)-224+1),$N$16:$N$5015,0)))&amp;IF(IF(224&gt;MAX($N$16:$N$5015),"",INDEX($L$16:$L$5015,MATCH((MAX($N$16:$N$5015)-224+1),$N$16:$N$5015,0)))="",""," ["&amp;IF(224&gt;MAX($N$16:$N$5015),"",INDEX($L$16:$L$5015,MATCH((MAX($N$16:$N$5015)-224+1),$N$16:$N$5015,0)))&amp;"]")</f>
        <v/>
      </c>
      <c r="V228" s="120">
        <f>IF(224&gt;MAX($N$16:$N$5015),"",HYPERLINK("#Transaksi!B"&amp;(MATCH((MAX($N$16:$N$5015)-224+1),$N$16:$N$5015,0)+15),"Buka"))</f>
        <v/>
      </c>
      <c r="X228" s="93">
        <f>IF(AND(B228&lt;&gt;"",B228&gt;='Buku Akun'!$H$4,B228&lt;='Buku Akun'!$H$5,OR(C228='Buku Akun'!$C$4,AND(D228="Pindah",E228='Buku Akun'!$C$4))),B228+IF(AND(I228="Selisih bunga",DAY(B228)=1),0,0.01)+ROW()/10000000,"")</f>
        <v/>
      </c>
    </row>
    <row r="229" outlineLevel="1" ht="15" customHeight="1" s="94">
      <c r="A229" s="123">
        <f>IF(B229="","",ROW()-15)</f>
        <v/>
      </c>
      <c r="B229" s="124" t="n"/>
      <c r="C229" s="123" t="n"/>
      <c r="D229" s="123" t="n"/>
      <c r="E229" s="123" t="n"/>
      <c r="F229" s="125" t="n"/>
      <c r="G229" s="123" t="n"/>
      <c r="H229" s="123" t="n"/>
      <c r="I229" s="123" t="n"/>
      <c r="J229" s="123" t="n"/>
      <c r="K229" s="123" t="n"/>
      <c r="L229" s="123" t="n"/>
      <c r="M229" s="123">
        <f>IF(AND(B229&lt;&gt;"",OR($C$4="",ISNUMBER(SEARCH($C$4,C229&amp;" "&amp;E229&amp;" "&amp;G229&amp;" "&amp;H229&amp;" "&amp;I229&amp;" "&amp;J229&amp;" "&amp;K229&amp;" "&amp;L229))),OR($C$5="Semua",$C$5="",G229=$C$5),OR($C$6="Semua",$C$6="",H229=$C$6,H229="Pengeluaran "&amp;$C$6,AND($C$6="Uang Kos Mama",H229="Pengeluaran Uang Kos")),OR($C$7="Semua",$C$7="",I229=$C$7),OR($C$8="Semua",$C$8="",C229=$C$8,E229=$C$8),OR($C$9="Semua",$C$9="",D229=$C$9),OR($C$10="",B229&gt;=$C$10),OR($C$11="",B229&lt;=$C$11),OR($C$12&lt;&gt;"Ya",K229&lt;&gt;""),OR($C$13="Semua",$C$13="",L229=$C$13)),"✓","")</f>
        <v/>
      </c>
      <c r="N229" s="93">
        <f>N(N228)+IF(M229="✓",1,0)</f>
        <v/>
      </c>
      <c r="O229" s="93">
        <f>N(O228)+IF(AND(B229&lt;&gt;"",B229&gt;='Uang Riba'!$H$30,B229&lt;='Uang Riba'!$I$30,OR(H229="Dana riba",H229="Pinjam uang riba",I229="Pinjam dari uang riba",I229="Ganti uang riba",I229="Kelebihan ganti dikembalikan",AND(C229="Kantong Uang Riba",G229="Pengeluaran"))),1,0)</f>
        <v/>
      </c>
      <c r="P229" s="119">
        <f>IF(225&gt;MAX($N$16:$N$5015),"",INDEX($B$16:$B$5015,MATCH((MAX($N$16:$N$5015)-225+1),$N$16:$N$5015,0)))</f>
        <v/>
      </c>
      <c r="Q229" s="105">
        <f>IF(225&gt;MAX($N$16:$N$5015),"",INDEX($C$16:$C$5015,MATCH((MAX($N$16:$N$5015)-225+1),$N$16:$N$5015,0)))&amp;IF(IF(225&gt;MAX($N$16:$N$5015),"",INDEX($E$16:$E$5015,MATCH((MAX($N$16:$N$5015)-225+1),$N$16:$N$5015,0)))="",""," → "&amp;IF(225&gt;MAX($N$16:$N$5015),"",INDEX($E$16:$E$5015,MATCH((MAX($N$16:$N$5015)-225+1),$N$16:$N$5015,0))))</f>
        <v/>
      </c>
      <c r="R229" s="105">
        <f>IF(225&gt;MAX($N$16:$N$5015),"",INDEX($D$16:$D$5015,MATCH((MAX($N$16:$N$5015)-225+1),$N$16:$N$5015,0)))</f>
        <v/>
      </c>
      <c r="S229" s="113">
        <f>IF(225&gt;MAX($N$16:$N$5015),"",INDEX($F$16:$F$5015,MATCH((MAX($N$16:$N$5015)-225+1),$N$16:$N$5015,0)))</f>
        <v/>
      </c>
      <c r="T229" s="105">
        <f>IF(225&gt;MAX($N$16:$N$5015),"",IF(225&gt;MAX($N$16:$N$5015),"",INDEX($G$16:$G$5015,MATCH((MAX($N$16:$N$5015)-225+1),$N$16:$N$5015,0)))&amp;" › "&amp;IF(225&gt;MAX($N$16:$N$5015),"",INDEX($H$16:$H$5015,MATCH((MAX($N$16:$N$5015)-225+1),$N$16:$N$5015,0)))&amp;" › "&amp;IF(225&gt;MAX($N$16:$N$5015),"",INDEX($I$16:$I$5015,MATCH((MAX($N$16:$N$5015)-225+1),$N$16:$N$5015,0))))</f>
        <v/>
      </c>
      <c r="U229" s="105">
        <f>IF(225&gt;MAX($N$16:$N$5015),"",INDEX($J$16:$J$5015,MATCH((MAX($N$16:$N$5015)-225+1),$N$16:$N$5015,0)))&amp;IF(IF(225&gt;MAX($N$16:$N$5015),"",INDEX($L$16:$L$5015,MATCH((MAX($N$16:$N$5015)-225+1),$N$16:$N$5015,0)))="",""," ["&amp;IF(225&gt;MAX($N$16:$N$5015),"",INDEX($L$16:$L$5015,MATCH((MAX($N$16:$N$5015)-225+1),$N$16:$N$5015,0)))&amp;"]")</f>
        <v/>
      </c>
      <c r="V229" s="120">
        <f>IF(225&gt;MAX($N$16:$N$5015),"",HYPERLINK("#Transaksi!B"&amp;(MATCH((MAX($N$16:$N$5015)-225+1),$N$16:$N$5015,0)+15),"Buka"))</f>
        <v/>
      </c>
      <c r="X229" s="93">
        <f>IF(AND(B229&lt;&gt;"",B229&gt;='Buku Akun'!$H$4,B229&lt;='Buku Akun'!$H$5,OR(C229='Buku Akun'!$C$4,AND(D229="Pindah",E229='Buku Akun'!$C$4))),B229+IF(AND(I229="Selisih bunga",DAY(B229)=1),0,0.01)+ROW()/10000000,"")</f>
        <v/>
      </c>
    </row>
    <row r="230" outlineLevel="1" ht="15" customHeight="1" s="94">
      <c r="A230" s="123">
        <f>IF(B230="","",ROW()-15)</f>
        <v/>
      </c>
      <c r="B230" s="124" t="n"/>
      <c r="C230" s="123" t="n"/>
      <c r="D230" s="123" t="n"/>
      <c r="E230" s="123" t="n"/>
      <c r="F230" s="125" t="n"/>
      <c r="G230" s="123" t="n"/>
      <c r="H230" s="123" t="n"/>
      <c r="I230" s="123" t="n"/>
      <c r="J230" s="123" t="n"/>
      <c r="K230" s="123" t="n"/>
      <c r="L230" s="123" t="n"/>
      <c r="M230" s="123">
        <f>IF(AND(B230&lt;&gt;"",OR($C$4="",ISNUMBER(SEARCH($C$4,C230&amp;" "&amp;E230&amp;" "&amp;G230&amp;" "&amp;H230&amp;" "&amp;I230&amp;" "&amp;J230&amp;" "&amp;K230&amp;" "&amp;L230))),OR($C$5="Semua",$C$5="",G230=$C$5),OR($C$6="Semua",$C$6="",H230=$C$6,H230="Pengeluaran "&amp;$C$6,AND($C$6="Uang Kos Mama",H230="Pengeluaran Uang Kos")),OR($C$7="Semua",$C$7="",I230=$C$7),OR($C$8="Semua",$C$8="",C230=$C$8,E230=$C$8),OR($C$9="Semua",$C$9="",D230=$C$9),OR($C$10="",B230&gt;=$C$10),OR($C$11="",B230&lt;=$C$11),OR($C$12&lt;&gt;"Ya",K230&lt;&gt;""),OR($C$13="Semua",$C$13="",L230=$C$13)),"✓","")</f>
        <v/>
      </c>
      <c r="N230" s="93">
        <f>N(N229)+IF(M230="✓",1,0)</f>
        <v/>
      </c>
      <c r="O230" s="93">
        <f>N(O229)+IF(AND(B230&lt;&gt;"",B230&gt;='Uang Riba'!$H$30,B230&lt;='Uang Riba'!$I$30,OR(H230="Dana riba",H230="Pinjam uang riba",I230="Pinjam dari uang riba",I230="Ganti uang riba",I230="Kelebihan ganti dikembalikan",AND(C230="Kantong Uang Riba",G230="Pengeluaran"))),1,0)</f>
        <v/>
      </c>
      <c r="P230" s="119">
        <f>IF(226&gt;MAX($N$16:$N$5015),"",INDEX($B$16:$B$5015,MATCH((MAX($N$16:$N$5015)-226+1),$N$16:$N$5015,0)))</f>
        <v/>
      </c>
      <c r="Q230" s="105">
        <f>IF(226&gt;MAX($N$16:$N$5015),"",INDEX($C$16:$C$5015,MATCH((MAX($N$16:$N$5015)-226+1),$N$16:$N$5015,0)))&amp;IF(IF(226&gt;MAX($N$16:$N$5015),"",INDEX($E$16:$E$5015,MATCH((MAX($N$16:$N$5015)-226+1),$N$16:$N$5015,0)))="",""," → "&amp;IF(226&gt;MAX($N$16:$N$5015),"",INDEX($E$16:$E$5015,MATCH((MAX($N$16:$N$5015)-226+1),$N$16:$N$5015,0))))</f>
        <v/>
      </c>
      <c r="R230" s="105">
        <f>IF(226&gt;MAX($N$16:$N$5015),"",INDEX($D$16:$D$5015,MATCH((MAX($N$16:$N$5015)-226+1),$N$16:$N$5015,0)))</f>
        <v/>
      </c>
      <c r="S230" s="113">
        <f>IF(226&gt;MAX($N$16:$N$5015),"",INDEX($F$16:$F$5015,MATCH((MAX($N$16:$N$5015)-226+1),$N$16:$N$5015,0)))</f>
        <v/>
      </c>
      <c r="T230" s="105">
        <f>IF(226&gt;MAX($N$16:$N$5015),"",IF(226&gt;MAX($N$16:$N$5015),"",INDEX($G$16:$G$5015,MATCH((MAX($N$16:$N$5015)-226+1),$N$16:$N$5015,0)))&amp;" › "&amp;IF(226&gt;MAX($N$16:$N$5015),"",INDEX($H$16:$H$5015,MATCH((MAX($N$16:$N$5015)-226+1),$N$16:$N$5015,0)))&amp;" › "&amp;IF(226&gt;MAX($N$16:$N$5015),"",INDEX($I$16:$I$5015,MATCH((MAX($N$16:$N$5015)-226+1),$N$16:$N$5015,0))))</f>
        <v/>
      </c>
      <c r="U230" s="105">
        <f>IF(226&gt;MAX($N$16:$N$5015),"",INDEX($J$16:$J$5015,MATCH((MAX($N$16:$N$5015)-226+1),$N$16:$N$5015,0)))&amp;IF(IF(226&gt;MAX($N$16:$N$5015),"",INDEX($L$16:$L$5015,MATCH((MAX($N$16:$N$5015)-226+1),$N$16:$N$5015,0)))="",""," ["&amp;IF(226&gt;MAX($N$16:$N$5015),"",INDEX($L$16:$L$5015,MATCH((MAX($N$16:$N$5015)-226+1),$N$16:$N$5015,0)))&amp;"]")</f>
        <v/>
      </c>
      <c r="V230" s="120">
        <f>IF(226&gt;MAX($N$16:$N$5015),"",HYPERLINK("#Transaksi!B"&amp;(MATCH((MAX($N$16:$N$5015)-226+1),$N$16:$N$5015,0)+15),"Buka"))</f>
        <v/>
      </c>
      <c r="X230" s="93">
        <f>IF(AND(B230&lt;&gt;"",B230&gt;='Buku Akun'!$H$4,B230&lt;='Buku Akun'!$H$5,OR(C230='Buku Akun'!$C$4,AND(D230="Pindah",E230='Buku Akun'!$C$4))),B230+IF(AND(I230="Selisih bunga",DAY(B230)=1),0,0.01)+ROW()/10000000,"")</f>
        <v/>
      </c>
    </row>
    <row r="231" outlineLevel="1" ht="15" customHeight="1" s="94">
      <c r="A231" s="123">
        <f>IF(B231="","",ROW()-15)</f>
        <v/>
      </c>
      <c r="B231" s="124" t="n"/>
      <c r="C231" s="123" t="n"/>
      <c r="D231" s="123" t="n"/>
      <c r="E231" s="123" t="n"/>
      <c r="F231" s="125" t="n"/>
      <c r="G231" s="123" t="n"/>
      <c r="H231" s="123" t="n"/>
      <c r="I231" s="123" t="n"/>
      <c r="J231" s="123" t="n"/>
      <c r="K231" s="123" t="n"/>
      <c r="L231" s="123" t="n"/>
      <c r="M231" s="123">
        <f>IF(AND(B231&lt;&gt;"",OR($C$4="",ISNUMBER(SEARCH($C$4,C231&amp;" "&amp;E231&amp;" "&amp;G231&amp;" "&amp;H231&amp;" "&amp;I231&amp;" "&amp;J231&amp;" "&amp;K231&amp;" "&amp;L231))),OR($C$5="Semua",$C$5="",G231=$C$5),OR($C$6="Semua",$C$6="",H231=$C$6,H231="Pengeluaran "&amp;$C$6,AND($C$6="Uang Kos Mama",H231="Pengeluaran Uang Kos")),OR($C$7="Semua",$C$7="",I231=$C$7),OR($C$8="Semua",$C$8="",C231=$C$8,E231=$C$8),OR($C$9="Semua",$C$9="",D231=$C$9),OR($C$10="",B231&gt;=$C$10),OR($C$11="",B231&lt;=$C$11),OR($C$12&lt;&gt;"Ya",K231&lt;&gt;""),OR($C$13="Semua",$C$13="",L231=$C$13)),"✓","")</f>
        <v/>
      </c>
      <c r="N231" s="93">
        <f>N(N230)+IF(M231="✓",1,0)</f>
        <v/>
      </c>
      <c r="O231" s="93">
        <f>N(O230)+IF(AND(B231&lt;&gt;"",B231&gt;='Uang Riba'!$H$30,B231&lt;='Uang Riba'!$I$30,OR(H231="Dana riba",H231="Pinjam uang riba",I231="Pinjam dari uang riba",I231="Ganti uang riba",I231="Kelebihan ganti dikembalikan",AND(C231="Kantong Uang Riba",G231="Pengeluaran"))),1,0)</f>
        <v/>
      </c>
      <c r="P231" s="119">
        <f>IF(227&gt;MAX($N$16:$N$5015),"",INDEX($B$16:$B$5015,MATCH((MAX($N$16:$N$5015)-227+1),$N$16:$N$5015,0)))</f>
        <v/>
      </c>
      <c r="Q231" s="105">
        <f>IF(227&gt;MAX($N$16:$N$5015),"",INDEX($C$16:$C$5015,MATCH((MAX($N$16:$N$5015)-227+1),$N$16:$N$5015,0)))&amp;IF(IF(227&gt;MAX($N$16:$N$5015),"",INDEX($E$16:$E$5015,MATCH((MAX($N$16:$N$5015)-227+1),$N$16:$N$5015,0)))="",""," → "&amp;IF(227&gt;MAX($N$16:$N$5015),"",INDEX($E$16:$E$5015,MATCH((MAX($N$16:$N$5015)-227+1),$N$16:$N$5015,0))))</f>
        <v/>
      </c>
      <c r="R231" s="105">
        <f>IF(227&gt;MAX($N$16:$N$5015),"",INDEX($D$16:$D$5015,MATCH((MAX($N$16:$N$5015)-227+1),$N$16:$N$5015,0)))</f>
        <v/>
      </c>
      <c r="S231" s="113">
        <f>IF(227&gt;MAX($N$16:$N$5015),"",INDEX($F$16:$F$5015,MATCH((MAX($N$16:$N$5015)-227+1),$N$16:$N$5015,0)))</f>
        <v/>
      </c>
      <c r="T231" s="105">
        <f>IF(227&gt;MAX($N$16:$N$5015),"",IF(227&gt;MAX($N$16:$N$5015),"",INDEX($G$16:$G$5015,MATCH((MAX($N$16:$N$5015)-227+1),$N$16:$N$5015,0)))&amp;" › "&amp;IF(227&gt;MAX($N$16:$N$5015),"",INDEX($H$16:$H$5015,MATCH((MAX($N$16:$N$5015)-227+1),$N$16:$N$5015,0)))&amp;" › "&amp;IF(227&gt;MAX($N$16:$N$5015),"",INDEX($I$16:$I$5015,MATCH((MAX($N$16:$N$5015)-227+1),$N$16:$N$5015,0))))</f>
        <v/>
      </c>
      <c r="U231" s="105">
        <f>IF(227&gt;MAX($N$16:$N$5015),"",INDEX($J$16:$J$5015,MATCH((MAX($N$16:$N$5015)-227+1),$N$16:$N$5015,0)))&amp;IF(IF(227&gt;MAX($N$16:$N$5015),"",INDEX($L$16:$L$5015,MATCH((MAX($N$16:$N$5015)-227+1),$N$16:$N$5015,0)))="",""," ["&amp;IF(227&gt;MAX($N$16:$N$5015),"",INDEX($L$16:$L$5015,MATCH((MAX($N$16:$N$5015)-227+1),$N$16:$N$5015,0)))&amp;"]")</f>
        <v/>
      </c>
      <c r="V231" s="120">
        <f>IF(227&gt;MAX($N$16:$N$5015),"",HYPERLINK("#Transaksi!B"&amp;(MATCH((MAX($N$16:$N$5015)-227+1),$N$16:$N$5015,0)+15),"Buka"))</f>
        <v/>
      </c>
      <c r="X231" s="93">
        <f>IF(AND(B231&lt;&gt;"",B231&gt;='Buku Akun'!$H$4,B231&lt;='Buku Akun'!$H$5,OR(C231='Buku Akun'!$C$4,AND(D231="Pindah",E231='Buku Akun'!$C$4))),B231+IF(AND(I231="Selisih bunga",DAY(B231)=1),0,0.01)+ROW()/10000000,"")</f>
        <v/>
      </c>
    </row>
    <row r="232" outlineLevel="1" ht="15" customHeight="1" s="94">
      <c r="A232" s="123">
        <f>IF(B232="","",ROW()-15)</f>
        <v/>
      </c>
      <c r="B232" s="124" t="n"/>
      <c r="C232" s="123" t="n"/>
      <c r="D232" s="123" t="n"/>
      <c r="E232" s="123" t="n"/>
      <c r="F232" s="125" t="n"/>
      <c r="G232" s="123" t="n"/>
      <c r="H232" s="123" t="n"/>
      <c r="I232" s="123" t="n"/>
      <c r="J232" s="123" t="n"/>
      <c r="K232" s="123" t="n"/>
      <c r="L232" s="123" t="n"/>
      <c r="M232" s="123">
        <f>IF(AND(B232&lt;&gt;"",OR($C$4="",ISNUMBER(SEARCH($C$4,C232&amp;" "&amp;E232&amp;" "&amp;G232&amp;" "&amp;H232&amp;" "&amp;I232&amp;" "&amp;J232&amp;" "&amp;K232&amp;" "&amp;L232))),OR($C$5="Semua",$C$5="",G232=$C$5),OR($C$6="Semua",$C$6="",H232=$C$6,H232="Pengeluaran "&amp;$C$6,AND($C$6="Uang Kos Mama",H232="Pengeluaran Uang Kos")),OR($C$7="Semua",$C$7="",I232=$C$7),OR($C$8="Semua",$C$8="",C232=$C$8,E232=$C$8),OR($C$9="Semua",$C$9="",D232=$C$9),OR($C$10="",B232&gt;=$C$10),OR($C$11="",B232&lt;=$C$11),OR($C$12&lt;&gt;"Ya",K232&lt;&gt;""),OR($C$13="Semua",$C$13="",L232=$C$13)),"✓","")</f>
        <v/>
      </c>
      <c r="N232" s="93">
        <f>N(N231)+IF(M232="✓",1,0)</f>
        <v/>
      </c>
      <c r="O232" s="93">
        <f>N(O231)+IF(AND(B232&lt;&gt;"",B232&gt;='Uang Riba'!$H$30,B232&lt;='Uang Riba'!$I$30,OR(H232="Dana riba",H232="Pinjam uang riba",I232="Pinjam dari uang riba",I232="Ganti uang riba",I232="Kelebihan ganti dikembalikan",AND(C232="Kantong Uang Riba",G232="Pengeluaran"))),1,0)</f>
        <v/>
      </c>
      <c r="P232" s="119">
        <f>IF(228&gt;MAX($N$16:$N$5015),"",INDEX($B$16:$B$5015,MATCH((MAX($N$16:$N$5015)-228+1),$N$16:$N$5015,0)))</f>
        <v/>
      </c>
      <c r="Q232" s="105">
        <f>IF(228&gt;MAX($N$16:$N$5015),"",INDEX($C$16:$C$5015,MATCH((MAX($N$16:$N$5015)-228+1),$N$16:$N$5015,0)))&amp;IF(IF(228&gt;MAX($N$16:$N$5015),"",INDEX($E$16:$E$5015,MATCH((MAX($N$16:$N$5015)-228+1),$N$16:$N$5015,0)))="",""," → "&amp;IF(228&gt;MAX($N$16:$N$5015),"",INDEX($E$16:$E$5015,MATCH((MAX($N$16:$N$5015)-228+1),$N$16:$N$5015,0))))</f>
        <v/>
      </c>
      <c r="R232" s="105">
        <f>IF(228&gt;MAX($N$16:$N$5015),"",INDEX($D$16:$D$5015,MATCH((MAX($N$16:$N$5015)-228+1),$N$16:$N$5015,0)))</f>
        <v/>
      </c>
      <c r="S232" s="113">
        <f>IF(228&gt;MAX($N$16:$N$5015),"",INDEX($F$16:$F$5015,MATCH((MAX($N$16:$N$5015)-228+1),$N$16:$N$5015,0)))</f>
        <v/>
      </c>
      <c r="T232" s="105">
        <f>IF(228&gt;MAX($N$16:$N$5015),"",IF(228&gt;MAX($N$16:$N$5015),"",INDEX($G$16:$G$5015,MATCH((MAX($N$16:$N$5015)-228+1),$N$16:$N$5015,0)))&amp;" › "&amp;IF(228&gt;MAX($N$16:$N$5015),"",INDEX($H$16:$H$5015,MATCH((MAX($N$16:$N$5015)-228+1),$N$16:$N$5015,0)))&amp;" › "&amp;IF(228&gt;MAX($N$16:$N$5015),"",INDEX($I$16:$I$5015,MATCH((MAX($N$16:$N$5015)-228+1),$N$16:$N$5015,0))))</f>
        <v/>
      </c>
      <c r="U232" s="105">
        <f>IF(228&gt;MAX($N$16:$N$5015),"",INDEX($J$16:$J$5015,MATCH((MAX($N$16:$N$5015)-228+1),$N$16:$N$5015,0)))&amp;IF(IF(228&gt;MAX($N$16:$N$5015),"",INDEX($L$16:$L$5015,MATCH((MAX($N$16:$N$5015)-228+1),$N$16:$N$5015,0)))="",""," ["&amp;IF(228&gt;MAX($N$16:$N$5015),"",INDEX($L$16:$L$5015,MATCH((MAX($N$16:$N$5015)-228+1),$N$16:$N$5015,0)))&amp;"]")</f>
        <v/>
      </c>
      <c r="V232" s="120">
        <f>IF(228&gt;MAX($N$16:$N$5015),"",HYPERLINK("#Transaksi!B"&amp;(MATCH((MAX($N$16:$N$5015)-228+1),$N$16:$N$5015,0)+15),"Buka"))</f>
        <v/>
      </c>
      <c r="X232" s="93">
        <f>IF(AND(B232&lt;&gt;"",B232&gt;='Buku Akun'!$H$4,B232&lt;='Buku Akun'!$H$5,OR(C232='Buku Akun'!$C$4,AND(D232="Pindah",E232='Buku Akun'!$C$4))),B232+IF(AND(I232="Selisih bunga",DAY(B232)=1),0,0.01)+ROW()/10000000,"")</f>
        <v/>
      </c>
    </row>
    <row r="233" outlineLevel="1" ht="15" customHeight="1" s="94">
      <c r="A233" s="123">
        <f>IF(B233="","",ROW()-15)</f>
        <v/>
      </c>
      <c r="B233" s="124" t="n"/>
      <c r="C233" s="123" t="n"/>
      <c r="D233" s="123" t="n"/>
      <c r="E233" s="123" t="n"/>
      <c r="F233" s="125" t="n"/>
      <c r="G233" s="123" t="n"/>
      <c r="H233" s="123" t="n"/>
      <c r="I233" s="123" t="n"/>
      <c r="J233" s="123" t="n"/>
      <c r="K233" s="123" t="n"/>
      <c r="L233" s="123" t="n"/>
      <c r="M233" s="123">
        <f>IF(AND(B233&lt;&gt;"",OR($C$4="",ISNUMBER(SEARCH($C$4,C233&amp;" "&amp;E233&amp;" "&amp;G233&amp;" "&amp;H233&amp;" "&amp;I233&amp;" "&amp;J233&amp;" "&amp;K233&amp;" "&amp;L233))),OR($C$5="Semua",$C$5="",G233=$C$5),OR($C$6="Semua",$C$6="",H233=$C$6,H233="Pengeluaran "&amp;$C$6,AND($C$6="Uang Kos Mama",H233="Pengeluaran Uang Kos")),OR($C$7="Semua",$C$7="",I233=$C$7),OR($C$8="Semua",$C$8="",C233=$C$8,E233=$C$8),OR($C$9="Semua",$C$9="",D233=$C$9),OR($C$10="",B233&gt;=$C$10),OR($C$11="",B233&lt;=$C$11),OR($C$12&lt;&gt;"Ya",K233&lt;&gt;""),OR($C$13="Semua",$C$13="",L233=$C$13)),"✓","")</f>
        <v/>
      </c>
      <c r="N233" s="93">
        <f>N(N232)+IF(M233="✓",1,0)</f>
        <v/>
      </c>
      <c r="O233" s="93">
        <f>N(O232)+IF(AND(B233&lt;&gt;"",B233&gt;='Uang Riba'!$H$30,B233&lt;='Uang Riba'!$I$30,OR(H233="Dana riba",H233="Pinjam uang riba",I233="Pinjam dari uang riba",I233="Ganti uang riba",I233="Kelebihan ganti dikembalikan",AND(C233="Kantong Uang Riba",G233="Pengeluaran"))),1,0)</f>
        <v/>
      </c>
      <c r="P233" s="119">
        <f>IF(229&gt;MAX($N$16:$N$5015),"",INDEX($B$16:$B$5015,MATCH((MAX($N$16:$N$5015)-229+1),$N$16:$N$5015,0)))</f>
        <v/>
      </c>
      <c r="Q233" s="105">
        <f>IF(229&gt;MAX($N$16:$N$5015),"",INDEX($C$16:$C$5015,MATCH((MAX($N$16:$N$5015)-229+1),$N$16:$N$5015,0)))&amp;IF(IF(229&gt;MAX($N$16:$N$5015),"",INDEX($E$16:$E$5015,MATCH((MAX($N$16:$N$5015)-229+1),$N$16:$N$5015,0)))="",""," → "&amp;IF(229&gt;MAX($N$16:$N$5015),"",INDEX($E$16:$E$5015,MATCH((MAX($N$16:$N$5015)-229+1),$N$16:$N$5015,0))))</f>
        <v/>
      </c>
      <c r="R233" s="105">
        <f>IF(229&gt;MAX($N$16:$N$5015),"",INDEX($D$16:$D$5015,MATCH((MAX($N$16:$N$5015)-229+1),$N$16:$N$5015,0)))</f>
        <v/>
      </c>
      <c r="S233" s="113">
        <f>IF(229&gt;MAX($N$16:$N$5015),"",INDEX($F$16:$F$5015,MATCH((MAX($N$16:$N$5015)-229+1),$N$16:$N$5015,0)))</f>
        <v/>
      </c>
      <c r="T233" s="105">
        <f>IF(229&gt;MAX($N$16:$N$5015),"",IF(229&gt;MAX($N$16:$N$5015),"",INDEX($G$16:$G$5015,MATCH((MAX($N$16:$N$5015)-229+1),$N$16:$N$5015,0)))&amp;" › "&amp;IF(229&gt;MAX($N$16:$N$5015),"",INDEX($H$16:$H$5015,MATCH((MAX($N$16:$N$5015)-229+1),$N$16:$N$5015,0)))&amp;" › "&amp;IF(229&gt;MAX($N$16:$N$5015),"",INDEX($I$16:$I$5015,MATCH((MAX($N$16:$N$5015)-229+1),$N$16:$N$5015,0))))</f>
        <v/>
      </c>
      <c r="U233" s="105">
        <f>IF(229&gt;MAX($N$16:$N$5015),"",INDEX($J$16:$J$5015,MATCH((MAX($N$16:$N$5015)-229+1),$N$16:$N$5015,0)))&amp;IF(IF(229&gt;MAX($N$16:$N$5015),"",INDEX($L$16:$L$5015,MATCH((MAX($N$16:$N$5015)-229+1),$N$16:$N$5015,0)))="",""," ["&amp;IF(229&gt;MAX($N$16:$N$5015),"",INDEX($L$16:$L$5015,MATCH((MAX($N$16:$N$5015)-229+1),$N$16:$N$5015,0)))&amp;"]")</f>
        <v/>
      </c>
      <c r="V233" s="120">
        <f>IF(229&gt;MAX($N$16:$N$5015),"",HYPERLINK("#Transaksi!B"&amp;(MATCH((MAX($N$16:$N$5015)-229+1),$N$16:$N$5015,0)+15),"Buka"))</f>
        <v/>
      </c>
      <c r="X233" s="93">
        <f>IF(AND(B233&lt;&gt;"",B233&gt;='Buku Akun'!$H$4,B233&lt;='Buku Akun'!$H$5,OR(C233='Buku Akun'!$C$4,AND(D233="Pindah",E233='Buku Akun'!$C$4))),B233+IF(AND(I233="Selisih bunga",DAY(B233)=1),0,0.01)+ROW()/10000000,"")</f>
        <v/>
      </c>
    </row>
    <row r="234" outlineLevel="1" ht="15" customHeight="1" s="94">
      <c r="A234" s="123">
        <f>IF(B234="","",ROW()-15)</f>
        <v/>
      </c>
      <c r="B234" s="124" t="n"/>
      <c r="C234" s="123" t="n"/>
      <c r="D234" s="123" t="n"/>
      <c r="E234" s="123" t="n"/>
      <c r="F234" s="125" t="n"/>
      <c r="G234" s="123" t="n"/>
      <c r="H234" s="123" t="n"/>
      <c r="I234" s="123" t="n"/>
      <c r="J234" s="123" t="n"/>
      <c r="K234" s="123" t="n"/>
      <c r="L234" s="123" t="n"/>
      <c r="M234" s="123">
        <f>IF(AND(B234&lt;&gt;"",OR($C$4="",ISNUMBER(SEARCH($C$4,C234&amp;" "&amp;E234&amp;" "&amp;G234&amp;" "&amp;H234&amp;" "&amp;I234&amp;" "&amp;J234&amp;" "&amp;K234&amp;" "&amp;L234))),OR($C$5="Semua",$C$5="",G234=$C$5),OR($C$6="Semua",$C$6="",H234=$C$6,H234="Pengeluaran "&amp;$C$6,AND($C$6="Uang Kos Mama",H234="Pengeluaran Uang Kos")),OR($C$7="Semua",$C$7="",I234=$C$7),OR($C$8="Semua",$C$8="",C234=$C$8,E234=$C$8),OR($C$9="Semua",$C$9="",D234=$C$9),OR($C$10="",B234&gt;=$C$10),OR($C$11="",B234&lt;=$C$11),OR($C$12&lt;&gt;"Ya",K234&lt;&gt;""),OR($C$13="Semua",$C$13="",L234=$C$13)),"✓","")</f>
        <v/>
      </c>
      <c r="N234" s="93">
        <f>N(N233)+IF(M234="✓",1,0)</f>
        <v/>
      </c>
      <c r="O234" s="93">
        <f>N(O233)+IF(AND(B234&lt;&gt;"",B234&gt;='Uang Riba'!$H$30,B234&lt;='Uang Riba'!$I$30,OR(H234="Dana riba",H234="Pinjam uang riba",I234="Pinjam dari uang riba",I234="Ganti uang riba",I234="Kelebihan ganti dikembalikan",AND(C234="Kantong Uang Riba",G234="Pengeluaran"))),1,0)</f>
        <v/>
      </c>
      <c r="P234" s="119">
        <f>IF(230&gt;MAX($N$16:$N$5015),"",INDEX($B$16:$B$5015,MATCH((MAX($N$16:$N$5015)-230+1),$N$16:$N$5015,0)))</f>
        <v/>
      </c>
      <c r="Q234" s="105">
        <f>IF(230&gt;MAX($N$16:$N$5015),"",INDEX($C$16:$C$5015,MATCH((MAX($N$16:$N$5015)-230+1),$N$16:$N$5015,0)))&amp;IF(IF(230&gt;MAX($N$16:$N$5015),"",INDEX($E$16:$E$5015,MATCH((MAX($N$16:$N$5015)-230+1),$N$16:$N$5015,0)))="",""," → "&amp;IF(230&gt;MAX($N$16:$N$5015),"",INDEX($E$16:$E$5015,MATCH((MAX($N$16:$N$5015)-230+1),$N$16:$N$5015,0))))</f>
        <v/>
      </c>
      <c r="R234" s="105">
        <f>IF(230&gt;MAX($N$16:$N$5015),"",INDEX($D$16:$D$5015,MATCH((MAX($N$16:$N$5015)-230+1),$N$16:$N$5015,0)))</f>
        <v/>
      </c>
      <c r="S234" s="113">
        <f>IF(230&gt;MAX($N$16:$N$5015),"",INDEX($F$16:$F$5015,MATCH((MAX($N$16:$N$5015)-230+1),$N$16:$N$5015,0)))</f>
        <v/>
      </c>
      <c r="T234" s="105">
        <f>IF(230&gt;MAX($N$16:$N$5015),"",IF(230&gt;MAX($N$16:$N$5015),"",INDEX($G$16:$G$5015,MATCH((MAX($N$16:$N$5015)-230+1),$N$16:$N$5015,0)))&amp;" › "&amp;IF(230&gt;MAX($N$16:$N$5015),"",INDEX($H$16:$H$5015,MATCH((MAX($N$16:$N$5015)-230+1),$N$16:$N$5015,0)))&amp;" › "&amp;IF(230&gt;MAX($N$16:$N$5015),"",INDEX($I$16:$I$5015,MATCH((MAX($N$16:$N$5015)-230+1),$N$16:$N$5015,0))))</f>
        <v/>
      </c>
      <c r="U234" s="105">
        <f>IF(230&gt;MAX($N$16:$N$5015),"",INDEX($J$16:$J$5015,MATCH((MAX($N$16:$N$5015)-230+1),$N$16:$N$5015,0)))&amp;IF(IF(230&gt;MAX($N$16:$N$5015),"",INDEX($L$16:$L$5015,MATCH((MAX($N$16:$N$5015)-230+1),$N$16:$N$5015,0)))="",""," ["&amp;IF(230&gt;MAX($N$16:$N$5015),"",INDEX($L$16:$L$5015,MATCH((MAX($N$16:$N$5015)-230+1),$N$16:$N$5015,0)))&amp;"]")</f>
        <v/>
      </c>
      <c r="V234" s="120">
        <f>IF(230&gt;MAX($N$16:$N$5015),"",HYPERLINK("#Transaksi!B"&amp;(MATCH((MAX($N$16:$N$5015)-230+1),$N$16:$N$5015,0)+15),"Buka"))</f>
        <v/>
      </c>
      <c r="X234" s="93">
        <f>IF(AND(B234&lt;&gt;"",B234&gt;='Buku Akun'!$H$4,B234&lt;='Buku Akun'!$H$5,OR(C234='Buku Akun'!$C$4,AND(D234="Pindah",E234='Buku Akun'!$C$4))),B234+IF(AND(I234="Selisih bunga",DAY(B234)=1),0,0.01)+ROW()/10000000,"")</f>
        <v/>
      </c>
    </row>
    <row r="235" outlineLevel="1" ht="15" customHeight="1" s="94">
      <c r="A235" s="123">
        <f>IF(B235="","",ROW()-15)</f>
        <v/>
      </c>
      <c r="B235" s="124" t="n"/>
      <c r="C235" s="123" t="n"/>
      <c r="D235" s="123" t="n"/>
      <c r="E235" s="123" t="n"/>
      <c r="F235" s="125" t="n"/>
      <c r="G235" s="123" t="n"/>
      <c r="H235" s="123" t="n"/>
      <c r="I235" s="123" t="n"/>
      <c r="J235" s="123" t="n"/>
      <c r="K235" s="123" t="n"/>
      <c r="L235" s="123" t="n"/>
      <c r="M235" s="123">
        <f>IF(AND(B235&lt;&gt;"",OR($C$4="",ISNUMBER(SEARCH($C$4,C235&amp;" "&amp;E235&amp;" "&amp;G235&amp;" "&amp;H235&amp;" "&amp;I235&amp;" "&amp;J235&amp;" "&amp;K235&amp;" "&amp;L235))),OR($C$5="Semua",$C$5="",G235=$C$5),OR($C$6="Semua",$C$6="",H235=$C$6,H235="Pengeluaran "&amp;$C$6,AND($C$6="Uang Kos Mama",H235="Pengeluaran Uang Kos")),OR($C$7="Semua",$C$7="",I235=$C$7),OR($C$8="Semua",$C$8="",C235=$C$8,E235=$C$8),OR($C$9="Semua",$C$9="",D235=$C$9),OR($C$10="",B235&gt;=$C$10),OR($C$11="",B235&lt;=$C$11),OR($C$12&lt;&gt;"Ya",K235&lt;&gt;""),OR($C$13="Semua",$C$13="",L235=$C$13)),"✓","")</f>
        <v/>
      </c>
      <c r="N235" s="93">
        <f>N(N234)+IF(M235="✓",1,0)</f>
        <v/>
      </c>
      <c r="O235" s="93">
        <f>N(O234)+IF(AND(B235&lt;&gt;"",B235&gt;='Uang Riba'!$H$30,B235&lt;='Uang Riba'!$I$30,OR(H235="Dana riba",H235="Pinjam uang riba",I235="Pinjam dari uang riba",I235="Ganti uang riba",I235="Kelebihan ganti dikembalikan",AND(C235="Kantong Uang Riba",G235="Pengeluaran"))),1,0)</f>
        <v/>
      </c>
      <c r="P235" s="119">
        <f>IF(231&gt;MAX($N$16:$N$5015),"",INDEX($B$16:$B$5015,MATCH((MAX($N$16:$N$5015)-231+1),$N$16:$N$5015,0)))</f>
        <v/>
      </c>
      <c r="Q235" s="105">
        <f>IF(231&gt;MAX($N$16:$N$5015),"",INDEX($C$16:$C$5015,MATCH((MAX($N$16:$N$5015)-231+1),$N$16:$N$5015,0)))&amp;IF(IF(231&gt;MAX($N$16:$N$5015),"",INDEX($E$16:$E$5015,MATCH((MAX($N$16:$N$5015)-231+1),$N$16:$N$5015,0)))="",""," → "&amp;IF(231&gt;MAX($N$16:$N$5015),"",INDEX($E$16:$E$5015,MATCH((MAX($N$16:$N$5015)-231+1),$N$16:$N$5015,0))))</f>
        <v/>
      </c>
      <c r="R235" s="105">
        <f>IF(231&gt;MAX($N$16:$N$5015),"",INDEX($D$16:$D$5015,MATCH((MAX($N$16:$N$5015)-231+1),$N$16:$N$5015,0)))</f>
        <v/>
      </c>
      <c r="S235" s="113">
        <f>IF(231&gt;MAX($N$16:$N$5015),"",INDEX($F$16:$F$5015,MATCH((MAX($N$16:$N$5015)-231+1),$N$16:$N$5015,0)))</f>
        <v/>
      </c>
      <c r="T235" s="105">
        <f>IF(231&gt;MAX($N$16:$N$5015),"",IF(231&gt;MAX($N$16:$N$5015),"",INDEX($G$16:$G$5015,MATCH((MAX($N$16:$N$5015)-231+1),$N$16:$N$5015,0)))&amp;" › "&amp;IF(231&gt;MAX($N$16:$N$5015),"",INDEX($H$16:$H$5015,MATCH((MAX($N$16:$N$5015)-231+1),$N$16:$N$5015,0)))&amp;" › "&amp;IF(231&gt;MAX($N$16:$N$5015),"",INDEX($I$16:$I$5015,MATCH((MAX($N$16:$N$5015)-231+1),$N$16:$N$5015,0))))</f>
        <v/>
      </c>
      <c r="U235" s="105">
        <f>IF(231&gt;MAX($N$16:$N$5015),"",INDEX($J$16:$J$5015,MATCH((MAX($N$16:$N$5015)-231+1),$N$16:$N$5015,0)))&amp;IF(IF(231&gt;MAX($N$16:$N$5015),"",INDEX($L$16:$L$5015,MATCH((MAX($N$16:$N$5015)-231+1),$N$16:$N$5015,0)))="",""," ["&amp;IF(231&gt;MAX($N$16:$N$5015),"",INDEX($L$16:$L$5015,MATCH((MAX($N$16:$N$5015)-231+1),$N$16:$N$5015,0)))&amp;"]")</f>
        <v/>
      </c>
      <c r="V235" s="120">
        <f>IF(231&gt;MAX($N$16:$N$5015),"",HYPERLINK("#Transaksi!B"&amp;(MATCH((MAX($N$16:$N$5015)-231+1),$N$16:$N$5015,0)+15),"Buka"))</f>
        <v/>
      </c>
      <c r="X235" s="93">
        <f>IF(AND(B235&lt;&gt;"",B235&gt;='Buku Akun'!$H$4,B235&lt;='Buku Akun'!$H$5,OR(C235='Buku Akun'!$C$4,AND(D235="Pindah",E235='Buku Akun'!$C$4))),B235+IF(AND(I235="Selisih bunga",DAY(B235)=1),0,0.01)+ROW()/10000000,"")</f>
        <v/>
      </c>
    </row>
    <row r="236" outlineLevel="1" ht="15" customHeight="1" s="94">
      <c r="A236" s="123">
        <f>IF(B236="","",ROW()-15)</f>
        <v/>
      </c>
      <c r="B236" s="124" t="n"/>
      <c r="C236" s="123" t="n"/>
      <c r="D236" s="123" t="n"/>
      <c r="E236" s="123" t="n"/>
      <c r="F236" s="125" t="n"/>
      <c r="G236" s="123" t="n"/>
      <c r="H236" s="123" t="n"/>
      <c r="I236" s="123" t="n"/>
      <c r="J236" s="123" t="n"/>
      <c r="K236" s="123" t="n"/>
      <c r="L236" s="123" t="n"/>
      <c r="M236" s="123">
        <f>IF(AND(B236&lt;&gt;"",OR($C$4="",ISNUMBER(SEARCH($C$4,C236&amp;" "&amp;E236&amp;" "&amp;G236&amp;" "&amp;H236&amp;" "&amp;I236&amp;" "&amp;J236&amp;" "&amp;K236&amp;" "&amp;L236))),OR($C$5="Semua",$C$5="",G236=$C$5),OR($C$6="Semua",$C$6="",H236=$C$6,H236="Pengeluaran "&amp;$C$6,AND($C$6="Uang Kos Mama",H236="Pengeluaran Uang Kos")),OR($C$7="Semua",$C$7="",I236=$C$7),OR($C$8="Semua",$C$8="",C236=$C$8,E236=$C$8),OR($C$9="Semua",$C$9="",D236=$C$9),OR($C$10="",B236&gt;=$C$10),OR($C$11="",B236&lt;=$C$11),OR($C$12&lt;&gt;"Ya",K236&lt;&gt;""),OR($C$13="Semua",$C$13="",L236=$C$13)),"✓","")</f>
        <v/>
      </c>
      <c r="N236" s="93">
        <f>N(N235)+IF(M236="✓",1,0)</f>
        <v/>
      </c>
      <c r="O236" s="93">
        <f>N(O235)+IF(AND(B236&lt;&gt;"",B236&gt;='Uang Riba'!$H$30,B236&lt;='Uang Riba'!$I$30,OR(H236="Dana riba",H236="Pinjam uang riba",I236="Pinjam dari uang riba",I236="Ganti uang riba",I236="Kelebihan ganti dikembalikan",AND(C236="Kantong Uang Riba",G236="Pengeluaran"))),1,0)</f>
        <v/>
      </c>
      <c r="P236" s="119">
        <f>IF(232&gt;MAX($N$16:$N$5015),"",INDEX($B$16:$B$5015,MATCH((MAX($N$16:$N$5015)-232+1),$N$16:$N$5015,0)))</f>
        <v/>
      </c>
      <c r="Q236" s="105">
        <f>IF(232&gt;MAX($N$16:$N$5015),"",INDEX($C$16:$C$5015,MATCH((MAX($N$16:$N$5015)-232+1),$N$16:$N$5015,0)))&amp;IF(IF(232&gt;MAX($N$16:$N$5015),"",INDEX($E$16:$E$5015,MATCH((MAX($N$16:$N$5015)-232+1),$N$16:$N$5015,0)))="",""," → "&amp;IF(232&gt;MAX($N$16:$N$5015),"",INDEX($E$16:$E$5015,MATCH((MAX($N$16:$N$5015)-232+1),$N$16:$N$5015,0))))</f>
        <v/>
      </c>
      <c r="R236" s="105">
        <f>IF(232&gt;MAX($N$16:$N$5015),"",INDEX($D$16:$D$5015,MATCH((MAX($N$16:$N$5015)-232+1),$N$16:$N$5015,0)))</f>
        <v/>
      </c>
      <c r="S236" s="113">
        <f>IF(232&gt;MAX($N$16:$N$5015),"",INDEX($F$16:$F$5015,MATCH((MAX($N$16:$N$5015)-232+1),$N$16:$N$5015,0)))</f>
        <v/>
      </c>
      <c r="T236" s="105">
        <f>IF(232&gt;MAX($N$16:$N$5015),"",IF(232&gt;MAX($N$16:$N$5015),"",INDEX($G$16:$G$5015,MATCH((MAX($N$16:$N$5015)-232+1),$N$16:$N$5015,0)))&amp;" › "&amp;IF(232&gt;MAX($N$16:$N$5015),"",INDEX($H$16:$H$5015,MATCH((MAX($N$16:$N$5015)-232+1),$N$16:$N$5015,0)))&amp;" › "&amp;IF(232&gt;MAX($N$16:$N$5015),"",INDEX($I$16:$I$5015,MATCH((MAX($N$16:$N$5015)-232+1),$N$16:$N$5015,0))))</f>
        <v/>
      </c>
      <c r="U236" s="105">
        <f>IF(232&gt;MAX($N$16:$N$5015),"",INDEX($J$16:$J$5015,MATCH((MAX($N$16:$N$5015)-232+1),$N$16:$N$5015,0)))&amp;IF(IF(232&gt;MAX($N$16:$N$5015),"",INDEX($L$16:$L$5015,MATCH((MAX($N$16:$N$5015)-232+1),$N$16:$N$5015,0)))="",""," ["&amp;IF(232&gt;MAX($N$16:$N$5015),"",INDEX($L$16:$L$5015,MATCH((MAX($N$16:$N$5015)-232+1),$N$16:$N$5015,0)))&amp;"]")</f>
        <v/>
      </c>
      <c r="V236" s="120">
        <f>IF(232&gt;MAX($N$16:$N$5015),"",HYPERLINK("#Transaksi!B"&amp;(MATCH((MAX($N$16:$N$5015)-232+1),$N$16:$N$5015,0)+15),"Buka"))</f>
        <v/>
      </c>
      <c r="X236" s="93">
        <f>IF(AND(B236&lt;&gt;"",B236&gt;='Buku Akun'!$H$4,B236&lt;='Buku Akun'!$H$5,OR(C236='Buku Akun'!$C$4,AND(D236="Pindah",E236='Buku Akun'!$C$4))),B236+IF(AND(I236="Selisih bunga",DAY(B236)=1),0,0.01)+ROW()/10000000,"")</f>
        <v/>
      </c>
    </row>
    <row r="237" outlineLevel="1" ht="15" customHeight="1" s="94">
      <c r="A237" s="123">
        <f>IF(B237="","",ROW()-15)</f>
        <v/>
      </c>
      <c r="B237" s="124" t="n"/>
      <c r="C237" s="123" t="n"/>
      <c r="D237" s="123" t="n"/>
      <c r="E237" s="123" t="n"/>
      <c r="F237" s="125" t="n"/>
      <c r="G237" s="123" t="n"/>
      <c r="H237" s="123" t="n"/>
      <c r="I237" s="123" t="n"/>
      <c r="J237" s="123" t="n"/>
      <c r="K237" s="123" t="n"/>
      <c r="L237" s="123" t="n"/>
      <c r="M237" s="123">
        <f>IF(AND(B237&lt;&gt;"",OR($C$4="",ISNUMBER(SEARCH($C$4,C237&amp;" "&amp;E237&amp;" "&amp;G237&amp;" "&amp;H237&amp;" "&amp;I237&amp;" "&amp;J237&amp;" "&amp;K237&amp;" "&amp;L237))),OR($C$5="Semua",$C$5="",G237=$C$5),OR($C$6="Semua",$C$6="",H237=$C$6,H237="Pengeluaran "&amp;$C$6,AND($C$6="Uang Kos Mama",H237="Pengeluaran Uang Kos")),OR($C$7="Semua",$C$7="",I237=$C$7),OR($C$8="Semua",$C$8="",C237=$C$8,E237=$C$8),OR($C$9="Semua",$C$9="",D237=$C$9),OR($C$10="",B237&gt;=$C$10),OR($C$11="",B237&lt;=$C$11),OR($C$12&lt;&gt;"Ya",K237&lt;&gt;""),OR($C$13="Semua",$C$13="",L237=$C$13)),"✓","")</f>
        <v/>
      </c>
      <c r="N237" s="93">
        <f>N(N236)+IF(M237="✓",1,0)</f>
        <v/>
      </c>
      <c r="O237" s="93">
        <f>N(O236)+IF(AND(B237&lt;&gt;"",B237&gt;='Uang Riba'!$H$30,B237&lt;='Uang Riba'!$I$30,OR(H237="Dana riba",H237="Pinjam uang riba",I237="Pinjam dari uang riba",I237="Ganti uang riba",I237="Kelebihan ganti dikembalikan",AND(C237="Kantong Uang Riba",G237="Pengeluaran"))),1,0)</f>
        <v/>
      </c>
      <c r="P237" s="119">
        <f>IF(233&gt;MAX($N$16:$N$5015),"",INDEX($B$16:$B$5015,MATCH((MAX($N$16:$N$5015)-233+1),$N$16:$N$5015,0)))</f>
        <v/>
      </c>
      <c r="Q237" s="105">
        <f>IF(233&gt;MAX($N$16:$N$5015),"",INDEX($C$16:$C$5015,MATCH((MAX($N$16:$N$5015)-233+1),$N$16:$N$5015,0)))&amp;IF(IF(233&gt;MAX($N$16:$N$5015),"",INDEX($E$16:$E$5015,MATCH((MAX($N$16:$N$5015)-233+1),$N$16:$N$5015,0)))="",""," → "&amp;IF(233&gt;MAX($N$16:$N$5015),"",INDEX($E$16:$E$5015,MATCH((MAX($N$16:$N$5015)-233+1),$N$16:$N$5015,0))))</f>
        <v/>
      </c>
      <c r="R237" s="105">
        <f>IF(233&gt;MAX($N$16:$N$5015),"",INDEX($D$16:$D$5015,MATCH((MAX($N$16:$N$5015)-233+1),$N$16:$N$5015,0)))</f>
        <v/>
      </c>
      <c r="S237" s="113">
        <f>IF(233&gt;MAX($N$16:$N$5015),"",INDEX($F$16:$F$5015,MATCH((MAX($N$16:$N$5015)-233+1),$N$16:$N$5015,0)))</f>
        <v/>
      </c>
      <c r="T237" s="105">
        <f>IF(233&gt;MAX($N$16:$N$5015),"",IF(233&gt;MAX($N$16:$N$5015),"",INDEX($G$16:$G$5015,MATCH((MAX($N$16:$N$5015)-233+1),$N$16:$N$5015,0)))&amp;" › "&amp;IF(233&gt;MAX($N$16:$N$5015),"",INDEX($H$16:$H$5015,MATCH((MAX($N$16:$N$5015)-233+1),$N$16:$N$5015,0)))&amp;" › "&amp;IF(233&gt;MAX($N$16:$N$5015),"",INDEX($I$16:$I$5015,MATCH((MAX($N$16:$N$5015)-233+1),$N$16:$N$5015,0))))</f>
        <v/>
      </c>
      <c r="U237" s="105">
        <f>IF(233&gt;MAX($N$16:$N$5015),"",INDEX($J$16:$J$5015,MATCH((MAX($N$16:$N$5015)-233+1),$N$16:$N$5015,0)))&amp;IF(IF(233&gt;MAX($N$16:$N$5015),"",INDEX($L$16:$L$5015,MATCH((MAX($N$16:$N$5015)-233+1),$N$16:$N$5015,0)))="",""," ["&amp;IF(233&gt;MAX($N$16:$N$5015),"",INDEX($L$16:$L$5015,MATCH((MAX($N$16:$N$5015)-233+1),$N$16:$N$5015,0)))&amp;"]")</f>
        <v/>
      </c>
      <c r="V237" s="120">
        <f>IF(233&gt;MAX($N$16:$N$5015),"",HYPERLINK("#Transaksi!B"&amp;(MATCH((MAX($N$16:$N$5015)-233+1),$N$16:$N$5015,0)+15),"Buka"))</f>
        <v/>
      </c>
      <c r="X237" s="93">
        <f>IF(AND(B237&lt;&gt;"",B237&gt;='Buku Akun'!$H$4,B237&lt;='Buku Akun'!$H$5,OR(C237='Buku Akun'!$C$4,AND(D237="Pindah",E237='Buku Akun'!$C$4))),B237+IF(AND(I237="Selisih bunga",DAY(B237)=1),0,0.01)+ROW()/10000000,"")</f>
        <v/>
      </c>
    </row>
    <row r="238" outlineLevel="1" ht="15" customHeight="1" s="94">
      <c r="A238" s="123">
        <f>IF(B238="","",ROW()-15)</f>
        <v/>
      </c>
      <c r="B238" s="124" t="n"/>
      <c r="C238" s="123" t="n"/>
      <c r="D238" s="123" t="n"/>
      <c r="E238" s="123" t="n"/>
      <c r="F238" s="125" t="n"/>
      <c r="G238" s="123" t="n"/>
      <c r="H238" s="123" t="n"/>
      <c r="I238" s="123" t="n"/>
      <c r="J238" s="123" t="n"/>
      <c r="K238" s="123" t="n"/>
      <c r="L238" s="123" t="n"/>
      <c r="M238" s="123">
        <f>IF(AND(B238&lt;&gt;"",OR($C$4="",ISNUMBER(SEARCH($C$4,C238&amp;" "&amp;E238&amp;" "&amp;G238&amp;" "&amp;H238&amp;" "&amp;I238&amp;" "&amp;J238&amp;" "&amp;K238&amp;" "&amp;L238))),OR($C$5="Semua",$C$5="",G238=$C$5),OR($C$6="Semua",$C$6="",H238=$C$6,H238="Pengeluaran "&amp;$C$6,AND($C$6="Uang Kos Mama",H238="Pengeluaran Uang Kos")),OR($C$7="Semua",$C$7="",I238=$C$7),OR($C$8="Semua",$C$8="",C238=$C$8,E238=$C$8),OR($C$9="Semua",$C$9="",D238=$C$9),OR($C$10="",B238&gt;=$C$10),OR($C$11="",B238&lt;=$C$11),OR($C$12&lt;&gt;"Ya",K238&lt;&gt;""),OR($C$13="Semua",$C$13="",L238=$C$13)),"✓","")</f>
        <v/>
      </c>
      <c r="N238" s="93">
        <f>N(N237)+IF(M238="✓",1,0)</f>
        <v/>
      </c>
      <c r="O238" s="93">
        <f>N(O237)+IF(AND(B238&lt;&gt;"",B238&gt;='Uang Riba'!$H$30,B238&lt;='Uang Riba'!$I$30,OR(H238="Dana riba",H238="Pinjam uang riba",I238="Pinjam dari uang riba",I238="Ganti uang riba",I238="Kelebihan ganti dikembalikan",AND(C238="Kantong Uang Riba",G238="Pengeluaran"))),1,0)</f>
        <v/>
      </c>
      <c r="P238" s="119">
        <f>IF(234&gt;MAX($N$16:$N$5015),"",INDEX($B$16:$B$5015,MATCH((MAX($N$16:$N$5015)-234+1),$N$16:$N$5015,0)))</f>
        <v/>
      </c>
      <c r="Q238" s="105">
        <f>IF(234&gt;MAX($N$16:$N$5015),"",INDEX($C$16:$C$5015,MATCH((MAX($N$16:$N$5015)-234+1),$N$16:$N$5015,0)))&amp;IF(IF(234&gt;MAX($N$16:$N$5015),"",INDEX($E$16:$E$5015,MATCH((MAX($N$16:$N$5015)-234+1),$N$16:$N$5015,0)))="",""," → "&amp;IF(234&gt;MAX($N$16:$N$5015),"",INDEX($E$16:$E$5015,MATCH((MAX($N$16:$N$5015)-234+1),$N$16:$N$5015,0))))</f>
        <v/>
      </c>
      <c r="R238" s="105">
        <f>IF(234&gt;MAX($N$16:$N$5015),"",INDEX($D$16:$D$5015,MATCH((MAX($N$16:$N$5015)-234+1),$N$16:$N$5015,0)))</f>
        <v/>
      </c>
      <c r="S238" s="113">
        <f>IF(234&gt;MAX($N$16:$N$5015),"",INDEX($F$16:$F$5015,MATCH((MAX($N$16:$N$5015)-234+1),$N$16:$N$5015,0)))</f>
        <v/>
      </c>
      <c r="T238" s="105">
        <f>IF(234&gt;MAX($N$16:$N$5015),"",IF(234&gt;MAX($N$16:$N$5015),"",INDEX($G$16:$G$5015,MATCH((MAX($N$16:$N$5015)-234+1),$N$16:$N$5015,0)))&amp;" › "&amp;IF(234&gt;MAX($N$16:$N$5015),"",INDEX($H$16:$H$5015,MATCH((MAX($N$16:$N$5015)-234+1),$N$16:$N$5015,0)))&amp;" › "&amp;IF(234&gt;MAX($N$16:$N$5015),"",INDEX($I$16:$I$5015,MATCH((MAX($N$16:$N$5015)-234+1),$N$16:$N$5015,0))))</f>
        <v/>
      </c>
      <c r="U238" s="105">
        <f>IF(234&gt;MAX($N$16:$N$5015),"",INDEX($J$16:$J$5015,MATCH((MAX($N$16:$N$5015)-234+1),$N$16:$N$5015,0)))&amp;IF(IF(234&gt;MAX($N$16:$N$5015),"",INDEX($L$16:$L$5015,MATCH((MAX($N$16:$N$5015)-234+1),$N$16:$N$5015,0)))="",""," ["&amp;IF(234&gt;MAX($N$16:$N$5015),"",INDEX($L$16:$L$5015,MATCH((MAX($N$16:$N$5015)-234+1),$N$16:$N$5015,0)))&amp;"]")</f>
        <v/>
      </c>
      <c r="V238" s="120">
        <f>IF(234&gt;MAX($N$16:$N$5015),"",HYPERLINK("#Transaksi!B"&amp;(MATCH((MAX($N$16:$N$5015)-234+1),$N$16:$N$5015,0)+15),"Buka"))</f>
        <v/>
      </c>
      <c r="X238" s="93">
        <f>IF(AND(B238&lt;&gt;"",B238&gt;='Buku Akun'!$H$4,B238&lt;='Buku Akun'!$H$5,OR(C238='Buku Akun'!$C$4,AND(D238="Pindah",E238='Buku Akun'!$C$4))),B238+IF(AND(I238="Selisih bunga",DAY(B238)=1),0,0.01)+ROW()/10000000,"")</f>
        <v/>
      </c>
    </row>
    <row r="239" outlineLevel="1" ht="15" customHeight="1" s="94">
      <c r="A239" s="123">
        <f>IF(B239="","",ROW()-15)</f>
        <v/>
      </c>
      <c r="B239" s="124" t="n"/>
      <c r="C239" s="123" t="n"/>
      <c r="D239" s="123" t="n"/>
      <c r="E239" s="123" t="n"/>
      <c r="F239" s="125" t="n"/>
      <c r="G239" s="123" t="n"/>
      <c r="H239" s="123" t="n"/>
      <c r="I239" s="123" t="n"/>
      <c r="J239" s="123" t="n"/>
      <c r="K239" s="123" t="n"/>
      <c r="L239" s="123" t="n"/>
      <c r="M239" s="123">
        <f>IF(AND(B239&lt;&gt;"",OR($C$4="",ISNUMBER(SEARCH($C$4,C239&amp;" "&amp;E239&amp;" "&amp;G239&amp;" "&amp;H239&amp;" "&amp;I239&amp;" "&amp;J239&amp;" "&amp;K239&amp;" "&amp;L239))),OR($C$5="Semua",$C$5="",G239=$C$5),OR($C$6="Semua",$C$6="",H239=$C$6,H239="Pengeluaran "&amp;$C$6,AND($C$6="Uang Kos Mama",H239="Pengeluaran Uang Kos")),OR($C$7="Semua",$C$7="",I239=$C$7),OR($C$8="Semua",$C$8="",C239=$C$8,E239=$C$8),OR($C$9="Semua",$C$9="",D239=$C$9),OR($C$10="",B239&gt;=$C$10),OR($C$11="",B239&lt;=$C$11),OR($C$12&lt;&gt;"Ya",K239&lt;&gt;""),OR($C$13="Semua",$C$13="",L239=$C$13)),"✓","")</f>
        <v/>
      </c>
      <c r="N239" s="93">
        <f>N(N238)+IF(M239="✓",1,0)</f>
        <v/>
      </c>
      <c r="O239" s="93">
        <f>N(O238)+IF(AND(B239&lt;&gt;"",B239&gt;='Uang Riba'!$H$30,B239&lt;='Uang Riba'!$I$30,OR(H239="Dana riba",H239="Pinjam uang riba",I239="Pinjam dari uang riba",I239="Ganti uang riba",I239="Kelebihan ganti dikembalikan",AND(C239="Kantong Uang Riba",G239="Pengeluaran"))),1,0)</f>
        <v/>
      </c>
      <c r="P239" s="119">
        <f>IF(235&gt;MAX($N$16:$N$5015),"",INDEX($B$16:$B$5015,MATCH((MAX($N$16:$N$5015)-235+1),$N$16:$N$5015,0)))</f>
        <v/>
      </c>
      <c r="Q239" s="105">
        <f>IF(235&gt;MAX($N$16:$N$5015),"",INDEX($C$16:$C$5015,MATCH((MAX($N$16:$N$5015)-235+1),$N$16:$N$5015,0)))&amp;IF(IF(235&gt;MAX($N$16:$N$5015),"",INDEX($E$16:$E$5015,MATCH((MAX($N$16:$N$5015)-235+1),$N$16:$N$5015,0)))="",""," → "&amp;IF(235&gt;MAX($N$16:$N$5015),"",INDEX($E$16:$E$5015,MATCH((MAX($N$16:$N$5015)-235+1),$N$16:$N$5015,0))))</f>
        <v/>
      </c>
      <c r="R239" s="105">
        <f>IF(235&gt;MAX($N$16:$N$5015),"",INDEX($D$16:$D$5015,MATCH((MAX($N$16:$N$5015)-235+1),$N$16:$N$5015,0)))</f>
        <v/>
      </c>
      <c r="S239" s="113">
        <f>IF(235&gt;MAX($N$16:$N$5015),"",INDEX($F$16:$F$5015,MATCH((MAX($N$16:$N$5015)-235+1),$N$16:$N$5015,0)))</f>
        <v/>
      </c>
      <c r="T239" s="105">
        <f>IF(235&gt;MAX($N$16:$N$5015),"",IF(235&gt;MAX($N$16:$N$5015),"",INDEX($G$16:$G$5015,MATCH((MAX($N$16:$N$5015)-235+1),$N$16:$N$5015,0)))&amp;" › "&amp;IF(235&gt;MAX($N$16:$N$5015),"",INDEX($H$16:$H$5015,MATCH((MAX($N$16:$N$5015)-235+1),$N$16:$N$5015,0)))&amp;" › "&amp;IF(235&gt;MAX($N$16:$N$5015),"",INDEX($I$16:$I$5015,MATCH((MAX($N$16:$N$5015)-235+1),$N$16:$N$5015,0))))</f>
        <v/>
      </c>
      <c r="U239" s="105">
        <f>IF(235&gt;MAX($N$16:$N$5015),"",INDEX($J$16:$J$5015,MATCH((MAX($N$16:$N$5015)-235+1),$N$16:$N$5015,0)))&amp;IF(IF(235&gt;MAX($N$16:$N$5015),"",INDEX($L$16:$L$5015,MATCH((MAX($N$16:$N$5015)-235+1),$N$16:$N$5015,0)))="",""," ["&amp;IF(235&gt;MAX($N$16:$N$5015),"",INDEX($L$16:$L$5015,MATCH((MAX($N$16:$N$5015)-235+1),$N$16:$N$5015,0)))&amp;"]")</f>
        <v/>
      </c>
      <c r="V239" s="120">
        <f>IF(235&gt;MAX($N$16:$N$5015),"",HYPERLINK("#Transaksi!B"&amp;(MATCH((MAX($N$16:$N$5015)-235+1),$N$16:$N$5015,0)+15),"Buka"))</f>
        <v/>
      </c>
      <c r="X239" s="93">
        <f>IF(AND(B239&lt;&gt;"",B239&gt;='Buku Akun'!$H$4,B239&lt;='Buku Akun'!$H$5,OR(C239='Buku Akun'!$C$4,AND(D239="Pindah",E239='Buku Akun'!$C$4))),B239+IF(AND(I239="Selisih bunga",DAY(B239)=1),0,0.01)+ROW()/10000000,"")</f>
        <v/>
      </c>
    </row>
    <row r="240" outlineLevel="1" ht="15" customHeight="1" s="94">
      <c r="A240" s="123">
        <f>IF(B240="","",ROW()-15)</f>
        <v/>
      </c>
      <c r="B240" s="124" t="n"/>
      <c r="C240" s="123" t="n"/>
      <c r="D240" s="123" t="n"/>
      <c r="E240" s="123" t="n"/>
      <c r="F240" s="125" t="n"/>
      <c r="G240" s="123" t="n"/>
      <c r="H240" s="123" t="n"/>
      <c r="I240" s="123" t="n"/>
      <c r="J240" s="123" t="n"/>
      <c r="K240" s="123" t="n"/>
      <c r="L240" s="123" t="n"/>
      <c r="M240" s="123">
        <f>IF(AND(B240&lt;&gt;"",OR($C$4="",ISNUMBER(SEARCH($C$4,C240&amp;" "&amp;E240&amp;" "&amp;G240&amp;" "&amp;H240&amp;" "&amp;I240&amp;" "&amp;J240&amp;" "&amp;K240&amp;" "&amp;L240))),OR($C$5="Semua",$C$5="",G240=$C$5),OR($C$6="Semua",$C$6="",H240=$C$6,H240="Pengeluaran "&amp;$C$6,AND($C$6="Uang Kos Mama",H240="Pengeluaran Uang Kos")),OR($C$7="Semua",$C$7="",I240=$C$7),OR($C$8="Semua",$C$8="",C240=$C$8,E240=$C$8),OR($C$9="Semua",$C$9="",D240=$C$9),OR($C$10="",B240&gt;=$C$10),OR($C$11="",B240&lt;=$C$11),OR($C$12&lt;&gt;"Ya",K240&lt;&gt;""),OR($C$13="Semua",$C$13="",L240=$C$13)),"✓","")</f>
        <v/>
      </c>
      <c r="N240" s="93">
        <f>N(N239)+IF(M240="✓",1,0)</f>
        <v/>
      </c>
      <c r="O240" s="93">
        <f>N(O239)+IF(AND(B240&lt;&gt;"",B240&gt;='Uang Riba'!$H$30,B240&lt;='Uang Riba'!$I$30,OR(H240="Dana riba",H240="Pinjam uang riba",I240="Pinjam dari uang riba",I240="Ganti uang riba",I240="Kelebihan ganti dikembalikan",AND(C240="Kantong Uang Riba",G240="Pengeluaran"))),1,0)</f>
        <v/>
      </c>
      <c r="P240" s="119">
        <f>IF(236&gt;MAX($N$16:$N$5015),"",INDEX($B$16:$B$5015,MATCH((MAX($N$16:$N$5015)-236+1),$N$16:$N$5015,0)))</f>
        <v/>
      </c>
      <c r="Q240" s="105">
        <f>IF(236&gt;MAX($N$16:$N$5015),"",INDEX($C$16:$C$5015,MATCH((MAX($N$16:$N$5015)-236+1),$N$16:$N$5015,0)))&amp;IF(IF(236&gt;MAX($N$16:$N$5015),"",INDEX($E$16:$E$5015,MATCH((MAX($N$16:$N$5015)-236+1),$N$16:$N$5015,0)))="",""," → "&amp;IF(236&gt;MAX($N$16:$N$5015),"",INDEX($E$16:$E$5015,MATCH((MAX($N$16:$N$5015)-236+1),$N$16:$N$5015,0))))</f>
        <v/>
      </c>
      <c r="R240" s="105">
        <f>IF(236&gt;MAX($N$16:$N$5015),"",INDEX($D$16:$D$5015,MATCH((MAX($N$16:$N$5015)-236+1),$N$16:$N$5015,0)))</f>
        <v/>
      </c>
      <c r="S240" s="113">
        <f>IF(236&gt;MAX($N$16:$N$5015),"",INDEX($F$16:$F$5015,MATCH((MAX($N$16:$N$5015)-236+1),$N$16:$N$5015,0)))</f>
        <v/>
      </c>
      <c r="T240" s="105">
        <f>IF(236&gt;MAX($N$16:$N$5015),"",IF(236&gt;MAX($N$16:$N$5015),"",INDEX($G$16:$G$5015,MATCH((MAX($N$16:$N$5015)-236+1),$N$16:$N$5015,0)))&amp;" › "&amp;IF(236&gt;MAX($N$16:$N$5015),"",INDEX($H$16:$H$5015,MATCH((MAX($N$16:$N$5015)-236+1),$N$16:$N$5015,0)))&amp;" › "&amp;IF(236&gt;MAX($N$16:$N$5015),"",INDEX($I$16:$I$5015,MATCH((MAX($N$16:$N$5015)-236+1),$N$16:$N$5015,0))))</f>
        <v/>
      </c>
      <c r="U240" s="105">
        <f>IF(236&gt;MAX($N$16:$N$5015),"",INDEX($J$16:$J$5015,MATCH((MAX($N$16:$N$5015)-236+1),$N$16:$N$5015,0)))&amp;IF(IF(236&gt;MAX($N$16:$N$5015),"",INDEX($L$16:$L$5015,MATCH((MAX($N$16:$N$5015)-236+1),$N$16:$N$5015,0)))="",""," ["&amp;IF(236&gt;MAX($N$16:$N$5015),"",INDEX($L$16:$L$5015,MATCH((MAX($N$16:$N$5015)-236+1),$N$16:$N$5015,0)))&amp;"]")</f>
        <v/>
      </c>
      <c r="V240" s="120">
        <f>IF(236&gt;MAX($N$16:$N$5015),"",HYPERLINK("#Transaksi!B"&amp;(MATCH((MAX($N$16:$N$5015)-236+1),$N$16:$N$5015,0)+15),"Buka"))</f>
        <v/>
      </c>
      <c r="X240" s="93">
        <f>IF(AND(B240&lt;&gt;"",B240&gt;='Buku Akun'!$H$4,B240&lt;='Buku Akun'!$H$5,OR(C240='Buku Akun'!$C$4,AND(D240="Pindah",E240='Buku Akun'!$C$4))),B240+IF(AND(I240="Selisih bunga",DAY(B240)=1),0,0.01)+ROW()/10000000,"")</f>
        <v/>
      </c>
    </row>
    <row r="241" outlineLevel="1" ht="15" customHeight="1" s="94">
      <c r="A241" s="123">
        <f>IF(B241="","",ROW()-15)</f>
        <v/>
      </c>
      <c r="B241" s="124" t="n"/>
      <c r="C241" s="123" t="n"/>
      <c r="D241" s="123" t="n"/>
      <c r="E241" s="123" t="n"/>
      <c r="F241" s="125" t="n"/>
      <c r="G241" s="123" t="n"/>
      <c r="H241" s="123" t="n"/>
      <c r="I241" s="123" t="n"/>
      <c r="J241" s="123" t="n"/>
      <c r="K241" s="123" t="n"/>
      <c r="L241" s="123" t="n"/>
      <c r="M241" s="123">
        <f>IF(AND(B241&lt;&gt;"",OR($C$4="",ISNUMBER(SEARCH($C$4,C241&amp;" "&amp;E241&amp;" "&amp;G241&amp;" "&amp;H241&amp;" "&amp;I241&amp;" "&amp;J241&amp;" "&amp;K241&amp;" "&amp;L241))),OR($C$5="Semua",$C$5="",G241=$C$5),OR($C$6="Semua",$C$6="",H241=$C$6,H241="Pengeluaran "&amp;$C$6,AND($C$6="Uang Kos Mama",H241="Pengeluaran Uang Kos")),OR($C$7="Semua",$C$7="",I241=$C$7),OR($C$8="Semua",$C$8="",C241=$C$8,E241=$C$8),OR($C$9="Semua",$C$9="",D241=$C$9),OR($C$10="",B241&gt;=$C$10),OR($C$11="",B241&lt;=$C$11),OR($C$12&lt;&gt;"Ya",K241&lt;&gt;""),OR($C$13="Semua",$C$13="",L241=$C$13)),"✓","")</f>
        <v/>
      </c>
      <c r="N241" s="93">
        <f>N(N240)+IF(M241="✓",1,0)</f>
        <v/>
      </c>
      <c r="O241" s="93">
        <f>N(O240)+IF(AND(B241&lt;&gt;"",B241&gt;='Uang Riba'!$H$30,B241&lt;='Uang Riba'!$I$30,OR(H241="Dana riba",H241="Pinjam uang riba",I241="Pinjam dari uang riba",I241="Ganti uang riba",I241="Kelebihan ganti dikembalikan",AND(C241="Kantong Uang Riba",G241="Pengeluaran"))),1,0)</f>
        <v/>
      </c>
      <c r="P241" s="119">
        <f>IF(237&gt;MAX($N$16:$N$5015),"",INDEX($B$16:$B$5015,MATCH((MAX($N$16:$N$5015)-237+1),$N$16:$N$5015,0)))</f>
        <v/>
      </c>
      <c r="Q241" s="105">
        <f>IF(237&gt;MAX($N$16:$N$5015),"",INDEX($C$16:$C$5015,MATCH((MAX($N$16:$N$5015)-237+1),$N$16:$N$5015,0)))&amp;IF(IF(237&gt;MAX($N$16:$N$5015),"",INDEX($E$16:$E$5015,MATCH((MAX($N$16:$N$5015)-237+1),$N$16:$N$5015,0)))="",""," → "&amp;IF(237&gt;MAX($N$16:$N$5015),"",INDEX($E$16:$E$5015,MATCH((MAX($N$16:$N$5015)-237+1),$N$16:$N$5015,0))))</f>
        <v/>
      </c>
      <c r="R241" s="105">
        <f>IF(237&gt;MAX($N$16:$N$5015),"",INDEX($D$16:$D$5015,MATCH((MAX($N$16:$N$5015)-237+1),$N$16:$N$5015,0)))</f>
        <v/>
      </c>
      <c r="S241" s="113">
        <f>IF(237&gt;MAX($N$16:$N$5015),"",INDEX($F$16:$F$5015,MATCH((MAX($N$16:$N$5015)-237+1),$N$16:$N$5015,0)))</f>
        <v/>
      </c>
      <c r="T241" s="105">
        <f>IF(237&gt;MAX($N$16:$N$5015),"",IF(237&gt;MAX($N$16:$N$5015),"",INDEX($G$16:$G$5015,MATCH((MAX($N$16:$N$5015)-237+1),$N$16:$N$5015,0)))&amp;" › "&amp;IF(237&gt;MAX($N$16:$N$5015),"",INDEX($H$16:$H$5015,MATCH((MAX($N$16:$N$5015)-237+1),$N$16:$N$5015,0)))&amp;" › "&amp;IF(237&gt;MAX($N$16:$N$5015),"",INDEX($I$16:$I$5015,MATCH((MAX($N$16:$N$5015)-237+1),$N$16:$N$5015,0))))</f>
        <v/>
      </c>
      <c r="U241" s="105">
        <f>IF(237&gt;MAX($N$16:$N$5015),"",INDEX($J$16:$J$5015,MATCH((MAX($N$16:$N$5015)-237+1),$N$16:$N$5015,0)))&amp;IF(IF(237&gt;MAX($N$16:$N$5015),"",INDEX($L$16:$L$5015,MATCH((MAX($N$16:$N$5015)-237+1),$N$16:$N$5015,0)))="",""," ["&amp;IF(237&gt;MAX($N$16:$N$5015),"",INDEX($L$16:$L$5015,MATCH((MAX($N$16:$N$5015)-237+1),$N$16:$N$5015,0)))&amp;"]")</f>
        <v/>
      </c>
      <c r="V241" s="120">
        <f>IF(237&gt;MAX($N$16:$N$5015),"",HYPERLINK("#Transaksi!B"&amp;(MATCH((MAX($N$16:$N$5015)-237+1),$N$16:$N$5015,0)+15),"Buka"))</f>
        <v/>
      </c>
      <c r="X241" s="93">
        <f>IF(AND(B241&lt;&gt;"",B241&gt;='Buku Akun'!$H$4,B241&lt;='Buku Akun'!$H$5,OR(C241='Buku Akun'!$C$4,AND(D241="Pindah",E241='Buku Akun'!$C$4))),B241+IF(AND(I241="Selisih bunga",DAY(B241)=1),0,0.01)+ROW()/10000000,"")</f>
        <v/>
      </c>
    </row>
    <row r="242" outlineLevel="1" ht="15" customHeight="1" s="94">
      <c r="A242" s="123">
        <f>IF(B242="","",ROW()-15)</f>
        <v/>
      </c>
      <c r="B242" s="124" t="n"/>
      <c r="C242" s="123" t="n"/>
      <c r="D242" s="123" t="n"/>
      <c r="E242" s="123" t="n"/>
      <c r="F242" s="125" t="n"/>
      <c r="G242" s="123" t="n"/>
      <c r="H242" s="123" t="n"/>
      <c r="I242" s="123" t="n"/>
      <c r="J242" s="123" t="n"/>
      <c r="K242" s="123" t="n"/>
      <c r="L242" s="123" t="n"/>
      <c r="M242" s="123">
        <f>IF(AND(B242&lt;&gt;"",OR($C$4="",ISNUMBER(SEARCH($C$4,C242&amp;" "&amp;E242&amp;" "&amp;G242&amp;" "&amp;H242&amp;" "&amp;I242&amp;" "&amp;J242&amp;" "&amp;K242&amp;" "&amp;L242))),OR($C$5="Semua",$C$5="",G242=$C$5),OR($C$6="Semua",$C$6="",H242=$C$6,H242="Pengeluaran "&amp;$C$6,AND($C$6="Uang Kos Mama",H242="Pengeluaran Uang Kos")),OR($C$7="Semua",$C$7="",I242=$C$7),OR($C$8="Semua",$C$8="",C242=$C$8,E242=$C$8),OR($C$9="Semua",$C$9="",D242=$C$9),OR($C$10="",B242&gt;=$C$10),OR($C$11="",B242&lt;=$C$11),OR($C$12&lt;&gt;"Ya",K242&lt;&gt;""),OR($C$13="Semua",$C$13="",L242=$C$13)),"✓","")</f>
        <v/>
      </c>
      <c r="N242" s="93">
        <f>N(N241)+IF(M242="✓",1,0)</f>
        <v/>
      </c>
      <c r="O242" s="93">
        <f>N(O241)+IF(AND(B242&lt;&gt;"",B242&gt;='Uang Riba'!$H$30,B242&lt;='Uang Riba'!$I$30,OR(H242="Dana riba",H242="Pinjam uang riba",I242="Pinjam dari uang riba",I242="Ganti uang riba",I242="Kelebihan ganti dikembalikan",AND(C242="Kantong Uang Riba",G242="Pengeluaran"))),1,0)</f>
        <v/>
      </c>
      <c r="P242" s="119">
        <f>IF(238&gt;MAX($N$16:$N$5015),"",INDEX($B$16:$B$5015,MATCH((MAX($N$16:$N$5015)-238+1),$N$16:$N$5015,0)))</f>
        <v/>
      </c>
      <c r="Q242" s="105">
        <f>IF(238&gt;MAX($N$16:$N$5015),"",INDEX($C$16:$C$5015,MATCH((MAX($N$16:$N$5015)-238+1),$N$16:$N$5015,0)))&amp;IF(IF(238&gt;MAX($N$16:$N$5015),"",INDEX($E$16:$E$5015,MATCH((MAX($N$16:$N$5015)-238+1),$N$16:$N$5015,0)))="",""," → "&amp;IF(238&gt;MAX($N$16:$N$5015),"",INDEX($E$16:$E$5015,MATCH((MAX($N$16:$N$5015)-238+1),$N$16:$N$5015,0))))</f>
        <v/>
      </c>
      <c r="R242" s="105">
        <f>IF(238&gt;MAX($N$16:$N$5015),"",INDEX($D$16:$D$5015,MATCH((MAX($N$16:$N$5015)-238+1),$N$16:$N$5015,0)))</f>
        <v/>
      </c>
      <c r="S242" s="113">
        <f>IF(238&gt;MAX($N$16:$N$5015),"",INDEX($F$16:$F$5015,MATCH((MAX($N$16:$N$5015)-238+1),$N$16:$N$5015,0)))</f>
        <v/>
      </c>
      <c r="T242" s="105">
        <f>IF(238&gt;MAX($N$16:$N$5015),"",IF(238&gt;MAX($N$16:$N$5015),"",INDEX($G$16:$G$5015,MATCH((MAX($N$16:$N$5015)-238+1),$N$16:$N$5015,0)))&amp;" › "&amp;IF(238&gt;MAX($N$16:$N$5015),"",INDEX($H$16:$H$5015,MATCH((MAX($N$16:$N$5015)-238+1),$N$16:$N$5015,0)))&amp;" › "&amp;IF(238&gt;MAX($N$16:$N$5015),"",INDEX($I$16:$I$5015,MATCH((MAX($N$16:$N$5015)-238+1),$N$16:$N$5015,0))))</f>
        <v/>
      </c>
      <c r="U242" s="105">
        <f>IF(238&gt;MAX($N$16:$N$5015),"",INDEX($J$16:$J$5015,MATCH((MAX($N$16:$N$5015)-238+1),$N$16:$N$5015,0)))&amp;IF(IF(238&gt;MAX($N$16:$N$5015),"",INDEX($L$16:$L$5015,MATCH((MAX($N$16:$N$5015)-238+1),$N$16:$N$5015,0)))="",""," ["&amp;IF(238&gt;MAX($N$16:$N$5015),"",INDEX($L$16:$L$5015,MATCH((MAX($N$16:$N$5015)-238+1),$N$16:$N$5015,0)))&amp;"]")</f>
        <v/>
      </c>
      <c r="V242" s="120">
        <f>IF(238&gt;MAX($N$16:$N$5015),"",HYPERLINK("#Transaksi!B"&amp;(MATCH((MAX($N$16:$N$5015)-238+1),$N$16:$N$5015,0)+15),"Buka"))</f>
        <v/>
      </c>
      <c r="X242" s="93">
        <f>IF(AND(B242&lt;&gt;"",B242&gt;='Buku Akun'!$H$4,B242&lt;='Buku Akun'!$H$5,OR(C242='Buku Akun'!$C$4,AND(D242="Pindah",E242='Buku Akun'!$C$4))),B242+IF(AND(I242="Selisih bunga",DAY(B242)=1),0,0.01)+ROW()/10000000,"")</f>
        <v/>
      </c>
    </row>
    <row r="243" outlineLevel="1" ht="15" customHeight="1" s="94">
      <c r="A243" s="123">
        <f>IF(B243="","",ROW()-15)</f>
        <v/>
      </c>
      <c r="B243" s="124" t="n"/>
      <c r="C243" s="123" t="n"/>
      <c r="D243" s="123" t="n"/>
      <c r="E243" s="123" t="n"/>
      <c r="F243" s="125" t="n"/>
      <c r="G243" s="123" t="n"/>
      <c r="H243" s="123" t="n"/>
      <c r="I243" s="123" t="n"/>
      <c r="J243" s="123" t="n"/>
      <c r="K243" s="123" t="n"/>
      <c r="L243" s="123" t="n"/>
      <c r="M243" s="123">
        <f>IF(AND(B243&lt;&gt;"",OR($C$4="",ISNUMBER(SEARCH($C$4,C243&amp;" "&amp;E243&amp;" "&amp;G243&amp;" "&amp;H243&amp;" "&amp;I243&amp;" "&amp;J243&amp;" "&amp;K243&amp;" "&amp;L243))),OR($C$5="Semua",$C$5="",G243=$C$5),OR($C$6="Semua",$C$6="",H243=$C$6,H243="Pengeluaran "&amp;$C$6,AND($C$6="Uang Kos Mama",H243="Pengeluaran Uang Kos")),OR($C$7="Semua",$C$7="",I243=$C$7),OR($C$8="Semua",$C$8="",C243=$C$8,E243=$C$8),OR($C$9="Semua",$C$9="",D243=$C$9),OR($C$10="",B243&gt;=$C$10),OR($C$11="",B243&lt;=$C$11),OR($C$12&lt;&gt;"Ya",K243&lt;&gt;""),OR($C$13="Semua",$C$13="",L243=$C$13)),"✓","")</f>
        <v/>
      </c>
      <c r="N243" s="93">
        <f>N(N242)+IF(M243="✓",1,0)</f>
        <v/>
      </c>
      <c r="O243" s="93">
        <f>N(O242)+IF(AND(B243&lt;&gt;"",B243&gt;='Uang Riba'!$H$30,B243&lt;='Uang Riba'!$I$30,OR(H243="Dana riba",H243="Pinjam uang riba",I243="Pinjam dari uang riba",I243="Ganti uang riba",I243="Kelebihan ganti dikembalikan",AND(C243="Kantong Uang Riba",G243="Pengeluaran"))),1,0)</f>
        <v/>
      </c>
      <c r="P243" s="119">
        <f>IF(239&gt;MAX($N$16:$N$5015),"",INDEX($B$16:$B$5015,MATCH((MAX($N$16:$N$5015)-239+1),$N$16:$N$5015,0)))</f>
        <v/>
      </c>
      <c r="Q243" s="105">
        <f>IF(239&gt;MAX($N$16:$N$5015),"",INDEX($C$16:$C$5015,MATCH((MAX($N$16:$N$5015)-239+1),$N$16:$N$5015,0)))&amp;IF(IF(239&gt;MAX($N$16:$N$5015),"",INDEX($E$16:$E$5015,MATCH((MAX($N$16:$N$5015)-239+1),$N$16:$N$5015,0)))="",""," → "&amp;IF(239&gt;MAX($N$16:$N$5015),"",INDEX($E$16:$E$5015,MATCH((MAX($N$16:$N$5015)-239+1),$N$16:$N$5015,0))))</f>
        <v/>
      </c>
      <c r="R243" s="105">
        <f>IF(239&gt;MAX($N$16:$N$5015),"",INDEX($D$16:$D$5015,MATCH((MAX($N$16:$N$5015)-239+1),$N$16:$N$5015,0)))</f>
        <v/>
      </c>
      <c r="S243" s="113">
        <f>IF(239&gt;MAX($N$16:$N$5015),"",INDEX($F$16:$F$5015,MATCH((MAX($N$16:$N$5015)-239+1),$N$16:$N$5015,0)))</f>
        <v/>
      </c>
      <c r="T243" s="105">
        <f>IF(239&gt;MAX($N$16:$N$5015),"",IF(239&gt;MAX($N$16:$N$5015),"",INDEX($G$16:$G$5015,MATCH((MAX($N$16:$N$5015)-239+1),$N$16:$N$5015,0)))&amp;" › "&amp;IF(239&gt;MAX($N$16:$N$5015),"",INDEX($H$16:$H$5015,MATCH((MAX($N$16:$N$5015)-239+1),$N$16:$N$5015,0)))&amp;" › "&amp;IF(239&gt;MAX($N$16:$N$5015),"",INDEX($I$16:$I$5015,MATCH((MAX($N$16:$N$5015)-239+1),$N$16:$N$5015,0))))</f>
        <v/>
      </c>
      <c r="U243" s="105">
        <f>IF(239&gt;MAX($N$16:$N$5015),"",INDEX($J$16:$J$5015,MATCH((MAX($N$16:$N$5015)-239+1),$N$16:$N$5015,0)))&amp;IF(IF(239&gt;MAX($N$16:$N$5015),"",INDEX($L$16:$L$5015,MATCH((MAX($N$16:$N$5015)-239+1),$N$16:$N$5015,0)))="",""," ["&amp;IF(239&gt;MAX($N$16:$N$5015),"",INDEX($L$16:$L$5015,MATCH((MAX($N$16:$N$5015)-239+1),$N$16:$N$5015,0)))&amp;"]")</f>
        <v/>
      </c>
      <c r="V243" s="120">
        <f>IF(239&gt;MAX($N$16:$N$5015),"",HYPERLINK("#Transaksi!B"&amp;(MATCH((MAX($N$16:$N$5015)-239+1),$N$16:$N$5015,0)+15),"Buka"))</f>
        <v/>
      </c>
      <c r="X243" s="93">
        <f>IF(AND(B243&lt;&gt;"",B243&gt;='Buku Akun'!$H$4,B243&lt;='Buku Akun'!$H$5,OR(C243='Buku Akun'!$C$4,AND(D243="Pindah",E243='Buku Akun'!$C$4))),B243+IF(AND(I243="Selisih bunga",DAY(B243)=1),0,0.01)+ROW()/10000000,"")</f>
        <v/>
      </c>
    </row>
    <row r="244" outlineLevel="1" ht="15" customHeight="1" s="94">
      <c r="A244" s="123">
        <f>IF(B244="","",ROW()-15)</f>
        <v/>
      </c>
      <c r="B244" s="124" t="n"/>
      <c r="C244" s="123" t="n"/>
      <c r="D244" s="123" t="n"/>
      <c r="E244" s="123" t="n"/>
      <c r="F244" s="125" t="n"/>
      <c r="G244" s="123" t="n"/>
      <c r="H244" s="123" t="n"/>
      <c r="I244" s="123" t="n"/>
      <c r="J244" s="123" t="n"/>
      <c r="K244" s="123" t="n"/>
      <c r="L244" s="123" t="n"/>
      <c r="M244" s="123">
        <f>IF(AND(B244&lt;&gt;"",OR($C$4="",ISNUMBER(SEARCH($C$4,C244&amp;" "&amp;E244&amp;" "&amp;G244&amp;" "&amp;H244&amp;" "&amp;I244&amp;" "&amp;J244&amp;" "&amp;K244&amp;" "&amp;L244))),OR($C$5="Semua",$C$5="",G244=$C$5),OR($C$6="Semua",$C$6="",H244=$C$6,H244="Pengeluaran "&amp;$C$6,AND($C$6="Uang Kos Mama",H244="Pengeluaran Uang Kos")),OR($C$7="Semua",$C$7="",I244=$C$7),OR($C$8="Semua",$C$8="",C244=$C$8,E244=$C$8),OR($C$9="Semua",$C$9="",D244=$C$9),OR($C$10="",B244&gt;=$C$10),OR($C$11="",B244&lt;=$C$11),OR($C$12&lt;&gt;"Ya",K244&lt;&gt;""),OR($C$13="Semua",$C$13="",L244=$C$13)),"✓","")</f>
        <v/>
      </c>
      <c r="N244" s="93">
        <f>N(N243)+IF(M244="✓",1,0)</f>
        <v/>
      </c>
      <c r="O244" s="93">
        <f>N(O243)+IF(AND(B244&lt;&gt;"",B244&gt;='Uang Riba'!$H$30,B244&lt;='Uang Riba'!$I$30,OR(H244="Dana riba",H244="Pinjam uang riba",I244="Pinjam dari uang riba",I244="Ganti uang riba",I244="Kelebihan ganti dikembalikan",AND(C244="Kantong Uang Riba",G244="Pengeluaran"))),1,0)</f>
        <v/>
      </c>
      <c r="P244" s="119">
        <f>IF(240&gt;MAX($N$16:$N$5015),"",INDEX($B$16:$B$5015,MATCH((MAX($N$16:$N$5015)-240+1),$N$16:$N$5015,0)))</f>
        <v/>
      </c>
      <c r="Q244" s="105">
        <f>IF(240&gt;MAX($N$16:$N$5015),"",INDEX($C$16:$C$5015,MATCH((MAX($N$16:$N$5015)-240+1),$N$16:$N$5015,0)))&amp;IF(IF(240&gt;MAX($N$16:$N$5015),"",INDEX($E$16:$E$5015,MATCH((MAX($N$16:$N$5015)-240+1),$N$16:$N$5015,0)))="",""," → "&amp;IF(240&gt;MAX($N$16:$N$5015),"",INDEX($E$16:$E$5015,MATCH((MAX($N$16:$N$5015)-240+1),$N$16:$N$5015,0))))</f>
        <v/>
      </c>
      <c r="R244" s="105">
        <f>IF(240&gt;MAX($N$16:$N$5015),"",INDEX($D$16:$D$5015,MATCH((MAX($N$16:$N$5015)-240+1),$N$16:$N$5015,0)))</f>
        <v/>
      </c>
      <c r="S244" s="113">
        <f>IF(240&gt;MAX($N$16:$N$5015),"",INDEX($F$16:$F$5015,MATCH((MAX($N$16:$N$5015)-240+1),$N$16:$N$5015,0)))</f>
        <v/>
      </c>
      <c r="T244" s="105">
        <f>IF(240&gt;MAX($N$16:$N$5015),"",IF(240&gt;MAX($N$16:$N$5015),"",INDEX($G$16:$G$5015,MATCH((MAX($N$16:$N$5015)-240+1),$N$16:$N$5015,0)))&amp;" › "&amp;IF(240&gt;MAX($N$16:$N$5015),"",INDEX($H$16:$H$5015,MATCH((MAX($N$16:$N$5015)-240+1),$N$16:$N$5015,0)))&amp;" › "&amp;IF(240&gt;MAX($N$16:$N$5015),"",INDEX($I$16:$I$5015,MATCH((MAX($N$16:$N$5015)-240+1),$N$16:$N$5015,0))))</f>
        <v/>
      </c>
      <c r="U244" s="105">
        <f>IF(240&gt;MAX($N$16:$N$5015),"",INDEX($J$16:$J$5015,MATCH((MAX($N$16:$N$5015)-240+1),$N$16:$N$5015,0)))&amp;IF(IF(240&gt;MAX($N$16:$N$5015),"",INDEX($L$16:$L$5015,MATCH((MAX($N$16:$N$5015)-240+1),$N$16:$N$5015,0)))="",""," ["&amp;IF(240&gt;MAX($N$16:$N$5015),"",INDEX($L$16:$L$5015,MATCH((MAX($N$16:$N$5015)-240+1),$N$16:$N$5015,0)))&amp;"]")</f>
        <v/>
      </c>
      <c r="V244" s="120">
        <f>IF(240&gt;MAX($N$16:$N$5015),"",HYPERLINK("#Transaksi!B"&amp;(MATCH((MAX($N$16:$N$5015)-240+1),$N$16:$N$5015,0)+15),"Buka"))</f>
        <v/>
      </c>
      <c r="X244" s="93">
        <f>IF(AND(B244&lt;&gt;"",B244&gt;='Buku Akun'!$H$4,B244&lt;='Buku Akun'!$H$5,OR(C244='Buku Akun'!$C$4,AND(D244="Pindah",E244='Buku Akun'!$C$4))),B244+IF(AND(I244="Selisih bunga",DAY(B244)=1),0,0.01)+ROW()/10000000,"")</f>
        <v/>
      </c>
    </row>
    <row r="245" outlineLevel="1" ht="15" customHeight="1" s="94">
      <c r="A245" s="123">
        <f>IF(B245="","",ROW()-15)</f>
        <v/>
      </c>
      <c r="B245" s="124" t="n"/>
      <c r="C245" s="123" t="n"/>
      <c r="D245" s="123" t="n"/>
      <c r="E245" s="123" t="n"/>
      <c r="F245" s="125" t="n"/>
      <c r="G245" s="123" t="n"/>
      <c r="H245" s="123" t="n"/>
      <c r="I245" s="123" t="n"/>
      <c r="J245" s="123" t="n"/>
      <c r="K245" s="123" t="n"/>
      <c r="L245" s="123" t="n"/>
      <c r="M245" s="123">
        <f>IF(AND(B245&lt;&gt;"",OR($C$4="",ISNUMBER(SEARCH($C$4,C245&amp;" "&amp;E245&amp;" "&amp;G245&amp;" "&amp;H245&amp;" "&amp;I245&amp;" "&amp;J245&amp;" "&amp;K245&amp;" "&amp;L245))),OR($C$5="Semua",$C$5="",G245=$C$5),OR($C$6="Semua",$C$6="",H245=$C$6,H245="Pengeluaran "&amp;$C$6,AND($C$6="Uang Kos Mama",H245="Pengeluaran Uang Kos")),OR($C$7="Semua",$C$7="",I245=$C$7),OR($C$8="Semua",$C$8="",C245=$C$8,E245=$C$8),OR($C$9="Semua",$C$9="",D245=$C$9),OR($C$10="",B245&gt;=$C$10),OR($C$11="",B245&lt;=$C$11),OR($C$12&lt;&gt;"Ya",K245&lt;&gt;""),OR($C$13="Semua",$C$13="",L245=$C$13)),"✓","")</f>
        <v/>
      </c>
      <c r="N245" s="93">
        <f>N(N244)+IF(M245="✓",1,0)</f>
        <v/>
      </c>
      <c r="O245" s="93">
        <f>N(O244)+IF(AND(B245&lt;&gt;"",B245&gt;='Uang Riba'!$H$30,B245&lt;='Uang Riba'!$I$30,OR(H245="Dana riba",H245="Pinjam uang riba",I245="Pinjam dari uang riba",I245="Ganti uang riba",I245="Kelebihan ganti dikembalikan",AND(C245="Kantong Uang Riba",G245="Pengeluaran"))),1,0)</f>
        <v/>
      </c>
      <c r="P245" s="119">
        <f>IF(241&gt;MAX($N$16:$N$5015),"",INDEX($B$16:$B$5015,MATCH((MAX($N$16:$N$5015)-241+1),$N$16:$N$5015,0)))</f>
        <v/>
      </c>
      <c r="Q245" s="105">
        <f>IF(241&gt;MAX($N$16:$N$5015),"",INDEX($C$16:$C$5015,MATCH((MAX($N$16:$N$5015)-241+1),$N$16:$N$5015,0)))&amp;IF(IF(241&gt;MAX($N$16:$N$5015),"",INDEX($E$16:$E$5015,MATCH((MAX($N$16:$N$5015)-241+1),$N$16:$N$5015,0)))="",""," → "&amp;IF(241&gt;MAX($N$16:$N$5015),"",INDEX($E$16:$E$5015,MATCH((MAX($N$16:$N$5015)-241+1),$N$16:$N$5015,0))))</f>
        <v/>
      </c>
      <c r="R245" s="105">
        <f>IF(241&gt;MAX($N$16:$N$5015),"",INDEX($D$16:$D$5015,MATCH((MAX($N$16:$N$5015)-241+1),$N$16:$N$5015,0)))</f>
        <v/>
      </c>
      <c r="S245" s="113">
        <f>IF(241&gt;MAX($N$16:$N$5015),"",INDEX($F$16:$F$5015,MATCH((MAX($N$16:$N$5015)-241+1),$N$16:$N$5015,0)))</f>
        <v/>
      </c>
      <c r="T245" s="105">
        <f>IF(241&gt;MAX($N$16:$N$5015),"",IF(241&gt;MAX($N$16:$N$5015),"",INDEX($G$16:$G$5015,MATCH((MAX($N$16:$N$5015)-241+1),$N$16:$N$5015,0)))&amp;" › "&amp;IF(241&gt;MAX($N$16:$N$5015),"",INDEX($H$16:$H$5015,MATCH((MAX($N$16:$N$5015)-241+1),$N$16:$N$5015,0)))&amp;" › "&amp;IF(241&gt;MAX($N$16:$N$5015),"",INDEX($I$16:$I$5015,MATCH((MAX($N$16:$N$5015)-241+1),$N$16:$N$5015,0))))</f>
        <v/>
      </c>
      <c r="U245" s="105">
        <f>IF(241&gt;MAX($N$16:$N$5015),"",INDEX($J$16:$J$5015,MATCH((MAX($N$16:$N$5015)-241+1),$N$16:$N$5015,0)))&amp;IF(IF(241&gt;MAX($N$16:$N$5015),"",INDEX($L$16:$L$5015,MATCH((MAX($N$16:$N$5015)-241+1),$N$16:$N$5015,0)))="",""," ["&amp;IF(241&gt;MAX($N$16:$N$5015),"",INDEX($L$16:$L$5015,MATCH((MAX($N$16:$N$5015)-241+1),$N$16:$N$5015,0)))&amp;"]")</f>
        <v/>
      </c>
      <c r="V245" s="120">
        <f>IF(241&gt;MAX($N$16:$N$5015),"",HYPERLINK("#Transaksi!B"&amp;(MATCH((MAX($N$16:$N$5015)-241+1),$N$16:$N$5015,0)+15),"Buka"))</f>
        <v/>
      </c>
      <c r="X245" s="93">
        <f>IF(AND(B245&lt;&gt;"",B245&gt;='Buku Akun'!$H$4,B245&lt;='Buku Akun'!$H$5,OR(C245='Buku Akun'!$C$4,AND(D245="Pindah",E245='Buku Akun'!$C$4))),B245+IF(AND(I245="Selisih bunga",DAY(B245)=1),0,0.01)+ROW()/10000000,"")</f>
        <v/>
      </c>
    </row>
    <row r="246" outlineLevel="1" ht="15" customHeight="1" s="94">
      <c r="A246" s="123">
        <f>IF(B246="","",ROW()-15)</f>
        <v/>
      </c>
      <c r="B246" s="124" t="n"/>
      <c r="C246" s="123" t="n"/>
      <c r="D246" s="123" t="n"/>
      <c r="E246" s="123" t="n"/>
      <c r="F246" s="125" t="n"/>
      <c r="G246" s="123" t="n"/>
      <c r="H246" s="123" t="n"/>
      <c r="I246" s="123" t="n"/>
      <c r="J246" s="123" t="n"/>
      <c r="K246" s="123" t="n"/>
      <c r="L246" s="123" t="n"/>
      <c r="M246" s="123">
        <f>IF(AND(B246&lt;&gt;"",OR($C$4="",ISNUMBER(SEARCH($C$4,C246&amp;" "&amp;E246&amp;" "&amp;G246&amp;" "&amp;H246&amp;" "&amp;I246&amp;" "&amp;J246&amp;" "&amp;K246&amp;" "&amp;L246))),OR($C$5="Semua",$C$5="",G246=$C$5),OR($C$6="Semua",$C$6="",H246=$C$6,H246="Pengeluaran "&amp;$C$6,AND($C$6="Uang Kos Mama",H246="Pengeluaran Uang Kos")),OR($C$7="Semua",$C$7="",I246=$C$7),OR($C$8="Semua",$C$8="",C246=$C$8,E246=$C$8),OR($C$9="Semua",$C$9="",D246=$C$9),OR($C$10="",B246&gt;=$C$10),OR($C$11="",B246&lt;=$C$11),OR($C$12&lt;&gt;"Ya",K246&lt;&gt;""),OR($C$13="Semua",$C$13="",L246=$C$13)),"✓","")</f>
        <v/>
      </c>
      <c r="N246" s="93">
        <f>N(N245)+IF(M246="✓",1,0)</f>
        <v/>
      </c>
      <c r="O246" s="93">
        <f>N(O245)+IF(AND(B246&lt;&gt;"",B246&gt;='Uang Riba'!$H$30,B246&lt;='Uang Riba'!$I$30,OR(H246="Dana riba",H246="Pinjam uang riba",I246="Pinjam dari uang riba",I246="Ganti uang riba",I246="Kelebihan ganti dikembalikan",AND(C246="Kantong Uang Riba",G246="Pengeluaran"))),1,0)</f>
        <v/>
      </c>
      <c r="P246" s="119">
        <f>IF(242&gt;MAX($N$16:$N$5015),"",INDEX($B$16:$B$5015,MATCH((MAX($N$16:$N$5015)-242+1),$N$16:$N$5015,0)))</f>
        <v/>
      </c>
      <c r="Q246" s="105">
        <f>IF(242&gt;MAX($N$16:$N$5015),"",INDEX($C$16:$C$5015,MATCH((MAX($N$16:$N$5015)-242+1),$N$16:$N$5015,0)))&amp;IF(IF(242&gt;MAX($N$16:$N$5015),"",INDEX($E$16:$E$5015,MATCH((MAX($N$16:$N$5015)-242+1),$N$16:$N$5015,0)))="",""," → "&amp;IF(242&gt;MAX($N$16:$N$5015),"",INDEX($E$16:$E$5015,MATCH((MAX($N$16:$N$5015)-242+1),$N$16:$N$5015,0))))</f>
        <v/>
      </c>
      <c r="R246" s="105">
        <f>IF(242&gt;MAX($N$16:$N$5015),"",INDEX($D$16:$D$5015,MATCH((MAX($N$16:$N$5015)-242+1),$N$16:$N$5015,0)))</f>
        <v/>
      </c>
      <c r="S246" s="113">
        <f>IF(242&gt;MAX($N$16:$N$5015),"",INDEX($F$16:$F$5015,MATCH((MAX($N$16:$N$5015)-242+1),$N$16:$N$5015,0)))</f>
        <v/>
      </c>
      <c r="T246" s="105">
        <f>IF(242&gt;MAX($N$16:$N$5015),"",IF(242&gt;MAX($N$16:$N$5015),"",INDEX($G$16:$G$5015,MATCH((MAX($N$16:$N$5015)-242+1),$N$16:$N$5015,0)))&amp;" › "&amp;IF(242&gt;MAX($N$16:$N$5015),"",INDEX($H$16:$H$5015,MATCH((MAX($N$16:$N$5015)-242+1),$N$16:$N$5015,0)))&amp;" › "&amp;IF(242&gt;MAX($N$16:$N$5015),"",INDEX($I$16:$I$5015,MATCH((MAX($N$16:$N$5015)-242+1),$N$16:$N$5015,0))))</f>
        <v/>
      </c>
      <c r="U246" s="105">
        <f>IF(242&gt;MAX($N$16:$N$5015),"",INDEX($J$16:$J$5015,MATCH((MAX($N$16:$N$5015)-242+1),$N$16:$N$5015,0)))&amp;IF(IF(242&gt;MAX($N$16:$N$5015),"",INDEX($L$16:$L$5015,MATCH((MAX($N$16:$N$5015)-242+1),$N$16:$N$5015,0)))="",""," ["&amp;IF(242&gt;MAX($N$16:$N$5015),"",INDEX($L$16:$L$5015,MATCH((MAX($N$16:$N$5015)-242+1),$N$16:$N$5015,0)))&amp;"]")</f>
        <v/>
      </c>
      <c r="V246" s="120">
        <f>IF(242&gt;MAX($N$16:$N$5015),"",HYPERLINK("#Transaksi!B"&amp;(MATCH((MAX($N$16:$N$5015)-242+1),$N$16:$N$5015,0)+15),"Buka"))</f>
        <v/>
      </c>
      <c r="X246" s="93">
        <f>IF(AND(B246&lt;&gt;"",B246&gt;='Buku Akun'!$H$4,B246&lt;='Buku Akun'!$H$5,OR(C246='Buku Akun'!$C$4,AND(D246="Pindah",E246='Buku Akun'!$C$4))),B246+IF(AND(I246="Selisih bunga",DAY(B246)=1),0,0.01)+ROW()/10000000,"")</f>
        <v/>
      </c>
    </row>
    <row r="247" outlineLevel="1" ht="15" customHeight="1" s="94">
      <c r="A247" s="123">
        <f>IF(B247="","",ROW()-15)</f>
        <v/>
      </c>
      <c r="B247" s="124" t="n"/>
      <c r="C247" s="123" t="n"/>
      <c r="D247" s="123" t="n"/>
      <c r="E247" s="123" t="n"/>
      <c r="F247" s="125" t="n"/>
      <c r="G247" s="123" t="n"/>
      <c r="H247" s="123" t="n"/>
      <c r="I247" s="123" t="n"/>
      <c r="J247" s="123" t="n"/>
      <c r="K247" s="123" t="n"/>
      <c r="L247" s="123" t="n"/>
      <c r="M247" s="123">
        <f>IF(AND(B247&lt;&gt;"",OR($C$4="",ISNUMBER(SEARCH($C$4,C247&amp;" "&amp;E247&amp;" "&amp;G247&amp;" "&amp;H247&amp;" "&amp;I247&amp;" "&amp;J247&amp;" "&amp;K247&amp;" "&amp;L247))),OR($C$5="Semua",$C$5="",G247=$C$5),OR($C$6="Semua",$C$6="",H247=$C$6,H247="Pengeluaran "&amp;$C$6,AND($C$6="Uang Kos Mama",H247="Pengeluaran Uang Kos")),OR($C$7="Semua",$C$7="",I247=$C$7),OR($C$8="Semua",$C$8="",C247=$C$8,E247=$C$8),OR($C$9="Semua",$C$9="",D247=$C$9),OR($C$10="",B247&gt;=$C$10),OR($C$11="",B247&lt;=$C$11),OR($C$12&lt;&gt;"Ya",K247&lt;&gt;""),OR($C$13="Semua",$C$13="",L247=$C$13)),"✓","")</f>
        <v/>
      </c>
      <c r="N247" s="93">
        <f>N(N246)+IF(M247="✓",1,0)</f>
        <v/>
      </c>
      <c r="O247" s="93">
        <f>N(O246)+IF(AND(B247&lt;&gt;"",B247&gt;='Uang Riba'!$H$30,B247&lt;='Uang Riba'!$I$30,OR(H247="Dana riba",H247="Pinjam uang riba",I247="Pinjam dari uang riba",I247="Ganti uang riba",I247="Kelebihan ganti dikembalikan",AND(C247="Kantong Uang Riba",G247="Pengeluaran"))),1,0)</f>
        <v/>
      </c>
      <c r="P247" s="119">
        <f>IF(243&gt;MAX($N$16:$N$5015),"",INDEX($B$16:$B$5015,MATCH((MAX($N$16:$N$5015)-243+1),$N$16:$N$5015,0)))</f>
        <v/>
      </c>
      <c r="Q247" s="105">
        <f>IF(243&gt;MAX($N$16:$N$5015),"",INDEX($C$16:$C$5015,MATCH((MAX($N$16:$N$5015)-243+1),$N$16:$N$5015,0)))&amp;IF(IF(243&gt;MAX($N$16:$N$5015),"",INDEX($E$16:$E$5015,MATCH((MAX($N$16:$N$5015)-243+1),$N$16:$N$5015,0)))="",""," → "&amp;IF(243&gt;MAX($N$16:$N$5015),"",INDEX($E$16:$E$5015,MATCH((MAX($N$16:$N$5015)-243+1),$N$16:$N$5015,0))))</f>
        <v/>
      </c>
      <c r="R247" s="105">
        <f>IF(243&gt;MAX($N$16:$N$5015),"",INDEX($D$16:$D$5015,MATCH((MAX($N$16:$N$5015)-243+1),$N$16:$N$5015,0)))</f>
        <v/>
      </c>
      <c r="S247" s="113">
        <f>IF(243&gt;MAX($N$16:$N$5015),"",INDEX($F$16:$F$5015,MATCH((MAX($N$16:$N$5015)-243+1),$N$16:$N$5015,0)))</f>
        <v/>
      </c>
      <c r="T247" s="105">
        <f>IF(243&gt;MAX($N$16:$N$5015),"",IF(243&gt;MAX($N$16:$N$5015),"",INDEX($G$16:$G$5015,MATCH((MAX($N$16:$N$5015)-243+1),$N$16:$N$5015,0)))&amp;" › "&amp;IF(243&gt;MAX($N$16:$N$5015),"",INDEX($H$16:$H$5015,MATCH((MAX($N$16:$N$5015)-243+1),$N$16:$N$5015,0)))&amp;" › "&amp;IF(243&gt;MAX($N$16:$N$5015),"",INDEX($I$16:$I$5015,MATCH((MAX($N$16:$N$5015)-243+1),$N$16:$N$5015,0))))</f>
        <v/>
      </c>
      <c r="U247" s="105">
        <f>IF(243&gt;MAX($N$16:$N$5015),"",INDEX($J$16:$J$5015,MATCH((MAX($N$16:$N$5015)-243+1),$N$16:$N$5015,0)))&amp;IF(IF(243&gt;MAX($N$16:$N$5015),"",INDEX($L$16:$L$5015,MATCH((MAX($N$16:$N$5015)-243+1),$N$16:$N$5015,0)))="",""," ["&amp;IF(243&gt;MAX($N$16:$N$5015),"",INDEX($L$16:$L$5015,MATCH((MAX($N$16:$N$5015)-243+1),$N$16:$N$5015,0)))&amp;"]")</f>
        <v/>
      </c>
      <c r="V247" s="120">
        <f>IF(243&gt;MAX($N$16:$N$5015),"",HYPERLINK("#Transaksi!B"&amp;(MATCH((MAX($N$16:$N$5015)-243+1),$N$16:$N$5015,0)+15),"Buka"))</f>
        <v/>
      </c>
      <c r="X247" s="93">
        <f>IF(AND(B247&lt;&gt;"",B247&gt;='Buku Akun'!$H$4,B247&lt;='Buku Akun'!$H$5,OR(C247='Buku Akun'!$C$4,AND(D247="Pindah",E247='Buku Akun'!$C$4))),B247+IF(AND(I247="Selisih bunga",DAY(B247)=1),0,0.01)+ROW()/10000000,"")</f>
        <v/>
      </c>
    </row>
    <row r="248" outlineLevel="1" ht="15" customHeight="1" s="94">
      <c r="A248" s="123">
        <f>IF(B248="","",ROW()-15)</f>
        <v/>
      </c>
      <c r="B248" s="124" t="n"/>
      <c r="C248" s="123" t="n"/>
      <c r="D248" s="123" t="n"/>
      <c r="E248" s="123" t="n"/>
      <c r="F248" s="125" t="n"/>
      <c r="G248" s="123" t="n"/>
      <c r="H248" s="123" t="n"/>
      <c r="I248" s="123" t="n"/>
      <c r="J248" s="123" t="n"/>
      <c r="K248" s="123" t="n"/>
      <c r="L248" s="123" t="n"/>
      <c r="M248" s="123">
        <f>IF(AND(B248&lt;&gt;"",OR($C$4="",ISNUMBER(SEARCH($C$4,C248&amp;" "&amp;E248&amp;" "&amp;G248&amp;" "&amp;H248&amp;" "&amp;I248&amp;" "&amp;J248&amp;" "&amp;K248&amp;" "&amp;L248))),OR($C$5="Semua",$C$5="",G248=$C$5),OR($C$6="Semua",$C$6="",H248=$C$6,H248="Pengeluaran "&amp;$C$6,AND($C$6="Uang Kos Mama",H248="Pengeluaran Uang Kos")),OR($C$7="Semua",$C$7="",I248=$C$7),OR($C$8="Semua",$C$8="",C248=$C$8,E248=$C$8),OR($C$9="Semua",$C$9="",D248=$C$9),OR($C$10="",B248&gt;=$C$10),OR($C$11="",B248&lt;=$C$11),OR($C$12&lt;&gt;"Ya",K248&lt;&gt;""),OR($C$13="Semua",$C$13="",L248=$C$13)),"✓","")</f>
        <v/>
      </c>
      <c r="N248" s="93">
        <f>N(N247)+IF(M248="✓",1,0)</f>
        <v/>
      </c>
      <c r="O248" s="93">
        <f>N(O247)+IF(AND(B248&lt;&gt;"",B248&gt;='Uang Riba'!$H$30,B248&lt;='Uang Riba'!$I$30,OR(H248="Dana riba",H248="Pinjam uang riba",I248="Pinjam dari uang riba",I248="Ganti uang riba",I248="Kelebihan ganti dikembalikan",AND(C248="Kantong Uang Riba",G248="Pengeluaran"))),1,0)</f>
        <v/>
      </c>
      <c r="P248" s="119">
        <f>IF(244&gt;MAX($N$16:$N$5015),"",INDEX($B$16:$B$5015,MATCH((MAX($N$16:$N$5015)-244+1),$N$16:$N$5015,0)))</f>
        <v/>
      </c>
      <c r="Q248" s="105">
        <f>IF(244&gt;MAX($N$16:$N$5015),"",INDEX($C$16:$C$5015,MATCH((MAX($N$16:$N$5015)-244+1),$N$16:$N$5015,0)))&amp;IF(IF(244&gt;MAX($N$16:$N$5015),"",INDEX($E$16:$E$5015,MATCH((MAX($N$16:$N$5015)-244+1),$N$16:$N$5015,0)))="",""," → "&amp;IF(244&gt;MAX($N$16:$N$5015),"",INDEX($E$16:$E$5015,MATCH((MAX($N$16:$N$5015)-244+1),$N$16:$N$5015,0))))</f>
        <v/>
      </c>
      <c r="R248" s="105">
        <f>IF(244&gt;MAX($N$16:$N$5015),"",INDEX($D$16:$D$5015,MATCH((MAX($N$16:$N$5015)-244+1),$N$16:$N$5015,0)))</f>
        <v/>
      </c>
      <c r="S248" s="113">
        <f>IF(244&gt;MAX($N$16:$N$5015),"",INDEX($F$16:$F$5015,MATCH((MAX($N$16:$N$5015)-244+1),$N$16:$N$5015,0)))</f>
        <v/>
      </c>
      <c r="T248" s="105">
        <f>IF(244&gt;MAX($N$16:$N$5015),"",IF(244&gt;MAX($N$16:$N$5015),"",INDEX($G$16:$G$5015,MATCH((MAX($N$16:$N$5015)-244+1),$N$16:$N$5015,0)))&amp;" › "&amp;IF(244&gt;MAX($N$16:$N$5015),"",INDEX($H$16:$H$5015,MATCH((MAX($N$16:$N$5015)-244+1),$N$16:$N$5015,0)))&amp;" › "&amp;IF(244&gt;MAX($N$16:$N$5015),"",INDEX($I$16:$I$5015,MATCH((MAX($N$16:$N$5015)-244+1),$N$16:$N$5015,0))))</f>
        <v/>
      </c>
      <c r="U248" s="105">
        <f>IF(244&gt;MAX($N$16:$N$5015),"",INDEX($J$16:$J$5015,MATCH((MAX($N$16:$N$5015)-244+1),$N$16:$N$5015,0)))&amp;IF(IF(244&gt;MAX($N$16:$N$5015),"",INDEX($L$16:$L$5015,MATCH((MAX($N$16:$N$5015)-244+1),$N$16:$N$5015,0)))="",""," ["&amp;IF(244&gt;MAX($N$16:$N$5015),"",INDEX($L$16:$L$5015,MATCH((MAX($N$16:$N$5015)-244+1),$N$16:$N$5015,0)))&amp;"]")</f>
        <v/>
      </c>
      <c r="V248" s="120">
        <f>IF(244&gt;MAX($N$16:$N$5015),"",HYPERLINK("#Transaksi!B"&amp;(MATCH((MAX($N$16:$N$5015)-244+1),$N$16:$N$5015,0)+15),"Buka"))</f>
        <v/>
      </c>
      <c r="X248" s="93">
        <f>IF(AND(B248&lt;&gt;"",B248&gt;='Buku Akun'!$H$4,B248&lt;='Buku Akun'!$H$5,OR(C248='Buku Akun'!$C$4,AND(D248="Pindah",E248='Buku Akun'!$C$4))),B248+IF(AND(I248="Selisih bunga",DAY(B248)=1),0,0.01)+ROW()/10000000,"")</f>
        <v/>
      </c>
    </row>
    <row r="249" outlineLevel="1" ht="15" customHeight="1" s="94">
      <c r="A249" s="123">
        <f>IF(B249="","",ROW()-15)</f>
        <v/>
      </c>
      <c r="B249" s="124" t="n"/>
      <c r="C249" s="123" t="n"/>
      <c r="D249" s="123" t="n"/>
      <c r="E249" s="123" t="n"/>
      <c r="F249" s="125" t="n"/>
      <c r="G249" s="123" t="n"/>
      <c r="H249" s="123" t="n"/>
      <c r="I249" s="123" t="n"/>
      <c r="J249" s="123" t="n"/>
      <c r="K249" s="123" t="n"/>
      <c r="L249" s="123" t="n"/>
      <c r="M249" s="123">
        <f>IF(AND(B249&lt;&gt;"",OR($C$4="",ISNUMBER(SEARCH($C$4,C249&amp;" "&amp;E249&amp;" "&amp;G249&amp;" "&amp;H249&amp;" "&amp;I249&amp;" "&amp;J249&amp;" "&amp;K249&amp;" "&amp;L249))),OR($C$5="Semua",$C$5="",G249=$C$5),OR($C$6="Semua",$C$6="",H249=$C$6,H249="Pengeluaran "&amp;$C$6,AND($C$6="Uang Kos Mama",H249="Pengeluaran Uang Kos")),OR($C$7="Semua",$C$7="",I249=$C$7),OR($C$8="Semua",$C$8="",C249=$C$8,E249=$C$8),OR($C$9="Semua",$C$9="",D249=$C$9),OR($C$10="",B249&gt;=$C$10),OR($C$11="",B249&lt;=$C$11),OR($C$12&lt;&gt;"Ya",K249&lt;&gt;""),OR($C$13="Semua",$C$13="",L249=$C$13)),"✓","")</f>
        <v/>
      </c>
      <c r="N249" s="93">
        <f>N(N248)+IF(M249="✓",1,0)</f>
        <v/>
      </c>
      <c r="O249" s="93">
        <f>N(O248)+IF(AND(B249&lt;&gt;"",B249&gt;='Uang Riba'!$H$30,B249&lt;='Uang Riba'!$I$30,OR(H249="Dana riba",H249="Pinjam uang riba",I249="Pinjam dari uang riba",I249="Ganti uang riba",I249="Kelebihan ganti dikembalikan",AND(C249="Kantong Uang Riba",G249="Pengeluaran"))),1,0)</f>
        <v/>
      </c>
      <c r="P249" s="119">
        <f>IF(245&gt;MAX($N$16:$N$5015),"",INDEX($B$16:$B$5015,MATCH((MAX($N$16:$N$5015)-245+1),$N$16:$N$5015,0)))</f>
        <v/>
      </c>
      <c r="Q249" s="105">
        <f>IF(245&gt;MAX($N$16:$N$5015),"",INDEX($C$16:$C$5015,MATCH((MAX($N$16:$N$5015)-245+1),$N$16:$N$5015,0)))&amp;IF(IF(245&gt;MAX($N$16:$N$5015),"",INDEX($E$16:$E$5015,MATCH((MAX($N$16:$N$5015)-245+1),$N$16:$N$5015,0)))="",""," → "&amp;IF(245&gt;MAX($N$16:$N$5015),"",INDEX($E$16:$E$5015,MATCH((MAX($N$16:$N$5015)-245+1),$N$16:$N$5015,0))))</f>
        <v/>
      </c>
      <c r="R249" s="105">
        <f>IF(245&gt;MAX($N$16:$N$5015),"",INDEX($D$16:$D$5015,MATCH((MAX($N$16:$N$5015)-245+1),$N$16:$N$5015,0)))</f>
        <v/>
      </c>
      <c r="S249" s="113">
        <f>IF(245&gt;MAX($N$16:$N$5015),"",INDEX($F$16:$F$5015,MATCH((MAX($N$16:$N$5015)-245+1),$N$16:$N$5015,0)))</f>
        <v/>
      </c>
      <c r="T249" s="105">
        <f>IF(245&gt;MAX($N$16:$N$5015),"",IF(245&gt;MAX($N$16:$N$5015),"",INDEX($G$16:$G$5015,MATCH((MAX($N$16:$N$5015)-245+1),$N$16:$N$5015,0)))&amp;" › "&amp;IF(245&gt;MAX($N$16:$N$5015),"",INDEX($H$16:$H$5015,MATCH((MAX($N$16:$N$5015)-245+1),$N$16:$N$5015,0)))&amp;" › "&amp;IF(245&gt;MAX($N$16:$N$5015),"",INDEX($I$16:$I$5015,MATCH((MAX($N$16:$N$5015)-245+1),$N$16:$N$5015,0))))</f>
        <v/>
      </c>
      <c r="U249" s="105">
        <f>IF(245&gt;MAX($N$16:$N$5015),"",INDEX($J$16:$J$5015,MATCH((MAX($N$16:$N$5015)-245+1),$N$16:$N$5015,0)))&amp;IF(IF(245&gt;MAX($N$16:$N$5015),"",INDEX($L$16:$L$5015,MATCH((MAX($N$16:$N$5015)-245+1),$N$16:$N$5015,0)))="",""," ["&amp;IF(245&gt;MAX($N$16:$N$5015),"",INDEX($L$16:$L$5015,MATCH((MAX($N$16:$N$5015)-245+1),$N$16:$N$5015,0)))&amp;"]")</f>
        <v/>
      </c>
      <c r="V249" s="120">
        <f>IF(245&gt;MAX($N$16:$N$5015),"",HYPERLINK("#Transaksi!B"&amp;(MATCH((MAX($N$16:$N$5015)-245+1),$N$16:$N$5015,0)+15),"Buka"))</f>
        <v/>
      </c>
      <c r="X249" s="93">
        <f>IF(AND(B249&lt;&gt;"",B249&gt;='Buku Akun'!$H$4,B249&lt;='Buku Akun'!$H$5,OR(C249='Buku Akun'!$C$4,AND(D249="Pindah",E249='Buku Akun'!$C$4))),B249+IF(AND(I249="Selisih bunga",DAY(B249)=1),0,0.01)+ROW()/10000000,"")</f>
        <v/>
      </c>
    </row>
    <row r="250" outlineLevel="1" ht="15" customHeight="1" s="94">
      <c r="A250" s="123">
        <f>IF(B250="","",ROW()-15)</f>
        <v/>
      </c>
      <c r="B250" s="124" t="n"/>
      <c r="C250" s="123" t="n"/>
      <c r="D250" s="123" t="n"/>
      <c r="E250" s="123" t="n"/>
      <c r="F250" s="125" t="n"/>
      <c r="G250" s="123" t="n"/>
      <c r="H250" s="123" t="n"/>
      <c r="I250" s="123" t="n"/>
      <c r="J250" s="123" t="n"/>
      <c r="K250" s="123" t="n"/>
      <c r="L250" s="123" t="n"/>
      <c r="M250" s="123">
        <f>IF(AND(B250&lt;&gt;"",OR($C$4="",ISNUMBER(SEARCH($C$4,C250&amp;" "&amp;E250&amp;" "&amp;G250&amp;" "&amp;H250&amp;" "&amp;I250&amp;" "&amp;J250&amp;" "&amp;K250&amp;" "&amp;L250))),OR($C$5="Semua",$C$5="",G250=$C$5),OR($C$6="Semua",$C$6="",H250=$C$6,H250="Pengeluaran "&amp;$C$6,AND($C$6="Uang Kos Mama",H250="Pengeluaran Uang Kos")),OR($C$7="Semua",$C$7="",I250=$C$7),OR($C$8="Semua",$C$8="",C250=$C$8,E250=$C$8),OR($C$9="Semua",$C$9="",D250=$C$9),OR($C$10="",B250&gt;=$C$10),OR($C$11="",B250&lt;=$C$11),OR($C$12&lt;&gt;"Ya",K250&lt;&gt;""),OR($C$13="Semua",$C$13="",L250=$C$13)),"✓","")</f>
        <v/>
      </c>
      <c r="N250" s="93">
        <f>N(N249)+IF(M250="✓",1,0)</f>
        <v/>
      </c>
      <c r="O250" s="93">
        <f>N(O249)+IF(AND(B250&lt;&gt;"",B250&gt;='Uang Riba'!$H$30,B250&lt;='Uang Riba'!$I$30,OR(H250="Dana riba",H250="Pinjam uang riba",I250="Pinjam dari uang riba",I250="Ganti uang riba",I250="Kelebihan ganti dikembalikan",AND(C250="Kantong Uang Riba",G250="Pengeluaran"))),1,0)</f>
        <v/>
      </c>
      <c r="P250" s="119">
        <f>IF(246&gt;MAX($N$16:$N$5015),"",INDEX($B$16:$B$5015,MATCH((MAX($N$16:$N$5015)-246+1),$N$16:$N$5015,0)))</f>
        <v/>
      </c>
      <c r="Q250" s="105">
        <f>IF(246&gt;MAX($N$16:$N$5015),"",INDEX($C$16:$C$5015,MATCH((MAX($N$16:$N$5015)-246+1),$N$16:$N$5015,0)))&amp;IF(IF(246&gt;MAX($N$16:$N$5015),"",INDEX($E$16:$E$5015,MATCH((MAX($N$16:$N$5015)-246+1),$N$16:$N$5015,0)))="",""," → "&amp;IF(246&gt;MAX($N$16:$N$5015),"",INDEX($E$16:$E$5015,MATCH((MAX($N$16:$N$5015)-246+1),$N$16:$N$5015,0))))</f>
        <v/>
      </c>
      <c r="R250" s="105">
        <f>IF(246&gt;MAX($N$16:$N$5015),"",INDEX($D$16:$D$5015,MATCH((MAX($N$16:$N$5015)-246+1),$N$16:$N$5015,0)))</f>
        <v/>
      </c>
      <c r="S250" s="113">
        <f>IF(246&gt;MAX($N$16:$N$5015),"",INDEX($F$16:$F$5015,MATCH((MAX($N$16:$N$5015)-246+1),$N$16:$N$5015,0)))</f>
        <v/>
      </c>
      <c r="T250" s="105">
        <f>IF(246&gt;MAX($N$16:$N$5015),"",IF(246&gt;MAX($N$16:$N$5015),"",INDEX($G$16:$G$5015,MATCH((MAX($N$16:$N$5015)-246+1),$N$16:$N$5015,0)))&amp;" › "&amp;IF(246&gt;MAX($N$16:$N$5015),"",INDEX($H$16:$H$5015,MATCH((MAX($N$16:$N$5015)-246+1),$N$16:$N$5015,0)))&amp;" › "&amp;IF(246&gt;MAX($N$16:$N$5015),"",INDEX($I$16:$I$5015,MATCH((MAX($N$16:$N$5015)-246+1),$N$16:$N$5015,0))))</f>
        <v/>
      </c>
      <c r="U250" s="105">
        <f>IF(246&gt;MAX($N$16:$N$5015),"",INDEX($J$16:$J$5015,MATCH((MAX($N$16:$N$5015)-246+1),$N$16:$N$5015,0)))&amp;IF(IF(246&gt;MAX($N$16:$N$5015),"",INDEX($L$16:$L$5015,MATCH((MAX($N$16:$N$5015)-246+1),$N$16:$N$5015,0)))="",""," ["&amp;IF(246&gt;MAX($N$16:$N$5015),"",INDEX($L$16:$L$5015,MATCH((MAX($N$16:$N$5015)-246+1),$N$16:$N$5015,0)))&amp;"]")</f>
        <v/>
      </c>
      <c r="V250" s="120">
        <f>IF(246&gt;MAX($N$16:$N$5015),"",HYPERLINK("#Transaksi!B"&amp;(MATCH((MAX($N$16:$N$5015)-246+1),$N$16:$N$5015,0)+15),"Buka"))</f>
        <v/>
      </c>
      <c r="X250" s="93">
        <f>IF(AND(B250&lt;&gt;"",B250&gt;='Buku Akun'!$H$4,B250&lt;='Buku Akun'!$H$5,OR(C250='Buku Akun'!$C$4,AND(D250="Pindah",E250='Buku Akun'!$C$4))),B250+IF(AND(I250="Selisih bunga",DAY(B250)=1),0,0.01)+ROW()/10000000,"")</f>
        <v/>
      </c>
    </row>
    <row r="251" outlineLevel="1" ht="15" customHeight="1" s="94">
      <c r="A251" s="123">
        <f>IF(B251="","",ROW()-15)</f>
        <v/>
      </c>
      <c r="B251" s="124" t="n"/>
      <c r="C251" s="123" t="n"/>
      <c r="D251" s="123" t="n"/>
      <c r="E251" s="123" t="n"/>
      <c r="F251" s="125" t="n"/>
      <c r="G251" s="123" t="n"/>
      <c r="H251" s="123" t="n"/>
      <c r="I251" s="123" t="n"/>
      <c r="J251" s="123" t="n"/>
      <c r="K251" s="123" t="n"/>
      <c r="L251" s="123" t="n"/>
      <c r="M251" s="123">
        <f>IF(AND(B251&lt;&gt;"",OR($C$4="",ISNUMBER(SEARCH($C$4,C251&amp;" "&amp;E251&amp;" "&amp;G251&amp;" "&amp;H251&amp;" "&amp;I251&amp;" "&amp;J251&amp;" "&amp;K251&amp;" "&amp;L251))),OR($C$5="Semua",$C$5="",G251=$C$5),OR($C$6="Semua",$C$6="",H251=$C$6,H251="Pengeluaran "&amp;$C$6,AND($C$6="Uang Kos Mama",H251="Pengeluaran Uang Kos")),OR($C$7="Semua",$C$7="",I251=$C$7),OR($C$8="Semua",$C$8="",C251=$C$8,E251=$C$8),OR($C$9="Semua",$C$9="",D251=$C$9),OR($C$10="",B251&gt;=$C$10),OR($C$11="",B251&lt;=$C$11),OR($C$12&lt;&gt;"Ya",K251&lt;&gt;""),OR($C$13="Semua",$C$13="",L251=$C$13)),"✓","")</f>
        <v/>
      </c>
      <c r="N251" s="93">
        <f>N(N250)+IF(M251="✓",1,0)</f>
        <v/>
      </c>
      <c r="O251" s="93">
        <f>N(O250)+IF(AND(B251&lt;&gt;"",B251&gt;='Uang Riba'!$H$30,B251&lt;='Uang Riba'!$I$30,OR(H251="Dana riba",H251="Pinjam uang riba",I251="Pinjam dari uang riba",I251="Ganti uang riba",I251="Kelebihan ganti dikembalikan",AND(C251="Kantong Uang Riba",G251="Pengeluaran"))),1,0)</f>
        <v/>
      </c>
      <c r="P251" s="119">
        <f>IF(247&gt;MAX($N$16:$N$5015),"",INDEX($B$16:$B$5015,MATCH((MAX($N$16:$N$5015)-247+1),$N$16:$N$5015,0)))</f>
        <v/>
      </c>
      <c r="Q251" s="105">
        <f>IF(247&gt;MAX($N$16:$N$5015),"",INDEX($C$16:$C$5015,MATCH((MAX($N$16:$N$5015)-247+1),$N$16:$N$5015,0)))&amp;IF(IF(247&gt;MAX($N$16:$N$5015),"",INDEX($E$16:$E$5015,MATCH((MAX($N$16:$N$5015)-247+1),$N$16:$N$5015,0)))="",""," → "&amp;IF(247&gt;MAX($N$16:$N$5015),"",INDEX($E$16:$E$5015,MATCH((MAX($N$16:$N$5015)-247+1),$N$16:$N$5015,0))))</f>
        <v/>
      </c>
      <c r="R251" s="105">
        <f>IF(247&gt;MAX($N$16:$N$5015),"",INDEX($D$16:$D$5015,MATCH((MAX($N$16:$N$5015)-247+1),$N$16:$N$5015,0)))</f>
        <v/>
      </c>
      <c r="S251" s="113">
        <f>IF(247&gt;MAX($N$16:$N$5015),"",INDEX($F$16:$F$5015,MATCH((MAX($N$16:$N$5015)-247+1),$N$16:$N$5015,0)))</f>
        <v/>
      </c>
      <c r="T251" s="105">
        <f>IF(247&gt;MAX($N$16:$N$5015),"",IF(247&gt;MAX($N$16:$N$5015),"",INDEX($G$16:$G$5015,MATCH((MAX($N$16:$N$5015)-247+1),$N$16:$N$5015,0)))&amp;" › "&amp;IF(247&gt;MAX($N$16:$N$5015),"",INDEX($H$16:$H$5015,MATCH((MAX($N$16:$N$5015)-247+1),$N$16:$N$5015,0)))&amp;" › "&amp;IF(247&gt;MAX($N$16:$N$5015),"",INDEX($I$16:$I$5015,MATCH((MAX($N$16:$N$5015)-247+1),$N$16:$N$5015,0))))</f>
        <v/>
      </c>
      <c r="U251" s="105">
        <f>IF(247&gt;MAX($N$16:$N$5015),"",INDEX($J$16:$J$5015,MATCH((MAX($N$16:$N$5015)-247+1),$N$16:$N$5015,0)))&amp;IF(IF(247&gt;MAX($N$16:$N$5015),"",INDEX($L$16:$L$5015,MATCH((MAX($N$16:$N$5015)-247+1),$N$16:$N$5015,0)))="",""," ["&amp;IF(247&gt;MAX($N$16:$N$5015),"",INDEX($L$16:$L$5015,MATCH((MAX($N$16:$N$5015)-247+1),$N$16:$N$5015,0)))&amp;"]")</f>
        <v/>
      </c>
      <c r="V251" s="120">
        <f>IF(247&gt;MAX($N$16:$N$5015),"",HYPERLINK("#Transaksi!B"&amp;(MATCH((MAX($N$16:$N$5015)-247+1),$N$16:$N$5015,0)+15),"Buka"))</f>
        <v/>
      </c>
      <c r="X251" s="93">
        <f>IF(AND(B251&lt;&gt;"",B251&gt;='Buku Akun'!$H$4,B251&lt;='Buku Akun'!$H$5,OR(C251='Buku Akun'!$C$4,AND(D251="Pindah",E251='Buku Akun'!$C$4))),B251+IF(AND(I251="Selisih bunga",DAY(B251)=1),0,0.01)+ROW()/10000000,"")</f>
        <v/>
      </c>
    </row>
    <row r="252" outlineLevel="1" ht="15" customHeight="1" s="94">
      <c r="A252" s="123">
        <f>IF(B252="","",ROW()-15)</f>
        <v/>
      </c>
      <c r="B252" s="124" t="n"/>
      <c r="C252" s="123" t="n"/>
      <c r="D252" s="123" t="n"/>
      <c r="E252" s="123" t="n"/>
      <c r="F252" s="125" t="n"/>
      <c r="G252" s="123" t="n"/>
      <c r="H252" s="123" t="n"/>
      <c r="I252" s="123" t="n"/>
      <c r="J252" s="123" t="n"/>
      <c r="K252" s="123" t="n"/>
      <c r="L252" s="123" t="n"/>
      <c r="M252" s="123">
        <f>IF(AND(B252&lt;&gt;"",OR($C$4="",ISNUMBER(SEARCH($C$4,C252&amp;" "&amp;E252&amp;" "&amp;G252&amp;" "&amp;H252&amp;" "&amp;I252&amp;" "&amp;J252&amp;" "&amp;K252&amp;" "&amp;L252))),OR($C$5="Semua",$C$5="",G252=$C$5),OR($C$6="Semua",$C$6="",H252=$C$6,H252="Pengeluaran "&amp;$C$6,AND($C$6="Uang Kos Mama",H252="Pengeluaran Uang Kos")),OR($C$7="Semua",$C$7="",I252=$C$7),OR($C$8="Semua",$C$8="",C252=$C$8,E252=$C$8),OR($C$9="Semua",$C$9="",D252=$C$9),OR($C$10="",B252&gt;=$C$10),OR($C$11="",B252&lt;=$C$11),OR($C$12&lt;&gt;"Ya",K252&lt;&gt;""),OR($C$13="Semua",$C$13="",L252=$C$13)),"✓","")</f>
        <v/>
      </c>
      <c r="N252" s="93">
        <f>N(N251)+IF(M252="✓",1,0)</f>
        <v/>
      </c>
      <c r="O252" s="93">
        <f>N(O251)+IF(AND(B252&lt;&gt;"",B252&gt;='Uang Riba'!$H$30,B252&lt;='Uang Riba'!$I$30,OR(H252="Dana riba",H252="Pinjam uang riba",I252="Pinjam dari uang riba",I252="Ganti uang riba",I252="Kelebihan ganti dikembalikan",AND(C252="Kantong Uang Riba",G252="Pengeluaran"))),1,0)</f>
        <v/>
      </c>
      <c r="P252" s="119">
        <f>IF(248&gt;MAX($N$16:$N$5015),"",INDEX($B$16:$B$5015,MATCH((MAX($N$16:$N$5015)-248+1),$N$16:$N$5015,0)))</f>
        <v/>
      </c>
      <c r="Q252" s="105">
        <f>IF(248&gt;MAX($N$16:$N$5015),"",INDEX($C$16:$C$5015,MATCH((MAX($N$16:$N$5015)-248+1),$N$16:$N$5015,0)))&amp;IF(IF(248&gt;MAX($N$16:$N$5015),"",INDEX($E$16:$E$5015,MATCH((MAX($N$16:$N$5015)-248+1),$N$16:$N$5015,0)))="",""," → "&amp;IF(248&gt;MAX($N$16:$N$5015),"",INDEX($E$16:$E$5015,MATCH((MAX($N$16:$N$5015)-248+1),$N$16:$N$5015,0))))</f>
        <v/>
      </c>
      <c r="R252" s="105">
        <f>IF(248&gt;MAX($N$16:$N$5015),"",INDEX($D$16:$D$5015,MATCH((MAX($N$16:$N$5015)-248+1),$N$16:$N$5015,0)))</f>
        <v/>
      </c>
      <c r="S252" s="113">
        <f>IF(248&gt;MAX($N$16:$N$5015),"",INDEX($F$16:$F$5015,MATCH((MAX($N$16:$N$5015)-248+1),$N$16:$N$5015,0)))</f>
        <v/>
      </c>
      <c r="T252" s="105">
        <f>IF(248&gt;MAX($N$16:$N$5015),"",IF(248&gt;MAX($N$16:$N$5015),"",INDEX($G$16:$G$5015,MATCH((MAX($N$16:$N$5015)-248+1),$N$16:$N$5015,0)))&amp;" › "&amp;IF(248&gt;MAX($N$16:$N$5015),"",INDEX($H$16:$H$5015,MATCH((MAX($N$16:$N$5015)-248+1),$N$16:$N$5015,0)))&amp;" › "&amp;IF(248&gt;MAX($N$16:$N$5015),"",INDEX($I$16:$I$5015,MATCH((MAX($N$16:$N$5015)-248+1),$N$16:$N$5015,0))))</f>
        <v/>
      </c>
      <c r="U252" s="105">
        <f>IF(248&gt;MAX($N$16:$N$5015),"",INDEX($J$16:$J$5015,MATCH((MAX($N$16:$N$5015)-248+1),$N$16:$N$5015,0)))&amp;IF(IF(248&gt;MAX($N$16:$N$5015),"",INDEX($L$16:$L$5015,MATCH((MAX($N$16:$N$5015)-248+1),$N$16:$N$5015,0)))="",""," ["&amp;IF(248&gt;MAX($N$16:$N$5015),"",INDEX($L$16:$L$5015,MATCH((MAX($N$16:$N$5015)-248+1),$N$16:$N$5015,0)))&amp;"]")</f>
        <v/>
      </c>
      <c r="V252" s="120">
        <f>IF(248&gt;MAX($N$16:$N$5015),"",HYPERLINK("#Transaksi!B"&amp;(MATCH((MAX($N$16:$N$5015)-248+1),$N$16:$N$5015,0)+15),"Buka"))</f>
        <v/>
      </c>
      <c r="X252" s="93">
        <f>IF(AND(B252&lt;&gt;"",B252&gt;='Buku Akun'!$H$4,B252&lt;='Buku Akun'!$H$5,OR(C252='Buku Akun'!$C$4,AND(D252="Pindah",E252='Buku Akun'!$C$4))),B252+IF(AND(I252="Selisih bunga",DAY(B252)=1),0,0.01)+ROW()/10000000,"")</f>
        <v/>
      </c>
    </row>
    <row r="253" outlineLevel="1" ht="15" customHeight="1" s="94">
      <c r="A253" s="123">
        <f>IF(B253="","",ROW()-15)</f>
        <v/>
      </c>
      <c r="B253" s="124" t="n"/>
      <c r="C253" s="123" t="n"/>
      <c r="D253" s="123" t="n"/>
      <c r="E253" s="123" t="n"/>
      <c r="F253" s="125" t="n"/>
      <c r="G253" s="123" t="n"/>
      <c r="H253" s="123" t="n"/>
      <c r="I253" s="123" t="n"/>
      <c r="J253" s="123" t="n"/>
      <c r="K253" s="123" t="n"/>
      <c r="L253" s="123" t="n"/>
      <c r="M253" s="123">
        <f>IF(AND(B253&lt;&gt;"",OR($C$4="",ISNUMBER(SEARCH($C$4,C253&amp;" "&amp;E253&amp;" "&amp;G253&amp;" "&amp;H253&amp;" "&amp;I253&amp;" "&amp;J253&amp;" "&amp;K253&amp;" "&amp;L253))),OR($C$5="Semua",$C$5="",G253=$C$5),OR($C$6="Semua",$C$6="",H253=$C$6,H253="Pengeluaran "&amp;$C$6,AND($C$6="Uang Kos Mama",H253="Pengeluaran Uang Kos")),OR($C$7="Semua",$C$7="",I253=$C$7),OR($C$8="Semua",$C$8="",C253=$C$8,E253=$C$8),OR($C$9="Semua",$C$9="",D253=$C$9),OR($C$10="",B253&gt;=$C$10),OR($C$11="",B253&lt;=$C$11),OR($C$12&lt;&gt;"Ya",K253&lt;&gt;""),OR($C$13="Semua",$C$13="",L253=$C$13)),"✓","")</f>
        <v/>
      </c>
      <c r="N253" s="93">
        <f>N(N252)+IF(M253="✓",1,0)</f>
        <v/>
      </c>
      <c r="O253" s="93">
        <f>N(O252)+IF(AND(B253&lt;&gt;"",B253&gt;='Uang Riba'!$H$30,B253&lt;='Uang Riba'!$I$30,OR(H253="Dana riba",H253="Pinjam uang riba",I253="Pinjam dari uang riba",I253="Ganti uang riba",I253="Kelebihan ganti dikembalikan",AND(C253="Kantong Uang Riba",G253="Pengeluaran"))),1,0)</f>
        <v/>
      </c>
      <c r="P253" s="119">
        <f>IF(249&gt;MAX($N$16:$N$5015),"",INDEX($B$16:$B$5015,MATCH((MAX($N$16:$N$5015)-249+1),$N$16:$N$5015,0)))</f>
        <v/>
      </c>
      <c r="Q253" s="105">
        <f>IF(249&gt;MAX($N$16:$N$5015),"",INDEX($C$16:$C$5015,MATCH((MAX($N$16:$N$5015)-249+1),$N$16:$N$5015,0)))&amp;IF(IF(249&gt;MAX($N$16:$N$5015),"",INDEX($E$16:$E$5015,MATCH((MAX($N$16:$N$5015)-249+1),$N$16:$N$5015,0)))="",""," → "&amp;IF(249&gt;MAX($N$16:$N$5015),"",INDEX($E$16:$E$5015,MATCH((MAX($N$16:$N$5015)-249+1),$N$16:$N$5015,0))))</f>
        <v/>
      </c>
      <c r="R253" s="105">
        <f>IF(249&gt;MAX($N$16:$N$5015),"",INDEX($D$16:$D$5015,MATCH((MAX($N$16:$N$5015)-249+1),$N$16:$N$5015,0)))</f>
        <v/>
      </c>
      <c r="S253" s="113">
        <f>IF(249&gt;MAX($N$16:$N$5015),"",INDEX($F$16:$F$5015,MATCH((MAX($N$16:$N$5015)-249+1),$N$16:$N$5015,0)))</f>
        <v/>
      </c>
      <c r="T253" s="105">
        <f>IF(249&gt;MAX($N$16:$N$5015),"",IF(249&gt;MAX($N$16:$N$5015),"",INDEX($G$16:$G$5015,MATCH((MAX($N$16:$N$5015)-249+1),$N$16:$N$5015,0)))&amp;" › "&amp;IF(249&gt;MAX($N$16:$N$5015),"",INDEX($H$16:$H$5015,MATCH((MAX($N$16:$N$5015)-249+1),$N$16:$N$5015,0)))&amp;" › "&amp;IF(249&gt;MAX($N$16:$N$5015),"",INDEX($I$16:$I$5015,MATCH((MAX($N$16:$N$5015)-249+1),$N$16:$N$5015,0))))</f>
        <v/>
      </c>
      <c r="U253" s="105">
        <f>IF(249&gt;MAX($N$16:$N$5015),"",INDEX($J$16:$J$5015,MATCH((MAX($N$16:$N$5015)-249+1),$N$16:$N$5015,0)))&amp;IF(IF(249&gt;MAX($N$16:$N$5015),"",INDEX($L$16:$L$5015,MATCH((MAX($N$16:$N$5015)-249+1),$N$16:$N$5015,0)))="",""," ["&amp;IF(249&gt;MAX($N$16:$N$5015),"",INDEX($L$16:$L$5015,MATCH((MAX($N$16:$N$5015)-249+1),$N$16:$N$5015,0)))&amp;"]")</f>
        <v/>
      </c>
      <c r="V253" s="120">
        <f>IF(249&gt;MAX($N$16:$N$5015),"",HYPERLINK("#Transaksi!B"&amp;(MATCH((MAX($N$16:$N$5015)-249+1),$N$16:$N$5015,0)+15),"Buka"))</f>
        <v/>
      </c>
      <c r="X253" s="93">
        <f>IF(AND(B253&lt;&gt;"",B253&gt;='Buku Akun'!$H$4,B253&lt;='Buku Akun'!$H$5,OR(C253='Buku Akun'!$C$4,AND(D253="Pindah",E253='Buku Akun'!$C$4))),B253+IF(AND(I253="Selisih bunga",DAY(B253)=1),0,0.01)+ROW()/10000000,"")</f>
        <v/>
      </c>
    </row>
    <row r="254" outlineLevel="1" ht="15" customHeight="1" s="94">
      <c r="A254" s="123">
        <f>IF(B254="","",ROW()-15)</f>
        <v/>
      </c>
      <c r="B254" s="124" t="n"/>
      <c r="C254" s="123" t="n"/>
      <c r="D254" s="123" t="n"/>
      <c r="E254" s="123" t="n"/>
      <c r="F254" s="125" t="n"/>
      <c r="G254" s="123" t="n"/>
      <c r="H254" s="123" t="n"/>
      <c r="I254" s="123" t="n"/>
      <c r="J254" s="123" t="n"/>
      <c r="K254" s="123" t="n"/>
      <c r="L254" s="123" t="n"/>
      <c r="M254" s="123">
        <f>IF(AND(B254&lt;&gt;"",OR($C$4="",ISNUMBER(SEARCH($C$4,C254&amp;" "&amp;E254&amp;" "&amp;G254&amp;" "&amp;H254&amp;" "&amp;I254&amp;" "&amp;J254&amp;" "&amp;K254&amp;" "&amp;L254))),OR($C$5="Semua",$C$5="",G254=$C$5),OR($C$6="Semua",$C$6="",H254=$C$6,H254="Pengeluaran "&amp;$C$6,AND($C$6="Uang Kos Mama",H254="Pengeluaran Uang Kos")),OR($C$7="Semua",$C$7="",I254=$C$7),OR($C$8="Semua",$C$8="",C254=$C$8,E254=$C$8),OR($C$9="Semua",$C$9="",D254=$C$9),OR($C$10="",B254&gt;=$C$10),OR($C$11="",B254&lt;=$C$11),OR($C$12&lt;&gt;"Ya",K254&lt;&gt;""),OR($C$13="Semua",$C$13="",L254=$C$13)),"✓","")</f>
        <v/>
      </c>
      <c r="N254" s="93">
        <f>N(N253)+IF(M254="✓",1,0)</f>
        <v/>
      </c>
      <c r="O254" s="93">
        <f>N(O253)+IF(AND(B254&lt;&gt;"",B254&gt;='Uang Riba'!$H$30,B254&lt;='Uang Riba'!$I$30,OR(H254="Dana riba",H254="Pinjam uang riba",I254="Pinjam dari uang riba",I254="Ganti uang riba",I254="Kelebihan ganti dikembalikan",AND(C254="Kantong Uang Riba",G254="Pengeluaran"))),1,0)</f>
        <v/>
      </c>
      <c r="P254" s="119">
        <f>IF(250&gt;MAX($N$16:$N$5015),"",INDEX($B$16:$B$5015,MATCH((MAX($N$16:$N$5015)-250+1),$N$16:$N$5015,0)))</f>
        <v/>
      </c>
      <c r="Q254" s="105">
        <f>IF(250&gt;MAX($N$16:$N$5015),"",INDEX($C$16:$C$5015,MATCH((MAX($N$16:$N$5015)-250+1),$N$16:$N$5015,0)))&amp;IF(IF(250&gt;MAX($N$16:$N$5015),"",INDEX($E$16:$E$5015,MATCH((MAX($N$16:$N$5015)-250+1),$N$16:$N$5015,0)))="",""," → "&amp;IF(250&gt;MAX($N$16:$N$5015),"",INDEX($E$16:$E$5015,MATCH((MAX($N$16:$N$5015)-250+1),$N$16:$N$5015,0))))</f>
        <v/>
      </c>
      <c r="R254" s="105">
        <f>IF(250&gt;MAX($N$16:$N$5015),"",INDEX($D$16:$D$5015,MATCH((MAX($N$16:$N$5015)-250+1),$N$16:$N$5015,0)))</f>
        <v/>
      </c>
      <c r="S254" s="113">
        <f>IF(250&gt;MAX($N$16:$N$5015),"",INDEX($F$16:$F$5015,MATCH((MAX($N$16:$N$5015)-250+1),$N$16:$N$5015,0)))</f>
        <v/>
      </c>
      <c r="T254" s="105">
        <f>IF(250&gt;MAX($N$16:$N$5015),"",IF(250&gt;MAX($N$16:$N$5015),"",INDEX($G$16:$G$5015,MATCH((MAX($N$16:$N$5015)-250+1),$N$16:$N$5015,0)))&amp;" › "&amp;IF(250&gt;MAX($N$16:$N$5015),"",INDEX($H$16:$H$5015,MATCH((MAX($N$16:$N$5015)-250+1),$N$16:$N$5015,0)))&amp;" › "&amp;IF(250&gt;MAX($N$16:$N$5015),"",INDEX($I$16:$I$5015,MATCH((MAX($N$16:$N$5015)-250+1),$N$16:$N$5015,0))))</f>
        <v/>
      </c>
      <c r="U254" s="105">
        <f>IF(250&gt;MAX($N$16:$N$5015),"",INDEX($J$16:$J$5015,MATCH((MAX($N$16:$N$5015)-250+1),$N$16:$N$5015,0)))&amp;IF(IF(250&gt;MAX($N$16:$N$5015),"",INDEX($L$16:$L$5015,MATCH((MAX($N$16:$N$5015)-250+1),$N$16:$N$5015,0)))="",""," ["&amp;IF(250&gt;MAX($N$16:$N$5015),"",INDEX($L$16:$L$5015,MATCH((MAX($N$16:$N$5015)-250+1),$N$16:$N$5015,0)))&amp;"]")</f>
        <v/>
      </c>
      <c r="V254" s="120">
        <f>IF(250&gt;MAX($N$16:$N$5015),"",HYPERLINK("#Transaksi!B"&amp;(MATCH((MAX($N$16:$N$5015)-250+1),$N$16:$N$5015,0)+15),"Buka"))</f>
        <v/>
      </c>
      <c r="X254" s="93">
        <f>IF(AND(B254&lt;&gt;"",B254&gt;='Buku Akun'!$H$4,B254&lt;='Buku Akun'!$H$5,OR(C254='Buku Akun'!$C$4,AND(D254="Pindah",E254='Buku Akun'!$C$4))),B254+IF(AND(I254="Selisih bunga",DAY(B254)=1),0,0.01)+ROW()/10000000,"")</f>
        <v/>
      </c>
    </row>
    <row r="255" outlineLevel="1" ht="15" customHeight="1" s="94">
      <c r="A255" s="123">
        <f>IF(B255="","",ROW()-15)</f>
        <v/>
      </c>
      <c r="B255" s="124" t="n"/>
      <c r="C255" s="123" t="n"/>
      <c r="D255" s="123" t="n"/>
      <c r="E255" s="123" t="n"/>
      <c r="F255" s="125" t="n"/>
      <c r="G255" s="123" t="n"/>
      <c r="H255" s="123" t="n"/>
      <c r="I255" s="123" t="n"/>
      <c r="J255" s="123" t="n"/>
      <c r="K255" s="123" t="n"/>
      <c r="L255" s="123" t="n"/>
      <c r="M255" s="123">
        <f>IF(AND(B255&lt;&gt;"",OR($C$4="",ISNUMBER(SEARCH($C$4,C255&amp;" "&amp;E255&amp;" "&amp;G255&amp;" "&amp;H255&amp;" "&amp;I255&amp;" "&amp;J255&amp;" "&amp;K255&amp;" "&amp;L255))),OR($C$5="Semua",$C$5="",G255=$C$5),OR($C$6="Semua",$C$6="",H255=$C$6,H255="Pengeluaran "&amp;$C$6,AND($C$6="Uang Kos Mama",H255="Pengeluaran Uang Kos")),OR($C$7="Semua",$C$7="",I255=$C$7),OR($C$8="Semua",$C$8="",C255=$C$8,E255=$C$8),OR($C$9="Semua",$C$9="",D255=$C$9),OR($C$10="",B255&gt;=$C$10),OR($C$11="",B255&lt;=$C$11),OR($C$12&lt;&gt;"Ya",K255&lt;&gt;""),OR($C$13="Semua",$C$13="",L255=$C$13)),"✓","")</f>
        <v/>
      </c>
      <c r="N255" s="93">
        <f>N(N254)+IF(M255="✓",1,0)</f>
        <v/>
      </c>
      <c r="O255" s="93">
        <f>N(O254)+IF(AND(B255&lt;&gt;"",B255&gt;='Uang Riba'!$H$30,B255&lt;='Uang Riba'!$I$30,OR(H255="Dana riba",H255="Pinjam uang riba",I255="Pinjam dari uang riba",I255="Ganti uang riba",I255="Kelebihan ganti dikembalikan",AND(C255="Kantong Uang Riba",G255="Pengeluaran"))),1,0)</f>
        <v/>
      </c>
      <c r="P255" s="119">
        <f>IF(251&gt;MAX($N$16:$N$5015),"",INDEX($B$16:$B$5015,MATCH((MAX($N$16:$N$5015)-251+1),$N$16:$N$5015,0)))</f>
        <v/>
      </c>
      <c r="Q255" s="105">
        <f>IF(251&gt;MAX($N$16:$N$5015),"",INDEX($C$16:$C$5015,MATCH((MAX($N$16:$N$5015)-251+1),$N$16:$N$5015,0)))&amp;IF(IF(251&gt;MAX($N$16:$N$5015),"",INDEX($E$16:$E$5015,MATCH((MAX($N$16:$N$5015)-251+1),$N$16:$N$5015,0)))="",""," → "&amp;IF(251&gt;MAX($N$16:$N$5015),"",INDEX($E$16:$E$5015,MATCH((MAX($N$16:$N$5015)-251+1),$N$16:$N$5015,0))))</f>
        <v/>
      </c>
      <c r="R255" s="105">
        <f>IF(251&gt;MAX($N$16:$N$5015),"",INDEX($D$16:$D$5015,MATCH((MAX($N$16:$N$5015)-251+1),$N$16:$N$5015,0)))</f>
        <v/>
      </c>
      <c r="S255" s="113">
        <f>IF(251&gt;MAX($N$16:$N$5015),"",INDEX($F$16:$F$5015,MATCH((MAX($N$16:$N$5015)-251+1),$N$16:$N$5015,0)))</f>
        <v/>
      </c>
      <c r="T255" s="105">
        <f>IF(251&gt;MAX($N$16:$N$5015),"",IF(251&gt;MAX($N$16:$N$5015),"",INDEX($G$16:$G$5015,MATCH((MAX($N$16:$N$5015)-251+1),$N$16:$N$5015,0)))&amp;" › "&amp;IF(251&gt;MAX($N$16:$N$5015),"",INDEX($H$16:$H$5015,MATCH((MAX($N$16:$N$5015)-251+1),$N$16:$N$5015,0)))&amp;" › "&amp;IF(251&gt;MAX($N$16:$N$5015),"",INDEX($I$16:$I$5015,MATCH((MAX($N$16:$N$5015)-251+1),$N$16:$N$5015,0))))</f>
        <v/>
      </c>
      <c r="U255" s="105">
        <f>IF(251&gt;MAX($N$16:$N$5015),"",INDEX($J$16:$J$5015,MATCH((MAX($N$16:$N$5015)-251+1),$N$16:$N$5015,0)))&amp;IF(IF(251&gt;MAX($N$16:$N$5015),"",INDEX($L$16:$L$5015,MATCH((MAX($N$16:$N$5015)-251+1),$N$16:$N$5015,0)))="",""," ["&amp;IF(251&gt;MAX($N$16:$N$5015),"",INDEX($L$16:$L$5015,MATCH((MAX($N$16:$N$5015)-251+1),$N$16:$N$5015,0)))&amp;"]")</f>
        <v/>
      </c>
      <c r="V255" s="120">
        <f>IF(251&gt;MAX($N$16:$N$5015),"",HYPERLINK("#Transaksi!B"&amp;(MATCH((MAX($N$16:$N$5015)-251+1),$N$16:$N$5015,0)+15),"Buka"))</f>
        <v/>
      </c>
      <c r="X255" s="93">
        <f>IF(AND(B255&lt;&gt;"",B255&gt;='Buku Akun'!$H$4,B255&lt;='Buku Akun'!$H$5,OR(C255='Buku Akun'!$C$4,AND(D255="Pindah",E255='Buku Akun'!$C$4))),B255+IF(AND(I255="Selisih bunga",DAY(B255)=1),0,0.01)+ROW()/10000000,"")</f>
        <v/>
      </c>
    </row>
    <row r="256" outlineLevel="1" ht="15" customHeight="1" s="94">
      <c r="A256" s="123">
        <f>IF(B256="","",ROW()-15)</f>
        <v/>
      </c>
      <c r="B256" s="124" t="n"/>
      <c r="C256" s="123" t="n"/>
      <c r="D256" s="123" t="n"/>
      <c r="E256" s="123" t="n"/>
      <c r="F256" s="125" t="n"/>
      <c r="G256" s="123" t="n"/>
      <c r="H256" s="123" t="n"/>
      <c r="I256" s="123" t="n"/>
      <c r="J256" s="123" t="n"/>
      <c r="K256" s="123" t="n"/>
      <c r="L256" s="123" t="n"/>
      <c r="M256" s="123">
        <f>IF(AND(B256&lt;&gt;"",OR($C$4="",ISNUMBER(SEARCH($C$4,C256&amp;" "&amp;E256&amp;" "&amp;G256&amp;" "&amp;H256&amp;" "&amp;I256&amp;" "&amp;J256&amp;" "&amp;K256&amp;" "&amp;L256))),OR($C$5="Semua",$C$5="",G256=$C$5),OR($C$6="Semua",$C$6="",H256=$C$6,H256="Pengeluaran "&amp;$C$6,AND($C$6="Uang Kos Mama",H256="Pengeluaran Uang Kos")),OR($C$7="Semua",$C$7="",I256=$C$7),OR($C$8="Semua",$C$8="",C256=$C$8,E256=$C$8),OR($C$9="Semua",$C$9="",D256=$C$9),OR($C$10="",B256&gt;=$C$10),OR($C$11="",B256&lt;=$C$11),OR($C$12&lt;&gt;"Ya",K256&lt;&gt;""),OR($C$13="Semua",$C$13="",L256=$C$13)),"✓","")</f>
        <v/>
      </c>
      <c r="N256" s="93">
        <f>N(N255)+IF(M256="✓",1,0)</f>
        <v/>
      </c>
      <c r="O256" s="93">
        <f>N(O255)+IF(AND(B256&lt;&gt;"",B256&gt;='Uang Riba'!$H$30,B256&lt;='Uang Riba'!$I$30,OR(H256="Dana riba",H256="Pinjam uang riba",I256="Pinjam dari uang riba",I256="Ganti uang riba",I256="Kelebihan ganti dikembalikan",AND(C256="Kantong Uang Riba",G256="Pengeluaran"))),1,0)</f>
        <v/>
      </c>
      <c r="P256" s="119">
        <f>IF(252&gt;MAX($N$16:$N$5015),"",INDEX($B$16:$B$5015,MATCH((MAX($N$16:$N$5015)-252+1),$N$16:$N$5015,0)))</f>
        <v/>
      </c>
      <c r="Q256" s="105">
        <f>IF(252&gt;MAX($N$16:$N$5015),"",INDEX($C$16:$C$5015,MATCH((MAX($N$16:$N$5015)-252+1),$N$16:$N$5015,0)))&amp;IF(IF(252&gt;MAX($N$16:$N$5015),"",INDEX($E$16:$E$5015,MATCH((MAX($N$16:$N$5015)-252+1),$N$16:$N$5015,0)))="",""," → "&amp;IF(252&gt;MAX($N$16:$N$5015),"",INDEX($E$16:$E$5015,MATCH((MAX($N$16:$N$5015)-252+1),$N$16:$N$5015,0))))</f>
        <v/>
      </c>
      <c r="R256" s="105">
        <f>IF(252&gt;MAX($N$16:$N$5015),"",INDEX($D$16:$D$5015,MATCH((MAX($N$16:$N$5015)-252+1),$N$16:$N$5015,0)))</f>
        <v/>
      </c>
      <c r="S256" s="113">
        <f>IF(252&gt;MAX($N$16:$N$5015),"",INDEX($F$16:$F$5015,MATCH((MAX($N$16:$N$5015)-252+1),$N$16:$N$5015,0)))</f>
        <v/>
      </c>
      <c r="T256" s="105">
        <f>IF(252&gt;MAX($N$16:$N$5015),"",IF(252&gt;MAX($N$16:$N$5015),"",INDEX($G$16:$G$5015,MATCH((MAX($N$16:$N$5015)-252+1),$N$16:$N$5015,0)))&amp;" › "&amp;IF(252&gt;MAX($N$16:$N$5015),"",INDEX($H$16:$H$5015,MATCH((MAX($N$16:$N$5015)-252+1),$N$16:$N$5015,0)))&amp;" › "&amp;IF(252&gt;MAX($N$16:$N$5015),"",INDEX($I$16:$I$5015,MATCH((MAX($N$16:$N$5015)-252+1),$N$16:$N$5015,0))))</f>
        <v/>
      </c>
      <c r="U256" s="105">
        <f>IF(252&gt;MAX($N$16:$N$5015),"",INDEX($J$16:$J$5015,MATCH((MAX($N$16:$N$5015)-252+1),$N$16:$N$5015,0)))&amp;IF(IF(252&gt;MAX($N$16:$N$5015),"",INDEX($L$16:$L$5015,MATCH((MAX($N$16:$N$5015)-252+1),$N$16:$N$5015,0)))="",""," ["&amp;IF(252&gt;MAX($N$16:$N$5015),"",INDEX($L$16:$L$5015,MATCH((MAX($N$16:$N$5015)-252+1),$N$16:$N$5015,0)))&amp;"]")</f>
        <v/>
      </c>
      <c r="V256" s="120">
        <f>IF(252&gt;MAX($N$16:$N$5015),"",HYPERLINK("#Transaksi!B"&amp;(MATCH((MAX($N$16:$N$5015)-252+1),$N$16:$N$5015,0)+15),"Buka"))</f>
        <v/>
      </c>
      <c r="X256" s="93">
        <f>IF(AND(B256&lt;&gt;"",B256&gt;='Buku Akun'!$H$4,B256&lt;='Buku Akun'!$H$5,OR(C256='Buku Akun'!$C$4,AND(D256="Pindah",E256='Buku Akun'!$C$4))),B256+IF(AND(I256="Selisih bunga",DAY(B256)=1),0,0.01)+ROW()/10000000,"")</f>
        <v/>
      </c>
    </row>
    <row r="257" outlineLevel="1" ht="15" customHeight="1" s="94">
      <c r="A257" s="123">
        <f>IF(B257="","",ROW()-15)</f>
        <v/>
      </c>
      <c r="B257" s="124" t="n"/>
      <c r="C257" s="123" t="n"/>
      <c r="D257" s="123" t="n"/>
      <c r="E257" s="123" t="n"/>
      <c r="F257" s="125" t="n"/>
      <c r="G257" s="123" t="n"/>
      <c r="H257" s="123" t="n"/>
      <c r="I257" s="123" t="n"/>
      <c r="J257" s="123" t="n"/>
      <c r="K257" s="123" t="n"/>
      <c r="L257" s="123" t="n"/>
      <c r="M257" s="123">
        <f>IF(AND(B257&lt;&gt;"",OR($C$4="",ISNUMBER(SEARCH($C$4,C257&amp;" "&amp;E257&amp;" "&amp;G257&amp;" "&amp;H257&amp;" "&amp;I257&amp;" "&amp;J257&amp;" "&amp;K257&amp;" "&amp;L257))),OR($C$5="Semua",$C$5="",G257=$C$5),OR($C$6="Semua",$C$6="",H257=$C$6,H257="Pengeluaran "&amp;$C$6,AND($C$6="Uang Kos Mama",H257="Pengeluaran Uang Kos")),OR($C$7="Semua",$C$7="",I257=$C$7),OR($C$8="Semua",$C$8="",C257=$C$8,E257=$C$8),OR($C$9="Semua",$C$9="",D257=$C$9),OR($C$10="",B257&gt;=$C$10),OR($C$11="",B257&lt;=$C$11),OR($C$12&lt;&gt;"Ya",K257&lt;&gt;""),OR($C$13="Semua",$C$13="",L257=$C$13)),"✓","")</f>
        <v/>
      </c>
      <c r="N257" s="93">
        <f>N(N256)+IF(M257="✓",1,0)</f>
        <v/>
      </c>
      <c r="O257" s="93">
        <f>N(O256)+IF(AND(B257&lt;&gt;"",B257&gt;='Uang Riba'!$H$30,B257&lt;='Uang Riba'!$I$30,OR(H257="Dana riba",H257="Pinjam uang riba",I257="Pinjam dari uang riba",I257="Ganti uang riba",I257="Kelebihan ganti dikembalikan",AND(C257="Kantong Uang Riba",G257="Pengeluaran"))),1,0)</f>
        <v/>
      </c>
      <c r="P257" s="119">
        <f>IF(253&gt;MAX($N$16:$N$5015),"",INDEX($B$16:$B$5015,MATCH((MAX($N$16:$N$5015)-253+1),$N$16:$N$5015,0)))</f>
        <v/>
      </c>
      <c r="Q257" s="105">
        <f>IF(253&gt;MAX($N$16:$N$5015),"",INDEX($C$16:$C$5015,MATCH((MAX($N$16:$N$5015)-253+1),$N$16:$N$5015,0)))&amp;IF(IF(253&gt;MAX($N$16:$N$5015),"",INDEX($E$16:$E$5015,MATCH((MAX($N$16:$N$5015)-253+1),$N$16:$N$5015,0)))="",""," → "&amp;IF(253&gt;MAX($N$16:$N$5015),"",INDEX($E$16:$E$5015,MATCH((MAX($N$16:$N$5015)-253+1),$N$16:$N$5015,0))))</f>
        <v/>
      </c>
      <c r="R257" s="105">
        <f>IF(253&gt;MAX($N$16:$N$5015),"",INDEX($D$16:$D$5015,MATCH((MAX($N$16:$N$5015)-253+1),$N$16:$N$5015,0)))</f>
        <v/>
      </c>
      <c r="S257" s="113">
        <f>IF(253&gt;MAX($N$16:$N$5015),"",INDEX($F$16:$F$5015,MATCH((MAX($N$16:$N$5015)-253+1),$N$16:$N$5015,0)))</f>
        <v/>
      </c>
      <c r="T257" s="105">
        <f>IF(253&gt;MAX($N$16:$N$5015),"",IF(253&gt;MAX($N$16:$N$5015),"",INDEX($G$16:$G$5015,MATCH((MAX($N$16:$N$5015)-253+1),$N$16:$N$5015,0)))&amp;" › "&amp;IF(253&gt;MAX($N$16:$N$5015),"",INDEX($H$16:$H$5015,MATCH((MAX($N$16:$N$5015)-253+1),$N$16:$N$5015,0)))&amp;" › "&amp;IF(253&gt;MAX($N$16:$N$5015),"",INDEX($I$16:$I$5015,MATCH((MAX($N$16:$N$5015)-253+1),$N$16:$N$5015,0))))</f>
        <v/>
      </c>
      <c r="U257" s="105">
        <f>IF(253&gt;MAX($N$16:$N$5015),"",INDEX($J$16:$J$5015,MATCH((MAX($N$16:$N$5015)-253+1),$N$16:$N$5015,0)))&amp;IF(IF(253&gt;MAX($N$16:$N$5015),"",INDEX($L$16:$L$5015,MATCH((MAX($N$16:$N$5015)-253+1),$N$16:$N$5015,0)))="",""," ["&amp;IF(253&gt;MAX($N$16:$N$5015),"",INDEX($L$16:$L$5015,MATCH((MAX($N$16:$N$5015)-253+1),$N$16:$N$5015,0)))&amp;"]")</f>
        <v/>
      </c>
      <c r="V257" s="120">
        <f>IF(253&gt;MAX($N$16:$N$5015),"",HYPERLINK("#Transaksi!B"&amp;(MATCH((MAX($N$16:$N$5015)-253+1),$N$16:$N$5015,0)+15),"Buka"))</f>
        <v/>
      </c>
      <c r="X257" s="93">
        <f>IF(AND(B257&lt;&gt;"",B257&gt;='Buku Akun'!$H$4,B257&lt;='Buku Akun'!$H$5,OR(C257='Buku Akun'!$C$4,AND(D257="Pindah",E257='Buku Akun'!$C$4))),B257+IF(AND(I257="Selisih bunga",DAY(B257)=1),0,0.01)+ROW()/10000000,"")</f>
        <v/>
      </c>
    </row>
    <row r="258" outlineLevel="1" ht="15" customHeight="1" s="94">
      <c r="A258" s="123">
        <f>IF(B258="","",ROW()-15)</f>
        <v/>
      </c>
      <c r="B258" s="124" t="n"/>
      <c r="C258" s="123" t="n"/>
      <c r="D258" s="123" t="n"/>
      <c r="E258" s="123" t="n"/>
      <c r="F258" s="125" t="n"/>
      <c r="G258" s="123" t="n"/>
      <c r="H258" s="123" t="n"/>
      <c r="I258" s="123" t="n"/>
      <c r="J258" s="123" t="n"/>
      <c r="K258" s="123" t="n"/>
      <c r="L258" s="123" t="n"/>
      <c r="M258" s="123">
        <f>IF(AND(B258&lt;&gt;"",OR($C$4="",ISNUMBER(SEARCH($C$4,C258&amp;" "&amp;E258&amp;" "&amp;G258&amp;" "&amp;H258&amp;" "&amp;I258&amp;" "&amp;J258&amp;" "&amp;K258&amp;" "&amp;L258))),OR($C$5="Semua",$C$5="",G258=$C$5),OR($C$6="Semua",$C$6="",H258=$C$6,H258="Pengeluaran "&amp;$C$6,AND($C$6="Uang Kos Mama",H258="Pengeluaran Uang Kos")),OR($C$7="Semua",$C$7="",I258=$C$7),OR($C$8="Semua",$C$8="",C258=$C$8,E258=$C$8),OR($C$9="Semua",$C$9="",D258=$C$9),OR($C$10="",B258&gt;=$C$10),OR($C$11="",B258&lt;=$C$11),OR($C$12&lt;&gt;"Ya",K258&lt;&gt;""),OR($C$13="Semua",$C$13="",L258=$C$13)),"✓","")</f>
        <v/>
      </c>
      <c r="N258" s="93">
        <f>N(N257)+IF(M258="✓",1,0)</f>
        <v/>
      </c>
      <c r="O258" s="93">
        <f>N(O257)+IF(AND(B258&lt;&gt;"",B258&gt;='Uang Riba'!$H$30,B258&lt;='Uang Riba'!$I$30,OR(H258="Dana riba",H258="Pinjam uang riba",I258="Pinjam dari uang riba",I258="Ganti uang riba",I258="Kelebihan ganti dikembalikan",AND(C258="Kantong Uang Riba",G258="Pengeluaran"))),1,0)</f>
        <v/>
      </c>
      <c r="P258" s="119">
        <f>IF(254&gt;MAX($N$16:$N$5015),"",INDEX($B$16:$B$5015,MATCH((MAX($N$16:$N$5015)-254+1),$N$16:$N$5015,0)))</f>
        <v/>
      </c>
      <c r="Q258" s="105">
        <f>IF(254&gt;MAX($N$16:$N$5015),"",INDEX($C$16:$C$5015,MATCH((MAX($N$16:$N$5015)-254+1),$N$16:$N$5015,0)))&amp;IF(IF(254&gt;MAX($N$16:$N$5015),"",INDEX($E$16:$E$5015,MATCH((MAX($N$16:$N$5015)-254+1),$N$16:$N$5015,0)))="",""," → "&amp;IF(254&gt;MAX($N$16:$N$5015),"",INDEX($E$16:$E$5015,MATCH((MAX($N$16:$N$5015)-254+1),$N$16:$N$5015,0))))</f>
        <v/>
      </c>
      <c r="R258" s="105">
        <f>IF(254&gt;MAX($N$16:$N$5015),"",INDEX($D$16:$D$5015,MATCH((MAX($N$16:$N$5015)-254+1),$N$16:$N$5015,0)))</f>
        <v/>
      </c>
      <c r="S258" s="113">
        <f>IF(254&gt;MAX($N$16:$N$5015),"",INDEX($F$16:$F$5015,MATCH((MAX($N$16:$N$5015)-254+1),$N$16:$N$5015,0)))</f>
        <v/>
      </c>
      <c r="T258" s="105">
        <f>IF(254&gt;MAX($N$16:$N$5015),"",IF(254&gt;MAX($N$16:$N$5015),"",INDEX($G$16:$G$5015,MATCH((MAX($N$16:$N$5015)-254+1),$N$16:$N$5015,0)))&amp;" › "&amp;IF(254&gt;MAX($N$16:$N$5015),"",INDEX($H$16:$H$5015,MATCH((MAX($N$16:$N$5015)-254+1),$N$16:$N$5015,0)))&amp;" › "&amp;IF(254&gt;MAX($N$16:$N$5015),"",INDEX($I$16:$I$5015,MATCH((MAX($N$16:$N$5015)-254+1),$N$16:$N$5015,0))))</f>
        <v/>
      </c>
      <c r="U258" s="105">
        <f>IF(254&gt;MAX($N$16:$N$5015),"",INDEX($J$16:$J$5015,MATCH((MAX($N$16:$N$5015)-254+1),$N$16:$N$5015,0)))&amp;IF(IF(254&gt;MAX($N$16:$N$5015),"",INDEX($L$16:$L$5015,MATCH((MAX($N$16:$N$5015)-254+1),$N$16:$N$5015,0)))="",""," ["&amp;IF(254&gt;MAX($N$16:$N$5015),"",INDEX($L$16:$L$5015,MATCH((MAX($N$16:$N$5015)-254+1),$N$16:$N$5015,0)))&amp;"]")</f>
        <v/>
      </c>
      <c r="V258" s="120">
        <f>IF(254&gt;MAX($N$16:$N$5015),"",HYPERLINK("#Transaksi!B"&amp;(MATCH((MAX($N$16:$N$5015)-254+1),$N$16:$N$5015,0)+15),"Buka"))</f>
        <v/>
      </c>
      <c r="X258" s="93">
        <f>IF(AND(B258&lt;&gt;"",B258&gt;='Buku Akun'!$H$4,B258&lt;='Buku Akun'!$H$5,OR(C258='Buku Akun'!$C$4,AND(D258="Pindah",E258='Buku Akun'!$C$4))),B258+IF(AND(I258="Selisih bunga",DAY(B258)=1),0,0.01)+ROW()/10000000,"")</f>
        <v/>
      </c>
    </row>
    <row r="259" outlineLevel="1" ht="15" customHeight="1" s="94">
      <c r="A259" s="123">
        <f>IF(B259="","",ROW()-15)</f>
        <v/>
      </c>
      <c r="B259" s="124" t="n"/>
      <c r="C259" s="123" t="n"/>
      <c r="D259" s="123" t="n"/>
      <c r="E259" s="123" t="n"/>
      <c r="F259" s="125" t="n"/>
      <c r="G259" s="123" t="n"/>
      <c r="H259" s="123" t="n"/>
      <c r="I259" s="123" t="n"/>
      <c r="J259" s="123" t="n"/>
      <c r="K259" s="123" t="n"/>
      <c r="L259" s="123" t="n"/>
      <c r="M259" s="123">
        <f>IF(AND(B259&lt;&gt;"",OR($C$4="",ISNUMBER(SEARCH($C$4,C259&amp;" "&amp;E259&amp;" "&amp;G259&amp;" "&amp;H259&amp;" "&amp;I259&amp;" "&amp;J259&amp;" "&amp;K259&amp;" "&amp;L259))),OR($C$5="Semua",$C$5="",G259=$C$5),OR($C$6="Semua",$C$6="",H259=$C$6,H259="Pengeluaran "&amp;$C$6,AND($C$6="Uang Kos Mama",H259="Pengeluaran Uang Kos")),OR($C$7="Semua",$C$7="",I259=$C$7),OR($C$8="Semua",$C$8="",C259=$C$8,E259=$C$8),OR($C$9="Semua",$C$9="",D259=$C$9),OR($C$10="",B259&gt;=$C$10),OR($C$11="",B259&lt;=$C$11),OR($C$12&lt;&gt;"Ya",K259&lt;&gt;""),OR($C$13="Semua",$C$13="",L259=$C$13)),"✓","")</f>
        <v/>
      </c>
      <c r="N259" s="93">
        <f>N(N258)+IF(M259="✓",1,0)</f>
        <v/>
      </c>
      <c r="O259" s="93">
        <f>N(O258)+IF(AND(B259&lt;&gt;"",B259&gt;='Uang Riba'!$H$30,B259&lt;='Uang Riba'!$I$30,OR(H259="Dana riba",H259="Pinjam uang riba",I259="Pinjam dari uang riba",I259="Ganti uang riba",I259="Kelebihan ganti dikembalikan",AND(C259="Kantong Uang Riba",G259="Pengeluaran"))),1,0)</f>
        <v/>
      </c>
      <c r="P259" s="119">
        <f>IF(255&gt;MAX($N$16:$N$5015),"",INDEX($B$16:$B$5015,MATCH((MAX($N$16:$N$5015)-255+1),$N$16:$N$5015,0)))</f>
        <v/>
      </c>
      <c r="Q259" s="105">
        <f>IF(255&gt;MAX($N$16:$N$5015),"",INDEX($C$16:$C$5015,MATCH((MAX($N$16:$N$5015)-255+1),$N$16:$N$5015,0)))&amp;IF(IF(255&gt;MAX($N$16:$N$5015),"",INDEX($E$16:$E$5015,MATCH((MAX($N$16:$N$5015)-255+1),$N$16:$N$5015,0)))="",""," → "&amp;IF(255&gt;MAX($N$16:$N$5015),"",INDEX($E$16:$E$5015,MATCH((MAX($N$16:$N$5015)-255+1),$N$16:$N$5015,0))))</f>
        <v/>
      </c>
      <c r="R259" s="105">
        <f>IF(255&gt;MAX($N$16:$N$5015),"",INDEX($D$16:$D$5015,MATCH((MAX($N$16:$N$5015)-255+1),$N$16:$N$5015,0)))</f>
        <v/>
      </c>
      <c r="S259" s="113">
        <f>IF(255&gt;MAX($N$16:$N$5015),"",INDEX($F$16:$F$5015,MATCH((MAX($N$16:$N$5015)-255+1),$N$16:$N$5015,0)))</f>
        <v/>
      </c>
      <c r="T259" s="105">
        <f>IF(255&gt;MAX($N$16:$N$5015),"",IF(255&gt;MAX($N$16:$N$5015),"",INDEX($G$16:$G$5015,MATCH((MAX($N$16:$N$5015)-255+1),$N$16:$N$5015,0)))&amp;" › "&amp;IF(255&gt;MAX($N$16:$N$5015),"",INDEX($H$16:$H$5015,MATCH((MAX($N$16:$N$5015)-255+1),$N$16:$N$5015,0)))&amp;" › "&amp;IF(255&gt;MAX($N$16:$N$5015),"",INDEX($I$16:$I$5015,MATCH((MAX($N$16:$N$5015)-255+1),$N$16:$N$5015,0))))</f>
        <v/>
      </c>
      <c r="U259" s="105">
        <f>IF(255&gt;MAX($N$16:$N$5015),"",INDEX($J$16:$J$5015,MATCH((MAX($N$16:$N$5015)-255+1),$N$16:$N$5015,0)))&amp;IF(IF(255&gt;MAX($N$16:$N$5015),"",INDEX($L$16:$L$5015,MATCH((MAX($N$16:$N$5015)-255+1),$N$16:$N$5015,0)))="",""," ["&amp;IF(255&gt;MAX($N$16:$N$5015),"",INDEX($L$16:$L$5015,MATCH((MAX($N$16:$N$5015)-255+1),$N$16:$N$5015,0)))&amp;"]")</f>
        <v/>
      </c>
      <c r="V259" s="120">
        <f>IF(255&gt;MAX($N$16:$N$5015),"",HYPERLINK("#Transaksi!B"&amp;(MATCH((MAX($N$16:$N$5015)-255+1),$N$16:$N$5015,0)+15),"Buka"))</f>
        <v/>
      </c>
      <c r="X259" s="93">
        <f>IF(AND(B259&lt;&gt;"",B259&gt;='Buku Akun'!$H$4,B259&lt;='Buku Akun'!$H$5,OR(C259='Buku Akun'!$C$4,AND(D259="Pindah",E259='Buku Akun'!$C$4))),B259+IF(AND(I259="Selisih bunga",DAY(B259)=1),0,0.01)+ROW()/10000000,"")</f>
        <v/>
      </c>
    </row>
    <row r="260" outlineLevel="1" ht="15" customHeight="1" s="94">
      <c r="A260" s="123">
        <f>IF(B260="","",ROW()-15)</f>
        <v/>
      </c>
      <c r="B260" s="124" t="n"/>
      <c r="C260" s="123" t="n"/>
      <c r="D260" s="123" t="n"/>
      <c r="E260" s="123" t="n"/>
      <c r="F260" s="125" t="n"/>
      <c r="G260" s="123" t="n"/>
      <c r="H260" s="123" t="n"/>
      <c r="I260" s="123" t="n"/>
      <c r="J260" s="123" t="n"/>
      <c r="K260" s="123" t="n"/>
      <c r="L260" s="123" t="n"/>
      <c r="M260" s="123">
        <f>IF(AND(B260&lt;&gt;"",OR($C$4="",ISNUMBER(SEARCH($C$4,C260&amp;" "&amp;E260&amp;" "&amp;G260&amp;" "&amp;H260&amp;" "&amp;I260&amp;" "&amp;J260&amp;" "&amp;K260&amp;" "&amp;L260))),OR($C$5="Semua",$C$5="",G260=$C$5),OR($C$6="Semua",$C$6="",H260=$C$6,H260="Pengeluaran "&amp;$C$6,AND($C$6="Uang Kos Mama",H260="Pengeluaran Uang Kos")),OR($C$7="Semua",$C$7="",I260=$C$7),OR($C$8="Semua",$C$8="",C260=$C$8,E260=$C$8),OR($C$9="Semua",$C$9="",D260=$C$9),OR($C$10="",B260&gt;=$C$10),OR($C$11="",B260&lt;=$C$11),OR($C$12&lt;&gt;"Ya",K260&lt;&gt;""),OR($C$13="Semua",$C$13="",L260=$C$13)),"✓","")</f>
        <v/>
      </c>
      <c r="N260" s="93">
        <f>N(N259)+IF(M260="✓",1,0)</f>
        <v/>
      </c>
      <c r="O260" s="93">
        <f>N(O259)+IF(AND(B260&lt;&gt;"",B260&gt;='Uang Riba'!$H$30,B260&lt;='Uang Riba'!$I$30,OR(H260="Dana riba",H260="Pinjam uang riba",I260="Pinjam dari uang riba",I260="Ganti uang riba",I260="Kelebihan ganti dikembalikan",AND(C260="Kantong Uang Riba",G260="Pengeluaran"))),1,0)</f>
        <v/>
      </c>
      <c r="P260" s="119">
        <f>IF(256&gt;MAX($N$16:$N$5015),"",INDEX($B$16:$B$5015,MATCH((MAX($N$16:$N$5015)-256+1),$N$16:$N$5015,0)))</f>
        <v/>
      </c>
      <c r="Q260" s="105">
        <f>IF(256&gt;MAX($N$16:$N$5015),"",INDEX($C$16:$C$5015,MATCH((MAX($N$16:$N$5015)-256+1),$N$16:$N$5015,0)))&amp;IF(IF(256&gt;MAX($N$16:$N$5015),"",INDEX($E$16:$E$5015,MATCH((MAX($N$16:$N$5015)-256+1),$N$16:$N$5015,0)))="",""," → "&amp;IF(256&gt;MAX($N$16:$N$5015),"",INDEX($E$16:$E$5015,MATCH((MAX($N$16:$N$5015)-256+1),$N$16:$N$5015,0))))</f>
        <v/>
      </c>
      <c r="R260" s="105">
        <f>IF(256&gt;MAX($N$16:$N$5015),"",INDEX($D$16:$D$5015,MATCH((MAX($N$16:$N$5015)-256+1),$N$16:$N$5015,0)))</f>
        <v/>
      </c>
      <c r="S260" s="113">
        <f>IF(256&gt;MAX($N$16:$N$5015),"",INDEX($F$16:$F$5015,MATCH((MAX($N$16:$N$5015)-256+1),$N$16:$N$5015,0)))</f>
        <v/>
      </c>
      <c r="T260" s="105">
        <f>IF(256&gt;MAX($N$16:$N$5015),"",IF(256&gt;MAX($N$16:$N$5015),"",INDEX($G$16:$G$5015,MATCH((MAX($N$16:$N$5015)-256+1),$N$16:$N$5015,0)))&amp;" › "&amp;IF(256&gt;MAX($N$16:$N$5015),"",INDEX($H$16:$H$5015,MATCH((MAX($N$16:$N$5015)-256+1),$N$16:$N$5015,0)))&amp;" › "&amp;IF(256&gt;MAX($N$16:$N$5015),"",INDEX($I$16:$I$5015,MATCH((MAX($N$16:$N$5015)-256+1),$N$16:$N$5015,0))))</f>
        <v/>
      </c>
      <c r="U260" s="105">
        <f>IF(256&gt;MAX($N$16:$N$5015),"",INDEX($J$16:$J$5015,MATCH((MAX($N$16:$N$5015)-256+1),$N$16:$N$5015,0)))&amp;IF(IF(256&gt;MAX($N$16:$N$5015),"",INDEX($L$16:$L$5015,MATCH((MAX($N$16:$N$5015)-256+1),$N$16:$N$5015,0)))="",""," ["&amp;IF(256&gt;MAX($N$16:$N$5015),"",INDEX($L$16:$L$5015,MATCH((MAX($N$16:$N$5015)-256+1),$N$16:$N$5015,0)))&amp;"]")</f>
        <v/>
      </c>
      <c r="V260" s="120">
        <f>IF(256&gt;MAX($N$16:$N$5015),"",HYPERLINK("#Transaksi!B"&amp;(MATCH((MAX($N$16:$N$5015)-256+1),$N$16:$N$5015,0)+15),"Buka"))</f>
        <v/>
      </c>
      <c r="X260" s="93">
        <f>IF(AND(B260&lt;&gt;"",B260&gt;='Buku Akun'!$H$4,B260&lt;='Buku Akun'!$H$5,OR(C260='Buku Akun'!$C$4,AND(D260="Pindah",E260='Buku Akun'!$C$4))),B260+IF(AND(I260="Selisih bunga",DAY(B260)=1),0,0.01)+ROW()/10000000,"")</f>
        <v/>
      </c>
    </row>
    <row r="261" outlineLevel="1" ht="15" customHeight="1" s="94">
      <c r="A261" s="123">
        <f>IF(B261="","",ROW()-15)</f>
        <v/>
      </c>
      <c r="B261" s="124" t="n"/>
      <c r="C261" s="123" t="n"/>
      <c r="D261" s="123" t="n"/>
      <c r="E261" s="123" t="n"/>
      <c r="F261" s="125" t="n"/>
      <c r="G261" s="123" t="n"/>
      <c r="H261" s="123" t="n"/>
      <c r="I261" s="123" t="n"/>
      <c r="J261" s="123" t="n"/>
      <c r="K261" s="123" t="n"/>
      <c r="L261" s="123" t="n"/>
      <c r="M261" s="123">
        <f>IF(AND(B261&lt;&gt;"",OR($C$4="",ISNUMBER(SEARCH($C$4,C261&amp;" "&amp;E261&amp;" "&amp;G261&amp;" "&amp;H261&amp;" "&amp;I261&amp;" "&amp;J261&amp;" "&amp;K261&amp;" "&amp;L261))),OR($C$5="Semua",$C$5="",G261=$C$5),OR($C$6="Semua",$C$6="",H261=$C$6,H261="Pengeluaran "&amp;$C$6,AND($C$6="Uang Kos Mama",H261="Pengeluaran Uang Kos")),OR($C$7="Semua",$C$7="",I261=$C$7),OR($C$8="Semua",$C$8="",C261=$C$8,E261=$C$8),OR($C$9="Semua",$C$9="",D261=$C$9),OR($C$10="",B261&gt;=$C$10),OR($C$11="",B261&lt;=$C$11),OR($C$12&lt;&gt;"Ya",K261&lt;&gt;""),OR($C$13="Semua",$C$13="",L261=$C$13)),"✓","")</f>
        <v/>
      </c>
      <c r="N261" s="93">
        <f>N(N260)+IF(M261="✓",1,0)</f>
        <v/>
      </c>
      <c r="O261" s="93">
        <f>N(O260)+IF(AND(B261&lt;&gt;"",B261&gt;='Uang Riba'!$H$30,B261&lt;='Uang Riba'!$I$30,OR(H261="Dana riba",H261="Pinjam uang riba",I261="Pinjam dari uang riba",I261="Ganti uang riba",I261="Kelebihan ganti dikembalikan",AND(C261="Kantong Uang Riba",G261="Pengeluaran"))),1,0)</f>
        <v/>
      </c>
      <c r="P261" s="119">
        <f>IF(257&gt;MAX($N$16:$N$5015),"",INDEX($B$16:$B$5015,MATCH((MAX($N$16:$N$5015)-257+1),$N$16:$N$5015,0)))</f>
        <v/>
      </c>
      <c r="Q261" s="105">
        <f>IF(257&gt;MAX($N$16:$N$5015),"",INDEX($C$16:$C$5015,MATCH((MAX($N$16:$N$5015)-257+1),$N$16:$N$5015,0)))&amp;IF(IF(257&gt;MAX($N$16:$N$5015),"",INDEX($E$16:$E$5015,MATCH((MAX($N$16:$N$5015)-257+1),$N$16:$N$5015,0)))="",""," → "&amp;IF(257&gt;MAX($N$16:$N$5015),"",INDEX($E$16:$E$5015,MATCH((MAX($N$16:$N$5015)-257+1),$N$16:$N$5015,0))))</f>
        <v/>
      </c>
      <c r="R261" s="105">
        <f>IF(257&gt;MAX($N$16:$N$5015),"",INDEX($D$16:$D$5015,MATCH((MAX($N$16:$N$5015)-257+1),$N$16:$N$5015,0)))</f>
        <v/>
      </c>
      <c r="S261" s="113">
        <f>IF(257&gt;MAX($N$16:$N$5015),"",INDEX($F$16:$F$5015,MATCH((MAX($N$16:$N$5015)-257+1),$N$16:$N$5015,0)))</f>
        <v/>
      </c>
      <c r="T261" s="105">
        <f>IF(257&gt;MAX($N$16:$N$5015),"",IF(257&gt;MAX($N$16:$N$5015),"",INDEX($G$16:$G$5015,MATCH((MAX($N$16:$N$5015)-257+1),$N$16:$N$5015,0)))&amp;" › "&amp;IF(257&gt;MAX($N$16:$N$5015),"",INDEX($H$16:$H$5015,MATCH((MAX($N$16:$N$5015)-257+1),$N$16:$N$5015,0)))&amp;" › "&amp;IF(257&gt;MAX($N$16:$N$5015),"",INDEX($I$16:$I$5015,MATCH((MAX($N$16:$N$5015)-257+1),$N$16:$N$5015,0))))</f>
        <v/>
      </c>
      <c r="U261" s="105">
        <f>IF(257&gt;MAX($N$16:$N$5015),"",INDEX($J$16:$J$5015,MATCH((MAX($N$16:$N$5015)-257+1),$N$16:$N$5015,0)))&amp;IF(IF(257&gt;MAX($N$16:$N$5015),"",INDEX($L$16:$L$5015,MATCH((MAX($N$16:$N$5015)-257+1),$N$16:$N$5015,0)))="",""," ["&amp;IF(257&gt;MAX($N$16:$N$5015),"",INDEX($L$16:$L$5015,MATCH((MAX($N$16:$N$5015)-257+1),$N$16:$N$5015,0)))&amp;"]")</f>
        <v/>
      </c>
      <c r="V261" s="120">
        <f>IF(257&gt;MAX($N$16:$N$5015),"",HYPERLINK("#Transaksi!B"&amp;(MATCH((MAX($N$16:$N$5015)-257+1),$N$16:$N$5015,0)+15),"Buka"))</f>
        <v/>
      </c>
      <c r="X261" s="93">
        <f>IF(AND(B261&lt;&gt;"",B261&gt;='Buku Akun'!$H$4,B261&lt;='Buku Akun'!$H$5,OR(C261='Buku Akun'!$C$4,AND(D261="Pindah",E261='Buku Akun'!$C$4))),B261+IF(AND(I261="Selisih bunga",DAY(B261)=1),0,0.01)+ROW()/10000000,"")</f>
        <v/>
      </c>
    </row>
    <row r="262" outlineLevel="1" ht="15" customHeight="1" s="94">
      <c r="A262" s="123">
        <f>IF(B262="","",ROW()-15)</f>
        <v/>
      </c>
      <c r="B262" s="124" t="n"/>
      <c r="C262" s="123" t="n"/>
      <c r="D262" s="123" t="n"/>
      <c r="E262" s="123" t="n"/>
      <c r="F262" s="125" t="n"/>
      <c r="G262" s="123" t="n"/>
      <c r="H262" s="123" t="n"/>
      <c r="I262" s="123" t="n"/>
      <c r="J262" s="123" t="n"/>
      <c r="K262" s="123" t="n"/>
      <c r="L262" s="123" t="n"/>
      <c r="M262" s="123">
        <f>IF(AND(B262&lt;&gt;"",OR($C$4="",ISNUMBER(SEARCH($C$4,C262&amp;" "&amp;E262&amp;" "&amp;G262&amp;" "&amp;H262&amp;" "&amp;I262&amp;" "&amp;J262&amp;" "&amp;K262&amp;" "&amp;L262))),OR($C$5="Semua",$C$5="",G262=$C$5),OR($C$6="Semua",$C$6="",H262=$C$6,H262="Pengeluaran "&amp;$C$6,AND($C$6="Uang Kos Mama",H262="Pengeluaran Uang Kos")),OR($C$7="Semua",$C$7="",I262=$C$7),OR($C$8="Semua",$C$8="",C262=$C$8,E262=$C$8),OR($C$9="Semua",$C$9="",D262=$C$9),OR($C$10="",B262&gt;=$C$10),OR($C$11="",B262&lt;=$C$11),OR($C$12&lt;&gt;"Ya",K262&lt;&gt;""),OR($C$13="Semua",$C$13="",L262=$C$13)),"✓","")</f>
        <v/>
      </c>
      <c r="N262" s="93">
        <f>N(N261)+IF(M262="✓",1,0)</f>
        <v/>
      </c>
      <c r="O262" s="93">
        <f>N(O261)+IF(AND(B262&lt;&gt;"",B262&gt;='Uang Riba'!$H$30,B262&lt;='Uang Riba'!$I$30,OR(H262="Dana riba",H262="Pinjam uang riba",I262="Pinjam dari uang riba",I262="Ganti uang riba",I262="Kelebihan ganti dikembalikan",AND(C262="Kantong Uang Riba",G262="Pengeluaran"))),1,0)</f>
        <v/>
      </c>
      <c r="P262" s="119">
        <f>IF(258&gt;MAX($N$16:$N$5015),"",INDEX($B$16:$B$5015,MATCH((MAX($N$16:$N$5015)-258+1),$N$16:$N$5015,0)))</f>
        <v/>
      </c>
      <c r="Q262" s="105">
        <f>IF(258&gt;MAX($N$16:$N$5015),"",INDEX($C$16:$C$5015,MATCH((MAX($N$16:$N$5015)-258+1),$N$16:$N$5015,0)))&amp;IF(IF(258&gt;MAX($N$16:$N$5015),"",INDEX($E$16:$E$5015,MATCH((MAX($N$16:$N$5015)-258+1),$N$16:$N$5015,0)))="",""," → "&amp;IF(258&gt;MAX($N$16:$N$5015),"",INDEX($E$16:$E$5015,MATCH((MAX($N$16:$N$5015)-258+1),$N$16:$N$5015,0))))</f>
        <v/>
      </c>
      <c r="R262" s="105">
        <f>IF(258&gt;MAX($N$16:$N$5015),"",INDEX($D$16:$D$5015,MATCH((MAX($N$16:$N$5015)-258+1),$N$16:$N$5015,0)))</f>
        <v/>
      </c>
      <c r="S262" s="113">
        <f>IF(258&gt;MAX($N$16:$N$5015),"",INDEX($F$16:$F$5015,MATCH((MAX($N$16:$N$5015)-258+1),$N$16:$N$5015,0)))</f>
        <v/>
      </c>
      <c r="T262" s="105">
        <f>IF(258&gt;MAX($N$16:$N$5015),"",IF(258&gt;MAX($N$16:$N$5015),"",INDEX($G$16:$G$5015,MATCH((MAX($N$16:$N$5015)-258+1),$N$16:$N$5015,0)))&amp;" › "&amp;IF(258&gt;MAX($N$16:$N$5015),"",INDEX($H$16:$H$5015,MATCH((MAX($N$16:$N$5015)-258+1),$N$16:$N$5015,0)))&amp;" › "&amp;IF(258&gt;MAX($N$16:$N$5015),"",INDEX($I$16:$I$5015,MATCH((MAX($N$16:$N$5015)-258+1),$N$16:$N$5015,0))))</f>
        <v/>
      </c>
      <c r="U262" s="105">
        <f>IF(258&gt;MAX($N$16:$N$5015),"",INDEX($J$16:$J$5015,MATCH((MAX($N$16:$N$5015)-258+1),$N$16:$N$5015,0)))&amp;IF(IF(258&gt;MAX($N$16:$N$5015),"",INDEX($L$16:$L$5015,MATCH((MAX($N$16:$N$5015)-258+1),$N$16:$N$5015,0)))="",""," ["&amp;IF(258&gt;MAX($N$16:$N$5015),"",INDEX($L$16:$L$5015,MATCH((MAX($N$16:$N$5015)-258+1),$N$16:$N$5015,0)))&amp;"]")</f>
        <v/>
      </c>
      <c r="V262" s="120">
        <f>IF(258&gt;MAX($N$16:$N$5015),"",HYPERLINK("#Transaksi!B"&amp;(MATCH((MAX($N$16:$N$5015)-258+1),$N$16:$N$5015,0)+15),"Buka"))</f>
        <v/>
      </c>
      <c r="X262" s="93">
        <f>IF(AND(B262&lt;&gt;"",B262&gt;='Buku Akun'!$H$4,B262&lt;='Buku Akun'!$H$5,OR(C262='Buku Akun'!$C$4,AND(D262="Pindah",E262='Buku Akun'!$C$4))),B262+IF(AND(I262="Selisih bunga",DAY(B262)=1),0,0.01)+ROW()/10000000,"")</f>
        <v/>
      </c>
    </row>
    <row r="263" outlineLevel="1" ht="15" customHeight="1" s="94">
      <c r="A263" s="123">
        <f>IF(B263="","",ROW()-15)</f>
        <v/>
      </c>
      <c r="B263" s="124" t="n"/>
      <c r="C263" s="123" t="n"/>
      <c r="D263" s="123" t="n"/>
      <c r="E263" s="123" t="n"/>
      <c r="F263" s="125" t="n"/>
      <c r="G263" s="123" t="n"/>
      <c r="H263" s="123" t="n"/>
      <c r="I263" s="123" t="n"/>
      <c r="J263" s="123" t="n"/>
      <c r="K263" s="123" t="n"/>
      <c r="L263" s="123" t="n"/>
      <c r="M263" s="123">
        <f>IF(AND(B263&lt;&gt;"",OR($C$4="",ISNUMBER(SEARCH($C$4,C263&amp;" "&amp;E263&amp;" "&amp;G263&amp;" "&amp;H263&amp;" "&amp;I263&amp;" "&amp;J263&amp;" "&amp;K263&amp;" "&amp;L263))),OR($C$5="Semua",$C$5="",G263=$C$5),OR($C$6="Semua",$C$6="",H263=$C$6,H263="Pengeluaran "&amp;$C$6,AND($C$6="Uang Kos Mama",H263="Pengeluaran Uang Kos")),OR($C$7="Semua",$C$7="",I263=$C$7),OR($C$8="Semua",$C$8="",C263=$C$8,E263=$C$8),OR($C$9="Semua",$C$9="",D263=$C$9),OR($C$10="",B263&gt;=$C$10),OR($C$11="",B263&lt;=$C$11),OR($C$12&lt;&gt;"Ya",K263&lt;&gt;""),OR($C$13="Semua",$C$13="",L263=$C$13)),"✓","")</f>
        <v/>
      </c>
      <c r="N263" s="93">
        <f>N(N262)+IF(M263="✓",1,0)</f>
        <v/>
      </c>
      <c r="O263" s="93">
        <f>N(O262)+IF(AND(B263&lt;&gt;"",B263&gt;='Uang Riba'!$H$30,B263&lt;='Uang Riba'!$I$30,OR(H263="Dana riba",H263="Pinjam uang riba",I263="Pinjam dari uang riba",I263="Ganti uang riba",I263="Kelebihan ganti dikembalikan",AND(C263="Kantong Uang Riba",G263="Pengeluaran"))),1,0)</f>
        <v/>
      </c>
      <c r="P263" s="119">
        <f>IF(259&gt;MAX($N$16:$N$5015),"",INDEX($B$16:$B$5015,MATCH((MAX($N$16:$N$5015)-259+1),$N$16:$N$5015,0)))</f>
        <v/>
      </c>
      <c r="Q263" s="105">
        <f>IF(259&gt;MAX($N$16:$N$5015),"",INDEX($C$16:$C$5015,MATCH((MAX($N$16:$N$5015)-259+1),$N$16:$N$5015,0)))&amp;IF(IF(259&gt;MAX($N$16:$N$5015),"",INDEX($E$16:$E$5015,MATCH((MAX($N$16:$N$5015)-259+1),$N$16:$N$5015,0)))="",""," → "&amp;IF(259&gt;MAX($N$16:$N$5015),"",INDEX($E$16:$E$5015,MATCH((MAX($N$16:$N$5015)-259+1),$N$16:$N$5015,0))))</f>
        <v/>
      </c>
      <c r="R263" s="105">
        <f>IF(259&gt;MAX($N$16:$N$5015),"",INDEX($D$16:$D$5015,MATCH((MAX($N$16:$N$5015)-259+1),$N$16:$N$5015,0)))</f>
        <v/>
      </c>
      <c r="S263" s="113">
        <f>IF(259&gt;MAX($N$16:$N$5015),"",INDEX($F$16:$F$5015,MATCH((MAX($N$16:$N$5015)-259+1),$N$16:$N$5015,0)))</f>
        <v/>
      </c>
      <c r="T263" s="105">
        <f>IF(259&gt;MAX($N$16:$N$5015),"",IF(259&gt;MAX($N$16:$N$5015),"",INDEX($G$16:$G$5015,MATCH((MAX($N$16:$N$5015)-259+1),$N$16:$N$5015,0)))&amp;" › "&amp;IF(259&gt;MAX($N$16:$N$5015),"",INDEX($H$16:$H$5015,MATCH((MAX($N$16:$N$5015)-259+1),$N$16:$N$5015,0)))&amp;" › "&amp;IF(259&gt;MAX($N$16:$N$5015),"",INDEX($I$16:$I$5015,MATCH((MAX($N$16:$N$5015)-259+1),$N$16:$N$5015,0))))</f>
        <v/>
      </c>
      <c r="U263" s="105">
        <f>IF(259&gt;MAX($N$16:$N$5015),"",INDEX($J$16:$J$5015,MATCH((MAX($N$16:$N$5015)-259+1),$N$16:$N$5015,0)))&amp;IF(IF(259&gt;MAX($N$16:$N$5015),"",INDEX($L$16:$L$5015,MATCH((MAX($N$16:$N$5015)-259+1),$N$16:$N$5015,0)))="",""," ["&amp;IF(259&gt;MAX($N$16:$N$5015),"",INDEX($L$16:$L$5015,MATCH((MAX($N$16:$N$5015)-259+1),$N$16:$N$5015,0)))&amp;"]")</f>
        <v/>
      </c>
      <c r="V263" s="120">
        <f>IF(259&gt;MAX($N$16:$N$5015),"",HYPERLINK("#Transaksi!B"&amp;(MATCH((MAX($N$16:$N$5015)-259+1),$N$16:$N$5015,0)+15),"Buka"))</f>
        <v/>
      </c>
      <c r="X263" s="93">
        <f>IF(AND(B263&lt;&gt;"",B263&gt;='Buku Akun'!$H$4,B263&lt;='Buku Akun'!$H$5,OR(C263='Buku Akun'!$C$4,AND(D263="Pindah",E263='Buku Akun'!$C$4))),B263+IF(AND(I263="Selisih bunga",DAY(B263)=1),0,0.01)+ROW()/10000000,"")</f>
        <v/>
      </c>
    </row>
    <row r="264" outlineLevel="1" ht="15" customHeight="1" s="94">
      <c r="A264" s="123">
        <f>IF(B264="","",ROW()-15)</f>
        <v/>
      </c>
      <c r="B264" s="124" t="n"/>
      <c r="C264" s="123" t="n"/>
      <c r="D264" s="123" t="n"/>
      <c r="E264" s="123" t="n"/>
      <c r="F264" s="125" t="n"/>
      <c r="G264" s="123" t="n"/>
      <c r="H264" s="123" t="n"/>
      <c r="I264" s="123" t="n"/>
      <c r="J264" s="123" t="n"/>
      <c r="K264" s="123" t="n"/>
      <c r="L264" s="123" t="n"/>
      <c r="M264" s="123">
        <f>IF(AND(B264&lt;&gt;"",OR($C$4="",ISNUMBER(SEARCH($C$4,C264&amp;" "&amp;E264&amp;" "&amp;G264&amp;" "&amp;H264&amp;" "&amp;I264&amp;" "&amp;J264&amp;" "&amp;K264&amp;" "&amp;L264))),OR($C$5="Semua",$C$5="",G264=$C$5),OR($C$6="Semua",$C$6="",H264=$C$6,H264="Pengeluaran "&amp;$C$6,AND($C$6="Uang Kos Mama",H264="Pengeluaran Uang Kos")),OR($C$7="Semua",$C$7="",I264=$C$7),OR($C$8="Semua",$C$8="",C264=$C$8,E264=$C$8),OR($C$9="Semua",$C$9="",D264=$C$9),OR($C$10="",B264&gt;=$C$10),OR($C$11="",B264&lt;=$C$11),OR($C$12&lt;&gt;"Ya",K264&lt;&gt;""),OR($C$13="Semua",$C$13="",L264=$C$13)),"✓","")</f>
        <v/>
      </c>
      <c r="N264" s="93">
        <f>N(N263)+IF(M264="✓",1,0)</f>
        <v/>
      </c>
      <c r="O264" s="93">
        <f>N(O263)+IF(AND(B264&lt;&gt;"",B264&gt;='Uang Riba'!$H$30,B264&lt;='Uang Riba'!$I$30,OR(H264="Dana riba",H264="Pinjam uang riba",I264="Pinjam dari uang riba",I264="Ganti uang riba",I264="Kelebihan ganti dikembalikan",AND(C264="Kantong Uang Riba",G264="Pengeluaran"))),1,0)</f>
        <v/>
      </c>
      <c r="P264" s="119">
        <f>IF(260&gt;MAX($N$16:$N$5015),"",INDEX($B$16:$B$5015,MATCH((MAX($N$16:$N$5015)-260+1),$N$16:$N$5015,0)))</f>
        <v/>
      </c>
      <c r="Q264" s="105">
        <f>IF(260&gt;MAX($N$16:$N$5015),"",INDEX($C$16:$C$5015,MATCH((MAX($N$16:$N$5015)-260+1),$N$16:$N$5015,0)))&amp;IF(IF(260&gt;MAX($N$16:$N$5015),"",INDEX($E$16:$E$5015,MATCH((MAX($N$16:$N$5015)-260+1),$N$16:$N$5015,0)))="",""," → "&amp;IF(260&gt;MAX($N$16:$N$5015),"",INDEX($E$16:$E$5015,MATCH((MAX($N$16:$N$5015)-260+1),$N$16:$N$5015,0))))</f>
        <v/>
      </c>
      <c r="R264" s="105">
        <f>IF(260&gt;MAX($N$16:$N$5015),"",INDEX($D$16:$D$5015,MATCH((MAX($N$16:$N$5015)-260+1),$N$16:$N$5015,0)))</f>
        <v/>
      </c>
      <c r="S264" s="113">
        <f>IF(260&gt;MAX($N$16:$N$5015),"",INDEX($F$16:$F$5015,MATCH((MAX($N$16:$N$5015)-260+1),$N$16:$N$5015,0)))</f>
        <v/>
      </c>
      <c r="T264" s="105">
        <f>IF(260&gt;MAX($N$16:$N$5015),"",IF(260&gt;MAX($N$16:$N$5015),"",INDEX($G$16:$G$5015,MATCH((MAX($N$16:$N$5015)-260+1),$N$16:$N$5015,0)))&amp;" › "&amp;IF(260&gt;MAX($N$16:$N$5015),"",INDEX($H$16:$H$5015,MATCH((MAX($N$16:$N$5015)-260+1),$N$16:$N$5015,0)))&amp;" › "&amp;IF(260&gt;MAX($N$16:$N$5015),"",INDEX($I$16:$I$5015,MATCH((MAX($N$16:$N$5015)-260+1),$N$16:$N$5015,0))))</f>
        <v/>
      </c>
      <c r="U264" s="105">
        <f>IF(260&gt;MAX($N$16:$N$5015),"",INDEX($J$16:$J$5015,MATCH((MAX($N$16:$N$5015)-260+1),$N$16:$N$5015,0)))&amp;IF(IF(260&gt;MAX($N$16:$N$5015),"",INDEX($L$16:$L$5015,MATCH((MAX($N$16:$N$5015)-260+1),$N$16:$N$5015,0)))="",""," ["&amp;IF(260&gt;MAX($N$16:$N$5015),"",INDEX($L$16:$L$5015,MATCH((MAX($N$16:$N$5015)-260+1),$N$16:$N$5015,0)))&amp;"]")</f>
        <v/>
      </c>
      <c r="V264" s="120">
        <f>IF(260&gt;MAX($N$16:$N$5015),"",HYPERLINK("#Transaksi!B"&amp;(MATCH((MAX($N$16:$N$5015)-260+1),$N$16:$N$5015,0)+15),"Buka"))</f>
        <v/>
      </c>
      <c r="X264" s="93">
        <f>IF(AND(B264&lt;&gt;"",B264&gt;='Buku Akun'!$H$4,B264&lt;='Buku Akun'!$H$5,OR(C264='Buku Akun'!$C$4,AND(D264="Pindah",E264='Buku Akun'!$C$4))),B264+IF(AND(I264="Selisih bunga",DAY(B264)=1),0,0.01)+ROW()/10000000,"")</f>
        <v/>
      </c>
    </row>
    <row r="265" outlineLevel="1" ht="15" customHeight="1" s="94">
      <c r="A265" s="123">
        <f>IF(B265="","",ROW()-15)</f>
        <v/>
      </c>
      <c r="B265" s="124" t="n"/>
      <c r="C265" s="123" t="n"/>
      <c r="D265" s="123" t="n"/>
      <c r="E265" s="123" t="n"/>
      <c r="F265" s="125" t="n"/>
      <c r="G265" s="123" t="n"/>
      <c r="H265" s="123" t="n"/>
      <c r="I265" s="123" t="n"/>
      <c r="J265" s="123" t="n"/>
      <c r="K265" s="123" t="n"/>
      <c r="L265" s="123" t="n"/>
      <c r="M265" s="123">
        <f>IF(AND(B265&lt;&gt;"",OR($C$4="",ISNUMBER(SEARCH($C$4,C265&amp;" "&amp;E265&amp;" "&amp;G265&amp;" "&amp;H265&amp;" "&amp;I265&amp;" "&amp;J265&amp;" "&amp;K265&amp;" "&amp;L265))),OR($C$5="Semua",$C$5="",G265=$C$5),OR($C$6="Semua",$C$6="",H265=$C$6,H265="Pengeluaran "&amp;$C$6,AND($C$6="Uang Kos Mama",H265="Pengeluaran Uang Kos")),OR($C$7="Semua",$C$7="",I265=$C$7),OR($C$8="Semua",$C$8="",C265=$C$8,E265=$C$8),OR($C$9="Semua",$C$9="",D265=$C$9),OR($C$10="",B265&gt;=$C$10),OR($C$11="",B265&lt;=$C$11),OR($C$12&lt;&gt;"Ya",K265&lt;&gt;""),OR($C$13="Semua",$C$13="",L265=$C$13)),"✓","")</f>
        <v/>
      </c>
      <c r="N265" s="93">
        <f>N(N264)+IF(M265="✓",1,0)</f>
        <v/>
      </c>
      <c r="O265" s="93">
        <f>N(O264)+IF(AND(B265&lt;&gt;"",B265&gt;='Uang Riba'!$H$30,B265&lt;='Uang Riba'!$I$30,OR(H265="Dana riba",H265="Pinjam uang riba",I265="Pinjam dari uang riba",I265="Ganti uang riba",I265="Kelebihan ganti dikembalikan",AND(C265="Kantong Uang Riba",G265="Pengeluaran"))),1,0)</f>
        <v/>
      </c>
      <c r="P265" s="119">
        <f>IF(261&gt;MAX($N$16:$N$5015),"",INDEX($B$16:$B$5015,MATCH((MAX($N$16:$N$5015)-261+1),$N$16:$N$5015,0)))</f>
        <v/>
      </c>
      <c r="Q265" s="105">
        <f>IF(261&gt;MAX($N$16:$N$5015),"",INDEX($C$16:$C$5015,MATCH((MAX($N$16:$N$5015)-261+1),$N$16:$N$5015,0)))&amp;IF(IF(261&gt;MAX($N$16:$N$5015),"",INDEX($E$16:$E$5015,MATCH((MAX($N$16:$N$5015)-261+1),$N$16:$N$5015,0)))="",""," → "&amp;IF(261&gt;MAX($N$16:$N$5015),"",INDEX($E$16:$E$5015,MATCH((MAX($N$16:$N$5015)-261+1),$N$16:$N$5015,0))))</f>
        <v/>
      </c>
      <c r="R265" s="105">
        <f>IF(261&gt;MAX($N$16:$N$5015),"",INDEX($D$16:$D$5015,MATCH((MAX($N$16:$N$5015)-261+1),$N$16:$N$5015,0)))</f>
        <v/>
      </c>
      <c r="S265" s="113">
        <f>IF(261&gt;MAX($N$16:$N$5015),"",INDEX($F$16:$F$5015,MATCH((MAX($N$16:$N$5015)-261+1),$N$16:$N$5015,0)))</f>
        <v/>
      </c>
      <c r="T265" s="105">
        <f>IF(261&gt;MAX($N$16:$N$5015),"",IF(261&gt;MAX($N$16:$N$5015),"",INDEX($G$16:$G$5015,MATCH((MAX($N$16:$N$5015)-261+1),$N$16:$N$5015,0)))&amp;" › "&amp;IF(261&gt;MAX($N$16:$N$5015),"",INDEX($H$16:$H$5015,MATCH((MAX($N$16:$N$5015)-261+1),$N$16:$N$5015,0)))&amp;" › "&amp;IF(261&gt;MAX($N$16:$N$5015),"",INDEX($I$16:$I$5015,MATCH((MAX($N$16:$N$5015)-261+1),$N$16:$N$5015,0))))</f>
        <v/>
      </c>
      <c r="U265" s="105">
        <f>IF(261&gt;MAX($N$16:$N$5015),"",INDEX($J$16:$J$5015,MATCH((MAX($N$16:$N$5015)-261+1),$N$16:$N$5015,0)))&amp;IF(IF(261&gt;MAX($N$16:$N$5015),"",INDEX($L$16:$L$5015,MATCH((MAX($N$16:$N$5015)-261+1),$N$16:$N$5015,0)))="",""," ["&amp;IF(261&gt;MAX($N$16:$N$5015),"",INDEX($L$16:$L$5015,MATCH((MAX($N$16:$N$5015)-261+1),$N$16:$N$5015,0)))&amp;"]")</f>
        <v/>
      </c>
      <c r="V265" s="120">
        <f>IF(261&gt;MAX($N$16:$N$5015),"",HYPERLINK("#Transaksi!B"&amp;(MATCH((MAX($N$16:$N$5015)-261+1),$N$16:$N$5015,0)+15),"Buka"))</f>
        <v/>
      </c>
      <c r="X265" s="93">
        <f>IF(AND(B265&lt;&gt;"",B265&gt;='Buku Akun'!$H$4,B265&lt;='Buku Akun'!$H$5,OR(C265='Buku Akun'!$C$4,AND(D265="Pindah",E265='Buku Akun'!$C$4))),B265+IF(AND(I265="Selisih bunga",DAY(B265)=1),0,0.01)+ROW()/10000000,"")</f>
        <v/>
      </c>
    </row>
    <row r="266" outlineLevel="1" ht="15" customHeight="1" s="94">
      <c r="A266" s="123">
        <f>IF(B266="","",ROW()-15)</f>
        <v/>
      </c>
      <c r="B266" s="124" t="n"/>
      <c r="C266" s="123" t="n"/>
      <c r="D266" s="123" t="n"/>
      <c r="E266" s="123" t="n"/>
      <c r="F266" s="125" t="n"/>
      <c r="G266" s="123" t="n"/>
      <c r="H266" s="123" t="n"/>
      <c r="I266" s="123" t="n"/>
      <c r="J266" s="123" t="n"/>
      <c r="K266" s="123" t="n"/>
      <c r="L266" s="123" t="n"/>
      <c r="M266" s="123">
        <f>IF(AND(B266&lt;&gt;"",OR($C$4="",ISNUMBER(SEARCH($C$4,C266&amp;" "&amp;E266&amp;" "&amp;G266&amp;" "&amp;H266&amp;" "&amp;I266&amp;" "&amp;J266&amp;" "&amp;K266&amp;" "&amp;L266))),OR($C$5="Semua",$C$5="",G266=$C$5),OR($C$6="Semua",$C$6="",H266=$C$6,H266="Pengeluaran "&amp;$C$6,AND($C$6="Uang Kos Mama",H266="Pengeluaran Uang Kos")),OR($C$7="Semua",$C$7="",I266=$C$7),OR($C$8="Semua",$C$8="",C266=$C$8,E266=$C$8),OR($C$9="Semua",$C$9="",D266=$C$9),OR($C$10="",B266&gt;=$C$10),OR($C$11="",B266&lt;=$C$11),OR($C$12&lt;&gt;"Ya",K266&lt;&gt;""),OR($C$13="Semua",$C$13="",L266=$C$13)),"✓","")</f>
        <v/>
      </c>
      <c r="N266" s="93">
        <f>N(N265)+IF(M266="✓",1,0)</f>
        <v/>
      </c>
      <c r="O266" s="93">
        <f>N(O265)+IF(AND(B266&lt;&gt;"",B266&gt;='Uang Riba'!$H$30,B266&lt;='Uang Riba'!$I$30,OR(H266="Dana riba",H266="Pinjam uang riba",I266="Pinjam dari uang riba",I266="Ganti uang riba",I266="Kelebihan ganti dikembalikan",AND(C266="Kantong Uang Riba",G266="Pengeluaran"))),1,0)</f>
        <v/>
      </c>
      <c r="P266" s="119">
        <f>IF(262&gt;MAX($N$16:$N$5015),"",INDEX($B$16:$B$5015,MATCH((MAX($N$16:$N$5015)-262+1),$N$16:$N$5015,0)))</f>
        <v/>
      </c>
      <c r="Q266" s="105">
        <f>IF(262&gt;MAX($N$16:$N$5015),"",INDEX($C$16:$C$5015,MATCH((MAX($N$16:$N$5015)-262+1),$N$16:$N$5015,0)))&amp;IF(IF(262&gt;MAX($N$16:$N$5015),"",INDEX($E$16:$E$5015,MATCH((MAX($N$16:$N$5015)-262+1),$N$16:$N$5015,0)))="",""," → "&amp;IF(262&gt;MAX($N$16:$N$5015),"",INDEX($E$16:$E$5015,MATCH((MAX($N$16:$N$5015)-262+1),$N$16:$N$5015,0))))</f>
        <v/>
      </c>
      <c r="R266" s="105">
        <f>IF(262&gt;MAX($N$16:$N$5015),"",INDEX($D$16:$D$5015,MATCH((MAX($N$16:$N$5015)-262+1),$N$16:$N$5015,0)))</f>
        <v/>
      </c>
      <c r="S266" s="113">
        <f>IF(262&gt;MAX($N$16:$N$5015),"",INDEX($F$16:$F$5015,MATCH((MAX($N$16:$N$5015)-262+1),$N$16:$N$5015,0)))</f>
        <v/>
      </c>
      <c r="T266" s="105">
        <f>IF(262&gt;MAX($N$16:$N$5015),"",IF(262&gt;MAX($N$16:$N$5015),"",INDEX($G$16:$G$5015,MATCH((MAX($N$16:$N$5015)-262+1),$N$16:$N$5015,0)))&amp;" › "&amp;IF(262&gt;MAX($N$16:$N$5015),"",INDEX($H$16:$H$5015,MATCH((MAX($N$16:$N$5015)-262+1),$N$16:$N$5015,0)))&amp;" › "&amp;IF(262&gt;MAX($N$16:$N$5015),"",INDEX($I$16:$I$5015,MATCH((MAX($N$16:$N$5015)-262+1),$N$16:$N$5015,0))))</f>
        <v/>
      </c>
      <c r="U266" s="105">
        <f>IF(262&gt;MAX($N$16:$N$5015),"",INDEX($J$16:$J$5015,MATCH((MAX($N$16:$N$5015)-262+1),$N$16:$N$5015,0)))&amp;IF(IF(262&gt;MAX($N$16:$N$5015),"",INDEX($L$16:$L$5015,MATCH((MAX($N$16:$N$5015)-262+1),$N$16:$N$5015,0)))="",""," ["&amp;IF(262&gt;MAX($N$16:$N$5015),"",INDEX($L$16:$L$5015,MATCH((MAX($N$16:$N$5015)-262+1),$N$16:$N$5015,0)))&amp;"]")</f>
        <v/>
      </c>
      <c r="V266" s="120">
        <f>IF(262&gt;MAX($N$16:$N$5015),"",HYPERLINK("#Transaksi!B"&amp;(MATCH((MAX($N$16:$N$5015)-262+1),$N$16:$N$5015,0)+15),"Buka"))</f>
        <v/>
      </c>
      <c r="X266" s="93">
        <f>IF(AND(B266&lt;&gt;"",B266&gt;='Buku Akun'!$H$4,B266&lt;='Buku Akun'!$H$5,OR(C266='Buku Akun'!$C$4,AND(D266="Pindah",E266='Buku Akun'!$C$4))),B266+IF(AND(I266="Selisih bunga",DAY(B266)=1),0,0.01)+ROW()/10000000,"")</f>
        <v/>
      </c>
    </row>
    <row r="267" outlineLevel="1" ht="15" customHeight="1" s="94">
      <c r="A267" s="123">
        <f>IF(B267="","",ROW()-15)</f>
        <v/>
      </c>
      <c r="B267" s="124" t="n"/>
      <c r="C267" s="123" t="n"/>
      <c r="D267" s="123" t="n"/>
      <c r="E267" s="123" t="n"/>
      <c r="F267" s="125" t="n"/>
      <c r="G267" s="123" t="n"/>
      <c r="H267" s="123" t="n"/>
      <c r="I267" s="123" t="n"/>
      <c r="J267" s="123" t="n"/>
      <c r="K267" s="123" t="n"/>
      <c r="L267" s="123" t="n"/>
      <c r="M267" s="123">
        <f>IF(AND(B267&lt;&gt;"",OR($C$4="",ISNUMBER(SEARCH($C$4,C267&amp;" "&amp;E267&amp;" "&amp;G267&amp;" "&amp;H267&amp;" "&amp;I267&amp;" "&amp;J267&amp;" "&amp;K267&amp;" "&amp;L267))),OR($C$5="Semua",$C$5="",G267=$C$5),OR($C$6="Semua",$C$6="",H267=$C$6,H267="Pengeluaran "&amp;$C$6,AND($C$6="Uang Kos Mama",H267="Pengeluaran Uang Kos")),OR($C$7="Semua",$C$7="",I267=$C$7),OR($C$8="Semua",$C$8="",C267=$C$8,E267=$C$8),OR($C$9="Semua",$C$9="",D267=$C$9),OR($C$10="",B267&gt;=$C$10),OR($C$11="",B267&lt;=$C$11),OR($C$12&lt;&gt;"Ya",K267&lt;&gt;""),OR($C$13="Semua",$C$13="",L267=$C$13)),"✓","")</f>
        <v/>
      </c>
      <c r="N267" s="93">
        <f>N(N266)+IF(M267="✓",1,0)</f>
        <v/>
      </c>
      <c r="O267" s="93">
        <f>N(O266)+IF(AND(B267&lt;&gt;"",B267&gt;='Uang Riba'!$H$30,B267&lt;='Uang Riba'!$I$30,OR(H267="Dana riba",H267="Pinjam uang riba",I267="Pinjam dari uang riba",I267="Ganti uang riba",I267="Kelebihan ganti dikembalikan",AND(C267="Kantong Uang Riba",G267="Pengeluaran"))),1,0)</f>
        <v/>
      </c>
      <c r="P267" s="119">
        <f>IF(263&gt;MAX($N$16:$N$5015),"",INDEX($B$16:$B$5015,MATCH((MAX($N$16:$N$5015)-263+1),$N$16:$N$5015,0)))</f>
        <v/>
      </c>
      <c r="Q267" s="105">
        <f>IF(263&gt;MAX($N$16:$N$5015),"",INDEX($C$16:$C$5015,MATCH((MAX($N$16:$N$5015)-263+1),$N$16:$N$5015,0)))&amp;IF(IF(263&gt;MAX($N$16:$N$5015),"",INDEX($E$16:$E$5015,MATCH((MAX($N$16:$N$5015)-263+1),$N$16:$N$5015,0)))="",""," → "&amp;IF(263&gt;MAX($N$16:$N$5015),"",INDEX($E$16:$E$5015,MATCH((MAX($N$16:$N$5015)-263+1),$N$16:$N$5015,0))))</f>
        <v/>
      </c>
      <c r="R267" s="105">
        <f>IF(263&gt;MAX($N$16:$N$5015),"",INDEX($D$16:$D$5015,MATCH((MAX($N$16:$N$5015)-263+1),$N$16:$N$5015,0)))</f>
        <v/>
      </c>
      <c r="S267" s="113">
        <f>IF(263&gt;MAX($N$16:$N$5015),"",INDEX($F$16:$F$5015,MATCH((MAX($N$16:$N$5015)-263+1),$N$16:$N$5015,0)))</f>
        <v/>
      </c>
      <c r="T267" s="105">
        <f>IF(263&gt;MAX($N$16:$N$5015),"",IF(263&gt;MAX($N$16:$N$5015),"",INDEX($G$16:$G$5015,MATCH((MAX($N$16:$N$5015)-263+1),$N$16:$N$5015,0)))&amp;" › "&amp;IF(263&gt;MAX($N$16:$N$5015),"",INDEX($H$16:$H$5015,MATCH((MAX($N$16:$N$5015)-263+1),$N$16:$N$5015,0)))&amp;" › "&amp;IF(263&gt;MAX($N$16:$N$5015),"",INDEX($I$16:$I$5015,MATCH((MAX($N$16:$N$5015)-263+1),$N$16:$N$5015,0))))</f>
        <v/>
      </c>
      <c r="U267" s="105">
        <f>IF(263&gt;MAX($N$16:$N$5015),"",INDEX($J$16:$J$5015,MATCH((MAX($N$16:$N$5015)-263+1),$N$16:$N$5015,0)))&amp;IF(IF(263&gt;MAX($N$16:$N$5015),"",INDEX($L$16:$L$5015,MATCH((MAX($N$16:$N$5015)-263+1),$N$16:$N$5015,0)))="",""," ["&amp;IF(263&gt;MAX($N$16:$N$5015),"",INDEX($L$16:$L$5015,MATCH((MAX($N$16:$N$5015)-263+1),$N$16:$N$5015,0)))&amp;"]")</f>
        <v/>
      </c>
      <c r="V267" s="120">
        <f>IF(263&gt;MAX($N$16:$N$5015),"",HYPERLINK("#Transaksi!B"&amp;(MATCH((MAX($N$16:$N$5015)-263+1),$N$16:$N$5015,0)+15),"Buka"))</f>
        <v/>
      </c>
      <c r="X267" s="93">
        <f>IF(AND(B267&lt;&gt;"",B267&gt;='Buku Akun'!$H$4,B267&lt;='Buku Akun'!$H$5,OR(C267='Buku Akun'!$C$4,AND(D267="Pindah",E267='Buku Akun'!$C$4))),B267+IF(AND(I267="Selisih bunga",DAY(B267)=1),0,0.01)+ROW()/10000000,"")</f>
        <v/>
      </c>
    </row>
    <row r="268" outlineLevel="1" ht="15" customHeight="1" s="94">
      <c r="A268" s="123">
        <f>IF(B268="","",ROW()-15)</f>
        <v/>
      </c>
      <c r="B268" s="124" t="n"/>
      <c r="C268" s="123" t="n"/>
      <c r="D268" s="123" t="n"/>
      <c r="E268" s="123" t="n"/>
      <c r="F268" s="125" t="n"/>
      <c r="G268" s="123" t="n"/>
      <c r="H268" s="123" t="n"/>
      <c r="I268" s="123" t="n"/>
      <c r="J268" s="123" t="n"/>
      <c r="K268" s="123" t="n"/>
      <c r="L268" s="123" t="n"/>
      <c r="M268" s="123">
        <f>IF(AND(B268&lt;&gt;"",OR($C$4="",ISNUMBER(SEARCH($C$4,C268&amp;" "&amp;E268&amp;" "&amp;G268&amp;" "&amp;H268&amp;" "&amp;I268&amp;" "&amp;J268&amp;" "&amp;K268&amp;" "&amp;L268))),OR($C$5="Semua",$C$5="",G268=$C$5),OR($C$6="Semua",$C$6="",H268=$C$6,H268="Pengeluaran "&amp;$C$6,AND($C$6="Uang Kos Mama",H268="Pengeluaran Uang Kos")),OR($C$7="Semua",$C$7="",I268=$C$7),OR($C$8="Semua",$C$8="",C268=$C$8,E268=$C$8),OR($C$9="Semua",$C$9="",D268=$C$9),OR($C$10="",B268&gt;=$C$10),OR($C$11="",B268&lt;=$C$11),OR($C$12&lt;&gt;"Ya",K268&lt;&gt;""),OR($C$13="Semua",$C$13="",L268=$C$13)),"✓","")</f>
        <v/>
      </c>
      <c r="N268" s="93">
        <f>N(N267)+IF(M268="✓",1,0)</f>
        <v/>
      </c>
      <c r="O268" s="93">
        <f>N(O267)+IF(AND(B268&lt;&gt;"",B268&gt;='Uang Riba'!$H$30,B268&lt;='Uang Riba'!$I$30,OR(H268="Dana riba",H268="Pinjam uang riba",I268="Pinjam dari uang riba",I268="Ganti uang riba",I268="Kelebihan ganti dikembalikan",AND(C268="Kantong Uang Riba",G268="Pengeluaran"))),1,0)</f>
        <v/>
      </c>
      <c r="P268" s="119">
        <f>IF(264&gt;MAX($N$16:$N$5015),"",INDEX($B$16:$B$5015,MATCH((MAX($N$16:$N$5015)-264+1),$N$16:$N$5015,0)))</f>
        <v/>
      </c>
      <c r="Q268" s="105">
        <f>IF(264&gt;MAX($N$16:$N$5015),"",INDEX($C$16:$C$5015,MATCH((MAX($N$16:$N$5015)-264+1),$N$16:$N$5015,0)))&amp;IF(IF(264&gt;MAX($N$16:$N$5015),"",INDEX($E$16:$E$5015,MATCH((MAX($N$16:$N$5015)-264+1),$N$16:$N$5015,0)))="",""," → "&amp;IF(264&gt;MAX($N$16:$N$5015),"",INDEX($E$16:$E$5015,MATCH((MAX($N$16:$N$5015)-264+1),$N$16:$N$5015,0))))</f>
        <v/>
      </c>
      <c r="R268" s="105">
        <f>IF(264&gt;MAX($N$16:$N$5015),"",INDEX($D$16:$D$5015,MATCH((MAX($N$16:$N$5015)-264+1),$N$16:$N$5015,0)))</f>
        <v/>
      </c>
      <c r="S268" s="113">
        <f>IF(264&gt;MAX($N$16:$N$5015),"",INDEX($F$16:$F$5015,MATCH((MAX($N$16:$N$5015)-264+1),$N$16:$N$5015,0)))</f>
        <v/>
      </c>
      <c r="T268" s="105">
        <f>IF(264&gt;MAX($N$16:$N$5015),"",IF(264&gt;MAX($N$16:$N$5015),"",INDEX($G$16:$G$5015,MATCH((MAX($N$16:$N$5015)-264+1),$N$16:$N$5015,0)))&amp;" › "&amp;IF(264&gt;MAX($N$16:$N$5015),"",INDEX($H$16:$H$5015,MATCH((MAX($N$16:$N$5015)-264+1),$N$16:$N$5015,0)))&amp;" › "&amp;IF(264&gt;MAX($N$16:$N$5015),"",INDEX($I$16:$I$5015,MATCH((MAX($N$16:$N$5015)-264+1),$N$16:$N$5015,0))))</f>
        <v/>
      </c>
      <c r="U268" s="105">
        <f>IF(264&gt;MAX($N$16:$N$5015),"",INDEX($J$16:$J$5015,MATCH((MAX($N$16:$N$5015)-264+1),$N$16:$N$5015,0)))&amp;IF(IF(264&gt;MAX($N$16:$N$5015),"",INDEX($L$16:$L$5015,MATCH((MAX($N$16:$N$5015)-264+1),$N$16:$N$5015,0)))="",""," ["&amp;IF(264&gt;MAX($N$16:$N$5015),"",INDEX($L$16:$L$5015,MATCH((MAX($N$16:$N$5015)-264+1),$N$16:$N$5015,0)))&amp;"]")</f>
        <v/>
      </c>
      <c r="V268" s="120">
        <f>IF(264&gt;MAX($N$16:$N$5015),"",HYPERLINK("#Transaksi!B"&amp;(MATCH((MAX($N$16:$N$5015)-264+1),$N$16:$N$5015,0)+15),"Buka"))</f>
        <v/>
      </c>
      <c r="X268" s="93">
        <f>IF(AND(B268&lt;&gt;"",B268&gt;='Buku Akun'!$H$4,B268&lt;='Buku Akun'!$H$5,OR(C268='Buku Akun'!$C$4,AND(D268="Pindah",E268='Buku Akun'!$C$4))),B268+IF(AND(I268="Selisih bunga",DAY(B268)=1),0,0.01)+ROW()/10000000,"")</f>
        <v/>
      </c>
    </row>
    <row r="269" outlineLevel="1" ht="15" customHeight="1" s="94">
      <c r="A269" s="123">
        <f>IF(B269="","",ROW()-15)</f>
        <v/>
      </c>
      <c r="B269" s="124" t="n"/>
      <c r="C269" s="123" t="n"/>
      <c r="D269" s="123" t="n"/>
      <c r="E269" s="123" t="n"/>
      <c r="F269" s="125" t="n"/>
      <c r="G269" s="123" t="n"/>
      <c r="H269" s="123" t="n"/>
      <c r="I269" s="123" t="n"/>
      <c r="J269" s="123" t="n"/>
      <c r="K269" s="123" t="n"/>
      <c r="L269" s="123" t="n"/>
      <c r="M269" s="123">
        <f>IF(AND(B269&lt;&gt;"",OR($C$4="",ISNUMBER(SEARCH($C$4,C269&amp;" "&amp;E269&amp;" "&amp;G269&amp;" "&amp;H269&amp;" "&amp;I269&amp;" "&amp;J269&amp;" "&amp;K269&amp;" "&amp;L269))),OR($C$5="Semua",$C$5="",G269=$C$5),OR($C$6="Semua",$C$6="",H269=$C$6,H269="Pengeluaran "&amp;$C$6,AND($C$6="Uang Kos Mama",H269="Pengeluaran Uang Kos")),OR($C$7="Semua",$C$7="",I269=$C$7),OR($C$8="Semua",$C$8="",C269=$C$8,E269=$C$8),OR($C$9="Semua",$C$9="",D269=$C$9),OR($C$10="",B269&gt;=$C$10),OR($C$11="",B269&lt;=$C$11),OR($C$12&lt;&gt;"Ya",K269&lt;&gt;""),OR($C$13="Semua",$C$13="",L269=$C$13)),"✓","")</f>
        <v/>
      </c>
      <c r="N269" s="93">
        <f>N(N268)+IF(M269="✓",1,0)</f>
        <v/>
      </c>
      <c r="O269" s="93">
        <f>N(O268)+IF(AND(B269&lt;&gt;"",B269&gt;='Uang Riba'!$H$30,B269&lt;='Uang Riba'!$I$30,OR(H269="Dana riba",H269="Pinjam uang riba",I269="Pinjam dari uang riba",I269="Ganti uang riba",I269="Kelebihan ganti dikembalikan",AND(C269="Kantong Uang Riba",G269="Pengeluaran"))),1,0)</f>
        <v/>
      </c>
      <c r="P269" s="119">
        <f>IF(265&gt;MAX($N$16:$N$5015),"",INDEX($B$16:$B$5015,MATCH((MAX($N$16:$N$5015)-265+1),$N$16:$N$5015,0)))</f>
        <v/>
      </c>
      <c r="Q269" s="105">
        <f>IF(265&gt;MAX($N$16:$N$5015),"",INDEX($C$16:$C$5015,MATCH((MAX($N$16:$N$5015)-265+1),$N$16:$N$5015,0)))&amp;IF(IF(265&gt;MAX($N$16:$N$5015),"",INDEX($E$16:$E$5015,MATCH((MAX($N$16:$N$5015)-265+1),$N$16:$N$5015,0)))="",""," → "&amp;IF(265&gt;MAX($N$16:$N$5015),"",INDEX($E$16:$E$5015,MATCH((MAX($N$16:$N$5015)-265+1),$N$16:$N$5015,0))))</f>
        <v/>
      </c>
      <c r="R269" s="105">
        <f>IF(265&gt;MAX($N$16:$N$5015),"",INDEX($D$16:$D$5015,MATCH((MAX($N$16:$N$5015)-265+1),$N$16:$N$5015,0)))</f>
        <v/>
      </c>
      <c r="S269" s="113">
        <f>IF(265&gt;MAX($N$16:$N$5015),"",INDEX($F$16:$F$5015,MATCH((MAX($N$16:$N$5015)-265+1),$N$16:$N$5015,0)))</f>
        <v/>
      </c>
      <c r="T269" s="105">
        <f>IF(265&gt;MAX($N$16:$N$5015),"",IF(265&gt;MAX($N$16:$N$5015),"",INDEX($G$16:$G$5015,MATCH((MAX($N$16:$N$5015)-265+1),$N$16:$N$5015,0)))&amp;" › "&amp;IF(265&gt;MAX($N$16:$N$5015),"",INDEX($H$16:$H$5015,MATCH((MAX($N$16:$N$5015)-265+1),$N$16:$N$5015,0)))&amp;" › "&amp;IF(265&gt;MAX($N$16:$N$5015),"",INDEX($I$16:$I$5015,MATCH((MAX($N$16:$N$5015)-265+1),$N$16:$N$5015,0))))</f>
        <v/>
      </c>
      <c r="U269" s="105">
        <f>IF(265&gt;MAX($N$16:$N$5015),"",INDEX($J$16:$J$5015,MATCH((MAX($N$16:$N$5015)-265+1),$N$16:$N$5015,0)))&amp;IF(IF(265&gt;MAX($N$16:$N$5015),"",INDEX($L$16:$L$5015,MATCH((MAX($N$16:$N$5015)-265+1),$N$16:$N$5015,0)))="",""," ["&amp;IF(265&gt;MAX($N$16:$N$5015),"",INDEX($L$16:$L$5015,MATCH((MAX($N$16:$N$5015)-265+1),$N$16:$N$5015,0)))&amp;"]")</f>
        <v/>
      </c>
      <c r="V269" s="120">
        <f>IF(265&gt;MAX($N$16:$N$5015),"",HYPERLINK("#Transaksi!B"&amp;(MATCH((MAX($N$16:$N$5015)-265+1),$N$16:$N$5015,0)+15),"Buka"))</f>
        <v/>
      </c>
      <c r="X269" s="93">
        <f>IF(AND(B269&lt;&gt;"",B269&gt;='Buku Akun'!$H$4,B269&lt;='Buku Akun'!$H$5,OR(C269='Buku Akun'!$C$4,AND(D269="Pindah",E269='Buku Akun'!$C$4))),B269+IF(AND(I269="Selisih bunga",DAY(B269)=1),0,0.01)+ROW()/10000000,"")</f>
        <v/>
      </c>
    </row>
    <row r="270" outlineLevel="1" ht="15" customHeight="1" s="94">
      <c r="A270" s="123">
        <f>IF(B270="","",ROW()-15)</f>
        <v/>
      </c>
      <c r="B270" s="124" t="n"/>
      <c r="C270" s="123" t="n"/>
      <c r="D270" s="123" t="n"/>
      <c r="E270" s="123" t="n"/>
      <c r="F270" s="125" t="n"/>
      <c r="G270" s="123" t="n"/>
      <c r="H270" s="123" t="n"/>
      <c r="I270" s="123" t="n"/>
      <c r="J270" s="123" t="n"/>
      <c r="K270" s="123" t="n"/>
      <c r="L270" s="123" t="n"/>
      <c r="M270" s="123">
        <f>IF(AND(B270&lt;&gt;"",OR($C$4="",ISNUMBER(SEARCH($C$4,C270&amp;" "&amp;E270&amp;" "&amp;G270&amp;" "&amp;H270&amp;" "&amp;I270&amp;" "&amp;J270&amp;" "&amp;K270&amp;" "&amp;L270))),OR($C$5="Semua",$C$5="",G270=$C$5),OR($C$6="Semua",$C$6="",H270=$C$6,H270="Pengeluaran "&amp;$C$6,AND($C$6="Uang Kos Mama",H270="Pengeluaran Uang Kos")),OR($C$7="Semua",$C$7="",I270=$C$7),OR($C$8="Semua",$C$8="",C270=$C$8,E270=$C$8),OR($C$9="Semua",$C$9="",D270=$C$9),OR($C$10="",B270&gt;=$C$10),OR($C$11="",B270&lt;=$C$11),OR($C$12&lt;&gt;"Ya",K270&lt;&gt;""),OR($C$13="Semua",$C$13="",L270=$C$13)),"✓","")</f>
        <v/>
      </c>
      <c r="N270" s="93">
        <f>N(N269)+IF(M270="✓",1,0)</f>
        <v/>
      </c>
      <c r="O270" s="93">
        <f>N(O269)+IF(AND(B270&lt;&gt;"",B270&gt;='Uang Riba'!$H$30,B270&lt;='Uang Riba'!$I$30,OR(H270="Dana riba",H270="Pinjam uang riba",I270="Pinjam dari uang riba",I270="Ganti uang riba",I270="Kelebihan ganti dikembalikan",AND(C270="Kantong Uang Riba",G270="Pengeluaran"))),1,0)</f>
        <v/>
      </c>
      <c r="P270" s="119">
        <f>IF(266&gt;MAX($N$16:$N$5015),"",INDEX($B$16:$B$5015,MATCH((MAX($N$16:$N$5015)-266+1),$N$16:$N$5015,0)))</f>
        <v/>
      </c>
      <c r="Q270" s="105">
        <f>IF(266&gt;MAX($N$16:$N$5015),"",INDEX($C$16:$C$5015,MATCH((MAX($N$16:$N$5015)-266+1),$N$16:$N$5015,0)))&amp;IF(IF(266&gt;MAX($N$16:$N$5015),"",INDEX($E$16:$E$5015,MATCH((MAX($N$16:$N$5015)-266+1),$N$16:$N$5015,0)))="",""," → "&amp;IF(266&gt;MAX($N$16:$N$5015),"",INDEX($E$16:$E$5015,MATCH((MAX($N$16:$N$5015)-266+1),$N$16:$N$5015,0))))</f>
        <v/>
      </c>
      <c r="R270" s="105">
        <f>IF(266&gt;MAX($N$16:$N$5015),"",INDEX($D$16:$D$5015,MATCH((MAX($N$16:$N$5015)-266+1),$N$16:$N$5015,0)))</f>
        <v/>
      </c>
      <c r="S270" s="113">
        <f>IF(266&gt;MAX($N$16:$N$5015),"",INDEX($F$16:$F$5015,MATCH((MAX($N$16:$N$5015)-266+1),$N$16:$N$5015,0)))</f>
        <v/>
      </c>
      <c r="T270" s="105">
        <f>IF(266&gt;MAX($N$16:$N$5015),"",IF(266&gt;MAX($N$16:$N$5015),"",INDEX($G$16:$G$5015,MATCH((MAX($N$16:$N$5015)-266+1),$N$16:$N$5015,0)))&amp;" › "&amp;IF(266&gt;MAX($N$16:$N$5015),"",INDEX($H$16:$H$5015,MATCH((MAX($N$16:$N$5015)-266+1),$N$16:$N$5015,0)))&amp;" › "&amp;IF(266&gt;MAX($N$16:$N$5015),"",INDEX($I$16:$I$5015,MATCH((MAX($N$16:$N$5015)-266+1),$N$16:$N$5015,0))))</f>
        <v/>
      </c>
      <c r="U270" s="105">
        <f>IF(266&gt;MAX($N$16:$N$5015),"",INDEX($J$16:$J$5015,MATCH((MAX($N$16:$N$5015)-266+1),$N$16:$N$5015,0)))&amp;IF(IF(266&gt;MAX($N$16:$N$5015),"",INDEX($L$16:$L$5015,MATCH((MAX($N$16:$N$5015)-266+1),$N$16:$N$5015,0)))="",""," ["&amp;IF(266&gt;MAX($N$16:$N$5015),"",INDEX($L$16:$L$5015,MATCH((MAX($N$16:$N$5015)-266+1),$N$16:$N$5015,0)))&amp;"]")</f>
        <v/>
      </c>
      <c r="V270" s="120">
        <f>IF(266&gt;MAX($N$16:$N$5015),"",HYPERLINK("#Transaksi!B"&amp;(MATCH((MAX($N$16:$N$5015)-266+1),$N$16:$N$5015,0)+15),"Buka"))</f>
        <v/>
      </c>
      <c r="X270" s="93">
        <f>IF(AND(B270&lt;&gt;"",B270&gt;='Buku Akun'!$H$4,B270&lt;='Buku Akun'!$H$5,OR(C270='Buku Akun'!$C$4,AND(D270="Pindah",E270='Buku Akun'!$C$4))),B270+IF(AND(I270="Selisih bunga",DAY(B270)=1),0,0.01)+ROW()/10000000,"")</f>
        <v/>
      </c>
    </row>
    <row r="271" outlineLevel="1" ht="15" customHeight="1" s="94">
      <c r="A271" s="123">
        <f>IF(B271="","",ROW()-15)</f>
        <v/>
      </c>
      <c r="B271" s="124" t="n"/>
      <c r="C271" s="123" t="n"/>
      <c r="D271" s="123" t="n"/>
      <c r="E271" s="123" t="n"/>
      <c r="F271" s="125" t="n"/>
      <c r="G271" s="123" t="n"/>
      <c r="H271" s="123" t="n"/>
      <c r="I271" s="123" t="n"/>
      <c r="J271" s="123" t="n"/>
      <c r="K271" s="123" t="n"/>
      <c r="L271" s="123" t="n"/>
      <c r="M271" s="123">
        <f>IF(AND(B271&lt;&gt;"",OR($C$4="",ISNUMBER(SEARCH($C$4,C271&amp;" "&amp;E271&amp;" "&amp;G271&amp;" "&amp;H271&amp;" "&amp;I271&amp;" "&amp;J271&amp;" "&amp;K271&amp;" "&amp;L271))),OR($C$5="Semua",$C$5="",G271=$C$5),OR($C$6="Semua",$C$6="",H271=$C$6,H271="Pengeluaran "&amp;$C$6,AND($C$6="Uang Kos Mama",H271="Pengeluaran Uang Kos")),OR($C$7="Semua",$C$7="",I271=$C$7),OR($C$8="Semua",$C$8="",C271=$C$8,E271=$C$8),OR($C$9="Semua",$C$9="",D271=$C$9),OR($C$10="",B271&gt;=$C$10),OR($C$11="",B271&lt;=$C$11),OR($C$12&lt;&gt;"Ya",K271&lt;&gt;""),OR($C$13="Semua",$C$13="",L271=$C$13)),"✓","")</f>
        <v/>
      </c>
      <c r="N271" s="93">
        <f>N(N270)+IF(M271="✓",1,0)</f>
        <v/>
      </c>
      <c r="O271" s="93">
        <f>N(O270)+IF(AND(B271&lt;&gt;"",B271&gt;='Uang Riba'!$H$30,B271&lt;='Uang Riba'!$I$30,OR(H271="Dana riba",H271="Pinjam uang riba",I271="Pinjam dari uang riba",I271="Ganti uang riba",I271="Kelebihan ganti dikembalikan",AND(C271="Kantong Uang Riba",G271="Pengeluaran"))),1,0)</f>
        <v/>
      </c>
      <c r="P271" s="119">
        <f>IF(267&gt;MAX($N$16:$N$5015),"",INDEX($B$16:$B$5015,MATCH((MAX($N$16:$N$5015)-267+1),$N$16:$N$5015,0)))</f>
        <v/>
      </c>
      <c r="Q271" s="105">
        <f>IF(267&gt;MAX($N$16:$N$5015),"",INDEX($C$16:$C$5015,MATCH((MAX($N$16:$N$5015)-267+1),$N$16:$N$5015,0)))&amp;IF(IF(267&gt;MAX($N$16:$N$5015),"",INDEX($E$16:$E$5015,MATCH((MAX($N$16:$N$5015)-267+1),$N$16:$N$5015,0)))="",""," → "&amp;IF(267&gt;MAX($N$16:$N$5015),"",INDEX($E$16:$E$5015,MATCH((MAX($N$16:$N$5015)-267+1),$N$16:$N$5015,0))))</f>
        <v/>
      </c>
      <c r="R271" s="105">
        <f>IF(267&gt;MAX($N$16:$N$5015),"",INDEX($D$16:$D$5015,MATCH((MAX($N$16:$N$5015)-267+1),$N$16:$N$5015,0)))</f>
        <v/>
      </c>
      <c r="S271" s="113">
        <f>IF(267&gt;MAX($N$16:$N$5015),"",INDEX($F$16:$F$5015,MATCH((MAX($N$16:$N$5015)-267+1),$N$16:$N$5015,0)))</f>
        <v/>
      </c>
      <c r="T271" s="105">
        <f>IF(267&gt;MAX($N$16:$N$5015),"",IF(267&gt;MAX($N$16:$N$5015),"",INDEX($G$16:$G$5015,MATCH((MAX($N$16:$N$5015)-267+1),$N$16:$N$5015,0)))&amp;" › "&amp;IF(267&gt;MAX($N$16:$N$5015),"",INDEX($H$16:$H$5015,MATCH((MAX($N$16:$N$5015)-267+1),$N$16:$N$5015,0)))&amp;" › "&amp;IF(267&gt;MAX($N$16:$N$5015),"",INDEX($I$16:$I$5015,MATCH((MAX($N$16:$N$5015)-267+1),$N$16:$N$5015,0))))</f>
        <v/>
      </c>
      <c r="U271" s="105">
        <f>IF(267&gt;MAX($N$16:$N$5015),"",INDEX($J$16:$J$5015,MATCH((MAX($N$16:$N$5015)-267+1),$N$16:$N$5015,0)))&amp;IF(IF(267&gt;MAX($N$16:$N$5015),"",INDEX($L$16:$L$5015,MATCH((MAX($N$16:$N$5015)-267+1),$N$16:$N$5015,0)))="",""," ["&amp;IF(267&gt;MAX($N$16:$N$5015),"",INDEX($L$16:$L$5015,MATCH((MAX($N$16:$N$5015)-267+1),$N$16:$N$5015,0)))&amp;"]")</f>
        <v/>
      </c>
      <c r="V271" s="120">
        <f>IF(267&gt;MAX($N$16:$N$5015),"",HYPERLINK("#Transaksi!B"&amp;(MATCH((MAX($N$16:$N$5015)-267+1),$N$16:$N$5015,0)+15),"Buka"))</f>
        <v/>
      </c>
      <c r="X271" s="93">
        <f>IF(AND(B271&lt;&gt;"",B271&gt;='Buku Akun'!$H$4,B271&lt;='Buku Akun'!$H$5,OR(C271='Buku Akun'!$C$4,AND(D271="Pindah",E271='Buku Akun'!$C$4))),B271+IF(AND(I271="Selisih bunga",DAY(B271)=1),0,0.01)+ROW()/10000000,"")</f>
        <v/>
      </c>
    </row>
    <row r="272" outlineLevel="1" ht="15" customHeight="1" s="94">
      <c r="A272" s="123">
        <f>IF(B272="","",ROW()-15)</f>
        <v/>
      </c>
      <c r="B272" s="124" t="n"/>
      <c r="C272" s="123" t="n"/>
      <c r="D272" s="123" t="n"/>
      <c r="E272" s="123" t="n"/>
      <c r="F272" s="125" t="n"/>
      <c r="G272" s="123" t="n"/>
      <c r="H272" s="123" t="n"/>
      <c r="I272" s="123" t="n"/>
      <c r="J272" s="123" t="n"/>
      <c r="K272" s="123" t="n"/>
      <c r="L272" s="123" t="n"/>
      <c r="M272" s="123">
        <f>IF(AND(B272&lt;&gt;"",OR($C$4="",ISNUMBER(SEARCH($C$4,C272&amp;" "&amp;E272&amp;" "&amp;G272&amp;" "&amp;H272&amp;" "&amp;I272&amp;" "&amp;J272&amp;" "&amp;K272&amp;" "&amp;L272))),OR($C$5="Semua",$C$5="",G272=$C$5),OR($C$6="Semua",$C$6="",H272=$C$6,H272="Pengeluaran "&amp;$C$6,AND($C$6="Uang Kos Mama",H272="Pengeluaran Uang Kos")),OR($C$7="Semua",$C$7="",I272=$C$7),OR($C$8="Semua",$C$8="",C272=$C$8,E272=$C$8),OR($C$9="Semua",$C$9="",D272=$C$9),OR($C$10="",B272&gt;=$C$10),OR($C$11="",B272&lt;=$C$11),OR($C$12&lt;&gt;"Ya",K272&lt;&gt;""),OR($C$13="Semua",$C$13="",L272=$C$13)),"✓","")</f>
        <v/>
      </c>
      <c r="N272" s="93">
        <f>N(N271)+IF(M272="✓",1,0)</f>
        <v/>
      </c>
      <c r="O272" s="93">
        <f>N(O271)+IF(AND(B272&lt;&gt;"",B272&gt;='Uang Riba'!$H$30,B272&lt;='Uang Riba'!$I$30,OR(H272="Dana riba",H272="Pinjam uang riba",I272="Pinjam dari uang riba",I272="Ganti uang riba",I272="Kelebihan ganti dikembalikan",AND(C272="Kantong Uang Riba",G272="Pengeluaran"))),1,0)</f>
        <v/>
      </c>
      <c r="P272" s="119">
        <f>IF(268&gt;MAX($N$16:$N$5015),"",INDEX($B$16:$B$5015,MATCH((MAX($N$16:$N$5015)-268+1),$N$16:$N$5015,0)))</f>
        <v/>
      </c>
      <c r="Q272" s="105">
        <f>IF(268&gt;MAX($N$16:$N$5015),"",INDEX($C$16:$C$5015,MATCH((MAX($N$16:$N$5015)-268+1),$N$16:$N$5015,0)))&amp;IF(IF(268&gt;MAX($N$16:$N$5015),"",INDEX($E$16:$E$5015,MATCH((MAX($N$16:$N$5015)-268+1),$N$16:$N$5015,0)))="",""," → "&amp;IF(268&gt;MAX($N$16:$N$5015),"",INDEX($E$16:$E$5015,MATCH((MAX($N$16:$N$5015)-268+1),$N$16:$N$5015,0))))</f>
        <v/>
      </c>
      <c r="R272" s="105">
        <f>IF(268&gt;MAX($N$16:$N$5015),"",INDEX($D$16:$D$5015,MATCH((MAX($N$16:$N$5015)-268+1),$N$16:$N$5015,0)))</f>
        <v/>
      </c>
      <c r="S272" s="113">
        <f>IF(268&gt;MAX($N$16:$N$5015),"",INDEX($F$16:$F$5015,MATCH((MAX($N$16:$N$5015)-268+1),$N$16:$N$5015,0)))</f>
        <v/>
      </c>
      <c r="T272" s="105">
        <f>IF(268&gt;MAX($N$16:$N$5015),"",IF(268&gt;MAX($N$16:$N$5015),"",INDEX($G$16:$G$5015,MATCH((MAX($N$16:$N$5015)-268+1),$N$16:$N$5015,0)))&amp;" › "&amp;IF(268&gt;MAX($N$16:$N$5015),"",INDEX($H$16:$H$5015,MATCH((MAX($N$16:$N$5015)-268+1),$N$16:$N$5015,0)))&amp;" › "&amp;IF(268&gt;MAX($N$16:$N$5015),"",INDEX($I$16:$I$5015,MATCH((MAX($N$16:$N$5015)-268+1),$N$16:$N$5015,0))))</f>
        <v/>
      </c>
      <c r="U272" s="105">
        <f>IF(268&gt;MAX($N$16:$N$5015),"",INDEX($J$16:$J$5015,MATCH((MAX($N$16:$N$5015)-268+1),$N$16:$N$5015,0)))&amp;IF(IF(268&gt;MAX($N$16:$N$5015),"",INDEX($L$16:$L$5015,MATCH((MAX($N$16:$N$5015)-268+1),$N$16:$N$5015,0)))="",""," ["&amp;IF(268&gt;MAX($N$16:$N$5015),"",INDEX($L$16:$L$5015,MATCH((MAX($N$16:$N$5015)-268+1),$N$16:$N$5015,0)))&amp;"]")</f>
        <v/>
      </c>
      <c r="V272" s="120">
        <f>IF(268&gt;MAX($N$16:$N$5015),"",HYPERLINK("#Transaksi!B"&amp;(MATCH((MAX($N$16:$N$5015)-268+1),$N$16:$N$5015,0)+15),"Buka"))</f>
        <v/>
      </c>
      <c r="X272" s="93">
        <f>IF(AND(B272&lt;&gt;"",B272&gt;='Buku Akun'!$H$4,B272&lt;='Buku Akun'!$H$5,OR(C272='Buku Akun'!$C$4,AND(D272="Pindah",E272='Buku Akun'!$C$4))),B272+IF(AND(I272="Selisih bunga",DAY(B272)=1),0,0.01)+ROW()/10000000,"")</f>
        <v/>
      </c>
    </row>
    <row r="273" outlineLevel="1" ht="15" customHeight="1" s="94">
      <c r="A273" s="123">
        <f>IF(B273="","",ROW()-15)</f>
        <v/>
      </c>
      <c r="B273" s="124" t="n"/>
      <c r="C273" s="123" t="n"/>
      <c r="D273" s="123" t="n"/>
      <c r="E273" s="123" t="n"/>
      <c r="F273" s="125" t="n"/>
      <c r="G273" s="123" t="n"/>
      <c r="H273" s="123" t="n"/>
      <c r="I273" s="123" t="n"/>
      <c r="J273" s="123" t="n"/>
      <c r="K273" s="123" t="n"/>
      <c r="L273" s="123" t="n"/>
      <c r="M273" s="123">
        <f>IF(AND(B273&lt;&gt;"",OR($C$4="",ISNUMBER(SEARCH($C$4,C273&amp;" "&amp;E273&amp;" "&amp;G273&amp;" "&amp;H273&amp;" "&amp;I273&amp;" "&amp;J273&amp;" "&amp;K273&amp;" "&amp;L273))),OR($C$5="Semua",$C$5="",G273=$C$5),OR($C$6="Semua",$C$6="",H273=$C$6,H273="Pengeluaran "&amp;$C$6,AND($C$6="Uang Kos Mama",H273="Pengeluaran Uang Kos")),OR($C$7="Semua",$C$7="",I273=$C$7),OR($C$8="Semua",$C$8="",C273=$C$8,E273=$C$8),OR($C$9="Semua",$C$9="",D273=$C$9),OR($C$10="",B273&gt;=$C$10),OR($C$11="",B273&lt;=$C$11),OR($C$12&lt;&gt;"Ya",K273&lt;&gt;""),OR($C$13="Semua",$C$13="",L273=$C$13)),"✓","")</f>
        <v/>
      </c>
      <c r="N273" s="93">
        <f>N(N272)+IF(M273="✓",1,0)</f>
        <v/>
      </c>
      <c r="O273" s="93">
        <f>N(O272)+IF(AND(B273&lt;&gt;"",B273&gt;='Uang Riba'!$H$30,B273&lt;='Uang Riba'!$I$30,OR(H273="Dana riba",H273="Pinjam uang riba",I273="Pinjam dari uang riba",I273="Ganti uang riba",I273="Kelebihan ganti dikembalikan",AND(C273="Kantong Uang Riba",G273="Pengeluaran"))),1,0)</f>
        <v/>
      </c>
      <c r="P273" s="119">
        <f>IF(269&gt;MAX($N$16:$N$5015),"",INDEX($B$16:$B$5015,MATCH((MAX($N$16:$N$5015)-269+1),$N$16:$N$5015,0)))</f>
        <v/>
      </c>
      <c r="Q273" s="105">
        <f>IF(269&gt;MAX($N$16:$N$5015),"",INDEX($C$16:$C$5015,MATCH((MAX($N$16:$N$5015)-269+1),$N$16:$N$5015,0)))&amp;IF(IF(269&gt;MAX($N$16:$N$5015),"",INDEX($E$16:$E$5015,MATCH((MAX($N$16:$N$5015)-269+1),$N$16:$N$5015,0)))="",""," → "&amp;IF(269&gt;MAX($N$16:$N$5015),"",INDEX($E$16:$E$5015,MATCH((MAX($N$16:$N$5015)-269+1),$N$16:$N$5015,0))))</f>
        <v/>
      </c>
      <c r="R273" s="105">
        <f>IF(269&gt;MAX($N$16:$N$5015),"",INDEX($D$16:$D$5015,MATCH((MAX($N$16:$N$5015)-269+1),$N$16:$N$5015,0)))</f>
        <v/>
      </c>
      <c r="S273" s="113">
        <f>IF(269&gt;MAX($N$16:$N$5015),"",INDEX($F$16:$F$5015,MATCH((MAX($N$16:$N$5015)-269+1),$N$16:$N$5015,0)))</f>
        <v/>
      </c>
      <c r="T273" s="105">
        <f>IF(269&gt;MAX($N$16:$N$5015),"",IF(269&gt;MAX($N$16:$N$5015),"",INDEX($G$16:$G$5015,MATCH((MAX($N$16:$N$5015)-269+1),$N$16:$N$5015,0)))&amp;" › "&amp;IF(269&gt;MAX($N$16:$N$5015),"",INDEX($H$16:$H$5015,MATCH((MAX($N$16:$N$5015)-269+1),$N$16:$N$5015,0)))&amp;" › "&amp;IF(269&gt;MAX($N$16:$N$5015),"",INDEX($I$16:$I$5015,MATCH((MAX($N$16:$N$5015)-269+1),$N$16:$N$5015,0))))</f>
        <v/>
      </c>
      <c r="U273" s="105">
        <f>IF(269&gt;MAX($N$16:$N$5015),"",INDEX($J$16:$J$5015,MATCH((MAX($N$16:$N$5015)-269+1),$N$16:$N$5015,0)))&amp;IF(IF(269&gt;MAX($N$16:$N$5015),"",INDEX($L$16:$L$5015,MATCH((MAX($N$16:$N$5015)-269+1),$N$16:$N$5015,0)))="",""," ["&amp;IF(269&gt;MAX($N$16:$N$5015),"",INDEX($L$16:$L$5015,MATCH((MAX($N$16:$N$5015)-269+1),$N$16:$N$5015,0)))&amp;"]")</f>
        <v/>
      </c>
      <c r="V273" s="120">
        <f>IF(269&gt;MAX($N$16:$N$5015),"",HYPERLINK("#Transaksi!B"&amp;(MATCH((MAX($N$16:$N$5015)-269+1),$N$16:$N$5015,0)+15),"Buka"))</f>
        <v/>
      </c>
      <c r="X273" s="93">
        <f>IF(AND(B273&lt;&gt;"",B273&gt;='Buku Akun'!$H$4,B273&lt;='Buku Akun'!$H$5,OR(C273='Buku Akun'!$C$4,AND(D273="Pindah",E273='Buku Akun'!$C$4))),B273+IF(AND(I273="Selisih bunga",DAY(B273)=1),0,0.01)+ROW()/10000000,"")</f>
        <v/>
      </c>
    </row>
    <row r="274" outlineLevel="1" ht="15" customHeight="1" s="94">
      <c r="A274" s="123">
        <f>IF(B274="","",ROW()-15)</f>
        <v/>
      </c>
      <c r="B274" s="124" t="n"/>
      <c r="C274" s="123" t="n"/>
      <c r="D274" s="123" t="n"/>
      <c r="E274" s="123" t="n"/>
      <c r="F274" s="125" t="n"/>
      <c r="G274" s="123" t="n"/>
      <c r="H274" s="123" t="n"/>
      <c r="I274" s="123" t="n"/>
      <c r="J274" s="123" t="n"/>
      <c r="K274" s="123" t="n"/>
      <c r="L274" s="123" t="n"/>
      <c r="M274" s="123">
        <f>IF(AND(B274&lt;&gt;"",OR($C$4="",ISNUMBER(SEARCH($C$4,C274&amp;" "&amp;E274&amp;" "&amp;G274&amp;" "&amp;H274&amp;" "&amp;I274&amp;" "&amp;J274&amp;" "&amp;K274&amp;" "&amp;L274))),OR($C$5="Semua",$C$5="",G274=$C$5),OR($C$6="Semua",$C$6="",H274=$C$6,H274="Pengeluaran "&amp;$C$6,AND($C$6="Uang Kos Mama",H274="Pengeluaran Uang Kos")),OR($C$7="Semua",$C$7="",I274=$C$7),OR($C$8="Semua",$C$8="",C274=$C$8,E274=$C$8),OR($C$9="Semua",$C$9="",D274=$C$9),OR($C$10="",B274&gt;=$C$10),OR($C$11="",B274&lt;=$C$11),OR($C$12&lt;&gt;"Ya",K274&lt;&gt;""),OR($C$13="Semua",$C$13="",L274=$C$13)),"✓","")</f>
        <v/>
      </c>
      <c r="N274" s="93">
        <f>N(N273)+IF(M274="✓",1,0)</f>
        <v/>
      </c>
      <c r="O274" s="93">
        <f>N(O273)+IF(AND(B274&lt;&gt;"",B274&gt;='Uang Riba'!$H$30,B274&lt;='Uang Riba'!$I$30,OR(H274="Dana riba",H274="Pinjam uang riba",I274="Pinjam dari uang riba",I274="Ganti uang riba",I274="Kelebihan ganti dikembalikan",AND(C274="Kantong Uang Riba",G274="Pengeluaran"))),1,0)</f>
        <v/>
      </c>
      <c r="P274" s="119">
        <f>IF(270&gt;MAX($N$16:$N$5015),"",INDEX($B$16:$B$5015,MATCH((MAX($N$16:$N$5015)-270+1),$N$16:$N$5015,0)))</f>
        <v/>
      </c>
      <c r="Q274" s="105">
        <f>IF(270&gt;MAX($N$16:$N$5015),"",INDEX($C$16:$C$5015,MATCH((MAX($N$16:$N$5015)-270+1),$N$16:$N$5015,0)))&amp;IF(IF(270&gt;MAX($N$16:$N$5015),"",INDEX($E$16:$E$5015,MATCH((MAX($N$16:$N$5015)-270+1),$N$16:$N$5015,0)))="",""," → "&amp;IF(270&gt;MAX($N$16:$N$5015),"",INDEX($E$16:$E$5015,MATCH((MAX($N$16:$N$5015)-270+1),$N$16:$N$5015,0))))</f>
        <v/>
      </c>
      <c r="R274" s="105">
        <f>IF(270&gt;MAX($N$16:$N$5015),"",INDEX($D$16:$D$5015,MATCH((MAX($N$16:$N$5015)-270+1),$N$16:$N$5015,0)))</f>
        <v/>
      </c>
      <c r="S274" s="113">
        <f>IF(270&gt;MAX($N$16:$N$5015),"",INDEX($F$16:$F$5015,MATCH((MAX($N$16:$N$5015)-270+1),$N$16:$N$5015,0)))</f>
        <v/>
      </c>
      <c r="T274" s="105">
        <f>IF(270&gt;MAX($N$16:$N$5015),"",IF(270&gt;MAX($N$16:$N$5015),"",INDEX($G$16:$G$5015,MATCH((MAX($N$16:$N$5015)-270+1),$N$16:$N$5015,0)))&amp;" › "&amp;IF(270&gt;MAX($N$16:$N$5015),"",INDEX($H$16:$H$5015,MATCH((MAX($N$16:$N$5015)-270+1),$N$16:$N$5015,0)))&amp;" › "&amp;IF(270&gt;MAX($N$16:$N$5015),"",INDEX($I$16:$I$5015,MATCH((MAX($N$16:$N$5015)-270+1),$N$16:$N$5015,0))))</f>
        <v/>
      </c>
      <c r="U274" s="105">
        <f>IF(270&gt;MAX($N$16:$N$5015),"",INDEX($J$16:$J$5015,MATCH((MAX($N$16:$N$5015)-270+1),$N$16:$N$5015,0)))&amp;IF(IF(270&gt;MAX($N$16:$N$5015),"",INDEX($L$16:$L$5015,MATCH((MAX($N$16:$N$5015)-270+1),$N$16:$N$5015,0)))="",""," ["&amp;IF(270&gt;MAX($N$16:$N$5015),"",INDEX($L$16:$L$5015,MATCH((MAX($N$16:$N$5015)-270+1),$N$16:$N$5015,0)))&amp;"]")</f>
        <v/>
      </c>
      <c r="V274" s="120">
        <f>IF(270&gt;MAX($N$16:$N$5015),"",HYPERLINK("#Transaksi!B"&amp;(MATCH((MAX($N$16:$N$5015)-270+1),$N$16:$N$5015,0)+15),"Buka"))</f>
        <v/>
      </c>
      <c r="X274" s="93">
        <f>IF(AND(B274&lt;&gt;"",B274&gt;='Buku Akun'!$H$4,B274&lt;='Buku Akun'!$H$5,OR(C274='Buku Akun'!$C$4,AND(D274="Pindah",E274='Buku Akun'!$C$4))),B274+IF(AND(I274="Selisih bunga",DAY(B274)=1),0,0.01)+ROW()/10000000,"")</f>
        <v/>
      </c>
    </row>
    <row r="275" outlineLevel="1" ht="15" customHeight="1" s="94">
      <c r="A275" s="123">
        <f>IF(B275="","",ROW()-15)</f>
        <v/>
      </c>
      <c r="B275" s="124" t="n"/>
      <c r="C275" s="123" t="n"/>
      <c r="D275" s="123" t="n"/>
      <c r="E275" s="123" t="n"/>
      <c r="F275" s="125" t="n"/>
      <c r="G275" s="123" t="n"/>
      <c r="H275" s="123" t="n"/>
      <c r="I275" s="123" t="n"/>
      <c r="J275" s="123" t="n"/>
      <c r="K275" s="123" t="n"/>
      <c r="L275" s="123" t="n"/>
      <c r="M275" s="123">
        <f>IF(AND(B275&lt;&gt;"",OR($C$4="",ISNUMBER(SEARCH($C$4,C275&amp;" "&amp;E275&amp;" "&amp;G275&amp;" "&amp;H275&amp;" "&amp;I275&amp;" "&amp;J275&amp;" "&amp;K275&amp;" "&amp;L275))),OR($C$5="Semua",$C$5="",G275=$C$5),OR($C$6="Semua",$C$6="",H275=$C$6,H275="Pengeluaran "&amp;$C$6,AND($C$6="Uang Kos Mama",H275="Pengeluaran Uang Kos")),OR($C$7="Semua",$C$7="",I275=$C$7),OR($C$8="Semua",$C$8="",C275=$C$8,E275=$C$8),OR($C$9="Semua",$C$9="",D275=$C$9),OR($C$10="",B275&gt;=$C$10),OR($C$11="",B275&lt;=$C$11),OR($C$12&lt;&gt;"Ya",K275&lt;&gt;""),OR($C$13="Semua",$C$13="",L275=$C$13)),"✓","")</f>
        <v/>
      </c>
      <c r="N275" s="93">
        <f>N(N274)+IF(M275="✓",1,0)</f>
        <v/>
      </c>
      <c r="O275" s="93">
        <f>N(O274)+IF(AND(B275&lt;&gt;"",B275&gt;='Uang Riba'!$H$30,B275&lt;='Uang Riba'!$I$30,OR(H275="Dana riba",H275="Pinjam uang riba",I275="Pinjam dari uang riba",I275="Ganti uang riba",I275="Kelebihan ganti dikembalikan",AND(C275="Kantong Uang Riba",G275="Pengeluaran"))),1,0)</f>
        <v/>
      </c>
      <c r="P275" s="119">
        <f>IF(271&gt;MAX($N$16:$N$5015),"",INDEX($B$16:$B$5015,MATCH((MAX($N$16:$N$5015)-271+1),$N$16:$N$5015,0)))</f>
        <v/>
      </c>
      <c r="Q275" s="105">
        <f>IF(271&gt;MAX($N$16:$N$5015),"",INDEX($C$16:$C$5015,MATCH((MAX($N$16:$N$5015)-271+1),$N$16:$N$5015,0)))&amp;IF(IF(271&gt;MAX($N$16:$N$5015),"",INDEX($E$16:$E$5015,MATCH((MAX($N$16:$N$5015)-271+1),$N$16:$N$5015,0)))="",""," → "&amp;IF(271&gt;MAX($N$16:$N$5015),"",INDEX($E$16:$E$5015,MATCH((MAX($N$16:$N$5015)-271+1),$N$16:$N$5015,0))))</f>
        <v/>
      </c>
      <c r="R275" s="105">
        <f>IF(271&gt;MAX($N$16:$N$5015),"",INDEX($D$16:$D$5015,MATCH((MAX($N$16:$N$5015)-271+1),$N$16:$N$5015,0)))</f>
        <v/>
      </c>
      <c r="S275" s="113">
        <f>IF(271&gt;MAX($N$16:$N$5015),"",INDEX($F$16:$F$5015,MATCH((MAX($N$16:$N$5015)-271+1),$N$16:$N$5015,0)))</f>
        <v/>
      </c>
      <c r="T275" s="105">
        <f>IF(271&gt;MAX($N$16:$N$5015),"",IF(271&gt;MAX($N$16:$N$5015),"",INDEX($G$16:$G$5015,MATCH((MAX($N$16:$N$5015)-271+1),$N$16:$N$5015,0)))&amp;" › "&amp;IF(271&gt;MAX($N$16:$N$5015),"",INDEX($H$16:$H$5015,MATCH((MAX($N$16:$N$5015)-271+1),$N$16:$N$5015,0)))&amp;" › "&amp;IF(271&gt;MAX($N$16:$N$5015),"",INDEX($I$16:$I$5015,MATCH((MAX($N$16:$N$5015)-271+1),$N$16:$N$5015,0))))</f>
        <v/>
      </c>
      <c r="U275" s="105">
        <f>IF(271&gt;MAX($N$16:$N$5015),"",INDEX($J$16:$J$5015,MATCH((MAX($N$16:$N$5015)-271+1),$N$16:$N$5015,0)))&amp;IF(IF(271&gt;MAX($N$16:$N$5015),"",INDEX($L$16:$L$5015,MATCH((MAX($N$16:$N$5015)-271+1),$N$16:$N$5015,0)))="",""," ["&amp;IF(271&gt;MAX($N$16:$N$5015),"",INDEX($L$16:$L$5015,MATCH((MAX($N$16:$N$5015)-271+1),$N$16:$N$5015,0)))&amp;"]")</f>
        <v/>
      </c>
      <c r="V275" s="120">
        <f>IF(271&gt;MAX($N$16:$N$5015),"",HYPERLINK("#Transaksi!B"&amp;(MATCH((MAX($N$16:$N$5015)-271+1),$N$16:$N$5015,0)+15),"Buka"))</f>
        <v/>
      </c>
      <c r="X275" s="93">
        <f>IF(AND(B275&lt;&gt;"",B275&gt;='Buku Akun'!$H$4,B275&lt;='Buku Akun'!$H$5,OR(C275='Buku Akun'!$C$4,AND(D275="Pindah",E275='Buku Akun'!$C$4))),B275+IF(AND(I275="Selisih bunga",DAY(B275)=1),0,0.01)+ROW()/10000000,"")</f>
        <v/>
      </c>
    </row>
    <row r="276" outlineLevel="1" ht="15" customHeight="1" s="94">
      <c r="A276" s="123">
        <f>IF(B276="","",ROW()-15)</f>
        <v/>
      </c>
      <c r="B276" s="124" t="n"/>
      <c r="C276" s="123" t="n"/>
      <c r="D276" s="123" t="n"/>
      <c r="E276" s="123" t="n"/>
      <c r="F276" s="125" t="n"/>
      <c r="G276" s="123" t="n"/>
      <c r="H276" s="123" t="n"/>
      <c r="I276" s="123" t="n"/>
      <c r="J276" s="123" t="n"/>
      <c r="K276" s="123" t="n"/>
      <c r="L276" s="123" t="n"/>
      <c r="M276" s="123">
        <f>IF(AND(B276&lt;&gt;"",OR($C$4="",ISNUMBER(SEARCH($C$4,C276&amp;" "&amp;E276&amp;" "&amp;G276&amp;" "&amp;H276&amp;" "&amp;I276&amp;" "&amp;J276&amp;" "&amp;K276&amp;" "&amp;L276))),OR($C$5="Semua",$C$5="",G276=$C$5),OR($C$6="Semua",$C$6="",H276=$C$6,H276="Pengeluaran "&amp;$C$6,AND($C$6="Uang Kos Mama",H276="Pengeluaran Uang Kos")),OR($C$7="Semua",$C$7="",I276=$C$7),OR($C$8="Semua",$C$8="",C276=$C$8,E276=$C$8),OR($C$9="Semua",$C$9="",D276=$C$9),OR($C$10="",B276&gt;=$C$10),OR($C$11="",B276&lt;=$C$11),OR($C$12&lt;&gt;"Ya",K276&lt;&gt;""),OR($C$13="Semua",$C$13="",L276=$C$13)),"✓","")</f>
        <v/>
      </c>
      <c r="N276" s="93">
        <f>N(N275)+IF(M276="✓",1,0)</f>
        <v/>
      </c>
      <c r="O276" s="93">
        <f>N(O275)+IF(AND(B276&lt;&gt;"",B276&gt;='Uang Riba'!$H$30,B276&lt;='Uang Riba'!$I$30,OR(H276="Dana riba",H276="Pinjam uang riba",I276="Pinjam dari uang riba",I276="Ganti uang riba",I276="Kelebihan ganti dikembalikan",AND(C276="Kantong Uang Riba",G276="Pengeluaran"))),1,0)</f>
        <v/>
      </c>
      <c r="P276" s="119">
        <f>IF(272&gt;MAX($N$16:$N$5015),"",INDEX($B$16:$B$5015,MATCH((MAX($N$16:$N$5015)-272+1),$N$16:$N$5015,0)))</f>
        <v/>
      </c>
      <c r="Q276" s="105">
        <f>IF(272&gt;MAX($N$16:$N$5015),"",INDEX($C$16:$C$5015,MATCH((MAX($N$16:$N$5015)-272+1),$N$16:$N$5015,0)))&amp;IF(IF(272&gt;MAX($N$16:$N$5015),"",INDEX($E$16:$E$5015,MATCH((MAX($N$16:$N$5015)-272+1),$N$16:$N$5015,0)))="",""," → "&amp;IF(272&gt;MAX($N$16:$N$5015),"",INDEX($E$16:$E$5015,MATCH((MAX($N$16:$N$5015)-272+1),$N$16:$N$5015,0))))</f>
        <v/>
      </c>
      <c r="R276" s="105">
        <f>IF(272&gt;MAX($N$16:$N$5015),"",INDEX($D$16:$D$5015,MATCH((MAX($N$16:$N$5015)-272+1),$N$16:$N$5015,0)))</f>
        <v/>
      </c>
      <c r="S276" s="113">
        <f>IF(272&gt;MAX($N$16:$N$5015),"",INDEX($F$16:$F$5015,MATCH((MAX($N$16:$N$5015)-272+1),$N$16:$N$5015,0)))</f>
        <v/>
      </c>
      <c r="T276" s="105">
        <f>IF(272&gt;MAX($N$16:$N$5015),"",IF(272&gt;MAX($N$16:$N$5015),"",INDEX($G$16:$G$5015,MATCH((MAX($N$16:$N$5015)-272+1),$N$16:$N$5015,0)))&amp;" › "&amp;IF(272&gt;MAX($N$16:$N$5015),"",INDEX($H$16:$H$5015,MATCH((MAX($N$16:$N$5015)-272+1),$N$16:$N$5015,0)))&amp;" › "&amp;IF(272&gt;MAX($N$16:$N$5015),"",INDEX($I$16:$I$5015,MATCH((MAX($N$16:$N$5015)-272+1),$N$16:$N$5015,0))))</f>
        <v/>
      </c>
      <c r="U276" s="105">
        <f>IF(272&gt;MAX($N$16:$N$5015),"",INDEX($J$16:$J$5015,MATCH((MAX($N$16:$N$5015)-272+1),$N$16:$N$5015,0)))&amp;IF(IF(272&gt;MAX($N$16:$N$5015),"",INDEX($L$16:$L$5015,MATCH((MAX($N$16:$N$5015)-272+1),$N$16:$N$5015,0)))="",""," ["&amp;IF(272&gt;MAX($N$16:$N$5015),"",INDEX($L$16:$L$5015,MATCH((MAX($N$16:$N$5015)-272+1),$N$16:$N$5015,0)))&amp;"]")</f>
        <v/>
      </c>
      <c r="V276" s="120">
        <f>IF(272&gt;MAX($N$16:$N$5015),"",HYPERLINK("#Transaksi!B"&amp;(MATCH((MAX($N$16:$N$5015)-272+1),$N$16:$N$5015,0)+15),"Buka"))</f>
        <v/>
      </c>
      <c r="X276" s="93">
        <f>IF(AND(B276&lt;&gt;"",B276&gt;='Buku Akun'!$H$4,B276&lt;='Buku Akun'!$H$5,OR(C276='Buku Akun'!$C$4,AND(D276="Pindah",E276='Buku Akun'!$C$4))),B276+IF(AND(I276="Selisih bunga",DAY(B276)=1),0,0.01)+ROW()/10000000,"")</f>
        <v/>
      </c>
    </row>
    <row r="277" outlineLevel="1" ht="15" customHeight="1" s="94">
      <c r="A277" s="123">
        <f>IF(B277="","",ROW()-15)</f>
        <v/>
      </c>
      <c r="B277" s="124" t="n"/>
      <c r="C277" s="123" t="n"/>
      <c r="D277" s="123" t="n"/>
      <c r="E277" s="123" t="n"/>
      <c r="F277" s="125" t="n"/>
      <c r="G277" s="123" t="n"/>
      <c r="H277" s="123" t="n"/>
      <c r="I277" s="123" t="n"/>
      <c r="J277" s="123" t="n"/>
      <c r="K277" s="123" t="n"/>
      <c r="L277" s="123" t="n"/>
      <c r="M277" s="123">
        <f>IF(AND(B277&lt;&gt;"",OR($C$4="",ISNUMBER(SEARCH($C$4,C277&amp;" "&amp;E277&amp;" "&amp;G277&amp;" "&amp;H277&amp;" "&amp;I277&amp;" "&amp;J277&amp;" "&amp;K277&amp;" "&amp;L277))),OR($C$5="Semua",$C$5="",G277=$C$5),OR($C$6="Semua",$C$6="",H277=$C$6,H277="Pengeluaran "&amp;$C$6,AND($C$6="Uang Kos Mama",H277="Pengeluaran Uang Kos")),OR($C$7="Semua",$C$7="",I277=$C$7),OR($C$8="Semua",$C$8="",C277=$C$8,E277=$C$8),OR($C$9="Semua",$C$9="",D277=$C$9),OR($C$10="",B277&gt;=$C$10),OR($C$11="",B277&lt;=$C$11),OR($C$12&lt;&gt;"Ya",K277&lt;&gt;""),OR($C$13="Semua",$C$13="",L277=$C$13)),"✓","")</f>
        <v/>
      </c>
      <c r="N277" s="93">
        <f>N(N276)+IF(M277="✓",1,0)</f>
        <v/>
      </c>
      <c r="O277" s="93">
        <f>N(O276)+IF(AND(B277&lt;&gt;"",B277&gt;='Uang Riba'!$H$30,B277&lt;='Uang Riba'!$I$30,OR(H277="Dana riba",H277="Pinjam uang riba",I277="Pinjam dari uang riba",I277="Ganti uang riba",I277="Kelebihan ganti dikembalikan",AND(C277="Kantong Uang Riba",G277="Pengeluaran"))),1,0)</f>
        <v/>
      </c>
      <c r="P277" s="119">
        <f>IF(273&gt;MAX($N$16:$N$5015),"",INDEX($B$16:$B$5015,MATCH((MAX($N$16:$N$5015)-273+1),$N$16:$N$5015,0)))</f>
        <v/>
      </c>
      <c r="Q277" s="105">
        <f>IF(273&gt;MAX($N$16:$N$5015),"",INDEX($C$16:$C$5015,MATCH((MAX($N$16:$N$5015)-273+1),$N$16:$N$5015,0)))&amp;IF(IF(273&gt;MAX($N$16:$N$5015),"",INDEX($E$16:$E$5015,MATCH((MAX($N$16:$N$5015)-273+1),$N$16:$N$5015,0)))="",""," → "&amp;IF(273&gt;MAX($N$16:$N$5015),"",INDEX($E$16:$E$5015,MATCH((MAX($N$16:$N$5015)-273+1),$N$16:$N$5015,0))))</f>
        <v/>
      </c>
      <c r="R277" s="105">
        <f>IF(273&gt;MAX($N$16:$N$5015),"",INDEX($D$16:$D$5015,MATCH((MAX($N$16:$N$5015)-273+1),$N$16:$N$5015,0)))</f>
        <v/>
      </c>
      <c r="S277" s="113">
        <f>IF(273&gt;MAX($N$16:$N$5015),"",INDEX($F$16:$F$5015,MATCH((MAX($N$16:$N$5015)-273+1),$N$16:$N$5015,0)))</f>
        <v/>
      </c>
      <c r="T277" s="105">
        <f>IF(273&gt;MAX($N$16:$N$5015),"",IF(273&gt;MAX($N$16:$N$5015),"",INDEX($G$16:$G$5015,MATCH((MAX($N$16:$N$5015)-273+1),$N$16:$N$5015,0)))&amp;" › "&amp;IF(273&gt;MAX($N$16:$N$5015),"",INDEX($H$16:$H$5015,MATCH((MAX($N$16:$N$5015)-273+1),$N$16:$N$5015,0)))&amp;" › "&amp;IF(273&gt;MAX($N$16:$N$5015),"",INDEX($I$16:$I$5015,MATCH((MAX($N$16:$N$5015)-273+1),$N$16:$N$5015,0))))</f>
        <v/>
      </c>
      <c r="U277" s="105">
        <f>IF(273&gt;MAX($N$16:$N$5015),"",INDEX($J$16:$J$5015,MATCH((MAX($N$16:$N$5015)-273+1),$N$16:$N$5015,0)))&amp;IF(IF(273&gt;MAX($N$16:$N$5015),"",INDEX($L$16:$L$5015,MATCH((MAX($N$16:$N$5015)-273+1),$N$16:$N$5015,0)))="",""," ["&amp;IF(273&gt;MAX($N$16:$N$5015),"",INDEX($L$16:$L$5015,MATCH((MAX($N$16:$N$5015)-273+1),$N$16:$N$5015,0)))&amp;"]")</f>
        <v/>
      </c>
      <c r="V277" s="120">
        <f>IF(273&gt;MAX($N$16:$N$5015),"",HYPERLINK("#Transaksi!B"&amp;(MATCH((MAX($N$16:$N$5015)-273+1),$N$16:$N$5015,0)+15),"Buka"))</f>
        <v/>
      </c>
      <c r="X277" s="93">
        <f>IF(AND(B277&lt;&gt;"",B277&gt;='Buku Akun'!$H$4,B277&lt;='Buku Akun'!$H$5,OR(C277='Buku Akun'!$C$4,AND(D277="Pindah",E277='Buku Akun'!$C$4))),B277+IF(AND(I277="Selisih bunga",DAY(B277)=1),0,0.01)+ROW()/10000000,"")</f>
        <v/>
      </c>
    </row>
    <row r="278" outlineLevel="1" ht="15" customHeight="1" s="94">
      <c r="A278" s="123">
        <f>IF(B278="","",ROW()-15)</f>
        <v/>
      </c>
      <c r="B278" s="124" t="n"/>
      <c r="C278" s="123" t="n"/>
      <c r="D278" s="123" t="n"/>
      <c r="E278" s="123" t="n"/>
      <c r="F278" s="125" t="n"/>
      <c r="G278" s="123" t="n"/>
      <c r="H278" s="123" t="n"/>
      <c r="I278" s="123" t="n"/>
      <c r="J278" s="123" t="n"/>
      <c r="K278" s="123" t="n"/>
      <c r="L278" s="123" t="n"/>
      <c r="M278" s="123">
        <f>IF(AND(B278&lt;&gt;"",OR($C$4="",ISNUMBER(SEARCH($C$4,C278&amp;" "&amp;E278&amp;" "&amp;G278&amp;" "&amp;H278&amp;" "&amp;I278&amp;" "&amp;J278&amp;" "&amp;K278&amp;" "&amp;L278))),OR($C$5="Semua",$C$5="",G278=$C$5),OR($C$6="Semua",$C$6="",H278=$C$6,H278="Pengeluaran "&amp;$C$6,AND($C$6="Uang Kos Mama",H278="Pengeluaran Uang Kos")),OR($C$7="Semua",$C$7="",I278=$C$7),OR($C$8="Semua",$C$8="",C278=$C$8,E278=$C$8),OR($C$9="Semua",$C$9="",D278=$C$9),OR($C$10="",B278&gt;=$C$10),OR($C$11="",B278&lt;=$C$11),OR($C$12&lt;&gt;"Ya",K278&lt;&gt;""),OR($C$13="Semua",$C$13="",L278=$C$13)),"✓","")</f>
        <v/>
      </c>
      <c r="N278" s="93">
        <f>N(N277)+IF(M278="✓",1,0)</f>
        <v/>
      </c>
      <c r="O278" s="93">
        <f>N(O277)+IF(AND(B278&lt;&gt;"",B278&gt;='Uang Riba'!$H$30,B278&lt;='Uang Riba'!$I$30,OR(H278="Dana riba",H278="Pinjam uang riba",I278="Pinjam dari uang riba",I278="Ganti uang riba",I278="Kelebihan ganti dikembalikan",AND(C278="Kantong Uang Riba",G278="Pengeluaran"))),1,0)</f>
        <v/>
      </c>
      <c r="P278" s="119">
        <f>IF(274&gt;MAX($N$16:$N$5015),"",INDEX($B$16:$B$5015,MATCH((MAX($N$16:$N$5015)-274+1),$N$16:$N$5015,0)))</f>
        <v/>
      </c>
      <c r="Q278" s="105">
        <f>IF(274&gt;MAX($N$16:$N$5015),"",INDEX($C$16:$C$5015,MATCH((MAX($N$16:$N$5015)-274+1),$N$16:$N$5015,0)))&amp;IF(IF(274&gt;MAX($N$16:$N$5015),"",INDEX($E$16:$E$5015,MATCH((MAX($N$16:$N$5015)-274+1),$N$16:$N$5015,0)))="",""," → "&amp;IF(274&gt;MAX($N$16:$N$5015),"",INDEX($E$16:$E$5015,MATCH((MAX($N$16:$N$5015)-274+1),$N$16:$N$5015,0))))</f>
        <v/>
      </c>
      <c r="R278" s="105">
        <f>IF(274&gt;MAX($N$16:$N$5015),"",INDEX($D$16:$D$5015,MATCH((MAX($N$16:$N$5015)-274+1),$N$16:$N$5015,0)))</f>
        <v/>
      </c>
      <c r="S278" s="113">
        <f>IF(274&gt;MAX($N$16:$N$5015),"",INDEX($F$16:$F$5015,MATCH((MAX($N$16:$N$5015)-274+1),$N$16:$N$5015,0)))</f>
        <v/>
      </c>
      <c r="T278" s="105">
        <f>IF(274&gt;MAX($N$16:$N$5015),"",IF(274&gt;MAX($N$16:$N$5015),"",INDEX($G$16:$G$5015,MATCH((MAX($N$16:$N$5015)-274+1),$N$16:$N$5015,0)))&amp;" › "&amp;IF(274&gt;MAX($N$16:$N$5015),"",INDEX($H$16:$H$5015,MATCH((MAX($N$16:$N$5015)-274+1),$N$16:$N$5015,0)))&amp;" › "&amp;IF(274&gt;MAX($N$16:$N$5015),"",INDEX($I$16:$I$5015,MATCH((MAX($N$16:$N$5015)-274+1),$N$16:$N$5015,0))))</f>
        <v/>
      </c>
      <c r="U278" s="105">
        <f>IF(274&gt;MAX($N$16:$N$5015),"",INDEX($J$16:$J$5015,MATCH((MAX($N$16:$N$5015)-274+1),$N$16:$N$5015,0)))&amp;IF(IF(274&gt;MAX($N$16:$N$5015),"",INDEX($L$16:$L$5015,MATCH((MAX($N$16:$N$5015)-274+1),$N$16:$N$5015,0)))="",""," ["&amp;IF(274&gt;MAX($N$16:$N$5015),"",INDEX($L$16:$L$5015,MATCH((MAX($N$16:$N$5015)-274+1),$N$16:$N$5015,0)))&amp;"]")</f>
        <v/>
      </c>
      <c r="V278" s="120">
        <f>IF(274&gt;MAX($N$16:$N$5015),"",HYPERLINK("#Transaksi!B"&amp;(MATCH((MAX($N$16:$N$5015)-274+1),$N$16:$N$5015,0)+15),"Buka"))</f>
        <v/>
      </c>
      <c r="X278" s="93">
        <f>IF(AND(B278&lt;&gt;"",B278&gt;='Buku Akun'!$H$4,B278&lt;='Buku Akun'!$H$5,OR(C278='Buku Akun'!$C$4,AND(D278="Pindah",E278='Buku Akun'!$C$4))),B278+IF(AND(I278="Selisih bunga",DAY(B278)=1),0,0.01)+ROW()/10000000,"")</f>
        <v/>
      </c>
    </row>
    <row r="279" outlineLevel="1" ht="15" customHeight="1" s="94">
      <c r="A279" s="123">
        <f>IF(B279="","",ROW()-15)</f>
        <v/>
      </c>
      <c r="B279" s="124" t="n"/>
      <c r="C279" s="123" t="n"/>
      <c r="D279" s="123" t="n"/>
      <c r="E279" s="123" t="n"/>
      <c r="F279" s="125" t="n"/>
      <c r="G279" s="123" t="n"/>
      <c r="H279" s="123" t="n"/>
      <c r="I279" s="123" t="n"/>
      <c r="J279" s="123" t="n"/>
      <c r="K279" s="123" t="n"/>
      <c r="L279" s="123" t="n"/>
      <c r="M279" s="123">
        <f>IF(AND(B279&lt;&gt;"",OR($C$4="",ISNUMBER(SEARCH($C$4,C279&amp;" "&amp;E279&amp;" "&amp;G279&amp;" "&amp;H279&amp;" "&amp;I279&amp;" "&amp;J279&amp;" "&amp;K279&amp;" "&amp;L279))),OR($C$5="Semua",$C$5="",G279=$C$5),OR($C$6="Semua",$C$6="",H279=$C$6,H279="Pengeluaran "&amp;$C$6,AND($C$6="Uang Kos Mama",H279="Pengeluaran Uang Kos")),OR($C$7="Semua",$C$7="",I279=$C$7),OR($C$8="Semua",$C$8="",C279=$C$8,E279=$C$8),OR($C$9="Semua",$C$9="",D279=$C$9),OR($C$10="",B279&gt;=$C$10),OR($C$11="",B279&lt;=$C$11),OR($C$12&lt;&gt;"Ya",K279&lt;&gt;""),OR($C$13="Semua",$C$13="",L279=$C$13)),"✓","")</f>
        <v/>
      </c>
      <c r="N279" s="93">
        <f>N(N278)+IF(M279="✓",1,0)</f>
        <v/>
      </c>
      <c r="O279" s="93">
        <f>N(O278)+IF(AND(B279&lt;&gt;"",B279&gt;='Uang Riba'!$H$30,B279&lt;='Uang Riba'!$I$30,OR(H279="Dana riba",H279="Pinjam uang riba",I279="Pinjam dari uang riba",I279="Ganti uang riba",I279="Kelebihan ganti dikembalikan",AND(C279="Kantong Uang Riba",G279="Pengeluaran"))),1,0)</f>
        <v/>
      </c>
      <c r="P279" s="119">
        <f>IF(275&gt;MAX($N$16:$N$5015),"",INDEX($B$16:$B$5015,MATCH((MAX($N$16:$N$5015)-275+1),$N$16:$N$5015,0)))</f>
        <v/>
      </c>
      <c r="Q279" s="105">
        <f>IF(275&gt;MAX($N$16:$N$5015),"",INDEX($C$16:$C$5015,MATCH((MAX($N$16:$N$5015)-275+1),$N$16:$N$5015,0)))&amp;IF(IF(275&gt;MAX($N$16:$N$5015),"",INDEX($E$16:$E$5015,MATCH((MAX($N$16:$N$5015)-275+1),$N$16:$N$5015,0)))="",""," → "&amp;IF(275&gt;MAX($N$16:$N$5015),"",INDEX($E$16:$E$5015,MATCH((MAX($N$16:$N$5015)-275+1),$N$16:$N$5015,0))))</f>
        <v/>
      </c>
      <c r="R279" s="105">
        <f>IF(275&gt;MAX($N$16:$N$5015),"",INDEX($D$16:$D$5015,MATCH((MAX($N$16:$N$5015)-275+1),$N$16:$N$5015,0)))</f>
        <v/>
      </c>
      <c r="S279" s="113">
        <f>IF(275&gt;MAX($N$16:$N$5015),"",INDEX($F$16:$F$5015,MATCH((MAX($N$16:$N$5015)-275+1),$N$16:$N$5015,0)))</f>
        <v/>
      </c>
      <c r="T279" s="105">
        <f>IF(275&gt;MAX($N$16:$N$5015),"",IF(275&gt;MAX($N$16:$N$5015),"",INDEX($G$16:$G$5015,MATCH((MAX($N$16:$N$5015)-275+1),$N$16:$N$5015,0)))&amp;" › "&amp;IF(275&gt;MAX($N$16:$N$5015),"",INDEX($H$16:$H$5015,MATCH((MAX($N$16:$N$5015)-275+1),$N$16:$N$5015,0)))&amp;" › "&amp;IF(275&gt;MAX($N$16:$N$5015),"",INDEX($I$16:$I$5015,MATCH((MAX($N$16:$N$5015)-275+1),$N$16:$N$5015,0))))</f>
        <v/>
      </c>
      <c r="U279" s="105">
        <f>IF(275&gt;MAX($N$16:$N$5015),"",INDEX($J$16:$J$5015,MATCH((MAX($N$16:$N$5015)-275+1),$N$16:$N$5015,0)))&amp;IF(IF(275&gt;MAX($N$16:$N$5015),"",INDEX($L$16:$L$5015,MATCH((MAX($N$16:$N$5015)-275+1),$N$16:$N$5015,0)))="",""," ["&amp;IF(275&gt;MAX($N$16:$N$5015),"",INDEX($L$16:$L$5015,MATCH((MAX($N$16:$N$5015)-275+1),$N$16:$N$5015,0)))&amp;"]")</f>
        <v/>
      </c>
      <c r="V279" s="120">
        <f>IF(275&gt;MAX($N$16:$N$5015),"",HYPERLINK("#Transaksi!B"&amp;(MATCH((MAX($N$16:$N$5015)-275+1),$N$16:$N$5015,0)+15),"Buka"))</f>
        <v/>
      </c>
      <c r="X279" s="93">
        <f>IF(AND(B279&lt;&gt;"",B279&gt;='Buku Akun'!$H$4,B279&lt;='Buku Akun'!$H$5,OR(C279='Buku Akun'!$C$4,AND(D279="Pindah",E279='Buku Akun'!$C$4))),B279+IF(AND(I279="Selisih bunga",DAY(B279)=1),0,0.01)+ROW()/10000000,"")</f>
        <v/>
      </c>
    </row>
    <row r="280" outlineLevel="1" ht="15" customHeight="1" s="94">
      <c r="A280" s="123">
        <f>IF(B280="","",ROW()-15)</f>
        <v/>
      </c>
      <c r="B280" s="124" t="n"/>
      <c r="C280" s="123" t="n"/>
      <c r="D280" s="123" t="n"/>
      <c r="E280" s="123" t="n"/>
      <c r="F280" s="125" t="n"/>
      <c r="G280" s="123" t="n"/>
      <c r="H280" s="123" t="n"/>
      <c r="I280" s="123" t="n"/>
      <c r="J280" s="123" t="n"/>
      <c r="K280" s="123" t="n"/>
      <c r="L280" s="123" t="n"/>
      <c r="M280" s="123">
        <f>IF(AND(B280&lt;&gt;"",OR($C$4="",ISNUMBER(SEARCH($C$4,C280&amp;" "&amp;E280&amp;" "&amp;G280&amp;" "&amp;H280&amp;" "&amp;I280&amp;" "&amp;J280&amp;" "&amp;K280&amp;" "&amp;L280))),OR($C$5="Semua",$C$5="",G280=$C$5),OR($C$6="Semua",$C$6="",H280=$C$6,H280="Pengeluaran "&amp;$C$6,AND($C$6="Uang Kos Mama",H280="Pengeluaran Uang Kos")),OR($C$7="Semua",$C$7="",I280=$C$7),OR($C$8="Semua",$C$8="",C280=$C$8,E280=$C$8),OR($C$9="Semua",$C$9="",D280=$C$9),OR($C$10="",B280&gt;=$C$10),OR($C$11="",B280&lt;=$C$11),OR($C$12&lt;&gt;"Ya",K280&lt;&gt;""),OR($C$13="Semua",$C$13="",L280=$C$13)),"✓","")</f>
        <v/>
      </c>
      <c r="N280" s="93">
        <f>N(N279)+IF(M280="✓",1,0)</f>
        <v/>
      </c>
      <c r="O280" s="93">
        <f>N(O279)+IF(AND(B280&lt;&gt;"",B280&gt;='Uang Riba'!$H$30,B280&lt;='Uang Riba'!$I$30,OR(H280="Dana riba",H280="Pinjam uang riba",I280="Pinjam dari uang riba",I280="Ganti uang riba",I280="Kelebihan ganti dikembalikan",AND(C280="Kantong Uang Riba",G280="Pengeluaran"))),1,0)</f>
        <v/>
      </c>
      <c r="P280" s="119">
        <f>IF(276&gt;MAX($N$16:$N$5015),"",INDEX($B$16:$B$5015,MATCH((MAX($N$16:$N$5015)-276+1),$N$16:$N$5015,0)))</f>
        <v/>
      </c>
      <c r="Q280" s="105">
        <f>IF(276&gt;MAX($N$16:$N$5015),"",INDEX($C$16:$C$5015,MATCH((MAX($N$16:$N$5015)-276+1),$N$16:$N$5015,0)))&amp;IF(IF(276&gt;MAX($N$16:$N$5015),"",INDEX($E$16:$E$5015,MATCH((MAX($N$16:$N$5015)-276+1),$N$16:$N$5015,0)))="",""," → "&amp;IF(276&gt;MAX($N$16:$N$5015),"",INDEX($E$16:$E$5015,MATCH((MAX($N$16:$N$5015)-276+1),$N$16:$N$5015,0))))</f>
        <v/>
      </c>
      <c r="R280" s="105">
        <f>IF(276&gt;MAX($N$16:$N$5015),"",INDEX($D$16:$D$5015,MATCH((MAX($N$16:$N$5015)-276+1),$N$16:$N$5015,0)))</f>
        <v/>
      </c>
      <c r="S280" s="113">
        <f>IF(276&gt;MAX($N$16:$N$5015),"",INDEX($F$16:$F$5015,MATCH((MAX($N$16:$N$5015)-276+1),$N$16:$N$5015,0)))</f>
        <v/>
      </c>
      <c r="T280" s="105">
        <f>IF(276&gt;MAX($N$16:$N$5015),"",IF(276&gt;MAX($N$16:$N$5015),"",INDEX($G$16:$G$5015,MATCH((MAX($N$16:$N$5015)-276+1),$N$16:$N$5015,0)))&amp;" › "&amp;IF(276&gt;MAX($N$16:$N$5015),"",INDEX($H$16:$H$5015,MATCH((MAX($N$16:$N$5015)-276+1),$N$16:$N$5015,0)))&amp;" › "&amp;IF(276&gt;MAX($N$16:$N$5015),"",INDEX($I$16:$I$5015,MATCH((MAX($N$16:$N$5015)-276+1),$N$16:$N$5015,0))))</f>
        <v/>
      </c>
      <c r="U280" s="105">
        <f>IF(276&gt;MAX($N$16:$N$5015),"",INDEX($J$16:$J$5015,MATCH((MAX($N$16:$N$5015)-276+1),$N$16:$N$5015,0)))&amp;IF(IF(276&gt;MAX($N$16:$N$5015),"",INDEX($L$16:$L$5015,MATCH((MAX($N$16:$N$5015)-276+1),$N$16:$N$5015,0)))="",""," ["&amp;IF(276&gt;MAX($N$16:$N$5015),"",INDEX($L$16:$L$5015,MATCH((MAX($N$16:$N$5015)-276+1),$N$16:$N$5015,0)))&amp;"]")</f>
        <v/>
      </c>
      <c r="V280" s="120">
        <f>IF(276&gt;MAX($N$16:$N$5015),"",HYPERLINK("#Transaksi!B"&amp;(MATCH((MAX($N$16:$N$5015)-276+1),$N$16:$N$5015,0)+15),"Buka"))</f>
        <v/>
      </c>
      <c r="X280" s="93">
        <f>IF(AND(B280&lt;&gt;"",B280&gt;='Buku Akun'!$H$4,B280&lt;='Buku Akun'!$H$5,OR(C280='Buku Akun'!$C$4,AND(D280="Pindah",E280='Buku Akun'!$C$4))),B280+IF(AND(I280="Selisih bunga",DAY(B280)=1),0,0.01)+ROW()/10000000,"")</f>
        <v/>
      </c>
    </row>
    <row r="281" outlineLevel="1" ht="15" customHeight="1" s="94">
      <c r="A281" s="123">
        <f>IF(B281="","",ROW()-15)</f>
        <v/>
      </c>
      <c r="B281" s="124" t="n"/>
      <c r="C281" s="123" t="n"/>
      <c r="D281" s="123" t="n"/>
      <c r="E281" s="123" t="n"/>
      <c r="F281" s="125" t="n"/>
      <c r="G281" s="123" t="n"/>
      <c r="H281" s="123" t="n"/>
      <c r="I281" s="123" t="n"/>
      <c r="J281" s="123" t="n"/>
      <c r="K281" s="123" t="n"/>
      <c r="L281" s="123" t="n"/>
      <c r="M281" s="123">
        <f>IF(AND(B281&lt;&gt;"",OR($C$4="",ISNUMBER(SEARCH($C$4,C281&amp;" "&amp;E281&amp;" "&amp;G281&amp;" "&amp;H281&amp;" "&amp;I281&amp;" "&amp;J281&amp;" "&amp;K281&amp;" "&amp;L281))),OR($C$5="Semua",$C$5="",G281=$C$5),OR($C$6="Semua",$C$6="",H281=$C$6,H281="Pengeluaran "&amp;$C$6,AND($C$6="Uang Kos Mama",H281="Pengeluaran Uang Kos")),OR($C$7="Semua",$C$7="",I281=$C$7),OR($C$8="Semua",$C$8="",C281=$C$8,E281=$C$8),OR($C$9="Semua",$C$9="",D281=$C$9),OR($C$10="",B281&gt;=$C$10),OR($C$11="",B281&lt;=$C$11),OR($C$12&lt;&gt;"Ya",K281&lt;&gt;""),OR($C$13="Semua",$C$13="",L281=$C$13)),"✓","")</f>
        <v/>
      </c>
      <c r="N281" s="93">
        <f>N(N280)+IF(M281="✓",1,0)</f>
        <v/>
      </c>
      <c r="O281" s="93">
        <f>N(O280)+IF(AND(B281&lt;&gt;"",B281&gt;='Uang Riba'!$H$30,B281&lt;='Uang Riba'!$I$30,OR(H281="Dana riba",H281="Pinjam uang riba",I281="Pinjam dari uang riba",I281="Ganti uang riba",I281="Kelebihan ganti dikembalikan",AND(C281="Kantong Uang Riba",G281="Pengeluaran"))),1,0)</f>
        <v/>
      </c>
      <c r="P281" s="119">
        <f>IF(277&gt;MAX($N$16:$N$5015),"",INDEX($B$16:$B$5015,MATCH((MAX($N$16:$N$5015)-277+1),$N$16:$N$5015,0)))</f>
        <v/>
      </c>
      <c r="Q281" s="105">
        <f>IF(277&gt;MAX($N$16:$N$5015),"",INDEX($C$16:$C$5015,MATCH((MAX($N$16:$N$5015)-277+1),$N$16:$N$5015,0)))&amp;IF(IF(277&gt;MAX($N$16:$N$5015),"",INDEX($E$16:$E$5015,MATCH((MAX($N$16:$N$5015)-277+1),$N$16:$N$5015,0)))="",""," → "&amp;IF(277&gt;MAX($N$16:$N$5015),"",INDEX($E$16:$E$5015,MATCH((MAX($N$16:$N$5015)-277+1),$N$16:$N$5015,0))))</f>
        <v/>
      </c>
      <c r="R281" s="105">
        <f>IF(277&gt;MAX($N$16:$N$5015),"",INDEX($D$16:$D$5015,MATCH((MAX($N$16:$N$5015)-277+1),$N$16:$N$5015,0)))</f>
        <v/>
      </c>
      <c r="S281" s="113">
        <f>IF(277&gt;MAX($N$16:$N$5015),"",INDEX($F$16:$F$5015,MATCH((MAX($N$16:$N$5015)-277+1),$N$16:$N$5015,0)))</f>
        <v/>
      </c>
      <c r="T281" s="105">
        <f>IF(277&gt;MAX($N$16:$N$5015),"",IF(277&gt;MAX($N$16:$N$5015),"",INDEX($G$16:$G$5015,MATCH((MAX($N$16:$N$5015)-277+1),$N$16:$N$5015,0)))&amp;" › "&amp;IF(277&gt;MAX($N$16:$N$5015),"",INDEX($H$16:$H$5015,MATCH((MAX($N$16:$N$5015)-277+1),$N$16:$N$5015,0)))&amp;" › "&amp;IF(277&gt;MAX($N$16:$N$5015),"",INDEX($I$16:$I$5015,MATCH((MAX($N$16:$N$5015)-277+1),$N$16:$N$5015,0))))</f>
        <v/>
      </c>
      <c r="U281" s="105">
        <f>IF(277&gt;MAX($N$16:$N$5015),"",INDEX($J$16:$J$5015,MATCH((MAX($N$16:$N$5015)-277+1),$N$16:$N$5015,0)))&amp;IF(IF(277&gt;MAX($N$16:$N$5015),"",INDEX($L$16:$L$5015,MATCH((MAX($N$16:$N$5015)-277+1),$N$16:$N$5015,0)))="",""," ["&amp;IF(277&gt;MAX($N$16:$N$5015),"",INDEX($L$16:$L$5015,MATCH((MAX($N$16:$N$5015)-277+1),$N$16:$N$5015,0)))&amp;"]")</f>
        <v/>
      </c>
      <c r="V281" s="120">
        <f>IF(277&gt;MAX($N$16:$N$5015),"",HYPERLINK("#Transaksi!B"&amp;(MATCH((MAX($N$16:$N$5015)-277+1),$N$16:$N$5015,0)+15),"Buka"))</f>
        <v/>
      </c>
      <c r="X281" s="93">
        <f>IF(AND(B281&lt;&gt;"",B281&gt;='Buku Akun'!$H$4,B281&lt;='Buku Akun'!$H$5,OR(C281='Buku Akun'!$C$4,AND(D281="Pindah",E281='Buku Akun'!$C$4))),B281+IF(AND(I281="Selisih bunga",DAY(B281)=1),0,0.01)+ROW()/10000000,"")</f>
        <v/>
      </c>
    </row>
    <row r="282" outlineLevel="1" ht="15" customHeight="1" s="94">
      <c r="A282" s="123">
        <f>IF(B282="","",ROW()-15)</f>
        <v/>
      </c>
      <c r="B282" s="124" t="n"/>
      <c r="C282" s="123" t="n"/>
      <c r="D282" s="123" t="n"/>
      <c r="E282" s="123" t="n"/>
      <c r="F282" s="125" t="n"/>
      <c r="G282" s="123" t="n"/>
      <c r="H282" s="123" t="n"/>
      <c r="I282" s="123" t="n"/>
      <c r="J282" s="123" t="n"/>
      <c r="K282" s="123" t="n"/>
      <c r="L282" s="123" t="n"/>
      <c r="M282" s="123">
        <f>IF(AND(B282&lt;&gt;"",OR($C$4="",ISNUMBER(SEARCH($C$4,C282&amp;" "&amp;E282&amp;" "&amp;G282&amp;" "&amp;H282&amp;" "&amp;I282&amp;" "&amp;J282&amp;" "&amp;K282&amp;" "&amp;L282))),OR($C$5="Semua",$C$5="",G282=$C$5),OR($C$6="Semua",$C$6="",H282=$C$6,H282="Pengeluaran "&amp;$C$6,AND($C$6="Uang Kos Mama",H282="Pengeluaran Uang Kos")),OR($C$7="Semua",$C$7="",I282=$C$7),OR($C$8="Semua",$C$8="",C282=$C$8,E282=$C$8),OR($C$9="Semua",$C$9="",D282=$C$9),OR($C$10="",B282&gt;=$C$10),OR($C$11="",B282&lt;=$C$11),OR($C$12&lt;&gt;"Ya",K282&lt;&gt;""),OR($C$13="Semua",$C$13="",L282=$C$13)),"✓","")</f>
        <v/>
      </c>
      <c r="N282" s="93">
        <f>N(N281)+IF(M282="✓",1,0)</f>
        <v/>
      </c>
      <c r="O282" s="93">
        <f>N(O281)+IF(AND(B282&lt;&gt;"",B282&gt;='Uang Riba'!$H$30,B282&lt;='Uang Riba'!$I$30,OR(H282="Dana riba",H282="Pinjam uang riba",I282="Pinjam dari uang riba",I282="Ganti uang riba",I282="Kelebihan ganti dikembalikan",AND(C282="Kantong Uang Riba",G282="Pengeluaran"))),1,0)</f>
        <v/>
      </c>
      <c r="P282" s="119">
        <f>IF(278&gt;MAX($N$16:$N$5015),"",INDEX($B$16:$B$5015,MATCH((MAX($N$16:$N$5015)-278+1),$N$16:$N$5015,0)))</f>
        <v/>
      </c>
      <c r="Q282" s="105">
        <f>IF(278&gt;MAX($N$16:$N$5015),"",INDEX($C$16:$C$5015,MATCH((MAX($N$16:$N$5015)-278+1),$N$16:$N$5015,0)))&amp;IF(IF(278&gt;MAX($N$16:$N$5015),"",INDEX($E$16:$E$5015,MATCH((MAX($N$16:$N$5015)-278+1),$N$16:$N$5015,0)))="",""," → "&amp;IF(278&gt;MAX($N$16:$N$5015),"",INDEX($E$16:$E$5015,MATCH((MAX($N$16:$N$5015)-278+1),$N$16:$N$5015,0))))</f>
        <v/>
      </c>
      <c r="R282" s="105">
        <f>IF(278&gt;MAX($N$16:$N$5015),"",INDEX($D$16:$D$5015,MATCH((MAX($N$16:$N$5015)-278+1),$N$16:$N$5015,0)))</f>
        <v/>
      </c>
      <c r="S282" s="113">
        <f>IF(278&gt;MAX($N$16:$N$5015),"",INDEX($F$16:$F$5015,MATCH((MAX($N$16:$N$5015)-278+1),$N$16:$N$5015,0)))</f>
        <v/>
      </c>
      <c r="T282" s="105">
        <f>IF(278&gt;MAX($N$16:$N$5015),"",IF(278&gt;MAX($N$16:$N$5015),"",INDEX($G$16:$G$5015,MATCH((MAX($N$16:$N$5015)-278+1),$N$16:$N$5015,0)))&amp;" › "&amp;IF(278&gt;MAX($N$16:$N$5015),"",INDEX($H$16:$H$5015,MATCH((MAX($N$16:$N$5015)-278+1),$N$16:$N$5015,0)))&amp;" › "&amp;IF(278&gt;MAX($N$16:$N$5015),"",INDEX($I$16:$I$5015,MATCH((MAX($N$16:$N$5015)-278+1),$N$16:$N$5015,0))))</f>
        <v/>
      </c>
      <c r="U282" s="105">
        <f>IF(278&gt;MAX($N$16:$N$5015),"",INDEX($J$16:$J$5015,MATCH((MAX($N$16:$N$5015)-278+1),$N$16:$N$5015,0)))&amp;IF(IF(278&gt;MAX($N$16:$N$5015),"",INDEX($L$16:$L$5015,MATCH((MAX($N$16:$N$5015)-278+1),$N$16:$N$5015,0)))="",""," ["&amp;IF(278&gt;MAX($N$16:$N$5015),"",INDEX($L$16:$L$5015,MATCH((MAX($N$16:$N$5015)-278+1),$N$16:$N$5015,0)))&amp;"]")</f>
        <v/>
      </c>
      <c r="V282" s="120">
        <f>IF(278&gt;MAX($N$16:$N$5015),"",HYPERLINK("#Transaksi!B"&amp;(MATCH((MAX($N$16:$N$5015)-278+1),$N$16:$N$5015,0)+15),"Buka"))</f>
        <v/>
      </c>
      <c r="X282" s="93">
        <f>IF(AND(B282&lt;&gt;"",B282&gt;='Buku Akun'!$H$4,B282&lt;='Buku Akun'!$H$5,OR(C282='Buku Akun'!$C$4,AND(D282="Pindah",E282='Buku Akun'!$C$4))),B282+IF(AND(I282="Selisih bunga",DAY(B282)=1),0,0.01)+ROW()/10000000,"")</f>
        <v/>
      </c>
    </row>
    <row r="283" outlineLevel="1" ht="15" customHeight="1" s="94">
      <c r="A283" s="123">
        <f>IF(B283="","",ROW()-15)</f>
        <v/>
      </c>
      <c r="B283" s="124" t="n"/>
      <c r="C283" s="123" t="n"/>
      <c r="D283" s="123" t="n"/>
      <c r="E283" s="123" t="n"/>
      <c r="F283" s="125" t="n"/>
      <c r="G283" s="123" t="n"/>
      <c r="H283" s="123" t="n"/>
      <c r="I283" s="123" t="n"/>
      <c r="J283" s="123" t="n"/>
      <c r="K283" s="123" t="n"/>
      <c r="L283" s="123" t="n"/>
      <c r="M283" s="123">
        <f>IF(AND(B283&lt;&gt;"",OR($C$4="",ISNUMBER(SEARCH($C$4,C283&amp;" "&amp;E283&amp;" "&amp;G283&amp;" "&amp;H283&amp;" "&amp;I283&amp;" "&amp;J283&amp;" "&amp;K283&amp;" "&amp;L283))),OR($C$5="Semua",$C$5="",G283=$C$5),OR($C$6="Semua",$C$6="",H283=$C$6,H283="Pengeluaran "&amp;$C$6,AND($C$6="Uang Kos Mama",H283="Pengeluaran Uang Kos")),OR($C$7="Semua",$C$7="",I283=$C$7),OR($C$8="Semua",$C$8="",C283=$C$8,E283=$C$8),OR($C$9="Semua",$C$9="",D283=$C$9),OR($C$10="",B283&gt;=$C$10),OR($C$11="",B283&lt;=$C$11),OR($C$12&lt;&gt;"Ya",K283&lt;&gt;""),OR($C$13="Semua",$C$13="",L283=$C$13)),"✓","")</f>
        <v/>
      </c>
      <c r="N283" s="93">
        <f>N(N282)+IF(M283="✓",1,0)</f>
        <v/>
      </c>
      <c r="O283" s="93">
        <f>N(O282)+IF(AND(B283&lt;&gt;"",B283&gt;='Uang Riba'!$H$30,B283&lt;='Uang Riba'!$I$30,OR(H283="Dana riba",H283="Pinjam uang riba",I283="Pinjam dari uang riba",I283="Ganti uang riba",I283="Kelebihan ganti dikembalikan",AND(C283="Kantong Uang Riba",G283="Pengeluaran"))),1,0)</f>
        <v/>
      </c>
      <c r="P283" s="119">
        <f>IF(279&gt;MAX($N$16:$N$5015),"",INDEX($B$16:$B$5015,MATCH((MAX($N$16:$N$5015)-279+1),$N$16:$N$5015,0)))</f>
        <v/>
      </c>
      <c r="Q283" s="105">
        <f>IF(279&gt;MAX($N$16:$N$5015),"",INDEX($C$16:$C$5015,MATCH((MAX($N$16:$N$5015)-279+1),$N$16:$N$5015,0)))&amp;IF(IF(279&gt;MAX($N$16:$N$5015),"",INDEX($E$16:$E$5015,MATCH((MAX($N$16:$N$5015)-279+1),$N$16:$N$5015,0)))="",""," → "&amp;IF(279&gt;MAX($N$16:$N$5015),"",INDEX($E$16:$E$5015,MATCH((MAX($N$16:$N$5015)-279+1),$N$16:$N$5015,0))))</f>
        <v/>
      </c>
      <c r="R283" s="105">
        <f>IF(279&gt;MAX($N$16:$N$5015),"",INDEX($D$16:$D$5015,MATCH((MAX($N$16:$N$5015)-279+1),$N$16:$N$5015,0)))</f>
        <v/>
      </c>
      <c r="S283" s="113">
        <f>IF(279&gt;MAX($N$16:$N$5015),"",INDEX($F$16:$F$5015,MATCH((MAX($N$16:$N$5015)-279+1),$N$16:$N$5015,0)))</f>
        <v/>
      </c>
      <c r="T283" s="105">
        <f>IF(279&gt;MAX($N$16:$N$5015),"",IF(279&gt;MAX($N$16:$N$5015),"",INDEX($G$16:$G$5015,MATCH((MAX($N$16:$N$5015)-279+1),$N$16:$N$5015,0)))&amp;" › "&amp;IF(279&gt;MAX($N$16:$N$5015),"",INDEX($H$16:$H$5015,MATCH((MAX($N$16:$N$5015)-279+1),$N$16:$N$5015,0)))&amp;" › "&amp;IF(279&gt;MAX($N$16:$N$5015),"",INDEX($I$16:$I$5015,MATCH((MAX($N$16:$N$5015)-279+1),$N$16:$N$5015,0))))</f>
        <v/>
      </c>
      <c r="U283" s="105">
        <f>IF(279&gt;MAX($N$16:$N$5015),"",INDEX($J$16:$J$5015,MATCH((MAX($N$16:$N$5015)-279+1),$N$16:$N$5015,0)))&amp;IF(IF(279&gt;MAX($N$16:$N$5015),"",INDEX($L$16:$L$5015,MATCH((MAX($N$16:$N$5015)-279+1),$N$16:$N$5015,0)))="",""," ["&amp;IF(279&gt;MAX($N$16:$N$5015),"",INDEX($L$16:$L$5015,MATCH((MAX($N$16:$N$5015)-279+1),$N$16:$N$5015,0)))&amp;"]")</f>
        <v/>
      </c>
      <c r="V283" s="120">
        <f>IF(279&gt;MAX($N$16:$N$5015),"",HYPERLINK("#Transaksi!B"&amp;(MATCH((MAX($N$16:$N$5015)-279+1),$N$16:$N$5015,0)+15),"Buka"))</f>
        <v/>
      </c>
      <c r="X283" s="93">
        <f>IF(AND(B283&lt;&gt;"",B283&gt;='Buku Akun'!$H$4,B283&lt;='Buku Akun'!$H$5,OR(C283='Buku Akun'!$C$4,AND(D283="Pindah",E283='Buku Akun'!$C$4))),B283+IF(AND(I283="Selisih bunga",DAY(B283)=1),0,0.01)+ROW()/10000000,"")</f>
        <v/>
      </c>
    </row>
    <row r="284" outlineLevel="1" ht="15" customHeight="1" s="94">
      <c r="A284" s="123">
        <f>IF(B284="","",ROW()-15)</f>
        <v/>
      </c>
      <c r="B284" s="124" t="n"/>
      <c r="C284" s="123" t="n"/>
      <c r="D284" s="123" t="n"/>
      <c r="E284" s="123" t="n"/>
      <c r="F284" s="125" t="n"/>
      <c r="G284" s="123" t="n"/>
      <c r="H284" s="123" t="n"/>
      <c r="I284" s="123" t="n"/>
      <c r="J284" s="123" t="n"/>
      <c r="K284" s="123" t="n"/>
      <c r="L284" s="123" t="n"/>
      <c r="M284" s="123">
        <f>IF(AND(B284&lt;&gt;"",OR($C$4="",ISNUMBER(SEARCH($C$4,C284&amp;" "&amp;E284&amp;" "&amp;G284&amp;" "&amp;H284&amp;" "&amp;I284&amp;" "&amp;J284&amp;" "&amp;K284&amp;" "&amp;L284))),OR($C$5="Semua",$C$5="",G284=$C$5),OR($C$6="Semua",$C$6="",H284=$C$6,H284="Pengeluaran "&amp;$C$6,AND($C$6="Uang Kos Mama",H284="Pengeluaran Uang Kos")),OR($C$7="Semua",$C$7="",I284=$C$7),OR($C$8="Semua",$C$8="",C284=$C$8,E284=$C$8),OR($C$9="Semua",$C$9="",D284=$C$9),OR($C$10="",B284&gt;=$C$10),OR($C$11="",B284&lt;=$C$11),OR($C$12&lt;&gt;"Ya",K284&lt;&gt;""),OR($C$13="Semua",$C$13="",L284=$C$13)),"✓","")</f>
        <v/>
      </c>
      <c r="N284" s="93">
        <f>N(N283)+IF(M284="✓",1,0)</f>
        <v/>
      </c>
      <c r="O284" s="93">
        <f>N(O283)+IF(AND(B284&lt;&gt;"",B284&gt;='Uang Riba'!$H$30,B284&lt;='Uang Riba'!$I$30,OR(H284="Dana riba",H284="Pinjam uang riba",I284="Pinjam dari uang riba",I284="Ganti uang riba",I284="Kelebihan ganti dikembalikan",AND(C284="Kantong Uang Riba",G284="Pengeluaran"))),1,0)</f>
        <v/>
      </c>
      <c r="P284" s="119">
        <f>IF(280&gt;MAX($N$16:$N$5015),"",INDEX($B$16:$B$5015,MATCH((MAX($N$16:$N$5015)-280+1),$N$16:$N$5015,0)))</f>
        <v/>
      </c>
      <c r="Q284" s="105">
        <f>IF(280&gt;MAX($N$16:$N$5015),"",INDEX($C$16:$C$5015,MATCH((MAX($N$16:$N$5015)-280+1),$N$16:$N$5015,0)))&amp;IF(IF(280&gt;MAX($N$16:$N$5015),"",INDEX($E$16:$E$5015,MATCH((MAX($N$16:$N$5015)-280+1),$N$16:$N$5015,0)))="",""," → "&amp;IF(280&gt;MAX($N$16:$N$5015),"",INDEX($E$16:$E$5015,MATCH((MAX($N$16:$N$5015)-280+1),$N$16:$N$5015,0))))</f>
        <v/>
      </c>
      <c r="R284" s="105">
        <f>IF(280&gt;MAX($N$16:$N$5015),"",INDEX($D$16:$D$5015,MATCH((MAX($N$16:$N$5015)-280+1),$N$16:$N$5015,0)))</f>
        <v/>
      </c>
      <c r="S284" s="113">
        <f>IF(280&gt;MAX($N$16:$N$5015),"",INDEX($F$16:$F$5015,MATCH((MAX($N$16:$N$5015)-280+1),$N$16:$N$5015,0)))</f>
        <v/>
      </c>
      <c r="T284" s="105">
        <f>IF(280&gt;MAX($N$16:$N$5015),"",IF(280&gt;MAX($N$16:$N$5015),"",INDEX($G$16:$G$5015,MATCH((MAX($N$16:$N$5015)-280+1),$N$16:$N$5015,0)))&amp;" › "&amp;IF(280&gt;MAX($N$16:$N$5015),"",INDEX($H$16:$H$5015,MATCH((MAX($N$16:$N$5015)-280+1),$N$16:$N$5015,0)))&amp;" › "&amp;IF(280&gt;MAX($N$16:$N$5015),"",INDEX($I$16:$I$5015,MATCH((MAX($N$16:$N$5015)-280+1),$N$16:$N$5015,0))))</f>
        <v/>
      </c>
      <c r="U284" s="105">
        <f>IF(280&gt;MAX($N$16:$N$5015),"",INDEX($J$16:$J$5015,MATCH((MAX($N$16:$N$5015)-280+1),$N$16:$N$5015,0)))&amp;IF(IF(280&gt;MAX($N$16:$N$5015),"",INDEX($L$16:$L$5015,MATCH((MAX($N$16:$N$5015)-280+1),$N$16:$N$5015,0)))="",""," ["&amp;IF(280&gt;MAX($N$16:$N$5015),"",INDEX($L$16:$L$5015,MATCH((MAX($N$16:$N$5015)-280+1),$N$16:$N$5015,0)))&amp;"]")</f>
        <v/>
      </c>
      <c r="V284" s="120">
        <f>IF(280&gt;MAX($N$16:$N$5015),"",HYPERLINK("#Transaksi!B"&amp;(MATCH((MAX($N$16:$N$5015)-280+1),$N$16:$N$5015,0)+15),"Buka"))</f>
        <v/>
      </c>
      <c r="X284" s="93">
        <f>IF(AND(B284&lt;&gt;"",B284&gt;='Buku Akun'!$H$4,B284&lt;='Buku Akun'!$H$5,OR(C284='Buku Akun'!$C$4,AND(D284="Pindah",E284='Buku Akun'!$C$4))),B284+IF(AND(I284="Selisih bunga",DAY(B284)=1),0,0.01)+ROW()/10000000,"")</f>
        <v/>
      </c>
    </row>
    <row r="285" outlineLevel="1" ht="15" customHeight="1" s="94">
      <c r="A285" s="123">
        <f>IF(B285="","",ROW()-15)</f>
        <v/>
      </c>
      <c r="B285" s="124" t="n"/>
      <c r="C285" s="123" t="n"/>
      <c r="D285" s="123" t="n"/>
      <c r="E285" s="123" t="n"/>
      <c r="F285" s="125" t="n"/>
      <c r="G285" s="123" t="n"/>
      <c r="H285" s="123" t="n"/>
      <c r="I285" s="123" t="n"/>
      <c r="J285" s="123" t="n"/>
      <c r="K285" s="123" t="n"/>
      <c r="L285" s="123" t="n"/>
      <c r="M285" s="123">
        <f>IF(AND(B285&lt;&gt;"",OR($C$4="",ISNUMBER(SEARCH($C$4,C285&amp;" "&amp;E285&amp;" "&amp;G285&amp;" "&amp;H285&amp;" "&amp;I285&amp;" "&amp;J285&amp;" "&amp;K285&amp;" "&amp;L285))),OR($C$5="Semua",$C$5="",G285=$C$5),OR($C$6="Semua",$C$6="",H285=$C$6,H285="Pengeluaran "&amp;$C$6,AND($C$6="Uang Kos Mama",H285="Pengeluaran Uang Kos")),OR($C$7="Semua",$C$7="",I285=$C$7),OR($C$8="Semua",$C$8="",C285=$C$8,E285=$C$8),OR($C$9="Semua",$C$9="",D285=$C$9),OR($C$10="",B285&gt;=$C$10),OR($C$11="",B285&lt;=$C$11),OR($C$12&lt;&gt;"Ya",K285&lt;&gt;""),OR($C$13="Semua",$C$13="",L285=$C$13)),"✓","")</f>
        <v/>
      </c>
      <c r="N285" s="93">
        <f>N(N284)+IF(M285="✓",1,0)</f>
        <v/>
      </c>
      <c r="O285" s="93">
        <f>N(O284)+IF(AND(B285&lt;&gt;"",B285&gt;='Uang Riba'!$H$30,B285&lt;='Uang Riba'!$I$30,OR(H285="Dana riba",H285="Pinjam uang riba",I285="Pinjam dari uang riba",I285="Ganti uang riba",I285="Kelebihan ganti dikembalikan",AND(C285="Kantong Uang Riba",G285="Pengeluaran"))),1,0)</f>
        <v/>
      </c>
      <c r="P285" s="119">
        <f>IF(281&gt;MAX($N$16:$N$5015),"",INDEX($B$16:$B$5015,MATCH((MAX($N$16:$N$5015)-281+1),$N$16:$N$5015,0)))</f>
        <v/>
      </c>
      <c r="Q285" s="105">
        <f>IF(281&gt;MAX($N$16:$N$5015),"",INDEX($C$16:$C$5015,MATCH((MAX($N$16:$N$5015)-281+1),$N$16:$N$5015,0)))&amp;IF(IF(281&gt;MAX($N$16:$N$5015),"",INDEX($E$16:$E$5015,MATCH((MAX($N$16:$N$5015)-281+1),$N$16:$N$5015,0)))="",""," → "&amp;IF(281&gt;MAX($N$16:$N$5015),"",INDEX($E$16:$E$5015,MATCH((MAX($N$16:$N$5015)-281+1),$N$16:$N$5015,0))))</f>
        <v/>
      </c>
      <c r="R285" s="105">
        <f>IF(281&gt;MAX($N$16:$N$5015),"",INDEX($D$16:$D$5015,MATCH((MAX($N$16:$N$5015)-281+1),$N$16:$N$5015,0)))</f>
        <v/>
      </c>
      <c r="S285" s="113">
        <f>IF(281&gt;MAX($N$16:$N$5015),"",INDEX($F$16:$F$5015,MATCH((MAX($N$16:$N$5015)-281+1),$N$16:$N$5015,0)))</f>
        <v/>
      </c>
      <c r="T285" s="105">
        <f>IF(281&gt;MAX($N$16:$N$5015),"",IF(281&gt;MAX($N$16:$N$5015),"",INDEX($G$16:$G$5015,MATCH((MAX($N$16:$N$5015)-281+1),$N$16:$N$5015,0)))&amp;" › "&amp;IF(281&gt;MAX($N$16:$N$5015),"",INDEX($H$16:$H$5015,MATCH((MAX($N$16:$N$5015)-281+1),$N$16:$N$5015,0)))&amp;" › "&amp;IF(281&gt;MAX($N$16:$N$5015),"",INDEX($I$16:$I$5015,MATCH((MAX($N$16:$N$5015)-281+1),$N$16:$N$5015,0))))</f>
        <v/>
      </c>
      <c r="U285" s="105">
        <f>IF(281&gt;MAX($N$16:$N$5015),"",INDEX($J$16:$J$5015,MATCH((MAX($N$16:$N$5015)-281+1),$N$16:$N$5015,0)))&amp;IF(IF(281&gt;MAX($N$16:$N$5015),"",INDEX($L$16:$L$5015,MATCH((MAX($N$16:$N$5015)-281+1),$N$16:$N$5015,0)))="",""," ["&amp;IF(281&gt;MAX($N$16:$N$5015),"",INDEX($L$16:$L$5015,MATCH((MAX($N$16:$N$5015)-281+1),$N$16:$N$5015,0)))&amp;"]")</f>
        <v/>
      </c>
      <c r="V285" s="120">
        <f>IF(281&gt;MAX($N$16:$N$5015),"",HYPERLINK("#Transaksi!B"&amp;(MATCH((MAX($N$16:$N$5015)-281+1),$N$16:$N$5015,0)+15),"Buka"))</f>
        <v/>
      </c>
      <c r="X285" s="93">
        <f>IF(AND(B285&lt;&gt;"",B285&gt;='Buku Akun'!$H$4,B285&lt;='Buku Akun'!$H$5,OR(C285='Buku Akun'!$C$4,AND(D285="Pindah",E285='Buku Akun'!$C$4))),B285+IF(AND(I285="Selisih bunga",DAY(B285)=1),0,0.01)+ROW()/10000000,"")</f>
        <v/>
      </c>
    </row>
    <row r="286" outlineLevel="1" ht="15" customHeight="1" s="94">
      <c r="A286" s="123">
        <f>IF(B286="","",ROW()-15)</f>
        <v/>
      </c>
      <c r="B286" s="124" t="n"/>
      <c r="C286" s="123" t="n"/>
      <c r="D286" s="123" t="n"/>
      <c r="E286" s="123" t="n"/>
      <c r="F286" s="125" t="n"/>
      <c r="G286" s="123" t="n"/>
      <c r="H286" s="123" t="n"/>
      <c r="I286" s="123" t="n"/>
      <c r="J286" s="123" t="n"/>
      <c r="K286" s="123" t="n"/>
      <c r="L286" s="123" t="n"/>
      <c r="M286" s="123">
        <f>IF(AND(B286&lt;&gt;"",OR($C$4="",ISNUMBER(SEARCH($C$4,C286&amp;" "&amp;E286&amp;" "&amp;G286&amp;" "&amp;H286&amp;" "&amp;I286&amp;" "&amp;J286&amp;" "&amp;K286&amp;" "&amp;L286))),OR($C$5="Semua",$C$5="",G286=$C$5),OR($C$6="Semua",$C$6="",H286=$C$6,H286="Pengeluaran "&amp;$C$6,AND($C$6="Uang Kos Mama",H286="Pengeluaran Uang Kos")),OR($C$7="Semua",$C$7="",I286=$C$7),OR($C$8="Semua",$C$8="",C286=$C$8,E286=$C$8),OR($C$9="Semua",$C$9="",D286=$C$9),OR($C$10="",B286&gt;=$C$10),OR($C$11="",B286&lt;=$C$11),OR($C$12&lt;&gt;"Ya",K286&lt;&gt;""),OR($C$13="Semua",$C$13="",L286=$C$13)),"✓","")</f>
        <v/>
      </c>
      <c r="N286" s="93">
        <f>N(N285)+IF(M286="✓",1,0)</f>
        <v/>
      </c>
      <c r="O286" s="93">
        <f>N(O285)+IF(AND(B286&lt;&gt;"",B286&gt;='Uang Riba'!$H$30,B286&lt;='Uang Riba'!$I$30,OR(H286="Dana riba",H286="Pinjam uang riba",I286="Pinjam dari uang riba",I286="Ganti uang riba",I286="Kelebihan ganti dikembalikan",AND(C286="Kantong Uang Riba",G286="Pengeluaran"))),1,0)</f>
        <v/>
      </c>
      <c r="P286" s="119">
        <f>IF(282&gt;MAX($N$16:$N$5015),"",INDEX($B$16:$B$5015,MATCH((MAX($N$16:$N$5015)-282+1),$N$16:$N$5015,0)))</f>
        <v/>
      </c>
      <c r="Q286" s="105">
        <f>IF(282&gt;MAX($N$16:$N$5015),"",INDEX($C$16:$C$5015,MATCH((MAX($N$16:$N$5015)-282+1),$N$16:$N$5015,0)))&amp;IF(IF(282&gt;MAX($N$16:$N$5015),"",INDEX($E$16:$E$5015,MATCH((MAX($N$16:$N$5015)-282+1),$N$16:$N$5015,0)))="",""," → "&amp;IF(282&gt;MAX($N$16:$N$5015),"",INDEX($E$16:$E$5015,MATCH((MAX($N$16:$N$5015)-282+1),$N$16:$N$5015,0))))</f>
        <v/>
      </c>
      <c r="R286" s="105">
        <f>IF(282&gt;MAX($N$16:$N$5015),"",INDEX($D$16:$D$5015,MATCH((MAX($N$16:$N$5015)-282+1),$N$16:$N$5015,0)))</f>
        <v/>
      </c>
      <c r="S286" s="113">
        <f>IF(282&gt;MAX($N$16:$N$5015),"",INDEX($F$16:$F$5015,MATCH((MAX($N$16:$N$5015)-282+1),$N$16:$N$5015,0)))</f>
        <v/>
      </c>
      <c r="T286" s="105">
        <f>IF(282&gt;MAX($N$16:$N$5015),"",IF(282&gt;MAX($N$16:$N$5015),"",INDEX($G$16:$G$5015,MATCH((MAX($N$16:$N$5015)-282+1),$N$16:$N$5015,0)))&amp;" › "&amp;IF(282&gt;MAX($N$16:$N$5015),"",INDEX($H$16:$H$5015,MATCH((MAX($N$16:$N$5015)-282+1),$N$16:$N$5015,0)))&amp;" › "&amp;IF(282&gt;MAX($N$16:$N$5015),"",INDEX($I$16:$I$5015,MATCH((MAX($N$16:$N$5015)-282+1),$N$16:$N$5015,0))))</f>
        <v/>
      </c>
      <c r="U286" s="105">
        <f>IF(282&gt;MAX($N$16:$N$5015),"",INDEX($J$16:$J$5015,MATCH((MAX($N$16:$N$5015)-282+1),$N$16:$N$5015,0)))&amp;IF(IF(282&gt;MAX($N$16:$N$5015),"",INDEX($L$16:$L$5015,MATCH((MAX($N$16:$N$5015)-282+1),$N$16:$N$5015,0)))="",""," ["&amp;IF(282&gt;MAX($N$16:$N$5015),"",INDEX($L$16:$L$5015,MATCH((MAX($N$16:$N$5015)-282+1),$N$16:$N$5015,0)))&amp;"]")</f>
        <v/>
      </c>
      <c r="V286" s="120">
        <f>IF(282&gt;MAX($N$16:$N$5015),"",HYPERLINK("#Transaksi!B"&amp;(MATCH((MAX($N$16:$N$5015)-282+1),$N$16:$N$5015,0)+15),"Buka"))</f>
        <v/>
      </c>
      <c r="X286" s="93">
        <f>IF(AND(B286&lt;&gt;"",B286&gt;='Buku Akun'!$H$4,B286&lt;='Buku Akun'!$H$5,OR(C286='Buku Akun'!$C$4,AND(D286="Pindah",E286='Buku Akun'!$C$4))),B286+IF(AND(I286="Selisih bunga",DAY(B286)=1),0,0.01)+ROW()/10000000,"")</f>
        <v/>
      </c>
    </row>
    <row r="287" outlineLevel="1" ht="15" customHeight="1" s="94">
      <c r="A287" s="123">
        <f>IF(B287="","",ROW()-15)</f>
        <v/>
      </c>
      <c r="B287" s="124" t="n"/>
      <c r="C287" s="123" t="n"/>
      <c r="D287" s="123" t="n"/>
      <c r="E287" s="123" t="n"/>
      <c r="F287" s="125" t="n"/>
      <c r="G287" s="123" t="n"/>
      <c r="H287" s="123" t="n"/>
      <c r="I287" s="123" t="n"/>
      <c r="J287" s="123" t="n"/>
      <c r="K287" s="123" t="n"/>
      <c r="L287" s="123" t="n"/>
      <c r="M287" s="123">
        <f>IF(AND(B287&lt;&gt;"",OR($C$4="",ISNUMBER(SEARCH($C$4,C287&amp;" "&amp;E287&amp;" "&amp;G287&amp;" "&amp;H287&amp;" "&amp;I287&amp;" "&amp;J287&amp;" "&amp;K287&amp;" "&amp;L287))),OR($C$5="Semua",$C$5="",G287=$C$5),OR($C$6="Semua",$C$6="",H287=$C$6,H287="Pengeluaran "&amp;$C$6,AND($C$6="Uang Kos Mama",H287="Pengeluaran Uang Kos")),OR($C$7="Semua",$C$7="",I287=$C$7),OR($C$8="Semua",$C$8="",C287=$C$8,E287=$C$8),OR($C$9="Semua",$C$9="",D287=$C$9),OR($C$10="",B287&gt;=$C$10),OR($C$11="",B287&lt;=$C$11),OR($C$12&lt;&gt;"Ya",K287&lt;&gt;""),OR($C$13="Semua",$C$13="",L287=$C$13)),"✓","")</f>
        <v/>
      </c>
      <c r="N287" s="93">
        <f>N(N286)+IF(M287="✓",1,0)</f>
        <v/>
      </c>
      <c r="O287" s="93">
        <f>N(O286)+IF(AND(B287&lt;&gt;"",B287&gt;='Uang Riba'!$H$30,B287&lt;='Uang Riba'!$I$30,OR(H287="Dana riba",H287="Pinjam uang riba",I287="Pinjam dari uang riba",I287="Ganti uang riba",I287="Kelebihan ganti dikembalikan",AND(C287="Kantong Uang Riba",G287="Pengeluaran"))),1,0)</f>
        <v/>
      </c>
      <c r="P287" s="119">
        <f>IF(283&gt;MAX($N$16:$N$5015),"",INDEX($B$16:$B$5015,MATCH((MAX($N$16:$N$5015)-283+1),$N$16:$N$5015,0)))</f>
        <v/>
      </c>
      <c r="Q287" s="105">
        <f>IF(283&gt;MAX($N$16:$N$5015),"",INDEX($C$16:$C$5015,MATCH((MAX($N$16:$N$5015)-283+1),$N$16:$N$5015,0)))&amp;IF(IF(283&gt;MAX($N$16:$N$5015),"",INDEX($E$16:$E$5015,MATCH((MAX($N$16:$N$5015)-283+1),$N$16:$N$5015,0)))="",""," → "&amp;IF(283&gt;MAX($N$16:$N$5015),"",INDEX($E$16:$E$5015,MATCH((MAX($N$16:$N$5015)-283+1),$N$16:$N$5015,0))))</f>
        <v/>
      </c>
      <c r="R287" s="105">
        <f>IF(283&gt;MAX($N$16:$N$5015),"",INDEX($D$16:$D$5015,MATCH((MAX($N$16:$N$5015)-283+1),$N$16:$N$5015,0)))</f>
        <v/>
      </c>
      <c r="S287" s="113">
        <f>IF(283&gt;MAX($N$16:$N$5015),"",INDEX($F$16:$F$5015,MATCH((MAX($N$16:$N$5015)-283+1),$N$16:$N$5015,0)))</f>
        <v/>
      </c>
      <c r="T287" s="105">
        <f>IF(283&gt;MAX($N$16:$N$5015),"",IF(283&gt;MAX($N$16:$N$5015),"",INDEX($G$16:$G$5015,MATCH((MAX($N$16:$N$5015)-283+1),$N$16:$N$5015,0)))&amp;" › "&amp;IF(283&gt;MAX($N$16:$N$5015),"",INDEX($H$16:$H$5015,MATCH((MAX($N$16:$N$5015)-283+1),$N$16:$N$5015,0)))&amp;" › "&amp;IF(283&gt;MAX($N$16:$N$5015),"",INDEX($I$16:$I$5015,MATCH((MAX($N$16:$N$5015)-283+1),$N$16:$N$5015,0))))</f>
        <v/>
      </c>
      <c r="U287" s="105">
        <f>IF(283&gt;MAX($N$16:$N$5015),"",INDEX($J$16:$J$5015,MATCH((MAX($N$16:$N$5015)-283+1),$N$16:$N$5015,0)))&amp;IF(IF(283&gt;MAX($N$16:$N$5015),"",INDEX($L$16:$L$5015,MATCH((MAX($N$16:$N$5015)-283+1),$N$16:$N$5015,0)))="",""," ["&amp;IF(283&gt;MAX($N$16:$N$5015),"",INDEX($L$16:$L$5015,MATCH((MAX($N$16:$N$5015)-283+1),$N$16:$N$5015,0)))&amp;"]")</f>
        <v/>
      </c>
      <c r="V287" s="120">
        <f>IF(283&gt;MAX($N$16:$N$5015),"",HYPERLINK("#Transaksi!B"&amp;(MATCH((MAX($N$16:$N$5015)-283+1),$N$16:$N$5015,0)+15),"Buka"))</f>
        <v/>
      </c>
      <c r="X287" s="93">
        <f>IF(AND(B287&lt;&gt;"",B287&gt;='Buku Akun'!$H$4,B287&lt;='Buku Akun'!$H$5,OR(C287='Buku Akun'!$C$4,AND(D287="Pindah",E287='Buku Akun'!$C$4))),B287+IF(AND(I287="Selisih bunga",DAY(B287)=1),0,0.01)+ROW()/10000000,"")</f>
        <v/>
      </c>
    </row>
    <row r="288" outlineLevel="1" ht="15" customHeight="1" s="94">
      <c r="A288" s="123">
        <f>IF(B288="","",ROW()-15)</f>
        <v/>
      </c>
      <c r="B288" s="124" t="n"/>
      <c r="C288" s="123" t="n"/>
      <c r="D288" s="123" t="n"/>
      <c r="E288" s="123" t="n"/>
      <c r="F288" s="125" t="n"/>
      <c r="G288" s="123" t="n"/>
      <c r="H288" s="123" t="n"/>
      <c r="I288" s="123" t="n"/>
      <c r="J288" s="123" t="n"/>
      <c r="K288" s="123" t="n"/>
      <c r="L288" s="123" t="n"/>
      <c r="M288" s="123">
        <f>IF(AND(B288&lt;&gt;"",OR($C$4="",ISNUMBER(SEARCH($C$4,C288&amp;" "&amp;E288&amp;" "&amp;G288&amp;" "&amp;H288&amp;" "&amp;I288&amp;" "&amp;J288&amp;" "&amp;K288&amp;" "&amp;L288))),OR($C$5="Semua",$C$5="",G288=$C$5),OR($C$6="Semua",$C$6="",H288=$C$6,H288="Pengeluaran "&amp;$C$6,AND($C$6="Uang Kos Mama",H288="Pengeluaran Uang Kos")),OR($C$7="Semua",$C$7="",I288=$C$7),OR($C$8="Semua",$C$8="",C288=$C$8,E288=$C$8),OR($C$9="Semua",$C$9="",D288=$C$9),OR($C$10="",B288&gt;=$C$10),OR($C$11="",B288&lt;=$C$11),OR($C$12&lt;&gt;"Ya",K288&lt;&gt;""),OR($C$13="Semua",$C$13="",L288=$C$13)),"✓","")</f>
        <v/>
      </c>
      <c r="N288" s="93">
        <f>N(N287)+IF(M288="✓",1,0)</f>
        <v/>
      </c>
      <c r="O288" s="93">
        <f>N(O287)+IF(AND(B288&lt;&gt;"",B288&gt;='Uang Riba'!$H$30,B288&lt;='Uang Riba'!$I$30,OR(H288="Dana riba",H288="Pinjam uang riba",I288="Pinjam dari uang riba",I288="Ganti uang riba",I288="Kelebihan ganti dikembalikan",AND(C288="Kantong Uang Riba",G288="Pengeluaran"))),1,0)</f>
        <v/>
      </c>
      <c r="P288" s="119">
        <f>IF(284&gt;MAX($N$16:$N$5015),"",INDEX($B$16:$B$5015,MATCH((MAX($N$16:$N$5015)-284+1),$N$16:$N$5015,0)))</f>
        <v/>
      </c>
      <c r="Q288" s="105">
        <f>IF(284&gt;MAX($N$16:$N$5015),"",INDEX($C$16:$C$5015,MATCH((MAX($N$16:$N$5015)-284+1),$N$16:$N$5015,0)))&amp;IF(IF(284&gt;MAX($N$16:$N$5015),"",INDEX($E$16:$E$5015,MATCH((MAX($N$16:$N$5015)-284+1),$N$16:$N$5015,0)))="",""," → "&amp;IF(284&gt;MAX($N$16:$N$5015),"",INDEX($E$16:$E$5015,MATCH((MAX($N$16:$N$5015)-284+1),$N$16:$N$5015,0))))</f>
        <v/>
      </c>
      <c r="R288" s="105">
        <f>IF(284&gt;MAX($N$16:$N$5015),"",INDEX($D$16:$D$5015,MATCH((MAX($N$16:$N$5015)-284+1),$N$16:$N$5015,0)))</f>
        <v/>
      </c>
      <c r="S288" s="113">
        <f>IF(284&gt;MAX($N$16:$N$5015),"",INDEX($F$16:$F$5015,MATCH((MAX($N$16:$N$5015)-284+1),$N$16:$N$5015,0)))</f>
        <v/>
      </c>
      <c r="T288" s="105">
        <f>IF(284&gt;MAX($N$16:$N$5015),"",IF(284&gt;MAX($N$16:$N$5015),"",INDEX($G$16:$G$5015,MATCH((MAX($N$16:$N$5015)-284+1),$N$16:$N$5015,0)))&amp;" › "&amp;IF(284&gt;MAX($N$16:$N$5015),"",INDEX($H$16:$H$5015,MATCH((MAX($N$16:$N$5015)-284+1),$N$16:$N$5015,0)))&amp;" › "&amp;IF(284&gt;MAX($N$16:$N$5015),"",INDEX($I$16:$I$5015,MATCH((MAX($N$16:$N$5015)-284+1),$N$16:$N$5015,0))))</f>
        <v/>
      </c>
      <c r="U288" s="105">
        <f>IF(284&gt;MAX($N$16:$N$5015),"",INDEX($J$16:$J$5015,MATCH((MAX($N$16:$N$5015)-284+1),$N$16:$N$5015,0)))&amp;IF(IF(284&gt;MAX($N$16:$N$5015),"",INDEX($L$16:$L$5015,MATCH((MAX($N$16:$N$5015)-284+1),$N$16:$N$5015,0)))="",""," ["&amp;IF(284&gt;MAX($N$16:$N$5015),"",INDEX($L$16:$L$5015,MATCH((MAX($N$16:$N$5015)-284+1),$N$16:$N$5015,0)))&amp;"]")</f>
        <v/>
      </c>
      <c r="V288" s="120">
        <f>IF(284&gt;MAX($N$16:$N$5015),"",HYPERLINK("#Transaksi!B"&amp;(MATCH((MAX($N$16:$N$5015)-284+1),$N$16:$N$5015,0)+15),"Buka"))</f>
        <v/>
      </c>
      <c r="X288" s="93">
        <f>IF(AND(B288&lt;&gt;"",B288&gt;='Buku Akun'!$H$4,B288&lt;='Buku Akun'!$H$5,OR(C288='Buku Akun'!$C$4,AND(D288="Pindah",E288='Buku Akun'!$C$4))),B288+IF(AND(I288="Selisih bunga",DAY(B288)=1),0,0.01)+ROW()/10000000,"")</f>
        <v/>
      </c>
    </row>
    <row r="289" outlineLevel="1" ht="15" customHeight="1" s="94">
      <c r="A289" s="123">
        <f>IF(B289="","",ROW()-15)</f>
        <v/>
      </c>
      <c r="B289" s="124" t="n"/>
      <c r="C289" s="123" t="n"/>
      <c r="D289" s="123" t="n"/>
      <c r="E289" s="123" t="n"/>
      <c r="F289" s="125" t="n"/>
      <c r="G289" s="123" t="n"/>
      <c r="H289" s="123" t="n"/>
      <c r="I289" s="123" t="n"/>
      <c r="J289" s="123" t="n"/>
      <c r="K289" s="123" t="n"/>
      <c r="L289" s="123" t="n"/>
      <c r="M289" s="123">
        <f>IF(AND(B289&lt;&gt;"",OR($C$4="",ISNUMBER(SEARCH($C$4,C289&amp;" "&amp;E289&amp;" "&amp;G289&amp;" "&amp;H289&amp;" "&amp;I289&amp;" "&amp;J289&amp;" "&amp;K289&amp;" "&amp;L289))),OR($C$5="Semua",$C$5="",G289=$C$5),OR($C$6="Semua",$C$6="",H289=$C$6,H289="Pengeluaran "&amp;$C$6,AND($C$6="Uang Kos Mama",H289="Pengeluaran Uang Kos")),OR($C$7="Semua",$C$7="",I289=$C$7),OR($C$8="Semua",$C$8="",C289=$C$8,E289=$C$8),OR($C$9="Semua",$C$9="",D289=$C$9),OR($C$10="",B289&gt;=$C$10),OR($C$11="",B289&lt;=$C$11),OR($C$12&lt;&gt;"Ya",K289&lt;&gt;""),OR($C$13="Semua",$C$13="",L289=$C$13)),"✓","")</f>
        <v/>
      </c>
      <c r="N289" s="93">
        <f>N(N288)+IF(M289="✓",1,0)</f>
        <v/>
      </c>
      <c r="O289" s="93">
        <f>N(O288)+IF(AND(B289&lt;&gt;"",B289&gt;='Uang Riba'!$H$30,B289&lt;='Uang Riba'!$I$30,OR(H289="Dana riba",H289="Pinjam uang riba",I289="Pinjam dari uang riba",I289="Ganti uang riba",I289="Kelebihan ganti dikembalikan",AND(C289="Kantong Uang Riba",G289="Pengeluaran"))),1,0)</f>
        <v/>
      </c>
      <c r="P289" s="119">
        <f>IF(285&gt;MAX($N$16:$N$5015),"",INDEX($B$16:$B$5015,MATCH((MAX($N$16:$N$5015)-285+1),$N$16:$N$5015,0)))</f>
        <v/>
      </c>
      <c r="Q289" s="105">
        <f>IF(285&gt;MAX($N$16:$N$5015),"",INDEX($C$16:$C$5015,MATCH((MAX($N$16:$N$5015)-285+1),$N$16:$N$5015,0)))&amp;IF(IF(285&gt;MAX($N$16:$N$5015),"",INDEX($E$16:$E$5015,MATCH((MAX($N$16:$N$5015)-285+1),$N$16:$N$5015,0)))="",""," → "&amp;IF(285&gt;MAX($N$16:$N$5015),"",INDEX($E$16:$E$5015,MATCH((MAX($N$16:$N$5015)-285+1),$N$16:$N$5015,0))))</f>
        <v/>
      </c>
      <c r="R289" s="105">
        <f>IF(285&gt;MAX($N$16:$N$5015),"",INDEX($D$16:$D$5015,MATCH((MAX($N$16:$N$5015)-285+1),$N$16:$N$5015,0)))</f>
        <v/>
      </c>
      <c r="S289" s="113">
        <f>IF(285&gt;MAX($N$16:$N$5015),"",INDEX($F$16:$F$5015,MATCH((MAX($N$16:$N$5015)-285+1),$N$16:$N$5015,0)))</f>
        <v/>
      </c>
      <c r="T289" s="105">
        <f>IF(285&gt;MAX($N$16:$N$5015),"",IF(285&gt;MAX($N$16:$N$5015),"",INDEX($G$16:$G$5015,MATCH((MAX($N$16:$N$5015)-285+1),$N$16:$N$5015,0)))&amp;" › "&amp;IF(285&gt;MAX($N$16:$N$5015),"",INDEX($H$16:$H$5015,MATCH((MAX($N$16:$N$5015)-285+1),$N$16:$N$5015,0)))&amp;" › "&amp;IF(285&gt;MAX($N$16:$N$5015),"",INDEX($I$16:$I$5015,MATCH((MAX($N$16:$N$5015)-285+1),$N$16:$N$5015,0))))</f>
        <v/>
      </c>
      <c r="U289" s="105">
        <f>IF(285&gt;MAX($N$16:$N$5015),"",INDEX($J$16:$J$5015,MATCH((MAX($N$16:$N$5015)-285+1),$N$16:$N$5015,0)))&amp;IF(IF(285&gt;MAX($N$16:$N$5015),"",INDEX($L$16:$L$5015,MATCH((MAX($N$16:$N$5015)-285+1),$N$16:$N$5015,0)))="",""," ["&amp;IF(285&gt;MAX($N$16:$N$5015),"",INDEX($L$16:$L$5015,MATCH((MAX($N$16:$N$5015)-285+1),$N$16:$N$5015,0)))&amp;"]")</f>
        <v/>
      </c>
      <c r="V289" s="120">
        <f>IF(285&gt;MAX($N$16:$N$5015),"",HYPERLINK("#Transaksi!B"&amp;(MATCH((MAX($N$16:$N$5015)-285+1),$N$16:$N$5015,0)+15),"Buka"))</f>
        <v/>
      </c>
      <c r="X289" s="93">
        <f>IF(AND(B289&lt;&gt;"",B289&gt;='Buku Akun'!$H$4,B289&lt;='Buku Akun'!$H$5,OR(C289='Buku Akun'!$C$4,AND(D289="Pindah",E289='Buku Akun'!$C$4))),B289+IF(AND(I289="Selisih bunga",DAY(B289)=1),0,0.01)+ROW()/10000000,"")</f>
        <v/>
      </c>
    </row>
    <row r="290" outlineLevel="1" ht="15" customHeight="1" s="94">
      <c r="A290" s="123">
        <f>IF(B290="","",ROW()-15)</f>
        <v/>
      </c>
      <c r="B290" s="124" t="n"/>
      <c r="C290" s="123" t="n"/>
      <c r="D290" s="123" t="n"/>
      <c r="E290" s="123" t="n"/>
      <c r="F290" s="125" t="n"/>
      <c r="G290" s="123" t="n"/>
      <c r="H290" s="123" t="n"/>
      <c r="I290" s="123" t="n"/>
      <c r="J290" s="123" t="n"/>
      <c r="K290" s="123" t="n"/>
      <c r="L290" s="123" t="n"/>
      <c r="M290" s="123">
        <f>IF(AND(B290&lt;&gt;"",OR($C$4="",ISNUMBER(SEARCH($C$4,C290&amp;" "&amp;E290&amp;" "&amp;G290&amp;" "&amp;H290&amp;" "&amp;I290&amp;" "&amp;J290&amp;" "&amp;K290&amp;" "&amp;L290))),OR($C$5="Semua",$C$5="",G290=$C$5),OR($C$6="Semua",$C$6="",H290=$C$6,H290="Pengeluaran "&amp;$C$6,AND($C$6="Uang Kos Mama",H290="Pengeluaran Uang Kos")),OR($C$7="Semua",$C$7="",I290=$C$7),OR($C$8="Semua",$C$8="",C290=$C$8,E290=$C$8),OR($C$9="Semua",$C$9="",D290=$C$9),OR($C$10="",B290&gt;=$C$10),OR($C$11="",B290&lt;=$C$11),OR($C$12&lt;&gt;"Ya",K290&lt;&gt;""),OR($C$13="Semua",$C$13="",L290=$C$13)),"✓","")</f>
        <v/>
      </c>
      <c r="N290" s="93">
        <f>N(N289)+IF(M290="✓",1,0)</f>
        <v/>
      </c>
      <c r="O290" s="93">
        <f>N(O289)+IF(AND(B290&lt;&gt;"",B290&gt;='Uang Riba'!$H$30,B290&lt;='Uang Riba'!$I$30,OR(H290="Dana riba",H290="Pinjam uang riba",I290="Pinjam dari uang riba",I290="Ganti uang riba",I290="Kelebihan ganti dikembalikan",AND(C290="Kantong Uang Riba",G290="Pengeluaran"))),1,0)</f>
        <v/>
      </c>
      <c r="P290" s="119">
        <f>IF(286&gt;MAX($N$16:$N$5015),"",INDEX($B$16:$B$5015,MATCH((MAX($N$16:$N$5015)-286+1),$N$16:$N$5015,0)))</f>
        <v/>
      </c>
      <c r="Q290" s="105">
        <f>IF(286&gt;MAX($N$16:$N$5015),"",INDEX($C$16:$C$5015,MATCH((MAX($N$16:$N$5015)-286+1),$N$16:$N$5015,0)))&amp;IF(IF(286&gt;MAX($N$16:$N$5015),"",INDEX($E$16:$E$5015,MATCH((MAX($N$16:$N$5015)-286+1),$N$16:$N$5015,0)))="",""," → "&amp;IF(286&gt;MAX($N$16:$N$5015),"",INDEX($E$16:$E$5015,MATCH((MAX($N$16:$N$5015)-286+1),$N$16:$N$5015,0))))</f>
        <v/>
      </c>
      <c r="R290" s="105">
        <f>IF(286&gt;MAX($N$16:$N$5015),"",INDEX($D$16:$D$5015,MATCH((MAX($N$16:$N$5015)-286+1),$N$16:$N$5015,0)))</f>
        <v/>
      </c>
      <c r="S290" s="113">
        <f>IF(286&gt;MAX($N$16:$N$5015),"",INDEX($F$16:$F$5015,MATCH((MAX($N$16:$N$5015)-286+1),$N$16:$N$5015,0)))</f>
        <v/>
      </c>
      <c r="T290" s="105">
        <f>IF(286&gt;MAX($N$16:$N$5015),"",IF(286&gt;MAX($N$16:$N$5015),"",INDEX($G$16:$G$5015,MATCH((MAX($N$16:$N$5015)-286+1),$N$16:$N$5015,0)))&amp;" › "&amp;IF(286&gt;MAX($N$16:$N$5015),"",INDEX($H$16:$H$5015,MATCH((MAX($N$16:$N$5015)-286+1),$N$16:$N$5015,0)))&amp;" › "&amp;IF(286&gt;MAX($N$16:$N$5015),"",INDEX($I$16:$I$5015,MATCH((MAX($N$16:$N$5015)-286+1),$N$16:$N$5015,0))))</f>
        <v/>
      </c>
      <c r="U290" s="105">
        <f>IF(286&gt;MAX($N$16:$N$5015),"",INDEX($J$16:$J$5015,MATCH((MAX($N$16:$N$5015)-286+1),$N$16:$N$5015,0)))&amp;IF(IF(286&gt;MAX($N$16:$N$5015),"",INDEX($L$16:$L$5015,MATCH((MAX($N$16:$N$5015)-286+1),$N$16:$N$5015,0)))="",""," ["&amp;IF(286&gt;MAX($N$16:$N$5015),"",INDEX($L$16:$L$5015,MATCH((MAX($N$16:$N$5015)-286+1),$N$16:$N$5015,0)))&amp;"]")</f>
        <v/>
      </c>
      <c r="V290" s="120">
        <f>IF(286&gt;MAX($N$16:$N$5015),"",HYPERLINK("#Transaksi!B"&amp;(MATCH((MAX($N$16:$N$5015)-286+1),$N$16:$N$5015,0)+15),"Buka"))</f>
        <v/>
      </c>
      <c r="X290" s="93">
        <f>IF(AND(B290&lt;&gt;"",B290&gt;='Buku Akun'!$H$4,B290&lt;='Buku Akun'!$H$5,OR(C290='Buku Akun'!$C$4,AND(D290="Pindah",E290='Buku Akun'!$C$4))),B290+IF(AND(I290="Selisih bunga",DAY(B290)=1),0,0.01)+ROW()/10000000,"")</f>
        <v/>
      </c>
    </row>
    <row r="291" outlineLevel="1" ht="15" customHeight="1" s="94">
      <c r="A291" s="123">
        <f>IF(B291="","",ROW()-15)</f>
        <v/>
      </c>
      <c r="B291" s="124" t="n"/>
      <c r="C291" s="123" t="n"/>
      <c r="D291" s="123" t="n"/>
      <c r="E291" s="123" t="n"/>
      <c r="F291" s="125" t="n"/>
      <c r="G291" s="123" t="n"/>
      <c r="H291" s="123" t="n"/>
      <c r="I291" s="123" t="n"/>
      <c r="J291" s="123" t="n"/>
      <c r="K291" s="123" t="n"/>
      <c r="L291" s="123" t="n"/>
      <c r="M291" s="123">
        <f>IF(AND(B291&lt;&gt;"",OR($C$4="",ISNUMBER(SEARCH($C$4,C291&amp;" "&amp;E291&amp;" "&amp;G291&amp;" "&amp;H291&amp;" "&amp;I291&amp;" "&amp;J291&amp;" "&amp;K291&amp;" "&amp;L291))),OR($C$5="Semua",$C$5="",G291=$C$5),OR($C$6="Semua",$C$6="",H291=$C$6,H291="Pengeluaran "&amp;$C$6,AND($C$6="Uang Kos Mama",H291="Pengeluaran Uang Kos")),OR($C$7="Semua",$C$7="",I291=$C$7),OR($C$8="Semua",$C$8="",C291=$C$8,E291=$C$8),OR($C$9="Semua",$C$9="",D291=$C$9),OR($C$10="",B291&gt;=$C$10),OR($C$11="",B291&lt;=$C$11),OR($C$12&lt;&gt;"Ya",K291&lt;&gt;""),OR($C$13="Semua",$C$13="",L291=$C$13)),"✓","")</f>
        <v/>
      </c>
      <c r="N291" s="93">
        <f>N(N290)+IF(M291="✓",1,0)</f>
        <v/>
      </c>
      <c r="O291" s="93">
        <f>N(O290)+IF(AND(B291&lt;&gt;"",B291&gt;='Uang Riba'!$H$30,B291&lt;='Uang Riba'!$I$30,OR(H291="Dana riba",H291="Pinjam uang riba",I291="Pinjam dari uang riba",I291="Ganti uang riba",I291="Kelebihan ganti dikembalikan",AND(C291="Kantong Uang Riba",G291="Pengeluaran"))),1,0)</f>
        <v/>
      </c>
      <c r="P291" s="119">
        <f>IF(287&gt;MAX($N$16:$N$5015),"",INDEX($B$16:$B$5015,MATCH((MAX($N$16:$N$5015)-287+1),$N$16:$N$5015,0)))</f>
        <v/>
      </c>
      <c r="Q291" s="105">
        <f>IF(287&gt;MAX($N$16:$N$5015),"",INDEX($C$16:$C$5015,MATCH((MAX($N$16:$N$5015)-287+1),$N$16:$N$5015,0)))&amp;IF(IF(287&gt;MAX($N$16:$N$5015),"",INDEX($E$16:$E$5015,MATCH((MAX($N$16:$N$5015)-287+1),$N$16:$N$5015,0)))="",""," → "&amp;IF(287&gt;MAX($N$16:$N$5015),"",INDEX($E$16:$E$5015,MATCH((MAX($N$16:$N$5015)-287+1),$N$16:$N$5015,0))))</f>
        <v/>
      </c>
      <c r="R291" s="105">
        <f>IF(287&gt;MAX($N$16:$N$5015),"",INDEX($D$16:$D$5015,MATCH((MAX($N$16:$N$5015)-287+1),$N$16:$N$5015,0)))</f>
        <v/>
      </c>
      <c r="S291" s="113">
        <f>IF(287&gt;MAX($N$16:$N$5015),"",INDEX($F$16:$F$5015,MATCH((MAX($N$16:$N$5015)-287+1),$N$16:$N$5015,0)))</f>
        <v/>
      </c>
      <c r="T291" s="105">
        <f>IF(287&gt;MAX($N$16:$N$5015),"",IF(287&gt;MAX($N$16:$N$5015),"",INDEX($G$16:$G$5015,MATCH((MAX($N$16:$N$5015)-287+1),$N$16:$N$5015,0)))&amp;" › "&amp;IF(287&gt;MAX($N$16:$N$5015),"",INDEX($H$16:$H$5015,MATCH((MAX($N$16:$N$5015)-287+1),$N$16:$N$5015,0)))&amp;" › "&amp;IF(287&gt;MAX($N$16:$N$5015),"",INDEX($I$16:$I$5015,MATCH((MAX($N$16:$N$5015)-287+1),$N$16:$N$5015,0))))</f>
        <v/>
      </c>
      <c r="U291" s="105">
        <f>IF(287&gt;MAX($N$16:$N$5015),"",INDEX($J$16:$J$5015,MATCH((MAX($N$16:$N$5015)-287+1),$N$16:$N$5015,0)))&amp;IF(IF(287&gt;MAX($N$16:$N$5015),"",INDEX($L$16:$L$5015,MATCH((MAX($N$16:$N$5015)-287+1),$N$16:$N$5015,0)))="",""," ["&amp;IF(287&gt;MAX($N$16:$N$5015),"",INDEX($L$16:$L$5015,MATCH((MAX($N$16:$N$5015)-287+1),$N$16:$N$5015,0)))&amp;"]")</f>
        <v/>
      </c>
      <c r="V291" s="120">
        <f>IF(287&gt;MAX($N$16:$N$5015),"",HYPERLINK("#Transaksi!B"&amp;(MATCH((MAX($N$16:$N$5015)-287+1),$N$16:$N$5015,0)+15),"Buka"))</f>
        <v/>
      </c>
      <c r="X291" s="93">
        <f>IF(AND(B291&lt;&gt;"",B291&gt;='Buku Akun'!$H$4,B291&lt;='Buku Akun'!$H$5,OR(C291='Buku Akun'!$C$4,AND(D291="Pindah",E291='Buku Akun'!$C$4))),B291+IF(AND(I291="Selisih bunga",DAY(B291)=1),0,0.01)+ROW()/10000000,"")</f>
        <v/>
      </c>
    </row>
    <row r="292" outlineLevel="1" ht="15" customHeight="1" s="94">
      <c r="A292" s="123">
        <f>IF(B292="","",ROW()-15)</f>
        <v/>
      </c>
      <c r="B292" s="124" t="n"/>
      <c r="C292" s="123" t="n"/>
      <c r="D292" s="123" t="n"/>
      <c r="E292" s="123" t="n"/>
      <c r="F292" s="125" t="n"/>
      <c r="G292" s="123" t="n"/>
      <c r="H292" s="123" t="n"/>
      <c r="I292" s="123" t="n"/>
      <c r="J292" s="123" t="n"/>
      <c r="K292" s="123" t="n"/>
      <c r="L292" s="123" t="n"/>
      <c r="M292" s="123">
        <f>IF(AND(B292&lt;&gt;"",OR($C$4="",ISNUMBER(SEARCH($C$4,C292&amp;" "&amp;E292&amp;" "&amp;G292&amp;" "&amp;H292&amp;" "&amp;I292&amp;" "&amp;J292&amp;" "&amp;K292&amp;" "&amp;L292))),OR($C$5="Semua",$C$5="",G292=$C$5),OR($C$6="Semua",$C$6="",H292=$C$6,H292="Pengeluaran "&amp;$C$6,AND($C$6="Uang Kos Mama",H292="Pengeluaran Uang Kos")),OR($C$7="Semua",$C$7="",I292=$C$7),OR($C$8="Semua",$C$8="",C292=$C$8,E292=$C$8),OR($C$9="Semua",$C$9="",D292=$C$9),OR($C$10="",B292&gt;=$C$10),OR($C$11="",B292&lt;=$C$11),OR($C$12&lt;&gt;"Ya",K292&lt;&gt;""),OR($C$13="Semua",$C$13="",L292=$C$13)),"✓","")</f>
        <v/>
      </c>
      <c r="N292" s="93">
        <f>N(N291)+IF(M292="✓",1,0)</f>
        <v/>
      </c>
      <c r="O292" s="93">
        <f>N(O291)+IF(AND(B292&lt;&gt;"",B292&gt;='Uang Riba'!$H$30,B292&lt;='Uang Riba'!$I$30,OR(H292="Dana riba",H292="Pinjam uang riba",I292="Pinjam dari uang riba",I292="Ganti uang riba",I292="Kelebihan ganti dikembalikan",AND(C292="Kantong Uang Riba",G292="Pengeluaran"))),1,0)</f>
        <v/>
      </c>
      <c r="P292" s="119">
        <f>IF(288&gt;MAX($N$16:$N$5015),"",INDEX($B$16:$B$5015,MATCH((MAX($N$16:$N$5015)-288+1),$N$16:$N$5015,0)))</f>
        <v/>
      </c>
      <c r="Q292" s="105">
        <f>IF(288&gt;MAX($N$16:$N$5015),"",INDEX($C$16:$C$5015,MATCH((MAX($N$16:$N$5015)-288+1),$N$16:$N$5015,0)))&amp;IF(IF(288&gt;MAX($N$16:$N$5015),"",INDEX($E$16:$E$5015,MATCH((MAX($N$16:$N$5015)-288+1),$N$16:$N$5015,0)))="",""," → "&amp;IF(288&gt;MAX($N$16:$N$5015),"",INDEX($E$16:$E$5015,MATCH((MAX($N$16:$N$5015)-288+1),$N$16:$N$5015,0))))</f>
        <v/>
      </c>
      <c r="R292" s="105">
        <f>IF(288&gt;MAX($N$16:$N$5015),"",INDEX($D$16:$D$5015,MATCH((MAX($N$16:$N$5015)-288+1),$N$16:$N$5015,0)))</f>
        <v/>
      </c>
      <c r="S292" s="113">
        <f>IF(288&gt;MAX($N$16:$N$5015),"",INDEX($F$16:$F$5015,MATCH((MAX($N$16:$N$5015)-288+1),$N$16:$N$5015,0)))</f>
        <v/>
      </c>
      <c r="T292" s="105">
        <f>IF(288&gt;MAX($N$16:$N$5015),"",IF(288&gt;MAX($N$16:$N$5015),"",INDEX($G$16:$G$5015,MATCH((MAX($N$16:$N$5015)-288+1),$N$16:$N$5015,0)))&amp;" › "&amp;IF(288&gt;MAX($N$16:$N$5015),"",INDEX($H$16:$H$5015,MATCH((MAX($N$16:$N$5015)-288+1),$N$16:$N$5015,0)))&amp;" › "&amp;IF(288&gt;MAX($N$16:$N$5015),"",INDEX($I$16:$I$5015,MATCH((MAX($N$16:$N$5015)-288+1),$N$16:$N$5015,0))))</f>
        <v/>
      </c>
      <c r="U292" s="105">
        <f>IF(288&gt;MAX($N$16:$N$5015),"",INDEX($J$16:$J$5015,MATCH((MAX($N$16:$N$5015)-288+1),$N$16:$N$5015,0)))&amp;IF(IF(288&gt;MAX($N$16:$N$5015),"",INDEX($L$16:$L$5015,MATCH((MAX($N$16:$N$5015)-288+1),$N$16:$N$5015,0)))="",""," ["&amp;IF(288&gt;MAX($N$16:$N$5015),"",INDEX($L$16:$L$5015,MATCH((MAX($N$16:$N$5015)-288+1),$N$16:$N$5015,0)))&amp;"]")</f>
        <v/>
      </c>
      <c r="V292" s="120">
        <f>IF(288&gt;MAX($N$16:$N$5015),"",HYPERLINK("#Transaksi!B"&amp;(MATCH((MAX($N$16:$N$5015)-288+1),$N$16:$N$5015,0)+15),"Buka"))</f>
        <v/>
      </c>
      <c r="X292" s="93">
        <f>IF(AND(B292&lt;&gt;"",B292&gt;='Buku Akun'!$H$4,B292&lt;='Buku Akun'!$H$5,OR(C292='Buku Akun'!$C$4,AND(D292="Pindah",E292='Buku Akun'!$C$4))),B292+IF(AND(I292="Selisih bunga",DAY(B292)=1),0,0.01)+ROW()/10000000,"")</f>
        <v/>
      </c>
    </row>
    <row r="293" outlineLevel="1" ht="15" customHeight="1" s="94">
      <c r="A293" s="123">
        <f>IF(B293="","",ROW()-15)</f>
        <v/>
      </c>
      <c r="B293" s="124" t="n"/>
      <c r="C293" s="123" t="n"/>
      <c r="D293" s="123" t="n"/>
      <c r="E293" s="123" t="n"/>
      <c r="F293" s="125" t="n"/>
      <c r="G293" s="123" t="n"/>
      <c r="H293" s="123" t="n"/>
      <c r="I293" s="123" t="n"/>
      <c r="J293" s="123" t="n"/>
      <c r="K293" s="123" t="n"/>
      <c r="L293" s="123" t="n"/>
      <c r="M293" s="123">
        <f>IF(AND(B293&lt;&gt;"",OR($C$4="",ISNUMBER(SEARCH($C$4,C293&amp;" "&amp;E293&amp;" "&amp;G293&amp;" "&amp;H293&amp;" "&amp;I293&amp;" "&amp;J293&amp;" "&amp;K293&amp;" "&amp;L293))),OR($C$5="Semua",$C$5="",G293=$C$5),OR($C$6="Semua",$C$6="",H293=$C$6,H293="Pengeluaran "&amp;$C$6,AND($C$6="Uang Kos Mama",H293="Pengeluaran Uang Kos")),OR($C$7="Semua",$C$7="",I293=$C$7),OR($C$8="Semua",$C$8="",C293=$C$8,E293=$C$8),OR($C$9="Semua",$C$9="",D293=$C$9),OR($C$10="",B293&gt;=$C$10),OR($C$11="",B293&lt;=$C$11),OR($C$12&lt;&gt;"Ya",K293&lt;&gt;""),OR($C$13="Semua",$C$13="",L293=$C$13)),"✓","")</f>
        <v/>
      </c>
      <c r="N293" s="93">
        <f>N(N292)+IF(M293="✓",1,0)</f>
        <v/>
      </c>
      <c r="O293" s="93">
        <f>N(O292)+IF(AND(B293&lt;&gt;"",B293&gt;='Uang Riba'!$H$30,B293&lt;='Uang Riba'!$I$30,OR(H293="Dana riba",H293="Pinjam uang riba",I293="Pinjam dari uang riba",I293="Ganti uang riba",I293="Kelebihan ganti dikembalikan",AND(C293="Kantong Uang Riba",G293="Pengeluaran"))),1,0)</f>
        <v/>
      </c>
      <c r="P293" s="119">
        <f>IF(289&gt;MAX($N$16:$N$5015),"",INDEX($B$16:$B$5015,MATCH((MAX($N$16:$N$5015)-289+1),$N$16:$N$5015,0)))</f>
        <v/>
      </c>
      <c r="Q293" s="105">
        <f>IF(289&gt;MAX($N$16:$N$5015),"",INDEX($C$16:$C$5015,MATCH((MAX($N$16:$N$5015)-289+1),$N$16:$N$5015,0)))&amp;IF(IF(289&gt;MAX($N$16:$N$5015),"",INDEX($E$16:$E$5015,MATCH((MAX($N$16:$N$5015)-289+1),$N$16:$N$5015,0)))="",""," → "&amp;IF(289&gt;MAX($N$16:$N$5015),"",INDEX($E$16:$E$5015,MATCH((MAX($N$16:$N$5015)-289+1),$N$16:$N$5015,0))))</f>
        <v/>
      </c>
      <c r="R293" s="105">
        <f>IF(289&gt;MAX($N$16:$N$5015),"",INDEX($D$16:$D$5015,MATCH((MAX($N$16:$N$5015)-289+1),$N$16:$N$5015,0)))</f>
        <v/>
      </c>
      <c r="S293" s="113">
        <f>IF(289&gt;MAX($N$16:$N$5015),"",INDEX($F$16:$F$5015,MATCH((MAX($N$16:$N$5015)-289+1),$N$16:$N$5015,0)))</f>
        <v/>
      </c>
      <c r="T293" s="105">
        <f>IF(289&gt;MAX($N$16:$N$5015),"",IF(289&gt;MAX($N$16:$N$5015),"",INDEX($G$16:$G$5015,MATCH((MAX($N$16:$N$5015)-289+1),$N$16:$N$5015,0)))&amp;" › "&amp;IF(289&gt;MAX($N$16:$N$5015),"",INDEX($H$16:$H$5015,MATCH((MAX($N$16:$N$5015)-289+1),$N$16:$N$5015,0)))&amp;" › "&amp;IF(289&gt;MAX($N$16:$N$5015),"",INDEX($I$16:$I$5015,MATCH((MAX($N$16:$N$5015)-289+1),$N$16:$N$5015,0))))</f>
        <v/>
      </c>
      <c r="U293" s="105">
        <f>IF(289&gt;MAX($N$16:$N$5015),"",INDEX($J$16:$J$5015,MATCH((MAX($N$16:$N$5015)-289+1),$N$16:$N$5015,0)))&amp;IF(IF(289&gt;MAX($N$16:$N$5015),"",INDEX($L$16:$L$5015,MATCH((MAX($N$16:$N$5015)-289+1),$N$16:$N$5015,0)))="",""," ["&amp;IF(289&gt;MAX($N$16:$N$5015),"",INDEX($L$16:$L$5015,MATCH((MAX($N$16:$N$5015)-289+1),$N$16:$N$5015,0)))&amp;"]")</f>
        <v/>
      </c>
      <c r="V293" s="120">
        <f>IF(289&gt;MAX($N$16:$N$5015),"",HYPERLINK("#Transaksi!B"&amp;(MATCH((MAX($N$16:$N$5015)-289+1),$N$16:$N$5015,0)+15),"Buka"))</f>
        <v/>
      </c>
      <c r="X293" s="93">
        <f>IF(AND(B293&lt;&gt;"",B293&gt;='Buku Akun'!$H$4,B293&lt;='Buku Akun'!$H$5,OR(C293='Buku Akun'!$C$4,AND(D293="Pindah",E293='Buku Akun'!$C$4))),B293+IF(AND(I293="Selisih bunga",DAY(B293)=1),0,0.01)+ROW()/10000000,"")</f>
        <v/>
      </c>
    </row>
    <row r="294" outlineLevel="1" ht="15" customHeight="1" s="94">
      <c r="A294" s="123">
        <f>IF(B294="","",ROW()-15)</f>
        <v/>
      </c>
      <c r="B294" s="124" t="n"/>
      <c r="C294" s="123" t="n"/>
      <c r="D294" s="123" t="n"/>
      <c r="E294" s="123" t="n"/>
      <c r="F294" s="125" t="n"/>
      <c r="G294" s="123" t="n"/>
      <c r="H294" s="123" t="n"/>
      <c r="I294" s="123" t="n"/>
      <c r="J294" s="123" t="n"/>
      <c r="K294" s="123" t="n"/>
      <c r="L294" s="123" t="n"/>
      <c r="M294" s="123">
        <f>IF(AND(B294&lt;&gt;"",OR($C$4="",ISNUMBER(SEARCH($C$4,C294&amp;" "&amp;E294&amp;" "&amp;G294&amp;" "&amp;H294&amp;" "&amp;I294&amp;" "&amp;J294&amp;" "&amp;K294&amp;" "&amp;L294))),OR($C$5="Semua",$C$5="",G294=$C$5),OR($C$6="Semua",$C$6="",H294=$C$6,H294="Pengeluaran "&amp;$C$6,AND($C$6="Uang Kos Mama",H294="Pengeluaran Uang Kos")),OR($C$7="Semua",$C$7="",I294=$C$7),OR($C$8="Semua",$C$8="",C294=$C$8,E294=$C$8),OR($C$9="Semua",$C$9="",D294=$C$9),OR($C$10="",B294&gt;=$C$10),OR($C$11="",B294&lt;=$C$11),OR($C$12&lt;&gt;"Ya",K294&lt;&gt;""),OR($C$13="Semua",$C$13="",L294=$C$13)),"✓","")</f>
        <v/>
      </c>
      <c r="N294" s="93">
        <f>N(N293)+IF(M294="✓",1,0)</f>
        <v/>
      </c>
      <c r="O294" s="93">
        <f>N(O293)+IF(AND(B294&lt;&gt;"",B294&gt;='Uang Riba'!$H$30,B294&lt;='Uang Riba'!$I$30,OR(H294="Dana riba",H294="Pinjam uang riba",I294="Pinjam dari uang riba",I294="Ganti uang riba",I294="Kelebihan ganti dikembalikan",AND(C294="Kantong Uang Riba",G294="Pengeluaran"))),1,0)</f>
        <v/>
      </c>
      <c r="P294" s="119">
        <f>IF(290&gt;MAX($N$16:$N$5015),"",INDEX($B$16:$B$5015,MATCH((MAX($N$16:$N$5015)-290+1),$N$16:$N$5015,0)))</f>
        <v/>
      </c>
      <c r="Q294" s="105">
        <f>IF(290&gt;MAX($N$16:$N$5015),"",INDEX($C$16:$C$5015,MATCH((MAX($N$16:$N$5015)-290+1),$N$16:$N$5015,0)))&amp;IF(IF(290&gt;MAX($N$16:$N$5015),"",INDEX($E$16:$E$5015,MATCH((MAX($N$16:$N$5015)-290+1),$N$16:$N$5015,0)))="",""," → "&amp;IF(290&gt;MAX($N$16:$N$5015),"",INDEX($E$16:$E$5015,MATCH((MAX($N$16:$N$5015)-290+1),$N$16:$N$5015,0))))</f>
        <v/>
      </c>
      <c r="R294" s="105">
        <f>IF(290&gt;MAX($N$16:$N$5015),"",INDEX($D$16:$D$5015,MATCH((MAX($N$16:$N$5015)-290+1),$N$16:$N$5015,0)))</f>
        <v/>
      </c>
      <c r="S294" s="113">
        <f>IF(290&gt;MAX($N$16:$N$5015),"",INDEX($F$16:$F$5015,MATCH((MAX($N$16:$N$5015)-290+1),$N$16:$N$5015,0)))</f>
        <v/>
      </c>
      <c r="T294" s="105">
        <f>IF(290&gt;MAX($N$16:$N$5015),"",IF(290&gt;MAX($N$16:$N$5015),"",INDEX($G$16:$G$5015,MATCH((MAX($N$16:$N$5015)-290+1),$N$16:$N$5015,0)))&amp;" › "&amp;IF(290&gt;MAX($N$16:$N$5015),"",INDEX($H$16:$H$5015,MATCH((MAX($N$16:$N$5015)-290+1),$N$16:$N$5015,0)))&amp;" › "&amp;IF(290&gt;MAX($N$16:$N$5015),"",INDEX($I$16:$I$5015,MATCH((MAX($N$16:$N$5015)-290+1),$N$16:$N$5015,0))))</f>
        <v/>
      </c>
      <c r="U294" s="105">
        <f>IF(290&gt;MAX($N$16:$N$5015),"",INDEX($J$16:$J$5015,MATCH((MAX($N$16:$N$5015)-290+1),$N$16:$N$5015,0)))&amp;IF(IF(290&gt;MAX($N$16:$N$5015),"",INDEX($L$16:$L$5015,MATCH((MAX($N$16:$N$5015)-290+1),$N$16:$N$5015,0)))="",""," ["&amp;IF(290&gt;MAX($N$16:$N$5015),"",INDEX($L$16:$L$5015,MATCH((MAX($N$16:$N$5015)-290+1),$N$16:$N$5015,0)))&amp;"]")</f>
        <v/>
      </c>
      <c r="V294" s="120">
        <f>IF(290&gt;MAX($N$16:$N$5015),"",HYPERLINK("#Transaksi!B"&amp;(MATCH((MAX($N$16:$N$5015)-290+1),$N$16:$N$5015,0)+15),"Buka"))</f>
        <v/>
      </c>
      <c r="X294" s="93">
        <f>IF(AND(B294&lt;&gt;"",B294&gt;='Buku Akun'!$H$4,B294&lt;='Buku Akun'!$H$5,OR(C294='Buku Akun'!$C$4,AND(D294="Pindah",E294='Buku Akun'!$C$4))),B294+IF(AND(I294="Selisih bunga",DAY(B294)=1),0,0.01)+ROW()/10000000,"")</f>
        <v/>
      </c>
    </row>
    <row r="295" outlineLevel="1" ht="15" customHeight="1" s="94">
      <c r="A295" s="123">
        <f>IF(B295="","",ROW()-15)</f>
        <v/>
      </c>
      <c r="B295" s="124" t="n"/>
      <c r="C295" s="123" t="n"/>
      <c r="D295" s="123" t="n"/>
      <c r="E295" s="123" t="n"/>
      <c r="F295" s="125" t="n"/>
      <c r="G295" s="123" t="n"/>
      <c r="H295" s="123" t="n"/>
      <c r="I295" s="123" t="n"/>
      <c r="J295" s="123" t="n"/>
      <c r="K295" s="123" t="n"/>
      <c r="L295" s="123" t="n"/>
      <c r="M295" s="123">
        <f>IF(AND(B295&lt;&gt;"",OR($C$4="",ISNUMBER(SEARCH($C$4,C295&amp;" "&amp;E295&amp;" "&amp;G295&amp;" "&amp;H295&amp;" "&amp;I295&amp;" "&amp;J295&amp;" "&amp;K295&amp;" "&amp;L295))),OR($C$5="Semua",$C$5="",G295=$C$5),OR($C$6="Semua",$C$6="",H295=$C$6,H295="Pengeluaran "&amp;$C$6,AND($C$6="Uang Kos Mama",H295="Pengeluaran Uang Kos")),OR($C$7="Semua",$C$7="",I295=$C$7),OR($C$8="Semua",$C$8="",C295=$C$8,E295=$C$8),OR($C$9="Semua",$C$9="",D295=$C$9),OR($C$10="",B295&gt;=$C$10),OR($C$11="",B295&lt;=$C$11),OR($C$12&lt;&gt;"Ya",K295&lt;&gt;""),OR($C$13="Semua",$C$13="",L295=$C$13)),"✓","")</f>
        <v/>
      </c>
      <c r="N295" s="93">
        <f>N(N294)+IF(M295="✓",1,0)</f>
        <v/>
      </c>
      <c r="O295" s="93">
        <f>N(O294)+IF(AND(B295&lt;&gt;"",B295&gt;='Uang Riba'!$H$30,B295&lt;='Uang Riba'!$I$30,OR(H295="Dana riba",H295="Pinjam uang riba",I295="Pinjam dari uang riba",I295="Ganti uang riba",I295="Kelebihan ganti dikembalikan",AND(C295="Kantong Uang Riba",G295="Pengeluaran"))),1,0)</f>
        <v/>
      </c>
      <c r="P295" s="119">
        <f>IF(291&gt;MAX($N$16:$N$5015),"",INDEX($B$16:$B$5015,MATCH((MAX($N$16:$N$5015)-291+1),$N$16:$N$5015,0)))</f>
        <v/>
      </c>
      <c r="Q295" s="105">
        <f>IF(291&gt;MAX($N$16:$N$5015),"",INDEX($C$16:$C$5015,MATCH((MAX($N$16:$N$5015)-291+1),$N$16:$N$5015,0)))&amp;IF(IF(291&gt;MAX($N$16:$N$5015),"",INDEX($E$16:$E$5015,MATCH((MAX($N$16:$N$5015)-291+1),$N$16:$N$5015,0)))="",""," → "&amp;IF(291&gt;MAX($N$16:$N$5015),"",INDEX($E$16:$E$5015,MATCH((MAX($N$16:$N$5015)-291+1),$N$16:$N$5015,0))))</f>
        <v/>
      </c>
      <c r="R295" s="105">
        <f>IF(291&gt;MAX($N$16:$N$5015),"",INDEX($D$16:$D$5015,MATCH((MAX($N$16:$N$5015)-291+1),$N$16:$N$5015,0)))</f>
        <v/>
      </c>
      <c r="S295" s="113">
        <f>IF(291&gt;MAX($N$16:$N$5015),"",INDEX($F$16:$F$5015,MATCH((MAX($N$16:$N$5015)-291+1),$N$16:$N$5015,0)))</f>
        <v/>
      </c>
      <c r="T295" s="105">
        <f>IF(291&gt;MAX($N$16:$N$5015),"",IF(291&gt;MAX($N$16:$N$5015),"",INDEX($G$16:$G$5015,MATCH((MAX($N$16:$N$5015)-291+1),$N$16:$N$5015,0)))&amp;" › "&amp;IF(291&gt;MAX($N$16:$N$5015),"",INDEX($H$16:$H$5015,MATCH((MAX($N$16:$N$5015)-291+1),$N$16:$N$5015,0)))&amp;" › "&amp;IF(291&gt;MAX($N$16:$N$5015),"",INDEX($I$16:$I$5015,MATCH((MAX($N$16:$N$5015)-291+1),$N$16:$N$5015,0))))</f>
        <v/>
      </c>
      <c r="U295" s="105">
        <f>IF(291&gt;MAX($N$16:$N$5015),"",INDEX($J$16:$J$5015,MATCH((MAX($N$16:$N$5015)-291+1),$N$16:$N$5015,0)))&amp;IF(IF(291&gt;MAX($N$16:$N$5015),"",INDEX($L$16:$L$5015,MATCH((MAX($N$16:$N$5015)-291+1),$N$16:$N$5015,0)))="",""," ["&amp;IF(291&gt;MAX($N$16:$N$5015),"",INDEX($L$16:$L$5015,MATCH((MAX($N$16:$N$5015)-291+1),$N$16:$N$5015,0)))&amp;"]")</f>
        <v/>
      </c>
      <c r="V295" s="120">
        <f>IF(291&gt;MAX($N$16:$N$5015),"",HYPERLINK("#Transaksi!B"&amp;(MATCH((MAX($N$16:$N$5015)-291+1),$N$16:$N$5015,0)+15),"Buka"))</f>
        <v/>
      </c>
      <c r="X295" s="93">
        <f>IF(AND(B295&lt;&gt;"",B295&gt;='Buku Akun'!$H$4,B295&lt;='Buku Akun'!$H$5,OR(C295='Buku Akun'!$C$4,AND(D295="Pindah",E295='Buku Akun'!$C$4))),B295+IF(AND(I295="Selisih bunga",DAY(B295)=1),0,0.01)+ROW()/10000000,"")</f>
        <v/>
      </c>
    </row>
    <row r="296" outlineLevel="1" ht="15" customHeight="1" s="94">
      <c r="A296" s="123">
        <f>IF(B296="","",ROW()-15)</f>
        <v/>
      </c>
      <c r="B296" s="124" t="n"/>
      <c r="C296" s="123" t="n"/>
      <c r="D296" s="123" t="n"/>
      <c r="E296" s="123" t="n"/>
      <c r="F296" s="125" t="n"/>
      <c r="G296" s="123" t="n"/>
      <c r="H296" s="123" t="n"/>
      <c r="I296" s="123" t="n"/>
      <c r="J296" s="123" t="n"/>
      <c r="K296" s="123" t="n"/>
      <c r="L296" s="123" t="n"/>
      <c r="M296" s="123">
        <f>IF(AND(B296&lt;&gt;"",OR($C$4="",ISNUMBER(SEARCH($C$4,C296&amp;" "&amp;E296&amp;" "&amp;G296&amp;" "&amp;H296&amp;" "&amp;I296&amp;" "&amp;J296&amp;" "&amp;K296&amp;" "&amp;L296))),OR($C$5="Semua",$C$5="",G296=$C$5),OR($C$6="Semua",$C$6="",H296=$C$6,H296="Pengeluaran "&amp;$C$6,AND($C$6="Uang Kos Mama",H296="Pengeluaran Uang Kos")),OR($C$7="Semua",$C$7="",I296=$C$7),OR($C$8="Semua",$C$8="",C296=$C$8,E296=$C$8),OR($C$9="Semua",$C$9="",D296=$C$9),OR($C$10="",B296&gt;=$C$10),OR($C$11="",B296&lt;=$C$11),OR($C$12&lt;&gt;"Ya",K296&lt;&gt;""),OR($C$13="Semua",$C$13="",L296=$C$13)),"✓","")</f>
        <v/>
      </c>
      <c r="N296" s="93">
        <f>N(N295)+IF(M296="✓",1,0)</f>
        <v/>
      </c>
      <c r="O296" s="93">
        <f>N(O295)+IF(AND(B296&lt;&gt;"",B296&gt;='Uang Riba'!$H$30,B296&lt;='Uang Riba'!$I$30,OR(H296="Dana riba",H296="Pinjam uang riba",I296="Pinjam dari uang riba",I296="Ganti uang riba",I296="Kelebihan ganti dikembalikan",AND(C296="Kantong Uang Riba",G296="Pengeluaran"))),1,0)</f>
        <v/>
      </c>
      <c r="P296" s="119">
        <f>IF(292&gt;MAX($N$16:$N$5015),"",INDEX($B$16:$B$5015,MATCH((MAX($N$16:$N$5015)-292+1),$N$16:$N$5015,0)))</f>
        <v/>
      </c>
      <c r="Q296" s="105">
        <f>IF(292&gt;MAX($N$16:$N$5015),"",INDEX($C$16:$C$5015,MATCH((MAX($N$16:$N$5015)-292+1),$N$16:$N$5015,0)))&amp;IF(IF(292&gt;MAX($N$16:$N$5015),"",INDEX($E$16:$E$5015,MATCH((MAX($N$16:$N$5015)-292+1),$N$16:$N$5015,0)))="",""," → "&amp;IF(292&gt;MAX($N$16:$N$5015),"",INDEX($E$16:$E$5015,MATCH((MAX($N$16:$N$5015)-292+1),$N$16:$N$5015,0))))</f>
        <v/>
      </c>
      <c r="R296" s="105">
        <f>IF(292&gt;MAX($N$16:$N$5015),"",INDEX($D$16:$D$5015,MATCH((MAX($N$16:$N$5015)-292+1),$N$16:$N$5015,0)))</f>
        <v/>
      </c>
      <c r="S296" s="113">
        <f>IF(292&gt;MAX($N$16:$N$5015),"",INDEX($F$16:$F$5015,MATCH((MAX($N$16:$N$5015)-292+1),$N$16:$N$5015,0)))</f>
        <v/>
      </c>
      <c r="T296" s="105">
        <f>IF(292&gt;MAX($N$16:$N$5015),"",IF(292&gt;MAX($N$16:$N$5015),"",INDEX($G$16:$G$5015,MATCH((MAX($N$16:$N$5015)-292+1),$N$16:$N$5015,0)))&amp;" › "&amp;IF(292&gt;MAX($N$16:$N$5015),"",INDEX($H$16:$H$5015,MATCH((MAX($N$16:$N$5015)-292+1),$N$16:$N$5015,0)))&amp;" › "&amp;IF(292&gt;MAX($N$16:$N$5015),"",INDEX($I$16:$I$5015,MATCH((MAX($N$16:$N$5015)-292+1),$N$16:$N$5015,0))))</f>
        <v/>
      </c>
      <c r="U296" s="105">
        <f>IF(292&gt;MAX($N$16:$N$5015),"",INDEX($J$16:$J$5015,MATCH((MAX($N$16:$N$5015)-292+1),$N$16:$N$5015,0)))&amp;IF(IF(292&gt;MAX($N$16:$N$5015),"",INDEX($L$16:$L$5015,MATCH((MAX($N$16:$N$5015)-292+1),$N$16:$N$5015,0)))="",""," ["&amp;IF(292&gt;MAX($N$16:$N$5015),"",INDEX($L$16:$L$5015,MATCH((MAX($N$16:$N$5015)-292+1),$N$16:$N$5015,0)))&amp;"]")</f>
        <v/>
      </c>
      <c r="V296" s="120">
        <f>IF(292&gt;MAX($N$16:$N$5015),"",HYPERLINK("#Transaksi!B"&amp;(MATCH((MAX($N$16:$N$5015)-292+1),$N$16:$N$5015,0)+15),"Buka"))</f>
        <v/>
      </c>
      <c r="X296" s="93">
        <f>IF(AND(B296&lt;&gt;"",B296&gt;='Buku Akun'!$H$4,B296&lt;='Buku Akun'!$H$5,OR(C296='Buku Akun'!$C$4,AND(D296="Pindah",E296='Buku Akun'!$C$4))),B296+IF(AND(I296="Selisih bunga",DAY(B296)=1),0,0.01)+ROW()/10000000,"")</f>
        <v/>
      </c>
    </row>
    <row r="297" outlineLevel="1" ht="15" customHeight="1" s="94">
      <c r="A297" s="123">
        <f>IF(B297="","",ROW()-15)</f>
        <v/>
      </c>
      <c r="B297" s="124" t="n"/>
      <c r="C297" s="123" t="n"/>
      <c r="D297" s="123" t="n"/>
      <c r="E297" s="123" t="n"/>
      <c r="F297" s="125" t="n"/>
      <c r="G297" s="123" t="n"/>
      <c r="H297" s="123" t="n"/>
      <c r="I297" s="123" t="n"/>
      <c r="J297" s="123" t="n"/>
      <c r="K297" s="123" t="n"/>
      <c r="L297" s="123" t="n"/>
      <c r="M297" s="123">
        <f>IF(AND(B297&lt;&gt;"",OR($C$4="",ISNUMBER(SEARCH($C$4,C297&amp;" "&amp;E297&amp;" "&amp;G297&amp;" "&amp;H297&amp;" "&amp;I297&amp;" "&amp;J297&amp;" "&amp;K297&amp;" "&amp;L297))),OR($C$5="Semua",$C$5="",G297=$C$5),OR($C$6="Semua",$C$6="",H297=$C$6,H297="Pengeluaran "&amp;$C$6,AND($C$6="Uang Kos Mama",H297="Pengeluaran Uang Kos")),OR($C$7="Semua",$C$7="",I297=$C$7),OR($C$8="Semua",$C$8="",C297=$C$8,E297=$C$8),OR($C$9="Semua",$C$9="",D297=$C$9),OR($C$10="",B297&gt;=$C$10),OR($C$11="",B297&lt;=$C$11),OR($C$12&lt;&gt;"Ya",K297&lt;&gt;""),OR($C$13="Semua",$C$13="",L297=$C$13)),"✓","")</f>
        <v/>
      </c>
      <c r="N297" s="93">
        <f>N(N296)+IF(M297="✓",1,0)</f>
        <v/>
      </c>
      <c r="O297" s="93">
        <f>N(O296)+IF(AND(B297&lt;&gt;"",B297&gt;='Uang Riba'!$H$30,B297&lt;='Uang Riba'!$I$30,OR(H297="Dana riba",H297="Pinjam uang riba",I297="Pinjam dari uang riba",I297="Ganti uang riba",I297="Kelebihan ganti dikembalikan",AND(C297="Kantong Uang Riba",G297="Pengeluaran"))),1,0)</f>
        <v/>
      </c>
      <c r="P297" s="119">
        <f>IF(293&gt;MAX($N$16:$N$5015),"",INDEX($B$16:$B$5015,MATCH((MAX($N$16:$N$5015)-293+1),$N$16:$N$5015,0)))</f>
        <v/>
      </c>
      <c r="Q297" s="105">
        <f>IF(293&gt;MAX($N$16:$N$5015),"",INDEX($C$16:$C$5015,MATCH((MAX($N$16:$N$5015)-293+1),$N$16:$N$5015,0)))&amp;IF(IF(293&gt;MAX($N$16:$N$5015),"",INDEX($E$16:$E$5015,MATCH((MAX($N$16:$N$5015)-293+1),$N$16:$N$5015,0)))="",""," → "&amp;IF(293&gt;MAX($N$16:$N$5015),"",INDEX($E$16:$E$5015,MATCH((MAX($N$16:$N$5015)-293+1),$N$16:$N$5015,0))))</f>
        <v/>
      </c>
      <c r="R297" s="105">
        <f>IF(293&gt;MAX($N$16:$N$5015),"",INDEX($D$16:$D$5015,MATCH((MAX($N$16:$N$5015)-293+1),$N$16:$N$5015,0)))</f>
        <v/>
      </c>
      <c r="S297" s="113">
        <f>IF(293&gt;MAX($N$16:$N$5015),"",INDEX($F$16:$F$5015,MATCH((MAX($N$16:$N$5015)-293+1),$N$16:$N$5015,0)))</f>
        <v/>
      </c>
      <c r="T297" s="105">
        <f>IF(293&gt;MAX($N$16:$N$5015),"",IF(293&gt;MAX($N$16:$N$5015),"",INDEX($G$16:$G$5015,MATCH((MAX($N$16:$N$5015)-293+1),$N$16:$N$5015,0)))&amp;" › "&amp;IF(293&gt;MAX($N$16:$N$5015),"",INDEX($H$16:$H$5015,MATCH((MAX($N$16:$N$5015)-293+1),$N$16:$N$5015,0)))&amp;" › "&amp;IF(293&gt;MAX($N$16:$N$5015),"",INDEX($I$16:$I$5015,MATCH((MAX($N$16:$N$5015)-293+1),$N$16:$N$5015,0))))</f>
        <v/>
      </c>
      <c r="U297" s="105">
        <f>IF(293&gt;MAX($N$16:$N$5015),"",INDEX($J$16:$J$5015,MATCH((MAX($N$16:$N$5015)-293+1),$N$16:$N$5015,0)))&amp;IF(IF(293&gt;MAX($N$16:$N$5015),"",INDEX($L$16:$L$5015,MATCH((MAX($N$16:$N$5015)-293+1),$N$16:$N$5015,0)))="",""," ["&amp;IF(293&gt;MAX($N$16:$N$5015),"",INDEX($L$16:$L$5015,MATCH((MAX($N$16:$N$5015)-293+1),$N$16:$N$5015,0)))&amp;"]")</f>
        <v/>
      </c>
      <c r="V297" s="120">
        <f>IF(293&gt;MAX($N$16:$N$5015),"",HYPERLINK("#Transaksi!B"&amp;(MATCH((MAX($N$16:$N$5015)-293+1),$N$16:$N$5015,0)+15),"Buka"))</f>
        <v/>
      </c>
      <c r="X297" s="93">
        <f>IF(AND(B297&lt;&gt;"",B297&gt;='Buku Akun'!$H$4,B297&lt;='Buku Akun'!$H$5,OR(C297='Buku Akun'!$C$4,AND(D297="Pindah",E297='Buku Akun'!$C$4))),B297+IF(AND(I297="Selisih bunga",DAY(B297)=1),0,0.01)+ROW()/10000000,"")</f>
        <v/>
      </c>
    </row>
    <row r="298" outlineLevel="1" ht="15" customHeight="1" s="94">
      <c r="A298" s="123">
        <f>IF(B298="","",ROW()-15)</f>
        <v/>
      </c>
      <c r="B298" s="124" t="n"/>
      <c r="C298" s="123" t="n"/>
      <c r="D298" s="123" t="n"/>
      <c r="E298" s="123" t="n"/>
      <c r="F298" s="125" t="n"/>
      <c r="G298" s="123" t="n"/>
      <c r="H298" s="123" t="n"/>
      <c r="I298" s="123" t="n"/>
      <c r="J298" s="123" t="n"/>
      <c r="K298" s="123" t="n"/>
      <c r="L298" s="123" t="n"/>
      <c r="M298" s="123">
        <f>IF(AND(B298&lt;&gt;"",OR($C$4="",ISNUMBER(SEARCH($C$4,C298&amp;" "&amp;E298&amp;" "&amp;G298&amp;" "&amp;H298&amp;" "&amp;I298&amp;" "&amp;J298&amp;" "&amp;K298&amp;" "&amp;L298))),OR($C$5="Semua",$C$5="",G298=$C$5),OR($C$6="Semua",$C$6="",H298=$C$6,H298="Pengeluaran "&amp;$C$6,AND($C$6="Uang Kos Mama",H298="Pengeluaran Uang Kos")),OR($C$7="Semua",$C$7="",I298=$C$7),OR($C$8="Semua",$C$8="",C298=$C$8,E298=$C$8),OR($C$9="Semua",$C$9="",D298=$C$9),OR($C$10="",B298&gt;=$C$10),OR($C$11="",B298&lt;=$C$11),OR($C$12&lt;&gt;"Ya",K298&lt;&gt;""),OR($C$13="Semua",$C$13="",L298=$C$13)),"✓","")</f>
        <v/>
      </c>
      <c r="N298" s="93">
        <f>N(N297)+IF(M298="✓",1,0)</f>
        <v/>
      </c>
      <c r="O298" s="93">
        <f>N(O297)+IF(AND(B298&lt;&gt;"",B298&gt;='Uang Riba'!$H$30,B298&lt;='Uang Riba'!$I$30,OR(H298="Dana riba",H298="Pinjam uang riba",I298="Pinjam dari uang riba",I298="Ganti uang riba",I298="Kelebihan ganti dikembalikan",AND(C298="Kantong Uang Riba",G298="Pengeluaran"))),1,0)</f>
        <v/>
      </c>
      <c r="P298" s="119">
        <f>IF(294&gt;MAX($N$16:$N$5015),"",INDEX($B$16:$B$5015,MATCH((MAX($N$16:$N$5015)-294+1),$N$16:$N$5015,0)))</f>
        <v/>
      </c>
      <c r="Q298" s="105">
        <f>IF(294&gt;MAX($N$16:$N$5015),"",INDEX($C$16:$C$5015,MATCH((MAX($N$16:$N$5015)-294+1),$N$16:$N$5015,0)))&amp;IF(IF(294&gt;MAX($N$16:$N$5015),"",INDEX($E$16:$E$5015,MATCH((MAX($N$16:$N$5015)-294+1),$N$16:$N$5015,0)))="",""," → "&amp;IF(294&gt;MAX($N$16:$N$5015),"",INDEX($E$16:$E$5015,MATCH((MAX($N$16:$N$5015)-294+1),$N$16:$N$5015,0))))</f>
        <v/>
      </c>
      <c r="R298" s="105">
        <f>IF(294&gt;MAX($N$16:$N$5015),"",INDEX($D$16:$D$5015,MATCH((MAX($N$16:$N$5015)-294+1),$N$16:$N$5015,0)))</f>
        <v/>
      </c>
      <c r="S298" s="113">
        <f>IF(294&gt;MAX($N$16:$N$5015),"",INDEX($F$16:$F$5015,MATCH((MAX($N$16:$N$5015)-294+1),$N$16:$N$5015,0)))</f>
        <v/>
      </c>
      <c r="T298" s="105">
        <f>IF(294&gt;MAX($N$16:$N$5015),"",IF(294&gt;MAX($N$16:$N$5015),"",INDEX($G$16:$G$5015,MATCH((MAX($N$16:$N$5015)-294+1),$N$16:$N$5015,0)))&amp;" › "&amp;IF(294&gt;MAX($N$16:$N$5015),"",INDEX($H$16:$H$5015,MATCH((MAX($N$16:$N$5015)-294+1),$N$16:$N$5015,0)))&amp;" › "&amp;IF(294&gt;MAX($N$16:$N$5015),"",INDEX($I$16:$I$5015,MATCH((MAX($N$16:$N$5015)-294+1),$N$16:$N$5015,0))))</f>
        <v/>
      </c>
      <c r="U298" s="105">
        <f>IF(294&gt;MAX($N$16:$N$5015),"",INDEX($J$16:$J$5015,MATCH((MAX($N$16:$N$5015)-294+1),$N$16:$N$5015,0)))&amp;IF(IF(294&gt;MAX($N$16:$N$5015),"",INDEX($L$16:$L$5015,MATCH((MAX($N$16:$N$5015)-294+1),$N$16:$N$5015,0)))="",""," ["&amp;IF(294&gt;MAX($N$16:$N$5015),"",INDEX($L$16:$L$5015,MATCH((MAX($N$16:$N$5015)-294+1),$N$16:$N$5015,0)))&amp;"]")</f>
        <v/>
      </c>
      <c r="V298" s="120">
        <f>IF(294&gt;MAX($N$16:$N$5015),"",HYPERLINK("#Transaksi!B"&amp;(MATCH((MAX($N$16:$N$5015)-294+1),$N$16:$N$5015,0)+15),"Buka"))</f>
        <v/>
      </c>
      <c r="X298" s="93">
        <f>IF(AND(B298&lt;&gt;"",B298&gt;='Buku Akun'!$H$4,B298&lt;='Buku Akun'!$H$5,OR(C298='Buku Akun'!$C$4,AND(D298="Pindah",E298='Buku Akun'!$C$4))),B298+IF(AND(I298="Selisih bunga",DAY(B298)=1),0,0.01)+ROW()/10000000,"")</f>
        <v/>
      </c>
    </row>
    <row r="299" outlineLevel="1" ht="15" customHeight="1" s="94">
      <c r="A299" s="123">
        <f>IF(B299="","",ROW()-15)</f>
        <v/>
      </c>
      <c r="B299" s="124" t="n"/>
      <c r="C299" s="123" t="n"/>
      <c r="D299" s="123" t="n"/>
      <c r="E299" s="123" t="n"/>
      <c r="F299" s="125" t="n"/>
      <c r="G299" s="123" t="n"/>
      <c r="H299" s="123" t="n"/>
      <c r="I299" s="123" t="n"/>
      <c r="J299" s="123" t="n"/>
      <c r="K299" s="123" t="n"/>
      <c r="L299" s="123" t="n"/>
      <c r="M299" s="123">
        <f>IF(AND(B299&lt;&gt;"",OR($C$4="",ISNUMBER(SEARCH($C$4,C299&amp;" "&amp;E299&amp;" "&amp;G299&amp;" "&amp;H299&amp;" "&amp;I299&amp;" "&amp;J299&amp;" "&amp;K299&amp;" "&amp;L299))),OR($C$5="Semua",$C$5="",G299=$C$5),OR($C$6="Semua",$C$6="",H299=$C$6,H299="Pengeluaran "&amp;$C$6,AND($C$6="Uang Kos Mama",H299="Pengeluaran Uang Kos")),OR($C$7="Semua",$C$7="",I299=$C$7),OR($C$8="Semua",$C$8="",C299=$C$8,E299=$C$8),OR($C$9="Semua",$C$9="",D299=$C$9),OR($C$10="",B299&gt;=$C$10),OR($C$11="",B299&lt;=$C$11),OR($C$12&lt;&gt;"Ya",K299&lt;&gt;""),OR($C$13="Semua",$C$13="",L299=$C$13)),"✓","")</f>
        <v/>
      </c>
      <c r="N299" s="93">
        <f>N(N298)+IF(M299="✓",1,0)</f>
        <v/>
      </c>
      <c r="O299" s="93">
        <f>N(O298)+IF(AND(B299&lt;&gt;"",B299&gt;='Uang Riba'!$H$30,B299&lt;='Uang Riba'!$I$30,OR(H299="Dana riba",H299="Pinjam uang riba",I299="Pinjam dari uang riba",I299="Ganti uang riba",I299="Kelebihan ganti dikembalikan",AND(C299="Kantong Uang Riba",G299="Pengeluaran"))),1,0)</f>
        <v/>
      </c>
      <c r="P299" s="119">
        <f>IF(295&gt;MAX($N$16:$N$5015),"",INDEX($B$16:$B$5015,MATCH((MAX($N$16:$N$5015)-295+1),$N$16:$N$5015,0)))</f>
        <v/>
      </c>
      <c r="Q299" s="105">
        <f>IF(295&gt;MAX($N$16:$N$5015),"",INDEX($C$16:$C$5015,MATCH((MAX($N$16:$N$5015)-295+1),$N$16:$N$5015,0)))&amp;IF(IF(295&gt;MAX($N$16:$N$5015),"",INDEX($E$16:$E$5015,MATCH((MAX($N$16:$N$5015)-295+1),$N$16:$N$5015,0)))="",""," → "&amp;IF(295&gt;MAX($N$16:$N$5015),"",INDEX($E$16:$E$5015,MATCH((MAX($N$16:$N$5015)-295+1),$N$16:$N$5015,0))))</f>
        <v/>
      </c>
      <c r="R299" s="105">
        <f>IF(295&gt;MAX($N$16:$N$5015),"",INDEX($D$16:$D$5015,MATCH((MAX($N$16:$N$5015)-295+1),$N$16:$N$5015,0)))</f>
        <v/>
      </c>
      <c r="S299" s="113">
        <f>IF(295&gt;MAX($N$16:$N$5015),"",INDEX($F$16:$F$5015,MATCH((MAX($N$16:$N$5015)-295+1),$N$16:$N$5015,0)))</f>
        <v/>
      </c>
      <c r="T299" s="105">
        <f>IF(295&gt;MAX($N$16:$N$5015),"",IF(295&gt;MAX($N$16:$N$5015),"",INDEX($G$16:$G$5015,MATCH((MAX($N$16:$N$5015)-295+1),$N$16:$N$5015,0)))&amp;" › "&amp;IF(295&gt;MAX($N$16:$N$5015),"",INDEX($H$16:$H$5015,MATCH((MAX($N$16:$N$5015)-295+1),$N$16:$N$5015,0)))&amp;" › "&amp;IF(295&gt;MAX($N$16:$N$5015),"",INDEX($I$16:$I$5015,MATCH((MAX($N$16:$N$5015)-295+1),$N$16:$N$5015,0))))</f>
        <v/>
      </c>
      <c r="U299" s="105">
        <f>IF(295&gt;MAX($N$16:$N$5015),"",INDEX($J$16:$J$5015,MATCH((MAX($N$16:$N$5015)-295+1),$N$16:$N$5015,0)))&amp;IF(IF(295&gt;MAX($N$16:$N$5015),"",INDEX($L$16:$L$5015,MATCH((MAX($N$16:$N$5015)-295+1),$N$16:$N$5015,0)))="",""," ["&amp;IF(295&gt;MAX($N$16:$N$5015),"",INDEX($L$16:$L$5015,MATCH((MAX($N$16:$N$5015)-295+1),$N$16:$N$5015,0)))&amp;"]")</f>
        <v/>
      </c>
      <c r="V299" s="120">
        <f>IF(295&gt;MAX($N$16:$N$5015),"",HYPERLINK("#Transaksi!B"&amp;(MATCH((MAX($N$16:$N$5015)-295+1),$N$16:$N$5015,0)+15),"Buka"))</f>
        <v/>
      </c>
      <c r="X299" s="93">
        <f>IF(AND(B299&lt;&gt;"",B299&gt;='Buku Akun'!$H$4,B299&lt;='Buku Akun'!$H$5,OR(C299='Buku Akun'!$C$4,AND(D299="Pindah",E299='Buku Akun'!$C$4))),B299+IF(AND(I299="Selisih bunga",DAY(B299)=1),0,0.01)+ROW()/10000000,"")</f>
        <v/>
      </c>
    </row>
    <row r="300" outlineLevel="1" ht="15" customHeight="1" s="94">
      <c r="A300" s="123">
        <f>IF(B300="","",ROW()-15)</f>
        <v/>
      </c>
      <c r="B300" s="124" t="n"/>
      <c r="C300" s="123" t="n"/>
      <c r="D300" s="123" t="n"/>
      <c r="E300" s="123" t="n"/>
      <c r="F300" s="125" t="n"/>
      <c r="G300" s="123" t="n"/>
      <c r="H300" s="123" t="n"/>
      <c r="I300" s="123" t="n"/>
      <c r="J300" s="123" t="n"/>
      <c r="K300" s="123" t="n"/>
      <c r="L300" s="123" t="n"/>
      <c r="M300" s="123">
        <f>IF(AND(B300&lt;&gt;"",OR($C$4="",ISNUMBER(SEARCH($C$4,C300&amp;" "&amp;E300&amp;" "&amp;G300&amp;" "&amp;H300&amp;" "&amp;I300&amp;" "&amp;J300&amp;" "&amp;K300&amp;" "&amp;L300))),OR($C$5="Semua",$C$5="",G300=$C$5),OR($C$6="Semua",$C$6="",H300=$C$6,H300="Pengeluaran "&amp;$C$6,AND($C$6="Uang Kos Mama",H300="Pengeluaran Uang Kos")),OR($C$7="Semua",$C$7="",I300=$C$7),OR($C$8="Semua",$C$8="",C300=$C$8,E300=$C$8),OR($C$9="Semua",$C$9="",D300=$C$9),OR($C$10="",B300&gt;=$C$10),OR($C$11="",B300&lt;=$C$11),OR($C$12&lt;&gt;"Ya",K300&lt;&gt;""),OR($C$13="Semua",$C$13="",L300=$C$13)),"✓","")</f>
        <v/>
      </c>
      <c r="N300" s="93">
        <f>N(N299)+IF(M300="✓",1,0)</f>
        <v/>
      </c>
      <c r="O300" s="93">
        <f>N(O299)+IF(AND(B300&lt;&gt;"",B300&gt;='Uang Riba'!$H$30,B300&lt;='Uang Riba'!$I$30,OR(H300="Dana riba",H300="Pinjam uang riba",I300="Pinjam dari uang riba",I300="Ganti uang riba",I300="Kelebihan ganti dikembalikan",AND(C300="Kantong Uang Riba",G300="Pengeluaran"))),1,0)</f>
        <v/>
      </c>
      <c r="P300" s="119">
        <f>IF(296&gt;MAX($N$16:$N$5015),"",INDEX($B$16:$B$5015,MATCH((MAX($N$16:$N$5015)-296+1),$N$16:$N$5015,0)))</f>
        <v/>
      </c>
      <c r="Q300" s="105">
        <f>IF(296&gt;MAX($N$16:$N$5015),"",INDEX($C$16:$C$5015,MATCH((MAX($N$16:$N$5015)-296+1),$N$16:$N$5015,0)))&amp;IF(IF(296&gt;MAX($N$16:$N$5015),"",INDEX($E$16:$E$5015,MATCH((MAX($N$16:$N$5015)-296+1),$N$16:$N$5015,0)))="",""," → "&amp;IF(296&gt;MAX($N$16:$N$5015),"",INDEX($E$16:$E$5015,MATCH((MAX($N$16:$N$5015)-296+1),$N$16:$N$5015,0))))</f>
        <v/>
      </c>
      <c r="R300" s="105">
        <f>IF(296&gt;MAX($N$16:$N$5015),"",INDEX($D$16:$D$5015,MATCH((MAX($N$16:$N$5015)-296+1),$N$16:$N$5015,0)))</f>
        <v/>
      </c>
      <c r="S300" s="113">
        <f>IF(296&gt;MAX($N$16:$N$5015),"",INDEX($F$16:$F$5015,MATCH((MAX($N$16:$N$5015)-296+1),$N$16:$N$5015,0)))</f>
        <v/>
      </c>
      <c r="T300" s="105">
        <f>IF(296&gt;MAX($N$16:$N$5015),"",IF(296&gt;MAX($N$16:$N$5015),"",INDEX($G$16:$G$5015,MATCH((MAX($N$16:$N$5015)-296+1),$N$16:$N$5015,0)))&amp;" › "&amp;IF(296&gt;MAX($N$16:$N$5015),"",INDEX($H$16:$H$5015,MATCH((MAX($N$16:$N$5015)-296+1),$N$16:$N$5015,0)))&amp;" › "&amp;IF(296&gt;MAX($N$16:$N$5015),"",INDEX($I$16:$I$5015,MATCH((MAX($N$16:$N$5015)-296+1),$N$16:$N$5015,0))))</f>
        <v/>
      </c>
      <c r="U300" s="105">
        <f>IF(296&gt;MAX($N$16:$N$5015),"",INDEX($J$16:$J$5015,MATCH((MAX($N$16:$N$5015)-296+1),$N$16:$N$5015,0)))&amp;IF(IF(296&gt;MAX($N$16:$N$5015),"",INDEX($L$16:$L$5015,MATCH((MAX($N$16:$N$5015)-296+1),$N$16:$N$5015,0)))="",""," ["&amp;IF(296&gt;MAX($N$16:$N$5015),"",INDEX($L$16:$L$5015,MATCH((MAX($N$16:$N$5015)-296+1),$N$16:$N$5015,0)))&amp;"]")</f>
        <v/>
      </c>
      <c r="V300" s="120">
        <f>IF(296&gt;MAX($N$16:$N$5015),"",HYPERLINK("#Transaksi!B"&amp;(MATCH((MAX($N$16:$N$5015)-296+1),$N$16:$N$5015,0)+15),"Buka"))</f>
        <v/>
      </c>
      <c r="X300" s="93">
        <f>IF(AND(B300&lt;&gt;"",B300&gt;='Buku Akun'!$H$4,B300&lt;='Buku Akun'!$H$5,OR(C300='Buku Akun'!$C$4,AND(D300="Pindah",E300='Buku Akun'!$C$4))),B300+IF(AND(I300="Selisih bunga",DAY(B300)=1),0,0.01)+ROW()/10000000,"")</f>
        <v/>
      </c>
    </row>
    <row r="301" outlineLevel="1" ht="15" customHeight="1" s="94">
      <c r="A301" s="123">
        <f>IF(B301="","",ROW()-15)</f>
        <v/>
      </c>
      <c r="B301" s="124" t="n"/>
      <c r="C301" s="123" t="n"/>
      <c r="D301" s="123" t="n"/>
      <c r="E301" s="123" t="n"/>
      <c r="F301" s="125" t="n"/>
      <c r="G301" s="123" t="n"/>
      <c r="H301" s="123" t="n"/>
      <c r="I301" s="123" t="n"/>
      <c r="J301" s="123" t="n"/>
      <c r="K301" s="123" t="n"/>
      <c r="L301" s="123" t="n"/>
      <c r="M301" s="123">
        <f>IF(AND(B301&lt;&gt;"",OR($C$4="",ISNUMBER(SEARCH($C$4,C301&amp;" "&amp;E301&amp;" "&amp;G301&amp;" "&amp;H301&amp;" "&amp;I301&amp;" "&amp;J301&amp;" "&amp;K301&amp;" "&amp;L301))),OR($C$5="Semua",$C$5="",G301=$C$5),OR($C$6="Semua",$C$6="",H301=$C$6,H301="Pengeluaran "&amp;$C$6,AND($C$6="Uang Kos Mama",H301="Pengeluaran Uang Kos")),OR($C$7="Semua",$C$7="",I301=$C$7),OR($C$8="Semua",$C$8="",C301=$C$8,E301=$C$8),OR($C$9="Semua",$C$9="",D301=$C$9),OR($C$10="",B301&gt;=$C$10),OR($C$11="",B301&lt;=$C$11),OR($C$12&lt;&gt;"Ya",K301&lt;&gt;""),OR($C$13="Semua",$C$13="",L301=$C$13)),"✓","")</f>
        <v/>
      </c>
      <c r="N301" s="93">
        <f>N(N300)+IF(M301="✓",1,0)</f>
        <v/>
      </c>
      <c r="O301" s="93">
        <f>N(O300)+IF(AND(B301&lt;&gt;"",B301&gt;='Uang Riba'!$H$30,B301&lt;='Uang Riba'!$I$30,OR(H301="Dana riba",H301="Pinjam uang riba",I301="Pinjam dari uang riba",I301="Ganti uang riba",I301="Kelebihan ganti dikembalikan",AND(C301="Kantong Uang Riba",G301="Pengeluaran"))),1,0)</f>
        <v/>
      </c>
      <c r="P301" s="119">
        <f>IF(297&gt;MAX($N$16:$N$5015),"",INDEX($B$16:$B$5015,MATCH((MAX($N$16:$N$5015)-297+1),$N$16:$N$5015,0)))</f>
        <v/>
      </c>
      <c r="Q301" s="105">
        <f>IF(297&gt;MAX($N$16:$N$5015),"",INDEX($C$16:$C$5015,MATCH((MAX($N$16:$N$5015)-297+1),$N$16:$N$5015,0)))&amp;IF(IF(297&gt;MAX($N$16:$N$5015),"",INDEX($E$16:$E$5015,MATCH((MAX($N$16:$N$5015)-297+1),$N$16:$N$5015,0)))="",""," → "&amp;IF(297&gt;MAX($N$16:$N$5015),"",INDEX($E$16:$E$5015,MATCH((MAX($N$16:$N$5015)-297+1),$N$16:$N$5015,0))))</f>
        <v/>
      </c>
      <c r="R301" s="105">
        <f>IF(297&gt;MAX($N$16:$N$5015),"",INDEX($D$16:$D$5015,MATCH((MAX($N$16:$N$5015)-297+1),$N$16:$N$5015,0)))</f>
        <v/>
      </c>
      <c r="S301" s="113">
        <f>IF(297&gt;MAX($N$16:$N$5015),"",INDEX($F$16:$F$5015,MATCH((MAX($N$16:$N$5015)-297+1),$N$16:$N$5015,0)))</f>
        <v/>
      </c>
      <c r="T301" s="105">
        <f>IF(297&gt;MAX($N$16:$N$5015),"",IF(297&gt;MAX($N$16:$N$5015),"",INDEX($G$16:$G$5015,MATCH((MAX($N$16:$N$5015)-297+1),$N$16:$N$5015,0)))&amp;" › "&amp;IF(297&gt;MAX($N$16:$N$5015),"",INDEX($H$16:$H$5015,MATCH((MAX($N$16:$N$5015)-297+1),$N$16:$N$5015,0)))&amp;" › "&amp;IF(297&gt;MAX($N$16:$N$5015),"",INDEX($I$16:$I$5015,MATCH((MAX($N$16:$N$5015)-297+1),$N$16:$N$5015,0))))</f>
        <v/>
      </c>
      <c r="U301" s="105">
        <f>IF(297&gt;MAX($N$16:$N$5015),"",INDEX($J$16:$J$5015,MATCH((MAX($N$16:$N$5015)-297+1),$N$16:$N$5015,0)))&amp;IF(IF(297&gt;MAX($N$16:$N$5015),"",INDEX($L$16:$L$5015,MATCH((MAX($N$16:$N$5015)-297+1),$N$16:$N$5015,0)))="",""," ["&amp;IF(297&gt;MAX($N$16:$N$5015),"",INDEX($L$16:$L$5015,MATCH((MAX($N$16:$N$5015)-297+1),$N$16:$N$5015,0)))&amp;"]")</f>
        <v/>
      </c>
      <c r="V301" s="120">
        <f>IF(297&gt;MAX($N$16:$N$5015),"",HYPERLINK("#Transaksi!B"&amp;(MATCH((MAX($N$16:$N$5015)-297+1),$N$16:$N$5015,0)+15),"Buka"))</f>
        <v/>
      </c>
      <c r="X301" s="93">
        <f>IF(AND(B301&lt;&gt;"",B301&gt;='Buku Akun'!$H$4,B301&lt;='Buku Akun'!$H$5,OR(C301='Buku Akun'!$C$4,AND(D301="Pindah",E301='Buku Akun'!$C$4))),B301+IF(AND(I301="Selisih bunga",DAY(B301)=1),0,0.01)+ROW()/10000000,"")</f>
        <v/>
      </c>
    </row>
    <row r="302" outlineLevel="1" ht="15" customHeight="1" s="94">
      <c r="A302" s="123">
        <f>IF(B302="","",ROW()-15)</f>
        <v/>
      </c>
      <c r="B302" s="124" t="n"/>
      <c r="C302" s="123" t="n"/>
      <c r="D302" s="123" t="n"/>
      <c r="E302" s="123" t="n"/>
      <c r="F302" s="125" t="n"/>
      <c r="G302" s="123" t="n"/>
      <c r="H302" s="123" t="n"/>
      <c r="I302" s="123" t="n"/>
      <c r="J302" s="123" t="n"/>
      <c r="K302" s="123" t="n"/>
      <c r="L302" s="123" t="n"/>
      <c r="M302" s="123">
        <f>IF(AND(B302&lt;&gt;"",OR($C$4="",ISNUMBER(SEARCH($C$4,C302&amp;" "&amp;E302&amp;" "&amp;G302&amp;" "&amp;H302&amp;" "&amp;I302&amp;" "&amp;J302&amp;" "&amp;K302&amp;" "&amp;L302))),OR($C$5="Semua",$C$5="",G302=$C$5),OR($C$6="Semua",$C$6="",H302=$C$6,H302="Pengeluaran "&amp;$C$6,AND($C$6="Uang Kos Mama",H302="Pengeluaran Uang Kos")),OR($C$7="Semua",$C$7="",I302=$C$7),OR($C$8="Semua",$C$8="",C302=$C$8,E302=$C$8),OR($C$9="Semua",$C$9="",D302=$C$9),OR($C$10="",B302&gt;=$C$10),OR($C$11="",B302&lt;=$C$11),OR($C$12&lt;&gt;"Ya",K302&lt;&gt;""),OR($C$13="Semua",$C$13="",L302=$C$13)),"✓","")</f>
        <v/>
      </c>
      <c r="N302" s="93">
        <f>N(N301)+IF(M302="✓",1,0)</f>
        <v/>
      </c>
      <c r="O302" s="93">
        <f>N(O301)+IF(AND(B302&lt;&gt;"",B302&gt;='Uang Riba'!$H$30,B302&lt;='Uang Riba'!$I$30,OR(H302="Dana riba",H302="Pinjam uang riba",I302="Pinjam dari uang riba",I302="Ganti uang riba",I302="Kelebihan ganti dikembalikan",AND(C302="Kantong Uang Riba",G302="Pengeluaran"))),1,0)</f>
        <v/>
      </c>
      <c r="P302" s="119">
        <f>IF(298&gt;MAX($N$16:$N$5015),"",INDEX($B$16:$B$5015,MATCH((MAX($N$16:$N$5015)-298+1),$N$16:$N$5015,0)))</f>
        <v/>
      </c>
      <c r="Q302" s="105">
        <f>IF(298&gt;MAX($N$16:$N$5015),"",INDEX($C$16:$C$5015,MATCH((MAX($N$16:$N$5015)-298+1),$N$16:$N$5015,0)))&amp;IF(IF(298&gt;MAX($N$16:$N$5015),"",INDEX($E$16:$E$5015,MATCH((MAX($N$16:$N$5015)-298+1),$N$16:$N$5015,0)))="",""," → "&amp;IF(298&gt;MAX($N$16:$N$5015),"",INDEX($E$16:$E$5015,MATCH((MAX($N$16:$N$5015)-298+1),$N$16:$N$5015,0))))</f>
        <v/>
      </c>
      <c r="R302" s="105">
        <f>IF(298&gt;MAX($N$16:$N$5015),"",INDEX($D$16:$D$5015,MATCH((MAX($N$16:$N$5015)-298+1),$N$16:$N$5015,0)))</f>
        <v/>
      </c>
      <c r="S302" s="113">
        <f>IF(298&gt;MAX($N$16:$N$5015),"",INDEX($F$16:$F$5015,MATCH((MAX($N$16:$N$5015)-298+1),$N$16:$N$5015,0)))</f>
        <v/>
      </c>
      <c r="T302" s="105">
        <f>IF(298&gt;MAX($N$16:$N$5015),"",IF(298&gt;MAX($N$16:$N$5015),"",INDEX($G$16:$G$5015,MATCH((MAX($N$16:$N$5015)-298+1),$N$16:$N$5015,0)))&amp;" › "&amp;IF(298&gt;MAX($N$16:$N$5015),"",INDEX($H$16:$H$5015,MATCH((MAX($N$16:$N$5015)-298+1),$N$16:$N$5015,0)))&amp;" › "&amp;IF(298&gt;MAX($N$16:$N$5015),"",INDEX($I$16:$I$5015,MATCH((MAX($N$16:$N$5015)-298+1),$N$16:$N$5015,0))))</f>
        <v/>
      </c>
      <c r="U302" s="105">
        <f>IF(298&gt;MAX($N$16:$N$5015),"",INDEX($J$16:$J$5015,MATCH((MAX($N$16:$N$5015)-298+1),$N$16:$N$5015,0)))&amp;IF(IF(298&gt;MAX($N$16:$N$5015),"",INDEX($L$16:$L$5015,MATCH((MAX($N$16:$N$5015)-298+1),$N$16:$N$5015,0)))="",""," ["&amp;IF(298&gt;MAX($N$16:$N$5015),"",INDEX($L$16:$L$5015,MATCH((MAX($N$16:$N$5015)-298+1),$N$16:$N$5015,0)))&amp;"]")</f>
        <v/>
      </c>
      <c r="V302" s="120">
        <f>IF(298&gt;MAX($N$16:$N$5015),"",HYPERLINK("#Transaksi!B"&amp;(MATCH((MAX($N$16:$N$5015)-298+1),$N$16:$N$5015,0)+15),"Buka"))</f>
        <v/>
      </c>
      <c r="X302" s="93">
        <f>IF(AND(B302&lt;&gt;"",B302&gt;='Buku Akun'!$H$4,B302&lt;='Buku Akun'!$H$5,OR(C302='Buku Akun'!$C$4,AND(D302="Pindah",E302='Buku Akun'!$C$4))),B302+IF(AND(I302="Selisih bunga",DAY(B302)=1),0,0.01)+ROW()/10000000,"")</f>
        <v/>
      </c>
    </row>
    <row r="303" outlineLevel="1" ht="15" customHeight="1" s="94">
      <c r="A303" s="123">
        <f>IF(B303="","",ROW()-15)</f>
        <v/>
      </c>
      <c r="B303" s="124" t="n"/>
      <c r="C303" s="123" t="n"/>
      <c r="D303" s="123" t="n"/>
      <c r="E303" s="123" t="n"/>
      <c r="F303" s="125" t="n"/>
      <c r="G303" s="123" t="n"/>
      <c r="H303" s="123" t="n"/>
      <c r="I303" s="123" t="n"/>
      <c r="J303" s="123" t="n"/>
      <c r="K303" s="123" t="n"/>
      <c r="L303" s="123" t="n"/>
      <c r="M303" s="123">
        <f>IF(AND(B303&lt;&gt;"",OR($C$4="",ISNUMBER(SEARCH($C$4,C303&amp;" "&amp;E303&amp;" "&amp;G303&amp;" "&amp;H303&amp;" "&amp;I303&amp;" "&amp;J303&amp;" "&amp;K303&amp;" "&amp;L303))),OR($C$5="Semua",$C$5="",G303=$C$5),OR($C$6="Semua",$C$6="",H303=$C$6,H303="Pengeluaran "&amp;$C$6,AND($C$6="Uang Kos Mama",H303="Pengeluaran Uang Kos")),OR($C$7="Semua",$C$7="",I303=$C$7),OR($C$8="Semua",$C$8="",C303=$C$8,E303=$C$8),OR($C$9="Semua",$C$9="",D303=$C$9),OR($C$10="",B303&gt;=$C$10),OR($C$11="",B303&lt;=$C$11),OR($C$12&lt;&gt;"Ya",K303&lt;&gt;""),OR($C$13="Semua",$C$13="",L303=$C$13)),"✓","")</f>
        <v/>
      </c>
      <c r="N303" s="93">
        <f>N(N302)+IF(M303="✓",1,0)</f>
        <v/>
      </c>
      <c r="O303" s="93">
        <f>N(O302)+IF(AND(B303&lt;&gt;"",B303&gt;='Uang Riba'!$H$30,B303&lt;='Uang Riba'!$I$30,OR(H303="Dana riba",H303="Pinjam uang riba",I303="Pinjam dari uang riba",I303="Ganti uang riba",I303="Kelebihan ganti dikembalikan",AND(C303="Kantong Uang Riba",G303="Pengeluaran"))),1,0)</f>
        <v/>
      </c>
      <c r="P303" s="119">
        <f>IF(299&gt;MAX($N$16:$N$5015),"",INDEX($B$16:$B$5015,MATCH((MAX($N$16:$N$5015)-299+1),$N$16:$N$5015,0)))</f>
        <v/>
      </c>
      <c r="Q303" s="105">
        <f>IF(299&gt;MAX($N$16:$N$5015),"",INDEX($C$16:$C$5015,MATCH((MAX($N$16:$N$5015)-299+1),$N$16:$N$5015,0)))&amp;IF(IF(299&gt;MAX($N$16:$N$5015),"",INDEX($E$16:$E$5015,MATCH((MAX($N$16:$N$5015)-299+1),$N$16:$N$5015,0)))="",""," → "&amp;IF(299&gt;MAX($N$16:$N$5015),"",INDEX($E$16:$E$5015,MATCH((MAX($N$16:$N$5015)-299+1),$N$16:$N$5015,0))))</f>
        <v/>
      </c>
      <c r="R303" s="105">
        <f>IF(299&gt;MAX($N$16:$N$5015),"",INDEX($D$16:$D$5015,MATCH((MAX($N$16:$N$5015)-299+1),$N$16:$N$5015,0)))</f>
        <v/>
      </c>
      <c r="S303" s="113">
        <f>IF(299&gt;MAX($N$16:$N$5015),"",INDEX($F$16:$F$5015,MATCH((MAX($N$16:$N$5015)-299+1),$N$16:$N$5015,0)))</f>
        <v/>
      </c>
      <c r="T303" s="105">
        <f>IF(299&gt;MAX($N$16:$N$5015),"",IF(299&gt;MAX($N$16:$N$5015),"",INDEX($G$16:$G$5015,MATCH((MAX($N$16:$N$5015)-299+1),$N$16:$N$5015,0)))&amp;" › "&amp;IF(299&gt;MAX($N$16:$N$5015),"",INDEX($H$16:$H$5015,MATCH((MAX($N$16:$N$5015)-299+1),$N$16:$N$5015,0)))&amp;" › "&amp;IF(299&gt;MAX($N$16:$N$5015),"",INDEX($I$16:$I$5015,MATCH((MAX($N$16:$N$5015)-299+1),$N$16:$N$5015,0))))</f>
        <v/>
      </c>
      <c r="U303" s="105">
        <f>IF(299&gt;MAX($N$16:$N$5015),"",INDEX($J$16:$J$5015,MATCH((MAX($N$16:$N$5015)-299+1),$N$16:$N$5015,0)))&amp;IF(IF(299&gt;MAX($N$16:$N$5015),"",INDEX($L$16:$L$5015,MATCH((MAX($N$16:$N$5015)-299+1),$N$16:$N$5015,0)))="",""," ["&amp;IF(299&gt;MAX($N$16:$N$5015),"",INDEX($L$16:$L$5015,MATCH((MAX($N$16:$N$5015)-299+1),$N$16:$N$5015,0)))&amp;"]")</f>
        <v/>
      </c>
      <c r="V303" s="120">
        <f>IF(299&gt;MAX($N$16:$N$5015),"",HYPERLINK("#Transaksi!B"&amp;(MATCH((MAX($N$16:$N$5015)-299+1),$N$16:$N$5015,0)+15),"Buka"))</f>
        <v/>
      </c>
      <c r="X303" s="93">
        <f>IF(AND(B303&lt;&gt;"",B303&gt;='Buku Akun'!$H$4,B303&lt;='Buku Akun'!$H$5,OR(C303='Buku Akun'!$C$4,AND(D303="Pindah",E303='Buku Akun'!$C$4))),B303+IF(AND(I303="Selisih bunga",DAY(B303)=1),0,0.01)+ROW()/10000000,"")</f>
        <v/>
      </c>
    </row>
    <row r="304" outlineLevel="1" ht="15" customHeight="1" s="94">
      <c r="A304" s="123">
        <f>IF(B304="","",ROW()-15)</f>
        <v/>
      </c>
      <c r="B304" s="124" t="n"/>
      <c r="C304" s="123" t="n"/>
      <c r="D304" s="123" t="n"/>
      <c r="E304" s="123" t="n"/>
      <c r="F304" s="125" t="n"/>
      <c r="G304" s="123" t="n"/>
      <c r="H304" s="123" t="n"/>
      <c r="I304" s="123" t="n"/>
      <c r="J304" s="123" t="n"/>
      <c r="K304" s="123" t="n"/>
      <c r="L304" s="123" t="n"/>
      <c r="M304" s="123">
        <f>IF(AND(B304&lt;&gt;"",OR($C$4="",ISNUMBER(SEARCH($C$4,C304&amp;" "&amp;E304&amp;" "&amp;G304&amp;" "&amp;H304&amp;" "&amp;I304&amp;" "&amp;J304&amp;" "&amp;K304&amp;" "&amp;L304))),OR($C$5="Semua",$C$5="",G304=$C$5),OR($C$6="Semua",$C$6="",H304=$C$6,H304="Pengeluaran "&amp;$C$6,AND($C$6="Uang Kos Mama",H304="Pengeluaran Uang Kos")),OR($C$7="Semua",$C$7="",I304=$C$7),OR($C$8="Semua",$C$8="",C304=$C$8,E304=$C$8),OR($C$9="Semua",$C$9="",D304=$C$9),OR($C$10="",B304&gt;=$C$10),OR($C$11="",B304&lt;=$C$11),OR($C$12&lt;&gt;"Ya",K304&lt;&gt;""),OR($C$13="Semua",$C$13="",L304=$C$13)),"✓","")</f>
        <v/>
      </c>
      <c r="N304" s="93">
        <f>N(N303)+IF(M304="✓",1,0)</f>
        <v/>
      </c>
      <c r="O304" s="93">
        <f>N(O303)+IF(AND(B304&lt;&gt;"",B304&gt;='Uang Riba'!$H$30,B304&lt;='Uang Riba'!$I$30,OR(H304="Dana riba",H304="Pinjam uang riba",I304="Pinjam dari uang riba",I304="Ganti uang riba",I304="Kelebihan ganti dikembalikan",AND(C304="Kantong Uang Riba",G304="Pengeluaran"))),1,0)</f>
        <v/>
      </c>
      <c r="P304" s="119">
        <f>IF(300&gt;MAX($N$16:$N$5015),"",INDEX($B$16:$B$5015,MATCH((MAX($N$16:$N$5015)-300+1),$N$16:$N$5015,0)))</f>
        <v/>
      </c>
      <c r="Q304" s="105">
        <f>IF(300&gt;MAX($N$16:$N$5015),"",INDEX($C$16:$C$5015,MATCH((MAX($N$16:$N$5015)-300+1),$N$16:$N$5015,0)))&amp;IF(IF(300&gt;MAX($N$16:$N$5015),"",INDEX($E$16:$E$5015,MATCH((MAX($N$16:$N$5015)-300+1),$N$16:$N$5015,0)))="",""," → "&amp;IF(300&gt;MAX($N$16:$N$5015),"",INDEX($E$16:$E$5015,MATCH((MAX($N$16:$N$5015)-300+1),$N$16:$N$5015,0))))</f>
        <v/>
      </c>
      <c r="R304" s="105">
        <f>IF(300&gt;MAX($N$16:$N$5015),"",INDEX($D$16:$D$5015,MATCH((MAX($N$16:$N$5015)-300+1),$N$16:$N$5015,0)))</f>
        <v/>
      </c>
      <c r="S304" s="113">
        <f>IF(300&gt;MAX($N$16:$N$5015),"",INDEX($F$16:$F$5015,MATCH((MAX($N$16:$N$5015)-300+1),$N$16:$N$5015,0)))</f>
        <v/>
      </c>
      <c r="T304" s="105">
        <f>IF(300&gt;MAX($N$16:$N$5015),"",IF(300&gt;MAX($N$16:$N$5015),"",INDEX($G$16:$G$5015,MATCH((MAX($N$16:$N$5015)-300+1),$N$16:$N$5015,0)))&amp;" › "&amp;IF(300&gt;MAX($N$16:$N$5015),"",INDEX($H$16:$H$5015,MATCH((MAX($N$16:$N$5015)-300+1),$N$16:$N$5015,0)))&amp;" › "&amp;IF(300&gt;MAX($N$16:$N$5015),"",INDEX($I$16:$I$5015,MATCH((MAX($N$16:$N$5015)-300+1),$N$16:$N$5015,0))))</f>
        <v/>
      </c>
      <c r="U304" s="105">
        <f>IF(300&gt;MAX($N$16:$N$5015),"",INDEX($J$16:$J$5015,MATCH((MAX($N$16:$N$5015)-300+1),$N$16:$N$5015,0)))&amp;IF(IF(300&gt;MAX($N$16:$N$5015),"",INDEX($L$16:$L$5015,MATCH((MAX($N$16:$N$5015)-300+1),$N$16:$N$5015,0)))="",""," ["&amp;IF(300&gt;MAX($N$16:$N$5015),"",INDEX($L$16:$L$5015,MATCH((MAX($N$16:$N$5015)-300+1),$N$16:$N$5015,0)))&amp;"]")</f>
        <v/>
      </c>
      <c r="V304" s="120">
        <f>IF(300&gt;MAX($N$16:$N$5015),"",HYPERLINK("#Transaksi!B"&amp;(MATCH((MAX($N$16:$N$5015)-300+1),$N$16:$N$5015,0)+15),"Buka"))</f>
        <v/>
      </c>
      <c r="X304" s="93">
        <f>IF(AND(B304&lt;&gt;"",B304&gt;='Buku Akun'!$H$4,B304&lt;='Buku Akun'!$H$5,OR(C304='Buku Akun'!$C$4,AND(D304="Pindah",E304='Buku Akun'!$C$4))),B304+IF(AND(I304="Selisih bunga",DAY(B304)=1),0,0.01)+ROW()/10000000,"")</f>
        <v/>
      </c>
    </row>
    <row r="305" outlineLevel="1" ht="15" customHeight="1" s="94">
      <c r="A305" s="123">
        <f>IF(B305="","",ROW()-15)</f>
        <v/>
      </c>
      <c r="B305" s="124" t="n"/>
      <c r="C305" s="123" t="n"/>
      <c r="D305" s="123" t="n"/>
      <c r="E305" s="123" t="n"/>
      <c r="F305" s="125" t="n"/>
      <c r="G305" s="123" t="n"/>
      <c r="H305" s="123" t="n"/>
      <c r="I305" s="123" t="n"/>
      <c r="J305" s="123" t="n"/>
      <c r="K305" s="123" t="n"/>
      <c r="L305" s="123" t="n"/>
      <c r="M305" s="123">
        <f>IF(AND(B305&lt;&gt;"",OR($C$4="",ISNUMBER(SEARCH($C$4,C305&amp;" "&amp;E305&amp;" "&amp;G305&amp;" "&amp;H305&amp;" "&amp;I305&amp;" "&amp;J305&amp;" "&amp;K305&amp;" "&amp;L305))),OR($C$5="Semua",$C$5="",G305=$C$5),OR($C$6="Semua",$C$6="",H305=$C$6,H305="Pengeluaran "&amp;$C$6,AND($C$6="Uang Kos Mama",H305="Pengeluaran Uang Kos")),OR($C$7="Semua",$C$7="",I305=$C$7),OR($C$8="Semua",$C$8="",C305=$C$8,E305=$C$8),OR($C$9="Semua",$C$9="",D305=$C$9),OR($C$10="",B305&gt;=$C$10),OR($C$11="",B305&lt;=$C$11),OR($C$12&lt;&gt;"Ya",K305&lt;&gt;""),OR($C$13="Semua",$C$13="",L305=$C$13)),"✓","")</f>
        <v/>
      </c>
      <c r="N305" s="93">
        <f>N(N304)+IF(M305="✓",1,0)</f>
        <v/>
      </c>
      <c r="O305" s="93">
        <f>N(O304)+IF(AND(B305&lt;&gt;"",B305&gt;='Uang Riba'!$H$30,B305&lt;='Uang Riba'!$I$30,OR(H305="Dana riba",H305="Pinjam uang riba",I305="Pinjam dari uang riba",I305="Ganti uang riba",I305="Kelebihan ganti dikembalikan",AND(C305="Kantong Uang Riba",G305="Pengeluaran"))),1,0)</f>
        <v/>
      </c>
      <c r="X305" s="93">
        <f>IF(AND(B305&lt;&gt;"",B305&gt;='Buku Akun'!$H$4,B305&lt;='Buku Akun'!$H$5,OR(C305='Buku Akun'!$C$4,AND(D305="Pindah",E305='Buku Akun'!$C$4))),B305+IF(AND(I305="Selisih bunga",DAY(B305)=1),0,0.01)+ROW()/10000000,"")</f>
        <v/>
      </c>
    </row>
    <row r="306" outlineLevel="1" ht="15" customHeight="1" s="94">
      <c r="A306" s="123">
        <f>IF(B306="","",ROW()-15)</f>
        <v/>
      </c>
      <c r="B306" s="124" t="n"/>
      <c r="C306" s="123" t="n"/>
      <c r="D306" s="123" t="n"/>
      <c r="E306" s="123" t="n"/>
      <c r="F306" s="125" t="n"/>
      <c r="G306" s="123" t="n"/>
      <c r="H306" s="123" t="n"/>
      <c r="I306" s="123" t="n"/>
      <c r="J306" s="123" t="n"/>
      <c r="K306" s="123" t="n"/>
      <c r="L306" s="123" t="n"/>
      <c r="M306" s="123">
        <f>IF(AND(B306&lt;&gt;"",OR($C$4="",ISNUMBER(SEARCH($C$4,C306&amp;" "&amp;E306&amp;" "&amp;G306&amp;" "&amp;H306&amp;" "&amp;I306&amp;" "&amp;J306&amp;" "&amp;K306&amp;" "&amp;L306))),OR($C$5="Semua",$C$5="",G306=$C$5),OR($C$6="Semua",$C$6="",H306=$C$6,H306="Pengeluaran "&amp;$C$6,AND($C$6="Uang Kos Mama",H306="Pengeluaran Uang Kos")),OR($C$7="Semua",$C$7="",I306=$C$7),OR($C$8="Semua",$C$8="",C306=$C$8,E306=$C$8),OR($C$9="Semua",$C$9="",D306=$C$9),OR($C$10="",B306&gt;=$C$10),OR($C$11="",B306&lt;=$C$11),OR($C$12&lt;&gt;"Ya",K306&lt;&gt;""),OR($C$13="Semua",$C$13="",L306=$C$13)),"✓","")</f>
        <v/>
      </c>
      <c r="N306" s="93">
        <f>N(N305)+IF(M306="✓",1,0)</f>
        <v/>
      </c>
      <c r="O306" s="93">
        <f>N(O305)+IF(AND(B306&lt;&gt;"",B306&gt;='Uang Riba'!$H$30,B306&lt;='Uang Riba'!$I$30,OR(H306="Dana riba",H306="Pinjam uang riba",I306="Pinjam dari uang riba",I306="Ganti uang riba",I306="Kelebihan ganti dikembalikan",AND(C306="Kantong Uang Riba",G306="Pengeluaran"))),1,0)</f>
        <v/>
      </c>
      <c r="X306" s="93">
        <f>IF(AND(B306&lt;&gt;"",B306&gt;='Buku Akun'!$H$4,B306&lt;='Buku Akun'!$H$5,OR(C306='Buku Akun'!$C$4,AND(D306="Pindah",E306='Buku Akun'!$C$4))),B306+IF(AND(I306="Selisih bunga",DAY(B306)=1),0,0.01)+ROW()/10000000,"")</f>
        <v/>
      </c>
    </row>
    <row r="307" outlineLevel="1" ht="15" customHeight="1" s="94">
      <c r="A307" s="123">
        <f>IF(B307="","",ROW()-15)</f>
        <v/>
      </c>
      <c r="B307" s="124" t="n"/>
      <c r="C307" s="123" t="n"/>
      <c r="D307" s="123" t="n"/>
      <c r="E307" s="123" t="n"/>
      <c r="F307" s="125" t="n"/>
      <c r="G307" s="123" t="n"/>
      <c r="H307" s="123" t="n"/>
      <c r="I307" s="123" t="n"/>
      <c r="J307" s="123" t="n"/>
      <c r="K307" s="123" t="n"/>
      <c r="L307" s="123" t="n"/>
      <c r="M307" s="123">
        <f>IF(AND(B307&lt;&gt;"",OR($C$4="",ISNUMBER(SEARCH($C$4,C307&amp;" "&amp;E307&amp;" "&amp;G307&amp;" "&amp;H307&amp;" "&amp;I307&amp;" "&amp;J307&amp;" "&amp;K307&amp;" "&amp;L307))),OR($C$5="Semua",$C$5="",G307=$C$5),OR($C$6="Semua",$C$6="",H307=$C$6,H307="Pengeluaran "&amp;$C$6,AND($C$6="Uang Kos Mama",H307="Pengeluaran Uang Kos")),OR($C$7="Semua",$C$7="",I307=$C$7),OR($C$8="Semua",$C$8="",C307=$C$8,E307=$C$8),OR($C$9="Semua",$C$9="",D307=$C$9),OR($C$10="",B307&gt;=$C$10),OR($C$11="",B307&lt;=$C$11),OR($C$12&lt;&gt;"Ya",K307&lt;&gt;""),OR($C$13="Semua",$C$13="",L307=$C$13)),"✓","")</f>
        <v/>
      </c>
      <c r="N307" s="93">
        <f>N(N306)+IF(M307="✓",1,0)</f>
        <v/>
      </c>
      <c r="O307" s="93">
        <f>N(O306)+IF(AND(B307&lt;&gt;"",B307&gt;='Uang Riba'!$H$30,B307&lt;='Uang Riba'!$I$30,OR(H307="Dana riba",H307="Pinjam uang riba",I307="Pinjam dari uang riba",I307="Ganti uang riba",I307="Kelebihan ganti dikembalikan",AND(C307="Kantong Uang Riba",G307="Pengeluaran"))),1,0)</f>
        <v/>
      </c>
      <c r="X307" s="93">
        <f>IF(AND(B307&lt;&gt;"",B307&gt;='Buku Akun'!$H$4,B307&lt;='Buku Akun'!$H$5,OR(C307='Buku Akun'!$C$4,AND(D307="Pindah",E307='Buku Akun'!$C$4))),B307+IF(AND(I307="Selisih bunga",DAY(B307)=1),0,0.01)+ROW()/10000000,"")</f>
        <v/>
      </c>
    </row>
    <row r="308" outlineLevel="1" ht="15" customHeight="1" s="94">
      <c r="A308" s="123">
        <f>IF(B308="","",ROW()-15)</f>
        <v/>
      </c>
      <c r="B308" s="124" t="n"/>
      <c r="C308" s="123" t="n"/>
      <c r="D308" s="123" t="n"/>
      <c r="E308" s="123" t="n"/>
      <c r="F308" s="125" t="n"/>
      <c r="G308" s="123" t="n"/>
      <c r="H308" s="123" t="n"/>
      <c r="I308" s="123" t="n"/>
      <c r="J308" s="123" t="n"/>
      <c r="K308" s="123" t="n"/>
      <c r="L308" s="123" t="n"/>
      <c r="M308" s="123">
        <f>IF(AND(B308&lt;&gt;"",OR($C$4="",ISNUMBER(SEARCH($C$4,C308&amp;" "&amp;E308&amp;" "&amp;G308&amp;" "&amp;H308&amp;" "&amp;I308&amp;" "&amp;J308&amp;" "&amp;K308&amp;" "&amp;L308))),OR($C$5="Semua",$C$5="",G308=$C$5),OR($C$6="Semua",$C$6="",H308=$C$6,H308="Pengeluaran "&amp;$C$6,AND($C$6="Uang Kos Mama",H308="Pengeluaran Uang Kos")),OR($C$7="Semua",$C$7="",I308=$C$7),OR($C$8="Semua",$C$8="",C308=$C$8,E308=$C$8),OR($C$9="Semua",$C$9="",D308=$C$9),OR($C$10="",B308&gt;=$C$10),OR($C$11="",B308&lt;=$C$11),OR($C$12&lt;&gt;"Ya",K308&lt;&gt;""),OR($C$13="Semua",$C$13="",L308=$C$13)),"✓","")</f>
        <v/>
      </c>
      <c r="N308" s="93">
        <f>N(N307)+IF(M308="✓",1,0)</f>
        <v/>
      </c>
      <c r="O308" s="93">
        <f>N(O307)+IF(AND(B308&lt;&gt;"",B308&gt;='Uang Riba'!$H$30,B308&lt;='Uang Riba'!$I$30,OR(H308="Dana riba",H308="Pinjam uang riba",I308="Pinjam dari uang riba",I308="Ganti uang riba",I308="Kelebihan ganti dikembalikan",AND(C308="Kantong Uang Riba",G308="Pengeluaran"))),1,0)</f>
        <v/>
      </c>
      <c r="X308" s="93">
        <f>IF(AND(B308&lt;&gt;"",B308&gt;='Buku Akun'!$H$4,B308&lt;='Buku Akun'!$H$5,OR(C308='Buku Akun'!$C$4,AND(D308="Pindah",E308='Buku Akun'!$C$4))),B308+IF(AND(I308="Selisih bunga",DAY(B308)=1),0,0.01)+ROW()/10000000,"")</f>
        <v/>
      </c>
    </row>
    <row r="309" outlineLevel="1" ht="15" customHeight="1" s="94">
      <c r="A309" s="123">
        <f>IF(B309="","",ROW()-15)</f>
        <v/>
      </c>
      <c r="B309" s="124" t="n"/>
      <c r="C309" s="123" t="n"/>
      <c r="D309" s="123" t="n"/>
      <c r="E309" s="123" t="n"/>
      <c r="F309" s="125" t="n"/>
      <c r="G309" s="123" t="n"/>
      <c r="H309" s="123" t="n"/>
      <c r="I309" s="123" t="n"/>
      <c r="J309" s="123" t="n"/>
      <c r="K309" s="123" t="n"/>
      <c r="L309" s="123" t="n"/>
      <c r="M309" s="123">
        <f>IF(AND(B309&lt;&gt;"",OR($C$4="",ISNUMBER(SEARCH($C$4,C309&amp;" "&amp;E309&amp;" "&amp;G309&amp;" "&amp;H309&amp;" "&amp;I309&amp;" "&amp;J309&amp;" "&amp;K309&amp;" "&amp;L309))),OR($C$5="Semua",$C$5="",G309=$C$5),OR($C$6="Semua",$C$6="",H309=$C$6,H309="Pengeluaran "&amp;$C$6,AND($C$6="Uang Kos Mama",H309="Pengeluaran Uang Kos")),OR($C$7="Semua",$C$7="",I309=$C$7),OR($C$8="Semua",$C$8="",C309=$C$8,E309=$C$8),OR($C$9="Semua",$C$9="",D309=$C$9),OR($C$10="",B309&gt;=$C$10),OR($C$11="",B309&lt;=$C$11),OR($C$12&lt;&gt;"Ya",K309&lt;&gt;""),OR($C$13="Semua",$C$13="",L309=$C$13)),"✓","")</f>
        <v/>
      </c>
      <c r="N309" s="93">
        <f>N(N308)+IF(M309="✓",1,0)</f>
        <v/>
      </c>
      <c r="O309" s="93">
        <f>N(O308)+IF(AND(B309&lt;&gt;"",B309&gt;='Uang Riba'!$H$30,B309&lt;='Uang Riba'!$I$30,OR(H309="Dana riba",H309="Pinjam uang riba",I309="Pinjam dari uang riba",I309="Ganti uang riba",I309="Kelebihan ganti dikembalikan",AND(C309="Kantong Uang Riba",G309="Pengeluaran"))),1,0)</f>
        <v/>
      </c>
      <c r="X309" s="93">
        <f>IF(AND(B309&lt;&gt;"",B309&gt;='Buku Akun'!$H$4,B309&lt;='Buku Akun'!$H$5,OR(C309='Buku Akun'!$C$4,AND(D309="Pindah",E309='Buku Akun'!$C$4))),B309+IF(AND(I309="Selisih bunga",DAY(B309)=1),0,0.01)+ROW()/10000000,"")</f>
        <v/>
      </c>
    </row>
    <row r="310" outlineLevel="1" ht="15" customHeight="1" s="94">
      <c r="A310" s="123">
        <f>IF(B310="","",ROW()-15)</f>
        <v/>
      </c>
      <c r="B310" s="124" t="n"/>
      <c r="C310" s="123" t="n"/>
      <c r="D310" s="123" t="n"/>
      <c r="E310" s="123" t="n"/>
      <c r="F310" s="125" t="n"/>
      <c r="G310" s="123" t="n"/>
      <c r="H310" s="123" t="n"/>
      <c r="I310" s="123" t="n"/>
      <c r="J310" s="123" t="n"/>
      <c r="K310" s="123" t="n"/>
      <c r="L310" s="123" t="n"/>
      <c r="M310" s="123">
        <f>IF(AND(B310&lt;&gt;"",OR($C$4="",ISNUMBER(SEARCH($C$4,C310&amp;" "&amp;E310&amp;" "&amp;G310&amp;" "&amp;H310&amp;" "&amp;I310&amp;" "&amp;J310&amp;" "&amp;K310&amp;" "&amp;L310))),OR($C$5="Semua",$C$5="",G310=$C$5),OR($C$6="Semua",$C$6="",H310=$C$6,H310="Pengeluaran "&amp;$C$6,AND($C$6="Uang Kos Mama",H310="Pengeluaran Uang Kos")),OR($C$7="Semua",$C$7="",I310=$C$7),OR($C$8="Semua",$C$8="",C310=$C$8,E310=$C$8),OR($C$9="Semua",$C$9="",D310=$C$9),OR($C$10="",B310&gt;=$C$10),OR($C$11="",B310&lt;=$C$11),OR($C$12&lt;&gt;"Ya",K310&lt;&gt;""),OR($C$13="Semua",$C$13="",L310=$C$13)),"✓","")</f>
        <v/>
      </c>
      <c r="N310" s="93">
        <f>N(N309)+IF(M310="✓",1,0)</f>
        <v/>
      </c>
      <c r="O310" s="93">
        <f>N(O309)+IF(AND(B310&lt;&gt;"",B310&gt;='Uang Riba'!$H$30,B310&lt;='Uang Riba'!$I$30,OR(H310="Dana riba",H310="Pinjam uang riba",I310="Pinjam dari uang riba",I310="Ganti uang riba",I310="Kelebihan ganti dikembalikan",AND(C310="Kantong Uang Riba",G310="Pengeluaran"))),1,0)</f>
        <v/>
      </c>
      <c r="X310" s="93">
        <f>IF(AND(B310&lt;&gt;"",B310&gt;='Buku Akun'!$H$4,B310&lt;='Buku Akun'!$H$5,OR(C310='Buku Akun'!$C$4,AND(D310="Pindah",E310='Buku Akun'!$C$4))),B310+IF(AND(I310="Selisih bunga",DAY(B310)=1),0,0.01)+ROW()/10000000,"")</f>
        <v/>
      </c>
    </row>
    <row r="311" outlineLevel="1" ht="15" customHeight="1" s="94">
      <c r="A311" s="123">
        <f>IF(B311="","",ROW()-15)</f>
        <v/>
      </c>
      <c r="B311" s="124" t="n"/>
      <c r="C311" s="123" t="n"/>
      <c r="D311" s="123" t="n"/>
      <c r="E311" s="123" t="n"/>
      <c r="F311" s="125" t="n"/>
      <c r="G311" s="123" t="n"/>
      <c r="H311" s="123" t="n"/>
      <c r="I311" s="123" t="n"/>
      <c r="J311" s="123" t="n"/>
      <c r="K311" s="123" t="n"/>
      <c r="L311" s="123" t="n"/>
      <c r="M311" s="123">
        <f>IF(AND(B311&lt;&gt;"",OR($C$4="",ISNUMBER(SEARCH($C$4,C311&amp;" "&amp;E311&amp;" "&amp;G311&amp;" "&amp;H311&amp;" "&amp;I311&amp;" "&amp;J311&amp;" "&amp;K311&amp;" "&amp;L311))),OR($C$5="Semua",$C$5="",G311=$C$5),OR($C$6="Semua",$C$6="",H311=$C$6,H311="Pengeluaran "&amp;$C$6,AND($C$6="Uang Kos Mama",H311="Pengeluaran Uang Kos")),OR($C$7="Semua",$C$7="",I311=$C$7),OR($C$8="Semua",$C$8="",C311=$C$8,E311=$C$8),OR($C$9="Semua",$C$9="",D311=$C$9),OR($C$10="",B311&gt;=$C$10),OR($C$11="",B311&lt;=$C$11),OR($C$12&lt;&gt;"Ya",K311&lt;&gt;""),OR($C$13="Semua",$C$13="",L311=$C$13)),"✓","")</f>
        <v/>
      </c>
      <c r="N311" s="93">
        <f>N(N310)+IF(M311="✓",1,0)</f>
        <v/>
      </c>
      <c r="O311" s="93">
        <f>N(O310)+IF(AND(B311&lt;&gt;"",B311&gt;='Uang Riba'!$H$30,B311&lt;='Uang Riba'!$I$30,OR(H311="Dana riba",H311="Pinjam uang riba",I311="Pinjam dari uang riba",I311="Ganti uang riba",I311="Kelebihan ganti dikembalikan",AND(C311="Kantong Uang Riba",G311="Pengeluaran"))),1,0)</f>
        <v/>
      </c>
      <c r="X311" s="93">
        <f>IF(AND(B311&lt;&gt;"",B311&gt;='Buku Akun'!$H$4,B311&lt;='Buku Akun'!$H$5,OR(C311='Buku Akun'!$C$4,AND(D311="Pindah",E311='Buku Akun'!$C$4))),B311+IF(AND(I311="Selisih bunga",DAY(B311)=1),0,0.01)+ROW()/10000000,"")</f>
        <v/>
      </c>
    </row>
    <row r="312" outlineLevel="1" ht="15" customHeight="1" s="94">
      <c r="A312" s="123">
        <f>IF(B312="","",ROW()-15)</f>
        <v/>
      </c>
      <c r="B312" s="124" t="n"/>
      <c r="C312" s="123" t="n"/>
      <c r="D312" s="123" t="n"/>
      <c r="E312" s="123" t="n"/>
      <c r="F312" s="125" t="n"/>
      <c r="G312" s="123" t="n"/>
      <c r="H312" s="123" t="n"/>
      <c r="I312" s="123" t="n"/>
      <c r="J312" s="123" t="n"/>
      <c r="K312" s="123" t="n"/>
      <c r="L312" s="123" t="n"/>
      <c r="M312" s="123">
        <f>IF(AND(B312&lt;&gt;"",OR($C$4="",ISNUMBER(SEARCH($C$4,C312&amp;" "&amp;E312&amp;" "&amp;G312&amp;" "&amp;H312&amp;" "&amp;I312&amp;" "&amp;J312&amp;" "&amp;K312&amp;" "&amp;L312))),OR($C$5="Semua",$C$5="",G312=$C$5),OR($C$6="Semua",$C$6="",H312=$C$6,H312="Pengeluaran "&amp;$C$6,AND($C$6="Uang Kos Mama",H312="Pengeluaran Uang Kos")),OR($C$7="Semua",$C$7="",I312=$C$7),OR($C$8="Semua",$C$8="",C312=$C$8,E312=$C$8),OR($C$9="Semua",$C$9="",D312=$C$9),OR($C$10="",B312&gt;=$C$10),OR($C$11="",B312&lt;=$C$11),OR($C$12&lt;&gt;"Ya",K312&lt;&gt;""),OR($C$13="Semua",$C$13="",L312=$C$13)),"✓","")</f>
        <v/>
      </c>
      <c r="N312" s="93">
        <f>N(N311)+IF(M312="✓",1,0)</f>
        <v/>
      </c>
      <c r="O312" s="93">
        <f>N(O311)+IF(AND(B312&lt;&gt;"",B312&gt;='Uang Riba'!$H$30,B312&lt;='Uang Riba'!$I$30,OR(H312="Dana riba",H312="Pinjam uang riba",I312="Pinjam dari uang riba",I312="Ganti uang riba",I312="Kelebihan ganti dikembalikan",AND(C312="Kantong Uang Riba",G312="Pengeluaran"))),1,0)</f>
        <v/>
      </c>
      <c r="X312" s="93">
        <f>IF(AND(B312&lt;&gt;"",B312&gt;='Buku Akun'!$H$4,B312&lt;='Buku Akun'!$H$5,OR(C312='Buku Akun'!$C$4,AND(D312="Pindah",E312='Buku Akun'!$C$4))),B312+IF(AND(I312="Selisih bunga",DAY(B312)=1),0,0.01)+ROW()/10000000,"")</f>
        <v/>
      </c>
    </row>
    <row r="313" outlineLevel="1" ht="15" customHeight="1" s="94">
      <c r="A313" s="123">
        <f>IF(B313="","",ROW()-15)</f>
        <v/>
      </c>
      <c r="B313" s="124" t="n"/>
      <c r="C313" s="123" t="n"/>
      <c r="D313" s="123" t="n"/>
      <c r="E313" s="123" t="n"/>
      <c r="F313" s="125" t="n"/>
      <c r="G313" s="123" t="n"/>
      <c r="H313" s="123" t="n"/>
      <c r="I313" s="123" t="n"/>
      <c r="J313" s="123" t="n"/>
      <c r="K313" s="123" t="n"/>
      <c r="L313" s="123" t="n"/>
      <c r="M313" s="123">
        <f>IF(AND(B313&lt;&gt;"",OR($C$4="",ISNUMBER(SEARCH($C$4,C313&amp;" "&amp;E313&amp;" "&amp;G313&amp;" "&amp;H313&amp;" "&amp;I313&amp;" "&amp;J313&amp;" "&amp;K313&amp;" "&amp;L313))),OR($C$5="Semua",$C$5="",G313=$C$5),OR($C$6="Semua",$C$6="",H313=$C$6,H313="Pengeluaran "&amp;$C$6,AND($C$6="Uang Kos Mama",H313="Pengeluaran Uang Kos")),OR($C$7="Semua",$C$7="",I313=$C$7),OR($C$8="Semua",$C$8="",C313=$C$8,E313=$C$8),OR($C$9="Semua",$C$9="",D313=$C$9),OR($C$10="",B313&gt;=$C$10),OR($C$11="",B313&lt;=$C$11),OR($C$12&lt;&gt;"Ya",K313&lt;&gt;""),OR($C$13="Semua",$C$13="",L313=$C$13)),"✓","")</f>
        <v/>
      </c>
      <c r="N313" s="93">
        <f>N(N312)+IF(M313="✓",1,0)</f>
        <v/>
      </c>
      <c r="O313" s="93">
        <f>N(O312)+IF(AND(B313&lt;&gt;"",B313&gt;='Uang Riba'!$H$30,B313&lt;='Uang Riba'!$I$30,OR(H313="Dana riba",H313="Pinjam uang riba",I313="Pinjam dari uang riba",I313="Ganti uang riba",I313="Kelebihan ganti dikembalikan",AND(C313="Kantong Uang Riba",G313="Pengeluaran"))),1,0)</f>
        <v/>
      </c>
      <c r="X313" s="93">
        <f>IF(AND(B313&lt;&gt;"",B313&gt;='Buku Akun'!$H$4,B313&lt;='Buku Akun'!$H$5,OR(C313='Buku Akun'!$C$4,AND(D313="Pindah",E313='Buku Akun'!$C$4))),B313+IF(AND(I313="Selisih bunga",DAY(B313)=1),0,0.01)+ROW()/10000000,"")</f>
        <v/>
      </c>
    </row>
    <row r="314" outlineLevel="1" ht="15" customHeight="1" s="94">
      <c r="A314" s="123">
        <f>IF(B314="","",ROW()-15)</f>
        <v/>
      </c>
      <c r="B314" s="124" t="n"/>
      <c r="C314" s="123" t="n"/>
      <c r="D314" s="123" t="n"/>
      <c r="E314" s="123" t="n"/>
      <c r="F314" s="125" t="n"/>
      <c r="G314" s="123" t="n"/>
      <c r="H314" s="123" t="n"/>
      <c r="I314" s="123" t="n"/>
      <c r="J314" s="123" t="n"/>
      <c r="K314" s="123" t="n"/>
      <c r="L314" s="123" t="n"/>
      <c r="M314" s="123">
        <f>IF(AND(B314&lt;&gt;"",OR($C$4="",ISNUMBER(SEARCH($C$4,C314&amp;" "&amp;E314&amp;" "&amp;G314&amp;" "&amp;H314&amp;" "&amp;I314&amp;" "&amp;J314&amp;" "&amp;K314&amp;" "&amp;L314))),OR($C$5="Semua",$C$5="",G314=$C$5),OR($C$6="Semua",$C$6="",H314=$C$6,H314="Pengeluaran "&amp;$C$6,AND($C$6="Uang Kos Mama",H314="Pengeluaran Uang Kos")),OR($C$7="Semua",$C$7="",I314=$C$7),OR($C$8="Semua",$C$8="",C314=$C$8,E314=$C$8),OR($C$9="Semua",$C$9="",D314=$C$9),OR($C$10="",B314&gt;=$C$10),OR($C$11="",B314&lt;=$C$11),OR($C$12&lt;&gt;"Ya",K314&lt;&gt;""),OR($C$13="Semua",$C$13="",L314=$C$13)),"✓","")</f>
        <v/>
      </c>
      <c r="N314" s="93">
        <f>N(N313)+IF(M314="✓",1,0)</f>
        <v/>
      </c>
      <c r="O314" s="93">
        <f>N(O313)+IF(AND(B314&lt;&gt;"",B314&gt;='Uang Riba'!$H$30,B314&lt;='Uang Riba'!$I$30,OR(H314="Dana riba",H314="Pinjam uang riba",I314="Pinjam dari uang riba",I314="Ganti uang riba",I314="Kelebihan ganti dikembalikan",AND(C314="Kantong Uang Riba",G314="Pengeluaran"))),1,0)</f>
        <v/>
      </c>
      <c r="X314" s="93">
        <f>IF(AND(B314&lt;&gt;"",B314&gt;='Buku Akun'!$H$4,B314&lt;='Buku Akun'!$H$5,OR(C314='Buku Akun'!$C$4,AND(D314="Pindah",E314='Buku Akun'!$C$4))),B314+IF(AND(I314="Selisih bunga",DAY(B314)=1),0,0.01)+ROW()/10000000,"")</f>
        <v/>
      </c>
    </row>
    <row r="315" outlineLevel="1" ht="15" customHeight="1" s="94">
      <c r="A315" s="123">
        <f>IF(B315="","",ROW()-15)</f>
        <v/>
      </c>
      <c r="B315" s="124" t="n"/>
      <c r="C315" s="123" t="n"/>
      <c r="D315" s="123" t="n"/>
      <c r="E315" s="123" t="n"/>
      <c r="F315" s="125" t="n"/>
      <c r="G315" s="123" t="n"/>
      <c r="H315" s="123" t="n"/>
      <c r="I315" s="123" t="n"/>
      <c r="J315" s="123" t="n"/>
      <c r="K315" s="123" t="n"/>
      <c r="L315" s="123" t="n"/>
      <c r="M315" s="123">
        <f>IF(AND(B315&lt;&gt;"",OR($C$4="",ISNUMBER(SEARCH($C$4,C315&amp;" "&amp;E315&amp;" "&amp;G315&amp;" "&amp;H315&amp;" "&amp;I315&amp;" "&amp;J315&amp;" "&amp;K315&amp;" "&amp;L315))),OR($C$5="Semua",$C$5="",G315=$C$5),OR($C$6="Semua",$C$6="",H315=$C$6,H315="Pengeluaran "&amp;$C$6,AND($C$6="Uang Kos Mama",H315="Pengeluaran Uang Kos")),OR($C$7="Semua",$C$7="",I315=$C$7),OR($C$8="Semua",$C$8="",C315=$C$8,E315=$C$8),OR($C$9="Semua",$C$9="",D315=$C$9),OR($C$10="",B315&gt;=$C$10),OR($C$11="",B315&lt;=$C$11),OR($C$12&lt;&gt;"Ya",K315&lt;&gt;""),OR($C$13="Semua",$C$13="",L315=$C$13)),"✓","")</f>
        <v/>
      </c>
      <c r="N315" s="93">
        <f>N(N314)+IF(M315="✓",1,0)</f>
        <v/>
      </c>
      <c r="O315" s="93">
        <f>N(O314)+IF(AND(B315&lt;&gt;"",B315&gt;='Uang Riba'!$H$30,B315&lt;='Uang Riba'!$I$30,OR(H315="Dana riba",H315="Pinjam uang riba",I315="Pinjam dari uang riba",I315="Ganti uang riba",I315="Kelebihan ganti dikembalikan",AND(C315="Kantong Uang Riba",G315="Pengeluaran"))),1,0)</f>
        <v/>
      </c>
      <c r="X315" s="93">
        <f>IF(AND(B315&lt;&gt;"",B315&gt;='Buku Akun'!$H$4,B315&lt;='Buku Akun'!$H$5,OR(C315='Buku Akun'!$C$4,AND(D315="Pindah",E315='Buku Akun'!$C$4))),B315+IF(AND(I315="Selisih bunga",DAY(B315)=1),0,0.01)+ROW()/10000000,"")</f>
        <v/>
      </c>
    </row>
    <row r="316" outlineLevel="1" ht="15" customHeight="1" s="94">
      <c r="A316" s="123">
        <f>IF(B316="","",ROW()-15)</f>
        <v/>
      </c>
      <c r="B316" s="124" t="n"/>
      <c r="C316" s="123" t="n"/>
      <c r="D316" s="123" t="n"/>
      <c r="E316" s="123" t="n"/>
      <c r="F316" s="125" t="n"/>
      <c r="G316" s="123" t="n"/>
      <c r="H316" s="123" t="n"/>
      <c r="I316" s="123" t="n"/>
      <c r="J316" s="123" t="n"/>
      <c r="K316" s="123" t="n"/>
      <c r="L316" s="123" t="n"/>
      <c r="M316" s="123">
        <f>IF(AND(B316&lt;&gt;"",OR($C$4="",ISNUMBER(SEARCH($C$4,C316&amp;" "&amp;E316&amp;" "&amp;G316&amp;" "&amp;H316&amp;" "&amp;I316&amp;" "&amp;J316&amp;" "&amp;K316&amp;" "&amp;L316))),OR($C$5="Semua",$C$5="",G316=$C$5),OR($C$6="Semua",$C$6="",H316=$C$6,H316="Pengeluaran "&amp;$C$6,AND($C$6="Uang Kos Mama",H316="Pengeluaran Uang Kos")),OR($C$7="Semua",$C$7="",I316=$C$7),OR($C$8="Semua",$C$8="",C316=$C$8,E316=$C$8),OR($C$9="Semua",$C$9="",D316=$C$9),OR($C$10="",B316&gt;=$C$10),OR($C$11="",B316&lt;=$C$11),OR($C$12&lt;&gt;"Ya",K316&lt;&gt;""),OR($C$13="Semua",$C$13="",L316=$C$13)),"✓","")</f>
        <v/>
      </c>
      <c r="N316" s="93">
        <f>N(N315)+IF(M316="✓",1,0)</f>
        <v/>
      </c>
      <c r="O316" s="93">
        <f>N(O315)+IF(AND(B316&lt;&gt;"",B316&gt;='Uang Riba'!$H$30,B316&lt;='Uang Riba'!$I$30,OR(H316="Dana riba",H316="Pinjam uang riba",I316="Pinjam dari uang riba",I316="Ganti uang riba",I316="Kelebihan ganti dikembalikan",AND(C316="Kantong Uang Riba",G316="Pengeluaran"))),1,0)</f>
        <v/>
      </c>
      <c r="X316" s="93">
        <f>IF(AND(B316&lt;&gt;"",B316&gt;='Buku Akun'!$H$4,B316&lt;='Buku Akun'!$H$5,OR(C316='Buku Akun'!$C$4,AND(D316="Pindah",E316='Buku Akun'!$C$4))),B316+IF(AND(I316="Selisih bunga",DAY(B316)=1),0,0.01)+ROW()/10000000,"")</f>
        <v/>
      </c>
    </row>
    <row r="317" outlineLevel="1" ht="15" customHeight="1" s="94">
      <c r="A317" s="123">
        <f>IF(B317="","",ROW()-15)</f>
        <v/>
      </c>
      <c r="B317" s="124" t="n"/>
      <c r="C317" s="123" t="n"/>
      <c r="D317" s="123" t="n"/>
      <c r="E317" s="123" t="n"/>
      <c r="F317" s="125" t="n"/>
      <c r="G317" s="123" t="n"/>
      <c r="H317" s="123" t="n"/>
      <c r="I317" s="123" t="n"/>
      <c r="J317" s="123" t="n"/>
      <c r="K317" s="123" t="n"/>
      <c r="L317" s="123" t="n"/>
      <c r="M317" s="123">
        <f>IF(AND(B317&lt;&gt;"",OR($C$4="",ISNUMBER(SEARCH($C$4,C317&amp;" "&amp;E317&amp;" "&amp;G317&amp;" "&amp;H317&amp;" "&amp;I317&amp;" "&amp;J317&amp;" "&amp;K317&amp;" "&amp;L317))),OR($C$5="Semua",$C$5="",G317=$C$5),OR($C$6="Semua",$C$6="",H317=$C$6,H317="Pengeluaran "&amp;$C$6,AND($C$6="Uang Kos Mama",H317="Pengeluaran Uang Kos")),OR($C$7="Semua",$C$7="",I317=$C$7),OR($C$8="Semua",$C$8="",C317=$C$8,E317=$C$8),OR($C$9="Semua",$C$9="",D317=$C$9),OR($C$10="",B317&gt;=$C$10),OR($C$11="",B317&lt;=$C$11),OR($C$12&lt;&gt;"Ya",K317&lt;&gt;""),OR($C$13="Semua",$C$13="",L317=$C$13)),"✓","")</f>
        <v/>
      </c>
      <c r="N317" s="93">
        <f>N(N316)+IF(M317="✓",1,0)</f>
        <v/>
      </c>
      <c r="O317" s="93">
        <f>N(O316)+IF(AND(B317&lt;&gt;"",B317&gt;='Uang Riba'!$H$30,B317&lt;='Uang Riba'!$I$30,OR(H317="Dana riba",H317="Pinjam uang riba",I317="Pinjam dari uang riba",I317="Ganti uang riba",I317="Kelebihan ganti dikembalikan",AND(C317="Kantong Uang Riba",G317="Pengeluaran"))),1,0)</f>
        <v/>
      </c>
      <c r="X317" s="93">
        <f>IF(AND(B317&lt;&gt;"",B317&gt;='Buku Akun'!$H$4,B317&lt;='Buku Akun'!$H$5,OR(C317='Buku Akun'!$C$4,AND(D317="Pindah",E317='Buku Akun'!$C$4))),B317+IF(AND(I317="Selisih bunga",DAY(B317)=1),0,0.01)+ROW()/10000000,"")</f>
        <v/>
      </c>
    </row>
    <row r="318" outlineLevel="1" ht="15" customHeight="1" s="94">
      <c r="A318" s="123">
        <f>IF(B318="","",ROW()-15)</f>
        <v/>
      </c>
      <c r="B318" s="124" t="n"/>
      <c r="C318" s="123" t="n"/>
      <c r="D318" s="123" t="n"/>
      <c r="E318" s="123" t="n"/>
      <c r="F318" s="125" t="n"/>
      <c r="G318" s="123" t="n"/>
      <c r="H318" s="123" t="n"/>
      <c r="I318" s="123" t="n"/>
      <c r="J318" s="123" t="n"/>
      <c r="K318" s="123" t="n"/>
      <c r="L318" s="123" t="n"/>
      <c r="M318" s="123">
        <f>IF(AND(B318&lt;&gt;"",OR($C$4="",ISNUMBER(SEARCH($C$4,C318&amp;" "&amp;E318&amp;" "&amp;G318&amp;" "&amp;H318&amp;" "&amp;I318&amp;" "&amp;J318&amp;" "&amp;K318&amp;" "&amp;L318))),OR($C$5="Semua",$C$5="",G318=$C$5),OR($C$6="Semua",$C$6="",H318=$C$6,H318="Pengeluaran "&amp;$C$6,AND($C$6="Uang Kos Mama",H318="Pengeluaran Uang Kos")),OR($C$7="Semua",$C$7="",I318=$C$7),OR($C$8="Semua",$C$8="",C318=$C$8,E318=$C$8),OR($C$9="Semua",$C$9="",D318=$C$9),OR($C$10="",B318&gt;=$C$10),OR($C$11="",B318&lt;=$C$11),OR($C$12&lt;&gt;"Ya",K318&lt;&gt;""),OR($C$13="Semua",$C$13="",L318=$C$13)),"✓","")</f>
        <v/>
      </c>
      <c r="N318" s="93">
        <f>N(N317)+IF(M318="✓",1,0)</f>
        <v/>
      </c>
      <c r="O318" s="93">
        <f>N(O317)+IF(AND(B318&lt;&gt;"",B318&gt;='Uang Riba'!$H$30,B318&lt;='Uang Riba'!$I$30,OR(H318="Dana riba",H318="Pinjam uang riba",I318="Pinjam dari uang riba",I318="Ganti uang riba",I318="Kelebihan ganti dikembalikan",AND(C318="Kantong Uang Riba",G318="Pengeluaran"))),1,0)</f>
        <v/>
      </c>
      <c r="X318" s="93">
        <f>IF(AND(B318&lt;&gt;"",B318&gt;='Buku Akun'!$H$4,B318&lt;='Buku Akun'!$H$5,OR(C318='Buku Akun'!$C$4,AND(D318="Pindah",E318='Buku Akun'!$C$4))),B318+IF(AND(I318="Selisih bunga",DAY(B318)=1),0,0.01)+ROW()/10000000,"")</f>
        <v/>
      </c>
    </row>
    <row r="319" outlineLevel="1" ht="15" customHeight="1" s="94">
      <c r="A319" s="123">
        <f>IF(B319="","",ROW()-15)</f>
        <v/>
      </c>
      <c r="B319" s="124" t="n"/>
      <c r="C319" s="123" t="n"/>
      <c r="D319" s="123" t="n"/>
      <c r="E319" s="123" t="n"/>
      <c r="F319" s="125" t="n"/>
      <c r="G319" s="123" t="n"/>
      <c r="H319" s="123" t="n"/>
      <c r="I319" s="123" t="n"/>
      <c r="J319" s="123" t="n"/>
      <c r="K319" s="123" t="n"/>
      <c r="L319" s="123" t="n"/>
      <c r="M319" s="123">
        <f>IF(AND(B319&lt;&gt;"",OR($C$4="",ISNUMBER(SEARCH($C$4,C319&amp;" "&amp;E319&amp;" "&amp;G319&amp;" "&amp;H319&amp;" "&amp;I319&amp;" "&amp;J319&amp;" "&amp;K319&amp;" "&amp;L319))),OR($C$5="Semua",$C$5="",G319=$C$5),OR($C$6="Semua",$C$6="",H319=$C$6,H319="Pengeluaran "&amp;$C$6,AND($C$6="Uang Kos Mama",H319="Pengeluaran Uang Kos")),OR($C$7="Semua",$C$7="",I319=$C$7),OR($C$8="Semua",$C$8="",C319=$C$8,E319=$C$8),OR($C$9="Semua",$C$9="",D319=$C$9),OR($C$10="",B319&gt;=$C$10),OR($C$11="",B319&lt;=$C$11),OR($C$12&lt;&gt;"Ya",K319&lt;&gt;""),OR($C$13="Semua",$C$13="",L319=$C$13)),"✓","")</f>
        <v/>
      </c>
      <c r="N319" s="93">
        <f>N(N318)+IF(M319="✓",1,0)</f>
        <v/>
      </c>
      <c r="O319" s="93">
        <f>N(O318)+IF(AND(B319&lt;&gt;"",B319&gt;='Uang Riba'!$H$30,B319&lt;='Uang Riba'!$I$30,OR(H319="Dana riba",H319="Pinjam uang riba",I319="Pinjam dari uang riba",I319="Ganti uang riba",I319="Kelebihan ganti dikembalikan",AND(C319="Kantong Uang Riba",G319="Pengeluaran"))),1,0)</f>
        <v/>
      </c>
      <c r="X319" s="93">
        <f>IF(AND(B319&lt;&gt;"",B319&gt;='Buku Akun'!$H$4,B319&lt;='Buku Akun'!$H$5,OR(C319='Buku Akun'!$C$4,AND(D319="Pindah",E319='Buku Akun'!$C$4))),B319+IF(AND(I319="Selisih bunga",DAY(B319)=1),0,0.01)+ROW()/10000000,"")</f>
        <v/>
      </c>
    </row>
    <row r="320" outlineLevel="1" ht="15" customHeight="1" s="94">
      <c r="A320" s="123">
        <f>IF(B320="","",ROW()-15)</f>
        <v/>
      </c>
      <c r="B320" s="124" t="n"/>
      <c r="C320" s="123" t="n"/>
      <c r="D320" s="123" t="n"/>
      <c r="E320" s="123" t="n"/>
      <c r="F320" s="125" t="n"/>
      <c r="G320" s="123" t="n"/>
      <c r="H320" s="123" t="n"/>
      <c r="I320" s="123" t="n"/>
      <c r="J320" s="123" t="n"/>
      <c r="K320" s="123" t="n"/>
      <c r="L320" s="123" t="n"/>
      <c r="M320" s="123">
        <f>IF(AND(B320&lt;&gt;"",OR($C$4="",ISNUMBER(SEARCH($C$4,C320&amp;" "&amp;E320&amp;" "&amp;G320&amp;" "&amp;H320&amp;" "&amp;I320&amp;" "&amp;J320&amp;" "&amp;K320&amp;" "&amp;L320))),OR($C$5="Semua",$C$5="",G320=$C$5),OR($C$6="Semua",$C$6="",H320=$C$6,H320="Pengeluaran "&amp;$C$6,AND($C$6="Uang Kos Mama",H320="Pengeluaran Uang Kos")),OR($C$7="Semua",$C$7="",I320=$C$7),OR($C$8="Semua",$C$8="",C320=$C$8,E320=$C$8),OR($C$9="Semua",$C$9="",D320=$C$9),OR($C$10="",B320&gt;=$C$10),OR($C$11="",B320&lt;=$C$11),OR($C$12&lt;&gt;"Ya",K320&lt;&gt;""),OR($C$13="Semua",$C$13="",L320=$C$13)),"✓","")</f>
        <v/>
      </c>
      <c r="N320" s="93">
        <f>N(N319)+IF(M320="✓",1,0)</f>
        <v/>
      </c>
      <c r="O320" s="93">
        <f>N(O319)+IF(AND(B320&lt;&gt;"",B320&gt;='Uang Riba'!$H$30,B320&lt;='Uang Riba'!$I$30,OR(H320="Dana riba",H320="Pinjam uang riba",I320="Pinjam dari uang riba",I320="Ganti uang riba",I320="Kelebihan ganti dikembalikan",AND(C320="Kantong Uang Riba",G320="Pengeluaran"))),1,0)</f>
        <v/>
      </c>
      <c r="X320" s="93">
        <f>IF(AND(B320&lt;&gt;"",B320&gt;='Buku Akun'!$H$4,B320&lt;='Buku Akun'!$H$5,OR(C320='Buku Akun'!$C$4,AND(D320="Pindah",E320='Buku Akun'!$C$4))),B320+IF(AND(I320="Selisih bunga",DAY(B320)=1),0,0.01)+ROW()/10000000,"")</f>
        <v/>
      </c>
    </row>
    <row r="321" outlineLevel="1" ht="15" customHeight="1" s="94">
      <c r="A321" s="123">
        <f>IF(B321="","",ROW()-15)</f>
        <v/>
      </c>
      <c r="B321" s="124" t="n"/>
      <c r="C321" s="123" t="n"/>
      <c r="D321" s="123" t="n"/>
      <c r="E321" s="123" t="n"/>
      <c r="F321" s="125" t="n"/>
      <c r="G321" s="123" t="n"/>
      <c r="H321" s="123" t="n"/>
      <c r="I321" s="123" t="n"/>
      <c r="J321" s="123" t="n"/>
      <c r="K321" s="123" t="n"/>
      <c r="L321" s="123" t="n"/>
      <c r="M321" s="123">
        <f>IF(AND(B321&lt;&gt;"",OR($C$4="",ISNUMBER(SEARCH($C$4,C321&amp;" "&amp;E321&amp;" "&amp;G321&amp;" "&amp;H321&amp;" "&amp;I321&amp;" "&amp;J321&amp;" "&amp;K321&amp;" "&amp;L321))),OR($C$5="Semua",$C$5="",G321=$C$5),OR($C$6="Semua",$C$6="",H321=$C$6,H321="Pengeluaran "&amp;$C$6,AND($C$6="Uang Kos Mama",H321="Pengeluaran Uang Kos")),OR($C$7="Semua",$C$7="",I321=$C$7),OR($C$8="Semua",$C$8="",C321=$C$8,E321=$C$8),OR($C$9="Semua",$C$9="",D321=$C$9),OR($C$10="",B321&gt;=$C$10),OR($C$11="",B321&lt;=$C$11),OR($C$12&lt;&gt;"Ya",K321&lt;&gt;""),OR($C$13="Semua",$C$13="",L321=$C$13)),"✓","")</f>
        <v/>
      </c>
      <c r="N321" s="93">
        <f>N(N320)+IF(M321="✓",1,0)</f>
        <v/>
      </c>
      <c r="O321" s="93">
        <f>N(O320)+IF(AND(B321&lt;&gt;"",B321&gt;='Uang Riba'!$H$30,B321&lt;='Uang Riba'!$I$30,OR(H321="Dana riba",H321="Pinjam uang riba",I321="Pinjam dari uang riba",I321="Ganti uang riba",I321="Kelebihan ganti dikembalikan",AND(C321="Kantong Uang Riba",G321="Pengeluaran"))),1,0)</f>
        <v/>
      </c>
      <c r="X321" s="93">
        <f>IF(AND(B321&lt;&gt;"",B321&gt;='Buku Akun'!$H$4,B321&lt;='Buku Akun'!$H$5,OR(C321='Buku Akun'!$C$4,AND(D321="Pindah",E321='Buku Akun'!$C$4))),B321+IF(AND(I321="Selisih bunga",DAY(B321)=1),0,0.01)+ROW()/10000000,"")</f>
        <v/>
      </c>
    </row>
    <row r="322" outlineLevel="1" ht="15" customHeight="1" s="94">
      <c r="A322" s="123">
        <f>IF(B322="","",ROW()-15)</f>
        <v/>
      </c>
      <c r="B322" s="124" t="n"/>
      <c r="C322" s="123" t="n"/>
      <c r="D322" s="123" t="n"/>
      <c r="E322" s="123" t="n"/>
      <c r="F322" s="125" t="n"/>
      <c r="G322" s="123" t="n"/>
      <c r="H322" s="123" t="n"/>
      <c r="I322" s="123" t="n"/>
      <c r="J322" s="123" t="n"/>
      <c r="K322" s="123" t="n"/>
      <c r="L322" s="123" t="n"/>
      <c r="M322" s="123">
        <f>IF(AND(B322&lt;&gt;"",OR($C$4="",ISNUMBER(SEARCH($C$4,C322&amp;" "&amp;E322&amp;" "&amp;G322&amp;" "&amp;H322&amp;" "&amp;I322&amp;" "&amp;J322&amp;" "&amp;K322&amp;" "&amp;L322))),OR($C$5="Semua",$C$5="",G322=$C$5),OR($C$6="Semua",$C$6="",H322=$C$6,H322="Pengeluaran "&amp;$C$6,AND($C$6="Uang Kos Mama",H322="Pengeluaran Uang Kos")),OR($C$7="Semua",$C$7="",I322=$C$7),OR($C$8="Semua",$C$8="",C322=$C$8,E322=$C$8),OR($C$9="Semua",$C$9="",D322=$C$9),OR($C$10="",B322&gt;=$C$10),OR($C$11="",B322&lt;=$C$11),OR($C$12&lt;&gt;"Ya",K322&lt;&gt;""),OR($C$13="Semua",$C$13="",L322=$C$13)),"✓","")</f>
        <v/>
      </c>
      <c r="N322" s="93">
        <f>N(N321)+IF(M322="✓",1,0)</f>
        <v/>
      </c>
      <c r="O322" s="93">
        <f>N(O321)+IF(AND(B322&lt;&gt;"",B322&gt;='Uang Riba'!$H$30,B322&lt;='Uang Riba'!$I$30,OR(H322="Dana riba",H322="Pinjam uang riba",I322="Pinjam dari uang riba",I322="Ganti uang riba",I322="Kelebihan ganti dikembalikan",AND(C322="Kantong Uang Riba",G322="Pengeluaran"))),1,0)</f>
        <v/>
      </c>
      <c r="X322" s="93">
        <f>IF(AND(B322&lt;&gt;"",B322&gt;='Buku Akun'!$H$4,B322&lt;='Buku Akun'!$H$5,OR(C322='Buku Akun'!$C$4,AND(D322="Pindah",E322='Buku Akun'!$C$4))),B322+IF(AND(I322="Selisih bunga",DAY(B322)=1),0,0.01)+ROW()/10000000,"")</f>
        <v/>
      </c>
    </row>
    <row r="323" outlineLevel="1" ht="15" customHeight="1" s="94">
      <c r="A323" s="123">
        <f>IF(B323="","",ROW()-15)</f>
        <v/>
      </c>
      <c r="B323" s="124" t="n"/>
      <c r="C323" s="123" t="n"/>
      <c r="D323" s="123" t="n"/>
      <c r="E323" s="123" t="n"/>
      <c r="F323" s="125" t="n"/>
      <c r="G323" s="123" t="n"/>
      <c r="H323" s="123" t="n"/>
      <c r="I323" s="123" t="n"/>
      <c r="J323" s="123" t="n"/>
      <c r="K323" s="123" t="n"/>
      <c r="L323" s="123" t="n"/>
      <c r="M323" s="123">
        <f>IF(AND(B323&lt;&gt;"",OR($C$4="",ISNUMBER(SEARCH($C$4,C323&amp;" "&amp;E323&amp;" "&amp;G323&amp;" "&amp;H323&amp;" "&amp;I323&amp;" "&amp;J323&amp;" "&amp;K323&amp;" "&amp;L323))),OR($C$5="Semua",$C$5="",G323=$C$5),OR($C$6="Semua",$C$6="",H323=$C$6,H323="Pengeluaran "&amp;$C$6,AND($C$6="Uang Kos Mama",H323="Pengeluaran Uang Kos")),OR($C$7="Semua",$C$7="",I323=$C$7),OR($C$8="Semua",$C$8="",C323=$C$8,E323=$C$8),OR($C$9="Semua",$C$9="",D323=$C$9),OR($C$10="",B323&gt;=$C$10),OR($C$11="",B323&lt;=$C$11),OR($C$12&lt;&gt;"Ya",K323&lt;&gt;""),OR($C$13="Semua",$C$13="",L323=$C$13)),"✓","")</f>
        <v/>
      </c>
      <c r="N323" s="93">
        <f>N(N322)+IF(M323="✓",1,0)</f>
        <v/>
      </c>
      <c r="O323" s="93">
        <f>N(O322)+IF(AND(B323&lt;&gt;"",B323&gt;='Uang Riba'!$H$30,B323&lt;='Uang Riba'!$I$30,OR(H323="Dana riba",H323="Pinjam uang riba",I323="Pinjam dari uang riba",I323="Ganti uang riba",I323="Kelebihan ganti dikembalikan",AND(C323="Kantong Uang Riba",G323="Pengeluaran"))),1,0)</f>
        <v/>
      </c>
      <c r="X323" s="93">
        <f>IF(AND(B323&lt;&gt;"",B323&gt;='Buku Akun'!$H$4,B323&lt;='Buku Akun'!$H$5,OR(C323='Buku Akun'!$C$4,AND(D323="Pindah",E323='Buku Akun'!$C$4))),B323+IF(AND(I323="Selisih bunga",DAY(B323)=1),0,0.01)+ROW()/10000000,"")</f>
        <v/>
      </c>
    </row>
    <row r="324" outlineLevel="1" ht="15" customHeight="1" s="94">
      <c r="A324" s="123">
        <f>IF(B324="","",ROW()-15)</f>
        <v/>
      </c>
      <c r="B324" s="124" t="n"/>
      <c r="C324" s="123" t="n"/>
      <c r="D324" s="123" t="n"/>
      <c r="E324" s="123" t="n"/>
      <c r="F324" s="125" t="n"/>
      <c r="G324" s="123" t="n"/>
      <c r="H324" s="123" t="n"/>
      <c r="I324" s="123" t="n"/>
      <c r="J324" s="123" t="n"/>
      <c r="K324" s="123" t="n"/>
      <c r="L324" s="123" t="n"/>
      <c r="M324" s="123">
        <f>IF(AND(B324&lt;&gt;"",OR($C$4="",ISNUMBER(SEARCH($C$4,C324&amp;" "&amp;E324&amp;" "&amp;G324&amp;" "&amp;H324&amp;" "&amp;I324&amp;" "&amp;J324&amp;" "&amp;K324&amp;" "&amp;L324))),OR($C$5="Semua",$C$5="",G324=$C$5),OR($C$6="Semua",$C$6="",H324=$C$6,H324="Pengeluaran "&amp;$C$6,AND($C$6="Uang Kos Mama",H324="Pengeluaran Uang Kos")),OR($C$7="Semua",$C$7="",I324=$C$7),OR($C$8="Semua",$C$8="",C324=$C$8,E324=$C$8),OR($C$9="Semua",$C$9="",D324=$C$9),OR($C$10="",B324&gt;=$C$10),OR($C$11="",B324&lt;=$C$11),OR($C$12&lt;&gt;"Ya",K324&lt;&gt;""),OR($C$13="Semua",$C$13="",L324=$C$13)),"✓","")</f>
        <v/>
      </c>
      <c r="N324" s="93">
        <f>N(N323)+IF(M324="✓",1,0)</f>
        <v/>
      </c>
      <c r="O324" s="93">
        <f>N(O323)+IF(AND(B324&lt;&gt;"",B324&gt;='Uang Riba'!$H$30,B324&lt;='Uang Riba'!$I$30,OR(H324="Dana riba",H324="Pinjam uang riba",I324="Pinjam dari uang riba",I324="Ganti uang riba",I324="Kelebihan ganti dikembalikan",AND(C324="Kantong Uang Riba",G324="Pengeluaran"))),1,0)</f>
        <v/>
      </c>
      <c r="X324" s="93">
        <f>IF(AND(B324&lt;&gt;"",B324&gt;='Buku Akun'!$H$4,B324&lt;='Buku Akun'!$H$5,OR(C324='Buku Akun'!$C$4,AND(D324="Pindah",E324='Buku Akun'!$C$4))),B324+IF(AND(I324="Selisih bunga",DAY(B324)=1),0,0.01)+ROW()/10000000,"")</f>
        <v/>
      </c>
    </row>
    <row r="325" outlineLevel="1" ht="15" customHeight="1" s="94">
      <c r="A325" s="123">
        <f>IF(B325="","",ROW()-15)</f>
        <v/>
      </c>
      <c r="B325" s="124" t="n"/>
      <c r="C325" s="123" t="n"/>
      <c r="D325" s="123" t="n"/>
      <c r="E325" s="123" t="n"/>
      <c r="F325" s="125" t="n"/>
      <c r="G325" s="123" t="n"/>
      <c r="H325" s="123" t="n"/>
      <c r="I325" s="123" t="n"/>
      <c r="J325" s="123" t="n"/>
      <c r="K325" s="123" t="n"/>
      <c r="L325" s="123" t="n"/>
      <c r="M325" s="123">
        <f>IF(AND(B325&lt;&gt;"",OR($C$4="",ISNUMBER(SEARCH($C$4,C325&amp;" "&amp;E325&amp;" "&amp;G325&amp;" "&amp;H325&amp;" "&amp;I325&amp;" "&amp;J325&amp;" "&amp;K325&amp;" "&amp;L325))),OR($C$5="Semua",$C$5="",G325=$C$5),OR($C$6="Semua",$C$6="",H325=$C$6,H325="Pengeluaran "&amp;$C$6,AND($C$6="Uang Kos Mama",H325="Pengeluaran Uang Kos")),OR($C$7="Semua",$C$7="",I325=$C$7),OR($C$8="Semua",$C$8="",C325=$C$8,E325=$C$8),OR($C$9="Semua",$C$9="",D325=$C$9),OR($C$10="",B325&gt;=$C$10),OR($C$11="",B325&lt;=$C$11),OR($C$12&lt;&gt;"Ya",K325&lt;&gt;""),OR($C$13="Semua",$C$13="",L325=$C$13)),"✓","")</f>
        <v/>
      </c>
      <c r="N325" s="93">
        <f>N(N324)+IF(M325="✓",1,0)</f>
        <v/>
      </c>
      <c r="O325" s="93">
        <f>N(O324)+IF(AND(B325&lt;&gt;"",B325&gt;='Uang Riba'!$H$30,B325&lt;='Uang Riba'!$I$30,OR(H325="Dana riba",H325="Pinjam uang riba",I325="Pinjam dari uang riba",I325="Ganti uang riba",I325="Kelebihan ganti dikembalikan",AND(C325="Kantong Uang Riba",G325="Pengeluaran"))),1,0)</f>
        <v/>
      </c>
      <c r="X325" s="93">
        <f>IF(AND(B325&lt;&gt;"",B325&gt;='Buku Akun'!$H$4,B325&lt;='Buku Akun'!$H$5,OR(C325='Buku Akun'!$C$4,AND(D325="Pindah",E325='Buku Akun'!$C$4))),B325+IF(AND(I325="Selisih bunga",DAY(B325)=1),0,0.01)+ROW()/10000000,"")</f>
        <v/>
      </c>
    </row>
    <row r="326" outlineLevel="1" ht="15" customHeight="1" s="94">
      <c r="A326" s="123">
        <f>IF(B326="","",ROW()-15)</f>
        <v/>
      </c>
      <c r="B326" s="124" t="n"/>
      <c r="C326" s="123" t="n"/>
      <c r="D326" s="123" t="n"/>
      <c r="E326" s="123" t="n"/>
      <c r="F326" s="125" t="n"/>
      <c r="G326" s="123" t="n"/>
      <c r="H326" s="123" t="n"/>
      <c r="I326" s="123" t="n"/>
      <c r="J326" s="123" t="n"/>
      <c r="K326" s="123" t="n"/>
      <c r="L326" s="123" t="n"/>
      <c r="M326" s="123">
        <f>IF(AND(B326&lt;&gt;"",OR($C$4="",ISNUMBER(SEARCH($C$4,C326&amp;" "&amp;E326&amp;" "&amp;G326&amp;" "&amp;H326&amp;" "&amp;I326&amp;" "&amp;J326&amp;" "&amp;K326&amp;" "&amp;L326))),OR($C$5="Semua",$C$5="",G326=$C$5),OR($C$6="Semua",$C$6="",H326=$C$6,H326="Pengeluaran "&amp;$C$6,AND($C$6="Uang Kos Mama",H326="Pengeluaran Uang Kos")),OR($C$7="Semua",$C$7="",I326=$C$7),OR($C$8="Semua",$C$8="",C326=$C$8,E326=$C$8),OR($C$9="Semua",$C$9="",D326=$C$9),OR($C$10="",B326&gt;=$C$10),OR($C$11="",B326&lt;=$C$11),OR($C$12&lt;&gt;"Ya",K326&lt;&gt;""),OR($C$13="Semua",$C$13="",L326=$C$13)),"✓","")</f>
        <v/>
      </c>
      <c r="N326" s="93">
        <f>N(N325)+IF(M326="✓",1,0)</f>
        <v/>
      </c>
      <c r="O326" s="93">
        <f>N(O325)+IF(AND(B326&lt;&gt;"",B326&gt;='Uang Riba'!$H$30,B326&lt;='Uang Riba'!$I$30,OR(H326="Dana riba",H326="Pinjam uang riba",I326="Pinjam dari uang riba",I326="Ganti uang riba",I326="Kelebihan ganti dikembalikan",AND(C326="Kantong Uang Riba",G326="Pengeluaran"))),1,0)</f>
        <v/>
      </c>
      <c r="X326" s="93">
        <f>IF(AND(B326&lt;&gt;"",B326&gt;='Buku Akun'!$H$4,B326&lt;='Buku Akun'!$H$5,OR(C326='Buku Akun'!$C$4,AND(D326="Pindah",E326='Buku Akun'!$C$4))),B326+IF(AND(I326="Selisih bunga",DAY(B326)=1),0,0.01)+ROW()/10000000,"")</f>
        <v/>
      </c>
    </row>
    <row r="327" outlineLevel="1" ht="15" customHeight="1" s="94">
      <c r="A327" s="123">
        <f>IF(B327="","",ROW()-15)</f>
        <v/>
      </c>
      <c r="B327" s="124" t="n"/>
      <c r="C327" s="123" t="n"/>
      <c r="D327" s="123" t="n"/>
      <c r="E327" s="123" t="n"/>
      <c r="F327" s="125" t="n"/>
      <c r="G327" s="123" t="n"/>
      <c r="H327" s="123" t="n"/>
      <c r="I327" s="123" t="n"/>
      <c r="J327" s="123" t="n"/>
      <c r="K327" s="123" t="n"/>
      <c r="L327" s="123" t="n"/>
      <c r="M327" s="123">
        <f>IF(AND(B327&lt;&gt;"",OR($C$4="",ISNUMBER(SEARCH($C$4,C327&amp;" "&amp;E327&amp;" "&amp;G327&amp;" "&amp;H327&amp;" "&amp;I327&amp;" "&amp;J327&amp;" "&amp;K327&amp;" "&amp;L327))),OR($C$5="Semua",$C$5="",G327=$C$5),OR($C$6="Semua",$C$6="",H327=$C$6,H327="Pengeluaran "&amp;$C$6,AND($C$6="Uang Kos Mama",H327="Pengeluaran Uang Kos")),OR($C$7="Semua",$C$7="",I327=$C$7),OR($C$8="Semua",$C$8="",C327=$C$8,E327=$C$8),OR($C$9="Semua",$C$9="",D327=$C$9),OR($C$10="",B327&gt;=$C$10),OR($C$11="",B327&lt;=$C$11),OR($C$12&lt;&gt;"Ya",K327&lt;&gt;""),OR($C$13="Semua",$C$13="",L327=$C$13)),"✓","")</f>
        <v/>
      </c>
      <c r="N327" s="93">
        <f>N(N326)+IF(M327="✓",1,0)</f>
        <v/>
      </c>
      <c r="O327" s="93">
        <f>N(O326)+IF(AND(B327&lt;&gt;"",B327&gt;='Uang Riba'!$H$30,B327&lt;='Uang Riba'!$I$30,OR(H327="Dana riba",H327="Pinjam uang riba",I327="Pinjam dari uang riba",I327="Ganti uang riba",I327="Kelebihan ganti dikembalikan",AND(C327="Kantong Uang Riba",G327="Pengeluaran"))),1,0)</f>
        <v/>
      </c>
      <c r="X327" s="93">
        <f>IF(AND(B327&lt;&gt;"",B327&gt;='Buku Akun'!$H$4,B327&lt;='Buku Akun'!$H$5,OR(C327='Buku Akun'!$C$4,AND(D327="Pindah",E327='Buku Akun'!$C$4))),B327+IF(AND(I327="Selisih bunga",DAY(B327)=1),0,0.01)+ROW()/10000000,"")</f>
        <v/>
      </c>
    </row>
    <row r="328" outlineLevel="1" ht="15" customHeight="1" s="94">
      <c r="A328" s="123">
        <f>IF(B328="","",ROW()-15)</f>
        <v/>
      </c>
      <c r="B328" s="124" t="n"/>
      <c r="C328" s="123" t="n"/>
      <c r="D328" s="123" t="n"/>
      <c r="E328" s="123" t="n"/>
      <c r="F328" s="125" t="n"/>
      <c r="G328" s="123" t="n"/>
      <c r="H328" s="123" t="n"/>
      <c r="I328" s="123" t="n"/>
      <c r="J328" s="123" t="n"/>
      <c r="K328" s="123" t="n"/>
      <c r="L328" s="123" t="n"/>
      <c r="M328" s="123">
        <f>IF(AND(B328&lt;&gt;"",OR($C$4="",ISNUMBER(SEARCH($C$4,C328&amp;" "&amp;E328&amp;" "&amp;G328&amp;" "&amp;H328&amp;" "&amp;I328&amp;" "&amp;J328&amp;" "&amp;K328&amp;" "&amp;L328))),OR($C$5="Semua",$C$5="",G328=$C$5),OR($C$6="Semua",$C$6="",H328=$C$6,H328="Pengeluaran "&amp;$C$6,AND($C$6="Uang Kos Mama",H328="Pengeluaran Uang Kos")),OR($C$7="Semua",$C$7="",I328=$C$7),OR($C$8="Semua",$C$8="",C328=$C$8,E328=$C$8),OR($C$9="Semua",$C$9="",D328=$C$9),OR($C$10="",B328&gt;=$C$10),OR($C$11="",B328&lt;=$C$11),OR($C$12&lt;&gt;"Ya",K328&lt;&gt;""),OR($C$13="Semua",$C$13="",L328=$C$13)),"✓","")</f>
        <v/>
      </c>
      <c r="N328" s="93">
        <f>N(N327)+IF(M328="✓",1,0)</f>
        <v/>
      </c>
      <c r="O328" s="93">
        <f>N(O327)+IF(AND(B328&lt;&gt;"",B328&gt;='Uang Riba'!$H$30,B328&lt;='Uang Riba'!$I$30,OR(H328="Dana riba",H328="Pinjam uang riba",I328="Pinjam dari uang riba",I328="Ganti uang riba",I328="Kelebihan ganti dikembalikan",AND(C328="Kantong Uang Riba",G328="Pengeluaran"))),1,0)</f>
        <v/>
      </c>
      <c r="X328" s="93">
        <f>IF(AND(B328&lt;&gt;"",B328&gt;='Buku Akun'!$H$4,B328&lt;='Buku Akun'!$H$5,OR(C328='Buku Akun'!$C$4,AND(D328="Pindah",E328='Buku Akun'!$C$4))),B328+IF(AND(I328="Selisih bunga",DAY(B328)=1),0,0.01)+ROW()/10000000,"")</f>
        <v/>
      </c>
    </row>
    <row r="329" outlineLevel="1" ht="15" customHeight="1" s="94">
      <c r="A329" s="123">
        <f>IF(B329="","",ROW()-15)</f>
        <v/>
      </c>
      <c r="B329" s="124" t="n"/>
      <c r="C329" s="123" t="n"/>
      <c r="D329" s="123" t="n"/>
      <c r="E329" s="123" t="n"/>
      <c r="F329" s="125" t="n"/>
      <c r="G329" s="123" t="n"/>
      <c r="H329" s="123" t="n"/>
      <c r="I329" s="123" t="n"/>
      <c r="J329" s="123" t="n"/>
      <c r="K329" s="123" t="n"/>
      <c r="L329" s="123" t="n"/>
      <c r="M329" s="123">
        <f>IF(AND(B329&lt;&gt;"",OR($C$4="",ISNUMBER(SEARCH($C$4,C329&amp;" "&amp;E329&amp;" "&amp;G329&amp;" "&amp;H329&amp;" "&amp;I329&amp;" "&amp;J329&amp;" "&amp;K329&amp;" "&amp;L329))),OR($C$5="Semua",$C$5="",G329=$C$5),OR($C$6="Semua",$C$6="",H329=$C$6,H329="Pengeluaran "&amp;$C$6,AND($C$6="Uang Kos Mama",H329="Pengeluaran Uang Kos")),OR($C$7="Semua",$C$7="",I329=$C$7),OR($C$8="Semua",$C$8="",C329=$C$8,E329=$C$8),OR($C$9="Semua",$C$9="",D329=$C$9),OR($C$10="",B329&gt;=$C$10),OR($C$11="",B329&lt;=$C$11),OR($C$12&lt;&gt;"Ya",K329&lt;&gt;""),OR($C$13="Semua",$C$13="",L329=$C$13)),"✓","")</f>
        <v/>
      </c>
      <c r="N329" s="93">
        <f>N(N328)+IF(M329="✓",1,0)</f>
        <v/>
      </c>
      <c r="O329" s="93">
        <f>N(O328)+IF(AND(B329&lt;&gt;"",B329&gt;='Uang Riba'!$H$30,B329&lt;='Uang Riba'!$I$30,OR(H329="Dana riba",H329="Pinjam uang riba",I329="Pinjam dari uang riba",I329="Ganti uang riba",I329="Kelebihan ganti dikembalikan",AND(C329="Kantong Uang Riba",G329="Pengeluaran"))),1,0)</f>
        <v/>
      </c>
      <c r="X329" s="93">
        <f>IF(AND(B329&lt;&gt;"",B329&gt;='Buku Akun'!$H$4,B329&lt;='Buku Akun'!$H$5,OR(C329='Buku Akun'!$C$4,AND(D329="Pindah",E329='Buku Akun'!$C$4))),B329+IF(AND(I329="Selisih bunga",DAY(B329)=1),0,0.01)+ROW()/10000000,"")</f>
        <v/>
      </c>
    </row>
    <row r="330" outlineLevel="1" ht="15" customHeight="1" s="94">
      <c r="A330" s="123">
        <f>IF(B330="","",ROW()-15)</f>
        <v/>
      </c>
      <c r="B330" s="124" t="n"/>
      <c r="C330" s="123" t="n"/>
      <c r="D330" s="123" t="n"/>
      <c r="E330" s="123" t="n"/>
      <c r="F330" s="125" t="n"/>
      <c r="G330" s="123" t="n"/>
      <c r="H330" s="123" t="n"/>
      <c r="I330" s="123" t="n"/>
      <c r="J330" s="123" t="n"/>
      <c r="K330" s="123" t="n"/>
      <c r="L330" s="123" t="n"/>
      <c r="M330" s="123">
        <f>IF(AND(B330&lt;&gt;"",OR($C$4="",ISNUMBER(SEARCH($C$4,C330&amp;" "&amp;E330&amp;" "&amp;G330&amp;" "&amp;H330&amp;" "&amp;I330&amp;" "&amp;J330&amp;" "&amp;K330&amp;" "&amp;L330))),OR($C$5="Semua",$C$5="",G330=$C$5),OR($C$6="Semua",$C$6="",H330=$C$6,H330="Pengeluaran "&amp;$C$6,AND($C$6="Uang Kos Mama",H330="Pengeluaran Uang Kos")),OR($C$7="Semua",$C$7="",I330=$C$7),OR($C$8="Semua",$C$8="",C330=$C$8,E330=$C$8),OR($C$9="Semua",$C$9="",D330=$C$9),OR($C$10="",B330&gt;=$C$10),OR($C$11="",B330&lt;=$C$11),OR($C$12&lt;&gt;"Ya",K330&lt;&gt;""),OR($C$13="Semua",$C$13="",L330=$C$13)),"✓","")</f>
        <v/>
      </c>
      <c r="N330" s="93">
        <f>N(N329)+IF(M330="✓",1,0)</f>
        <v/>
      </c>
      <c r="O330" s="93">
        <f>N(O329)+IF(AND(B330&lt;&gt;"",B330&gt;='Uang Riba'!$H$30,B330&lt;='Uang Riba'!$I$30,OR(H330="Dana riba",H330="Pinjam uang riba",I330="Pinjam dari uang riba",I330="Ganti uang riba",I330="Kelebihan ganti dikembalikan",AND(C330="Kantong Uang Riba",G330="Pengeluaran"))),1,0)</f>
        <v/>
      </c>
      <c r="X330" s="93">
        <f>IF(AND(B330&lt;&gt;"",B330&gt;='Buku Akun'!$H$4,B330&lt;='Buku Akun'!$H$5,OR(C330='Buku Akun'!$C$4,AND(D330="Pindah",E330='Buku Akun'!$C$4))),B330+IF(AND(I330="Selisih bunga",DAY(B330)=1),0,0.01)+ROW()/10000000,"")</f>
        <v/>
      </c>
    </row>
    <row r="331" outlineLevel="1" ht="15" customHeight="1" s="94">
      <c r="A331" s="123">
        <f>IF(B331="","",ROW()-15)</f>
        <v/>
      </c>
      <c r="B331" s="124" t="n"/>
      <c r="C331" s="123" t="n"/>
      <c r="D331" s="123" t="n"/>
      <c r="E331" s="123" t="n"/>
      <c r="F331" s="125" t="n"/>
      <c r="G331" s="123" t="n"/>
      <c r="H331" s="123" t="n"/>
      <c r="I331" s="123" t="n"/>
      <c r="J331" s="123" t="n"/>
      <c r="K331" s="123" t="n"/>
      <c r="L331" s="123" t="n"/>
      <c r="M331" s="123">
        <f>IF(AND(B331&lt;&gt;"",OR($C$4="",ISNUMBER(SEARCH($C$4,C331&amp;" "&amp;E331&amp;" "&amp;G331&amp;" "&amp;H331&amp;" "&amp;I331&amp;" "&amp;J331&amp;" "&amp;K331&amp;" "&amp;L331))),OR($C$5="Semua",$C$5="",G331=$C$5),OR($C$6="Semua",$C$6="",H331=$C$6,H331="Pengeluaran "&amp;$C$6,AND($C$6="Uang Kos Mama",H331="Pengeluaran Uang Kos")),OR($C$7="Semua",$C$7="",I331=$C$7),OR($C$8="Semua",$C$8="",C331=$C$8,E331=$C$8),OR($C$9="Semua",$C$9="",D331=$C$9),OR($C$10="",B331&gt;=$C$10),OR($C$11="",B331&lt;=$C$11),OR($C$12&lt;&gt;"Ya",K331&lt;&gt;""),OR($C$13="Semua",$C$13="",L331=$C$13)),"✓","")</f>
        <v/>
      </c>
      <c r="N331" s="93">
        <f>N(N330)+IF(M331="✓",1,0)</f>
        <v/>
      </c>
      <c r="O331" s="93">
        <f>N(O330)+IF(AND(B331&lt;&gt;"",B331&gt;='Uang Riba'!$H$30,B331&lt;='Uang Riba'!$I$30,OR(H331="Dana riba",H331="Pinjam uang riba",I331="Pinjam dari uang riba",I331="Ganti uang riba",I331="Kelebihan ganti dikembalikan",AND(C331="Kantong Uang Riba",G331="Pengeluaran"))),1,0)</f>
        <v/>
      </c>
      <c r="X331" s="93">
        <f>IF(AND(B331&lt;&gt;"",B331&gt;='Buku Akun'!$H$4,B331&lt;='Buku Akun'!$H$5,OR(C331='Buku Akun'!$C$4,AND(D331="Pindah",E331='Buku Akun'!$C$4))),B331+IF(AND(I331="Selisih bunga",DAY(B331)=1),0,0.01)+ROW()/10000000,"")</f>
        <v/>
      </c>
    </row>
    <row r="332" outlineLevel="1" ht="15" customHeight="1" s="94">
      <c r="A332" s="123">
        <f>IF(B332="","",ROW()-15)</f>
        <v/>
      </c>
      <c r="B332" s="124" t="n"/>
      <c r="C332" s="123" t="n"/>
      <c r="D332" s="123" t="n"/>
      <c r="E332" s="123" t="n"/>
      <c r="F332" s="125" t="n"/>
      <c r="G332" s="123" t="n"/>
      <c r="H332" s="123" t="n"/>
      <c r="I332" s="123" t="n"/>
      <c r="J332" s="123" t="n"/>
      <c r="K332" s="123" t="n"/>
      <c r="L332" s="123" t="n"/>
      <c r="M332" s="123">
        <f>IF(AND(B332&lt;&gt;"",OR($C$4="",ISNUMBER(SEARCH($C$4,C332&amp;" "&amp;E332&amp;" "&amp;G332&amp;" "&amp;H332&amp;" "&amp;I332&amp;" "&amp;J332&amp;" "&amp;K332&amp;" "&amp;L332))),OR($C$5="Semua",$C$5="",G332=$C$5),OR($C$6="Semua",$C$6="",H332=$C$6,H332="Pengeluaran "&amp;$C$6,AND($C$6="Uang Kos Mama",H332="Pengeluaran Uang Kos")),OR($C$7="Semua",$C$7="",I332=$C$7),OR($C$8="Semua",$C$8="",C332=$C$8,E332=$C$8),OR($C$9="Semua",$C$9="",D332=$C$9),OR($C$10="",B332&gt;=$C$10),OR($C$11="",B332&lt;=$C$11),OR($C$12&lt;&gt;"Ya",K332&lt;&gt;""),OR($C$13="Semua",$C$13="",L332=$C$13)),"✓","")</f>
        <v/>
      </c>
      <c r="N332" s="93">
        <f>N(N331)+IF(M332="✓",1,0)</f>
        <v/>
      </c>
      <c r="O332" s="93">
        <f>N(O331)+IF(AND(B332&lt;&gt;"",B332&gt;='Uang Riba'!$H$30,B332&lt;='Uang Riba'!$I$30,OR(H332="Dana riba",H332="Pinjam uang riba",I332="Pinjam dari uang riba",I332="Ganti uang riba",I332="Kelebihan ganti dikembalikan",AND(C332="Kantong Uang Riba",G332="Pengeluaran"))),1,0)</f>
        <v/>
      </c>
      <c r="X332" s="93">
        <f>IF(AND(B332&lt;&gt;"",B332&gt;='Buku Akun'!$H$4,B332&lt;='Buku Akun'!$H$5,OR(C332='Buku Akun'!$C$4,AND(D332="Pindah",E332='Buku Akun'!$C$4))),B332+IF(AND(I332="Selisih bunga",DAY(B332)=1),0,0.01)+ROW()/10000000,"")</f>
        <v/>
      </c>
    </row>
    <row r="333" outlineLevel="1" ht="15" customHeight="1" s="94">
      <c r="A333" s="123">
        <f>IF(B333="","",ROW()-15)</f>
        <v/>
      </c>
      <c r="B333" s="124" t="n"/>
      <c r="C333" s="123" t="n"/>
      <c r="D333" s="123" t="n"/>
      <c r="E333" s="123" t="n"/>
      <c r="F333" s="125" t="n"/>
      <c r="G333" s="123" t="n"/>
      <c r="H333" s="123" t="n"/>
      <c r="I333" s="123" t="n"/>
      <c r="J333" s="123" t="n"/>
      <c r="K333" s="123" t="n"/>
      <c r="L333" s="123" t="n"/>
      <c r="M333" s="123">
        <f>IF(AND(B333&lt;&gt;"",OR($C$4="",ISNUMBER(SEARCH($C$4,C333&amp;" "&amp;E333&amp;" "&amp;G333&amp;" "&amp;H333&amp;" "&amp;I333&amp;" "&amp;J333&amp;" "&amp;K333&amp;" "&amp;L333))),OR($C$5="Semua",$C$5="",G333=$C$5),OR($C$6="Semua",$C$6="",H333=$C$6,H333="Pengeluaran "&amp;$C$6,AND($C$6="Uang Kos Mama",H333="Pengeluaran Uang Kos")),OR($C$7="Semua",$C$7="",I333=$C$7),OR($C$8="Semua",$C$8="",C333=$C$8,E333=$C$8),OR($C$9="Semua",$C$9="",D333=$C$9),OR($C$10="",B333&gt;=$C$10),OR($C$11="",B333&lt;=$C$11),OR($C$12&lt;&gt;"Ya",K333&lt;&gt;""),OR($C$13="Semua",$C$13="",L333=$C$13)),"✓","")</f>
        <v/>
      </c>
      <c r="N333" s="93">
        <f>N(N332)+IF(M333="✓",1,0)</f>
        <v/>
      </c>
      <c r="O333" s="93">
        <f>N(O332)+IF(AND(B333&lt;&gt;"",B333&gt;='Uang Riba'!$H$30,B333&lt;='Uang Riba'!$I$30,OR(H333="Dana riba",H333="Pinjam uang riba",I333="Pinjam dari uang riba",I333="Ganti uang riba",I333="Kelebihan ganti dikembalikan",AND(C333="Kantong Uang Riba",G333="Pengeluaran"))),1,0)</f>
        <v/>
      </c>
      <c r="X333" s="93">
        <f>IF(AND(B333&lt;&gt;"",B333&gt;='Buku Akun'!$H$4,B333&lt;='Buku Akun'!$H$5,OR(C333='Buku Akun'!$C$4,AND(D333="Pindah",E333='Buku Akun'!$C$4))),B333+IF(AND(I333="Selisih bunga",DAY(B333)=1),0,0.01)+ROW()/10000000,"")</f>
        <v/>
      </c>
    </row>
    <row r="334" outlineLevel="1" ht="15" customHeight="1" s="94">
      <c r="A334" s="123">
        <f>IF(B334="","",ROW()-15)</f>
        <v/>
      </c>
      <c r="B334" s="124" t="n"/>
      <c r="C334" s="123" t="n"/>
      <c r="D334" s="123" t="n"/>
      <c r="E334" s="123" t="n"/>
      <c r="F334" s="125" t="n"/>
      <c r="G334" s="123" t="n"/>
      <c r="H334" s="123" t="n"/>
      <c r="I334" s="123" t="n"/>
      <c r="J334" s="123" t="n"/>
      <c r="K334" s="123" t="n"/>
      <c r="L334" s="123" t="n"/>
      <c r="M334" s="123">
        <f>IF(AND(B334&lt;&gt;"",OR($C$4="",ISNUMBER(SEARCH($C$4,C334&amp;" "&amp;E334&amp;" "&amp;G334&amp;" "&amp;H334&amp;" "&amp;I334&amp;" "&amp;J334&amp;" "&amp;K334&amp;" "&amp;L334))),OR($C$5="Semua",$C$5="",G334=$C$5),OR($C$6="Semua",$C$6="",H334=$C$6,H334="Pengeluaran "&amp;$C$6,AND($C$6="Uang Kos Mama",H334="Pengeluaran Uang Kos")),OR($C$7="Semua",$C$7="",I334=$C$7),OR($C$8="Semua",$C$8="",C334=$C$8,E334=$C$8),OR($C$9="Semua",$C$9="",D334=$C$9),OR($C$10="",B334&gt;=$C$10),OR($C$11="",B334&lt;=$C$11),OR($C$12&lt;&gt;"Ya",K334&lt;&gt;""),OR($C$13="Semua",$C$13="",L334=$C$13)),"✓","")</f>
        <v/>
      </c>
      <c r="N334" s="93">
        <f>N(N333)+IF(M334="✓",1,0)</f>
        <v/>
      </c>
      <c r="O334" s="93">
        <f>N(O333)+IF(AND(B334&lt;&gt;"",B334&gt;='Uang Riba'!$H$30,B334&lt;='Uang Riba'!$I$30,OR(H334="Dana riba",H334="Pinjam uang riba",I334="Pinjam dari uang riba",I334="Ganti uang riba",I334="Kelebihan ganti dikembalikan",AND(C334="Kantong Uang Riba",G334="Pengeluaran"))),1,0)</f>
        <v/>
      </c>
      <c r="X334" s="93">
        <f>IF(AND(B334&lt;&gt;"",B334&gt;='Buku Akun'!$H$4,B334&lt;='Buku Akun'!$H$5,OR(C334='Buku Akun'!$C$4,AND(D334="Pindah",E334='Buku Akun'!$C$4))),B334+IF(AND(I334="Selisih bunga",DAY(B334)=1),0,0.01)+ROW()/10000000,"")</f>
        <v/>
      </c>
    </row>
    <row r="335" outlineLevel="1" ht="15" customHeight="1" s="94">
      <c r="A335" s="123">
        <f>IF(B335="","",ROW()-15)</f>
        <v/>
      </c>
      <c r="B335" s="124" t="n"/>
      <c r="C335" s="123" t="n"/>
      <c r="D335" s="123" t="n"/>
      <c r="E335" s="123" t="n"/>
      <c r="F335" s="125" t="n"/>
      <c r="G335" s="123" t="n"/>
      <c r="H335" s="123" t="n"/>
      <c r="I335" s="123" t="n"/>
      <c r="J335" s="123" t="n"/>
      <c r="K335" s="123" t="n"/>
      <c r="L335" s="123" t="n"/>
      <c r="M335" s="123">
        <f>IF(AND(B335&lt;&gt;"",OR($C$4="",ISNUMBER(SEARCH($C$4,C335&amp;" "&amp;E335&amp;" "&amp;G335&amp;" "&amp;H335&amp;" "&amp;I335&amp;" "&amp;J335&amp;" "&amp;K335&amp;" "&amp;L335))),OR($C$5="Semua",$C$5="",G335=$C$5),OR($C$6="Semua",$C$6="",H335=$C$6,H335="Pengeluaran "&amp;$C$6,AND($C$6="Uang Kos Mama",H335="Pengeluaran Uang Kos")),OR($C$7="Semua",$C$7="",I335=$C$7),OR($C$8="Semua",$C$8="",C335=$C$8,E335=$C$8),OR($C$9="Semua",$C$9="",D335=$C$9),OR($C$10="",B335&gt;=$C$10),OR($C$11="",B335&lt;=$C$11),OR($C$12&lt;&gt;"Ya",K335&lt;&gt;""),OR($C$13="Semua",$C$13="",L335=$C$13)),"✓","")</f>
        <v/>
      </c>
      <c r="N335" s="93">
        <f>N(N334)+IF(M335="✓",1,0)</f>
        <v/>
      </c>
      <c r="O335" s="93">
        <f>N(O334)+IF(AND(B335&lt;&gt;"",B335&gt;='Uang Riba'!$H$30,B335&lt;='Uang Riba'!$I$30,OR(H335="Dana riba",H335="Pinjam uang riba",I335="Pinjam dari uang riba",I335="Ganti uang riba",I335="Kelebihan ganti dikembalikan",AND(C335="Kantong Uang Riba",G335="Pengeluaran"))),1,0)</f>
        <v/>
      </c>
      <c r="X335" s="93">
        <f>IF(AND(B335&lt;&gt;"",B335&gt;='Buku Akun'!$H$4,B335&lt;='Buku Akun'!$H$5,OR(C335='Buku Akun'!$C$4,AND(D335="Pindah",E335='Buku Akun'!$C$4))),B335+IF(AND(I335="Selisih bunga",DAY(B335)=1),0,0.01)+ROW()/10000000,"")</f>
        <v/>
      </c>
    </row>
    <row r="336" outlineLevel="1" ht="15" customHeight="1" s="94">
      <c r="A336" s="123">
        <f>IF(B336="","",ROW()-15)</f>
        <v/>
      </c>
      <c r="B336" s="124" t="n"/>
      <c r="C336" s="123" t="n"/>
      <c r="D336" s="123" t="n"/>
      <c r="E336" s="123" t="n"/>
      <c r="F336" s="125" t="n"/>
      <c r="G336" s="123" t="n"/>
      <c r="H336" s="123" t="n"/>
      <c r="I336" s="123" t="n"/>
      <c r="J336" s="123" t="n"/>
      <c r="K336" s="123" t="n"/>
      <c r="L336" s="123" t="n"/>
      <c r="M336" s="123">
        <f>IF(AND(B336&lt;&gt;"",OR($C$4="",ISNUMBER(SEARCH($C$4,C336&amp;" "&amp;E336&amp;" "&amp;G336&amp;" "&amp;H336&amp;" "&amp;I336&amp;" "&amp;J336&amp;" "&amp;K336&amp;" "&amp;L336))),OR($C$5="Semua",$C$5="",G336=$C$5),OR($C$6="Semua",$C$6="",H336=$C$6,H336="Pengeluaran "&amp;$C$6,AND($C$6="Uang Kos Mama",H336="Pengeluaran Uang Kos")),OR($C$7="Semua",$C$7="",I336=$C$7),OR($C$8="Semua",$C$8="",C336=$C$8,E336=$C$8),OR($C$9="Semua",$C$9="",D336=$C$9),OR($C$10="",B336&gt;=$C$10),OR($C$11="",B336&lt;=$C$11),OR($C$12&lt;&gt;"Ya",K336&lt;&gt;""),OR($C$13="Semua",$C$13="",L336=$C$13)),"✓","")</f>
        <v/>
      </c>
      <c r="N336" s="93">
        <f>N(N335)+IF(M336="✓",1,0)</f>
        <v/>
      </c>
      <c r="O336" s="93">
        <f>N(O335)+IF(AND(B336&lt;&gt;"",B336&gt;='Uang Riba'!$H$30,B336&lt;='Uang Riba'!$I$30,OR(H336="Dana riba",H336="Pinjam uang riba",I336="Pinjam dari uang riba",I336="Ganti uang riba",I336="Kelebihan ganti dikembalikan",AND(C336="Kantong Uang Riba",G336="Pengeluaran"))),1,0)</f>
        <v/>
      </c>
      <c r="X336" s="93">
        <f>IF(AND(B336&lt;&gt;"",B336&gt;='Buku Akun'!$H$4,B336&lt;='Buku Akun'!$H$5,OR(C336='Buku Akun'!$C$4,AND(D336="Pindah",E336='Buku Akun'!$C$4))),B336+IF(AND(I336="Selisih bunga",DAY(B336)=1),0,0.01)+ROW()/10000000,"")</f>
        <v/>
      </c>
    </row>
    <row r="337" outlineLevel="1" ht="15" customHeight="1" s="94">
      <c r="A337" s="123">
        <f>IF(B337="","",ROW()-15)</f>
        <v/>
      </c>
      <c r="B337" s="124" t="n"/>
      <c r="C337" s="123" t="n"/>
      <c r="D337" s="123" t="n"/>
      <c r="E337" s="123" t="n"/>
      <c r="F337" s="125" t="n"/>
      <c r="G337" s="123" t="n"/>
      <c r="H337" s="123" t="n"/>
      <c r="I337" s="123" t="n"/>
      <c r="J337" s="123" t="n"/>
      <c r="K337" s="123" t="n"/>
      <c r="L337" s="123" t="n"/>
      <c r="M337" s="123">
        <f>IF(AND(B337&lt;&gt;"",OR($C$4="",ISNUMBER(SEARCH($C$4,C337&amp;" "&amp;E337&amp;" "&amp;G337&amp;" "&amp;H337&amp;" "&amp;I337&amp;" "&amp;J337&amp;" "&amp;K337&amp;" "&amp;L337))),OR($C$5="Semua",$C$5="",G337=$C$5),OR($C$6="Semua",$C$6="",H337=$C$6,H337="Pengeluaran "&amp;$C$6,AND($C$6="Uang Kos Mama",H337="Pengeluaran Uang Kos")),OR($C$7="Semua",$C$7="",I337=$C$7),OR($C$8="Semua",$C$8="",C337=$C$8,E337=$C$8),OR($C$9="Semua",$C$9="",D337=$C$9),OR($C$10="",B337&gt;=$C$10),OR($C$11="",B337&lt;=$C$11),OR($C$12&lt;&gt;"Ya",K337&lt;&gt;""),OR($C$13="Semua",$C$13="",L337=$C$13)),"✓","")</f>
        <v/>
      </c>
      <c r="N337" s="93">
        <f>N(N336)+IF(M337="✓",1,0)</f>
        <v/>
      </c>
      <c r="O337" s="93">
        <f>N(O336)+IF(AND(B337&lt;&gt;"",B337&gt;='Uang Riba'!$H$30,B337&lt;='Uang Riba'!$I$30,OR(H337="Dana riba",H337="Pinjam uang riba",I337="Pinjam dari uang riba",I337="Ganti uang riba",I337="Kelebihan ganti dikembalikan",AND(C337="Kantong Uang Riba",G337="Pengeluaran"))),1,0)</f>
        <v/>
      </c>
      <c r="X337" s="93">
        <f>IF(AND(B337&lt;&gt;"",B337&gt;='Buku Akun'!$H$4,B337&lt;='Buku Akun'!$H$5,OR(C337='Buku Akun'!$C$4,AND(D337="Pindah",E337='Buku Akun'!$C$4))),B337+IF(AND(I337="Selisih bunga",DAY(B337)=1),0,0.01)+ROW()/10000000,"")</f>
        <v/>
      </c>
    </row>
    <row r="338" outlineLevel="1" ht="15" customHeight="1" s="94">
      <c r="A338" s="123">
        <f>IF(B338="","",ROW()-15)</f>
        <v/>
      </c>
      <c r="B338" s="124" t="n"/>
      <c r="C338" s="123" t="n"/>
      <c r="D338" s="123" t="n"/>
      <c r="E338" s="123" t="n"/>
      <c r="F338" s="125" t="n"/>
      <c r="G338" s="123" t="n"/>
      <c r="H338" s="123" t="n"/>
      <c r="I338" s="123" t="n"/>
      <c r="J338" s="123" t="n"/>
      <c r="K338" s="123" t="n"/>
      <c r="L338" s="123" t="n"/>
      <c r="M338" s="123">
        <f>IF(AND(B338&lt;&gt;"",OR($C$4="",ISNUMBER(SEARCH($C$4,C338&amp;" "&amp;E338&amp;" "&amp;G338&amp;" "&amp;H338&amp;" "&amp;I338&amp;" "&amp;J338&amp;" "&amp;K338&amp;" "&amp;L338))),OR($C$5="Semua",$C$5="",G338=$C$5),OR($C$6="Semua",$C$6="",H338=$C$6,H338="Pengeluaran "&amp;$C$6,AND($C$6="Uang Kos Mama",H338="Pengeluaran Uang Kos")),OR($C$7="Semua",$C$7="",I338=$C$7),OR($C$8="Semua",$C$8="",C338=$C$8,E338=$C$8),OR($C$9="Semua",$C$9="",D338=$C$9),OR($C$10="",B338&gt;=$C$10),OR($C$11="",B338&lt;=$C$11),OR($C$12&lt;&gt;"Ya",K338&lt;&gt;""),OR($C$13="Semua",$C$13="",L338=$C$13)),"✓","")</f>
        <v/>
      </c>
      <c r="N338" s="93">
        <f>N(N337)+IF(M338="✓",1,0)</f>
        <v/>
      </c>
      <c r="O338" s="93">
        <f>N(O337)+IF(AND(B338&lt;&gt;"",B338&gt;='Uang Riba'!$H$30,B338&lt;='Uang Riba'!$I$30,OR(H338="Dana riba",H338="Pinjam uang riba",I338="Pinjam dari uang riba",I338="Ganti uang riba",I338="Kelebihan ganti dikembalikan",AND(C338="Kantong Uang Riba",G338="Pengeluaran"))),1,0)</f>
        <v/>
      </c>
      <c r="X338" s="93">
        <f>IF(AND(B338&lt;&gt;"",B338&gt;='Buku Akun'!$H$4,B338&lt;='Buku Akun'!$H$5,OR(C338='Buku Akun'!$C$4,AND(D338="Pindah",E338='Buku Akun'!$C$4))),B338+IF(AND(I338="Selisih bunga",DAY(B338)=1),0,0.01)+ROW()/10000000,"")</f>
        <v/>
      </c>
    </row>
    <row r="339" outlineLevel="1" ht="15" customHeight="1" s="94">
      <c r="A339" s="123">
        <f>IF(B339="","",ROW()-15)</f>
        <v/>
      </c>
      <c r="B339" s="124" t="n"/>
      <c r="C339" s="123" t="n"/>
      <c r="D339" s="123" t="n"/>
      <c r="E339" s="123" t="n"/>
      <c r="F339" s="125" t="n"/>
      <c r="G339" s="123" t="n"/>
      <c r="H339" s="123" t="n"/>
      <c r="I339" s="123" t="n"/>
      <c r="J339" s="123" t="n"/>
      <c r="K339" s="123" t="n"/>
      <c r="L339" s="123" t="n"/>
      <c r="M339" s="123">
        <f>IF(AND(B339&lt;&gt;"",OR($C$4="",ISNUMBER(SEARCH($C$4,C339&amp;" "&amp;E339&amp;" "&amp;G339&amp;" "&amp;H339&amp;" "&amp;I339&amp;" "&amp;J339&amp;" "&amp;K339&amp;" "&amp;L339))),OR($C$5="Semua",$C$5="",G339=$C$5),OR($C$6="Semua",$C$6="",H339=$C$6,H339="Pengeluaran "&amp;$C$6,AND($C$6="Uang Kos Mama",H339="Pengeluaran Uang Kos")),OR($C$7="Semua",$C$7="",I339=$C$7),OR($C$8="Semua",$C$8="",C339=$C$8,E339=$C$8),OR($C$9="Semua",$C$9="",D339=$C$9),OR($C$10="",B339&gt;=$C$10),OR($C$11="",B339&lt;=$C$11),OR($C$12&lt;&gt;"Ya",K339&lt;&gt;""),OR($C$13="Semua",$C$13="",L339=$C$13)),"✓","")</f>
        <v/>
      </c>
      <c r="N339" s="93">
        <f>N(N338)+IF(M339="✓",1,0)</f>
        <v/>
      </c>
      <c r="O339" s="93">
        <f>N(O338)+IF(AND(B339&lt;&gt;"",B339&gt;='Uang Riba'!$H$30,B339&lt;='Uang Riba'!$I$30,OR(H339="Dana riba",H339="Pinjam uang riba",I339="Pinjam dari uang riba",I339="Ganti uang riba",I339="Kelebihan ganti dikembalikan",AND(C339="Kantong Uang Riba",G339="Pengeluaran"))),1,0)</f>
        <v/>
      </c>
      <c r="X339" s="93">
        <f>IF(AND(B339&lt;&gt;"",B339&gt;='Buku Akun'!$H$4,B339&lt;='Buku Akun'!$H$5,OR(C339='Buku Akun'!$C$4,AND(D339="Pindah",E339='Buku Akun'!$C$4))),B339+IF(AND(I339="Selisih bunga",DAY(B339)=1),0,0.01)+ROW()/10000000,"")</f>
        <v/>
      </c>
    </row>
    <row r="340" outlineLevel="1" ht="15" customHeight="1" s="94">
      <c r="A340" s="123">
        <f>IF(B340="","",ROW()-15)</f>
        <v/>
      </c>
      <c r="B340" s="124" t="n"/>
      <c r="C340" s="123" t="n"/>
      <c r="D340" s="123" t="n"/>
      <c r="E340" s="123" t="n"/>
      <c r="F340" s="125" t="n"/>
      <c r="G340" s="123" t="n"/>
      <c r="H340" s="123" t="n"/>
      <c r="I340" s="123" t="n"/>
      <c r="J340" s="123" t="n"/>
      <c r="K340" s="123" t="n"/>
      <c r="L340" s="123" t="n"/>
      <c r="M340" s="123">
        <f>IF(AND(B340&lt;&gt;"",OR($C$4="",ISNUMBER(SEARCH($C$4,C340&amp;" "&amp;E340&amp;" "&amp;G340&amp;" "&amp;H340&amp;" "&amp;I340&amp;" "&amp;J340&amp;" "&amp;K340&amp;" "&amp;L340))),OR($C$5="Semua",$C$5="",G340=$C$5),OR($C$6="Semua",$C$6="",H340=$C$6,H340="Pengeluaran "&amp;$C$6,AND($C$6="Uang Kos Mama",H340="Pengeluaran Uang Kos")),OR($C$7="Semua",$C$7="",I340=$C$7),OR($C$8="Semua",$C$8="",C340=$C$8,E340=$C$8),OR($C$9="Semua",$C$9="",D340=$C$9),OR($C$10="",B340&gt;=$C$10),OR($C$11="",B340&lt;=$C$11),OR($C$12&lt;&gt;"Ya",K340&lt;&gt;""),OR($C$13="Semua",$C$13="",L340=$C$13)),"✓","")</f>
        <v/>
      </c>
      <c r="N340" s="93">
        <f>N(N339)+IF(M340="✓",1,0)</f>
        <v/>
      </c>
      <c r="O340" s="93">
        <f>N(O339)+IF(AND(B340&lt;&gt;"",B340&gt;='Uang Riba'!$H$30,B340&lt;='Uang Riba'!$I$30,OR(H340="Dana riba",H340="Pinjam uang riba",I340="Pinjam dari uang riba",I340="Ganti uang riba",I340="Kelebihan ganti dikembalikan",AND(C340="Kantong Uang Riba",G340="Pengeluaran"))),1,0)</f>
        <v/>
      </c>
      <c r="X340" s="93">
        <f>IF(AND(B340&lt;&gt;"",B340&gt;='Buku Akun'!$H$4,B340&lt;='Buku Akun'!$H$5,OR(C340='Buku Akun'!$C$4,AND(D340="Pindah",E340='Buku Akun'!$C$4))),B340+IF(AND(I340="Selisih bunga",DAY(B340)=1),0,0.01)+ROW()/10000000,"")</f>
        <v/>
      </c>
    </row>
    <row r="341" outlineLevel="1" ht="15" customHeight="1" s="94">
      <c r="A341" s="123">
        <f>IF(B341="","",ROW()-15)</f>
        <v/>
      </c>
      <c r="B341" s="124" t="n"/>
      <c r="C341" s="123" t="n"/>
      <c r="D341" s="123" t="n"/>
      <c r="E341" s="123" t="n"/>
      <c r="F341" s="125" t="n"/>
      <c r="G341" s="123" t="n"/>
      <c r="H341" s="123" t="n"/>
      <c r="I341" s="123" t="n"/>
      <c r="J341" s="123" t="n"/>
      <c r="K341" s="123" t="n"/>
      <c r="L341" s="123" t="n"/>
      <c r="M341" s="123">
        <f>IF(AND(B341&lt;&gt;"",OR($C$4="",ISNUMBER(SEARCH($C$4,C341&amp;" "&amp;E341&amp;" "&amp;G341&amp;" "&amp;H341&amp;" "&amp;I341&amp;" "&amp;J341&amp;" "&amp;K341&amp;" "&amp;L341))),OR($C$5="Semua",$C$5="",G341=$C$5),OR($C$6="Semua",$C$6="",H341=$C$6,H341="Pengeluaran "&amp;$C$6,AND($C$6="Uang Kos Mama",H341="Pengeluaran Uang Kos")),OR($C$7="Semua",$C$7="",I341=$C$7),OR($C$8="Semua",$C$8="",C341=$C$8,E341=$C$8),OR($C$9="Semua",$C$9="",D341=$C$9),OR($C$10="",B341&gt;=$C$10),OR($C$11="",B341&lt;=$C$11),OR($C$12&lt;&gt;"Ya",K341&lt;&gt;""),OR($C$13="Semua",$C$13="",L341=$C$13)),"✓","")</f>
        <v/>
      </c>
      <c r="N341" s="93">
        <f>N(N340)+IF(M341="✓",1,0)</f>
        <v/>
      </c>
      <c r="O341" s="93">
        <f>N(O340)+IF(AND(B341&lt;&gt;"",B341&gt;='Uang Riba'!$H$30,B341&lt;='Uang Riba'!$I$30,OR(H341="Dana riba",H341="Pinjam uang riba",I341="Pinjam dari uang riba",I341="Ganti uang riba",I341="Kelebihan ganti dikembalikan",AND(C341="Kantong Uang Riba",G341="Pengeluaran"))),1,0)</f>
        <v/>
      </c>
      <c r="X341" s="93">
        <f>IF(AND(B341&lt;&gt;"",B341&gt;='Buku Akun'!$H$4,B341&lt;='Buku Akun'!$H$5,OR(C341='Buku Akun'!$C$4,AND(D341="Pindah",E341='Buku Akun'!$C$4))),B341+IF(AND(I341="Selisih bunga",DAY(B341)=1),0,0.01)+ROW()/10000000,"")</f>
        <v/>
      </c>
    </row>
    <row r="342" outlineLevel="1" ht="15" customHeight="1" s="94">
      <c r="A342" s="123">
        <f>IF(B342="","",ROW()-15)</f>
        <v/>
      </c>
      <c r="B342" s="124" t="n"/>
      <c r="C342" s="123" t="n"/>
      <c r="D342" s="123" t="n"/>
      <c r="E342" s="123" t="n"/>
      <c r="F342" s="125" t="n"/>
      <c r="G342" s="123" t="n"/>
      <c r="H342" s="123" t="n"/>
      <c r="I342" s="123" t="n"/>
      <c r="J342" s="123" t="n"/>
      <c r="K342" s="123" t="n"/>
      <c r="L342" s="123" t="n"/>
      <c r="M342" s="123">
        <f>IF(AND(B342&lt;&gt;"",OR($C$4="",ISNUMBER(SEARCH($C$4,C342&amp;" "&amp;E342&amp;" "&amp;G342&amp;" "&amp;H342&amp;" "&amp;I342&amp;" "&amp;J342&amp;" "&amp;K342&amp;" "&amp;L342))),OR($C$5="Semua",$C$5="",G342=$C$5),OR($C$6="Semua",$C$6="",H342=$C$6,H342="Pengeluaran "&amp;$C$6,AND($C$6="Uang Kos Mama",H342="Pengeluaran Uang Kos")),OR($C$7="Semua",$C$7="",I342=$C$7),OR($C$8="Semua",$C$8="",C342=$C$8,E342=$C$8),OR($C$9="Semua",$C$9="",D342=$C$9),OR($C$10="",B342&gt;=$C$10),OR($C$11="",B342&lt;=$C$11),OR($C$12&lt;&gt;"Ya",K342&lt;&gt;""),OR($C$13="Semua",$C$13="",L342=$C$13)),"✓","")</f>
        <v/>
      </c>
      <c r="N342" s="93">
        <f>N(N341)+IF(M342="✓",1,0)</f>
        <v/>
      </c>
      <c r="O342" s="93">
        <f>N(O341)+IF(AND(B342&lt;&gt;"",B342&gt;='Uang Riba'!$H$30,B342&lt;='Uang Riba'!$I$30,OR(H342="Dana riba",H342="Pinjam uang riba",I342="Pinjam dari uang riba",I342="Ganti uang riba",I342="Kelebihan ganti dikembalikan",AND(C342="Kantong Uang Riba",G342="Pengeluaran"))),1,0)</f>
        <v/>
      </c>
      <c r="X342" s="93">
        <f>IF(AND(B342&lt;&gt;"",B342&gt;='Buku Akun'!$H$4,B342&lt;='Buku Akun'!$H$5,OR(C342='Buku Akun'!$C$4,AND(D342="Pindah",E342='Buku Akun'!$C$4))),B342+IF(AND(I342="Selisih bunga",DAY(B342)=1),0,0.01)+ROW()/10000000,"")</f>
        <v/>
      </c>
    </row>
    <row r="343" outlineLevel="1" ht="15" customHeight="1" s="94">
      <c r="A343" s="123">
        <f>IF(B343="","",ROW()-15)</f>
        <v/>
      </c>
      <c r="B343" s="124" t="n"/>
      <c r="C343" s="123" t="n"/>
      <c r="D343" s="123" t="n"/>
      <c r="E343" s="123" t="n"/>
      <c r="F343" s="125" t="n"/>
      <c r="G343" s="123" t="n"/>
      <c r="H343" s="123" t="n"/>
      <c r="I343" s="123" t="n"/>
      <c r="J343" s="123" t="n"/>
      <c r="K343" s="123" t="n"/>
      <c r="L343" s="123" t="n"/>
      <c r="M343" s="123">
        <f>IF(AND(B343&lt;&gt;"",OR($C$4="",ISNUMBER(SEARCH($C$4,C343&amp;" "&amp;E343&amp;" "&amp;G343&amp;" "&amp;H343&amp;" "&amp;I343&amp;" "&amp;J343&amp;" "&amp;K343&amp;" "&amp;L343))),OR($C$5="Semua",$C$5="",G343=$C$5),OR($C$6="Semua",$C$6="",H343=$C$6,H343="Pengeluaran "&amp;$C$6,AND($C$6="Uang Kos Mama",H343="Pengeluaran Uang Kos")),OR($C$7="Semua",$C$7="",I343=$C$7),OR($C$8="Semua",$C$8="",C343=$C$8,E343=$C$8),OR($C$9="Semua",$C$9="",D343=$C$9),OR($C$10="",B343&gt;=$C$10),OR($C$11="",B343&lt;=$C$11),OR($C$12&lt;&gt;"Ya",K343&lt;&gt;""),OR($C$13="Semua",$C$13="",L343=$C$13)),"✓","")</f>
        <v/>
      </c>
      <c r="N343" s="93">
        <f>N(N342)+IF(M343="✓",1,0)</f>
        <v/>
      </c>
      <c r="O343" s="93">
        <f>N(O342)+IF(AND(B343&lt;&gt;"",B343&gt;='Uang Riba'!$H$30,B343&lt;='Uang Riba'!$I$30,OR(H343="Dana riba",H343="Pinjam uang riba",I343="Pinjam dari uang riba",I343="Ganti uang riba",I343="Kelebihan ganti dikembalikan",AND(C343="Kantong Uang Riba",G343="Pengeluaran"))),1,0)</f>
        <v/>
      </c>
      <c r="X343" s="93">
        <f>IF(AND(B343&lt;&gt;"",B343&gt;='Buku Akun'!$H$4,B343&lt;='Buku Akun'!$H$5,OR(C343='Buku Akun'!$C$4,AND(D343="Pindah",E343='Buku Akun'!$C$4))),B343+IF(AND(I343="Selisih bunga",DAY(B343)=1),0,0.01)+ROW()/10000000,"")</f>
        <v/>
      </c>
    </row>
    <row r="344" outlineLevel="1" ht="15" customHeight="1" s="94">
      <c r="A344" s="123">
        <f>IF(B344="","",ROW()-15)</f>
        <v/>
      </c>
      <c r="B344" s="124" t="n"/>
      <c r="C344" s="123" t="n"/>
      <c r="D344" s="123" t="n"/>
      <c r="E344" s="123" t="n"/>
      <c r="F344" s="125" t="n"/>
      <c r="G344" s="123" t="n"/>
      <c r="H344" s="123" t="n"/>
      <c r="I344" s="123" t="n"/>
      <c r="J344" s="123" t="n"/>
      <c r="K344" s="123" t="n"/>
      <c r="L344" s="123" t="n"/>
      <c r="M344" s="123">
        <f>IF(AND(B344&lt;&gt;"",OR($C$4="",ISNUMBER(SEARCH($C$4,C344&amp;" "&amp;E344&amp;" "&amp;G344&amp;" "&amp;H344&amp;" "&amp;I344&amp;" "&amp;J344&amp;" "&amp;K344&amp;" "&amp;L344))),OR($C$5="Semua",$C$5="",G344=$C$5),OR($C$6="Semua",$C$6="",H344=$C$6,H344="Pengeluaran "&amp;$C$6,AND($C$6="Uang Kos Mama",H344="Pengeluaran Uang Kos")),OR($C$7="Semua",$C$7="",I344=$C$7),OR($C$8="Semua",$C$8="",C344=$C$8,E344=$C$8),OR($C$9="Semua",$C$9="",D344=$C$9),OR($C$10="",B344&gt;=$C$10),OR($C$11="",B344&lt;=$C$11),OR($C$12&lt;&gt;"Ya",K344&lt;&gt;""),OR($C$13="Semua",$C$13="",L344=$C$13)),"✓","")</f>
        <v/>
      </c>
      <c r="N344" s="93">
        <f>N(N343)+IF(M344="✓",1,0)</f>
        <v/>
      </c>
      <c r="O344" s="93">
        <f>N(O343)+IF(AND(B344&lt;&gt;"",B344&gt;='Uang Riba'!$H$30,B344&lt;='Uang Riba'!$I$30,OR(H344="Dana riba",H344="Pinjam uang riba",I344="Pinjam dari uang riba",I344="Ganti uang riba",I344="Kelebihan ganti dikembalikan",AND(C344="Kantong Uang Riba",G344="Pengeluaran"))),1,0)</f>
        <v/>
      </c>
      <c r="X344" s="93">
        <f>IF(AND(B344&lt;&gt;"",B344&gt;='Buku Akun'!$H$4,B344&lt;='Buku Akun'!$H$5,OR(C344='Buku Akun'!$C$4,AND(D344="Pindah",E344='Buku Akun'!$C$4))),B344+IF(AND(I344="Selisih bunga",DAY(B344)=1),0,0.01)+ROW()/10000000,"")</f>
        <v/>
      </c>
    </row>
    <row r="345" outlineLevel="1" ht="15" customHeight="1" s="94">
      <c r="A345" s="123">
        <f>IF(B345="","",ROW()-15)</f>
        <v/>
      </c>
      <c r="B345" s="124" t="n"/>
      <c r="C345" s="123" t="n"/>
      <c r="D345" s="123" t="n"/>
      <c r="E345" s="123" t="n"/>
      <c r="F345" s="125" t="n"/>
      <c r="G345" s="123" t="n"/>
      <c r="H345" s="123" t="n"/>
      <c r="I345" s="123" t="n"/>
      <c r="J345" s="123" t="n"/>
      <c r="K345" s="123" t="n"/>
      <c r="L345" s="123" t="n"/>
      <c r="M345" s="123">
        <f>IF(AND(B345&lt;&gt;"",OR($C$4="",ISNUMBER(SEARCH($C$4,C345&amp;" "&amp;E345&amp;" "&amp;G345&amp;" "&amp;H345&amp;" "&amp;I345&amp;" "&amp;J345&amp;" "&amp;K345&amp;" "&amp;L345))),OR($C$5="Semua",$C$5="",G345=$C$5),OR($C$6="Semua",$C$6="",H345=$C$6,H345="Pengeluaran "&amp;$C$6,AND($C$6="Uang Kos Mama",H345="Pengeluaran Uang Kos")),OR($C$7="Semua",$C$7="",I345=$C$7),OR($C$8="Semua",$C$8="",C345=$C$8,E345=$C$8),OR($C$9="Semua",$C$9="",D345=$C$9),OR($C$10="",B345&gt;=$C$10),OR($C$11="",B345&lt;=$C$11),OR($C$12&lt;&gt;"Ya",K345&lt;&gt;""),OR($C$13="Semua",$C$13="",L345=$C$13)),"✓","")</f>
        <v/>
      </c>
      <c r="N345" s="93">
        <f>N(N344)+IF(M345="✓",1,0)</f>
        <v/>
      </c>
      <c r="O345" s="93">
        <f>N(O344)+IF(AND(B345&lt;&gt;"",B345&gt;='Uang Riba'!$H$30,B345&lt;='Uang Riba'!$I$30,OR(H345="Dana riba",H345="Pinjam uang riba",I345="Pinjam dari uang riba",I345="Ganti uang riba",I345="Kelebihan ganti dikembalikan",AND(C345="Kantong Uang Riba",G345="Pengeluaran"))),1,0)</f>
        <v/>
      </c>
      <c r="X345" s="93">
        <f>IF(AND(B345&lt;&gt;"",B345&gt;='Buku Akun'!$H$4,B345&lt;='Buku Akun'!$H$5,OR(C345='Buku Akun'!$C$4,AND(D345="Pindah",E345='Buku Akun'!$C$4))),B345+IF(AND(I345="Selisih bunga",DAY(B345)=1),0,0.01)+ROW()/10000000,"")</f>
        <v/>
      </c>
    </row>
    <row r="346" outlineLevel="1" ht="15" customHeight="1" s="94">
      <c r="A346" s="123">
        <f>IF(B346="","",ROW()-15)</f>
        <v/>
      </c>
      <c r="B346" s="124" t="n"/>
      <c r="C346" s="123" t="n"/>
      <c r="D346" s="123" t="n"/>
      <c r="E346" s="123" t="n"/>
      <c r="F346" s="125" t="n"/>
      <c r="G346" s="123" t="n"/>
      <c r="H346" s="123" t="n"/>
      <c r="I346" s="123" t="n"/>
      <c r="J346" s="123" t="n"/>
      <c r="K346" s="123" t="n"/>
      <c r="L346" s="123" t="n"/>
      <c r="M346" s="123">
        <f>IF(AND(B346&lt;&gt;"",OR($C$4="",ISNUMBER(SEARCH($C$4,C346&amp;" "&amp;E346&amp;" "&amp;G346&amp;" "&amp;H346&amp;" "&amp;I346&amp;" "&amp;J346&amp;" "&amp;K346&amp;" "&amp;L346))),OR($C$5="Semua",$C$5="",G346=$C$5),OR($C$6="Semua",$C$6="",H346=$C$6,H346="Pengeluaran "&amp;$C$6,AND($C$6="Uang Kos Mama",H346="Pengeluaran Uang Kos")),OR($C$7="Semua",$C$7="",I346=$C$7),OR($C$8="Semua",$C$8="",C346=$C$8,E346=$C$8),OR($C$9="Semua",$C$9="",D346=$C$9),OR($C$10="",B346&gt;=$C$10),OR($C$11="",B346&lt;=$C$11),OR($C$12&lt;&gt;"Ya",K346&lt;&gt;""),OR($C$13="Semua",$C$13="",L346=$C$13)),"✓","")</f>
        <v/>
      </c>
      <c r="N346" s="93">
        <f>N(N345)+IF(M346="✓",1,0)</f>
        <v/>
      </c>
      <c r="O346" s="93">
        <f>N(O345)+IF(AND(B346&lt;&gt;"",B346&gt;='Uang Riba'!$H$30,B346&lt;='Uang Riba'!$I$30,OR(H346="Dana riba",H346="Pinjam uang riba",I346="Pinjam dari uang riba",I346="Ganti uang riba",I346="Kelebihan ganti dikembalikan",AND(C346="Kantong Uang Riba",G346="Pengeluaran"))),1,0)</f>
        <v/>
      </c>
      <c r="X346" s="93">
        <f>IF(AND(B346&lt;&gt;"",B346&gt;='Buku Akun'!$H$4,B346&lt;='Buku Akun'!$H$5,OR(C346='Buku Akun'!$C$4,AND(D346="Pindah",E346='Buku Akun'!$C$4))),B346+IF(AND(I346="Selisih bunga",DAY(B346)=1),0,0.01)+ROW()/10000000,"")</f>
        <v/>
      </c>
    </row>
    <row r="347" outlineLevel="1" ht="15" customHeight="1" s="94">
      <c r="A347" s="123">
        <f>IF(B347="","",ROW()-15)</f>
        <v/>
      </c>
      <c r="B347" s="124" t="n"/>
      <c r="C347" s="123" t="n"/>
      <c r="D347" s="123" t="n"/>
      <c r="E347" s="123" t="n"/>
      <c r="F347" s="125" t="n"/>
      <c r="G347" s="123" t="n"/>
      <c r="H347" s="123" t="n"/>
      <c r="I347" s="123" t="n"/>
      <c r="J347" s="123" t="n"/>
      <c r="K347" s="123" t="n"/>
      <c r="L347" s="123" t="n"/>
      <c r="M347" s="123">
        <f>IF(AND(B347&lt;&gt;"",OR($C$4="",ISNUMBER(SEARCH($C$4,C347&amp;" "&amp;E347&amp;" "&amp;G347&amp;" "&amp;H347&amp;" "&amp;I347&amp;" "&amp;J347&amp;" "&amp;K347&amp;" "&amp;L347))),OR($C$5="Semua",$C$5="",G347=$C$5),OR($C$6="Semua",$C$6="",H347=$C$6,H347="Pengeluaran "&amp;$C$6,AND($C$6="Uang Kos Mama",H347="Pengeluaran Uang Kos")),OR($C$7="Semua",$C$7="",I347=$C$7),OR($C$8="Semua",$C$8="",C347=$C$8,E347=$C$8),OR($C$9="Semua",$C$9="",D347=$C$9),OR($C$10="",B347&gt;=$C$10),OR($C$11="",B347&lt;=$C$11),OR($C$12&lt;&gt;"Ya",K347&lt;&gt;""),OR($C$13="Semua",$C$13="",L347=$C$13)),"✓","")</f>
        <v/>
      </c>
      <c r="N347" s="93">
        <f>N(N346)+IF(M347="✓",1,0)</f>
        <v/>
      </c>
      <c r="O347" s="93">
        <f>N(O346)+IF(AND(B347&lt;&gt;"",B347&gt;='Uang Riba'!$H$30,B347&lt;='Uang Riba'!$I$30,OR(H347="Dana riba",H347="Pinjam uang riba",I347="Pinjam dari uang riba",I347="Ganti uang riba",I347="Kelebihan ganti dikembalikan",AND(C347="Kantong Uang Riba",G347="Pengeluaran"))),1,0)</f>
        <v/>
      </c>
      <c r="X347" s="93">
        <f>IF(AND(B347&lt;&gt;"",B347&gt;='Buku Akun'!$H$4,B347&lt;='Buku Akun'!$H$5,OR(C347='Buku Akun'!$C$4,AND(D347="Pindah",E347='Buku Akun'!$C$4))),B347+IF(AND(I347="Selisih bunga",DAY(B347)=1),0,0.01)+ROW()/10000000,"")</f>
        <v/>
      </c>
    </row>
    <row r="348" outlineLevel="1" ht="15" customHeight="1" s="94">
      <c r="A348" s="123">
        <f>IF(B348="","",ROW()-15)</f>
        <v/>
      </c>
      <c r="B348" s="124" t="n"/>
      <c r="C348" s="123" t="n"/>
      <c r="D348" s="123" t="n"/>
      <c r="E348" s="123" t="n"/>
      <c r="F348" s="125" t="n"/>
      <c r="G348" s="123" t="n"/>
      <c r="H348" s="123" t="n"/>
      <c r="I348" s="123" t="n"/>
      <c r="J348" s="123" t="n"/>
      <c r="K348" s="123" t="n"/>
      <c r="L348" s="123" t="n"/>
      <c r="M348" s="123">
        <f>IF(AND(B348&lt;&gt;"",OR($C$4="",ISNUMBER(SEARCH($C$4,C348&amp;" "&amp;E348&amp;" "&amp;G348&amp;" "&amp;H348&amp;" "&amp;I348&amp;" "&amp;J348&amp;" "&amp;K348&amp;" "&amp;L348))),OR($C$5="Semua",$C$5="",G348=$C$5),OR($C$6="Semua",$C$6="",H348=$C$6,H348="Pengeluaran "&amp;$C$6,AND($C$6="Uang Kos Mama",H348="Pengeluaran Uang Kos")),OR($C$7="Semua",$C$7="",I348=$C$7),OR($C$8="Semua",$C$8="",C348=$C$8,E348=$C$8),OR($C$9="Semua",$C$9="",D348=$C$9),OR($C$10="",B348&gt;=$C$10),OR($C$11="",B348&lt;=$C$11),OR($C$12&lt;&gt;"Ya",K348&lt;&gt;""),OR($C$13="Semua",$C$13="",L348=$C$13)),"✓","")</f>
        <v/>
      </c>
      <c r="N348" s="93">
        <f>N(N347)+IF(M348="✓",1,0)</f>
        <v/>
      </c>
      <c r="O348" s="93">
        <f>N(O347)+IF(AND(B348&lt;&gt;"",B348&gt;='Uang Riba'!$H$30,B348&lt;='Uang Riba'!$I$30,OR(H348="Dana riba",H348="Pinjam uang riba",I348="Pinjam dari uang riba",I348="Ganti uang riba",I348="Kelebihan ganti dikembalikan",AND(C348="Kantong Uang Riba",G348="Pengeluaran"))),1,0)</f>
        <v/>
      </c>
      <c r="X348" s="93">
        <f>IF(AND(B348&lt;&gt;"",B348&gt;='Buku Akun'!$H$4,B348&lt;='Buku Akun'!$H$5,OR(C348='Buku Akun'!$C$4,AND(D348="Pindah",E348='Buku Akun'!$C$4))),B348+IF(AND(I348="Selisih bunga",DAY(B348)=1),0,0.01)+ROW()/10000000,"")</f>
        <v/>
      </c>
    </row>
    <row r="349" outlineLevel="1" ht="15" customHeight="1" s="94">
      <c r="A349" s="123">
        <f>IF(B349="","",ROW()-15)</f>
        <v/>
      </c>
      <c r="B349" s="124" t="n"/>
      <c r="C349" s="123" t="n"/>
      <c r="D349" s="123" t="n"/>
      <c r="E349" s="123" t="n"/>
      <c r="F349" s="125" t="n"/>
      <c r="G349" s="123" t="n"/>
      <c r="H349" s="123" t="n"/>
      <c r="I349" s="123" t="n"/>
      <c r="J349" s="123" t="n"/>
      <c r="K349" s="123" t="n"/>
      <c r="L349" s="123" t="n"/>
      <c r="M349" s="123">
        <f>IF(AND(B349&lt;&gt;"",OR($C$4="",ISNUMBER(SEARCH($C$4,C349&amp;" "&amp;E349&amp;" "&amp;G349&amp;" "&amp;H349&amp;" "&amp;I349&amp;" "&amp;J349&amp;" "&amp;K349&amp;" "&amp;L349))),OR($C$5="Semua",$C$5="",G349=$C$5),OR($C$6="Semua",$C$6="",H349=$C$6,H349="Pengeluaran "&amp;$C$6,AND($C$6="Uang Kos Mama",H349="Pengeluaran Uang Kos")),OR($C$7="Semua",$C$7="",I349=$C$7),OR($C$8="Semua",$C$8="",C349=$C$8,E349=$C$8),OR($C$9="Semua",$C$9="",D349=$C$9),OR($C$10="",B349&gt;=$C$10),OR($C$11="",B349&lt;=$C$11),OR($C$12&lt;&gt;"Ya",K349&lt;&gt;""),OR($C$13="Semua",$C$13="",L349=$C$13)),"✓","")</f>
        <v/>
      </c>
      <c r="N349" s="93">
        <f>N(N348)+IF(M349="✓",1,0)</f>
        <v/>
      </c>
      <c r="O349" s="93">
        <f>N(O348)+IF(AND(B349&lt;&gt;"",B349&gt;='Uang Riba'!$H$30,B349&lt;='Uang Riba'!$I$30,OR(H349="Dana riba",H349="Pinjam uang riba",I349="Pinjam dari uang riba",I349="Ganti uang riba",I349="Kelebihan ganti dikembalikan",AND(C349="Kantong Uang Riba",G349="Pengeluaran"))),1,0)</f>
        <v/>
      </c>
      <c r="X349" s="93">
        <f>IF(AND(B349&lt;&gt;"",B349&gt;='Buku Akun'!$H$4,B349&lt;='Buku Akun'!$H$5,OR(C349='Buku Akun'!$C$4,AND(D349="Pindah",E349='Buku Akun'!$C$4))),B349+IF(AND(I349="Selisih bunga",DAY(B349)=1),0,0.01)+ROW()/10000000,"")</f>
        <v/>
      </c>
    </row>
    <row r="350" outlineLevel="1" ht="15" customHeight="1" s="94">
      <c r="A350" s="123">
        <f>IF(B350="","",ROW()-15)</f>
        <v/>
      </c>
      <c r="B350" s="124" t="n"/>
      <c r="C350" s="123" t="n"/>
      <c r="D350" s="123" t="n"/>
      <c r="E350" s="123" t="n"/>
      <c r="F350" s="125" t="n"/>
      <c r="G350" s="123" t="n"/>
      <c r="H350" s="123" t="n"/>
      <c r="I350" s="123" t="n"/>
      <c r="J350" s="123" t="n"/>
      <c r="K350" s="123" t="n"/>
      <c r="L350" s="123" t="n"/>
      <c r="M350" s="123">
        <f>IF(AND(B350&lt;&gt;"",OR($C$4="",ISNUMBER(SEARCH($C$4,C350&amp;" "&amp;E350&amp;" "&amp;G350&amp;" "&amp;H350&amp;" "&amp;I350&amp;" "&amp;J350&amp;" "&amp;K350&amp;" "&amp;L350))),OR($C$5="Semua",$C$5="",G350=$C$5),OR($C$6="Semua",$C$6="",H350=$C$6,H350="Pengeluaran "&amp;$C$6,AND($C$6="Uang Kos Mama",H350="Pengeluaran Uang Kos")),OR($C$7="Semua",$C$7="",I350=$C$7),OR($C$8="Semua",$C$8="",C350=$C$8,E350=$C$8),OR($C$9="Semua",$C$9="",D350=$C$9),OR($C$10="",B350&gt;=$C$10),OR($C$11="",B350&lt;=$C$11),OR($C$12&lt;&gt;"Ya",K350&lt;&gt;""),OR($C$13="Semua",$C$13="",L350=$C$13)),"✓","")</f>
        <v/>
      </c>
      <c r="N350" s="93">
        <f>N(N349)+IF(M350="✓",1,0)</f>
        <v/>
      </c>
      <c r="O350" s="93">
        <f>N(O349)+IF(AND(B350&lt;&gt;"",B350&gt;='Uang Riba'!$H$30,B350&lt;='Uang Riba'!$I$30,OR(H350="Dana riba",H350="Pinjam uang riba",I350="Pinjam dari uang riba",I350="Ganti uang riba",I350="Kelebihan ganti dikembalikan",AND(C350="Kantong Uang Riba",G350="Pengeluaran"))),1,0)</f>
        <v/>
      </c>
      <c r="X350" s="93">
        <f>IF(AND(B350&lt;&gt;"",B350&gt;='Buku Akun'!$H$4,B350&lt;='Buku Akun'!$H$5,OR(C350='Buku Akun'!$C$4,AND(D350="Pindah",E350='Buku Akun'!$C$4))),B350+IF(AND(I350="Selisih bunga",DAY(B350)=1),0,0.01)+ROW()/10000000,"")</f>
        <v/>
      </c>
    </row>
    <row r="351" outlineLevel="1" ht="15" customHeight="1" s="94">
      <c r="A351" s="123">
        <f>IF(B351="","",ROW()-15)</f>
        <v/>
      </c>
      <c r="B351" s="124" t="n"/>
      <c r="C351" s="123" t="n"/>
      <c r="D351" s="123" t="n"/>
      <c r="E351" s="123" t="n"/>
      <c r="F351" s="125" t="n"/>
      <c r="G351" s="123" t="n"/>
      <c r="H351" s="123" t="n"/>
      <c r="I351" s="123" t="n"/>
      <c r="J351" s="123" t="n"/>
      <c r="K351" s="123" t="n"/>
      <c r="L351" s="123" t="n"/>
      <c r="M351" s="123">
        <f>IF(AND(B351&lt;&gt;"",OR($C$4="",ISNUMBER(SEARCH($C$4,C351&amp;" "&amp;E351&amp;" "&amp;G351&amp;" "&amp;H351&amp;" "&amp;I351&amp;" "&amp;J351&amp;" "&amp;K351&amp;" "&amp;L351))),OR($C$5="Semua",$C$5="",G351=$C$5),OR($C$6="Semua",$C$6="",H351=$C$6,H351="Pengeluaran "&amp;$C$6,AND($C$6="Uang Kos Mama",H351="Pengeluaran Uang Kos")),OR($C$7="Semua",$C$7="",I351=$C$7),OR($C$8="Semua",$C$8="",C351=$C$8,E351=$C$8),OR($C$9="Semua",$C$9="",D351=$C$9),OR($C$10="",B351&gt;=$C$10),OR($C$11="",B351&lt;=$C$11),OR($C$12&lt;&gt;"Ya",K351&lt;&gt;""),OR($C$13="Semua",$C$13="",L351=$C$13)),"✓","")</f>
        <v/>
      </c>
      <c r="N351" s="93">
        <f>N(N350)+IF(M351="✓",1,0)</f>
        <v/>
      </c>
      <c r="O351" s="93">
        <f>N(O350)+IF(AND(B351&lt;&gt;"",B351&gt;='Uang Riba'!$H$30,B351&lt;='Uang Riba'!$I$30,OR(H351="Dana riba",H351="Pinjam uang riba",I351="Pinjam dari uang riba",I351="Ganti uang riba",I351="Kelebihan ganti dikembalikan",AND(C351="Kantong Uang Riba",G351="Pengeluaran"))),1,0)</f>
        <v/>
      </c>
      <c r="X351" s="93">
        <f>IF(AND(B351&lt;&gt;"",B351&gt;='Buku Akun'!$H$4,B351&lt;='Buku Akun'!$H$5,OR(C351='Buku Akun'!$C$4,AND(D351="Pindah",E351='Buku Akun'!$C$4))),B351+IF(AND(I351="Selisih bunga",DAY(B351)=1),0,0.01)+ROW()/10000000,"")</f>
        <v/>
      </c>
    </row>
    <row r="352" outlineLevel="1" ht="15" customHeight="1" s="94">
      <c r="A352" s="123">
        <f>IF(B352="","",ROW()-15)</f>
        <v/>
      </c>
      <c r="B352" s="124" t="n"/>
      <c r="C352" s="123" t="n"/>
      <c r="D352" s="123" t="n"/>
      <c r="E352" s="123" t="n"/>
      <c r="F352" s="125" t="n"/>
      <c r="G352" s="123" t="n"/>
      <c r="H352" s="123" t="n"/>
      <c r="I352" s="123" t="n"/>
      <c r="J352" s="123" t="n"/>
      <c r="K352" s="123" t="n"/>
      <c r="L352" s="123" t="n"/>
      <c r="M352" s="123">
        <f>IF(AND(B352&lt;&gt;"",OR($C$4="",ISNUMBER(SEARCH($C$4,C352&amp;" "&amp;E352&amp;" "&amp;G352&amp;" "&amp;H352&amp;" "&amp;I352&amp;" "&amp;J352&amp;" "&amp;K352&amp;" "&amp;L352))),OR($C$5="Semua",$C$5="",G352=$C$5),OR($C$6="Semua",$C$6="",H352=$C$6,H352="Pengeluaran "&amp;$C$6,AND($C$6="Uang Kos Mama",H352="Pengeluaran Uang Kos")),OR($C$7="Semua",$C$7="",I352=$C$7),OR($C$8="Semua",$C$8="",C352=$C$8,E352=$C$8),OR($C$9="Semua",$C$9="",D352=$C$9),OR($C$10="",B352&gt;=$C$10),OR($C$11="",B352&lt;=$C$11),OR($C$12&lt;&gt;"Ya",K352&lt;&gt;""),OR($C$13="Semua",$C$13="",L352=$C$13)),"✓","")</f>
        <v/>
      </c>
      <c r="N352" s="93">
        <f>N(N351)+IF(M352="✓",1,0)</f>
        <v/>
      </c>
      <c r="O352" s="93">
        <f>N(O351)+IF(AND(B352&lt;&gt;"",B352&gt;='Uang Riba'!$H$30,B352&lt;='Uang Riba'!$I$30,OR(H352="Dana riba",H352="Pinjam uang riba",I352="Pinjam dari uang riba",I352="Ganti uang riba",I352="Kelebihan ganti dikembalikan",AND(C352="Kantong Uang Riba",G352="Pengeluaran"))),1,0)</f>
        <v/>
      </c>
      <c r="X352" s="93">
        <f>IF(AND(B352&lt;&gt;"",B352&gt;='Buku Akun'!$H$4,B352&lt;='Buku Akun'!$H$5,OR(C352='Buku Akun'!$C$4,AND(D352="Pindah",E352='Buku Akun'!$C$4))),B352+IF(AND(I352="Selisih bunga",DAY(B352)=1),0,0.01)+ROW()/10000000,"")</f>
        <v/>
      </c>
    </row>
    <row r="353" outlineLevel="1" ht="15" customHeight="1" s="94">
      <c r="A353" s="123">
        <f>IF(B353="","",ROW()-15)</f>
        <v/>
      </c>
      <c r="B353" s="124" t="n"/>
      <c r="C353" s="123" t="n"/>
      <c r="D353" s="123" t="n"/>
      <c r="E353" s="123" t="n"/>
      <c r="F353" s="125" t="n"/>
      <c r="G353" s="123" t="n"/>
      <c r="H353" s="123" t="n"/>
      <c r="I353" s="123" t="n"/>
      <c r="J353" s="123" t="n"/>
      <c r="K353" s="123" t="n"/>
      <c r="L353" s="123" t="n"/>
      <c r="M353" s="123">
        <f>IF(AND(B353&lt;&gt;"",OR($C$4="",ISNUMBER(SEARCH($C$4,C353&amp;" "&amp;E353&amp;" "&amp;G353&amp;" "&amp;H353&amp;" "&amp;I353&amp;" "&amp;J353&amp;" "&amp;K353&amp;" "&amp;L353))),OR($C$5="Semua",$C$5="",G353=$C$5),OR($C$6="Semua",$C$6="",H353=$C$6,H353="Pengeluaran "&amp;$C$6,AND($C$6="Uang Kos Mama",H353="Pengeluaran Uang Kos")),OR($C$7="Semua",$C$7="",I353=$C$7),OR($C$8="Semua",$C$8="",C353=$C$8,E353=$C$8),OR($C$9="Semua",$C$9="",D353=$C$9),OR($C$10="",B353&gt;=$C$10),OR($C$11="",B353&lt;=$C$11),OR($C$12&lt;&gt;"Ya",K353&lt;&gt;""),OR($C$13="Semua",$C$13="",L353=$C$13)),"✓","")</f>
        <v/>
      </c>
      <c r="N353" s="93">
        <f>N(N352)+IF(M353="✓",1,0)</f>
        <v/>
      </c>
      <c r="O353" s="93">
        <f>N(O352)+IF(AND(B353&lt;&gt;"",B353&gt;='Uang Riba'!$H$30,B353&lt;='Uang Riba'!$I$30,OR(H353="Dana riba",H353="Pinjam uang riba",I353="Pinjam dari uang riba",I353="Ganti uang riba",I353="Kelebihan ganti dikembalikan",AND(C353="Kantong Uang Riba",G353="Pengeluaran"))),1,0)</f>
        <v/>
      </c>
      <c r="X353" s="93">
        <f>IF(AND(B353&lt;&gt;"",B353&gt;='Buku Akun'!$H$4,B353&lt;='Buku Akun'!$H$5,OR(C353='Buku Akun'!$C$4,AND(D353="Pindah",E353='Buku Akun'!$C$4))),B353+IF(AND(I353="Selisih bunga",DAY(B353)=1),0,0.01)+ROW()/10000000,"")</f>
        <v/>
      </c>
    </row>
    <row r="354" outlineLevel="1" ht="15" customHeight="1" s="94">
      <c r="A354" s="123">
        <f>IF(B354="","",ROW()-15)</f>
        <v/>
      </c>
      <c r="B354" s="124" t="n"/>
      <c r="C354" s="123" t="n"/>
      <c r="D354" s="123" t="n"/>
      <c r="E354" s="123" t="n"/>
      <c r="F354" s="125" t="n"/>
      <c r="G354" s="123" t="n"/>
      <c r="H354" s="123" t="n"/>
      <c r="I354" s="123" t="n"/>
      <c r="J354" s="123" t="n"/>
      <c r="K354" s="123" t="n"/>
      <c r="L354" s="123" t="n"/>
      <c r="M354" s="123">
        <f>IF(AND(B354&lt;&gt;"",OR($C$4="",ISNUMBER(SEARCH($C$4,C354&amp;" "&amp;E354&amp;" "&amp;G354&amp;" "&amp;H354&amp;" "&amp;I354&amp;" "&amp;J354&amp;" "&amp;K354&amp;" "&amp;L354))),OR($C$5="Semua",$C$5="",G354=$C$5),OR($C$6="Semua",$C$6="",H354=$C$6,H354="Pengeluaran "&amp;$C$6,AND($C$6="Uang Kos Mama",H354="Pengeluaran Uang Kos")),OR($C$7="Semua",$C$7="",I354=$C$7),OR($C$8="Semua",$C$8="",C354=$C$8,E354=$C$8),OR($C$9="Semua",$C$9="",D354=$C$9),OR($C$10="",B354&gt;=$C$10),OR($C$11="",B354&lt;=$C$11),OR($C$12&lt;&gt;"Ya",K354&lt;&gt;""),OR($C$13="Semua",$C$13="",L354=$C$13)),"✓","")</f>
        <v/>
      </c>
      <c r="N354" s="93">
        <f>N(N353)+IF(M354="✓",1,0)</f>
        <v/>
      </c>
      <c r="O354" s="93">
        <f>N(O353)+IF(AND(B354&lt;&gt;"",B354&gt;='Uang Riba'!$H$30,B354&lt;='Uang Riba'!$I$30,OR(H354="Dana riba",H354="Pinjam uang riba",I354="Pinjam dari uang riba",I354="Ganti uang riba",I354="Kelebihan ganti dikembalikan",AND(C354="Kantong Uang Riba",G354="Pengeluaran"))),1,0)</f>
        <v/>
      </c>
      <c r="X354" s="93">
        <f>IF(AND(B354&lt;&gt;"",B354&gt;='Buku Akun'!$H$4,B354&lt;='Buku Akun'!$H$5,OR(C354='Buku Akun'!$C$4,AND(D354="Pindah",E354='Buku Akun'!$C$4))),B354+IF(AND(I354="Selisih bunga",DAY(B354)=1),0,0.01)+ROW()/10000000,"")</f>
        <v/>
      </c>
    </row>
    <row r="355" outlineLevel="1" ht="15" customHeight="1" s="94">
      <c r="A355" s="123">
        <f>IF(B355="","",ROW()-15)</f>
        <v/>
      </c>
      <c r="B355" s="124" t="n"/>
      <c r="C355" s="123" t="n"/>
      <c r="D355" s="123" t="n"/>
      <c r="E355" s="123" t="n"/>
      <c r="F355" s="125" t="n"/>
      <c r="G355" s="123" t="n"/>
      <c r="H355" s="123" t="n"/>
      <c r="I355" s="123" t="n"/>
      <c r="J355" s="123" t="n"/>
      <c r="K355" s="123" t="n"/>
      <c r="L355" s="123" t="n"/>
      <c r="M355" s="123">
        <f>IF(AND(B355&lt;&gt;"",OR($C$4="",ISNUMBER(SEARCH($C$4,C355&amp;" "&amp;E355&amp;" "&amp;G355&amp;" "&amp;H355&amp;" "&amp;I355&amp;" "&amp;J355&amp;" "&amp;K355&amp;" "&amp;L355))),OR($C$5="Semua",$C$5="",G355=$C$5),OR($C$6="Semua",$C$6="",H355=$C$6,H355="Pengeluaran "&amp;$C$6,AND($C$6="Uang Kos Mama",H355="Pengeluaran Uang Kos")),OR($C$7="Semua",$C$7="",I355=$C$7),OR($C$8="Semua",$C$8="",C355=$C$8,E355=$C$8),OR($C$9="Semua",$C$9="",D355=$C$9),OR($C$10="",B355&gt;=$C$10),OR($C$11="",B355&lt;=$C$11),OR($C$12&lt;&gt;"Ya",K355&lt;&gt;""),OR($C$13="Semua",$C$13="",L355=$C$13)),"✓","")</f>
        <v/>
      </c>
      <c r="N355" s="93">
        <f>N(N354)+IF(M355="✓",1,0)</f>
        <v/>
      </c>
      <c r="O355" s="93">
        <f>N(O354)+IF(AND(B355&lt;&gt;"",B355&gt;='Uang Riba'!$H$30,B355&lt;='Uang Riba'!$I$30,OR(H355="Dana riba",H355="Pinjam uang riba",I355="Pinjam dari uang riba",I355="Ganti uang riba",I355="Kelebihan ganti dikembalikan",AND(C355="Kantong Uang Riba",G355="Pengeluaran"))),1,0)</f>
        <v/>
      </c>
      <c r="X355" s="93">
        <f>IF(AND(B355&lt;&gt;"",B355&gt;='Buku Akun'!$H$4,B355&lt;='Buku Akun'!$H$5,OR(C355='Buku Akun'!$C$4,AND(D355="Pindah",E355='Buku Akun'!$C$4))),B355+IF(AND(I355="Selisih bunga",DAY(B355)=1),0,0.01)+ROW()/10000000,"")</f>
        <v/>
      </c>
    </row>
    <row r="356" outlineLevel="1" ht="15" customHeight="1" s="94">
      <c r="A356" s="123">
        <f>IF(B356="","",ROW()-15)</f>
        <v/>
      </c>
      <c r="B356" s="124" t="n"/>
      <c r="C356" s="123" t="n"/>
      <c r="D356" s="123" t="n"/>
      <c r="E356" s="123" t="n"/>
      <c r="F356" s="125" t="n"/>
      <c r="G356" s="123" t="n"/>
      <c r="H356" s="123" t="n"/>
      <c r="I356" s="123" t="n"/>
      <c r="J356" s="123" t="n"/>
      <c r="K356" s="123" t="n"/>
      <c r="L356" s="123" t="n"/>
      <c r="M356" s="123">
        <f>IF(AND(B356&lt;&gt;"",OR($C$4="",ISNUMBER(SEARCH($C$4,C356&amp;" "&amp;E356&amp;" "&amp;G356&amp;" "&amp;H356&amp;" "&amp;I356&amp;" "&amp;J356&amp;" "&amp;K356&amp;" "&amp;L356))),OR($C$5="Semua",$C$5="",G356=$C$5),OR($C$6="Semua",$C$6="",H356=$C$6,H356="Pengeluaran "&amp;$C$6,AND($C$6="Uang Kos Mama",H356="Pengeluaran Uang Kos")),OR($C$7="Semua",$C$7="",I356=$C$7),OR($C$8="Semua",$C$8="",C356=$C$8,E356=$C$8),OR($C$9="Semua",$C$9="",D356=$C$9),OR($C$10="",B356&gt;=$C$10),OR($C$11="",B356&lt;=$C$11),OR($C$12&lt;&gt;"Ya",K356&lt;&gt;""),OR($C$13="Semua",$C$13="",L356=$C$13)),"✓","")</f>
        <v/>
      </c>
      <c r="N356" s="93">
        <f>N(N355)+IF(M356="✓",1,0)</f>
        <v/>
      </c>
      <c r="O356" s="93">
        <f>N(O355)+IF(AND(B356&lt;&gt;"",B356&gt;='Uang Riba'!$H$30,B356&lt;='Uang Riba'!$I$30,OR(H356="Dana riba",H356="Pinjam uang riba",I356="Pinjam dari uang riba",I356="Ganti uang riba",I356="Kelebihan ganti dikembalikan",AND(C356="Kantong Uang Riba",G356="Pengeluaran"))),1,0)</f>
        <v/>
      </c>
      <c r="X356" s="93">
        <f>IF(AND(B356&lt;&gt;"",B356&gt;='Buku Akun'!$H$4,B356&lt;='Buku Akun'!$H$5,OR(C356='Buku Akun'!$C$4,AND(D356="Pindah",E356='Buku Akun'!$C$4))),B356+IF(AND(I356="Selisih bunga",DAY(B356)=1),0,0.01)+ROW()/10000000,"")</f>
        <v/>
      </c>
    </row>
    <row r="357" outlineLevel="1" ht="15" customHeight="1" s="94">
      <c r="A357" s="123">
        <f>IF(B357="","",ROW()-15)</f>
        <v/>
      </c>
      <c r="B357" s="124" t="n"/>
      <c r="C357" s="123" t="n"/>
      <c r="D357" s="123" t="n"/>
      <c r="E357" s="123" t="n"/>
      <c r="F357" s="125" t="n"/>
      <c r="G357" s="123" t="n"/>
      <c r="H357" s="123" t="n"/>
      <c r="I357" s="123" t="n"/>
      <c r="J357" s="123" t="n"/>
      <c r="K357" s="123" t="n"/>
      <c r="L357" s="123" t="n"/>
      <c r="M357" s="123">
        <f>IF(AND(B357&lt;&gt;"",OR($C$4="",ISNUMBER(SEARCH($C$4,C357&amp;" "&amp;E357&amp;" "&amp;G357&amp;" "&amp;H357&amp;" "&amp;I357&amp;" "&amp;J357&amp;" "&amp;K357&amp;" "&amp;L357))),OR($C$5="Semua",$C$5="",G357=$C$5),OR($C$6="Semua",$C$6="",H357=$C$6,H357="Pengeluaran "&amp;$C$6,AND($C$6="Uang Kos Mama",H357="Pengeluaran Uang Kos")),OR($C$7="Semua",$C$7="",I357=$C$7),OR($C$8="Semua",$C$8="",C357=$C$8,E357=$C$8),OR($C$9="Semua",$C$9="",D357=$C$9),OR($C$10="",B357&gt;=$C$10),OR($C$11="",B357&lt;=$C$11),OR($C$12&lt;&gt;"Ya",K357&lt;&gt;""),OR($C$13="Semua",$C$13="",L357=$C$13)),"✓","")</f>
        <v/>
      </c>
      <c r="N357" s="93">
        <f>N(N356)+IF(M357="✓",1,0)</f>
        <v/>
      </c>
      <c r="O357" s="93">
        <f>N(O356)+IF(AND(B357&lt;&gt;"",B357&gt;='Uang Riba'!$H$30,B357&lt;='Uang Riba'!$I$30,OR(H357="Dana riba",H357="Pinjam uang riba",I357="Pinjam dari uang riba",I357="Ganti uang riba",I357="Kelebihan ganti dikembalikan",AND(C357="Kantong Uang Riba",G357="Pengeluaran"))),1,0)</f>
        <v/>
      </c>
      <c r="X357" s="93">
        <f>IF(AND(B357&lt;&gt;"",B357&gt;='Buku Akun'!$H$4,B357&lt;='Buku Akun'!$H$5,OR(C357='Buku Akun'!$C$4,AND(D357="Pindah",E357='Buku Akun'!$C$4))),B357+IF(AND(I357="Selisih bunga",DAY(B357)=1),0,0.01)+ROW()/10000000,"")</f>
        <v/>
      </c>
    </row>
    <row r="358" outlineLevel="1" ht="15" customHeight="1" s="94">
      <c r="A358" s="123">
        <f>IF(B358="","",ROW()-15)</f>
        <v/>
      </c>
      <c r="B358" s="124" t="n"/>
      <c r="C358" s="123" t="n"/>
      <c r="D358" s="123" t="n"/>
      <c r="E358" s="123" t="n"/>
      <c r="F358" s="125" t="n"/>
      <c r="G358" s="123" t="n"/>
      <c r="H358" s="123" t="n"/>
      <c r="I358" s="123" t="n"/>
      <c r="J358" s="123" t="n"/>
      <c r="K358" s="123" t="n"/>
      <c r="L358" s="123" t="n"/>
      <c r="M358" s="123">
        <f>IF(AND(B358&lt;&gt;"",OR($C$4="",ISNUMBER(SEARCH($C$4,C358&amp;" "&amp;E358&amp;" "&amp;G358&amp;" "&amp;H358&amp;" "&amp;I358&amp;" "&amp;J358&amp;" "&amp;K358&amp;" "&amp;L358))),OR($C$5="Semua",$C$5="",G358=$C$5),OR($C$6="Semua",$C$6="",H358=$C$6,H358="Pengeluaran "&amp;$C$6,AND($C$6="Uang Kos Mama",H358="Pengeluaran Uang Kos")),OR($C$7="Semua",$C$7="",I358=$C$7),OR($C$8="Semua",$C$8="",C358=$C$8,E358=$C$8),OR($C$9="Semua",$C$9="",D358=$C$9),OR($C$10="",B358&gt;=$C$10),OR($C$11="",B358&lt;=$C$11),OR($C$12&lt;&gt;"Ya",K358&lt;&gt;""),OR($C$13="Semua",$C$13="",L358=$C$13)),"✓","")</f>
        <v/>
      </c>
      <c r="N358" s="93">
        <f>N(N357)+IF(M358="✓",1,0)</f>
        <v/>
      </c>
      <c r="O358" s="93">
        <f>N(O357)+IF(AND(B358&lt;&gt;"",B358&gt;='Uang Riba'!$H$30,B358&lt;='Uang Riba'!$I$30,OR(H358="Dana riba",H358="Pinjam uang riba",I358="Pinjam dari uang riba",I358="Ganti uang riba",I358="Kelebihan ganti dikembalikan",AND(C358="Kantong Uang Riba",G358="Pengeluaran"))),1,0)</f>
        <v/>
      </c>
      <c r="X358" s="93">
        <f>IF(AND(B358&lt;&gt;"",B358&gt;='Buku Akun'!$H$4,B358&lt;='Buku Akun'!$H$5,OR(C358='Buku Akun'!$C$4,AND(D358="Pindah",E358='Buku Akun'!$C$4))),B358+IF(AND(I358="Selisih bunga",DAY(B358)=1),0,0.01)+ROW()/10000000,"")</f>
        <v/>
      </c>
    </row>
    <row r="359" outlineLevel="1" ht="15" customHeight="1" s="94">
      <c r="A359" s="123">
        <f>IF(B359="","",ROW()-15)</f>
        <v/>
      </c>
      <c r="B359" s="124" t="n"/>
      <c r="C359" s="123" t="n"/>
      <c r="D359" s="123" t="n"/>
      <c r="E359" s="123" t="n"/>
      <c r="F359" s="125" t="n"/>
      <c r="G359" s="123" t="n"/>
      <c r="H359" s="123" t="n"/>
      <c r="I359" s="123" t="n"/>
      <c r="J359" s="123" t="n"/>
      <c r="K359" s="123" t="n"/>
      <c r="L359" s="123" t="n"/>
      <c r="M359" s="123">
        <f>IF(AND(B359&lt;&gt;"",OR($C$4="",ISNUMBER(SEARCH($C$4,C359&amp;" "&amp;E359&amp;" "&amp;G359&amp;" "&amp;H359&amp;" "&amp;I359&amp;" "&amp;J359&amp;" "&amp;K359&amp;" "&amp;L359))),OR($C$5="Semua",$C$5="",G359=$C$5),OR($C$6="Semua",$C$6="",H359=$C$6,H359="Pengeluaran "&amp;$C$6,AND($C$6="Uang Kos Mama",H359="Pengeluaran Uang Kos")),OR($C$7="Semua",$C$7="",I359=$C$7),OR($C$8="Semua",$C$8="",C359=$C$8,E359=$C$8),OR($C$9="Semua",$C$9="",D359=$C$9),OR($C$10="",B359&gt;=$C$10),OR($C$11="",B359&lt;=$C$11),OR($C$12&lt;&gt;"Ya",K359&lt;&gt;""),OR($C$13="Semua",$C$13="",L359=$C$13)),"✓","")</f>
        <v/>
      </c>
      <c r="N359" s="93">
        <f>N(N358)+IF(M359="✓",1,0)</f>
        <v/>
      </c>
      <c r="O359" s="93">
        <f>N(O358)+IF(AND(B359&lt;&gt;"",B359&gt;='Uang Riba'!$H$30,B359&lt;='Uang Riba'!$I$30,OR(H359="Dana riba",H359="Pinjam uang riba",I359="Pinjam dari uang riba",I359="Ganti uang riba",I359="Kelebihan ganti dikembalikan",AND(C359="Kantong Uang Riba",G359="Pengeluaran"))),1,0)</f>
        <v/>
      </c>
      <c r="X359" s="93">
        <f>IF(AND(B359&lt;&gt;"",B359&gt;='Buku Akun'!$H$4,B359&lt;='Buku Akun'!$H$5,OR(C359='Buku Akun'!$C$4,AND(D359="Pindah",E359='Buku Akun'!$C$4))),B359+IF(AND(I359="Selisih bunga",DAY(B359)=1),0,0.01)+ROW()/10000000,"")</f>
        <v/>
      </c>
    </row>
    <row r="360" outlineLevel="1" ht="15" customHeight="1" s="94">
      <c r="A360" s="123">
        <f>IF(B360="","",ROW()-15)</f>
        <v/>
      </c>
      <c r="B360" s="124" t="n"/>
      <c r="C360" s="123" t="n"/>
      <c r="D360" s="123" t="n"/>
      <c r="E360" s="123" t="n"/>
      <c r="F360" s="125" t="n"/>
      <c r="G360" s="123" t="n"/>
      <c r="H360" s="123" t="n"/>
      <c r="I360" s="123" t="n"/>
      <c r="J360" s="123" t="n"/>
      <c r="K360" s="123" t="n"/>
      <c r="L360" s="123" t="n"/>
      <c r="M360" s="123">
        <f>IF(AND(B360&lt;&gt;"",OR($C$4="",ISNUMBER(SEARCH($C$4,C360&amp;" "&amp;E360&amp;" "&amp;G360&amp;" "&amp;H360&amp;" "&amp;I360&amp;" "&amp;J360&amp;" "&amp;K360&amp;" "&amp;L360))),OR($C$5="Semua",$C$5="",G360=$C$5),OR($C$6="Semua",$C$6="",H360=$C$6,H360="Pengeluaran "&amp;$C$6,AND($C$6="Uang Kos Mama",H360="Pengeluaran Uang Kos")),OR($C$7="Semua",$C$7="",I360=$C$7),OR($C$8="Semua",$C$8="",C360=$C$8,E360=$C$8),OR($C$9="Semua",$C$9="",D360=$C$9),OR($C$10="",B360&gt;=$C$10),OR($C$11="",B360&lt;=$C$11),OR($C$12&lt;&gt;"Ya",K360&lt;&gt;""),OR($C$13="Semua",$C$13="",L360=$C$13)),"✓","")</f>
        <v/>
      </c>
      <c r="N360" s="93">
        <f>N(N359)+IF(M360="✓",1,0)</f>
        <v/>
      </c>
      <c r="O360" s="93">
        <f>N(O359)+IF(AND(B360&lt;&gt;"",B360&gt;='Uang Riba'!$H$30,B360&lt;='Uang Riba'!$I$30,OR(H360="Dana riba",H360="Pinjam uang riba",I360="Pinjam dari uang riba",I360="Ganti uang riba",I360="Kelebihan ganti dikembalikan",AND(C360="Kantong Uang Riba",G360="Pengeluaran"))),1,0)</f>
        <v/>
      </c>
      <c r="X360" s="93">
        <f>IF(AND(B360&lt;&gt;"",B360&gt;='Buku Akun'!$H$4,B360&lt;='Buku Akun'!$H$5,OR(C360='Buku Akun'!$C$4,AND(D360="Pindah",E360='Buku Akun'!$C$4))),B360+IF(AND(I360="Selisih bunga",DAY(B360)=1),0,0.01)+ROW()/10000000,"")</f>
        <v/>
      </c>
    </row>
    <row r="361" outlineLevel="1" ht="15" customHeight="1" s="94">
      <c r="A361" s="123">
        <f>IF(B361="","",ROW()-15)</f>
        <v/>
      </c>
      <c r="B361" s="124" t="n"/>
      <c r="C361" s="123" t="n"/>
      <c r="D361" s="123" t="n"/>
      <c r="E361" s="123" t="n"/>
      <c r="F361" s="125" t="n"/>
      <c r="G361" s="123" t="n"/>
      <c r="H361" s="123" t="n"/>
      <c r="I361" s="123" t="n"/>
      <c r="J361" s="123" t="n"/>
      <c r="K361" s="123" t="n"/>
      <c r="L361" s="123" t="n"/>
      <c r="M361" s="123">
        <f>IF(AND(B361&lt;&gt;"",OR($C$4="",ISNUMBER(SEARCH($C$4,C361&amp;" "&amp;E361&amp;" "&amp;G361&amp;" "&amp;H361&amp;" "&amp;I361&amp;" "&amp;J361&amp;" "&amp;K361&amp;" "&amp;L361))),OR($C$5="Semua",$C$5="",G361=$C$5),OR($C$6="Semua",$C$6="",H361=$C$6,H361="Pengeluaran "&amp;$C$6,AND($C$6="Uang Kos Mama",H361="Pengeluaran Uang Kos")),OR($C$7="Semua",$C$7="",I361=$C$7),OR($C$8="Semua",$C$8="",C361=$C$8,E361=$C$8),OR($C$9="Semua",$C$9="",D361=$C$9),OR($C$10="",B361&gt;=$C$10),OR($C$11="",B361&lt;=$C$11),OR($C$12&lt;&gt;"Ya",K361&lt;&gt;""),OR($C$13="Semua",$C$13="",L361=$C$13)),"✓","")</f>
        <v/>
      </c>
      <c r="N361" s="93">
        <f>N(N360)+IF(M361="✓",1,0)</f>
        <v/>
      </c>
      <c r="O361" s="93">
        <f>N(O360)+IF(AND(B361&lt;&gt;"",B361&gt;='Uang Riba'!$H$30,B361&lt;='Uang Riba'!$I$30,OR(H361="Dana riba",H361="Pinjam uang riba",I361="Pinjam dari uang riba",I361="Ganti uang riba",I361="Kelebihan ganti dikembalikan",AND(C361="Kantong Uang Riba",G361="Pengeluaran"))),1,0)</f>
        <v/>
      </c>
      <c r="X361" s="93">
        <f>IF(AND(B361&lt;&gt;"",B361&gt;='Buku Akun'!$H$4,B361&lt;='Buku Akun'!$H$5,OR(C361='Buku Akun'!$C$4,AND(D361="Pindah",E361='Buku Akun'!$C$4))),B361+IF(AND(I361="Selisih bunga",DAY(B361)=1),0,0.01)+ROW()/10000000,"")</f>
        <v/>
      </c>
    </row>
    <row r="362" outlineLevel="1" ht="15" customHeight="1" s="94">
      <c r="A362" s="123">
        <f>IF(B362="","",ROW()-15)</f>
        <v/>
      </c>
      <c r="B362" s="124" t="n"/>
      <c r="C362" s="123" t="n"/>
      <c r="D362" s="123" t="n"/>
      <c r="E362" s="123" t="n"/>
      <c r="F362" s="125" t="n"/>
      <c r="G362" s="123" t="n"/>
      <c r="H362" s="123" t="n"/>
      <c r="I362" s="123" t="n"/>
      <c r="J362" s="123" t="n"/>
      <c r="K362" s="123" t="n"/>
      <c r="L362" s="123" t="n"/>
      <c r="M362" s="123">
        <f>IF(AND(B362&lt;&gt;"",OR($C$4="",ISNUMBER(SEARCH($C$4,C362&amp;" "&amp;E362&amp;" "&amp;G362&amp;" "&amp;H362&amp;" "&amp;I362&amp;" "&amp;J362&amp;" "&amp;K362&amp;" "&amp;L362))),OR($C$5="Semua",$C$5="",G362=$C$5),OR($C$6="Semua",$C$6="",H362=$C$6,H362="Pengeluaran "&amp;$C$6,AND($C$6="Uang Kos Mama",H362="Pengeluaran Uang Kos")),OR($C$7="Semua",$C$7="",I362=$C$7),OR($C$8="Semua",$C$8="",C362=$C$8,E362=$C$8),OR($C$9="Semua",$C$9="",D362=$C$9),OR($C$10="",B362&gt;=$C$10),OR($C$11="",B362&lt;=$C$11),OR($C$12&lt;&gt;"Ya",K362&lt;&gt;""),OR($C$13="Semua",$C$13="",L362=$C$13)),"✓","")</f>
        <v/>
      </c>
      <c r="N362" s="93">
        <f>N(N361)+IF(M362="✓",1,0)</f>
        <v/>
      </c>
      <c r="O362" s="93">
        <f>N(O361)+IF(AND(B362&lt;&gt;"",B362&gt;='Uang Riba'!$H$30,B362&lt;='Uang Riba'!$I$30,OR(H362="Dana riba",H362="Pinjam uang riba",I362="Pinjam dari uang riba",I362="Ganti uang riba",I362="Kelebihan ganti dikembalikan",AND(C362="Kantong Uang Riba",G362="Pengeluaran"))),1,0)</f>
        <v/>
      </c>
      <c r="X362" s="93">
        <f>IF(AND(B362&lt;&gt;"",B362&gt;='Buku Akun'!$H$4,B362&lt;='Buku Akun'!$H$5,OR(C362='Buku Akun'!$C$4,AND(D362="Pindah",E362='Buku Akun'!$C$4))),B362+IF(AND(I362="Selisih bunga",DAY(B362)=1),0,0.01)+ROW()/10000000,"")</f>
        <v/>
      </c>
    </row>
    <row r="363" outlineLevel="1" ht="15" customHeight="1" s="94">
      <c r="A363" s="123">
        <f>IF(B363="","",ROW()-15)</f>
        <v/>
      </c>
      <c r="B363" s="124" t="n"/>
      <c r="C363" s="123" t="n"/>
      <c r="D363" s="123" t="n"/>
      <c r="E363" s="123" t="n"/>
      <c r="F363" s="125" t="n"/>
      <c r="G363" s="123" t="n"/>
      <c r="H363" s="123" t="n"/>
      <c r="I363" s="123" t="n"/>
      <c r="J363" s="123" t="n"/>
      <c r="K363" s="123" t="n"/>
      <c r="L363" s="123" t="n"/>
      <c r="M363" s="123">
        <f>IF(AND(B363&lt;&gt;"",OR($C$4="",ISNUMBER(SEARCH($C$4,C363&amp;" "&amp;E363&amp;" "&amp;G363&amp;" "&amp;H363&amp;" "&amp;I363&amp;" "&amp;J363&amp;" "&amp;K363&amp;" "&amp;L363))),OR($C$5="Semua",$C$5="",G363=$C$5),OR($C$6="Semua",$C$6="",H363=$C$6,H363="Pengeluaran "&amp;$C$6,AND($C$6="Uang Kos Mama",H363="Pengeluaran Uang Kos")),OR($C$7="Semua",$C$7="",I363=$C$7),OR($C$8="Semua",$C$8="",C363=$C$8,E363=$C$8),OR($C$9="Semua",$C$9="",D363=$C$9),OR($C$10="",B363&gt;=$C$10),OR($C$11="",B363&lt;=$C$11),OR($C$12&lt;&gt;"Ya",K363&lt;&gt;""),OR($C$13="Semua",$C$13="",L363=$C$13)),"✓","")</f>
        <v/>
      </c>
      <c r="N363" s="93">
        <f>N(N362)+IF(M363="✓",1,0)</f>
        <v/>
      </c>
      <c r="O363" s="93">
        <f>N(O362)+IF(AND(B363&lt;&gt;"",B363&gt;='Uang Riba'!$H$30,B363&lt;='Uang Riba'!$I$30,OR(H363="Dana riba",H363="Pinjam uang riba",I363="Pinjam dari uang riba",I363="Ganti uang riba",I363="Kelebihan ganti dikembalikan",AND(C363="Kantong Uang Riba",G363="Pengeluaran"))),1,0)</f>
        <v/>
      </c>
      <c r="X363" s="93">
        <f>IF(AND(B363&lt;&gt;"",B363&gt;='Buku Akun'!$H$4,B363&lt;='Buku Akun'!$H$5,OR(C363='Buku Akun'!$C$4,AND(D363="Pindah",E363='Buku Akun'!$C$4))),B363+IF(AND(I363="Selisih bunga",DAY(B363)=1),0,0.01)+ROW()/10000000,"")</f>
        <v/>
      </c>
    </row>
    <row r="364" outlineLevel="1" ht="15" customHeight="1" s="94">
      <c r="A364" s="123">
        <f>IF(B364="","",ROW()-15)</f>
        <v/>
      </c>
      <c r="B364" s="124" t="n"/>
      <c r="C364" s="123" t="n"/>
      <c r="D364" s="123" t="n"/>
      <c r="E364" s="123" t="n"/>
      <c r="F364" s="125" t="n"/>
      <c r="G364" s="123" t="n"/>
      <c r="H364" s="123" t="n"/>
      <c r="I364" s="123" t="n"/>
      <c r="J364" s="123" t="n"/>
      <c r="K364" s="123" t="n"/>
      <c r="L364" s="123" t="n"/>
      <c r="M364" s="123">
        <f>IF(AND(B364&lt;&gt;"",OR($C$4="",ISNUMBER(SEARCH($C$4,C364&amp;" "&amp;E364&amp;" "&amp;G364&amp;" "&amp;H364&amp;" "&amp;I364&amp;" "&amp;J364&amp;" "&amp;K364&amp;" "&amp;L364))),OR($C$5="Semua",$C$5="",G364=$C$5),OR($C$6="Semua",$C$6="",H364=$C$6,H364="Pengeluaran "&amp;$C$6,AND($C$6="Uang Kos Mama",H364="Pengeluaran Uang Kos")),OR($C$7="Semua",$C$7="",I364=$C$7),OR($C$8="Semua",$C$8="",C364=$C$8,E364=$C$8),OR($C$9="Semua",$C$9="",D364=$C$9),OR($C$10="",B364&gt;=$C$10),OR($C$11="",B364&lt;=$C$11),OR($C$12&lt;&gt;"Ya",K364&lt;&gt;""),OR($C$13="Semua",$C$13="",L364=$C$13)),"✓","")</f>
        <v/>
      </c>
      <c r="N364" s="93">
        <f>N(N363)+IF(M364="✓",1,0)</f>
        <v/>
      </c>
      <c r="O364" s="93">
        <f>N(O363)+IF(AND(B364&lt;&gt;"",B364&gt;='Uang Riba'!$H$30,B364&lt;='Uang Riba'!$I$30,OR(H364="Dana riba",H364="Pinjam uang riba",I364="Pinjam dari uang riba",I364="Ganti uang riba",I364="Kelebihan ganti dikembalikan",AND(C364="Kantong Uang Riba",G364="Pengeluaran"))),1,0)</f>
        <v/>
      </c>
      <c r="X364" s="93">
        <f>IF(AND(B364&lt;&gt;"",B364&gt;='Buku Akun'!$H$4,B364&lt;='Buku Akun'!$H$5,OR(C364='Buku Akun'!$C$4,AND(D364="Pindah",E364='Buku Akun'!$C$4))),B364+IF(AND(I364="Selisih bunga",DAY(B364)=1),0,0.01)+ROW()/10000000,"")</f>
        <v/>
      </c>
    </row>
    <row r="365" outlineLevel="1" ht="15" customHeight="1" s="94">
      <c r="A365" s="123">
        <f>IF(B365="","",ROW()-15)</f>
        <v/>
      </c>
      <c r="B365" s="124" t="n"/>
      <c r="C365" s="123" t="n"/>
      <c r="D365" s="123" t="n"/>
      <c r="E365" s="123" t="n"/>
      <c r="F365" s="125" t="n"/>
      <c r="G365" s="123" t="n"/>
      <c r="H365" s="123" t="n"/>
      <c r="I365" s="123" t="n"/>
      <c r="J365" s="123" t="n"/>
      <c r="K365" s="123" t="n"/>
      <c r="L365" s="123" t="n"/>
      <c r="M365" s="123">
        <f>IF(AND(B365&lt;&gt;"",OR($C$4="",ISNUMBER(SEARCH($C$4,C365&amp;" "&amp;E365&amp;" "&amp;G365&amp;" "&amp;H365&amp;" "&amp;I365&amp;" "&amp;J365&amp;" "&amp;K365&amp;" "&amp;L365))),OR($C$5="Semua",$C$5="",G365=$C$5),OR($C$6="Semua",$C$6="",H365=$C$6,H365="Pengeluaran "&amp;$C$6,AND($C$6="Uang Kos Mama",H365="Pengeluaran Uang Kos")),OR($C$7="Semua",$C$7="",I365=$C$7),OR($C$8="Semua",$C$8="",C365=$C$8,E365=$C$8),OR($C$9="Semua",$C$9="",D365=$C$9),OR($C$10="",B365&gt;=$C$10),OR($C$11="",B365&lt;=$C$11),OR($C$12&lt;&gt;"Ya",K365&lt;&gt;""),OR($C$13="Semua",$C$13="",L365=$C$13)),"✓","")</f>
        <v/>
      </c>
      <c r="N365" s="93">
        <f>N(N364)+IF(M365="✓",1,0)</f>
        <v/>
      </c>
      <c r="O365" s="93">
        <f>N(O364)+IF(AND(B365&lt;&gt;"",B365&gt;='Uang Riba'!$H$30,B365&lt;='Uang Riba'!$I$30,OR(H365="Dana riba",H365="Pinjam uang riba",I365="Pinjam dari uang riba",I365="Ganti uang riba",I365="Kelebihan ganti dikembalikan",AND(C365="Kantong Uang Riba",G365="Pengeluaran"))),1,0)</f>
        <v/>
      </c>
      <c r="X365" s="93">
        <f>IF(AND(B365&lt;&gt;"",B365&gt;='Buku Akun'!$H$4,B365&lt;='Buku Akun'!$H$5,OR(C365='Buku Akun'!$C$4,AND(D365="Pindah",E365='Buku Akun'!$C$4))),B365+IF(AND(I365="Selisih bunga",DAY(B365)=1),0,0.01)+ROW()/10000000,"")</f>
        <v/>
      </c>
    </row>
    <row r="366" outlineLevel="1" ht="15" customHeight="1" s="94">
      <c r="A366" s="123">
        <f>IF(B366="","",ROW()-15)</f>
        <v/>
      </c>
      <c r="B366" s="124" t="n"/>
      <c r="C366" s="123" t="n"/>
      <c r="D366" s="123" t="n"/>
      <c r="E366" s="123" t="n"/>
      <c r="F366" s="125" t="n"/>
      <c r="G366" s="123" t="n"/>
      <c r="H366" s="123" t="n"/>
      <c r="I366" s="123" t="n"/>
      <c r="J366" s="123" t="n"/>
      <c r="K366" s="123" t="n"/>
      <c r="L366" s="123" t="n"/>
      <c r="M366" s="123">
        <f>IF(AND(B366&lt;&gt;"",OR($C$4="",ISNUMBER(SEARCH($C$4,C366&amp;" "&amp;E366&amp;" "&amp;G366&amp;" "&amp;H366&amp;" "&amp;I366&amp;" "&amp;J366&amp;" "&amp;K366&amp;" "&amp;L366))),OR($C$5="Semua",$C$5="",G366=$C$5),OR($C$6="Semua",$C$6="",H366=$C$6,H366="Pengeluaran "&amp;$C$6,AND($C$6="Uang Kos Mama",H366="Pengeluaran Uang Kos")),OR($C$7="Semua",$C$7="",I366=$C$7),OR($C$8="Semua",$C$8="",C366=$C$8,E366=$C$8),OR($C$9="Semua",$C$9="",D366=$C$9),OR($C$10="",B366&gt;=$C$10),OR($C$11="",B366&lt;=$C$11),OR($C$12&lt;&gt;"Ya",K366&lt;&gt;""),OR($C$13="Semua",$C$13="",L366=$C$13)),"✓","")</f>
        <v/>
      </c>
      <c r="N366" s="93">
        <f>N(N365)+IF(M366="✓",1,0)</f>
        <v/>
      </c>
      <c r="O366" s="93">
        <f>N(O365)+IF(AND(B366&lt;&gt;"",B366&gt;='Uang Riba'!$H$30,B366&lt;='Uang Riba'!$I$30,OR(H366="Dana riba",H366="Pinjam uang riba",I366="Pinjam dari uang riba",I366="Ganti uang riba",I366="Kelebihan ganti dikembalikan",AND(C366="Kantong Uang Riba",G366="Pengeluaran"))),1,0)</f>
        <v/>
      </c>
      <c r="X366" s="93">
        <f>IF(AND(B366&lt;&gt;"",B366&gt;='Buku Akun'!$H$4,B366&lt;='Buku Akun'!$H$5,OR(C366='Buku Akun'!$C$4,AND(D366="Pindah",E366='Buku Akun'!$C$4))),B366+IF(AND(I366="Selisih bunga",DAY(B366)=1),0,0.01)+ROW()/10000000,"")</f>
        <v/>
      </c>
    </row>
    <row r="367" outlineLevel="1" ht="15" customHeight="1" s="94">
      <c r="A367" s="123">
        <f>IF(B367="","",ROW()-15)</f>
        <v/>
      </c>
      <c r="B367" s="124" t="n"/>
      <c r="C367" s="123" t="n"/>
      <c r="D367" s="123" t="n"/>
      <c r="E367" s="123" t="n"/>
      <c r="F367" s="125" t="n"/>
      <c r="G367" s="123" t="n"/>
      <c r="H367" s="123" t="n"/>
      <c r="I367" s="123" t="n"/>
      <c r="J367" s="123" t="n"/>
      <c r="K367" s="123" t="n"/>
      <c r="L367" s="123" t="n"/>
      <c r="M367" s="123">
        <f>IF(AND(B367&lt;&gt;"",OR($C$4="",ISNUMBER(SEARCH($C$4,C367&amp;" "&amp;E367&amp;" "&amp;G367&amp;" "&amp;H367&amp;" "&amp;I367&amp;" "&amp;J367&amp;" "&amp;K367&amp;" "&amp;L367))),OR($C$5="Semua",$C$5="",G367=$C$5),OR($C$6="Semua",$C$6="",H367=$C$6,H367="Pengeluaran "&amp;$C$6,AND($C$6="Uang Kos Mama",H367="Pengeluaran Uang Kos")),OR($C$7="Semua",$C$7="",I367=$C$7),OR($C$8="Semua",$C$8="",C367=$C$8,E367=$C$8),OR($C$9="Semua",$C$9="",D367=$C$9),OR($C$10="",B367&gt;=$C$10),OR($C$11="",B367&lt;=$C$11),OR($C$12&lt;&gt;"Ya",K367&lt;&gt;""),OR($C$13="Semua",$C$13="",L367=$C$13)),"✓","")</f>
        <v/>
      </c>
      <c r="N367" s="93">
        <f>N(N366)+IF(M367="✓",1,0)</f>
        <v/>
      </c>
      <c r="O367" s="93">
        <f>N(O366)+IF(AND(B367&lt;&gt;"",B367&gt;='Uang Riba'!$H$30,B367&lt;='Uang Riba'!$I$30,OR(H367="Dana riba",H367="Pinjam uang riba",I367="Pinjam dari uang riba",I367="Ganti uang riba",I367="Kelebihan ganti dikembalikan",AND(C367="Kantong Uang Riba",G367="Pengeluaran"))),1,0)</f>
        <v/>
      </c>
      <c r="X367" s="93">
        <f>IF(AND(B367&lt;&gt;"",B367&gt;='Buku Akun'!$H$4,B367&lt;='Buku Akun'!$H$5,OR(C367='Buku Akun'!$C$4,AND(D367="Pindah",E367='Buku Akun'!$C$4))),B367+IF(AND(I367="Selisih bunga",DAY(B367)=1),0,0.01)+ROW()/10000000,"")</f>
        <v/>
      </c>
    </row>
    <row r="368" outlineLevel="1" ht="15" customHeight="1" s="94">
      <c r="A368" s="123">
        <f>IF(B368="","",ROW()-15)</f>
        <v/>
      </c>
      <c r="B368" s="124" t="n"/>
      <c r="C368" s="123" t="n"/>
      <c r="D368" s="123" t="n"/>
      <c r="E368" s="123" t="n"/>
      <c r="F368" s="125" t="n"/>
      <c r="G368" s="123" t="n"/>
      <c r="H368" s="123" t="n"/>
      <c r="I368" s="123" t="n"/>
      <c r="J368" s="123" t="n"/>
      <c r="K368" s="123" t="n"/>
      <c r="L368" s="123" t="n"/>
      <c r="M368" s="123">
        <f>IF(AND(B368&lt;&gt;"",OR($C$4="",ISNUMBER(SEARCH($C$4,C368&amp;" "&amp;E368&amp;" "&amp;G368&amp;" "&amp;H368&amp;" "&amp;I368&amp;" "&amp;J368&amp;" "&amp;K368&amp;" "&amp;L368))),OR($C$5="Semua",$C$5="",G368=$C$5),OR($C$6="Semua",$C$6="",H368=$C$6,H368="Pengeluaran "&amp;$C$6,AND($C$6="Uang Kos Mama",H368="Pengeluaran Uang Kos")),OR($C$7="Semua",$C$7="",I368=$C$7),OR($C$8="Semua",$C$8="",C368=$C$8,E368=$C$8),OR($C$9="Semua",$C$9="",D368=$C$9),OR($C$10="",B368&gt;=$C$10),OR($C$11="",B368&lt;=$C$11),OR($C$12&lt;&gt;"Ya",K368&lt;&gt;""),OR($C$13="Semua",$C$13="",L368=$C$13)),"✓","")</f>
        <v/>
      </c>
      <c r="N368" s="93">
        <f>N(N367)+IF(M368="✓",1,0)</f>
        <v/>
      </c>
      <c r="O368" s="93">
        <f>N(O367)+IF(AND(B368&lt;&gt;"",B368&gt;='Uang Riba'!$H$30,B368&lt;='Uang Riba'!$I$30,OR(H368="Dana riba",H368="Pinjam uang riba",I368="Pinjam dari uang riba",I368="Ganti uang riba",I368="Kelebihan ganti dikembalikan",AND(C368="Kantong Uang Riba",G368="Pengeluaran"))),1,0)</f>
        <v/>
      </c>
      <c r="X368" s="93">
        <f>IF(AND(B368&lt;&gt;"",B368&gt;='Buku Akun'!$H$4,B368&lt;='Buku Akun'!$H$5,OR(C368='Buku Akun'!$C$4,AND(D368="Pindah",E368='Buku Akun'!$C$4))),B368+IF(AND(I368="Selisih bunga",DAY(B368)=1),0,0.01)+ROW()/10000000,"")</f>
        <v/>
      </c>
    </row>
    <row r="369" outlineLevel="1" ht="15" customHeight="1" s="94">
      <c r="A369" s="123">
        <f>IF(B369="","",ROW()-15)</f>
        <v/>
      </c>
      <c r="B369" s="124" t="n"/>
      <c r="C369" s="123" t="n"/>
      <c r="D369" s="123" t="n"/>
      <c r="E369" s="123" t="n"/>
      <c r="F369" s="125" t="n"/>
      <c r="G369" s="123" t="n"/>
      <c r="H369" s="123" t="n"/>
      <c r="I369" s="123" t="n"/>
      <c r="J369" s="123" t="n"/>
      <c r="K369" s="123" t="n"/>
      <c r="L369" s="123" t="n"/>
      <c r="M369" s="123">
        <f>IF(AND(B369&lt;&gt;"",OR($C$4="",ISNUMBER(SEARCH($C$4,C369&amp;" "&amp;E369&amp;" "&amp;G369&amp;" "&amp;H369&amp;" "&amp;I369&amp;" "&amp;J369&amp;" "&amp;K369&amp;" "&amp;L369))),OR($C$5="Semua",$C$5="",G369=$C$5),OR($C$6="Semua",$C$6="",H369=$C$6,H369="Pengeluaran "&amp;$C$6,AND($C$6="Uang Kos Mama",H369="Pengeluaran Uang Kos")),OR($C$7="Semua",$C$7="",I369=$C$7),OR($C$8="Semua",$C$8="",C369=$C$8,E369=$C$8),OR($C$9="Semua",$C$9="",D369=$C$9),OR($C$10="",B369&gt;=$C$10),OR($C$11="",B369&lt;=$C$11),OR($C$12&lt;&gt;"Ya",K369&lt;&gt;""),OR($C$13="Semua",$C$13="",L369=$C$13)),"✓","")</f>
        <v/>
      </c>
      <c r="N369" s="93">
        <f>N(N368)+IF(M369="✓",1,0)</f>
        <v/>
      </c>
      <c r="O369" s="93">
        <f>N(O368)+IF(AND(B369&lt;&gt;"",B369&gt;='Uang Riba'!$H$30,B369&lt;='Uang Riba'!$I$30,OR(H369="Dana riba",H369="Pinjam uang riba",I369="Pinjam dari uang riba",I369="Ganti uang riba",I369="Kelebihan ganti dikembalikan",AND(C369="Kantong Uang Riba",G369="Pengeluaran"))),1,0)</f>
        <v/>
      </c>
      <c r="X369" s="93">
        <f>IF(AND(B369&lt;&gt;"",B369&gt;='Buku Akun'!$H$4,B369&lt;='Buku Akun'!$H$5,OR(C369='Buku Akun'!$C$4,AND(D369="Pindah",E369='Buku Akun'!$C$4))),B369+IF(AND(I369="Selisih bunga",DAY(B369)=1),0,0.01)+ROW()/10000000,"")</f>
        <v/>
      </c>
    </row>
    <row r="370" outlineLevel="1" ht="15" customHeight="1" s="94">
      <c r="A370" s="123">
        <f>IF(B370="","",ROW()-15)</f>
        <v/>
      </c>
      <c r="B370" s="124" t="n"/>
      <c r="C370" s="123" t="n"/>
      <c r="D370" s="123" t="n"/>
      <c r="E370" s="123" t="n"/>
      <c r="F370" s="125" t="n"/>
      <c r="G370" s="123" t="n"/>
      <c r="H370" s="123" t="n"/>
      <c r="I370" s="123" t="n"/>
      <c r="J370" s="123" t="n"/>
      <c r="K370" s="123" t="n"/>
      <c r="L370" s="123" t="n"/>
      <c r="M370" s="123">
        <f>IF(AND(B370&lt;&gt;"",OR($C$4="",ISNUMBER(SEARCH($C$4,C370&amp;" "&amp;E370&amp;" "&amp;G370&amp;" "&amp;H370&amp;" "&amp;I370&amp;" "&amp;J370&amp;" "&amp;K370&amp;" "&amp;L370))),OR($C$5="Semua",$C$5="",G370=$C$5),OR($C$6="Semua",$C$6="",H370=$C$6,H370="Pengeluaran "&amp;$C$6,AND($C$6="Uang Kos Mama",H370="Pengeluaran Uang Kos")),OR($C$7="Semua",$C$7="",I370=$C$7),OR($C$8="Semua",$C$8="",C370=$C$8,E370=$C$8),OR($C$9="Semua",$C$9="",D370=$C$9),OR($C$10="",B370&gt;=$C$10),OR($C$11="",B370&lt;=$C$11),OR($C$12&lt;&gt;"Ya",K370&lt;&gt;""),OR($C$13="Semua",$C$13="",L370=$C$13)),"✓","")</f>
        <v/>
      </c>
      <c r="N370" s="93">
        <f>N(N369)+IF(M370="✓",1,0)</f>
        <v/>
      </c>
      <c r="O370" s="93">
        <f>N(O369)+IF(AND(B370&lt;&gt;"",B370&gt;='Uang Riba'!$H$30,B370&lt;='Uang Riba'!$I$30,OR(H370="Dana riba",H370="Pinjam uang riba",I370="Pinjam dari uang riba",I370="Ganti uang riba",I370="Kelebihan ganti dikembalikan",AND(C370="Kantong Uang Riba",G370="Pengeluaran"))),1,0)</f>
        <v/>
      </c>
      <c r="X370" s="93">
        <f>IF(AND(B370&lt;&gt;"",B370&gt;='Buku Akun'!$H$4,B370&lt;='Buku Akun'!$H$5,OR(C370='Buku Akun'!$C$4,AND(D370="Pindah",E370='Buku Akun'!$C$4))),B370+IF(AND(I370="Selisih bunga",DAY(B370)=1),0,0.01)+ROW()/10000000,"")</f>
        <v/>
      </c>
    </row>
    <row r="371" outlineLevel="1" ht="15" customHeight="1" s="94">
      <c r="A371" s="123">
        <f>IF(B371="","",ROW()-15)</f>
        <v/>
      </c>
      <c r="B371" s="124" t="n"/>
      <c r="C371" s="123" t="n"/>
      <c r="D371" s="123" t="n"/>
      <c r="E371" s="123" t="n"/>
      <c r="F371" s="125" t="n"/>
      <c r="G371" s="123" t="n"/>
      <c r="H371" s="123" t="n"/>
      <c r="I371" s="123" t="n"/>
      <c r="J371" s="123" t="n"/>
      <c r="K371" s="123" t="n"/>
      <c r="L371" s="123" t="n"/>
      <c r="M371" s="123">
        <f>IF(AND(B371&lt;&gt;"",OR($C$4="",ISNUMBER(SEARCH($C$4,C371&amp;" "&amp;E371&amp;" "&amp;G371&amp;" "&amp;H371&amp;" "&amp;I371&amp;" "&amp;J371&amp;" "&amp;K371&amp;" "&amp;L371))),OR($C$5="Semua",$C$5="",G371=$C$5),OR($C$6="Semua",$C$6="",H371=$C$6,H371="Pengeluaran "&amp;$C$6,AND($C$6="Uang Kos Mama",H371="Pengeluaran Uang Kos")),OR($C$7="Semua",$C$7="",I371=$C$7),OR($C$8="Semua",$C$8="",C371=$C$8,E371=$C$8),OR($C$9="Semua",$C$9="",D371=$C$9),OR($C$10="",B371&gt;=$C$10),OR($C$11="",B371&lt;=$C$11),OR($C$12&lt;&gt;"Ya",K371&lt;&gt;""),OR($C$13="Semua",$C$13="",L371=$C$13)),"✓","")</f>
        <v/>
      </c>
      <c r="N371" s="93">
        <f>N(N370)+IF(M371="✓",1,0)</f>
        <v/>
      </c>
      <c r="O371" s="93">
        <f>N(O370)+IF(AND(B371&lt;&gt;"",B371&gt;='Uang Riba'!$H$30,B371&lt;='Uang Riba'!$I$30,OR(H371="Dana riba",H371="Pinjam uang riba",I371="Pinjam dari uang riba",I371="Ganti uang riba",I371="Kelebihan ganti dikembalikan",AND(C371="Kantong Uang Riba",G371="Pengeluaran"))),1,0)</f>
        <v/>
      </c>
      <c r="X371" s="93">
        <f>IF(AND(B371&lt;&gt;"",B371&gt;='Buku Akun'!$H$4,B371&lt;='Buku Akun'!$H$5,OR(C371='Buku Akun'!$C$4,AND(D371="Pindah",E371='Buku Akun'!$C$4))),B371+IF(AND(I371="Selisih bunga",DAY(B371)=1),0,0.01)+ROW()/10000000,"")</f>
        <v/>
      </c>
    </row>
    <row r="372" outlineLevel="1" ht="15" customHeight="1" s="94">
      <c r="A372" s="123">
        <f>IF(B372="","",ROW()-15)</f>
        <v/>
      </c>
      <c r="B372" s="124" t="n"/>
      <c r="C372" s="123" t="n"/>
      <c r="D372" s="123" t="n"/>
      <c r="E372" s="123" t="n"/>
      <c r="F372" s="125" t="n"/>
      <c r="G372" s="123" t="n"/>
      <c r="H372" s="123" t="n"/>
      <c r="I372" s="123" t="n"/>
      <c r="J372" s="123" t="n"/>
      <c r="K372" s="123" t="n"/>
      <c r="L372" s="123" t="n"/>
      <c r="M372" s="123">
        <f>IF(AND(B372&lt;&gt;"",OR($C$4="",ISNUMBER(SEARCH($C$4,C372&amp;" "&amp;E372&amp;" "&amp;G372&amp;" "&amp;H372&amp;" "&amp;I372&amp;" "&amp;J372&amp;" "&amp;K372&amp;" "&amp;L372))),OR($C$5="Semua",$C$5="",G372=$C$5),OR($C$6="Semua",$C$6="",H372=$C$6,H372="Pengeluaran "&amp;$C$6,AND($C$6="Uang Kos Mama",H372="Pengeluaran Uang Kos")),OR($C$7="Semua",$C$7="",I372=$C$7),OR($C$8="Semua",$C$8="",C372=$C$8,E372=$C$8),OR($C$9="Semua",$C$9="",D372=$C$9),OR($C$10="",B372&gt;=$C$10),OR($C$11="",B372&lt;=$C$11),OR($C$12&lt;&gt;"Ya",K372&lt;&gt;""),OR($C$13="Semua",$C$13="",L372=$C$13)),"✓","")</f>
        <v/>
      </c>
      <c r="N372" s="93">
        <f>N(N371)+IF(M372="✓",1,0)</f>
        <v/>
      </c>
      <c r="O372" s="93">
        <f>N(O371)+IF(AND(B372&lt;&gt;"",B372&gt;='Uang Riba'!$H$30,B372&lt;='Uang Riba'!$I$30,OR(H372="Dana riba",H372="Pinjam uang riba",I372="Pinjam dari uang riba",I372="Ganti uang riba",I372="Kelebihan ganti dikembalikan",AND(C372="Kantong Uang Riba",G372="Pengeluaran"))),1,0)</f>
        <v/>
      </c>
      <c r="X372" s="93">
        <f>IF(AND(B372&lt;&gt;"",B372&gt;='Buku Akun'!$H$4,B372&lt;='Buku Akun'!$H$5,OR(C372='Buku Akun'!$C$4,AND(D372="Pindah",E372='Buku Akun'!$C$4))),B372+IF(AND(I372="Selisih bunga",DAY(B372)=1),0,0.01)+ROW()/10000000,"")</f>
        <v/>
      </c>
    </row>
    <row r="373" outlineLevel="1" ht="15" customHeight="1" s="94">
      <c r="A373" s="123">
        <f>IF(B373="","",ROW()-15)</f>
        <v/>
      </c>
      <c r="B373" s="124" t="n"/>
      <c r="C373" s="123" t="n"/>
      <c r="D373" s="123" t="n"/>
      <c r="E373" s="123" t="n"/>
      <c r="F373" s="125" t="n"/>
      <c r="G373" s="123" t="n"/>
      <c r="H373" s="123" t="n"/>
      <c r="I373" s="123" t="n"/>
      <c r="J373" s="123" t="n"/>
      <c r="K373" s="123" t="n"/>
      <c r="L373" s="123" t="n"/>
      <c r="M373" s="123">
        <f>IF(AND(B373&lt;&gt;"",OR($C$4="",ISNUMBER(SEARCH($C$4,C373&amp;" "&amp;E373&amp;" "&amp;G373&amp;" "&amp;H373&amp;" "&amp;I373&amp;" "&amp;J373&amp;" "&amp;K373&amp;" "&amp;L373))),OR($C$5="Semua",$C$5="",G373=$C$5),OR($C$6="Semua",$C$6="",H373=$C$6,H373="Pengeluaran "&amp;$C$6,AND($C$6="Uang Kos Mama",H373="Pengeluaran Uang Kos")),OR($C$7="Semua",$C$7="",I373=$C$7),OR($C$8="Semua",$C$8="",C373=$C$8,E373=$C$8),OR($C$9="Semua",$C$9="",D373=$C$9),OR($C$10="",B373&gt;=$C$10),OR($C$11="",B373&lt;=$C$11),OR($C$12&lt;&gt;"Ya",K373&lt;&gt;""),OR($C$13="Semua",$C$13="",L373=$C$13)),"✓","")</f>
        <v/>
      </c>
      <c r="N373" s="93">
        <f>N(N372)+IF(M373="✓",1,0)</f>
        <v/>
      </c>
      <c r="O373" s="93">
        <f>N(O372)+IF(AND(B373&lt;&gt;"",B373&gt;='Uang Riba'!$H$30,B373&lt;='Uang Riba'!$I$30,OR(H373="Dana riba",H373="Pinjam uang riba",I373="Pinjam dari uang riba",I373="Ganti uang riba",I373="Kelebihan ganti dikembalikan",AND(C373="Kantong Uang Riba",G373="Pengeluaran"))),1,0)</f>
        <v/>
      </c>
      <c r="X373" s="93">
        <f>IF(AND(B373&lt;&gt;"",B373&gt;='Buku Akun'!$H$4,B373&lt;='Buku Akun'!$H$5,OR(C373='Buku Akun'!$C$4,AND(D373="Pindah",E373='Buku Akun'!$C$4))),B373+IF(AND(I373="Selisih bunga",DAY(B373)=1),0,0.01)+ROW()/10000000,"")</f>
        <v/>
      </c>
    </row>
    <row r="374" outlineLevel="1" ht="15" customHeight="1" s="94">
      <c r="A374" s="123">
        <f>IF(B374="","",ROW()-15)</f>
        <v/>
      </c>
      <c r="B374" s="124" t="n"/>
      <c r="C374" s="123" t="n"/>
      <c r="D374" s="123" t="n"/>
      <c r="E374" s="123" t="n"/>
      <c r="F374" s="125" t="n"/>
      <c r="G374" s="123" t="n"/>
      <c r="H374" s="123" t="n"/>
      <c r="I374" s="123" t="n"/>
      <c r="J374" s="123" t="n"/>
      <c r="K374" s="123" t="n"/>
      <c r="L374" s="123" t="n"/>
      <c r="M374" s="123">
        <f>IF(AND(B374&lt;&gt;"",OR($C$4="",ISNUMBER(SEARCH($C$4,C374&amp;" "&amp;E374&amp;" "&amp;G374&amp;" "&amp;H374&amp;" "&amp;I374&amp;" "&amp;J374&amp;" "&amp;K374&amp;" "&amp;L374))),OR($C$5="Semua",$C$5="",G374=$C$5),OR($C$6="Semua",$C$6="",H374=$C$6,H374="Pengeluaran "&amp;$C$6,AND($C$6="Uang Kos Mama",H374="Pengeluaran Uang Kos")),OR($C$7="Semua",$C$7="",I374=$C$7),OR($C$8="Semua",$C$8="",C374=$C$8,E374=$C$8),OR($C$9="Semua",$C$9="",D374=$C$9),OR($C$10="",B374&gt;=$C$10),OR($C$11="",B374&lt;=$C$11),OR($C$12&lt;&gt;"Ya",K374&lt;&gt;""),OR($C$13="Semua",$C$13="",L374=$C$13)),"✓","")</f>
        <v/>
      </c>
      <c r="N374" s="93">
        <f>N(N373)+IF(M374="✓",1,0)</f>
        <v/>
      </c>
      <c r="O374" s="93">
        <f>N(O373)+IF(AND(B374&lt;&gt;"",B374&gt;='Uang Riba'!$H$30,B374&lt;='Uang Riba'!$I$30,OR(H374="Dana riba",H374="Pinjam uang riba",I374="Pinjam dari uang riba",I374="Ganti uang riba",I374="Kelebihan ganti dikembalikan",AND(C374="Kantong Uang Riba",G374="Pengeluaran"))),1,0)</f>
        <v/>
      </c>
      <c r="X374" s="93">
        <f>IF(AND(B374&lt;&gt;"",B374&gt;='Buku Akun'!$H$4,B374&lt;='Buku Akun'!$H$5,OR(C374='Buku Akun'!$C$4,AND(D374="Pindah",E374='Buku Akun'!$C$4))),B374+IF(AND(I374="Selisih bunga",DAY(B374)=1),0,0.01)+ROW()/10000000,"")</f>
        <v/>
      </c>
    </row>
    <row r="375" outlineLevel="1" ht="15" customHeight="1" s="94">
      <c r="A375" s="123">
        <f>IF(B375="","",ROW()-15)</f>
        <v/>
      </c>
      <c r="B375" s="124" t="n"/>
      <c r="C375" s="123" t="n"/>
      <c r="D375" s="123" t="n"/>
      <c r="E375" s="123" t="n"/>
      <c r="F375" s="125" t="n"/>
      <c r="G375" s="123" t="n"/>
      <c r="H375" s="123" t="n"/>
      <c r="I375" s="123" t="n"/>
      <c r="J375" s="123" t="n"/>
      <c r="K375" s="123" t="n"/>
      <c r="L375" s="123" t="n"/>
      <c r="M375" s="123">
        <f>IF(AND(B375&lt;&gt;"",OR($C$4="",ISNUMBER(SEARCH($C$4,C375&amp;" "&amp;E375&amp;" "&amp;G375&amp;" "&amp;H375&amp;" "&amp;I375&amp;" "&amp;J375&amp;" "&amp;K375&amp;" "&amp;L375))),OR($C$5="Semua",$C$5="",G375=$C$5),OR($C$6="Semua",$C$6="",H375=$C$6,H375="Pengeluaran "&amp;$C$6,AND($C$6="Uang Kos Mama",H375="Pengeluaran Uang Kos")),OR($C$7="Semua",$C$7="",I375=$C$7),OR($C$8="Semua",$C$8="",C375=$C$8,E375=$C$8),OR($C$9="Semua",$C$9="",D375=$C$9),OR($C$10="",B375&gt;=$C$10),OR($C$11="",B375&lt;=$C$11),OR($C$12&lt;&gt;"Ya",K375&lt;&gt;""),OR($C$13="Semua",$C$13="",L375=$C$13)),"✓","")</f>
        <v/>
      </c>
      <c r="N375" s="93">
        <f>N(N374)+IF(M375="✓",1,0)</f>
        <v/>
      </c>
      <c r="O375" s="93">
        <f>N(O374)+IF(AND(B375&lt;&gt;"",B375&gt;='Uang Riba'!$H$30,B375&lt;='Uang Riba'!$I$30,OR(H375="Dana riba",H375="Pinjam uang riba",I375="Pinjam dari uang riba",I375="Ganti uang riba",I375="Kelebihan ganti dikembalikan",AND(C375="Kantong Uang Riba",G375="Pengeluaran"))),1,0)</f>
        <v/>
      </c>
      <c r="X375" s="93">
        <f>IF(AND(B375&lt;&gt;"",B375&gt;='Buku Akun'!$H$4,B375&lt;='Buku Akun'!$H$5,OR(C375='Buku Akun'!$C$4,AND(D375="Pindah",E375='Buku Akun'!$C$4))),B375+IF(AND(I375="Selisih bunga",DAY(B375)=1),0,0.01)+ROW()/10000000,"")</f>
        <v/>
      </c>
    </row>
    <row r="376" outlineLevel="1" ht="15" customHeight="1" s="94">
      <c r="A376" s="123">
        <f>IF(B376="","",ROW()-15)</f>
        <v/>
      </c>
      <c r="B376" s="124" t="n"/>
      <c r="C376" s="123" t="n"/>
      <c r="D376" s="123" t="n"/>
      <c r="E376" s="123" t="n"/>
      <c r="F376" s="125" t="n"/>
      <c r="G376" s="123" t="n"/>
      <c r="H376" s="123" t="n"/>
      <c r="I376" s="123" t="n"/>
      <c r="J376" s="123" t="n"/>
      <c r="K376" s="123" t="n"/>
      <c r="L376" s="123" t="n"/>
      <c r="M376" s="123">
        <f>IF(AND(B376&lt;&gt;"",OR($C$4="",ISNUMBER(SEARCH($C$4,C376&amp;" "&amp;E376&amp;" "&amp;G376&amp;" "&amp;H376&amp;" "&amp;I376&amp;" "&amp;J376&amp;" "&amp;K376&amp;" "&amp;L376))),OR($C$5="Semua",$C$5="",G376=$C$5),OR($C$6="Semua",$C$6="",H376=$C$6,H376="Pengeluaran "&amp;$C$6,AND($C$6="Uang Kos Mama",H376="Pengeluaran Uang Kos")),OR($C$7="Semua",$C$7="",I376=$C$7),OR($C$8="Semua",$C$8="",C376=$C$8,E376=$C$8),OR($C$9="Semua",$C$9="",D376=$C$9),OR($C$10="",B376&gt;=$C$10),OR($C$11="",B376&lt;=$C$11),OR($C$12&lt;&gt;"Ya",K376&lt;&gt;""),OR($C$13="Semua",$C$13="",L376=$C$13)),"✓","")</f>
        <v/>
      </c>
      <c r="N376" s="93">
        <f>N(N375)+IF(M376="✓",1,0)</f>
        <v/>
      </c>
      <c r="O376" s="93">
        <f>N(O375)+IF(AND(B376&lt;&gt;"",B376&gt;='Uang Riba'!$H$30,B376&lt;='Uang Riba'!$I$30,OR(H376="Dana riba",H376="Pinjam uang riba",I376="Pinjam dari uang riba",I376="Ganti uang riba",I376="Kelebihan ganti dikembalikan",AND(C376="Kantong Uang Riba",G376="Pengeluaran"))),1,0)</f>
        <v/>
      </c>
      <c r="X376" s="93">
        <f>IF(AND(B376&lt;&gt;"",B376&gt;='Buku Akun'!$H$4,B376&lt;='Buku Akun'!$H$5,OR(C376='Buku Akun'!$C$4,AND(D376="Pindah",E376='Buku Akun'!$C$4))),B376+IF(AND(I376="Selisih bunga",DAY(B376)=1),0,0.01)+ROW()/10000000,"")</f>
        <v/>
      </c>
    </row>
    <row r="377" outlineLevel="1" ht="15" customHeight="1" s="94">
      <c r="A377" s="123">
        <f>IF(B377="","",ROW()-15)</f>
        <v/>
      </c>
      <c r="B377" s="124" t="n"/>
      <c r="C377" s="123" t="n"/>
      <c r="D377" s="123" t="n"/>
      <c r="E377" s="123" t="n"/>
      <c r="F377" s="125" t="n"/>
      <c r="G377" s="123" t="n"/>
      <c r="H377" s="123" t="n"/>
      <c r="I377" s="123" t="n"/>
      <c r="J377" s="123" t="n"/>
      <c r="K377" s="123" t="n"/>
      <c r="L377" s="123" t="n"/>
      <c r="M377" s="123">
        <f>IF(AND(B377&lt;&gt;"",OR($C$4="",ISNUMBER(SEARCH($C$4,C377&amp;" "&amp;E377&amp;" "&amp;G377&amp;" "&amp;H377&amp;" "&amp;I377&amp;" "&amp;J377&amp;" "&amp;K377&amp;" "&amp;L377))),OR($C$5="Semua",$C$5="",G377=$C$5),OR($C$6="Semua",$C$6="",H377=$C$6,H377="Pengeluaran "&amp;$C$6,AND($C$6="Uang Kos Mama",H377="Pengeluaran Uang Kos")),OR($C$7="Semua",$C$7="",I377=$C$7),OR($C$8="Semua",$C$8="",C377=$C$8,E377=$C$8),OR($C$9="Semua",$C$9="",D377=$C$9),OR($C$10="",B377&gt;=$C$10),OR($C$11="",B377&lt;=$C$11),OR($C$12&lt;&gt;"Ya",K377&lt;&gt;""),OR($C$13="Semua",$C$13="",L377=$C$13)),"✓","")</f>
        <v/>
      </c>
      <c r="N377" s="93">
        <f>N(N376)+IF(M377="✓",1,0)</f>
        <v/>
      </c>
      <c r="O377" s="93">
        <f>N(O376)+IF(AND(B377&lt;&gt;"",B377&gt;='Uang Riba'!$H$30,B377&lt;='Uang Riba'!$I$30,OR(H377="Dana riba",H377="Pinjam uang riba",I377="Pinjam dari uang riba",I377="Ganti uang riba",I377="Kelebihan ganti dikembalikan",AND(C377="Kantong Uang Riba",G377="Pengeluaran"))),1,0)</f>
        <v/>
      </c>
      <c r="X377" s="93">
        <f>IF(AND(B377&lt;&gt;"",B377&gt;='Buku Akun'!$H$4,B377&lt;='Buku Akun'!$H$5,OR(C377='Buku Akun'!$C$4,AND(D377="Pindah",E377='Buku Akun'!$C$4))),B377+IF(AND(I377="Selisih bunga",DAY(B377)=1),0,0.01)+ROW()/10000000,"")</f>
        <v/>
      </c>
    </row>
    <row r="378" outlineLevel="1" ht="15" customHeight="1" s="94">
      <c r="A378" s="123">
        <f>IF(B378="","",ROW()-15)</f>
        <v/>
      </c>
      <c r="B378" s="124" t="n"/>
      <c r="C378" s="123" t="n"/>
      <c r="D378" s="123" t="n"/>
      <c r="E378" s="123" t="n"/>
      <c r="F378" s="125" t="n"/>
      <c r="G378" s="123" t="n"/>
      <c r="H378" s="123" t="n"/>
      <c r="I378" s="123" t="n"/>
      <c r="J378" s="123" t="n"/>
      <c r="K378" s="123" t="n"/>
      <c r="L378" s="123" t="n"/>
      <c r="M378" s="123">
        <f>IF(AND(B378&lt;&gt;"",OR($C$4="",ISNUMBER(SEARCH($C$4,C378&amp;" "&amp;E378&amp;" "&amp;G378&amp;" "&amp;H378&amp;" "&amp;I378&amp;" "&amp;J378&amp;" "&amp;K378&amp;" "&amp;L378))),OR($C$5="Semua",$C$5="",G378=$C$5),OR($C$6="Semua",$C$6="",H378=$C$6,H378="Pengeluaran "&amp;$C$6,AND($C$6="Uang Kos Mama",H378="Pengeluaran Uang Kos")),OR($C$7="Semua",$C$7="",I378=$C$7),OR($C$8="Semua",$C$8="",C378=$C$8,E378=$C$8),OR($C$9="Semua",$C$9="",D378=$C$9),OR($C$10="",B378&gt;=$C$10),OR($C$11="",B378&lt;=$C$11),OR($C$12&lt;&gt;"Ya",K378&lt;&gt;""),OR($C$13="Semua",$C$13="",L378=$C$13)),"✓","")</f>
        <v/>
      </c>
      <c r="N378" s="93">
        <f>N(N377)+IF(M378="✓",1,0)</f>
        <v/>
      </c>
      <c r="O378" s="93">
        <f>N(O377)+IF(AND(B378&lt;&gt;"",B378&gt;='Uang Riba'!$H$30,B378&lt;='Uang Riba'!$I$30,OR(H378="Dana riba",H378="Pinjam uang riba",I378="Pinjam dari uang riba",I378="Ganti uang riba",I378="Kelebihan ganti dikembalikan",AND(C378="Kantong Uang Riba",G378="Pengeluaran"))),1,0)</f>
        <v/>
      </c>
      <c r="X378" s="93">
        <f>IF(AND(B378&lt;&gt;"",B378&gt;='Buku Akun'!$H$4,B378&lt;='Buku Akun'!$H$5,OR(C378='Buku Akun'!$C$4,AND(D378="Pindah",E378='Buku Akun'!$C$4))),B378+IF(AND(I378="Selisih bunga",DAY(B378)=1),0,0.01)+ROW()/10000000,"")</f>
        <v/>
      </c>
    </row>
    <row r="379" outlineLevel="1" ht="15" customHeight="1" s="94">
      <c r="A379" s="123">
        <f>IF(B379="","",ROW()-15)</f>
        <v/>
      </c>
      <c r="B379" s="124" t="n"/>
      <c r="C379" s="123" t="n"/>
      <c r="D379" s="123" t="n"/>
      <c r="E379" s="123" t="n"/>
      <c r="F379" s="125" t="n"/>
      <c r="G379" s="123" t="n"/>
      <c r="H379" s="123" t="n"/>
      <c r="I379" s="123" t="n"/>
      <c r="J379" s="123" t="n"/>
      <c r="K379" s="123" t="n"/>
      <c r="L379" s="123" t="n"/>
      <c r="M379" s="123">
        <f>IF(AND(B379&lt;&gt;"",OR($C$4="",ISNUMBER(SEARCH($C$4,C379&amp;" "&amp;E379&amp;" "&amp;G379&amp;" "&amp;H379&amp;" "&amp;I379&amp;" "&amp;J379&amp;" "&amp;K379&amp;" "&amp;L379))),OR($C$5="Semua",$C$5="",G379=$C$5),OR($C$6="Semua",$C$6="",H379=$C$6,H379="Pengeluaran "&amp;$C$6,AND($C$6="Uang Kos Mama",H379="Pengeluaran Uang Kos")),OR($C$7="Semua",$C$7="",I379=$C$7),OR($C$8="Semua",$C$8="",C379=$C$8,E379=$C$8),OR($C$9="Semua",$C$9="",D379=$C$9),OR($C$10="",B379&gt;=$C$10),OR($C$11="",B379&lt;=$C$11),OR($C$12&lt;&gt;"Ya",K379&lt;&gt;""),OR($C$13="Semua",$C$13="",L379=$C$13)),"✓","")</f>
        <v/>
      </c>
      <c r="N379" s="93">
        <f>N(N378)+IF(M379="✓",1,0)</f>
        <v/>
      </c>
      <c r="O379" s="93">
        <f>N(O378)+IF(AND(B379&lt;&gt;"",B379&gt;='Uang Riba'!$H$30,B379&lt;='Uang Riba'!$I$30,OR(H379="Dana riba",H379="Pinjam uang riba",I379="Pinjam dari uang riba",I379="Ganti uang riba",I379="Kelebihan ganti dikembalikan",AND(C379="Kantong Uang Riba",G379="Pengeluaran"))),1,0)</f>
        <v/>
      </c>
      <c r="X379" s="93">
        <f>IF(AND(B379&lt;&gt;"",B379&gt;='Buku Akun'!$H$4,B379&lt;='Buku Akun'!$H$5,OR(C379='Buku Akun'!$C$4,AND(D379="Pindah",E379='Buku Akun'!$C$4))),B379+IF(AND(I379="Selisih bunga",DAY(B379)=1),0,0.01)+ROW()/10000000,"")</f>
        <v/>
      </c>
    </row>
    <row r="380" outlineLevel="1" ht="15" customHeight="1" s="94">
      <c r="A380" s="123">
        <f>IF(B380="","",ROW()-15)</f>
        <v/>
      </c>
      <c r="B380" s="124" t="n"/>
      <c r="C380" s="123" t="n"/>
      <c r="D380" s="123" t="n"/>
      <c r="E380" s="123" t="n"/>
      <c r="F380" s="125" t="n"/>
      <c r="G380" s="123" t="n"/>
      <c r="H380" s="123" t="n"/>
      <c r="I380" s="123" t="n"/>
      <c r="J380" s="123" t="n"/>
      <c r="K380" s="123" t="n"/>
      <c r="L380" s="123" t="n"/>
      <c r="M380" s="123">
        <f>IF(AND(B380&lt;&gt;"",OR($C$4="",ISNUMBER(SEARCH($C$4,C380&amp;" "&amp;E380&amp;" "&amp;G380&amp;" "&amp;H380&amp;" "&amp;I380&amp;" "&amp;J380&amp;" "&amp;K380&amp;" "&amp;L380))),OR($C$5="Semua",$C$5="",G380=$C$5),OR($C$6="Semua",$C$6="",H380=$C$6,H380="Pengeluaran "&amp;$C$6,AND($C$6="Uang Kos Mama",H380="Pengeluaran Uang Kos")),OR($C$7="Semua",$C$7="",I380=$C$7),OR($C$8="Semua",$C$8="",C380=$C$8,E380=$C$8),OR($C$9="Semua",$C$9="",D380=$C$9),OR($C$10="",B380&gt;=$C$10),OR($C$11="",B380&lt;=$C$11),OR($C$12&lt;&gt;"Ya",K380&lt;&gt;""),OR($C$13="Semua",$C$13="",L380=$C$13)),"✓","")</f>
        <v/>
      </c>
      <c r="N380" s="93">
        <f>N(N379)+IF(M380="✓",1,0)</f>
        <v/>
      </c>
      <c r="O380" s="93">
        <f>N(O379)+IF(AND(B380&lt;&gt;"",B380&gt;='Uang Riba'!$H$30,B380&lt;='Uang Riba'!$I$30,OR(H380="Dana riba",H380="Pinjam uang riba",I380="Pinjam dari uang riba",I380="Ganti uang riba",I380="Kelebihan ganti dikembalikan",AND(C380="Kantong Uang Riba",G380="Pengeluaran"))),1,0)</f>
        <v/>
      </c>
      <c r="X380" s="93">
        <f>IF(AND(B380&lt;&gt;"",B380&gt;='Buku Akun'!$H$4,B380&lt;='Buku Akun'!$H$5,OR(C380='Buku Akun'!$C$4,AND(D380="Pindah",E380='Buku Akun'!$C$4))),B380+IF(AND(I380="Selisih bunga",DAY(B380)=1),0,0.01)+ROW()/10000000,"")</f>
        <v/>
      </c>
    </row>
    <row r="381" outlineLevel="1" ht="15" customHeight="1" s="94">
      <c r="A381" s="123">
        <f>IF(B381="","",ROW()-15)</f>
        <v/>
      </c>
      <c r="B381" s="124" t="n"/>
      <c r="C381" s="123" t="n"/>
      <c r="D381" s="123" t="n"/>
      <c r="E381" s="123" t="n"/>
      <c r="F381" s="125" t="n"/>
      <c r="G381" s="123" t="n"/>
      <c r="H381" s="123" t="n"/>
      <c r="I381" s="123" t="n"/>
      <c r="J381" s="123" t="n"/>
      <c r="K381" s="123" t="n"/>
      <c r="L381" s="123" t="n"/>
      <c r="M381" s="123">
        <f>IF(AND(B381&lt;&gt;"",OR($C$4="",ISNUMBER(SEARCH($C$4,C381&amp;" "&amp;E381&amp;" "&amp;G381&amp;" "&amp;H381&amp;" "&amp;I381&amp;" "&amp;J381&amp;" "&amp;K381&amp;" "&amp;L381))),OR($C$5="Semua",$C$5="",G381=$C$5),OR($C$6="Semua",$C$6="",H381=$C$6,H381="Pengeluaran "&amp;$C$6,AND($C$6="Uang Kos Mama",H381="Pengeluaran Uang Kos")),OR($C$7="Semua",$C$7="",I381=$C$7),OR($C$8="Semua",$C$8="",C381=$C$8,E381=$C$8),OR($C$9="Semua",$C$9="",D381=$C$9),OR($C$10="",B381&gt;=$C$10),OR($C$11="",B381&lt;=$C$11),OR($C$12&lt;&gt;"Ya",K381&lt;&gt;""),OR($C$13="Semua",$C$13="",L381=$C$13)),"✓","")</f>
        <v/>
      </c>
      <c r="N381" s="93">
        <f>N(N380)+IF(M381="✓",1,0)</f>
        <v/>
      </c>
      <c r="O381" s="93">
        <f>N(O380)+IF(AND(B381&lt;&gt;"",B381&gt;='Uang Riba'!$H$30,B381&lt;='Uang Riba'!$I$30,OR(H381="Dana riba",H381="Pinjam uang riba",I381="Pinjam dari uang riba",I381="Ganti uang riba",I381="Kelebihan ganti dikembalikan",AND(C381="Kantong Uang Riba",G381="Pengeluaran"))),1,0)</f>
        <v/>
      </c>
      <c r="X381" s="93">
        <f>IF(AND(B381&lt;&gt;"",B381&gt;='Buku Akun'!$H$4,B381&lt;='Buku Akun'!$H$5,OR(C381='Buku Akun'!$C$4,AND(D381="Pindah",E381='Buku Akun'!$C$4))),B381+IF(AND(I381="Selisih bunga",DAY(B381)=1),0,0.01)+ROW()/10000000,"")</f>
        <v/>
      </c>
    </row>
    <row r="382" outlineLevel="1" ht="15" customHeight="1" s="94">
      <c r="A382" s="123">
        <f>IF(B382="","",ROW()-15)</f>
        <v/>
      </c>
      <c r="B382" s="124" t="n"/>
      <c r="C382" s="123" t="n"/>
      <c r="D382" s="123" t="n"/>
      <c r="E382" s="123" t="n"/>
      <c r="F382" s="125" t="n"/>
      <c r="G382" s="123" t="n"/>
      <c r="H382" s="123" t="n"/>
      <c r="I382" s="123" t="n"/>
      <c r="J382" s="123" t="n"/>
      <c r="K382" s="123" t="n"/>
      <c r="L382" s="123" t="n"/>
      <c r="M382" s="123">
        <f>IF(AND(B382&lt;&gt;"",OR($C$4="",ISNUMBER(SEARCH($C$4,C382&amp;" "&amp;E382&amp;" "&amp;G382&amp;" "&amp;H382&amp;" "&amp;I382&amp;" "&amp;J382&amp;" "&amp;K382&amp;" "&amp;L382))),OR($C$5="Semua",$C$5="",G382=$C$5),OR($C$6="Semua",$C$6="",H382=$C$6,H382="Pengeluaran "&amp;$C$6,AND($C$6="Uang Kos Mama",H382="Pengeluaran Uang Kos")),OR($C$7="Semua",$C$7="",I382=$C$7),OR($C$8="Semua",$C$8="",C382=$C$8,E382=$C$8),OR($C$9="Semua",$C$9="",D382=$C$9),OR($C$10="",B382&gt;=$C$10),OR($C$11="",B382&lt;=$C$11),OR($C$12&lt;&gt;"Ya",K382&lt;&gt;""),OR($C$13="Semua",$C$13="",L382=$C$13)),"✓","")</f>
        <v/>
      </c>
      <c r="N382" s="93">
        <f>N(N381)+IF(M382="✓",1,0)</f>
        <v/>
      </c>
      <c r="O382" s="93">
        <f>N(O381)+IF(AND(B382&lt;&gt;"",B382&gt;='Uang Riba'!$H$30,B382&lt;='Uang Riba'!$I$30,OR(H382="Dana riba",H382="Pinjam uang riba",I382="Pinjam dari uang riba",I382="Ganti uang riba",I382="Kelebihan ganti dikembalikan",AND(C382="Kantong Uang Riba",G382="Pengeluaran"))),1,0)</f>
        <v/>
      </c>
      <c r="X382" s="93">
        <f>IF(AND(B382&lt;&gt;"",B382&gt;='Buku Akun'!$H$4,B382&lt;='Buku Akun'!$H$5,OR(C382='Buku Akun'!$C$4,AND(D382="Pindah",E382='Buku Akun'!$C$4))),B382+IF(AND(I382="Selisih bunga",DAY(B382)=1),0,0.01)+ROW()/10000000,"")</f>
        <v/>
      </c>
    </row>
    <row r="383" outlineLevel="1" ht="15" customHeight="1" s="94">
      <c r="A383" s="123">
        <f>IF(B383="","",ROW()-15)</f>
        <v/>
      </c>
      <c r="B383" s="124" t="n"/>
      <c r="C383" s="123" t="n"/>
      <c r="D383" s="123" t="n"/>
      <c r="E383" s="123" t="n"/>
      <c r="F383" s="125" t="n"/>
      <c r="G383" s="123" t="n"/>
      <c r="H383" s="123" t="n"/>
      <c r="I383" s="123" t="n"/>
      <c r="J383" s="123" t="n"/>
      <c r="K383" s="123" t="n"/>
      <c r="L383" s="123" t="n"/>
      <c r="M383" s="123">
        <f>IF(AND(B383&lt;&gt;"",OR($C$4="",ISNUMBER(SEARCH($C$4,C383&amp;" "&amp;E383&amp;" "&amp;G383&amp;" "&amp;H383&amp;" "&amp;I383&amp;" "&amp;J383&amp;" "&amp;K383&amp;" "&amp;L383))),OR($C$5="Semua",$C$5="",G383=$C$5),OR($C$6="Semua",$C$6="",H383=$C$6,H383="Pengeluaran "&amp;$C$6,AND($C$6="Uang Kos Mama",H383="Pengeluaran Uang Kos")),OR($C$7="Semua",$C$7="",I383=$C$7),OR($C$8="Semua",$C$8="",C383=$C$8,E383=$C$8),OR($C$9="Semua",$C$9="",D383=$C$9),OR($C$10="",B383&gt;=$C$10),OR($C$11="",B383&lt;=$C$11),OR($C$12&lt;&gt;"Ya",K383&lt;&gt;""),OR($C$13="Semua",$C$13="",L383=$C$13)),"✓","")</f>
        <v/>
      </c>
      <c r="N383" s="93">
        <f>N(N382)+IF(M383="✓",1,0)</f>
        <v/>
      </c>
      <c r="O383" s="93">
        <f>N(O382)+IF(AND(B383&lt;&gt;"",B383&gt;='Uang Riba'!$H$30,B383&lt;='Uang Riba'!$I$30,OR(H383="Dana riba",H383="Pinjam uang riba",I383="Pinjam dari uang riba",I383="Ganti uang riba",I383="Kelebihan ganti dikembalikan",AND(C383="Kantong Uang Riba",G383="Pengeluaran"))),1,0)</f>
        <v/>
      </c>
      <c r="X383" s="93">
        <f>IF(AND(B383&lt;&gt;"",B383&gt;='Buku Akun'!$H$4,B383&lt;='Buku Akun'!$H$5,OR(C383='Buku Akun'!$C$4,AND(D383="Pindah",E383='Buku Akun'!$C$4))),B383+IF(AND(I383="Selisih bunga",DAY(B383)=1),0,0.01)+ROW()/10000000,"")</f>
        <v/>
      </c>
    </row>
    <row r="384" outlineLevel="1" ht="15" customHeight="1" s="94">
      <c r="A384" s="123">
        <f>IF(B384="","",ROW()-15)</f>
        <v/>
      </c>
      <c r="B384" s="124" t="n"/>
      <c r="C384" s="123" t="n"/>
      <c r="D384" s="123" t="n"/>
      <c r="E384" s="123" t="n"/>
      <c r="F384" s="125" t="n"/>
      <c r="G384" s="123" t="n"/>
      <c r="H384" s="123" t="n"/>
      <c r="I384" s="123" t="n"/>
      <c r="J384" s="123" t="n"/>
      <c r="K384" s="123" t="n"/>
      <c r="L384" s="123" t="n"/>
      <c r="M384" s="123">
        <f>IF(AND(B384&lt;&gt;"",OR($C$4="",ISNUMBER(SEARCH($C$4,C384&amp;" "&amp;E384&amp;" "&amp;G384&amp;" "&amp;H384&amp;" "&amp;I384&amp;" "&amp;J384&amp;" "&amp;K384&amp;" "&amp;L384))),OR($C$5="Semua",$C$5="",G384=$C$5),OR($C$6="Semua",$C$6="",H384=$C$6,H384="Pengeluaran "&amp;$C$6,AND($C$6="Uang Kos Mama",H384="Pengeluaran Uang Kos")),OR($C$7="Semua",$C$7="",I384=$C$7),OR($C$8="Semua",$C$8="",C384=$C$8,E384=$C$8),OR($C$9="Semua",$C$9="",D384=$C$9),OR($C$10="",B384&gt;=$C$10),OR($C$11="",B384&lt;=$C$11),OR($C$12&lt;&gt;"Ya",K384&lt;&gt;""),OR($C$13="Semua",$C$13="",L384=$C$13)),"✓","")</f>
        <v/>
      </c>
      <c r="N384" s="93">
        <f>N(N383)+IF(M384="✓",1,0)</f>
        <v/>
      </c>
      <c r="O384" s="93">
        <f>N(O383)+IF(AND(B384&lt;&gt;"",B384&gt;='Uang Riba'!$H$30,B384&lt;='Uang Riba'!$I$30,OR(H384="Dana riba",H384="Pinjam uang riba",I384="Pinjam dari uang riba",I384="Ganti uang riba",I384="Kelebihan ganti dikembalikan",AND(C384="Kantong Uang Riba",G384="Pengeluaran"))),1,0)</f>
        <v/>
      </c>
      <c r="X384" s="93">
        <f>IF(AND(B384&lt;&gt;"",B384&gt;='Buku Akun'!$H$4,B384&lt;='Buku Akun'!$H$5,OR(C384='Buku Akun'!$C$4,AND(D384="Pindah",E384='Buku Akun'!$C$4))),B384+IF(AND(I384="Selisih bunga",DAY(B384)=1),0,0.01)+ROW()/10000000,"")</f>
        <v/>
      </c>
    </row>
    <row r="385" outlineLevel="1" ht="15" customHeight="1" s="94">
      <c r="A385" s="123">
        <f>IF(B385="","",ROW()-15)</f>
        <v/>
      </c>
      <c r="B385" s="124" t="n"/>
      <c r="C385" s="123" t="n"/>
      <c r="D385" s="123" t="n"/>
      <c r="E385" s="123" t="n"/>
      <c r="F385" s="125" t="n"/>
      <c r="G385" s="123" t="n"/>
      <c r="H385" s="123" t="n"/>
      <c r="I385" s="123" t="n"/>
      <c r="J385" s="123" t="n"/>
      <c r="K385" s="123" t="n"/>
      <c r="L385" s="123" t="n"/>
      <c r="M385" s="123">
        <f>IF(AND(B385&lt;&gt;"",OR($C$4="",ISNUMBER(SEARCH($C$4,C385&amp;" "&amp;E385&amp;" "&amp;G385&amp;" "&amp;H385&amp;" "&amp;I385&amp;" "&amp;J385&amp;" "&amp;K385&amp;" "&amp;L385))),OR($C$5="Semua",$C$5="",G385=$C$5),OR($C$6="Semua",$C$6="",H385=$C$6,H385="Pengeluaran "&amp;$C$6,AND($C$6="Uang Kos Mama",H385="Pengeluaran Uang Kos")),OR($C$7="Semua",$C$7="",I385=$C$7),OR($C$8="Semua",$C$8="",C385=$C$8,E385=$C$8),OR($C$9="Semua",$C$9="",D385=$C$9),OR($C$10="",B385&gt;=$C$10),OR($C$11="",B385&lt;=$C$11),OR($C$12&lt;&gt;"Ya",K385&lt;&gt;""),OR($C$13="Semua",$C$13="",L385=$C$13)),"✓","")</f>
        <v/>
      </c>
      <c r="N385" s="93">
        <f>N(N384)+IF(M385="✓",1,0)</f>
        <v/>
      </c>
      <c r="O385" s="93">
        <f>N(O384)+IF(AND(B385&lt;&gt;"",B385&gt;='Uang Riba'!$H$30,B385&lt;='Uang Riba'!$I$30,OR(H385="Dana riba",H385="Pinjam uang riba",I385="Pinjam dari uang riba",I385="Ganti uang riba",I385="Kelebihan ganti dikembalikan",AND(C385="Kantong Uang Riba",G385="Pengeluaran"))),1,0)</f>
        <v/>
      </c>
      <c r="X385" s="93">
        <f>IF(AND(B385&lt;&gt;"",B385&gt;='Buku Akun'!$H$4,B385&lt;='Buku Akun'!$H$5,OR(C385='Buku Akun'!$C$4,AND(D385="Pindah",E385='Buku Akun'!$C$4))),B385+IF(AND(I385="Selisih bunga",DAY(B385)=1),0,0.01)+ROW()/10000000,"")</f>
        <v/>
      </c>
    </row>
    <row r="386" outlineLevel="1" ht="15" customHeight="1" s="94">
      <c r="A386" s="123">
        <f>IF(B386="","",ROW()-15)</f>
        <v/>
      </c>
      <c r="B386" s="124" t="n"/>
      <c r="C386" s="123" t="n"/>
      <c r="D386" s="123" t="n"/>
      <c r="E386" s="123" t="n"/>
      <c r="F386" s="125" t="n"/>
      <c r="G386" s="123" t="n"/>
      <c r="H386" s="123" t="n"/>
      <c r="I386" s="123" t="n"/>
      <c r="J386" s="123" t="n"/>
      <c r="K386" s="123" t="n"/>
      <c r="L386" s="123" t="n"/>
      <c r="M386" s="123">
        <f>IF(AND(B386&lt;&gt;"",OR($C$4="",ISNUMBER(SEARCH($C$4,C386&amp;" "&amp;E386&amp;" "&amp;G386&amp;" "&amp;H386&amp;" "&amp;I386&amp;" "&amp;J386&amp;" "&amp;K386&amp;" "&amp;L386))),OR($C$5="Semua",$C$5="",G386=$C$5),OR($C$6="Semua",$C$6="",H386=$C$6,H386="Pengeluaran "&amp;$C$6,AND($C$6="Uang Kos Mama",H386="Pengeluaran Uang Kos")),OR($C$7="Semua",$C$7="",I386=$C$7),OR($C$8="Semua",$C$8="",C386=$C$8,E386=$C$8),OR($C$9="Semua",$C$9="",D386=$C$9),OR($C$10="",B386&gt;=$C$10),OR($C$11="",B386&lt;=$C$11),OR($C$12&lt;&gt;"Ya",K386&lt;&gt;""),OR($C$13="Semua",$C$13="",L386=$C$13)),"✓","")</f>
        <v/>
      </c>
      <c r="N386" s="93">
        <f>N(N385)+IF(M386="✓",1,0)</f>
        <v/>
      </c>
      <c r="O386" s="93">
        <f>N(O385)+IF(AND(B386&lt;&gt;"",B386&gt;='Uang Riba'!$H$30,B386&lt;='Uang Riba'!$I$30,OR(H386="Dana riba",H386="Pinjam uang riba",I386="Pinjam dari uang riba",I386="Ganti uang riba",I386="Kelebihan ganti dikembalikan",AND(C386="Kantong Uang Riba",G386="Pengeluaran"))),1,0)</f>
        <v/>
      </c>
      <c r="X386" s="93">
        <f>IF(AND(B386&lt;&gt;"",B386&gt;='Buku Akun'!$H$4,B386&lt;='Buku Akun'!$H$5,OR(C386='Buku Akun'!$C$4,AND(D386="Pindah",E386='Buku Akun'!$C$4))),B386+IF(AND(I386="Selisih bunga",DAY(B386)=1),0,0.01)+ROW()/10000000,"")</f>
        <v/>
      </c>
    </row>
    <row r="387" outlineLevel="1" ht="15" customHeight="1" s="94">
      <c r="A387" s="123">
        <f>IF(B387="","",ROW()-15)</f>
        <v/>
      </c>
      <c r="B387" s="124" t="n"/>
      <c r="C387" s="123" t="n"/>
      <c r="D387" s="123" t="n"/>
      <c r="E387" s="123" t="n"/>
      <c r="F387" s="125" t="n"/>
      <c r="G387" s="123" t="n"/>
      <c r="H387" s="123" t="n"/>
      <c r="I387" s="123" t="n"/>
      <c r="J387" s="123" t="n"/>
      <c r="K387" s="123" t="n"/>
      <c r="L387" s="123" t="n"/>
      <c r="M387" s="123">
        <f>IF(AND(B387&lt;&gt;"",OR($C$4="",ISNUMBER(SEARCH($C$4,C387&amp;" "&amp;E387&amp;" "&amp;G387&amp;" "&amp;H387&amp;" "&amp;I387&amp;" "&amp;J387&amp;" "&amp;K387&amp;" "&amp;L387))),OR($C$5="Semua",$C$5="",G387=$C$5),OR($C$6="Semua",$C$6="",H387=$C$6,H387="Pengeluaran "&amp;$C$6,AND($C$6="Uang Kos Mama",H387="Pengeluaran Uang Kos")),OR($C$7="Semua",$C$7="",I387=$C$7),OR($C$8="Semua",$C$8="",C387=$C$8,E387=$C$8),OR($C$9="Semua",$C$9="",D387=$C$9),OR($C$10="",B387&gt;=$C$10),OR($C$11="",B387&lt;=$C$11),OR($C$12&lt;&gt;"Ya",K387&lt;&gt;""),OR($C$13="Semua",$C$13="",L387=$C$13)),"✓","")</f>
        <v/>
      </c>
      <c r="N387" s="93">
        <f>N(N386)+IF(M387="✓",1,0)</f>
        <v/>
      </c>
      <c r="O387" s="93">
        <f>N(O386)+IF(AND(B387&lt;&gt;"",B387&gt;='Uang Riba'!$H$30,B387&lt;='Uang Riba'!$I$30,OR(H387="Dana riba",H387="Pinjam uang riba",I387="Pinjam dari uang riba",I387="Ganti uang riba",I387="Kelebihan ganti dikembalikan",AND(C387="Kantong Uang Riba",G387="Pengeluaran"))),1,0)</f>
        <v/>
      </c>
      <c r="X387" s="93">
        <f>IF(AND(B387&lt;&gt;"",B387&gt;='Buku Akun'!$H$4,B387&lt;='Buku Akun'!$H$5,OR(C387='Buku Akun'!$C$4,AND(D387="Pindah",E387='Buku Akun'!$C$4))),B387+IF(AND(I387="Selisih bunga",DAY(B387)=1),0,0.01)+ROW()/10000000,"")</f>
        <v/>
      </c>
    </row>
    <row r="388" outlineLevel="1" ht="15" customHeight="1" s="94">
      <c r="A388" s="123">
        <f>IF(B388="","",ROW()-15)</f>
        <v/>
      </c>
      <c r="B388" s="124" t="n"/>
      <c r="C388" s="123" t="n"/>
      <c r="D388" s="123" t="n"/>
      <c r="E388" s="123" t="n"/>
      <c r="F388" s="125" t="n"/>
      <c r="G388" s="123" t="n"/>
      <c r="H388" s="123" t="n"/>
      <c r="I388" s="123" t="n"/>
      <c r="J388" s="123" t="n"/>
      <c r="K388" s="123" t="n"/>
      <c r="L388" s="123" t="n"/>
      <c r="M388" s="123">
        <f>IF(AND(B388&lt;&gt;"",OR($C$4="",ISNUMBER(SEARCH($C$4,C388&amp;" "&amp;E388&amp;" "&amp;G388&amp;" "&amp;H388&amp;" "&amp;I388&amp;" "&amp;J388&amp;" "&amp;K388&amp;" "&amp;L388))),OR($C$5="Semua",$C$5="",G388=$C$5),OR($C$6="Semua",$C$6="",H388=$C$6,H388="Pengeluaran "&amp;$C$6,AND($C$6="Uang Kos Mama",H388="Pengeluaran Uang Kos")),OR($C$7="Semua",$C$7="",I388=$C$7),OR($C$8="Semua",$C$8="",C388=$C$8,E388=$C$8),OR($C$9="Semua",$C$9="",D388=$C$9),OR($C$10="",B388&gt;=$C$10),OR($C$11="",B388&lt;=$C$11),OR($C$12&lt;&gt;"Ya",K388&lt;&gt;""),OR($C$13="Semua",$C$13="",L388=$C$13)),"✓","")</f>
        <v/>
      </c>
      <c r="N388" s="93">
        <f>N(N387)+IF(M388="✓",1,0)</f>
        <v/>
      </c>
      <c r="O388" s="93">
        <f>N(O387)+IF(AND(B388&lt;&gt;"",B388&gt;='Uang Riba'!$H$30,B388&lt;='Uang Riba'!$I$30,OR(H388="Dana riba",H388="Pinjam uang riba",I388="Pinjam dari uang riba",I388="Ganti uang riba",I388="Kelebihan ganti dikembalikan",AND(C388="Kantong Uang Riba",G388="Pengeluaran"))),1,0)</f>
        <v/>
      </c>
      <c r="X388" s="93">
        <f>IF(AND(B388&lt;&gt;"",B388&gt;='Buku Akun'!$H$4,B388&lt;='Buku Akun'!$H$5,OR(C388='Buku Akun'!$C$4,AND(D388="Pindah",E388='Buku Akun'!$C$4))),B388+IF(AND(I388="Selisih bunga",DAY(B388)=1),0,0.01)+ROW()/10000000,"")</f>
        <v/>
      </c>
    </row>
    <row r="389" outlineLevel="1" ht="15" customHeight="1" s="94">
      <c r="A389" s="123">
        <f>IF(B389="","",ROW()-15)</f>
        <v/>
      </c>
      <c r="B389" s="124" t="n"/>
      <c r="C389" s="123" t="n"/>
      <c r="D389" s="123" t="n"/>
      <c r="E389" s="123" t="n"/>
      <c r="F389" s="125" t="n"/>
      <c r="G389" s="123" t="n"/>
      <c r="H389" s="123" t="n"/>
      <c r="I389" s="123" t="n"/>
      <c r="J389" s="123" t="n"/>
      <c r="K389" s="123" t="n"/>
      <c r="L389" s="123" t="n"/>
      <c r="M389" s="123">
        <f>IF(AND(B389&lt;&gt;"",OR($C$4="",ISNUMBER(SEARCH($C$4,C389&amp;" "&amp;E389&amp;" "&amp;G389&amp;" "&amp;H389&amp;" "&amp;I389&amp;" "&amp;J389&amp;" "&amp;K389&amp;" "&amp;L389))),OR($C$5="Semua",$C$5="",G389=$C$5),OR($C$6="Semua",$C$6="",H389=$C$6,H389="Pengeluaran "&amp;$C$6,AND($C$6="Uang Kos Mama",H389="Pengeluaran Uang Kos")),OR($C$7="Semua",$C$7="",I389=$C$7),OR($C$8="Semua",$C$8="",C389=$C$8,E389=$C$8),OR($C$9="Semua",$C$9="",D389=$C$9),OR($C$10="",B389&gt;=$C$10),OR($C$11="",B389&lt;=$C$11),OR($C$12&lt;&gt;"Ya",K389&lt;&gt;""),OR($C$13="Semua",$C$13="",L389=$C$13)),"✓","")</f>
        <v/>
      </c>
      <c r="N389" s="93">
        <f>N(N388)+IF(M389="✓",1,0)</f>
        <v/>
      </c>
      <c r="O389" s="93">
        <f>N(O388)+IF(AND(B389&lt;&gt;"",B389&gt;='Uang Riba'!$H$30,B389&lt;='Uang Riba'!$I$30,OR(H389="Dana riba",H389="Pinjam uang riba",I389="Pinjam dari uang riba",I389="Ganti uang riba",I389="Kelebihan ganti dikembalikan",AND(C389="Kantong Uang Riba",G389="Pengeluaran"))),1,0)</f>
        <v/>
      </c>
      <c r="X389" s="93">
        <f>IF(AND(B389&lt;&gt;"",B389&gt;='Buku Akun'!$H$4,B389&lt;='Buku Akun'!$H$5,OR(C389='Buku Akun'!$C$4,AND(D389="Pindah",E389='Buku Akun'!$C$4))),B389+IF(AND(I389="Selisih bunga",DAY(B389)=1),0,0.01)+ROW()/10000000,"")</f>
        <v/>
      </c>
    </row>
    <row r="390" outlineLevel="1" ht="15" customHeight="1" s="94">
      <c r="A390" s="123">
        <f>IF(B390="","",ROW()-15)</f>
        <v/>
      </c>
      <c r="B390" s="124" t="n"/>
      <c r="C390" s="123" t="n"/>
      <c r="D390" s="123" t="n"/>
      <c r="E390" s="123" t="n"/>
      <c r="F390" s="125" t="n"/>
      <c r="G390" s="123" t="n"/>
      <c r="H390" s="123" t="n"/>
      <c r="I390" s="123" t="n"/>
      <c r="J390" s="123" t="n"/>
      <c r="K390" s="123" t="n"/>
      <c r="L390" s="123" t="n"/>
      <c r="M390" s="123">
        <f>IF(AND(B390&lt;&gt;"",OR($C$4="",ISNUMBER(SEARCH($C$4,C390&amp;" "&amp;E390&amp;" "&amp;G390&amp;" "&amp;H390&amp;" "&amp;I390&amp;" "&amp;J390&amp;" "&amp;K390&amp;" "&amp;L390))),OR($C$5="Semua",$C$5="",G390=$C$5),OR($C$6="Semua",$C$6="",H390=$C$6,H390="Pengeluaran "&amp;$C$6,AND($C$6="Uang Kos Mama",H390="Pengeluaran Uang Kos")),OR($C$7="Semua",$C$7="",I390=$C$7),OR($C$8="Semua",$C$8="",C390=$C$8,E390=$C$8),OR($C$9="Semua",$C$9="",D390=$C$9),OR($C$10="",B390&gt;=$C$10),OR($C$11="",B390&lt;=$C$11),OR($C$12&lt;&gt;"Ya",K390&lt;&gt;""),OR($C$13="Semua",$C$13="",L390=$C$13)),"✓","")</f>
        <v/>
      </c>
      <c r="N390" s="93">
        <f>N(N389)+IF(M390="✓",1,0)</f>
        <v/>
      </c>
      <c r="O390" s="93">
        <f>N(O389)+IF(AND(B390&lt;&gt;"",B390&gt;='Uang Riba'!$H$30,B390&lt;='Uang Riba'!$I$30,OR(H390="Dana riba",H390="Pinjam uang riba",I390="Pinjam dari uang riba",I390="Ganti uang riba",I390="Kelebihan ganti dikembalikan",AND(C390="Kantong Uang Riba",G390="Pengeluaran"))),1,0)</f>
        <v/>
      </c>
      <c r="X390" s="93">
        <f>IF(AND(B390&lt;&gt;"",B390&gt;='Buku Akun'!$H$4,B390&lt;='Buku Akun'!$H$5,OR(C390='Buku Akun'!$C$4,AND(D390="Pindah",E390='Buku Akun'!$C$4))),B390+IF(AND(I390="Selisih bunga",DAY(B390)=1),0,0.01)+ROW()/10000000,"")</f>
        <v/>
      </c>
    </row>
    <row r="391" outlineLevel="1" ht="15" customHeight="1" s="94">
      <c r="A391" s="123">
        <f>IF(B391="","",ROW()-15)</f>
        <v/>
      </c>
      <c r="B391" s="124" t="n"/>
      <c r="C391" s="123" t="n"/>
      <c r="D391" s="123" t="n"/>
      <c r="E391" s="123" t="n"/>
      <c r="F391" s="125" t="n"/>
      <c r="G391" s="123" t="n"/>
      <c r="H391" s="123" t="n"/>
      <c r="I391" s="123" t="n"/>
      <c r="J391" s="123" t="n"/>
      <c r="K391" s="123" t="n"/>
      <c r="L391" s="123" t="n"/>
      <c r="M391" s="123">
        <f>IF(AND(B391&lt;&gt;"",OR($C$4="",ISNUMBER(SEARCH($C$4,C391&amp;" "&amp;E391&amp;" "&amp;G391&amp;" "&amp;H391&amp;" "&amp;I391&amp;" "&amp;J391&amp;" "&amp;K391&amp;" "&amp;L391))),OR($C$5="Semua",$C$5="",G391=$C$5),OR($C$6="Semua",$C$6="",H391=$C$6,H391="Pengeluaran "&amp;$C$6,AND($C$6="Uang Kos Mama",H391="Pengeluaran Uang Kos")),OR($C$7="Semua",$C$7="",I391=$C$7),OR($C$8="Semua",$C$8="",C391=$C$8,E391=$C$8),OR($C$9="Semua",$C$9="",D391=$C$9),OR($C$10="",B391&gt;=$C$10),OR($C$11="",B391&lt;=$C$11),OR($C$12&lt;&gt;"Ya",K391&lt;&gt;""),OR($C$13="Semua",$C$13="",L391=$C$13)),"✓","")</f>
        <v/>
      </c>
      <c r="N391" s="93">
        <f>N(N390)+IF(M391="✓",1,0)</f>
        <v/>
      </c>
      <c r="O391" s="93">
        <f>N(O390)+IF(AND(B391&lt;&gt;"",B391&gt;='Uang Riba'!$H$30,B391&lt;='Uang Riba'!$I$30,OR(H391="Dana riba",H391="Pinjam uang riba",I391="Pinjam dari uang riba",I391="Ganti uang riba",I391="Kelebihan ganti dikembalikan",AND(C391="Kantong Uang Riba",G391="Pengeluaran"))),1,0)</f>
        <v/>
      </c>
      <c r="X391" s="93">
        <f>IF(AND(B391&lt;&gt;"",B391&gt;='Buku Akun'!$H$4,B391&lt;='Buku Akun'!$H$5,OR(C391='Buku Akun'!$C$4,AND(D391="Pindah",E391='Buku Akun'!$C$4))),B391+IF(AND(I391="Selisih bunga",DAY(B391)=1),0,0.01)+ROW()/10000000,"")</f>
        <v/>
      </c>
    </row>
    <row r="392" outlineLevel="1" ht="15" customHeight="1" s="94">
      <c r="A392" s="123">
        <f>IF(B392="","",ROW()-15)</f>
        <v/>
      </c>
      <c r="B392" s="124" t="n"/>
      <c r="C392" s="123" t="n"/>
      <c r="D392" s="123" t="n"/>
      <c r="E392" s="123" t="n"/>
      <c r="F392" s="125" t="n"/>
      <c r="G392" s="123" t="n"/>
      <c r="H392" s="123" t="n"/>
      <c r="I392" s="123" t="n"/>
      <c r="J392" s="123" t="n"/>
      <c r="K392" s="123" t="n"/>
      <c r="L392" s="123" t="n"/>
      <c r="M392" s="123">
        <f>IF(AND(B392&lt;&gt;"",OR($C$4="",ISNUMBER(SEARCH($C$4,C392&amp;" "&amp;E392&amp;" "&amp;G392&amp;" "&amp;H392&amp;" "&amp;I392&amp;" "&amp;J392&amp;" "&amp;K392&amp;" "&amp;L392))),OR($C$5="Semua",$C$5="",G392=$C$5),OR($C$6="Semua",$C$6="",H392=$C$6,H392="Pengeluaran "&amp;$C$6,AND($C$6="Uang Kos Mama",H392="Pengeluaran Uang Kos")),OR($C$7="Semua",$C$7="",I392=$C$7),OR($C$8="Semua",$C$8="",C392=$C$8,E392=$C$8),OR($C$9="Semua",$C$9="",D392=$C$9),OR($C$10="",B392&gt;=$C$10),OR($C$11="",B392&lt;=$C$11),OR($C$12&lt;&gt;"Ya",K392&lt;&gt;""),OR($C$13="Semua",$C$13="",L392=$C$13)),"✓","")</f>
        <v/>
      </c>
      <c r="N392" s="93">
        <f>N(N391)+IF(M392="✓",1,0)</f>
        <v/>
      </c>
      <c r="O392" s="93">
        <f>N(O391)+IF(AND(B392&lt;&gt;"",B392&gt;='Uang Riba'!$H$30,B392&lt;='Uang Riba'!$I$30,OR(H392="Dana riba",H392="Pinjam uang riba",I392="Pinjam dari uang riba",I392="Ganti uang riba",I392="Kelebihan ganti dikembalikan",AND(C392="Kantong Uang Riba",G392="Pengeluaran"))),1,0)</f>
        <v/>
      </c>
      <c r="X392" s="93">
        <f>IF(AND(B392&lt;&gt;"",B392&gt;='Buku Akun'!$H$4,B392&lt;='Buku Akun'!$H$5,OR(C392='Buku Akun'!$C$4,AND(D392="Pindah",E392='Buku Akun'!$C$4))),B392+IF(AND(I392="Selisih bunga",DAY(B392)=1),0,0.01)+ROW()/10000000,"")</f>
        <v/>
      </c>
    </row>
    <row r="393" outlineLevel="1" ht="15" customHeight="1" s="94">
      <c r="A393" s="123">
        <f>IF(B393="","",ROW()-15)</f>
        <v/>
      </c>
      <c r="B393" s="124" t="n"/>
      <c r="C393" s="123" t="n"/>
      <c r="D393" s="123" t="n"/>
      <c r="E393" s="123" t="n"/>
      <c r="F393" s="125" t="n"/>
      <c r="G393" s="123" t="n"/>
      <c r="H393" s="123" t="n"/>
      <c r="I393" s="123" t="n"/>
      <c r="J393" s="123" t="n"/>
      <c r="K393" s="123" t="n"/>
      <c r="L393" s="123" t="n"/>
      <c r="M393" s="123">
        <f>IF(AND(B393&lt;&gt;"",OR($C$4="",ISNUMBER(SEARCH($C$4,C393&amp;" "&amp;E393&amp;" "&amp;G393&amp;" "&amp;H393&amp;" "&amp;I393&amp;" "&amp;J393&amp;" "&amp;K393&amp;" "&amp;L393))),OR($C$5="Semua",$C$5="",G393=$C$5),OR($C$6="Semua",$C$6="",H393=$C$6,H393="Pengeluaran "&amp;$C$6,AND($C$6="Uang Kos Mama",H393="Pengeluaran Uang Kos")),OR($C$7="Semua",$C$7="",I393=$C$7),OR($C$8="Semua",$C$8="",C393=$C$8,E393=$C$8),OR($C$9="Semua",$C$9="",D393=$C$9),OR($C$10="",B393&gt;=$C$10),OR($C$11="",B393&lt;=$C$11),OR($C$12&lt;&gt;"Ya",K393&lt;&gt;""),OR($C$13="Semua",$C$13="",L393=$C$13)),"✓","")</f>
        <v/>
      </c>
      <c r="N393" s="93">
        <f>N(N392)+IF(M393="✓",1,0)</f>
        <v/>
      </c>
      <c r="O393" s="93">
        <f>N(O392)+IF(AND(B393&lt;&gt;"",B393&gt;='Uang Riba'!$H$30,B393&lt;='Uang Riba'!$I$30,OR(H393="Dana riba",H393="Pinjam uang riba",I393="Pinjam dari uang riba",I393="Ganti uang riba",I393="Kelebihan ganti dikembalikan",AND(C393="Kantong Uang Riba",G393="Pengeluaran"))),1,0)</f>
        <v/>
      </c>
      <c r="X393" s="93">
        <f>IF(AND(B393&lt;&gt;"",B393&gt;='Buku Akun'!$H$4,B393&lt;='Buku Akun'!$H$5,OR(C393='Buku Akun'!$C$4,AND(D393="Pindah",E393='Buku Akun'!$C$4))),B393+IF(AND(I393="Selisih bunga",DAY(B393)=1),0,0.01)+ROW()/10000000,"")</f>
        <v/>
      </c>
    </row>
    <row r="394" outlineLevel="1" ht="15" customHeight="1" s="94">
      <c r="A394" s="123">
        <f>IF(B394="","",ROW()-15)</f>
        <v/>
      </c>
      <c r="B394" s="124" t="n"/>
      <c r="C394" s="123" t="n"/>
      <c r="D394" s="123" t="n"/>
      <c r="E394" s="123" t="n"/>
      <c r="F394" s="125" t="n"/>
      <c r="G394" s="123" t="n"/>
      <c r="H394" s="123" t="n"/>
      <c r="I394" s="123" t="n"/>
      <c r="J394" s="123" t="n"/>
      <c r="K394" s="123" t="n"/>
      <c r="L394" s="123" t="n"/>
      <c r="M394" s="123">
        <f>IF(AND(B394&lt;&gt;"",OR($C$4="",ISNUMBER(SEARCH($C$4,C394&amp;" "&amp;E394&amp;" "&amp;G394&amp;" "&amp;H394&amp;" "&amp;I394&amp;" "&amp;J394&amp;" "&amp;K394&amp;" "&amp;L394))),OR($C$5="Semua",$C$5="",G394=$C$5),OR($C$6="Semua",$C$6="",H394=$C$6,H394="Pengeluaran "&amp;$C$6,AND($C$6="Uang Kos Mama",H394="Pengeluaran Uang Kos")),OR($C$7="Semua",$C$7="",I394=$C$7),OR($C$8="Semua",$C$8="",C394=$C$8,E394=$C$8),OR($C$9="Semua",$C$9="",D394=$C$9),OR($C$10="",B394&gt;=$C$10),OR($C$11="",B394&lt;=$C$11),OR($C$12&lt;&gt;"Ya",K394&lt;&gt;""),OR($C$13="Semua",$C$13="",L394=$C$13)),"✓","")</f>
        <v/>
      </c>
      <c r="N394" s="93">
        <f>N(N393)+IF(M394="✓",1,0)</f>
        <v/>
      </c>
      <c r="O394" s="93">
        <f>N(O393)+IF(AND(B394&lt;&gt;"",B394&gt;='Uang Riba'!$H$30,B394&lt;='Uang Riba'!$I$30,OR(H394="Dana riba",H394="Pinjam uang riba",I394="Pinjam dari uang riba",I394="Ganti uang riba",I394="Kelebihan ganti dikembalikan",AND(C394="Kantong Uang Riba",G394="Pengeluaran"))),1,0)</f>
        <v/>
      </c>
      <c r="X394" s="93">
        <f>IF(AND(B394&lt;&gt;"",B394&gt;='Buku Akun'!$H$4,B394&lt;='Buku Akun'!$H$5,OR(C394='Buku Akun'!$C$4,AND(D394="Pindah",E394='Buku Akun'!$C$4))),B394+IF(AND(I394="Selisih bunga",DAY(B394)=1),0,0.01)+ROW()/10000000,"")</f>
        <v/>
      </c>
    </row>
    <row r="395" outlineLevel="1" ht="15" customHeight="1" s="94">
      <c r="A395" s="123">
        <f>IF(B395="","",ROW()-15)</f>
        <v/>
      </c>
      <c r="B395" s="124" t="n"/>
      <c r="C395" s="123" t="n"/>
      <c r="D395" s="123" t="n"/>
      <c r="E395" s="123" t="n"/>
      <c r="F395" s="125" t="n"/>
      <c r="G395" s="123" t="n"/>
      <c r="H395" s="123" t="n"/>
      <c r="I395" s="123" t="n"/>
      <c r="J395" s="123" t="n"/>
      <c r="K395" s="123" t="n"/>
      <c r="L395" s="123" t="n"/>
      <c r="M395" s="123">
        <f>IF(AND(B395&lt;&gt;"",OR($C$4="",ISNUMBER(SEARCH($C$4,C395&amp;" "&amp;E395&amp;" "&amp;G395&amp;" "&amp;H395&amp;" "&amp;I395&amp;" "&amp;J395&amp;" "&amp;K395&amp;" "&amp;L395))),OR($C$5="Semua",$C$5="",G395=$C$5),OR($C$6="Semua",$C$6="",H395=$C$6,H395="Pengeluaran "&amp;$C$6,AND($C$6="Uang Kos Mama",H395="Pengeluaran Uang Kos")),OR($C$7="Semua",$C$7="",I395=$C$7),OR($C$8="Semua",$C$8="",C395=$C$8,E395=$C$8),OR($C$9="Semua",$C$9="",D395=$C$9),OR($C$10="",B395&gt;=$C$10),OR($C$11="",B395&lt;=$C$11),OR($C$12&lt;&gt;"Ya",K395&lt;&gt;""),OR($C$13="Semua",$C$13="",L395=$C$13)),"✓","")</f>
        <v/>
      </c>
      <c r="N395" s="93">
        <f>N(N394)+IF(M395="✓",1,0)</f>
        <v/>
      </c>
      <c r="O395" s="93">
        <f>N(O394)+IF(AND(B395&lt;&gt;"",B395&gt;='Uang Riba'!$H$30,B395&lt;='Uang Riba'!$I$30,OR(H395="Dana riba",H395="Pinjam uang riba",I395="Pinjam dari uang riba",I395="Ganti uang riba",I395="Kelebihan ganti dikembalikan",AND(C395="Kantong Uang Riba",G395="Pengeluaran"))),1,0)</f>
        <v/>
      </c>
      <c r="X395" s="93">
        <f>IF(AND(B395&lt;&gt;"",B395&gt;='Buku Akun'!$H$4,B395&lt;='Buku Akun'!$H$5,OR(C395='Buku Akun'!$C$4,AND(D395="Pindah",E395='Buku Akun'!$C$4))),B395+IF(AND(I395="Selisih bunga",DAY(B395)=1),0,0.01)+ROW()/10000000,"")</f>
        <v/>
      </c>
    </row>
    <row r="396" outlineLevel="1" ht="15" customHeight="1" s="94">
      <c r="A396" s="123">
        <f>IF(B396="","",ROW()-15)</f>
        <v/>
      </c>
      <c r="B396" s="124" t="n"/>
      <c r="C396" s="123" t="n"/>
      <c r="D396" s="123" t="n"/>
      <c r="E396" s="123" t="n"/>
      <c r="F396" s="125" t="n"/>
      <c r="G396" s="123" t="n"/>
      <c r="H396" s="123" t="n"/>
      <c r="I396" s="123" t="n"/>
      <c r="J396" s="123" t="n"/>
      <c r="K396" s="123" t="n"/>
      <c r="L396" s="123" t="n"/>
      <c r="M396" s="123">
        <f>IF(AND(B396&lt;&gt;"",OR($C$4="",ISNUMBER(SEARCH($C$4,C396&amp;" "&amp;E396&amp;" "&amp;G396&amp;" "&amp;H396&amp;" "&amp;I396&amp;" "&amp;J396&amp;" "&amp;K396&amp;" "&amp;L396))),OR($C$5="Semua",$C$5="",G396=$C$5),OR($C$6="Semua",$C$6="",H396=$C$6,H396="Pengeluaran "&amp;$C$6,AND($C$6="Uang Kos Mama",H396="Pengeluaran Uang Kos")),OR($C$7="Semua",$C$7="",I396=$C$7),OR($C$8="Semua",$C$8="",C396=$C$8,E396=$C$8),OR($C$9="Semua",$C$9="",D396=$C$9),OR($C$10="",B396&gt;=$C$10),OR($C$11="",B396&lt;=$C$11),OR($C$12&lt;&gt;"Ya",K396&lt;&gt;""),OR($C$13="Semua",$C$13="",L396=$C$13)),"✓","")</f>
        <v/>
      </c>
      <c r="N396" s="93">
        <f>N(N395)+IF(M396="✓",1,0)</f>
        <v/>
      </c>
      <c r="O396" s="93">
        <f>N(O395)+IF(AND(B396&lt;&gt;"",B396&gt;='Uang Riba'!$H$30,B396&lt;='Uang Riba'!$I$30,OR(H396="Dana riba",H396="Pinjam uang riba",I396="Pinjam dari uang riba",I396="Ganti uang riba",I396="Kelebihan ganti dikembalikan",AND(C396="Kantong Uang Riba",G396="Pengeluaran"))),1,0)</f>
        <v/>
      </c>
      <c r="X396" s="93">
        <f>IF(AND(B396&lt;&gt;"",B396&gt;='Buku Akun'!$H$4,B396&lt;='Buku Akun'!$H$5,OR(C396='Buku Akun'!$C$4,AND(D396="Pindah",E396='Buku Akun'!$C$4))),B396+IF(AND(I396="Selisih bunga",DAY(B396)=1),0,0.01)+ROW()/10000000,"")</f>
        <v/>
      </c>
    </row>
    <row r="397" outlineLevel="1" ht="15" customHeight="1" s="94">
      <c r="A397" s="123">
        <f>IF(B397="","",ROW()-15)</f>
        <v/>
      </c>
      <c r="B397" s="124" t="n"/>
      <c r="C397" s="123" t="n"/>
      <c r="D397" s="123" t="n"/>
      <c r="E397" s="123" t="n"/>
      <c r="F397" s="125" t="n"/>
      <c r="G397" s="123" t="n"/>
      <c r="H397" s="123" t="n"/>
      <c r="I397" s="123" t="n"/>
      <c r="J397" s="123" t="n"/>
      <c r="K397" s="123" t="n"/>
      <c r="L397" s="123" t="n"/>
      <c r="M397" s="123">
        <f>IF(AND(B397&lt;&gt;"",OR($C$4="",ISNUMBER(SEARCH($C$4,C397&amp;" "&amp;E397&amp;" "&amp;G397&amp;" "&amp;H397&amp;" "&amp;I397&amp;" "&amp;J397&amp;" "&amp;K397&amp;" "&amp;L397))),OR($C$5="Semua",$C$5="",G397=$C$5),OR($C$6="Semua",$C$6="",H397=$C$6,H397="Pengeluaran "&amp;$C$6,AND($C$6="Uang Kos Mama",H397="Pengeluaran Uang Kos")),OR($C$7="Semua",$C$7="",I397=$C$7),OR($C$8="Semua",$C$8="",C397=$C$8,E397=$C$8),OR($C$9="Semua",$C$9="",D397=$C$9),OR($C$10="",B397&gt;=$C$10),OR($C$11="",B397&lt;=$C$11),OR($C$12&lt;&gt;"Ya",K397&lt;&gt;""),OR($C$13="Semua",$C$13="",L397=$C$13)),"✓","")</f>
        <v/>
      </c>
      <c r="N397" s="93">
        <f>N(N396)+IF(M397="✓",1,0)</f>
        <v/>
      </c>
      <c r="O397" s="93">
        <f>N(O396)+IF(AND(B397&lt;&gt;"",B397&gt;='Uang Riba'!$H$30,B397&lt;='Uang Riba'!$I$30,OR(H397="Dana riba",H397="Pinjam uang riba",I397="Pinjam dari uang riba",I397="Ganti uang riba",I397="Kelebihan ganti dikembalikan",AND(C397="Kantong Uang Riba",G397="Pengeluaran"))),1,0)</f>
        <v/>
      </c>
      <c r="X397" s="93">
        <f>IF(AND(B397&lt;&gt;"",B397&gt;='Buku Akun'!$H$4,B397&lt;='Buku Akun'!$H$5,OR(C397='Buku Akun'!$C$4,AND(D397="Pindah",E397='Buku Akun'!$C$4))),B397+IF(AND(I397="Selisih bunga",DAY(B397)=1),0,0.01)+ROW()/10000000,"")</f>
        <v/>
      </c>
    </row>
    <row r="398" outlineLevel="1" ht="15" customHeight="1" s="94">
      <c r="A398" s="123">
        <f>IF(B398="","",ROW()-15)</f>
        <v/>
      </c>
      <c r="B398" s="124" t="n"/>
      <c r="C398" s="123" t="n"/>
      <c r="D398" s="123" t="n"/>
      <c r="E398" s="123" t="n"/>
      <c r="F398" s="125" t="n"/>
      <c r="G398" s="123" t="n"/>
      <c r="H398" s="123" t="n"/>
      <c r="I398" s="123" t="n"/>
      <c r="J398" s="123" t="n"/>
      <c r="K398" s="123" t="n"/>
      <c r="L398" s="123" t="n"/>
      <c r="M398" s="123">
        <f>IF(AND(B398&lt;&gt;"",OR($C$4="",ISNUMBER(SEARCH($C$4,C398&amp;" "&amp;E398&amp;" "&amp;G398&amp;" "&amp;H398&amp;" "&amp;I398&amp;" "&amp;J398&amp;" "&amp;K398&amp;" "&amp;L398))),OR($C$5="Semua",$C$5="",G398=$C$5),OR($C$6="Semua",$C$6="",H398=$C$6,H398="Pengeluaran "&amp;$C$6,AND($C$6="Uang Kos Mama",H398="Pengeluaran Uang Kos")),OR($C$7="Semua",$C$7="",I398=$C$7),OR($C$8="Semua",$C$8="",C398=$C$8,E398=$C$8),OR($C$9="Semua",$C$9="",D398=$C$9),OR($C$10="",B398&gt;=$C$10),OR($C$11="",B398&lt;=$C$11),OR($C$12&lt;&gt;"Ya",K398&lt;&gt;""),OR($C$13="Semua",$C$13="",L398=$C$13)),"✓","")</f>
        <v/>
      </c>
      <c r="N398" s="93">
        <f>N(N397)+IF(M398="✓",1,0)</f>
        <v/>
      </c>
      <c r="O398" s="93">
        <f>N(O397)+IF(AND(B398&lt;&gt;"",B398&gt;='Uang Riba'!$H$30,B398&lt;='Uang Riba'!$I$30,OR(H398="Dana riba",H398="Pinjam uang riba",I398="Pinjam dari uang riba",I398="Ganti uang riba",I398="Kelebihan ganti dikembalikan",AND(C398="Kantong Uang Riba",G398="Pengeluaran"))),1,0)</f>
        <v/>
      </c>
      <c r="X398" s="93">
        <f>IF(AND(B398&lt;&gt;"",B398&gt;='Buku Akun'!$H$4,B398&lt;='Buku Akun'!$H$5,OR(C398='Buku Akun'!$C$4,AND(D398="Pindah",E398='Buku Akun'!$C$4))),B398+IF(AND(I398="Selisih bunga",DAY(B398)=1),0,0.01)+ROW()/10000000,"")</f>
        <v/>
      </c>
    </row>
    <row r="399" outlineLevel="1" ht="15" customHeight="1" s="94">
      <c r="A399" s="123">
        <f>IF(B399="","",ROW()-15)</f>
        <v/>
      </c>
      <c r="B399" s="124" t="n"/>
      <c r="C399" s="123" t="n"/>
      <c r="D399" s="123" t="n"/>
      <c r="E399" s="123" t="n"/>
      <c r="F399" s="125" t="n"/>
      <c r="G399" s="123" t="n"/>
      <c r="H399" s="123" t="n"/>
      <c r="I399" s="123" t="n"/>
      <c r="J399" s="123" t="n"/>
      <c r="K399" s="123" t="n"/>
      <c r="L399" s="123" t="n"/>
      <c r="M399" s="123">
        <f>IF(AND(B399&lt;&gt;"",OR($C$4="",ISNUMBER(SEARCH($C$4,C399&amp;" "&amp;E399&amp;" "&amp;G399&amp;" "&amp;H399&amp;" "&amp;I399&amp;" "&amp;J399&amp;" "&amp;K399&amp;" "&amp;L399))),OR($C$5="Semua",$C$5="",G399=$C$5),OR($C$6="Semua",$C$6="",H399=$C$6,H399="Pengeluaran "&amp;$C$6,AND($C$6="Uang Kos Mama",H399="Pengeluaran Uang Kos")),OR($C$7="Semua",$C$7="",I399=$C$7),OR($C$8="Semua",$C$8="",C399=$C$8,E399=$C$8),OR($C$9="Semua",$C$9="",D399=$C$9),OR($C$10="",B399&gt;=$C$10),OR($C$11="",B399&lt;=$C$11),OR($C$12&lt;&gt;"Ya",K399&lt;&gt;""),OR($C$13="Semua",$C$13="",L399=$C$13)),"✓","")</f>
        <v/>
      </c>
      <c r="N399" s="93">
        <f>N(N398)+IF(M399="✓",1,0)</f>
        <v/>
      </c>
      <c r="O399" s="93">
        <f>N(O398)+IF(AND(B399&lt;&gt;"",B399&gt;='Uang Riba'!$H$30,B399&lt;='Uang Riba'!$I$30,OR(H399="Dana riba",H399="Pinjam uang riba",I399="Pinjam dari uang riba",I399="Ganti uang riba",I399="Kelebihan ganti dikembalikan",AND(C399="Kantong Uang Riba",G399="Pengeluaran"))),1,0)</f>
        <v/>
      </c>
      <c r="X399" s="93">
        <f>IF(AND(B399&lt;&gt;"",B399&gt;='Buku Akun'!$H$4,B399&lt;='Buku Akun'!$H$5,OR(C399='Buku Akun'!$C$4,AND(D399="Pindah",E399='Buku Akun'!$C$4))),B399+IF(AND(I399="Selisih bunga",DAY(B399)=1),0,0.01)+ROW()/10000000,"")</f>
        <v/>
      </c>
    </row>
    <row r="400" outlineLevel="1" ht="15" customHeight="1" s="94">
      <c r="A400" s="123">
        <f>IF(B400="","",ROW()-15)</f>
        <v/>
      </c>
      <c r="B400" s="124" t="n"/>
      <c r="C400" s="123" t="n"/>
      <c r="D400" s="123" t="n"/>
      <c r="E400" s="123" t="n"/>
      <c r="F400" s="125" t="n"/>
      <c r="G400" s="123" t="n"/>
      <c r="H400" s="123" t="n"/>
      <c r="I400" s="123" t="n"/>
      <c r="J400" s="123" t="n"/>
      <c r="K400" s="123" t="n"/>
      <c r="L400" s="123" t="n"/>
      <c r="M400" s="123">
        <f>IF(AND(B400&lt;&gt;"",OR($C$4="",ISNUMBER(SEARCH($C$4,C400&amp;" "&amp;E400&amp;" "&amp;G400&amp;" "&amp;H400&amp;" "&amp;I400&amp;" "&amp;J400&amp;" "&amp;K400&amp;" "&amp;L400))),OR($C$5="Semua",$C$5="",G400=$C$5),OR($C$6="Semua",$C$6="",H400=$C$6,H400="Pengeluaran "&amp;$C$6,AND($C$6="Uang Kos Mama",H400="Pengeluaran Uang Kos")),OR($C$7="Semua",$C$7="",I400=$C$7),OR($C$8="Semua",$C$8="",C400=$C$8,E400=$C$8),OR($C$9="Semua",$C$9="",D400=$C$9),OR($C$10="",B400&gt;=$C$10),OR($C$11="",B400&lt;=$C$11),OR($C$12&lt;&gt;"Ya",K400&lt;&gt;""),OR($C$13="Semua",$C$13="",L400=$C$13)),"✓","")</f>
        <v/>
      </c>
      <c r="N400" s="93">
        <f>N(N399)+IF(M400="✓",1,0)</f>
        <v/>
      </c>
      <c r="O400" s="93">
        <f>N(O399)+IF(AND(B400&lt;&gt;"",B400&gt;='Uang Riba'!$H$30,B400&lt;='Uang Riba'!$I$30,OR(H400="Dana riba",H400="Pinjam uang riba",I400="Pinjam dari uang riba",I400="Ganti uang riba",I400="Kelebihan ganti dikembalikan",AND(C400="Kantong Uang Riba",G400="Pengeluaran"))),1,0)</f>
        <v/>
      </c>
      <c r="X400" s="93">
        <f>IF(AND(B400&lt;&gt;"",B400&gt;='Buku Akun'!$H$4,B400&lt;='Buku Akun'!$H$5,OR(C400='Buku Akun'!$C$4,AND(D400="Pindah",E400='Buku Akun'!$C$4))),B400+IF(AND(I400="Selisih bunga",DAY(B400)=1),0,0.01)+ROW()/10000000,"")</f>
        <v/>
      </c>
    </row>
    <row r="401" outlineLevel="1" ht="15" customHeight="1" s="94">
      <c r="A401" s="123">
        <f>IF(B401="","",ROW()-15)</f>
        <v/>
      </c>
      <c r="B401" s="124" t="n"/>
      <c r="C401" s="123" t="n"/>
      <c r="D401" s="123" t="n"/>
      <c r="E401" s="123" t="n"/>
      <c r="F401" s="125" t="n"/>
      <c r="G401" s="123" t="n"/>
      <c r="H401" s="123" t="n"/>
      <c r="I401" s="123" t="n"/>
      <c r="J401" s="123" t="n"/>
      <c r="K401" s="123" t="n"/>
      <c r="L401" s="123" t="n"/>
      <c r="M401" s="123">
        <f>IF(AND(B401&lt;&gt;"",OR($C$4="",ISNUMBER(SEARCH($C$4,C401&amp;" "&amp;E401&amp;" "&amp;G401&amp;" "&amp;H401&amp;" "&amp;I401&amp;" "&amp;J401&amp;" "&amp;K401&amp;" "&amp;L401))),OR($C$5="Semua",$C$5="",G401=$C$5),OR($C$6="Semua",$C$6="",H401=$C$6,H401="Pengeluaran "&amp;$C$6,AND($C$6="Uang Kos Mama",H401="Pengeluaran Uang Kos")),OR($C$7="Semua",$C$7="",I401=$C$7),OR($C$8="Semua",$C$8="",C401=$C$8,E401=$C$8),OR($C$9="Semua",$C$9="",D401=$C$9),OR($C$10="",B401&gt;=$C$10),OR($C$11="",B401&lt;=$C$11),OR($C$12&lt;&gt;"Ya",K401&lt;&gt;""),OR($C$13="Semua",$C$13="",L401=$C$13)),"✓","")</f>
        <v/>
      </c>
      <c r="N401" s="93">
        <f>N(N400)+IF(M401="✓",1,0)</f>
        <v/>
      </c>
      <c r="O401" s="93">
        <f>N(O400)+IF(AND(B401&lt;&gt;"",B401&gt;='Uang Riba'!$H$30,B401&lt;='Uang Riba'!$I$30,OR(H401="Dana riba",H401="Pinjam uang riba",I401="Pinjam dari uang riba",I401="Ganti uang riba",I401="Kelebihan ganti dikembalikan",AND(C401="Kantong Uang Riba",G401="Pengeluaran"))),1,0)</f>
        <v/>
      </c>
      <c r="X401" s="93">
        <f>IF(AND(B401&lt;&gt;"",B401&gt;='Buku Akun'!$H$4,B401&lt;='Buku Akun'!$H$5,OR(C401='Buku Akun'!$C$4,AND(D401="Pindah",E401='Buku Akun'!$C$4))),B401+IF(AND(I401="Selisih bunga",DAY(B401)=1),0,0.01)+ROW()/10000000,"")</f>
        <v/>
      </c>
    </row>
    <row r="402" outlineLevel="1" ht="15" customHeight="1" s="94">
      <c r="A402" s="123">
        <f>IF(B402="","",ROW()-15)</f>
        <v/>
      </c>
      <c r="B402" s="124" t="n"/>
      <c r="C402" s="123" t="n"/>
      <c r="D402" s="123" t="n"/>
      <c r="E402" s="123" t="n"/>
      <c r="F402" s="125" t="n"/>
      <c r="G402" s="123" t="n"/>
      <c r="H402" s="123" t="n"/>
      <c r="I402" s="123" t="n"/>
      <c r="J402" s="123" t="n"/>
      <c r="K402" s="123" t="n"/>
      <c r="L402" s="123" t="n"/>
      <c r="M402" s="123">
        <f>IF(AND(B402&lt;&gt;"",OR($C$4="",ISNUMBER(SEARCH($C$4,C402&amp;" "&amp;E402&amp;" "&amp;G402&amp;" "&amp;H402&amp;" "&amp;I402&amp;" "&amp;J402&amp;" "&amp;K402&amp;" "&amp;L402))),OR($C$5="Semua",$C$5="",G402=$C$5),OR($C$6="Semua",$C$6="",H402=$C$6,H402="Pengeluaran "&amp;$C$6,AND($C$6="Uang Kos Mama",H402="Pengeluaran Uang Kos")),OR($C$7="Semua",$C$7="",I402=$C$7),OR($C$8="Semua",$C$8="",C402=$C$8,E402=$C$8),OR($C$9="Semua",$C$9="",D402=$C$9),OR($C$10="",B402&gt;=$C$10),OR($C$11="",B402&lt;=$C$11),OR($C$12&lt;&gt;"Ya",K402&lt;&gt;""),OR($C$13="Semua",$C$13="",L402=$C$13)),"✓","")</f>
        <v/>
      </c>
      <c r="N402" s="93">
        <f>N(N401)+IF(M402="✓",1,0)</f>
        <v/>
      </c>
      <c r="O402" s="93">
        <f>N(O401)+IF(AND(B402&lt;&gt;"",B402&gt;='Uang Riba'!$H$30,B402&lt;='Uang Riba'!$I$30,OR(H402="Dana riba",H402="Pinjam uang riba",I402="Pinjam dari uang riba",I402="Ganti uang riba",I402="Kelebihan ganti dikembalikan",AND(C402="Kantong Uang Riba",G402="Pengeluaran"))),1,0)</f>
        <v/>
      </c>
      <c r="X402" s="93">
        <f>IF(AND(B402&lt;&gt;"",B402&gt;='Buku Akun'!$H$4,B402&lt;='Buku Akun'!$H$5,OR(C402='Buku Akun'!$C$4,AND(D402="Pindah",E402='Buku Akun'!$C$4))),B402+IF(AND(I402="Selisih bunga",DAY(B402)=1),0,0.01)+ROW()/10000000,"")</f>
        <v/>
      </c>
    </row>
    <row r="403" outlineLevel="1" ht="15" customHeight="1" s="94">
      <c r="A403" s="123">
        <f>IF(B403="","",ROW()-15)</f>
        <v/>
      </c>
      <c r="B403" s="124" t="n"/>
      <c r="C403" s="123" t="n"/>
      <c r="D403" s="123" t="n"/>
      <c r="E403" s="123" t="n"/>
      <c r="F403" s="125" t="n"/>
      <c r="G403" s="123" t="n"/>
      <c r="H403" s="123" t="n"/>
      <c r="I403" s="123" t="n"/>
      <c r="J403" s="123" t="n"/>
      <c r="K403" s="123" t="n"/>
      <c r="L403" s="123" t="n"/>
      <c r="M403" s="123">
        <f>IF(AND(B403&lt;&gt;"",OR($C$4="",ISNUMBER(SEARCH($C$4,C403&amp;" "&amp;E403&amp;" "&amp;G403&amp;" "&amp;H403&amp;" "&amp;I403&amp;" "&amp;J403&amp;" "&amp;K403&amp;" "&amp;L403))),OR($C$5="Semua",$C$5="",G403=$C$5),OR($C$6="Semua",$C$6="",H403=$C$6,H403="Pengeluaran "&amp;$C$6,AND($C$6="Uang Kos Mama",H403="Pengeluaran Uang Kos")),OR($C$7="Semua",$C$7="",I403=$C$7),OR($C$8="Semua",$C$8="",C403=$C$8,E403=$C$8),OR($C$9="Semua",$C$9="",D403=$C$9),OR($C$10="",B403&gt;=$C$10),OR($C$11="",B403&lt;=$C$11),OR($C$12&lt;&gt;"Ya",K403&lt;&gt;""),OR($C$13="Semua",$C$13="",L403=$C$13)),"✓","")</f>
        <v/>
      </c>
      <c r="N403" s="93">
        <f>N(N402)+IF(M403="✓",1,0)</f>
        <v/>
      </c>
      <c r="O403" s="93">
        <f>N(O402)+IF(AND(B403&lt;&gt;"",B403&gt;='Uang Riba'!$H$30,B403&lt;='Uang Riba'!$I$30,OR(H403="Dana riba",H403="Pinjam uang riba",I403="Pinjam dari uang riba",I403="Ganti uang riba",I403="Kelebihan ganti dikembalikan",AND(C403="Kantong Uang Riba",G403="Pengeluaran"))),1,0)</f>
        <v/>
      </c>
      <c r="X403" s="93">
        <f>IF(AND(B403&lt;&gt;"",B403&gt;='Buku Akun'!$H$4,B403&lt;='Buku Akun'!$H$5,OR(C403='Buku Akun'!$C$4,AND(D403="Pindah",E403='Buku Akun'!$C$4))),B403+IF(AND(I403="Selisih bunga",DAY(B403)=1),0,0.01)+ROW()/10000000,"")</f>
        <v/>
      </c>
    </row>
    <row r="404" outlineLevel="1" ht="15" customHeight="1" s="94">
      <c r="A404" s="123">
        <f>IF(B404="","",ROW()-15)</f>
        <v/>
      </c>
      <c r="B404" s="124" t="n"/>
      <c r="C404" s="123" t="n"/>
      <c r="D404" s="123" t="n"/>
      <c r="E404" s="123" t="n"/>
      <c r="F404" s="125" t="n"/>
      <c r="G404" s="123" t="n"/>
      <c r="H404" s="123" t="n"/>
      <c r="I404" s="123" t="n"/>
      <c r="J404" s="123" t="n"/>
      <c r="K404" s="123" t="n"/>
      <c r="L404" s="123" t="n"/>
      <c r="M404" s="123">
        <f>IF(AND(B404&lt;&gt;"",OR($C$4="",ISNUMBER(SEARCH($C$4,C404&amp;" "&amp;E404&amp;" "&amp;G404&amp;" "&amp;H404&amp;" "&amp;I404&amp;" "&amp;J404&amp;" "&amp;K404&amp;" "&amp;L404))),OR($C$5="Semua",$C$5="",G404=$C$5),OR($C$6="Semua",$C$6="",H404=$C$6,H404="Pengeluaran "&amp;$C$6,AND($C$6="Uang Kos Mama",H404="Pengeluaran Uang Kos")),OR($C$7="Semua",$C$7="",I404=$C$7),OR($C$8="Semua",$C$8="",C404=$C$8,E404=$C$8),OR($C$9="Semua",$C$9="",D404=$C$9),OR($C$10="",B404&gt;=$C$10),OR($C$11="",B404&lt;=$C$11),OR($C$12&lt;&gt;"Ya",K404&lt;&gt;""),OR($C$13="Semua",$C$13="",L404=$C$13)),"✓","")</f>
        <v/>
      </c>
      <c r="N404" s="93">
        <f>N(N403)+IF(M404="✓",1,0)</f>
        <v/>
      </c>
      <c r="O404" s="93">
        <f>N(O403)+IF(AND(B404&lt;&gt;"",B404&gt;='Uang Riba'!$H$30,B404&lt;='Uang Riba'!$I$30,OR(H404="Dana riba",H404="Pinjam uang riba",I404="Pinjam dari uang riba",I404="Ganti uang riba",I404="Kelebihan ganti dikembalikan",AND(C404="Kantong Uang Riba",G404="Pengeluaran"))),1,0)</f>
        <v/>
      </c>
      <c r="X404" s="93">
        <f>IF(AND(B404&lt;&gt;"",B404&gt;='Buku Akun'!$H$4,B404&lt;='Buku Akun'!$H$5,OR(C404='Buku Akun'!$C$4,AND(D404="Pindah",E404='Buku Akun'!$C$4))),B404+IF(AND(I404="Selisih bunga",DAY(B404)=1),0,0.01)+ROW()/10000000,"")</f>
        <v/>
      </c>
    </row>
    <row r="405" outlineLevel="1" ht="15" customHeight="1" s="94">
      <c r="A405" s="123">
        <f>IF(B405="","",ROW()-15)</f>
        <v/>
      </c>
      <c r="B405" s="124" t="n"/>
      <c r="C405" s="123" t="n"/>
      <c r="D405" s="123" t="n"/>
      <c r="E405" s="123" t="n"/>
      <c r="F405" s="125" t="n"/>
      <c r="G405" s="123" t="n"/>
      <c r="H405" s="123" t="n"/>
      <c r="I405" s="123" t="n"/>
      <c r="J405" s="123" t="n"/>
      <c r="K405" s="123" t="n"/>
      <c r="L405" s="123" t="n"/>
      <c r="M405" s="123">
        <f>IF(AND(B405&lt;&gt;"",OR($C$4="",ISNUMBER(SEARCH($C$4,C405&amp;" "&amp;E405&amp;" "&amp;G405&amp;" "&amp;H405&amp;" "&amp;I405&amp;" "&amp;J405&amp;" "&amp;K405&amp;" "&amp;L405))),OR($C$5="Semua",$C$5="",G405=$C$5),OR($C$6="Semua",$C$6="",H405=$C$6,H405="Pengeluaran "&amp;$C$6,AND($C$6="Uang Kos Mama",H405="Pengeluaran Uang Kos")),OR($C$7="Semua",$C$7="",I405=$C$7),OR($C$8="Semua",$C$8="",C405=$C$8,E405=$C$8),OR($C$9="Semua",$C$9="",D405=$C$9),OR($C$10="",B405&gt;=$C$10),OR($C$11="",B405&lt;=$C$11),OR($C$12&lt;&gt;"Ya",K405&lt;&gt;""),OR($C$13="Semua",$C$13="",L405=$C$13)),"✓","")</f>
        <v/>
      </c>
      <c r="N405" s="93">
        <f>N(N404)+IF(M405="✓",1,0)</f>
        <v/>
      </c>
      <c r="O405" s="93">
        <f>N(O404)+IF(AND(B405&lt;&gt;"",B405&gt;='Uang Riba'!$H$30,B405&lt;='Uang Riba'!$I$30,OR(H405="Dana riba",H405="Pinjam uang riba",I405="Pinjam dari uang riba",I405="Ganti uang riba",I405="Kelebihan ganti dikembalikan",AND(C405="Kantong Uang Riba",G405="Pengeluaran"))),1,0)</f>
        <v/>
      </c>
      <c r="X405" s="93">
        <f>IF(AND(B405&lt;&gt;"",B405&gt;='Buku Akun'!$H$4,B405&lt;='Buku Akun'!$H$5,OR(C405='Buku Akun'!$C$4,AND(D405="Pindah",E405='Buku Akun'!$C$4))),B405+IF(AND(I405="Selisih bunga",DAY(B405)=1),0,0.01)+ROW()/10000000,"")</f>
        <v/>
      </c>
    </row>
    <row r="406" outlineLevel="1" ht="15" customHeight="1" s="94">
      <c r="A406" s="123">
        <f>IF(B406="","",ROW()-15)</f>
        <v/>
      </c>
      <c r="B406" s="124" t="n"/>
      <c r="C406" s="123" t="n"/>
      <c r="D406" s="123" t="n"/>
      <c r="E406" s="123" t="n"/>
      <c r="F406" s="125" t="n"/>
      <c r="G406" s="123" t="n"/>
      <c r="H406" s="123" t="n"/>
      <c r="I406" s="123" t="n"/>
      <c r="J406" s="123" t="n"/>
      <c r="K406" s="123" t="n"/>
      <c r="L406" s="123" t="n"/>
      <c r="M406" s="123">
        <f>IF(AND(B406&lt;&gt;"",OR($C$4="",ISNUMBER(SEARCH($C$4,C406&amp;" "&amp;E406&amp;" "&amp;G406&amp;" "&amp;H406&amp;" "&amp;I406&amp;" "&amp;J406&amp;" "&amp;K406&amp;" "&amp;L406))),OR($C$5="Semua",$C$5="",G406=$C$5),OR($C$6="Semua",$C$6="",H406=$C$6,H406="Pengeluaran "&amp;$C$6,AND($C$6="Uang Kos Mama",H406="Pengeluaran Uang Kos")),OR($C$7="Semua",$C$7="",I406=$C$7),OR($C$8="Semua",$C$8="",C406=$C$8,E406=$C$8),OR($C$9="Semua",$C$9="",D406=$C$9),OR($C$10="",B406&gt;=$C$10),OR($C$11="",B406&lt;=$C$11),OR($C$12&lt;&gt;"Ya",K406&lt;&gt;""),OR($C$13="Semua",$C$13="",L406=$C$13)),"✓","")</f>
        <v/>
      </c>
      <c r="N406" s="93">
        <f>N(N405)+IF(M406="✓",1,0)</f>
        <v/>
      </c>
      <c r="O406" s="93">
        <f>N(O405)+IF(AND(B406&lt;&gt;"",B406&gt;='Uang Riba'!$H$30,B406&lt;='Uang Riba'!$I$30,OR(H406="Dana riba",H406="Pinjam uang riba",I406="Pinjam dari uang riba",I406="Ganti uang riba",I406="Kelebihan ganti dikembalikan",AND(C406="Kantong Uang Riba",G406="Pengeluaran"))),1,0)</f>
        <v/>
      </c>
      <c r="X406" s="93">
        <f>IF(AND(B406&lt;&gt;"",B406&gt;='Buku Akun'!$H$4,B406&lt;='Buku Akun'!$H$5,OR(C406='Buku Akun'!$C$4,AND(D406="Pindah",E406='Buku Akun'!$C$4))),B406+IF(AND(I406="Selisih bunga",DAY(B406)=1),0,0.01)+ROW()/10000000,"")</f>
        <v/>
      </c>
    </row>
    <row r="407" outlineLevel="1" ht="15" customHeight="1" s="94">
      <c r="A407" s="123">
        <f>IF(B407="","",ROW()-15)</f>
        <v/>
      </c>
      <c r="B407" s="124" t="n"/>
      <c r="C407" s="123" t="n"/>
      <c r="D407" s="123" t="n"/>
      <c r="E407" s="123" t="n"/>
      <c r="F407" s="125" t="n"/>
      <c r="G407" s="123" t="n"/>
      <c r="H407" s="123" t="n"/>
      <c r="I407" s="123" t="n"/>
      <c r="J407" s="123" t="n"/>
      <c r="K407" s="123" t="n"/>
      <c r="L407" s="123" t="n"/>
      <c r="M407" s="123">
        <f>IF(AND(B407&lt;&gt;"",OR($C$4="",ISNUMBER(SEARCH($C$4,C407&amp;" "&amp;E407&amp;" "&amp;G407&amp;" "&amp;H407&amp;" "&amp;I407&amp;" "&amp;J407&amp;" "&amp;K407&amp;" "&amp;L407))),OR($C$5="Semua",$C$5="",G407=$C$5),OR($C$6="Semua",$C$6="",H407=$C$6,H407="Pengeluaran "&amp;$C$6,AND($C$6="Uang Kos Mama",H407="Pengeluaran Uang Kos")),OR($C$7="Semua",$C$7="",I407=$C$7),OR($C$8="Semua",$C$8="",C407=$C$8,E407=$C$8),OR($C$9="Semua",$C$9="",D407=$C$9),OR($C$10="",B407&gt;=$C$10),OR($C$11="",B407&lt;=$C$11),OR($C$12&lt;&gt;"Ya",K407&lt;&gt;""),OR($C$13="Semua",$C$13="",L407=$C$13)),"✓","")</f>
        <v/>
      </c>
      <c r="N407" s="93">
        <f>N(N406)+IF(M407="✓",1,0)</f>
        <v/>
      </c>
      <c r="O407" s="93">
        <f>N(O406)+IF(AND(B407&lt;&gt;"",B407&gt;='Uang Riba'!$H$30,B407&lt;='Uang Riba'!$I$30,OR(H407="Dana riba",H407="Pinjam uang riba",I407="Pinjam dari uang riba",I407="Ganti uang riba",I407="Kelebihan ganti dikembalikan",AND(C407="Kantong Uang Riba",G407="Pengeluaran"))),1,0)</f>
        <v/>
      </c>
      <c r="X407" s="93">
        <f>IF(AND(B407&lt;&gt;"",B407&gt;='Buku Akun'!$H$4,B407&lt;='Buku Akun'!$H$5,OR(C407='Buku Akun'!$C$4,AND(D407="Pindah",E407='Buku Akun'!$C$4))),B407+IF(AND(I407="Selisih bunga",DAY(B407)=1),0,0.01)+ROW()/10000000,"")</f>
        <v/>
      </c>
    </row>
    <row r="408" outlineLevel="1" ht="15" customHeight="1" s="94">
      <c r="A408" s="123">
        <f>IF(B408="","",ROW()-15)</f>
        <v/>
      </c>
      <c r="B408" s="124" t="n"/>
      <c r="C408" s="123" t="n"/>
      <c r="D408" s="123" t="n"/>
      <c r="E408" s="123" t="n"/>
      <c r="F408" s="125" t="n"/>
      <c r="G408" s="123" t="n"/>
      <c r="H408" s="123" t="n"/>
      <c r="I408" s="123" t="n"/>
      <c r="J408" s="123" t="n"/>
      <c r="K408" s="123" t="n"/>
      <c r="L408" s="123" t="n"/>
      <c r="M408" s="123">
        <f>IF(AND(B408&lt;&gt;"",OR($C$4="",ISNUMBER(SEARCH($C$4,C408&amp;" "&amp;E408&amp;" "&amp;G408&amp;" "&amp;H408&amp;" "&amp;I408&amp;" "&amp;J408&amp;" "&amp;K408&amp;" "&amp;L408))),OR($C$5="Semua",$C$5="",G408=$C$5),OR($C$6="Semua",$C$6="",H408=$C$6,H408="Pengeluaran "&amp;$C$6,AND($C$6="Uang Kos Mama",H408="Pengeluaran Uang Kos")),OR($C$7="Semua",$C$7="",I408=$C$7),OR($C$8="Semua",$C$8="",C408=$C$8,E408=$C$8),OR($C$9="Semua",$C$9="",D408=$C$9),OR($C$10="",B408&gt;=$C$10),OR($C$11="",B408&lt;=$C$11),OR($C$12&lt;&gt;"Ya",K408&lt;&gt;""),OR($C$13="Semua",$C$13="",L408=$C$13)),"✓","")</f>
        <v/>
      </c>
      <c r="N408" s="93">
        <f>N(N407)+IF(M408="✓",1,0)</f>
        <v/>
      </c>
      <c r="O408" s="93">
        <f>N(O407)+IF(AND(B408&lt;&gt;"",B408&gt;='Uang Riba'!$H$30,B408&lt;='Uang Riba'!$I$30,OR(H408="Dana riba",H408="Pinjam uang riba",I408="Pinjam dari uang riba",I408="Ganti uang riba",I408="Kelebihan ganti dikembalikan",AND(C408="Kantong Uang Riba",G408="Pengeluaran"))),1,0)</f>
        <v/>
      </c>
      <c r="X408" s="93">
        <f>IF(AND(B408&lt;&gt;"",B408&gt;='Buku Akun'!$H$4,B408&lt;='Buku Akun'!$H$5,OR(C408='Buku Akun'!$C$4,AND(D408="Pindah",E408='Buku Akun'!$C$4))),B408+IF(AND(I408="Selisih bunga",DAY(B408)=1),0,0.01)+ROW()/10000000,"")</f>
        <v/>
      </c>
    </row>
    <row r="409" outlineLevel="1" ht="15" customHeight="1" s="94">
      <c r="A409" s="123">
        <f>IF(B409="","",ROW()-15)</f>
        <v/>
      </c>
      <c r="B409" s="124" t="n"/>
      <c r="C409" s="123" t="n"/>
      <c r="D409" s="123" t="n"/>
      <c r="E409" s="123" t="n"/>
      <c r="F409" s="125" t="n"/>
      <c r="G409" s="123" t="n"/>
      <c r="H409" s="123" t="n"/>
      <c r="I409" s="123" t="n"/>
      <c r="J409" s="123" t="n"/>
      <c r="K409" s="123" t="n"/>
      <c r="L409" s="123" t="n"/>
      <c r="M409" s="123">
        <f>IF(AND(B409&lt;&gt;"",OR($C$4="",ISNUMBER(SEARCH($C$4,C409&amp;" "&amp;E409&amp;" "&amp;G409&amp;" "&amp;H409&amp;" "&amp;I409&amp;" "&amp;J409&amp;" "&amp;K409&amp;" "&amp;L409))),OR($C$5="Semua",$C$5="",G409=$C$5),OR($C$6="Semua",$C$6="",H409=$C$6,H409="Pengeluaran "&amp;$C$6,AND($C$6="Uang Kos Mama",H409="Pengeluaran Uang Kos")),OR($C$7="Semua",$C$7="",I409=$C$7),OR($C$8="Semua",$C$8="",C409=$C$8,E409=$C$8),OR($C$9="Semua",$C$9="",D409=$C$9),OR($C$10="",B409&gt;=$C$10),OR($C$11="",B409&lt;=$C$11),OR($C$12&lt;&gt;"Ya",K409&lt;&gt;""),OR($C$13="Semua",$C$13="",L409=$C$13)),"✓","")</f>
        <v/>
      </c>
      <c r="N409" s="93">
        <f>N(N408)+IF(M409="✓",1,0)</f>
        <v/>
      </c>
      <c r="O409" s="93">
        <f>N(O408)+IF(AND(B409&lt;&gt;"",B409&gt;='Uang Riba'!$H$30,B409&lt;='Uang Riba'!$I$30,OR(H409="Dana riba",H409="Pinjam uang riba",I409="Pinjam dari uang riba",I409="Ganti uang riba",I409="Kelebihan ganti dikembalikan",AND(C409="Kantong Uang Riba",G409="Pengeluaran"))),1,0)</f>
        <v/>
      </c>
      <c r="X409" s="93">
        <f>IF(AND(B409&lt;&gt;"",B409&gt;='Buku Akun'!$H$4,B409&lt;='Buku Akun'!$H$5,OR(C409='Buku Akun'!$C$4,AND(D409="Pindah",E409='Buku Akun'!$C$4))),B409+IF(AND(I409="Selisih bunga",DAY(B409)=1),0,0.01)+ROW()/10000000,"")</f>
        <v/>
      </c>
    </row>
    <row r="410" outlineLevel="1" ht="15" customHeight="1" s="94">
      <c r="A410" s="123">
        <f>IF(B410="","",ROW()-15)</f>
        <v/>
      </c>
      <c r="B410" s="124" t="n"/>
      <c r="C410" s="123" t="n"/>
      <c r="D410" s="123" t="n"/>
      <c r="E410" s="123" t="n"/>
      <c r="F410" s="125" t="n"/>
      <c r="G410" s="123" t="n"/>
      <c r="H410" s="123" t="n"/>
      <c r="I410" s="123" t="n"/>
      <c r="J410" s="123" t="n"/>
      <c r="K410" s="123" t="n"/>
      <c r="L410" s="123" t="n"/>
      <c r="M410" s="123">
        <f>IF(AND(B410&lt;&gt;"",OR($C$4="",ISNUMBER(SEARCH($C$4,C410&amp;" "&amp;E410&amp;" "&amp;G410&amp;" "&amp;H410&amp;" "&amp;I410&amp;" "&amp;J410&amp;" "&amp;K410&amp;" "&amp;L410))),OR($C$5="Semua",$C$5="",G410=$C$5),OR($C$6="Semua",$C$6="",H410=$C$6,H410="Pengeluaran "&amp;$C$6,AND($C$6="Uang Kos Mama",H410="Pengeluaran Uang Kos")),OR($C$7="Semua",$C$7="",I410=$C$7),OR($C$8="Semua",$C$8="",C410=$C$8,E410=$C$8),OR($C$9="Semua",$C$9="",D410=$C$9),OR($C$10="",B410&gt;=$C$10),OR($C$11="",B410&lt;=$C$11),OR($C$12&lt;&gt;"Ya",K410&lt;&gt;""),OR($C$13="Semua",$C$13="",L410=$C$13)),"✓","")</f>
        <v/>
      </c>
      <c r="N410" s="93">
        <f>N(N409)+IF(M410="✓",1,0)</f>
        <v/>
      </c>
      <c r="O410" s="93">
        <f>N(O409)+IF(AND(B410&lt;&gt;"",B410&gt;='Uang Riba'!$H$30,B410&lt;='Uang Riba'!$I$30,OR(H410="Dana riba",H410="Pinjam uang riba",I410="Pinjam dari uang riba",I410="Ganti uang riba",I410="Kelebihan ganti dikembalikan",AND(C410="Kantong Uang Riba",G410="Pengeluaran"))),1,0)</f>
        <v/>
      </c>
      <c r="X410" s="93">
        <f>IF(AND(B410&lt;&gt;"",B410&gt;='Buku Akun'!$H$4,B410&lt;='Buku Akun'!$H$5,OR(C410='Buku Akun'!$C$4,AND(D410="Pindah",E410='Buku Akun'!$C$4))),B410+IF(AND(I410="Selisih bunga",DAY(B410)=1),0,0.01)+ROW()/10000000,"")</f>
        <v/>
      </c>
    </row>
    <row r="411" outlineLevel="1" ht="15" customHeight="1" s="94">
      <c r="A411" s="123">
        <f>IF(B411="","",ROW()-15)</f>
        <v/>
      </c>
      <c r="B411" s="124" t="n"/>
      <c r="C411" s="123" t="n"/>
      <c r="D411" s="123" t="n"/>
      <c r="E411" s="123" t="n"/>
      <c r="F411" s="125" t="n"/>
      <c r="G411" s="123" t="n"/>
      <c r="H411" s="123" t="n"/>
      <c r="I411" s="123" t="n"/>
      <c r="J411" s="123" t="n"/>
      <c r="K411" s="123" t="n"/>
      <c r="L411" s="123" t="n"/>
      <c r="M411" s="123">
        <f>IF(AND(B411&lt;&gt;"",OR($C$4="",ISNUMBER(SEARCH($C$4,C411&amp;" "&amp;E411&amp;" "&amp;G411&amp;" "&amp;H411&amp;" "&amp;I411&amp;" "&amp;J411&amp;" "&amp;K411&amp;" "&amp;L411))),OR($C$5="Semua",$C$5="",G411=$C$5),OR($C$6="Semua",$C$6="",H411=$C$6,H411="Pengeluaran "&amp;$C$6,AND($C$6="Uang Kos Mama",H411="Pengeluaran Uang Kos")),OR($C$7="Semua",$C$7="",I411=$C$7),OR($C$8="Semua",$C$8="",C411=$C$8,E411=$C$8),OR($C$9="Semua",$C$9="",D411=$C$9),OR($C$10="",B411&gt;=$C$10),OR($C$11="",B411&lt;=$C$11),OR($C$12&lt;&gt;"Ya",K411&lt;&gt;""),OR($C$13="Semua",$C$13="",L411=$C$13)),"✓","")</f>
        <v/>
      </c>
      <c r="N411" s="93">
        <f>N(N410)+IF(M411="✓",1,0)</f>
        <v/>
      </c>
      <c r="O411" s="93">
        <f>N(O410)+IF(AND(B411&lt;&gt;"",B411&gt;='Uang Riba'!$H$30,B411&lt;='Uang Riba'!$I$30,OR(H411="Dana riba",H411="Pinjam uang riba",I411="Pinjam dari uang riba",I411="Ganti uang riba",I411="Kelebihan ganti dikembalikan",AND(C411="Kantong Uang Riba",G411="Pengeluaran"))),1,0)</f>
        <v/>
      </c>
      <c r="X411" s="93">
        <f>IF(AND(B411&lt;&gt;"",B411&gt;='Buku Akun'!$H$4,B411&lt;='Buku Akun'!$H$5,OR(C411='Buku Akun'!$C$4,AND(D411="Pindah",E411='Buku Akun'!$C$4))),B411+IF(AND(I411="Selisih bunga",DAY(B411)=1),0,0.01)+ROW()/10000000,"")</f>
        <v/>
      </c>
    </row>
    <row r="412" outlineLevel="1" ht="15" customHeight="1" s="94">
      <c r="A412" s="123">
        <f>IF(B412="","",ROW()-15)</f>
        <v/>
      </c>
      <c r="B412" s="124" t="n"/>
      <c r="C412" s="123" t="n"/>
      <c r="D412" s="123" t="n"/>
      <c r="E412" s="123" t="n"/>
      <c r="F412" s="125" t="n"/>
      <c r="G412" s="123" t="n"/>
      <c r="H412" s="123" t="n"/>
      <c r="I412" s="123" t="n"/>
      <c r="J412" s="123" t="n"/>
      <c r="K412" s="123" t="n"/>
      <c r="L412" s="123" t="n"/>
      <c r="M412" s="123">
        <f>IF(AND(B412&lt;&gt;"",OR($C$4="",ISNUMBER(SEARCH($C$4,C412&amp;" "&amp;E412&amp;" "&amp;G412&amp;" "&amp;H412&amp;" "&amp;I412&amp;" "&amp;J412&amp;" "&amp;K412&amp;" "&amp;L412))),OR($C$5="Semua",$C$5="",G412=$C$5),OR($C$6="Semua",$C$6="",H412=$C$6,H412="Pengeluaran "&amp;$C$6,AND($C$6="Uang Kos Mama",H412="Pengeluaran Uang Kos")),OR($C$7="Semua",$C$7="",I412=$C$7),OR($C$8="Semua",$C$8="",C412=$C$8,E412=$C$8),OR($C$9="Semua",$C$9="",D412=$C$9),OR($C$10="",B412&gt;=$C$10),OR($C$11="",B412&lt;=$C$11),OR($C$12&lt;&gt;"Ya",K412&lt;&gt;""),OR($C$13="Semua",$C$13="",L412=$C$13)),"✓","")</f>
        <v/>
      </c>
      <c r="N412" s="93">
        <f>N(N411)+IF(M412="✓",1,0)</f>
        <v/>
      </c>
      <c r="O412" s="93">
        <f>N(O411)+IF(AND(B412&lt;&gt;"",B412&gt;='Uang Riba'!$H$30,B412&lt;='Uang Riba'!$I$30,OR(H412="Dana riba",H412="Pinjam uang riba",I412="Pinjam dari uang riba",I412="Ganti uang riba",I412="Kelebihan ganti dikembalikan",AND(C412="Kantong Uang Riba",G412="Pengeluaran"))),1,0)</f>
        <v/>
      </c>
      <c r="X412" s="93">
        <f>IF(AND(B412&lt;&gt;"",B412&gt;='Buku Akun'!$H$4,B412&lt;='Buku Akun'!$H$5,OR(C412='Buku Akun'!$C$4,AND(D412="Pindah",E412='Buku Akun'!$C$4))),B412+IF(AND(I412="Selisih bunga",DAY(B412)=1),0,0.01)+ROW()/10000000,"")</f>
        <v/>
      </c>
    </row>
    <row r="413" outlineLevel="1" ht="15" customHeight="1" s="94">
      <c r="A413" s="123">
        <f>IF(B413="","",ROW()-15)</f>
        <v/>
      </c>
      <c r="B413" s="124" t="n"/>
      <c r="C413" s="123" t="n"/>
      <c r="D413" s="123" t="n"/>
      <c r="E413" s="123" t="n"/>
      <c r="F413" s="125" t="n"/>
      <c r="G413" s="123" t="n"/>
      <c r="H413" s="123" t="n"/>
      <c r="I413" s="123" t="n"/>
      <c r="J413" s="123" t="n"/>
      <c r="K413" s="123" t="n"/>
      <c r="L413" s="123" t="n"/>
      <c r="M413" s="123">
        <f>IF(AND(B413&lt;&gt;"",OR($C$4="",ISNUMBER(SEARCH($C$4,C413&amp;" "&amp;E413&amp;" "&amp;G413&amp;" "&amp;H413&amp;" "&amp;I413&amp;" "&amp;J413&amp;" "&amp;K413&amp;" "&amp;L413))),OR($C$5="Semua",$C$5="",G413=$C$5),OR($C$6="Semua",$C$6="",H413=$C$6,H413="Pengeluaran "&amp;$C$6,AND($C$6="Uang Kos Mama",H413="Pengeluaran Uang Kos")),OR($C$7="Semua",$C$7="",I413=$C$7),OR($C$8="Semua",$C$8="",C413=$C$8,E413=$C$8),OR($C$9="Semua",$C$9="",D413=$C$9),OR($C$10="",B413&gt;=$C$10),OR($C$11="",B413&lt;=$C$11),OR($C$12&lt;&gt;"Ya",K413&lt;&gt;""),OR($C$13="Semua",$C$13="",L413=$C$13)),"✓","")</f>
        <v/>
      </c>
      <c r="N413" s="93">
        <f>N(N412)+IF(M413="✓",1,0)</f>
        <v/>
      </c>
      <c r="O413" s="93">
        <f>N(O412)+IF(AND(B413&lt;&gt;"",B413&gt;='Uang Riba'!$H$30,B413&lt;='Uang Riba'!$I$30,OR(H413="Dana riba",H413="Pinjam uang riba",I413="Pinjam dari uang riba",I413="Ganti uang riba",I413="Kelebihan ganti dikembalikan",AND(C413="Kantong Uang Riba",G413="Pengeluaran"))),1,0)</f>
        <v/>
      </c>
      <c r="X413" s="93">
        <f>IF(AND(B413&lt;&gt;"",B413&gt;='Buku Akun'!$H$4,B413&lt;='Buku Akun'!$H$5,OR(C413='Buku Akun'!$C$4,AND(D413="Pindah",E413='Buku Akun'!$C$4))),B413+IF(AND(I413="Selisih bunga",DAY(B413)=1),0,0.01)+ROW()/10000000,"")</f>
        <v/>
      </c>
    </row>
    <row r="414" outlineLevel="1" ht="15" customHeight="1" s="94">
      <c r="A414" s="123">
        <f>IF(B414="","",ROW()-15)</f>
        <v/>
      </c>
      <c r="B414" s="124" t="n"/>
      <c r="C414" s="123" t="n"/>
      <c r="D414" s="123" t="n"/>
      <c r="E414" s="123" t="n"/>
      <c r="F414" s="125" t="n"/>
      <c r="G414" s="123" t="n"/>
      <c r="H414" s="123" t="n"/>
      <c r="I414" s="123" t="n"/>
      <c r="J414" s="123" t="n"/>
      <c r="K414" s="123" t="n"/>
      <c r="L414" s="123" t="n"/>
      <c r="M414" s="123">
        <f>IF(AND(B414&lt;&gt;"",OR($C$4="",ISNUMBER(SEARCH($C$4,C414&amp;" "&amp;E414&amp;" "&amp;G414&amp;" "&amp;H414&amp;" "&amp;I414&amp;" "&amp;J414&amp;" "&amp;K414&amp;" "&amp;L414))),OR($C$5="Semua",$C$5="",G414=$C$5),OR($C$6="Semua",$C$6="",H414=$C$6,H414="Pengeluaran "&amp;$C$6,AND($C$6="Uang Kos Mama",H414="Pengeluaran Uang Kos")),OR($C$7="Semua",$C$7="",I414=$C$7),OR($C$8="Semua",$C$8="",C414=$C$8,E414=$C$8),OR($C$9="Semua",$C$9="",D414=$C$9),OR($C$10="",B414&gt;=$C$10),OR($C$11="",B414&lt;=$C$11),OR($C$12&lt;&gt;"Ya",K414&lt;&gt;""),OR($C$13="Semua",$C$13="",L414=$C$13)),"✓","")</f>
        <v/>
      </c>
      <c r="N414" s="93">
        <f>N(N413)+IF(M414="✓",1,0)</f>
        <v/>
      </c>
      <c r="O414" s="93">
        <f>N(O413)+IF(AND(B414&lt;&gt;"",B414&gt;='Uang Riba'!$H$30,B414&lt;='Uang Riba'!$I$30,OR(H414="Dana riba",H414="Pinjam uang riba",I414="Pinjam dari uang riba",I414="Ganti uang riba",I414="Kelebihan ganti dikembalikan",AND(C414="Kantong Uang Riba",G414="Pengeluaran"))),1,0)</f>
        <v/>
      </c>
      <c r="X414" s="93">
        <f>IF(AND(B414&lt;&gt;"",B414&gt;='Buku Akun'!$H$4,B414&lt;='Buku Akun'!$H$5,OR(C414='Buku Akun'!$C$4,AND(D414="Pindah",E414='Buku Akun'!$C$4))),B414+IF(AND(I414="Selisih bunga",DAY(B414)=1),0,0.01)+ROW()/10000000,"")</f>
        <v/>
      </c>
    </row>
    <row r="415" outlineLevel="1" ht="15" customHeight="1" s="94">
      <c r="A415" s="123">
        <f>IF(B415="","",ROW()-15)</f>
        <v/>
      </c>
      <c r="B415" s="124" t="n"/>
      <c r="C415" s="123" t="n"/>
      <c r="D415" s="123" t="n"/>
      <c r="E415" s="123" t="n"/>
      <c r="F415" s="125" t="n"/>
      <c r="G415" s="123" t="n"/>
      <c r="H415" s="123" t="n"/>
      <c r="I415" s="123" t="n"/>
      <c r="J415" s="123" t="n"/>
      <c r="K415" s="123" t="n"/>
      <c r="L415" s="123" t="n"/>
      <c r="M415" s="123">
        <f>IF(AND(B415&lt;&gt;"",OR($C$4="",ISNUMBER(SEARCH($C$4,C415&amp;" "&amp;E415&amp;" "&amp;G415&amp;" "&amp;H415&amp;" "&amp;I415&amp;" "&amp;J415&amp;" "&amp;K415&amp;" "&amp;L415))),OR($C$5="Semua",$C$5="",G415=$C$5),OR($C$6="Semua",$C$6="",H415=$C$6,H415="Pengeluaran "&amp;$C$6,AND($C$6="Uang Kos Mama",H415="Pengeluaran Uang Kos")),OR($C$7="Semua",$C$7="",I415=$C$7),OR($C$8="Semua",$C$8="",C415=$C$8,E415=$C$8),OR($C$9="Semua",$C$9="",D415=$C$9),OR($C$10="",B415&gt;=$C$10),OR($C$11="",B415&lt;=$C$11),OR($C$12&lt;&gt;"Ya",K415&lt;&gt;""),OR($C$13="Semua",$C$13="",L415=$C$13)),"✓","")</f>
        <v/>
      </c>
      <c r="N415" s="93">
        <f>N(N414)+IF(M415="✓",1,0)</f>
        <v/>
      </c>
      <c r="O415" s="93">
        <f>N(O414)+IF(AND(B415&lt;&gt;"",B415&gt;='Uang Riba'!$H$30,B415&lt;='Uang Riba'!$I$30,OR(H415="Dana riba",H415="Pinjam uang riba",I415="Pinjam dari uang riba",I415="Ganti uang riba",I415="Kelebihan ganti dikembalikan",AND(C415="Kantong Uang Riba",G415="Pengeluaran"))),1,0)</f>
        <v/>
      </c>
      <c r="X415" s="93">
        <f>IF(AND(B415&lt;&gt;"",B415&gt;='Buku Akun'!$H$4,B415&lt;='Buku Akun'!$H$5,OR(C415='Buku Akun'!$C$4,AND(D415="Pindah",E415='Buku Akun'!$C$4))),B415+IF(AND(I415="Selisih bunga",DAY(B415)=1),0,0.01)+ROW()/10000000,"")</f>
        <v/>
      </c>
    </row>
    <row r="416" outlineLevel="1" ht="15" customHeight="1" s="94">
      <c r="A416" s="123">
        <f>IF(B416="","",ROW()-15)</f>
        <v/>
      </c>
      <c r="B416" s="124" t="n"/>
      <c r="C416" s="123" t="n"/>
      <c r="D416" s="123" t="n"/>
      <c r="E416" s="123" t="n"/>
      <c r="F416" s="125" t="n"/>
      <c r="G416" s="123" t="n"/>
      <c r="H416" s="123" t="n"/>
      <c r="I416" s="123" t="n"/>
      <c r="J416" s="123" t="n"/>
      <c r="K416" s="123" t="n"/>
      <c r="L416" s="123" t="n"/>
      <c r="M416" s="123">
        <f>IF(AND(B416&lt;&gt;"",OR($C$4="",ISNUMBER(SEARCH($C$4,C416&amp;" "&amp;E416&amp;" "&amp;G416&amp;" "&amp;H416&amp;" "&amp;I416&amp;" "&amp;J416&amp;" "&amp;K416&amp;" "&amp;L416))),OR($C$5="Semua",$C$5="",G416=$C$5),OR($C$6="Semua",$C$6="",H416=$C$6,H416="Pengeluaran "&amp;$C$6,AND($C$6="Uang Kos Mama",H416="Pengeluaran Uang Kos")),OR($C$7="Semua",$C$7="",I416=$C$7),OR($C$8="Semua",$C$8="",C416=$C$8,E416=$C$8),OR($C$9="Semua",$C$9="",D416=$C$9),OR($C$10="",B416&gt;=$C$10),OR($C$11="",B416&lt;=$C$11),OR($C$12&lt;&gt;"Ya",K416&lt;&gt;""),OR($C$13="Semua",$C$13="",L416=$C$13)),"✓","")</f>
        <v/>
      </c>
      <c r="N416" s="93">
        <f>N(N415)+IF(M416="✓",1,0)</f>
        <v/>
      </c>
      <c r="O416" s="93">
        <f>N(O415)+IF(AND(B416&lt;&gt;"",B416&gt;='Uang Riba'!$H$30,B416&lt;='Uang Riba'!$I$30,OR(H416="Dana riba",H416="Pinjam uang riba",I416="Pinjam dari uang riba",I416="Ganti uang riba",I416="Kelebihan ganti dikembalikan",AND(C416="Kantong Uang Riba",G416="Pengeluaran"))),1,0)</f>
        <v/>
      </c>
      <c r="X416" s="93">
        <f>IF(AND(B416&lt;&gt;"",B416&gt;='Buku Akun'!$H$4,B416&lt;='Buku Akun'!$H$5,OR(C416='Buku Akun'!$C$4,AND(D416="Pindah",E416='Buku Akun'!$C$4))),B416+IF(AND(I416="Selisih bunga",DAY(B416)=1),0,0.01)+ROW()/10000000,"")</f>
        <v/>
      </c>
    </row>
    <row r="417" outlineLevel="1" ht="15" customHeight="1" s="94">
      <c r="A417" s="123">
        <f>IF(B417="","",ROW()-15)</f>
        <v/>
      </c>
      <c r="B417" s="124" t="n"/>
      <c r="C417" s="123" t="n"/>
      <c r="D417" s="123" t="n"/>
      <c r="E417" s="123" t="n"/>
      <c r="F417" s="125" t="n"/>
      <c r="G417" s="123" t="n"/>
      <c r="H417" s="123" t="n"/>
      <c r="I417" s="123" t="n"/>
      <c r="J417" s="123" t="n"/>
      <c r="K417" s="123" t="n"/>
      <c r="L417" s="123" t="n"/>
      <c r="M417" s="123">
        <f>IF(AND(B417&lt;&gt;"",OR($C$4="",ISNUMBER(SEARCH($C$4,C417&amp;" "&amp;E417&amp;" "&amp;G417&amp;" "&amp;H417&amp;" "&amp;I417&amp;" "&amp;J417&amp;" "&amp;K417&amp;" "&amp;L417))),OR($C$5="Semua",$C$5="",G417=$C$5),OR($C$6="Semua",$C$6="",H417=$C$6,H417="Pengeluaran "&amp;$C$6,AND($C$6="Uang Kos Mama",H417="Pengeluaran Uang Kos")),OR($C$7="Semua",$C$7="",I417=$C$7),OR($C$8="Semua",$C$8="",C417=$C$8,E417=$C$8),OR($C$9="Semua",$C$9="",D417=$C$9),OR($C$10="",B417&gt;=$C$10),OR($C$11="",B417&lt;=$C$11),OR($C$12&lt;&gt;"Ya",K417&lt;&gt;""),OR($C$13="Semua",$C$13="",L417=$C$13)),"✓","")</f>
        <v/>
      </c>
      <c r="N417" s="93">
        <f>N(N416)+IF(M417="✓",1,0)</f>
        <v/>
      </c>
      <c r="O417" s="93">
        <f>N(O416)+IF(AND(B417&lt;&gt;"",B417&gt;='Uang Riba'!$H$30,B417&lt;='Uang Riba'!$I$30,OR(H417="Dana riba",H417="Pinjam uang riba",I417="Pinjam dari uang riba",I417="Ganti uang riba",I417="Kelebihan ganti dikembalikan",AND(C417="Kantong Uang Riba",G417="Pengeluaran"))),1,0)</f>
        <v/>
      </c>
      <c r="X417" s="93">
        <f>IF(AND(B417&lt;&gt;"",B417&gt;='Buku Akun'!$H$4,B417&lt;='Buku Akun'!$H$5,OR(C417='Buku Akun'!$C$4,AND(D417="Pindah",E417='Buku Akun'!$C$4))),B417+IF(AND(I417="Selisih bunga",DAY(B417)=1),0,0.01)+ROW()/10000000,"")</f>
        <v/>
      </c>
    </row>
    <row r="418" outlineLevel="1" ht="15" customHeight="1" s="94">
      <c r="A418" s="123">
        <f>IF(B418="","",ROW()-15)</f>
        <v/>
      </c>
      <c r="B418" s="124" t="n"/>
      <c r="C418" s="123" t="n"/>
      <c r="D418" s="123" t="n"/>
      <c r="E418" s="123" t="n"/>
      <c r="F418" s="125" t="n"/>
      <c r="G418" s="123" t="n"/>
      <c r="H418" s="123" t="n"/>
      <c r="I418" s="123" t="n"/>
      <c r="J418" s="123" t="n"/>
      <c r="K418" s="123" t="n"/>
      <c r="L418" s="123" t="n"/>
      <c r="M418" s="123">
        <f>IF(AND(B418&lt;&gt;"",OR($C$4="",ISNUMBER(SEARCH($C$4,C418&amp;" "&amp;E418&amp;" "&amp;G418&amp;" "&amp;H418&amp;" "&amp;I418&amp;" "&amp;J418&amp;" "&amp;K418&amp;" "&amp;L418))),OR($C$5="Semua",$C$5="",G418=$C$5),OR($C$6="Semua",$C$6="",H418=$C$6,H418="Pengeluaran "&amp;$C$6,AND($C$6="Uang Kos Mama",H418="Pengeluaran Uang Kos")),OR($C$7="Semua",$C$7="",I418=$C$7),OR($C$8="Semua",$C$8="",C418=$C$8,E418=$C$8),OR($C$9="Semua",$C$9="",D418=$C$9),OR($C$10="",B418&gt;=$C$10),OR($C$11="",B418&lt;=$C$11),OR($C$12&lt;&gt;"Ya",K418&lt;&gt;""),OR($C$13="Semua",$C$13="",L418=$C$13)),"✓","")</f>
        <v/>
      </c>
      <c r="N418" s="93">
        <f>N(N417)+IF(M418="✓",1,0)</f>
        <v/>
      </c>
      <c r="O418" s="93">
        <f>N(O417)+IF(AND(B418&lt;&gt;"",B418&gt;='Uang Riba'!$H$30,B418&lt;='Uang Riba'!$I$30,OR(H418="Dana riba",H418="Pinjam uang riba",I418="Pinjam dari uang riba",I418="Ganti uang riba",I418="Kelebihan ganti dikembalikan",AND(C418="Kantong Uang Riba",G418="Pengeluaran"))),1,0)</f>
        <v/>
      </c>
      <c r="X418" s="93">
        <f>IF(AND(B418&lt;&gt;"",B418&gt;='Buku Akun'!$H$4,B418&lt;='Buku Akun'!$H$5,OR(C418='Buku Akun'!$C$4,AND(D418="Pindah",E418='Buku Akun'!$C$4))),B418+IF(AND(I418="Selisih bunga",DAY(B418)=1),0,0.01)+ROW()/10000000,"")</f>
        <v/>
      </c>
    </row>
    <row r="419" outlineLevel="1" ht="15" customHeight="1" s="94">
      <c r="A419" s="123">
        <f>IF(B419="","",ROW()-15)</f>
        <v/>
      </c>
      <c r="B419" s="124" t="n"/>
      <c r="C419" s="123" t="n"/>
      <c r="D419" s="123" t="n"/>
      <c r="E419" s="123" t="n"/>
      <c r="F419" s="125" t="n"/>
      <c r="G419" s="123" t="n"/>
      <c r="H419" s="123" t="n"/>
      <c r="I419" s="123" t="n"/>
      <c r="J419" s="123" t="n"/>
      <c r="K419" s="123" t="n"/>
      <c r="L419" s="123" t="n"/>
      <c r="M419" s="123">
        <f>IF(AND(B419&lt;&gt;"",OR($C$4="",ISNUMBER(SEARCH($C$4,C419&amp;" "&amp;E419&amp;" "&amp;G419&amp;" "&amp;H419&amp;" "&amp;I419&amp;" "&amp;J419&amp;" "&amp;K419&amp;" "&amp;L419))),OR($C$5="Semua",$C$5="",G419=$C$5),OR($C$6="Semua",$C$6="",H419=$C$6,H419="Pengeluaran "&amp;$C$6,AND($C$6="Uang Kos Mama",H419="Pengeluaran Uang Kos")),OR($C$7="Semua",$C$7="",I419=$C$7),OR($C$8="Semua",$C$8="",C419=$C$8,E419=$C$8),OR($C$9="Semua",$C$9="",D419=$C$9),OR($C$10="",B419&gt;=$C$10),OR($C$11="",B419&lt;=$C$11),OR($C$12&lt;&gt;"Ya",K419&lt;&gt;""),OR($C$13="Semua",$C$13="",L419=$C$13)),"✓","")</f>
        <v/>
      </c>
      <c r="N419" s="93">
        <f>N(N418)+IF(M419="✓",1,0)</f>
        <v/>
      </c>
      <c r="O419" s="93">
        <f>N(O418)+IF(AND(B419&lt;&gt;"",B419&gt;='Uang Riba'!$H$30,B419&lt;='Uang Riba'!$I$30,OR(H419="Dana riba",H419="Pinjam uang riba",I419="Pinjam dari uang riba",I419="Ganti uang riba",I419="Kelebihan ganti dikembalikan",AND(C419="Kantong Uang Riba",G419="Pengeluaran"))),1,0)</f>
        <v/>
      </c>
      <c r="X419" s="93">
        <f>IF(AND(B419&lt;&gt;"",B419&gt;='Buku Akun'!$H$4,B419&lt;='Buku Akun'!$H$5,OR(C419='Buku Akun'!$C$4,AND(D419="Pindah",E419='Buku Akun'!$C$4))),B419+IF(AND(I419="Selisih bunga",DAY(B419)=1),0,0.01)+ROW()/10000000,"")</f>
        <v/>
      </c>
    </row>
    <row r="420" outlineLevel="1" ht="15" customHeight="1" s="94">
      <c r="A420" s="123">
        <f>IF(B420="","",ROW()-15)</f>
        <v/>
      </c>
      <c r="B420" s="124" t="n"/>
      <c r="C420" s="123" t="n"/>
      <c r="D420" s="123" t="n"/>
      <c r="E420" s="123" t="n"/>
      <c r="F420" s="125" t="n"/>
      <c r="G420" s="123" t="n"/>
      <c r="H420" s="123" t="n"/>
      <c r="I420" s="123" t="n"/>
      <c r="J420" s="123" t="n"/>
      <c r="K420" s="123" t="n"/>
      <c r="L420" s="123" t="n"/>
      <c r="M420" s="123">
        <f>IF(AND(B420&lt;&gt;"",OR($C$4="",ISNUMBER(SEARCH($C$4,C420&amp;" "&amp;E420&amp;" "&amp;G420&amp;" "&amp;H420&amp;" "&amp;I420&amp;" "&amp;J420&amp;" "&amp;K420&amp;" "&amp;L420))),OR($C$5="Semua",$C$5="",G420=$C$5),OR($C$6="Semua",$C$6="",H420=$C$6,H420="Pengeluaran "&amp;$C$6,AND($C$6="Uang Kos Mama",H420="Pengeluaran Uang Kos")),OR($C$7="Semua",$C$7="",I420=$C$7),OR($C$8="Semua",$C$8="",C420=$C$8,E420=$C$8),OR($C$9="Semua",$C$9="",D420=$C$9),OR($C$10="",B420&gt;=$C$10),OR($C$11="",B420&lt;=$C$11),OR($C$12&lt;&gt;"Ya",K420&lt;&gt;""),OR($C$13="Semua",$C$13="",L420=$C$13)),"✓","")</f>
        <v/>
      </c>
      <c r="N420" s="93">
        <f>N(N419)+IF(M420="✓",1,0)</f>
        <v/>
      </c>
      <c r="O420" s="93">
        <f>N(O419)+IF(AND(B420&lt;&gt;"",B420&gt;='Uang Riba'!$H$30,B420&lt;='Uang Riba'!$I$30,OR(H420="Dana riba",H420="Pinjam uang riba",I420="Pinjam dari uang riba",I420="Ganti uang riba",I420="Kelebihan ganti dikembalikan",AND(C420="Kantong Uang Riba",G420="Pengeluaran"))),1,0)</f>
        <v/>
      </c>
      <c r="X420" s="93">
        <f>IF(AND(B420&lt;&gt;"",B420&gt;='Buku Akun'!$H$4,B420&lt;='Buku Akun'!$H$5,OR(C420='Buku Akun'!$C$4,AND(D420="Pindah",E420='Buku Akun'!$C$4))),B420+IF(AND(I420="Selisih bunga",DAY(B420)=1),0,0.01)+ROW()/10000000,"")</f>
        <v/>
      </c>
    </row>
    <row r="421" outlineLevel="1" ht="15" customHeight="1" s="94">
      <c r="A421" s="123">
        <f>IF(B421="","",ROW()-15)</f>
        <v/>
      </c>
      <c r="B421" s="124" t="n"/>
      <c r="C421" s="123" t="n"/>
      <c r="D421" s="123" t="n"/>
      <c r="E421" s="123" t="n"/>
      <c r="F421" s="125" t="n"/>
      <c r="G421" s="123" t="n"/>
      <c r="H421" s="123" t="n"/>
      <c r="I421" s="123" t="n"/>
      <c r="J421" s="123" t="n"/>
      <c r="K421" s="123" t="n"/>
      <c r="L421" s="123" t="n"/>
      <c r="M421" s="123">
        <f>IF(AND(B421&lt;&gt;"",OR($C$4="",ISNUMBER(SEARCH($C$4,C421&amp;" "&amp;E421&amp;" "&amp;G421&amp;" "&amp;H421&amp;" "&amp;I421&amp;" "&amp;J421&amp;" "&amp;K421&amp;" "&amp;L421))),OR($C$5="Semua",$C$5="",G421=$C$5),OR($C$6="Semua",$C$6="",H421=$C$6,H421="Pengeluaran "&amp;$C$6,AND($C$6="Uang Kos Mama",H421="Pengeluaran Uang Kos")),OR($C$7="Semua",$C$7="",I421=$C$7),OR($C$8="Semua",$C$8="",C421=$C$8,E421=$C$8),OR($C$9="Semua",$C$9="",D421=$C$9),OR($C$10="",B421&gt;=$C$10),OR($C$11="",B421&lt;=$C$11),OR($C$12&lt;&gt;"Ya",K421&lt;&gt;""),OR($C$13="Semua",$C$13="",L421=$C$13)),"✓","")</f>
        <v/>
      </c>
      <c r="N421" s="93">
        <f>N(N420)+IF(M421="✓",1,0)</f>
        <v/>
      </c>
      <c r="O421" s="93">
        <f>N(O420)+IF(AND(B421&lt;&gt;"",B421&gt;='Uang Riba'!$H$30,B421&lt;='Uang Riba'!$I$30,OR(H421="Dana riba",H421="Pinjam uang riba",I421="Pinjam dari uang riba",I421="Ganti uang riba",I421="Kelebihan ganti dikembalikan",AND(C421="Kantong Uang Riba",G421="Pengeluaran"))),1,0)</f>
        <v/>
      </c>
      <c r="X421" s="93">
        <f>IF(AND(B421&lt;&gt;"",B421&gt;='Buku Akun'!$H$4,B421&lt;='Buku Akun'!$H$5,OR(C421='Buku Akun'!$C$4,AND(D421="Pindah",E421='Buku Akun'!$C$4))),B421+IF(AND(I421="Selisih bunga",DAY(B421)=1),0,0.01)+ROW()/10000000,"")</f>
        <v/>
      </c>
    </row>
    <row r="422" outlineLevel="1" ht="15" customHeight="1" s="94">
      <c r="A422" s="123">
        <f>IF(B422="","",ROW()-15)</f>
        <v/>
      </c>
      <c r="B422" s="124" t="n"/>
      <c r="C422" s="123" t="n"/>
      <c r="D422" s="123" t="n"/>
      <c r="E422" s="123" t="n"/>
      <c r="F422" s="125" t="n"/>
      <c r="G422" s="123" t="n"/>
      <c r="H422" s="123" t="n"/>
      <c r="I422" s="123" t="n"/>
      <c r="J422" s="123" t="n"/>
      <c r="K422" s="123" t="n"/>
      <c r="L422" s="123" t="n"/>
      <c r="M422" s="123">
        <f>IF(AND(B422&lt;&gt;"",OR($C$4="",ISNUMBER(SEARCH($C$4,C422&amp;" "&amp;E422&amp;" "&amp;G422&amp;" "&amp;H422&amp;" "&amp;I422&amp;" "&amp;J422&amp;" "&amp;K422&amp;" "&amp;L422))),OR($C$5="Semua",$C$5="",G422=$C$5),OR($C$6="Semua",$C$6="",H422=$C$6,H422="Pengeluaran "&amp;$C$6,AND($C$6="Uang Kos Mama",H422="Pengeluaran Uang Kos")),OR($C$7="Semua",$C$7="",I422=$C$7),OR($C$8="Semua",$C$8="",C422=$C$8,E422=$C$8),OR($C$9="Semua",$C$9="",D422=$C$9),OR($C$10="",B422&gt;=$C$10),OR($C$11="",B422&lt;=$C$11),OR($C$12&lt;&gt;"Ya",K422&lt;&gt;""),OR($C$13="Semua",$C$13="",L422=$C$13)),"✓","")</f>
        <v/>
      </c>
      <c r="N422" s="93">
        <f>N(N421)+IF(M422="✓",1,0)</f>
        <v/>
      </c>
      <c r="O422" s="93">
        <f>N(O421)+IF(AND(B422&lt;&gt;"",B422&gt;='Uang Riba'!$H$30,B422&lt;='Uang Riba'!$I$30,OR(H422="Dana riba",H422="Pinjam uang riba",I422="Pinjam dari uang riba",I422="Ganti uang riba",I422="Kelebihan ganti dikembalikan",AND(C422="Kantong Uang Riba",G422="Pengeluaran"))),1,0)</f>
        <v/>
      </c>
      <c r="X422" s="93">
        <f>IF(AND(B422&lt;&gt;"",B422&gt;='Buku Akun'!$H$4,B422&lt;='Buku Akun'!$H$5,OR(C422='Buku Akun'!$C$4,AND(D422="Pindah",E422='Buku Akun'!$C$4))),B422+IF(AND(I422="Selisih bunga",DAY(B422)=1),0,0.01)+ROW()/10000000,"")</f>
        <v/>
      </c>
    </row>
    <row r="423" outlineLevel="1" ht="15" customHeight="1" s="94">
      <c r="A423" s="123">
        <f>IF(B423="","",ROW()-15)</f>
        <v/>
      </c>
      <c r="B423" s="124" t="n"/>
      <c r="C423" s="123" t="n"/>
      <c r="D423" s="123" t="n"/>
      <c r="E423" s="123" t="n"/>
      <c r="F423" s="125" t="n"/>
      <c r="G423" s="123" t="n"/>
      <c r="H423" s="123" t="n"/>
      <c r="I423" s="123" t="n"/>
      <c r="J423" s="123" t="n"/>
      <c r="K423" s="123" t="n"/>
      <c r="L423" s="123" t="n"/>
      <c r="M423" s="123">
        <f>IF(AND(B423&lt;&gt;"",OR($C$4="",ISNUMBER(SEARCH($C$4,C423&amp;" "&amp;E423&amp;" "&amp;G423&amp;" "&amp;H423&amp;" "&amp;I423&amp;" "&amp;J423&amp;" "&amp;K423&amp;" "&amp;L423))),OR($C$5="Semua",$C$5="",G423=$C$5),OR($C$6="Semua",$C$6="",H423=$C$6,H423="Pengeluaran "&amp;$C$6,AND($C$6="Uang Kos Mama",H423="Pengeluaran Uang Kos")),OR($C$7="Semua",$C$7="",I423=$C$7),OR($C$8="Semua",$C$8="",C423=$C$8,E423=$C$8),OR($C$9="Semua",$C$9="",D423=$C$9),OR($C$10="",B423&gt;=$C$10),OR($C$11="",B423&lt;=$C$11),OR($C$12&lt;&gt;"Ya",K423&lt;&gt;""),OR($C$13="Semua",$C$13="",L423=$C$13)),"✓","")</f>
        <v/>
      </c>
      <c r="N423" s="93">
        <f>N(N422)+IF(M423="✓",1,0)</f>
        <v/>
      </c>
      <c r="O423" s="93">
        <f>N(O422)+IF(AND(B423&lt;&gt;"",B423&gt;='Uang Riba'!$H$30,B423&lt;='Uang Riba'!$I$30,OR(H423="Dana riba",H423="Pinjam uang riba",I423="Pinjam dari uang riba",I423="Ganti uang riba",I423="Kelebihan ganti dikembalikan",AND(C423="Kantong Uang Riba",G423="Pengeluaran"))),1,0)</f>
        <v/>
      </c>
      <c r="X423" s="93">
        <f>IF(AND(B423&lt;&gt;"",B423&gt;='Buku Akun'!$H$4,B423&lt;='Buku Akun'!$H$5,OR(C423='Buku Akun'!$C$4,AND(D423="Pindah",E423='Buku Akun'!$C$4))),B423+IF(AND(I423="Selisih bunga",DAY(B423)=1),0,0.01)+ROW()/10000000,"")</f>
        <v/>
      </c>
    </row>
    <row r="424" outlineLevel="1" ht="15" customHeight="1" s="94">
      <c r="A424" s="123">
        <f>IF(B424="","",ROW()-15)</f>
        <v/>
      </c>
      <c r="B424" s="124" t="n"/>
      <c r="C424" s="123" t="n"/>
      <c r="D424" s="123" t="n"/>
      <c r="E424" s="123" t="n"/>
      <c r="F424" s="125" t="n"/>
      <c r="G424" s="123" t="n"/>
      <c r="H424" s="123" t="n"/>
      <c r="I424" s="123" t="n"/>
      <c r="J424" s="123" t="n"/>
      <c r="K424" s="123" t="n"/>
      <c r="L424" s="123" t="n"/>
      <c r="M424" s="123">
        <f>IF(AND(B424&lt;&gt;"",OR($C$4="",ISNUMBER(SEARCH($C$4,C424&amp;" "&amp;E424&amp;" "&amp;G424&amp;" "&amp;H424&amp;" "&amp;I424&amp;" "&amp;J424&amp;" "&amp;K424&amp;" "&amp;L424))),OR($C$5="Semua",$C$5="",G424=$C$5),OR($C$6="Semua",$C$6="",H424=$C$6,H424="Pengeluaran "&amp;$C$6,AND($C$6="Uang Kos Mama",H424="Pengeluaran Uang Kos")),OR($C$7="Semua",$C$7="",I424=$C$7),OR($C$8="Semua",$C$8="",C424=$C$8,E424=$C$8),OR($C$9="Semua",$C$9="",D424=$C$9),OR($C$10="",B424&gt;=$C$10),OR($C$11="",B424&lt;=$C$11),OR($C$12&lt;&gt;"Ya",K424&lt;&gt;""),OR($C$13="Semua",$C$13="",L424=$C$13)),"✓","")</f>
        <v/>
      </c>
      <c r="N424" s="93">
        <f>N(N423)+IF(M424="✓",1,0)</f>
        <v/>
      </c>
      <c r="O424" s="93">
        <f>N(O423)+IF(AND(B424&lt;&gt;"",B424&gt;='Uang Riba'!$H$30,B424&lt;='Uang Riba'!$I$30,OR(H424="Dana riba",H424="Pinjam uang riba",I424="Pinjam dari uang riba",I424="Ganti uang riba",I424="Kelebihan ganti dikembalikan",AND(C424="Kantong Uang Riba",G424="Pengeluaran"))),1,0)</f>
        <v/>
      </c>
      <c r="X424" s="93">
        <f>IF(AND(B424&lt;&gt;"",B424&gt;='Buku Akun'!$H$4,B424&lt;='Buku Akun'!$H$5,OR(C424='Buku Akun'!$C$4,AND(D424="Pindah",E424='Buku Akun'!$C$4))),B424+IF(AND(I424="Selisih bunga",DAY(B424)=1),0,0.01)+ROW()/10000000,"")</f>
        <v/>
      </c>
    </row>
    <row r="425" outlineLevel="1" ht="15" customHeight="1" s="94">
      <c r="A425" s="123">
        <f>IF(B425="","",ROW()-15)</f>
        <v/>
      </c>
      <c r="B425" s="124" t="n"/>
      <c r="C425" s="123" t="n"/>
      <c r="D425" s="123" t="n"/>
      <c r="E425" s="123" t="n"/>
      <c r="F425" s="125" t="n"/>
      <c r="G425" s="123" t="n"/>
      <c r="H425" s="123" t="n"/>
      <c r="I425" s="123" t="n"/>
      <c r="J425" s="123" t="n"/>
      <c r="K425" s="123" t="n"/>
      <c r="L425" s="123" t="n"/>
      <c r="M425" s="123">
        <f>IF(AND(B425&lt;&gt;"",OR($C$4="",ISNUMBER(SEARCH($C$4,C425&amp;" "&amp;E425&amp;" "&amp;G425&amp;" "&amp;H425&amp;" "&amp;I425&amp;" "&amp;J425&amp;" "&amp;K425&amp;" "&amp;L425))),OR($C$5="Semua",$C$5="",G425=$C$5),OR($C$6="Semua",$C$6="",H425=$C$6,H425="Pengeluaran "&amp;$C$6,AND($C$6="Uang Kos Mama",H425="Pengeluaran Uang Kos")),OR($C$7="Semua",$C$7="",I425=$C$7),OR($C$8="Semua",$C$8="",C425=$C$8,E425=$C$8),OR($C$9="Semua",$C$9="",D425=$C$9),OR($C$10="",B425&gt;=$C$10),OR($C$11="",B425&lt;=$C$11),OR($C$12&lt;&gt;"Ya",K425&lt;&gt;""),OR($C$13="Semua",$C$13="",L425=$C$13)),"✓","")</f>
        <v/>
      </c>
      <c r="N425" s="93">
        <f>N(N424)+IF(M425="✓",1,0)</f>
        <v/>
      </c>
      <c r="O425" s="93">
        <f>N(O424)+IF(AND(B425&lt;&gt;"",B425&gt;='Uang Riba'!$H$30,B425&lt;='Uang Riba'!$I$30,OR(H425="Dana riba",H425="Pinjam uang riba",I425="Pinjam dari uang riba",I425="Ganti uang riba",I425="Kelebihan ganti dikembalikan",AND(C425="Kantong Uang Riba",G425="Pengeluaran"))),1,0)</f>
        <v/>
      </c>
      <c r="X425" s="93">
        <f>IF(AND(B425&lt;&gt;"",B425&gt;='Buku Akun'!$H$4,B425&lt;='Buku Akun'!$H$5,OR(C425='Buku Akun'!$C$4,AND(D425="Pindah",E425='Buku Akun'!$C$4))),B425+IF(AND(I425="Selisih bunga",DAY(B425)=1),0,0.01)+ROW()/10000000,"")</f>
        <v/>
      </c>
    </row>
    <row r="426" outlineLevel="1" ht="15" customHeight="1" s="94">
      <c r="A426" s="123">
        <f>IF(B426="","",ROW()-15)</f>
        <v/>
      </c>
      <c r="B426" s="124" t="n"/>
      <c r="C426" s="123" t="n"/>
      <c r="D426" s="123" t="n"/>
      <c r="E426" s="123" t="n"/>
      <c r="F426" s="125" t="n"/>
      <c r="G426" s="123" t="n"/>
      <c r="H426" s="123" t="n"/>
      <c r="I426" s="123" t="n"/>
      <c r="J426" s="123" t="n"/>
      <c r="K426" s="123" t="n"/>
      <c r="L426" s="123" t="n"/>
      <c r="M426" s="123">
        <f>IF(AND(B426&lt;&gt;"",OR($C$4="",ISNUMBER(SEARCH($C$4,C426&amp;" "&amp;E426&amp;" "&amp;G426&amp;" "&amp;H426&amp;" "&amp;I426&amp;" "&amp;J426&amp;" "&amp;K426&amp;" "&amp;L426))),OR($C$5="Semua",$C$5="",G426=$C$5),OR($C$6="Semua",$C$6="",H426=$C$6,H426="Pengeluaran "&amp;$C$6,AND($C$6="Uang Kos Mama",H426="Pengeluaran Uang Kos")),OR($C$7="Semua",$C$7="",I426=$C$7),OR($C$8="Semua",$C$8="",C426=$C$8,E426=$C$8),OR($C$9="Semua",$C$9="",D426=$C$9),OR($C$10="",B426&gt;=$C$10),OR($C$11="",B426&lt;=$C$11),OR($C$12&lt;&gt;"Ya",K426&lt;&gt;""),OR($C$13="Semua",$C$13="",L426=$C$13)),"✓","")</f>
        <v/>
      </c>
      <c r="N426" s="93">
        <f>N(N425)+IF(M426="✓",1,0)</f>
        <v/>
      </c>
      <c r="O426" s="93">
        <f>N(O425)+IF(AND(B426&lt;&gt;"",B426&gt;='Uang Riba'!$H$30,B426&lt;='Uang Riba'!$I$30,OR(H426="Dana riba",H426="Pinjam uang riba",I426="Pinjam dari uang riba",I426="Ganti uang riba",I426="Kelebihan ganti dikembalikan",AND(C426="Kantong Uang Riba",G426="Pengeluaran"))),1,0)</f>
        <v/>
      </c>
      <c r="X426" s="93">
        <f>IF(AND(B426&lt;&gt;"",B426&gt;='Buku Akun'!$H$4,B426&lt;='Buku Akun'!$H$5,OR(C426='Buku Akun'!$C$4,AND(D426="Pindah",E426='Buku Akun'!$C$4))),B426+IF(AND(I426="Selisih bunga",DAY(B426)=1),0,0.01)+ROW()/10000000,"")</f>
        <v/>
      </c>
    </row>
    <row r="427" outlineLevel="1" ht="15" customHeight="1" s="94">
      <c r="A427" s="123">
        <f>IF(B427="","",ROW()-15)</f>
        <v/>
      </c>
      <c r="B427" s="124" t="n"/>
      <c r="C427" s="123" t="n"/>
      <c r="D427" s="123" t="n"/>
      <c r="E427" s="123" t="n"/>
      <c r="F427" s="125" t="n"/>
      <c r="G427" s="123" t="n"/>
      <c r="H427" s="123" t="n"/>
      <c r="I427" s="123" t="n"/>
      <c r="J427" s="123" t="n"/>
      <c r="K427" s="123" t="n"/>
      <c r="L427" s="123" t="n"/>
      <c r="M427" s="123">
        <f>IF(AND(B427&lt;&gt;"",OR($C$4="",ISNUMBER(SEARCH($C$4,C427&amp;" "&amp;E427&amp;" "&amp;G427&amp;" "&amp;H427&amp;" "&amp;I427&amp;" "&amp;J427&amp;" "&amp;K427&amp;" "&amp;L427))),OR($C$5="Semua",$C$5="",G427=$C$5),OR($C$6="Semua",$C$6="",H427=$C$6,H427="Pengeluaran "&amp;$C$6,AND($C$6="Uang Kos Mama",H427="Pengeluaran Uang Kos")),OR($C$7="Semua",$C$7="",I427=$C$7),OR($C$8="Semua",$C$8="",C427=$C$8,E427=$C$8),OR($C$9="Semua",$C$9="",D427=$C$9),OR($C$10="",B427&gt;=$C$10),OR($C$11="",B427&lt;=$C$11),OR($C$12&lt;&gt;"Ya",K427&lt;&gt;""),OR($C$13="Semua",$C$13="",L427=$C$13)),"✓","")</f>
        <v/>
      </c>
      <c r="N427" s="93">
        <f>N(N426)+IF(M427="✓",1,0)</f>
        <v/>
      </c>
      <c r="O427" s="93">
        <f>N(O426)+IF(AND(B427&lt;&gt;"",B427&gt;='Uang Riba'!$H$30,B427&lt;='Uang Riba'!$I$30,OR(H427="Dana riba",H427="Pinjam uang riba",I427="Pinjam dari uang riba",I427="Ganti uang riba",I427="Kelebihan ganti dikembalikan",AND(C427="Kantong Uang Riba",G427="Pengeluaran"))),1,0)</f>
        <v/>
      </c>
      <c r="X427" s="93">
        <f>IF(AND(B427&lt;&gt;"",B427&gt;='Buku Akun'!$H$4,B427&lt;='Buku Akun'!$H$5,OR(C427='Buku Akun'!$C$4,AND(D427="Pindah",E427='Buku Akun'!$C$4))),B427+IF(AND(I427="Selisih bunga",DAY(B427)=1),0,0.01)+ROW()/10000000,"")</f>
        <v/>
      </c>
    </row>
    <row r="428" outlineLevel="1" ht="15" customHeight="1" s="94">
      <c r="A428" s="123">
        <f>IF(B428="","",ROW()-15)</f>
        <v/>
      </c>
      <c r="B428" s="124" t="n"/>
      <c r="C428" s="123" t="n"/>
      <c r="D428" s="123" t="n"/>
      <c r="E428" s="123" t="n"/>
      <c r="F428" s="125" t="n"/>
      <c r="G428" s="123" t="n"/>
      <c r="H428" s="123" t="n"/>
      <c r="I428" s="123" t="n"/>
      <c r="J428" s="123" t="n"/>
      <c r="K428" s="123" t="n"/>
      <c r="L428" s="123" t="n"/>
      <c r="M428" s="123">
        <f>IF(AND(B428&lt;&gt;"",OR($C$4="",ISNUMBER(SEARCH($C$4,C428&amp;" "&amp;E428&amp;" "&amp;G428&amp;" "&amp;H428&amp;" "&amp;I428&amp;" "&amp;J428&amp;" "&amp;K428&amp;" "&amp;L428))),OR($C$5="Semua",$C$5="",G428=$C$5),OR($C$6="Semua",$C$6="",H428=$C$6,H428="Pengeluaran "&amp;$C$6,AND($C$6="Uang Kos Mama",H428="Pengeluaran Uang Kos")),OR($C$7="Semua",$C$7="",I428=$C$7),OR($C$8="Semua",$C$8="",C428=$C$8,E428=$C$8),OR($C$9="Semua",$C$9="",D428=$C$9),OR($C$10="",B428&gt;=$C$10),OR($C$11="",B428&lt;=$C$11),OR($C$12&lt;&gt;"Ya",K428&lt;&gt;""),OR($C$13="Semua",$C$13="",L428=$C$13)),"✓","")</f>
        <v/>
      </c>
      <c r="N428" s="93">
        <f>N(N427)+IF(M428="✓",1,0)</f>
        <v/>
      </c>
      <c r="O428" s="93">
        <f>N(O427)+IF(AND(B428&lt;&gt;"",B428&gt;='Uang Riba'!$H$30,B428&lt;='Uang Riba'!$I$30,OR(H428="Dana riba",H428="Pinjam uang riba",I428="Pinjam dari uang riba",I428="Ganti uang riba",I428="Kelebihan ganti dikembalikan",AND(C428="Kantong Uang Riba",G428="Pengeluaran"))),1,0)</f>
        <v/>
      </c>
      <c r="X428" s="93">
        <f>IF(AND(B428&lt;&gt;"",B428&gt;='Buku Akun'!$H$4,B428&lt;='Buku Akun'!$H$5,OR(C428='Buku Akun'!$C$4,AND(D428="Pindah",E428='Buku Akun'!$C$4))),B428+IF(AND(I428="Selisih bunga",DAY(B428)=1),0,0.01)+ROW()/10000000,"")</f>
        <v/>
      </c>
    </row>
    <row r="429" outlineLevel="1" ht="15" customHeight="1" s="94">
      <c r="A429" s="123">
        <f>IF(B429="","",ROW()-15)</f>
        <v/>
      </c>
      <c r="B429" s="124" t="n"/>
      <c r="C429" s="123" t="n"/>
      <c r="D429" s="123" t="n"/>
      <c r="E429" s="123" t="n"/>
      <c r="F429" s="125" t="n"/>
      <c r="G429" s="123" t="n"/>
      <c r="H429" s="123" t="n"/>
      <c r="I429" s="123" t="n"/>
      <c r="J429" s="123" t="n"/>
      <c r="K429" s="123" t="n"/>
      <c r="L429" s="123" t="n"/>
      <c r="M429" s="123">
        <f>IF(AND(B429&lt;&gt;"",OR($C$4="",ISNUMBER(SEARCH($C$4,C429&amp;" "&amp;E429&amp;" "&amp;G429&amp;" "&amp;H429&amp;" "&amp;I429&amp;" "&amp;J429&amp;" "&amp;K429&amp;" "&amp;L429))),OR($C$5="Semua",$C$5="",G429=$C$5),OR($C$6="Semua",$C$6="",H429=$C$6,H429="Pengeluaran "&amp;$C$6,AND($C$6="Uang Kos Mama",H429="Pengeluaran Uang Kos")),OR($C$7="Semua",$C$7="",I429=$C$7),OR($C$8="Semua",$C$8="",C429=$C$8,E429=$C$8),OR($C$9="Semua",$C$9="",D429=$C$9),OR($C$10="",B429&gt;=$C$10),OR($C$11="",B429&lt;=$C$11),OR($C$12&lt;&gt;"Ya",K429&lt;&gt;""),OR($C$13="Semua",$C$13="",L429=$C$13)),"✓","")</f>
        <v/>
      </c>
      <c r="N429" s="93">
        <f>N(N428)+IF(M429="✓",1,0)</f>
        <v/>
      </c>
      <c r="O429" s="93">
        <f>N(O428)+IF(AND(B429&lt;&gt;"",B429&gt;='Uang Riba'!$H$30,B429&lt;='Uang Riba'!$I$30,OR(H429="Dana riba",H429="Pinjam uang riba",I429="Pinjam dari uang riba",I429="Ganti uang riba",I429="Kelebihan ganti dikembalikan",AND(C429="Kantong Uang Riba",G429="Pengeluaran"))),1,0)</f>
        <v/>
      </c>
      <c r="X429" s="93">
        <f>IF(AND(B429&lt;&gt;"",B429&gt;='Buku Akun'!$H$4,B429&lt;='Buku Akun'!$H$5,OR(C429='Buku Akun'!$C$4,AND(D429="Pindah",E429='Buku Akun'!$C$4))),B429+IF(AND(I429="Selisih bunga",DAY(B429)=1),0,0.01)+ROW()/10000000,"")</f>
        <v/>
      </c>
    </row>
    <row r="430" outlineLevel="1" ht="15" customHeight="1" s="94">
      <c r="A430" s="123">
        <f>IF(B430="","",ROW()-15)</f>
        <v/>
      </c>
      <c r="B430" s="124" t="n"/>
      <c r="C430" s="123" t="n"/>
      <c r="D430" s="123" t="n"/>
      <c r="E430" s="123" t="n"/>
      <c r="F430" s="125" t="n"/>
      <c r="G430" s="123" t="n"/>
      <c r="H430" s="123" t="n"/>
      <c r="I430" s="123" t="n"/>
      <c r="J430" s="123" t="n"/>
      <c r="K430" s="123" t="n"/>
      <c r="L430" s="123" t="n"/>
      <c r="M430" s="123">
        <f>IF(AND(B430&lt;&gt;"",OR($C$4="",ISNUMBER(SEARCH($C$4,C430&amp;" "&amp;E430&amp;" "&amp;G430&amp;" "&amp;H430&amp;" "&amp;I430&amp;" "&amp;J430&amp;" "&amp;K430&amp;" "&amp;L430))),OR($C$5="Semua",$C$5="",G430=$C$5),OR($C$6="Semua",$C$6="",H430=$C$6,H430="Pengeluaran "&amp;$C$6,AND($C$6="Uang Kos Mama",H430="Pengeluaran Uang Kos")),OR($C$7="Semua",$C$7="",I430=$C$7),OR($C$8="Semua",$C$8="",C430=$C$8,E430=$C$8),OR($C$9="Semua",$C$9="",D430=$C$9),OR($C$10="",B430&gt;=$C$10),OR($C$11="",B430&lt;=$C$11),OR($C$12&lt;&gt;"Ya",K430&lt;&gt;""),OR($C$13="Semua",$C$13="",L430=$C$13)),"✓","")</f>
        <v/>
      </c>
      <c r="N430" s="93">
        <f>N(N429)+IF(M430="✓",1,0)</f>
        <v/>
      </c>
      <c r="O430" s="93">
        <f>N(O429)+IF(AND(B430&lt;&gt;"",B430&gt;='Uang Riba'!$H$30,B430&lt;='Uang Riba'!$I$30,OR(H430="Dana riba",H430="Pinjam uang riba",I430="Pinjam dari uang riba",I430="Ganti uang riba",I430="Kelebihan ganti dikembalikan",AND(C430="Kantong Uang Riba",G430="Pengeluaran"))),1,0)</f>
        <v/>
      </c>
      <c r="X430" s="93">
        <f>IF(AND(B430&lt;&gt;"",B430&gt;='Buku Akun'!$H$4,B430&lt;='Buku Akun'!$H$5,OR(C430='Buku Akun'!$C$4,AND(D430="Pindah",E430='Buku Akun'!$C$4))),B430+IF(AND(I430="Selisih bunga",DAY(B430)=1),0,0.01)+ROW()/10000000,"")</f>
        <v/>
      </c>
    </row>
    <row r="431" outlineLevel="1" ht="15" customHeight="1" s="94">
      <c r="A431" s="123">
        <f>IF(B431="","",ROW()-15)</f>
        <v/>
      </c>
      <c r="B431" s="124" t="n"/>
      <c r="C431" s="123" t="n"/>
      <c r="D431" s="123" t="n"/>
      <c r="E431" s="123" t="n"/>
      <c r="F431" s="125" t="n"/>
      <c r="G431" s="123" t="n"/>
      <c r="H431" s="123" t="n"/>
      <c r="I431" s="123" t="n"/>
      <c r="J431" s="123" t="n"/>
      <c r="K431" s="123" t="n"/>
      <c r="L431" s="123" t="n"/>
      <c r="M431" s="123">
        <f>IF(AND(B431&lt;&gt;"",OR($C$4="",ISNUMBER(SEARCH($C$4,C431&amp;" "&amp;E431&amp;" "&amp;G431&amp;" "&amp;H431&amp;" "&amp;I431&amp;" "&amp;J431&amp;" "&amp;K431&amp;" "&amp;L431))),OR($C$5="Semua",$C$5="",G431=$C$5),OR($C$6="Semua",$C$6="",H431=$C$6,H431="Pengeluaran "&amp;$C$6,AND($C$6="Uang Kos Mama",H431="Pengeluaran Uang Kos")),OR($C$7="Semua",$C$7="",I431=$C$7),OR($C$8="Semua",$C$8="",C431=$C$8,E431=$C$8),OR($C$9="Semua",$C$9="",D431=$C$9),OR($C$10="",B431&gt;=$C$10),OR($C$11="",B431&lt;=$C$11),OR($C$12&lt;&gt;"Ya",K431&lt;&gt;""),OR($C$13="Semua",$C$13="",L431=$C$13)),"✓","")</f>
        <v/>
      </c>
      <c r="N431" s="93">
        <f>N(N430)+IF(M431="✓",1,0)</f>
        <v/>
      </c>
      <c r="O431" s="93">
        <f>N(O430)+IF(AND(B431&lt;&gt;"",B431&gt;='Uang Riba'!$H$30,B431&lt;='Uang Riba'!$I$30,OR(H431="Dana riba",H431="Pinjam uang riba",I431="Pinjam dari uang riba",I431="Ganti uang riba",I431="Kelebihan ganti dikembalikan",AND(C431="Kantong Uang Riba",G431="Pengeluaran"))),1,0)</f>
        <v/>
      </c>
      <c r="X431" s="93">
        <f>IF(AND(B431&lt;&gt;"",B431&gt;='Buku Akun'!$H$4,B431&lt;='Buku Akun'!$H$5,OR(C431='Buku Akun'!$C$4,AND(D431="Pindah",E431='Buku Akun'!$C$4))),B431+IF(AND(I431="Selisih bunga",DAY(B431)=1),0,0.01)+ROW()/10000000,"")</f>
        <v/>
      </c>
    </row>
    <row r="432" outlineLevel="1" ht="15" customHeight="1" s="94">
      <c r="A432" s="123">
        <f>IF(B432="","",ROW()-15)</f>
        <v/>
      </c>
      <c r="B432" s="124" t="n"/>
      <c r="C432" s="123" t="n"/>
      <c r="D432" s="123" t="n"/>
      <c r="E432" s="123" t="n"/>
      <c r="F432" s="125" t="n"/>
      <c r="G432" s="123" t="n"/>
      <c r="H432" s="123" t="n"/>
      <c r="I432" s="123" t="n"/>
      <c r="J432" s="123" t="n"/>
      <c r="K432" s="123" t="n"/>
      <c r="L432" s="123" t="n"/>
      <c r="M432" s="123">
        <f>IF(AND(B432&lt;&gt;"",OR($C$4="",ISNUMBER(SEARCH($C$4,C432&amp;" "&amp;E432&amp;" "&amp;G432&amp;" "&amp;H432&amp;" "&amp;I432&amp;" "&amp;J432&amp;" "&amp;K432&amp;" "&amp;L432))),OR($C$5="Semua",$C$5="",G432=$C$5),OR($C$6="Semua",$C$6="",H432=$C$6,H432="Pengeluaran "&amp;$C$6,AND($C$6="Uang Kos Mama",H432="Pengeluaran Uang Kos")),OR($C$7="Semua",$C$7="",I432=$C$7),OR($C$8="Semua",$C$8="",C432=$C$8,E432=$C$8),OR($C$9="Semua",$C$9="",D432=$C$9),OR($C$10="",B432&gt;=$C$10),OR($C$11="",B432&lt;=$C$11),OR($C$12&lt;&gt;"Ya",K432&lt;&gt;""),OR($C$13="Semua",$C$13="",L432=$C$13)),"✓","")</f>
        <v/>
      </c>
      <c r="N432" s="93">
        <f>N(N431)+IF(M432="✓",1,0)</f>
        <v/>
      </c>
      <c r="O432" s="93">
        <f>N(O431)+IF(AND(B432&lt;&gt;"",B432&gt;='Uang Riba'!$H$30,B432&lt;='Uang Riba'!$I$30,OR(H432="Dana riba",H432="Pinjam uang riba",I432="Pinjam dari uang riba",I432="Ganti uang riba",I432="Kelebihan ganti dikembalikan",AND(C432="Kantong Uang Riba",G432="Pengeluaran"))),1,0)</f>
        <v/>
      </c>
      <c r="X432" s="93">
        <f>IF(AND(B432&lt;&gt;"",B432&gt;='Buku Akun'!$H$4,B432&lt;='Buku Akun'!$H$5,OR(C432='Buku Akun'!$C$4,AND(D432="Pindah",E432='Buku Akun'!$C$4))),B432+IF(AND(I432="Selisih bunga",DAY(B432)=1),0,0.01)+ROW()/10000000,"")</f>
        <v/>
      </c>
    </row>
    <row r="433" outlineLevel="1" ht="15" customHeight="1" s="94">
      <c r="A433" s="123">
        <f>IF(B433="","",ROW()-15)</f>
        <v/>
      </c>
      <c r="B433" s="124" t="n"/>
      <c r="C433" s="123" t="n"/>
      <c r="D433" s="123" t="n"/>
      <c r="E433" s="123" t="n"/>
      <c r="F433" s="125" t="n"/>
      <c r="G433" s="123" t="n"/>
      <c r="H433" s="123" t="n"/>
      <c r="I433" s="123" t="n"/>
      <c r="J433" s="123" t="n"/>
      <c r="K433" s="123" t="n"/>
      <c r="L433" s="123" t="n"/>
      <c r="M433" s="123">
        <f>IF(AND(B433&lt;&gt;"",OR($C$4="",ISNUMBER(SEARCH($C$4,C433&amp;" "&amp;E433&amp;" "&amp;G433&amp;" "&amp;H433&amp;" "&amp;I433&amp;" "&amp;J433&amp;" "&amp;K433&amp;" "&amp;L433))),OR($C$5="Semua",$C$5="",G433=$C$5),OR($C$6="Semua",$C$6="",H433=$C$6,H433="Pengeluaran "&amp;$C$6,AND($C$6="Uang Kos Mama",H433="Pengeluaran Uang Kos")),OR($C$7="Semua",$C$7="",I433=$C$7),OR($C$8="Semua",$C$8="",C433=$C$8,E433=$C$8),OR($C$9="Semua",$C$9="",D433=$C$9),OR($C$10="",B433&gt;=$C$10),OR($C$11="",B433&lt;=$C$11),OR($C$12&lt;&gt;"Ya",K433&lt;&gt;""),OR($C$13="Semua",$C$13="",L433=$C$13)),"✓","")</f>
        <v/>
      </c>
      <c r="N433" s="93">
        <f>N(N432)+IF(M433="✓",1,0)</f>
        <v/>
      </c>
      <c r="O433" s="93">
        <f>N(O432)+IF(AND(B433&lt;&gt;"",B433&gt;='Uang Riba'!$H$30,B433&lt;='Uang Riba'!$I$30,OR(H433="Dana riba",H433="Pinjam uang riba",I433="Pinjam dari uang riba",I433="Ganti uang riba",I433="Kelebihan ganti dikembalikan",AND(C433="Kantong Uang Riba",G433="Pengeluaran"))),1,0)</f>
        <v/>
      </c>
      <c r="X433" s="93">
        <f>IF(AND(B433&lt;&gt;"",B433&gt;='Buku Akun'!$H$4,B433&lt;='Buku Akun'!$H$5,OR(C433='Buku Akun'!$C$4,AND(D433="Pindah",E433='Buku Akun'!$C$4))),B433+IF(AND(I433="Selisih bunga",DAY(B433)=1),0,0.01)+ROW()/10000000,"")</f>
        <v/>
      </c>
    </row>
    <row r="434" outlineLevel="1" ht="15" customHeight="1" s="94">
      <c r="A434" s="123">
        <f>IF(B434="","",ROW()-15)</f>
        <v/>
      </c>
      <c r="B434" s="124" t="n"/>
      <c r="C434" s="123" t="n"/>
      <c r="D434" s="123" t="n"/>
      <c r="E434" s="123" t="n"/>
      <c r="F434" s="125" t="n"/>
      <c r="G434" s="123" t="n"/>
      <c r="H434" s="123" t="n"/>
      <c r="I434" s="123" t="n"/>
      <c r="J434" s="123" t="n"/>
      <c r="K434" s="123" t="n"/>
      <c r="L434" s="123" t="n"/>
      <c r="M434" s="123">
        <f>IF(AND(B434&lt;&gt;"",OR($C$4="",ISNUMBER(SEARCH($C$4,C434&amp;" "&amp;E434&amp;" "&amp;G434&amp;" "&amp;H434&amp;" "&amp;I434&amp;" "&amp;J434&amp;" "&amp;K434&amp;" "&amp;L434))),OR($C$5="Semua",$C$5="",G434=$C$5),OR($C$6="Semua",$C$6="",H434=$C$6,H434="Pengeluaran "&amp;$C$6,AND($C$6="Uang Kos Mama",H434="Pengeluaran Uang Kos")),OR($C$7="Semua",$C$7="",I434=$C$7),OR($C$8="Semua",$C$8="",C434=$C$8,E434=$C$8),OR($C$9="Semua",$C$9="",D434=$C$9),OR($C$10="",B434&gt;=$C$10),OR($C$11="",B434&lt;=$C$11),OR($C$12&lt;&gt;"Ya",K434&lt;&gt;""),OR($C$13="Semua",$C$13="",L434=$C$13)),"✓","")</f>
        <v/>
      </c>
      <c r="N434" s="93">
        <f>N(N433)+IF(M434="✓",1,0)</f>
        <v/>
      </c>
      <c r="O434" s="93">
        <f>N(O433)+IF(AND(B434&lt;&gt;"",B434&gt;='Uang Riba'!$H$30,B434&lt;='Uang Riba'!$I$30,OR(H434="Dana riba",H434="Pinjam uang riba",I434="Pinjam dari uang riba",I434="Ganti uang riba",I434="Kelebihan ganti dikembalikan",AND(C434="Kantong Uang Riba",G434="Pengeluaran"))),1,0)</f>
        <v/>
      </c>
      <c r="X434" s="93">
        <f>IF(AND(B434&lt;&gt;"",B434&gt;='Buku Akun'!$H$4,B434&lt;='Buku Akun'!$H$5,OR(C434='Buku Akun'!$C$4,AND(D434="Pindah",E434='Buku Akun'!$C$4))),B434+IF(AND(I434="Selisih bunga",DAY(B434)=1),0,0.01)+ROW()/10000000,"")</f>
        <v/>
      </c>
    </row>
    <row r="435" outlineLevel="1" ht="15" customHeight="1" s="94">
      <c r="A435" s="123">
        <f>IF(B435="","",ROW()-15)</f>
        <v/>
      </c>
      <c r="B435" s="124" t="n"/>
      <c r="C435" s="123" t="n"/>
      <c r="D435" s="123" t="n"/>
      <c r="E435" s="123" t="n"/>
      <c r="F435" s="125" t="n"/>
      <c r="G435" s="123" t="n"/>
      <c r="H435" s="123" t="n"/>
      <c r="I435" s="123" t="n"/>
      <c r="J435" s="123" t="n"/>
      <c r="K435" s="123" t="n"/>
      <c r="L435" s="123" t="n"/>
      <c r="M435" s="123">
        <f>IF(AND(B435&lt;&gt;"",OR($C$4="",ISNUMBER(SEARCH($C$4,C435&amp;" "&amp;E435&amp;" "&amp;G435&amp;" "&amp;H435&amp;" "&amp;I435&amp;" "&amp;J435&amp;" "&amp;K435&amp;" "&amp;L435))),OR($C$5="Semua",$C$5="",G435=$C$5),OR($C$6="Semua",$C$6="",H435=$C$6,H435="Pengeluaran "&amp;$C$6,AND($C$6="Uang Kos Mama",H435="Pengeluaran Uang Kos")),OR($C$7="Semua",$C$7="",I435=$C$7),OR($C$8="Semua",$C$8="",C435=$C$8,E435=$C$8),OR($C$9="Semua",$C$9="",D435=$C$9),OR($C$10="",B435&gt;=$C$10),OR($C$11="",B435&lt;=$C$11),OR($C$12&lt;&gt;"Ya",K435&lt;&gt;""),OR($C$13="Semua",$C$13="",L435=$C$13)),"✓","")</f>
        <v/>
      </c>
      <c r="N435" s="93">
        <f>N(N434)+IF(M435="✓",1,0)</f>
        <v/>
      </c>
      <c r="O435" s="93">
        <f>N(O434)+IF(AND(B435&lt;&gt;"",B435&gt;='Uang Riba'!$H$30,B435&lt;='Uang Riba'!$I$30,OR(H435="Dana riba",H435="Pinjam uang riba",I435="Pinjam dari uang riba",I435="Ganti uang riba",I435="Kelebihan ganti dikembalikan",AND(C435="Kantong Uang Riba",G435="Pengeluaran"))),1,0)</f>
        <v/>
      </c>
      <c r="X435" s="93">
        <f>IF(AND(B435&lt;&gt;"",B435&gt;='Buku Akun'!$H$4,B435&lt;='Buku Akun'!$H$5,OR(C435='Buku Akun'!$C$4,AND(D435="Pindah",E435='Buku Akun'!$C$4))),B435+IF(AND(I435="Selisih bunga",DAY(B435)=1),0,0.01)+ROW()/10000000,"")</f>
        <v/>
      </c>
    </row>
    <row r="436" outlineLevel="1" ht="15" customHeight="1" s="94">
      <c r="A436" s="123">
        <f>IF(B436="","",ROW()-15)</f>
        <v/>
      </c>
      <c r="B436" s="124" t="n"/>
      <c r="C436" s="123" t="n"/>
      <c r="D436" s="123" t="n"/>
      <c r="E436" s="123" t="n"/>
      <c r="F436" s="125" t="n"/>
      <c r="G436" s="123" t="n"/>
      <c r="H436" s="123" t="n"/>
      <c r="I436" s="123" t="n"/>
      <c r="J436" s="123" t="n"/>
      <c r="K436" s="123" t="n"/>
      <c r="L436" s="123" t="n"/>
      <c r="M436" s="123">
        <f>IF(AND(B436&lt;&gt;"",OR($C$4="",ISNUMBER(SEARCH($C$4,C436&amp;" "&amp;E436&amp;" "&amp;G436&amp;" "&amp;H436&amp;" "&amp;I436&amp;" "&amp;J436&amp;" "&amp;K436&amp;" "&amp;L436))),OR($C$5="Semua",$C$5="",G436=$C$5),OR($C$6="Semua",$C$6="",H436=$C$6,H436="Pengeluaran "&amp;$C$6,AND($C$6="Uang Kos Mama",H436="Pengeluaran Uang Kos")),OR($C$7="Semua",$C$7="",I436=$C$7),OR($C$8="Semua",$C$8="",C436=$C$8,E436=$C$8),OR($C$9="Semua",$C$9="",D436=$C$9),OR($C$10="",B436&gt;=$C$10),OR($C$11="",B436&lt;=$C$11),OR($C$12&lt;&gt;"Ya",K436&lt;&gt;""),OR($C$13="Semua",$C$13="",L436=$C$13)),"✓","")</f>
        <v/>
      </c>
      <c r="N436" s="93">
        <f>N(N435)+IF(M436="✓",1,0)</f>
        <v/>
      </c>
      <c r="O436" s="93">
        <f>N(O435)+IF(AND(B436&lt;&gt;"",B436&gt;='Uang Riba'!$H$30,B436&lt;='Uang Riba'!$I$30,OR(H436="Dana riba",H436="Pinjam uang riba",I436="Pinjam dari uang riba",I436="Ganti uang riba",I436="Kelebihan ganti dikembalikan",AND(C436="Kantong Uang Riba",G436="Pengeluaran"))),1,0)</f>
        <v/>
      </c>
      <c r="X436" s="93">
        <f>IF(AND(B436&lt;&gt;"",B436&gt;='Buku Akun'!$H$4,B436&lt;='Buku Akun'!$H$5,OR(C436='Buku Akun'!$C$4,AND(D436="Pindah",E436='Buku Akun'!$C$4))),B436+IF(AND(I436="Selisih bunga",DAY(B436)=1),0,0.01)+ROW()/10000000,"")</f>
        <v/>
      </c>
    </row>
    <row r="437" outlineLevel="1" ht="15" customHeight="1" s="94">
      <c r="A437" s="123">
        <f>IF(B437="","",ROW()-15)</f>
        <v/>
      </c>
      <c r="B437" s="124" t="n"/>
      <c r="C437" s="123" t="n"/>
      <c r="D437" s="123" t="n"/>
      <c r="E437" s="123" t="n"/>
      <c r="F437" s="125" t="n"/>
      <c r="G437" s="123" t="n"/>
      <c r="H437" s="123" t="n"/>
      <c r="I437" s="123" t="n"/>
      <c r="J437" s="123" t="n"/>
      <c r="K437" s="123" t="n"/>
      <c r="L437" s="123" t="n"/>
      <c r="M437" s="123">
        <f>IF(AND(B437&lt;&gt;"",OR($C$4="",ISNUMBER(SEARCH($C$4,C437&amp;" "&amp;E437&amp;" "&amp;G437&amp;" "&amp;H437&amp;" "&amp;I437&amp;" "&amp;J437&amp;" "&amp;K437&amp;" "&amp;L437))),OR($C$5="Semua",$C$5="",G437=$C$5),OR($C$6="Semua",$C$6="",H437=$C$6,H437="Pengeluaran "&amp;$C$6,AND($C$6="Uang Kos Mama",H437="Pengeluaran Uang Kos")),OR($C$7="Semua",$C$7="",I437=$C$7),OR($C$8="Semua",$C$8="",C437=$C$8,E437=$C$8),OR($C$9="Semua",$C$9="",D437=$C$9),OR($C$10="",B437&gt;=$C$10),OR($C$11="",B437&lt;=$C$11),OR($C$12&lt;&gt;"Ya",K437&lt;&gt;""),OR($C$13="Semua",$C$13="",L437=$C$13)),"✓","")</f>
        <v/>
      </c>
      <c r="N437" s="93">
        <f>N(N436)+IF(M437="✓",1,0)</f>
        <v/>
      </c>
      <c r="O437" s="93">
        <f>N(O436)+IF(AND(B437&lt;&gt;"",B437&gt;='Uang Riba'!$H$30,B437&lt;='Uang Riba'!$I$30,OR(H437="Dana riba",H437="Pinjam uang riba",I437="Pinjam dari uang riba",I437="Ganti uang riba",I437="Kelebihan ganti dikembalikan",AND(C437="Kantong Uang Riba",G437="Pengeluaran"))),1,0)</f>
        <v/>
      </c>
      <c r="X437" s="93">
        <f>IF(AND(B437&lt;&gt;"",B437&gt;='Buku Akun'!$H$4,B437&lt;='Buku Akun'!$H$5,OR(C437='Buku Akun'!$C$4,AND(D437="Pindah",E437='Buku Akun'!$C$4))),B437+IF(AND(I437="Selisih bunga",DAY(B437)=1),0,0.01)+ROW()/10000000,"")</f>
        <v/>
      </c>
    </row>
    <row r="438" outlineLevel="1" ht="15" customHeight="1" s="94">
      <c r="A438" s="123">
        <f>IF(B438="","",ROW()-15)</f>
        <v/>
      </c>
      <c r="B438" s="124" t="n"/>
      <c r="C438" s="123" t="n"/>
      <c r="D438" s="123" t="n"/>
      <c r="E438" s="123" t="n"/>
      <c r="F438" s="125" t="n"/>
      <c r="G438" s="123" t="n"/>
      <c r="H438" s="123" t="n"/>
      <c r="I438" s="123" t="n"/>
      <c r="J438" s="123" t="n"/>
      <c r="K438" s="123" t="n"/>
      <c r="L438" s="123" t="n"/>
      <c r="M438" s="123">
        <f>IF(AND(B438&lt;&gt;"",OR($C$4="",ISNUMBER(SEARCH($C$4,C438&amp;" "&amp;E438&amp;" "&amp;G438&amp;" "&amp;H438&amp;" "&amp;I438&amp;" "&amp;J438&amp;" "&amp;K438&amp;" "&amp;L438))),OR($C$5="Semua",$C$5="",G438=$C$5),OR($C$6="Semua",$C$6="",H438=$C$6,H438="Pengeluaran "&amp;$C$6,AND($C$6="Uang Kos Mama",H438="Pengeluaran Uang Kos")),OR($C$7="Semua",$C$7="",I438=$C$7),OR($C$8="Semua",$C$8="",C438=$C$8,E438=$C$8),OR($C$9="Semua",$C$9="",D438=$C$9),OR($C$10="",B438&gt;=$C$10),OR($C$11="",B438&lt;=$C$11),OR($C$12&lt;&gt;"Ya",K438&lt;&gt;""),OR($C$13="Semua",$C$13="",L438=$C$13)),"✓","")</f>
        <v/>
      </c>
      <c r="N438" s="93">
        <f>N(N437)+IF(M438="✓",1,0)</f>
        <v/>
      </c>
      <c r="O438" s="93">
        <f>N(O437)+IF(AND(B438&lt;&gt;"",B438&gt;='Uang Riba'!$H$30,B438&lt;='Uang Riba'!$I$30,OR(H438="Dana riba",H438="Pinjam uang riba",I438="Pinjam dari uang riba",I438="Ganti uang riba",I438="Kelebihan ganti dikembalikan",AND(C438="Kantong Uang Riba",G438="Pengeluaran"))),1,0)</f>
        <v/>
      </c>
      <c r="X438" s="93">
        <f>IF(AND(B438&lt;&gt;"",B438&gt;='Buku Akun'!$H$4,B438&lt;='Buku Akun'!$H$5,OR(C438='Buku Akun'!$C$4,AND(D438="Pindah",E438='Buku Akun'!$C$4))),B438+IF(AND(I438="Selisih bunga",DAY(B438)=1),0,0.01)+ROW()/10000000,"")</f>
        <v/>
      </c>
    </row>
    <row r="439" outlineLevel="1" ht="15" customHeight="1" s="94">
      <c r="A439" s="123">
        <f>IF(B439="","",ROW()-15)</f>
        <v/>
      </c>
      <c r="B439" s="124" t="n"/>
      <c r="C439" s="123" t="n"/>
      <c r="D439" s="123" t="n"/>
      <c r="E439" s="123" t="n"/>
      <c r="F439" s="125" t="n"/>
      <c r="G439" s="123" t="n"/>
      <c r="H439" s="123" t="n"/>
      <c r="I439" s="123" t="n"/>
      <c r="J439" s="123" t="n"/>
      <c r="K439" s="123" t="n"/>
      <c r="L439" s="123" t="n"/>
      <c r="M439" s="123">
        <f>IF(AND(B439&lt;&gt;"",OR($C$4="",ISNUMBER(SEARCH($C$4,C439&amp;" "&amp;E439&amp;" "&amp;G439&amp;" "&amp;H439&amp;" "&amp;I439&amp;" "&amp;J439&amp;" "&amp;K439&amp;" "&amp;L439))),OR($C$5="Semua",$C$5="",G439=$C$5),OR($C$6="Semua",$C$6="",H439=$C$6,H439="Pengeluaran "&amp;$C$6,AND($C$6="Uang Kos Mama",H439="Pengeluaran Uang Kos")),OR($C$7="Semua",$C$7="",I439=$C$7),OR($C$8="Semua",$C$8="",C439=$C$8,E439=$C$8),OR($C$9="Semua",$C$9="",D439=$C$9),OR($C$10="",B439&gt;=$C$10),OR($C$11="",B439&lt;=$C$11),OR($C$12&lt;&gt;"Ya",K439&lt;&gt;""),OR($C$13="Semua",$C$13="",L439=$C$13)),"✓","")</f>
        <v/>
      </c>
      <c r="N439" s="93">
        <f>N(N438)+IF(M439="✓",1,0)</f>
        <v/>
      </c>
      <c r="O439" s="93">
        <f>N(O438)+IF(AND(B439&lt;&gt;"",B439&gt;='Uang Riba'!$H$30,B439&lt;='Uang Riba'!$I$30,OR(H439="Dana riba",H439="Pinjam uang riba",I439="Pinjam dari uang riba",I439="Ganti uang riba",I439="Kelebihan ganti dikembalikan",AND(C439="Kantong Uang Riba",G439="Pengeluaran"))),1,0)</f>
        <v/>
      </c>
      <c r="X439" s="93">
        <f>IF(AND(B439&lt;&gt;"",B439&gt;='Buku Akun'!$H$4,B439&lt;='Buku Akun'!$H$5,OR(C439='Buku Akun'!$C$4,AND(D439="Pindah",E439='Buku Akun'!$C$4))),B439+IF(AND(I439="Selisih bunga",DAY(B439)=1),0,0.01)+ROW()/10000000,"")</f>
        <v/>
      </c>
    </row>
    <row r="440" outlineLevel="1" ht="15" customHeight="1" s="94">
      <c r="A440" s="123">
        <f>IF(B440="","",ROW()-15)</f>
        <v/>
      </c>
      <c r="B440" s="124" t="n"/>
      <c r="C440" s="123" t="n"/>
      <c r="D440" s="123" t="n"/>
      <c r="E440" s="123" t="n"/>
      <c r="F440" s="125" t="n"/>
      <c r="G440" s="123" t="n"/>
      <c r="H440" s="123" t="n"/>
      <c r="I440" s="123" t="n"/>
      <c r="J440" s="123" t="n"/>
      <c r="K440" s="123" t="n"/>
      <c r="L440" s="123" t="n"/>
      <c r="M440" s="123">
        <f>IF(AND(B440&lt;&gt;"",OR($C$4="",ISNUMBER(SEARCH($C$4,C440&amp;" "&amp;E440&amp;" "&amp;G440&amp;" "&amp;H440&amp;" "&amp;I440&amp;" "&amp;J440&amp;" "&amp;K440&amp;" "&amp;L440))),OR($C$5="Semua",$C$5="",G440=$C$5),OR($C$6="Semua",$C$6="",H440=$C$6,H440="Pengeluaran "&amp;$C$6,AND($C$6="Uang Kos Mama",H440="Pengeluaran Uang Kos")),OR($C$7="Semua",$C$7="",I440=$C$7),OR($C$8="Semua",$C$8="",C440=$C$8,E440=$C$8),OR($C$9="Semua",$C$9="",D440=$C$9),OR($C$10="",B440&gt;=$C$10),OR($C$11="",B440&lt;=$C$11),OR($C$12&lt;&gt;"Ya",K440&lt;&gt;""),OR($C$13="Semua",$C$13="",L440=$C$13)),"✓","")</f>
        <v/>
      </c>
      <c r="N440" s="93">
        <f>N(N439)+IF(M440="✓",1,0)</f>
        <v/>
      </c>
      <c r="O440" s="93">
        <f>N(O439)+IF(AND(B440&lt;&gt;"",B440&gt;='Uang Riba'!$H$30,B440&lt;='Uang Riba'!$I$30,OR(H440="Dana riba",H440="Pinjam uang riba",I440="Pinjam dari uang riba",I440="Ganti uang riba",I440="Kelebihan ganti dikembalikan",AND(C440="Kantong Uang Riba",G440="Pengeluaran"))),1,0)</f>
        <v/>
      </c>
      <c r="X440" s="93">
        <f>IF(AND(B440&lt;&gt;"",B440&gt;='Buku Akun'!$H$4,B440&lt;='Buku Akun'!$H$5,OR(C440='Buku Akun'!$C$4,AND(D440="Pindah",E440='Buku Akun'!$C$4))),B440+IF(AND(I440="Selisih bunga",DAY(B440)=1),0,0.01)+ROW()/10000000,"")</f>
        <v/>
      </c>
    </row>
    <row r="441" outlineLevel="1" ht="15" customHeight="1" s="94">
      <c r="A441" s="123">
        <f>IF(B441="","",ROW()-15)</f>
        <v/>
      </c>
      <c r="B441" s="124" t="n"/>
      <c r="C441" s="123" t="n"/>
      <c r="D441" s="123" t="n"/>
      <c r="E441" s="123" t="n"/>
      <c r="F441" s="125" t="n"/>
      <c r="G441" s="123" t="n"/>
      <c r="H441" s="123" t="n"/>
      <c r="I441" s="123" t="n"/>
      <c r="J441" s="123" t="n"/>
      <c r="K441" s="123" t="n"/>
      <c r="L441" s="123" t="n"/>
      <c r="M441" s="123">
        <f>IF(AND(B441&lt;&gt;"",OR($C$4="",ISNUMBER(SEARCH($C$4,C441&amp;" "&amp;E441&amp;" "&amp;G441&amp;" "&amp;H441&amp;" "&amp;I441&amp;" "&amp;J441&amp;" "&amp;K441&amp;" "&amp;L441))),OR($C$5="Semua",$C$5="",G441=$C$5),OR($C$6="Semua",$C$6="",H441=$C$6,H441="Pengeluaran "&amp;$C$6,AND($C$6="Uang Kos Mama",H441="Pengeluaran Uang Kos")),OR($C$7="Semua",$C$7="",I441=$C$7),OR($C$8="Semua",$C$8="",C441=$C$8,E441=$C$8),OR($C$9="Semua",$C$9="",D441=$C$9),OR($C$10="",B441&gt;=$C$10),OR($C$11="",B441&lt;=$C$11),OR($C$12&lt;&gt;"Ya",K441&lt;&gt;""),OR($C$13="Semua",$C$13="",L441=$C$13)),"✓","")</f>
        <v/>
      </c>
      <c r="N441" s="93">
        <f>N(N440)+IF(M441="✓",1,0)</f>
        <v/>
      </c>
      <c r="O441" s="93">
        <f>N(O440)+IF(AND(B441&lt;&gt;"",B441&gt;='Uang Riba'!$H$30,B441&lt;='Uang Riba'!$I$30,OR(H441="Dana riba",H441="Pinjam uang riba",I441="Pinjam dari uang riba",I441="Ganti uang riba",I441="Kelebihan ganti dikembalikan",AND(C441="Kantong Uang Riba",G441="Pengeluaran"))),1,0)</f>
        <v/>
      </c>
      <c r="X441" s="93">
        <f>IF(AND(B441&lt;&gt;"",B441&gt;='Buku Akun'!$H$4,B441&lt;='Buku Akun'!$H$5,OR(C441='Buku Akun'!$C$4,AND(D441="Pindah",E441='Buku Akun'!$C$4))),B441+IF(AND(I441="Selisih bunga",DAY(B441)=1),0,0.01)+ROW()/10000000,"")</f>
        <v/>
      </c>
    </row>
    <row r="442" outlineLevel="1" ht="15" customHeight="1" s="94">
      <c r="A442" s="123">
        <f>IF(B442="","",ROW()-15)</f>
        <v/>
      </c>
      <c r="B442" s="124" t="n"/>
      <c r="C442" s="123" t="n"/>
      <c r="D442" s="123" t="n"/>
      <c r="E442" s="123" t="n"/>
      <c r="F442" s="125" t="n"/>
      <c r="G442" s="123" t="n"/>
      <c r="H442" s="123" t="n"/>
      <c r="I442" s="123" t="n"/>
      <c r="J442" s="123" t="n"/>
      <c r="K442" s="123" t="n"/>
      <c r="L442" s="123" t="n"/>
      <c r="M442" s="123">
        <f>IF(AND(B442&lt;&gt;"",OR($C$4="",ISNUMBER(SEARCH($C$4,C442&amp;" "&amp;E442&amp;" "&amp;G442&amp;" "&amp;H442&amp;" "&amp;I442&amp;" "&amp;J442&amp;" "&amp;K442&amp;" "&amp;L442))),OR($C$5="Semua",$C$5="",G442=$C$5),OR($C$6="Semua",$C$6="",H442=$C$6,H442="Pengeluaran "&amp;$C$6,AND($C$6="Uang Kos Mama",H442="Pengeluaran Uang Kos")),OR($C$7="Semua",$C$7="",I442=$C$7),OR($C$8="Semua",$C$8="",C442=$C$8,E442=$C$8),OR($C$9="Semua",$C$9="",D442=$C$9),OR($C$10="",B442&gt;=$C$10),OR($C$11="",B442&lt;=$C$11),OR($C$12&lt;&gt;"Ya",K442&lt;&gt;""),OR($C$13="Semua",$C$13="",L442=$C$13)),"✓","")</f>
        <v/>
      </c>
      <c r="N442" s="93">
        <f>N(N441)+IF(M442="✓",1,0)</f>
        <v/>
      </c>
      <c r="O442" s="93">
        <f>N(O441)+IF(AND(B442&lt;&gt;"",B442&gt;='Uang Riba'!$H$30,B442&lt;='Uang Riba'!$I$30,OR(H442="Dana riba",H442="Pinjam uang riba",I442="Pinjam dari uang riba",I442="Ganti uang riba",I442="Kelebihan ganti dikembalikan",AND(C442="Kantong Uang Riba",G442="Pengeluaran"))),1,0)</f>
        <v/>
      </c>
      <c r="X442" s="93">
        <f>IF(AND(B442&lt;&gt;"",B442&gt;='Buku Akun'!$H$4,B442&lt;='Buku Akun'!$H$5,OR(C442='Buku Akun'!$C$4,AND(D442="Pindah",E442='Buku Akun'!$C$4))),B442+IF(AND(I442="Selisih bunga",DAY(B442)=1),0,0.01)+ROW()/10000000,"")</f>
        <v/>
      </c>
    </row>
    <row r="443" outlineLevel="1" ht="15" customHeight="1" s="94">
      <c r="A443" s="123">
        <f>IF(B443="","",ROW()-15)</f>
        <v/>
      </c>
      <c r="B443" s="124" t="n"/>
      <c r="C443" s="123" t="n"/>
      <c r="D443" s="123" t="n"/>
      <c r="E443" s="123" t="n"/>
      <c r="F443" s="125" t="n"/>
      <c r="G443" s="123" t="n"/>
      <c r="H443" s="123" t="n"/>
      <c r="I443" s="123" t="n"/>
      <c r="J443" s="123" t="n"/>
      <c r="K443" s="123" t="n"/>
      <c r="L443" s="123" t="n"/>
      <c r="M443" s="123">
        <f>IF(AND(B443&lt;&gt;"",OR($C$4="",ISNUMBER(SEARCH($C$4,C443&amp;" "&amp;E443&amp;" "&amp;G443&amp;" "&amp;H443&amp;" "&amp;I443&amp;" "&amp;J443&amp;" "&amp;K443&amp;" "&amp;L443))),OR($C$5="Semua",$C$5="",G443=$C$5),OR($C$6="Semua",$C$6="",H443=$C$6,H443="Pengeluaran "&amp;$C$6,AND($C$6="Uang Kos Mama",H443="Pengeluaran Uang Kos")),OR($C$7="Semua",$C$7="",I443=$C$7),OR($C$8="Semua",$C$8="",C443=$C$8,E443=$C$8),OR($C$9="Semua",$C$9="",D443=$C$9),OR($C$10="",B443&gt;=$C$10),OR($C$11="",B443&lt;=$C$11),OR($C$12&lt;&gt;"Ya",K443&lt;&gt;""),OR($C$13="Semua",$C$13="",L443=$C$13)),"✓","")</f>
        <v/>
      </c>
      <c r="N443" s="93">
        <f>N(N442)+IF(M443="✓",1,0)</f>
        <v/>
      </c>
      <c r="O443" s="93">
        <f>N(O442)+IF(AND(B443&lt;&gt;"",B443&gt;='Uang Riba'!$H$30,B443&lt;='Uang Riba'!$I$30,OR(H443="Dana riba",H443="Pinjam uang riba",I443="Pinjam dari uang riba",I443="Ganti uang riba",I443="Kelebihan ganti dikembalikan",AND(C443="Kantong Uang Riba",G443="Pengeluaran"))),1,0)</f>
        <v/>
      </c>
      <c r="X443" s="93">
        <f>IF(AND(B443&lt;&gt;"",B443&gt;='Buku Akun'!$H$4,B443&lt;='Buku Akun'!$H$5,OR(C443='Buku Akun'!$C$4,AND(D443="Pindah",E443='Buku Akun'!$C$4))),B443+IF(AND(I443="Selisih bunga",DAY(B443)=1),0,0.01)+ROW()/10000000,"")</f>
        <v/>
      </c>
    </row>
    <row r="444" outlineLevel="1" ht="15" customHeight="1" s="94">
      <c r="A444" s="123">
        <f>IF(B444="","",ROW()-15)</f>
        <v/>
      </c>
      <c r="B444" s="124" t="n"/>
      <c r="C444" s="123" t="n"/>
      <c r="D444" s="123" t="n"/>
      <c r="E444" s="123" t="n"/>
      <c r="F444" s="125" t="n"/>
      <c r="G444" s="123" t="n"/>
      <c r="H444" s="123" t="n"/>
      <c r="I444" s="123" t="n"/>
      <c r="J444" s="123" t="n"/>
      <c r="K444" s="123" t="n"/>
      <c r="L444" s="123" t="n"/>
      <c r="M444" s="123">
        <f>IF(AND(B444&lt;&gt;"",OR($C$4="",ISNUMBER(SEARCH($C$4,C444&amp;" "&amp;E444&amp;" "&amp;G444&amp;" "&amp;H444&amp;" "&amp;I444&amp;" "&amp;J444&amp;" "&amp;K444&amp;" "&amp;L444))),OR($C$5="Semua",$C$5="",G444=$C$5),OR($C$6="Semua",$C$6="",H444=$C$6,H444="Pengeluaran "&amp;$C$6,AND($C$6="Uang Kos Mama",H444="Pengeluaran Uang Kos")),OR($C$7="Semua",$C$7="",I444=$C$7),OR($C$8="Semua",$C$8="",C444=$C$8,E444=$C$8),OR($C$9="Semua",$C$9="",D444=$C$9),OR($C$10="",B444&gt;=$C$10),OR($C$11="",B444&lt;=$C$11),OR($C$12&lt;&gt;"Ya",K444&lt;&gt;""),OR($C$13="Semua",$C$13="",L444=$C$13)),"✓","")</f>
        <v/>
      </c>
      <c r="N444" s="93">
        <f>N(N443)+IF(M444="✓",1,0)</f>
        <v/>
      </c>
      <c r="O444" s="93">
        <f>N(O443)+IF(AND(B444&lt;&gt;"",B444&gt;='Uang Riba'!$H$30,B444&lt;='Uang Riba'!$I$30,OR(H444="Dana riba",H444="Pinjam uang riba",I444="Pinjam dari uang riba",I444="Ganti uang riba",I444="Kelebihan ganti dikembalikan",AND(C444="Kantong Uang Riba",G444="Pengeluaran"))),1,0)</f>
        <v/>
      </c>
      <c r="X444" s="93">
        <f>IF(AND(B444&lt;&gt;"",B444&gt;='Buku Akun'!$H$4,B444&lt;='Buku Akun'!$H$5,OR(C444='Buku Akun'!$C$4,AND(D444="Pindah",E444='Buku Akun'!$C$4))),B444+IF(AND(I444="Selisih bunga",DAY(B444)=1),0,0.01)+ROW()/10000000,"")</f>
        <v/>
      </c>
    </row>
    <row r="445" outlineLevel="1" ht="15" customHeight="1" s="94">
      <c r="A445" s="123">
        <f>IF(B445="","",ROW()-15)</f>
        <v/>
      </c>
      <c r="B445" s="124" t="n"/>
      <c r="C445" s="123" t="n"/>
      <c r="D445" s="123" t="n"/>
      <c r="E445" s="123" t="n"/>
      <c r="F445" s="125" t="n"/>
      <c r="G445" s="123" t="n"/>
      <c r="H445" s="123" t="n"/>
      <c r="I445" s="123" t="n"/>
      <c r="J445" s="123" t="n"/>
      <c r="K445" s="123" t="n"/>
      <c r="L445" s="123" t="n"/>
      <c r="M445" s="123">
        <f>IF(AND(B445&lt;&gt;"",OR($C$4="",ISNUMBER(SEARCH($C$4,C445&amp;" "&amp;E445&amp;" "&amp;G445&amp;" "&amp;H445&amp;" "&amp;I445&amp;" "&amp;J445&amp;" "&amp;K445&amp;" "&amp;L445))),OR($C$5="Semua",$C$5="",G445=$C$5),OR($C$6="Semua",$C$6="",H445=$C$6,H445="Pengeluaran "&amp;$C$6,AND($C$6="Uang Kos Mama",H445="Pengeluaran Uang Kos")),OR($C$7="Semua",$C$7="",I445=$C$7),OR($C$8="Semua",$C$8="",C445=$C$8,E445=$C$8),OR($C$9="Semua",$C$9="",D445=$C$9),OR($C$10="",B445&gt;=$C$10),OR($C$11="",B445&lt;=$C$11),OR($C$12&lt;&gt;"Ya",K445&lt;&gt;""),OR($C$13="Semua",$C$13="",L445=$C$13)),"✓","")</f>
        <v/>
      </c>
      <c r="N445" s="93">
        <f>N(N444)+IF(M445="✓",1,0)</f>
        <v/>
      </c>
      <c r="O445" s="93">
        <f>N(O444)+IF(AND(B445&lt;&gt;"",B445&gt;='Uang Riba'!$H$30,B445&lt;='Uang Riba'!$I$30,OR(H445="Dana riba",H445="Pinjam uang riba",I445="Pinjam dari uang riba",I445="Ganti uang riba",I445="Kelebihan ganti dikembalikan",AND(C445="Kantong Uang Riba",G445="Pengeluaran"))),1,0)</f>
        <v/>
      </c>
      <c r="X445" s="93">
        <f>IF(AND(B445&lt;&gt;"",B445&gt;='Buku Akun'!$H$4,B445&lt;='Buku Akun'!$H$5,OR(C445='Buku Akun'!$C$4,AND(D445="Pindah",E445='Buku Akun'!$C$4))),B445+IF(AND(I445="Selisih bunga",DAY(B445)=1),0,0.01)+ROW()/10000000,"")</f>
        <v/>
      </c>
    </row>
    <row r="446" outlineLevel="1" ht="15" customHeight="1" s="94">
      <c r="A446" s="123">
        <f>IF(B446="","",ROW()-15)</f>
        <v/>
      </c>
      <c r="B446" s="124" t="n"/>
      <c r="C446" s="123" t="n"/>
      <c r="D446" s="123" t="n"/>
      <c r="E446" s="123" t="n"/>
      <c r="F446" s="125" t="n"/>
      <c r="G446" s="123" t="n"/>
      <c r="H446" s="123" t="n"/>
      <c r="I446" s="123" t="n"/>
      <c r="J446" s="123" t="n"/>
      <c r="K446" s="123" t="n"/>
      <c r="L446" s="123" t="n"/>
      <c r="M446" s="123">
        <f>IF(AND(B446&lt;&gt;"",OR($C$4="",ISNUMBER(SEARCH($C$4,C446&amp;" "&amp;E446&amp;" "&amp;G446&amp;" "&amp;H446&amp;" "&amp;I446&amp;" "&amp;J446&amp;" "&amp;K446&amp;" "&amp;L446))),OR($C$5="Semua",$C$5="",G446=$C$5),OR($C$6="Semua",$C$6="",H446=$C$6,H446="Pengeluaran "&amp;$C$6,AND($C$6="Uang Kos Mama",H446="Pengeluaran Uang Kos")),OR($C$7="Semua",$C$7="",I446=$C$7),OR($C$8="Semua",$C$8="",C446=$C$8,E446=$C$8),OR($C$9="Semua",$C$9="",D446=$C$9),OR($C$10="",B446&gt;=$C$10),OR($C$11="",B446&lt;=$C$11),OR($C$12&lt;&gt;"Ya",K446&lt;&gt;""),OR($C$13="Semua",$C$13="",L446=$C$13)),"✓","")</f>
        <v/>
      </c>
      <c r="N446" s="93">
        <f>N(N445)+IF(M446="✓",1,0)</f>
        <v/>
      </c>
      <c r="O446" s="93">
        <f>N(O445)+IF(AND(B446&lt;&gt;"",B446&gt;='Uang Riba'!$H$30,B446&lt;='Uang Riba'!$I$30,OR(H446="Dana riba",H446="Pinjam uang riba",I446="Pinjam dari uang riba",I446="Ganti uang riba",I446="Kelebihan ganti dikembalikan",AND(C446="Kantong Uang Riba",G446="Pengeluaran"))),1,0)</f>
        <v/>
      </c>
      <c r="X446" s="93">
        <f>IF(AND(B446&lt;&gt;"",B446&gt;='Buku Akun'!$H$4,B446&lt;='Buku Akun'!$H$5,OR(C446='Buku Akun'!$C$4,AND(D446="Pindah",E446='Buku Akun'!$C$4))),B446+IF(AND(I446="Selisih bunga",DAY(B446)=1),0,0.01)+ROW()/10000000,"")</f>
        <v/>
      </c>
    </row>
    <row r="447" outlineLevel="1" ht="15" customHeight="1" s="94">
      <c r="A447" s="123">
        <f>IF(B447="","",ROW()-15)</f>
        <v/>
      </c>
      <c r="B447" s="124" t="n"/>
      <c r="C447" s="123" t="n"/>
      <c r="D447" s="123" t="n"/>
      <c r="E447" s="123" t="n"/>
      <c r="F447" s="125" t="n"/>
      <c r="G447" s="123" t="n"/>
      <c r="H447" s="123" t="n"/>
      <c r="I447" s="123" t="n"/>
      <c r="J447" s="123" t="n"/>
      <c r="K447" s="123" t="n"/>
      <c r="L447" s="123" t="n"/>
      <c r="M447" s="123">
        <f>IF(AND(B447&lt;&gt;"",OR($C$4="",ISNUMBER(SEARCH($C$4,C447&amp;" "&amp;E447&amp;" "&amp;G447&amp;" "&amp;H447&amp;" "&amp;I447&amp;" "&amp;J447&amp;" "&amp;K447&amp;" "&amp;L447))),OR($C$5="Semua",$C$5="",G447=$C$5),OR($C$6="Semua",$C$6="",H447=$C$6,H447="Pengeluaran "&amp;$C$6,AND($C$6="Uang Kos Mama",H447="Pengeluaran Uang Kos")),OR($C$7="Semua",$C$7="",I447=$C$7),OR($C$8="Semua",$C$8="",C447=$C$8,E447=$C$8),OR($C$9="Semua",$C$9="",D447=$C$9),OR($C$10="",B447&gt;=$C$10),OR($C$11="",B447&lt;=$C$11),OR($C$12&lt;&gt;"Ya",K447&lt;&gt;""),OR($C$13="Semua",$C$13="",L447=$C$13)),"✓","")</f>
        <v/>
      </c>
      <c r="N447" s="93">
        <f>N(N446)+IF(M447="✓",1,0)</f>
        <v/>
      </c>
      <c r="O447" s="93">
        <f>N(O446)+IF(AND(B447&lt;&gt;"",B447&gt;='Uang Riba'!$H$30,B447&lt;='Uang Riba'!$I$30,OR(H447="Dana riba",H447="Pinjam uang riba",I447="Pinjam dari uang riba",I447="Ganti uang riba",I447="Kelebihan ganti dikembalikan",AND(C447="Kantong Uang Riba",G447="Pengeluaran"))),1,0)</f>
        <v/>
      </c>
      <c r="X447" s="93">
        <f>IF(AND(B447&lt;&gt;"",B447&gt;='Buku Akun'!$H$4,B447&lt;='Buku Akun'!$H$5,OR(C447='Buku Akun'!$C$4,AND(D447="Pindah",E447='Buku Akun'!$C$4))),B447+IF(AND(I447="Selisih bunga",DAY(B447)=1),0,0.01)+ROW()/10000000,"")</f>
        <v/>
      </c>
    </row>
    <row r="448" outlineLevel="1" ht="15" customHeight="1" s="94">
      <c r="A448" s="123">
        <f>IF(B448="","",ROW()-15)</f>
        <v/>
      </c>
      <c r="B448" s="124" t="n"/>
      <c r="C448" s="123" t="n"/>
      <c r="D448" s="123" t="n"/>
      <c r="E448" s="123" t="n"/>
      <c r="F448" s="125" t="n"/>
      <c r="G448" s="123" t="n"/>
      <c r="H448" s="123" t="n"/>
      <c r="I448" s="123" t="n"/>
      <c r="J448" s="123" t="n"/>
      <c r="K448" s="123" t="n"/>
      <c r="L448" s="123" t="n"/>
      <c r="M448" s="123">
        <f>IF(AND(B448&lt;&gt;"",OR($C$4="",ISNUMBER(SEARCH($C$4,C448&amp;" "&amp;E448&amp;" "&amp;G448&amp;" "&amp;H448&amp;" "&amp;I448&amp;" "&amp;J448&amp;" "&amp;K448&amp;" "&amp;L448))),OR($C$5="Semua",$C$5="",G448=$C$5),OR($C$6="Semua",$C$6="",H448=$C$6,H448="Pengeluaran "&amp;$C$6,AND($C$6="Uang Kos Mama",H448="Pengeluaran Uang Kos")),OR($C$7="Semua",$C$7="",I448=$C$7),OR($C$8="Semua",$C$8="",C448=$C$8,E448=$C$8),OR($C$9="Semua",$C$9="",D448=$C$9),OR($C$10="",B448&gt;=$C$10),OR($C$11="",B448&lt;=$C$11),OR($C$12&lt;&gt;"Ya",K448&lt;&gt;""),OR($C$13="Semua",$C$13="",L448=$C$13)),"✓","")</f>
        <v/>
      </c>
      <c r="N448" s="93">
        <f>N(N447)+IF(M448="✓",1,0)</f>
        <v/>
      </c>
      <c r="O448" s="93">
        <f>N(O447)+IF(AND(B448&lt;&gt;"",B448&gt;='Uang Riba'!$H$30,B448&lt;='Uang Riba'!$I$30,OR(H448="Dana riba",H448="Pinjam uang riba",I448="Pinjam dari uang riba",I448="Ganti uang riba",I448="Kelebihan ganti dikembalikan",AND(C448="Kantong Uang Riba",G448="Pengeluaran"))),1,0)</f>
        <v/>
      </c>
      <c r="X448" s="93">
        <f>IF(AND(B448&lt;&gt;"",B448&gt;='Buku Akun'!$H$4,B448&lt;='Buku Akun'!$H$5,OR(C448='Buku Akun'!$C$4,AND(D448="Pindah",E448='Buku Akun'!$C$4))),B448+IF(AND(I448="Selisih bunga",DAY(B448)=1),0,0.01)+ROW()/10000000,"")</f>
        <v/>
      </c>
    </row>
    <row r="449" outlineLevel="1" ht="15" customHeight="1" s="94">
      <c r="A449" s="123">
        <f>IF(B449="","",ROW()-15)</f>
        <v/>
      </c>
      <c r="B449" s="124" t="n"/>
      <c r="C449" s="123" t="n"/>
      <c r="D449" s="123" t="n"/>
      <c r="E449" s="123" t="n"/>
      <c r="F449" s="125" t="n"/>
      <c r="G449" s="123" t="n"/>
      <c r="H449" s="123" t="n"/>
      <c r="I449" s="123" t="n"/>
      <c r="J449" s="123" t="n"/>
      <c r="K449" s="123" t="n"/>
      <c r="L449" s="123" t="n"/>
      <c r="M449" s="123">
        <f>IF(AND(B449&lt;&gt;"",OR($C$4="",ISNUMBER(SEARCH($C$4,C449&amp;" "&amp;E449&amp;" "&amp;G449&amp;" "&amp;H449&amp;" "&amp;I449&amp;" "&amp;J449&amp;" "&amp;K449&amp;" "&amp;L449))),OR($C$5="Semua",$C$5="",G449=$C$5),OR($C$6="Semua",$C$6="",H449=$C$6,H449="Pengeluaran "&amp;$C$6,AND($C$6="Uang Kos Mama",H449="Pengeluaran Uang Kos")),OR($C$7="Semua",$C$7="",I449=$C$7),OR($C$8="Semua",$C$8="",C449=$C$8,E449=$C$8),OR($C$9="Semua",$C$9="",D449=$C$9),OR($C$10="",B449&gt;=$C$10),OR($C$11="",B449&lt;=$C$11),OR($C$12&lt;&gt;"Ya",K449&lt;&gt;""),OR($C$13="Semua",$C$13="",L449=$C$13)),"✓","")</f>
        <v/>
      </c>
      <c r="N449" s="93">
        <f>N(N448)+IF(M449="✓",1,0)</f>
        <v/>
      </c>
      <c r="O449" s="93">
        <f>N(O448)+IF(AND(B449&lt;&gt;"",B449&gt;='Uang Riba'!$H$30,B449&lt;='Uang Riba'!$I$30,OR(H449="Dana riba",H449="Pinjam uang riba",I449="Pinjam dari uang riba",I449="Ganti uang riba",I449="Kelebihan ganti dikembalikan",AND(C449="Kantong Uang Riba",G449="Pengeluaran"))),1,0)</f>
        <v/>
      </c>
      <c r="X449" s="93">
        <f>IF(AND(B449&lt;&gt;"",B449&gt;='Buku Akun'!$H$4,B449&lt;='Buku Akun'!$H$5,OR(C449='Buku Akun'!$C$4,AND(D449="Pindah",E449='Buku Akun'!$C$4))),B449+IF(AND(I449="Selisih bunga",DAY(B449)=1),0,0.01)+ROW()/10000000,"")</f>
        <v/>
      </c>
    </row>
    <row r="450" outlineLevel="1" ht="15" customHeight="1" s="94">
      <c r="A450" s="123">
        <f>IF(B450="","",ROW()-15)</f>
        <v/>
      </c>
      <c r="B450" s="124" t="n"/>
      <c r="C450" s="123" t="n"/>
      <c r="D450" s="123" t="n"/>
      <c r="E450" s="123" t="n"/>
      <c r="F450" s="125" t="n"/>
      <c r="G450" s="123" t="n"/>
      <c r="H450" s="123" t="n"/>
      <c r="I450" s="123" t="n"/>
      <c r="J450" s="123" t="n"/>
      <c r="K450" s="123" t="n"/>
      <c r="L450" s="123" t="n"/>
      <c r="M450" s="123">
        <f>IF(AND(B450&lt;&gt;"",OR($C$4="",ISNUMBER(SEARCH($C$4,C450&amp;" "&amp;E450&amp;" "&amp;G450&amp;" "&amp;H450&amp;" "&amp;I450&amp;" "&amp;J450&amp;" "&amp;K450&amp;" "&amp;L450))),OR($C$5="Semua",$C$5="",G450=$C$5),OR($C$6="Semua",$C$6="",H450=$C$6,H450="Pengeluaran "&amp;$C$6,AND($C$6="Uang Kos Mama",H450="Pengeluaran Uang Kos")),OR($C$7="Semua",$C$7="",I450=$C$7),OR($C$8="Semua",$C$8="",C450=$C$8,E450=$C$8),OR($C$9="Semua",$C$9="",D450=$C$9),OR($C$10="",B450&gt;=$C$10),OR($C$11="",B450&lt;=$C$11),OR($C$12&lt;&gt;"Ya",K450&lt;&gt;""),OR($C$13="Semua",$C$13="",L450=$C$13)),"✓","")</f>
        <v/>
      </c>
      <c r="N450" s="93">
        <f>N(N449)+IF(M450="✓",1,0)</f>
        <v/>
      </c>
      <c r="O450" s="93">
        <f>N(O449)+IF(AND(B450&lt;&gt;"",B450&gt;='Uang Riba'!$H$30,B450&lt;='Uang Riba'!$I$30,OR(H450="Dana riba",H450="Pinjam uang riba",I450="Pinjam dari uang riba",I450="Ganti uang riba",I450="Kelebihan ganti dikembalikan",AND(C450="Kantong Uang Riba",G450="Pengeluaran"))),1,0)</f>
        <v/>
      </c>
      <c r="X450" s="93">
        <f>IF(AND(B450&lt;&gt;"",B450&gt;='Buku Akun'!$H$4,B450&lt;='Buku Akun'!$H$5,OR(C450='Buku Akun'!$C$4,AND(D450="Pindah",E450='Buku Akun'!$C$4))),B450+IF(AND(I450="Selisih bunga",DAY(B450)=1),0,0.01)+ROW()/10000000,"")</f>
        <v/>
      </c>
    </row>
    <row r="451" outlineLevel="1" ht="15" customHeight="1" s="94">
      <c r="A451" s="123">
        <f>IF(B451="","",ROW()-15)</f>
        <v/>
      </c>
      <c r="B451" s="124" t="n"/>
      <c r="C451" s="123" t="n"/>
      <c r="D451" s="123" t="n"/>
      <c r="E451" s="123" t="n"/>
      <c r="F451" s="125" t="n"/>
      <c r="G451" s="123" t="n"/>
      <c r="H451" s="123" t="n"/>
      <c r="I451" s="123" t="n"/>
      <c r="J451" s="123" t="n"/>
      <c r="K451" s="123" t="n"/>
      <c r="L451" s="123" t="n"/>
      <c r="M451" s="123">
        <f>IF(AND(B451&lt;&gt;"",OR($C$4="",ISNUMBER(SEARCH($C$4,C451&amp;" "&amp;E451&amp;" "&amp;G451&amp;" "&amp;H451&amp;" "&amp;I451&amp;" "&amp;J451&amp;" "&amp;K451&amp;" "&amp;L451))),OR($C$5="Semua",$C$5="",G451=$C$5),OR($C$6="Semua",$C$6="",H451=$C$6,H451="Pengeluaran "&amp;$C$6,AND($C$6="Uang Kos Mama",H451="Pengeluaran Uang Kos")),OR($C$7="Semua",$C$7="",I451=$C$7),OR($C$8="Semua",$C$8="",C451=$C$8,E451=$C$8),OR($C$9="Semua",$C$9="",D451=$C$9),OR($C$10="",B451&gt;=$C$10),OR($C$11="",B451&lt;=$C$11),OR($C$12&lt;&gt;"Ya",K451&lt;&gt;""),OR($C$13="Semua",$C$13="",L451=$C$13)),"✓","")</f>
        <v/>
      </c>
      <c r="N451" s="93">
        <f>N(N450)+IF(M451="✓",1,0)</f>
        <v/>
      </c>
      <c r="O451" s="93">
        <f>N(O450)+IF(AND(B451&lt;&gt;"",B451&gt;='Uang Riba'!$H$30,B451&lt;='Uang Riba'!$I$30,OR(H451="Dana riba",H451="Pinjam uang riba",I451="Pinjam dari uang riba",I451="Ganti uang riba",I451="Kelebihan ganti dikembalikan",AND(C451="Kantong Uang Riba",G451="Pengeluaran"))),1,0)</f>
        <v/>
      </c>
      <c r="X451" s="93">
        <f>IF(AND(B451&lt;&gt;"",B451&gt;='Buku Akun'!$H$4,B451&lt;='Buku Akun'!$H$5,OR(C451='Buku Akun'!$C$4,AND(D451="Pindah",E451='Buku Akun'!$C$4))),B451+IF(AND(I451="Selisih bunga",DAY(B451)=1),0,0.01)+ROW()/10000000,"")</f>
        <v/>
      </c>
    </row>
    <row r="452" outlineLevel="1" ht="15" customHeight="1" s="94">
      <c r="A452" s="123">
        <f>IF(B452="","",ROW()-15)</f>
        <v/>
      </c>
      <c r="B452" s="124" t="n"/>
      <c r="C452" s="123" t="n"/>
      <c r="D452" s="123" t="n"/>
      <c r="E452" s="123" t="n"/>
      <c r="F452" s="125" t="n"/>
      <c r="G452" s="123" t="n"/>
      <c r="H452" s="123" t="n"/>
      <c r="I452" s="123" t="n"/>
      <c r="J452" s="123" t="n"/>
      <c r="K452" s="123" t="n"/>
      <c r="L452" s="123" t="n"/>
      <c r="M452" s="123">
        <f>IF(AND(B452&lt;&gt;"",OR($C$4="",ISNUMBER(SEARCH($C$4,C452&amp;" "&amp;E452&amp;" "&amp;G452&amp;" "&amp;H452&amp;" "&amp;I452&amp;" "&amp;J452&amp;" "&amp;K452&amp;" "&amp;L452))),OR($C$5="Semua",$C$5="",G452=$C$5),OR($C$6="Semua",$C$6="",H452=$C$6,H452="Pengeluaran "&amp;$C$6,AND($C$6="Uang Kos Mama",H452="Pengeluaran Uang Kos")),OR($C$7="Semua",$C$7="",I452=$C$7),OR($C$8="Semua",$C$8="",C452=$C$8,E452=$C$8),OR($C$9="Semua",$C$9="",D452=$C$9),OR($C$10="",B452&gt;=$C$10),OR($C$11="",B452&lt;=$C$11),OR($C$12&lt;&gt;"Ya",K452&lt;&gt;""),OR($C$13="Semua",$C$13="",L452=$C$13)),"✓","")</f>
        <v/>
      </c>
      <c r="N452" s="93">
        <f>N(N451)+IF(M452="✓",1,0)</f>
        <v/>
      </c>
      <c r="O452" s="93">
        <f>N(O451)+IF(AND(B452&lt;&gt;"",B452&gt;='Uang Riba'!$H$30,B452&lt;='Uang Riba'!$I$30,OR(H452="Dana riba",H452="Pinjam uang riba",I452="Pinjam dari uang riba",I452="Ganti uang riba",I452="Kelebihan ganti dikembalikan",AND(C452="Kantong Uang Riba",G452="Pengeluaran"))),1,0)</f>
        <v/>
      </c>
      <c r="X452" s="93">
        <f>IF(AND(B452&lt;&gt;"",B452&gt;='Buku Akun'!$H$4,B452&lt;='Buku Akun'!$H$5,OR(C452='Buku Akun'!$C$4,AND(D452="Pindah",E452='Buku Akun'!$C$4))),B452+IF(AND(I452="Selisih bunga",DAY(B452)=1),0,0.01)+ROW()/10000000,"")</f>
        <v/>
      </c>
    </row>
    <row r="453" outlineLevel="1" ht="15" customHeight="1" s="94">
      <c r="A453" s="123">
        <f>IF(B453="","",ROW()-15)</f>
        <v/>
      </c>
      <c r="B453" s="124" t="n"/>
      <c r="C453" s="123" t="n"/>
      <c r="D453" s="123" t="n"/>
      <c r="E453" s="123" t="n"/>
      <c r="F453" s="125" t="n"/>
      <c r="G453" s="123" t="n"/>
      <c r="H453" s="123" t="n"/>
      <c r="I453" s="123" t="n"/>
      <c r="J453" s="123" t="n"/>
      <c r="K453" s="123" t="n"/>
      <c r="L453" s="123" t="n"/>
      <c r="M453" s="123">
        <f>IF(AND(B453&lt;&gt;"",OR($C$4="",ISNUMBER(SEARCH($C$4,C453&amp;" "&amp;E453&amp;" "&amp;G453&amp;" "&amp;H453&amp;" "&amp;I453&amp;" "&amp;J453&amp;" "&amp;K453&amp;" "&amp;L453))),OR($C$5="Semua",$C$5="",G453=$C$5),OR($C$6="Semua",$C$6="",H453=$C$6,H453="Pengeluaran "&amp;$C$6,AND($C$6="Uang Kos Mama",H453="Pengeluaran Uang Kos")),OR($C$7="Semua",$C$7="",I453=$C$7),OR($C$8="Semua",$C$8="",C453=$C$8,E453=$C$8),OR($C$9="Semua",$C$9="",D453=$C$9),OR($C$10="",B453&gt;=$C$10),OR($C$11="",B453&lt;=$C$11),OR($C$12&lt;&gt;"Ya",K453&lt;&gt;""),OR($C$13="Semua",$C$13="",L453=$C$13)),"✓","")</f>
        <v/>
      </c>
      <c r="N453" s="93">
        <f>N(N452)+IF(M453="✓",1,0)</f>
        <v/>
      </c>
      <c r="O453" s="93">
        <f>N(O452)+IF(AND(B453&lt;&gt;"",B453&gt;='Uang Riba'!$H$30,B453&lt;='Uang Riba'!$I$30,OR(H453="Dana riba",H453="Pinjam uang riba",I453="Pinjam dari uang riba",I453="Ganti uang riba",I453="Kelebihan ganti dikembalikan",AND(C453="Kantong Uang Riba",G453="Pengeluaran"))),1,0)</f>
        <v/>
      </c>
      <c r="X453" s="93">
        <f>IF(AND(B453&lt;&gt;"",B453&gt;='Buku Akun'!$H$4,B453&lt;='Buku Akun'!$H$5,OR(C453='Buku Akun'!$C$4,AND(D453="Pindah",E453='Buku Akun'!$C$4))),B453+IF(AND(I453="Selisih bunga",DAY(B453)=1),0,0.01)+ROW()/10000000,"")</f>
        <v/>
      </c>
    </row>
    <row r="454" outlineLevel="1" ht="15" customHeight="1" s="94">
      <c r="A454" s="123">
        <f>IF(B454="","",ROW()-15)</f>
        <v/>
      </c>
      <c r="B454" s="124" t="n"/>
      <c r="C454" s="123" t="n"/>
      <c r="D454" s="123" t="n"/>
      <c r="E454" s="123" t="n"/>
      <c r="F454" s="125" t="n"/>
      <c r="G454" s="123" t="n"/>
      <c r="H454" s="123" t="n"/>
      <c r="I454" s="123" t="n"/>
      <c r="J454" s="123" t="n"/>
      <c r="K454" s="123" t="n"/>
      <c r="L454" s="123" t="n"/>
      <c r="M454" s="123">
        <f>IF(AND(B454&lt;&gt;"",OR($C$4="",ISNUMBER(SEARCH($C$4,C454&amp;" "&amp;E454&amp;" "&amp;G454&amp;" "&amp;H454&amp;" "&amp;I454&amp;" "&amp;J454&amp;" "&amp;K454&amp;" "&amp;L454))),OR($C$5="Semua",$C$5="",G454=$C$5),OR($C$6="Semua",$C$6="",H454=$C$6,H454="Pengeluaran "&amp;$C$6,AND($C$6="Uang Kos Mama",H454="Pengeluaran Uang Kos")),OR($C$7="Semua",$C$7="",I454=$C$7),OR($C$8="Semua",$C$8="",C454=$C$8,E454=$C$8),OR($C$9="Semua",$C$9="",D454=$C$9),OR($C$10="",B454&gt;=$C$10),OR($C$11="",B454&lt;=$C$11),OR($C$12&lt;&gt;"Ya",K454&lt;&gt;""),OR($C$13="Semua",$C$13="",L454=$C$13)),"✓","")</f>
        <v/>
      </c>
      <c r="N454" s="93">
        <f>N(N453)+IF(M454="✓",1,0)</f>
        <v/>
      </c>
      <c r="O454" s="93">
        <f>N(O453)+IF(AND(B454&lt;&gt;"",B454&gt;='Uang Riba'!$H$30,B454&lt;='Uang Riba'!$I$30,OR(H454="Dana riba",H454="Pinjam uang riba",I454="Pinjam dari uang riba",I454="Ganti uang riba",I454="Kelebihan ganti dikembalikan",AND(C454="Kantong Uang Riba",G454="Pengeluaran"))),1,0)</f>
        <v/>
      </c>
      <c r="X454" s="93">
        <f>IF(AND(B454&lt;&gt;"",B454&gt;='Buku Akun'!$H$4,B454&lt;='Buku Akun'!$H$5,OR(C454='Buku Akun'!$C$4,AND(D454="Pindah",E454='Buku Akun'!$C$4))),B454+IF(AND(I454="Selisih bunga",DAY(B454)=1),0,0.01)+ROW()/10000000,"")</f>
        <v/>
      </c>
    </row>
    <row r="455" outlineLevel="1" ht="15" customHeight="1" s="94">
      <c r="A455" s="123">
        <f>IF(B455="","",ROW()-15)</f>
        <v/>
      </c>
      <c r="B455" s="124" t="n"/>
      <c r="C455" s="123" t="n"/>
      <c r="D455" s="123" t="n"/>
      <c r="E455" s="123" t="n"/>
      <c r="F455" s="125" t="n"/>
      <c r="G455" s="123" t="n"/>
      <c r="H455" s="123" t="n"/>
      <c r="I455" s="123" t="n"/>
      <c r="J455" s="123" t="n"/>
      <c r="K455" s="123" t="n"/>
      <c r="L455" s="123" t="n"/>
      <c r="M455" s="123">
        <f>IF(AND(B455&lt;&gt;"",OR($C$4="",ISNUMBER(SEARCH($C$4,C455&amp;" "&amp;E455&amp;" "&amp;G455&amp;" "&amp;H455&amp;" "&amp;I455&amp;" "&amp;J455&amp;" "&amp;K455&amp;" "&amp;L455))),OR($C$5="Semua",$C$5="",G455=$C$5),OR($C$6="Semua",$C$6="",H455=$C$6,H455="Pengeluaran "&amp;$C$6,AND($C$6="Uang Kos Mama",H455="Pengeluaran Uang Kos")),OR($C$7="Semua",$C$7="",I455=$C$7),OR($C$8="Semua",$C$8="",C455=$C$8,E455=$C$8),OR($C$9="Semua",$C$9="",D455=$C$9),OR($C$10="",B455&gt;=$C$10),OR($C$11="",B455&lt;=$C$11),OR($C$12&lt;&gt;"Ya",K455&lt;&gt;""),OR($C$13="Semua",$C$13="",L455=$C$13)),"✓","")</f>
        <v/>
      </c>
      <c r="N455" s="93">
        <f>N(N454)+IF(M455="✓",1,0)</f>
        <v/>
      </c>
      <c r="O455" s="93">
        <f>N(O454)+IF(AND(B455&lt;&gt;"",B455&gt;='Uang Riba'!$H$30,B455&lt;='Uang Riba'!$I$30,OR(H455="Dana riba",H455="Pinjam uang riba",I455="Pinjam dari uang riba",I455="Ganti uang riba",I455="Kelebihan ganti dikembalikan",AND(C455="Kantong Uang Riba",G455="Pengeluaran"))),1,0)</f>
        <v/>
      </c>
      <c r="X455" s="93">
        <f>IF(AND(B455&lt;&gt;"",B455&gt;='Buku Akun'!$H$4,B455&lt;='Buku Akun'!$H$5,OR(C455='Buku Akun'!$C$4,AND(D455="Pindah",E455='Buku Akun'!$C$4))),B455+IF(AND(I455="Selisih bunga",DAY(B455)=1),0,0.01)+ROW()/10000000,"")</f>
        <v/>
      </c>
    </row>
    <row r="456" outlineLevel="1" ht="15" customHeight="1" s="94">
      <c r="A456" s="123">
        <f>IF(B456="","",ROW()-15)</f>
        <v/>
      </c>
      <c r="B456" s="124" t="n"/>
      <c r="C456" s="123" t="n"/>
      <c r="D456" s="123" t="n"/>
      <c r="E456" s="123" t="n"/>
      <c r="F456" s="125" t="n"/>
      <c r="G456" s="123" t="n"/>
      <c r="H456" s="123" t="n"/>
      <c r="I456" s="123" t="n"/>
      <c r="J456" s="123" t="n"/>
      <c r="K456" s="123" t="n"/>
      <c r="L456" s="123" t="n"/>
      <c r="M456" s="123">
        <f>IF(AND(B456&lt;&gt;"",OR($C$4="",ISNUMBER(SEARCH($C$4,C456&amp;" "&amp;E456&amp;" "&amp;G456&amp;" "&amp;H456&amp;" "&amp;I456&amp;" "&amp;J456&amp;" "&amp;K456&amp;" "&amp;L456))),OR($C$5="Semua",$C$5="",G456=$C$5),OR($C$6="Semua",$C$6="",H456=$C$6,H456="Pengeluaran "&amp;$C$6,AND($C$6="Uang Kos Mama",H456="Pengeluaran Uang Kos")),OR($C$7="Semua",$C$7="",I456=$C$7),OR($C$8="Semua",$C$8="",C456=$C$8,E456=$C$8),OR($C$9="Semua",$C$9="",D456=$C$9),OR($C$10="",B456&gt;=$C$10),OR($C$11="",B456&lt;=$C$11),OR($C$12&lt;&gt;"Ya",K456&lt;&gt;""),OR($C$13="Semua",$C$13="",L456=$C$13)),"✓","")</f>
        <v/>
      </c>
      <c r="N456" s="93">
        <f>N(N455)+IF(M456="✓",1,0)</f>
        <v/>
      </c>
      <c r="O456" s="93">
        <f>N(O455)+IF(AND(B456&lt;&gt;"",B456&gt;='Uang Riba'!$H$30,B456&lt;='Uang Riba'!$I$30,OR(H456="Dana riba",H456="Pinjam uang riba",I456="Pinjam dari uang riba",I456="Ganti uang riba",I456="Kelebihan ganti dikembalikan",AND(C456="Kantong Uang Riba",G456="Pengeluaran"))),1,0)</f>
        <v/>
      </c>
      <c r="X456" s="93">
        <f>IF(AND(B456&lt;&gt;"",B456&gt;='Buku Akun'!$H$4,B456&lt;='Buku Akun'!$H$5,OR(C456='Buku Akun'!$C$4,AND(D456="Pindah",E456='Buku Akun'!$C$4))),B456+IF(AND(I456="Selisih bunga",DAY(B456)=1),0,0.01)+ROW()/10000000,"")</f>
        <v/>
      </c>
    </row>
    <row r="457" outlineLevel="1" ht="15" customHeight="1" s="94">
      <c r="A457" s="123">
        <f>IF(B457="","",ROW()-15)</f>
        <v/>
      </c>
      <c r="B457" s="124" t="n"/>
      <c r="C457" s="123" t="n"/>
      <c r="D457" s="123" t="n"/>
      <c r="E457" s="123" t="n"/>
      <c r="F457" s="125" t="n"/>
      <c r="G457" s="123" t="n"/>
      <c r="H457" s="123" t="n"/>
      <c r="I457" s="123" t="n"/>
      <c r="J457" s="123" t="n"/>
      <c r="K457" s="123" t="n"/>
      <c r="L457" s="123" t="n"/>
      <c r="M457" s="123">
        <f>IF(AND(B457&lt;&gt;"",OR($C$4="",ISNUMBER(SEARCH($C$4,C457&amp;" "&amp;E457&amp;" "&amp;G457&amp;" "&amp;H457&amp;" "&amp;I457&amp;" "&amp;J457&amp;" "&amp;K457&amp;" "&amp;L457))),OR($C$5="Semua",$C$5="",G457=$C$5),OR($C$6="Semua",$C$6="",H457=$C$6,H457="Pengeluaran "&amp;$C$6,AND($C$6="Uang Kos Mama",H457="Pengeluaran Uang Kos")),OR($C$7="Semua",$C$7="",I457=$C$7),OR($C$8="Semua",$C$8="",C457=$C$8,E457=$C$8),OR($C$9="Semua",$C$9="",D457=$C$9),OR($C$10="",B457&gt;=$C$10),OR($C$11="",B457&lt;=$C$11),OR($C$12&lt;&gt;"Ya",K457&lt;&gt;""),OR($C$13="Semua",$C$13="",L457=$C$13)),"✓","")</f>
        <v/>
      </c>
      <c r="N457" s="93">
        <f>N(N456)+IF(M457="✓",1,0)</f>
        <v/>
      </c>
      <c r="O457" s="93">
        <f>N(O456)+IF(AND(B457&lt;&gt;"",B457&gt;='Uang Riba'!$H$30,B457&lt;='Uang Riba'!$I$30,OR(H457="Dana riba",H457="Pinjam uang riba",I457="Pinjam dari uang riba",I457="Ganti uang riba",I457="Kelebihan ganti dikembalikan",AND(C457="Kantong Uang Riba",G457="Pengeluaran"))),1,0)</f>
        <v/>
      </c>
      <c r="X457" s="93">
        <f>IF(AND(B457&lt;&gt;"",B457&gt;='Buku Akun'!$H$4,B457&lt;='Buku Akun'!$H$5,OR(C457='Buku Akun'!$C$4,AND(D457="Pindah",E457='Buku Akun'!$C$4))),B457+IF(AND(I457="Selisih bunga",DAY(B457)=1),0,0.01)+ROW()/10000000,"")</f>
        <v/>
      </c>
    </row>
    <row r="458" outlineLevel="1" ht="15" customHeight="1" s="94">
      <c r="A458" s="123">
        <f>IF(B458="","",ROW()-15)</f>
        <v/>
      </c>
      <c r="B458" s="124" t="n"/>
      <c r="C458" s="123" t="n"/>
      <c r="D458" s="123" t="n"/>
      <c r="E458" s="123" t="n"/>
      <c r="F458" s="125" t="n"/>
      <c r="G458" s="123" t="n"/>
      <c r="H458" s="123" t="n"/>
      <c r="I458" s="123" t="n"/>
      <c r="J458" s="123" t="n"/>
      <c r="K458" s="123" t="n"/>
      <c r="L458" s="123" t="n"/>
      <c r="M458" s="123">
        <f>IF(AND(B458&lt;&gt;"",OR($C$4="",ISNUMBER(SEARCH($C$4,C458&amp;" "&amp;E458&amp;" "&amp;G458&amp;" "&amp;H458&amp;" "&amp;I458&amp;" "&amp;J458&amp;" "&amp;K458&amp;" "&amp;L458))),OR($C$5="Semua",$C$5="",G458=$C$5),OR($C$6="Semua",$C$6="",H458=$C$6,H458="Pengeluaran "&amp;$C$6,AND($C$6="Uang Kos Mama",H458="Pengeluaran Uang Kos")),OR($C$7="Semua",$C$7="",I458=$C$7),OR($C$8="Semua",$C$8="",C458=$C$8,E458=$C$8),OR($C$9="Semua",$C$9="",D458=$C$9),OR($C$10="",B458&gt;=$C$10),OR($C$11="",B458&lt;=$C$11),OR($C$12&lt;&gt;"Ya",K458&lt;&gt;""),OR($C$13="Semua",$C$13="",L458=$C$13)),"✓","")</f>
        <v/>
      </c>
      <c r="N458" s="93">
        <f>N(N457)+IF(M458="✓",1,0)</f>
        <v/>
      </c>
      <c r="O458" s="93">
        <f>N(O457)+IF(AND(B458&lt;&gt;"",B458&gt;='Uang Riba'!$H$30,B458&lt;='Uang Riba'!$I$30,OR(H458="Dana riba",H458="Pinjam uang riba",I458="Pinjam dari uang riba",I458="Ganti uang riba",I458="Kelebihan ganti dikembalikan",AND(C458="Kantong Uang Riba",G458="Pengeluaran"))),1,0)</f>
        <v/>
      </c>
      <c r="X458" s="93">
        <f>IF(AND(B458&lt;&gt;"",B458&gt;='Buku Akun'!$H$4,B458&lt;='Buku Akun'!$H$5,OR(C458='Buku Akun'!$C$4,AND(D458="Pindah",E458='Buku Akun'!$C$4))),B458+IF(AND(I458="Selisih bunga",DAY(B458)=1),0,0.01)+ROW()/10000000,"")</f>
        <v/>
      </c>
    </row>
    <row r="459" outlineLevel="1" ht="15" customHeight="1" s="94">
      <c r="A459" s="123">
        <f>IF(B459="","",ROW()-15)</f>
        <v/>
      </c>
      <c r="B459" s="124" t="n"/>
      <c r="C459" s="123" t="n"/>
      <c r="D459" s="123" t="n"/>
      <c r="E459" s="123" t="n"/>
      <c r="F459" s="125" t="n"/>
      <c r="G459" s="123" t="n"/>
      <c r="H459" s="123" t="n"/>
      <c r="I459" s="123" t="n"/>
      <c r="J459" s="123" t="n"/>
      <c r="K459" s="123" t="n"/>
      <c r="L459" s="123" t="n"/>
      <c r="M459" s="123">
        <f>IF(AND(B459&lt;&gt;"",OR($C$4="",ISNUMBER(SEARCH($C$4,C459&amp;" "&amp;E459&amp;" "&amp;G459&amp;" "&amp;H459&amp;" "&amp;I459&amp;" "&amp;J459&amp;" "&amp;K459&amp;" "&amp;L459))),OR($C$5="Semua",$C$5="",G459=$C$5),OR($C$6="Semua",$C$6="",H459=$C$6,H459="Pengeluaran "&amp;$C$6,AND($C$6="Uang Kos Mama",H459="Pengeluaran Uang Kos")),OR($C$7="Semua",$C$7="",I459=$C$7),OR($C$8="Semua",$C$8="",C459=$C$8,E459=$C$8),OR($C$9="Semua",$C$9="",D459=$C$9),OR($C$10="",B459&gt;=$C$10),OR($C$11="",B459&lt;=$C$11),OR($C$12&lt;&gt;"Ya",K459&lt;&gt;""),OR($C$13="Semua",$C$13="",L459=$C$13)),"✓","")</f>
        <v/>
      </c>
      <c r="N459" s="93">
        <f>N(N458)+IF(M459="✓",1,0)</f>
        <v/>
      </c>
      <c r="O459" s="93">
        <f>N(O458)+IF(AND(B459&lt;&gt;"",B459&gt;='Uang Riba'!$H$30,B459&lt;='Uang Riba'!$I$30,OR(H459="Dana riba",H459="Pinjam uang riba",I459="Pinjam dari uang riba",I459="Ganti uang riba",I459="Kelebihan ganti dikembalikan",AND(C459="Kantong Uang Riba",G459="Pengeluaran"))),1,0)</f>
        <v/>
      </c>
      <c r="X459" s="93">
        <f>IF(AND(B459&lt;&gt;"",B459&gt;='Buku Akun'!$H$4,B459&lt;='Buku Akun'!$H$5,OR(C459='Buku Akun'!$C$4,AND(D459="Pindah",E459='Buku Akun'!$C$4))),B459+IF(AND(I459="Selisih bunga",DAY(B459)=1),0,0.01)+ROW()/10000000,"")</f>
        <v/>
      </c>
    </row>
    <row r="460" outlineLevel="1" ht="15" customHeight="1" s="94">
      <c r="A460" s="123">
        <f>IF(B460="","",ROW()-15)</f>
        <v/>
      </c>
      <c r="B460" s="124" t="n"/>
      <c r="C460" s="123" t="n"/>
      <c r="D460" s="123" t="n"/>
      <c r="E460" s="123" t="n"/>
      <c r="F460" s="125" t="n"/>
      <c r="G460" s="123" t="n"/>
      <c r="H460" s="123" t="n"/>
      <c r="I460" s="123" t="n"/>
      <c r="J460" s="123" t="n"/>
      <c r="K460" s="123" t="n"/>
      <c r="L460" s="123" t="n"/>
      <c r="M460" s="123">
        <f>IF(AND(B460&lt;&gt;"",OR($C$4="",ISNUMBER(SEARCH($C$4,C460&amp;" "&amp;E460&amp;" "&amp;G460&amp;" "&amp;H460&amp;" "&amp;I460&amp;" "&amp;J460&amp;" "&amp;K460&amp;" "&amp;L460))),OR($C$5="Semua",$C$5="",G460=$C$5),OR($C$6="Semua",$C$6="",H460=$C$6,H460="Pengeluaran "&amp;$C$6,AND($C$6="Uang Kos Mama",H460="Pengeluaran Uang Kos")),OR($C$7="Semua",$C$7="",I460=$C$7),OR($C$8="Semua",$C$8="",C460=$C$8,E460=$C$8),OR($C$9="Semua",$C$9="",D460=$C$9),OR($C$10="",B460&gt;=$C$10),OR($C$11="",B460&lt;=$C$11),OR($C$12&lt;&gt;"Ya",K460&lt;&gt;""),OR($C$13="Semua",$C$13="",L460=$C$13)),"✓","")</f>
        <v/>
      </c>
      <c r="N460" s="93">
        <f>N(N459)+IF(M460="✓",1,0)</f>
        <v/>
      </c>
      <c r="O460" s="93">
        <f>N(O459)+IF(AND(B460&lt;&gt;"",B460&gt;='Uang Riba'!$H$30,B460&lt;='Uang Riba'!$I$30,OR(H460="Dana riba",H460="Pinjam uang riba",I460="Pinjam dari uang riba",I460="Ganti uang riba",I460="Kelebihan ganti dikembalikan",AND(C460="Kantong Uang Riba",G460="Pengeluaran"))),1,0)</f>
        <v/>
      </c>
      <c r="X460" s="93">
        <f>IF(AND(B460&lt;&gt;"",B460&gt;='Buku Akun'!$H$4,B460&lt;='Buku Akun'!$H$5,OR(C460='Buku Akun'!$C$4,AND(D460="Pindah",E460='Buku Akun'!$C$4))),B460+IF(AND(I460="Selisih bunga",DAY(B460)=1),0,0.01)+ROW()/10000000,"")</f>
        <v/>
      </c>
    </row>
    <row r="461" outlineLevel="1" ht="15" customHeight="1" s="94">
      <c r="A461" s="123">
        <f>IF(B461="","",ROW()-15)</f>
        <v/>
      </c>
      <c r="B461" s="124" t="n"/>
      <c r="C461" s="123" t="n"/>
      <c r="D461" s="123" t="n"/>
      <c r="E461" s="123" t="n"/>
      <c r="F461" s="125" t="n"/>
      <c r="G461" s="123" t="n"/>
      <c r="H461" s="123" t="n"/>
      <c r="I461" s="123" t="n"/>
      <c r="J461" s="123" t="n"/>
      <c r="K461" s="123" t="n"/>
      <c r="L461" s="123" t="n"/>
      <c r="M461" s="123">
        <f>IF(AND(B461&lt;&gt;"",OR($C$4="",ISNUMBER(SEARCH($C$4,C461&amp;" "&amp;E461&amp;" "&amp;G461&amp;" "&amp;H461&amp;" "&amp;I461&amp;" "&amp;J461&amp;" "&amp;K461&amp;" "&amp;L461))),OR($C$5="Semua",$C$5="",G461=$C$5),OR($C$6="Semua",$C$6="",H461=$C$6,H461="Pengeluaran "&amp;$C$6,AND($C$6="Uang Kos Mama",H461="Pengeluaran Uang Kos")),OR($C$7="Semua",$C$7="",I461=$C$7),OR($C$8="Semua",$C$8="",C461=$C$8,E461=$C$8),OR($C$9="Semua",$C$9="",D461=$C$9),OR($C$10="",B461&gt;=$C$10),OR($C$11="",B461&lt;=$C$11),OR($C$12&lt;&gt;"Ya",K461&lt;&gt;""),OR($C$13="Semua",$C$13="",L461=$C$13)),"✓","")</f>
        <v/>
      </c>
      <c r="N461" s="93">
        <f>N(N460)+IF(M461="✓",1,0)</f>
        <v/>
      </c>
      <c r="O461" s="93">
        <f>N(O460)+IF(AND(B461&lt;&gt;"",B461&gt;='Uang Riba'!$H$30,B461&lt;='Uang Riba'!$I$30,OR(H461="Dana riba",H461="Pinjam uang riba",I461="Pinjam dari uang riba",I461="Ganti uang riba",I461="Kelebihan ganti dikembalikan",AND(C461="Kantong Uang Riba",G461="Pengeluaran"))),1,0)</f>
        <v/>
      </c>
      <c r="X461" s="93">
        <f>IF(AND(B461&lt;&gt;"",B461&gt;='Buku Akun'!$H$4,B461&lt;='Buku Akun'!$H$5,OR(C461='Buku Akun'!$C$4,AND(D461="Pindah",E461='Buku Akun'!$C$4))),B461+IF(AND(I461="Selisih bunga",DAY(B461)=1),0,0.01)+ROW()/10000000,"")</f>
        <v/>
      </c>
    </row>
    <row r="462" outlineLevel="1" ht="15" customHeight="1" s="94">
      <c r="A462" s="123">
        <f>IF(B462="","",ROW()-15)</f>
        <v/>
      </c>
      <c r="B462" s="124" t="n"/>
      <c r="C462" s="123" t="n"/>
      <c r="D462" s="123" t="n"/>
      <c r="E462" s="123" t="n"/>
      <c r="F462" s="125" t="n"/>
      <c r="G462" s="123" t="n"/>
      <c r="H462" s="123" t="n"/>
      <c r="I462" s="123" t="n"/>
      <c r="J462" s="123" t="n"/>
      <c r="K462" s="123" t="n"/>
      <c r="L462" s="123" t="n"/>
      <c r="M462" s="123">
        <f>IF(AND(B462&lt;&gt;"",OR($C$4="",ISNUMBER(SEARCH($C$4,C462&amp;" "&amp;E462&amp;" "&amp;G462&amp;" "&amp;H462&amp;" "&amp;I462&amp;" "&amp;J462&amp;" "&amp;K462&amp;" "&amp;L462))),OR($C$5="Semua",$C$5="",G462=$C$5),OR($C$6="Semua",$C$6="",H462=$C$6,H462="Pengeluaran "&amp;$C$6,AND($C$6="Uang Kos Mama",H462="Pengeluaran Uang Kos")),OR($C$7="Semua",$C$7="",I462=$C$7),OR($C$8="Semua",$C$8="",C462=$C$8,E462=$C$8),OR($C$9="Semua",$C$9="",D462=$C$9),OR($C$10="",B462&gt;=$C$10),OR($C$11="",B462&lt;=$C$11),OR($C$12&lt;&gt;"Ya",K462&lt;&gt;""),OR($C$13="Semua",$C$13="",L462=$C$13)),"✓","")</f>
        <v/>
      </c>
      <c r="N462" s="93">
        <f>N(N461)+IF(M462="✓",1,0)</f>
        <v/>
      </c>
      <c r="O462" s="93">
        <f>N(O461)+IF(AND(B462&lt;&gt;"",B462&gt;='Uang Riba'!$H$30,B462&lt;='Uang Riba'!$I$30,OR(H462="Dana riba",H462="Pinjam uang riba",I462="Pinjam dari uang riba",I462="Ganti uang riba",I462="Kelebihan ganti dikembalikan",AND(C462="Kantong Uang Riba",G462="Pengeluaran"))),1,0)</f>
        <v/>
      </c>
      <c r="X462" s="93">
        <f>IF(AND(B462&lt;&gt;"",B462&gt;='Buku Akun'!$H$4,B462&lt;='Buku Akun'!$H$5,OR(C462='Buku Akun'!$C$4,AND(D462="Pindah",E462='Buku Akun'!$C$4))),B462+IF(AND(I462="Selisih bunga",DAY(B462)=1),0,0.01)+ROW()/10000000,"")</f>
        <v/>
      </c>
    </row>
    <row r="463" outlineLevel="1" ht="15" customHeight="1" s="94">
      <c r="A463" s="123">
        <f>IF(B463="","",ROW()-15)</f>
        <v/>
      </c>
      <c r="B463" s="124" t="n"/>
      <c r="C463" s="123" t="n"/>
      <c r="D463" s="123" t="n"/>
      <c r="E463" s="123" t="n"/>
      <c r="F463" s="125" t="n"/>
      <c r="G463" s="123" t="n"/>
      <c r="H463" s="123" t="n"/>
      <c r="I463" s="123" t="n"/>
      <c r="J463" s="123" t="n"/>
      <c r="K463" s="123" t="n"/>
      <c r="L463" s="123" t="n"/>
      <c r="M463" s="123">
        <f>IF(AND(B463&lt;&gt;"",OR($C$4="",ISNUMBER(SEARCH($C$4,C463&amp;" "&amp;E463&amp;" "&amp;G463&amp;" "&amp;H463&amp;" "&amp;I463&amp;" "&amp;J463&amp;" "&amp;K463&amp;" "&amp;L463))),OR($C$5="Semua",$C$5="",G463=$C$5),OR($C$6="Semua",$C$6="",H463=$C$6,H463="Pengeluaran "&amp;$C$6,AND($C$6="Uang Kos Mama",H463="Pengeluaran Uang Kos")),OR($C$7="Semua",$C$7="",I463=$C$7),OR($C$8="Semua",$C$8="",C463=$C$8,E463=$C$8),OR($C$9="Semua",$C$9="",D463=$C$9),OR($C$10="",B463&gt;=$C$10),OR($C$11="",B463&lt;=$C$11),OR($C$12&lt;&gt;"Ya",K463&lt;&gt;""),OR($C$13="Semua",$C$13="",L463=$C$13)),"✓","")</f>
        <v/>
      </c>
      <c r="N463" s="93">
        <f>N(N462)+IF(M463="✓",1,0)</f>
        <v/>
      </c>
      <c r="O463" s="93">
        <f>N(O462)+IF(AND(B463&lt;&gt;"",B463&gt;='Uang Riba'!$H$30,B463&lt;='Uang Riba'!$I$30,OR(H463="Dana riba",H463="Pinjam uang riba",I463="Pinjam dari uang riba",I463="Ganti uang riba",I463="Kelebihan ganti dikembalikan",AND(C463="Kantong Uang Riba",G463="Pengeluaran"))),1,0)</f>
        <v/>
      </c>
      <c r="X463" s="93">
        <f>IF(AND(B463&lt;&gt;"",B463&gt;='Buku Akun'!$H$4,B463&lt;='Buku Akun'!$H$5,OR(C463='Buku Akun'!$C$4,AND(D463="Pindah",E463='Buku Akun'!$C$4))),B463+IF(AND(I463="Selisih bunga",DAY(B463)=1),0,0.01)+ROW()/10000000,"")</f>
        <v/>
      </c>
    </row>
    <row r="464" outlineLevel="1" ht="15" customHeight="1" s="94">
      <c r="A464" s="123">
        <f>IF(B464="","",ROW()-15)</f>
        <v/>
      </c>
      <c r="B464" s="124" t="n"/>
      <c r="C464" s="123" t="n"/>
      <c r="D464" s="123" t="n"/>
      <c r="E464" s="123" t="n"/>
      <c r="F464" s="125" t="n"/>
      <c r="G464" s="123" t="n"/>
      <c r="H464" s="123" t="n"/>
      <c r="I464" s="123" t="n"/>
      <c r="J464" s="123" t="n"/>
      <c r="K464" s="123" t="n"/>
      <c r="L464" s="123" t="n"/>
      <c r="M464" s="123">
        <f>IF(AND(B464&lt;&gt;"",OR($C$4="",ISNUMBER(SEARCH($C$4,C464&amp;" "&amp;E464&amp;" "&amp;G464&amp;" "&amp;H464&amp;" "&amp;I464&amp;" "&amp;J464&amp;" "&amp;K464&amp;" "&amp;L464))),OR($C$5="Semua",$C$5="",G464=$C$5),OR($C$6="Semua",$C$6="",H464=$C$6,H464="Pengeluaran "&amp;$C$6,AND($C$6="Uang Kos Mama",H464="Pengeluaran Uang Kos")),OR($C$7="Semua",$C$7="",I464=$C$7),OR($C$8="Semua",$C$8="",C464=$C$8,E464=$C$8),OR($C$9="Semua",$C$9="",D464=$C$9),OR($C$10="",B464&gt;=$C$10),OR($C$11="",B464&lt;=$C$11),OR($C$12&lt;&gt;"Ya",K464&lt;&gt;""),OR($C$13="Semua",$C$13="",L464=$C$13)),"✓","")</f>
        <v/>
      </c>
      <c r="N464" s="93">
        <f>N(N463)+IF(M464="✓",1,0)</f>
        <v/>
      </c>
      <c r="O464" s="93">
        <f>N(O463)+IF(AND(B464&lt;&gt;"",B464&gt;='Uang Riba'!$H$30,B464&lt;='Uang Riba'!$I$30,OR(H464="Dana riba",H464="Pinjam uang riba",I464="Pinjam dari uang riba",I464="Ganti uang riba",I464="Kelebihan ganti dikembalikan",AND(C464="Kantong Uang Riba",G464="Pengeluaran"))),1,0)</f>
        <v/>
      </c>
      <c r="X464" s="93">
        <f>IF(AND(B464&lt;&gt;"",B464&gt;='Buku Akun'!$H$4,B464&lt;='Buku Akun'!$H$5,OR(C464='Buku Akun'!$C$4,AND(D464="Pindah",E464='Buku Akun'!$C$4))),B464+IF(AND(I464="Selisih bunga",DAY(B464)=1),0,0.01)+ROW()/10000000,"")</f>
        <v/>
      </c>
    </row>
    <row r="465" outlineLevel="1" ht="15" customHeight="1" s="94">
      <c r="A465" s="123">
        <f>IF(B465="","",ROW()-15)</f>
        <v/>
      </c>
      <c r="B465" s="124" t="n"/>
      <c r="C465" s="123" t="n"/>
      <c r="D465" s="123" t="n"/>
      <c r="E465" s="123" t="n"/>
      <c r="F465" s="125" t="n"/>
      <c r="G465" s="123" t="n"/>
      <c r="H465" s="123" t="n"/>
      <c r="I465" s="123" t="n"/>
      <c r="J465" s="123" t="n"/>
      <c r="K465" s="123" t="n"/>
      <c r="L465" s="123" t="n"/>
      <c r="M465" s="123">
        <f>IF(AND(B465&lt;&gt;"",OR($C$4="",ISNUMBER(SEARCH($C$4,C465&amp;" "&amp;E465&amp;" "&amp;G465&amp;" "&amp;H465&amp;" "&amp;I465&amp;" "&amp;J465&amp;" "&amp;K465&amp;" "&amp;L465))),OR($C$5="Semua",$C$5="",G465=$C$5),OR($C$6="Semua",$C$6="",H465=$C$6,H465="Pengeluaran "&amp;$C$6,AND($C$6="Uang Kos Mama",H465="Pengeluaran Uang Kos")),OR($C$7="Semua",$C$7="",I465=$C$7),OR($C$8="Semua",$C$8="",C465=$C$8,E465=$C$8),OR($C$9="Semua",$C$9="",D465=$C$9),OR($C$10="",B465&gt;=$C$10),OR($C$11="",B465&lt;=$C$11),OR($C$12&lt;&gt;"Ya",K465&lt;&gt;""),OR($C$13="Semua",$C$13="",L465=$C$13)),"✓","")</f>
        <v/>
      </c>
      <c r="N465" s="93">
        <f>N(N464)+IF(M465="✓",1,0)</f>
        <v/>
      </c>
      <c r="O465" s="93">
        <f>N(O464)+IF(AND(B465&lt;&gt;"",B465&gt;='Uang Riba'!$H$30,B465&lt;='Uang Riba'!$I$30,OR(H465="Dana riba",H465="Pinjam uang riba",I465="Pinjam dari uang riba",I465="Ganti uang riba",I465="Kelebihan ganti dikembalikan",AND(C465="Kantong Uang Riba",G465="Pengeluaran"))),1,0)</f>
        <v/>
      </c>
      <c r="X465" s="93">
        <f>IF(AND(B465&lt;&gt;"",B465&gt;='Buku Akun'!$H$4,B465&lt;='Buku Akun'!$H$5,OR(C465='Buku Akun'!$C$4,AND(D465="Pindah",E465='Buku Akun'!$C$4))),B465+IF(AND(I465="Selisih bunga",DAY(B465)=1),0,0.01)+ROW()/10000000,"")</f>
        <v/>
      </c>
    </row>
    <row r="466" outlineLevel="1" ht="15" customHeight="1" s="94">
      <c r="A466" s="123">
        <f>IF(B466="","",ROW()-15)</f>
        <v/>
      </c>
      <c r="B466" s="124" t="n"/>
      <c r="C466" s="123" t="n"/>
      <c r="D466" s="123" t="n"/>
      <c r="E466" s="123" t="n"/>
      <c r="F466" s="125" t="n"/>
      <c r="G466" s="123" t="n"/>
      <c r="H466" s="123" t="n"/>
      <c r="I466" s="123" t="n"/>
      <c r="J466" s="123" t="n"/>
      <c r="K466" s="123" t="n"/>
      <c r="L466" s="123" t="n"/>
      <c r="M466" s="123">
        <f>IF(AND(B466&lt;&gt;"",OR($C$4="",ISNUMBER(SEARCH($C$4,C466&amp;" "&amp;E466&amp;" "&amp;G466&amp;" "&amp;H466&amp;" "&amp;I466&amp;" "&amp;J466&amp;" "&amp;K466&amp;" "&amp;L466))),OR($C$5="Semua",$C$5="",G466=$C$5),OR($C$6="Semua",$C$6="",H466=$C$6,H466="Pengeluaran "&amp;$C$6,AND($C$6="Uang Kos Mama",H466="Pengeluaran Uang Kos")),OR($C$7="Semua",$C$7="",I466=$C$7),OR($C$8="Semua",$C$8="",C466=$C$8,E466=$C$8),OR($C$9="Semua",$C$9="",D466=$C$9),OR($C$10="",B466&gt;=$C$10),OR($C$11="",B466&lt;=$C$11),OR($C$12&lt;&gt;"Ya",K466&lt;&gt;""),OR($C$13="Semua",$C$13="",L466=$C$13)),"✓","")</f>
        <v/>
      </c>
      <c r="N466" s="93">
        <f>N(N465)+IF(M466="✓",1,0)</f>
        <v/>
      </c>
      <c r="O466" s="93">
        <f>N(O465)+IF(AND(B466&lt;&gt;"",B466&gt;='Uang Riba'!$H$30,B466&lt;='Uang Riba'!$I$30,OR(H466="Dana riba",H466="Pinjam uang riba",I466="Pinjam dari uang riba",I466="Ganti uang riba",I466="Kelebihan ganti dikembalikan",AND(C466="Kantong Uang Riba",G466="Pengeluaran"))),1,0)</f>
        <v/>
      </c>
      <c r="X466" s="93">
        <f>IF(AND(B466&lt;&gt;"",B466&gt;='Buku Akun'!$H$4,B466&lt;='Buku Akun'!$H$5,OR(C466='Buku Akun'!$C$4,AND(D466="Pindah",E466='Buku Akun'!$C$4))),B466+IF(AND(I466="Selisih bunga",DAY(B466)=1),0,0.01)+ROW()/10000000,"")</f>
        <v/>
      </c>
    </row>
    <row r="467" outlineLevel="1" ht="15" customHeight="1" s="94">
      <c r="A467" s="123">
        <f>IF(B467="","",ROW()-15)</f>
        <v/>
      </c>
      <c r="B467" s="124" t="n"/>
      <c r="C467" s="123" t="n"/>
      <c r="D467" s="123" t="n"/>
      <c r="E467" s="123" t="n"/>
      <c r="F467" s="125" t="n"/>
      <c r="G467" s="123" t="n"/>
      <c r="H467" s="123" t="n"/>
      <c r="I467" s="123" t="n"/>
      <c r="J467" s="123" t="n"/>
      <c r="K467" s="123" t="n"/>
      <c r="L467" s="123" t="n"/>
      <c r="M467" s="123">
        <f>IF(AND(B467&lt;&gt;"",OR($C$4="",ISNUMBER(SEARCH($C$4,C467&amp;" "&amp;E467&amp;" "&amp;G467&amp;" "&amp;H467&amp;" "&amp;I467&amp;" "&amp;J467&amp;" "&amp;K467&amp;" "&amp;L467))),OR($C$5="Semua",$C$5="",G467=$C$5),OR($C$6="Semua",$C$6="",H467=$C$6,H467="Pengeluaran "&amp;$C$6,AND($C$6="Uang Kos Mama",H467="Pengeluaran Uang Kos")),OR($C$7="Semua",$C$7="",I467=$C$7),OR($C$8="Semua",$C$8="",C467=$C$8,E467=$C$8),OR($C$9="Semua",$C$9="",D467=$C$9),OR($C$10="",B467&gt;=$C$10),OR($C$11="",B467&lt;=$C$11),OR($C$12&lt;&gt;"Ya",K467&lt;&gt;""),OR($C$13="Semua",$C$13="",L467=$C$13)),"✓","")</f>
        <v/>
      </c>
      <c r="N467" s="93">
        <f>N(N466)+IF(M467="✓",1,0)</f>
        <v/>
      </c>
      <c r="O467" s="93">
        <f>N(O466)+IF(AND(B467&lt;&gt;"",B467&gt;='Uang Riba'!$H$30,B467&lt;='Uang Riba'!$I$30,OR(H467="Dana riba",H467="Pinjam uang riba",I467="Pinjam dari uang riba",I467="Ganti uang riba",I467="Kelebihan ganti dikembalikan",AND(C467="Kantong Uang Riba",G467="Pengeluaran"))),1,0)</f>
        <v/>
      </c>
      <c r="X467" s="93">
        <f>IF(AND(B467&lt;&gt;"",B467&gt;='Buku Akun'!$H$4,B467&lt;='Buku Akun'!$H$5,OR(C467='Buku Akun'!$C$4,AND(D467="Pindah",E467='Buku Akun'!$C$4))),B467+IF(AND(I467="Selisih bunga",DAY(B467)=1),0,0.01)+ROW()/10000000,"")</f>
        <v/>
      </c>
    </row>
    <row r="468" outlineLevel="1" ht="15" customHeight="1" s="94">
      <c r="A468" s="123">
        <f>IF(B468="","",ROW()-15)</f>
        <v/>
      </c>
      <c r="B468" s="124" t="n"/>
      <c r="C468" s="123" t="n"/>
      <c r="D468" s="123" t="n"/>
      <c r="E468" s="123" t="n"/>
      <c r="F468" s="125" t="n"/>
      <c r="G468" s="123" t="n"/>
      <c r="H468" s="123" t="n"/>
      <c r="I468" s="123" t="n"/>
      <c r="J468" s="123" t="n"/>
      <c r="K468" s="123" t="n"/>
      <c r="L468" s="123" t="n"/>
      <c r="M468" s="123">
        <f>IF(AND(B468&lt;&gt;"",OR($C$4="",ISNUMBER(SEARCH($C$4,C468&amp;" "&amp;E468&amp;" "&amp;G468&amp;" "&amp;H468&amp;" "&amp;I468&amp;" "&amp;J468&amp;" "&amp;K468&amp;" "&amp;L468))),OR($C$5="Semua",$C$5="",G468=$C$5),OR($C$6="Semua",$C$6="",H468=$C$6,H468="Pengeluaran "&amp;$C$6,AND($C$6="Uang Kos Mama",H468="Pengeluaran Uang Kos")),OR($C$7="Semua",$C$7="",I468=$C$7),OR($C$8="Semua",$C$8="",C468=$C$8,E468=$C$8),OR($C$9="Semua",$C$9="",D468=$C$9),OR($C$10="",B468&gt;=$C$10),OR($C$11="",B468&lt;=$C$11),OR($C$12&lt;&gt;"Ya",K468&lt;&gt;""),OR($C$13="Semua",$C$13="",L468=$C$13)),"✓","")</f>
        <v/>
      </c>
      <c r="N468" s="93">
        <f>N(N467)+IF(M468="✓",1,0)</f>
        <v/>
      </c>
      <c r="O468" s="93">
        <f>N(O467)+IF(AND(B468&lt;&gt;"",B468&gt;='Uang Riba'!$H$30,B468&lt;='Uang Riba'!$I$30,OR(H468="Dana riba",H468="Pinjam uang riba",I468="Pinjam dari uang riba",I468="Ganti uang riba",I468="Kelebihan ganti dikembalikan",AND(C468="Kantong Uang Riba",G468="Pengeluaran"))),1,0)</f>
        <v/>
      </c>
      <c r="X468" s="93">
        <f>IF(AND(B468&lt;&gt;"",B468&gt;='Buku Akun'!$H$4,B468&lt;='Buku Akun'!$H$5,OR(C468='Buku Akun'!$C$4,AND(D468="Pindah",E468='Buku Akun'!$C$4))),B468+IF(AND(I468="Selisih bunga",DAY(B468)=1),0,0.01)+ROW()/10000000,"")</f>
        <v/>
      </c>
    </row>
    <row r="469" outlineLevel="1" ht="15" customHeight="1" s="94">
      <c r="A469" s="123">
        <f>IF(B469="","",ROW()-15)</f>
        <v/>
      </c>
      <c r="B469" s="124" t="n"/>
      <c r="C469" s="123" t="n"/>
      <c r="D469" s="123" t="n"/>
      <c r="E469" s="123" t="n"/>
      <c r="F469" s="125" t="n"/>
      <c r="G469" s="123" t="n"/>
      <c r="H469" s="123" t="n"/>
      <c r="I469" s="123" t="n"/>
      <c r="J469" s="123" t="n"/>
      <c r="K469" s="123" t="n"/>
      <c r="L469" s="123" t="n"/>
      <c r="M469" s="123">
        <f>IF(AND(B469&lt;&gt;"",OR($C$4="",ISNUMBER(SEARCH($C$4,C469&amp;" "&amp;E469&amp;" "&amp;G469&amp;" "&amp;H469&amp;" "&amp;I469&amp;" "&amp;J469&amp;" "&amp;K469&amp;" "&amp;L469))),OR($C$5="Semua",$C$5="",G469=$C$5),OR($C$6="Semua",$C$6="",H469=$C$6,H469="Pengeluaran "&amp;$C$6,AND($C$6="Uang Kos Mama",H469="Pengeluaran Uang Kos")),OR($C$7="Semua",$C$7="",I469=$C$7),OR($C$8="Semua",$C$8="",C469=$C$8,E469=$C$8),OR($C$9="Semua",$C$9="",D469=$C$9),OR($C$10="",B469&gt;=$C$10),OR($C$11="",B469&lt;=$C$11),OR($C$12&lt;&gt;"Ya",K469&lt;&gt;""),OR($C$13="Semua",$C$13="",L469=$C$13)),"✓","")</f>
        <v/>
      </c>
      <c r="N469" s="93">
        <f>N(N468)+IF(M469="✓",1,0)</f>
        <v/>
      </c>
      <c r="O469" s="93">
        <f>N(O468)+IF(AND(B469&lt;&gt;"",B469&gt;='Uang Riba'!$H$30,B469&lt;='Uang Riba'!$I$30,OR(H469="Dana riba",H469="Pinjam uang riba",I469="Pinjam dari uang riba",I469="Ganti uang riba",I469="Kelebihan ganti dikembalikan",AND(C469="Kantong Uang Riba",G469="Pengeluaran"))),1,0)</f>
        <v/>
      </c>
      <c r="X469" s="93">
        <f>IF(AND(B469&lt;&gt;"",B469&gt;='Buku Akun'!$H$4,B469&lt;='Buku Akun'!$H$5,OR(C469='Buku Akun'!$C$4,AND(D469="Pindah",E469='Buku Akun'!$C$4))),B469+IF(AND(I469="Selisih bunga",DAY(B469)=1),0,0.01)+ROW()/10000000,"")</f>
        <v/>
      </c>
    </row>
    <row r="470" outlineLevel="1" ht="15" customHeight="1" s="94">
      <c r="A470" s="123">
        <f>IF(B470="","",ROW()-15)</f>
        <v/>
      </c>
      <c r="B470" s="124" t="n"/>
      <c r="C470" s="123" t="n"/>
      <c r="D470" s="123" t="n"/>
      <c r="E470" s="123" t="n"/>
      <c r="F470" s="125" t="n"/>
      <c r="G470" s="123" t="n"/>
      <c r="H470" s="123" t="n"/>
      <c r="I470" s="123" t="n"/>
      <c r="J470" s="123" t="n"/>
      <c r="K470" s="123" t="n"/>
      <c r="L470" s="123" t="n"/>
      <c r="M470" s="123">
        <f>IF(AND(B470&lt;&gt;"",OR($C$4="",ISNUMBER(SEARCH($C$4,C470&amp;" "&amp;E470&amp;" "&amp;G470&amp;" "&amp;H470&amp;" "&amp;I470&amp;" "&amp;J470&amp;" "&amp;K470&amp;" "&amp;L470))),OR($C$5="Semua",$C$5="",G470=$C$5),OR($C$6="Semua",$C$6="",H470=$C$6,H470="Pengeluaran "&amp;$C$6,AND($C$6="Uang Kos Mama",H470="Pengeluaran Uang Kos")),OR($C$7="Semua",$C$7="",I470=$C$7),OR($C$8="Semua",$C$8="",C470=$C$8,E470=$C$8),OR($C$9="Semua",$C$9="",D470=$C$9),OR($C$10="",B470&gt;=$C$10),OR($C$11="",B470&lt;=$C$11),OR($C$12&lt;&gt;"Ya",K470&lt;&gt;""),OR($C$13="Semua",$C$13="",L470=$C$13)),"✓","")</f>
        <v/>
      </c>
      <c r="N470" s="93">
        <f>N(N469)+IF(M470="✓",1,0)</f>
        <v/>
      </c>
      <c r="O470" s="93">
        <f>N(O469)+IF(AND(B470&lt;&gt;"",B470&gt;='Uang Riba'!$H$30,B470&lt;='Uang Riba'!$I$30,OR(H470="Dana riba",H470="Pinjam uang riba",I470="Pinjam dari uang riba",I470="Ganti uang riba",I470="Kelebihan ganti dikembalikan",AND(C470="Kantong Uang Riba",G470="Pengeluaran"))),1,0)</f>
        <v/>
      </c>
      <c r="X470" s="93">
        <f>IF(AND(B470&lt;&gt;"",B470&gt;='Buku Akun'!$H$4,B470&lt;='Buku Akun'!$H$5,OR(C470='Buku Akun'!$C$4,AND(D470="Pindah",E470='Buku Akun'!$C$4))),B470+IF(AND(I470="Selisih bunga",DAY(B470)=1),0,0.01)+ROW()/10000000,"")</f>
        <v/>
      </c>
    </row>
    <row r="471" outlineLevel="1" ht="15" customHeight="1" s="94">
      <c r="A471" s="123">
        <f>IF(B471="","",ROW()-15)</f>
        <v/>
      </c>
      <c r="B471" s="124" t="n"/>
      <c r="C471" s="123" t="n"/>
      <c r="D471" s="123" t="n"/>
      <c r="E471" s="123" t="n"/>
      <c r="F471" s="125" t="n"/>
      <c r="G471" s="123" t="n"/>
      <c r="H471" s="123" t="n"/>
      <c r="I471" s="123" t="n"/>
      <c r="J471" s="123" t="n"/>
      <c r="K471" s="123" t="n"/>
      <c r="L471" s="123" t="n"/>
      <c r="M471" s="123">
        <f>IF(AND(B471&lt;&gt;"",OR($C$4="",ISNUMBER(SEARCH($C$4,C471&amp;" "&amp;E471&amp;" "&amp;G471&amp;" "&amp;H471&amp;" "&amp;I471&amp;" "&amp;J471&amp;" "&amp;K471&amp;" "&amp;L471))),OR($C$5="Semua",$C$5="",G471=$C$5),OR($C$6="Semua",$C$6="",H471=$C$6,H471="Pengeluaran "&amp;$C$6,AND($C$6="Uang Kos Mama",H471="Pengeluaran Uang Kos")),OR($C$7="Semua",$C$7="",I471=$C$7),OR($C$8="Semua",$C$8="",C471=$C$8,E471=$C$8),OR($C$9="Semua",$C$9="",D471=$C$9),OR($C$10="",B471&gt;=$C$10),OR($C$11="",B471&lt;=$C$11),OR($C$12&lt;&gt;"Ya",K471&lt;&gt;""),OR($C$13="Semua",$C$13="",L471=$C$13)),"✓","")</f>
        <v/>
      </c>
      <c r="N471" s="93">
        <f>N(N470)+IF(M471="✓",1,0)</f>
        <v/>
      </c>
      <c r="O471" s="93">
        <f>N(O470)+IF(AND(B471&lt;&gt;"",B471&gt;='Uang Riba'!$H$30,B471&lt;='Uang Riba'!$I$30,OR(H471="Dana riba",H471="Pinjam uang riba",I471="Pinjam dari uang riba",I471="Ganti uang riba",I471="Kelebihan ganti dikembalikan",AND(C471="Kantong Uang Riba",G471="Pengeluaran"))),1,0)</f>
        <v/>
      </c>
      <c r="X471" s="93">
        <f>IF(AND(B471&lt;&gt;"",B471&gt;='Buku Akun'!$H$4,B471&lt;='Buku Akun'!$H$5,OR(C471='Buku Akun'!$C$4,AND(D471="Pindah",E471='Buku Akun'!$C$4))),B471+IF(AND(I471="Selisih bunga",DAY(B471)=1),0,0.01)+ROW()/10000000,"")</f>
        <v/>
      </c>
    </row>
    <row r="472" outlineLevel="1" ht="15" customHeight="1" s="94">
      <c r="A472" s="123">
        <f>IF(B472="","",ROW()-15)</f>
        <v/>
      </c>
      <c r="B472" s="124" t="n"/>
      <c r="C472" s="123" t="n"/>
      <c r="D472" s="123" t="n"/>
      <c r="E472" s="123" t="n"/>
      <c r="F472" s="125" t="n"/>
      <c r="G472" s="123" t="n"/>
      <c r="H472" s="123" t="n"/>
      <c r="I472" s="123" t="n"/>
      <c r="J472" s="123" t="n"/>
      <c r="K472" s="123" t="n"/>
      <c r="L472" s="123" t="n"/>
      <c r="M472" s="123">
        <f>IF(AND(B472&lt;&gt;"",OR($C$4="",ISNUMBER(SEARCH($C$4,C472&amp;" "&amp;E472&amp;" "&amp;G472&amp;" "&amp;H472&amp;" "&amp;I472&amp;" "&amp;J472&amp;" "&amp;K472&amp;" "&amp;L472))),OR($C$5="Semua",$C$5="",G472=$C$5),OR($C$6="Semua",$C$6="",H472=$C$6,H472="Pengeluaran "&amp;$C$6,AND($C$6="Uang Kos Mama",H472="Pengeluaran Uang Kos")),OR($C$7="Semua",$C$7="",I472=$C$7),OR($C$8="Semua",$C$8="",C472=$C$8,E472=$C$8),OR($C$9="Semua",$C$9="",D472=$C$9),OR($C$10="",B472&gt;=$C$10),OR($C$11="",B472&lt;=$C$11),OR($C$12&lt;&gt;"Ya",K472&lt;&gt;""),OR($C$13="Semua",$C$13="",L472=$C$13)),"✓","")</f>
        <v/>
      </c>
      <c r="N472" s="93">
        <f>N(N471)+IF(M472="✓",1,0)</f>
        <v/>
      </c>
      <c r="O472" s="93">
        <f>N(O471)+IF(AND(B472&lt;&gt;"",B472&gt;='Uang Riba'!$H$30,B472&lt;='Uang Riba'!$I$30,OR(H472="Dana riba",H472="Pinjam uang riba",I472="Pinjam dari uang riba",I472="Ganti uang riba",I472="Kelebihan ganti dikembalikan",AND(C472="Kantong Uang Riba",G472="Pengeluaran"))),1,0)</f>
        <v/>
      </c>
      <c r="X472" s="93">
        <f>IF(AND(B472&lt;&gt;"",B472&gt;='Buku Akun'!$H$4,B472&lt;='Buku Akun'!$H$5,OR(C472='Buku Akun'!$C$4,AND(D472="Pindah",E472='Buku Akun'!$C$4))),B472+IF(AND(I472="Selisih bunga",DAY(B472)=1),0,0.01)+ROW()/10000000,"")</f>
        <v/>
      </c>
    </row>
    <row r="473" outlineLevel="1" ht="15" customHeight="1" s="94">
      <c r="A473" s="123">
        <f>IF(B473="","",ROW()-15)</f>
        <v/>
      </c>
      <c r="B473" s="124" t="n"/>
      <c r="C473" s="123" t="n"/>
      <c r="D473" s="123" t="n"/>
      <c r="E473" s="123" t="n"/>
      <c r="F473" s="125" t="n"/>
      <c r="G473" s="123" t="n"/>
      <c r="H473" s="123" t="n"/>
      <c r="I473" s="123" t="n"/>
      <c r="J473" s="123" t="n"/>
      <c r="K473" s="123" t="n"/>
      <c r="L473" s="123" t="n"/>
      <c r="M473" s="123">
        <f>IF(AND(B473&lt;&gt;"",OR($C$4="",ISNUMBER(SEARCH($C$4,C473&amp;" "&amp;E473&amp;" "&amp;G473&amp;" "&amp;H473&amp;" "&amp;I473&amp;" "&amp;J473&amp;" "&amp;K473&amp;" "&amp;L473))),OR($C$5="Semua",$C$5="",G473=$C$5),OR($C$6="Semua",$C$6="",H473=$C$6,H473="Pengeluaran "&amp;$C$6,AND($C$6="Uang Kos Mama",H473="Pengeluaran Uang Kos")),OR($C$7="Semua",$C$7="",I473=$C$7),OR($C$8="Semua",$C$8="",C473=$C$8,E473=$C$8),OR($C$9="Semua",$C$9="",D473=$C$9),OR($C$10="",B473&gt;=$C$10),OR($C$11="",B473&lt;=$C$11),OR($C$12&lt;&gt;"Ya",K473&lt;&gt;""),OR($C$13="Semua",$C$13="",L473=$C$13)),"✓","")</f>
        <v/>
      </c>
      <c r="N473" s="93">
        <f>N(N472)+IF(M473="✓",1,0)</f>
        <v/>
      </c>
      <c r="O473" s="93">
        <f>N(O472)+IF(AND(B473&lt;&gt;"",B473&gt;='Uang Riba'!$H$30,B473&lt;='Uang Riba'!$I$30,OR(H473="Dana riba",H473="Pinjam uang riba",I473="Pinjam dari uang riba",I473="Ganti uang riba",I473="Kelebihan ganti dikembalikan",AND(C473="Kantong Uang Riba",G473="Pengeluaran"))),1,0)</f>
        <v/>
      </c>
      <c r="X473" s="93">
        <f>IF(AND(B473&lt;&gt;"",B473&gt;='Buku Akun'!$H$4,B473&lt;='Buku Akun'!$H$5,OR(C473='Buku Akun'!$C$4,AND(D473="Pindah",E473='Buku Akun'!$C$4))),B473+IF(AND(I473="Selisih bunga",DAY(B473)=1),0,0.01)+ROW()/10000000,"")</f>
        <v/>
      </c>
    </row>
    <row r="474" outlineLevel="1" ht="15" customHeight="1" s="94">
      <c r="A474" s="123">
        <f>IF(B474="","",ROW()-15)</f>
        <v/>
      </c>
      <c r="B474" s="124" t="n"/>
      <c r="C474" s="123" t="n"/>
      <c r="D474" s="123" t="n"/>
      <c r="E474" s="123" t="n"/>
      <c r="F474" s="125" t="n"/>
      <c r="G474" s="123" t="n"/>
      <c r="H474" s="123" t="n"/>
      <c r="I474" s="123" t="n"/>
      <c r="J474" s="123" t="n"/>
      <c r="K474" s="123" t="n"/>
      <c r="L474" s="123" t="n"/>
      <c r="M474" s="123">
        <f>IF(AND(B474&lt;&gt;"",OR($C$4="",ISNUMBER(SEARCH($C$4,C474&amp;" "&amp;E474&amp;" "&amp;G474&amp;" "&amp;H474&amp;" "&amp;I474&amp;" "&amp;J474&amp;" "&amp;K474&amp;" "&amp;L474))),OR($C$5="Semua",$C$5="",G474=$C$5),OR($C$6="Semua",$C$6="",H474=$C$6,H474="Pengeluaran "&amp;$C$6,AND($C$6="Uang Kos Mama",H474="Pengeluaran Uang Kos")),OR($C$7="Semua",$C$7="",I474=$C$7),OR($C$8="Semua",$C$8="",C474=$C$8,E474=$C$8),OR($C$9="Semua",$C$9="",D474=$C$9),OR($C$10="",B474&gt;=$C$10),OR($C$11="",B474&lt;=$C$11),OR($C$12&lt;&gt;"Ya",K474&lt;&gt;""),OR($C$13="Semua",$C$13="",L474=$C$13)),"✓","")</f>
        <v/>
      </c>
      <c r="N474" s="93">
        <f>N(N473)+IF(M474="✓",1,0)</f>
        <v/>
      </c>
      <c r="O474" s="93">
        <f>N(O473)+IF(AND(B474&lt;&gt;"",B474&gt;='Uang Riba'!$H$30,B474&lt;='Uang Riba'!$I$30,OR(H474="Dana riba",H474="Pinjam uang riba",I474="Pinjam dari uang riba",I474="Ganti uang riba",I474="Kelebihan ganti dikembalikan",AND(C474="Kantong Uang Riba",G474="Pengeluaran"))),1,0)</f>
        <v/>
      </c>
      <c r="X474" s="93">
        <f>IF(AND(B474&lt;&gt;"",B474&gt;='Buku Akun'!$H$4,B474&lt;='Buku Akun'!$H$5,OR(C474='Buku Akun'!$C$4,AND(D474="Pindah",E474='Buku Akun'!$C$4))),B474+IF(AND(I474="Selisih bunga",DAY(B474)=1),0,0.01)+ROW()/10000000,"")</f>
        <v/>
      </c>
    </row>
    <row r="475" outlineLevel="1" ht="15" customHeight="1" s="94">
      <c r="A475" s="123">
        <f>IF(B475="","",ROW()-15)</f>
        <v/>
      </c>
      <c r="B475" s="124" t="n"/>
      <c r="C475" s="123" t="n"/>
      <c r="D475" s="123" t="n"/>
      <c r="E475" s="123" t="n"/>
      <c r="F475" s="125" t="n"/>
      <c r="G475" s="123" t="n"/>
      <c r="H475" s="123" t="n"/>
      <c r="I475" s="123" t="n"/>
      <c r="J475" s="123" t="n"/>
      <c r="K475" s="123" t="n"/>
      <c r="L475" s="123" t="n"/>
      <c r="M475" s="123">
        <f>IF(AND(B475&lt;&gt;"",OR($C$4="",ISNUMBER(SEARCH($C$4,C475&amp;" "&amp;E475&amp;" "&amp;G475&amp;" "&amp;H475&amp;" "&amp;I475&amp;" "&amp;J475&amp;" "&amp;K475&amp;" "&amp;L475))),OR($C$5="Semua",$C$5="",G475=$C$5),OR($C$6="Semua",$C$6="",H475=$C$6,H475="Pengeluaran "&amp;$C$6,AND($C$6="Uang Kos Mama",H475="Pengeluaran Uang Kos")),OR($C$7="Semua",$C$7="",I475=$C$7),OR($C$8="Semua",$C$8="",C475=$C$8,E475=$C$8),OR($C$9="Semua",$C$9="",D475=$C$9),OR($C$10="",B475&gt;=$C$10),OR($C$11="",B475&lt;=$C$11),OR($C$12&lt;&gt;"Ya",K475&lt;&gt;""),OR($C$13="Semua",$C$13="",L475=$C$13)),"✓","")</f>
        <v/>
      </c>
      <c r="N475" s="93">
        <f>N(N474)+IF(M475="✓",1,0)</f>
        <v/>
      </c>
      <c r="O475" s="93">
        <f>N(O474)+IF(AND(B475&lt;&gt;"",B475&gt;='Uang Riba'!$H$30,B475&lt;='Uang Riba'!$I$30,OR(H475="Dana riba",H475="Pinjam uang riba",I475="Pinjam dari uang riba",I475="Ganti uang riba",I475="Kelebihan ganti dikembalikan",AND(C475="Kantong Uang Riba",G475="Pengeluaran"))),1,0)</f>
        <v/>
      </c>
      <c r="X475" s="93">
        <f>IF(AND(B475&lt;&gt;"",B475&gt;='Buku Akun'!$H$4,B475&lt;='Buku Akun'!$H$5,OR(C475='Buku Akun'!$C$4,AND(D475="Pindah",E475='Buku Akun'!$C$4))),B475+IF(AND(I475="Selisih bunga",DAY(B475)=1),0,0.01)+ROW()/10000000,"")</f>
        <v/>
      </c>
    </row>
    <row r="476" outlineLevel="1" ht="15" customHeight="1" s="94">
      <c r="A476" s="123">
        <f>IF(B476="","",ROW()-15)</f>
        <v/>
      </c>
      <c r="B476" s="124" t="n"/>
      <c r="C476" s="123" t="n"/>
      <c r="D476" s="123" t="n"/>
      <c r="E476" s="123" t="n"/>
      <c r="F476" s="125" t="n"/>
      <c r="G476" s="123" t="n"/>
      <c r="H476" s="123" t="n"/>
      <c r="I476" s="123" t="n"/>
      <c r="J476" s="123" t="n"/>
      <c r="K476" s="123" t="n"/>
      <c r="L476" s="123" t="n"/>
      <c r="M476" s="123">
        <f>IF(AND(B476&lt;&gt;"",OR($C$4="",ISNUMBER(SEARCH($C$4,C476&amp;" "&amp;E476&amp;" "&amp;G476&amp;" "&amp;H476&amp;" "&amp;I476&amp;" "&amp;J476&amp;" "&amp;K476&amp;" "&amp;L476))),OR($C$5="Semua",$C$5="",G476=$C$5),OR($C$6="Semua",$C$6="",H476=$C$6,H476="Pengeluaran "&amp;$C$6,AND($C$6="Uang Kos Mama",H476="Pengeluaran Uang Kos")),OR($C$7="Semua",$C$7="",I476=$C$7),OR($C$8="Semua",$C$8="",C476=$C$8,E476=$C$8),OR($C$9="Semua",$C$9="",D476=$C$9),OR($C$10="",B476&gt;=$C$10),OR($C$11="",B476&lt;=$C$11),OR($C$12&lt;&gt;"Ya",K476&lt;&gt;""),OR($C$13="Semua",$C$13="",L476=$C$13)),"✓","")</f>
        <v/>
      </c>
      <c r="N476" s="93">
        <f>N(N475)+IF(M476="✓",1,0)</f>
        <v/>
      </c>
      <c r="O476" s="93">
        <f>N(O475)+IF(AND(B476&lt;&gt;"",B476&gt;='Uang Riba'!$H$30,B476&lt;='Uang Riba'!$I$30,OR(H476="Dana riba",H476="Pinjam uang riba",I476="Pinjam dari uang riba",I476="Ganti uang riba",I476="Kelebihan ganti dikembalikan",AND(C476="Kantong Uang Riba",G476="Pengeluaran"))),1,0)</f>
        <v/>
      </c>
      <c r="X476" s="93">
        <f>IF(AND(B476&lt;&gt;"",B476&gt;='Buku Akun'!$H$4,B476&lt;='Buku Akun'!$H$5,OR(C476='Buku Akun'!$C$4,AND(D476="Pindah",E476='Buku Akun'!$C$4))),B476+IF(AND(I476="Selisih bunga",DAY(B476)=1),0,0.01)+ROW()/10000000,"")</f>
        <v/>
      </c>
    </row>
    <row r="477" outlineLevel="1" ht="15" customHeight="1" s="94">
      <c r="A477" s="123">
        <f>IF(B477="","",ROW()-15)</f>
        <v/>
      </c>
      <c r="B477" s="124" t="n"/>
      <c r="C477" s="123" t="n"/>
      <c r="D477" s="123" t="n"/>
      <c r="E477" s="123" t="n"/>
      <c r="F477" s="125" t="n"/>
      <c r="G477" s="123" t="n"/>
      <c r="H477" s="123" t="n"/>
      <c r="I477" s="123" t="n"/>
      <c r="J477" s="123" t="n"/>
      <c r="K477" s="123" t="n"/>
      <c r="L477" s="123" t="n"/>
      <c r="M477" s="123">
        <f>IF(AND(B477&lt;&gt;"",OR($C$4="",ISNUMBER(SEARCH($C$4,C477&amp;" "&amp;E477&amp;" "&amp;G477&amp;" "&amp;H477&amp;" "&amp;I477&amp;" "&amp;J477&amp;" "&amp;K477&amp;" "&amp;L477))),OR($C$5="Semua",$C$5="",G477=$C$5),OR($C$6="Semua",$C$6="",H477=$C$6,H477="Pengeluaran "&amp;$C$6,AND($C$6="Uang Kos Mama",H477="Pengeluaran Uang Kos")),OR($C$7="Semua",$C$7="",I477=$C$7),OR($C$8="Semua",$C$8="",C477=$C$8,E477=$C$8),OR($C$9="Semua",$C$9="",D477=$C$9),OR($C$10="",B477&gt;=$C$10),OR($C$11="",B477&lt;=$C$11),OR($C$12&lt;&gt;"Ya",K477&lt;&gt;""),OR($C$13="Semua",$C$13="",L477=$C$13)),"✓","")</f>
        <v/>
      </c>
      <c r="N477" s="93">
        <f>N(N476)+IF(M477="✓",1,0)</f>
        <v/>
      </c>
      <c r="O477" s="93">
        <f>N(O476)+IF(AND(B477&lt;&gt;"",B477&gt;='Uang Riba'!$H$30,B477&lt;='Uang Riba'!$I$30,OR(H477="Dana riba",H477="Pinjam uang riba",I477="Pinjam dari uang riba",I477="Ganti uang riba",I477="Kelebihan ganti dikembalikan",AND(C477="Kantong Uang Riba",G477="Pengeluaran"))),1,0)</f>
        <v/>
      </c>
      <c r="X477" s="93">
        <f>IF(AND(B477&lt;&gt;"",B477&gt;='Buku Akun'!$H$4,B477&lt;='Buku Akun'!$H$5,OR(C477='Buku Akun'!$C$4,AND(D477="Pindah",E477='Buku Akun'!$C$4))),B477+IF(AND(I477="Selisih bunga",DAY(B477)=1),0,0.01)+ROW()/10000000,"")</f>
        <v/>
      </c>
    </row>
    <row r="478" outlineLevel="1" ht="15" customHeight="1" s="94">
      <c r="A478" s="123">
        <f>IF(B478="","",ROW()-15)</f>
        <v/>
      </c>
      <c r="B478" s="124" t="n"/>
      <c r="C478" s="123" t="n"/>
      <c r="D478" s="123" t="n"/>
      <c r="E478" s="123" t="n"/>
      <c r="F478" s="125" t="n"/>
      <c r="G478" s="123" t="n"/>
      <c r="H478" s="123" t="n"/>
      <c r="I478" s="123" t="n"/>
      <c r="J478" s="123" t="n"/>
      <c r="K478" s="123" t="n"/>
      <c r="L478" s="123" t="n"/>
      <c r="M478" s="123">
        <f>IF(AND(B478&lt;&gt;"",OR($C$4="",ISNUMBER(SEARCH($C$4,C478&amp;" "&amp;E478&amp;" "&amp;G478&amp;" "&amp;H478&amp;" "&amp;I478&amp;" "&amp;J478&amp;" "&amp;K478&amp;" "&amp;L478))),OR($C$5="Semua",$C$5="",G478=$C$5),OR($C$6="Semua",$C$6="",H478=$C$6,H478="Pengeluaran "&amp;$C$6,AND($C$6="Uang Kos Mama",H478="Pengeluaran Uang Kos")),OR($C$7="Semua",$C$7="",I478=$C$7),OR($C$8="Semua",$C$8="",C478=$C$8,E478=$C$8),OR($C$9="Semua",$C$9="",D478=$C$9),OR($C$10="",B478&gt;=$C$10),OR($C$11="",B478&lt;=$C$11),OR($C$12&lt;&gt;"Ya",K478&lt;&gt;""),OR($C$13="Semua",$C$13="",L478=$C$13)),"✓","")</f>
        <v/>
      </c>
      <c r="N478" s="93">
        <f>N(N477)+IF(M478="✓",1,0)</f>
        <v/>
      </c>
      <c r="O478" s="93">
        <f>N(O477)+IF(AND(B478&lt;&gt;"",B478&gt;='Uang Riba'!$H$30,B478&lt;='Uang Riba'!$I$30,OR(H478="Dana riba",H478="Pinjam uang riba",I478="Pinjam dari uang riba",I478="Ganti uang riba",I478="Kelebihan ganti dikembalikan",AND(C478="Kantong Uang Riba",G478="Pengeluaran"))),1,0)</f>
        <v/>
      </c>
      <c r="X478" s="93">
        <f>IF(AND(B478&lt;&gt;"",B478&gt;='Buku Akun'!$H$4,B478&lt;='Buku Akun'!$H$5,OR(C478='Buku Akun'!$C$4,AND(D478="Pindah",E478='Buku Akun'!$C$4))),B478+IF(AND(I478="Selisih bunga",DAY(B478)=1),0,0.01)+ROW()/10000000,"")</f>
        <v/>
      </c>
    </row>
    <row r="479" outlineLevel="1" ht="15" customHeight="1" s="94">
      <c r="A479" s="123">
        <f>IF(B479="","",ROW()-15)</f>
        <v/>
      </c>
      <c r="B479" s="124" t="n"/>
      <c r="C479" s="123" t="n"/>
      <c r="D479" s="123" t="n"/>
      <c r="E479" s="123" t="n"/>
      <c r="F479" s="125" t="n"/>
      <c r="G479" s="123" t="n"/>
      <c r="H479" s="123" t="n"/>
      <c r="I479" s="123" t="n"/>
      <c r="J479" s="123" t="n"/>
      <c r="K479" s="123" t="n"/>
      <c r="L479" s="123" t="n"/>
      <c r="M479" s="123">
        <f>IF(AND(B479&lt;&gt;"",OR($C$4="",ISNUMBER(SEARCH($C$4,C479&amp;" "&amp;E479&amp;" "&amp;G479&amp;" "&amp;H479&amp;" "&amp;I479&amp;" "&amp;J479&amp;" "&amp;K479&amp;" "&amp;L479))),OR($C$5="Semua",$C$5="",G479=$C$5),OR($C$6="Semua",$C$6="",H479=$C$6,H479="Pengeluaran "&amp;$C$6,AND($C$6="Uang Kos Mama",H479="Pengeluaran Uang Kos")),OR($C$7="Semua",$C$7="",I479=$C$7),OR($C$8="Semua",$C$8="",C479=$C$8,E479=$C$8),OR($C$9="Semua",$C$9="",D479=$C$9),OR($C$10="",B479&gt;=$C$10),OR($C$11="",B479&lt;=$C$11),OR($C$12&lt;&gt;"Ya",K479&lt;&gt;""),OR($C$13="Semua",$C$13="",L479=$C$13)),"✓","")</f>
        <v/>
      </c>
      <c r="N479" s="93">
        <f>N(N478)+IF(M479="✓",1,0)</f>
        <v/>
      </c>
      <c r="O479" s="93">
        <f>N(O478)+IF(AND(B479&lt;&gt;"",B479&gt;='Uang Riba'!$H$30,B479&lt;='Uang Riba'!$I$30,OR(H479="Dana riba",H479="Pinjam uang riba",I479="Pinjam dari uang riba",I479="Ganti uang riba",I479="Kelebihan ganti dikembalikan",AND(C479="Kantong Uang Riba",G479="Pengeluaran"))),1,0)</f>
        <v/>
      </c>
      <c r="X479" s="93">
        <f>IF(AND(B479&lt;&gt;"",B479&gt;='Buku Akun'!$H$4,B479&lt;='Buku Akun'!$H$5,OR(C479='Buku Akun'!$C$4,AND(D479="Pindah",E479='Buku Akun'!$C$4))),B479+IF(AND(I479="Selisih bunga",DAY(B479)=1),0,0.01)+ROW()/10000000,"")</f>
        <v/>
      </c>
    </row>
    <row r="480" outlineLevel="1" ht="15" customHeight="1" s="94">
      <c r="A480" s="123">
        <f>IF(B480="","",ROW()-15)</f>
        <v/>
      </c>
      <c r="B480" s="124" t="n"/>
      <c r="C480" s="123" t="n"/>
      <c r="D480" s="123" t="n"/>
      <c r="E480" s="123" t="n"/>
      <c r="F480" s="125" t="n"/>
      <c r="G480" s="123" t="n"/>
      <c r="H480" s="123" t="n"/>
      <c r="I480" s="123" t="n"/>
      <c r="J480" s="123" t="n"/>
      <c r="K480" s="123" t="n"/>
      <c r="L480" s="123" t="n"/>
      <c r="M480" s="123">
        <f>IF(AND(B480&lt;&gt;"",OR($C$4="",ISNUMBER(SEARCH($C$4,C480&amp;" "&amp;E480&amp;" "&amp;G480&amp;" "&amp;H480&amp;" "&amp;I480&amp;" "&amp;J480&amp;" "&amp;K480&amp;" "&amp;L480))),OR($C$5="Semua",$C$5="",G480=$C$5),OR($C$6="Semua",$C$6="",H480=$C$6,H480="Pengeluaran "&amp;$C$6,AND($C$6="Uang Kos Mama",H480="Pengeluaran Uang Kos")),OR($C$7="Semua",$C$7="",I480=$C$7),OR($C$8="Semua",$C$8="",C480=$C$8,E480=$C$8),OR($C$9="Semua",$C$9="",D480=$C$9),OR($C$10="",B480&gt;=$C$10),OR($C$11="",B480&lt;=$C$11),OR($C$12&lt;&gt;"Ya",K480&lt;&gt;""),OR($C$13="Semua",$C$13="",L480=$C$13)),"✓","")</f>
        <v/>
      </c>
      <c r="N480" s="93">
        <f>N(N479)+IF(M480="✓",1,0)</f>
        <v/>
      </c>
      <c r="O480" s="93">
        <f>N(O479)+IF(AND(B480&lt;&gt;"",B480&gt;='Uang Riba'!$H$30,B480&lt;='Uang Riba'!$I$30,OR(H480="Dana riba",H480="Pinjam uang riba",I480="Pinjam dari uang riba",I480="Ganti uang riba",I480="Kelebihan ganti dikembalikan",AND(C480="Kantong Uang Riba",G480="Pengeluaran"))),1,0)</f>
        <v/>
      </c>
      <c r="X480" s="93">
        <f>IF(AND(B480&lt;&gt;"",B480&gt;='Buku Akun'!$H$4,B480&lt;='Buku Akun'!$H$5,OR(C480='Buku Akun'!$C$4,AND(D480="Pindah",E480='Buku Akun'!$C$4))),B480+IF(AND(I480="Selisih bunga",DAY(B480)=1),0,0.01)+ROW()/10000000,"")</f>
        <v/>
      </c>
    </row>
    <row r="481" outlineLevel="1" ht="15" customHeight="1" s="94">
      <c r="A481" s="123">
        <f>IF(B481="","",ROW()-15)</f>
        <v/>
      </c>
      <c r="B481" s="124" t="n"/>
      <c r="C481" s="123" t="n"/>
      <c r="D481" s="123" t="n"/>
      <c r="E481" s="123" t="n"/>
      <c r="F481" s="125" t="n"/>
      <c r="G481" s="123" t="n"/>
      <c r="H481" s="123" t="n"/>
      <c r="I481" s="123" t="n"/>
      <c r="J481" s="123" t="n"/>
      <c r="K481" s="123" t="n"/>
      <c r="L481" s="123" t="n"/>
      <c r="M481" s="123">
        <f>IF(AND(B481&lt;&gt;"",OR($C$4="",ISNUMBER(SEARCH($C$4,C481&amp;" "&amp;E481&amp;" "&amp;G481&amp;" "&amp;H481&amp;" "&amp;I481&amp;" "&amp;J481&amp;" "&amp;K481&amp;" "&amp;L481))),OR($C$5="Semua",$C$5="",G481=$C$5),OR($C$6="Semua",$C$6="",H481=$C$6,H481="Pengeluaran "&amp;$C$6,AND($C$6="Uang Kos Mama",H481="Pengeluaran Uang Kos")),OR($C$7="Semua",$C$7="",I481=$C$7),OR($C$8="Semua",$C$8="",C481=$C$8,E481=$C$8),OR($C$9="Semua",$C$9="",D481=$C$9),OR($C$10="",B481&gt;=$C$10),OR($C$11="",B481&lt;=$C$11),OR($C$12&lt;&gt;"Ya",K481&lt;&gt;""),OR($C$13="Semua",$C$13="",L481=$C$13)),"✓","")</f>
        <v/>
      </c>
      <c r="N481" s="93">
        <f>N(N480)+IF(M481="✓",1,0)</f>
        <v/>
      </c>
      <c r="O481" s="93">
        <f>N(O480)+IF(AND(B481&lt;&gt;"",B481&gt;='Uang Riba'!$H$30,B481&lt;='Uang Riba'!$I$30,OR(H481="Dana riba",H481="Pinjam uang riba",I481="Pinjam dari uang riba",I481="Ganti uang riba",I481="Kelebihan ganti dikembalikan",AND(C481="Kantong Uang Riba",G481="Pengeluaran"))),1,0)</f>
        <v/>
      </c>
      <c r="X481" s="93">
        <f>IF(AND(B481&lt;&gt;"",B481&gt;='Buku Akun'!$H$4,B481&lt;='Buku Akun'!$H$5,OR(C481='Buku Akun'!$C$4,AND(D481="Pindah",E481='Buku Akun'!$C$4))),B481+IF(AND(I481="Selisih bunga",DAY(B481)=1),0,0.01)+ROW()/10000000,"")</f>
        <v/>
      </c>
    </row>
    <row r="482" outlineLevel="1" ht="15" customHeight="1" s="94">
      <c r="A482" s="123">
        <f>IF(B482="","",ROW()-15)</f>
        <v/>
      </c>
      <c r="B482" s="124" t="n"/>
      <c r="C482" s="123" t="n"/>
      <c r="D482" s="123" t="n"/>
      <c r="E482" s="123" t="n"/>
      <c r="F482" s="125" t="n"/>
      <c r="G482" s="123" t="n"/>
      <c r="H482" s="123" t="n"/>
      <c r="I482" s="123" t="n"/>
      <c r="J482" s="123" t="n"/>
      <c r="K482" s="123" t="n"/>
      <c r="L482" s="123" t="n"/>
      <c r="M482" s="123">
        <f>IF(AND(B482&lt;&gt;"",OR($C$4="",ISNUMBER(SEARCH($C$4,C482&amp;" "&amp;E482&amp;" "&amp;G482&amp;" "&amp;H482&amp;" "&amp;I482&amp;" "&amp;J482&amp;" "&amp;K482&amp;" "&amp;L482))),OR($C$5="Semua",$C$5="",G482=$C$5),OR($C$6="Semua",$C$6="",H482=$C$6,H482="Pengeluaran "&amp;$C$6,AND($C$6="Uang Kos Mama",H482="Pengeluaran Uang Kos")),OR($C$7="Semua",$C$7="",I482=$C$7),OR($C$8="Semua",$C$8="",C482=$C$8,E482=$C$8),OR($C$9="Semua",$C$9="",D482=$C$9),OR($C$10="",B482&gt;=$C$10),OR($C$11="",B482&lt;=$C$11),OR($C$12&lt;&gt;"Ya",K482&lt;&gt;""),OR($C$13="Semua",$C$13="",L482=$C$13)),"✓","")</f>
        <v/>
      </c>
      <c r="N482" s="93">
        <f>N(N481)+IF(M482="✓",1,0)</f>
        <v/>
      </c>
      <c r="O482" s="93">
        <f>N(O481)+IF(AND(B482&lt;&gt;"",B482&gt;='Uang Riba'!$H$30,B482&lt;='Uang Riba'!$I$30,OR(H482="Dana riba",H482="Pinjam uang riba",I482="Pinjam dari uang riba",I482="Ganti uang riba",I482="Kelebihan ganti dikembalikan",AND(C482="Kantong Uang Riba",G482="Pengeluaran"))),1,0)</f>
        <v/>
      </c>
      <c r="X482" s="93">
        <f>IF(AND(B482&lt;&gt;"",B482&gt;='Buku Akun'!$H$4,B482&lt;='Buku Akun'!$H$5,OR(C482='Buku Akun'!$C$4,AND(D482="Pindah",E482='Buku Akun'!$C$4))),B482+IF(AND(I482="Selisih bunga",DAY(B482)=1),0,0.01)+ROW()/10000000,"")</f>
        <v/>
      </c>
    </row>
    <row r="483" outlineLevel="1" ht="15" customHeight="1" s="94">
      <c r="A483" s="123">
        <f>IF(B483="","",ROW()-15)</f>
        <v/>
      </c>
      <c r="B483" s="124" t="n"/>
      <c r="C483" s="123" t="n"/>
      <c r="D483" s="123" t="n"/>
      <c r="E483" s="123" t="n"/>
      <c r="F483" s="125" t="n"/>
      <c r="G483" s="123" t="n"/>
      <c r="H483" s="123" t="n"/>
      <c r="I483" s="123" t="n"/>
      <c r="J483" s="123" t="n"/>
      <c r="K483" s="123" t="n"/>
      <c r="L483" s="123" t="n"/>
      <c r="M483" s="123">
        <f>IF(AND(B483&lt;&gt;"",OR($C$4="",ISNUMBER(SEARCH($C$4,C483&amp;" "&amp;E483&amp;" "&amp;G483&amp;" "&amp;H483&amp;" "&amp;I483&amp;" "&amp;J483&amp;" "&amp;K483&amp;" "&amp;L483))),OR($C$5="Semua",$C$5="",G483=$C$5),OR($C$6="Semua",$C$6="",H483=$C$6,H483="Pengeluaran "&amp;$C$6,AND($C$6="Uang Kos Mama",H483="Pengeluaran Uang Kos")),OR($C$7="Semua",$C$7="",I483=$C$7),OR($C$8="Semua",$C$8="",C483=$C$8,E483=$C$8),OR($C$9="Semua",$C$9="",D483=$C$9),OR($C$10="",B483&gt;=$C$10),OR($C$11="",B483&lt;=$C$11),OR($C$12&lt;&gt;"Ya",K483&lt;&gt;""),OR($C$13="Semua",$C$13="",L483=$C$13)),"✓","")</f>
        <v/>
      </c>
      <c r="N483" s="93">
        <f>N(N482)+IF(M483="✓",1,0)</f>
        <v/>
      </c>
      <c r="O483" s="93">
        <f>N(O482)+IF(AND(B483&lt;&gt;"",B483&gt;='Uang Riba'!$H$30,B483&lt;='Uang Riba'!$I$30,OR(H483="Dana riba",H483="Pinjam uang riba",I483="Pinjam dari uang riba",I483="Ganti uang riba",I483="Kelebihan ganti dikembalikan",AND(C483="Kantong Uang Riba",G483="Pengeluaran"))),1,0)</f>
        <v/>
      </c>
      <c r="X483" s="93">
        <f>IF(AND(B483&lt;&gt;"",B483&gt;='Buku Akun'!$H$4,B483&lt;='Buku Akun'!$H$5,OR(C483='Buku Akun'!$C$4,AND(D483="Pindah",E483='Buku Akun'!$C$4))),B483+IF(AND(I483="Selisih bunga",DAY(B483)=1),0,0.01)+ROW()/10000000,"")</f>
        <v/>
      </c>
    </row>
    <row r="484" outlineLevel="1" ht="15" customHeight="1" s="94">
      <c r="A484" s="123">
        <f>IF(B484="","",ROW()-15)</f>
        <v/>
      </c>
      <c r="B484" s="124" t="n"/>
      <c r="C484" s="123" t="n"/>
      <c r="D484" s="123" t="n"/>
      <c r="E484" s="123" t="n"/>
      <c r="F484" s="125" t="n"/>
      <c r="G484" s="123" t="n"/>
      <c r="H484" s="123" t="n"/>
      <c r="I484" s="123" t="n"/>
      <c r="J484" s="123" t="n"/>
      <c r="K484" s="123" t="n"/>
      <c r="L484" s="123" t="n"/>
      <c r="M484" s="123">
        <f>IF(AND(B484&lt;&gt;"",OR($C$4="",ISNUMBER(SEARCH($C$4,C484&amp;" "&amp;E484&amp;" "&amp;G484&amp;" "&amp;H484&amp;" "&amp;I484&amp;" "&amp;J484&amp;" "&amp;K484&amp;" "&amp;L484))),OR($C$5="Semua",$C$5="",G484=$C$5),OR($C$6="Semua",$C$6="",H484=$C$6,H484="Pengeluaran "&amp;$C$6,AND($C$6="Uang Kos Mama",H484="Pengeluaran Uang Kos")),OR($C$7="Semua",$C$7="",I484=$C$7),OR($C$8="Semua",$C$8="",C484=$C$8,E484=$C$8),OR($C$9="Semua",$C$9="",D484=$C$9),OR($C$10="",B484&gt;=$C$10),OR($C$11="",B484&lt;=$C$11),OR($C$12&lt;&gt;"Ya",K484&lt;&gt;""),OR($C$13="Semua",$C$13="",L484=$C$13)),"✓","")</f>
        <v/>
      </c>
      <c r="N484" s="93">
        <f>N(N483)+IF(M484="✓",1,0)</f>
        <v/>
      </c>
      <c r="O484" s="93">
        <f>N(O483)+IF(AND(B484&lt;&gt;"",B484&gt;='Uang Riba'!$H$30,B484&lt;='Uang Riba'!$I$30,OR(H484="Dana riba",H484="Pinjam uang riba",I484="Pinjam dari uang riba",I484="Ganti uang riba",I484="Kelebihan ganti dikembalikan",AND(C484="Kantong Uang Riba",G484="Pengeluaran"))),1,0)</f>
        <v/>
      </c>
      <c r="X484" s="93">
        <f>IF(AND(B484&lt;&gt;"",B484&gt;='Buku Akun'!$H$4,B484&lt;='Buku Akun'!$H$5,OR(C484='Buku Akun'!$C$4,AND(D484="Pindah",E484='Buku Akun'!$C$4))),B484+IF(AND(I484="Selisih bunga",DAY(B484)=1),0,0.01)+ROW()/10000000,"")</f>
        <v/>
      </c>
    </row>
    <row r="485" outlineLevel="1" ht="15" customHeight="1" s="94">
      <c r="A485" s="123">
        <f>IF(B485="","",ROW()-15)</f>
        <v/>
      </c>
      <c r="B485" s="124" t="n"/>
      <c r="C485" s="123" t="n"/>
      <c r="D485" s="123" t="n"/>
      <c r="E485" s="123" t="n"/>
      <c r="F485" s="125" t="n"/>
      <c r="G485" s="123" t="n"/>
      <c r="H485" s="123" t="n"/>
      <c r="I485" s="123" t="n"/>
      <c r="J485" s="123" t="n"/>
      <c r="K485" s="123" t="n"/>
      <c r="L485" s="123" t="n"/>
      <c r="M485" s="123">
        <f>IF(AND(B485&lt;&gt;"",OR($C$4="",ISNUMBER(SEARCH($C$4,C485&amp;" "&amp;E485&amp;" "&amp;G485&amp;" "&amp;H485&amp;" "&amp;I485&amp;" "&amp;J485&amp;" "&amp;K485&amp;" "&amp;L485))),OR($C$5="Semua",$C$5="",G485=$C$5),OR($C$6="Semua",$C$6="",H485=$C$6,H485="Pengeluaran "&amp;$C$6,AND($C$6="Uang Kos Mama",H485="Pengeluaran Uang Kos")),OR($C$7="Semua",$C$7="",I485=$C$7),OR($C$8="Semua",$C$8="",C485=$C$8,E485=$C$8),OR($C$9="Semua",$C$9="",D485=$C$9),OR($C$10="",B485&gt;=$C$10),OR($C$11="",B485&lt;=$C$11),OR($C$12&lt;&gt;"Ya",K485&lt;&gt;""),OR($C$13="Semua",$C$13="",L485=$C$13)),"✓","")</f>
        <v/>
      </c>
      <c r="N485" s="93">
        <f>N(N484)+IF(M485="✓",1,0)</f>
        <v/>
      </c>
      <c r="O485" s="93">
        <f>N(O484)+IF(AND(B485&lt;&gt;"",B485&gt;='Uang Riba'!$H$30,B485&lt;='Uang Riba'!$I$30,OR(H485="Dana riba",H485="Pinjam uang riba",I485="Pinjam dari uang riba",I485="Ganti uang riba",I485="Kelebihan ganti dikembalikan",AND(C485="Kantong Uang Riba",G485="Pengeluaran"))),1,0)</f>
        <v/>
      </c>
      <c r="X485" s="93">
        <f>IF(AND(B485&lt;&gt;"",B485&gt;='Buku Akun'!$H$4,B485&lt;='Buku Akun'!$H$5,OR(C485='Buku Akun'!$C$4,AND(D485="Pindah",E485='Buku Akun'!$C$4))),B485+IF(AND(I485="Selisih bunga",DAY(B485)=1),0,0.01)+ROW()/10000000,"")</f>
        <v/>
      </c>
    </row>
    <row r="486" outlineLevel="1" ht="15" customHeight="1" s="94">
      <c r="A486" s="123">
        <f>IF(B486="","",ROW()-15)</f>
        <v/>
      </c>
      <c r="B486" s="124" t="n"/>
      <c r="C486" s="123" t="n"/>
      <c r="D486" s="123" t="n"/>
      <c r="E486" s="123" t="n"/>
      <c r="F486" s="125" t="n"/>
      <c r="G486" s="123" t="n"/>
      <c r="H486" s="123" t="n"/>
      <c r="I486" s="123" t="n"/>
      <c r="J486" s="123" t="n"/>
      <c r="K486" s="123" t="n"/>
      <c r="L486" s="123" t="n"/>
      <c r="M486" s="123">
        <f>IF(AND(B486&lt;&gt;"",OR($C$4="",ISNUMBER(SEARCH($C$4,C486&amp;" "&amp;E486&amp;" "&amp;G486&amp;" "&amp;H486&amp;" "&amp;I486&amp;" "&amp;J486&amp;" "&amp;K486&amp;" "&amp;L486))),OR($C$5="Semua",$C$5="",G486=$C$5),OR($C$6="Semua",$C$6="",H486=$C$6,H486="Pengeluaran "&amp;$C$6,AND($C$6="Uang Kos Mama",H486="Pengeluaran Uang Kos")),OR($C$7="Semua",$C$7="",I486=$C$7),OR($C$8="Semua",$C$8="",C486=$C$8,E486=$C$8),OR($C$9="Semua",$C$9="",D486=$C$9),OR($C$10="",B486&gt;=$C$10),OR($C$11="",B486&lt;=$C$11),OR($C$12&lt;&gt;"Ya",K486&lt;&gt;""),OR($C$13="Semua",$C$13="",L486=$C$13)),"✓","")</f>
        <v/>
      </c>
      <c r="N486" s="93">
        <f>N(N485)+IF(M486="✓",1,0)</f>
        <v/>
      </c>
      <c r="O486" s="93">
        <f>N(O485)+IF(AND(B486&lt;&gt;"",B486&gt;='Uang Riba'!$H$30,B486&lt;='Uang Riba'!$I$30,OR(H486="Dana riba",H486="Pinjam uang riba",I486="Pinjam dari uang riba",I486="Ganti uang riba",I486="Kelebihan ganti dikembalikan",AND(C486="Kantong Uang Riba",G486="Pengeluaran"))),1,0)</f>
        <v/>
      </c>
      <c r="X486" s="93">
        <f>IF(AND(B486&lt;&gt;"",B486&gt;='Buku Akun'!$H$4,B486&lt;='Buku Akun'!$H$5,OR(C486='Buku Akun'!$C$4,AND(D486="Pindah",E486='Buku Akun'!$C$4))),B486+IF(AND(I486="Selisih bunga",DAY(B486)=1),0,0.01)+ROW()/10000000,"")</f>
        <v/>
      </c>
    </row>
    <row r="487" outlineLevel="1" ht="15" customHeight="1" s="94">
      <c r="A487" s="123">
        <f>IF(B487="","",ROW()-15)</f>
        <v/>
      </c>
      <c r="B487" s="124" t="n"/>
      <c r="C487" s="123" t="n"/>
      <c r="D487" s="123" t="n"/>
      <c r="E487" s="123" t="n"/>
      <c r="F487" s="125" t="n"/>
      <c r="G487" s="123" t="n"/>
      <c r="H487" s="123" t="n"/>
      <c r="I487" s="123" t="n"/>
      <c r="J487" s="123" t="n"/>
      <c r="K487" s="123" t="n"/>
      <c r="L487" s="123" t="n"/>
      <c r="M487" s="123">
        <f>IF(AND(B487&lt;&gt;"",OR($C$4="",ISNUMBER(SEARCH($C$4,C487&amp;" "&amp;E487&amp;" "&amp;G487&amp;" "&amp;H487&amp;" "&amp;I487&amp;" "&amp;J487&amp;" "&amp;K487&amp;" "&amp;L487))),OR($C$5="Semua",$C$5="",G487=$C$5),OR($C$6="Semua",$C$6="",H487=$C$6,H487="Pengeluaran "&amp;$C$6,AND($C$6="Uang Kos Mama",H487="Pengeluaran Uang Kos")),OR($C$7="Semua",$C$7="",I487=$C$7),OR($C$8="Semua",$C$8="",C487=$C$8,E487=$C$8),OR($C$9="Semua",$C$9="",D487=$C$9),OR($C$10="",B487&gt;=$C$10),OR($C$11="",B487&lt;=$C$11),OR($C$12&lt;&gt;"Ya",K487&lt;&gt;""),OR($C$13="Semua",$C$13="",L487=$C$13)),"✓","")</f>
        <v/>
      </c>
      <c r="N487" s="93">
        <f>N(N486)+IF(M487="✓",1,0)</f>
        <v/>
      </c>
      <c r="O487" s="93">
        <f>N(O486)+IF(AND(B487&lt;&gt;"",B487&gt;='Uang Riba'!$H$30,B487&lt;='Uang Riba'!$I$30,OR(H487="Dana riba",H487="Pinjam uang riba",I487="Pinjam dari uang riba",I487="Ganti uang riba",I487="Kelebihan ganti dikembalikan",AND(C487="Kantong Uang Riba",G487="Pengeluaran"))),1,0)</f>
        <v/>
      </c>
      <c r="X487" s="93">
        <f>IF(AND(B487&lt;&gt;"",B487&gt;='Buku Akun'!$H$4,B487&lt;='Buku Akun'!$H$5,OR(C487='Buku Akun'!$C$4,AND(D487="Pindah",E487='Buku Akun'!$C$4))),B487+IF(AND(I487="Selisih bunga",DAY(B487)=1),0,0.01)+ROW()/10000000,"")</f>
        <v/>
      </c>
    </row>
    <row r="488" outlineLevel="1" ht="15" customHeight="1" s="94">
      <c r="A488" s="123">
        <f>IF(B488="","",ROW()-15)</f>
        <v/>
      </c>
      <c r="B488" s="124" t="n"/>
      <c r="C488" s="123" t="n"/>
      <c r="D488" s="123" t="n"/>
      <c r="E488" s="123" t="n"/>
      <c r="F488" s="125" t="n"/>
      <c r="G488" s="123" t="n"/>
      <c r="H488" s="123" t="n"/>
      <c r="I488" s="123" t="n"/>
      <c r="J488" s="123" t="n"/>
      <c r="K488" s="123" t="n"/>
      <c r="L488" s="123" t="n"/>
      <c r="M488" s="123">
        <f>IF(AND(B488&lt;&gt;"",OR($C$4="",ISNUMBER(SEARCH($C$4,C488&amp;" "&amp;E488&amp;" "&amp;G488&amp;" "&amp;H488&amp;" "&amp;I488&amp;" "&amp;J488&amp;" "&amp;K488&amp;" "&amp;L488))),OR($C$5="Semua",$C$5="",G488=$C$5),OR($C$6="Semua",$C$6="",H488=$C$6,H488="Pengeluaran "&amp;$C$6,AND($C$6="Uang Kos Mama",H488="Pengeluaran Uang Kos")),OR($C$7="Semua",$C$7="",I488=$C$7),OR($C$8="Semua",$C$8="",C488=$C$8,E488=$C$8),OR($C$9="Semua",$C$9="",D488=$C$9),OR($C$10="",B488&gt;=$C$10),OR($C$11="",B488&lt;=$C$11),OR($C$12&lt;&gt;"Ya",K488&lt;&gt;""),OR($C$13="Semua",$C$13="",L488=$C$13)),"✓","")</f>
        <v/>
      </c>
      <c r="N488" s="93">
        <f>N(N487)+IF(M488="✓",1,0)</f>
        <v/>
      </c>
      <c r="O488" s="93">
        <f>N(O487)+IF(AND(B488&lt;&gt;"",B488&gt;='Uang Riba'!$H$30,B488&lt;='Uang Riba'!$I$30,OR(H488="Dana riba",H488="Pinjam uang riba",I488="Pinjam dari uang riba",I488="Ganti uang riba",I488="Kelebihan ganti dikembalikan",AND(C488="Kantong Uang Riba",G488="Pengeluaran"))),1,0)</f>
        <v/>
      </c>
      <c r="X488" s="93">
        <f>IF(AND(B488&lt;&gt;"",B488&gt;='Buku Akun'!$H$4,B488&lt;='Buku Akun'!$H$5,OR(C488='Buku Akun'!$C$4,AND(D488="Pindah",E488='Buku Akun'!$C$4))),B488+IF(AND(I488="Selisih bunga",DAY(B488)=1),0,0.01)+ROW()/10000000,"")</f>
        <v/>
      </c>
    </row>
    <row r="489" outlineLevel="1" ht="15" customHeight="1" s="94">
      <c r="A489" s="123">
        <f>IF(B489="","",ROW()-15)</f>
        <v/>
      </c>
      <c r="B489" s="124" t="n"/>
      <c r="C489" s="123" t="n"/>
      <c r="D489" s="123" t="n"/>
      <c r="E489" s="123" t="n"/>
      <c r="F489" s="125" t="n"/>
      <c r="G489" s="123" t="n"/>
      <c r="H489" s="123" t="n"/>
      <c r="I489" s="123" t="n"/>
      <c r="J489" s="123" t="n"/>
      <c r="K489" s="123" t="n"/>
      <c r="L489" s="123" t="n"/>
      <c r="M489" s="123">
        <f>IF(AND(B489&lt;&gt;"",OR($C$4="",ISNUMBER(SEARCH($C$4,C489&amp;" "&amp;E489&amp;" "&amp;G489&amp;" "&amp;H489&amp;" "&amp;I489&amp;" "&amp;J489&amp;" "&amp;K489&amp;" "&amp;L489))),OR($C$5="Semua",$C$5="",G489=$C$5),OR($C$6="Semua",$C$6="",H489=$C$6,H489="Pengeluaran "&amp;$C$6,AND($C$6="Uang Kos Mama",H489="Pengeluaran Uang Kos")),OR($C$7="Semua",$C$7="",I489=$C$7),OR($C$8="Semua",$C$8="",C489=$C$8,E489=$C$8),OR($C$9="Semua",$C$9="",D489=$C$9),OR($C$10="",B489&gt;=$C$10),OR($C$11="",B489&lt;=$C$11),OR($C$12&lt;&gt;"Ya",K489&lt;&gt;""),OR($C$13="Semua",$C$13="",L489=$C$13)),"✓","")</f>
        <v/>
      </c>
      <c r="N489" s="93">
        <f>N(N488)+IF(M489="✓",1,0)</f>
        <v/>
      </c>
      <c r="O489" s="93">
        <f>N(O488)+IF(AND(B489&lt;&gt;"",B489&gt;='Uang Riba'!$H$30,B489&lt;='Uang Riba'!$I$30,OR(H489="Dana riba",H489="Pinjam uang riba",I489="Pinjam dari uang riba",I489="Ganti uang riba",I489="Kelebihan ganti dikembalikan",AND(C489="Kantong Uang Riba",G489="Pengeluaran"))),1,0)</f>
        <v/>
      </c>
      <c r="X489" s="93">
        <f>IF(AND(B489&lt;&gt;"",B489&gt;='Buku Akun'!$H$4,B489&lt;='Buku Akun'!$H$5,OR(C489='Buku Akun'!$C$4,AND(D489="Pindah",E489='Buku Akun'!$C$4))),B489+IF(AND(I489="Selisih bunga",DAY(B489)=1),0,0.01)+ROW()/10000000,"")</f>
        <v/>
      </c>
    </row>
    <row r="490" outlineLevel="1" ht="15" customHeight="1" s="94">
      <c r="A490" s="123">
        <f>IF(B490="","",ROW()-15)</f>
        <v/>
      </c>
      <c r="B490" s="124" t="n"/>
      <c r="C490" s="123" t="n"/>
      <c r="D490" s="123" t="n"/>
      <c r="E490" s="123" t="n"/>
      <c r="F490" s="125" t="n"/>
      <c r="G490" s="123" t="n"/>
      <c r="H490" s="123" t="n"/>
      <c r="I490" s="123" t="n"/>
      <c r="J490" s="123" t="n"/>
      <c r="K490" s="123" t="n"/>
      <c r="L490" s="123" t="n"/>
      <c r="M490" s="123">
        <f>IF(AND(B490&lt;&gt;"",OR($C$4="",ISNUMBER(SEARCH($C$4,C490&amp;" "&amp;E490&amp;" "&amp;G490&amp;" "&amp;H490&amp;" "&amp;I490&amp;" "&amp;J490&amp;" "&amp;K490&amp;" "&amp;L490))),OR($C$5="Semua",$C$5="",G490=$C$5),OR($C$6="Semua",$C$6="",H490=$C$6,H490="Pengeluaran "&amp;$C$6,AND($C$6="Uang Kos Mama",H490="Pengeluaran Uang Kos")),OR($C$7="Semua",$C$7="",I490=$C$7),OR($C$8="Semua",$C$8="",C490=$C$8,E490=$C$8),OR($C$9="Semua",$C$9="",D490=$C$9),OR($C$10="",B490&gt;=$C$10),OR($C$11="",B490&lt;=$C$11),OR($C$12&lt;&gt;"Ya",K490&lt;&gt;""),OR($C$13="Semua",$C$13="",L490=$C$13)),"✓","")</f>
        <v/>
      </c>
      <c r="N490" s="93">
        <f>N(N489)+IF(M490="✓",1,0)</f>
        <v/>
      </c>
      <c r="O490" s="93">
        <f>N(O489)+IF(AND(B490&lt;&gt;"",B490&gt;='Uang Riba'!$H$30,B490&lt;='Uang Riba'!$I$30,OR(H490="Dana riba",H490="Pinjam uang riba",I490="Pinjam dari uang riba",I490="Ganti uang riba",I490="Kelebihan ganti dikembalikan",AND(C490="Kantong Uang Riba",G490="Pengeluaran"))),1,0)</f>
        <v/>
      </c>
      <c r="X490" s="93">
        <f>IF(AND(B490&lt;&gt;"",B490&gt;='Buku Akun'!$H$4,B490&lt;='Buku Akun'!$H$5,OR(C490='Buku Akun'!$C$4,AND(D490="Pindah",E490='Buku Akun'!$C$4))),B490+IF(AND(I490="Selisih bunga",DAY(B490)=1),0,0.01)+ROW()/10000000,"")</f>
        <v/>
      </c>
    </row>
    <row r="491" outlineLevel="1" ht="15" customHeight="1" s="94">
      <c r="A491" s="123">
        <f>IF(B491="","",ROW()-15)</f>
        <v/>
      </c>
      <c r="B491" s="124" t="n"/>
      <c r="C491" s="123" t="n"/>
      <c r="D491" s="123" t="n"/>
      <c r="E491" s="123" t="n"/>
      <c r="F491" s="125" t="n"/>
      <c r="G491" s="123" t="n"/>
      <c r="H491" s="123" t="n"/>
      <c r="I491" s="123" t="n"/>
      <c r="J491" s="123" t="n"/>
      <c r="K491" s="123" t="n"/>
      <c r="L491" s="123" t="n"/>
      <c r="M491" s="123">
        <f>IF(AND(B491&lt;&gt;"",OR($C$4="",ISNUMBER(SEARCH($C$4,C491&amp;" "&amp;E491&amp;" "&amp;G491&amp;" "&amp;H491&amp;" "&amp;I491&amp;" "&amp;J491&amp;" "&amp;K491&amp;" "&amp;L491))),OR($C$5="Semua",$C$5="",G491=$C$5),OR($C$6="Semua",$C$6="",H491=$C$6,H491="Pengeluaran "&amp;$C$6,AND($C$6="Uang Kos Mama",H491="Pengeluaran Uang Kos")),OR($C$7="Semua",$C$7="",I491=$C$7),OR($C$8="Semua",$C$8="",C491=$C$8,E491=$C$8),OR($C$9="Semua",$C$9="",D491=$C$9),OR($C$10="",B491&gt;=$C$10),OR($C$11="",B491&lt;=$C$11),OR($C$12&lt;&gt;"Ya",K491&lt;&gt;""),OR($C$13="Semua",$C$13="",L491=$C$13)),"✓","")</f>
        <v/>
      </c>
      <c r="N491" s="93">
        <f>N(N490)+IF(M491="✓",1,0)</f>
        <v/>
      </c>
      <c r="O491" s="93">
        <f>N(O490)+IF(AND(B491&lt;&gt;"",B491&gt;='Uang Riba'!$H$30,B491&lt;='Uang Riba'!$I$30,OR(H491="Dana riba",H491="Pinjam uang riba",I491="Pinjam dari uang riba",I491="Ganti uang riba",I491="Kelebihan ganti dikembalikan",AND(C491="Kantong Uang Riba",G491="Pengeluaran"))),1,0)</f>
        <v/>
      </c>
      <c r="X491" s="93">
        <f>IF(AND(B491&lt;&gt;"",B491&gt;='Buku Akun'!$H$4,B491&lt;='Buku Akun'!$H$5,OR(C491='Buku Akun'!$C$4,AND(D491="Pindah",E491='Buku Akun'!$C$4))),B491+IF(AND(I491="Selisih bunga",DAY(B491)=1),0,0.01)+ROW()/10000000,"")</f>
        <v/>
      </c>
    </row>
    <row r="492" outlineLevel="1" ht="15" customHeight="1" s="94">
      <c r="A492" s="123">
        <f>IF(B492="","",ROW()-15)</f>
        <v/>
      </c>
      <c r="B492" s="124" t="n"/>
      <c r="C492" s="123" t="n"/>
      <c r="D492" s="123" t="n"/>
      <c r="E492" s="123" t="n"/>
      <c r="F492" s="125" t="n"/>
      <c r="G492" s="123" t="n"/>
      <c r="H492" s="123" t="n"/>
      <c r="I492" s="123" t="n"/>
      <c r="J492" s="123" t="n"/>
      <c r="K492" s="123" t="n"/>
      <c r="L492" s="123" t="n"/>
      <c r="M492" s="123">
        <f>IF(AND(B492&lt;&gt;"",OR($C$4="",ISNUMBER(SEARCH($C$4,C492&amp;" "&amp;E492&amp;" "&amp;G492&amp;" "&amp;H492&amp;" "&amp;I492&amp;" "&amp;J492&amp;" "&amp;K492&amp;" "&amp;L492))),OR($C$5="Semua",$C$5="",G492=$C$5),OR($C$6="Semua",$C$6="",H492=$C$6,H492="Pengeluaran "&amp;$C$6,AND($C$6="Uang Kos Mama",H492="Pengeluaran Uang Kos")),OR($C$7="Semua",$C$7="",I492=$C$7),OR($C$8="Semua",$C$8="",C492=$C$8,E492=$C$8),OR($C$9="Semua",$C$9="",D492=$C$9),OR($C$10="",B492&gt;=$C$10),OR($C$11="",B492&lt;=$C$11),OR($C$12&lt;&gt;"Ya",K492&lt;&gt;""),OR($C$13="Semua",$C$13="",L492=$C$13)),"✓","")</f>
        <v/>
      </c>
      <c r="N492" s="93">
        <f>N(N491)+IF(M492="✓",1,0)</f>
        <v/>
      </c>
      <c r="O492" s="93">
        <f>N(O491)+IF(AND(B492&lt;&gt;"",B492&gt;='Uang Riba'!$H$30,B492&lt;='Uang Riba'!$I$30,OR(H492="Dana riba",H492="Pinjam uang riba",I492="Pinjam dari uang riba",I492="Ganti uang riba",I492="Kelebihan ganti dikembalikan",AND(C492="Kantong Uang Riba",G492="Pengeluaran"))),1,0)</f>
        <v/>
      </c>
      <c r="X492" s="93">
        <f>IF(AND(B492&lt;&gt;"",B492&gt;='Buku Akun'!$H$4,B492&lt;='Buku Akun'!$H$5,OR(C492='Buku Akun'!$C$4,AND(D492="Pindah",E492='Buku Akun'!$C$4))),B492+IF(AND(I492="Selisih bunga",DAY(B492)=1),0,0.01)+ROW()/10000000,"")</f>
        <v/>
      </c>
    </row>
    <row r="493" outlineLevel="1" ht="15" customHeight="1" s="94">
      <c r="A493" s="123">
        <f>IF(B493="","",ROW()-15)</f>
        <v/>
      </c>
      <c r="B493" s="124" t="n"/>
      <c r="C493" s="123" t="n"/>
      <c r="D493" s="123" t="n"/>
      <c r="E493" s="123" t="n"/>
      <c r="F493" s="125" t="n"/>
      <c r="G493" s="123" t="n"/>
      <c r="H493" s="123" t="n"/>
      <c r="I493" s="123" t="n"/>
      <c r="J493" s="123" t="n"/>
      <c r="K493" s="123" t="n"/>
      <c r="L493" s="123" t="n"/>
      <c r="M493" s="123">
        <f>IF(AND(B493&lt;&gt;"",OR($C$4="",ISNUMBER(SEARCH($C$4,C493&amp;" "&amp;E493&amp;" "&amp;G493&amp;" "&amp;H493&amp;" "&amp;I493&amp;" "&amp;J493&amp;" "&amp;K493&amp;" "&amp;L493))),OR($C$5="Semua",$C$5="",G493=$C$5),OR($C$6="Semua",$C$6="",H493=$C$6,H493="Pengeluaran "&amp;$C$6,AND($C$6="Uang Kos Mama",H493="Pengeluaran Uang Kos")),OR($C$7="Semua",$C$7="",I493=$C$7),OR($C$8="Semua",$C$8="",C493=$C$8,E493=$C$8),OR($C$9="Semua",$C$9="",D493=$C$9),OR($C$10="",B493&gt;=$C$10),OR($C$11="",B493&lt;=$C$11),OR($C$12&lt;&gt;"Ya",K493&lt;&gt;""),OR($C$13="Semua",$C$13="",L493=$C$13)),"✓","")</f>
        <v/>
      </c>
      <c r="N493" s="93">
        <f>N(N492)+IF(M493="✓",1,0)</f>
        <v/>
      </c>
      <c r="O493" s="93">
        <f>N(O492)+IF(AND(B493&lt;&gt;"",B493&gt;='Uang Riba'!$H$30,B493&lt;='Uang Riba'!$I$30,OR(H493="Dana riba",H493="Pinjam uang riba",I493="Pinjam dari uang riba",I493="Ganti uang riba",I493="Kelebihan ganti dikembalikan",AND(C493="Kantong Uang Riba",G493="Pengeluaran"))),1,0)</f>
        <v/>
      </c>
      <c r="X493" s="93">
        <f>IF(AND(B493&lt;&gt;"",B493&gt;='Buku Akun'!$H$4,B493&lt;='Buku Akun'!$H$5,OR(C493='Buku Akun'!$C$4,AND(D493="Pindah",E493='Buku Akun'!$C$4))),B493+IF(AND(I493="Selisih bunga",DAY(B493)=1),0,0.01)+ROW()/10000000,"")</f>
        <v/>
      </c>
    </row>
    <row r="494" outlineLevel="1" ht="15" customHeight="1" s="94">
      <c r="A494" s="123">
        <f>IF(B494="","",ROW()-15)</f>
        <v/>
      </c>
      <c r="B494" s="124" t="n"/>
      <c r="C494" s="123" t="n"/>
      <c r="D494" s="123" t="n"/>
      <c r="E494" s="123" t="n"/>
      <c r="F494" s="125" t="n"/>
      <c r="G494" s="123" t="n"/>
      <c r="H494" s="123" t="n"/>
      <c r="I494" s="123" t="n"/>
      <c r="J494" s="123" t="n"/>
      <c r="K494" s="123" t="n"/>
      <c r="L494" s="123" t="n"/>
      <c r="M494" s="123">
        <f>IF(AND(B494&lt;&gt;"",OR($C$4="",ISNUMBER(SEARCH($C$4,C494&amp;" "&amp;E494&amp;" "&amp;G494&amp;" "&amp;H494&amp;" "&amp;I494&amp;" "&amp;J494&amp;" "&amp;K494&amp;" "&amp;L494))),OR($C$5="Semua",$C$5="",G494=$C$5),OR($C$6="Semua",$C$6="",H494=$C$6,H494="Pengeluaran "&amp;$C$6,AND($C$6="Uang Kos Mama",H494="Pengeluaran Uang Kos")),OR($C$7="Semua",$C$7="",I494=$C$7),OR($C$8="Semua",$C$8="",C494=$C$8,E494=$C$8),OR($C$9="Semua",$C$9="",D494=$C$9),OR($C$10="",B494&gt;=$C$10),OR($C$11="",B494&lt;=$C$11),OR($C$12&lt;&gt;"Ya",K494&lt;&gt;""),OR($C$13="Semua",$C$13="",L494=$C$13)),"✓","")</f>
        <v/>
      </c>
      <c r="N494" s="93">
        <f>N(N493)+IF(M494="✓",1,0)</f>
        <v/>
      </c>
      <c r="O494" s="93">
        <f>N(O493)+IF(AND(B494&lt;&gt;"",B494&gt;='Uang Riba'!$H$30,B494&lt;='Uang Riba'!$I$30,OR(H494="Dana riba",H494="Pinjam uang riba",I494="Pinjam dari uang riba",I494="Ganti uang riba",I494="Kelebihan ganti dikembalikan",AND(C494="Kantong Uang Riba",G494="Pengeluaran"))),1,0)</f>
        <v/>
      </c>
      <c r="X494" s="93">
        <f>IF(AND(B494&lt;&gt;"",B494&gt;='Buku Akun'!$H$4,B494&lt;='Buku Akun'!$H$5,OR(C494='Buku Akun'!$C$4,AND(D494="Pindah",E494='Buku Akun'!$C$4))),B494+IF(AND(I494="Selisih bunga",DAY(B494)=1),0,0.01)+ROW()/10000000,"")</f>
        <v/>
      </c>
    </row>
    <row r="495" outlineLevel="1" ht="15" customHeight="1" s="94">
      <c r="A495" s="123">
        <f>IF(B495="","",ROW()-15)</f>
        <v/>
      </c>
      <c r="B495" s="124" t="n"/>
      <c r="C495" s="123" t="n"/>
      <c r="D495" s="123" t="n"/>
      <c r="E495" s="123" t="n"/>
      <c r="F495" s="125" t="n"/>
      <c r="G495" s="123" t="n"/>
      <c r="H495" s="123" t="n"/>
      <c r="I495" s="123" t="n"/>
      <c r="J495" s="123" t="n"/>
      <c r="K495" s="123" t="n"/>
      <c r="L495" s="123" t="n"/>
      <c r="M495" s="123">
        <f>IF(AND(B495&lt;&gt;"",OR($C$4="",ISNUMBER(SEARCH($C$4,C495&amp;" "&amp;E495&amp;" "&amp;G495&amp;" "&amp;H495&amp;" "&amp;I495&amp;" "&amp;J495&amp;" "&amp;K495&amp;" "&amp;L495))),OR($C$5="Semua",$C$5="",G495=$C$5),OR($C$6="Semua",$C$6="",H495=$C$6,H495="Pengeluaran "&amp;$C$6,AND($C$6="Uang Kos Mama",H495="Pengeluaran Uang Kos")),OR($C$7="Semua",$C$7="",I495=$C$7),OR($C$8="Semua",$C$8="",C495=$C$8,E495=$C$8),OR($C$9="Semua",$C$9="",D495=$C$9),OR($C$10="",B495&gt;=$C$10),OR($C$11="",B495&lt;=$C$11),OR($C$12&lt;&gt;"Ya",K495&lt;&gt;""),OR($C$13="Semua",$C$13="",L495=$C$13)),"✓","")</f>
        <v/>
      </c>
      <c r="N495" s="93">
        <f>N(N494)+IF(M495="✓",1,0)</f>
        <v/>
      </c>
      <c r="O495" s="93">
        <f>N(O494)+IF(AND(B495&lt;&gt;"",B495&gt;='Uang Riba'!$H$30,B495&lt;='Uang Riba'!$I$30,OR(H495="Dana riba",H495="Pinjam uang riba",I495="Pinjam dari uang riba",I495="Ganti uang riba",I495="Kelebihan ganti dikembalikan",AND(C495="Kantong Uang Riba",G495="Pengeluaran"))),1,0)</f>
        <v/>
      </c>
      <c r="X495" s="93">
        <f>IF(AND(B495&lt;&gt;"",B495&gt;='Buku Akun'!$H$4,B495&lt;='Buku Akun'!$H$5,OR(C495='Buku Akun'!$C$4,AND(D495="Pindah",E495='Buku Akun'!$C$4))),B495+IF(AND(I495="Selisih bunga",DAY(B495)=1),0,0.01)+ROW()/10000000,"")</f>
        <v/>
      </c>
    </row>
    <row r="496" outlineLevel="1" ht="15" customHeight="1" s="94">
      <c r="A496" s="123">
        <f>IF(B496="","",ROW()-15)</f>
        <v/>
      </c>
      <c r="B496" s="124" t="n"/>
      <c r="C496" s="123" t="n"/>
      <c r="D496" s="123" t="n"/>
      <c r="E496" s="123" t="n"/>
      <c r="F496" s="125" t="n"/>
      <c r="G496" s="123" t="n"/>
      <c r="H496" s="123" t="n"/>
      <c r="I496" s="123" t="n"/>
      <c r="J496" s="123" t="n"/>
      <c r="K496" s="123" t="n"/>
      <c r="L496" s="123" t="n"/>
      <c r="M496" s="123">
        <f>IF(AND(B496&lt;&gt;"",OR($C$4="",ISNUMBER(SEARCH($C$4,C496&amp;" "&amp;E496&amp;" "&amp;G496&amp;" "&amp;H496&amp;" "&amp;I496&amp;" "&amp;J496&amp;" "&amp;K496&amp;" "&amp;L496))),OR($C$5="Semua",$C$5="",G496=$C$5),OR($C$6="Semua",$C$6="",H496=$C$6,H496="Pengeluaran "&amp;$C$6,AND($C$6="Uang Kos Mama",H496="Pengeluaran Uang Kos")),OR($C$7="Semua",$C$7="",I496=$C$7),OR($C$8="Semua",$C$8="",C496=$C$8,E496=$C$8),OR($C$9="Semua",$C$9="",D496=$C$9),OR($C$10="",B496&gt;=$C$10),OR($C$11="",B496&lt;=$C$11),OR($C$12&lt;&gt;"Ya",K496&lt;&gt;""),OR($C$13="Semua",$C$13="",L496=$C$13)),"✓","")</f>
        <v/>
      </c>
      <c r="N496" s="93">
        <f>N(N495)+IF(M496="✓",1,0)</f>
        <v/>
      </c>
      <c r="O496" s="93">
        <f>N(O495)+IF(AND(B496&lt;&gt;"",B496&gt;='Uang Riba'!$H$30,B496&lt;='Uang Riba'!$I$30,OR(H496="Dana riba",H496="Pinjam uang riba",I496="Pinjam dari uang riba",I496="Ganti uang riba",I496="Kelebihan ganti dikembalikan",AND(C496="Kantong Uang Riba",G496="Pengeluaran"))),1,0)</f>
        <v/>
      </c>
      <c r="X496" s="93">
        <f>IF(AND(B496&lt;&gt;"",B496&gt;='Buku Akun'!$H$4,B496&lt;='Buku Akun'!$H$5,OR(C496='Buku Akun'!$C$4,AND(D496="Pindah",E496='Buku Akun'!$C$4))),B496+IF(AND(I496="Selisih bunga",DAY(B496)=1),0,0.01)+ROW()/10000000,"")</f>
        <v/>
      </c>
    </row>
    <row r="497" outlineLevel="1" ht="15" customHeight="1" s="94">
      <c r="A497" s="123">
        <f>IF(B497="","",ROW()-15)</f>
        <v/>
      </c>
      <c r="B497" s="124" t="n"/>
      <c r="C497" s="123" t="n"/>
      <c r="D497" s="123" t="n"/>
      <c r="E497" s="123" t="n"/>
      <c r="F497" s="125" t="n"/>
      <c r="G497" s="123" t="n"/>
      <c r="H497" s="123" t="n"/>
      <c r="I497" s="123" t="n"/>
      <c r="J497" s="123" t="n"/>
      <c r="K497" s="123" t="n"/>
      <c r="L497" s="123" t="n"/>
      <c r="M497" s="123">
        <f>IF(AND(B497&lt;&gt;"",OR($C$4="",ISNUMBER(SEARCH($C$4,C497&amp;" "&amp;E497&amp;" "&amp;G497&amp;" "&amp;H497&amp;" "&amp;I497&amp;" "&amp;J497&amp;" "&amp;K497&amp;" "&amp;L497))),OR($C$5="Semua",$C$5="",G497=$C$5),OR($C$6="Semua",$C$6="",H497=$C$6,H497="Pengeluaran "&amp;$C$6,AND($C$6="Uang Kos Mama",H497="Pengeluaran Uang Kos")),OR($C$7="Semua",$C$7="",I497=$C$7),OR($C$8="Semua",$C$8="",C497=$C$8,E497=$C$8),OR($C$9="Semua",$C$9="",D497=$C$9),OR($C$10="",B497&gt;=$C$10),OR($C$11="",B497&lt;=$C$11),OR($C$12&lt;&gt;"Ya",K497&lt;&gt;""),OR($C$13="Semua",$C$13="",L497=$C$13)),"✓","")</f>
        <v/>
      </c>
      <c r="N497" s="93">
        <f>N(N496)+IF(M497="✓",1,0)</f>
        <v/>
      </c>
      <c r="O497" s="93">
        <f>N(O496)+IF(AND(B497&lt;&gt;"",B497&gt;='Uang Riba'!$H$30,B497&lt;='Uang Riba'!$I$30,OR(H497="Dana riba",H497="Pinjam uang riba",I497="Pinjam dari uang riba",I497="Ganti uang riba",I497="Kelebihan ganti dikembalikan",AND(C497="Kantong Uang Riba",G497="Pengeluaran"))),1,0)</f>
        <v/>
      </c>
      <c r="X497" s="93">
        <f>IF(AND(B497&lt;&gt;"",B497&gt;='Buku Akun'!$H$4,B497&lt;='Buku Akun'!$H$5,OR(C497='Buku Akun'!$C$4,AND(D497="Pindah",E497='Buku Akun'!$C$4))),B497+IF(AND(I497="Selisih bunga",DAY(B497)=1),0,0.01)+ROW()/10000000,"")</f>
        <v/>
      </c>
    </row>
    <row r="498" outlineLevel="1" ht="15" customHeight="1" s="94">
      <c r="A498" s="123">
        <f>IF(B498="","",ROW()-15)</f>
        <v/>
      </c>
      <c r="B498" s="124" t="n"/>
      <c r="C498" s="123" t="n"/>
      <c r="D498" s="123" t="n"/>
      <c r="E498" s="123" t="n"/>
      <c r="F498" s="125" t="n"/>
      <c r="G498" s="123" t="n"/>
      <c r="H498" s="123" t="n"/>
      <c r="I498" s="123" t="n"/>
      <c r="J498" s="123" t="n"/>
      <c r="K498" s="123" t="n"/>
      <c r="L498" s="123" t="n"/>
      <c r="M498" s="123">
        <f>IF(AND(B498&lt;&gt;"",OR($C$4="",ISNUMBER(SEARCH($C$4,C498&amp;" "&amp;E498&amp;" "&amp;G498&amp;" "&amp;H498&amp;" "&amp;I498&amp;" "&amp;J498&amp;" "&amp;K498&amp;" "&amp;L498))),OR($C$5="Semua",$C$5="",G498=$C$5),OR($C$6="Semua",$C$6="",H498=$C$6,H498="Pengeluaran "&amp;$C$6,AND($C$6="Uang Kos Mama",H498="Pengeluaran Uang Kos")),OR($C$7="Semua",$C$7="",I498=$C$7),OR($C$8="Semua",$C$8="",C498=$C$8,E498=$C$8),OR($C$9="Semua",$C$9="",D498=$C$9),OR($C$10="",B498&gt;=$C$10),OR($C$11="",B498&lt;=$C$11),OR($C$12&lt;&gt;"Ya",K498&lt;&gt;""),OR($C$13="Semua",$C$13="",L498=$C$13)),"✓","")</f>
        <v/>
      </c>
      <c r="N498" s="93">
        <f>N(N497)+IF(M498="✓",1,0)</f>
        <v/>
      </c>
      <c r="O498" s="93">
        <f>N(O497)+IF(AND(B498&lt;&gt;"",B498&gt;='Uang Riba'!$H$30,B498&lt;='Uang Riba'!$I$30,OR(H498="Dana riba",H498="Pinjam uang riba",I498="Pinjam dari uang riba",I498="Ganti uang riba",I498="Kelebihan ganti dikembalikan",AND(C498="Kantong Uang Riba",G498="Pengeluaran"))),1,0)</f>
        <v/>
      </c>
      <c r="X498" s="93">
        <f>IF(AND(B498&lt;&gt;"",B498&gt;='Buku Akun'!$H$4,B498&lt;='Buku Akun'!$H$5,OR(C498='Buku Akun'!$C$4,AND(D498="Pindah",E498='Buku Akun'!$C$4))),B498+IF(AND(I498="Selisih bunga",DAY(B498)=1),0,0.01)+ROW()/10000000,"")</f>
        <v/>
      </c>
    </row>
    <row r="499" outlineLevel="1" ht="15" customHeight="1" s="94">
      <c r="A499" s="123">
        <f>IF(B499="","",ROW()-15)</f>
        <v/>
      </c>
      <c r="B499" s="124" t="n"/>
      <c r="C499" s="123" t="n"/>
      <c r="D499" s="123" t="n"/>
      <c r="E499" s="123" t="n"/>
      <c r="F499" s="125" t="n"/>
      <c r="G499" s="123" t="n"/>
      <c r="H499" s="123" t="n"/>
      <c r="I499" s="123" t="n"/>
      <c r="J499" s="123" t="n"/>
      <c r="K499" s="123" t="n"/>
      <c r="L499" s="123" t="n"/>
      <c r="M499" s="123">
        <f>IF(AND(B499&lt;&gt;"",OR($C$4="",ISNUMBER(SEARCH($C$4,C499&amp;" "&amp;E499&amp;" "&amp;G499&amp;" "&amp;H499&amp;" "&amp;I499&amp;" "&amp;J499&amp;" "&amp;K499&amp;" "&amp;L499))),OR($C$5="Semua",$C$5="",G499=$C$5),OR($C$6="Semua",$C$6="",H499=$C$6,H499="Pengeluaran "&amp;$C$6,AND($C$6="Uang Kos Mama",H499="Pengeluaran Uang Kos")),OR($C$7="Semua",$C$7="",I499=$C$7),OR($C$8="Semua",$C$8="",C499=$C$8,E499=$C$8),OR($C$9="Semua",$C$9="",D499=$C$9),OR($C$10="",B499&gt;=$C$10),OR($C$11="",B499&lt;=$C$11),OR($C$12&lt;&gt;"Ya",K499&lt;&gt;""),OR($C$13="Semua",$C$13="",L499=$C$13)),"✓","")</f>
        <v/>
      </c>
      <c r="N499" s="93">
        <f>N(N498)+IF(M499="✓",1,0)</f>
        <v/>
      </c>
      <c r="O499" s="93">
        <f>N(O498)+IF(AND(B499&lt;&gt;"",B499&gt;='Uang Riba'!$H$30,B499&lt;='Uang Riba'!$I$30,OR(H499="Dana riba",H499="Pinjam uang riba",I499="Pinjam dari uang riba",I499="Ganti uang riba",I499="Kelebihan ganti dikembalikan",AND(C499="Kantong Uang Riba",G499="Pengeluaran"))),1,0)</f>
        <v/>
      </c>
      <c r="X499" s="93">
        <f>IF(AND(B499&lt;&gt;"",B499&gt;='Buku Akun'!$H$4,B499&lt;='Buku Akun'!$H$5,OR(C499='Buku Akun'!$C$4,AND(D499="Pindah",E499='Buku Akun'!$C$4))),B499+IF(AND(I499="Selisih bunga",DAY(B499)=1),0,0.01)+ROW()/10000000,"")</f>
        <v/>
      </c>
    </row>
    <row r="500" outlineLevel="1" ht="15" customHeight="1" s="94">
      <c r="A500" s="123">
        <f>IF(B500="","",ROW()-15)</f>
        <v/>
      </c>
      <c r="B500" s="124" t="n"/>
      <c r="C500" s="123" t="n"/>
      <c r="D500" s="123" t="n"/>
      <c r="E500" s="123" t="n"/>
      <c r="F500" s="125" t="n"/>
      <c r="G500" s="123" t="n"/>
      <c r="H500" s="123" t="n"/>
      <c r="I500" s="123" t="n"/>
      <c r="J500" s="123" t="n"/>
      <c r="K500" s="123" t="n"/>
      <c r="L500" s="123" t="n"/>
      <c r="M500" s="123">
        <f>IF(AND(B500&lt;&gt;"",OR($C$4="",ISNUMBER(SEARCH($C$4,C500&amp;" "&amp;E500&amp;" "&amp;G500&amp;" "&amp;H500&amp;" "&amp;I500&amp;" "&amp;J500&amp;" "&amp;K500&amp;" "&amp;L500))),OR($C$5="Semua",$C$5="",G500=$C$5),OR($C$6="Semua",$C$6="",H500=$C$6,H500="Pengeluaran "&amp;$C$6,AND($C$6="Uang Kos Mama",H500="Pengeluaran Uang Kos")),OR($C$7="Semua",$C$7="",I500=$C$7),OR($C$8="Semua",$C$8="",C500=$C$8,E500=$C$8),OR($C$9="Semua",$C$9="",D500=$C$9),OR($C$10="",B500&gt;=$C$10),OR($C$11="",B500&lt;=$C$11),OR($C$12&lt;&gt;"Ya",K500&lt;&gt;""),OR($C$13="Semua",$C$13="",L500=$C$13)),"✓","")</f>
        <v/>
      </c>
      <c r="N500" s="93">
        <f>N(N499)+IF(M500="✓",1,0)</f>
        <v/>
      </c>
      <c r="O500" s="93">
        <f>N(O499)+IF(AND(B500&lt;&gt;"",B500&gt;='Uang Riba'!$H$30,B500&lt;='Uang Riba'!$I$30,OR(H500="Dana riba",H500="Pinjam uang riba",I500="Pinjam dari uang riba",I500="Ganti uang riba",I500="Kelebihan ganti dikembalikan",AND(C500="Kantong Uang Riba",G500="Pengeluaran"))),1,0)</f>
        <v/>
      </c>
      <c r="X500" s="93">
        <f>IF(AND(B500&lt;&gt;"",B500&gt;='Buku Akun'!$H$4,B500&lt;='Buku Akun'!$H$5,OR(C500='Buku Akun'!$C$4,AND(D500="Pindah",E500='Buku Akun'!$C$4))),B500+IF(AND(I500="Selisih bunga",DAY(B500)=1),0,0.01)+ROW()/10000000,"")</f>
        <v/>
      </c>
    </row>
    <row r="501" outlineLevel="1" ht="15" customHeight="1" s="94">
      <c r="A501" s="123">
        <f>IF(B501="","",ROW()-15)</f>
        <v/>
      </c>
      <c r="B501" s="124" t="n"/>
      <c r="C501" s="123" t="n"/>
      <c r="D501" s="123" t="n"/>
      <c r="E501" s="123" t="n"/>
      <c r="F501" s="125" t="n"/>
      <c r="G501" s="123" t="n"/>
      <c r="H501" s="123" t="n"/>
      <c r="I501" s="123" t="n"/>
      <c r="J501" s="123" t="n"/>
      <c r="K501" s="123" t="n"/>
      <c r="L501" s="123" t="n"/>
      <c r="M501" s="123">
        <f>IF(AND(B501&lt;&gt;"",OR($C$4="",ISNUMBER(SEARCH($C$4,C501&amp;" "&amp;E501&amp;" "&amp;G501&amp;" "&amp;H501&amp;" "&amp;I501&amp;" "&amp;J501&amp;" "&amp;K501&amp;" "&amp;L501))),OR($C$5="Semua",$C$5="",G501=$C$5),OR($C$6="Semua",$C$6="",H501=$C$6,H501="Pengeluaran "&amp;$C$6,AND($C$6="Uang Kos Mama",H501="Pengeluaran Uang Kos")),OR($C$7="Semua",$C$7="",I501=$C$7),OR($C$8="Semua",$C$8="",C501=$C$8,E501=$C$8),OR($C$9="Semua",$C$9="",D501=$C$9),OR($C$10="",B501&gt;=$C$10),OR($C$11="",B501&lt;=$C$11),OR($C$12&lt;&gt;"Ya",K501&lt;&gt;""),OR($C$13="Semua",$C$13="",L501=$C$13)),"✓","")</f>
        <v/>
      </c>
      <c r="N501" s="93">
        <f>N(N500)+IF(M501="✓",1,0)</f>
        <v/>
      </c>
      <c r="O501" s="93">
        <f>N(O500)+IF(AND(B501&lt;&gt;"",B501&gt;='Uang Riba'!$H$30,B501&lt;='Uang Riba'!$I$30,OR(H501="Dana riba",H501="Pinjam uang riba",I501="Pinjam dari uang riba",I501="Ganti uang riba",I501="Kelebihan ganti dikembalikan",AND(C501="Kantong Uang Riba",G501="Pengeluaran"))),1,0)</f>
        <v/>
      </c>
      <c r="X501" s="93">
        <f>IF(AND(B501&lt;&gt;"",B501&gt;='Buku Akun'!$H$4,B501&lt;='Buku Akun'!$H$5,OR(C501='Buku Akun'!$C$4,AND(D501="Pindah",E501='Buku Akun'!$C$4))),B501+IF(AND(I501="Selisih bunga",DAY(B501)=1),0,0.01)+ROW()/10000000,"")</f>
        <v/>
      </c>
    </row>
    <row r="502" outlineLevel="1" ht="15" customHeight="1" s="94">
      <c r="A502" s="123">
        <f>IF(B502="","",ROW()-15)</f>
        <v/>
      </c>
      <c r="B502" s="124" t="n"/>
      <c r="C502" s="123" t="n"/>
      <c r="D502" s="123" t="n"/>
      <c r="E502" s="123" t="n"/>
      <c r="F502" s="125" t="n"/>
      <c r="G502" s="123" t="n"/>
      <c r="H502" s="123" t="n"/>
      <c r="I502" s="123" t="n"/>
      <c r="J502" s="123" t="n"/>
      <c r="K502" s="123" t="n"/>
      <c r="L502" s="123" t="n"/>
      <c r="M502" s="123">
        <f>IF(AND(B502&lt;&gt;"",OR($C$4="",ISNUMBER(SEARCH($C$4,C502&amp;" "&amp;E502&amp;" "&amp;G502&amp;" "&amp;H502&amp;" "&amp;I502&amp;" "&amp;J502&amp;" "&amp;K502&amp;" "&amp;L502))),OR($C$5="Semua",$C$5="",G502=$C$5),OR($C$6="Semua",$C$6="",H502=$C$6,H502="Pengeluaran "&amp;$C$6,AND($C$6="Uang Kos Mama",H502="Pengeluaran Uang Kos")),OR($C$7="Semua",$C$7="",I502=$C$7),OR($C$8="Semua",$C$8="",C502=$C$8,E502=$C$8),OR($C$9="Semua",$C$9="",D502=$C$9),OR($C$10="",B502&gt;=$C$10),OR($C$11="",B502&lt;=$C$11),OR($C$12&lt;&gt;"Ya",K502&lt;&gt;""),OR($C$13="Semua",$C$13="",L502=$C$13)),"✓","")</f>
        <v/>
      </c>
      <c r="N502" s="93">
        <f>N(N501)+IF(M502="✓",1,0)</f>
        <v/>
      </c>
      <c r="O502" s="93">
        <f>N(O501)+IF(AND(B502&lt;&gt;"",B502&gt;='Uang Riba'!$H$30,B502&lt;='Uang Riba'!$I$30,OR(H502="Dana riba",H502="Pinjam uang riba",I502="Pinjam dari uang riba",I502="Ganti uang riba",I502="Kelebihan ganti dikembalikan",AND(C502="Kantong Uang Riba",G502="Pengeluaran"))),1,0)</f>
        <v/>
      </c>
      <c r="X502" s="93">
        <f>IF(AND(B502&lt;&gt;"",B502&gt;='Buku Akun'!$H$4,B502&lt;='Buku Akun'!$H$5,OR(C502='Buku Akun'!$C$4,AND(D502="Pindah",E502='Buku Akun'!$C$4))),B502+IF(AND(I502="Selisih bunga",DAY(B502)=1),0,0.01)+ROW()/10000000,"")</f>
        <v/>
      </c>
    </row>
    <row r="503" outlineLevel="1" ht="15" customHeight="1" s="94">
      <c r="A503" s="123">
        <f>IF(B503="","",ROW()-15)</f>
        <v/>
      </c>
      <c r="B503" s="124" t="n"/>
      <c r="C503" s="123" t="n"/>
      <c r="D503" s="123" t="n"/>
      <c r="E503" s="123" t="n"/>
      <c r="F503" s="125" t="n"/>
      <c r="G503" s="123" t="n"/>
      <c r="H503" s="123" t="n"/>
      <c r="I503" s="123" t="n"/>
      <c r="J503" s="123" t="n"/>
      <c r="K503" s="123" t="n"/>
      <c r="L503" s="123" t="n"/>
      <c r="M503" s="123">
        <f>IF(AND(B503&lt;&gt;"",OR($C$4="",ISNUMBER(SEARCH($C$4,C503&amp;" "&amp;E503&amp;" "&amp;G503&amp;" "&amp;H503&amp;" "&amp;I503&amp;" "&amp;J503&amp;" "&amp;K503&amp;" "&amp;L503))),OR($C$5="Semua",$C$5="",G503=$C$5),OR($C$6="Semua",$C$6="",H503=$C$6,H503="Pengeluaran "&amp;$C$6,AND($C$6="Uang Kos Mama",H503="Pengeluaran Uang Kos")),OR($C$7="Semua",$C$7="",I503=$C$7),OR($C$8="Semua",$C$8="",C503=$C$8,E503=$C$8),OR($C$9="Semua",$C$9="",D503=$C$9),OR($C$10="",B503&gt;=$C$10),OR($C$11="",B503&lt;=$C$11),OR($C$12&lt;&gt;"Ya",K503&lt;&gt;""),OR($C$13="Semua",$C$13="",L503=$C$13)),"✓","")</f>
        <v/>
      </c>
      <c r="N503" s="93">
        <f>N(N502)+IF(M503="✓",1,0)</f>
        <v/>
      </c>
      <c r="O503" s="93">
        <f>N(O502)+IF(AND(B503&lt;&gt;"",B503&gt;='Uang Riba'!$H$30,B503&lt;='Uang Riba'!$I$30,OR(H503="Dana riba",H503="Pinjam uang riba",I503="Pinjam dari uang riba",I503="Ganti uang riba",I503="Kelebihan ganti dikembalikan",AND(C503="Kantong Uang Riba",G503="Pengeluaran"))),1,0)</f>
        <v/>
      </c>
      <c r="X503" s="93">
        <f>IF(AND(B503&lt;&gt;"",B503&gt;='Buku Akun'!$H$4,B503&lt;='Buku Akun'!$H$5,OR(C503='Buku Akun'!$C$4,AND(D503="Pindah",E503='Buku Akun'!$C$4))),B503+IF(AND(I503="Selisih bunga",DAY(B503)=1),0,0.01)+ROW()/10000000,"")</f>
        <v/>
      </c>
    </row>
    <row r="504" outlineLevel="1" ht="15" customHeight="1" s="94">
      <c r="A504" s="123">
        <f>IF(B504="","",ROW()-15)</f>
        <v/>
      </c>
      <c r="B504" s="124" t="n"/>
      <c r="C504" s="123" t="n"/>
      <c r="D504" s="123" t="n"/>
      <c r="E504" s="123" t="n"/>
      <c r="F504" s="125" t="n"/>
      <c r="G504" s="123" t="n"/>
      <c r="H504" s="123" t="n"/>
      <c r="I504" s="123" t="n"/>
      <c r="J504" s="123" t="n"/>
      <c r="K504" s="123" t="n"/>
      <c r="L504" s="123" t="n"/>
      <c r="M504" s="123">
        <f>IF(AND(B504&lt;&gt;"",OR($C$4="",ISNUMBER(SEARCH($C$4,C504&amp;" "&amp;E504&amp;" "&amp;G504&amp;" "&amp;H504&amp;" "&amp;I504&amp;" "&amp;J504&amp;" "&amp;K504&amp;" "&amp;L504))),OR($C$5="Semua",$C$5="",G504=$C$5),OR($C$6="Semua",$C$6="",H504=$C$6,H504="Pengeluaran "&amp;$C$6,AND($C$6="Uang Kos Mama",H504="Pengeluaran Uang Kos")),OR($C$7="Semua",$C$7="",I504=$C$7),OR($C$8="Semua",$C$8="",C504=$C$8,E504=$C$8),OR($C$9="Semua",$C$9="",D504=$C$9),OR($C$10="",B504&gt;=$C$10),OR($C$11="",B504&lt;=$C$11),OR($C$12&lt;&gt;"Ya",K504&lt;&gt;""),OR($C$13="Semua",$C$13="",L504=$C$13)),"✓","")</f>
        <v/>
      </c>
      <c r="N504" s="93">
        <f>N(N503)+IF(M504="✓",1,0)</f>
        <v/>
      </c>
      <c r="O504" s="93">
        <f>N(O503)+IF(AND(B504&lt;&gt;"",B504&gt;='Uang Riba'!$H$30,B504&lt;='Uang Riba'!$I$30,OR(H504="Dana riba",H504="Pinjam uang riba",I504="Pinjam dari uang riba",I504="Ganti uang riba",I504="Kelebihan ganti dikembalikan",AND(C504="Kantong Uang Riba",G504="Pengeluaran"))),1,0)</f>
        <v/>
      </c>
      <c r="X504" s="93">
        <f>IF(AND(B504&lt;&gt;"",B504&gt;='Buku Akun'!$H$4,B504&lt;='Buku Akun'!$H$5,OR(C504='Buku Akun'!$C$4,AND(D504="Pindah",E504='Buku Akun'!$C$4))),B504+IF(AND(I504="Selisih bunga",DAY(B504)=1),0,0.01)+ROW()/10000000,"")</f>
        <v/>
      </c>
    </row>
    <row r="505" outlineLevel="1" ht="15" customHeight="1" s="94">
      <c r="A505" s="123">
        <f>IF(B505="","",ROW()-15)</f>
        <v/>
      </c>
      <c r="B505" s="124" t="n"/>
      <c r="C505" s="123" t="n"/>
      <c r="D505" s="123" t="n"/>
      <c r="E505" s="123" t="n"/>
      <c r="F505" s="125" t="n"/>
      <c r="G505" s="123" t="n"/>
      <c r="H505" s="123" t="n"/>
      <c r="I505" s="123" t="n"/>
      <c r="J505" s="123" t="n"/>
      <c r="K505" s="123" t="n"/>
      <c r="L505" s="123" t="n"/>
      <c r="M505" s="123">
        <f>IF(AND(B505&lt;&gt;"",OR($C$4="",ISNUMBER(SEARCH($C$4,C505&amp;" "&amp;E505&amp;" "&amp;G505&amp;" "&amp;H505&amp;" "&amp;I505&amp;" "&amp;J505&amp;" "&amp;K505&amp;" "&amp;L505))),OR($C$5="Semua",$C$5="",G505=$C$5),OR($C$6="Semua",$C$6="",H505=$C$6,H505="Pengeluaran "&amp;$C$6,AND($C$6="Uang Kos Mama",H505="Pengeluaran Uang Kos")),OR($C$7="Semua",$C$7="",I505=$C$7),OR($C$8="Semua",$C$8="",C505=$C$8,E505=$C$8),OR($C$9="Semua",$C$9="",D505=$C$9),OR($C$10="",B505&gt;=$C$10),OR($C$11="",B505&lt;=$C$11),OR($C$12&lt;&gt;"Ya",K505&lt;&gt;""),OR($C$13="Semua",$C$13="",L505=$C$13)),"✓","")</f>
        <v/>
      </c>
      <c r="N505" s="93">
        <f>N(N504)+IF(M505="✓",1,0)</f>
        <v/>
      </c>
      <c r="O505" s="93">
        <f>N(O504)+IF(AND(B505&lt;&gt;"",B505&gt;='Uang Riba'!$H$30,B505&lt;='Uang Riba'!$I$30,OR(H505="Dana riba",H505="Pinjam uang riba",I505="Pinjam dari uang riba",I505="Ganti uang riba",I505="Kelebihan ganti dikembalikan",AND(C505="Kantong Uang Riba",G505="Pengeluaran"))),1,0)</f>
        <v/>
      </c>
      <c r="X505" s="93">
        <f>IF(AND(B505&lt;&gt;"",B505&gt;='Buku Akun'!$H$4,B505&lt;='Buku Akun'!$H$5,OR(C505='Buku Akun'!$C$4,AND(D505="Pindah",E505='Buku Akun'!$C$4))),B505+IF(AND(I505="Selisih bunga",DAY(B505)=1),0,0.01)+ROW()/10000000,"")</f>
        <v/>
      </c>
    </row>
    <row r="506" outlineLevel="1" ht="15" customHeight="1" s="94">
      <c r="A506" s="123">
        <f>IF(B506="","",ROW()-15)</f>
        <v/>
      </c>
      <c r="B506" s="124" t="n"/>
      <c r="C506" s="123" t="n"/>
      <c r="D506" s="123" t="n"/>
      <c r="E506" s="123" t="n"/>
      <c r="F506" s="125" t="n"/>
      <c r="G506" s="123" t="n"/>
      <c r="H506" s="123" t="n"/>
      <c r="I506" s="123" t="n"/>
      <c r="J506" s="123" t="n"/>
      <c r="K506" s="123" t="n"/>
      <c r="L506" s="123" t="n"/>
      <c r="M506" s="123">
        <f>IF(AND(B506&lt;&gt;"",OR($C$4="",ISNUMBER(SEARCH($C$4,C506&amp;" "&amp;E506&amp;" "&amp;G506&amp;" "&amp;H506&amp;" "&amp;I506&amp;" "&amp;J506&amp;" "&amp;K506&amp;" "&amp;L506))),OR($C$5="Semua",$C$5="",G506=$C$5),OR($C$6="Semua",$C$6="",H506=$C$6,H506="Pengeluaran "&amp;$C$6,AND($C$6="Uang Kos Mama",H506="Pengeluaran Uang Kos")),OR($C$7="Semua",$C$7="",I506=$C$7),OR($C$8="Semua",$C$8="",C506=$C$8,E506=$C$8),OR($C$9="Semua",$C$9="",D506=$C$9),OR($C$10="",B506&gt;=$C$10),OR($C$11="",B506&lt;=$C$11),OR($C$12&lt;&gt;"Ya",K506&lt;&gt;""),OR($C$13="Semua",$C$13="",L506=$C$13)),"✓","")</f>
        <v/>
      </c>
      <c r="N506" s="93">
        <f>N(N505)+IF(M506="✓",1,0)</f>
        <v/>
      </c>
      <c r="O506" s="93">
        <f>N(O505)+IF(AND(B506&lt;&gt;"",B506&gt;='Uang Riba'!$H$30,B506&lt;='Uang Riba'!$I$30,OR(H506="Dana riba",H506="Pinjam uang riba",I506="Pinjam dari uang riba",I506="Ganti uang riba",I506="Kelebihan ganti dikembalikan",AND(C506="Kantong Uang Riba",G506="Pengeluaran"))),1,0)</f>
        <v/>
      </c>
      <c r="X506" s="93">
        <f>IF(AND(B506&lt;&gt;"",B506&gt;='Buku Akun'!$H$4,B506&lt;='Buku Akun'!$H$5,OR(C506='Buku Akun'!$C$4,AND(D506="Pindah",E506='Buku Akun'!$C$4))),B506+IF(AND(I506="Selisih bunga",DAY(B506)=1),0,0.01)+ROW()/10000000,"")</f>
        <v/>
      </c>
    </row>
    <row r="507" outlineLevel="1" ht="15" customHeight="1" s="94">
      <c r="A507" s="123">
        <f>IF(B507="","",ROW()-15)</f>
        <v/>
      </c>
      <c r="B507" s="124" t="n"/>
      <c r="C507" s="123" t="n"/>
      <c r="D507" s="123" t="n"/>
      <c r="E507" s="123" t="n"/>
      <c r="F507" s="125" t="n"/>
      <c r="G507" s="123" t="n"/>
      <c r="H507" s="123" t="n"/>
      <c r="I507" s="123" t="n"/>
      <c r="J507" s="123" t="n"/>
      <c r="K507" s="123" t="n"/>
      <c r="L507" s="123" t="n"/>
      <c r="M507" s="123">
        <f>IF(AND(B507&lt;&gt;"",OR($C$4="",ISNUMBER(SEARCH($C$4,C507&amp;" "&amp;E507&amp;" "&amp;G507&amp;" "&amp;H507&amp;" "&amp;I507&amp;" "&amp;J507&amp;" "&amp;K507&amp;" "&amp;L507))),OR($C$5="Semua",$C$5="",G507=$C$5),OR($C$6="Semua",$C$6="",H507=$C$6,H507="Pengeluaran "&amp;$C$6,AND($C$6="Uang Kos Mama",H507="Pengeluaran Uang Kos")),OR($C$7="Semua",$C$7="",I507=$C$7),OR($C$8="Semua",$C$8="",C507=$C$8,E507=$C$8),OR($C$9="Semua",$C$9="",D507=$C$9),OR($C$10="",B507&gt;=$C$10),OR($C$11="",B507&lt;=$C$11),OR($C$12&lt;&gt;"Ya",K507&lt;&gt;""),OR($C$13="Semua",$C$13="",L507=$C$13)),"✓","")</f>
        <v/>
      </c>
      <c r="N507" s="93">
        <f>N(N506)+IF(M507="✓",1,0)</f>
        <v/>
      </c>
      <c r="O507" s="93">
        <f>N(O506)+IF(AND(B507&lt;&gt;"",B507&gt;='Uang Riba'!$H$30,B507&lt;='Uang Riba'!$I$30,OR(H507="Dana riba",H507="Pinjam uang riba",I507="Pinjam dari uang riba",I507="Ganti uang riba",I507="Kelebihan ganti dikembalikan",AND(C507="Kantong Uang Riba",G507="Pengeluaran"))),1,0)</f>
        <v/>
      </c>
      <c r="X507" s="93">
        <f>IF(AND(B507&lt;&gt;"",B507&gt;='Buku Akun'!$H$4,B507&lt;='Buku Akun'!$H$5,OR(C507='Buku Akun'!$C$4,AND(D507="Pindah",E507='Buku Akun'!$C$4))),B507+IF(AND(I507="Selisih bunga",DAY(B507)=1),0,0.01)+ROW()/10000000,"")</f>
        <v/>
      </c>
    </row>
    <row r="508" outlineLevel="1" ht="15" customHeight="1" s="94">
      <c r="A508" s="123">
        <f>IF(B508="","",ROW()-15)</f>
        <v/>
      </c>
      <c r="B508" s="124" t="n"/>
      <c r="C508" s="123" t="n"/>
      <c r="D508" s="123" t="n"/>
      <c r="E508" s="123" t="n"/>
      <c r="F508" s="125" t="n"/>
      <c r="G508" s="123" t="n"/>
      <c r="H508" s="123" t="n"/>
      <c r="I508" s="123" t="n"/>
      <c r="J508" s="123" t="n"/>
      <c r="K508" s="123" t="n"/>
      <c r="L508" s="123" t="n"/>
      <c r="M508" s="123">
        <f>IF(AND(B508&lt;&gt;"",OR($C$4="",ISNUMBER(SEARCH($C$4,C508&amp;" "&amp;E508&amp;" "&amp;G508&amp;" "&amp;H508&amp;" "&amp;I508&amp;" "&amp;J508&amp;" "&amp;K508&amp;" "&amp;L508))),OR($C$5="Semua",$C$5="",G508=$C$5),OR($C$6="Semua",$C$6="",H508=$C$6,H508="Pengeluaran "&amp;$C$6,AND($C$6="Uang Kos Mama",H508="Pengeluaran Uang Kos")),OR($C$7="Semua",$C$7="",I508=$C$7),OR($C$8="Semua",$C$8="",C508=$C$8,E508=$C$8),OR($C$9="Semua",$C$9="",D508=$C$9),OR($C$10="",B508&gt;=$C$10),OR($C$11="",B508&lt;=$C$11),OR($C$12&lt;&gt;"Ya",K508&lt;&gt;""),OR($C$13="Semua",$C$13="",L508=$C$13)),"✓","")</f>
        <v/>
      </c>
      <c r="N508" s="93">
        <f>N(N507)+IF(M508="✓",1,0)</f>
        <v/>
      </c>
      <c r="O508" s="93">
        <f>N(O507)+IF(AND(B508&lt;&gt;"",B508&gt;='Uang Riba'!$H$30,B508&lt;='Uang Riba'!$I$30,OR(H508="Dana riba",H508="Pinjam uang riba",I508="Pinjam dari uang riba",I508="Ganti uang riba",I508="Kelebihan ganti dikembalikan",AND(C508="Kantong Uang Riba",G508="Pengeluaran"))),1,0)</f>
        <v/>
      </c>
      <c r="X508" s="93">
        <f>IF(AND(B508&lt;&gt;"",B508&gt;='Buku Akun'!$H$4,B508&lt;='Buku Akun'!$H$5,OR(C508='Buku Akun'!$C$4,AND(D508="Pindah",E508='Buku Akun'!$C$4))),B508+IF(AND(I508="Selisih bunga",DAY(B508)=1),0,0.01)+ROW()/10000000,"")</f>
        <v/>
      </c>
    </row>
    <row r="509" outlineLevel="1" ht="15" customHeight="1" s="94">
      <c r="A509" s="123">
        <f>IF(B509="","",ROW()-15)</f>
        <v/>
      </c>
      <c r="B509" s="124" t="n"/>
      <c r="C509" s="123" t="n"/>
      <c r="D509" s="123" t="n"/>
      <c r="E509" s="123" t="n"/>
      <c r="F509" s="125" t="n"/>
      <c r="G509" s="123" t="n"/>
      <c r="H509" s="123" t="n"/>
      <c r="I509" s="123" t="n"/>
      <c r="J509" s="123" t="n"/>
      <c r="K509" s="123" t="n"/>
      <c r="L509" s="123" t="n"/>
      <c r="M509" s="123">
        <f>IF(AND(B509&lt;&gt;"",OR($C$4="",ISNUMBER(SEARCH($C$4,C509&amp;" "&amp;E509&amp;" "&amp;G509&amp;" "&amp;H509&amp;" "&amp;I509&amp;" "&amp;J509&amp;" "&amp;K509&amp;" "&amp;L509))),OR($C$5="Semua",$C$5="",G509=$C$5),OR($C$6="Semua",$C$6="",H509=$C$6,H509="Pengeluaran "&amp;$C$6,AND($C$6="Uang Kos Mama",H509="Pengeluaran Uang Kos")),OR($C$7="Semua",$C$7="",I509=$C$7),OR($C$8="Semua",$C$8="",C509=$C$8,E509=$C$8),OR($C$9="Semua",$C$9="",D509=$C$9),OR($C$10="",B509&gt;=$C$10),OR($C$11="",B509&lt;=$C$11),OR($C$12&lt;&gt;"Ya",K509&lt;&gt;""),OR($C$13="Semua",$C$13="",L509=$C$13)),"✓","")</f>
        <v/>
      </c>
      <c r="N509" s="93">
        <f>N(N508)+IF(M509="✓",1,0)</f>
        <v/>
      </c>
      <c r="O509" s="93">
        <f>N(O508)+IF(AND(B509&lt;&gt;"",B509&gt;='Uang Riba'!$H$30,B509&lt;='Uang Riba'!$I$30,OR(H509="Dana riba",H509="Pinjam uang riba",I509="Pinjam dari uang riba",I509="Ganti uang riba",I509="Kelebihan ganti dikembalikan",AND(C509="Kantong Uang Riba",G509="Pengeluaran"))),1,0)</f>
        <v/>
      </c>
      <c r="X509" s="93">
        <f>IF(AND(B509&lt;&gt;"",B509&gt;='Buku Akun'!$H$4,B509&lt;='Buku Akun'!$H$5,OR(C509='Buku Akun'!$C$4,AND(D509="Pindah",E509='Buku Akun'!$C$4))),B509+IF(AND(I509="Selisih bunga",DAY(B509)=1),0,0.01)+ROW()/10000000,"")</f>
        <v/>
      </c>
    </row>
    <row r="510" outlineLevel="1" ht="15" customHeight="1" s="94">
      <c r="A510" s="123">
        <f>IF(B510="","",ROW()-15)</f>
        <v/>
      </c>
      <c r="B510" s="124" t="n"/>
      <c r="C510" s="123" t="n"/>
      <c r="D510" s="123" t="n"/>
      <c r="E510" s="123" t="n"/>
      <c r="F510" s="125" t="n"/>
      <c r="G510" s="123" t="n"/>
      <c r="H510" s="123" t="n"/>
      <c r="I510" s="123" t="n"/>
      <c r="J510" s="123" t="n"/>
      <c r="K510" s="123" t="n"/>
      <c r="L510" s="123" t="n"/>
      <c r="M510" s="123">
        <f>IF(AND(B510&lt;&gt;"",OR($C$4="",ISNUMBER(SEARCH($C$4,C510&amp;" "&amp;E510&amp;" "&amp;G510&amp;" "&amp;H510&amp;" "&amp;I510&amp;" "&amp;J510&amp;" "&amp;K510&amp;" "&amp;L510))),OR($C$5="Semua",$C$5="",G510=$C$5),OR($C$6="Semua",$C$6="",H510=$C$6,H510="Pengeluaran "&amp;$C$6,AND($C$6="Uang Kos Mama",H510="Pengeluaran Uang Kos")),OR($C$7="Semua",$C$7="",I510=$C$7),OR($C$8="Semua",$C$8="",C510=$C$8,E510=$C$8),OR($C$9="Semua",$C$9="",D510=$C$9),OR($C$10="",B510&gt;=$C$10),OR($C$11="",B510&lt;=$C$11),OR($C$12&lt;&gt;"Ya",K510&lt;&gt;""),OR($C$13="Semua",$C$13="",L510=$C$13)),"✓","")</f>
        <v/>
      </c>
      <c r="N510" s="93">
        <f>N(N509)+IF(M510="✓",1,0)</f>
        <v/>
      </c>
      <c r="O510" s="93">
        <f>N(O509)+IF(AND(B510&lt;&gt;"",B510&gt;='Uang Riba'!$H$30,B510&lt;='Uang Riba'!$I$30,OR(H510="Dana riba",H510="Pinjam uang riba",I510="Pinjam dari uang riba",I510="Ganti uang riba",I510="Kelebihan ganti dikembalikan",AND(C510="Kantong Uang Riba",G510="Pengeluaran"))),1,0)</f>
        <v/>
      </c>
      <c r="X510" s="93">
        <f>IF(AND(B510&lt;&gt;"",B510&gt;='Buku Akun'!$H$4,B510&lt;='Buku Akun'!$H$5,OR(C510='Buku Akun'!$C$4,AND(D510="Pindah",E510='Buku Akun'!$C$4))),B510+IF(AND(I510="Selisih bunga",DAY(B510)=1),0,0.01)+ROW()/10000000,"")</f>
        <v/>
      </c>
    </row>
    <row r="511" outlineLevel="1" ht="15" customHeight="1" s="94">
      <c r="A511" s="123">
        <f>IF(B511="","",ROW()-15)</f>
        <v/>
      </c>
      <c r="B511" s="124" t="n"/>
      <c r="C511" s="123" t="n"/>
      <c r="D511" s="123" t="n"/>
      <c r="E511" s="123" t="n"/>
      <c r="F511" s="125" t="n"/>
      <c r="G511" s="123" t="n"/>
      <c r="H511" s="123" t="n"/>
      <c r="I511" s="123" t="n"/>
      <c r="J511" s="123" t="n"/>
      <c r="K511" s="123" t="n"/>
      <c r="L511" s="123" t="n"/>
      <c r="M511" s="123">
        <f>IF(AND(B511&lt;&gt;"",OR($C$4="",ISNUMBER(SEARCH($C$4,C511&amp;" "&amp;E511&amp;" "&amp;G511&amp;" "&amp;H511&amp;" "&amp;I511&amp;" "&amp;J511&amp;" "&amp;K511&amp;" "&amp;L511))),OR($C$5="Semua",$C$5="",G511=$C$5),OR($C$6="Semua",$C$6="",H511=$C$6,H511="Pengeluaran "&amp;$C$6,AND($C$6="Uang Kos Mama",H511="Pengeluaran Uang Kos")),OR($C$7="Semua",$C$7="",I511=$C$7),OR($C$8="Semua",$C$8="",C511=$C$8,E511=$C$8),OR($C$9="Semua",$C$9="",D511=$C$9),OR($C$10="",B511&gt;=$C$10),OR($C$11="",B511&lt;=$C$11),OR($C$12&lt;&gt;"Ya",K511&lt;&gt;""),OR($C$13="Semua",$C$13="",L511=$C$13)),"✓","")</f>
        <v/>
      </c>
      <c r="N511" s="93">
        <f>N(N510)+IF(M511="✓",1,0)</f>
        <v/>
      </c>
      <c r="O511" s="93">
        <f>N(O510)+IF(AND(B511&lt;&gt;"",B511&gt;='Uang Riba'!$H$30,B511&lt;='Uang Riba'!$I$30,OR(H511="Dana riba",H511="Pinjam uang riba",I511="Pinjam dari uang riba",I511="Ganti uang riba",I511="Kelebihan ganti dikembalikan",AND(C511="Kantong Uang Riba",G511="Pengeluaran"))),1,0)</f>
        <v/>
      </c>
      <c r="X511" s="93">
        <f>IF(AND(B511&lt;&gt;"",B511&gt;='Buku Akun'!$H$4,B511&lt;='Buku Akun'!$H$5,OR(C511='Buku Akun'!$C$4,AND(D511="Pindah",E511='Buku Akun'!$C$4))),B511+IF(AND(I511="Selisih bunga",DAY(B511)=1),0,0.01)+ROW()/10000000,"")</f>
        <v/>
      </c>
    </row>
    <row r="512" outlineLevel="1" ht="15" customHeight="1" s="94">
      <c r="A512" s="123">
        <f>IF(B512="","",ROW()-15)</f>
        <v/>
      </c>
      <c r="B512" s="124" t="n"/>
      <c r="C512" s="123" t="n"/>
      <c r="D512" s="123" t="n"/>
      <c r="E512" s="123" t="n"/>
      <c r="F512" s="125" t="n"/>
      <c r="G512" s="123" t="n"/>
      <c r="H512" s="123" t="n"/>
      <c r="I512" s="123" t="n"/>
      <c r="J512" s="123" t="n"/>
      <c r="K512" s="123" t="n"/>
      <c r="L512" s="123" t="n"/>
      <c r="M512" s="123">
        <f>IF(AND(B512&lt;&gt;"",OR($C$4="",ISNUMBER(SEARCH($C$4,C512&amp;" "&amp;E512&amp;" "&amp;G512&amp;" "&amp;H512&amp;" "&amp;I512&amp;" "&amp;J512&amp;" "&amp;K512&amp;" "&amp;L512))),OR($C$5="Semua",$C$5="",G512=$C$5),OR($C$6="Semua",$C$6="",H512=$C$6,H512="Pengeluaran "&amp;$C$6,AND($C$6="Uang Kos Mama",H512="Pengeluaran Uang Kos")),OR($C$7="Semua",$C$7="",I512=$C$7),OR($C$8="Semua",$C$8="",C512=$C$8,E512=$C$8),OR($C$9="Semua",$C$9="",D512=$C$9),OR($C$10="",B512&gt;=$C$10),OR($C$11="",B512&lt;=$C$11),OR($C$12&lt;&gt;"Ya",K512&lt;&gt;""),OR($C$13="Semua",$C$13="",L512=$C$13)),"✓","")</f>
        <v/>
      </c>
      <c r="N512" s="93">
        <f>N(N511)+IF(M512="✓",1,0)</f>
        <v/>
      </c>
      <c r="O512" s="93">
        <f>N(O511)+IF(AND(B512&lt;&gt;"",B512&gt;='Uang Riba'!$H$30,B512&lt;='Uang Riba'!$I$30,OR(H512="Dana riba",H512="Pinjam uang riba",I512="Pinjam dari uang riba",I512="Ganti uang riba",I512="Kelebihan ganti dikembalikan",AND(C512="Kantong Uang Riba",G512="Pengeluaran"))),1,0)</f>
        <v/>
      </c>
      <c r="X512" s="93">
        <f>IF(AND(B512&lt;&gt;"",B512&gt;='Buku Akun'!$H$4,B512&lt;='Buku Akun'!$H$5,OR(C512='Buku Akun'!$C$4,AND(D512="Pindah",E512='Buku Akun'!$C$4))),B512+IF(AND(I512="Selisih bunga",DAY(B512)=1),0,0.01)+ROW()/10000000,"")</f>
        <v/>
      </c>
    </row>
    <row r="513" outlineLevel="1" ht="15" customHeight="1" s="94">
      <c r="A513" s="123">
        <f>IF(B513="","",ROW()-15)</f>
        <v/>
      </c>
      <c r="B513" s="124" t="n"/>
      <c r="C513" s="123" t="n"/>
      <c r="D513" s="123" t="n"/>
      <c r="E513" s="123" t="n"/>
      <c r="F513" s="125" t="n"/>
      <c r="G513" s="123" t="n"/>
      <c r="H513" s="123" t="n"/>
      <c r="I513" s="123" t="n"/>
      <c r="J513" s="123" t="n"/>
      <c r="K513" s="123" t="n"/>
      <c r="L513" s="123" t="n"/>
      <c r="M513" s="123">
        <f>IF(AND(B513&lt;&gt;"",OR($C$4="",ISNUMBER(SEARCH($C$4,C513&amp;" "&amp;E513&amp;" "&amp;G513&amp;" "&amp;H513&amp;" "&amp;I513&amp;" "&amp;J513&amp;" "&amp;K513&amp;" "&amp;L513))),OR($C$5="Semua",$C$5="",G513=$C$5),OR($C$6="Semua",$C$6="",H513=$C$6,H513="Pengeluaran "&amp;$C$6,AND($C$6="Uang Kos Mama",H513="Pengeluaran Uang Kos")),OR($C$7="Semua",$C$7="",I513=$C$7),OR($C$8="Semua",$C$8="",C513=$C$8,E513=$C$8),OR($C$9="Semua",$C$9="",D513=$C$9),OR($C$10="",B513&gt;=$C$10),OR($C$11="",B513&lt;=$C$11),OR($C$12&lt;&gt;"Ya",K513&lt;&gt;""),OR($C$13="Semua",$C$13="",L513=$C$13)),"✓","")</f>
        <v/>
      </c>
      <c r="N513" s="93">
        <f>N(N512)+IF(M513="✓",1,0)</f>
        <v/>
      </c>
      <c r="O513" s="93">
        <f>N(O512)+IF(AND(B513&lt;&gt;"",B513&gt;='Uang Riba'!$H$30,B513&lt;='Uang Riba'!$I$30,OR(H513="Dana riba",H513="Pinjam uang riba",I513="Pinjam dari uang riba",I513="Ganti uang riba",I513="Kelebihan ganti dikembalikan",AND(C513="Kantong Uang Riba",G513="Pengeluaran"))),1,0)</f>
        <v/>
      </c>
      <c r="X513" s="93">
        <f>IF(AND(B513&lt;&gt;"",B513&gt;='Buku Akun'!$H$4,B513&lt;='Buku Akun'!$H$5,OR(C513='Buku Akun'!$C$4,AND(D513="Pindah",E513='Buku Akun'!$C$4))),B513+IF(AND(I513="Selisih bunga",DAY(B513)=1),0,0.01)+ROW()/10000000,"")</f>
        <v/>
      </c>
    </row>
    <row r="514" outlineLevel="1" ht="15" customHeight="1" s="94">
      <c r="A514" s="123">
        <f>IF(B514="","",ROW()-15)</f>
        <v/>
      </c>
      <c r="B514" s="124" t="n"/>
      <c r="C514" s="123" t="n"/>
      <c r="D514" s="123" t="n"/>
      <c r="E514" s="123" t="n"/>
      <c r="F514" s="125" t="n"/>
      <c r="G514" s="123" t="n"/>
      <c r="H514" s="123" t="n"/>
      <c r="I514" s="123" t="n"/>
      <c r="J514" s="123" t="n"/>
      <c r="K514" s="123" t="n"/>
      <c r="L514" s="123" t="n"/>
      <c r="M514" s="123">
        <f>IF(AND(B514&lt;&gt;"",OR($C$4="",ISNUMBER(SEARCH($C$4,C514&amp;" "&amp;E514&amp;" "&amp;G514&amp;" "&amp;H514&amp;" "&amp;I514&amp;" "&amp;J514&amp;" "&amp;K514&amp;" "&amp;L514))),OR($C$5="Semua",$C$5="",G514=$C$5),OR($C$6="Semua",$C$6="",H514=$C$6,H514="Pengeluaran "&amp;$C$6,AND($C$6="Uang Kos Mama",H514="Pengeluaran Uang Kos")),OR($C$7="Semua",$C$7="",I514=$C$7),OR($C$8="Semua",$C$8="",C514=$C$8,E514=$C$8),OR($C$9="Semua",$C$9="",D514=$C$9),OR($C$10="",B514&gt;=$C$10),OR($C$11="",B514&lt;=$C$11),OR($C$12&lt;&gt;"Ya",K514&lt;&gt;""),OR($C$13="Semua",$C$13="",L514=$C$13)),"✓","")</f>
        <v/>
      </c>
      <c r="N514" s="93">
        <f>N(N513)+IF(M514="✓",1,0)</f>
        <v/>
      </c>
      <c r="O514" s="93">
        <f>N(O513)+IF(AND(B514&lt;&gt;"",B514&gt;='Uang Riba'!$H$30,B514&lt;='Uang Riba'!$I$30,OR(H514="Dana riba",H514="Pinjam uang riba",I514="Pinjam dari uang riba",I514="Ganti uang riba",I514="Kelebihan ganti dikembalikan",AND(C514="Kantong Uang Riba",G514="Pengeluaran"))),1,0)</f>
        <v/>
      </c>
      <c r="X514" s="93">
        <f>IF(AND(B514&lt;&gt;"",B514&gt;='Buku Akun'!$H$4,B514&lt;='Buku Akun'!$H$5,OR(C514='Buku Akun'!$C$4,AND(D514="Pindah",E514='Buku Akun'!$C$4))),B514+IF(AND(I514="Selisih bunga",DAY(B514)=1),0,0.01)+ROW()/10000000,"")</f>
        <v/>
      </c>
    </row>
    <row r="515" outlineLevel="1" ht="15" customHeight="1" s="94">
      <c r="A515" s="123">
        <f>IF(B515="","",ROW()-15)</f>
        <v/>
      </c>
      <c r="B515" s="124" t="n"/>
      <c r="C515" s="123" t="n"/>
      <c r="D515" s="123" t="n"/>
      <c r="E515" s="123" t="n"/>
      <c r="F515" s="125" t="n"/>
      <c r="G515" s="123" t="n"/>
      <c r="H515" s="123" t="n"/>
      <c r="I515" s="123" t="n"/>
      <c r="J515" s="123" t="n"/>
      <c r="K515" s="123" t="n"/>
      <c r="L515" s="123" t="n"/>
      <c r="M515" s="123">
        <f>IF(AND(B515&lt;&gt;"",OR($C$4="",ISNUMBER(SEARCH($C$4,C515&amp;" "&amp;E515&amp;" "&amp;G515&amp;" "&amp;H515&amp;" "&amp;I515&amp;" "&amp;J515&amp;" "&amp;K515&amp;" "&amp;L515))),OR($C$5="Semua",$C$5="",G515=$C$5),OR($C$6="Semua",$C$6="",H515=$C$6,H515="Pengeluaran "&amp;$C$6,AND($C$6="Uang Kos Mama",H515="Pengeluaran Uang Kos")),OR($C$7="Semua",$C$7="",I515=$C$7),OR($C$8="Semua",$C$8="",C515=$C$8,E515=$C$8),OR($C$9="Semua",$C$9="",D515=$C$9),OR($C$10="",B515&gt;=$C$10),OR($C$11="",B515&lt;=$C$11),OR($C$12&lt;&gt;"Ya",K515&lt;&gt;""),OR($C$13="Semua",$C$13="",L515=$C$13)),"✓","")</f>
        <v/>
      </c>
      <c r="N515" s="93">
        <f>N(N514)+IF(M515="✓",1,0)</f>
        <v/>
      </c>
      <c r="O515" s="93">
        <f>N(O514)+IF(AND(B515&lt;&gt;"",B515&gt;='Uang Riba'!$H$30,B515&lt;='Uang Riba'!$I$30,OR(H515="Dana riba",H515="Pinjam uang riba",I515="Pinjam dari uang riba",I515="Ganti uang riba",I515="Kelebihan ganti dikembalikan",AND(C515="Kantong Uang Riba",G515="Pengeluaran"))),1,0)</f>
        <v/>
      </c>
      <c r="X515" s="93">
        <f>IF(AND(B515&lt;&gt;"",B515&gt;='Buku Akun'!$H$4,B515&lt;='Buku Akun'!$H$5,OR(C515='Buku Akun'!$C$4,AND(D515="Pindah",E515='Buku Akun'!$C$4))),B515+IF(AND(I515="Selisih bunga",DAY(B515)=1),0,0.01)+ROW()/10000000,"")</f>
        <v/>
      </c>
    </row>
    <row r="516" outlineLevel="1" ht="15" customHeight="1" s="94">
      <c r="A516" s="123">
        <f>IF(B516="","",ROW()-15)</f>
        <v/>
      </c>
      <c r="B516" s="124" t="n"/>
      <c r="C516" s="123" t="n"/>
      <c r="D516" s="123" t="n"/>
      <c r="E516" s="123" t="n"/>
      <c r="F516" s="125" t="n"/>
      <c r="G516" s="123" t="n"/>
      <c r="H516" s="123" t="n"/>
      <c r="I516" s="123" t="n"/>
      <c r="J516" s="123" t="n"/>
      <c r="K516" s="123" t="n"/>
      <c r="L516" s="123" t="n"/>
      <c r="M516" s="123">
        <f>IF(AND(B516&lt;&gt;"",OR($C$4="",ISNUMBER(SEARCH($C$4,C516&amp;" "&amp;E516&amp;" "&amp;G516&amp;" "&amp;H516&amp;" "&amp;I516&amp;" "&amp;J516&amp;" "&amp;K516&amp;" "&amp;L516))),OR($C$5="Semua",$C$5="",G516=$C$5),OR($C$6="Semua",$C$6="",H516=$C$6,H516="Pengeluaran "&amp;$C$6,AND($C$6="Uang Kos Mama",H516="Pengeluaran Uang Kos")),OR($C$7="Semua",$C$7="",I516=$C$7),OR($C$8="Semua",$C$8="",C516=$C$8,E516=$C$8),OR($C$9="Semua",$C$9="",D516=$C$9),OR($C$10="",B516&gt;=$C$10),OR($C$11="",B516&lt;=$C$11),OR($C$12&lt;&gt;"Ya",K516&lt;&gt;""),OR($C$13="Semua",$C$13="",L516=$C$13)),"✓","")</f>
        <v/>
      </c>
      <c r="N516" s="93">
        <f>N(N515)+IF(M516="✓",1,0)</f>
        <v/>
      </c>
      <c r="O516" s="93">
        <f>N(O515)+IF(AND(B516&lt;&gt;"",B516&gt;='Uang Riba'!$H$30,B516&lt;='Uang Riba'!$I$30,OR(H516="Dana riba",H516="Pinjam uang riba",I516="Pinjam dari uang riba",I516="Ganti uang riba",I516="Kelebihan ganti dikembalikan",AND(C516="Kantong Uang Riba",G516="Pengeluaran"))),1,0)</f>
        <v/>
      </c>
      <c r="X516" s="93">
        <f>IF(AND(B516&lt;&gt;"",B516&gt;='Buku Akun'!$H$4,B516&lt;='Buku Akun'!$H$5,OR(C516='Buku Akun'!$C$4,AND(D516="Pindah",E516='Buku Akun'!$C$4))),B516+IF(AND(I516="Selisih bunga",DAY(B516)=1),0,0.01)+ROW()/10000000,"")</f>
        <v/>
      </c>
    </row>
    <row r="517" outlineLevel="1" ht="15" customHeight="1" s="94">
      <c r="A517" s="123">
        <f>IF(B517="","",ROW()-15)</f>
        <v/>
      </c>
      <c r="B517" s="124" t="n"/>
      <c r="C517" s="123" t="n"/>
      <c r="D517" s="123" t="n"/>
      <c r="E517" s="123" t="n"/>
      <c r="F517" s="125" t="n"/>
      <c r="G517" s="123" t="n"/>
      <c r="H517" s="123" t="n"/>
      <c r="I517" s="123" t="n"/>
      <c r="J517" s="123" t="n"/>
      <c r="K517" s="123" t="n"/>
      <c r="L517" s="123" t="n"/>
      <c r="M517" s="123">
        <f>IF(AND(B517&lt;&gt;"",OR($C$4="",ISNUMBER(SEARCH($C$4,C517&amp;" "&amp;E517&amp;" "&amp;G517&amp;" "&amp;H517&amp;" "&amp;I517&amp;" "&amp;J517&amp;" "&amp;K517&amp;" "&amp;L517))),OR($C$5="Semua",$C$5="",G517=$C$5),OR($C$6="Semua",$C$6="",H517=$C$6,H517="Pengeluaran "&amp;$C$6,AND($C$6="Uang Kos Mama",H517="Pengeluaran Uang Kos")),OR($C$7="Semua",$C$7="",I517=$C$7),OR($C$8="Semua",$C$8="",C517=$C$8,E517=$C$8),OR($C$9="Semua",$C$9="",D517=$C$9),OR($C$10="",B517&gt;=$C$10),OR($C$11="",B517&lt;=$C$11),OR($C$12&lt;&gt;"Ya",K517&lt;&gt;""),OR($C$13="Semua",$C$13="",L517=$C$13)),"✓","")</f>
        <v/>
      </c>
      <c r="N517" s="93">
        <f>N(N516)+IF(M517="✓",1,0)</f>
        <v/>
      </c>
      <c r="O517" s="93">
        <f>N(O516)+IF(AND(B517&lt;&gt;"",B517&gt;='Uang Riba'!$H$30,B517&lt;='Uang Riba'!$I$30,OR(H517="Dana riba",H517="Pinjam uang riba",I517="Pinjam dari uang riba",I517="Ganti uang riba",I517="Kelebihan ganti dikembalikan",AND(C517="Kantong Uang Riba",G517="Pengeluaran"))),1,0)</f>
        <v/>
      </c>
      <c r="X517" s="93">
        <f>IF(AND(B517&lt;&gt;"",B517&gt;='Buku Akun'!$H$4,B517&lt;='Buku Akun'!$H$5,OR(C517='Buku Akun'!$C$4,AND(D517="Pindah",E517='Buku Akun'!$C$4))),B517+IF(AND(I517="Selisih bunga",DAY(B517)=1),0,0.01)+ROW()/10000000,"")</f>
        <v/>
      </c>
    </row>
    <row r="518" outlineLevel="1" ht="15" customHeight="1" s="94">
      <c r="A518" s="123">
        <f>IF(B518="","",ROW()-15)</f>
        <v/>
      </c>
      <c r="B518" s="124" t="n"/>
      <c r="C518" s="123" t="n"/>
      <c r="D518" s="123" t="n"/>
      <c r="E518" s="123" t="n"/>
      <c r="F518" s="125" t="n"/>
      <c r="G518" s="123" t="n"/>
      <c r="H518" s="123" t="n"/>
      <c r="I518" s="123" t="n"/>
      <c r="J518" s="123" t="n"/>
      <c r="K518" s="123" t="n"/>
      <c r="L518" s="123" t="n"/>
      <c r="M518" s="123">
        <f>IF(AND(B518&lt;&gt;"",OR($C$4="",ISNUMBER(SEARCH($C$4,C518&amp;" "&amp;E518&amp;" "&amp;G518&amp;" "&amp;H518&amp;" "&amp;I518&amp;" "&amp;J518&amp;" "&amp;K518&amp;" "&amp;L518))),OR($C$5="Semua",$C$5="",G518=$C$5),OR($C$6="Semua",$C$6="",H518=$C$6,H518="Pengeluaran "&amp;$C$6,AND($C$6="Uang Kos Mama",H518="Pengeluaran Uang Kos")),OR($C$7="Semua",$C$7="",I518=$C$7),OR($C$8="Semua",$C$8="",C518=$C$8,E518=$C$8),OR($C$9="Semua",$C$9="",D518=$C$9),OR($C$10="",B518&gt;=$C$10),OR($C$11="",B518&lt;=$C$11),OR($C$12&lt;&gt;"Ya",K518&lt;&gt;""),OR($C$13="Semua",$C$13="",L518=$C$13)),"✓","")</f>
        <v/>
      </c>
      <c r="N518" s="93">
        <f>N(N517)+IF(M518="✓",1,0)</f>
        <v/>
      </c>
      <c r="O518" s="93">
        <f>N(O517)+IF(AND(B518&lt;&gt;"",B518&gt;='Uang Riba'!$H$30,B518&lt;='Uang Riba'!$I$30,OR(H518="Dana riba",H518="Pinjam uang riba",I518="Pinjam dari uang riba",I518="Ganti uang riba",I518="Kelebihan ganti dikembalikan",AND(C518="Kantong Uang Riba",G518="Pengeluaran"))),1,0)</f>
        <v/>
      </c>
      <c r="X518" s="93">
        <f>IF(AND(B518&lt;&gt;"",B518&gt;='Buku Akun'!$H$4,B518&lt;='Buku Akun'!$H$5,OR(C518='Buku Akun'!$C$4,AND(D518="Pindah",E518='Buku Akun'!$C$4))),B518+IF(AND(I518="Selisih bunga",DAY(B518)=1),0,0.01)+ROW()/10000000,"")</f>
        <v/>
      </c>
    </row>
    <row r="519" outlineLevel="1" ht="15" customHeight="1" s="94">
      <c r="A519" s="123">
        <f>IF(B519="","",ROW()-15)</f>
        <v/>
      </c>
      <c r="B519" s="124" t="n"/>
      <c r="C519" s="123" t="n"/>
      <c r="D519" s="123" t="n"/>
      <c r="E519" s="123" t="n"/>
      <c r="F519" s="125" t="n"/>
      <c r="G519" s="123" t="n"/>
      <c r="H519" s="123" t="n"/>
      <c r="I519" s="123" t="n"/>
      <c r="J519" s="123" t="n"/>
      <c r="K519" s="123" t="n"/>
      <c r="L519" s="123" t="n"/>
      <c r="M519" s="123">
        <f>IF(AND(B519&lt;&gt;"",OR($C$4="",ISNUMBER(SEARCH($C$4,C519&amp;" "&amp;E519&amp;" "&amp;G519&amp;" "&amp;H519&amp;" "&amp;I519&amp;" "&amp;J519&amp;" "&amp;K519&amp;" "&amp;L519))),OR($C$5="Semua",$C$5="",G519=$C$5),OR($C$6="Semua",$C$6="",H519=$C$6,H519="Pengeluaran "&amp;$C$6,AND($C$6="Uang Kos Mama",H519="Pengeluaran Uang Kos")),OR($C$7="Semua",$C$7="",I519=$C$7),OR($C$8="Semua",$C$8="",C519=$C$8,E519=$C$8),OR($C$9="Semua",$C$9="",D519=$C$9),OR($C$10="",B519&gt;=$C$10),OR($C$11="",B519&lt;=$C$11),OR($C$12&lt;&gt;"Ya",K519&lt;&gt;""),OR($C$13="Semua",$C$13="",L519=$C$13)),"✓","")</f>
        <v/>
      </c>
      <c r="N519" s="93">
        <f>N(N518)+IF(M519="✓",1,0)</f>
        <v/>
      </c>
      <c r="O519" s="93">
        <f>N(O518)+IF(AND(B519&lt;&gt;"",B519&gt;='Uang Riba'!$H$30,B519&lt;='Uang Riba'!$I$30,OR(H519="Dana riba",H519="Pinjam uang riba",I519="Pinjam dari uang riba",I519="Ganti uang riba",I519="Kelebihan ganti dikembalikan",AND(C519="Kantong Uang Riba",G519="Pengeluaran"))),1,0)</f>
        <v/>
      </c>
      <c r="X519" s="93">
        <f>IF(AND(B519&lt;&gt;"",B519&gt;='Buku Akun'!$H$4,B519&lt;='Buku Akun'!$H$5,OR(C519='Buku Akun'!$C$4,AND(D519="Pindah",E519='Buku Akun'!$C$4))),B519+IF(AND(I519="Selisih bunga",DAY(B519)=1),0,0.01)+ROW()/10000000,"")</f>
        <v/>
      </c>
    </row>
    <row r="520" outlineLevel="1" ht="15" customHeight="1" s="94">
      <c r="A520" s="123">
        <f>IF(B520="","",ROW()-15)</f>
        <v/>
      </c>
      <c r="B520" s="124" t="n"/>
      <c r="C520" s="123" t="n"/>
      <c r="D520" s="123" t="n"/>
      <c r="E520" s="123" t="n"/>
      <c r="F520" s="125" t="n"/>
      <c r="G520" s="123" t="n"/>
      <c r="H520" s="123" t="n"/>
      <c r="I520" s="123" t="n"/>
      <c r="J520" s="123" t="n"/>
      <c r="K520" s="123" t="n"/>
      <c r="L520" s="123" t="n"/>
      <c r="M520" s="123">
        <f>IF(AND(B520&lt;&gt;"",OR($C$4="",ISNUMBER(SEARCH($C$4,C520&amp;" "&amp;E520&amp;" "&amp;G520&amp;" "&amp;H520&amp;" "&amp;I520&amp;" "&amp;J520&amp;" "&amp;K520&amp;" "&amp;L520))),OR($C$5="Semua",$C$5="",G520=$C$5),OR($C$6="Semua",$C$6="",H520=$C$6,H520="Pengeluaran "&amp;$C$6,AND($C$6="Uang Kos Mama",H520="Pengeluaran Uang Kos")),OR($C$7="Semua",$C$7="",I520=$C$7),OR($C$8="Semua",$C$8="",C520=$C$8,E520=$C$8),OR($C$9="Semua",$C$9="",D520=$C$9),OR($C$10="",B520&gt;=$C$10),OR($C$11="",B520&lt;=$C$11),OR($C$12&lt;&gt;"Ya",K520&lt;&gt;""),OR($C$13="Semua",$C$13="",L520=$C$13)),"✓","")</f>
        <v/>
      </c>
      <c r="N520" s="93">
        <f>N(N519)+IF(M520="✓",1,0)</f>
        <v/>
      </c>
      <c r="O520" s="93">
        <f>N(O519)+IF(AND(B520&lt;&gt;"",B520&gt;='Uang Riba'!$H$30,B520&lt;='Uang Riba'!$I$30,OR(H520="Dana riba",H520="Pinjam uang riba",I520="Pinjam dari uang riba",I520="Ganti uang riba",I520="Kelebihan ganti dikembalikan",AND(C520="Kantong Uang Riba",G520="Pengeluaran"))),1,0)</f>
        <v/>
      </c>
      <c r="X520" s="93">
        <f>IF(AND(B520&lt;&gt;"",B520&gt;='Buku Akun'!$H$4,B520&lt;='Buku Akun'!$H$5,OR(C520='Buku Akun'!$C$4,AND(D520="Pindah",E520='Buku Akun'!$C$4))),B520+IF(AND(I520="Selisih bunga",DAY(B520)=1),0,0.01)+ROW()/10000000,"")</f>
        <v/>
      </c>
    </row>
    <row r="521" outlineLevel="1" ht="15" customHeight="1" s="94">
      <c r="A521" s="123">
        <f>IF(B521="","",ROW()-15)</f>
        <v/>
      </c>
      <c r="B521" s="124" t="n"/>
      <c r="C521" s="123" t="n"/>
      <c r="D521" s="123" t="n"/>
      <c r="E521" s="123" t="n"/>
      <c r="F521" s="125" t="n"/>
      <c r="G521" s="123" t="n"/>
      <c r="H521" s="123" t="n"/>
      <c r="I521" s="123" t="n"/>
      <c r="J521" s="123" t="n"/>
      <c r="K521" s="123" t="n"/>
      <c r="L521" s="123" t="n"/>
      <c r="M521" s="123">
        <f>IF(AND(B521&lt;&gt;"",OR($C$4="",ISNUMBER(SEARCH($C$4,C521&amp;" "&amp;E521&amp;" "&amp;G521&amp;" "&amp;H521&amp;" "&amp;I521&amp;" "&amp;J521&amp;" "&amp;K521&amp;" "&amp;L521))),OR($C$5="Semua",$C$5="",G521=$C$5),OR($C$6="Semua",$C$6="",H521=$C$6,H521="Pengeluaran "&amp;$C$6,AND($C$6="Uang Kos Mama",H521="Pengeluaran Uang Kos")),OR($C$7="Semua",$C$7="",I521=$C$7),OR($C$8="Semua",$C$8="",C521=$C$8,E521=$C$8),OR($C$9="Semua",$C$9="",D521=$C$9),OR($C$10="",B521&gt;=$C$10),OR($C$11="",B521&lt;=$C$11),OR($C$12&lt;&gt;"Ya",K521&lt;&gt;""),OR($C$13="Semua",$C$13="",L521=$C$13)),"✓","")</f>
        <v/>
      </c>
      <c r="N521" s="93">
        <f>N(N520)+IF(M521="✓",1,0)</f>
        <v/>
      </c>
      <c r="O521" s="93">
        <f>N(O520)+IF(AND(B521&lt;&gt;"",B521&gt;='Uang Riba'!$H$30,B521&lt;='Uang Riba'!$I$30,OR(H521="Dana riba",H521="Pinjam uang riba",I521="Pinjam dari uang riba",I521="Ganti uang riba",I521="Kelebihan ganti dikembalikan",AND(C521="Kantong Uang Riba",G521="Pengeluaran"))),1,0)</f>
        <v/>
      </c>
      <c r="X521" s="93">
        <f>IF(AND(B521&lt;&gt;"",B521&gt;='Buku Akun'!$H$4,B521&lt;='Buku Akun'!$H$5,OR(C521='Buku Akun'!$C$4,AND(D521="Pindah",E521='Buku Akun'!$C$4))),B521+IF(AND(I521="Selisih bunga",DAY(B521)=1),0,0.01)+ROW()/10000000,"")</f>
        <v/>
      </c>
    </row>
    <row r="522" outlineLevel="1" ht="15" customHeight="1" s="94">
      <c r="A522" s="123">
        <f>IF(B522="","",ROW()-15)</f>
        <v/>
      </c>
      <c r="B522" s="124" t="n"/>
      <c r="C522" s="123" t="n"/>
      <c r="D522" s="123" t="n"/>
      <c r="E522" s="123" t="n"/>
      <c r="F522" s="125" t="n"/>
      <c r="G522" s="123" t="n"/>
      <c r="H522" s="123" t="n"/>
      <c r="I522" s="123" t="n"/>
      <c r="J522" s="123" t="n"/>
      <c r="K522" s="123" t="n"/>
      <c r="L522" s="123" t="n"/>
      <c r="M522" s="123">
        <f>IF(AND(B522&lt;&gt;"",OR($C$4="",ISNUMBER(SEARCH($C$4,C522&amp;" "&amp;E522&amp;" "&amp;G522&amp;" "&amp;H522&amp;" "&amp;I522&amp;" "&amp;J522&amp;" "&amp;K522&amp;" "&amp;L522))),OR($C$5="Semua",$C$5="",G522=$C$5),OR($C$6="Semua",$C$6="",H522=$C$6,H522="Pengeluaran "&amp;$C$6,AND($C$6="Uang Kos Mama",H522="Pengeluaran Uang Kos")),OR($C$7="Semua",$C$7="",I522=$C$7),OR($C$8="Semua",$C$8="",C522=$C$8,E522=$C$8),OR($C$9="Semua",$C$9="",D522=$C$9),OR($C$10="",B522&gt;=$C$10),OR($C$11="",B522&lt;=$C$11),OR($C$12&lt;&gt;"Ya",K522&lt;&gt;""),OR($C$13="Semua",$C$13="",L522=$C$13)),"✓","")</f>
        <v/>
      </c>
      <c r="N522" s="93">
        <f>N(N521)+IF(M522="✓",1,0)</f>
        <v/>
      </c>
      <c r="O522" s="93">
        <f>N(O521)+IF(AND(B522&lt;&gt;"",B522&gt;='Uang Riba'!$H$30,B522&lt;='Uang Riba'!$I$30,OR(H522="Dana riba",H522="Pinjam uang riba",I522="Pinjam dari uang riba",I522="Ganti uang riba",I522="Kelebihan ganti dikembalikan",AND(C522="Kantong Uang Riba",G522="Pengeluaran"))),1,0)</f>
        <v/>
      </c>
      <c r="X522" s="93">
        <f>IF(AND(B522&lt;&gt;"",B522&gt;='Buku Akun'!$H$4,B522&lt;='Buku Akun'!$H$5,OR(C522='Buku Akun'!$C$4,AND(D522="Pindah",E522='Buku Akun'!$C$4))),B522+IF(AND(I522="Selisih bunga",DAY(B522)=1),0,0.01)+ROW()/10000000,"")</f>
        <v/>
      </c>
    </row>
    <row r="523" outlineLevel="1" ht="15" customHeight="1" s="94">
      <c r="A523" s="123">
        <f>IF(B523="","",ROW()-15)</f>
        <v/>
      </c>
      <c r="B523" s="124" t="n"/>
      <c r="C523" s="123" t="n"/>
      <c r="D523" s="123" t="n"/>
      <c r="E523" s="123" t="n"/>
      <c r="F523" s="125" t="n"/>
      <c r="G523" s="123" t="n"/>
      <c r="H523" s="123" t="n"/>
      <c r="I523" s="123" t="n"/>
      <c r="J523" s="123" t="n"/>
      <c r="K523" s="123" t="n"/>
      <c r="L523" s="123" t="n"/>
      <c r="M523" s="123">
        <f>IF(AND(B523&lt;&gt;"",OR($C$4="",ISNUMBER(SEARCH($C$4,C523&amp;" "&amp;E523&amp;" "&amp;G523&amp;" "&amp;H523&amp;" "&amp;I523&amp;" "&amp;J523&amp;" "&amp;K523&amp;" "&amp;L523))),OR($C$5="Semua",$C$5="",G523=$C$5),OR($C$6="Semua",$C$6="",H523=$C$6,H523="Pengeluaran "&amp;$C$6,AND($C$6="Uang Kos Mama",H523="Pengeluaran Uang Kos")),OR($C$7="Semua",$C$7="",I523=$C$7),OR($C$8="Semua",$C$8="",C523=$C$8,E523=$C$8),OR($C$9="Semua",$C$9="",D523=$C$9),OR($C$10="",B523&gt;=$C$10),OR($C$11="",B523&lt;=$C$11),OR($C$12&lt;&gt;"Ya",K523&lt;&gt;""),OR($C$13="Semua",$C$13="",L523=$C$13)),"✓","")</f>
        <v/>
      </c>
      <c r="N523" s="93">
        <f>N(N522)+IF(M523="✓",1,0)</f>
        <v/>
      </c>
      <c r="O523" s="93">
        <f>N(O522)+IF(AND(B523&lt;&gt;"",B523&gt;='Uang Riba'!$H$30,B523&lt;='Uang Riba'!$I$30,OR(H523="Dana riba",H523="Pinjam uang riba",I523="Pinjam dari uang riba",I523="Ganti uang riba",I523="Kelebihan ganti dikembalikan",AND(C523="Kantong Uang Riba",G523="Pengeluaran"))),1,0)</f>
        <v/>
      </c>
      <c r="X523" s="93">
        <f>IF(AND(B523&lt;&gt;"",B523&gt;='Buku Akun'!$H$4,B523&lt;='Buku Akun'!$H$5,OR(C523='Buku Akun'!$C$4,AND(D523="Pindah",E523='Buku Akun'!$C$4))),B523+IF(AND(I523="Selisih bunga",DAY(B523)=1),0,0.01)+ROW()/10000000,"")</f>
        <v/>
      </c>
    </row>
    <row r="524" outlineLevel="1" ht="15" customHeight="1" s="94">
      <c r="A524" s="123">
        <f>IF(B524="","",ROW()-15)</f>
        <v/>
      </c>
      <c r="B524" s="124" t="n"/>
      <c r="C524" s="123" t="n"/>
      <c r="D524" s="123" t="n"/>
      <c r="E524" s="123" t="n"/>
      <c r="F524" s="125" t="n"/>
      <c r="G524" s="123" t="n"/>
      <c r="H524" s="123" t="n"/>
      <c r="I524" s="123" t="n"/>
      <c r="J524" s="123" t="n"/>
      <c r="K524" s="123" t="n"/>
      <c r="L524" s="123" t="n"/>
      <c r="M524" s="123">
        <f>IF(AND(B524&lt;&gt;"",OR($C$4="",ISNUMBER(SEARCH($C$4,C524&amp;" "&amp;E524&amp;" "&amp;G524&amp;" "&amp;H524&amp;" "&amp;I524&amp;" "&amp;J524&amp;" "&amp;K524&amp;" "&amp;L524))),OR($C$5="Semua",$C$5="",G524=$C$5),OR($C$6="Semua",$C$6="",H524=$C$6,H524="Pengeluaran "&amp;$C$6,AND($C$6="Uang Kos Mama",H524="Pengeluaran Uang Kos")),OR($C$7="Semua",$C$7="",I524=$C$7),OR($C$8="Semua",$C$8="",C524=$C$8,E524=$C$8),OR($C$9="Semua",$C$9="",D524=$C$9),OR($C$10="",B524&gt;=$C$10),OR($C$11="",B524&lt;=$C$11),OR($C$12&lt;&gt;"Ya",K524&lt;&gt;""),OR($C$13="Semua",$C$13="",L524=$C$13)),"✓","")</f>
        <v/>
      </c>
      <c r="N524" s="93">
        <f>N(N523)+IF(M524="✓",1,0)</f>
        <v/>
      </c>
      <c r="O524" s="93">
        <f>N(O523)+IF(AND(B524&lt;&gt;"",B524&gt;='Uang Riba'!$H$30,B524&lt;='Uang Riba'!$I$30,OR(H524="Dana riba",H524="Pinjam uang riba",I524="Pinjam dari uang riba",I524="Ganti uang riba",I524="Kelebihan ganti dikembalikan",AND(C524="Kantong Uang Riba",G524="Pengeluaran"))),1,0)</f>
        <v/>
      </c>
      <c r="X524" s="93">
        <f>IF(AND(B524&lt;&gt;"",B524&gt;='Buku Akun'!$H$4,B524&lt;='Buku Akun'!$H$5,OR(C524='Buku Akun'!$C$4,AND(D524="Pindah",E524='Buku Akun'!$C$4))),B524+IF(AND(I524="Selisih bunga",DAY(B524)=1),0,0.01)+ROW()/10000000,"")</f>
        <v/>
      </c>
    </row>
    <row r="525" outlineLevel="1" ht="15" customHeight="1" s="94">
      <c r="A525" s="123">
        <f>IF(B525="","",ROW()-15)</f>
        <v/>
      </c>
      <c r="B525" s="124" t="n"/>
      <c r="C525" s="123" t="n"/>
      <c r="D525" s="123" t="n"/>
      <c r="E525" s="123" t="n"/>
      <c r="F525" s="125" t="n"/>
      <c r="G525" s="123" t="n"/>
      <c r="H525" s="123" t="n"/>
      <c r="I525" s="123" t="n"/>
      <c r="J525" s="123" t="n"/>
      <c r="K525" s="123" t="n"/>
      <c r="L525" s="123" t="n"/>
      <c r="M525" s="123">
        <f>IF(AND(B525&lt;&gt;"",OR($C$4="",ISNUMBER(SEARCH($C$4,C525&amp;" "&amp;E525&amp;" "&amp;G525&amp;" "&amp;H525&amp;" "&amp;I525&amp;" "&amp;J525&amp;" "&amp;K525&amp;" "&amp;L525))),OR($C$5="Semua",$C$5="",G525=$C$5),OR($C$6="Semua",$C$6="",H525=$C$6,H525="Pengeluaran "&amp;$C$6,AND($C$6="Uang Kos Mama",H525="Pengeluaran Uang Kos")),OR($C$7="Semua",$C$7="",I525=$C$7),OR($C$8="Semua",$C$8="",C525=$C$8,E525=$C$8),OR($C$9="Semua",$C$9="",D525=$C$9),OR($C$10="",B525&gt;=$C$10),OR($C$11="",B525&lt;=$C$11),OR($C$12&lt;&gt;"Ya",K525&lt;&gt;""),OR($C$13="Semua",$C$13="",L525=$C$13)),"✓","")</f>
        <v/>
      </c>
      <c r="N525" s="93">
        <f>N(N524)+IF(M525="✓",1,0)</f>
        <v/>
      </c>
      <c r="O525" s="93">
        <f>N(O524)+IF(AND(B525&lt;&gt;"",B525&gt;='Uang Riba'!$H$30,B525&lt;='Uang Riba'!$I$30,OR(H525="Dana riba",H525="Pinjam uang riba",I525="Pinjam dari uang riba",I525="Ganti uang riba",I525="Kelebihan ganti dikembalikan",AND(C525="Kantong Uang Riba",G525="Pengeluaran"))),1,0)</f>
        <v/>
      </c>
      <c r="X525" s="93">
        <f>IF(AND(B525&lt;&gt;"",B525&gt;='Buku Akun'!$H$4,B525&lt;='Buku Akun'!$H$5,OR(C525='Buku Akun'!$C$4,AND(D525="Pindah",E525='Buku Akun'!$C$4))),B525+IF(AND(I525="Selisih bunga",DAY(B525)=1),0,0.01)+ROW()/10000000,"")</f>
        <v/>
      </c>
    </row>
    <row r="526" outlineLevel="1" ht="15" customHeight="1" s="94">
      <c r="A526" s="123">
        <f>IF(B526="","",ROW()-15)</f>
        <v/>
      </c>
      <c r="B526" s="124" t="n"/>
      <c r="C526" s="123" t="n"/>
      <c r="D526" s="123" t="n"/>
      <c r="E526" s="123" t="n"/>
      <c r="F526" s="125" t="n"/>
      <c r="G526" s="123" t="n"/>
      <c r="H526" s="123" t="n"/>
      <c r="I526" s="123" t="n"/>
      <c r="J526" s="123" t="n"/>
      <c r="K526" s="123" t="n"/>
      <c r="L526" s="123" t="n"/>
      <c r="M526" s="123">
        <f>IF(AND(B526&lt;&gt;"",OR($C$4="",ISNUMBER(SEARCH($C$4,C526&amp;" "&amp;E526&amp;" "&amp;G526&amp;" "&amp;H526&amp;" "&amp;I526&amp;" "&amp;J526&amp;" "&amp;K526&amp;" "&amp;L526))),OR($C$5="Semua",$C$5="",G526=$C$5),OR($C$6="Semua",$C$6="",H526=$C$6,H526="Pengeluaran "&amp;$C$6,AND($C$6="Uang Kos Mama",H526="Pengeluaran Uang Kos")),OR($C$7="Semua",$C$7="",I526=$C$7),OR($C$8="Semua",$C$8="",C526=$C$8,E526=$C$8),OR($C$9="Semua",$C$9="",D526=$C$9),OR($C$10="",B526&gt;=$C$10),OR($C$11="",B526&lt;=$C$11),OR($C$12&lt;&gt;"Ya",K526&lt;&gt;""),OR($C$13="Semua",$C$13="",L526=$C$13)),"✓","")</f>
        <v/>
      </c>
      <c r="N526" s="93">
        <f>N(N525)+IF(M526="✓",1,0)</f>
        <v/>
      </c>
      <c r="O526" s="93">
        <f>N(O525)+IF(AND(B526&lt;&gt;"",B526&gt;='Uang Riba'!$H$30,B526&lt;='Uang Riba'!$I$30,OR(H526="Dana riba",H526="Pinjam uang riba",I526="Pinjam dari uang riba",I526="Ganti uang riba",I526="Kelebihan ganti dikembalikan",AND(C526="Kantong Uang Riba",G526="Pengeluaran"))),1,0)</f>
        <v/>
      </c>
      <c r="X526" s="93">
        <f>IF(AND(B526&lt;&gt;"",B526&gt;='Buku Akun'!$H$4,B526&lt;='Buku Akun'!$H$5,OR(C526='Buku Akun'!$C$4,AND(D526="Pindah",E526='Buku Akun'!$C$4))),B526+IF(AND(I526="Selisih bunga",DAY(B526)=1),0,0.01)+ROW()/10000000,"")</f>
        <v/>
      </c>
    </row>
    <row r="527" outlineLevel="1" ht="15" customHeight="1" s="94">
      <c r="A527" s="123">
        <f>IF(B527="","",ROW()-15)</f>
        <v/>
      </c>
      <c r="B527" s="124" t="n"/>
      <c r="C527" s="123" t="n"/>
      <c r="D527" s="123" t="n"/>
      <c r="E527" s="123" t="n"/>
      <c r="F527" s="125" t="n"/>
      <c r="G527" s="123" t="n"/>
      <c r="H527" s="123" t="n"/>
      <c r="I527" s="123" t="n"/>
      <c r="J527" s="123" t="n"/>
      <c r="K527" s="123" t="n"/>
      <c r="L527" s="123" t="n"/>
      <c r="M527" s="123">
        <f>IF(AND(B527&lt;&gt;"",OR($C$4="",ISNUMBER(SEARCH($C$4,C527&amp;" "&amp;E527&amp;" "&amp;G527&amp;" "&amp;H527&amp;" "&amp;I527&amp;" "&amp;J527&amp;" "&amp;K527&amp;" "&amp;L527))),OR($C$5="Semua",$C$5="",G527=$C$5),OR($C$6="Semua",$C$6="",H527=$C$6,H527="Pengeluaran "&amp;$C$6,AND($C$6="Uang Kos Mama",H527="Pengeluaran Uang Kos")),OR($C$7="Semua",$C$7="",I527=$C$7),OR($C$8="Semua",$C$8="",C527=$C$8,E527=$C$8),OR($C$9="Semua",$C$9="",D527=$C$9),OR($C$10="",B527&gt;=$C$10),OR($C$11="",B527&lt;=$C$11),OR($C$12&lt;&gt;"Ya",K527&lt;&gt;""),OR($C$13="Semua",$C$13="",L527=$C$13)),"✓","")</f>
        <v/>
      </c>
      <c r="N527" s="93">
        <f>N(N526)+IF(M527="✓",1,0)</f>
        <v/>
      </c>
      <c r="O527" s="93">
        <f>N(O526)+IF(AND(B527&lt;&gt;"",B527&gt;='Uang Riba'!$H$30,B527&lt;='Uang Riba'!$I$30,OR(H527="Dana riba",H527="Pinjam uang riba",I527="Pinjam dari uang riba",I527="Ganti uang riba",I527="Kelebihan ganti dikembalikan",AND(C527="Kantong Uang Riba",G527="Pengeluaran"))),1,0)</f>
        <v/>
      </c>
      <c r="X527" s="93">
        <f>IF(AND(B527&lt;&gt;"",B527&gt;='Buku Akun'!$H$4,B527&lt;='Buku Akun'!$H$5,OR(C527='Buku Akun'!$C$4,AND(D527="Pindah",E527='Buku Akun'!$C$4))),B527+IF(AND(I527="Selisih bunga",DAY(B527)=1),0,0.01)+ROW()/10000000,"")</f>
        <v/>
      </c>
    </row>
    <row r="528" outlineLevel="1" ht="15" customHeight="1" s="94">
      <c r="A528" s="123">
        <f>IF(B528="","",ROW()-15)</f>
        <v/>
      </c>
      <c r="B528" s="124" t="n"/>
      <c r="C528" s="123" t="n"/>
      <c r="D528" s="123" t="n"/>
      <c r="E528" s="123" t="n"/>
      <c r="F528" s="125" t="n"/>
      <c r="G528" s="123" t="n"/>
      <c r="H528" s="123" t="n"/>
      <c r="I528" s="123" t="n"/>
      <c r="J528" s="123" t="n"/>
      <c r="K528" s="123" t="n"/>
      <c r="L528" s="123" t="n"/>
      <c r="M528" s="123">
        <f>IF(AND(B528&lt;&gt;"",OR($C$4="",ISNUMBER(SEARCH($C$4,C528&amp;" "&amp;E528&amp;" "&amp;G528&amp;" "&amp;H528&amp;" "&amp;I528&amp;" "&amp;J528&amp;" "&amp;K528&amp;" "&amp;L528))),OR($C$5="Semua",$C$5="",G528=$C$5),OR($C$6="Semua",$C$6="",H528=$C$6,H528="Pengeluaran "&amp;$C$6,AND($C$6="Uang Kos Mama",H528="Pengeluaran Uang Kos")),OR($C$7="Semua",$C$7="",I528=$C$7),OR($C$8="Semua",$C$8="",C528=$C$8,E528=$C$8),OR($C$9="Semua",$C$9="",D528=$C$9),OR($C$10="",B528&gt;=$C$10),OR($C$11="",B528&lt;=$C$11),OR($C$12&lt;&gt;"Ya",K528&lt;&gt;""),OR($C$13="Semua",$C$13="",L528=$C$13)),"✓","")</f>
        <v/>
      </c>
      <c r="N528" s="93">
        <f>N(N527)+IF(M528="✓",1,0)</f>
        <v/>
      </c>
      <c r="O528" s="93">
        <f>N(O527)+IF(AND(B528&lt;&gt;"",B528&gt;='Uang Riba'!$H$30,B528&lt;='Uang Riba'!$I$30,OR(H528="Dana riba",H528="Pinjam uang riba",I528="Pinjam dari uang riba",I528="Ganti uang riba",I528="Kelebihan ganti dikembalikan",AND(C528="Kantong Uang Riba",G528="Pengeluaran"))),1,0)</f>
        <v/>
      </c>
      <c r="X528" s="93">
        <f>IF(AND(B528&lt;&gt;"",B528&gt;='Buku Akun'!$H$4,B528&lt;='Buku Akun'!$H$5,OR(C528='Buku Akun'!$C$4,AND(D528="Pindah",E528='Buku Akun'!$C$4))),B528+IF(AND(I528="Selisih bunga",DAY(B528)=1),0,0.01)+ROW()/10000000,"")</f>
        <v/>
      </c>
    </row>
    <row r="529" outlineLevel="1" ht="15" customHeight="1" s="94">
      <c r="A529" s="123">
        <f>IF(B529="","",ROW()-15)</f>
        <v/>
      </c>
      <c r="B529" s="124" t="n"/>
      <c r="C529" s="123" t="n"/>
      <c r="D529" s="123" t="n"/>
      <c r="E529" s="123" t="n"/>
      <c r="F529" s="125" t="n"/>
      <c r="G529" s="123" t="n"/>
      <c r="H529" s="123" t="n"/>
      <c r="I529" s="123" t="n"/>
      <c r="J529" s="123" t="n"/>
      <c r="K529" s="123" t="n"/>
      <c r="L529" s="123" t="n"/>
      <c r="M529" s="123">
        <f>IF(AND(B529&lt;&gt;"",OR($C$4="",ISNUMBER(SEARCH($C$4,C529&amp;" "&amp;E529&amp;" "&amp;G529&amp;" "&amp;H529&amp;" "&amp;I529&amp;" "&amp;J529&amp;" "&amp;K529&amp;" "&amp;L529))),OR($C$5="Semua",$C$5="",G529=$C$5),OR($C$6="Semua",$C$6="",H529=$C$6,H529="Pengeluaran "&amp;$C$6,AND($C$6="Uang Kos Mama",H529="Pengeluaran Uang Kos")),OR($C$7="Semua",$C$7="",I529=$C$7),OR($C$8="Semua",$C$8="",C529=$C$8,E529=$C$8),OR($C$9="Semua",$C$9="",D529=$C$9),OR($C$10="",B529&gt;=$C$10),OR($C$11="",B529&lt;=$C$11),OR($C$12&lt;&gt;"Ya",K529&lt;&gt;""),OR($C$13="Semua",$C$13="",L529=$C$13)),"✓","")</f>
        <v/>
      </c>
      <c r="N529" s="93">
        <f>N(N528)+IF(M529="✓",1,0)</f>
        <v/>
      </c>
      <c r="O529" s="93">
        <f>N(O528)+IF(AND(B529&lt;&gt;"",B529&gt;='Uang Riba'!$H$30,B529&lt;='Uang Riba'!$I$30,OR(H529="Dana riba",H529="Pinjam uang riba",I529="Pinjam dari uang riba",I529="Ganti uang riba",I529="Kelebihan ganti dikembalikan",AND(C529="Kantong Uang Riba",G529="Pengeluaran"))),1,0)</f>
        <v/>
      </c>
      <c r="X529" s="93">
        <f>IF(AND(B529&lt;&gt;"",B529&gt;='Buku Akun'!$H$4,B529&lt;='Buku Akun'!$H$5,OR(C529='Buku Akun'!$C$4,AND(D529="Pindah",E529='Buku Akun'!$C$4))),B529+IF(AND(I529="Selisih bunga",DAY(B529)=1),0,0.01)+ROW()/10000000,"")</f>
        <v/>
      </c>
    </row>
    <row r="530" outlineLevel="1" ht="15" customHeight="1" s="94">
      <c r="A530" s="123">
        <f>IF(B530="","",ROW()-15)</f>
        <v/>
      </c>
      <c r="B530" s="124" t="n"/>
      <c r="C530" s="123" t="n"/>
      <c r="D530" s="123" t="n"/>
      <c r="E530" s="123" t="n"/>
      <c r="F530" s="125" t="n"/>
      <c r="G530" s="123" t="n"/>
      <c r="H530" s="123" t="n"/>
      <c r="I530" s="123" t="n"/>
      <c r="J530" s="123" t="n"/>
      <c r="K530" s="123" t="n"/>
      <c r="L530" s="123" t="n"/>
      <c r="M530" s="123">
        <f>IF(AND(B530&lt;&gt;"",OR($C$4="",ISNUMBER(SEARCH($C$4,C530&amp;" "&amp;E530&amp;" "&amp;G530&amp;" "&amp;H530&amp;" "&amp;I530&amp;" "&amp;J530&amp;" "&amp;K530&amp;" "&amp;L530))),OR($C$5="Semua",$C$5="",G530=$C$5),OR($C$6="Semua",$C$6="",H530=$C$6,H530="Pengeluaran "&amp;$C$6,AND($C$6="Uang Kos Mama",H530="Pengeluaran Uang Kos")),OR($C$7="Semua",$C$7="",I530=$C$7),OR($C$8="Semua",$C$8="",C530=$C$8,E530=$C$8),OR($C$9="Semua",$C$9="",D530=$C$9),OR($C$10="",B530&gt;=$C$10),OR($C$11="",B530&lt;=$C$11),OR($C$12&lt;&gt;"Ya",K530&lt;&gt;""),OR($C$13="Semua",$C$13="",L530=$C$13)),"✓","")</f>
        <v/>
      </c>
      <c r="N530" s="93">
        <f>N(N529)+IF(M530="✓",1,0)</f>
        <v/>
      </c>
      <c r="O530" s="93">
        <f>N(O529)+IF(AND(B530&lt;&gt;"",B530&gt;='Uang Riba'!$H$30,B530&lt;='Uang Riba'!$I$30,OR(H530="Dana riba",H530="Pinjam uang riba",I530="Pinjam dari uang riba",I530="Ganti uang riba",I530="Kelebihan ganti dikembalikan",AND(C530="Kantong Uang Riba",G530="Pengeluaran"))),1,0)</f>
        <v/>
      </c>
      <c r="X530" s="93">
        <f>IF(AND(B530&lt;&gt;"",B530&gt;='Buku Akun'!$H$4,B530&lt;='Buku Akun'!$H$5,OR(C530='Buku Akun'!$C$4,AND(D530="Pindah",E530='Buku Akun'!$C$4))),B530+IF(AND(I530="Selisih bunga",DAY(B530)=1),0,0.01)+ROW()/10000000,"")</f>
        <v/>
      </c>
    </row>
    <row r="531" outlineLevel="1" ht="15" customHeight="1" s="94">
      <c r="A531" s="123">
        <f>IF(B531="","",ROW()-15)</f>
        <v/>
      </c>
      <c r="B531" s="124" t="n"/>
      <c r="C531" s="123" t="n"/>
      <c r="D531" s="123" t="n"/>
      <c r="E531" s="123" t="n"/>
      <c r="F531" s="125" t="n"/>
      <c r="G531" s="123" t="n"/>
      <c r="H531" s="123" t="n"/>
      <c r="I531" s="123" t="n"/>
      <c r="J531" s="123" t="n"/>
      <c r="K531" s="123" t="n"/>
      <c r="L531" s="123" t="n"/>
      <c r="M531" s="123">
        <f>IF(AND(B531&lt;&gt;"",OR($C$4="",ISNUMBER(SEARCH($C$4,C531&amp;" "&amp;E531&amp;" "&amp;G531&amp;" "&amp;H531&amp;" "&amp;I531&amp;" "&amp;J531&amp;" "&amp;K531&amp;" "&amp;L531))),OR($C$5="Semua",$C$5="",G531=$C$5),OR($C$6="Semua",$C$6="",H531=$C$6,H531="Pengeluaran "&amp;$C$6,AND($C$6="Uang Kos Mama",H531="Pengeluaran Uang Kos")),OR($C$7="Semua",$C$7="",I531=$C$7),OR($C$8="Semua",$C$8="",C531=$C$8,E531=$C$8),OR($C$9="Semua",$C$9="",D531=$C$9),OR($C$10="",B531&gt;=$C$10),OR($C$11="",B531&lt;=$C$11),OR($C$12&lt;&gt;"Ya",K531&lt;&gt;""),OR($C$13="Semua",$C$13="",L531=$C$13)),"✓","")</f>
        <v/>
      </c>
      <c r="N531" s="93">
        <f>N(N530)+IF(M531="✓",1,0)</f>
        <v/>
      </c>
      <c r="O531" s="93">
        <f>N(O530)+IF(AND(B531&lt;&gt;"",B531&gt;='Uang Riba'!$H$30,B531&lt;='Uang Riba'!$I$30,OR(H531="Dana riba",H531="Pinjam uang riba",I531="Pinjam dari uang riba",I531="Ganti uang riba",I531="Kelebihan ganti dikembalikan",AND(C531="Kantong Uang Riba",G531="Pengeluaran"))),1,0)</f>
        <v/>
      </c>
      <c r="X531" s="93">
        <f>IF(AND(B531&lt;&gt;"",B531&gt;='Buku Akun'!$H$4,B531&lt;='Buku Akun'!$H$5,OR(C531='Buku Akun'!$C$4,AND(D531="Pindah",E531='Buku Akun'!$C$4))),B531+IF(AND(I531="Selisih bunga",DAY(B531)=1),0,0.01)+ROW()/10000000,"")</f>
        <v/>
      </c>
    </row>
    <row r="532" outlineLevel="1" ht="15" customHeight="1" s="94">
      <c r="A532" s="123">
        <f>IF(B532="","",ROW()-15)</f>
        <v/>
      </c>
      <c r="B532" s="124" t="n"/>
      <c r="C532" s="123" t="n"/>
      <c r="D532" s="123" t="n"/>
      <c r="E532" s="123" t="n"/>
      <c r="F532" s="125" t="n"/>
      <c r="G532" s="123" t="n"/>
      <c r="H532" s="123" t="n"/>
      <c r="I532" s="123" t="n"/>
      <c r="J532" s="123" t="n"/>
      <c r="K532" s="123" t="n"/>
      <c r="L532" s="123" t="n"/>
      <c r="M532" s="123">
        <f>IF(AND(B532&lt;&gt;"",OR($C$4="",ISNUMBER(SEARCH($C$4,C532&amp;" "&amp;E532&amp;" "&amp;G532&amp;" "&amp;H532&amp;" "&amp;I532&amp;" "&amp;J532&amp;" "&amp;K532&amp;" "&amp;L532))),OR($C$5="Semua",$C$5="",G532=$C$5),OR($C$6="Semua",$C$6="",H532=$C$6,H532="Pengeluaran "&amp;$C$6,AND($C$6="Uang Kos Mama",H532="Pengeluaran Uang Kos")),OR($C$7="Semua",$C$7="",I532=$C$7),OR($C$8="Semua",$C$8="",C532=$C$8,E532=$C$8),OR($C$9="Semua",$C$9="",D532=$C$9),OR($C$10="",B532&gt;=$C$10),OR($C$11="",B532&lt;=$C$11),OR($C$12&lt;&gt;"Ya",K532&lt;&gt;""),OR($C$13="Semua",$C$13="",L532=$C$13)),"✓","")</f>
        <v/>
      </c>
      <c r="N532" s="93">
        <f>N(N531)+IF(M532="✓",1,0)</f>
        <v/>
      </c>
      <c r="O532" s="93">
        <f>N(O531)+IF(AND(B532&lt;&gt;"",B532&gt;='Uang Riba'!$H$30,B532&lt;='Uang Riba'!$I$30,OR(H532="Dana riba",H532="Pinjam uang riba",I532="Pinjam dari uang riba",I532="Ganti uang riba",I532="Kelebihan ganti dikembalikan",AND(C532="Kantong Uang Riba",G532="Pengeluaran"))),1,0)</f>
        <v/>
      </c>
      <c r="X532" s="93">
        <f>IF(AND(B532&lt;&gt;"",B532&gt;='Buku Akun'!$H$4,B532&lt;='Buku Akun'!$H$5,OR(C532='Buku Akun'!$C$4,AND(D532="Pindah",E532='Buku Akun'!$C$4))),B532+IF(AND(I532="Selisih bunga",DAY(B532)=1),0,0.01)+ROW()/10000000,"")</f>
        <v/>
      </c>
    </row>
    <row r="533" outlineLevel="1" ht="15" customHeight="1" s="94">
      <c r="A533" s="123">
        <f>IF(B533="","",ROW()-15)</f>
        <v/>
      </c>
      <c r="B533" s="124" t="n"/>
      <c r="C533" s="123" t="n"/>
      <c r="D533" s="123" t="n"/>
      <c r="E533" s="123" t="n"/>
      <c r="F533" s="125" t="n"/>
      <c r="G533" s="123" t="n"/>
      <c r="H533" s="123" t="n"/>
      <c r="I533" s="123" t="n"/>
      <c r="J533" s="123" t="n"/>
      <c r="K533" s="123" t="n"/>
      <c r="L533" s="123" t="n"/>
      <c r="M533" s="123">
        <f>IF(AND(B533&lt;&gt;"",OR($C$4="",ISNUMBER(SEARCH($C$4,C533&amp;" "&amp;E533&amp;" "&amp;G533&amp;" "&amp;H533&amp;" "&amp;I533&amp;" "&amp;J533&amp;" "&amp;K533&amp;" "&amp;L533))),OR($C$5="Semua",$C$5="",G533=$C$5),OR($C$6="Semua",$C$6="",H533=$C$6,H533="Pengeluaran "&amp;$C$6,AND($C$6="Uang Kos Mama",H533="Pengeluaran Uang Kos")),OR($C$7="Semua",$C$7="",I533=$C$7),OR($C$8="Semua",$C$8="",C533=$C$8,E533=$C$8),OR($C$9="Semua",$C$9="",D533=$C$9),OR($C$10="",B533&gt;=$C$10),OR($C$11="",B533&lt;=$C$11),OR($C$12&lt;&gt;"Ya",K533&lt;&gt;""),OR($C$13="Semua",$C$13="",L533=$C$13)),"✓","")</f>
        <v/>
      </c>
      <c r="N533" s="93">
        <f>N(N532)+IF(M533="✓",1,0)</f>
        <v/>
      </c>
      <c r="O533" s="93">
        <f>N(O532)+IF(AND(B533&lt;&gt;"",B533&gt;='Uang Riba'!$H$30,B533&lt;='Uang Riba'!$I$30,OR(H533="Dana riba",H533="Pinjam uang riba",I533="Pinjam dari uang riba",I533="Ganti uang riba",I533="Kelebihan ganti dikembalikan",AND(C533="Kantong Uang Riba",G533="Pengeluaran"))),1,0)</f>
        <v/>
      </c>
      <c r="X533" s="93">
        <f>IF(AND(B533&lt;&gt;"",B533&gt;='Buku Akun'!$H$4,B533&lt;='Buku Akun'!$H$5,OR(C533='Buku Akun'!$C$4,AND(D533="Pindah",E533='Buku Akun'!$C$4))),B533+IF(AND(I533="Selisih bunga",DAY(B533)=1),0,0.01)+ROW()/10000000,"")</f>
        <v/>
      </c>
    </row>
    <row r="534" outlineLevel="1" ht="15" customHeight="1" s="94">
      <c r="A534" s="123">
        <f>IF(B534="","",ROW()-15)</f>
        <v/>
      </c>
      <c r="B534" s="124" t="n"/>
      <c r="C534" s="123" t="n"/>
      <c r="D534" s="123" t="n"/>
      <c r="E534" s="123" t="n"/>
      <c r="F534" s="125" t="n"/>
      <c r="G534" s="123" t="n"/>
      <c r="H534" s="123" t="n"/>
      <c r="I534" s="123" t="n"/>
      <c r="J534" s="123" t="n"/>
      <c r="K534" s="123" t="n"/>
      <c r="L534" s="123" t="n"/>
      <c r="M534" s="123">
        <f>IF(AND(B534&lt;&gt;"",OR($C$4="",ISNUMBER(SEARCH($C$4,C534&amp;" "&amp;E534&amp;" "&amp;G534&amp;" "&amp;H534&amp;" "&amp;I534&amp;" "&amp;J534&amp;" "&amp;K534&amp;" "&amp;L534))),OR($C$5="Semua",$C$5="",G534=$C$5),OR($C$6="Semua",$C$6="",H534=$C$6,H534="Pengeluaran "&amp;$C$6,AND($C$6="Uang Kos Mama",H534="Pengeluaran Uang Kos")),OR($C$7="Semua",$C$7="",I534=$C$7),OR($C$8="Semua",$C$8="",C534=$C$8,E534=$C$8),OR($C$9="Semua",$C$9="",D534=$C$9),OR($C$10="",B534&gt;=$C$10),OR($C$11="",B534&lt;=$C$11),OR($C$12&lt;&gt;"Ya",K534&lt;&gt;""),OR($C$13="Semua",$C$13="",L534=$C$13)),"✓","")</f>
        <v/>
      </c>
      <c r="N534" s="93">
        <f>N(N533)+IF(M534="✓",1,0)</f>
        <v/>
      </c>
      <c r="O534" s="93">
        <f>N(O533)+IF(AND(B534&lt;&gt;"",B534&gt;='Uang Riba'!$H$30,B534&lt;='Uang Riba'!$I$30,OR(H534="Dana riba",H534="Pinjam uang riba",I534="Pinjam dari uang riba",I534="Ganti uang riba",I534="Kelebihan ganti dikembalikan",AND(C534="Kantong Uang Riba",G534="Pengeluaran"))),1,0)</f>
        <v/>
      </c>
      <c r="X534" s="93">
        <f>IF(AND(B534&lt;&gt;"",B534&gt;='Buku Akun'!$H$4,B534&lt;='Buku Akun'!$H$5,OR(C534='Buku Akun'!$C$4,AND(D534="Pindah",E534='Buku Akun'!$C$4))),B534+IF(AND(I534="Selisih bunga",DAY(B534)=1),0,0.01)+ROW()/10000000,"")</f>
        <v/>
      </c>
    </row>
    <row r="535" outlineLevel="1" ht="15" customHeight="1" s="94">
      <c r="A535" s="123">
        <f>IF(B535="","",ROW()-15)</f>
        <v/>
      </c>
      <c r="B535" s="124" t="n"/>
      <c r="C535" s="123" t="n"/>
      <c r="D535" s="123" t="n"/>
      <c r="E535" s="123" t="n"/>
      <c r="F535" s="125" t="n"/>
      <c r="G535" s="123" t="n"/>
      <c r="H535" s="123" t="n"/>
      <c r="I535" s="123" t="n"/>
      <c r="J535" s="123" t="n"/>
      <c r="K535" s="123" t="n"/>
      <c r="L535" s="123" t="n"/>
      <c r="M535" s="123">
        <f>IF(AND(B535&lt;&gt;"",OR($C$4="",ISNUMBER(SEARCH($C$4,C535&amp;" "&amp;E535&amp;" "&amp;G535&amp;" "&amp;H535&amp;" "&amp;I535&amp;" "&amp;J535&amp;" "&amp;K535&amp;" "&amp;L535))),OR($C$5="Semua",$C$5="",G535=$C$5),OR($C$6="Semua",$C$6="",H535=$C$6,H535="Pengeluaran "&amp;$C$6,AND($C$6="Uang Kos Mama",H535="Pengeluaran Uang Kos")),OR($C$7="Semua",$C$7="",I535=$C$7),OR($C$8="Semua",$C$8="",C535=$C$8,E535=$C$8),OR($C$9="Semua",$C$9="",D535=$C$9),OR($C$10="",B535&gt;=$C$10),OR($C$11="",B535&lt;=$C$11),OR($C$12&lt;&gt;"Ya",K535&lt;&gt;""),OR($C$13="Semua",$C$13="",L535=$C$13)),"✓","")</f>
        <v/>
      </c>
      <c r="N535" s="93">
        <f>N(N534)+IF(M535="✓",1,0)</f>
        <v/>
      </c>
      <c r="O535" s="93">
        <f>N(O534)+IF(AND(B535&lt;&gt;"",B535&gt;='Uang Riba'!$H$30,B535&lt;='Uang Riba'!$I$30,OR(H535="Dana riba",H535="Pinjam uang riba",I535="Pinjam dari uang riba",I535="Ganti uang riba",I535="Kelebihan ganti dikembalikan",AND(C535="Kantong Uang Riba",G535="Pengeluaran"))),1,0)</f>
        <v/>
      </c>
      <c r="X535" s="93">
        <f>IF(AND(B535&lt;&gt;"",B535&gt;='Buku Akun'!$H$4,B535&lt;='Buku Akun'!$H$5,OR(C535='Buku Akun'!$C$4,AND(D535="Pindah",E535='Buku Akun'!$C$4))),B535+IF(AND(I535="Selisih bunga",DAY(B535)=1),0,0.01)+ROW()/10000000,"")</f>
        <v/>
      </c>
    </row>
    <row r="536" outlineLevel="1" ht="15" customHeight="1" s="94">
      <c r="A536" s="123">
        <f>IF(B536="","",ROW()-15)</f>
        <v/>
      </c>
      <c r="B536" s="124" t="n"/>
      <c r="C536" s="123" t="n"/>
      <c r="D536" s="123" t="n"/>
      <c r="E536" s="123" t="n"/>
      <c r="F536" s="125" t="n"/>
      <c r="G536" s="123" t="n"/>
      <c r="H536" s="123" t="n"/>
      <c r="I536" s="123" t="n"/>
      <c r="J536" s="123" t="n"/>
      <c r="K536" s="123" t="n"/>
      <c r="L536" s="123" t="n"/>
      <c r="M536" s="123">
        <f>IF(AND(B536&lt;&gt;"",OR($C$4="",ISNUMBER(SEARCH($C$4,C536&amp;" "&amp;E536&amp;" "&amp;G536&amp;" "&amp;H536&amp;" "&amp;I536&amp;" "&amp;J536&amp;" "&amp;K536&amp;" "&amp;L536))),OR($C$5="Semua",$C$5="",G536=$C$5),OR($C$6="Semua",$C$6="",H536=$C$6,H536="Pengeluaran "&amp;$C$6,AND($C$6="Uang Kos Mama",H536="Pengeluaran Uang Kos")),OR($C$7="Semua",$C$7="",I536=$C$7),OR($C$8="Semua",$C$8="",C536=$C$8,E536=$C$8),OR($C$9="Semua",$C$9="",D536=$C$9),OR($C$10="",B536&gt;=$C$10),OR($C$11="",B536&lt;=$C$11),OR($C$12&lt;&gt;"Ya",K536&lt;&gt;""),OR($C$13="Semua",$C$13="",L536=$C$13)),"✓","")</f>
        <v/>
      </c>
      <c r="N536" s="93">
        <f>N(N535)+IF(M536="✓",1,0)</f>
        <v/>
      </c>
      <c r="O536" s="93">
        <f>N(O535)+IF(AND(B536&lt;&gt;"",B536&gt;='Uang Riba'!$H$30,B536&lt;='Uang Riba'!$I$30,OR(H536="Dana riba",H536="Pinjam uang riba",I536="Pinjam dari uang riba",I536="Ganti uang riba",I536="Kelebihan ganti dikembalikan",AND(C536="Kantong Uang Riba",G536="Pengeluaran"))),1,0)</f>
        <v/>
      </c>
      <c r="X536" s="93">
        <f>IF(AND(B536&lt;&gt;"",B536&gt;='Buku Akun'!$H$4,B536&lt;='Buku Akun'!$H$5,OR(C536='Buku Akun'!$C$4,AND(D536="Pindah",E536='Buku Akun'!$C$4))),B536+IF(AND(I536="Selisih bunga",DAY(B536)=1),0,0.01)+ROW()/10000000,"")</f>
        <v/>
      </c>
    </row>
    <row r="537" outlineLevel="1" ht="15" customHeight="1" s="94">
      <c r="A537" s="123">
        <f>IF(B537="","",ROW()-15)</f>
        <v/>
      </c>
      <c r="B537" s="124" t="n"/>
      <c r="C537" s="123" t="n"/>
      <c r="D537" s="123" t="n"/>
      <c r="E537" s="123" t="n"/>
      <c r="F537" s="125" t="n"/>
      <c r="G537" s="123" t="n"/>
      <c r="H537" s="123" t="n"/>
      <c r="I537" s="123" t="n"/>
      <c r="J537" s="123" t="n"/>
      <c r="K537" s="123" t="n"/>
      <c r="L537" s="123" t="n"/>
      <c r="M537" s="123">
        <f>IF(AND(B537&lt;&gt;"",OR($C$4="",ISNUMBER(SEARCH($C$4,C537&amp;" "&amp;E537&amp;" "&amp;G537&amp;" "&amp;H537&amp;" "&amp;I537&amp;" "&amp;J537&amp;" "&amp;K537&amp;" "&amp;L537))),OR($C$5="Semua",$C$5="",G537=$C$5),OR($C$6="Semua",$C$6="",H537=$C$6,H537="Pengeluaran "&amp;$C$6,AND($C$6="Uang Kos Mama",H537="Pengeluaran Uang Kos")),OR($C$7="Semua",$C$7="",I537=$C$7),OR($C$8="Semua",$C$8="",C537=$C$8,E537=$C$8),OR($C$9="Semua",$C$9="",D537=$C$9),OR($C$10="",B537&gt;=$C$10),OR($C$11="",B537&lt;=$C$11),OR($C$12&lt;&gt;"Ya",K537&lt;&gt;""),OR($C$13="Semua",$C$13="",L537=$C$13)),"✓","")</f>
        <v/>
      </c>
      <c r="N537" s="93">
        <f>N(N536)+IF(M537="✓",1,0)</f>
        <v/>
      </c>
      <c r="O537" s="93">
        <f>N(O536)+IF(AND(B537&lt;&gt;"",B537&gt;='Uang Riba'!$H$30,B537&lt;='Uang Riba'!$I$30,OR(H537="Dana riba",H537="Pinjam uang riba",I537="Pinjam dari uang riba",I537="Ganti uang riba",I537="Kelebihan ganti dikembalikan",AND(C537="Kantong Uang Riba",G537="Pengeluaran"))),1,0)</f>
        <v/>
      </c>
      <c r="X537" s="93">
        <f>IF(AND(B537&lt;&gt;"",B537&gt;='Buku Akun'!$H$4,B537&lt;='Buku Akun'!$H$5,OR(C537='Buku Akun'!$C$4,AND(D537="Pindah",E537='Buku Akun'!$C$4))),B537+IF(AND(I537="Selisih bunga",DAY(B537)=1),0,0.01)+ROW()/10000000,"")</f>
        <v/>
      </c>
    </row>
    <row r="538" outlineLevel="1" ht="15" customHeight="1" s="94">
      <c r="A538" s="123">
        <f>IF(B538="","",ROW()-15)</f>
        <v/>
      </c>
      <c r="B538" s="124" t="n"/>
      <c r="C538" s="123" t="n"/>
      <c r="D538" s="123" t="n"/>
      <c r="E538" s="123" t="n"/>
      <c r="F538" s="125" t="n"/>
      <c r="G538" s="123" t="n"/>
      <c r="H538" s="123" t="n"/>
      <c r="I538" s="123" t="n"/>
      <c r="J538" s="123" t="n"/>
      <c r="K538" s="123" t="n"/>
      <c r="L538" s="123" t="n"/>
      <c r="M538" s="123">
        <f>IF(AND(B538&lt;&gt;"",OR($C$4="",ISNUMBER(SEARCH($C$4,C538&amp;" "&amp;E538&amp;" "&amp;G538&amp;" "&amp;H538&amp;" "&amp;I538&amp;" "&amp;J538&amp;" "&amp;K538&amp;" "&amp;L538))),OR($C$5="Semua",$C$5="",G538=$C$5),OR($C$6="Semua",$C$6="",H538=$C$6,H538="Pengeluaran "&amp;$C$6,AND($C$6="Uang Kos Mama",H538="Pengeluaran Uang Kos")),OR($C$7="Semua",$C$7="",I538=$C$7),OR($C$8="Semua",$C$8="",C538=$C$8,E538=$C$8),OR($C$9="Semua",$C$9="",D538=$C$9),OR($C$10="",B538&gt;=$C$10),OR($C$11="",B538&lt;=$C$11),OR($C$12&lt;&gt;"Ya",K538&lt;&gt;""),OR($C$13="Semua",$C$13="",L538=$C$13)),"✓","")</f>
        <v/>
      </c>
      <c r="N538" s="93">
        <f>N(N537)+IF(M538="✓",1,0)</f>
        <v/>
      </c>
      <c r="O538" s="93">
        <f>N(O537)+IF(AND(B538&lt;&gt;"",B538&gt;='Uang Riba'!$H$30,B538&lt;='Uang Riba'!$I$30,OR(H538="Dana riba",H538="Pinjam uang riba",I538="Pinjam dari uang riba",I538="Ganti uang riba",I538="Kelebihan ganti dikembalikan",AND(C538="Kantong Uang Riba",G538="Pengeluaran"))),1,0)</f>
        <v/>
      </c>
      <c r="X538" s="93">
        <f>IF(AND(B538&lt;&gt;"",B538&gt;='Buku Akun'!$H$4,B538&lt;='Buku Akun'!$H$5,OR(C538='Buku Akun'!$C$4,AND(D538="Pindah",E538='Buku Akun'!$C$4))),B538+IF(AND(I538="Selisih bunga",DAY(B538)=1),0,0.01)+ROW()/10000000,"")</f>
        <v/>
      </c>
    </row>
    <row r="539" outlineLevel="1" ht="15" customHeight="1" s="94">
      <c r="A539" s="123">
        <f>IF(B539="","",ROW()-15)</f>
        <v/>
      </c>
      <c r="B539" s="124" t="n"/>
      <c r="C539" s="123" t="n"/>
      <c r="D539" s="123" t="n"/>
      <c r="E539" s="123" t="n"/>
      <c r="F539" s="125" t="n"/>
      <c r="G539" s="123" t="n"/>
      <c r="H539" s="123" t="n"/>
      <c r="I539" s="123" t="n"/>
      <c r="J539" s="123" t="n"/>
      <c r="K539" s="123" t="n"/>
      <c r="L539" s="123" t="n"/>
      <c r="M539" s="123">
        <f>IF(AND(B539&lt;&gt;"",OR($C$4="",ISNUMBER(SEARCH($C$4,C539&amp;" "&amp;E539&amp;" "&amp;G539&amp;" "&amp;H539&amp;" "&amp;I539&amp;" "&amp;J539&amp;" "&amp;K539&amp;" "&amp;L539))),OR($C$5="Semua",$C$5="",G539=$C$5),OR($C$6="Semua",$C$6="",H539=$C$6,H539="Pengeluaran "&amp;$C$6,AND($C$6="Uang Kos Mama",H539="Pengeluaran Uang Kos")),OR($C$7="Semua",$C$7="",I539=$C$7),OR($C$8="Semua",$C$8="",C539=$C$8,E539=$C$8),OR($C$9="Semua",$C$9="",D539=$C$9),OR($C$10="",B539&gt;=$C$10),OR($C$11="",B539&lt;=$C$11),OR($C$12&lt;&gt;"Ya",K539&lt;&gt;""),OR($C$13="Semua",$C$13="",L539=$C$13)),"✓","")</f>
        <v/>
      </c>
      <c r="N539" s="93">
        <f>N(N538)+IF(M539="✓",1,0)</f>
        <v/>
      </c>
      <c r="O539" s="93">
        <f>N(O538)+IF(AND(B539&lt;&gt;"",B539&gt;='Uang Riba'!$H$30,B539&lt;='Uang Riba'!$I$30,OR(H539="Dana riba",H539="Pinjam uang riba",I539="Pinjam dari uang riba",I539="Ganti uang riba",I539="Kelebihan ganti dikembalikan",AND(C539="Kantong Uang Riba",G539="Pengeluaran"))),1,0)</f>
        <v/>
      </c>
      <c r="X539" s="93">
        <f>IF(AND(B539&lt;&gt;"",B539&gt;='Buku Akun'!$H$4,B539&lt;='Buku Akun'!$H$5,OR(C539='Buku Akun'!$C$4,AND(D539="Pindah",E539='Buku Akun'!$C$4))),B539+IF(AND(I539="Selisih bunga",DAY(B539)=1),0,0.01)+ROW()/10000000,"")</f>
        <v/>
      </c>
    </row>
    <row r="540" outlineLevel="1" ht="15" customHeight="1" s="94">
      <c r="A540" s="123">
        <f>IF(B540="","",ROW()-15)</f>
        <v/>
      </c>
      <c r="B540" s="124" t="n"/>
      <c r="C540" s="123" t="n"/>
      <c r="D540" s="123" t="n"/>
      <c r="E540" s="123" t="n"/>
      <c r="F540" s="125" t="n"/>
      <c r="G540" s="123" t="n"/>
      <c r="H540" s="123" t="n"/>
      <c r="I540" s="123" t="n"/>
      <c r="J540" s="123" t="n"/>
      <c r="K540" s="123" t="n"/>
      <c r="L540" s="123" t="n"/>
      <c r="M540" s="123">
        <f>IF(AND(B540&lt;&gt;"",OR($C$4="",ISNUMBER(SEARCH($C$4,C540&amp;" "&amp;E540&amp;" "&amp;G540&amp;" "&amp;H540&amp;" "&amp;I540&amp;" "&amp;J540&amp;" "&amp;K540&amp;" "&amp;L540))),OR($C$5="Semua",$C$5="",G540=$C$5),OR($C$6="Semua",$C$6="",H540=$C$6,H540="Pengeluaran "&amp;$C$6,AND($C$6="Uang Kos Mama",H540="Pengeluaran Uang Kos")),OR($C$7="Semua",$C$7="",I540=$C$7),OR($C$8="Semua",$C$8="",C540=$C$8,E540=$C$8),OR($C$9="Semua",$C$9="",D540=$C$9),OR($C$10="",B540&gt;=$C$10),OR($C$11="",B540&lt;=$C$11),OR($C$12&lt;&gt;"Ya",K540&lt;&gt;""),OR($C$13="Semua",$C$13="",L540=$C$13)),"✓","")</f>
        <v/>
      </c>
      <c r="N540" s="93">
        <f>N(N539)+IF(M540="✓",1,0)</f>
        <v/>
      </c>
      <c r="O540" s="93">
        <f>N(O539)+IF(AND(B540&lt;&gt;"",B540&gt;='Uang Riba'!$H$30,B540&lt;='Uang Riba'!$I$30,OR(H540="Dana riba",H540="Pinjam uang riba",I540="Pinjam dari uang riba",I540="Ganti uang riba",I540="Kelebihan ganti dikembalikan",AND(C540="Kantong Uang Riba",G540="Pengeluaran"))),1,0)</f>
        <v/>
      </c>
      <c r="X540" s="93">
        <f>IF(AND(B540&lt;&gt;"",B540&gt;='Buku Akun'!$H$4,B540&lt;='Buku Akun'!$H$5,OR(C540='Buku Akun'!$C$4,AND(D540="Pindah",E540='Buku Akun'!$C$4))),B540+IF(AND(I540="Selisih bunga",DAY(B540)=1),0,0.01)+ROW()/10000000,"")</f>
        <v/>
      </c>
    </row>
    <row r="541" outlineLevel="1" ht="15" customHeight="1" s="94">
      <c r="A541" s="123">
        <f>IF(B541="","",ROW()-15)</f>
        <v/>
      </c>
      <c r="B541" s="124" t="n"/>
      <c r="C541" s="123" t="n"/>
      <c r="D541" s="123" t="n"/>
      <c r="E541" s="123" t="n"/>
      <c r="F541" s="125" t="n"/>
      <c r="G541" s="123" t="n"/>
      <c r="H541" s="123" t="n"/>
      <c r="I541" s="123" t="n"/>
      <c r="J541" s="123" t="n"/>
      <c r="K541" s="123" t="n"/>
      <c r="L541" s="123" t="n"/>
      <c r="M541" s="123">
        <f>IF(AND(B541&lt;&gt;"",OR($C$4="",ISNUMBER(SEARCH($C$4,C541&amp;" "&amp;E541&amp;" "&amp;G541&amp;" "&amp;H541&amp;" "&amp;I541&amp;" "&amp;J541&amp;" "&amp;K541&amp;" "&amp;L541))),OR($C$5="Semua",$C$5="",G541=$C$5),OR($C$6="Semua",$C$6="",H541=$C$6,H541="Pengeluaran "&amp;$C$6,AND($C$6="Uang Kos Mama",H541="Pengeluaran Uang Kos")),OR($C$7="Semua",$C$7="",I541=$C$7),OR($C$8="Semua",$C$8="",C541=$C$8,E541=$C$8),OR($C$9="Semua",$C$9="",D541=$C$9),OR($C$10="",B541&gt;=$C$10),OR($C$11="",B541&lt;=$C$11),OR($C$12&lt;&gt;"Ya",K541&lt;&gt;""),OR($C$13="Semua",$C$13="",L541=$C$13)),"✓","")</f>
        <v/>
      </c>
      <c r="N541" s="93">
        <f>N(N540)+IF(M541="✓",1,0)</f>
        <v/>
      </c>
      <c r="O541" s="93">
        <f>N(O540)+IF(AND(B541&lt;&gt;"",B541&gt;='Uang Riba'!$H$30,B541&lt;='Uang Riba'!$I$30,OR(H541="Dana riba",H541="Pinjam uang riba",I541="Pinjam dari uang riba",I541="Ganti uang riba",I541="Kelebihan ganti dikembalikan",AND(C541="Kantong Uang Riba",G541="Pengeluaran"))),1,0)</f>
        <v/>
      </c>
      <c r="X541" s="93">
        <f>IF(AND(B541&lt;&gt;"",B541&gt;='Buku Akun'!$H$4,B541&lt;='Buku Akun'!$H$5,OR(C541='Buku Akun'!$C$4,AND(D541="Pindah",E541='Buku Akun'!$C$4))),B541+IF(AND(I541="Selisih bunga",DAY(B541)=1),0,0.01)+ROW()/10000000,"")</f>
        <v/>
      </c>
    </row>
    <row r="542" outlineLevel="1" ht="15" customHeight="1" s="94">
      <c r="A542" s="123">
        <f>IF(B542="","",ROW()-15)</f>
        <v/>
      </c>
      <c r="B542" s="124" t="n"/>
      <c r="C542" s="123" t="n"/>
      <c r="D542" s="123" t="n"/>
      <c r="E542" s="123" t="n"/>
      <c r="F542" s="125" t="n"/>
      <c r="G542" s="123" t="n"/>
      <c r="H542" s="123" t="n"/>
      <c r="I542" s="123" t="n"/>
      <c r="J542" s="123" t="n"/>
      <c r="K542" s="123" t="n"/>
      <c r="L542" s="123" t="n"/>
      <c r="M542" s="123">
        <f>IF(AND(B542&lt;&gt;"",OR($C$4="",ISNUMBER(SEARCH($C$4,C542&amp;" "&amp;E542&amp;" "&amp;G542&amp;" "&amp;H542&amp;" "&amp;I542&amp;" "&amp;J542&amp;" "&amp;K542&amp;" "&amp;L542))),OR($C$5="Semua",$C$5="",G542=$C$5),OR($C$6="Semua",$C$6="",H542=$C$6,H542="Pengeluaran "&amp;$C$6,AND($C$6="Uang Kos Mama",H542="Pengeluaran Uang Kos")),OR($C$7="Semua",$C$7="",I542=$C$7),OR($C$8="Semua",$C$8="",C542=$C$8,E542=$C$8),OR($C$9="Semua",$C$9="",D542=$C$9),OR($C$10="",B542&gt;=$C$10),OR($C$11="",B542&lt;=$C$11),OR($C$12&lt;&gt;"Ya",K542&lt;&gt;""),OR($C$13="Semua",$C$13="",L542=$C$13)),"✓","")</f>
        <v/>
      </c>
      <c r="N542" s="93">
        <f>N(N541)+IF(M542="✓",1,0)</f>
        <v/>
      </c>
      <c r="O542" s="93">
        <f>N(O541)+IF(AND(B542&lt;&gt;"",B542&gt;='Uang Riba'!$H$30,B542&lt;='Uang Riba'!$I$30,OR(H542="Dana riba",H542="Pinjam uang riba",I542="Pinjam dari uang riba",I542="Ganti uang riba",I542="Kelebihan ganti dikembalikan",AND(C542="Kantong Uang Riba",G542="Pengeluaran"))),1,0)</f>
        <v/>
      </c>
      <c r="X542" s="93">
        <f>IF(AND(B542&lt;&gt;"",B542&gt;='Buku Akun'!$H$4,B542&lt;='Buku Akun'!$H$5,OR(C542='Buku Akun'!$C$4,AND(D542="Pindah",E542='Buku Akun'!$C$4))),B542+IF(AND(I542="Selisih bunga",DAY(B542)=1),0,0.01)+ROW()/10000000,"")</f>
        <v/>
      </c>
    </row>
    <row r="543" outlineLevel="1" ht="15" customHeight="1" s="94">
      <c r="A543" s="123">
        <f>IF(B543="","",ROW()-15)</f>
        <v/>
      </c>
      <c r="B543" s="124" t="n"/>
      <c r="C543" s="123" t="n"/>
      <c r="D543" s="123" t="n"/>
      <c r="E543" s="123" t="n"/>
      <c r="F543" s="125" t="n"/>
      <c r="G543" s="123" t="n"/>
      <c r="H543" s="123" t="n"/>
      <c r="I543" s="123" t="n"/>
      <c r="J543" s="123" t="n"/>
      <c r="K543" s="123" t="n"/>
      <c r="L543" s="123" t="n"/>
      <c r="M543" s="123">
        <f>IF(AND(B543&lt;&gt;"",OR($C$4="",ISNUMBER(SEARCH($C$4,C543&amp;" "&amp;E543&amp;" "&amp;G543&amp;" "&amp;H543&amp;" "&amp;I543&amp;" "&amp;J543&amp;" "&amp;K543&amp;" "&amp;L543))),OR($C$5="Semua",$C$5="",G543=$C$5),OR($C$6="Semua",$C$6="",H543=$C$6,H543="Pengeluaran "&amp;$C$6,AND($C$6="Uang Kos Mama",H543="Pengeluaran Uang Kos")),OR($C$7="Semua",$C$7="",I543=$C$7),OR($C$8="Semua",$C$8="",C543=$C$8,E543=$C$8),OR($C$9="Semua",$C$9="",D543=$C$9),OR($C$10="",B543&gt;=$C$10),OR($C$11="",B543&lt;=$C$11),OR($C$12&lt;&gt;"Ya",K543&lt;&gt;""),OR($C$13="Semua",$C$13="",L543=$C$13)),"✓","")</f>
        <v/>
      </c>
      <c r="N543" s="93">
        <f>N(N542)+IF(M543="✓",1,0)</f>
        <v/>
      </c>
      <c r="O543" s="93">
        <f>N(O542)+IF(AND(B543&lt;&gt;"",B543&gt;='Uang Riba'!$H$30,B543&lt;='Uang Riba'!$I$30,OR(H543="Dana riba",H543="Pinjam uang riba",I543="Pinjam dari uang riba",I543="Ganti uang riba",I543="Kelebihan ganti dikembalikan",AND(C543="Kantong Uang Riba",G543="Pengeluaran"))),1,0)</f>
        <v/>
      </c>
      <c r="X543" s="93">
        <f>IF(AND(B543&lt;&gt;"",B543&gt;='Buku Akun'!$H$4,B543&lt;='Buku Akun'!$H$5,OR(C543='Buku Akun'!$C$4,AND(D543="Pindah",E543='Buku Akun'!$C$4))),B543+IF(AND(I543="Selisih bunga",DAY(B543)=1),0,0.01)+ROW()/10000000,"")</f>
        <v/>
      </c>
    </row>
    <row r="544" outlineLevel="1" ht="15" customHeight="1" s="94">
      <c r="A544" s="123">
        <f>IF(B544="","",ROW()-15)</f>
        <v/>
      </c>
      <c r="B544" s="124" t="n"/>
      <c r="C544" s="123" t="n"/>
      <c r="D544" s="123" t="n"/>
      <c r="E544" s="123" t="n"/>
      <c r="F544" s="125" t="n"/>
      <c r="G544" s="123" t="n"/>
      <c r="H544" s="123" t="n"/>
      <c r="I544" s="123" t="n"/>
      <c r="J544" s="123" t="n"/>
      <c r="K544" s="123" t="n"/>
      <c r="L544" s="123" t="n"/>
      <c r="M544" s="123">
        <f>IF(AND(B544&lt;&gt;"",OR($C$4="",ISNUMBER(SEARCH($C$4,C544&amp;" "&amp;E544&amp;" "&amp;G544&amp;" "&amp;H544&amp;" "&amp;I544&amp;" "&amp;J544&amp;" "&amp;K544&amp;" "&amp;L544))),OR($C$5="Semua",$C$5="",G544=$C$5),OR($C$6="Semua",$C$6="",H544=$C$6,H544="Pengeluaran "&amp;$C$6,AND($C$6="Uang Kos Mama",H544="Pengeluaran Uang Kos")),OR($C$7="Semua",$C$7="",I544=$C$7),OR($C$8="Semua",$C$8="",C544=$C$8,E544=$C$8),OR($C$9="Semua",$C$9="",D544=$C$9),OR($C$10="",B544&gt;=$C$10),OR($C$11="",B544&lt;=$C$11),OR($C$12&lt;&gt;"Ya",K544&lt;&gt;""),OR($C$13="Semua",$C$13="",L544=$C$13)),"✓","")</f>
        <v/>
      </c>
      <c r="N544" s="93">
        <f>N(N543)+IF(M544="✓",1,0)</f>
        <v/>
      </c>
      <c r="O544" s="93">
        <f>N(O543)+IF(AND(B544&lt;&gt;"",B544&gt;='Uang Riba'!$H$30,B544&lt;='Uang Riba'!$I$30,OR(H544="Dana riba",H544="Pinjam uang riba",I544="Pinjam dari uang riba",I544="Ganti uang riba",I544="Kelebihan ganti dikembalikan",AND(C544="Kantong Uang Riba",G544="Pengeluaran"))),1,0)</f>
        <v/>
      </c>
      <c r="X544" s="93">
        <f>IF(AND(B544&lt;&gt;"",B544&gt;='Buku Akun'!$H$4,B544&lt;='Buku Akun'!$H$5,OR(C544='Buku Akun'!$C$4,AND(D544="Pindah",E544='Buku Akun'!$C$4))),B544+IF(AND(I544="Selisih bunga",DAY(B544)=1),0,0.01)+ROW()/10000000,"")</f>
        <v/>
      </c>
    </row>
    <row r="545" outlineLevel="1" ht="15" customHeight="1" s="94">
      <c r="A545" s="123">
        <f>IF(B545="","",ROW()-15)</f>
        <v/>
      </c>
      <c r="B545" s="124" t="n"/>
      <c r="C545" s="123" t="n"/>
      <c r="D545" s="123" t="n"/>
      <c r="E545" s="123" t="n"/>
      <c r="F545" s="125" t="n"/>
      <c r="G545" s="123" t="n"/>
      <c r="H545" s="123" t="n"/>
      <c r="I545" s="123" t="n"/>
      <c r="J545" s="123" t="n"/>
      <c r="K545" s="123" t="n"/>
      <c r="L545" s="123" t="n"/>
      <c r="M545" s="123">
        <f>IF(AND(B545&lt;&gt;"",OR($C$4="",ISNUMBER(SEARCH($C$4,C545&amp;" "&amp;E545&amp;" "&amp;G545&amp;" "&amp;H545&amp;" "&amp;I545&amp;" "&amp;J545&amp;" "&amp;K545&amp;" "&amp;L545))),OR($C$5="Semua",$C$5="",G545=$C$5),OR($C$6="Semua",$C$6="",H545=$C$6,H545="Pengeluaran "&amp;$C$6,AND($C$6="Uang Kos Mama",H545="Pengeluaran Uang Kos")),OR($C$7="Semua",$C$7="",I545=$C$7),OR($C$8="Semua",$C$8="",C545=$C$8,E545=$C$8),OR($C$9="Semua",$C$9="",D545=$C$9),OR($C$10="",B545&gt;=$C$10),OR($C$11="",B545&lt;=$C$11),OR($C$12&lt;&gt;"Ya",K545&lt;&gt;""),OR($C$13="Semua",$C$13="",L545=$C$13)),"✓","")</f>
        <v/>
      </c>
      <c r="N545" s="93">
        <f>N(N544)+IF(M545="✓",1,0)</f>
        <v/>
      </c>
      <c r="O545" s="93">
        <f>N(O544)+IF(AND(B545&lt;&gt;"",B545&gt;='Uang Riba'!$H$30,B545&lt;='Uang Riba'!$I$30,OR(H545="Dana riba",H545="Pinjam uang riba",I545="Pinjam dari uang riba",I545="Ganti uang riba",I545="Kelebihan ganti dikembalikan",AND(C545="Kantong Uang Riba",G545="Pengeluaran"))),1,0)</f>
        <v/>
      </c>
      <c r="X545" s="93">
        <f>IF(AND(B545&lt;&gt;"",B545&gt;='Buku Akun'!$H$4,B545&lt;='Buku Akun'!$H$5,OR(C545='Buku Akun'!$C$4,AND(D545="Pindah",E545='Buku Akun'!$C$4))),B545+IF(AND(I545="Selisih bunga",DAY(B545)=1),0,0.01)+ROW()/10000000,"")</f>
        <v/>
      </c>
    </row>
    <row r="546" outlineLevel="1" ht="15" customHeight="1" s="94">
      <c r="A546" s="123">
        <f>IF(B546="","",ROW()-15)</f>
        <v/>
      </c>
      <c r="B546" s="124" t="n"/>
      <c r="C546" s="123" t="n"/>
      <c r="D546" s="123" t="n"/>
      <c r="E546" s="123" t="n"/>
      <c r="F546" s="125" t="n"/>
      <c r="G546" s="123" t="n"/>
      <c r="H546" s="123" t="n"/>
      <c r="I546" s="123" t="n"/>
      <c r="J546" s="123" t="n"/>
      <c r="K546" s="123" t="n"/>
      <c r="L546" s="123" t="n"/>
      <c r="M546" s="123">
        <f>IF(AND(B546&lt;&gt;"",OR($C$4="",ISNUMBER(SEARCH($C$4,C546&amp;" "&amp;E546&amp;" "&amp;G546&amp;" "&amp;H546&amp;" "&amp;I546&amp;" "&amp;J546&amp;" "&amp;K546&amp;" "&amp;L546))),OR($C$5="Semua",$C$5="",G546=$C$5),OR($C$6="Semua",$C$6="",H546=$C$6,H546="Pengeluaran "&amp;$C$6,AND($C$6="Uang Kos Mama",H546="Pengeluaran Uang Kos")),OR($C$7="Semua",$C$7="",I546=$C$7),OR($C$8="Semua",$C$8="",C546=$C$8,E546=$C$8),OR($C$9="Semua",$C$9="",D546=$C$9),OR($C$10="",B546&gt;=$C$10),OR($C$11="",B546&lt;=$C$11),OR($C$12&lt;&gt;"Ya",K546&lt;&gt;""),OR($C$13="Semua",$C$13="",L546=$C$13)),"✓","")</f>
        <v/>
      </c>
      <c r="N546" s="93">
        <f>N(N545)+IF(M546="✓",1,0)</f>
        <v/>
      </c>
      <c r="O546" s="93">
        <f>N(O545)+IF(AND(B546&lt;&gt;"",B546&gt;='Uang Riba'!$H$30,B546&lt;='Uang Riba'!$I$30,OR(H546="Dana riba",H546="Pinjam uang riba",I546="Pinjam dari uang riba",I546="Ganti uang riba",I546="Kelebihan ganti dikembalikan",AND(C546="Kantong Uang Riba",G546="Pengeluaran"))),1,0)</f>
        <v/>
      </c>
      <c r="X546" s="93">
        <f>IF(AND(B546&lt;&gt;"",B546&gt;='Buku Akun'!$H$4,B546&lt;='Buku Akun'!$H$5,OR(C546='Buku Akun'!$C$4,AND(D546="Pindah",E546='Buku Akun'!$C$4))),B546+IF(AND(I546="Selisih bunga",DAY(B546)=1),0,0.01)+ROW()/10000000,"")</f>
        <v/>
      </c>
    </row>
    <row r="547" outlineLevel="1" ht="15" customHeight="1" s="94">
      <c r="A547" s="123">
        <f>IF(B547="","",ROW()-15)</f>
        <v/>
      </c>
      <c r="B547" s="124" t="n"/>
      <c r="C547" s="123" t="n"/>
      <c r="D547" s="123" t="n"/>
      <c r="E547" s="123" t="n"/>
      <c r="F547" s="125" t="n"/>
      <c r="G547" s="123" t="n"/>
      <c r="H547" s="123" t="n"/>
      <c r="I547" s="123" t="n"/>
      <c r="J547" s="123" t="n"/>
      <c r="K547" s="123" t="n"/>
      <c r="L547" s="123" t="n"/>
      <c r="M547" s="123">
        <f>IF(AND(B547&lt;&gt;"",OR($C$4="",ISNUMBER(SEARCH($C$4,C547&amp;" "&amp;E547&amp;" "&amp;G547&amp;" "&amp;H547&amp;" "&amp;I547&amp;" "&amp;J547&amp;" "&amp;K547&amp;" "&amp;L547))),OR($C$5="Semua",$C$5="",G547=$C$5),OR($C$6="Semua",$C$6="",H547=$C$6,H547="Pengeluaran "&amp;$C$6,AND($C$6="Uang Kos Mama",H547="Pengeluaran Uang Kos")),OR($C$7="Semua",$C$7="",I547=$C$7),OR($C$8="Semua",$C$8="",C547=$C$8,E547=$C$8),OR($C$9="Semua",$C$9="",D547=$C$9),OR($C$10="",B547&gt;=$C$10),OR($C$11="",B547&lt;=$C$11),OR($C$12&lt;&gt;"Ya",K547&lt;&gt;""),OR($C$13="Semua",$C$13="",L547=$C$13)),"✓","")</f>
        <v/>
      </c>
      <c r="N547" s="93">
        <f>N(N546)+IF(M547="✓",1,0)</f>
        <v/>
      </c>
      <c r="O547" s="93">
        <f>N(O546)+IF(AND(B547&lt;&gt;"",B547&gt;='Uang Riba'!$H$30,B547&lt;='Uang Riba'!$I$30,OR(H547="Dana riba",H547="Pinjam uang riba",I547="Pinjam dari uang riba",I547="Ganti uang riba",I547="Kelebihan ganti dikembalikan",AND(C547="Kantong Uang Riba",G547="Pengeluaran"))),1,0)</f>
        <v/>
      </c>
      <c r="X547" s="93">
        <f>IF(AND(B547&lt;&gt;"",B547&gt;='Buku Akun'!$H$4,B547&lt;='Buku Akun'!$H$5,OR(C547='Buku Akun'!$C$4,AND(D547="Pindah",E547='Buku Akun'!$C$4))),B547+IF(AND(I547="Selisih bunga",DAY(B547)=1),0,0.01)+ROW()/10000000,"")</f>
        <v/>
      </c>
    </row>
    <row r="548" outlineLevel="1" ht="15" customHeight="1" s="94">
      <c r="A548" s="123">
        <f>IF(B548="","",ROW()-15)</f>
        <v/>
      </c>
      <c r="B548" s="124" t="n"/>
      <c r="C548" s="123" t="n"/>
      <c r="D548" s="123" t="n"/>
      <c r="E548" s="123" t="n"/>
      <c r="F548" s="125" t="n"/>
      <c r="G548" s="123" t="n"/>
      <c r="H548" s="123" t="n"/>
      <c r="I548" s="123" t="n"/>
      <c r="J548" s="123" t="n"/>
      <c r="K548" s="123" t="n"/>
      <c r="L548" s="123" t="n"/>
      <c r="M548" s="123">
        <f>IF(AND(B548&lt;&gt;"",OR($C$4="",ISNUMBER(SEARCH($C$4,C548&amp;" "&amp;E548&amp;" "&amp;G548&amp;" "&amp;H548&amp;" "&amp;I548&amp;" "&amp;J548&amp;" "&amp;K548&amp;" "&amp;L548))),OR($C$5="Semua",$C$5="",G548=$C$5),OR($C$6="Semua",$C$6="",H548=$C$6,H548="Pengeluaran "&amp;$C$6,AND($C$6="Uang Kos Mama",H548="Pengeluaran Uang Kos")),OR($C$7="Semua",$C$7="",I548=$C$7),OR($C$8="Semua",$C$8="",C548=$C$8,E548=$C$8),OR($C$9="Semua",$C$9="",D548=$C$9),OR($C$10="",B548&gt;=$C$10),OR($C$11="",B548&lt;=$C$11),OR($C$12&lt;&gt;"Ya",K548&lt;&gt;""),OR($C$13="Semua",$C$13="",L548=$C$13)),"✓","")</f>
        <v/>
      </c>
      <c r="N548" s="93">
        <f>N(N547)+IF(M548="✓",1,0)</f>
        <v/>
      </c>
      <c r="O548" s="93">
        <f>N(O547)+IF(AND(B548&lt;&gt;"",B548&gt;='Uang Riba'!$H$30,B548&lt;='Uang Riba'!$I$30,OR(H548="Dana riba",H548="Pinjam uang riba",I548="Pinjam dari uang riba",I548="Ganti uang riba",I548="Kelebihan ganti dikembalikan",AND(C548="Kantong Uang Riba",G548="Pengeluaran"))),1,0)</f>
        <v/>
      </c>
      <c r="X548" s="93">
        <f>IF(AND(B548&lt;&gt;"",B548&gt;='Buku Akun'!$H$4,B548&lt;='Buku Akun'!$H$5,OR(C548='Buku Akun'!$C$4,AND(D548="Pindah",E548='Buku Akun'!$C$4))),B548+IF(AND(I548="Selisih bunga",DAY(B548)=1),0,0.01)+ROW()/10000000,"")</f>
        <v/>
      </c>
    </row>
    <row r="549" outlineLevel="1" ht="15" customHeight="1" s="94">
      <c r="A549" s="123">
        <f>IF(B549="","",ROW()-15)</f>
        <v/>
      </c>
      <c r="B549" s="124" t="n"/>
      <c r="C549" s="123" t="n"/>
      <c r="D549" s="123" t="n"/>
      <c r="E549" s="123" t="n"/>
      <c r="F549" s="125" t="n"/>
      <c r="G549" s="123" t="n"/>
      <c r="H549" s="123" t="n"/>
      <c r="I549" s="123" t="n"/>
      <c r="J549" s="123" t="n"/>
      <c r="K549" s="123" t="n"/>
      <c r="L549" s="123" t="n"/>
      <c r="M549" s="123">
        <f>IF(AND(B549&lt;&gt;"",OR($C$4="",ISNUMBER(SEARCH($C$4,C549&amp;" "&amp;E549&amp;" "&amp;G549&amp;" "&amp;H549&amp;" "&amp;I549&amp;" "&amp;J549&amp;" "&amp;K549&amp;" "&amp;L549))),OR($C$5="Semua",$C$5="",G549=$C$5),OR($C$6="Semua",$C$6="",H549=$C$6,H549="Pengeluaran "&amp;$C$6,AND($C$6="Uang Kos Mama",H549="Pengeluaran Uang Kos")),OR($C$7="Semua",$C$7="",I549=$C$7),OR($C$8="Semua",$C$8="",C549=$C$8,E549=$C$8),OR($C$9="Semua",$C$9="",D549=$C$9),OR($C$10="",B549&gt;=$C$10),OR($C$11="",B549&lt;=$C$11),OR($C$12&lt;&gt;"Ya",K549&lt;&gt;""),OR($C$13="Semua",$C$13="",L549=$C$13)),"✓","")</f>
        <v/>
      </c>
      <c r="N549" s="93">
        <f>N(N548)+IF(M549="✓",1,0)</f>
        <v/>
      </c>
      <c r="O549" s="93">
        <f>N(O548)+IF(AND(B549&lt;&gt;"",B549&gt;='Uang Riba'!$H$30,B549&lt;='Uang Riba'!$I$30,OR(H549="Dana riba",H549="Pinjam uang riba",I549="Pinjam dari uang riba",I549="Ganti uang riba",I549="Kelebihan ganti dikembalikan",AND(C549="Kantong Uang Riba",G549="Pengeluaran"))),1,0)</f>
        <v/>
      </c>
      <c r="X549" s="93">
        <f>IF(AND(B549&lt;&gt;"",B549&gt;='Buku Akun'!$H$4,B549&lt;='Buku Akun'!$H$5,OR(C549='Buku Akun'!$C$4,AND(D549="Pindah",E549='Buku Akun'!$C$4))),B549+IF(AND(I549="Selisih bunga",DAY(B549)=1),0,0.01)+ROW()/10000000,"")</f>
        <v/>
      </c>
    </row>
    <row r="550" outlineLevel="1" ht="15" customHeight="1" s="94">
      <c r="A550" s="123">
        <f>IF(B550="","",ROW()-15)</f>
        <v/>
      </c>
      <c r="B550" s="124" t="n"/>
      <c r="C550" s="123" t="n"/>
      <c r="D550" s="123" t="n"/>
      <c r="E550" s="123" t="n"/>
      <c r="F550" s="125" t="n"/>
      <c r="G550" s="123" t="n"/>
      <c r="H550" s="123" t="n"/>
      <c r="I550" s="123" t="n"/>
      <c r="J550" s="123" t="n"/>
      <c r="K550" s="123" t="n"/>
      <c r="L550" s="123" t="n"/>
      <c r="M550" s="123">
        <f>IF(AND(B550&lt;&gt;"",OR($C$4="",ISNUMBER(SEARCH($C$4,C550&amp;" "&amp;E550&amp;" "&amp;G550&amp;" "&amp;H550&amp;" "&amp;I550&amp;" "&amp;J550&amp;" "&amp;K550&amp;" "&amp;L550))),OR($C$5="Semua",$C$5="",G550=$C$5),OR($C$6="Semua",$C$6="",H550=$C$6,H550="Pengeluaran "&amp;$C$6,AND($C$6="Uang Kos Mama",H550="Pengeluaran Uang Kos")),OR($C$7="Semua",$C$7="",I550=$C$7),OR($C$8="Semua",$C$8="",C550=$C$8,E550=$C$8),OR($C$9="Semua",$C$9="",D550=$C$9),OR($C$10="",B550&gt;=$C$10),OR($C$11="",B550&lt;=$C$11),OR($C$12&lt;&gt;"Ya",K550&lt;&gt;""),OR($C$13="Semua",$C$13="",L550=$C$13)),"✓","")</f>
        <v/>
      </c>
      <c r="N550" s="93">
        <f>N(N549)+IF(M550="✓",1,0)</f>
        <v/>
      </c>
      <c r="O550" s="93">
        <f>N(O549)+IF(AND(B550&lt;&gt;"",B550&gt;='Uang Riba'!$H$30,B550&lt;='Uang Riba'!$I$30,OR(H550="Dana riba",H550="Pinjam uang riba",I550="Pinjam dari uang riba",I550="Ganti uang riba",I550="Kelebihan ganti dikembalikan",AND(C550="Kantong Uang Riba",G550="Pengeluaran"))),1,0)</f>
        <v/>
      </c>
      <c r="X550" s="93">
        <f>IF(AND(B550&lt;&gt;"",B550&gt;='Buku Akun'!$H$4,B550&lt;='Buku Akun'!$H$5,OR(C550='Buku Akun'!$C$4,AND(D550="Pindah",E550='Buku Akun'!$C$4))),B550+IF(AND(I550="Selisih bunga",DAY(B550)=1),0,0.01)+ROW()/10000000,"")</f>
        <v/>
      </c>
    </row>
    <row r="551" outlineLevel="1" ht="15" customHeight="1" s="94">
      <c r="A551" s="123">
        <f>IF(B551="","",ROW()-15)</f>
        <v/>
      </c>
      <c r="B551" s="124" t="n"/>
      <c r="C551" s="123" t="n"/>
      <c r="D551" s="123" t="n"/>
      <c r="E551" s="123" t="n"/>
      <c r="F551" s="125" t="n"/>
      <c r="G551" s="123" t="n"/>
      <c r="H551" s="123" t="n"/>
      <c r="I551" s="123" t="n"/>
      <c r="J551" s="123" t="n"/>
      <c r="K551" s="123" t="n"/>
      <c r="L551" s="123" t="n"/>
      <c r="M551" s="123">
        <f>IF(AND(B551&lt;&gt;"",OR($C$4="",ISNUMBER(SEARCH($C$4,C551&amp;" "&amp;E551&amp;" "&amp;G551&amp;" "&amp;H551&amp;" "&amp;I551&amp;" "&amp;J551&amp;" "&amp;K551&amp;" "&amp;L551))),OR($C$5="Semua",$C$5="",G551=$C$5),OR($C$6="Semua",$C$6="",H551=$C$6,H551="Pengeluaran "&amp;$C$6,AND($C$6="Uang Kos Mama",H551="Pengeluaran Uang Kos")),OR($C$7="Semua",$C$7="",I551=$C$7),OR($C$8="Semua",$C$8="",C551=$C$8,E551=$C$8),OR($C$9="Semua",$C$9="",D551=$C$9),OR($C$10="",B551&gt;=$C$10),OR($C$11="",B551&lt;=$C$11),OR($C$12&lt;&gt;"Ya",K551&lt;&gt;""),OR($C$13="Semua",$C$13="",L551=$C$13)),"✓","")</f>
        <v/>
      </c>
      <c r="N551" s="93">
        <f>N(N550)+IF(M551="✓",1,0)</f>
        <v/>
      </c>
      <c r="O551" s="93">
        <f>N(O550)+IF(AND(B551&lt;&gt;"",B551&gt;='Uang Riba'!$H$30,B551&lt;='Uang Riba'!$I$30,OR(H551="Dana riba",H551="Pinjam uang riba",I551="Pinjam dari uang riba",I551="Ganti uang riba",I551="Kelebihan ganti dikembalikan",AND(C551="Kantong Uang Riba",G551="Pengeluaran"))),1,0)</f>
        <v/>
      </c>
      <c r="X551" s="93">
        <f>IF(AND(B551&lt;&gt;"",B551&gt;='Buku Akun'!$H$4,B551&lt;='Buku Akun'!$H$5,OR(C551='Buku Akun'!$C$4,AND(D551="Pindah",E551='Buku Akun'!$C$4))),B551+IF(AND(I551="Selisih bunga",DAY(B551)=1),0,0.01)+ROW()/10000000,"")</f>
        <v/>
      </c>
    </row>
    <row r="552" outlineLevel="1" ht="15" customHeight="1" s="94">
      <c r="A552" s="123">
        <f>IF(B552="","",ROW()-15)</f>
        <v/>
      </c>
      <c r="B552" s="124" t="n"/>
      <c r="C552" s="123" t="n"/>
      <c r="D552" s="123" t="n"/>
      <c r="E552" s="123" t="n"/>
      <c r="F552" s="125" t="n"/>
      <c r="G552" s="123" t="n"/>
      <c r="H552" s="123" t="n"/>
      <c r="I552" s="123" t="n"/>
      <c r="J552" s="123" t="n"/>
      <c r="K552" s="123" t="n"/>
      <c r="L552" s="123" t="n"/>
      <c r="M552" s="123">
        <f>IF(AND(B552&lt;&gt;"",OR($C$4="",ISNUMBER(SEARCH($C$4,C552&amp;" "&amp;E552&amp;" "&amp;G552&amp;" "&amp;H552&amp;" "&amp;I552&amp;" "&amp;J552&amp;" "&amp;K552&amp;" "&amp;L552))),OR($C$5="Semua",$C$5="",G552=$C$5),OR($C$6="Semua",$C$6="",H552=$C$6,H552="Pengeluaran "&amp;$C$6,AND($C$6="Uang Kos Mama",H552="Pengeluaran Uang Kos")),OR($C$7="Semua",$C$7="",I552=$C$7),OR($C$8="Semua",$C$8="",C552=$C$8,E552=$C$8),OR($C$9="Semua",$C$9="",D552=$C$9),OR($C$10="",B552&gt;=$C$10),OR($C$11="",B552&lt;=$C$11),OR($C$12&lt;&gt;"Ya",K552&lt;&gt;""),OR($C$13="Semua",$C$13="",L552=$C$13)),"✓","")</f>
        <v/>
      </c>
      <c r="N552" s="93">
        <f>N(N551)+IF(M552="✓",1,0)</f>
        <v/>
      </c>
      <c r="O552" s="93">
        <f>N(O551)+IF(AND(B552&lt;&gt;"",B552&gt;='Uang Riba'!$H$30,B552&lt;='Uang Riba'!$I$30,OR(H552="Dana riba",H552="Pinjam uang riba",I552="Pinjam dari uang riba",I552="Ganti uang riba",I552="Kelebihan ganti dikembalikan",AND(C552="Kantong Uang Riba",G552="Pengeluaran"))),1,0)</f>
        <v/>
      </c>
      <c r="X552" s="93">
        <f>IF(AND(B552&lt;&gt;"",B552&gt;='Buku Akun'!$H$4,B552&lt;='Buku Akun'!$H$5,OR(C552='Buku Akun'!$C$4,AND(D552="Pindah",E552='Buku Akun'!$C$4))),B552+IF(AND(I552="Selisih bunga",DAY(B552)=1),0,0.01)+ROW()/10000000,"")</f>
        <v/>
      </c>
    </row>
    <row r="553" outlineLevel="1" ht="15" customHeight="1" s="94">
      <c r="A553" s="123">
        <f>IF(B553="","",ROW()-15)</f>
        <v/>
      </c>
      <c r="B553" s="124" t="n"/>
      <c r="C553" s="123" t="n"/>
      <c r="D553" s="123" t="n"/>
      <c r="E553" s="123" t="n"/>
      <c r="F553" s="125" t="n"/>
      <c r="G553" s="123" t="n"/>
      <c r="H553" s="123" t="n"/>
      <c r="I553" s="123" t="n"/>
      <c r="J553" s="123" t="n"/>
      <c r="K553" s="123" t="n"/>
      <c r="L553" s="123" t="n"/>
      <c r="M553" s="123">
        <f>IF(AND(B553&lt;&gt;"",OR($C$4="",ISNUMBER(SEARCH($C$4,C553&amp;" "&amp;E553&amp;" "&amp;G553&amp;" "&amp;H553&amp;" "&amp;I553&amp;" "&amp;J553&amp;" "&amp;K553&amp;" "&amp;L553))),OR($C$5="Semua",$C$5="",G553=$C$5),OR($C$6="Semua",$C$6="",H553=$C$6,H553="Pengeluaran "&amp;$C$6,AND($C$6="Uang Kos Mama",H553="Pengeluaran Uang Kos")),OR($C$7="Semua",$C$7="",I553=$C$7),OR($C$8="Semua",$C$8="",C553=$C$8,E553=$C$8),OR($C$9="Semua",$C$9="",D553=$C$9),OR($C$10="",B553&gt;=$C$10),OR($C$11="",B553&lt;=$C$11),OR($C$12&lt;&gt;"Ya",K553&lt;&gt;""),OR($C$13="Semua",$C$13="",L553=$C$13)),"✓","")</f>
        <v/>
      </c>
      <c r="N553" s="93">
        <f>N(N552)+IF(M553="✓",1,0)</f>
        <v/>
      </c>
      <c r="O553" s="93">
        <f>N(O552)+IF(AND(B553&lt;&gt;"",B553&gt;='Uang Riba'!$H$30,B553&lt;='Uang Riba'!$I$30,OR(H553="Dana riba",H553="Pinjam uang riba",I553="Pinjam dari uang riba",I553="Ganti uang riba",I553="Kelebihan ganti dikembalikan",AND(C553="Kantong Uang Riba",G553="Pengeluaran"))),1,0)</f>
        <v/>
      </c>
      <c r="X553" s="93">
        <f>IF(AND(B553&lt;&gt;"",B553&gt;='Buku Akun'!$H$4,B553&lt;='Buku Akun'!$H$5,OR(C553='Buku Akun'!$C$4,AND(D553="Pindah",E553='Buku Akun'!$C$4))),B553+IF(AND(I553="Selisih bunga",DAY(B553)=1),0,0.01)+ROW()/10000000,"")</f>
        <v/>
      </c>
    </row>
    <row r="554" outlineLevel="1" ht="15" customHeight="1" s="94">
      <c r="A554" s="123">
        <f>IF(B554="","",ROW()-15)</f>
        <v/>
      </c>
      <c r="B554" s="124" t="n"/>
      <c r="C554" s="123" t="n"/>
      <c r="D554" s="123" t="n"/>
      <c r="E554" s="123" t="n"/>
      <c r="F554" s="125" t="n"/>
      <c r="G554" s="123" t="n"/>
      <c r="H554" s="123" t="n"/>
      <c r="I554" s="123" t="n"/>
      <c r="J554" s="123" t="n"/>
      <c r="K554" s="123" t="n"/>
      <c r="L554" s="123" t="n"/>
      <c r="M554" s="123">
        <f>IF(AND(B554&lt;&gt;"",OR($C$4="",ISNUMBER(SEARCH($C$4,C554&amp;" "&amp;E554&amp;" "&amp;G554&amp;" "&amp;H554&amp;" "&amp;I554&amp;" "&amp;J554&amp;" "&amp;K554&amp;" "&amp;L554))),OR($C$5="Semua",$C$5="",G554=$C$5),OR($C$6="Semua",$C$6="",H554=$C$6,H554="Pengeluaran "&amp;$C$6,AND($C$6="Uang Kos Mama",H554="Pengeluaran Uang Kos")),OR($C$7="Semua",$C$7="",I554=$C$7),OR($C$8="Semua",$C$8="",C554=$C$8,E554=$C$8),OR($C$9="Semua",$C$9="",D554=$C$9),OR($C$10="",B554&gt;=$C$10),OR($C$11="",B554&lt;=$C$11),OR($C$12&lt;&gt;"Ya",K554&lt;&gt;""),OR($C$13="Semua",$C$13="",L554=$C$13)),"✓","")</f>
        <v/>
      </c>
      <c r="N554" s="93">
        <f>N(N553)+IF(M554="✓",1,0)</f>
        <v/>
      </c>
      <c r="O554" s="93">
        <f>N(O553)+IF(AND(B554&lt;&gt;"",B554&gt;='Uang Riba'!$H$30,B554&lt;='Uang Riba'!$I$30,OR(H554="Dana riba",H554="Pinjam uang riba",I554="Pinjam dari uang riba",I554="Ganti uang riba",I554="Kelebihan ganti dikembalikan",AND(C554="Kantong Uang Riba",G554="Pengeluaran"))),1,0)</f>
        <v/>
      </c>
      <c r="X554" s="93">
        <f>IF(AND(B554&lt;&gt;"",B554&gt;='Buku Akun'!$H$4,B554&lt;='Buku Akun'!$H$5,OR(C554='Buku Akun'!$C$4,AND(D554="Pindah",E554='Buku Akun'!$C$4))),B554+IF(AND(I554="Selisih bunga",DAY(B554)=1),0,0.01)+ROW()/10000000,"")</f>
        <v/>
      </c>
    </row>
    <row r="555" outlineLevel="1" ht="15" customHeight="1" s="94">
      <c r="A555" s="123">
        <f>IF(B555="","",ROW()-15)</f>
        <v/>
      </c>
      <c r="B555" s="124" t="n"/>
      <c r="C555" s="123" t="n"/>
      <c r="D555" s="123" t="n"/>
      <c r="E555" s="123" t="n"/>
      <c r="F555" s="125" t="n"/>
      <c r="G555" s="123" t="n"/>
      <c r="H555" s="123" t="n"/>
      <c r="I555" s="123" t="n"/>
      <c r="J555" s="123" t="n"/>
      <c r="K555" s="123" t="n"/>
      <c r="L555" s="123" t="n"/>
      <c r="M555" s="123">
        <f>IF(AND(B555&lt;&gt;"",OR($C$4="",ISNUMBER(SEARCH($C$4,C555&amp;" "&amp;E555&amp;" "&amp;G555&amp;" "&amp;H555&amp;" "&amp;I555&amp;" "&amp;J555&amp;" "&amp;K555&amp;" "&amp;L555))),OR($C$5="Semua",$C$5="",G555=$C$5),OR($C$6="Semua",$C$6="",H555=$C$6,H555="Pengeluaran "&amp;$C$6,AND($C$6="Uang Kos Mama",H555="Pengeluaran Uang Kos")),OR($C$7="Semua",$C$7="",I555=$C$7),OR($C$8="Semua",$C$8="",C555=$C$8,E555=$C$8),OR($C$9="Semua",$C$9="",D555=$C$9),OR($C$10="",B555&gt;=$C$10),OR($C$11="",B555&lt;=$C$11),OR($C$12&lt;&gt;"Ya",K555&lt;&gt;""),OR($C$13="Semua",$C$13="",L555=$C$13)),"✓","")</f>
        <v/>
      </c>
      <c r="N555" s="93">
        <f>N(N554)+IF(M555="✓",1,0)</f>
        <v/>
      </c>
      <c r="O555" s="93">
        <f>N(O554)+IF(AND(B555&lt;&gt;"",B555&gt;='Uang Riba'!$H$30,B555&lt;='Uang Riba'!$I$30,OR(H555="Dana riba",H555="Pinjam uang riba",I555="Pinjam dari uang riba",I555="Ganti uang riba",I555="Kelebihan ganti dikembalikan",AND(C555="Kantong Uang Riba",G555="Pengeluaran"))),1,0)</f>
        <v/>
      </c>
      <c r="X555" s="93">
        <f>IF(AND(B555&lt;&gt;"",B555&gt;='Buku Akun'!$H$4,B555&lt;='Buku Akun'!$H$5,OR(C555='Buku Akun'!$C$4,AND(D555="Pindah",E555='Buku Akun'!$C$4))),B555+IF(AND(I555="Selisih bunga",DAY(B555)=1),0,0.01)+ROW()/10000000,"")</f>
        <v/>
      </c>
    </row>
    <row r="556" outlineLevel="1" ht="15" customHeight="1" s="94">
      <c r="A556" s="123">
        <f>IF(B556="","",ROW()-15)</f>
        <v/>
      </c>
      <c r="B556" s="124" t="n"/>
      <c r="C556" s="123" t="n"/>
      <c r="D556" s="123" t="n"/>
      <c r="E556" s="123" t="n"/>
      <c r="F556" s="125" t="n"/>
      <c r="G556" s="123" t="n"/>
      <c r="H556" s="123" t="n"/>
      <c r="I556" s="123" t="n"/>
      <c r="J556" s="123" t="n"/>
      <c r="K556" s="123" t="n"/>
      <c r="L556" s="123" t="n"/>
      <c r="M556" s="123">
        <f>IF(AND(B556&lt;&gt;"",OR($C$4="",ISNUMBER(SEARCH($C$4,C556&amp;" "&amp;E556&amp;" "&amp;G556&amp;" "&amp;H556&amp;" "&amp;I556&amp;" "&amp;J556&amp;" "&amp;K556&amp;" "&amp;L556))),OR($C$5="Semua",$C$5="",G556=$C$5),OR($C$6="Semua",$C$6="",H556=$C$6,H556="Pengeluaran "&amp;$C$6,AND($C$6="Uang Kos Mama",H556="Pengeluaran Uang Kos")),OR($C$7="Semua",$C$7="",I556=$C$7),OR($C$8="Semua",$C$8="",C556=$C$8,E556=$C$8),OR($C$9="Semua",$C$9="",D556=$C$9),OR($C$10="",B556&gt;=$C$10),OR($C$11="",B556&lt;=$C$11),OR($C$12&lt;&gt;"Ya",K556&lt;&gt;""),OR($C$13="Semua",$C$13="",L556=$C$13)),"✓","")</f>
        <v/>
      </c>
      <c r="N556" s="93">
        <f>N(N555)+IF(M556="✓",1,0)</f>
        <v/>
      </c>
      <c r="O556" s="93">
        <f>N(O555)+IF(AND(B556&lt;&gt;"",B556&gt;='Uang Riba'!$H$30,B556&lt;='Uang Riba'!$I$30,OR(H556="Dana riba",H556="Pinjam uang riba",I556="Pinjam dari uang riba",I556="Ganti uang riba",I556="Kelebihan ganti dikembalikan",AND(C556="Kantong Uang Riba",G556="Pengeluaran"))),1,0)</f>
        <v/>
      </c>
      <c r="X556" s="93">
        <f>IF(AND(B556&lt;&gt;"",B556&gt;='Buku Akun'!$H$4,B556&lt;='Buku Akun'!$H$5,OR(C556='Buku Akun'!$C$4,AND(D556="Pindah",E556='Buku Akun'!$C$4))),B556+IF(AND(I556="Selisih bunga",DAY(B556)=1),0,0.01)+ROW()/10000000,"")</f>
        <v/>
      </c>
    </row>
    <row r="557" outlineLevel="1" ht="15" customHeight="1" s="94">
      <c r="A557" s="123">
        <f>IF(B557="","",ROW()-15)</f>
        <v/>
      </c>
      <c r="B557" s="124" t="n"/>
      <c r="C557" s="123" t="n"/>
      <c r="D557" s="123" t="n"/>
      <c r="E557" s="123" t="n"/>
      <c r="F557" s="125" t="n"/>
      <c r="G557" s="123" t="n"/>
      <c r="H557" s="123" t="n"/>
      <c r="I557" s="123" t="n"/>
      <c r="J557" s="123" t="n"/>
      <c r="K557" s="123" t="n"/>
      <c r="L557" s="123" t="n"/>
      <c r="M557" s="123">
        <f>IF(AND(B557&lt;&gt;"",OR($C$4="",ISNUMBER(SEARCH($C$4,C557&amp;" "&amp;E557&amp;" "&amp;G557&amp;" "&amp;H557&amp;" "&amp;I557&amp;" "&amp;J557&amp;" "&amp;K557&amp;" "&amp;L557))),OR($C$5="Semua",$C$5="",G557=$C$5),OR($C$6="Semua",$C$6="",H557=$C$6,H557="Pengeluaran "&amp;$C$6,AND($C$6="Uang Kos Mama",H557="Pengeluaran Uang Kos")),OR($C$7="Semua",$C$7="",I557=$C$7),OR($C$8="Semua",$C$8="",C557=$C$8,E557=$C$8),OR($C$9="Semua",$C$9="",D557=$C$9),OR($C$10="",B557&gt;=$C$10),OR($C$11="",B557&lt;=$C$11),OR($C$12&lt;&gt;"Ya",K557&lt;&gt;""),OR($C$13="Semua",$C$13="",L557=$C$13)),"✓","")</f>
        <v/>
      </c>
      <c r="N557" s="93">
        <f>N(N556)+IF(M557="✓",1,0)</f>
        <v/>
      </c>
      <c r="O557" s="93">
        <f>N(O556)+IF(AND(B557&lt;&gt;"",B557&gt;='Uang Riba'!$H$30,B557&lt;='Uang Riba'!$I$30,OR(H557="Dana riba",H557="Pinjam uang riba",I557="Pinjam dari uang riba",I557="Ganti uang riba",I557="Kelebihan ganti dikembalikan",AND(C557="Kantong Uang Riba",G557="Pengeluaran"))),1,0)</f>
        <v/>
      </c>
      <c r="X557" s="93">
        <f>IF(AND(B557&lt;&gt;"",B557&gt;='Buku Akun'!$H$4,B557&lt;='Buku Akun'!$H$5,OR(C557='Buku Akun'!$C$4,AND(D557="Pindah",E557='Buku Akun'!$C$4))),B557+IF(AND(I557="Selisih bunga",DAY(B557)=1),0,0.01)+ROW()/10000000,"")</f>
        <v/>
      </c>
    </row>
    <row r="558" outlineLevel="1" ht="15" customHeight="1" s="94">
      <c r="A558" s="123">
        <f>IF(B558="","",ROW()-15)</f>
        <v/>
      </c>
      <c r="B558" s="124" t="n"/>
      <c r="C558" s="123" t="n"/>
      <c r="D558" s="123" t="n"/>
      <c r="E558" s="123" t="n"/>
      <c r="F558" s="125" t="n"/>
      <c r="G558" s="123" t="n"/>
      <c r="H558" s="123" t="n"/>
      <c r="I558" s="123" t="n"/>
      <c r="J558" s="123" t="n"/>
      <c r="K558" s="123" t="n"/>
      <c r="L558" s="123" t="n"/>
      <c r="M558" s="123">
        <f>IF(AND(B558&lt;&gt;"",OR($C$4="",ISNUMBER(SEARCH($C$4,C558&amp;" "&amp;E558&amp;" "&amp;G558&amp;" "&amp;H558&amp;" "&amp;I558&amp;" "&amp;J558&amp;" "&amp;K558&amp;" "&amp;L558))),OR($C$5="Semua",$C$5="",G558=$C$5),OR($C$6="Semua",$C$6="",H558=$C$6,H558="Pengeluaran "&amp;$C$6,AND($C$6="Uang Kos Mama",H558="Pengeluaran Uang Kos")),OR($C$7="Semua",$C$7="",I558=$C$7),OR($C$8="Semua",$C$8="",C558=$C$8,E558=$C$8),OR($C$9="Semua",$C$9="",D558=$C$9),OR($C$10="",B558&gt;=$C$10),OR($C$11="",B558&lt;=$C$11),OR($C$12&lt;&gt;"Ya",K558&lt;&gt;""),OR($C$13="Semua",$C$13="",L558=$C$13)),"✓","")</f>
        <v/>
      </c>
      <c r="N558" s="93">
        <f>N(N557)+IF(M558="✓",1,0)</f>
        <v/>
      </c>
      <c r="O558" s="93">
        <f>N(O557)+IF(AND(B558&lt;&gt;"",B558&gt;='Uang Riba'!$H$30,B558&lt;='Uang Riba'!$I$30,OR(H558="Dana riba",H558="Pinjam uang riba",I558="Pinjam dari uang riba",I558="Ganti uang riba",I558="Kelebihan ganti dikembalikan",AND(C558="Kantong Uang Riba",G558="Pengeluaran"))),1,0)</f>
        <v/>
      </c>
      <c r="X558" s="93">
        <f>IF(AND(B558&lt;&gt;"",B558&gt;='Buku Akun'!$H$4,B558&lt;='Buku Akun'!$H$5,OR(C558='Buku Akun'!$C$4,AND(D558="Pindah",E558='Buku Akun'!$C$4))),B558+IF(AND(I558="Selisih bunga",DAY(B558)=1),0,0.01)+ROW()/10000000,"")</f>
        <v/>
      </c>
    </row>
    <row r="559" outlineLevel="1" ht="15" customHeight="1" s="94">
      <c r="A559" s="123">
        <f>IF(B559="","",ROW()-15)</f>
        <v/>
      </c>
      <c r="B559" s="124" t="n"/>
      <c r="C559" s="123" t="n"/>
      <c r="D559" s="123" t="n"/>
      <c r="E559" s="123" t="n"/>
      <c r="F559" s="125" t="n"/>
      <c r="G559" s="123" t="n"/>
      <c r="H559" s="123" t="n"/>
      <c r="I559" s="123" t="n"/>
      <c r="J559" s="123" t="n"/>
      <c r="K559" s="123" t="n"/>
      <c r="L559" s="123" t="n"/>
      <c r="M559" s="123">
        <f>IF(AND(B559&lt;&gt;"",OR($C$4="",ISNUMBER(SEARCH($C$4,C559&amp;" "&amp;E559&amp;" "&amp;G559&amp;" "&amp;H559&amp;" "&amp;I559&amp;" "&amp;J559&amp;" "&amp;K559&amp;" "&amp;L559))),OR($C$5="Semua",$C$5="",G559=$C$5),OR($C$6="Semua",$C$6="",H559=$C$6,H559="Pengeluaran "&amp;$C$6,AND($C$6="Uang Kos Mama",H559="Pengeluaran Uang Kos")),OR($C$7="Semua",$C$7="",I559=$C$7),OR($C$8="Semua",$C$8="",C559=$C$8,E559=$C$8),OR($C$9="Semua",$C$9="",D559=$C$9),OR($C$10="",B559&gt;=$C$10),OR($C$11="",B559&lt;=$C$11),OR($C$12&lt;&gt;"Ya",K559&lt;&gt;""),OR($C$13="Semua",$C$13="",L559=$C$13)),"✓","")</f>
        <v/>
      </c>
      <c r="N559" s="93">
        <f>N(N558)+IF(M559="✓",1,0)</f>
        <v/>
      </c>
      <c r="O559" s="93">
        <f>N(O558)+IF(AND(B559&lt;&gt;"",B559&gt;='Uang Riba'!$H$30,B559&lt;='Uang Riba'!$I$30,OR(H559="Dana riba",H559="Pinjam uang riba",I559="Pinjam dari uang riba",I559="Ganti uang riba",I559="Kelebihan ganti dikembalikan",AND(C559="Kantong Uang Riba",G559="Pengeluaran"))),1,0)</f>
        <v/>
      </c>
      <c r="X559" s="93">
        <f>IF(AND(B559&lt;&gt;"",B559&gt;='Buku Akun'!$H$4,B559&lt;='Buku Akun'!$H$5,OR(C559='Buku Akun'!$C$4,AND(D559="Pindah",E559='Buku Akun'!$C$4))),B559+IF(AND(I559="Selisih bunga",DAY(B559)=1),0,0.01)+ROW()/10000000,"")</f>
        <v/>
      </c>
    </row>
    <row r="560" outlineLevel="1" ht="15" customHeight="1" s="94">
      <c r="A560" s="123">
        <f>IF(B560="","",ROW()-15)</f>
        <v/>
      </c>
      <c r="B560" s="124" t="n"/>
      <c r="C560" s="123" t="n"/>
      <c r="D560" s="123" t="n"/>
      <c r="E560" s="123" t="n"/>
      <c r="F560" s="125" t="n"/>
      <c r="G560" s="123" t="n"/>
      <c r="H560" s="123" t="n"/>
      <c r="I560" s="123" t="n"/>
      <c r="J560" s="123" t="n"/>
      <c r="K560" s="123" t="n"/>
      <c r="L560" s="123" t="n"/>
      <c r="M560" s="123">
        <f>IF(AND(B560&lt;&gt;"",OR($C$4="",ISNUMBER(SEARCH($C$4,C560&amp;" "&amp;E560&amp;" "&amp;G560&amp;" "&amp;H560&amp;" "&amp;I560&amp;" "&amp;J560&amp;" "&amp;K560&amp;" "&amp;L560))),OR($C$5="Semua",$C$5="",G560=$C$5),OR($C$6="Semua",$C$6="",H560=$C$6,H560="Pengeluaran "&amp;$C$6,AND($C$6="Uang Kos Mama",H560="Pengeluaran Uang Kos")),OR($C$7="Semua",$C$7="",I560=$C$7),OR($C$8="Semua",$C$8="",C560=$C$8,E560=$C$8),OR($C$9="Semua",$C$9="",D560=$C$9),OR($C$10="",B560&gt;=$C$10),OR($C$11="",B560&lt;=$C$11),OR($C$12&lt;&gt;"Ya",K560&lt;&gt;""),OR($C$13="Semua",$C$13="",L560=$C$13)),"✓","")</f>
        <v/>
      </c>
      <c r="N560" s="93">
        <f>N(N559)+IF(M560="✓",1,0)</f>
        <v/>
      </c>
      <c r="O560" s="93">
        <f>N(O559)+IF(AND(B560&lt;&gt;"",B560&gt;='Uang Riba'!$H$30,B560&lt;='Uang Riba'!$I$30,OR(H560="Dana riba",H560="Pinjam uang riba",I560="Pinjam dari uang riba",I560="Ganti uang riba",I560="Kelebihan ganti dikembalikan",AND(C560="Kantong Uang Riba",G560="Pengeluaran"))),1,0)</f>
        <v/>
      </c>
      <c r="X560" s="93">
        <f>IF(AND(B560&lt;&gt;"",B560&gt;='Buku Akun'!$H$4,B560&lt;='Buku Akun'!$H$5,OR(C560='Buku Akun'!$C$4,AND(D560="Pindah",E560='Buku Akun'!$C$4))),B560+IF(AND(I560="Selisih bunga",DAY(B560)=1),0,0.01)+ROW()/10000000,"")</f>
        <v/>
      </c>
    </row>
    <row r="561" outlineLevel="1" ht="15" customHeight="1" s="94">
      <c r="A561" s="123">
        <f>IF(B561="","",ROW()-15)</f>
        <v/>
      </c>
      <c r="B561" s="124" t="n"/>
      <c r="C561" s="123" t="n"/>
      <c r="D561" s="123" t="n"/>
      <c r="E561" s="123" t="n"/>
      <c r="F561" s="125" t="n"/>
      <c r="G561" s="123" t="n"/>
      <c r="H561" s="123" t="n"/>
      <c r="I561" s="123" t="n"/>
      <c r="J561" s="123" t="n"/>
      <c r="K561" s="123" t="n"/>
      <c r="L561" s="123" t="n"/>
      <c r="M561" s="123">
        <f>IF(AND(B561&lt;&gt;"",OR($C$4="",ISNUMBER(SEARCH($C$4,C561&amp;" "&amp;E561&amp;" "&amp;G561&amp;" "&amp;H561&amp;" "&amp;I561&amp;" "&amp;J561&amp;" "&amp;K561&amp;" "&amp;L561))),OR($C$5="Semua",$C$5="",G561=$C$5),OR($C$6="Semua",$C$6="",H561=$C$6,H561="Pengeluaran "&amp;$C$6,AND($C$6="Uang Kos Mama",H561="Pengeluaran Uang Kos")),OR($C$7="Semua",$C$7="",I561=$C$7),OR($C$8="Semua",$C$8="",C561=$C$8,E561=$C$8),OR($C$9="Semua",$C$9="",D561=$C$9),OR($C$10="",B561&gt;=$C$10),OR($C$11="",B561&lt;=$C$11),OR($C$12&lt;&gt;"Ya",K561&lt;&gt;""),OR($C$13="Semua",$C$13="",L561=$C$13)),"✓","")</f>
        <v/>
      </c>
      <c r="N561" s="93">
        <f>N(N560)+IF(M561="✓",1,0)</f>
        <v/>
      </c>
      <c r="O561" s="93">
        <f>N(O560)+IF(AND(B561&lt;&gt;"",B561&gt;='Uang Riba'!$H$30,B561&lt;='Uang Riba'!$I$30,OR(H561="Dana riba",H561="Pinjam uang riba",I561="Pinjam dari uang riba",I561="Ganti uang riba",I561="Kelebihan ganti dikembalikan",AND(C561="Kantong Uang Riba",G561="Pengeluaran"))),1,0)</f>
        <v/>
      </c>
      <c r="X561" s="93">
        <f>IF(AND(B561&lt;&gt;"",B561&gt;='Buku Akun'!$H$4,B561&lt;='Buku Akun'!$H$5,OR(C561='Buku Akun'!$C$4,AND(D561="Pindah",E561='Buku Akun'!$C$4))),B561+IF(AND(I561="Selisih bunga",DAY(B561)=1),0,0.01)+ROW()/10000000,"")</f>
        <v/>
      </c>
    </row>
    <row r="562" outlineLevel="1" ht="15" customHeight="1" s="94">
      <c r="A562" s="123">
        <f>IF(B562="","",ROW()-15)</f>
        <v/>
      </c>
      <c r="B562" s="124" t="n"/>
      <c r="C562" s="123" t="n"/>
      <c r="D562" s="123" t="n"/>
      <c r="E562" s="123" t="n"/>
      <c r="F562" s="125" t="n"/>
      <c r="G562" s="123" t="n"/>
      <c r="H562" s="123" t="n"/>
      <c r="I562" s="123" t="n"/>
      <c r="J562" s="123" t="n"/>
      <c r="K562" s="123" t="n"/>
      <c r="L562" s="123" t="n"/>
      <c r="M562" s="123">
        <f>IF(AND(B562&lt;&gt;"",OR($C$4="",ISNUMBER(SEARCH($C$4,C562&amp;" "&amp;E562&amp;" "&amp;G562&amp;" "&amp;H562&amp;" "&amp;I562&amp;" "&amp;J562&amp;" "&amp;K562&amp;" "&amp;L562))),OR($C$5="Semua",$C$5="",G562=$C$5),OR($C$6="Semua",$C$6="",H562=$C$6,H562="Pengeluaran "&amp;$C$6,AND($C$6="Uang Kos Mama",H562="Pengeluaran Uang Kos")),OR($C$7="Semua",$C$7="",I562=$C$7),OR($C$8="Semua",$C$8="",C562=$C$8,E562=$C$8),OR($C$9="Semua",$C$9="",D562=$C$9),OR($C$10="",B562&gt;=$C$10),OR($C$11="",B562&lt;=$C$11),OR($C$12&lt;&gt;"Ya",K562&lt;&gt;""),OR($C$13="Semua",$C$13="",L562=$C$13)),"✓","")</f>
        <v/>
      </c>
      <c r="N562" s="93">
        <f>N(N561)+IF(M562="✓",1,0)</f>
        <v/>
      </c>
      <c r="O562" s="93">
        <f>N(O561)+IF(AND(B562&lt;&gt;"",B562&gt;='Uang Riba'!$H$30,B562&lt;='Uang Riba'!$I$30,OR(H562="Dana riba",H562="Pinjam uang riba",I562="Pinjam dari uang riba",I562="Ganti uang riba",I562="Kelebihan ganti dikembalikan",AND(C562="Kantong Uang Riba",G562="Pengeluaran"))),1,0)</f>
        <v/>
      </c>
      <c r="X562" s="93">
        <f>IF(AND(B562&lt;&gt;"",B562&gt;='Buku Akun'!$H$4,B562&lt;='Buku Akun'!$H$5,OR(C562='Buku Akun'!$C$4,AND(D562="Pindah",E562='Buku Akun'!$C$4))),B562+IF(AND(I562="Selisih bunga",DAY(B562)=1),0,0.01)+ROW()/10000000,"")</f>
        <v/>
      </c>
    </row>
    <row r="563" outlineLevel="1" ht="15" customHeight="1" s="94">
      <c r="A563" s="123">
        <f>IF(B563="","",ROW()-15)</f>
        <v/>
      </c>
      <c r="B563" s="124" t="n"/>
      <c r="C563" s="123" t="n"/>
      <c r="D563" s="123" t="n"/>
      <c r="E563" s="123" t="n"/>
      <c r="F563" s="125" t="n"/>
      <c r="G563" s="123" t="n"/>
      <c r="H563" s="123" t="n"/>
      <c r="I563" s="123" t="n"/>
      <c r="J563" s="123" t="n"/>
      <c r="K563" s="123" t="n"/>
      <c r="L563" s="123" t="n"/>
      <c r="M563" s="123">
        <f>IF(AND(B563&lt;&gt;"",OR($C$4="",ISNUMBER(SEARCH($C$4,C563&amp;" "&amp;E563&amp;" "&amp;G563&amp;" "&amp;H563&amp;" "&amp;I563&amp;" "&amp;J563&amp;" "&amp;K563&amp;" "&amp;L563))),OR($C$5="Semua",$C$5="",G563=$C$5),OR($C$6="Semua",$C$6="",H563=$C$6,H563="Pengeluaran "&amp;$C$6,AND($C$6="Uang Kos Mama",H563="Pengeluaran Uang Kos")),OR($C$7="Semua",$C$7="",I563=$C$7),OR($C$8="Semua",$C$8="",C563=$C$8,E563=$C$8),OR($C$9="Semua",$C$9="",D563=$C$9),OR($C$10="",B563&gt;=$C$10),OR($C$11="",B563&lt;=$C$11),OR($C$12&lt;&gt;"Ya",K563&lt;&gt;""),OR($C$13="Semua",$C$13="",L563=$C$13)),"✓","")</f>
        <v/>
      </c>
      <c r="N563" s="93">
        <f>N(N562)+IF(M563="✓",1,0)</f>
        <v/>
      </c>
      <c r="O563" s="93">
        <f>N(O562)+IF(AND(B563&lt;&gt;"",B563&gt;='Uang Riba'!$H$30,B563&lt;='Uang Riba'!$I$30,OR(H563="Dana riba",H563="Pinjam uang riba",I563="Pinjam dari uang riba",I563="Ganti uang riba",I563="Kelebihan ganti dikembalikan",AND(C563="Kantong Uang Riba",G563="Pengeluaran"))),1,0)</f>
        <v/>
      </c>
      <c r="X563" s="93">
        <f>IF(AND(B563&lt;&gt;"",B563&gt;='Buku Akun'!$H$4,B563&lt;='Buku Akun'!$H$5,OR(C563='Buku Akun'!$C$4,AND(D563="Pindah",E563='Buku Akun'!$C$4))),B563+IF(AND(I563="Selisih bunga",DAY(B563)=1),0,0.01)+ROW()/10000000,"")</f>
        <v/>
      </c>
    </row>
    <row r="564" outlineLevel="1" ht="15" customHeight="1" s="94">
      <c r="A564" s="123">
        <f>IF(B564="","",ROW()-15)</f>
        <v/>
      </c>
      <c r="B564" s="124" t="n"/>
      <c r="C564" s="123" t="n"/>
      <c r="D564" s="123" t="n"/>
      <c r="E564" s="123" t="n"/>
      <c r="F564" s="125" t="n"/>
      <c r="G564" s="123" t="n"/>
      <c r="H564" s="123" t="n"/>
      <c r="I564" s="123" t="n"/>
      <c r="J564" s="123" t="n"/>
      <c r="K564" s="123" t="n"/>
      <c r="L564" s="123" t="n"/>
      <c r="M564" s="123">
        <f>IF(AND(B564&lt;&gt;"",OR($C$4="",ISNUMBER(SEARCH($C$4,C564&amp;" "&amp;E564&amp;" "&amp;G564&amp;" "&amp;H564&amp;" "&amp;I564&amp;" "&amp;J564&amp;" "&amp;K564&amp;" "&amp;L564))),OR($C$5="Semua",$C$5="",G564=$C$5),OR($C$6="Semua",$C$6="",H564=$C$6,H564="Pengeluaran "&amp;$C$6,AND($C$6="Uang Kos Mama",H564="Pengeluaran Uang Kos")),OR($C$7="Semua",$C$7="",I564=$C$7),OR($C$8="Semua",$C$8="",C564=$C$8,E564=$C$8),OR($C$9="Semua",$C$9="",D564=$C$9),OR($C$10="",B564&gt;=$C$10),OR($C$11="",B564&lt;=$C$11),OR($C$12&lt;&gt;"Ya",K564&lt;&gt;""),OR($C$13="Semua",$C$13="",L564=$C$13)),"✓","")</f>
        <v/>
      </c>
      <c r="N564" s="93">
        <f>N(N563)+IF(M564="✓",1,0)</f>
        <v/>
      </c>
      <c r="O564" s="93">
        <f>N(O563)+IF(AND(B564&lt;&gt;"",B564&gt;='Uang Riba'!$H$30,B564&lt;='Uang Riba'!$I$30,OR(H564="Dana riba",H564="Pinjam uang riba",I564="Pinjam dari uang riba",I564="Ganti uang riba",I564="Kelebihan ganti dikembalikan",AND(C564="Kantong Uang Riba",G564="Pengeluaran"))),1,0)</f>
        <v/>
      </c>
      <c r="X564" s="93">
        <f>IF(AND(B564&lt;&gt;"",B564&gt;='Buku Akun'!$H$4,B564&lt;='Buku Akun'!$H$5,OR(C564='Buku Akun'!$C$4,AND(D564="Pindah",E564='Buku Akun'!$C$4))),B564+IF(AND(I564="Selisih bunga",DAY(B564)=1),0,0.01)+ROW()/10000000,"")</f>
        <v/>
      </c>
    </row>
    <row r="565" outlineLevel="1" ht="15" customHeight="1" s="94">
      <c r="A565" s="123">
        <f>IF(B565="","",ROW()-15)</f>
        <v/>
      </c>
      <c r="B565" s="124" t="n"/>
      <c r="C565" s="123" t="n"/>
      <c r="D565" s="123" t="n"/>
      <c r="E565" s="123" t="n"/>
      <c r="F565" s="125" t="n"/>
      <c r="G565" s="123" t="n"/>
      <c r="H565" s="123" t="n"/>
      <c r="I565" s="123" t="n"/>
      <c r="J565" s="123" t="n"/>
      <c r="K565" s="123" t="n"/>
      <c r="L565" s="123" t="n"/>
      <c r="M565" s="123">
        <f>IF(AND(B565&lt;&gt;"",OR($C$4="",ISNUMBER(SEARCH($C$4,C565&amp;" "&amp;E565&amp;" "&amp;G565&amp;" "&amp;H565&amp;" "&amp;I565&amp;" "&amp;J565&amp;" "&amp;K565&amp;" "&amp;L565))),OR($C$5="Semua",$C$5="",G565=$C$5),OR($C$6="Semua",$C$6="",H565=$C$6,H565="Pengeluaran "&amp;$C$6,AND($C$6="Uang Kos Mama",H565="Pengeluaran Uang Kos")),OR($C$7="Semua",$C$7="",I565=$C$7),OR($C$8="Semua",$C$8="",C565=$C$8,E565=$C$8),OR($C$9="Semua",$C$9="",D565=$C$9),OR($C$10="",B565&gt;=$C$10),OR($C$11="",B565&lt;=$C$11),OR($C$12&lt;&gt;"Ya",K565&lt;&gt;""),OR($C$13="Semua",$C$13="",L565=$C$13)),"✓","")</f>
        <v/>
      </c>
      <c r="N565" s="93">
        <f>N(N564)+IF(M565="✓",1,0)</f>
        <v/>
      </c>
      <c r="O565" s="93">
        <f>N(O564)+IF(AND(B565&lt;&gt;"",B565&gt;='Uang Riba'!$H$30,B565&lt;='Uang Riba'!$I$30,OR(H565="Dana riba",H565="Pinjam uang riba",I565="Pinjam dari uang riba",I565="Ganti uang riba",I565="Kelebihan ganti dikembalikan",AND(C565="Kantong Uang Riba",G565="Pengeluaran"))),1,0)</f>
        <v/>
      </c>
      <c r="X565" s="93">
        <f>IF(AND(B565&lt;&gt;"",B565&gt;='Buku Akun'!$H$4,B565&lt;='Buku Akun'!$H$5,OR(C565='Buku Akun'!$C$4,AND(D565="Pindah",E565='Buku Akun'!$C$4))),B565+IF(AND(I565="Selisih bunga",DAY(B565)=1),0,0.01)+ROW()/10000000,"")</f>
        <v/>
      </c>
    </row>
    <row r="566" outlineLevel="1" ht="15" customHeight="1" s="94">
      <c r="A566" s="123">
        <f>IF(B566="","",ROW()-15)</f>
        <v/>
      </c>
      <c r="B566" s="124" t="n"/>
      <c r="C566" s="123" t="n"/>
      <c r="D566" s="123" t="n"/>
      <c r="E566" s="123" t="n"/>
      <c r="F566" s="125" t="n"/>
      <c r="G566" s="123" t="n"/>
      <c r="H566" s="123" t="n"/>
      <c r="I566" s="123" t="n"/>
      <c r="J566" s="123" t="n"/>
      <c r="K566" s="123" t="n"/>
      <c r="L566" s="123" t="n"/>
      <c r="M566" s="123">
        <f>IF(AND(B566&lt;&gt;"",OR($C$4="",ISNUMBER(SEARCH($C$4,C566&amp;" "&amp;E566&amp;" "&amp;G566&amp;" "&amp;H566&amp;" "&amp;I566&amp;" "&amp;J566&amp;" "&amp;K566&amp;" "&amp;L566))),OR($C$5="Semua",$C$5="",G566=$C$5),OR($C$6="Semua",$C$6="",H566=$C$6,H566="Pengeluaran "&amp;$C$6,AND($C$6="Uang Kos Mama",H566="Pengeluaran Uang Kos")),OR($C$7="Semua",$C$7="",I566=$C$7),OR($C$8="Semua",$C$8="",C566=$C$8,E566=$C$8),OR($C$9="Semua",$C$9="",D566=$C$9),OR($C$10="",B566&gt;=$C$10),OR($C$11="",B566&lt;=$C$11),OR($C$12&lt;&gt;"Ya",K566&lt;&gt;""),OR($C$13="Semua",$C$13="",L566=$C$13)),"✓","")</f>
        <v/>
      </c>
      <c r="N566" s="93">
        <f>N(N565)+IF(M566="✓",1,0)</f>
        <v/>
      </c>
      <c r="O566" s="93">
        <f>N(O565)+IF(AND(B566&lt;&gt;"",B566&gt;='Uang Riba'!$H$30,B566&lt;='Uang Riba'!$I$30,OR(H566="Dana riba",H566="Pinjam uang riba",I566="Pinjam dari uang riba",I566="Ganti uang riba",I566="Kelebihan ganti dikembalikan",AND(C566="Kantong Uang Riba",G566="Pengeluaran"))),1,0)</f>
        <v/>
      </c>
      <c r="X566" s="93">
        <f>IF(AND(B566&lt;&gt;"",B566&gt;='Buku Akun'!$H$4,B566&lt;='Buku Akun'!$H$5,OR(C566='Buku Akun'!$C$4,AND(D566="Pindah",E566='Buku Akun'!$C$4))),B566+IF(AND(I566="Selisih bunga",DAY(B566)=1),0,0.01)+ROW()/10000000,"")</f>
        <v/>
      </c>
    </row>
    <row r="567" outlineLevel="1" ht="15" customHeight="1" s="94">
      <c r="A567" s="123">
        <f>IF(B567="","",ROW()-15)</f>
        <v/>
      </c>
      <c r="B567" s="124" t="n"/>
      <c r="C567" s="123" t="n"/>
      <c r="D567" s="123" t="n"/>
      <c r="E567" s="123" t="n"/>
      <c r="F567" s="125" t="n"/>
      <c r="G567" s="123" t="n"/>
      <c r="H567" s="123" t="n"/>
      <c r="I567" s="123" t="n"/>
      <c r="J567" s="123" t="n"/>
      <c r="K567" s="123" t="n"/>
      <c r="L567" s="123" t="n"/>
      <c r="M567" s="123">
        <f>IF(AND(B567&lt;&gt;"",OR($C$4="",ISNUMBER(SEARCH($C$4,C567&amp;" "&amp;E567&amp;" "&amp;G567&amp;" "&amp;H567&amp;" "&amp;I567&amp;" "&amp;J567&amp;" "&amp;K567&amp;" "&amp;L567))),OR($C$5="Semua",$C$5="",G567=$C$5),OR($C$6="Semua",$C$6="",H567=$C$6,H567="Pengeluaran "&amp;$C$6,AND($C$6="Uang Kos Mama",H567="Pengeluaran Uang Kos")),OR($C$7="Semua",$C$7="",I567=$C$7),OR($C$8="Semua",$C$8="",C567=$C$8,E567=$C$8),OR($C$9="Semua",$C$9="",D567=$C$9),OR($C$10="",B567&gt;=$C$10),OR($C$11="",B567&lt;=$C$11),OR($C$12&lt;&gt;"Ya",K567&lt;&gt;""),OR($C$13="Semua",$C$13="",L567=$C$13)),"✓","")</f>
        <v/>
      </c>
      <c r="N567" s="93">
        <f>N(N566)+IF(M567="✓",1,0)</f>
        <v/>
      </c>
      <c r="O567" s="93">
        <f>N(O566)+IF(AND(B567&lt;&gt;"",B567&gt;='Uang Riba'!$H$30,B567&lt;='Uang Riba'!$I$30,OR(H567="Dana riba",H567="Pinjam uang riba",I567="Pinjam dari uang riba",I567="Ganti uang riba",I567="Kelebihan ganti dikembalikan",AND(C567="Kantong Uang Riba",G567="Pengeluaran"))),1,0)</f>
        <v/>
      </c>
      <c r="X567" s="93">
        <f>IF(AND(B567&lt;&gt;"",B567&gt;='Buku Akun'!$H$4,B567&lt;='Buku Akun'!$H$5,OR(C567='Buku Akun'!$C$4,AND(D567="Pindah",E567='Buku Akun'!$C$4))),B567+IF(AND(I567="Selisih bunga",DAY(B567)=1),0,0.01)+ROW()/10000000,"")</f>
        <v/>
      </c>
    </row>
    <row r="568" outlineLevel="1" ht="15" customHeight="1" s="94">
      <c r="A568" s="123">
        <f>IF(B568="","",ROW()-15)</f>
        <v/>
      </c>
      <c r="B568" s="124" t="n"/>
      <c r="C568" s="123" t="n"/>
      <c r="D568" s="123" t="n"/>
      <c r="E568" s="123" t="n"/>
      <c r="F568" s="125" t="n"/>
      <c r="G568" s="123" t="n"/>
      <c r="H568" s="123" t="n"/>
      <c r="I568" s="123" t="n"/>
      <c r="J568" s="123" t="n"/>
      <c r="K568" s="123" t="n"/>
      <c r="L568" s="123" t="n"/>
      <c r="M568" s="123">
        <f>IF(AND(B568&lt;&gt;"",OR($C$4="",ISNUMBER(SEARCH($C$4,C568&amp;" "&amp;E568&amp;" "&amp;G568&amp;" "&amp;H568&amp;" "&amp;I568&amp;" "&amp;J568&amp;" "&amp;K568&amp;" "&amp;L568))),OR($C$5="Semua",$C$5="",G568=$C$5),OR($C$6="Semua",$C$6="",H568=$C$6,H568="Pengeluaran "&amp;$C$6,AND($C$6="Uang Kos Mama",H568="Pengeluaran Uang Kos")),OR($C$7="Semua",$C$7="",I568=$C$7),OR($C$8="Semua",$C$8="",C568=$C$8,E568=$C$8),OR($C$9="Semua",$C$9="",D568=$C$9),OR($C$10="",B568&gt;=$C$10),OR($C$11="",B568&lt;=$C$11),OR($C$12&lt;&gt;"Ya",K568&lt;&gt;""),OR($C$13="Semua",$C$13="",L568=$C$13)),"✓","")</f>
        <v/>
      </c>
      <c r="N568" s="93">
        <f>N(N567)+IF(M568="✓",1,0)</f>
        <v/>
      </c>
      <c r="O568" s="93">
        <f>N(O567)+IF(AND(B568&lt;&gt;"",B568&gt;='Uang Riba'!$H$30,B568&lt;='Uang Riba'!$I$30,OR(H568="Dana riba",H568="Pinjam uang riba",I568="Pinjam dari uang riba",I568="Ganti uang riba",I568="Kelebihan ganti dikembalikan",AND(C568="Kantong Uang Riba",G568="Pengeluaran"))),1,0)</f>
        <v/>
      </c>
      <c r="X568" s="93">
        <f>IF(AND(B568&lt;&gt;"",B568&gt;='Buku Akun'!$H$4,B568&lt;='Buku Akun'!$H$5,OR(C568='Buku Akun'!$C$4,AND(D568="Pindah",E568='Buku Akun'!$C$4))),B568+IF(AND(I568="Selisih bunga",DAY(B568)=1),0,0.01)+ROW()/10000000,"")</f>
        <v/>
      </c>
    </row>
    <row r="569" outlineLevel="1" ht="15" customHeight="1" s="94">
      <c r="A569" s="123">
        <f>IF(B569="","",ROW()-15)</f>
        <v/>
      </c>
      <c r="B569" s="124" t="n"/>
      <c r="C569" s="123" t="n"/>
      <c r="D569" s="123" t="n"/>
      <c r="E569" s="123" t="n"/>
      <c r="F569" s="125" t="n"/>
      <c r="G569" s="123" t="n"/>
      <c r="H569" s="123" t="n"/>
      <c r="I569" s="123" t="n"/>
      <c r="J569" s="123" t="n"/>
      <c r="K569" s="123" t="n"/>
      <c r="L569" s="123" t="n"/>
      <c r="M569" s="123">
        <f>IF(AND(B569&lt;&gt;"",OR($C$4="",ISNUMBER(SEARCH($C$4,C569&amp;" "&amp;E569&amp;" "&amp;G569&amp;" "&amp;H569&amp;" "&amp;I569&amp;" "&amp;J569&amp;" "&amp;K569&amp;" "&amp;L569))),OR($C$5="Semua",$C$5="",G569=$C$5),OR($C$6="Semua",$C$6="",H569=$C$6,H569="Pengeluaran "&amp;$C$6,AND($C$6="Uang Kos Mama",H569="Pengeluaran Uang Kos")),OR($C$7="Semua",$C$7="",I569=$C$7),OR($C$8="Semua",$C$8="",C569=$C$8,E569=$C$8),OR($C$9="Semua",$C$9="",D569=$C$9),OR($C$10="",B569&gt;=$C$10),OR($C$11="",B569&lt;=$C$11),OR($C$12&lt;&gt;"Ya",K569&lt;&gt;""),OR($C$13="Semua",$C$13="",L569=$C$13)),"✓","")</f>
        <v/>
      </c>
      <c r="N569" s="93">
        <f>N(N568)+IF(M569="✓",1,0)</f>
        <v/>
      </c>
      <c r="O569" s="93">
        <f>N(O568)+IF(AND(B569&lt;&gt;"",B569&gt;='Uang Riba'!$H$30,B569&lt;='Uang Riba'!$I$30,OR(H569="Dana riba",H569="Pinjam uang riba",I569="Pinjam dari uang riba",I569="Ganti uang riba",I569="Kelebihan ganti dikembalikan",AND(C569="Kantong Uang Riba",G569="Pengeluaran"))),1,0)</f>
        <v/>
      </c>
      <c r="X569" s="93">
        <f>IF(AND(B569&lt;&gt;"",B569&gt;='Buku Akun'!$H$4,B569&lt;='Buku Akun'!$H$5,OR(C569='Buku Akun'!$C$4,AND(D569="Pindah",E569='Buku Akun'!$C$4))),B569+IF(AND(I569="Selisih bunga",DAY(B569)=1),0,0.01)+ROW()/10000000,"")</f>
        <v/>
      </c>
    </row>
    <row r="570" outlineLevel="1" ht="15" customHeight="1" s="94">
      <c r="A570" s="123">
        <f>IF(B570="","",ROW()-15)</f>
        <v/>
      </c>
      <c r="B570" s="124" t="n"/>
      <c r="C570" s="123" t="n"/>
      <c r="D570" s="123" t="n"/>
      <c r="E570" s="123" t="n"/>
      <c r="F570" s="125" t="n"/>
      <c r="G570" s="123" t="n"/>
      <c r="H570" s="123" t="n"/>
      <c r="I570" s="123" t="n"/>
      <c r="J570" s="123" t="n"/>
      <c r="K570" s="123" t="n"/>
      <c r="L570" s="123" t="n"/>
      <c r="M570" s="123">
        <f>IF(AND(B570&lt;&gt;"",OR($C$4="",ISNUMBER(SEARCH($C$4,C570&amp;" "&amp;E570&amp;" "&amp;G570&amp;" "&amp;H570&amp;" "&amp;I570&amp;" "&amp;J570&amp;" "&amp;K570&amp;" "&amp;L570))),OR($C$5="Semua",$C$5="",G570=$C$5),OR($C$6="Semua",$C$6="",H570=$C$6,H570="Pengeluaran "&amp;$C$6,AND($C$6="Uang Kos Mama",H570="Pengeluaran Uang Kos")),OR($C$7="Semua",$C$7="",I570=$C$7),OR($C$8="Semua",$C$8="",C570=$C$8,E570=$C$8),OR($C$9="Semua",$C$9="",D570=$C$9),OR($C$10="",B570&gt;=$C$10),OR($C$11="",B570&lt;=$C$11),OR($C$12&lt;&gt;"Ya",K570&lt;&gt;""),OR($C$13="Semua",$C$13="",L570=$C$13)),"✓","")</f>
        <v/>
      </c>
      <c r="N570" s="93">
        <f>N(N569)+IF(M570="✓",1,0)</f>
        <v/>
      </c>
      <c r="O570" s="93">
        <f>N(O569)+IF(AND(B570&lt;&gt;"",B570&gt;='Uang Riba'!$H$30,B570&lt;='Uang Riba'!$I$30,OR(H570="Dana riba",H570="Pinjam uang riba",I570="Pinjam dari uang riba",I570="Ganti uang riba",I570="Kelebihan ganti dikembalikan",AND(C570="Kantong Uang Riba",G570="Pengeluaran"))),1,0)</f>
        <v/>
      </c>
      <c r="X570" s="93">
        <f>IF(AND(B570&lt;&gt;"",B570&gt;='Buku Akun'!$H$4,B570&lt;='Buku Akun'!$H$5,OR(C570='Buku Akun'!$C$4,AND(D570="Pindah",E570='Buku Akun'!$C$4))),B570+IF(AND(I570="Selisih bunga",DAY(B570)=1),0,0.01)+ROW()/10000000,"")</f>
        <v/>
      </c>
    </row>
    <row r="571" outlineLevel="1" ht="15" customHeight="1" s="94">
      <c r="A571" s="123">
        <f>IF(B571="","",ROW()-15)</f>
        <v/>
      </c>
      <c r="B571" s="124" t="n"/>
      <c r="C571" s="123" t="n"/>
      <c r="D571" s="123" t="n"/>
      <c r="E571" s="123" t="n"/>
      <c r="F571" s="125" t="n"/>
      <c r="G571" s="123" t="n"/>
      <c r="H571" s="123" t="n"/>
      <c r="I571" s="123" t="n"/>
      <c r="J571" s="123" t="n"/>
      <c r="K571" s="123" t="n"/>
      <c r="L571" s="123" t="n"/>
      <c r="M571" s="123">
        <f>IF(AND(B571&lt;&gt;"",OR($C$4="",ISNUMBER(SEARCH($C$4,C571&amp;" "&amp;E571&amp;" "&amp;G571&amp;" "&amp;H571&amp;" "&amp;I571&amp;" "&amp;J571&amp;" "&amp;K571&amp;" "&amp;L571))),OR($C$5="Semua",$C$5="",G571=$C$5),OR($C$6="Semua",$C$6="",H571=$C$6,H571="Pengeluaran "&amp;$C$6,AND($C$6="Uang Kos Mama",H571="Pengeluaran Uang Kos")),OR($C$7="Semua",$C$7="",I571=$C$7),OR($C$8="Semua",$C$8="",C571=$C$8,E571=$C$8),OR($C$9="Semua",$C$9="",D571=$C$9),OR($C$10="",B571&gt;=$C$10),OR($C$11="",B571&lt;=$C$11),OR($C$12&lt;&gt;"Ya",K571&lt;&gt;""),OR($C$13="Semua",$C$13="",L571=$C$13)),"✓","")</f>
        <v/>
      </c>
      <c r="N571" s="93">
        <f>N(N570)+IF(M571="✓",1,0)</f>
        <v/>
      </c>
      <c r="O571" s="93">
        <f>N(O570)+IF(AND(B571&lt;&gt;"",B571&gt;='Uang Riba'!$H$30,B571&lt;='Uang Riba'!$I$30,OR(H571="Dana riba",H571="Pinjam uang riba",I571="Pinjam dari uang riba",I571="Ganti uang riba",I571="Kelebihan ganti dikembalikan",AND(C571="Kantong Uang Riba",G571="Pengeluaran"))),1,0)</f>
        <v/>
      </c>
      <c r="X571" s="93">
        <f>IF(AND(B571&lt;&gt;"",B571&gt;='Buku Akun'!$H$4,B571&lt;='Buku Akun'!$H$5,OR(C571='Buku Akun'!$C$4,AND(D571="Pindah",E571='Buku Akun'!$C$4))),B571+IF(AND(I571="Selisih bunga",DAY(B571)=1),0,0.01)+ROW()/10000000,"")</f>
        <v/>
      </c>
    </row>
    <row r="572" outlineLevel="1" ht="15" customHeight="1" s="94">
      <c r="A572" s="123">
        <f>IF(B572="","",ROW()-15)</f>
        <v/>
      </c>
      <c r="B572" s="124" t="n"/>
      <c r="C572" s="123" t="n"/>
      <c r="D572" s="123" t="n"/>
      <c r="E572" s="123" t="n"/>
      <c r="F572" s="125" t="n"/>
      <c r="G572" s="123" t="n"/>
      <c r="H572" s="123" t="n"/>
      <c r="I572" s="123" t="n"/>
      <c r="J572" s="123" t="n"/>
      <c r="K572" s="123" t="n"/>
      <c r="L572" s="123" t="n"/>
      <c r="M572" s="123">
        <f>IF(AND(B572&lt;&gt;"",OR($C$4="",ISNUMBER(SEARCH($C$4,C572&amp;" "&amp;E572&amp;" "&amp;G572&amp;" "&amp;H572&amp;" "&amp;I572&amp;" "&amp;J572&amp;" "&amp;K572&amp;" "&amp;L572))),OR($C$5="Semua",$C$5="",G572=$C$5),OR($C$6="Semua",$C$6="",H572=$C$6,H572="Pengeluaran "&amp;$C$6,AND($C$6="Uang Kos Mama",H572="Pengeluaran Uang Kos")),OR($C$7="Semua",$C$7="",I572=$C$7),OR($C$8="Semua",$C$8="",C572=$C$8,E572=$C$8),OR($C$9="Semua",$C$9="",D572=$C$9),OR($C$10="",B572&gt;=$C$10),OR($C$11="",B572&lt;=$C$11),OR($C$12&lt;&gt;"Ya",K572&lt;&gt;""),OR($C$13="Semua",$C$13="",L572=$C$13)),"✓","")</f>
        <v/>
      </c>
      <c r="N572" s="93">
        <f>N(N571)+IF(M572="✓",1,0)</f>
        <v/>
      </c>
      <c r="O572" s="93">
        <f>N(O571)+IF(AND(B572&lt;&gt;"",B572&gt;='Uang Riba'!$H$30,B572&lt;='Uang Riba'!$I$30,OR(H572="Dana riba",H572="Pinjam uang riba",I572="Pinjam dari uang riba",I572="Ganti uang riba",I572="Kelebihan ganti dikembalikan",AND(C572="Kantong Uang Riba",G572="Pengeluaran"))),1,0)</f>
        <v/>
      </c>
      <c r="X572" s="93">
        <f>IF(AND(B572&lt;&gt;"",B572&gt;='Buku Akun'!$H$4,B572&lt;='Buku Akun'!$H$5,OR(C572='Buku Akun'!$C$4,AND(D572="Pindah",E572='Buku Akun'!$C$4))),B572+IF(AND(I572="Selisih bunga",DAY(B572)=1),0,0.01)+ROW()/10000000,"")</f>
        <v/>
      </c>
    </row>
    <row r="573" outlineLevel="1" ht="15" customHeight="1" s="94">
      <c r="A573" s="123">
        <f>IF(B573="","",ROW()-15)</f>
        <v/>
      </c>
      <c r="B573" s="124" t="n"/>
      <c r="C573" s="123" t="n"/>
      <c r="D573" s="123" t="n"/>
      <c r="E573" s="123" t="n"/>
      <c r="F573" s="125" t="n"/>
      <c r="G573" s="123" t="n"/>
      <c r="H573" s="123" t="n"/>
      <c r="I573" s="123" t="n"/>
      <c r="J573" s="123" t="n"/>
      <c r="K573" s="123" t="n"/>
      <c r="L573" s="123" t="n"/>
      <c r="M573" s="123">
        <f>IF(AND(B573&lt;&gt;"",OR($C$4="",ISNUMBER(SEARCH($C$4,C573&amp;" "&amp;E573&amp;" "&amp;G573&amp;" "&amp;H573&amp;" "&amp;I573&amp;" "&amp;J573&amp;" "&amp;K573&amp;" "&amp;L573))),OR($C$5="Semua",$C$5="",G573=$C$5),OR($C$6="Semua",$C$6="",H573=$C$6,H573="Pengeluaran "&amp;$C$6,AND($C$6="Uang Kos Mama",H573="Pengeluaran Uang Kos")),OR($C$7="Semua",$C$7="",I573=$C$7),OR($C$8="Semua",$C$8="",C573=$C$8,E573=$C$8),OR($C$9="Semua",$C$9="",D573=$C$9),OR($C$10="",B573&gt;=$C$10),OR($C$11="",B573&lt;=$C$11),OR($C$12&lt;&gt;"Ya",K573&lt;&gt;""),OR($C$13="Semua",$C$13="",L573=$C$13)),"✓","")</f>
        <v/>
      </c>
      <c r="N573" s="93">
        <f>N(N572)+IF(M573="✓",1,0)</f>
        <v/>
      </c>
      <c r="O573" s="93">
        <f>N(O572)+IF(AND(B573&lt;&gt;"",B573&gt;='Uang Riba'!$H$30,B573&lt;='Uang Riba'!$I$30,OR(H573="Dana riba",H573="Pinjam uang riba",I573="Pinjam dari uang riba",I573="Ganti uang riba",I573="Kelebihan ganti dikembalikan",AND(C573="Kantong Uang Riba",G573="Pengeluaran"))),1,0)</f>
        <v/>
      </c>
      <c r="X573" s="93">
        <f>IF(AND(B573&lt;&gt;"",B573&gt;='Buku Akun'!$H$4,B573&lt;='Buku Akun'!$H$5,OR(C573='Buku Akun'!$C$4,AND(D573="Pindah",E573='Buku Akun'!$C$4))),B573+IF(AND(I573="Selisih bunga",DAY(B573)=1),0,0.01)+ROW()/10000000,"")</f>
        <v/>
      </c>
    </row>
    <row r="574" outlineLevel="1" ht="15" customHeight="1" s="94">
      <c r="A574" s="123">
        <f>IF(B574="","",ROW()-15)</f>
        <v/>
      </c>
      <c r="B574" s="124" t="n"/>
      <c r="C574" s="123" t="n"/>
      <c r="D574" s="123" t="n"/>
      <c r="E574" s="123" t="n"/>
      <c r="F574" s="125" t="n"/>
      <c r="G574" s="123" t="n"/>
      <c r="H574" s="123" t="n"/>
      <c r="I574" s="123" t="n"/>
      <c r="J574" s="123" t="n"/>
      <c r="K574" s="123" t="n"/>
      <c r="L574" s="123" t="n"/>
      <c r="M574" s="123">
        <f>IF(AND(B574&lt;&gt;"",OR($C$4="",ISNUMBER(SEARCH($C$4,C574&amp;" "&amp;E574&amp;" "&amp;G574&amp;" "&amp;H574&amp;" "&amp;I574&amp;" "&amp;J574&amp;" "&amp;K574&amp;" "&amp;L574))),OR($C$5="Semua",$C$5="",G574=$C$5),OR($C$6="Semua",$C$6="",H574=$C$6,H574="Pengeluaran "&amp;$C$6,AND($C$6="Uang Kos Mama",H574="Pengeluaran Uang Kos")),OR($C$7="Semua",$C$7="",I574=$C$7),OR($C$8="Semua",$C$8="",C574=$C$8,E574=$C$8),OR($C$9="Semua",$C$9="",D574=$C$9),OR($C$10="",B574&gt;=$C$10),OR($C$11="",B574&lt;=$C$11),OR($C$12&lt;&gt;"Ya",K574&lt;&gt;""),OR($C$13="Semua",$C$13="",L574=$C$13)),"✓","")</f>
        <v/>
      </c>
      <c r="N574" s="93">
        <f>N(N573)+IF(M574="✓",1,0)</f>
        <v/>
      </c>
      <c r="O574" s="93">
        <f>N(O573)+IF(AND(B574&lt;&gt;"",B574&gt;='Uang Riba'!$H$30,B574&lt;='Uang Riba'!$I$30,OR(H574="Dana riba",H574="Pinjam uang riba",I574="Pinjam dari uang riba",I574="Ganti uang riba",I574="Kelebihan ganti dikembalikan",AND(C574="Kantong Uang Riba",G574="Pengeluaran"))),1,0)</f>
        <v/>
      </c>
      <c r="X574" s="93">
        <f>IF(AND(B574&lt;&gt;"",B574&gt;='Buku Akun'!$H$4,B574&lt;='Buku Akun'!$H$5,OR(C574='Buku Akun'!$C$4,AND(D574="Pindah",E574='Buku Akun'!$C$4))),B574+IF(AND(I574="Selisih bunga",DAY(B574)=1),0,0.01)+ROW()/10000000,"")</f>
        <v/>
      </c>
    </row>
    <row r="575" outlineLevel="1" ht="15" customHeight="1" s="94">
      <c r="A575" s="123">
        <f>IF(B575="","",ROW()-15)</f>
        <v/>
      </c>
      <c r="B575" s="124" t="n"/>
      <c r="C575" s="123" t="n"/>
      <c r="D575" s="123" t="n"/>
      <c r="E575" s="123" t="n"/>
      <c r="F575" s="125" t="n"/>
      <c r="G575" s="123" t="n"/>
      <c r="H575" s="123" t="n"/>
      <c r="I575" s="123" t="n"/>
      <c r="J575" s="123" t="n"/>
      <c r="K575" s="123" t="n"/>
      <c r="L575" s="123" t="n"/>
      <c r="M575" s="123">
        <f>IF(AND(B575&lt;&gt;"",OR($C$4="",ISNUMBER(SEARCH($C$4,C575&amp;" "&amp;E575&amp;" "&amp;G575&amp;" "&amp;H575&amp;" "&amp;I575&amp;" "&amp;J575&amp;" "&amp;K575&amp;" "&amp;L575))),OR($C$5="Semua",$C$5="",G575=$C$5),OR($C$6="Semua",$C$6="",H575=$C$6,H575="Pengeluaran "&amp;$C$6,AND($C$6="Uang Kos Mama",H575="Pengeluaran Uang Kos")),OR($C$7="Semua",$C$7="",I575=$C$7),OR($C$8="Semua",$C$8="",C575=$C$8,E575=$C$8),OR($C$9="Semua",$C$9="",D575=$C$9),OR($C$10="",B575&gt;=$C$10),OR($C$11="",B575&lt;=$C$11),OR($C$12&lt;&gt;"Ya",K575&lt;&gt;""),OR($C$13="Semua",$C$13="",L575=$C$13)),"✓","")</f>
        <v/>
      </c>
      <c r="N575" s="93">
        <f>N(N574)+IF(M575="✓",1,0)</f>
        <v/>
      </c>
      <c r="O575" s="93">
        <f>N(O574)+IF(AND(B575&lt;&gt;"",B575&gt;='Uang Riba'!$H$30,B575&lt;='Uang Riba'!$I$30,OR(H575="Dana riba",H575="Pinjam uang riba",I575="Pinjam dari uang riba",I575="Ganti uang riba",I575="Kelebihan ganti dikembalikan",AND(C575="Kantong Uang Riba",G575="Pengeluaran"))),1,0)</f>
        <v/>
      </c>
      <c r="X575" s="93">
        <f>IF(AND(B575&lt;&gt;"",B575&gt;='Buku Akun'!$H$4,B575&lt;='Buku Akun'!$H$5,OR(C575='Buku Akun'!$C$4,AND(D575="Pindah",E575='Buku Akun'!$C$4))),B575+IF(AND(I575="Selisih bunga",DAY(B575)=1),0,0.01)+ROW()/10000000,"")</f>
        <v/>
      </c>
    </row>
    <row r="576" outlineLevel="1" ht="15" customHeight="1" s="94">
      <c r="A576" s="123">
        <f>IF(B576="","",ROW()-15)</f>
        <v/>
      </c>
      <c r="B576" s="124" t="n"/>
      <c r="C576" s="123" t="n"/>
      <c r="D576" s="123" t="n"/>
      <c r="E576" s="123" t="n"/>
      <c r="F576" s="125" t="n"/>
      <c r="G576" s="123" t="n"/>
      <c r="H576" s="123" t="n"/>
      <c r="I576" s="123" t="n"/>
      <c r="J576" s="123" t="n"/>
      <c r="K576" s="123" t="n"/>
      <c r="L576" s="123" t="n"/>
      <c r="M576" s="123">
        <f>IF(AND(B576&lt;&gt;"",OR($C$4="",ISNUMBER(SEARCH($C$4,C576&amp;" "&amp;E576&amp;" "&amp;G576&amp;" "&amp;H576&amp;" "&amp;I576&amp;" "&amp;J576&amp;" "&amp;K576&amp;" "&amp;L576))),OR($C$5="Semua",$C$5="",G576=$C$5),OR($C$6="Semua",$C$6="",H576=$C$6,H576="Pengeluaran "&amp;$C$6,AND($C$6="Uang Kos Mama",H576="Pengeluaran Uang Kos")),OR($C$7="Semua",$C$7="",I576=$C$7),OR($C$8="Semua",$C$8="",C576=$C$8,E576=$C$8),OR($C$9="Semua",$C$9="",D576=$C$9),OR($C$10="",B576&gt;=$C$10),OR($C$11="",B576&lt;=$C$11),OR($C$12&lt;&gt;"Ya",K576&lt;&gt;""),OR($C$13="Semua",$C$13="",L576=$C$13)),"✓","")</f>
        <v/>
      </c>
      <c r="N576" s="93">
        <f>N(N575)+IF(M576="✓",1,0)</f>
        <v/>
      </c>
      <c r="O576" s="93">
        <f>N(O575)+IF(AND(B576&lt;&gt;"",B576&gt;='Uang Riba'!$H$30,B576&lt;='Uang Riba'!$I$30,OR(H576="Dana riba",H576="Pinjam uang riba",I576="Pinjam dari uang riba",I576="Ganti uang riba",I576="Kelebihan ganti dikembalikan",AND(C576="Kantong Uang Riba",G576="Pengeluaran"))),1,0)</f>
        <v/>
      </c>
      <c r="X576" s="93">
        <f>IF(AND(B576&lt;&gt;"",B576&gt;='Buku Akun'!$H$4,B576&lt;='Buku Akun'!$H$5,OR(C576='Buku Akun'!$C$4,AND(D576="Pindah",E576='Buku Akun'!$C$4))),B576+IF(AND(I576="Selisih bunga",DAY(B576)=1),0,0.01)+ROW()/10000000,"")</f>
        <v/>
      </c>
    </row>
    <row r="577" outlineLevel="1" ht="15" customHeight="1" s="94">
      <c r="A577" s="123">
        <f>IF(B577="","",ROW()-15)</f>
        <v/>
      </c>
      <c r="B577" s="124" t="n"/>
      <c r="C577" s="123" t="n"/>
      <c r="D577" s="123" t="n"/>
      <c r="E577" s="123" t="n"/>
      <c r="F577" s="125" t="n"/>
      <c r="G577" s="123" t="n"/>
      <c r="H577" s="123" t="n"/>
      <c r="I577" s="123" t="n"/>
      <c r="J577" s="123" t="n"/>
      <c r="K577" s="123" t="n"/>
      <c r="L577" s="123" t="n"/>
      <c r="M577" s="123">
        <f>IF(AND(B577&lt;&gt;"",OR($C$4="",ISNUMBER(SEARCH($C$4,C577&amp;" "&amp;E577&amp;" "&amp;G577&amp;" "&amp;H577&amp;" "&amp;I577&amp;" "&amp;J577&amp;" "&amp;K577&amp;" "&amp;L577))),OR($C$5="Semua",$C$5="",G577=$C$5),OR($C$6="Semua",$C$6="",H577=$C$6,H577="Pengeluaran "&amp;$C$6,AND($C$6="Uang Kos Mama",H577="Pengeluaran Uang Kos")),OR($C$7="Semua",$C$7="",I577=$C$7),OR($C$8="Semua",$C$8="",C577=$C$8,E577=$C$8),OR($C$9="Semua",$C$9="",D577=$C$9),OR($C$10="",B577&gt;=$C$10),OR($C$11="",B577&lt;=$C$11),OR($C$12&lt;&gt;"Ya",K577&lt;&gt;""),OR($C$13="Semua",$C$13="",L577=$C$13)),"✓","")</f>
        <v/>
      </c>
      <c r="N577" s="93">
        <f>N(N576)+IF(M577="✓",1,0)</f>
        <v/>
      </c>
      <c r="O577" s="93">
        <f>N(O576)+IF(AND(B577&lt;&gt;"",B577&gt;='Uang Riba'!$H$30,B577&lt;='Uang Riba'!$I$30,OR(H577="Dana riba",H577="Pinjam uang riba",I577="Pinjam dari uang riba",I577="Ganti uang riba",I577="Kelebihan ganti dikembalikan",AND(C577="Kantong Uang Riba",G577="Pengeluaran"))),1,0)</f>
        <v/>
      </c>
      <c r="X577" s="93">
        <f>IF(AND(B577&lt;&gt;"",B577&gt;='Buku Akun'!$H$4,B577&lt;='Buku Akun'!$H$5,OR(C577='Buku Akun'!$C$4,AND(D577="Pindah",E577='Buku Akun'!$C$4))),B577+IF(AND(I577="Selisih bunga",DAY(B577)=1),0,0.01)+ROW()/10000000,"")</f>
        <v/>
      </c>
    </row>
    <row r="578" outlineLevel="1" ht="15" customHeight="1" s="94">
      <c r="A578" s="123">
        <f>IF(B578="","",ROW()-15)</f>
        <v/>
      </c>
      <c r="B578" s="124" t="n"/>
      <c r="C578" s="123" t="n"/>
      <c r="D578" s="123" t="n"/>
      <c r="E578" s="123" t="n"/>
      <c r="F578" s="125" t="n"/>
      <c r="G578" s="123" t="n"/>
      <c r="H578" s="123" t="n"/>
      <c r="I578" s="123" t="n"/>
      <c r="J578" s="123" t="n"/>
      <c r="K578" s="123" t="n"/>
      <c r="L578" s="123" t="n"/>
      <c r="M578" s="123">
        <f>IF(AND(B578&lt;&gt;"",OR($C$4="",ISNUMBER(SEARCH($C$4,C578&amp;" "&amp;E578&amp;" "&amp;G578&amp;" "&amp;H578&amp;" "&amp;I578&amp;" "&amp;J578&amp;" "&amp;K578&amp;" "&amp;L578))),OR($C$5="Semua",$C$5="",G578=$C$5),OR($C$6="Semua",$C$6="",H578=$C$6,H578="Pengeluaran "&amp;$C$6,AND($C$6="Uang Kos Mama",H578="Pengeluaran Uang Kos")),OR($C$7="Semua",$C$7="",I578=$C$7),OR($C$8="Semua",$C$8="",C578=$C$8,E578=$C$8),OR($C$9="Semua",$C$9="",D578=$C$9),OR($C$10="",B578&gt;=$C$10),OR($C$11="",B578&lt;=$C$11),OR($C$12&lt;&gt;"Ya",K578&lt;&gt;""),OR($C$13="Semua",$C$13="",L578=$C$13)),"✓","")</f>
        <v/>
      </c>
      <c r="N578" s="93">
        <f>N(N577)+IF(M578="✓",1,0)</f>
        <v/>
      </c>
      <c r="O578" s="93">
        <f>N(O577)+IF(AND(B578&lt;&gt;"",B578&gt;='Uang Riba'!$H$30,B578&lt;='Uang Riba'!$I$30,OR(H578="Dana riba",H578="Pinjam uang riba",I578="Pinjam dari uang riba",I578="Ganti uang riba",I578="Kelebihan ganti dikembalikan",AND(C578="Kantong Uang Riba",G578="Pengeluaran"))),1,0)</f>
        <v/>
      </c>
      <c r="X578" s="93">
        <f>IF(AND(B578&lt;&gt;"",B578&gt;='Buku Akun'!$H$4,B578&lt;='Buku Akun'!$H$5,OR(C578='Buku Akun'!$C$4,AND(D578="Pindah",E578='Buku Akun'!$C$4))),B578+IF(AND(I578="Selisih bunga",DAY(B578)=1),0,0.01)+ROW()/10000000,"")</f>
        <v/>
      </c>
    </row>
    <row r="579" outlineLevel="1" ht="15" customHeight="1" s="94">
      <c r="A579" s="123">
        <f>IF(B579="","",ROW()-15)</f>
        <v/>
      </c>
      <c r="B579" s="124" t="n"/>
      <c r="C579" s="123" t="n"/>
      <c r="D579" s="123" t="n"/>
      <c r="E579" s="123" t="n"/>
      <c r="F579" s="125" t="n"/>
      <c r="G579" s="123" t="n"/>
      <c r="H579" s="123" t="n"/>
      <c r="I579" s="123" t="n"/>
      <c r="J579" s="123" t="n"/>
      <c r="K579" s="123" t="n"/>
      <c r="L579" s="123" t="n"/>
      <c r="M579" s="123">
        <f>IF(AND(B579&lt;&gt;"",OR($C$4="",ISNUMBER(SEARCH($C$4,C579&amp;" "&amp;E579&amp;" "&amp;G579&amp;" "&amp;H579&amp;" "&amp;I579&amp;" "&amp;J579&amp;" "&amp;K579&amp;" "&amp;L579))),OR($C$5="Semua",$C$5="",G579=$C$5),OR($C$6="Semua",$C$6="",H579=$C$6,H579="Pengeluaran "&amp;$C$6,AND($C$6="Uang Kos Mama",H579="Pengeluaran Uang Kos")),OR($C$7="Semua",$C$7="",I579=$C$7),OR($C$8="Semua",$C$8="",C579=$C$8,E579=$C$8),OR($C$9="Semua",$C$9="",D579=$C$9),OR($C$10="",B579&gt;=$C$10),OR($C$11="",B579&lt;=$C$11),OR($C$12&lt;&gt;"Ya",K579&lt;&gt;""),OR($C$13="Semua",$C$13="",L579=$C$13)),"✓","")</f>
        <v/>
      </c>
      <c r="N579" s="93">
        <f>N(N578)+IF(M579="✓",1,0)</f>
        <v/>
      </c>
      <c r="O579" s="93">
        <f>N(O578)+IF(AND(B579&lt;&gt;"",B579&gt;='Uang Riba'!$H$30,B579&lt;='Uang Riba'!$I$30,OR(H579="Dana riba",H579="Pinjam uang riba",I579="Pinjam dari uang riba",I579="Ganti uang riba",I579="Kelebihan ganti dikembalikan",AND(C579="Kantong Uang Riba",G579="Pengeluaran"))),1,0)</f>
        <v/>
      </c>
      <c r="X579" s="93">
        <f>IF(AND(B579&lt;&gt;"",B579&gt;='Buku Akun'!$H$4,B579&lt;='Buku Akun'!$H$5,OR(C579='Buku Akun'!$C$4,AND(D579="Pindah",E579='Buku Akun'!$C$4))),B579+IF(AND(I579="Selisih bunga",DAY(B579)=1),0,0.01)+ROW()/10000000,"")</f>
        <v/>
      </c>
    </row>
    <row r="580" outlineLevel="1" ht="15" customHeight="1" s="94">
      <c r="A580" s="123">
        <f>IF(B580="","",ROW()-15)</f>
        <v/>
      </c>
      <c r="B580" s="124" t="n"/>
      <c r="C580" s="123" t="n"/>
      <c r="D580" s="123" t="n"/>
      <c r="E580" s="123" t="n"/>
      <c r="F580" s="125" t="n"/>
      <c r="G580" s="123" t="n"/>
      <c r="H580" s="123" t="n"/>
      <c r="I580" s="123" t="n"/>
      <c r="J580" s="123" t="n"/>
      <c r="K580" s="123" t="n"/>
      <c r="L580" s="123" t="n"/>
      <c r="M580" s="123">
        <f>IF(AND(B580&lt;&gt;"",OR($C$4="",ISNUMBER(SEARCH($C$4,C580&amp;" "&amp;E580&amp;" "&amp;G580&amp;" "&amp;H580&amp;" "&amp;I580&amp;" "&amp;J580&amp;" "&amp;K580&amp;" "&amp;L580))),OR($C$5="Semua",$C$5="",G580=$C$5),OR($C$6="Semua",$C$6="",H580=$C$6,H580="Pengeluaran "&amp;$C$6,AND($C$6="Uang Kos Mama",H580="Pengeluaran Uang Kos")),OR($C$7="Semua",$C$7="",I580=$C$7),OR($C$8="Semua",$C$8="",C580=$C$8,E580=$C$8),OR($C$9="Semua",$C$9="",D580=$C$9),OR($C$10="",B580&gt;=$C$10),OR($C$11="",B580&lt;=$C$11),OR($C$12&lt;&gt;"Ya",K580&lt;&gt;""),OR($C$13="Semua",$C$13="",L580=$C$13)),"✓","")</f>
        <v/>
      </c>
      <c r="N580" s="93">
        <f>N(N579)+IF(M580="✓",1,0)</f>
        <v/>
      </c>
      <c r="O580" s="93">
        <f>N(O579)+IF(AND(B580&lt;&gt;"",B580&gt;='Uang Riba'!$H$30,B580&lt;='Uang Riba'!$I$30,OR(H580="Dana riba",H580="Pinjam uang riba",I580="Pinjam dari uang riba",I580="Ganti uang riba",I580="Kelebihan ganti dikembalikan",AND(C580="Kantong Uang Riba",G580="Pengeluaran"))),1,0)</f>
        <v/>
      </c>
      <c r="X580" s="93">
        <f>IF(AND(B580&lt;&gt;"",B580&gt;='Buku Akun'!$H$4,B580&lt;='Buku Akun'!$H$5,OR(C580='Buku Akun'!$C$4,AND(D580="Pindah",E580='Buku Akun'!$C$4))),B580+IF(AND(I580="Selisih bunga",DAY(B580)=1),0,0.01)+ROW()/10000000,"")</f>
        <v/>
      </c>
    </row>
    <row r="581" outlineLevel="1" ht="15" customHeight="1" s="94">
      <c r="A581" s="123">
        <f>IF(B581="","",ROW()-15)</f>
        <v/>
      </c>
      <c r="B581" s="124" t="n"/>
      <c r="C581" s="123" t="n"/>
      <c r="D581" s="123" t="n"/>
      <c r="E581" s="123" t="n"/>
      <c r="F581" s="125" t="n"/>
      <c r="G581" s="123" t="n"/>
      <c r="H581" s="123" t="n"/>
      <c r="I581" s="123" t="n"/>
      <c r="J581" s="123" t="n"/>
      <c r="K581" s="123" t="n"/>
      <c r="L581" s="123" t="n"/>
      <c r="M581" s="123">
        <f>IF(AND(B581&lt;&gt;"",OR($C$4="",ISNUMBER(SEARCH($C$4,C581&amp;" "&amp;E581&amp;" "&amp;G581&amp;" "&amp;H581&amp;" "&amp;I581&amp;" "&amp;J581&amp;" "&amp;K581&amp;" "&amp;L581))),OR($C$5="Semua",$C$5="",G581=$C$5),OR($C$6="Semua",$C$6="",H581=$C$6,H581="Pengeluaran "&amp;$C$6,AND($C$6="Uang Kos Mama",H581="Pengeluaran Uang Kos")),OR($C$7="Semua",$C$7="",I581=$C$7),OR($C$8="Semua",$C$8="",C581=$C$8,E581=$C$8),OR($C$9="Semua",$C$9="",D581=$C$9),OR($C$10="",B581&gt;=$C$10),OR($C$11="",B581&lt;=$C$11),OR($C$12&lt;&gt;"Ya",K581&lt;&gt;""),OR($C$13="Semua",$C$13="",L581=$C$13)),"✓","")</f>
        <v/>
      </c>
      <c r="N581" s="93">
        <f>N(N580)+IF(M581="✓",1,0)</f>
        <v/>
      </c>
      <c r="O581" s="93">
        <f>N(O580)+IF(AND(B581&lt;&gt;"",B581&gt;='Uang Riba'!$H$30,B581&lt;='Uang Riba'!$I$30,OR(H581="Dana riba",H581="Pinjam uang riba",I581="Pinjam dari uang riba",I581="Ganti uang riba",I581="Kelebihan ganti dikembalikan",AND(C581="Kantong Uang Riba",G581="Pengeluaran"))),1,0)</f>
        <v/>
      </c>
      <c r="X581" s="93">
        <f>IF(AND(B581&lt;&gt;"",B581&gt;='Buku Akun'!$H$4,B581&lt;='Buku Akun'!$H$5,OR(C581='Buku Akun'!$C$4,AND(D581="Pindah",E581='Buku Akun'!$C$4))),B581+IF(AND(I581="Selisih bunga",DAY(B581)=1),0,0.01)+ROW()/10000000,"")</f>
        <v/>
      </c>
    </row>
    <row r="582" outlineLevel="1" ht="15" customHeight="1" s="94">
      <c r="A582" s="123">
        <f>IF(B582="","",ROW()-15)</f>
        <v/>
      </c>
      <c r="B582" s="124" t="n"/>
      <c r="C582" s="123" t="n"/>
      <c r="D582" s="123" t="n"/>
      <c r="E582" s="123" t="n"/>
      <c r="F582" s="125" t="n"/>
      <c r="G582" s="123" t="n"/>
      <c r="H582" s="123" t="n"/>
      <c r="I582" s="123" t="n"/>
      <c r="J582" s="123" t="n"/>
      <c r="K582" s="123" t="n"/>
      <c r="L582" s="123" t="n"/>
      <c r="M582" s="123">
        <f>IF(AND(B582&lt;&gt;"",OR($C$4="",ISNUMBER(SEARCH($C$4,C582&amp;" "&amp;E582&amp;" "&amp;G582&amp;" "&amp;H582&amp;" "&amp;I582&amp;" "&amp;J582&amp;" "&amp;K582&amp;" "&amp;L582))),OR($C$5="Semua",$C$5="",G582=$C$5),OR($C$6="Semua",$C$6="",H582=$C$6,H582="Pengeluaran "&amp;$C$6,AND($C$6="Uang Kos Mama",H582="Pengeluaran Uang Kos")),OR($C$7="Semua",$C$7="",I582=$C$7),OR($C$8="Semua",$C$8="",C582=$C$8,E582=$C$8),OR($C$9="Semua",$C$9="",D582=$C$9),OR($C$10="",B582&gt;=$C$10),OR($C$11="",B582&lt;=$C$11),OR($C$12&lt;&gt;"Ya",K582&lt;&gt;""),OR($C$13="Semua",$C$13="",L582=$C$13)),"✓","")</f>
        <v/>
      </c>
      <c r="N582" s="93">
        <f>N(N581)+IF(M582="✓",1,0)</f>
        <v/>
      </c>
      <c r="O582" s="93">
        <f>N(O581)+IF(AND(B582&lt;&gt;"",B582&gt;='Uang Riba'!$H$30,B582&lt;='Uang Riba'!$I$30,OR(H582="Dana riba",H582="Pinjam uang riba",I582="Pinjam dari uang riba",I582="Ganti uang riba",I582="Kelebihan ganti dikembalikan",AND(C582="Kantong Uang Riba",G582="Pengeluaran"))),1,0)</f>
        <v/>
      </c>
      <c r="X582" s="93">
        <f>IF(AND(B582&lt;&gt;"",B582&gt;='Buku Akun'!$H$4,B582&lt;='Buku Akun'!$H$5,OR(C582='Buku Akun'!$C$4,AND(D582="Pindah",E582='Buku Akun'!$C$4))),B582+IF(AND(I582="Selisih bunga",DAY(B582)=1),0,0.01)+ROW()/10000000,"")</f>
        <v/>
      </c>
    </row>
    <row r="583" outlineLevel="1" ht="15" customHeight="1" s="94">
      <c r="A583" s="123">
        <f>IF(B583="","",ROW()-15)</f>
        <v/>
      </c>
      <c r="B583" s="124" t="n"/>
      <c r="C583" s="123" t="n"/>
      <c r="D583" s="123" t="n"/>
      <c r="E583" s="123" t="n"/>
      <c r="F583" s="125" t="n"/>
      <c r="G583" s="123" t="n"/>
      <c r="H583" s="123" t="n"/>
      <c r="I583" s="123" t="n"/>
      <c r="J583" s="123" t="n"/>
      <c r="K583" s="123" t="n"/>
      <c r="L583" s="123" t="n"/>
      <c r="M583" s="123">
        <f>IF(AND(B583&lt;&gt;"",OR($C$4="",ISNUMBER(SEARCH($C$4,C583&amp;" "&amp;E583&amp;" "&amp;G583&amp;" "&amp;H583&amp;" "&amp;I583&amp;" "&amp;J583&amp;" "&amp;K583&amp;" "&amp;L583))),OR($C$5="Semua",$C$5="",G583=$C$5),OR($C$6="Semua",$C$6="",H583=$C$6,H583="Pengeluaran "&amp;$C$6,AND($C$6="Uang Kos Mama",H583="Pengeluaran Uang Kos")),OR($C$7="Semua",$C$7="",I583=$C$7),OR($C$8="Semua",$C$8="",C583=$C$8,E583=$C$8),OR($C$9="Semua",$C$9="",D583=$C$9),OR($C$10="",B583&gt;=$C$10),OR($C$11="",B583&lt;=$C$11),OR($C$12&lt;&gt;"Ya",K583&lt;&gt;""),OR($C$13="Semua",$C$13="",L583=$C$13)),"✓","")</f>
        <v/>
      </c>
      <c r="N583" s="93">
        <f>N(N582)+IF(M583="✓",1,0)</f>
        <v/>
      </c>
      <c r="O583" s="93">
        <f>N(O582)+IF(AND(B583&lt;&gt;"",B583&gt;='Uang Riba'!$H$30,B583&lt;='Uang Riba'!$I$30,OR(H583="Dana riba",H583="Pinjam uang riba",I583="Pinjam dari uang riba",I583="Ganti uang riba",I583="Kelebihan ganti dikembalikan",AND(C583="Kantong Uang Riba",G583="Pengeluaran"))),1,0)</f>
        <v/>
      </c>
      <c r="X583" s="93">
        <f>IF(AND(B583&lt;&gt;"",B583&gt;='Buku Akun'!$H$4,B583&lt;='Buku Akun'!$H$5,OR(C583='Buku Akun'!$C$4,AND(D583="Pindah",E583='Buku Akun'!$C$4))),B583+IF(AND(I583="Selisih bunga",DAY(B583)=1),0,0.01)+ROW()/10000000,"")</f>
        <v/>
      </c>
    </row>
    <row r="584" outlineLevel="1" ht="15" customHeight="1" s="94">
      <c r="A584" s="123">
        <f>IF(B584="","",ROW()-15)</f>
        <v/>
      </c>
      <c r="B584" s="124" t="n"/>
      <c r="C584" s="123" t="n"/>
      <c r="D584" s="123" t="n"/>
      <c r="E584" s="123" t="n"/>
      <c r="F584" s="125" t="n"/>
      <c r="G584" s="123" t="n"/>
      <c r="H584" s="123" t="n"/>
      <c r="I584" s="123" t="n"/>
      <c r="J584" s="123" t="n"/>
      <c r="K584" s="123" t="n"/>
      <c r="L584" s="123" t="n"/>
      <c r="M584" s="123">
        <f>IF(AND(B584&lt;&gt;"",OR($C$4="",ISNUMBER(SEARCH($C$4,C584&amp;" "&amp;E584&amp;" "&amp;G584&amp;" "&amp;H584&amp;" "&amp;I584&amp;" "&amp;J584&amp;" "&amp;K584&amp;" "&amp;L584))),OR($C$5="Semua",$C$5="",G584=$C$5),OR($C$6="Semua",$C$6="",H584=$C$6,H584="Pengeluaran "&amp;$C$6,AND($C$6="Uang Kos Mama",H584="Pengeluaran Uang Kos")),OR($C$7="Semua",$C$7="",I584=$C$7),OR($C$8="Semua",$C$8="",C584=$C$8,E584=$C$8),OR($C$9="Semua",$C$9="",D584=$C$9),OR($C$10="",B584&gt;=$C$10),OR($C$11="",B584&lt;=$C$11),OR($C$12&lt;&gt;"Ya",K584&lt;&gt;""),OR($C$13="Semua",$C$13="",L584=$C$13)),"✓","")</f>
        <v/>
      </c>
      <c r="N584" s="93">
        <f>N(N583)+IF(M584="✓",1,0)</f>
        <v/>
      </c>
      <c r="O584" s="93">
        <f>N(O583)+IF(AND(B584&lt;&gt;"",B584&gt;='Uang Riba'!$H$30,B584&lt;='Uang Riba'!$I$30,OR(H584="Dana riba",H584="Pinjam uang riba",I584="Pinjam dari uang riba",I584="Ganti uang riba",I584="Kelebihan ganti dikembalikan",AND(C584="Kantong Uang Riba",G584="Pengeluaran"))),1,0)</f>
        <v/>
      </c>
      <c r="X584" s="93">
        <f>IF(AND(B584&lt;&gt;"",B584&gt;='Buku Akun'!$H$4,B584&lt;='Buku Akun'!$H$5,OR(C584='Buku Akun'!$C$4,AND(D584="Pindah",E584='Buku Akun'!$C$4))),B584+IF(AND(I584="Selisih bunga",DAY(B584)=1),0,0.01)+ROW()/10000000,"")</f>
        <v/>
      </c>
    </row>
    <row r="585" outlineLevel="1" ht="15" customHeight="1" s="94">
      <c r="A585" s="123">
        <f>IF(B585="","",ROW()-15)</f>
        <v/>
      </c>
      <c r="B585" s="124" t="n"/>
      <c r="C585" s="123" t="n"/>
      <c r="D585" s="123" t="n"/>
      <c r="E585" s="123" t="n"/>
      <c r="F585" s="125" t="n"/>
      <c r="G585" s="123" t="n"/>
      <c r="H585" s="123" t="n"/>
      <c r="I585" s="123" t="n"/>
      <c r="J585" s="123" t="n"/>
      <c r="K585" s="123" t="n"/>
      <c r="L585" s="123" t="n"/>
      <c r="M585" s="123">
        <f>IF(AND(B585&lt;&gt;"",OR($C$4="",ISNUMBER(SEARCH($C$4,C585&amp;" "&amp;E585&amp;" "&amp;G585&amp;" "&amp;H585&amp;" "&amp;I585&amp;" "&amp;J585&amp;" "&amp;K585&amp;" "&amp;L585))),OR($C$5="Semua",$C$5="",G585=$C$5),OR($C$6="Semua",$C$6="",H585=$C$6,H585="Pengeluaran "&amp;$C$6,AND($C$6="Uang Kos Mama",H585="Pengeluaran Uang Kos")),OR($C$7="Semua",$C$7="",I585=$C$7),OR($C$8="Semua",$C$8="",C585=$C$8,E585=$C$8),OR($C$9="Semua",$C$9="",D585=$C$9),OR($C$10="",B585&gt;=$C$10),OR($C$11="",B585&lt;=$C$11),OR($C$12&lt;&gt;"Ya",K585&lt;&gt;""),OR($C$13="Semua",$C$13="",L585=$C$13)),"✓","")</f>
        <v/>
      </c>
      <c r="N585" s="93">
        <f>N(N584)+IF(M585="✓",1,0)</f>
        <v/>
      </c>
      <c r="O585" s="93">
        <f>N(O584)+IF(AND(B585&lt;&gt;"",B585&gt;='Uang Riba'!$H$30,B585&lt;='Uang Riba'!$I$30,OR(H585="Dana riba",H585="Pinjam uang riba",I585="Pinjam dari uang riba",I585="Ganti uang riba",I585="Kelebihan ganti dikembalikan",AND(C585="Kantong Uang Riba",G585="Pengeluaran"))),1,0)</f>
        <v/>
      </c>
      <c r="X585" s="93">
        <f>IF(AND(B585&lt;&gt;"",B585&gt;='Buku Akun'!$H$4,B585&lt;='Buku Akun'!$H$5,OR(C585='Buku Akun'!$C$4,AND(D585="Pindah",E585='Buku Akun'!$C$4))),B585+IF(AND(I585="Selisih bunga",DAY(B585)=1),0,0.01)+ROW()/10000000,"")</f>
        <v/>
      </c>
    </row>
    <row r="586" outlineLevel="1" ht="15" customHeight="1" s="94">
      <c r="A586" s="123">
        <f>IF(B586="","",ROW()-15)</f>
        <v/>
      </c>
      <c r="B586" s="124" t="n"/>
      <c r="C586" s="123" t="n"/>
      <c r="D586" s="123" t="n"/>
      <c r="E586" s="123" t="n"/>
      <c r="F586" s="125" t="n"/>
      <c r="G586" s="123" t="n"/>
      <c r="H586" s="123" t="n"/>
      <c r="I586" s="123" t="n"/>
      <c r="J586" s="123" t="n"/>
      <c r="K586" s="123" t="n"/>
      <c r="L586" s="123" t="n"/>
      <c r="M586" s="123">
        <f>IF(AND(B586&lt;&gt;"",OR($C$4="",ISNUMBER(SEARCH($C$4,C586&amp;" "&amp;E586&amp;" "&amp;G586&amp;" "&amp;H586&amp;" "&amp;I586&amp;" "&amp;J586&amp;" "&amp;K586&amp;" "&amp;L586))),OR($C$5="Semua",$C$5="",G586=$C$5),OR($C$6="Semua",$C$6="",H586=$C$6,H586="Pengeluaran "&amp;$C$6,AND($C$6="Uang Kos Mama",H586="Pengeluaran Uang Kos")),OR($C$7="Semua",$C$7="",I586=$C$7),OR($C$8="Semua",$C$8="",C586=$C$8,E586=$C$8),OR($C$9="Semua",$C$9="",D586=$C$9),OR($C$10="",B586&gt;=$C$10),OR($C$11="",B586&lt;=$C$11),OR($C$12&lt;&gt;"Ya",K586&lt;&gt;""),OR($C$13="Semua",$C$13="",L586=$C$13)),"✓","")</f>
        <v/>
      </c>
      <c r="N586" s="93">
        <f>N(N585)+IF(M586="✓",1,0)</f>
        <v/>
      </c>
      <c r="O586" s="93">
        <f>N(O585)+IF(AND(B586&lt;&gt;"",B586&gt;='Uang Riba'!$H$30,B586&lt;='Uang Riba'!$I$30,OR(H586="Dana riba",H586="Pinjam uang riba",I586="Pinjam dari uang riba",I586="Ganti uang riba",I586="Kelebihan ganti dikembalikan",AND(C586="Kantong Uang Riba",G586="Pengeluaran"))),1,0)</f>
        <v/>
      </c>
      <c r="X586" s="93">
        <f>IF(AND(B586&lt;&gt;"",B586&gt;='Buku Akun'!$H$4,B586&lt;='Buku Akun'!$H$5,OR(C586='Buku Akun'!$C$4,AND(D586="Pindah",E586='Buku Akun'!$C$4))),B586+IF(AND(I586="Selisih bunga",DAY(B586)=1),0,0.01)+ROW()/10000000,"")</f>
        <v/>
      </c>
    </row>
    <row r="587" outlineLevel="1" ht="15" customHeight="1" s="94">
      <c r="A587" s="123">
        <f>IF(B587="","",ROW()-15)</f>
        <v/>
      </c>
      <c r="B587" s="124" t="n"/>
      <c r="C587" s="123" t="n"/>
      <c r="D587" s="123" t="n"/>
      <c r="E587" s="123" t="n"/>
      <c r="F587" s="125" t="n"/>
      <c r="G587" s="123" t="n"/>
      <c r="H587" s="123" t="n"/>
      <c r="I587" s="123" t="n"/>
      <c r="J587" s="123" t="n"/>
      <c r="K587" s="123" t="n"/>
      <c r="L587" s="123" t="n"/>
      <c r="M587" s="123">
        <f>IF(AND(B587&lt;&gt;"",OR($C$4="",ISNUMBER(SEARCH($C$4,C587&amp;" "&amp;E587&amp;" "&amp;G587&amp;" "&amp;H587&amp;" "&amp;I587&amp;" "&amp;J587&amp;" "&amp;K587&amp;" "&amp;L587))),OR($C$5="Semua",$C$5="",G587=$C$5),OR($C$6="Semua",$C$6="",H587=$C$6,H587="Pengeluaran "&amp;$C$6,AND($C$6="Uang Kos Mama",H587="Pengeluaran Uang Kos")),OR($C$7="Semua",$C$7="",I587=$C$7),OR($C$8="Semua",$C$8="",C587=$C$8,E587=$C$8),OR($C$9="Semua",$C$9="",D587=$C$9),OR($C$10="",B587&gt;=$C$10),OR($C$11="",B587&lt;=$C$11),OR($C$12&lt;&gt;"Ya",K587&lt;&gt;""),OR($C$13="Semua",$C$13="",L587=$C$13)),"✓","")</f>
        <v/>
      </c>
      <c r="N587" s="93">
        <f>N(N586)+IF(M587="✓",1,0)</f>
        <v/>
      </c>
      <c r="O587" s="93">
        <f>N(O586)+IF(AND(B587&lt;&gt;"",B587&gt;='Uang Riba'!$H$30,B587&lt;='Uang Riba'!$I$30,OR(H587="Dana riba",H587="Pinjam uang riba",I587="Pinjam dari uang riba",I587="Ganti uang riba",I587="Kelebihan ganti dikembalikan",AND(C587="Kantong Uang Riba",G587="Pengeluaran"))),1,0)</f>
        <v/>
      </c>
      <c r="X587" s="93">
        <f>IF(AND(B587&lt;&gt;"",B587&gt;='Buku Akun'!$H$4,B587&lt;='Buku Akun'!$H$5,OR(C587='Buku Akun'!$C$4,AND(D587="Pindah",E587='Buku Akun'!$C$4))),B587+IF(AND(I587="Selisih bunga",DAY(B587)=1),0,0.01)+ROW()/10000000,"")</f>
        <v/>
      </c>
    </row>
    <row r="588" outlineLevel="1" ht="15" customHeight="1" s="94">
      <c r="A588" s="123">
        <f>IF(B588="","",ROW()-15)</f>
        <v/>
      </c>
      <c r="B588" s="124" t="n"/>
      <c r="C588" s="123" t="n"/>
      <c r="D588" s="123" t="n"/>
      <c r="E588" s="123" t="n"/>
      <c r="F588" s="125" t="n"/>
      <c r="G588" s="123" t="n"/>
      <c r="H588" s="123" t="n"/>
      <c r="I588" s="123" t="n"/>
      <c r="J588" s="123" t="n"/>
      <c r="K588" s="123" t="n"/>
      <c r="L588" s="123" t="n"/>
      <c r="M588" s="123">
        <f>IF(AND(B588&lt;&gt;"",OR($C$4="",ISNUMBER(SEARCH($C$4,C588&amp;" "&amp;E588&amp;" "&amp;G588&amp;" "&amp;H588&amp;" "&amp;I588&amp;" "&amp;J588&amp;" "&amp;K588&amp;" "&amp;L588))),OR($C$5="Semua",$C$5="",G588=$C$5),OR($C$6="Semua",$C$6="",H588=$C$6,H588="Pengeluaran "&amp;$C$6,AND($C$6="Uang Kos Mama",H588="Pengeluaran Uang Kos")),OR($C$7="Semua",$C$7="",I588=$C$7),OR($C$8="Semua",$C$8="",C588=$C$8,E588=$C$8),OR($C$9="Semua",$C$9="",D588=$C$9),OR($C$10="",B588&gt;=$C$10),OR($C$11="",B588&lt;=$C$11),OR($C$12&lt;&gt;"Ya",K588&lt;&gt;""),OR($C$13="Semua",$C$13="",L588=$C$13)),"✓","")</f>
        <v/>
      </c>
      <c r="N588" s="93">
        <f>N(N587)+IF(M588="✓",1,0)</f>
        <v/>
      </c>
      <c r="O588" s="93">
        <f>N(O587)+IF(AND(B588&lt;&gt;"",B588&gt;='Uang Riba'!$H$30,B588&lt;='Uang Riba'!$I$30,OR(H588="Dana riba",H588="Pinjam uang riba",I588="Pinjam dari uang riba",I588="Ganti uang riba",I588="Kelebihan ganti dikembalikan",AND(C588="Kantong Uang Riba",G588="Pengeluaran"))),1,0)</f>
        <v/>
      </c>
      <c r="X588" s="93">
        <f>IF(AND(B588&lt;&gt;"",B588&gt;='Buku Akun'!$H$4,B588&lt;='Buku Akun'!$H$5,OR(C588='Buku Akun'!$C$4,AND(D588="Pindah",E588='Buku Akun'!$C$4))),B588+IF(AND(I588="Selisih bunga",DAY(B588)=1),0,0.01)+ROW()/10000000,"")</f>
        <v/>
      </c>
    </row>
    <row r="589" outlineLevel="1" ht="15" customHeight="1" s="94">
      <c r="A589" s="123">
        <f>IF(B589="","",ROW()-15)</f>
        <v/>
      </c>
      <c r="B589" s="124" t="n"/>
      <c r="C589" s="123" t="n"/>
      <c r="D589" s="123" t="n"/>
      <c r="E589" s="123" t="n"/>
      <c r="F589" s="125" t="n"/>
      <c r="G589" s="123" t="n"/>
      <c r="H589" s="123" t="n"/>
      <c r="I589" s="123" t="n"/>
      <c r="J589" s="123" t="n"/>
      <c r="K589" s="123" t="n"/>
      <c r="L589" s="123" t="n"/>
      <c r="M589" s="123">
        <f>IF(AND(B589&lt;&gt;"",OR($C$4="",ISNUMBER(SEARCH($C$4,C589&amp;" "&amp;E589&amp;" "&amp;G589&amp;" "&amp;H589&amp;" "&amp;I589&amp;" "&amp;J589&amp;" "&amp;K589&amp;" "&amp;L589))),OR($C$5="Semua",$C$5="",G589=$C$5),OR($C$6="Semua",$C$6="",H589=$C$6,H589="Pengeluaran "&amp;$C$6,AND($C$6="Uang Kos Mama",H589="Pengeluaran Uang Kos")),OR($C$7="Semua",$C$7="",I589=$C$7),OR($C$8="Semua",$C$8="",C589=$C$8,E589=$C$8),OR($C$9="Semua",$C$9="",D589=$C$9),OR($C$10="",B589&gt;=$C$10),OR($C$11="",B589&lt;=$C$11),OR($C$12&lt;&gt;"Ya",K589&lt;&gt;""),OR($C$13="Semua",$C$13="",L589=$C$13)),"✓","")</f>
        <v/>
      </c>
      <c r="N589" s="93">
        <f>N(N588)+IF(M589="✓",1,0)</f>
        <v/>
      </c>
      <c r="O589" s="93">
        <f>N(O588)+IF(AND(B589&lt;&gt;"",B589&gt;='Uang Riba'!$H$30,B589&lt;='Uang Riba'!$I$30,OR(H589="Dana riba",H589="Pinjam uang riba",I589="Pinjam dari uang riba",I589="Ganti uang riba",I589="Kelebihan ganti dikembalikan",AND(C589="Kantong Uang Riba",G589="Pengeluaran"))),1,0)</f>
        <v/>
      </c>
      <c r="X589" s="93">
        <f>IF(AND(B589&lt;&gt;"",B589&gt;='Buku Akun'!$H$4,B589&lt;='Buku Akun'!$H$5,OR(C589='Buku Akun'!$C$4,AND(D589="Pindah",E589='Buku Akun'!$C$4))),B589+IF(AND(I589="Selisih bunga",DAY(B589)=1),0,0.01)+ROW()/10000000,"")</f>
        <v/>
      </c>
    </row>
    <row r="590" outlineLevel="1" ht="15" customHeight="1" s="94">
      <c r="A590" s="123">
        <f>IF(B590="","",ROW()-15)</f>
        <v/>
      </c>
      <c r="B590" s="124" t="n"/>
      <c r="C590" s="123" t="n"/>
      <c r="D590" s="123" t="n"/>
      <c r="E590" s="123" t="n"/>
      <c r="F590" s="125" t="n"/>
      <c r="G590" s="123" t="n"/>
      <c r="H590" s="123" t="n"/>
      <c r="I590" s="123" t="n"/>
      <c r="J590" s="123" t="n"/>
      <c r="K590" s="123" t="n"/>
      <c r="L590" s="123" t="n"/>
      <c r="M590" s="123">
        <f>IF(AND(B590&lt;&gt;"",OR($C$4="",ISNUMBER(SEARCH($C$4,C590&amp;" "&amp;E590&amp;" "&amp;G590&amp;" "&amp;H590&amp;" "&amp;I590&amp;" "&amp;J590&amp;" "&amp;K590&amp;" "&amp;L590))),OR($C$5="Semua",$C$5="",G590=$C$5),OR($C$6="Semua",$C$6="",H590=$C$6,H590="Pengeluaran "&amp;$C$6,AND($C$6="Uang Kos Mama",H590="Pengeluaran Uang Kos")),OR($C$7="Semua",$C$7="",I590=$C$7),OR($C$8="Semua",$C$8="",C590=$C$8,E590=$C$8),OR($C$9="Semua",$C$9="",D590=$C$9),OR($C$10="",B590&gt;=$C$10),OR($C$11="",B590&lt;=$C$11),OR($C$12&lt;&gt;"Ya",K590&lt;&gt;""),OR($C$13="Semua",$C$13="",L590=$C$13)),"✓","")</f>
        <v/>
      </c>
      <c r="N590" s="93">
        <f>N(N589)+IF(M590="✓",1,0)</f>
        <v/>
      </c>
      <c r="O590" s="93">
        <f>N(O589)+IF(AND(B590&lt;&gt;"",B590&gt;='Uang Riba'!$H$30,B590&lt;='Uang Riba'!$I$30,OR(H590="Dana riba",H590="Pinjam uang riba",I590="Pinjam dari uang riba",I590="Ganti uang riba",I590="Kelebihan ganti dikembalikan",AND(C590="Kantong Uang Riba",G590="Pengeluaran"))),1,0)</f>
        <v/>
      </c>
      <c r="X590" s="93">
        <f>IF(AND(B590&lt;&gt;"",B590&gt;='Buku Akun'!$H$4,B590&lt;='Buku Akun'!$H$5,OR(C590='Buku Akun'!$C$4,AND(D590="Pindah",E590='Buku Akun'!$C$4))),B590+IF(AND(I590="Selisih bunga",DAY(B590)=1),0,0.01)+ROW()/10000000,"")</f>
        <v/>
      </c>
    </row>
    <row r="591" outlineLevel="1" ht="15" customHeight="1" s="94">
      <c r="A591" s="123">
        <f>IF(B591="","",ROW()-15)</f>
        <v/>
      </c>
      <c r="B591" s="124" t="n"/>
      <c r="C591" s="123" t="n"/>
      <c r="D591" s="123" t="n"/>
      <c r="E591" s="123" t="n"/>
      <c r="F591" s="125" t="n"/>
      <c r="G591" s="123" t="n"/>
      <c r="H591" s="123" t="n"/>
      <c r="I591" s="123" t="n"/>
      <c r="J591" s="123" t="n"/>
      <c r="K591" s="123" t="n"/>
      <c r="L591" s="123" t="n"/>
      <c r="M591" s="123">
        <f>IF(AND(B591&lt;&gt;"",OR($C$4="",ISNUMBER(SEARCH($C$4,C591&amp;" "&amp;E591&amp;" "&amp;G591&amp;" "&amp;H591&amp;" "&amp;I591&amp;" "&amp;J591&amp;" "&amp;K591&amp;" "&amp;L591))),OR($C$5="Semua",$C$5="",G591=$C$5),OR($C$6="Semua",$C$6="",H591=$C$6,H591="Pengeluaran "&amp;$C$6,AND($C$6="Uang Kos Mama",H591="Pengeluaran Uang Kos")),OR($C$7="Semua",$C$7="",I591=$C$7),OR($C$8="Semua",$C$8="",C591=$C$8,E591=$C$8),OR($C$9="Semua",$C$9="",D591=$C$9),OR($C$10="",B591&gt;=$C$10),OR($C$11="",B591&lt;=$C$11),OR($C$12&lt;&gt;"Ya",K591&lt;&gt;""),OR($C$13="Semua",$C$13="",L591=$C$13)),"✓","")</f>
        <v/>
      </c>
      <c r="N591" s="93">
        <f>N(N590)+IF(M591="✓",1,0)</f>
        <v/>
      </c>
      <c r="O591" s="93">
        <f>N(O590)+IF(AND(B591&lt;&gt;"",B591&gt;='Uang Riba'!$H$30,B591&lt;='Uang Riba'!$I$30,OR(H591="Dana riba",H591="Pinjam uang riba",I591="Pinjam dari uang riba",I591="Ganti uang riba",I591="Kelebihan ganti dikembalikan",AND(C591="Kantong Uang Riba",G591="Pengeluaran"))),1,0)</f>
        <v/>
      </c>
      <c r="X591" s="93">
        <f>IF(AND(B591&lt;&gt;"",B591&gt;='Buku Akun'!$H$4,B591&lt;='Buku Akun'!$H$5,OR(C591='Buku Akun'!$C$4,AND(D591="Pindah",E591='Buku Akun'!$C$4))),B591+IF(AND(I591="Selisih bunga",DAY(B591)=1),0,0.01)+ROW()/10000000,"")</f>
        <v/>
      </c>
    </row>
    <row r="592" outlineLevel="1" ht="15" customHeight="1" s="94">
      <c r="A592" s="123">
        <f>IF(B592="","",ROW()-15)</f>
        <v/>
      </c>
      <c r="B592" s="124" t="n"/>
      <c r="C592" s="123" t="n"/>
      <c r="D592" s="123" t="n"/>
      <c r="E592" s="123" t="n"/>
      <c r="F592" s="125" t="n"/>
      <c r="G592" s="123" t="n"/>
      <c r="H592" s="123" t="n"/>
      <c r="I592" s="123" t="n"/>
      <c r="J592" s="123" t="n"/>
      <c r="K592" s="123" t="n"/>
      <c r="L592" s="123" t="n"/>
      <c r="M592" s="123">
        <f>IF(AND(B592&lt;&gt;"",OR($C$4="",ISNUMBER(SEARCH($C$4,C592&amp;" "&amp;E592&amp;" "&amp;G592&amp;" "&amp;H592&amp;" "&amp;I592&amp;" "&amp;J592&amp;" "&amp;K592&amp;" "&amp;L592))),OR($C$5="Semua",$C$5="",G592=$C$5),OR($C$6="Semua",$C$6="",H592=$C$6,H592="Pengeluaran "&amp;$C$6,AND($C$6="Uang Kos Mama",H592="Pengeluaran Uang Kos")),OR($C$7="Semua",$C$7="",I592=$C$7),OR($C$8="Semua",$C$8="",C592=$C$8,E592=$C$8),OR($C$9="Semua",$C$9="",D592=$C$9),OR($C$10="",B592&gt;=$C$10),OR($C$11="",B592&lt;=$C$11),OR($C$12&lt;&gt;"Ya",K592&lt;&gt;""),OR($C$13="Semua",$C$13="",L592=$C$13)),"✓","")</f>
        <v/>
      </c>
      <c r="N592" s="93">
        <f>N(N591)+IF(M592="✓",1,0)</f>
        <v/>
      </c>
      <c r="O592" s="93">
        <f>N(O591)+IF(AND(B592&lt;&gt;"",B592&gt;='Uang Riba'!$H$30,B592&lt;='Uang Riba'!$I$30,OR(H592="Dana riba",H592="Pinjam uang riba",I592="Pinjam dari uang riba",I592="Ganti uang riba",I592="Kelebihan ganti dikembalikan",AND(C592="Kantong Uang Riba",G592="Pengeluaran"))),1,0)</f>
        <v/>
      </c>
      <c r="X592" s="93">
        <f>IF(AND(B592&lt;&gt;"",B592&gt;='Buku Akun'!$H$4,B592&lt;='Buku Akun'!$H$5,OR(C592='Buku Akun'!$C$4,AND(D592="Pindah",E592='Buku Akun'!$C$4))),B592+IF(AND(I592="Selisih bunga",DAY(B592)=1),0,0.01)+ROW()/10000000,"")</f>
        <v/>
      </c>
    </row>
    <row r="593" outlineLevel="1" ht="15" customHeight="1" s="94">
      <c r="A593" s="123">
        <f>IF(B593="","",ROW()-15)</f>
        <v/>
      </c>
      <c r="B593" s="124" t="n"/>
      <c r="C593" s="123" t="n"/>
      <c r="D593" s="123" t="n"/>
      <c r="E593" s="123" t="n"/>
      <c r="F593" s="125" t="n"/>
      <c r="G593" s="123" t="n"/>
      <c r="H593" s="123" t="n"/>
      <c r="I593" s="123" t="n"/>
      <c r="J593" s="123" t="n"/>
      <c r="K593" s="123" t="n"/>
      <c r="L593" s="123" t="n"/>
      <c r="M593" s="123">
        <f>IF(AND(B593&lt;&gt;"",OR($C$4="",ISNUMBER(SEARCH($C$4,C593&amp;" "&amp;E593&amp;" "&amp;G593&amp;" "&amp;H593&amp;" "&amp;I593&amp;" "&amp;J593&amp;" "&amp;K593&amp;" "&amp;L593))),OR($C$5="Semua",$C$5="",G593=$C$5),OR($C$6="Semua",$C$6="",H593=$C$6,H593="Pengeluaran "&amp;$C$6,AND($C$6="Uang Kos Mama",H593="Pengeluaran Uang Kos")),OR($C$7="Semua",$C$7="",I593=$C$7),OR($C$8="Semua",$C$8="",C593=$C$8,E593=$C$8),OR($C$9="Semua",$C$9="",D593=$C$9),OR($C$10="",B593&gt;=$C$10),OR($C$11="",B593&lt;=$C$11),OR($C$12&lt;&gt;"Ya",K593&lt;&gt;""),OR($C$13="Semua",$C$13="",L593=$C$13)),"✓","")</f>
        <v/>
      </c>
      <c r="N593" s="93">
        <f>N(N592)+IF(M593="✓",1,0)</f>
        <v/>
      </c>
      <c r="O593" s="93">
        <f>N(O592)+IF(AND(B593&lt;&gt;"",B593&gt;='Uang Riba'!$H$30,B593&lt;='Uang Riba'!$I$30,OR(H593="Dana riba",H593="Pinjam uang riba",I593="Pinjam dari uang riba",I593="Ganti uang riba",I593="Kelebihan ganti dikembalikan",AND(C593="Kantong Uang Riba",G593="Pengeluaran"))),1,0)</f>
        <v/>
      </c>
      <c r="X593" s="93">
        <f>IF(AND(B593&lt;&gt;"",B593&gt;='Buku Akun'!$H$4,B593&lt;='Buku Akun'!$H$5,OR(C593='Buku Akun'!$C$4,AND(D593="Pindah",E593='Buku Akun'!$C$4))),B593+IF(AND(I593="Selisih bunga",DAY(B593)=1),0,0.01)+ROW()/10000000,"")</f>
        <v/>
      </c>
    </row>
    <row r="594" outlineLevel="1" ht="15" customHeight="1" s="94">
      <c r="A594" s="123">
        <f>IF(B594="","",ROW()-15)</f>
        <v/>
      </c>
      <c r="B594" s="124" t="n"/>
      <c r="C594" s="123" t="n"/>
      <c r="D594" s="123" t="n"/>
      <c r="E594" s="123" t="n"/>
      <c r="F594" s="125" t="n"/>
      <c r="G594" s="123" t="n"/>
      <c r="H594" s="123" t="n"/>
      <c r="I594" s="123" t="n"/>
      <c r="J594" s="123" t="n"/>
      <c r="K594" s="123" t="n"/>
      <c r="L594" s="123" t="n"/>
      <c r="M594" s="123">
        <f>IF(AND(B594&lt;&gt;"",OR($C$4="",ISNUMBER(SEARCH($C$4,C594&amp;" "&amp;E594&amp;" "&amp;G594&amp;" "&amp;H594&amp;" "&amp;I594&amp;" "&amp;J594&amp;" "&amp;K594&amp;" "&amp;L594))),OR($C$5="Semua",$C$5="",G594=$C$5),OR($C$6="Semua",$C$6="",H594=$C$6,H594="Pengeluaran "&amp;$C$6,AND($C$6="Uang Kos Mama",H594="Pengeluaran Uang Kos")),OR($C$7="Semua",$C$7="",I594=$C$7),OR($C$8="Semua",$C$8="",C594=$C$8,E594=$C$8),OR($C$9="Semua",$C$9="",D594=$C$9),OR($C$10="",B594&gt;=$C$10),OR($C$11="",B594&lt;=$C$11),OR($C$12&lt;&gt;"Ya",K594&lt;&gt;""),OR($C$13="Semua",$C$13="",L594=$C$13)),"✓","")</f>
        <v/>
      </c>
      <c r="N594" s="93">
        <f>N(N593)+IF(M594="✓",1,0)</f>
        <v/>
      </c>
      <c r="O594" s="93">
        <f>N(O593)+IF(AND(B594&lt;&gt;"",B594&gt;='Uang Riba'!$H$30,B594&lt;='Uang Riba'!$I$30,OR(H594="Dana riba",H594="Pinjam uang riba",I594="Pinjam dari uang riba",I594="Ganti uang riba",I594="Kelebihan ganti dikembalikan",AND(C594="Kantong Uang Riba",G594="Pengeluaran"))),1,0)</f>
        <v/>
      </c>
      <c r="X594" s="93">
        <f>IF(AND(B594&lt;&gt;"",B594&gt;='Buku Akun'!$H$4,B594&lt;='Buku Akun'!$H$5,OR(C594='Buku Akun'!$C$4,AND(D594="Pindah",E594='Buku Akun'!$C$4))),B594+IF(AND(I594="Selisih bunga",DAY(B594)=1),0,0.01)+ROW()/10000000,"")</f>
        <v/>
      </c>
    </row>
    <row r="595" outlineLevel="1" ht="15" customHeight="1" s="94">
      <c r="A595" s="123">
        <f>IF(B595="","",ROW()-15)</f>
        <v/>
      </c>
      <c r="B595" s="124" t="n"/>
      <c r="C595" s="123" t="n"/>
      <c r="D595" s="123" t="n"/>
      <c r="E595" s="123" t="n"/>
      <c r="F595" s="125" t="n"/>
      <c r="G595" s="123" t="n"/>
      <c r="H595" s="123" t="n"/>
      <c r="I595" s="123" t="n"/>
      <c r="J595" s="123" t="n"/>
      <c r="K595" s="123" t="n"/>
      <c r="L595" s="123" t="n"/>
      <c r="M595" s="123">
        <f>IF(AND(B595&lt;&gt;"",OR($C$4="",ISNUMBER(SEARCH($C$4,C595&amp;" "&amp;E595&amp;" "&amp;G595&amp;" "&amp;H595&amp;" "&amp;I595&amp;" "&amp;J595&amp;" "&amp;K595&amp;" "&amp;L595))),OR($C$5="Semua",$C$5="",G595=$C$5),OR($C$6="Semua",$C$6="",H595=$C$6,H595="Pengeluaran "&amp;$C$6,AND($C$6="Uang Kos Mama",H595="Pengeluaran Uang Kos")),OR($C$7="Semua",$C$7="",I595=$C$7),OR($C$8="Semua",$C$8="",C595=$C$8,E595=$C$8),OR($C$9="Semua",$C$9="",D595=$C$9),OR($C$10="",B595&gt;=$C$10),OR($C$11="",B595&lt;=$C$11),OR($C$12&lt;&gt;"Ya",K595&lt;&gt;""),OR($C$13="Semua",$C$13="",L595=$C$13)),"✓","")</f>
        <v/>
      </c>
      <c r="N595" s="93">
        <f>N(N594)+IF(M595="✓",1,0)</f>
        <v/>
      </c>
      <c r="O595" s="93">
        <f>N(O594)+IF(AND(B595&lt;&gt;"",B595&gt;='Uang Riba'!$H$30,B595&lt;='Uang Riba'!$I$30,OR(H595="Dana riba",H595="Pinjam uang riba",I595="Pinjam dari uang riba",I595="Ganti uang riba",I595="Kelebihan ganti dikembalikan",AND(C595="Kantong Uang Riba",G595="Pengeluaran"))),1,0)</f>
        <v/>
      </c>
      <c r="X595" s="93">
        <f>IF(AND(B595&lt;&gt;"",B595&gt;='Buku Akun'!$H$4,B595&lt;='Buku Akun'!$H$5,OR(C595='Buku Akun'!$C$4,AND(D595="Pindah",E595='Buku Akun'!$C$4))),B595+IF(AND(I595="Selisih bunga",DAY(B595)=1),0,0.01)+ROW()/10000000,"")</f>
        <v/>
      </c>
    </row>
    <row r="596" outlineLevel="1" ht="15" customHeight="1" s="94">
      <c r="A596" s="123">
        <f>IF(B596="","",ROW()-15)</f>
        <v/>
      </c>
      <c r="B596" s="124" t="n"/>
      <c r="C596" s="123" t="n"/>
      <c r="D596" s="123" t="n"/>
      <c r="E596" s="123" t="n"/>
      <c r="F596" s="125" t="n"/>
      <c r="G596" s="123" t="n"/>
      <c r="H596" s="123" t="n"/>
      <c r="I596" s="123" t="n"/>
      <c r="J596" s="123" t="n"/>
      <c r="K596" s="123" t="n"/>
      <c r="L596" s="123" t="n"/>
      <c r="M596" s="123">
        <f>IF(AND(B596&lt;&gt;"",OR($C$4="",ISNUMBER(SEARCH($C$4,C596&amp;" "&amp;E596&amp;" "&amp;G596&amp;" "&amp;H596&amp;" "&amp;I596&amp;" "&amp;J596&amp;" "&amp;K596&amp;" "&amp;L596))),OR($C$5="Semua",$C$5="",G596=$C$5),OR($C$6="Semua",$C$6="",H596=$C$6,H596="Pengeluaran "&amp;$C$6,AND($C$6="Uang Kos Mama",H596="Pengeluaran Uang Kos")),OR($C$7="Semua",$C$7="",I596=$C$7),OR($C$8="Semua",$C$8="",C596=$C$8,E596=$C$8),OR($C$9="Semua",$C$9="",D596=$C$9),OR($C$10="",B596&gt;=$C$10),OR($C$11="",B596&lt;=$C$11),OR($C$12&lt;&gt;"Ya",K596&lt;&gt;""),OR($C$13="Semua",$C$13="",L596=$C$13)),"✓","")</f>
        <v/>
      </c>
      <c r="N596" s="93">
        <f>N(N595)+IF(M596="✓",1,0)</f>
        <v/>
      </c>
      <c r="O596" s="93">
        <f>N(O595)+IF(AND(B596&lt;&gt;"",B596&gt;='Uang Riba'!$H$30,B596&lt;='Uang Riba'!$I$30,OR(H596="Dana riba",H596="Pinjam uang riba",I596="Pinjam dari uang riba",I596="Ganti uang riba",I596="Kelebihan ganti dikembalikan",AND(C596="Kantong Uang Riba",G596="Pengeluaran"))),1,0)</f>
        <v/>
      </c>
      <c r="X596" s="93">
        <f>IF(AND(B596&lt;&gt;"",B596&gt;='Buku Akun'!$H$4,B596&lt;='Buku Akun'!$H$5,OR(C596='Buku Akun'!$C$4,AND(D596="Pindah",E596='Buku Akun'!$C$4))),B596+IF(AND(I596="Selisih bunga",DAY(B596)=1),0,0.01)+ROW()/10000000,"")</f>
        <v/>
      </c>
    </row>
    <row r="597" outlineLevel="1" ht="15" customHeight="1" s="94">
      <c r="A597" s="123">
        <f>IF(B597="","",ROW()-15)</f>
        <v/>
      </c>
      <c r="B597" s="124" t="n"/>
      <c r="C597" s="123" t="n"/>
      <c r="D597" s="123" t="n"/>
      <c r="E597" s="123" t="n"/>
      <c r="F597" s="125" t="n"/>
      <c r="G597" s="123" t="n"/>
      <c r="H597" s="123" t="n"/>
      <c r="I597" s="123" t="n"/>
      <c r="J597" s="123" t="n"/>
      <c r="K597" s="123" t="n"/>
      <c r="L597" s="123" t="n"/>
      <c r="M597" s="123">
        <f>IF(AND(B597&lt;&gt;"",OR($C$4="",ISNUMBER(SEARCH($C$4,C597&amp;" "&amp;E597&amp;" "&amp;G597&amp;" "&amp;H597&amp;" "&amp;I597&amp;" "&amp;J597&amp;" "&amp;K597&amp;" "&amp;L597))),OR($C$5="Semua",$C$5="",G597=$C$5),OR($C$6="Semua",$C$6="",H597=$C$6,H597="Pengeluaran "&amp;$C$6,AND($C$6="Uang Kos Mama",H597="Pengeluaran Uang Kos")),OR($C$7="Semua",$C$7="",I597=$C$7),OR($C$8="Semua",$C$8="",C597=$C$8,E597=$C$8),OR($C$9="Semua",$C$9="",D597=$C$9),OR($C$10="",B597&gt;=$C$10),OR($C$11="",B597&lt;=$C$11),OR($C$12&lt;&gt;"Ya",K597&lt;&gt;""),OR($C$13="Semua",$C$13="",L597=$C$13)),"✓","")</f>
        <v/>
      </c>
      <c r="N597" s="93">
        <f>N(N596)+IF(M597="✓",1,0)</f>
        <v/>
      </c>
      <c r="O597" s="93">
        <f>N(O596)+IF(AND(B597&lt;&gt;"",B597&gt;='Uang Riba'!$H$30,B597&lt;='Uang Riba'!$I$30,OR(H597="Dana riba",H597="Pinjam uang riba",I597="Pinjam dari uang riba",I597="Ganti uang riba",I597="Kelebihan ganti dikembalikan",AND(C597="Kantong Uang Riba",G597="Pengeluaran"))),1,0)</f>
        <v/>
      </c>
      <c r="X597" s="93">
        <f>IF(AND(B597&lt;&gt;"",B597&gt;='Buku Akun'!$H$4,B597&lt;='Buku Akun'!$H$5,OR(C597='Buku Akun'!$C$4,AND(D597="Pindah",E597='Buku Akun'!$C$4))),B597+IF(AND(I597="Selisih bunga",DAY(B597)=1),0,0.01)+ROW()/10000000,"")</f>
        <v/>
      </c>
    </row>
    <row r="598" outlineLevel="1" ht="15" customHeight="1" s="94">
      <c r="A598" s="123">
        <f>IF(B598="","",ROW()-15)</f>
        <v/>
      </c>
      <c r="B598" s="124" t="n"/>
      <c r="C598" s="123" t="n"/>
      <c r="D598" s="123" t="n"/>
      <c r="E598" s="123" t="n"/>
      <c r="F598" s="125" t="n"/>
      <c r="G598" s="123" t="n"/>
      <c r="H598" s="123" t="n"/>
      <c r="I598" s="123" t="n"/>
      <c r="J598" s="123" t="n"/>
      <c r="K598" s="123" t="n"/>
      <c r="L598" s="123" t="n"/>
      <c r="M598" s="123">
        <f>IF(AND(B598&lt;&gt;"",OR($C$4="",ISNUMBER(SEARCH($C$4,C598&amp;" "&amp;E598&amp;" "&amp;G598&amp;" "&amp;H598&amp;" "&amp;I598&amp;" "&amp;J598&amp;" "&amp;K598&amp;" "&amp;L598))),OR($C$5="Semua",$C$5="",G598=$C$5),OR($C$6="Semua",$C$6="",H598=$C$6,H598="Pengeluaran "&amp;$C$6,AND($C$6="Uang Kos Mama",H598="Pengeluaran Uang Kos")),OR($C$7="Semua",$C$7="",I598=$C$7),OR($C$8="Semua",$C$8="",C598=$C$8,E598=$C$8),OR($C$9="Semua",$C$9="",D598=$C$9),OR($C$10="",B598&gt;=$C$10),OR($C$11="",B598&lt;=$C$11),OR($C$12&lt;&gt;"Ya",K598&lt;&gt;""),OR($C$13="Semua",$C$13="",L598=$C$13)),"✓","")</f>
        <v/>
      </c>
      <c r="N598" s="93">
        <f>N(N597)+IF(M598="✓",1,0)</f>
        <v/>
      </c>
      <c r="O598" s="93">
        <f>N(O597)+IF(AND(B598&lt;&gt;"",B598&gt;='Uang Riba'!$H$30,B598&lt;='Uang Riba'!$I$30,OR(H598="Dana riba",H598="Pinjam uang riba",I598="Pinjam dari uang riba",I598="Ganti uang riba",I598="Kelebihan ganti dikembalikan",AND(C598="Kantong Uang Riba",G598="Pengeluaran"))),1,0)</f>
        <v/>
      </c>
      <c r="X598" s="93">
        <f>IF(AND(B598&lt;&gt;"",B598&gt;='Buku Akun'!$H$4,B598&lt;='Buku Akun'!$H$5,OR(C598='Buku Akun'!$C$4,AND(D598="Pindah",E598='Buku Akun'!$C$4))),B598+IF(AND(I598="Selisih bunga",DAY(B598)=1),0,0.01)+ROW()/10000000,"")</f>
        <v/>
      </c>
    </row>
    <row r="599" outlineLevel="1" ht="15" customHeight="1" s="94">
      <c r="A599" s="123">
        <f>IF(B599="","",ROW()-15)</f>
        <v/>
      </c>
      <c r="B599" s="124" t="n"/>
      <c r="C599" s="123" t="n"/>
      <c r="D599" s="123" t="n"/>
      <c r="E599" s="123" t="n"/>
      <c r="F599" s="125" t="n"/>
      <c r="G599" s="123" t="n"/>
      <c r="H599" s="123" t="n"/>
      <c r="I599" s="123" t="n"/>
      <c r="J599" s="123" t="n"/>
      <c r="K599" s="123" t="n"/>
      <c r="L599" s="123" t="n"/>
      <c r="M599" s="123">
        <f>IF(AND(B599&lt;&gt;"",OR($C$4="",ISNUMBER(SEARCH($C$4,C599&amp;" "&amp;E599&amp;" "&amp;G599&amp;" "&amp;H599&amp;" "&amp;I599&amp;" "&amp;J599&amp;" "&amp;K599&amp;" "&amp;L599))),OR($C$5="Semua",$C$5="",G599=$C$5),OR($C$6="Semua",$C$6="",H599=$C$6,H599="Pengeluaran "&amp;$C$6,AND($C$6="Uang Kos Mama",H599="Pengeluaran Uang Kos")),OR($C$7="Semua",$C$7="",I599=$C$7),OR($C$8="Semua",$C$8="",C599=$C$8,E599=$C$8),OR($C$9="Semua",$C$9="",D599=$C$9),OR($C$10="",B599&gt;=$C$10),OR($C$11="",B599&lt;=$C$11),OR($C$12&lt;&gt;"Ya",K599&lt;&gt;""),OR($C$13="Semua",$C$13="",L599=$C$13)),"✓","")</f>
        <v/>
      </c>
      <c r="N599" s="93">
        <f>N(N598)+IF(M599="✓",1,0)</f>
        <v/>
      </c>
      <c r="O599" s="93">
        <f>N(O598)+IF(AND(B599&lt;&gt;"",B599&gt;='Uang Riba'!$H$30,B599&lt;='Uang Riba'!$I$30,OR(H599="Dana riba",H599="Pinjam uang riba",I599="Pinjam dari uang riba",I599="Ganti uang riba",I599="Kelebihan ganti dikembalikan",AND(C599="Kantong Uang Riba",G599="Pengeluaran"))),1,0)</f>
        <v/>
      </c>
      <c r="X599" s="93">
        <f>IF(AND(B599&lt;&gt;"",B599&gt;='Buku Akun'!$H$4,B599&lt;='Buku Akun'!$H$5,OR(C599='Buku Akun'!$C$4,AND(D599="Pindah",E599='Buku Akun'!$C$4))),B599+IF(AND(I599="Selisih bunga",DAY(B599)=1),0,0.01)+ROW()/10000000,"")</f>
        <v/>
      </c>
    </row>
    <row r="600" outlineLevel="1" ht="15" customHeight="1" s="94">
      <c r="A600" s="123">
        <f>IF(B600="","",ROW()-15)</f>
        <v/>
      </c>
      <c r="B600" s="124" t="n"/>
      <c r="C600" s="123" t="n"/>
      <c r="D600" s="123" t="n"/>
      <c r="E600" s="123" t="n"/>
      <c r="F600" s="125" t="n"/>
      <c r="G600" s="123" t="n"/>
      <c r="H600" s="123" t="n"/>
      <c r="I600" s="123" t="n"/>
      <c r="J600" s="123" t="n"/>
      <c r="K600" s="123" t="n"/>
      <c r="L600" s="123" t="n"/>
      <c r="M600" s="123">
        <f>IF(AND(B600&lt;&gt;"",OR($C$4="",ISNUMBER(SEARCH($C$4,C600&amp;" "&amp;E600&amp;" "&amp;G600&amp;" "&amp;H600&amp;" "&amp;I600&amp;" "&amp;J600&amp;" "&amp;K600&amp;" "&amp;L600))),OR($C$5="Semua",$C$5="",G600=$C$5),OR($C$6="Semua",$C$6="",H600=$C$6,H600="Pengeluaran "&amp;$C$6,AND($C$6="Uang Kos Mama",H600="Pengeluaran Uang Kos")),OR($C$7="Semua",$C$7="",I600=$C$7),OR($C$8="Semua",$C$8="",C600=$C$8,E600=$C$8),OR($C$9="Semua",$C$9="",D600=$C$9),OR($C$10="",B600&gt;=$C$10),OR($C$11="",B600&lt;=$C$11),OR($C$12&lt;&gt;"Ya",K600&lt;&gt;""),OR($C$13="Semua",$C$13="",L600=$C$13)),"✓","")</f>
        <v/>
      </c>
      <c r="N600" s="93">
        <f>N(N599)+IF(M600="✓",1,0)</f>
        <v/>
      </c>
      <c r="O600" s="93">
        <f>N(O599)+IF(AND(B600&lt;&gt;"",B600&gt;='Uang Riba'!$H$30,B600&lt;='Uang Riba'!$I$30,OR(H600="Dana riba",H600="Pinjam uang riba",I600="Pinjam dari uang riba",I600="Ganti uang riba",I600="Kelebihan ganti dikembalikan",AND(C600="Kantong Uang Riba",G600="Pengeluaran"))),1,0)</f>
        <v/>
      </c>
      <c r="X600" s="93">
        <f>IF(AND(B600&lt;&gt;"",B600&gt;='Buku Akun'!$H$4,B600&lt;='Buku Akun'!$H$5,OR(C600='Buku Akun'!$C$4,AND(D600="Pindah",E600='Buku Akun'!$C$4))),B600+IF(AND(I600="Selisih bunga",DAY(B600)=1),0,0.01)+ROW()/10000000,"")</f>
        <v/>
      </c>
    </row>
    <row r="601" outlineLevel="1" ht="15" customHeight="1" s="94">
      <c r="A601" s="123">
        <f>IF(B601="","",ROW()-15)</f>
        <v/>
      </c>
      <c r="B601" s="124" t="n"/>
      <c r="C601" s="123" t="n"/>
      <c r="D601" s="123" t="n"/>
      <c r="E601" s="123" t="n"/>
      <c r="F601" s="125" t="n"/>
      <c r="G601" s="123" t="n"/>
      <c r="H601" s="123" t="n"/>
      <c r="I601" s="123" t="n"/>
      <c r="J601" s="123" t="n"/>
      <c r="K601" s="123" t="n"/>
      <c r="L601" s="123" t="n"/>
      <c r="M601" s="123">
        <f>IF(AND(B601&lt;&gt;"",OR($C$4="",ISNUMBER(SEARCH($C$4,C601&amp;" "&amp;E601&amp;" "&amp;G601&amp;" "&amp;H601&amp;" "&amp;I601&amp;" "&amp;J601&amp;" "&amp;K601&amp;" "&amp;L601))),OR($C$5="Semua",$C$5="",G601=$C$5),OR($C$6="Semua",$C$6="",H601=$C$6,H601="Pengeluaran "&amp;$C$6,AND($C$6="Uang Kos Mama",H601="Pengeluaran Uang Kos")),OR($C$7="Semua",$C$7="",I601=$C$7),OR($C$8="Semua",$C$8="",C601=$C$8,E601=$C$8),OR($C$9="Semua",$C$9="",D601=$C$9),OR($C$10="",B601&gt;=$C$10),OR($C$11="",B601&lt;=$C$11),OR($C$12&lt;&gt;"Ya",K601&lt;&gt;""),OR($C$13="Semua",$C$13="",L601=$C$13)),"✓","")</f>
        <v/>
      </c>
      <c r="N601" s="93">
        <f>N(N600)+IF(M601="✓",1,0)</f>
        <v/>
      </c>
      <c r="O601" s="93">
        <f>N(O600)+IF(AND(B601&lt;&gt;"",B601&gt;='Uang Riba'!$H$30,B601&lt;='Uang Riba'!$I$30,OR(H601="Dana riba",H601="Pinjam uang riba",I601="Pinjam dari uang riba",I601="Ganti uang riba",I601="Kelebihan ganti dikembalikan",AND(C601="Kantong Uang Riba",G601="Pengeluaran"))),1,0)</f>
        <v/>
      </c>
      <c r="X601" s="93">
        <f>IF(AND(B601&lt;&gt;"",B601&gt;='Buku Akun'!$H$4,B601&lt;='Buku Akun'!$H$5,OR(C601='Buku Akun'!$C$4,AND(D601="Pindah",E601='Buku Akun'!$C$4))),B601+IF(AND(I601="Selisih bunga",DAY(B601)=1),0,0.01)+ROW()/10000000,"")</f>
        <v/>
      </c>
    </row>
    <row r="602" outlineLevel="1" ht="15" customHeight="1" s="94">
      <c r="A602" s="123">
        <f>IF(B602="","",ROW()-15)</f>
        <v/>
      </c>
      <c r="B602" s="124" t="n"/>
      <c r="C602" s="123" t="n"/>
      <c r="D602" s="123" t="n"/>
      <c r="E602" s="123" t="n"/>
      <c r="F602" s="125" t="n"/>
      <c r="G602" s="123" t="n"/>
      <c r="H602" s="123" t="n"/>
      <c r="I602" s="123" t="n"/>
      <c r="J602" s="123" t="n"/>
      <c r="K602" s="123" t="n"/>
      <c r="L602" s="123" t="n"/>
      <c r="M602" s="123">
        <f>IF(AND(B602&lt;&gt;"",OR($C$4="",ISNUMBER(SEARCH($C$4,C602&amp;" "&amp;E602&amp;" "&amp;G602&amp;" "&amp;H602&amp;" "&amp;I602&amp;" "&amp;J602&amp;" "&amp;K602&amp;" "&amp;L602))),OR($C$5="Semua",$C$5="",G602=$C$5),OR($C$6="Semua",$C$6="",H602=$C$6,H602="Pengeluaran "&amp;$C$6,AND($C$6="Uang Kos Mama",H602="Pengeluaran Uang Kos")),OR($C$7="Semua",$C$7="",I602=$C$7),OR($C$8="Semua",$C$8="",C602=$C$8,E602=$C$8),OR($C$9="Semua",$C$9="",D602=$C$9),OR($C$10="",B602&gt;=$C$10),OR($C$11="",B602&lt;=$C$11),OR($C$12&lt;&gt;"Ya",K602&lt;&gt;""),OR($C$13="Semua",$C$13="",L602=$C$13)),"✓","")</f>
        <v/>
      </c>
      <c r="N602" s="93">
        <f>N(N601)+IF(M602="✓",1,0)</f>
        <v/>
      </c>
      <c r="O602" s="93">
        <f>N(O601)+IF(AND(B602&lt;&gt;"",B602&gt;='Uang Riba'!$H$30,B602&lt;='Uang Riba'!$I$30,OR(H602="Dana riba",H602="Pinjam uang riba",I602="Pinjam dari uang riba",I602="Ganti uang riba",I602="Kelebihan ganti dikembalikan",AND(C602="Kantong Uang Riba",G602="Pengeluaran"))),1,0)</f>
        <v/>
      </c>
      <c r="X602" s="93">
        <f>IF(AND(B602&lt;&gt;"",B602&gt;='Buku Akun'!$H$4,B602&lt;='Buku Akun'!$H$5,OR(C602='Buku Akun'!$C$4,AND(D602="Pindah",E602='Buku Akun'!$C$4))),B602+IF(AND(I602="Selisih bunga",DAY(B602)=1),0,0.01)+ROW()/10000000,"")</f>
        <v/>
      </c>
    </row>
    <row r="603" outlineLevel="1" ht="15" customHeight="1" s="94">
      <c r="A603" s="123">
        <f>IF(B603="","",ROW()-15)</f>
        <v/>
      </c>
      <c r="B603" s="124" t="n"/>
      <c r="C603" s="123" t="n"/>
      <c r="D603" s="123" t="n"/>
      <c r="E603" s="123" t="n"/>
      <c r="F603" s="125" t="n"/>
      <c r="G603" s="123" t="n"/>
      <c r="H603" s="123" t="n"/>
      <c r="I603" s="123" t="n"/>
      <c r="J603" s="123" t="n"/>
      <c r="K603" s="123" t="n"/>
      <c r="L603" s="123" t="n"/>
      <c r="M603" s="123">
        <f>IF(AND(B603&lt;&gt;"",OR($C$4="",ISNUMBER(SEARCH($C$4,C603&amp;" "&amp;E603&amp;" "&amp;G603&amp;" "&amp;H603&amp;" "&amp;I603&amp;" "&amp;J603&amp;" "&amp;K603&amp;" "&amp;L603))),OR($C$5="Semua",$C$5="",G603=$C$5),OR($C$6="Semua",$C$6="",H603=$C$6,H603="Pengeluaran "&amp;$C$6,AND($C$6="Uang Kos Mama",H603="Pengeluaran Uang Kos")),OR($C$7="Semua",$C$7="",I603=$C$7),OR($C$8="Semua",$C$8="",C603=$C$8,E603=$C$8),OR($C$9="Semua",$C$9="",D603=$C$9),OR($C$10="",B603&gt;=$C$10),OR($C$11="",B603&lt;=$C$11),OR($C$12&lt;&gt;"Ya",K603&lt;&gt;""),OR($C$13="Semua",$C$13="",L603=$C$13)),"✓","")</f>
        <v/>
      </c>
      <c r="N603" s="93">
        <f>N(N602)+IF(M603="✓",1,0)</f>
        <v/>
      </c>
      <c r="O603" s="93">
        <f>N(O602)+IF(AND(B603&lt;&gt;"",B603&gt;='Uang Riba'!$H$30,B603&lt;='Uang Riba'!$I$30,OR(H603="Dana riba",H603="Pinjam uang riba",I603="Pinjam dari uang riba",I603="Ganti uang riba",I603="Kelebihan ganti dikembalikan",AND(C603="Kantong Uang Riba",G603="Pengeluaran"))),1,0)</f>
        <v/>
      </c>
      <c r="X603" s="93">
        <f>IF(AND(B603&lt;&gt;"",B603&gt;='Buku Akun'!$H$4,B603&lt;='Buku Akun'!$H$5,OR(C603='Buku Akun'!$C$4,AND(D603="Pindah",E603='Buku Akun'!$C$4))),B603+IF(AND(I603="Selisih bunga",DAY(B603)=1),0,0.01)+ROW()/10000000,"")</f>
        <v/>
      </c>
    </row>
    <row r="604" outlineLevel="1" ht="15" customHeight="1" s="94">
      <c r="A604" s="123">
        <f>IF(B604="","",ROW()-15)</f>
        <v/>
      </c>
      <c r="B604" s="124" t="n"/>
      <c r="C604" s="123" t="n"/>
      <c r="D604" s="123" t="n"/>
      <c r="E604" s="123" t="n"/>
      <c r="F604" s="125" t="n"/>
      <c r="G604" s="123" t="n"/>
      <c r="H604" s="123" t="n"/>
      <c r="I604" s="123" t="n"/>
      <c r="J604" s="123" t="n"/>
      <c r="K604" s="123" t="n"/>
      <c r="L604" s="123" t="n"/>
      <c r="M604" s="123">
        <f>IF(AND(B604&lt;&gt;"",OR($C$4="",ISNUMBER(SEARCH($C$4,C604&amp;" "&amp;E604&amp;" "&amp;G604&amp;" "&amp;H604&amp;" "&amp;I604&amp;" "&amp;J604&amp;" "&amp;K604&amp;" "&amp;L604))),OR($C$5="Semua",$C$5="",G604=$C$5),OR($C$6="Semua",$C$6="",H604=$C$6,H604="Pengeluaran "&amp;$C$6,AND($C$6="Uang Kos Mama",H604="Pengeluaran Uang Kos")),OR($C$7="Semua",$C$7="",I604=$C$7),OR($C$8="Semua",$C$8="",C604=$C$8,E604=$C$8),OR($C$9="Semua",$C$9="",D604=$C$9),OR($C$10="",B604&gt;=$C$10),OR($C$11="",B604&lt;=$C$11),OR($C$12&lt;&gt;"Ya",K604&lt;&gt;""),OR($C$13="Semua",$C$13="",L604=$C$13)),"✓","")</f>
        <v/>
      </c>
      <c r="N604" s="93">
        <f>N(N603)+IF(M604="✓",1,0)</f>
        <v/>
      </c>
      <c r="O604" s="93">
        <f>N(O603)+IF(AND(B604&lt;&gt;"",B604&gt;='Uang Riba'!$H$30,B604&lt;='Uang Riba'!$I$30,OR(H604="Dana riba",H604="Pinjam uang riba",I604="Pinjam dari uang riba",I604="Ganti uang riba",I604="Kelebihan ganti dikembalikan",AND(C604="Kantong Uang Riba",G604="Pengeluaran"))),1,0)</f>
        <v/>
      </c>
      <c r="X604" s="93">
        <f>IF(AND(B604&lt;&gt;"",B604&gt;='Buku Akun'!$H$4,B604&lt;='Buku Akun'!$H$5,OR(C604='Buku Akun'!$C$4,AND(D604="Pindah",E604='Buku Akun'!$C$4))),B604+IF(AND(I604="Selisih bunga",DAY(B604)=1),0,0.01)+ROW()/10000000,"")</f>
        <v/>
      </c>
    </row>
    <row r="605" outlineLevel="1" ht="15" customHeight="1" s="94">
      <c r="A605" s="123">
        <f>IF(B605="","",ROW()-15)</f>
        <v/>
      </c>
      <c r="B605" s="124" t="n"/>
      <c r="C605" s="123" t="n"/>
      <c r="D605" s="123" t="n"/>
      <c r="E605" s="123" t="n"/>
      <c r="F605" s="125" t="n"/>
      <c r="G605" s="123" t="n"/>
      <c r="H605" s="123" t="n"/>
      <c r="I605" s="123" t="n"/>
      <c r="J605" s="123" t="n"/>
      <c r="K605" s="123" t="n"/>
      <c r="L605" s="123" t="n"/>
      <c r="M605" s="123">
        <f>IF(AND(B605&lt;&gt;"",OR($C$4="",ISNUMBER(SEARCH($C$4,C605&amp;" "&amp;E605&amp;" "&amp;G605&amp;" "&amp;H605&amp;" "&amp;I605&amp;" "&amp;J605&amp;" "&amp;K605&amp;" "&amp;L605))),OR($C$5="Semua",$C$5="",G605=$C$5),OR($C$6="Semua",$C$6="",H605=$C$6,H605="Pengeluaran "&amp;$C$6,AND($C$6="Uang Kos Mama",H605="Pengeluaran Uang Kos")),OR($C$7="Semua",$C$7="",I605=$C$7),OR($C$8="Semua",$C$8="",C605=$C$8,E605=$C$8),OR($C$9="Semua",$C$9="",D605=$C$9),OR($C$10="",B605&gt;=$C$10),OR($C$11="",B605&lt;=$C$11),OR($C$12&lt;&gt;"Ya",K605&lt;&gt;""),OR($C$13="Semua",$C$13="",L605=$C$13)),"✓","")</f>
        <v/>
      </c>
      <c r="N605" s="93">
        <f>N(N604)+IF(M605="✓",1,0)</f>
        <v/>
      </c>
      <c r="O605" s="93">
        <f>N(O604)+IF(AND(B605&lt;&gt;"",B605&gt;='Uang Riba'!$H$30,B605&lt;='Uang Riba'!$I$30,OR(H605="Dana riba",H605="Pinjam uang riba",I605="Pinjam dari uang riba",I605="Ganti uang riba",I605="Kelebihan ganti dikembalikan",AND(C605="Kantong Uang Riba",G605="Pengeluaran"))),1,0)</f>
        <v/>
      </c>
      <c r="X605" s="93">
        <f>IF(AND(B605&lt;&gt;"",B605&gt;='Buku Akun'!$H$4,B605&lt;='Buku Akun'!$H$5,OR(C605='Buku Akun'!$C$4,AND(D605="Pindah",E605='Buku Akun'!$C$4))),B605+IF(AND(I605="Selisih bunga",DAY(B605)=1),0,0.01)+ROW()/10000000,"")</f>
        <v/>
      </c>
    </row>
    <row r="606" outlineLevel="1" ht="15" customHeight="1" s="94">
      <c r="A606" s="123">
        <f>IF(B606="","",ROW()-15)</f>
        <v/>
      </c>
      <c r="B606" s="124" t="n"/>
      <c r="C606" s="123" t="n"/>
      <c r="D606" s="123" t="n"/>
      <c r="E606" s="123" t="n"/>
      <c r="F606" s="125" t="n"/>
      <c r="G606" s="123" t="n"/>
      <c r="H606" s="123" t="n"/>
      <c r="I606" s="123" t="n"/>
      <c r="J606" s="123" t="n"/>
      <c r="K606" s="123" t="n"/>
      <c r="L606" s="123" t="n"/>
      <c r="M606" s="123">
        <f>IF(AND(B606&lt;&gt;"",OR($C$4="",ISNUMBER(SEARCH($C$4,C606&amp;" "&amp;E606&amp;" "&amp;G606&amp;" "&amp;H606&amp;" "&amp;I606&amp;" "&amp;J606&amp;" "&amp;K606&amp;" "&amp;L606))),OR($C$5="Semua",$C$5="",G606=$C$5),OR($C$6="Semua",$C$6="",H606=$C$6,H606="Pengeluaran "&amp;$C$6,AND($C$6="Uang Kos Mama",H606="Pengeluaran Uang Kos")),OR($C$7="Semua",$C$7="",I606=$C$7),OR($C$8="Semua",$C$8="",C606=$C$8,E606=$C$8),OR($C$9="Semua",$C$9="",D606=$C$9),OR($C$10="",B606&gt;=$C$10),OR($C$11="",B606&lt;=$C$11),OR($C$12&lt;&gt;"Ya",K606&lt;&gt;""),OR($C$13="Semua",$C$13="",L606=$C$13)),"✓","")</f>
        <v/>
      </c>
      <c r="N606" s="93">
        <f>N(N605)+IF(M606="✓",1,0)</f>
        <v/>
      </c>
      <c r="O606" s="93">
        <f>N(O605)+IF(AND(B606&lt;&gt;"",B606&gt;='Uang Riba'!$H$30,B606&lt;='Uang Riba'!$I$30,OR(H606="Dana riba",H606="Pinjam uang riba",I606="Pinjam dari uang riba",I606="Ganti uang riba",I606="Kelebihan ganti dikembalikan",AND(C606="Kantong Uang Riba",G606="Pengeluaran"))),1,0)</f>
        <v/>
      </c>
      <c r="X606" s="93">
        <f>IF(AND(B606&lt;&gt;"",B606&gt;='Buku Akun'!$H$4,B606&lt;='Buku Akun'!$H$5,OR(C606='Buku Akun'!$C$4,AND(D606="Pindah",E606='Buku Akun'!$C$4))),B606+IF(AND(I606="Selisih bunga",DAY(B606)=1),0,0.01)+ROW()/10000000,"")</f>
        <v/>
      </c>
    </row>
    <row r="607" outlineLevel="1" ht="15" customHeight="1" s="94">
      <c r="A607" s="123">
        <f>IF(B607="","",ROW()-15)</f>
        <v/>
      </c>
      <c r="B607" s="124" t="n"/>
      <c r="C607" s="123" t="n"/>
      <c r="D607" s="123" t="n"/>
      <c r="E607" s="123" t="n"/>
      <c r="F607" s="125" t="n"/>
      <c r="G607" s="123" t="n"/>
      <c r="H607" s="123" t="n"/>
      <c r="I607" s="123" t="n"/>
      <c r="J607" s="123" t="n"/>
      <c r="K607" s="123" t="n"/>
      <c r="L607" s="123" t="n"/>
      <c r="M607" s="123">
        <f>IF(AND(B607&lt;&gt;"",OR($C$4="",ISNUMBER(SEARCH($C$4,C607&amp;" "&amp;E607&amp;" "&amp;G607&amp;" "&amp;H607&amp;" "&amp;I607&amp;" "&amp;J607&amp;" "&amp;K607&amp;" "&amp;L607))),OR($C$5="Semua",$C$5="",G607=$C$5),OR($C$6="Semua",$C$6="",H607=$C$6,H607="Pengeluaran "&amp;$C$6,AND($C$6="Uang Kos Mama",H607="Pengeluaran Uang Kos")),OR($C$7="Semua",$C$7="",I607=$C$7),OR($C$8="Semua",$C$8="",C607=$C$8,E607=$C$8),OR($C$9="Semua",$C$9="",D607=$C$9),OR($C$10="",B607&gt;=$C$10),OR($C$11="",B607&lt;=$C$11),OR($C$12&lt;&gt;"Ya",K607&lt;&gt;""),OR($C$13="Semua",$C$13="",L607=$C$13)),"✓","")</f>
        <v/>
      </c>
      <c r="N607" s="93">
        <f>N(N606)+IF(M607="✓",1,0)</f>
        <v/>
      </c>
      <c r="O607" s="93">
        <f>N(O606)+IF(AND(B607&lt;&gt;"",B607&gt;='Uang Riba'!$H$30,B607&lt;='Uang Riba'!$I$30,OR(H607="Dana riba",H607="Pinjam uang riba",I607="Pinjam dari uang riba",I607="Ganti uang riba",I607="Kelebihan ganti dikembalikan",AND(C607="Kantong Uang Riba",G607="Pengeluaran"))),1,0)</f>
        <v/>
      </c>
      <c r="X607" s="93">
        <f>IF(AND(B607&lt;&gt;"",B607&gt;='Buku Akun'!$H$4,B607&lt;='Buku Akun'!$H$5,OR(C607='Buku Akun'!$C$4,AND(D607="Pindah",E607='Buku Akun'!$C$4))),B607+IF(AND(I607="Selisih bunga",DAY(B607)=1),0,0.01)+ROW()/10000000,"")</f>
        <v/>
      </c>
    </row>
    <row r="608" outlineLevel="1" ht="15" customHeight="1" s="94">
      <c r="A608" s="123">
        <f>IF(B608="","",ROW()-15)</f>
        <v/>
      </c>
      <c r="B608" s="124" t="n"/>
      <c r="C608" s="123" t="n"/>
      <c r="D608" s="123" t="n"/>
      <c r="E608" s="123" t="n"/>
      <c r="F608" s="125" t="n"/>
      <c r="G608" s="123" t="n"/>
      <c r="H608" s="123" t="n"/>
      <c r="I608" s="123" t="n"/>
      <c r="J608" s="123" t="n"/>
      <c r="K608" s="123" t="n"/>
      <c r="L608" s="123" t="n"/>
      <c r="M608" s="123">
        <f>IF(AND(B608&lt;&gt;"",OR($C$4="",ISNUMBER(SEARCH($C$4,C608&amp;" "&amp;E608&amp;" "&amp;G608&amp;" "&amp;H608&amp;" "&amp;I608&amp;" "&amp;J608&amp;" "&amp;K608&amp;" "&amp;L608))),OR($C$5="Semua",$C$5="",G608=$C$5),OR($C$6="Semua",$C$6="",H608=$C$6,H608="Pengeluaran "&amp;$C$6,AND($C$6="Uang Kos Mama",H608="Pengeluaran Uang Kos")),OR($C$7="Semua",$C$7="",I608=$C$7),OR($C$8="Semua",$C$8="",C608=$C$8,E608=$C$8),OR($C$9="Semua",$C$9="",D608=$C$9),OR($C$10="",B608&gt;=$C$10),OR($C$11="",B608&lt;=$C$11),OR($C$12&lt;&gt;"Ya",K608&lt;&gt;""),OR($C$13="Semua",$C$13="",L608=$C$13)),"✓","")</f>
        <v/>
      </c>
      <c r="N608" s="93">
        <f>N(N607)+IF(M608="✓",1,0)</f>
        <v/>
      </c>
      <c r="O608" s="93">
        <f>N(O607)+IF(AND(B608&lt;&gt;"",B608&gt;='Uang Riba'!$H$30,B608&lt;='Uang Riba'!$I$30,OR(H608="Dana riba",H608="Pinjam uang riba",I608="Pinjam dari uang riba",I608="Ganti uang riba",I608="Kelebihan ganti dikembalikan",AND(C608="Kantong Uang Riba",G608="Pengeluaran"))),1,0)</f>
        <v/>
      </c>
      <c r="X608" s="93">
        <f>IF(AND(B608&lt;&gt;"",B608&gt;='Buku Akun'!$H$4,B608&lt;='Buku Akun'!$H$5,OR(C608='Buku Akun'!$C$4,AND(D608="Pindah",E608='Buku Akun'!$C$4))),B608+IF(AND(I608="Selisih bunga",DAY(B608)=1),0,0.01)+ROW()/10000000,"")</f>
        <v/>
      </c>
    </row>
    <row r="609" outlineLevel="1" ht="15" customHeight="1" s="94">
      <c r="A609" s="123">
        <f>IF(B609="","",ROW()-15)</f>
        <v/>
      </c>
      <c r="B609" s="124" t="n"/>
      <c r="C609" s="123" t="n"/>
      <c r="D609" s="123" t="n"/>
      <c r="E609" s="123" t="n"/>
      <c r="F609" s="125" t="n"/>
      <c r="G609" s="123" t="n"/>
      <c r="H609" s="123" t="n"/>
      <c r="I609" s="123" t="n"/>
      <c r="J609" s="123" t="n"/>
      <c r="K609" s="123" t="n"/>
      <c r="L609" s="123" t="n"/>
      <c r="M609" s="123">
        <f>IF(AND(B609&lt;&gt;"",OR($C$4="",ISNUMBER(SEARCH($C$4,C609&amp;" "&amp;E609&amp;" "&amp;G609&amp;" "&amp;H609&amp;" "&amp;I609&amp;" "&amp;J609&amp;" "&amp;K609&amp;" "&amp;L609))),OR($C$5="Semua",$C$5="",G609=$C$5),OR($C$6="Semua",$C$6="",H609=$C$6,H609="Pengeluaran "&amp;$C$6,AND($C$6="Uang Kos Mama",H609="Pengeluaran Uang Kos")),OR($C$7="Semua",$C$7="",I609=$C$7),OR($C$8="Semua",$C$8="",C609=$C$8,E609=$C$8),OR($C$9="Semua",$C$9="",D609=$C$9),OR($C$10="",B609&gt;=$C$10),OR($C$11="",B609&lt;=$C$11),OR($C$12&lt;&gt;"Ya",K609&lt;&gt;""),OR($C$13="Semua",$C$13="",L609=$C$13)),"✓","")</f>
        <v/>
      </c>
      <c r="N609" s="93">
        <f>N(N608)+IF(M609="✓",1,0)</f>
        <v/>
      </c>
      <c r="O609" s="93">
        <f>N(O608)+IF(AND(B609&lt;&gt;"",B609&gt;='Uang Riba'!$H$30,B609&lt;='Uang Riba'!$I$30,OR(H609="Dana riba",H609="Pinjam uang riba",I609="Pinjam dari uang riba",I609="Ganti uang riba",I609="Kelebihan ganti dikembalikan",AND(C609="Kantong Uang Riba",G609="Pengeluaran"))),1,0)</f>
        <v/>
      </c>
      <c r="X609" s="93">
        <f>IF(AND(B609&lt;&gt;"",B609&gt;='Buku Akun'!$H$4,B609&lt;='Buku Akun'!$H$5,OR(C609='Buku Akun'!$C$4,AND(D609="Pindah",E609='Buku Akun'!$C$4))),B609+IF(AND(I609="Selisih bunga",DAY(B609)=1),0,0.01)+ROW()/10000000,"")</f>
        <v/>
      </c>
    </row>
    <row r="610" outlineLevel="1" ht="15" customHeight="1" s="94">
      <c r="A610" s="123">
        <f>IF(B610="","",ROW()-15)</f>
        <v/>
      </c>
      <c r="B610" s="124" t="n"/>
      <c r="C610" s="123" t="n"/>
      <c r="D610" s="123" t="n"/>
      <c r="E610" s="123" t="n"/>
      <c r="F610" s="125" t="n"/>
      <c r="G610" s="123" t="n"/>
      <c r="H610" s="123" t="n"/>
      <c r="I610" s="123" t="n"/>
      <c r="J610" s="123" t="n"/>
      <c r="K610" s="123" t="n"/>
      <c r="L610" s="123" t="n"/>
      <c r="M610" s="123">
        <f>IF(AND(B610&lt;&gt;"",OR($C$4="",ISNUMBER(SEARCH($C$4,C610&amp;" "&amp;E610&amp;" "&amp;G610&amp;" "&amp;H610&amp;" "&amp;I610&amp;" "&amp;J610&amp;" "&amp;K610&amp;" "&amp;L610))),OR($C$5="Semua",$C$5="",G610=$C$5),OR($C$6="Semua",$C$6="",H610=$C$6,H610="Pengeluaran "&amp;$C$6,AND($C$6="Uang Kos Mama",H610="Pengeluaran Uang Kos")),OR($C$7="Semua",$C$7="",I610=$C$7),OR($C$8="Semua",$C$8="",C610=$C$8,E610=$C$8),OR($C$9="Semua",$C$9="",D610=$C$9),OR($C$10="",B610&gt;=$C$10),OR($C$11="",B610&lt;=$C$11),OR($C$12&lt;&gt;"Ya",K610&lt;&gt;""),OR($C$13="Semua",$C$13="",L610=$C$13)),"✓","")</f>
        <v/>
      </c>
      <c r="N610" s="93">
        <f>N(N609)+IF(M610="✓",1,0)</f>
        <v/>
      </c>
      <c r="O610" s="93">
        <f>N(O609)+IF(AND(B610&lt;&gt;"",B610&gt;='Uang Riba'!$H$30,B610&lt;='Uang Riba'!$I$30,OR(H610="Dana riba",H610="Pinjam uang riba",I610="Pinjam dari uang riba",I610="Ganti uang riba",I610="Kelebihan ganti dikembalikan",AND(C610="Kantong Uang Riba",G610="Pengeluaran"))),1,0)</f>
        <v/>
      </c>
      <c r="X610" s="93">
        <f>IF(AND(B610&lt;&gt;"",B610&gt;='Buku Akun'!$H$4,B610&lt;='Buku Akun'!$H$5,OR(C610='Buku Akun'!$C$4,AND(D610="Pindah",E610='Buku Akun'!$C$4))),B610+IF(AND(I610="Selisih bunga",DAY(B610)=1),0,0.01)+ROW()/10000000,"")</f>
        <v/>
      </c>
    </row>
    <row r="611" outlineLevel="1" ht="15" customHeight="1" s="94">
      <c r="A611" s="123">
        <f>IF(B611="","",ROW()-15)</f>
        <v/>
      </c>
      <c r="B611" s="124" t="n"/>
      <c r="C611" s="123" t="n"/>
      <c r="D611" s="123" t="n"/>
      <c r="E611" s="123" t="n"/>
      <c r="F611" s="125" t="n"/>
      <c r="G611" s="123" t="n"/>
      <c r="H611" s="123" t="n"/>
      <c r="I611" s="123" t="n"/>
      <c r="J611" s="123" t="n"/>
      <c r="K611" s="123" t="n"/>
      <c r="L611" s="123" t="n"/>
      <c r="M611" s="123">
        <f>IF(AND(B611&lt;&gt;"",OR($C$4="",ISNUMBER(SEARCH($C$4,C611&amp;" "&amp;E611&amp;" "&amp;G611&amp;" "&amp;H611&amp;" "&amp;I611&amp;" "&amp;J611&amp;" "&amp;K611&amp;" "&amp;L611))),OR($C$5="Semua",$C$5="",G611=$C$5),OR($C$6="Semua",$C$6="",H611=$C$6,H611="Pengeluaran "&amp;$C$6,AND($C$6="Uang Kos Mama",H611="Pengeluaran Uang Kos")),OR($C$7="Semua",$C$7="",I611=$C$7),OR($C$8="Semua",$C$8="",C611=$C$8,E611=$C$8),OR($C$9="Semua",$C$9="",D611=$C$9),OR($C$10="",B611&gt;=$C$10),OR($C$11="",B611&lt;=$C$11),OR($C$12&lt;&gt;"Ya",K611&lt;&gt;""),OR($C$13="Semua",$C$13="",L611=$C$13)),"✓","")</f>
        <v/>
      </c>
      <c r="N611" s="93">
        <f>N(N610)+IF(M611="✓",1,0)</f>
        <v/>
      </c>
      <c r="O611" s="93">
        <f>N(O610)+IF(AND(B611&lt;&gt;"",B611&gt;='Uang Riba'!$H$30,B611&lt;='Uang Riba'!$I$30,OR(H611="Dana riba",H611="Pinjam uang riba",I611="Pinjam dari uang riba",I611="Ganti uang riba",I611="Kelebihan ganti dikembalikan",AND(C611="Kantong Uang Riba",G611="Pengeluaran"))),1,0)</f>
        <v/>
      </c>
      <c r="X611" s="93">
        <f>IF(AND(B611&lt;&gt;"",B611&gt;='Buku Akun'!$H$4,B611&lt;='Buku Akun'!$H$5,OR(C611='Buku Akun'!$C$4,AND(D611="Pindah",E611='Buku Akun'!$C$4))),B611+IF(AND(I611="Selisih bunga",DAY(B611)=1),0,0.01)+ROW()/10000000,"")</f>
        <v/>
      </c>
    </row>
    <row r="612" outlineLevel="1" ht="15" customHeight="1" s="94">
      <c r="A612" s="123">
        <f>IF(B612="","",ROW()-15)</f>
        <v/>
      </c>
      <c r="B612" s="124" t="n"/>
      <c r="C612" s="123" t="n"/>
      <c r="D612" s="123" t="n"/>
      <c r="E612" s="123" t="n"/>
      <c r="F612" s="125" t="n"/>
      <c r="G612" s="123" t="n"/>
      <c r="H612" s="123" t="n"/>
      <c r="I612" s="123" t="n"/>
      <c r="J612" s="123" t="n"/>
      <c r="K612" s="123" t="n"/>
      <c r="L612" s="123" t="n"/>
      <c r="M612" s="123">
        <f>IF(AND(B612&lt;&gt;"",OR($C$4="",ISNUMBER(SEARCH($C$4,C612&amp;" "&amp;E612&amp;" "&amp;G612&amp;" "&amp;H612&amp;" "&amp;I612&amp;" "&amp;J612&amp;" "&amp;K612&amp;" "&amp;L612))),OR($C$5="Semua",$C$5="",G612=$C$5),OR($C$6="Semua",$C$6="",H612=$C$6,H612="Pengeluaran "&amp;$C$6,AND($C$6="Uang Kos Mama",H612="Pengeluaran Uang Kos")),OR($C$7="Semua",$C$7="",I612=$C$7),OR($C$8="Semua",$C$8="",C612=$C$8,E612=$C$8),OR($C$9="Semua",$C$9="",D612=$C$9),OR($C$10="",B612&gt;=$C$10),OR($C$11="",B612&lt;=$C$11),OR($C$12&lt;&gt;"Ya",K612&lt;&gt;""),OR($C$13="Semua",$C$13="",L612=$C$13)),"✓","")</f>
        <v/>
      </c>
      <c r="N612" s="93">
        <f>N(N611)+IF(M612="✓",1,0)</f>
        <v/>
      </c>
      <c r="O612" s="93">
        <f>N(O611)+IF(AND(B612&lt;&gt;"",B612&gt;='Uang Riba'!$H$30,B612&lt;='Uang Riba'!$I$30,OR(H612="Dana riba",H612="Pinjam uang riba",I612="Pinjam dari uang riba",I612="Ganti uang riba",I612="Kelebihan ganti dikembalikan",AND(C612="Kantong Uang Riba",G612="Pengeluaran"))),1,0)</f>
        <v/>
      </c>
      <c r="X612" s="93">
        <f>IF(AND(B612&lt;&gt;"",B612&gt;='Buku Akun'!$H$4,B612&lt;='Buku Akun'!$H$5,OR(C612='Buku Akun'!$C$4,AND(D612="Pindah",E612='Buku Akun'!$C$4))),B612+IF(AND(I612="Selisih bunga",DAY(B612)=1),0,0.01)+ROW()/10000000,"")</f>
        <v/>
      </c>
    </row>
    <row r="613" outlineLevel="1" ht="15" customHeight="1" s="94">
      <c r="A613" s="123">
        <f>IF(B613="","",ROW()-15)</f>
        <v/>
      </c>
      <c r="B613" s="124" t="n"/>
      <c r="C613" s="123" t="n"/>
      <c r="D613" s="123" t="n"/>
      <c r="E613" s="123" t="n"/>
      <c r="F613" s="125" t="n"/>
      <c r="G613" s="123" t="n"/>
      <c r="H613" s="123" t="n"/>
      <c r="I613" s="123" t="n"/>
      <c r="J613" s="123" t="n"/>
      <c r="K613" s="123" t="n"/>
      <c r="L613" s="123" t="n"/>
      <c r="M613" s="123">
        <f>IF(AND(B613&lt;&gt;"",OR($C$4="",ISNUMBER(SEARCH($C$4,C613&amp;" "&amp;E613&amp;" "&amp;G613&amp;" "&amp;H613&amp;" "&amp;I613&amp;" "&amp;J613&amp;" "&amp;K613&amp;" "&amp;L613))),OR($C$5="Semua",$C$5="",G613=$C$5),OR($C$6="Semua",$C$6="",H613=$C$6,H613="Pengeluaran "&amp;$C$6,AND($C$6="Uang Kos Mama",H613="Pengeluaran Uang Kos")),OR($C$7="Semua",$C$7="",I613=$C$7),OR($C$8="Semua",$C$8="",C613=$C$8,E613=$C$8),OR($C$9="Semua",$C$9="",D613=$C$9),OR($C$10="",B613&gt;=$C$10),OR($C$11="",B613&lt;=$C$11),OR($C$12&lt;&gt;"Ya",K613&lt;&gt;""),OR($C$13="Semua",$C$13="",L613=$C$13)),"✓","")</f>
        <v/>
      </c>
      <c r="N613" s="93">
        <f>N(N612)+IF(M613="✓",1,0)</f>
        <v/>
      </c>
      <c r="O613" s="93">
        <f>N(O612)+IF(AND(B613&lt;&gt;"",B613&gt;='Uang Riba'!$H$30,B613&lt;='Uang Riba'!$I$30,OR(H613="Dana riba",H613="Pinjam uang riba",I613="Pinjam dari uang riba",I613="Ganti uang riba",I613="Kelebihan ganti dikembalikan",AND(C613="Kantong Uang Riba",G613="Pengeluaran"))),1,0)</f>
        <v/>
      </c>
      <c r="X613" s="93">
        <f>IF(AND(B613&lt;&gt;"",B613&gt;='Buku Akun'!$H$4,B613&lt;='Buku Akun'!$H$5,OR(C613='Buku Akun'!$C$4,AND(D613="Pindah",E613='Buku Akun'!$C$4))),B613+IF(AND(I613="Selisih bunga",DAY(B613)=1),0,0.01)+ROW()/10000000,"")</f>
        <v/>
      </c>
    </row>
    <row r="614" outlineLevel="1" ht="15" customHeight="1" s="94">
      <c r="A614" s="123">
        <f>IF(B614="","",ROW()-15)</f>
        <v/>
      </c>
      <c r="B614" s="124" t="n"/>
      <c r="C614" s="123" t="n"/>
      <c r="D614" s="123" t="n"/>
      <c r="E614" s="123" t="n"/>
      <c r="F614" s="125" t="n"/>
      <c r="G614" s="123" t="n"/>
      <c r="H614" s="123" t="n"/>
      <c r="I614" s="123" t="n"/>
      <c r="J614" s="123" t="n"/>
      <c r="K614" s="123" t="n"/>
      <c r="L614" s="123" t="n"/>
      <c r="M614" s="123">
        <f>IF(AND(B614&lt;&gt;"",OR($C$4="",ISNUMBER(SEARCH($C$4,C614&amp;" "&amp;E614&amp;" "&amp;G614&amp;" "&amp;H614&amp;" "&amp;I614&amp;" "&amp;J614&amp;" "&amp;K614&amp;" "&amp;L614))),OR($C$5="Semua",$C$5="",G614=$C$5),OR($C$6="Semua",$C$6="",H614=$C$6,H614="Pengeluaran "&amp;$C$6,AND($C$6="Uang Kos Mama",H614="Pengeluaran Uang Kos")),OR($C$7="Semua",$C$7="",I614=$C$7),OR($C$8="Semua",$C$8="",C614=$C$8,E614=$C$8),OR($C$9="Semua",$C$9="",D614=$C$9),OR($C$10="",B614&gt;=$C$10),OR($C$11="",B614&lt;=$C$11),OR($C$12&lt;&gt;"Ya",K614&lt;&gt;""),OR($C$13="Semua",$C$13="",L614=$C$13)),"✓","")</f>
        <v/>
      </c>
      <c r="N614" s="93">
        <f>N(N613)+IF(M614="✓",1,0)</f>
        <v/>
      </c>
      <c r="O614" s="93">
        <f>N(O613)+IF(AND(B614&lt;&gt;"",B614&gt;='Uang Riba'!$H$30,B614&lt;='Uang Riba'!$I$30,OR(H614="Dana riba",H614="Pinjam uang riba",I614="Pinjam dari uang riba",I614="Ganti uang riba",I614="Kelebihan ganti dikembalikan",AND(C614="Kantong Uang Riba",G614="Pengeluaran"))),1,0)</f>
        <v/>
      </c>
      <c r="X614" s="93">
        <f>IF(AND(B614&lt;&gt;"",B614&gt;='Buku Akun'!$H$4,B614&lt;='Buku Akun'!$H$5,OR(C614='Buku Akun'!$C$4,AND(D614="Pindah",E614='Buku Akun'!$C$4))),B614+IF(AND(I614="Selisih bunga",DAY(B614)=1),0,0.01)+ROW()/10000000,"")</f>
        <v/>
      </c>
    </row>
    <row r="615" outlineLevel="1" ht="15" customHeight="1" s="94">
      <c r="A615" s="123">
        <f>IF(B615="","",ROW()-15)</f>
        <v/>
      </c>
      <c r="B615" s="124" t="n"/>
      <c r="C615" s="123" t="n"/>
      <c r="D615" s="123" t="n"/>
      <c r="E615" s="123" t="n"/>
      <c r="F615" s="125" t="n"/>
      <c r="G615" s="123" t="n"/>
      <c r="H615" s="123" t="n"/>
      <c r="I615" s="123" t="n"/>
      <c r="J615" s="123" t="n"/>
      <c r="K615" s="123" t="n"/>
      <c r="L615" s="123" t="n"/>
      <c r="M615" s="123">
        <f>IF(AND(B615&lt;&gt;"",OR($C$4="",ISNUMBER(SEARCH($C$4,C615&amp;" "&amp;E615&amp;" "&amp;G615&amp;" "&amp;H615&amp;" "&amp;I615&amp;" "&amp;J615&amp;" "&amp;K615&amp;" "&amp;L615))),OR($C$5="Semua",$C$5="",G615=$C$5),OR($C$6="Semua",$C$6="",H615=$C$6,H615="Pengeluaran "&amp;$C$6,AND($C$6="Uang Kos Mama",H615="Pengeluaran Uang Kos")),OR($C$7="Semua",$C$7="",I615=$C$7),OR($C$8="Semua",$C$8="",C615=$C$8,E615=$C$8),OR($C$9="Semua",$C$9="",D615=$C$9),OR($C$10="",B615&gt;=$C$10),OR($C$11="",B615&lt;=$C$11),OR($C$12&lt;&gt;"Ya",K615&lt;&gt;""),OR($C$13="Semua",$C$13="",L615=$C$13)),"✓","")</f>
        <v/>
      </c>
      <c r="N615" s="93">
        <f>N(N614)+IF(M615="✓",1,0)</f>
        <v/>
      </c>
      <c r="O615" s="93">
        <f>N(O614)+IF(AND(B615&lt;&gt;"",B615&gt;='Uang Riba'!$H$30,B615&lt;='Uang Riba'!$I$30,OR(H615="Dana riba",H615="Pinjam uang riba",I615="Pinjam dari uang riba",I615="Ganti uang riba",I615="Kelebihan ganti dikembalikan",AND(C615="Kantong Uang Riba",G615="Pengeluaran"))),1,0)</f>
        <v/>
      </c>
      <c r="X615" s="93">
        <f>IF(AND(B615&lt;&gt;"",B615&gt;='Buku Akun'!$H$4,B615&lt;='Buku Akun'!$H$5,OR(C615='Buku Akun'!$C$4,AND(D615="Pindah",E615='Buku Akun'!$C$4))),B615+IF(AND(I615="Selisih bunga",DAY(B615)=1),0,0.01)+ROW()/10000000,"")</f>
        <v/>
      </c>
    </row>
    <row r="616" outlineLevel="1" ht="15" customHeight="1" s="94">
      <c r="A616" s="123">
        <f>IF(B616="","",ROW()-15)</f>
        <v/>
      </c>
      <c r="B616" s="124" t="n"/>
      <c r="C616" s="123" t="n"/>
      <c r="D616" s="123" t="n"/>
      <c r="E616" s="123" t="n"/>
      <c r="F616" s="125" t="n"/>
      <c r="G616" s="123" t="n"/>
      <c r="H616" s="123" t="n"/>
      <c r="I616" s="123" t="n"/>
      <c r="J616" s="123" t="n"/>
      <c r="K616" s="123" t="n"/>
      <c r="L616" s="123" t="n"/>
      <c r="M616" s="123">
        <f>IF(AND(B616&lt;&gt;"",OR($C$4="",ISNUMBER(SEARCH($C$4,C616&amp;" "&amp;E616&amp;" "&amp;G616&amp;" "&amp;H616&amp;" "&amp;I616&amp;" "&amp;J616&amp;" "&amp;K616&amp;" "&amp;L616))),OR($C$5="Semua",$C$5="",G616=$C$5),OR($C$6="Semua",$C$6="",H616=$C$6,H616="Pengeluaran "&amp;$C$6,AND($C$6="Uang Kos Mama",H616="Pengeluaran Uang Kos")),OR($C$7="Semua",$C$7="",I616=$C$7),OR($C$8="Semua",$C$8="",C616=$C$8,E616=$C$8),OR($C$9="Semua",$C$9="",D616=$C$9),OR($C$10="",B616&gt;=$C$10),OR($C$11="",B616&lt;=$C$11),OR($C$12&lt;&gt;"Ya",K616&lt;&gt;""),OR($C$13="Semua",$C$13="",L616=$C$13)),"✓","")</f>
        <v/>
      </c>
      <c r="N616" s="93">
        <f>N(N615)+IF(M616="✓",1,0)</f>
        <v/>
      </c>
      <c r="O616" s="93">
        <f>N(O615)+IF(AND(B616&lt;&gt;"",B616&gt;='Uang Riba'!$H$30,B616&lt;='Uang Riba'!$I$30,OR(H616="Dana riba",H616="Pinjam uang riba",I616="Pinjam dari uang riba",I616="Ganti uang riba",I616="Kelebihan ganti dikembalikan",AND(C616="Kantong Uang Riba",G616="Pengeluaran"))),1,0)</f>
        <v/>
      </c>
      <c r="X616" s="93">
        <f>IF(AND(B616&lt;&gt;"",B616&gt;='Buku Akun'!$H$4,B616&lt;='Buku Akun'!$H$5,OR(C616='Buku Akun'!$C$4,AND(D616="Pindah",E616='Buku Akun'!$C$4))),B616+IF(AND(I616="Selisih bunga",DAY(B616)=1),0,0.01)+ROW()/10000000,"")</f>
        <v/>
      </c>
    </row>
    <row r="617" outlineLevel="1" ht="15" customHeight="1" s="94">
      <c r="A617" s="123">
        <f>IF(B617="","",ROW()-15)</f>
        <v/>
      </c>
      <c r="B617" s="124" t="n"/>
      <c r="C617" s="123" t="n"/>
      <c r="D617" s="123" t="n"/>
      <c r="E617" s="123" t="n"/>
      <c r="F617" s="125" t="n"/>
      <c r="G617" s="123" t="n"/>
      <c r="H617" s="123" t="n"/>
      <c r="I617" s="123" t="n"/>
      <c r="J617" s="123" t="n"/>
      <c r="K617" s="123" t="n"/>
      <c r="L617" s="123" t="n"/>
      <c r="M617" s="123">
        <f>IF(AND(B617&lt;&gt;"",OR($C$4="",ISNUMBER(SEARCH($C$4,C617&amp;" "&amp;E617&amp;" "&amp;G617&amp;" "&amp;H617&amp;" "&amp;I617&amp;" "&amp;J617&amp;" "&amp;K617&amp;" "&amp;L617))),OR($C$5="Semua",$C$5="",G617=$C$5),OR($C$6="Semua",$C$6="",H617=$C$6,H617="Pengeluaran "&amp;$C$6,AND($C$6="Uang Kos Mama",H617="Pengeluaran Uang Kos")),OR($C$7="Semua",$C$7="",I617=$C$7),OR($C$8="Semua",$C$8="",C617=$C$8,E617=$C$8),OR($C$9="Semua",$C$9="",D617=$C$9),OR($C$10="",B617&gt;=$C$10),OR($C$11="",B617&lt;=$C$11),OR($C$12&lt;&gt;"Ya",K617&lt;&gt;""),OR($C$13="Semua",$C$13="",L617=$C$13)),"✓","")</f>
        <v/>
      </c>
      <c r="N617" s="93">
        <f>N(N616)+IF(M617="✓",1,0)</f>
        <v/>
      </c>
      <c r="O617" s="93">
        <f>N(O616)+IF(AND(B617&lt;&gt;"",B617&gt;='Uang Riba'!$H$30,B617&lt;='Uang Riba'!$I$30,OR(H617="Dana riba",H617="Pinjam uang riba",I617="Pinjam dari uang riba",I617="Ganti uang riba",I617="Kelebihan ganti dikembalikan",AND(C617="Kantong Uang Riba",G617="Pengeluaran"))),1,0)</f>
        <v/>
      </c>
      <c r="X617" s="93">
        <f>IF(AND(B617&lt;&gt;"",B617&gt;='Buku Akun'!$H$4,B617&lt;='Buku Akun'!$H$5,OR(C617='Buku Akun'!$C$4,AND(D617="Pindah",E617='Buku Akun'!$C$4))),B617+IF(AND(I617="Selisih bunga",DAY(B617)=1),0,0.01)+ROW()/10000000,"")</f>
        <v/>
      </c>
    </row>
    <row r="618" outlineLevel="1" ht="15" customHeight="1" s="94">
      <c r="A618" s="123">
        <f>IF(B618="","",ROW()-15)</f>
        <v/>
      </c>
      <c r="B618" s="124" t="n"/>
      <c r="C618" s="123" t="n"/>
      <c r="D618" s="123" t="n"/>
      <c r="E618" s="123" t="n"/>
      <c r="F618" s="125" t="n"/>
      <c r="G618" s="123" t="n"/>
      <c r="H618" s="123" t="n"/>
      <c r="I618" s="123" t="n"/>
      <c r="J618" s="123" t="n"/>
      <c r="K618" s="123" t="n"/>
      <c r="L618" s="123" t="n"/>
      <c r="M618" s="123">
        <f>IF(AND(B618&lt;&gt;"",OR($C$4="",ISNUMBER(SEARCH($C$4,C618&amp;" "&amp;E618&amp;" "&amp;G618&amp;" "&amp;H618&amp;" "&amp;I618&amp;" "&amp;J618&amp;" "&amp;K618&amp;" "&amp;L618))),OR($C$5="Semua",$C$5="",G618=$C$5),OR($C$6="Semua",$C$6="",H618=$C$6,H618="Pengeluaran "&amp;$C$6,AND($C$6="Uang Kos Mama",H618="Pengeluaran Uang Kos")),OR($C$7="Semua",$C$7="",I618=$C$7),OR($C$8="Semua",$C$8="",C618=$C$8,E618=$C$8),OR($C$9="Semua",$C$9="",D618=$C$9),OR($C$10="",B618&gt;=$C$10),OR($C$11="",B618&lt;=$C$11),OR($C$12&lt;&gt;"Ya",K618&lt;&gt;""),OR($C$13="Semua",$C$13="",L618=$C$13)),"✓","")</f>
        <v/>
      </c>
      <c r="N618" s="93">
        <f>N(N617)+IF(M618="✓",1,0)</f>
        <v/>
      </c>
      <c r="O618" s="93">
        <f>N(O617)+IF(AND(B618&lt;&gt;"",B618&gt;='Uang Riba'!$H$30,B618&lt;='Uang Riba'!$I$30,OR(H618="Dana riba",H618="Pinjam uang riba",I618="Pinjam dari uang riba",I618="Ganti uang riba",I618="Kelebihan ganti dikembalikan",AND(C618="Kantong Uang Riba",G618="Pengeluaran"))),1,0)</f>
        <v/>
      </c>
      <c r="X618" s="93">
        <f>IF(AND(B618&lt;&gt;"",B618&gt;='Buku Akun'!$H$4,B618&lt;='Buku Akun'!$H$5,OR(C618='Buku Akun'!$C$4,AND(D618="Pindah",E618='Buku Akun'!$C$4))),B618+IF(AND(I618="Selisih bunga",DAY(B618)=1),0,0.01)+ROW()/10000000,"")</f>
        <v/>
      </c>
    </row>
    <row r="619" outlineLevel="1" ht="15" customHeight="1" s="94">
      <c r="A619" s="123">
        <f>IF(B619="","",ROW()-15)</f>
        <v/>
      </c>
      <c r="B619" s="124" t="n"/>
      <c r="C619" s="123" t="n"/>
      <c r="D619" s="123" t="n"/>
      <c r="E619" s="123" t="n"/>
      <c r="F619" s="125" t="n"/>
      <c r="G619" s="123" t="n"/>
      <c r="H619" s="123" t="n"/>
      <c r="I619" s="123" t="n"/>
      <c r="J619" s="123" t="n"/>
      <c r="K619" s="123" t="n"/>
      <c r="L619" s="123" t="n"/>
      <c r="M619" s="123">
        <f>IF(AND(B619&lt;&gt;"",OR($C$4="",ISNUMBER(SEARCH($C$4,C619&amp;" "&amp;E619&amp;" "&amp;G619&amp;" "&amp;H619&amp;" "&amp;I619&amp;" "&amp;J619&amp;" "&amp;K619&amp;" "&amp;L619))),OR($C$5="Semua",$C$5="",G619=$C$5),OR($C$6="Semua",$C$6="",H619=$C$6,H619="Pengeluaran "&amp;$C$6,AND($C$6="Uang Kos Mama",H619="Pengeluaran Uang Kos")),OR($C$7="Semua",$C$7="",I619=$C$7),OR($C$8="Semua",$C$8="",C619=$C$8,E619=$C$8),OR($C$9="Semua",$C$9="",D619=$C$9),OR($C$10="",B619&gt;=$C$10),OR($C$11="",B619&lt;=$C$11),OR($C$12&lt;&gt;"Ya",K619&lt;&gt;""),OR($C$13="Semua",$C$13="",L619=$C$13)),"✓","")</f>
        <v/>
      </c>
      <c r="N619" s="93">
        <f>N(N618)+IF(M619="✓",1,0)</f>
        <v/>
      </c>
      <c r="O619" s="93">
        <f>N(O618)+IF(AND(B619&lt;&gt;"",B619&gt;='Uang Riba'!$H$30,B619&lt;='Uang Riba'!$I$30,OR(H619="Dana riba",H619="Pinjam uang riba",I619="Pinjam dari uang riba",I619="Ganti uang riba",I619="Kelebihan ganti dikembalikan",AND(C619="Kantong Uang Riba",G619="Pengeluaran"))),1,0)</f>
        <v/>
      </c>
      <c r="X619" s="93">
        <f>IF(AND(B619&lt;&gt;"",B619&gt;='Buku Akun'!$H$4,B619&lt;='Buku Akun'!$H$5,OR(C619='Buku Akun'!$C$4,AND(D619="Pindah",E619='Buku Akun'!$C$4))),B619+IF(AND(I619="Selisih bunga",DAY(B619)=1),0,0.01)+ROW()/10000000,"")</f>
        <v/>
      </c>
    </row>
    <row r="620" outlineLevel="1" ht="15" customHeight="1" s="94">
      <c r="A620" s="123">
        <f>IF(B620="","",ROW()-15)</f>
        <v/>
      </c>
      <c r="B620" s="124" t="n"/>
      <c r="C620" s="123" t="n"/>
      <c r="D620" s="123" t="n"/>
      <c r="E620" s="123" t="n"/>
      <c r="F620" s="125" t="n"/>
      <c r="G620" s="123" t="n"/>
      <c r="H620" s="123" t="n"/>
      <c r="I620" s="123" t="n"/>
      <c r="J620" s="123" t="n"/>
      <c r="K620" s="123" t="n"/>
      <c r="L620" s="123" t="n"/>
      <c r="M620" s="123">
        <f>IF(AND(B620&lt;&gt;"",OR($C$4="",ISNUMBER(SEARCH($C$4,C620&amp;" "&amp;E620&amp;" "&amp;G620&amp;" "&amp;H620&amp;" "&amp;I620&amp;" "&amp;J620&amp;" "&amp;K620&amp;" "&amp;L620))),OR($C$5="Semua",$C$5="",G620=$C$5),OR($C$6="Semua",$C$6="",H620=$C$6,H620="Pengeluaran "&amp;$C$6,AND($C$6="Uang Kos Mama",H620="Pengeluaran Uang Kos")),OR($C$7="Semua",$C$7="",I620=$C$7),OR($C$8="Semua",$C$8="",C620=$C$8,E620=$C$8),OR($C$9="Semua",$C$9="",D620=$C$9),OR($C$10="",B620&gt;=$C$10),OR($C$11="",B620&lt;=$C$11),OR($C$12&lt;&gt;"Ya",K620&lt;&gt;""),OR($C$13="Semua",$C$13="",L620=$C$13)),"✓","")</f>
        <v/>
      </c>
      <c r="N620" s="93">
        <f>N(N619)+IF(M620="✓",1,0)</f>
        <v/>
      </c>
      <c r="O620" s="93">
        <f>N(O619)+IF(AND(B620&lt;&gt;"",B620&gt;='Uang Riba'!$H$30,B620&lt;='Uang Riba'!$I$30,OR(H620="Dana riba",H620="Pinjam uang riba",I620="Pinjam dari uang riba",I620="Ganti uang riba",I620="Kelebihan ganti dikembalikan",AND(C620="Kantong Uang Riba",G620="Pengeluaran"))),1,0)</f>
        <v/>
      </c>
      <c r="X620" s="93">
        <f>IF(AND(B620&lt;&gt;"",B620&gt;='Buku Akun'!$H$4,B620&lt;='Buku Akun'!$H$5,OR(C620='Buku Akun'!$C$4,AND(D620="Pindah",E620='Buku Akun'!$C$4))),B620+IF(AND(I620="Selisih bunga",DAY(B620)=1),0,0.01)+ROW()/10000000,"")</f>
        <v/>
      </c>
    </row>
    <row r="621" outlineLevel="1" ht="15" customHeight="1" s="94">
      <c r="A621" s="123">
        <f>IF(B621="","",ROW()-15)</f>
        <v/>
      </c>
      <c r="B621" s="124" t="n"/>
      <c r="C621" s="123" t="n"/>
      <c r="D621" s="123" t="n"/>
      <c r="E621" s="123" t="n"/>
      <c r="F621" s="125" t="n"/>
      <c r="G621" s="123" t="n"/>
      <c r="H621" s="123" t="n"/>
      <c r="I621" s="123" t="n"/>
      <c r="J621" s="123" t="n"/>
      <c r="K621" s="123" t="n"/>
      <c r="L621" s="123" t="n"/>
      <c r="M621" s="123">
        <f>IF(AND(B621&lt;&gt;"",OR($C$4="",ISNUMBER(SEARCH($C$4,C621&amp;" "&amp;E621&amp;" "&amp;G621&amp;" "&amp;H621&amp;" "&amp;I621&amp;" "&amp;J621&amp;" "&amp;K621&amp;" "&amp;L621))),OR($C$5="Semua",$C$5="",G621=$C$5),OR($C$6="Semua",$C$6="",H621=$C$6,H621="Pengeluaran "&amp;$C$6,AND($C$6="Uang Kos Mama",H621="Pengeluaran Uang Kos")),OR($C$7="Semua",$C$7="",I621=$C$7),OR($C$8="Semua",$C$8="",C621=$C$8,E621=$C$8),OR($C$9="Semua",$C$9="",D621=$C$9),OR($C$10="",B621&gt;=$C$10),OR($C$11="",B621&lt;=$C$11),OR($C$12&lt;&gt;"Ya",K621&lt;&gt;""),OR($C$13="Semua",$C$13="",L621=$C$13)),"✓","")</f>
        <v/>
      </c>
      <c r="N621" s="93">
        <f>N(N620)+IF(M621="✓",1,0)</f>
        <v/>
      </c>
      <c r="O621" s="93">
        <f>N(O620)+IF(AND(B621&lt;&gt;"",B621&gt;='Uang Riba'!$H$30,B621&lt;='Uang Riba'!$I$30,OR(H621="Dana riba",H621="Pinjam uang riba",I621="Pinjam dari uang riba",I621="Ganti uang riba",I621="Kelebihan ganti dikembalikan",AND(C621="Kantong Uang Riba",G621="Pengeluaran"))),1,0)</f>
        <v/>
      </c>
      <c r="X621" s="93">
        <f>IF(AND(B621&lt;&gt;"",B621&gt;='Buku Akun'!$H$4,B621&lt;='Buku Akun'!$H$5,OR(C621='Buku Akun'!$C$4,AND(D621="Pindah",E621='Buku Akun'!$C$4))),B621+IF(AND(I621="Selisih bunga",DAY(B621)=1),0,0.01)+ROW()/10000000,"")</f>
        <v/>
      </c>
    </row>
    <row r="622" outlineLevel="1" ht="15" customHeight="1" s="94">
      <c r="A622" s="123">
        <f>IF(B622="","",ROW()-15)</f>
        <v/>
      </c>
      <c r="B622" s="124" t="n"/>
      <c r="C622" s="123" t="n"/>
      <c r="D622" s="123" t="n"/>
      <c r="E622" s="123" t="n"/>
      <c r="F622" s="125" t="n"/>
      <c r="G622" s="123" t="n"/>
      <c r="H622" s="123" t="n"/>
      <c r="I622" s="123" t="n"/>
      <c r="J622" s="123" t="n"/>
      <c r="K622" s="123" t="n"/>
      <c r="L622" s="123" t="n"/>
      <c r="M622" s="123">
        <f>IF(AND(B622&lt;&gt;"",OR($C$4="",ISNUMBER(SEARCH($C$4,C622&amp;" "&amp;E622&amp;" "&amp;G622&amp;" "&amp;H622&amp;" "&amp;I622&amp;" "&amp;J622&amp;" "&amp;K622&amp;" "&amp;L622))),OR($C$5="Semua",$C$5="",G622=$C$5),OR($C$6="Semua",$C$6="",H622=$C$6,H622="Pengeluaran "&amp;$C$6,AND($C$6="Uang Kos Mama",H622="Pengeluaran Uang Kos")),OR($C$7="Semua",$C$7="",I622=$C$7),OR($C$8="Semua",$C$8="",C622=$C$8,E622=$C$8),OR($C$9="Semua",$C$9="",D622=$C$9),OR($C$10="",B622&gt;=$C$10),OR($C$11="",B622&lt;=$C$11),OR($C$12&lt;&gt;"Ya",K622&lt;&gt;""),OR($C$13="Semua",$C$13="",L622=$C$13)),"✓","")</f>
        <v/>
      </c>
      <c r="N622" s="93">
        <f>N(N621)+IF(M622="✓",1,0)</f>
        <v/>
      </c>
      <c r="O622" s="93">
        <f>N(O621)+IF(AND(B622&lt;&gt;"",B622&gt;='Uang Riba'!$H$30,B622&lt;='Uang Riba'!$I$30,OR(H622="Dana riba",H622="Pinjam uang riba",I622="Pinjam dari uang riba",I622="Ganti uang riba",I622="Kelebihan ganti dikembalikan",AND(C622="Kantong Uang Riba",G622="Pengeluaran"))),1,0)</f>
        <v/>
      </c>
      <c r="X622" s="93">
        <f>IF(AND(B622&lt;&gt;"",B622&gt;='Buku Akun'!$H$4,B622&lt;='Buku Akun'!$H$5,OR(C622='Buku Akun'!$C$4,AND(D622="Pindah",E622='Buku Akun'!$C$4))),B622+IF(AND(I622="Selisih bunga",DAY(B622)=1),0,0.01)+ROW()/10000000,"")</f>
        <v/>
      </c>
    </row>
    <row r="623" outlineLevel="1" ht="15" customHeight="1" s="94">
      <c r="A623" s="123">
        <f>IF(B623="","",ROW()-15)</f>
        <v/>
      </c>
      <c r="B623" s="124" t="n"/>
      <c r="C623" s="123" t="n"/>
      <c r="D623" s="123" t="n"/>
      <c r="E623" s="123" t="n"/>
      <c r="F623" s="125" t="n"/>
      <c r="G623" s="123" t="n"/>
      <c r="H623" s="123" t="n"/>
      <c r="I623" s="123" t="n"/>
      <c r="J623" s="123" t="n"/>
      <c r="K623" s="123" t="n"/>
      <c r="L623" s="123" t="n"/>
      <c r="M623" s="123">
        <f>IF(AND(B623&lt;&gt;"",OR($C$4="",ISNUMBER(SEARCH($C$4,C623&amp;" "&amp;E623&amp;" "&amp;G623&amp;" "&amp;H623&amp;" "&amp;I623&amp;" "&amp;J623&amp;" "&amp;K623&amp;" "&amp;L623))),OR($C$5="Semua",$C$5="",G623=$C$5),OR($C$6="Semua",$C$6="",H623=$C$6,H623="Pengeluaran "&amp;$C$6,AND($C$6="Uang Kos Mama",H623="Pengeluaran Uang Kos")),OR($C$7="Semua",$C$7="",I623=$C$7),OR($C$8="Semua",$C$8="",C623=$C$8,E623=$C$8),OR($C$9="Semua",$C$9="",D623=$C$9),OR($C$10="",B623&gt;=$C$10),OR($C$11="",B623&lt;=$C$11),OR($C$12&lt;&gt;"Ya",K623&lt;&gt;""),OR($C$13="Semua",$C$13="",L623=$C$13)),"✓","")</f>
        <v/>
      </c>
      <c r="N623" s="93">
        <f>N(N622)+IF(M623="✓",1,0)</f>
        <v/>
      </c>
      <c r="O623" s="93">
        <f>N(O622)+IF(AND(B623&lt;&gt;"",B623&gt;='Uang Riba'!$H$30,B623&lt;='Uang Riba'!$I$30,OR(H623="Dana riba",H623="Pinjam uang riba",I623="Pinjam dari uang riba",I623="Ganti uang riba",I623="Kelebihan ganti dikembalikan",AND(C623="Kantong Uang Riba",G623="Pengeluaran"))),1,0)</f>
        <v/>
      </c>
      <c r="X623" s="93">
        <f>IF(AND(B623&lt;&gt;"",B623&gt;='Buku Akun'!$H$4,B623&lt;='Buku Akun'!$H$5,OR(C623='Buku Akun'!$C$4,AND(D623="Pindah",E623='Buku Akun'!$C$4))),B623+IF(AND(I623="Selisih bunga",DAY(B623)=1),0,0.01)+ROW()/10000000,"")</f>
        <v/>
      </c>
    </row>
    <row r="624" outlineLevel="1" ht="15" customHeight="1" s="94">
      <c r="A624" s="123">
        <f>IF(B624="","",ROW()-15)</f>
        <v/>
      </c>
      <c r="B624" s="124" t="n"/>
      <c r="C624" s="123" t="n"/>
      <c r="D624" s="123" t="n"/>
      <c r="E624" s="123" t="n"/>
      <c r="F624" s="125" t="n"/>
      <c r="G624" s="123" t="n"/>
      <c r="H624" s="123" t="n"/>
      <c r="I624" s="123" t="n"/>
      <c r="J624" s="123" t="n"/>
      <c r="K624" s="123" t="n"/>
      <c r="L624" s="123" t="n"/>
      <c r="M624" s="123">
        <f>IF(AND(B624&lt;&gt;"",OR($C$4="",ISNUMBER(SEARCH($C$4,C624&amp;" "&amp;E624&amp;" "&amp;G624&amp;" "&amp;H624&amp;" "&amp;I624&amp;" "&amp;J624&amp;" "&amp;K624&amp;" "&amp;L624))),OR($C$5="Semua",$C$5="",G624=$C$5),OR($C$6="Semua",$C$6="",H624=$C$6,H624="Pengeluaran "&amp;$C$6,AND($C$6="Uang Kos Mama",H624="Pengeluaran Uang Kos")),OR($C$7="Semua",$C$7="",I624=$C$7),OR($C$8="Semua",$C$8="",C624=$C$8,E624=$C$8),OR($C$9="Semua",$C$9="",D624=$C$9),OR($C$10="",B624&gt;=$C$10),OR($C$11="",B624&lt;=$C$11),OR($C$12&lt;&gt;"Ya",K624&lt;&gt;""),OR($C$13="Semua",$C$13="",L624=$C$13)),"✓","")</f>
        <v/>
      </c>
      <c r="N624" s="93">
        <f>N(N623)+IF(M624="✓",1,0)</f>
        <v/>
      </c>
      <c r="O624" s="93">
        <f>N(O623)+IF(AND(B624&lt;&gt;"",B624&gt;='Uang Riba'!$H$30,B624&lt;='Uang Riba'!$I$30,OR(H624="Dana riba",H624="Pinjam uang riba",I624="Pinjam dari uang riba",I624="Ganti uang riba",I624="Kelebihan ganti dikembalikan",AND(C624="Kantong Uang Riba",G624="Pengeluaran"))),1,0)</f>
        <v/>
      </c>
      <c r="X624" s="93">
        <f>IF(AND(B624&lt;&gt;"",B624&gt;='Buku Akun'!$H$4,B624&lt;='Buku Akun'!$H$5,OR(C624='Buku Akun'!$C$4,AND(D624="Pindah",E624='Buku Akun'!$C$4))),B624+IF(AND(I624="Selisih bunga",DAY(B624)=1),0,0.01)+ROW()/10000000,"")</f>
        <v/>
      </c>
    </row>
    <row r="625" outlineLevel="1" ht="15" customHeight="1" s="94">
      <c r="A625" s="123">
        <f>IF(B625="","",ROW()-15)</f>
        <v/>
      </c>
      <c r="B625" s="124" t="n"/>
      <c r="C625" s="123" t="n"/>
      <c r="D625" s="123" t="n"/>
      <c r="E625" s="123" t="n"/>
      <c r="F625" s="125" t="n"/>
      <c r="G625" s="123" t="n"/>
      <c r="H625" s="123" t="n"/>
      <c r="I625" s="123" t="n"/>
      <c r="J625" s="123" t="n"/>
      <c r="K625" s="123" t="n"/>
      <c r="L625" s="123" t="n"/>
      <c r="M625" s="123">
        <f>IF(AND(B625&lt;&gt;"",OR($C$4="",ISNUMBER(SEARCH($C$4,C625&amp;" "&amp;E625&amp;" "&amp;G625&amp;" "&amp;H625&amp;" "&amp;I625&amp;" "&amp;J625&amp;" "&amp;K625&amp;" "&amp;L625))),OR($C$5="Semua",$C$5="",G625=$C$5),OR($C$6="Semua",$C$6="",H625=$C$6,H625="Pengeluaran "&amp;$C$6,AND($C$6="Uang Kos Mama",H625="Pengeluaran Uang Kos")),OR($C$7="Semua",$C$7="",I625=$C$7),OR($C$8="Semua",$C$8="",C625=$C$8,E625=$C$8),OR($C$9="Semua",$C$9="",D625=$C$9),OR($C$10="",B625&gt;=$C$10),OR($C$11="",B625&lt;=$C$11),OR($C$12&lt;&gt;"Ya",K625&lt;&gt;""),OR($C$13="Semua",$C$13="",L625=$C$13)),"✓","")</f>
        <v/>
      </c>
      <c r="N625" s="93">
        <f>N(N624)+IF(M625="✓",1,0)</f>
        <v/>
      </c>
      <c r="O625" s="93">
        <f>N(O624)+IF(AND(B625&lt;&gt;"",B625&gt;='Uang Riba'!$H$30,B625&lt;='Uang Riba'!$I$30,OR(H625="Dana riba",H625="Pinjam uang riba",I625="Pinjam dari uang riba",I625="Ganti uang riba",I625="Kelebihan ganti dikembalikan",AND(C625="Kantong Uang Riba",G625="Pengeluaran"))),1,0)</f>
        <v/>
      </c>
      <c r="X625" s="93">
        <f>IF(AND(B625&lt;&gt;"",B625&gt;='Buku Akun'!$H$4,B625&lt;='Buku Akun'!$H$5,OR(C625='Buku Akun'!$C$4,AND(D625="Pindah",E625='Buku Akun'!$C$4))),B625+IF(AND(I625="Selisih bunga",DAY(B625)=1),0,0.01)+ROW()/10000000,"")</f>
        <v/>
      </c>
    </row>
    <row r="626" outlineLevel="1" ht="15" customHeight="1" s="94">
      <c r="A626" s="123">
        <f>IF(B626="","",ROW()-15)</f>
        <v/>
      </c>
      <c r="B626" s="124" t="n"/>
      <c r="C626" s="123" t="n"/>
      <c r="D626" s="123" t="n"/>
      <c r="E626" s="123" t="n"/>
      <c r="F626" s="125" t="n"/>
      <c r="G626" s="123" t="n"/>
      <c r="H626" s="123" t="n"/>
      <c r="I626" s="123" t="n"/>
      <c r="J626" s="123" t="n"/>
      <c r="K626" s="123" t="n"/>
      <c r="L626" s="123" t="n"/>
      <c r="M626" s="123">
        <f>IF(AND(B626&lt;&gt;"",OR($C$4="",ISNUMBER(SEARCH($C$4,C626&amp;" "&amp;E626&amp;" "&amp;G626&amp;" "&amp;H626&amp;" "&amp;I626&amp;" "&amp;J626&amp;" "&amp;K626&amp;" "&amp;L626))),OR($C$5="Semua",$C$5="",G626=$C$5),OR($C$6="Semua",$C$6="",H626=$C$6,H626="Pengeluaran "&amp;$C$6,AND($C$6="Uang Kos Mama",H626="Pengeluaran Uang Kos")),OR($C$7="Semua",$C$7="",I626=$C$7),OR($C$8="Semua",$C$8="",C626=$C$8,E626=$C$8),OR($C$9="Semua",$C$9="",D626=$C$9),OR($C$10="",B626&gt;=$C$10),OR($C$11="",B626&lt;=$C$11),OR($C$12&lt;&gt;"Ya",K626&lt;&gt;""),OR($C$13="Semua",$C$13="",L626=$C$13)),"✓","")</f>
        <v/>
      </c>
      <c r="N626" s="93">
        <f>N(N625)+IF(M626="✓",1,0)</f>
        <v/>
      </c>
      <c r="O626" s="93">
        <f>N(O625)+IF(AND(B626&lt;&gt;"",B626&gt;='Uang Riba'!$H$30,B626&lt;='Uang Riba'!$I$30,OR(H626="Dana riba",H626="Pinjam uang riba",I626="Pinjam dari uang riba",I626="Ganti uang riba",I626="Kelebihan ganti dikembalikan",AND(C626="Kantong Uang Riba",G626="Pengeluaran"))),1,0)</f>
        <v/>
      </c>
      <c r="X626" s="93">
        <f>IF(AND(B626&lt;&gt;"",B626&gt;='Buku Akun'!$H$4,B626&lt;='Buku Akun'!$H$5,OR(C626='Buku Akun'!$C$4,AND(D626="Pindah",E626='Buku Akun'!$C$4))),B626+IF(AND(I626="Selisih bunga",DAY(B626)=1),0,0.01)+ROW()/10000000,"")</f>
        <v/>
      </c>
    </row>
    <row r="627" outlineLevel="1" ht="15" customHeight="1" s="94">
      <c r="A627" s="123">
        <f>IF(B627="","",ROW()-15)</f>
        <v/>
      </c>
      <c r="B627" s="124" t="n"/>
      <c r="C627" s="123" t="n"/>
      <c r="D627" s="123" t="n"/>
      <c r="E627" s="123" t="n"/>
      <c r="F627" s="125" t="n"/>
      <c r="G627" s="123" t="n"/>
      <c r="H627" s="123" t="n"/>
      <c r="I627" s="123" t="n"/>
      <c r="J627" s="123" t="n"/>
      <c r="K627" s="123" t="n"/>
      <c r="L627" s="123" t="n"/>
      <c r="M627" s="123">
        <f>IF(AND(B627&lt;&gt;"",OR($C$4="",ISNUMBER(SEARCH($C$4,C627&amp;" "&amp;E627&amp;" "&amp;G627&amp;" "&amp;H627&amp;" "&amp;I627&amp;" "&amp;J627&amp;" "&amp;K627&amp;" "&amp;L627))),OR($C$5="Semua",$C$5="",G627=$C$5),OR($C$6="Semua",$C$6="",H627=$C$6,H627="Pengeluaran "&amp;$C$6,AND($C$6="Uang Kos Mama",H627="Pengeluaran Uang Kos")),OR($C$7="Semua",$C$7="",I627=$C$7),OR($C$8="Semua",$C$8="",C627=$C$8,E627=$C$8),OR($C$9="Semua",$C$9="",D627=$C$9),OR($C$10="",B627&gt;=$C$10),OR($C$11="",B627&lt;=$C$11),OR($C$12&lt;&gt;"Ya",K627&lt;&gt;""),OR($C$13="Semua",$C$13="",L627=$C$13)),"✓","")</f>
        <v/>
      </c>
      <c r="N627" s="93">
        <f>N(N626)+IF(M627="✓",1,0)</f>
        <v/>
      </c>
      <c r="O627" s="93">
        <f>N(O626)+IF(AND(B627&lt;&gt;"",B627&gt;='Uang Riba'!$H$30,B627&lt;='Uang Riba'!$I$30,OR(H627="Dana riba",H627="Pinjam uang riba",I627="Pinjam dari uang riba",I627="Ganti uang riba",I627="Kelebihan ganti dikembalikan",AND(C627="Kantong Uang Riba",G627="Pengeluaran"))),1,0)</f>
        <v/>
      </c>
      <c r="X627" s="93">
        <f>IF(AND(B627&lt;&gt;"",B627&gt;='Buku Akun'!$H$4,B627&lt;='Buku Akun'!$H$5,OR(C627='Buku Akun'!$C$4,AND(D627="Pindah",E627='Buku Akun'!$C$4))),B627+IF(AND(I627="Selisih bunga",DAY(B627)=1),0,0.01)+ROW()/10000000,"")</f>
        <v/>
      </c>
    </row>
    <row r="628" outlineLevel="1" ht="15" customHeight="1" s="94">
      <c r="A628" s="123">
        <f>IF(B628="","",ROW()-15)</f>
        <v/>
      </c>
      <c r="B628" s="124" t="n"/>
      <c r="C628" s="123" t="n"/>
      <c r="D628" s="123" t="n"/>
      <c r="E628" s="123" t="n"/>
      <c r="F628" s="125" t="n"/>
      <c r="G628" s="123" t="n"/>
      <c r="H628" s="123" t="n"/>
      <c r="I628" s="123" t="n"/>
      <c r="J628" s="123" t="n"/>
      <c r="K628" s="123" t="n"/>
      <c r="L628" s="123" t="n"/>
      <c r="M628" s="123">
        <f>IF(AND(B628&lt;&gt;"",OR($C$4="",ISNUMBER(SEARCH($C$4,C628&amp;" "&amp;E628&amp;" "&amp;G628&amp;" "&amp;H628&amp;" "&amp;I628&amp;" "&amp;J628&amp;" "&amp;K628&amp;" "&amp;L628))),OR($C$5="Semua",$C$5="",G628=$C$5),OR($C$6="Semua",$C$6="",H628=$C$6,H628="Pengeluaran "&amp;$C$6,AND($C$6="Uang Kos Mama",H628="Pengeluaran Uang Kos")),OR($C$7="Semua",$C$7="",I628=$C$7),OR($C$8="Semua",$C$8="",C628=$C$8,E628=$C$8),OR($C$9="Semua",$C$9="",D628=$C$9),OR($C$10="",B628&gt;=$C$10),OR($C$11="",B628&lt;=$C$11),OR($C$12&lt;&gt;"Ya",K628&lt;&gt;""),OR($C$13="Semua",$C$13="",L628=$C$13)),"✓","")</f>
        <v/>
      </c>
      <c r="N628" s="93">
        <f>N(N627)+IF(M628="✓",1,0)</f>
        <v/>
      </c>
      <c r="O628" s="93">
        <f>N(O627)+IF(AND(B628&lt;&gt;"",B628&gt;='Uang Riba'!$H$30,B628&lt;='Uang Riba'!$I$30,OR(H628="Dana riba",H628="Pinjam uang riba",I628="Pinjam dari uang riba",I628="Ganti uang riba",I628="Kelebihan ganti dikembalikan",AND(C628="Kantong Uang Riba",G628="Pengeluaran"))),1,0)</f>
        <v/>
      </c>
      <c r="X628" s="93">
        <f>IF(AND(B628&lt;&gt;"",B628&gt;='Buku Akun'!$H$4,B628&lt;='Buku Akun'!$H$5,OR(C628='Buku Akun'!$C$4,AND(D628="Pindah",E628='Buku Akun'!$C$4))),B628+IF(AND(I628="Selisih bunga",DAY(B628)=1),0,0.01)+ROW()/10000000,"")</f>
        <v/>
      </c>
    </row>
    <row r="629" outlineLevel="1" ht="15" customHeight="1" s="94">
      <c r="A629" s="123">
        <f>IF(B629="","",ROW()-15)</f>
        <v/>
      </c>
      <c r="B629" s="124" t="n"/>
      <c r="C629" s="123" t="n"/>
      <c r="D629" s="123" t="n"/>
      <c r="E629" s="123" t="n"/>
      <c r="F629" s="125" t="n"/>
      <c r="G629" s="123" t="n"/>
      <c r="H629" s="123" t="n"/>
      <c r="I629" s="123" t="n"/>
      <c r="J629" s="123" t="n"/>
      <c r="K629" s="123" t="n"/>
      <c r="L629" s="123" t="n"/>
      <c r="M629" s="123">
        <f>IF(AND(B629&lt;&gt;"",OR($C$4="",ISNUMBER(SEARCH($C$4,C629&amp;" "&amp;E629&amp;" "&amp;G629&amp;" "&amp;H629&amp;" "&amp;I629&amp;" "&amp;J629&amp;" "&amp;K629&amp;" "&amp;L629))),OR($C$5="Semua",$C$5="",G629=$C$5),OR($C$6="Semua",$C$6="",H629=$C$6,H629="Pengeluaran "&amp;$C$6,AND($C$6="Uang Kos Mama",H629="Pengeluaran Uang Kos")),OR($C$7="Semua",$C$7="",I629=$C$7),OR($C$8="Semua",$C$8="",C629=$C$8,E629=$C$8),OR($C$9="Semua",$C$9="",D629=$C$9),OR($C$10="",B629&gt;=$C$10),OR($C$11="",B629&lt;=$C$11),OR($C$12&lt;&gt;"Ya",K629&lt;&gt;""),OR($C$13="Semua",$C$13="",L629=$C$13)),"✓","")</f>
        <v/>
      </c>
      <c r="N629" s="93">
        <f>N(N628)+IF(M629="✓",1,0)</f>
        <v/>
      </c>
      <c r="O629" s="93">
        <f>N(O628)+IF(AND(B629&lt;&gt;"",B629&gt;='Uang Riba'!$H$30,B629&lt;='Uang Riba'!$I$30,OR(H629="Dana riba",H629="Pinjam uang riba",I629="Pinjam dari uang riba",I629="Ganti uang riba",I629="Kelebihan ganti dikembalikan",AND(C629="Kantong Uang Riba",G629="Pengeluaran"))),1,0)</f>
        <v/>
      </c>
      <c r="X629" s="93">
        <f>IF(AND(B629&lt;&gt;"",B629&gt;='Buku Akun'!$H$4,B629&lt;='Buku Akun'!$H$5,OR(C629='Buku Akun'!$C$4,AND(D629="Pindah",E629='Buku Akun'!$C$4))),B629+IF(AND(I629="Selisih bunga",DAY(B629)=1),0,0.01)+ROW()/10000000,"")</f>
        <v/>
      </c>
    </row>
    <row r="630" outlineLevel="1" ht="15" customHeight="1" s="94">
      <c r="A630" s="123">
        <f>IF(B630="","",ROW()-15)</f>
        <v/>
      </c>
      <c r="B630" s="124" t="n"/>
      <c r="C630" s="123" t="n"/>
      <c r="D630" s="123" t="n"/>
      <c r="E630" s="123" t="n"/>
      <c r="F630" s="125" t="n"/>
      <c r="G630" s="123" t="n"/>
      <c r="H630" s="123" t="n"/>
      <c r="I630" s="123" t="n"/>
      <c r="J630" s="123" t="n"/>
      <c r="K630" s="123" t="n"/>
      <c r="L630" s="123" t="n"/>
      <c r="M630" s="123">
        <f>IF(AND(B630&lt;&gt;"",OR($C$4="",ISNUMBER(SEARCH($C$4,C630&amp;" "&amp;E630&amp;" "&amp;G630&amp;" "&amp;H630&amp;" "&amp;I630&amp;" "&amp;J630&amp;" "&amp;K630&amp;" "&amp;L630))),OR($C$5="Semua",$C$5="",G630=$C$5),OR($C$6="Semua",$C$6="",H630=$C$6,H630="Pengeluaran "&amp;$C$6,AND($C$6="Uang Kos Mama",H630="Pengeluaran Uang Kos")),OR($C$7="Semua",$C$7="",I630=$C$7),OR($C$8="Semua",$C$8="",C630=$C$8,E630=$C$8),OR($C$9="Semua",$C$9="",D630=$C$9),OR($C$10="",B630&gt;=$C$10),OR($C$11="",B630&lt;=$C$11),OR($C$12&lt;&gt;"Ya",K630&lt;&gt;""),OR($C$13="Semua",$C$13="",L630=$C$13)),"✓","")</f>
        <v/>
      </c>
      <c r="N630" s="93">
        <f>N(N629)+IF(M630="✓",1,0)</f>
        <v/>
      </c>
      <c r="O630" s="93">
        <f>N(O629)+IF(AND(B630&lt;&gt;"",B630&gt;='Uang Riba'!$H$30,B630&lt;='Uang Riba'!$I$30,OR(H630="Dana riba",H630="Pinjam uang riba",I630="Pinjam dari uang riba",I630="Ganti uang riba",I630="Kelebihan ganti dikembalikan",AND(C630="Kantong Uang Riba",G630="Pengeluaran"))),1,0)</f>
        <v/>
      </c>
      <c r="X630" s="93">
        <f>IF(AND(B630&lt;&gt;"",B630&gt;='Buku Akun'!$H$4,B630&lt;='Buku Akun'!$H$5,OR(C630='Buku Akun'!$C$4,AND(D630="Pindah",E630='Buku Akun'!$C$4))),B630+IF(AND(I630="Selisih bunga",DAY(B630)=1),0,0.01)+ROW()/10000000,"")</f>
        <v/>
      </c>
    </row>
    <row r="631" outlineLevel="1" ht="15" customHeight="1" s="94">
      <c r="A631" s="123">
        <f>IF(B631="","",ROW()-15)</f>
        <v/>
      </c>
      <c r="B631" s="124" t="n"/>
      <c r="C631" s="123" t="n"/>
      <c r="D631" s="123" t="n"/>
      <c r="E631" s="123" t="n"/>
      <c r="F631" s="125" t="n"/>
      <c r="G631" s="123" t="n"/>
      <c r="H631" s="123" t="n"/>
      <c r="I631" s="123" t="n"/>
      <c r="J631" s="123" t="n"/>
      <c r="K631" s="123" t="n"/>
      <c r="L631" s="123" t="n"/>
      <c r="M631" s="123">
        <f>IF(AND(B631&lt;&gt;"",OR($C$4="",ISNUMBER(SEARCH($C$4,C631&amp;" "&amp;E631&amp;" "&amp;G631&amp;" "&amp;H631&amp;" "&amp;I631&amp;" "&amp;J631&amp;" "&amp;K631&amp;" "&amp;L631))),OR($C$5="Semua",$C$5="",G631=$C$5),OR($C$6="Semua",$C$6="",H631=$C$6,H631="Pengeluaran "&amp;$C$6,AND($C$6="Uang Kos Mama",H631="Pengeluaran Uang Kos")),OR($C$7="Semua",$C$7="",I631=$C$7),OR($C$8="Semua",$C$8="",C631=$C$8,E631=$C$8),OR($C$9="Semua",$C$9="",D631=$C$9),OR($C$10="",B631&gt;=$C$10),OR($C$11="",B631&lt;=$C$11),OR($C$12&lt;&gt;"Ya",K631&lt;&gt;""),OR($C$13="Semua",$C$13="",L631=$C$13)),"✓","")</f>
        <v/>
      </c>
      <c r="N631" s="93">
        <f>N(N630)+IF(M631="✓",1,0)</f>
        <v/>
      </c>
      <c r="O631" s="93">
        <f>N(O630)+IF(AND(B631&lt;&gt;"",B631&gt;='Uang Riba'!$H$30,B631&lt;='Uang Riba'!$I$30,OR(H631="Dana riba",H631="Pinjam uang riba",I631="Pinjam dari uang riba",I631="Ganti uang riba",I631="Kelebihan ganti dikembalikan",AND(C631="Kantong Uang Riba",G631="Pengeluaran"))),1,0)</f>
        <v/>
      </c>
      <c r="X631" s="93">
        <f>IF(AND(B631&lt;&gt;"",B631&gt;='Buku Akun'!$H$4,B631&lt;='Buku Akun'!$H$5,OR(C631='Buku Akun'!$C$4,AND(D631="Pindah",E631='Buku Akun'!$C$4))),B631+IF(AND(I631="Selisih bunga",DAY(B631)=1),0,0.01)+ROW()/10000000,"")</f>
        <v/>
      </c>
    </row>
    <row r="632" outlineLevel="1" ht="15" customHeight="1" s="94">
      <c r="A632" s="123">
        <f>IF(B632="","",ROW()-15)</f>
        <v/>
      </c>
      <c r="B632" s="124" t="n"/>
      <c r="C632" s="123" t="n"/>
      <c r="D632" s="123" t="n"/>
      <c r="E632" s="123" t="n"/>
      <c r="F632" s="125" t="n"/>
      <c r="G632" s="123" t="n"/>
      <c r="H632" s="123" t="n"/>
      <c r="I632" s="123" t="n"/>
      <c r="J632" s="123" t="n"/>
      <c r="K632" s="123" t="n"/>
      <c r="L632" s="123" t="n"/>
      <c r="M632" s="123">
        <f>IF(AND(B632&lt;&gt;"",OR($C$4="",ISNUMBER(SEARCH($C$4,C632&amp;" "&amp;E632&amp;" "&amp;G632&amp;" "&amp;H632&amp;" "&amp;I632&amp;" "&amp;J632&amp;" "&amp;K632&amp;" "&amp;L632))),OR($C$5="Semua",$C$5="",G632=$C$5),OR($C$6="Semua",$C$6="",H632=$C$6,H632="Pengeluaran "&amp;$C$6,AND($C$6="Uang Kos Mama",H632="Pengeluaran Uang Kos")),OR($C$7="Semua",$C$7="",I632=$C$7),OR($C$8="Semua",$C$8="",C632=$C$8,E632=$C$8),OR($C$9="Semua",$C$9="",D632=$C$9),OR($C$10="",B632&gt;=$C$10),OR($C$11="",B632&lt;=$C$11),OR($C$12&lt;&gt;"Ya",K632&lt;&gt;""),OR($C$13="Semua",$C$13="",L632=$C$13)),"✓","")</f>
        <v/>
      </c>
      <c r="N632" s="93">
        <f>N(N631)+IF(M632="✓",1,0)</f>
        <v/>
      </c>
      <c r="O632" s="93">
        <f>N(O631)+IF(AND(B632&lt;&gt;"",B632&gt;='Uang Riba'!$H$30,B632&lt;='Uang Riba'!$I$30,OR(H632="Dana riba",H632="Pinjam uang riba",I632="Pinjam dari uang riba",I632="Ganti uang riba",I632="Kelebihan ganti dikembalikan",AND(C632="Kantong Uang Riba",G632="Pengeluaran"))),1,0)</f>
        <v/>
      </c>
      <c r="X632" s="93">
        <f>IF(AND(B632&lt;&gt;"",B632&gt;='Buku Akun'!$H$4,B632&lt;='Buku Akun'!$H$5,OR(C632='Buku Akun'!$C$4,AND(D632="Pindah",E632='Buku Akun'!$C$4))),B632+IF(AND(I632="Selisih bunga",DAY(B632)=1),0,0.01)+ROW()/10000000,"")</f>
        <v/>
      </c>
    </row>
    <row r="633" outlineLevel="1" ht="15" customHeight="1" s="94">
      <c r="A633" s="123">
        <f>IF(B633="","",ROW()-15)</f>
        <v/>
      </c>
      <c r="B633" s="124" t="n"/>
      <c r="C633" s="123" t="n"/>
      <c r="D633" s="123" t="n"/>
      <c r="E633" s="123" t="n"/>
      <c r="F633" s="125" t="n"/>
      <c r="G633" s="123" t="n"/>
      <c r="H633" s="123" t="n"/>
      <c r="I633" s="123" t="n"/>
      <c r="J633" s="123" t="n"/>
      <c r="K633" s="123" t="n"/>
      <c r="L633" s="123" t="n"/>
      <c r="M633" s="123">
        <f>IF(AND(B633&lt;&gt;"",OR($C$4="",ISNUMBER(SEARCH($C$4,C633&amp;" "&amp;E633&amp;" "&amp;G633&amp;" "&amp;H633&amp;" "&amp;I633&amp;" "&amp;J633&amp;" "&amp;K633&amp;" "&amp;L633))),OR($C$5="Semua",$C$5="",G633=$C$5),OR($C$6="Semua",$C$6="",H633=$C$6,H633="Pengeluaran "&amp;$C$6,AND($C$6="Uang Kos Mama",H633="Pengeluaran Uang Kos")),OR($C$7="Semua",$C$7="",I633=$C$7),OR($C$8="Semua",$C$8="",C633=$C$8,E633=$C$8),OR($C$9="Semua",$C$9="",D633=$C$9),OR($C$10="",B633&gt;=$C$10),OR($C$11="",B633&lt;=$C$11),OR($C$12&lt;&gt;"Ya",K633&lt;&gt;""),OR($C$13="Semua",$C$13="",L633=$C$13)),"✓","")</f>
        <v/>
      </c>
      <c r="N633" s="93">
        <f>N(N632)+IF(M633="✓",1,0)</f>
        <v/>
      </c>
      <c r="O633" s="93">
        <f>N(O632)+IF(AND(B633&lt;&gt;"",B633&gt;='Uang Riba'!$H$30,B633&lt;='Uang Riba'!$I$30,OR(H633="Dana riba",H633="Pinjam uang riba",I633="Pinjam dari uang riba",I633="Ganti uang riba",I633="Kelebihan ganti dikembalikan",AND(C633="Kantong Uang Riba",G633="Pengeluaran"))),1,0)</f>
        <v/>
      </c>
      <c r="X633" s="93">
        <f>IF(AND(B633&lt;&gt;"",B633&gt;='Buku Akun'!$H$4,B633&lt;='Buku Akun'!$H$5,OR(C633='Buku Akun'!$C$4,AND(D633="Pindah",E633='Buku Akun'!$C$4))),B633+IF(AND(I633="Selisih bunga",DAY(B633)=1),0,0.01)+ROW()/10000000,"")</f>
        <v/>
      </c>
    </row>
    <row r="634" outlineLevel="1" ht="15" customHeight="1" s="94">
      <c r="A634" s="123">
        <f>IF(B634="","",ROW()-15)</f>
        <v/>
      </c>
      <c r="B634" s="124" t="n"/>
      <c r="C634" s="123" t="n"/>
      <c r="D634" s="123" t="n"/>
      <c r="E634" s="123" t="n"/>
      <c r="F634" s="125" t="n"/>
      <c r="G634" s="123" t="n"/>
      <c r="H634" s="123" t="n"/>
      <c r="I634" s="123" t="n"/>
      <c r="J634" s="123" t="n"/>
      <c r="K634" s="123" t="n"/>
      <c r="L634" s="123" t="n"/>
      <c r="M634" s="123">
        <f>IF(AND(B634&lt;&gt;"",OR($C$4="",ISNUMBER(SEARCH($C$4,C634&amp;" "&amp;E634&amp;" "&amp;G634&amp;" "&amp;H634&amp;" "&amp;I634&amp;" "&amp;J634&amp;" "&amp;K634&amp;" "&amp;L634))),OR($C$5="Semua",$C$5="",G634=$C$5),OR($C$6="Semua",$C$6="",H634=$C$6,H634="Pengeluaran "&amp;$C$6,AND($C$6="Uang Kos Mama",H634="Pengeluaran Uang Kos")),OR($C$7="Semua",$C$7="",I634=$C$7),OR($C$8="Semua",$C$8="",C634=$C$8,E634=$C$8),OR($C$9="Semua",$C$9="",D634=$C$9),OR($C$10="",B634&gt;=$C$10),OR($C$11="",B634&lt;=$C$11),OR($C$12&lt;&gt;"Ya",K634&lt;&gt;""),OR($C$13="Semua",$C$13="",L634=$C$13)),"✓","")</f>
        <v/>
      </c>
      <c r="N634" s="93">
        <f>N(N633)+IF(M634="✓",1,0)</f>
        <v/>
      </c>
      <c r="O634" s="93">
        <f>N(O633)+IF(AND(B634&lt;&gt;"",B634&gt;='Uang Riba'!$H$30,B634&lt;='Uang Riba'!$I$30,OR(H634="Dana riba",H634="Pinjam uang riba",I634="Pinjam dari uang riba",I634="Ganti uang riba",I634="Kelebihan ganti dikembalikan",AND(C634="Kantong Uang Riba",G634="Pengeluaran"))),1,0)</f>
        <v/>
      </c>
      <c r="X634" s="93">
        <f>IF(AND(B634&lt;&gt;"",B634&gt;='Buku Akun'!$H$4,B634&lt;='Buku Akun'!$H$5,OR(C634='Buku Akun'!$C$4,AND(D634="Pindah",E634='Buku Akun'!$C$4))),B634+IF(AND(I634="Selisih bunga",DAY(B634)=1),0,0.01)+ROW()/10000000,"")</f>
        <v/>
      </c>
    </row>
    <row r="635" outlineLevel="1" ht="15" customHeight="1" s="94">
      <c r="A635" s="123">
        <f>IF(B635="","",ROW()-15)</f>
        <v/>
      </c>
      <c r="B635" s="124" t="n"/>
      <c r="C635" s="123" t="n"/>
      <c r="D635" s="123" t="n"/>
      <c r="E635" s="123" t="n"/>
      <c r="F635" s="125" t="n"/>
      <c r="G635" s="123" t="n"/>
      <c r="H635" s="123" t="n"/>
      <c r="I635" s="123" t="n"/>
      <c r="J635" s="123" t="n"/>
      <c r="K635" s="123" t="n"/>
      <c r="L635" s="123" t="n"/>
      <c r="M635" s="123">
        <f>IF(AND(B635&lt;&gt;"",OR($C$4="",ISNUMBER(SEARCH($C$4,C635&amp;" "&amp;E635&amp;" "&amp;G635&amp;" "&amp;H635&amp;" "&amp;I635&amp;" "&amp;J635&amp;" "&amp;K635&amp;" "&amp;L635))),OR($C$5="Semua",$C$5="",G635=$C$5),OR($C$6="Semua",$C$6="",H635=$C$6,H635="Pengeluaran "&amp;$C$6,AND($C$6="Uang Kos Mama",H635="Pengeluaran Uang Kos")),OR($C$7="Semua",$C$7="",I635=$C$7),OR($C$8="Semua",$C$8="",C635=$C$8,E635=$C$8),OR($C$9="Semua",$C$9="",D635=$C$9),OR($C$10="",B635&gt;=$C$10),OR($C$11="",B635&lt;=$C$11),OR($C$12&lt;&gt;"Ya",K635&lt;&gt;""),OR($C$13="Semua",$C$13="",L635=$C$13)),"✓","")</f>
        <v/>
      </c>
      <c r="N635" s="93">
        <f>N(N634)+IF(M635="✓",1,0)</f>
        <v/>
      </c>
      <c r="O635" s="93">
        <f>N(O634)+IF(AND(B635&lt;&gt;"",B635&gt;='Uang Riba'!$H$30,B635&lt;='Uang Riba'!$I$30,OR(H635="Dana riba",H635="Pinjam uang riba",I635="Pinjam dari uang riba",I635="Ganti uang riba",I635="Kelebihan ganti dikembalikan",AND(C635="Kantong Uang Riba",G635="Pengeluaran"))),1,0)</f>
        <v/>
      </c>
      <c r="X635" s="93">
        <f>IF(AND(B635&lt;&gt;"",B635&gt;='Buku Akun'!$H$4,B635&lt;='Buku Akun'!$H$5,OR(C635='Buku Akun'!$C$4,AND(D635="Pindah",E635='Buku Akun'!$C$4))),B635+IF(AND(I635="Selisih bunga",DAY(B635)=1),0,0.01)+ROW()/10000000,"")</f>
        <v/>
      </c>
    </row>
    <row r="636" outlineLevel="1" ht="15" customHeight="1" s="94">
      <c r="A636" s="123">
        <f>IF(B636="","",ROW()-15)</f>
        <v/>
      </c>
      <c r="B636" s="124" t="n"/>
      <c r="C636" s="123" t="n"/>
      <c r="D636" s="123" t="n"/>
      <c r="E636" s="123" t="n"/>
      <c r="F636" s="125" t="n"/>
      <c r="G636" s="123" t="n"/>
      <c r="H636" s="123" t="n"/>
      <c r="I636" s="123" t="n"/>
      <c r="J636" s="123" t="n"/>
      <c r="K636" s="123" t="n"/>
      <c r="L636" s="123" t="n"/>
      <c r="M636" s="123">
        <f>IF(AND(B636&lt;&gt;"",OR($C$4="",ISNUMBER(SEARCH($C$4,C636&amp;" "&amp;E636&amp;" "&amp;G636&amp;" "&amp;H636&amp;" "&amp;I636&amp;" "&amp;J636&amp;" "&amp;K636&amp;" "&amp;L636))),OR($C$5="Semua",$C$5="",G636=$C$5),OR($C$6="Semua",$C$6="",H636=$C$6,H636="Pengeluaran "&amp;$C$6,AND($C$6="Uang Kos Mama",H636="Pengeluaran Uang Kos")),OR($C$7="Semua",$C$7="",I636=$C$7),OR($C$8="Semua",$C$8="",C636=$C$8,E636=$C$8),OR($C$9="Semua",$C$9="",D636=$C$9),OR($C$10="",B636&gt;=$C$10),OR($C$11="",B636&lt;=$C$11),OR($C$12&lt;&gt;"Ya",K636&lt;&gt;""),OR($C$13="Semua",$C$13="",L636=$C$13)),"✓","")</f>
        <v/>
      </c>
      <c r="N636" s="93">
        <f>N(N635)+IF(M636="✓",1,0)</f>
        <v/>
      </c>
      <c r="O636" s="93">
        <f>N(O635)+IF(AND(B636&lt;&gt;"",B636&gt;='Uang Riba'!$H$30,B636&lt;='Uang Riba'!$I$30,OR(H636="Dana riba",H636="Pinjam uang riba",I636="Pinjam dari uang riba",I636="Ganti uang riba",I636="Kelebihan ganti dikembalikan",AND(C636="Kantong Uang Riba",G636="Pengeluaran"))),1,0)</f>
        <v/>
      </c>
      <c r="X636" s="93">
        <f>IF(AND(B636&lt;&gt;"",B636&gt;='Buku Akun'!$H$4,B636&lt;='Buku Akun'!$H$5,OR(C636='Buku Akun'!$C$4,AND(D636="Pindah",E636='Buku Akun'!$C$4))),B636+IF(AND(I636="Selisih bunga",DAY(B636)=1),0,0.01)+ROW()/10000000,"")</f>
        <v/>
      </c>
    </row>
    <row r="637" outlineLevel="1" ht="15" customHeight="1" s="94">
      <c r="A637" s="123">
        <f>IF(B637="","",ROW()-15)</f>
        <v/>
      </c>
      <c r="B637" s="124" t="n"/>
      <c r="C637" s="123" t="n"/>
      <c r="D637" s="123" t="n"/>
      <c r="E637" s="123" t="n"/>
      <c r="F637" s="125" t="n"/>
      <c r="G637" s="123" t="n"/>
      <c r="H637" s="123" t="n"/>
      <c r="I637" s="123" t="n"/>
      <c r="J637" s="123" t="n"/>
      <c r="K637" s="123" t="n"/>
      <c r="L637" s="123" t="n"/>
      <c r="M637" s="123">
        <f>IF(AND(B637&lt;&gt;"",OR($C$4="",ISNUMBER(SEARCH($C$4,C637&amp;" "&amp;E637&amp;" "&amp;G637&amp;" "&amp;H637&amp;" "&amp;I637&amp;" "&amp;J637&amp;" "&amp;K637&amp;" "&amp;L637))),OR($C$5="Semua",$C$5="",G637=$C$5),OR($C$6="Semua",$C$6="",H637=$C$6,H637="Pengeluaran "&amp;$C$6,AND($C$6="Uang Kos Mama",H637="Pengeluaran Uang Kos")),OR($C$7="Semua",$C$7="",I637=$C$7),OR($C$8="Semua",$C$8="",C637=$C$8,E637=$C$8),OR($C$9="Semua",$C$9="",D637=$C$9),OR($C$10="",B637&gt;=$C$10),OR($C$11="",B637&lt;=$C$11),OR($C$12&lt;&gt;"Ya",K637&lt;&gt;""),OR($C$13="Semua",$C$13="",L637=$C$13)),"✓","")</f>
        <v/>
      </c>
      <c r="N637" s="93">
        <f>N(N636)+IF(M637="✓",1,0)</f>
        <v/>
      </c>
      <c r="O637" s="93">
        <f>N(O636)+IF(AND(B637&lt;&gt;"",B637&gt;='Uang Riba'!$H$30,B637&lt;='Uang Riba'!$I$30,OR(H637="Dana riba",H637="Pinjam uang riba",I637="Pinjam dari uang riba",I637="Ganti uang riba",I637="Kelebihan ganti dikembalikan",AND(C637="Kantong Uang Riba",G637="Pengeluaran"))),1,0)</f>
        <v/>
      </c>
      <c r="X637" s="93">
        <f>IF(AND(B637&lt;&gt;"",B637&gt;='Buku Akun'!$H$4,B637&lt;='Buku Akun'!$H$5,OR(C637='Buku Akun'!$C$4,AND(D637="Pindah",E637='Buku Akun'!$C$4))),B637+IF(AND(I637="Selisih bunga",DAY(B637)=1),0,0.01)+ROW()/10000000,"")</f>
        <v/>
      </c>
    </row>
    <row r="638" outlineLevel="1" ht="15" customHeight="1" s="94">
      <c r="A638" s="123">
        <f>IF(B638="","",ROW()-15)</f>
        <v/>
      </c>
      <c r="B638" s="124" t="n"/>
      <c r="C638" s="123" t="n"/>
      <c r="D638" s="123" t="n"/>
      <c r="E638" s="123" t="n"/>
      <c r="F638" s="125" t="n"/>
      <c r="G638" s="123" t="n"/>
      <c r="H638" s="123" t="n"/>
      <c r="I638" s="123" t="n"/>
      <c r="J638" s="123" t="n"/>
      <c r="K638" s="123" t="n"/>
      <c r="L638" s="123" t="n"/>
      <c r="M638" s="123">
        <f>IF(AND(B638&lt;&gt;"",OR($C$4="",ISNUMBER(SEARCH($C$4,C638&amp;" "&amp;E638&amp;" "&amp;G638&amp;" "&amp;H638&amp;" "&amp;I638&amp;" "&amp;J638&amp;" "&amp;K638&amp;" "&amp;L638))),OR($C$5="Semua",$C$5="",G638=$C$5),OR($C$6="Semua",$C$6="",H638=$C$6,H638="Pengeluaran "&amp;$C$6,AND($C$6="Uang Kos Mama",H638="Pengeluaran Uang Kos")),OR($C$7="Semua",$C$7="",I638=$C$7),OR($C$8="Semua",$C$8="",C638=$C$8,E638=$C$8),OR($C$9="Semua",$C$9="",D638=$C$9),OR($C$10="",B638&gt;=$C$10),OR($C$11="",B638&lt;=$C$11),OR($C$12&lt;&gt;"Ya",K638&lt;&gt;""),OR($C$13="Semua",$C$13="",L638=$C$13)),"✓","")</f>
        <v/>
      </c>
      <c r="N638" s="93">
        <f>N(N637)+IF(M638="✓",1,0)</f>
        <v/>
      </c>
      <c r="O638" s="93">
        <f>N(O637)+IF(AND(B638&lt;&gt;"",B638&gt;='Uang Riba'!$H$30,B638&lt;='Uang Riba'!$I$30,OR(H638="Dana riba",H638="Pinjam uang riba",I638="Pinjam dari uang riba",I638="Ganti uang riba",I638="Kelebihan ganti dikembalikan",AND(C638="Kantong Uang Riba",G638="Pengeluaran"))),1,0)</f>
        <v/>
      </c>
      <c r="X638" s="93">
        <f>IF(AND(B638&lt;&gt;"",B638&gt;='Buku Akun'!$H$4,B638&lt;='Buku Akun'!$H$5,OR(C638='Buku Akun'!$C$4,AND(D638="Pindah",E638='Buku Akun'!$C$4))),B638+IF(AND(I638="Selisih bunga",DAY(B638)=1),0,0.01)+ROW()/10000000,"")</f>
        <v/>
      </c>
    </row>
    <row r="639" outlineLevel="1" ht="15" customHeight="1" s="94">
      <c r="A639" s="123">
        <f>IF(B639="","",ROW()-15)</f>
        <v/>
      </c>
      <c r="B639" s="124" t="n"/>
      <c r="C639" s="123" t="n"/>
      <c r="D639" s="123" t="n"/>
      <c r="E639" s="123" t="n"/>
      <c r="F639" s="125" t="n"/>
      <c r="G639" s="123" t="n"/>
      <c r="H639" s="123" t="n"/>
      <c r="I639" s="123" t="n"/>
      <c r="J639" s="123" t="n"/>
      <c r="K639" s="123" t="n"/>
      <c r="L639" s="123" t="n"/>
      <c r="M639" s="123">
        <f>IF(AND(B639&lt;&gt;"",OR($C$4="",ISNUMBER(SEARCH($C$4,C639&amp;" "&amp;E639&amp;" "&amp;G639&amp;" "&amp;H639&amp;" "&amp;I639&amp;" "&amp;J639&amp;" "&amp;K639&amp;" "&amp;L639))),OR($C$5="Semua",$C$5="",G639=$C$5),OR($C$6="Semua",$C$6="",H639=$C$6,H639="Pengeluaran "&amp;$C$6,AND($C$6="Uang Kos Mama",H639="Pengeluaran Uang Kos")),OR($C$7="Semua",$C$7="",I639=$C$7),OR($C$8="Semua",$C$8="",C639=$C$8,E639=$C$8),OR($C$9="Semua",$C$9="",D639=$C$9),OR($C$10="",B639&gt;=$C$10),OR($C$11="",B639&lt;=$C$11),OR($C$12&lt;&gt;"Ya",K639&lt;&gt;""),OR($C$13="Semua",$C$13="",L639=$C$13)),"✓","")</f>
        <v/>
      </c>
      <c r="N639" s="93">
        <f>N(N638)+IF(M639="✓",1,0)</f>
        <v/>
      </c>
      <c r="O639" s="93">
        <f>N(O638)+IF(AND(B639&lt;&gt;"",B639&gt;='Uang Riba'!$H$30,B639&lt;='Uang Riba'!$I$30,OR(H639="Dana riba",H639="Pinjam uang riba",I639="Pinjam dari uang riba",I639="Ganti uang riba",I639="Kelebihan ganti dikembalikan",AND(C639="Kantong Uang Riba",G639="Pengeluaran"))),1,0)</f>
        <v/>
      </c>
      <c r="X639" s="93">
        <f>IF(AND(B639&lt;&gt;"",B639&gt;='Buku Akun'!$H$4,B639&lt;='Buku Akun'!$H$5,OR(C639='Buku Akun'!$C$4,AND(D639="Pindah",E639='Buku Akun'!$C$4))),B639+IF(AND(I639="Selisih bunga",DAY(B639)=1),0,0.01)+ROW()/10000000,"")</f>
        <v/>
      </c>
    </row>
    <row r="640" outlineLevel="1" ht="15" customHeight="1" s="94">
      <c r="A640" s="123">
        <f>IF(B640="","",ROW()-15)</f>
        <v/>
      </c>
      <c r="B640" s="124" t="n"/>
      <c r="C640" s="123" t="n"/>
      <c r="D640" s="123" t="n"/>
      <c r="E640" s="123" t="n"/>
      <c r="F640" s="125" t="n"/>
      <c r="G640" s="123" t="n"/>
      <c r="H640" s="123" t="n"/>
      <c r="I640" s="123" t="n"/>
      <c r="J640" s="123" t="n"/>
      <c r="K640" s="123" t="n"/>
      <c r="L640" s="123" t="n"/>
      <c r="M640" s="123">
        <f>IF(AND(B640&lt;&gt;"",OR($C$4="",ISNUMBER(SEARCH($C$4,C640&amp;" "&amp;E640&amp;" "&amp;G640&amp;" "&amp;H640&amp;" "&amp;I640&amp;" "&amp;J640&amp;" "&amp;K640&amp;" "&amp;L640))),OR($C$5="Semua",$C$5="",G640=$C$5),OR($C$6="Semua",$C$6="",H640=$C$6,H640="Pengeluaran "&amp;$C$6,AND($C$6="Uang Kos Mama",H640="Pengeluaran Uang Kos")),OR($C$7="Semua",$C$7="",I640=$C$7),OR($C$8="Semua",$C$8="",C640=$C$8,E640=$C$8),OR($C$9="Semua",$C$9="",D640=$C$9),OR($C$10="",B640&gt;=$C$10),OR($C$11="",B640&lt;=$C$11),OR($C$12&lt;&gt;"Ya",K640&lt;&gt;""),OR($C$13="Semua",$C$13="",L640=$C$13)),"✓","")</f>
        <v/>
      </c>
      <c r="N640" s="93">
        <f>N(N639)+IF(M640="✓",1,0)</f>
        <v/>
      </c>
      <c r="O640" s="93">
        <f>N(O639)+IF(AND(B640&lt;&gt;"",B640&gt;='Uang Riba'!$H$30,B640&lt;='Uang Riba'!$I$30,OR(H640="Dana riba",H640="Pinjam uang riba",I640="Pinjam dari uang riba",I640="Ganti uang riba",I640="Kelebihan ganti dikembalikan",AND(C640="Kantong Uang Riba",G640="Pengeluaran"))),1,0)</f>
        <v/>
      </c>
      <c r="X640" s="93">
        <f>IF(AND(B640&lt;&gt;"",B640&gt;='Buku Akun'!$H$4,B640&lt;='Buku Akun'!$H$5,OR(C640='Buku Akun'!$C$4,AND(D640="Pindah",E640='Buku Akun'!$C$4))),B640+IF(AND(I640="Selisih bunga",DAY(B640)=1),0,0.01)+ROW()/10000000,"")</f>
        <v/>
      </c>
    </row>
    <row r="641" outlineLevel="1" ht="15" customHeight="1" s="94">
      <c r="A641" s="123">
        <f>IF(B641="","",ROW()-15)</f>
        <v/>
      </c>
      <c r="B641" s="124" t="n"/>
      <c r="C641" s="123" t="n"/>
      <c r="D641" s="123" t="n"/>
      <c r="E641" s="123" t="n"/>
      <c r="F641" s="125" t="n"/>
      <c r="G641" s="123" t="n"/>
      <c r="H641" s="123" t="n"/>
      <c r="I641" s="123" t="n"/>
      <c r="J641" s="123" t="n"/>
      <c r="K641" s="123" t="n"/>
      <c r="L641" s="123" t="n"/>
      <c r="M641" s="123">
        <f>IF(AND(B641&lt;&gt;"",OR($C$4="",ISNUMBER(SEARCH($C$4,C641&amp;" "&amp;E641&amp;" "&amp;G641&amp;" "&amp;H641&amp;" "&amp;I641&amp;" "&amp;J641&amp;" "&amp;K641&amp;" "&amp;L641))),OR($C$5="Semua",$C$5="",G641=$C$5),OR($C$6="Semua",$C$6="",H641=$C$6,H641="Pengeluaran "&amp;$C$6,AND($C$6="Uang Kos Mama",H641="Pengeluaran Uang Kos")),OR($C$7="Semua",$C$7="",I641=$C$7),OR($C$8="Semua",$C$8="",C641=$C$8,E641=$C$8),OR($C$9="Semua",$C$9="",D641=$C$9),OR($C$10="",B641&gt;=$C$10),OR($C$11="",B641&lt;=$C$11),OR($C$12&lt;&gt;"Ya",K641&lt;&gt;""),OR($C$13="Semua",$C$13="",L641=$C$13)),"✓","")</f>
        <v/>
      </c>
      <c r="N641" s="93">
        <f>N(N640)+IF(M641="✓",1,0)</f>
        <v/>
      </c>
      <c r="O641" s="93">
        <f>N(O640)+IF(AND(B641&lt;&gt;"",B641&gt;='Uang Riba'!$H$30,B641&lt;='Uang Riba'!$I$30,OR(H641="Dana riba",H641="Pinjam uang riba",I641="Pinjam dari uang riba",I641="Ganti uang riba",I641="Kelebihan ganti dikembalikan",AND(C641="Kantong Uang Riba",G641="Pengeluaran"))),1,0)</f>
        <v/>
      </c>
      <c r="X641" s="93">
        <f>IF(AND(B641&lt;&gt;"",B641&gt;='Buku Akun'!$H$4,B641&lt;='Buku Akun'!$H$5,OR(C641='Buku Akun'!$C$4,AND(D641="Pindah",E641='Buku Akun'!$C$4))),B641+IF(AND(I641="Selisih bunga",DAY(B641)=1),0,0.01)+ROW()/10000000,"")</f>
        <v/>
      </c>
    </row>
    <row r="642" outlineLevel="1" ht="15" customHeight="1" s="94">
      <c r="A642" s="123">
        <f>IF(B642="","",ROW()-15)</f>
        <v/>
      </c>
      <c r="B642" s="124" t="n"/>
      <c r="C642" s="123" t="n"/>
      <c r="D642" s="123" t="n"/>
      <c r="E642" s="123" t="n"/>
      <c r="F642" s="125" t="n"/>
      <c r="G642" s="123" t="n"/>
      <c r="H642" s="123" t="n"/>
      <c r="I642" s="123" t="n"/>
      <c r="J642" s="123" t="n"/>
      <c r="K642" s="123" t="n"/>
      <c r="L642" s="123" t="n"/>
      <c r="M642" s="123">
        <f>IF(AND(B642&lt;&gt;"",OR($C$4="",ISNUMBER(SEARCH($C$4,C642&amp;" "&amp;E642&amp;" "&amp;G642&amp;" "&amp;H642&amp;" "&amp;I642&amp;" "&amp;J642&amp;" "&amp;K642&amp;" "&amp;L642))),OR($C$5="Semua",$C$5="",G642=$C$5),OR($C$6="Semua",$C$6="",H642=$C$6,H642="Pengeluaran "&amp;$C$6,AND($C$6="Uang Kos Mama",H642="Pengeluaran Uang Kos")),OR($C$7="Semua",$C$7="",I642=$C$7),OR($C$8="Semua",$C$8="",C642=$C$8,E642=$C$8),OR($C$9="Semua",$C$9="",D642=$C$9),OR($C$10="",B642&gt;=$C$10),OR($C$11="",B642&lt;=$C$11),OR($C$12&lt;&gt;"Ya",K642&lt;&gt;""),OR($C$13="Semua",$C$13="",L642=$C$13)),"✓","")</f>
        <v/>
      </c>
      <c r="N642" s="93">
        <f>N(N641)+IF(M642="✓",1,0)</f>
        <v/>
      </c>
      <c r="O642" s="93">
        <f>N(O641)+IF(AND(B642&lt;&gt;"",B642&gt;='Uang Riba'!$H$30,B642&lt;='Uang Riba'!$I$30,OR(H642="Dana riba",H642="Pinjam uang riba",I642="Pinjam dari uang riba",I642="Ganti uang riba",I642="Kelebihan ganti dikembalikan",AND(C642="Kantong Uang Riba",G642="Pengeluaran"))),1,0)</f>
        <v/>
      </c>
      <c r="X642" s="93">
        <f>IF(AND(B642&lt;&gt;"",B642&gt;='Buku Akun'!$H$4,B642&lt;='Buku Akun'!$H$5,OR(C642='Buku Akun'!$C$4,AND(D642="Pindah",E642='Buku Akun'!$C$4))),B642+IF(AND(I642="Selisih bunga",DAY(B642)=1),0,0.01)+ROW()/10000000,"")</f>
        <v/>
      </c>
    </row>
    <row r="643" outlineLevel="1" ht="15" customHeight="1" s="94">
      <c r="A643" s="123">
        <f>IF(B643="","",ROW()-15)</f>
        <v/>
      </c>
      <c r="B643" s="124" t="n"/>
      <c r="C643" s="123" t="n"/>
      <c r="D643" s="123" t="n"/>
      <c r="E643" s="123" t="n"/>
      <c r="F643" s="125" t="n"/>
      <c r="G643" s="123" t="n"/>
      <c r="H643" s="123" t="n"/>
      <c r="I643" s="123" t="n"/>
      <c r="J643" s="123" t="n"/>
      <c r="K643" s="123" t="n"/>
      <c r="L643" s="123" t="n"/>
      <c r="M643" s="123">
        <f>IF(AND(B643&lt;&gt;"",OR($C$4="",ISNUMBER(SEARCH($C$4,C643&amp;" "&amp;E643&amp;" "&amp;G643&amp;" "&amp;H643&amp;" "&amp;I643&amp;" "&amp;J643&amp;" "&amp;K643&amp;" "&amp;L643))),OR($C$5="Semua",$C$5="",G643=$C$5),OR($C$6="Semua",$C$6="",H643=$C$6,H643="Pengeluaran "&amp;$C$6,AND($C$6="Uang Kos Mama",H643="Pengeluaran Uang Kos")),OR($C$7="Semua",$C$7="",I643=$C$7),OR($C$8="Semua",$C$8="",C643=$C$8,E643=$C$8),OR($C$9="Semua",$C$9="",D643=$C$9),OR($C$10="",B643&gt;=$C$10),OR($C$11="",B643&lt;=$C$11),OR($C$12&lt;&gt;"Ya",K643&lt;&gt;""),OR($C$13="Semua",$C$13="",L643=$C$13)),"✓","")</f>
        <v/>
      </c>
      <c r="N643" s="93">
        <f>N(N642)+IF(M643="✓",1,0)</f>
        <v/>
      </c>
      <c r="O643" s="93">
        <f>N(O642)+IF(AND(B643&lt;&gt;"",B643&gt;='Uang Riba'!$H$30,B643&lt;='Uang Riba'!$I$30,OR(H643="Dana riba",H643="Pinjam uang riba",I643="Pinjam dari uang riba",I643="Ganti uang riba",I643="Kelebihan ganti dikembalikan",AND(C643="Kantong Uang Riba",G643="Pengeluaran"))),1,0)</f>
        <v/>
      </c>
      <c r="X643" s="93">
        <f>IF(AND(B643&lt;&gt;"",B643&gt;='Buku Akun'!$H$4,B643&lt;='Buku Akun'!$H$5,OR(C643='Buku Akun'!$C$4,AND(D643="Pindah",E643='Buku Akun'!$C$4))),B643+IF(AND(I643="Selisih bunga",DAY(B643)=1),0,0.01)+ROW()/10000000,"")</f>
        <v/>
      </c>
    </row>
    <row r="644" outlineLevel="1" ht="15" customHeight="1" s="94">
      <c r="A644" s="123">
        <f>IF(B644="","",ROW()-15)</f>
        <v/>
      </c>
      <c r="B644" s="124" t="n"/>
      <c r="C644" s="123" t="n"/>
      <c r="D644" s="123" t="n"/>
      <c r="E644" s="123" t="n"/>
      <c r="F644" s="125" t="n"/>
      <c r="G644" s="123" t="n"/>
      <c r="H644" s="123" t="n"/>
      <c r="I644" s="123" t="n"/>
      <c r="J644" s="123" t="n"/>
      <c r="K644" s="123" t="n"/>
      <c r="L644" s="123" t="n"/>
      <c r="M644" s="123">
        <f>IF(AND(B644&lt;&gt;"",OR($C$4="",ISNUMBER(SEARCH($C$4,C644&amp;" "&amp;E644&amp;" "&amp;G644&amp;" "&amp;H644&amp;" "&amp;I644&amp;" "&amp;J644&amp;" "&amp;K644&amp;" "&amp;L644))),OR($C$5="Semua",$C$5="",G644=$C$5),OR($C$6="Semua",$C$6="",H644=$C$6,H644="Pengeluaran "&amp;$C$6,AND($C$6="Uang Kos Mama",H644="Pengeluaran Uang Kos")),OR($C$7="Semua",$C$7="",I644=$C$7),OR($C$8="Semua",$C$8="",C644=$C$8,E644=$C$8),OR($C$9="Semua",$C$9="",D644=$C$9),OR($C$10="",B644&gt;=$C$10),OR($C$11="",B644&lt;=$C$11),OR($C$12&lt;&gt;"Ya",K644&lt;&gt;""),OR($C$13="Semua",$C$13="",L644=$C$13)),"✓","")</f>
        <v/>
      </c>
      <c r="N644" s="93">
        <f>N(N643)+IF(M644="✓",1,0)</f>
        <v/>
      </c>
      <c r="O644" s="93">
        <f>N(O643)+IF(AND(B644&lt;&gt;"",B644&gt;='Uang Riba'!$H$30,B644&lt;='Uang Riba'!$I$30,OR(H644="Dana riba",H644="Pinjam uang riba",I644="Pinjam dari uang riba",I644="Ganti uang riba",I644="Kelebihan ganti dikembalikan",AND(C644="Kantong Uang Riba",G644="Pengeluaran"))),1,0)</f>
        <v/>
      </c>
      <c r="X644" s="93">
        <f>IF(AND(B644&lt;&gt;"",B644&gt;='Buku Akun'!$H$4,B644&lt;='Buku Akun'!$H$5,OR(C644='Buku Akun'!$C$4,AND(D644="Pindah",E644='Buku Akun'!$C$4))),B644+IF(AND(I644="Selisih bunga",DAY(B644)=1),0,0.01)+ROW()/10000000,"")</f>
        <v/>
      </c>
    </row>
    <row r="645" outlineLevel="1" ht="15" customHeight="1" s="94">
      <c r="A645" s="123">
        <f>IF(B645="","",ROW()-15)</f>
        <v/>
      </c>
      <c r="B645" s="124" t="n"/>
      <c r="C645" s="123" t="n"/>
      <c r="D645" s="123" t="n"/>
      <c r="E645" s="123" t="n"/>
      <c r="F645" s="125" t="n"/>
      <c r="G645" s="123" t="n"/>
      <c r="H645" s="123" t="n"/>
      <c r="I645" s="123" t="n"/>
      <c r="J645" s="123" t="n"/>
      <c r="K645" s="123" t="n"/>
      <c r="L645" s="123" t="n"/>
      <c r="M645" s="123">
        <f>IF(AND(B645&lt;&gt;"",OR($C$4="",ISNUMBER(SEARCH($C$4,C645&amp;" "&amp;E645&amp;" "&amp;G645&amp;" "&amp;H645&amp;" "&amp;I645&amp;" "&amp;J645&amp;" "&amp;K645&amp;" "&amp;L645))),OR($C$5="Semua",$C$5="",G645=$C$5),OR($C$6="Semua",$C$6="",H645=$C$6,H645="Pengeluaran "&amp;$C$6,AND($C$6="Uang Kos Mama",H645="Pengeluaran Uang Kos")),OR($C$7="Semua",$C$7="",I645=$C$7),OR($C$8="Semua",$C$8="",C645=$C$8,E645=$C$8),OR($C$9="Semua",$C$9="",D645=$C$9),OR($C$10="",B645&gt;=$C$10),OR($C$11="",B645&lt;=$C$11),OR($C$12&lt;&gt;"Ya",K645&lt;&gt;""),OR($C$13="Semua",$C$13="",L645=$C$13)),"✓","")</f>
        <v/>
      </c>
      <c r="N645" s="93">
        <f>N(N644)+IF(M645="✓",1,0)</f>
        <v/>
      </c>
      <c r="O645" s="93">
        <f>N(O644)+IF(AND(B645&lt;&gt;"",B645&gt;='Uang Riba'!$H$30,B645&lt;='Uang Riba'!$I$30,OR(H645="Dana riba",H645="Pinjam uang riba",I645="Pinjam dari uang riba",I645="Ganti uang riba",I645="Kelebihan ganti dikembalikan",AND(C645="Kantong Uang Riba",G645="Pengeluaran"))),1,0)</f>
        <v/>
      </c>
      <c r="X645" s="93">
        <f>IF(AND(B645&lt;&gt;"",B645&gt;='Buku Akun'!$H$4,B645&lt;='Buku Akun'!$H$5,OR(C645='Buku Akun'!$C$4,AND(D645="Pindah",E645='Buku Akun'!$C$4))),B645+IF(AND(I645="Selisih bunga",DAY(B645)=1),0,0.01)+ROW()/10000000,"")</f>
        <v/>
      </c>
    </row>
    <row r="646" outlineLevel="1" ht="15" customHeight="1" s="94">
      <c r="A646" s="123">
        <f>IF(B646="","",ROW()-15)</f>
        <v/>
      </c>
      <c r="B646" s="124" t="n"/>
      <c r="C646" s="123" t="n"/>
      <c r="D646" s="123" t="n"/>
      <c r="E646" s="123" t="n"/>
      <c r="F646" s="125" t="n"/>
      <c r="G646" s="123" t="n"/>
      <c r="H646" s="123" t="n"/>
      <c r="I646" s="123" t="n"/>
      <c r="J646" s="123" t="n"/>
      <c r="K646" s="123" t="n"/>
      <c r="L646" s="123" t="n"/>
      <c r="M646" s="123">
        <f>IF(AND(B646&lt;&gt;"",OR($C$4="",ISNUMBER(SEARCH($C$4,C646&amp;" "&amp;E646&amp;" "&amp;G646&amp;" "&amp;H646&amp;" "&amp;I646&amp;" "&amp;J646&amp;" "&amp;K646&amp;" "&amp;L646))),OR($C$5="Semua",$C$5="",G646=$C$5),OR($C$6="Semua",$C$6="",H646=$C$6,H646="Pengeluaran "&amp;$C$6,AND($C$6="Uang Kos Mama",H646="Pengeluaran Uang Kos")),OR($C$7="Semua",$C$7="",I646=$C$7),OR($C$8="Semua",$C$8="",C646=$C$8,E646=$C$8),OR($C$9="Semua",$C$9="",D646=$C$9),OR($C$10="",B646&gt;=$C$10),OR($C$11="",B646&lt;=$C$11),OR($C$12&lt;&gt;"Ya",K646&lt;&gt;""),OR($C$13="Semua",$C$13="",L646=$C$13)),"✓","")</f>
        <v/>
      </c>
      <c r="N646" s="93">
        <f>N(N645)+IF(M646="✓",1,0)</f>
        <v/>
      </c>
      <c r="O646" s="93">
        <f>N(O645)+IF(AND(B646&lt;&gt;"",B646&gt;='Uang Riba'!$H$30,B646&lt;='Uang Riba'!$I$30,OR(H646="Dana riba",H646="Pinjam uang riba",I646="Pinjam dari uang riba",I646="Ganti uang riba",I646="Kelebihan ganti dikembalikan",AND(C646="Kantong Uang Riba",G646="Pengeluaran"))),1,0)</f>
        <v/>
      </c>
      <c r="X646" s="93">
        <f>IF(AND(B646&lt;&gt;"",B646&gt;='Buku Akun'!$H$4,B646&lt;='Buku Akun'!$H$5,OR(C646='Buku Akun'!$C$4,AND(D646="Pindah",E646='Buku Akun'!$C$4))),B646+IF(AND(I646="Selisih bunga",DAY(B646)=1),0,0.01)+ROW()/10000000,"")</f>
        <v/>
      </c>
    </row>
    <row r="647" outlineLevel="1" ht="15" customHeight="1" s="94">
      <c r="A647" s="123">
        <f>IF(B647="","",ROW()-15)</f>
        <v/>
      </c>
      <c r="B647" s="124" t="n"/>
      <c r="C647" s="123" t="n"/>
      <c r="D647" s="123" t="n"/>
      <c r="E647" s="123" t="n"/>
      <c r="F647" s="125" t="n"/>
      <c r="G647" s="123" t="n"/>
      <c r="H647" s="123" t="n"/>
      <c r="I647" s="123" t="n"/>
      <c r="J647" s="123" t="n"/>
      <c r="K647" s="123" t="n"/>
      <c r="L647" s="123" t="n"/>
      <c r="M647" s="123">
        <f>IF(AND(B647&lt;&gt;"",OR($C$4="",ISNUMBER(SEARCH($C$4,C647&amp;" "&amp;E647&amp;" "&amp;G647&amp;" "&amp;H647&amp;" "&amp;I647&amp;" "&amp;J647&amp;" "&amp;K647&amp;" "&amp;L647))),OR($C$5="Semua",$C$5="",G647=$C$5),OR($C$6="Semua",$C$6="",H647=$C$6,H647="Pengeluaran "&amp;$C$6,AND($C$6="Uang Kos Mama",H647="Pengeluaran Uang Kos")),OR($C$7="Semua",$C$7="",I647=$C$7),OR($C$8="Semua",$C$8="",C647=$C$8,E647=$C$8),OR($C$9="Semua",$C$9="",D647=$C$9),OR($C$10="",B647&gt;=$C$10),OR($C$11="",B647&lt;=$C$11),OR($C$12&lt;&gt;"Ya",K647&lt;&gt;""),OR($C$13="Semua",$C$13="",L647=$C$13)),"✓","")</f>
        <v/>
      </c>
      <c r="N647" s="93">
        <f>N(N646)+IF(M647="✓",1,0)</f>
        <v/>
      </c>
      <c r="O647" s="93">
        <f>N(O646)+IF(AND(B647&lt;&gt;"",B647&gt;='Uang Riba'!$H$30,B647&lt;='Uang Riba'!$I$30,OR(H647="Dana riba",H647="Pinjam uang riba",I647="Pinjam dari uang riba",I647="Ganti uang riba",I647="Kelebihan ganti dikembalikan",AND(C647="Kantong Uang Riba",G647="Pengeluaran"))),1,0)</f>
        <v/>
      </c>
      <c r="X647" s="93">
        <f>IF(AND(B647&lt;&gt;"",B647&gt;='Buku Akun'!$H$4,B647&lt;='Buku Akun'!$H$5,OR(C647='Buku Akun'!$C$4,AND(D647="Pindah",E647='Buku Akun'!$C$4))),B647+IF(AND(I647="Selisih bunga",DAY(B647)=1),0,0.01)+ROW()/10000000,"")</f>
        <v/>
      </c>
    </row>
    <row r="648" outlineLevel="1" ht="15" customHeight="1" s="94">
      <c r="A648" s="123">
        <f>IF(B648="","",ROW()-15)</f>
        <v/>
      </c>
      <c r="B648" s="124" t="n"/>
      <c r="C648" s="123" t="n"/>
      <c r="D648" s="123" t="n"/>
      <c r="E648" s="123" t="n"/>
      <c r="F648" s="125" t="n"/>
      <c r="G648" s="123" t="n"/>
      <c r="H648" s="123" t="n"/>
      <c r="I648" s="123" t="n"/>
      <c r="J648" s="123" t="n"/>
      <c r="K648" s="123" t="n"/>
      <c r="L648" s="123" t="n"/>
      <c r="M648" s="123">
        <f>IF(AND(B648&lt;&gt;"",OR($C$4="",ISNUMBER(SEARCH($C$4,C648&amp;" "&amp;E648&amp;" "&amp;G648&amp;" "&amp;H648&amp;" "&amp;I648&amp;" "&amp;J648&amp;" "&amp;K648&amp;" "&amp;L648))),OR($C$5="Semua",$C$5="",G648=$C$5),OR($C$6="Semua",$C$6="",H648=$C$6,H648="Pengeluaran "&amp;$C$6,AND($C$6="Uang Kos Mama",H648="Pengeluaran Uang Kos")),OR($C$7="Semua",$C$7="",I648=$C$7),OR($C$8="Semua",$C$8="",C648=$C$8,E648=$C$8),OR($C$9="Semua",$C$9="",D648=$C$9),OR($C$10="",B648&gt;=$C$10),OR($C$11="",B648&lt;=$C$11),OR($C$12&lt;&gt;"Ya",K648&lt;&gt;""),OR($C$13="Semua",$C$13="",L648=$C$13)),"✓","")</f>
        <v/>
      </c>
      <c r="N648" s="93">
        <f>N(N647)+IF(M648="✓",1,0)</f>
        <v/>
      </c>
      <c r="O648" s="93">
        <f>N(O647)+IF(AND(B648&lt;&gt;"",B648&gt;='Uang Riba'!$H$30,B648&lt;='Uang Riba'!$I$30,OR(H648="Dana riba",H648="Pinjam uang riba",I648="Pinjam dari uang riba",I648="Ganti uang riba",I648="Kelebihan ganti dikembalikan",AND(C648="Kantong Uang Riba",G648="Pengeluaran"))),1,0)</f>
        <v/>
      </c>
      <c r="X648" s="93">
        <f>IF(AND(B648&lt;&gt;"",B648&gt;='Buku Akun'!$H$4,B648&lt;='Buku Akun'!$H$5,OR(C648='Buku Akun'!$C$4,AND(D648="Pindah",E648='Buku Akun'!$C$4))),B648+IF(AND(I648="Selisih bunga",DAY(B648)=1),0,0.01)+ROW()/10000000,"")</f>
        <v/>
      </c>
    </row>
    <row r="649" outlineLevel="1" ht="15" customHeight="1" s="94">
      <c r="A649" s="123">
        <f>IF(B649="","",ROW()-15)</f>
        <v/>
      </c>
      <c r="B649" s="124" t="n"/>
      <c r="C649" s="123" t="n"/>
      <c r="D649" s="123" t="n"/>
      <c r="E649" s="123" t="n"/>
      <c r="F649" s="125" t="n"/>
      <c r="G649" s="123" t="n"/>
      <c r="H649" s="123" t="n"/>
      <c r="I649" s="123" t="n"/>
      <c r="J649" s="123" t="n"/>
      <c r="K649" s="123" t="n"/>
      <c r="L649" s="123" t="n"/>
      <c r="M649" s="123">
        <f>IF(AND(B649&lt;&gt;"",OR($C$4="",ISNUMBER(SEARCH($C$4,C649&amp;" "&amp;E649&amp;" "&amp;G649&amp;" "&amp;H649&amp;" "&amp;I649&amp;" "&amp;J649&amp;" "&amp;K649&amp;" "&amp;L649))),OR($C$5="Semua",$C$5="",G649=$C$5),OR($C$6="Semua",$C$6="",H649=$C$6,H649="Pengeluaran "&amp;$C$6,AND($C$6="Uang Kos Mama",H649="Pengeluaran Uang Kos")),OR($C$7="Semua",$C$7="",I649=$C$7),OR($C$8="Semua",$C$8="",C649=$C$8,E649=$C$8),OR($C$9="Semua",$C$9="",D649=$C$9),OR($C$10="",B649&gt;=$C$10),OR($C$11="",B649&lt;=$C$11),OR($C$12&lt;&gt;"Ya",K649&lt;&gt;""),OR($C$13="Semua",$C$13="",L649=$C$13)),"✓","")</f>
        <v/>
      </c>
      <c r="N649" s="93">
        <f>N(N648)+IF(M649="✓",1,0)</f>
        <v/>
      </c>
      <c r="O649" s="93">
        <f>N(O648)+IF(AND(B649&lt;&gt;"",B649&gt;='Uang Riba'!$H$30,B649&lt;='Uang Riba'!$I$30,OR(H649="Dana riba",H649="Pinjam uang riba",I649="Pinjam dari uang riba",I649="Ganti uang riba",I649="Kelebihan ganti dikembalikan",AND(C649="Kantong Uang Riba",G649="Pengeluaran"))),1,0)</f>
        <v/>
      </c>
      <c r="X649" s="93">
        <f>IF(AND(B649&lt;&gt;"",B649&gt;='Buku Akun'!$H$4,B649&lt;='Buku Akun'!$H$5,OR(C649='Buku Akun'!$C$4,AND(D649="Pindah",E649='Buku Akun'!$C$4))),B649+IF(AND(I649="Selisih bunga",DAY(B649)=1),0,0.01)+ROW()/10000000,"")</f>
        <v/>
      </c>
    </row>
    <row r="650" outlineLevel="1" ht="15" customHeight="1" s="94">
      <c r="A650" s="123">
        <f>IF(B650="","",ROW()-15)</f>
        <v/>
      </c>
      <c r="B650" s="124" t="n"/>
      <c r="C650" s="123" t="n"/>
      <c r="D650" s="123" t="n"/>
      <c r="E650" s="123" t="n"/>
      <c r="F650" s="125" t="n"/>
      <c r="G650" s="123" t="n"/>
      <c r="H650" s="123" t="n"/>
      <c r="I650" s="123" t="n"/>
      <c r="J650" s="123" t="n"/>
      <c r="K650" s="123" t="n"/>
      <c r="L650" s="123" t="n"/>
      <c r="M650" s="123">
        <f>IF(AND(B650&lt;&gt;"",OR($C$4="",ISNUMBER(SEARCH($C$4,C650&amp;" "&amp;E650&amp;" "&amp;G650&amp;" "&amp;H650&amp;" "&amp;I650&amp;" "&amp;J650&amp;" "&amp;K650&amp;" "&amp;L650))),OR($C$5="Semua",$C$5="",G650=$C$5),OR($C$6="Semua",$C$6="",H650=$C$6,H650="Pengeluaran "&amp;$C$6,AND($C$6="Uang Kos Mama",H650="Pengeluaran Uang Kos")),OR($C$7="Semua",$C$7="",I650=$C$7),OR($C$8="Semua",$C$8="",C650=$C$8,E650=$C$8),OR($C$9="Semua",$C$9="",D650=$C$9),OR($C$10="",B650&gt;=$C$10),OR($C$11="",B650&lt;=$C$11),OR($C$12&lt;&gt;"Ya",K650&lt;&gt;""),OR($C$13="Semua",$C$13="",L650=$C$13)),"✓","")</f>
        <v/>
      </c>
      <c r="N650" s="93">
        <f>N(N649)+IF(M650="✓",1,0)</f>
        <v/>
      </c>
      <c r="O650" s="93">
        <f>N(O649)+IF(AND(B650&lt;&gt;"",B650&gt;='Uang Riba'!$H$30,B650&lt;='Uang Riba'!$I$30,OR(H650="Dana riba",H650="Pinjam uang riba",I650="Pinjam dari uang riba",I650="Ganti uang riba",I650="Kelebihan ganti dikembalikan",AND(C650="Kantong Uang Riba",G650="Pengeluaran"))),1,0)</f>
        <v/>
      </c>
      <c r="X650" s="93">
        <f>IF(AND(B650&lt;&gt;"",B650&gt;='Buku Akun'!$H$4,B650&lt;='Buku Akun'!$H$5,OR(C650='Buku Akun'!$C$4,AND(D650="Pindah",E650='Buku Akun'!$C$4))),B650+IF(AND(I650="Selisih bunga",DAY(B650)=1),0,0.01)+ROW()/10000000,"")</f>
        <v/>
      </c>
    </row>
    <row r="651" outlineLevel="1" ht="15" customHeight="1" s="94">
      <c r="A651" s="123">
        <f>IF(B651="","",ROW()-15)</f>
        <v/>
      </c>
      <c r="B651" s="124" t="n"/>
      <c r="C651" s="123" t="n"/>
      <c r="D651" s="123" t="n"/>
      <c r="E651" s="123" t="n"/>
      <c r="F651" s="125" t="n"/>
      <c r="G651" s="123" t="n"/>
      <c r="H651" s="123" t="n"/>
      <c r="I651" s="123" t="n"/>
      <c r="J651" s="123" t="n"/>
      <c r="K651" s="123" t="n"/>
      <c r="L651" s="123" t="n"/>
      <c r="M651" s="123">
        <f>IF(AND(B651&lt;&gt;"",OR($C$4="",ISNUMBER(SEARCH($C$4,C651&amp;" "&amp;E651&amp;" "&amp;G651&amp;" "&amp;H651&amp;" "&amp;I651&amp;" "&amp;J651&amp;" "&amp;K651&amp;" "&amp;L651))),OR($C$5="Semua",$C$5="",G651=$C$5),OR($C$6="Semua",$C$6="",H651=$C$6,H651="Pengeluaran "&amp;$C$6,AND($C$6="Uang Kos Mama",H651="Pengeluaran Uang Kos")),OR($C$7="Semua",$C$7="",I651=$C$7),OR($C$8="Semua",$C$8="",C651=$C$8,E651=$C$8),OR($C$9="Semua",$C$9="",D651=$C$9),OR($C$10="",B651&gt;=$C$10),OR($C$11="",B651&lt;=$C$11),OR($C$12&lt;&gt;"Ya",K651&lt;&gt;""),OR($C$13="Semua",$C$13="",L651=$C$13)),"✓","")</f>
        <v/>
      </c>
      <c r="N651" s="93">
        <f>N(N650)+IF(M651="✓",1,0)</f>
        <v/>
      </c>
      <c r="O651" s="93">
        <f>N(O650)+IF(AND(B651&lt;&gt;"",B651&gt;='Uang Riba'!$H$30,B651&lt;='Uang Riba'!$I$30,OR(H651="Dana riba",H651="Pinjam uang riba",I651="Pinjam dari uang riba",I651="Ganti uang riba",I651="Kelebihan ganti dikembalikan",AND(C651="Kantong Uang Riba",G651="Pengeluaran"))),1,0)</f>
        <v/>
      </c>
      <c r="X651" s="93">
        <f>IF(AND(B651&lt;&gt;"",B651&gt;='Buku Akun'!$H$4,B651&lt;='Buku Akun'!$H$5,OR(C651='Buku Akun'!$C$4,AND(D651="Pindah",E651='Buku Akun'!$C$4))),B651+IF(AND(I651="Selisih bunga",DAY(B651)=1),0,0.01)+ROW()/10000000,"")</f>
        <v/>
      </c>
    </row>
    <row r="652" outlineLevel="1" ht="15" customHeight="1" s="94">
      <c r="A652" s="123">
        <f>IF(B652="","",ROW()-15)</f>
        <v/>
      </c>
      <c r="B652" s="124" t="n"/>
      <c r="C652" s="123" t="n"/>
      <c r="D652" s="123" t="n"/>
      <c r="E652" s="123" t="n"/>
      <c r="F652" s="125" t="n"/>
      <c r="G652" s="123" t="n"/>
      <c r="H652" s="123" t="n"/>
      <c r="I652" s="123" t="n"/>
      <c r="J652" s="123" t="n"/>
      <c r="K652" s="123" t="n"/>
      <c r="L652" s="123" t="n"/>
      <c r="M652" s="123">
        <f>IF(AND(B652&lt;&gt;"",OR($C$4="",ISNUMBER(SEARCH($C$4,C652&amp;" "&amp;E652&amp;" "&amp;G652&amp;" "&amp;H652&amp;" "&amp;I652&amp;" "&amp;J652&amp;" "&amp;K652&amp;" "&amp;L652))),OR($C$5="Semua",$C$5="",G652=$C$5),OR($C$6="Semua",$C$6="",H652=$C$6,H652="Pengeluaran "&amp;$C$6,AND($C$6="Uang Kos Mama",H652="Pengeluaran Uang Kos")),OR($C$7="Semua",$C$7="",I652=$C$7),OR($C$8="Semua",$C$8="",C652=$C$8,E652=$C$8),OR($C$9="Semua",$C$9="",D652=$C$9),OR($C$10="",B652&gt;=$C$10),OR($C$11="",B652&lt;=$C$11),OR($C$12&lt;&gt;"Ya",K652&lt;&gt;""),OR($C$13="Semua",$C$13="",L652=$C$13)),"✓","")</f>
        <v/>
      </c>
      <c r="N652" s="93">
        <f>N(N651)+IF(M652="✓",1,0)</f>
        <v/>
      </c>
      <c r="O652" s="93">
        <f>N(O651)+IF(AND(B652&lt;&gt;"",B652&gt;='Uang Riba'!$H$30,B652&lt;='Uang Riba'!$I$30,OR(H652="Dana riba",H652="Pinjam uang riba",I652="Pinjam dari uang riba",I652="Ganti uang riba",I652="Kelebihan ganti dikembalikan",AND(C652="Kantong Uang Riba",G652="Pengeluaran"))),1,0)</f>
        <v/>
      </c>
      <c r="X652" s="93">
        <f>IF(AND(B652&lt;&gt;"",B652&gt;='Buku Akun'!$H$4,B652&lt;='Buku Akun'!$H$5,OR(C652='Buku Akun'!$C$4,AND(D652="Pindah",E652='Buku Akun'!$C$4))),B652+IF(AND(I652="Selisih bunga",DAY(B652)=1),0,0.01)+ROW()/10000000,"")</f>
        <v/>
      </c>
    </row>
    <row r="653" outlineLevel="1" ht="15" customHeight="1" s="94">
      <c r="A653" s="123">
        <f>IF(B653="","",ROW()-15)</f>
        <v/>
      </c>
      <c r="B653" s="124" t="n"/>
      <c r="C653" s="123" t="n"/>
      <c r="D653" s="123" t="n"/>
      <c r="E653" s="123" t="n"/>
      <c r="F653" s="125" t="n"/>
      <c r="G653" s="123" t="n"/>
      <c r="H653" s="123" t="n"/>
      <c r="I653" s="123" t="n"/>
      <c r="J653" s="123" t="n"/>
      <c r="K653" s="123" t="n"/>
      <c r="L653" s="123" t="n"/>
      <c r="M653" s="123">
        <f>IF(AND(B653&lt;&gt;"",OR($C$4="",ISNUMBER(SEARCH($C$4,C653&amp;" "&amp;E653&amp;" "&amp;G653&amp;" "&amp;H653&amp;" "&amp;I653&amp;" "&amp;J653&amp;" "&amp;K653&amp;" "&amp;L653))),OR($C$5="Semua",$C$5="",G653=$C$5),OR($C$6="Semua",$C$6="",H653=$C$6,H653="Pengeluaran "&amp;$C$6,AND($C$6="Uang Kos Mama",H653="Pengeluaran Uang Kos")),OR($C$7="Semua",$C$7="",I653=$C$7),OR($C$8="Semua",$C$8="",C653=$C$8,E653=$C$8),OR($C$9="Semua",$C$9="",D653=$C$9),OR($C$10="",B653&gt;=$C$10),OR($C$11="",B653&lt;=$C$11),OR($C$12&lt;&gt;"Ya",K653&lt;&gt;""),OR($C$13="Semua",$C$13="",L653=$C$13)),"✓","")</f>
        <v/>
      </c>
      <c r="N653" s="93">
        <f>N(N652)+IF(M653="✓",1,0)</f>
        <v/>
      </c>
      <c r="O653" s="93">
        <f>N(O652)+IF(AND(B653&lt;&gt;"",B653&gt;='Uang Riba'!$H$30,B653&lt;='Uang Riba'!$I$30,OR(H653="Dana riba",H653="Pinjam uang riba",I653="Pinjam dari uang riba",I653="Ganti uang riba",I653="Kelebihan ganti dikembalikan",AND(C653="Kantong Uang Riba",G653="Pengeluaran"))),1,0)</f>
        <v/>
      </c>
      <c r="X653" s="93">
        <f>IF(AND(B653&lt;&gt;"",B653&gt;='Buku Akun'!$H$4,B653&lt;='Buku Akun'!$H$5,OR(C653='Buku Akun'!$C$4,AND(D653="Pindah",E653='Buku Akun'!$C$4))),B653+IF(AND(I653="Selisih bunga",DAY(B653)=1),0,0.01)+ROW()/10000000,"")</f>
        <v/>
      </c>
    </row>
    <row r="654" outlineLevel="1" ht="15" customHeight="1" s="94">
      <c r="A654" s="123">
        <f>IF(B654="","",ROW()-15)</f>
        <v/>
      </c>
      <c r="B654" s="124" t="n"/>
      <c r="C654" s="123" t="n"/>
      <c r="D654" s="123" t="n"/>
      <c r="E654" s="123" t="n"/>
      <c r="F654" s="125" t="n"/>
      <c r="G654" s="123" t="n"/>
      <c r="H654" s="123" t="n"/>
      <c r="I654" s="123" t="n"/>
      <c r="J654" s="123" t="n"/>
      <c r="K654" s="123" t="n"/>
      <c r="L654" s="123" t="n"/>
      <c r="M654" s="123">
        <f>IF(AND(B654&lt;&gt;"",OR($C$4="",ISNUMBER(SEARCH($C$4,C654&amp;" "&amp;E654&amp;" "&amp;G654&amp;" "&amp;H654&amp;" "&amp;I654&amp;" "&amp;J654&amp;" "&amp;K654&amp;" "&amp;L654))),OR($C$5="Semua",$C$5="",G654=$C$5),OR($C$6="Semua",$C$6="",H654=$C$6,H654="Pengeluaran "&amp;$C$6,AND($C$6="Uang Kos Mama",H654="Pengeluaran Uang Kos")),OR($C$7="Semua",$C$7="",I654=$C$7),OR($C$8="Semua",$C$8="",C654=$C$8,E654=$C$8),OR($C$9="Semua",$C$9="",D654=$C$9),OR($C$10="",B654&gt;=$C$10),OR($C$11="",B654&lt;=$C$11),OR($C$12&lt;&gt;"Ya",K654&lt;&gt;""),OR($C$13="Semua",$C$13="",L654=$C$13)),"✓","")</f>
        <v/>
      </c>
      <c r="N654" s="93">
        <f>N(N653)+IF(M654="✓",1,0)</f>
        <v/>
      </c>
      <c r="O654" s="93">
        <f>N(O653)+IF(AND(B654&lt;&gt;"",B654&gt;='Uang Riba'!$H$30,B654&lt;='Uang Riba'!$I$30,OR(H654="Dana riba",H654="Pinjam uang riba",I654="Pinjam dari uang riba",I654="Ganti uang riba",I654="Kelebihan ganti dikembalikan",AND(C654="Kantong Uang Riba",G654="Pengeluaran"))),1,0)</f>
        <v/>
      </c>
      <c r="X654" s="93">
        <f>IF(AND(B654&lt;&gt;"",B654&gt;='Buku Akun'!$H$4,B654&lt;='Buku Akun'!$H$5,OR(C654='Buku Akun'!$C$4,AND(D654="Pindah",E654='Buku Akun'!$C$4))),B654+IF(AND(I654="Selisih bunga",DAY(B654)=1),0,0.01)+ROW()/10000000,"")</f>
        <v/>
      </c>
    </row>
    <row r="655" outlineLevel="1" ht="15" customHeight="1" s="94">
      <c r="A655" s="123">
        <f>IF(B655="","",ROW()-15)</f>
        <v/>
      </c>
      <c r="B655" s="124" t="n"/>
      <c r="C655" s="123" t="n"/>
      <c r="D655" s="123" t="n"/>
      <c r="E655" s="123" t="n"/>
      <c r="F655" s="125" t="n"/>
      <c r="G655" s="123" t="n"/>
      <c r="H655" s="123" t="n"/>
      <c r="I655" s="123" t="n"/>
      <c r="J655" s="123" t="n"/>
      <c r="K655" s="123" t="n"/>
      <c r="L655" s="123" t="n"/>
      <c r="M655" s="123">
        <f>IF(AND(B655&lt;&gt;"",OR($C$4="",ISNUMBER(SEARCH($C$4,C655&amp;" "&amp;E655&amp;" "&amp;G655&amp;" "&amp;H655&amp;" "&amp;I655&amp;" "&amp;J655&amp;" "&amp;K655&amp;" "&amp;L655))),OR($C$5="Semua",$C$5="",G655=$C$5),OR($C$6="Semua",$C$6="",H655=$C$6,H655="Pengeluaran "&amp;$C$6,AND($C$6="Uang Kos Mama",H655="Pengeluaran Uang Kos")),OR($C$7="Semua",$C$7="",I655=$C$7),OR($C$8="Semua",$C$8="",C655=$C$8,E655=$C$8),OR($C$9="Semua",$C$9="",D655=$C$9),OR($C$10="",B655&gt;=$C$10),OR($C$11="",B655&lt;=$C$11),OR($C$12&lt;&gt;"Ya",K655&lt;&gt;""),OR($C$13="Semua",$C$13="",L655=$C$13)),"✓","")</f>
        <v/>
      </c>
      <c r="N655" s="93">
        <f>N(N654)+IF(M655="✓",1,0)</f>
        <v/>
      </c>
      <c r="O655" s="93">
        <f>N(O654)+IF(AND(B655&lt;&gt;"",B655&gt;='Uang Riba'!$H$30,B655&lt;='Uang Riba'!$I$30,OR(H655="Dana riba",H655="Pinjam uang riba",I655="Pinjam dari uang riba",I655="Ganti uang riba",I655="Kelebihan ganti dikembalikan",AND(C655="Kantong Uang Riba",G655="Pengeluaran"))),1,0)</f>
        <v/>
      </c>
      <c r="X655" s="93">
        <f>IF(AND(B655&lt;&gt;"",B655&gt;='Buku Akun'!$H$4,B655&lt;='Buku Akun'!$H$5,OR(C655='Buku Akun'!$C$4,AND(D655="Pindah",E655='Buku Akun'!$C$4))),B655+IF(AND(I655="Selisih bunga",DAY(B655)=1),0,0.01)+ROW()/10000000,"")</f>
        <v/>
      </c>
    </row>
    <row r="656" outlineLevel="1" ht="15" customHeight="1" s="94">
      <c r="A656" s="123">
        <f>IF(B656="","",ROW()-15)</f>
        <v/>
      </c>
      <c r="B656" s="124" t="n"/>
      <c r="C656" s="123" t="n"/>
      <c r="D656" s="123" t="n"/>
      <c r="E656" s="123" t="n"/>
      <c r="F656" s="125" t="n"/>
      <c r="G656" s="123" t="n"/>
      <c r="H656" s="123" t="n"/>
      <c r="I656" s="123" t="n"/>
      <c r="J656" s="123" t="n"/>
      <c r="K656" s="123" t="n"/>
      <c r="L656" s="123" t="n"/>
      <c r="M656" s="123">
        <f>IF(AND(B656&lt;&gt;"",OR($C$4="",ISNUMBER(SEARCH($C$4,C656&amp;" "&amp;E656&amp;" "&amp;G656&amp;" "&amp;H656&amp;" "&amp;I656&amp;" "&amp;J656&amp;" "&amp;K656&amp;" "&amp;L656))),OR($C$5="Semua",$C$5="",G656=$C$5),OR($C$6="Semua",$C$6="",H656=$C$6,H656="Pengeluaran "&amp;$C$6,AND($C$6="Uang Kos Mama",H656="Pengeluaran Uang Kos")),OR($C$7="Semua",$C$7="",I656=$C$7),OR($C$8="Semua",$C$8="",C656=$C$8,E656=$C$8),OR($C$9="Semua",$C$9="",D656=$C$9),OR($C$10="",B656&gt;=$C$10),OR($C$11="",B656&lt;=$C$11),OR($C$12&lt;&gt;"Ya",K656&lt;&gt;""),OR($C$13="Semua",$C$13="",L656=$C$13)),"✓","")</f>
        <v/>
      </c>
      <c r="N656" s="93">
        <f>N(N655)+IF(M656="✓",1,0)</f>
        <v/>
      </c>
      <c r="O656" s="93">
        <f>N(O655)+IF(AND(B656&lt;&gt;"",B656&gt;='Uang Riba'!$H$30,B656&lt;='Uang Riba'!$I$30,OR(H656="Dana riba",H656="Pinjam uang riba",I656="Pinjam dari uang riba",I656="Ganti uang riba",I656="Kelebihan ganti dikembalikan",AND(C656="Kantong Uang Riba",G656="Pengeluaran"))),1,0)</f>
        <v/>
      </c>
      <c r="X656" s="93">
        <f>IF(AND(B656&lt;&gt;"",B656&gt;='Buku Akun'!$H$4,B656&lt;='Buku Akun'!$H$5,OR(C656='Buku Akun'!$C$4,AND(D656="Pindah",E656='Buku Akun'!$C$4))),B656+IF(AND(I656="Selisih bunga",DAY(B656)=1),0,0.01)+ROW()/10000000,"")</f>
        <v/>
      </c>
    </row>
    <row r="657" outlineLevel="1" ht="15" customHeight="1" s="94">
      <c r="A657" s="123">
        <f>IF(B657="","",ROW()-15)</f>
        <v/>
      </c>
      <c r="B657" s="124" t="n"/>
      <c r="C657" s="123" t="n"/>
      <c r="D657" s="123" t="n"/>
      <c r="E657" s="123" t="n"/>
      <c r="F657" s="125" t="n"/>
      <c r="G657" s="123" t="n"/>
      <c r="H657" s="123" t="n"/>
      <c r="I657" s="123" t="n"/>
      <c r="J657" s="123" t="n"/>
      <c r="K657" s="123" t="n"/>
      <c r="L657" s="123" t="n"/>
      <c r="M657" s="123">
        <f>IF(AND(B657&lt;&gt;"",OR($C$4="",ISNUMBER(SEARCH($C$4,C657&amp;" "&amp;E657&amp;" "&amp;G657&amp;" "&amp;H657&amp;" "&amp;I657&amp;" "&amp;J657&amp;" "&amp;K657&amp;" "&amp;L657))),OR($C$5="Semua",$C$5="",G657=$C$5),OR($C$6="Semua",$C$6="",H657=$C$6,H657="Pengeluaran "&amp;$C$6,AND($C$6="Uang Kos Mama",H657="Pengeluaran Uang Kos")),OR($C$7="Semua",$C$7="",I657=$C$7),OR($C$8="Semua",$C$8="",C657=$C$8,E657=$C$8),OR($C$9="Semua",$C$9="",D657=$C$9),OR($C$10="",B657&gt;=$C$10),OR($C$11="",B657&lt;=$C$11),OR($C$12&lt;&gt;"Ya",K657&lt;&gt;""),OR($C$13="Semua",$C$13="",L657=$C$13)),"✓","")</f>
        <v/>
      </c>
      <c r="N657" s="93">
        <f>N(N656)+IF(M657="✓",1,0)</f>
        <v/>
      </c>
      <c r="O657" s="93">
        <f>N(O656)+IF(AND(B657&lt;&gt;"",B657&gt;='Uang Riba'!$H$30,B657&lt;='Uang Riba'!$I$30,OR(H657="Dana riba",H657="Pinjam uang riba",I657="Pinjam dari uang riba",I657="Ganti uang riba",I657="Kelebihan ganti dikembalikan",AND(C657="Kantong Uang Riba",G657="Pengeluaran"))),1,0)</f>
        <v/>
      </c>
      <c r="X657" s="93">
        <f>IF(AND(B657&lt;&gt;"",B657&gt;='Buku Akun'!$H$4,B657&lt;='Buku Akun'!$H$5,OR(C657='Buku Akun'!$C$4,AND(D657="Pindah",E657='Buku Akun'!$C$4))),B657+IF(AND(I657="Selisih bunga",DAY(B657)=1),0,0.01)+ROW()/10000000,"")</f>
        <v/>
      </c>
    </row>
    <row r="658" outlineLevel="1" ht="15" customHeight="1" s="94">
      <c r="A658" s="123">
        <f>IF(B658="","",ROW()-15)</f>
        <v/>
      </c>
      <c r="B658" s="124" t="n"/>
      <c r="C658" s="123" t="n"/>
      <c r="D658" s="123" t="n"/>
      <c r="E658" s="123" t="n"/>
      <c r="F658" s="125" t="n"/>
      <c r="G658" s="123" t="n"/>
      <c r="H658" s="123" t="n"/>
      <c r="I658" s="123" t="n"/>
      <c r="J658" s="123" t="n"/>
      <c r="K658" s="123" t="n"/>
      <c r="L658" s="123" t="n"/>
      <c r="M658" s="123">
        <f>IF(AND(B658&lt;&gt;"",OR($C$4="",ISNUMBER(SEARCH($C$4,C658&amp;" "&amp;E658&amp;" "&amp;G658&amp;" "&amp;H658&amp;" "&amp;I658&amp;" "&amp;J658&amp;" "&amp;K658&amp;" "&amp;L658))),OR($C$5="Semua",$C$5="",G658=$C$5),OR($C$6="Semua",$C$6="",H658=$C$6,H658="Pengeluaran "&amp;$C$6,AND($C$6="Uang Kos Mama",H658="Pengeluaran Uang Kos")),OR($C$7="Semua",$C$7="",I658=$C$7),OR($C$8="Semua",$C$8="",C658=$C$8,E658=$C$8),OR($C$9="Semua",$C$9="",D658=$C$9),OR($C$10="",B658&gt;=$C$10),OR($C$11="",B658&lt;=$C$11),OR($C$12&lt;&gt;"Ya",K658&lt;&gt;""),OR($C$13="Semua",$C$13="",L658=$C$13)),"✓","")</f>
        <v/>
      </c>
      <c r="N658" s="93">
        <f>N(N657)+IF(M658="✓",1,0)</f>
        <v/>
      </c>
      <c r="O658" s="93">
        <f>N(O657)+IF(AND(B658&lt;&gt;"",B658&gt;='Uang Riba'!$H$30,B658&lt;='Uang Riba'!$I$30,OR(H658="Dana riba",H658="Pinjam uang riba",I658="Pinjam dari uang riba",I658="Ganti uang riba",I658="Kelebihan ganti dikembalikan",AND(C658="Kantong Uang Riba",G658="Pengeluaran"))),1,0)</f>
        <v/>
      </c>
      <c r="X658" s="93">
        <f>IF(AND(B658&lt;&gt;"",B658&gt;='Buku Akun'!$H$4,B658&lt;='Buku Akun'!$H$5,OR(C658='Buku Akun'!$C$4,AND(D658="Pindah",E658='Buku Akun'!$C$4))),B658+IF(AND(I658="Selisih bunga",DAY(B658)=1),0,0.01)+ROW()/10000000,"")</f>
        <v/>
      </c>
    </row>
    <row r="659" outlineLevel="1" ht="15" customHeight="1" s="94">
      <c r="A659" s="123">
        <f>IF(B659="","",ROW()-15)</f>
        <v/>
      </c>
      <c r="B659" s="124" t="n"/>
      <c r="C659" s="123" t="n"/>
      <c r="D659" s="123" t="n"/>
      <c r="E659" s="123" t="n"/>
      <c r="F659" s="125" t="n"/>
      <c r="G659" s="123" t="n"/>
      <c r="H659" s="123" t="n"/>
      <c r="I659" s="123" t="n"/>
      <c r="J659" s="123" t="n"/>
      <c r="K659" s="123" t="n"/>
      <c r="L659" s="123" t="n"/>
      <c r="M659" s="123">
        <f>IF(AND(B659&lt;&gt;"",OR($C$4="",ISNUMBER(SEARCH($C$4,C659&amp;" "&amp;E659&amp;" "&amp;G659&amp;" "&amp;H659&amp;" "&amp;I659&amp;" "&amp;J659&amp;" "&amp;K659&amp;" "&amp;L659))),OR($C$5="Semua",$C$5="",G659=$C$5),OR($C$6="Semua",$C$6="",H659=$C$6,H659="Pengeluaran "&amp;$C$6,AND($C$6="Uang Kos Mama",H659="Pengeluaran Uang Kos")),OR($C$7="Semua",$C$7="",I659=$C$7),OR($C$8="Semua",$C$8="",C659=$C$8,E659=$C$8),OR($C$9="Semua",$C$9="",D659=$C$9),OR($C$10="",B659&gt;=$C$10),OR($C$11="",B659&lt;=$C$11),OR($C$12&lt;&gt;"Ya",K659&lt;&gt;""),OR($C$13="Semua",$C$13="",L659=$C$13)),"✓","")</f>
        <v/>
      </c>
      <c r="N659" s="93">
        <f>N(N658)+IF(M659="✓",1,0)</f>
        <v/>
      </c>
      <c r="O659" s="93">
        <f>N(O658)+IF(AND(B659&lt;&gt;"",B659&gt;='Uang Riba'!$H$30,B659&lt;='Uang Riba'!$I$30,OR(H659="Dana riba",H659="Pinjam uang riba",I659="Pinjam dari uang riba",I659="Ganti uang riba",I659="Kelebihan ganti dikembalikan",AND(C659="Kantong Uang Riba",G659="Pengeluaran"))),1,0)</f>
        <v/>
      </c>
      <c r="X659" s="93">
        <f>IF(AND(B659&lt;&gt;"",B659&gt;='Buku Akun'!$H$4,B659&lt;='Buku Akun'!$H$5,OR(C659='Buku Akun'!$C$4,AND(D659="Pindah",E659='Buku Akun'!$C$4))),B659+IF(AND(I659="Selisih bunga",DAY(B659)=1),0,0.01)+ROW()/10000000,"")</f>
        <v/>
      </c>
    </row>
    <row r="660" outlineLevel="1" ht="15" customHeight="1" s="94">
      <c r="A660" s="123">
        <f>IF(B660="","",ROW()-15)</f>
        <v/>
      </c>
      <c r="B660" s="124" t="n"/>
      <c r="C660" s="123" t="n"/>
      <c r="D660" s="123" t="n"/>
      <c r="E660" s="123" t="n"/>
      <c r="F660" s="125" t="n"/>
      <c r="G660" s="123" t="n"/>
      <c r="H660" s="123" t="n"/>
      <c r="I660" s="123" t="n"/>
      <c r="J660" s="123" t="n"/>
      <c r="K660" s="123" t="n"/>
      <c r="L660" s="123" t="n"/>
      <c r="M660" s="123">
        <f>IF(AND(B660&lt;&gt;"",OR($C$4="",ISNUMBER(SEARCH($C$4,C660&amp;" "&amp;E660&amp;" "&amp;G660&amp;" "&amp;H660&amp;" "&amp;I660&amp;" "&amp;J660&amp;" "&amp;K660&amp;" "&amp;L660))),OR($C$5="Semua",$C$5="",G660=$C$5),OR($C$6="Semua",$C$6="",H660=$C$6,H660="Pengeluaran "&amp;$C$6,AND($C$6="Uang Kos Mama",H660="Pengeluaran Uang Kos")),OR($C$7="Semua",$C$7="",I660=$C$7),OR($C$8="Semua",$C$8="",C660=$C$8,E660=$C$8),OR($C$9="Semua",$C$9="",D660=$C$9),OR($C$10="",B660&gt;=$C$10),OR($C$11="",B660&lt;=$C$11),OR($C$12&lt;&gt;"Ya",K660&lt;&gt;""),OR($C$13="Semua",$C$13="",L660=$C$13)),"✓","")</f>
        <v/>
      </c>
      <c r="N660" s="93">
        <f>N(N659)+IF(M660="✓",1,0)</f>
        <v/>
      </c>
      <c r="O660" s="93">
        <f>N(O659)+IF(AND(B660&lt;&gt;"",B660&gt;='Uang Riba'!$H$30,B660&lt;='Uang Riba'!$I$30,OR(H660="Dana riba",H660="Pinjam uang riba",I660="Pinjam dari uang riba",I660="Ganti uang riba",I660="Kelebihan ganti dikembalikan",AND(C660="Kantong Uang Riba",G660="Pengeluaran"))),1,0)</f>
        <v/>
      </c>
      <c r="X660" s="93">
        <f>IF(AND(B660&lt;&gt;"",B660&gt;='Buku Akun'!$H$4,B660&lt;='Buku Akun'!$H$5,OR(C660='Buku Akun'!$C$4,AND(D660="Pindah",E660='Buku Akun'!$C$4))),B660+IF(AND(I660="Selisih bunga",DAY(B660)=1),0,0.01)+ROW()/10000000,"")</f>
        <v/>
      </c>
    </row>
    <row r="661" outlineLevel="1" ht="15" customHeight="1" s="94">
      <c r="A661" s="123">
        <f>IF(B661="","",ROW()-15)</f>
        <v/>
      </c>
      <c r="B661" s="124" t="n"/>
      <c r="C661" s="123" t="n"/>
      <c r="D661" s="123" t="n"/>
      <c r="E661" s="123" t="n"/>
      <c r="F661" s="125" t="n"/>
      <c r="G661" s="123" t="n"/>
      <c r="H661" s="123" t="n"/>
      <c r="I661" s="123" t="n"/>
      <c r="J661" s="123" t="n"/>
      <c r="K661" s="123" t="n"/>
      <c r="L661" s="123" t="n"/>
      <c r="M661" s="123">
        <f>IF(AND(B661&lt;&gt;"",OR($C$4="",ISNUMBER(SEARCH($C$4,C661&amp;" "&amp;E661&amp;" "&amp;G661&amp;" "&amp;H661&amp;" "&amp;I661&amp;" "&amp;J661&amp;" "&amp;K661&amp;" "&amp;L661))),OR($C$5="Semua",$C$5="",G661=$C$5),OR($C$6="Semua",$C$6="",H661=$C$6,H661="Pengeluaran "&amp;$C$6,AND($C$6="Uang Kos Mama",H661="Pengeluaran Uang Kos")),OR($C$7="Semua",$C$7="",I661=$C$7),OR($C$8="Semua",$C$8="",C661=$C$8,E661=$C$8),OR($C$9="Semua",$C$9="",D661=$C$9),OR($C$10="",B661&gt;=$C$10),OR($C$11="",B661&lt;=$C$11),OR($C$12&lt;&gt;"Ya",K661&lt;&gt;""),OR($C$13="Semua",$C$13="",L661=$C$13)),"✓","")</f>
        <v/>
      </c>
      <c r="N661" s="93">
        <f>N(N660)+IF(M661="✓",1,0)</f>
        <v/>
      </c>
      <c r="O661" s="93">
        <f>N(O660)+IF(AND(B661&lt;&gt;"",B661&gt;='Uang Riba'!$H$30,B661&lt;='Uang Riba'!$I$30,OR(H661="Dana riba",H661="Pinjam uang riba",I661="Pinjam dari uang riba",I661="Ganti uang riba",I661="Kelebihan ganti dikembalikan",AND(C661="Kantong Uang Riba",G661="Pengeluaran"))),1,0)</f>
        <v/>
      </c>
      <c r="X661" s="93">
        <f>IF(AND(B661&lt;&gt;"",B661&gt;='Buku Akun'!$H$4,B661&lt;='Buku Akun'!$H$5,OR(C661='Buku Akun'!$C$4,AND(D661="Pindah",E661='Buku Akun'!$C$4))),B661+IF(AND(I661="Selisih bunga",DAY(B661)=1),0,0.01)+ROW()/10000000,"")</f>
        <v/>
      </c>
    </row>
    <row r="662" outlineLevel="1" ht="15" customHeight="1" s="94">
      <c r="A662" s="123">
        <f>IF(B662="","",ROW()-15)</f>
        <v/>
      </c>
      <c r="B662" s="124" t="n"/>
      <c r="C662" s="123" t="n"/>
      <c r="D662" s="123" t="n"/>
      <c r="E662" s="123" t="n"/>
      <c r="F662" s="125" t="n"/>
      <c r="G662" s="123" t="n"/>
      <c r="H662" s="123" t="n"/>
      <c r="I662" s="123" t="n"/>
      <c r="J662" s="123" t="n"/>
      <c r="K662" s="123" t="n"/>
      <c r="L662" s="123" t="n"/>
      <c r="M662" s="123">
        <f>IF(AND(B662&lt;&gt;"",OR($C$4="",ISNUMBER(SEARCH($C$4,C662&amp;" "&amp;E662&amp;" "&amp;G662&amp;" "&amp;H662&amp;" "&amp;I662&amp;" "&amp;J662&amp;" "&amp;K662&amp;" "&amp;L662))),OR($C$5="Semua",$C$5="",G662=$C$5),OR($C$6="Semua",$C$6="",H662=$C$6,H662="Pengeluaran "&amp;$C$6,AND($C$6="Uang Kos Mama",H662="Pengeluaran Uang Kos")),OR($C$7="Semua",$C$7="",I662=$C$7),OR($C$8="Semua",$C$8="",C662=$C$8,E662=$C$8),OR($C$9="Semua",$C$9="",D662=$C$9),OR($C$10="",B662&gt;=$C$10),OR($C$11="",B662&lt;=$C$11),OR($C$12&lt;&gt;"Ya",K662&lt;&gt;""),OR($C$13="Semua",$C$13="",L662=$C$13)),"✓","")</f>
        <v/>
      </c>
      <c r="N662" s="93">
        <f>N(N661)+IF(M662="✓",1,0)</f>
        <v/>
      </c>
      <c r="O662" s="93">
        <f>N(O661)+IF(AND(B662&lt;&gt;"",B662&gt;='Uang Riba'!$H$30,B662&lt;='Uang Riba'!$I$30,OR(H662="Dana riba",H662="Pinjam uang riba",I662="Pinjam dari uang riba",I662="Ganti uang riba",I662="Kelebihan ganti dikembalikan",AND(C662="Kantong Uang Riba",G662="Pengeluaran"))),1,0)</f>
        <v/>
      </c>
      <c r="X662" s="93">
        <f>IF(AND(B662&lt;&gt;"",B662&gt;='Buku Akun'!$H$4,B662&lt;='Buku Akun'!$H$5,OR(C662='Buku Akun'!$C$4,AND(D662="Pindah",E662='Buku Akun'!$C$4))),B662+IF(AND(I662="Selisih bunga",DAY(B662)=1),0,0.01)+ROW()/10000000,"")</f>
        <v/>
      </c>
    </row>
    <row r="663" outlineLevel="1" ht="15" customHeight="1" s="94">
      <c r="A663" s="123">
        <f>IF(B663="","",ROW()-15)</f>
        <v/>
      </c>
      <c r="B663" s="124" t="n"/>
      <c r="C663" s="123" t="n"/>
      <c r="D663" s="123" t="n"/>
      <c r="E663" s="123" t="n"/>
      <c r="F663" s="125" t="n"/>
      <c r="G663" s="123" t="n"/>
      <c r="H663" s="123" t="n"/>
      <c r="I663" s="123" t="n"/>
      <c r="J663" s="123" t="n"/>
      <c r="K663" s="123" t="n"/>
      <c r="L663" s="123" t="n"/>
      <c r="M663" s="123">
        <f>IF(AND(B663&lt;&gt;"",OR($C$4="",ISNUMBER(SEARCH($C$4,C663&amp;" "&amp;E663&amp;" "&amp;G663&amp;" "&amp;H663&amp;" "&amp;I663&amp;" "&amp;J663&amp;" "&amp;K663&amp;" "&amp;L663))),OR($C$5="Semua",$C$5="",G663=$C$5),OR($C$6="Semua",$C$6="",H663=$C$6,H663="Pengeluaran "&amp;$C$6,AND($C$6="Uang Kos Mama",H663="Pengeluaran Uang Kos")),OR($C$7="Semua",$C$7="",I663=$C$7),OR($C$8="Semua",$C$8="",C663=$C$8,E663=$C$8),OR($C$9="Semua",$C$9="",D663=$C$9),OR($C$10="",B663&gt;=$C$10),OR($C$11="",B663&lt;=$C$11),OR($C$12&lt;&gt;"Ya",K663&lt;&gt;""),OR($C$13="Semua",$C$13="",L663=$C$13)),"✓","")</f>
        <v/>
      </c>
      <c r="N663" s="93">
        <f>N(N662)+IF(M663="✓",1,0)</f>
        <v/>
      </c>
      <c r="O663" s="93">
        <f>N(O662)+IF(AND(B663&lt;&gt;"",B663&gt;='Uang Riba'!$H$30,B663&lt;='Uang Riba'!$I$30,OR(H663="Dana riba",H663="Pinjam uang riba",I663="Pinjam dari uang riba",I663="Ganti uang riba",I663="Kelebihan ganti dikembalikan",AND(C663="Kantong Uang Riba",G663="Pengeluaran"))),1,0)</f>
        <v/>
      </c>
      <c r="X663" s="93">
        <f>IF(AND(B663&lt;&gt;"",B663&gt;='Buku Akun'!$H$4,B663&lt;='Buku Akun'!$H$5,OR(C663='Buku Akun'!$C$4,AND(D663="Pindah",E663='Buku Akun'!$C$4))),B663+IF(AND(I663="Selisih bunga",DAY(B663)=1),0,0.01)+ROW()/10000000,"")</f>
        <v/>
      </c>
    </row>
    <row r="664" outlineLevel="1" ht="15" customHeight="1" s="94">
      <c r="A664" s="123">
        <f>IF(B664="","",ROW()-15)</f>
        <v/>
      </c>
      <c r="B664" s="124" t="n"/>
      <c r="C664" s="123" t="n"/>
      <c r="D664" s="123" t="n"/>
      <c r="E664" s="123" t="n"/>
      <c r="F664" s="125" t="n"/>
      <c r="G664" s="123" t="n"/>
      <c r="H664" s="123" t="n"/>
      <c r="I664" s="123" t="n"/>
      <c r="J664" s="123" t="n"/>
      <c r="K664" s="123" t="n"/>
      <c r="L664" s="123" t="n"/>
      <c r="M664" s="123">
        <f>IF(AND(B664&lt;&gt;"",OR($C$4="",ISNUMBER(SEARCH($C$4,C664&amp;" "&amp;E664&amp;" "&amp;G664&amp;" "&amp;H664&amp;" "&amp;I664&amp;" "&amp;J664&amp;" "&amp;K664&amp;" "&amp;L664))),OR($C$5="Semua",$C$5="",G664=$C$5),OR($C$6="Semua",$C$6="",H664=$C$6,H664="Pengeluaran "&amp;$C$6,AND($C$6="Uang Kos Mama",H664="Pengeluaran Uang Kos")),OR($C$7="Semua",$C$7="",I664=$C$7),OR($C$8="Semua",$C$8="",C664=$C$8,E664=$C$8),OR($C$9="Semua",$C$9="",D664=$C$9),OR($C$10="",B664&gt;=$C$10),OR($C$11="",B664&lt;=$C$11),OR($C$12&lt;&gt;"Ya",K664&lt;&gt;""),OR($C$13="Semua",$C$13="",L664=$C$13)),"✓","")</f>
        <v/>
      </c>
      <c r="N664" s="93">
        <f>N(N663)+IF(M664="✓",1,0)</f>
        <v/>
      </c>
      <c r="O664" s="93">
        <f>N(O663)+IF(AND(B664&lt;&gt;"",B664&gt;='Uang Riba'!$H$30,B664&lt;='Uang Riba'!$I$30,OR(H664="Dana riba",H664="Pinjam uang riba",I664="Pinjam dari uang riba",I664="Ganti uang riba",I664="Kelebihan ganti dikembalikan",AND(C664="Kantong Uang Riba",G664="Pengeluaran"))),1,0)</f>
        <v/>
      </c>
      <c r="X664" s="93">
        <f>IF(AND(B664&lt;&gt;"",B664&gt;='Buku Akun'!$H$4,B664&lt;='Buku Akun'!$H$5,OR(C664='Buku Akun'!$C$4,AND(D664="Pindah",E664='Buku Akun'!$C$4))),B664+IF(AND(I664="Selisih bunga",DAY(B664)=1),0,0.01)+ROW()/10000000,"")</f>
        <v/>
      </c>
    </row>
    <row r="665" outlineLevel="1" ht="15" customHeight="1" s="94">
      <c r="A665" s="123">
        <f>IF(B665="","",ROW()-15)</f>
        <v/>
      </c>
      <c r="B665" s="124" t="n"/>
      <c r="C665" s="123" t="n"/>
      <c r="D665" s="123" t="n"/>
      <c r="E665" s="123" t="n"/>
      <c r="F665" s="125" t="n"/>
      <c r="G665" s="123" t="n"/>
      <c r="H665" s="123" t="n"/>
      <c r="I665" s="123" t="n"/>
      <c r="J665" s="123" t="n"/>
      <c r="K665" s="123" t="n"/>
      <c r="L665" s="123" t="n"/>
      <c r="M665" s="123">
        <f>IF(AND(B665&lt;&gt;"",OR($C$4="",ISNUMBER(SEARCH($C$4,C665&amp;" "&amp;E665&amp;" "&amp;G665&amp;" "&amp;H665&amp;" "&amp;I665&amp;" "&amp;J665&amp;" "&amp;K665&amp;" "&amp;L665))),OR($C$5="Semua",$C$5="",G665=$C$5),OR($C$6="Semua",$C$6="",H665=$C$6,H665="Pengeluaran "&amp;$C$6,AND($C$6="Uang Kos Mama",H665="Pengeluaran Uang Kos")),OR($C$7="Semua",$C$7="",I665=$C$7),OR($C$8="Semua",$C$8="",C665=$C$8,E665=$C$8),OR($C$9="Semua",$C$9="",D665=$C$9),OR($C$10="",B665&gt;=$C$10),OR($C$11="",B665&lt;=$C$11),OR($C$12&lt;&gt;"Ya",K665&lt;&gt;""),OR($C$13="Semua",$C$13="",L665=$C$13)),"✓","")</f>
        <v/>
      </c>
      <c r="N665" s="93">
        <f>N(N664)+IF(M665="✓",1,0)</f>
        <v/>
      </c>
      <c r="O665" s="93">
        <f>N(O664)+IF(AND(B665&lt;&gt;"",B665&gt;='Uang Riba'!$H$30,B665&lt;='Uang Riba'!$I$30,OR(H665="Dana riba",H665="Pinjam uang riba",I665="Pinjam dari uang riba",I665="Ganti uang riba",I665="Kelebihan ganti dikembalikan",AND(C665="Kantong Uang Riba",G665="Pengeluaran"))),1,0)</f>
        <v/>
      </c>
      <c r="X665" s="93">
        <f>IF(AND(B665&lt;&gt;"",B665&gt;='Buku Akun'!$H$4,B665&lt;='Buku Akun'!$H$5,OR(C665='Buku Akun'!$C$4,AND(D665="Pindah",E665='Buku Akun'!$C$4))),B665+IF(AND(I665="Selisih bunga",DAY(B665)=1),0,0.01)+ROW()/10000000,"")</f>
        <v/>
      </c>
    </row>
    <row r="666" outlineLevel="1" ht="15" customHeight="1" s="94">
      <c r="A666" s="123">
        <f>IF(B666="","",ROW()-15)</f>
        <v/>
      </c>
      <c r="B666" s="124" t="n"/>
      <c r="C666" s="123" t="n"/>
      <c r="D666" s="123" t="n"/>
      <c r="E666" s="123" t="n"/>
      <c r="F666" s="125" t="n"/>
      <c r="G666" s="123" t="n"/>
      <c r="H666" s="123" t="n"/>
      <c r="I666" s="123" t="n"/>
      <c r="J666" s="123" t="n"/>
      <c r="K666" s="123" t="n"/>
      <c r="L666" s="123" t="n"/>
      <c r="M666" s="123">
        <f>IF(AND(B666&lt;&gt;"",OR($C$4="",ISNUMBER(SEARCH($C$4,C666&amp;" "&amp;E666&amp;" "&amp;G666&amp;" "&amp;H666&amp;" "&amp;I666&amp;" "&amp;J666&amp;" "&amp;K666&amp;" "&amp;L666))),OR($C$5="Semua",$C$5="",G666=$C$5),OR($C$6="Semua",$C$6="",H666=$C$6,H666="Pengeluaran "&amp;$C$6,AND($C$6="Uang Kos Mama",H666="Pengeluaran Uang Kos")),OR($C$7="Semua",$C$7="",I666=$C$7),OR($C$8="Semua",$C$8="",C666=$C$8,E666=$C$8),OR($C$9="Semua",$C$9="",D666=$C$9),OR($C$10="",B666&gt;=$C$10),OR($C$11="",B666&lt;=$C$11),OR($C$12&lt;&gt;"Ya",K666&lt;&gt;""),OR($C$13="Semua",$C$13="",L666=$C$13)),"✓","")</f>
        <v/>
      </c>
      <c r="N666" s="93">
        <f>N(N665)+IF(M666="✓",1,0)</f>
        <v/>
      </c>
      <c r="O666" s="93">
        <f>N(O665)+IF(AND(B666&lt;&gt;"",B666&gt;='Uang Riba'!$H$30,B666&lt;='Uang Riba'!$I$30,OR(H666="Dana riba",H666="Pinjam uang riba",I666="Pinjam dari uang riba",I666="Ganti uang riba",I666="Kelebihan ganti dikembalikan",AND(C666="Kantong Uang Riba",G666="Pengeluaran"))),1,0)</f>
        <v/>
      </c>
      <c r="X666" s="93">
        <f>IF(AND(B666&lt;&gt;"",B666&gt;='Buku Akun'!$H$4,B666&lt;='Buku Akun'!$H$5,OR(C666='Buku Akun'!$C$4,AND(D666="Pindah",E666='Buku Akun'!$C$4))),B666+IF(AND(I666="Selisih bunga",DAY(B666)=1),0,0.01)+ROW()/10000000,"")</f>
        <v/>
      </c>
    </row>
    <row r="667" outlineLevel="1" ht="15" customHeight="1" s="94">
      <c r="A667" s="123">
        <f>IF(B667="","",ROW()-15)</f>
        <v/>
      </c>
      <c r="B667" s="124" t="n"/>
      <c r="C667" s="123" t="n"/>
      <c r="D667" s="123" t="n"/>
      <c r="E667" s="123" t="n"/>
      <c r="F667" s="125" t="n"/>
      <c r="G667" s="123" t="n"/>
      <c r="H667" s="123" t="n"/>
      <c r="I667" s="123" t="n"/>
      <c r="J667" s="123" t="n"/>
      <c r="K667" s="123" t="n"/>
      <c r="L667" s="123" t="n"/>
      <c r="M667" s="123">
        <f>IF(AND(B667&lt;&gt;"",OR($C$4="",ISNUMBER(SEARCH($C$4,C667&amp;" "&amp;E667&amp;" "&amp;G667&amp;" "&amp;H667&amp;" "&amp;I667&amp;" "&amp;J667&amp;" "&amp;K667&amp;" "&amp;L667))),OR($C$5="Semua",$C$5="",G667=$C$5),OR($C$6="Semua",$C$6="",H667=$C$6,H667="Pengeluaran "&amp;$C$6,AND($C$6="Uang Kos Mama",H667="Pengeluaran Uang Kos")),OR($C$7="Semua",$C$7="",I667=$C$7),OR($C$8="Semua",$C$8="",C667=$C$8,E667=$C$8),OR($C$9="Semua",$C$9="",D667=$C$9),OR($C$10="",B667&gt;=$C$10),OR($C$11="",B667&lt;=$C$11),OR($C$12&lt;&gt;"Ya",K667&lt;&gt;""),OR($C$13="Semua",$C$13="",L667=$C$13)),"✓","")</f>
        <v/>
      </c>
      <c r="N667" s="93">
        <f>N(N666)+IF(M667="✓",1,0)</f>
        <v/>
      </c>
      <c r="O667" s="93">
        <f>N(O666)+IF(AND(B667&lt;&gt;"",B667&gt;='Uang Riba'!$H$30,B667&lt;='Uang Riba'!$I$30,OR(H667="Dana riba",H667="Pinjam uang riba",I667="Pinjam dari uang riba",I667="Ganti uang riba",I667="Kelebihan ganti dikembalikan",AND(C667="Kantong Uang Riba",G667="Pengeluaran"))),1,0)</f>
        <v/>
      </c>
      <c r="X667" s="93">
        <f>IF(AND(B667&lt;&gt;"",B667&gt;='Buku Akun'!$H$4,B667&lt;='Buku Akun'!$H$5,OR(C667='Buku Akun'!$C$4,AND(D667="Pindah",E667='Buku Akun'!$C$4))),B667+IF(AND(I667="Selisih bunga",DAY(B667)=1),0,0.01)+ROW()/10000000,"")</f>
        <v/>
      </c>
    </row>
    <row r="668" outlineLevel="1" ht="15" customHeight="1" s="94">
      <c r="A668" s="123">
        <f>IF(B668="","",ROW()-15)</f>
        <v/>
      </c>
      <c r="B668" s="124" t="n"/>
      <c r="C668" s="123" t="n"/>
      <c r="D668" s="123" t="n"/>
      <c r="E668" s="123" t="n"/>
      <c r="F668" s="125" t="n"/>
      <c r="G668" s="123" t="n"/>
      <c r="H668" s="123" t="n"/>
      <c r="I668" s="123" t="n"/>
      <c r="J668" s="123" t="n"/>
      <c r="K668" s="123" t="n"/>
      <c r="L668" s="123" t="n"/>
      <c r="M668" s="123">
        <f>IF(AND(B668&lt;&gt;"",OR($C$4="",ISNUMBER(SEARCH($C$4,C668&amp;" "&amp;E668&amp;" "&amp;G668&amp;" "&amp;H668&amp;" "&amp;I668&amp;" "&amp;J668&amp;" "&amp;K668&amp;" "&amp;L668))),OR($C$5="Semua",$C$5="",G668=$C$5),OR($C$6="Semua",$C$6="",H668=$C$6,H668="Pengeluaran "&amp;$C$6,AND($C$6="Uang Kos Mama",H668="Pengeluaran Uang Kos")),OR($C$7="Semua",$C$7="",I668=$C$7),OR($C$8="Semua",$C$8="",C668=$C$8,E668=$C$8),OR($C$9="Semua",$C$9="",D668=$C$9),OR($C$10="",B668&gt;=$C$10),OR($C$11="",B668&lt;=$C$11),OR($C$12&lt;&gt;"Ya",K668&lt;&gt;""),OR($C$13="Semua",$C$13="",L668=$C$13)),"✓","")</f>
        <v/>
      </c>
      <c r="N668" s="93">
        <f>N(N667)+IF(M668="✓",1,0)</f>
        <v/>
      </c>
      <c r="O668" s="93">
        <f>N(O667)+IF(AND(B668&lt;&gt;"",B668&gt;='Uang Riba'!$H$30,B668&lt;='Uang Riba'!$I$30,OR(H668="Dana riba",H668="Pinjam uang riba",I668="Pinjam dari uang riba",I668="Ganti uang riba",I668="Kelebihan ganti dikembalikan",AND(C668="Kantong Uang Riba",G668="Pengeluaran"))),1,0)</f>
        <v/>
      </c>
      <c r="X668" s="93">
        <f>IF(AND(B668&lt;&gt;"",B668&gt;='Buku Akun'!$H$4,B668&lt;='Buku Akun'!$H$5,OR(C668='Buku Akun'!$C$4,AND(D668="Pindah",E668='Buku Akun'!$C$4))),B668+IF(AND(I668="Selisih bunga",DAY(B668)=1),0,0.01)+ROW()/10000000,"")</f>
        <v/>
      </c>
    </row>
    <row r="669" outlineLevel="1" ht="15" customHeight="1" s="94">
      <c r="A669" s="123">
        <f>IF(B669="","",ROW()-15)</f>
        <v/>
      </c>
      <c r="B669" s="124" t="n"/>
      <c r="C669" s="123" t="n"/>
      <c r="D669" s="123" t="n"/>
      <c r="E669" s="123" t="n"/>
      <c r="F669" s="125" t="n"/>
      <c r="G669" s="123" t="n"/>
      <c r="H669" s="123" t="n"/>
      <c r="I669" s="123" t="n"/>
      <c r="J669" s="123" t="n"/>
      <c r="K669" s="123" t="n"/>
      <c r="L669" s="123" t="n"/>
      <c r="M669" s="123">
        <f>IF(AND(B669&lt;&gt;"",OR($C$4="",ISNUMBER(SEARCH($C$4,C669&amp;" "&amp;E669&amp;" "&amp;G669&amp;" "&amp;H669&amp;" "&amp;I669&amp;" "&amp;J669&amp;" "&amp;K669&amp;" "&amp;L669))),OR($C$5="Semua",$C$5="",G669=$C$5),OR($C$6="Semua",$C$6="",H669=$C$6,H669="Pengeluaran "&amp;$C$6,AND($C$6="Uang Kos Mama",H669="Pengeluaran Uang Kos")),OR($C$7="Semua",$C$7="",I669=$C$7),OR($C$8="Semua",$C$8="",C669=$C$8,E669=$C$8),OR($C$9="Semua",$C$9="",D669=$C$9),OR($C$10="",B669&gt;=$C$10),OR($C$11="",B669&lt;=$C$11),OR($C$12&lt;&gt;"Ya",K669&lt;&gt;""),OR($C$13="Semua",$C$13="",L669=$C$13)),"✓","")</f>
        <v/>
      </c>
      <c r="N669" s="93">
        <f>N(N668)+IF(M669="✓",1,0)</f>
        <v/>
      </c>
      <c r="O669" s="93">
        <f>N(O668)+IF(AND(B669&lt;&gt;"",B669&gt;='Uang Riba'!$H$30,B669&lt;='Uang Riba'!$I$30,OR(H669="Dana riba",H669="Pinjam uang riba",I669="Pinjam dari uang riba",I669="Ganti uang riba",I669="Kelebihan ganti dikembalikan",AND(C669="Kantong Uang Riba",G669="Pengeluaran"))),1,0)</f>
        <v/>
      </c>
      <c r="X669" s="93">
        <f>IF(AND(B669&lt;&gt;"",B669&gt;='Buku Akun'!$H$4,B669&lt;='Buku Akun'!$H$5,OR(C669='Buku Akun'!$C$4,AND(D669="Pindah",E669='Buku Akun'!$C$4))),B669+IF(AND(I669="Selisih bunga",DAY(B669)=1),0,0.01)+ROW()/10000000,"")</f>
        <v/>
      </c>
    </row>
    <row r="670" outlineLevel="1" ht="15" customHeight="1" s="94">
      <c r="A670" s="123">
        <f>IF(B670="","",ROW()-15)</f>
        <v/>
      </c>
      <c r="B670" s="124" t="n"/>
      <c r="C670" s="123" t="n"/>
      <c r="D670" s="123" t="n"/>
      <c r="E670" s="123" t="n"/>
      <c r="F670" s="125" t="n"/>
      <c r="G670" s="123" t="n"/>
      <c r="H670" s="123" t="n"/>
      <c r="I670" s="123" t="n"/>
      <c r="J670" s="123" t="n"/>
      <c r="K670" s="123" t="n"/>
      <c r="L670" s="123" t="n"/>
      <c r="M670" s="123">
        <f>IF(AND(B670&lt;&gt;"",OR($C$4="",ISNUMBER(SEARCH($C$4,C670&amp;" "&amp;E670&amp;" "&amp;G670&amp;" "&amp;H670&amp;" "&amp;I670&amp;" "&amp;J670&amp;" "&amp;K670&amp;" "&amp;L670))),OR($C$5="Semua",$C$5="",G670=$C$5),OR($C$6="Semua",$C$6="",H670=$C$6,H670="Pengeluaran "&amp;$C$6,AND($C$6="Uang Kos Mama",H670="Pengeluaran Uang Kos")),OR($C$7="Semua",$C$7="",I670=$C$7),OR($C$8="Semua",$C$8="",C670=$C$8,E670=$C$8),OR($C$9="Semua",$C$9="",D670=$C$9),OR($C$10="",B670&gt;=$C$10),OR($C$11="",B670&lt;=$C$11),OR($C$12&lt;&gt;"Ya",K670&lt;&gt;""),OR($C$13="Semua",$C$13="",L670=$C$13)),"✓","")</f>
        <v/>
      </c>
      <c r="N670" s="93">
        <f>N(N669)+IF(M670="✓",1,0)</f>
        <v/>
      </c>
      <c r="O670" s="93">
        <f>N(O669)+IF(AND(B670&lt;&gt;"",B670&gt;='Uang Riba'!$H$30,B670&lt;='Uang Riba'!$I$30,OR(H670="Dana riba",H670="Pinjam uang riba",I670="Pinjam dari uang riba",I670="Ganti uang riba",I670="Kelebihan ganti dikembalikan",AND(C670="Kantong Uang Riba",G670="Pengeluaran"))),1,0)</f>
        <v/>
      </c>
      <c r="X670" s="93">
        <f>IF(AND(B670&lt;&gt;"",B670&gt;='Buku Akun'!$H$4,B670&lt;='Buku Akun'!$H$5,OR(C670='Buku Akun'!$C$4,AND(D670="Pindah",E670='Buku Akun'!$C$4))),B670+IF(AND(I670="Selisih bunga",DAY(B670)=1),0,0.01)+ROW()/10000000,"")</f>
        <v/>
      </c>
    </row>
    <row r="671" outlineLevel="1" ht="15" customHeight="1" s="94">
      <c r="A671" s="123">
        <f>IF(B671="","",ROW()-15)</f>
        <v/>
      </c>
      <c r="B671" s="124" t="n"/>
      <c r="C671" s="123" t="n"/>
      <c r="D671" s="123" t="n"/>
      <c r="E671" s="123" t="n"/>
      <c r="F671" s="125" t="n"/>
      <c r="G671" s="123" t="n"/>
      <c r="H671" s="123" t="n"/>
      <c r="I671" s="123" t="n"/>
      <c r="J671" s="123" t="n"/>
      <c r="K671" s="123" t="n"/>
      <c r="L671" s="123" t="n"/>
      <c r="M671" s="123">
        <f>IF(AND(B671&lt;&gt;"",OR($C$4="",ISNUMBER(SEARCH($C$4,C671&amp;" "&amp;E671&amp;" "&amp;G671&amp;" "&amp;H671&amp;" "&amp;I671&amp;" "&amp;J671&amp;" "&amp;K671&amp;" "&amp;L671))),OR($C$5="Semua",$C$5="",G671=$C$5),OR($C$6="Semua",$C$6="",H671=$C$6,H671="Pengeluaran "&amp;$C$6,AND($C$6="Uang Kos Mama",H671="Pengeluaran Uang Kos")),OR($C$7="Semua",$C$7="",I671=$C$7),OR($C$8="Semua",$C$8="",C671=$C$8,E671=$C$8),OR($C$9="Semua",$C$9="",D671=$C$9),OR($C$10="",B671&gt;=$C$10),OR($C$11="",B671&lt;=$C$11),OR($C$12&lt;&gt;"Ya",K671&lt;&gt;""),OR($C$13="Semua",$C$13="",L671=$C$13)),"✓","")</f>
        <v/>
      </c>
      <c r="N671" s="93">
        <f>N(N670)+IF(M671="✓",1,0)</f>
        <v/>
      </c>
      <c r="O671" s="93">
        <f>N(O670)+IF(AND(B671&lt;&gt;"",B671&gt;='Uang Riba'!$H$30,B671&lt;='Uang Riba'!$I$30,OR(H671="Dana riba",H671="Pinjam uang riba",I671="Pinjam dari uang riba",I671="Ganti uang riba",I671="Kelebihan ganti dikembalikan",AND(C671="Kantong Uang Riba",G671="Pengeluaran"))),1,0)</f>
        <v/>
      </c>
      <c r="X671" s="93">
        <f>IF(AND(B671&lt;&gt;"",B671&gt;='Buku Akun'!$H$4,B671&lt;='Buku Akun'!$H$5,OR(C671='Buku Akun'!$C$4,AND(D671="Pindah",E671='Buku Akun'!$C$4))),B671+IF(AND(I671="Selisih bunga",DAY(B671)=1),0,0.01)+ROW()/10000000,"")</f>
        <v/>
      </c>
    </row>
    <row r="672" outlineLevel="1" ht="15" customHeight="1" s="94">
      <c r="A672" s="123">
        <f>IF(B672="","",ROW()-15)</f>
        <v/>
      </c>
      <c r="B672" s="124" t="n"/>
      <c r="C672" s="123" t="n"/>
      <c r="D672" s="123" t="n"/>
      <c r="E672" s="123" t="n"/>
      <c r="F672" s="125" t="n"/>
      <c r="G672" s="123" t="n"/>
      <c r="H672" s="123" t="n"/>
      <c r="I672" s="123" t="n"/>
      <c r="J672" s="123" t="n"/>
      <c r="K672" s="123" t="n"/>
      <c r="L672" s="123" t="n"/>
      <c r="M672" s="123">
        <f>IF(AND(B672&lt;&gt;"",OR($C$4="",ISNUMBER(SEARCH($C$4,C672&amp;" "&amp;E672&amp;" "&amp;G672&amp;" "&amp;H672&amp;" "&amp;I672&amp;" "&amp;J672&amp;" "&amp;K672&amp;" "&amp;L672))),OR($C$5="Semua",$C$5="",G672=$C$5),OR($C$6="Semua",$C$6="",H672=$C$6,H672="Pengeluaran "&amp;$C$6,AND($C$6="Uang Kos Mama",H672="Pengeluaran Uang Kos")),OR($C$7="Semua",$C$7="",I672=$C$7),OR($C$8="Semua",$C$8="",C672=$C$8,E672=$C$8),OR($C$9="Semua",$C$9="",D672=$C$9),OR($C$10="",B672&gt;=$C$10),OR($C$11="",B672&lt;=$C$11),OR($C$12&lt;&gt;"Ya",K672&lt;&gt;""),OR($C$13="Semua",$C$13="",L672=$C$13)),"✓","")</f>
        <v/>
      </c>
      <c r="N672" s="93">
        <f>N(N671)+IF(M672="✓",1,0)</f>
        <v/>
      </c>
      <c r="O672" s="93">
        <f>N(O671)+IF(AND(B672&lt;&gt;"",B672&gt;='Uang Riba'!$H$30,B672&lt;='Uang Riba'!$I$30,OR(H672="Dana riba",H672="Pinjam uang riba",I672="Pinjam dari uang riba",I672="Ganti uang riba",I672="Kelebihan ganti dikembalikan",AND(C672="Kantong Uang Riba",G672="Pengeluaran"))),1,0)</f>
        <v/>
      </c>
      <c r="X672" s="93">
        <f>IF(AND(B672&lt;&gt;"",B672&gt;='Buku Akun'!$H$4,B672&lt;='Buku Akun'!$H$5,OR(C672='Buku Akun'!$C$4,AND(D672="Pindah",E672='Buku Akun'!$C$4))),B672+IF(AND(I672="Selisih bunga",DAY(B672)=1),0,0.01)+ROW()/10000000,"")</f>
        <v/>
      </c>
    </row>
    <row r="673" outlineLevel="1" ht="15" customHeight="1" s="94">
      <c r="A673" s="123">
        <f>IF(B673="","",ROW()-15)</f>
        <v/>
      </c>
      <c r="B673" s="124" t="n"/>
      <c r="C673" s="123" t="n"/>
      <c r="D673" s="123" t="n"/>
      <c r="E673" s="123" t="n"/>
      <c r="F673" s="125" t="n"/>
      <c r="G673" s="123" t="n"/>
      <c r="H673" s="123" t="n"/>
      <c r="I673" s="123" t="n"/>
      <c r="J673" s="123" t="n"/>
      <c r="K673" s="123" t="n"/>
      <c r="L673" s="123" t="n"/>
      <c r="M673" s="123">
        <f>IF(AND(B673&lt;&gt;"",OR($C$4="",ISNUMBER(SEARCH($C$4,C673&amp;" "&amp;E673&amp;" "&amp;G673&amp;" "&amp;H673&amp;" "&amp;I673&amp;" "&amp;J673&amp;" "&amp;K673&amp;" "&amp;L673))),OR($C$5="Semua",$C$5="",G673=$C$5),OR($C$6="Semua",$C$6="",H673=$C$6,H673="Pengeluaran "&amp;$C$6,AND($C$6="Uang Kos Mama",H673="Pengeluaran Uang Kos")),OR($C$7="Semua",$C$7="",I673=$C$7),OR($C$8="Semua",$C$8="",C673=$C$8,E673=$C$8),OR($C$9="Semua",$C$9="",D673=$C$9),OR($C$10="",B673&gt;=$C$10),OR($C$11="",B673&lt;=$C$11),OR($C$12&lt;&gt;"Ya",K673&lt;&gt;""),OR($C$13="Semua",$C$13="",L673=$C$13)),"✓","")</f>
        <v/>
      </c>
      <c r="N673" s="93">
        <f>N(N672)+IF(M673="✓",1,0)</f>
        <v/>
      </c>
      <c r="O673" s="93">
        <f>N(O672)+IF(AND(B673&lt;&gt;"",B673&gt;='Uang Riba'!$H$30,B673&lt;='Uang Riba'!$I$30,OR(H673="Dana riba",H673="Pinjam uang riba",I673="Pinjam dari uang riba",I673="Ganti uang riba",I673="Kelebihan ganti dikembalikan",AND(C673="Kantong Uang Riba",G673="Pengeluaran"))),1,0)</f>
        <v/>
      </c>
      <c r="X673" s="93">
        <f>IF(AND(B673&lt;&gt;"",B673&gt;='Buku Akun'!$H$4,B673&lt;='Buku Akun'!$H$5,OR(C673='Buku Akun'!$C$4,AND(D673="Pindah",E673='Buku Akun'!$C$4))),B673+IF(AND(I673="Selisih bunga",DAY(B673)=1),0,0.01)+ROW()/10000000,"")</f>
        <v/>
      </c>
    </row>
    <row r="674" outlineLevel="1" ht="15" customHeight="1" s="94">
      <c r="A674" s="123">
        <f>IF(B674="","",ROW()-15)</f>
        <v/>
      </c>
      <c r="B674" s="124" t="n"/>
      <c r="C674" s="123" t="n"/>
      <c r="D674" s="123" t="n"/>
      <c r="E674" s="123" t="n"/>
      <c r="F674" s="125" t="n"/>
      <c r="G674" s="123" t="n"/>
      <c r="H674" s="123" t="n"/>
      <c r="I674" s="123" t="n"/>
      <c r="J674" s="123" t="n"/>
      <c r="K674" s="123" t="n"/>
      <c r="L674" s="123" t="n"/>
      <c r="M674" s="123">
        <f>IF(AND(B674&lt;&gt;"",OR($C$4="",ISNUMBER(SEARCH($C$4,C674&amp;" "&amp;E674&amp;" "&amp;G674&amp;" "&amp;H674&amp;" "&amp;I674&amp;" "&amp;J674&amp;" "&amp;K674&amp;" "&amp;L674))),OR($C$5="Semua",$C$5="",G674=$C$5),OR($C$6="Semua",$C$6="",H674=$C$6,H674="Pengeluaran "&amp;$C$6,AND($C$6="Uang Kos Mama",H674="Pengeluaran Uang Kos")),OR($C$7="Semua",$C$7="",I674=$C$7),OR($C$8="Semua",$C$8="",C674=$C$8,E674=$C$8),OR($C$9="Semua",$C$9="",D674=$C$9),OR($C$10="",B674&gt;=$C$10),OR($C$11="",B674&lt;=$C$11),OR($C$12&lt;&gt;"Ya",K674&lt;&gt;""),OR($C$13="Semua",$C$13="",L674=$C$13)),"✓","")</f>
        <v/>
      </c>
      <c r="N674" s="93">
        <f>N(N673)+IF(M674="✓",1,0)</f>
        <v/>
      </c>
      <c r="O674" s="93">
        <f>N(O673)+IF(AND(B674&lt;&gt;"",B674&gt;='Uang Riba'!$H$30,B674&lt;='Uang Riba'!$I$30,OR(H674="Dana riba",H674="Pinjam uang riba",I674="Pinjam dari uang riba",I674="Ganti uang riba",I674="Kelebihan ganti dikembalikan",AND(C674="Kantong Uang Riba",G674="Pengeluaran"))),1,0)</f>
        <v/>
      </c>
      <c r="X674" s="93">
        <f>IF(AND(B674&lt;&gt;"",B674&gt;='Buku Akun'!$H$4,B674&lt;='Buku Akun'!$H$5,OR(C674='Buku Akun'!$C$4,AND(D674="Pindah",E674='Buku Akun'!$C$4))),B674+IF(AND(I674="Selisih bunga",DAY(B674)=1),0,0.01)+ROW()/10000000,"")</f>
        <v/>
      </c>
    </row>
    <row r="675" outlineLevel="1" ht="15" customHeight="1" s="94">
      <c r="A675" s="123">
        <f>IF(B675="","",ROW()-15)</f>
        <v/>
      </c>
      <c r="B675" s="124" t="n"/>
      <c r="C675" s="123" t="n"/>
      <c r="D675" s="123" t="n"/>
      <c r="E675" s="123" t="n"/>
      <c r="F675" s="125" t="n"/>
      <c r="G675" s="123" t="n"/>
      <c r="H675" s="123" t="n"/>
      <c r="I675" s="123" t="n"/>
      <c r="J675" s="123" t="n"/>
      <c r="K675" s="123" t="n"/>
      <c r="L675" s="123" t="n"/>
      <c r="M675" s="123">
        <f>IF(AND(B675&lt;&gt;"",OR($C$4="",ISNUMBER(SEARCH($C$4,C675&amp;" "&amp;E675&amp;" "&amp;G675&amp;" "&amp;H675&amp;" "&amp;I675&amp;" "&amp;J675&amp;" "&amp;K675&amp;" "&amp;L675))),OR($C$5="Semua",$C$5="",G675=$C$5),OR($C$6="Semua",$C$6="",H675=$C$6,H675="Pengeluaran "&amp;$C$6,AND($C$6="Uang Kos Mama",H675="Pengeluaran Uang Kos")),OR($C$7="Semua",$C$7="",I675=$C$7),OR($C$8="Semua",$C$8="",C675=$C$8,E675=$C$8),OR($C$9="Semua",$C$9="",D675=$C$9),OR($C$10="",B675&gt;=$C$10),OR($C$11="",B675&lt;=$C$11),OR($C$12&lt;&gt;"Ya",K675&lt;&gt;""),OR($C$13="Semua",$C$13="",L675=$C$13)),"✓","")</f>
        <v/>
      </c>
      <c r="N675" s="93">
        <f>N(N674)+IF(M675="✓",1,0)</f>
        <v/>
      </c>
      <c r="O675" s="93">
        <f>N(O674)+IF(AND(B675&lt;&gt;"",B675&gt;='Uang Riba'!$H$30,B675&lt;='Uang Riba'!$I$30,OR(H675="Dana riba",H675="Pinjam uang riba",I675="Pinjam dari uang riba",I675="Ganti uang riba",I675="Kelebihan ganti dikembalikan",AND(C675="Kantong Uang Riba",G675="Pengeluaran"))),1,0)</f>
        <v/>
      </c>
      <c r="X675" s="93">
        <f>IF(AND(B675&lt;&gt;"",B675&gt;='Buku Akun'!$H$4,B675&lt;='Buku Akun'!$H$5,OR(C675='Buku Akun'!$C$4,AND(D675="Pindah",E675='Buku Akun'!$C$4))),B675+IF(AND(I675="Selisih bunga",DAY(B675)=1),0,0.01)+ROW()/10000000,"")</f>
        <v/>
      </c>
    </row>
    <row r="676" outlineLevel="1" ht="15" customHeight="1" s="94">
      <c r="A676" s="123">
        <f>IF(B676="","",ROW()-15)</f>
        <v/>
      </c>
      <c r="B676" s="124" t="n"/>
      <c r="C676" s="123" t="n"/>
      <c r="D676" s="123" t="n"/>
      <c r="E676" s="123" t="n"/>
      <c r="F676" s="125" t="n"/>
      <c r="G676" s="123" t="n"/>
      <c r="H676" s="123" t="n"/>
      <c r="I676" s="123" t="n"/>
      <c r="J676" s="123" t="n"/>
      <c r="K676" s="123" t="n"/>
      <c r="L676" s="123" t="n"/>
      <c r="M676" s="123">
        <f>IF(AND(B676&lt;&gt;"",OR($C$4="",ISNUMBER(SEARCH($C$4,C676&amp;" "&amp;E676&amp;" "&amp;G676&amp;" "&amp;H676&amp;" "&amp;I676&amp;" "&amp;J676&amp;" "&amp;K676&amp;" "&amp;L676))),OR($C$5="Semua",$C$5="",G676=$C$5),OR($C$6="Semua",$C$6="",H676=$C$6,H676="Pengeluaran "&amp;$C$6,AND($C$6="Uang Kos Mama",H676="Pengeluaran Uang Kos")),OR($C$7="Semua",$C$7="",I676=$C$7),OR($C$8="Semua",$C$8="",C676=$C$8,E676=$C$8),OR($C$9="Semua",$C$9="",D676=$C$9),OR($C$10="",B676&gt;=$C$10),OR($C$11="",B676&lt;=$C$11),OR($C$12&lt;&gt;"Ya",K676&lt;&gt;""),OR($C$13="Semua",$C$13="",L676=$C$13)),"✓","")</f>
        <v/>
      </c>
      <c r="N676" s="93">
        <f>N(N675)+IF(M676="✓",1,0)</f>
        <v/>
      </c>
      <c r="O676" s="93">
        <f>N(O675)+IF(AND(B676&lt;&gt;"",B676&gt;='Uang Riba'!$H$30,B676&lt;='Uang Riba'!$I$30,OR(H676="Dana riba",H676="Pinjam uang riba",I676="Pinjam dari uang riba",I676="Ganti uang riba",I676="Kelebihan ganti dikembalikan",AND(C676="Kantong Uang Riba",G676="Pengeluaran"))),1,0)</f>
        <v/>
      </c>
      <c r="X676" s="93">
        <f>IF(AND(B676&lt;&gt;"",B676&gt;='Buku Akun'!$H$4,B676&lt;='Buku Akun'!$H$5,OR(C676='Buku Akun'!$C$4,AND(D676="Pindah",E676='Buku Akun'!$C$4))),B676+IF(AND(I676="Selisih bunga",DAY(B676)=1),0,0.01)+ROW()/10000000,"")</f>
        <v/>
      </c>
    </row>
    <row r="677" outlineLevel="1" ht="15" customHeight="1" s="94">
      <c r="A677" s="123">
        <f>IF(B677="","",ROW()-15)</f>
        <v/>
      </c>
      <c r="B677" s="124" t="n"/>
      <c r="C677" s="123" t="n"/>
      <c r="D677" s="123" t="n"/>
      <c r="E677" s="123" t="n"/>
      <c r="F677" s="125" t="n"/>
      <c r="G677" s="123" t="n"/>
      <c r="H677" s="123" t="n"/>
      <c r="I677" s="123" t="n"/>
      <c r="J677" s="123" t="n"/>
      <c r="K677" s="123" t="n"/>
      <c r="L677" s="123" t="n"/>
      <c r="M677" s="123">
        <f>IF(AND(B677&lt;&gt;"",OR($C$4="",ISNUMBER(SEARCH($C$4,C677&amp;" "&amp;E677&amp;" "&amp;G677&amp;" "&amp;H677&amp;" "&amp;I677&amp;" "&amp;J677&amp;" "&amp;K677&amp;" "&amp;L677))),OR($C$5="Semua",$C$5="",G677=$C$5),OR($C$6="Semua",$C$6="",H677=$C$6,H677="Pengeluaran "&amp;$C$6,AND($C$6="Uang Kos Mama",H677="Pengeluaran Uang Kos")),OR($C$7="Semua",$C$7="",I677=$C$7),OR($C$8="Semua",$C$8="",C677=$C$8,E677=$C$8),OR($C$9="Semua",$C$9="",D677=$C$9),OR($C$10="",B677&gt;=$C$10),OR($C$11="",B677&lt;=$C$11),OR($C$12&lt;&gt;"Ya",K677&lt;&gt;""),OR($C$13="Semua",$C$13="",L677=$C$13)),"✓","")</f>
        <v/>
      </c>
      <c r="N677" s="93">
        <f>N(N676)+IF(M677="✓",1,0)</f>
        <v/>
      </c>
      <c r="O677" s="93">
        <f>N(O676)+IF(AND(B677&lt;&gt;"",B677&gt;='Uang Riba'!$H$30,B677&lt;='Uang Riba'!$I$30,OR(H677="Dana riba",H677="Pinjam uang riba",I677="Pinjam dari uang riba",I677="Ganti uang riba",I677="Kelebihan ganti dikembalikan",AND(C677="Kantong Uang Riba",G677="Pengeluaran"))),1,0)</f>
        <v/>
      </c>
      <c r="X677" s="93">
        <f>IF(AND(B677&lt;&gt;"",B677&gt;='Buku Akun'!$H$4,B677&lt;='Buku Akun'!$H$5,OR(C677='Buku Akun'!$C$4,AND(D677="Pindah",E677='Buku Akun'!$C$4))),B677+IF(AND(I677="Selisih bunga",DAY(B677)=1),0,0.01)+ROW()/10000000,"")</f>
        <v/>
      </c>
    </row>
    <row r="678" outlineLevel="1" ht="15" customHeight="1" s="94">
      <c r="A678" s="123">
        <f>IF(B678="","",ROW()-15)</f>
        <v/>
      </c>
      <c r="B678" s="124" t="n"/>
      <c r="C678" s="123" t="n"/>
      <c r="D678" s="123" t="n"/>
      <c r="E678" s="123" t="n"/>
      <c r="F678" s="125" t="n"/>
      <c r="G678" s="123" t="n"/>
      <c r="H678" s="123" t="n"/>
      <c r="I678" s="123" t="n"/>
      <c r="J678" s="123" t="n"/>
      <c r="K678" s="123" t="n"/>
      <c r="L678" s="123" t="n"/>
      <c r="M678" s="123">
        <f>IF(AND(B678&lt;&gt;"",OR($C$4="",ISNUMBER(SEARCH($C$4,C678&amp;" "&amp;E678&amp;" "&amp;G678&amp;" "&amp;H678&amp;" "&amp;I678&amp;" "&amp;J678&amp;" "&amp;K678&amp;" "&amp;L678))),OR($C$5="Semua",$C$5="",G678=$C$5),OR($C$6="Semua",$C$6="",H678=$C$6,H678="Pengeluaran "&amp;$C$6,AND($C$6="Uang Kos Mama",H678="Pengeluaran Uang Kos")),OR($C$7="Semua",$C$7="",I678=$C$7),OR($C$8="Semua",$C$8="",C678=$C$8,E678=$C$8),OR($C$9="Semua",$C$9="",D678=$C$9),OR($C$10="",B678&gt;=$C$10),OR($C$11="",B678&lt;=$C$11),OR($C$12&lt;&gt;"Ya",K678&lt;&gt;""),OR($C$13="Semua",$C$13="",L678=$C$13)),"✓","")</f>
        <v/>
      </c>
      <c r="N678" s="93">
        <f>N(N677)+IF(M678="✓",1,0)</f>
        <v/>
      </c>
      <c r="O678" s="93">
        <f>N(O677)+IF(AND(B678&lt;&gt;"",B678&gt;='Uang Riba'!$H$30,B678&lt;='Uang Riba'!$I$30,OR(H678="Dana riba",H678="Pinjam uang riba",I678="Pinjam dari uang riba",I678="Ganti uang riba",I678="Kelebihan ganti dikembalikan",AND(C678="Kantong Uang Riba",G678="Pengeluaran"))),1,0)</f>
        <v/>
      </c>
      <c r="X678" s="93">
        <f>IF(AND(B678&lt;&gt;"",B678&gt;='Buku Akun'!$H$4,B678&lt;='Buku Akun'!$H$5,OR(C678='Buku Akun'!$C$4,AND(D678="Pindah",E678='Buku Akun'!$C$4))),B678+IF(AND(I678="Selisih bunga",DAY(B678)=1),0,0.01)+ROW()/10000000,"")</f>
        <v/>
      </c>
    </row>
    <row r="679" outlineLevel="1" ht="15" customHeight="1" s="94">
      <c r="A679" s="123">
        <f>IF(B679="","",ROW()-15)</f>
        <v/>
      </c>
      <c r="B679" s="124" t="n"/>
      <c r="C679" s="123" t="n"/>
      <c r="D679" s="123" t="n"/>
      <c r="E679" s="123" t="n"/>
      <c r="F679" s="125" t="n"/>
      <c r="G679" s="123" t="n"/>
      <c r="H679" s="123" t="n"/>
      <c r="I679" s="123" t="n"/>
      <c r="J679" s="123" t="n"/>
      <c r="K679" s="123" t="n"/>
      <c r="L679" s="123" t="n"/>
      <c r="M679" s="123">
        <f>IF(AND(B679&lt;&gt;"",OR($C$4="",ISNUMBER(SEARCH($C$4,C679&amp;" "&amp;E679&amp;" "&amp;G679&amp;" "&amp;H679&amp;" "&amp;I679&amp;" "&amp;J679&amp;" "&amp;K679&amp;" "&amp;L679))),OR($C$5="Semua",$C$5="",G679=$C$5),OR($C$6="Semua",$C$6="",H679=$C$6,H679="Pengeluaran "&amp;$C$6,AND($C$6="Uang Kos Mama",H679="Pengeluaran Uang Kos")),OR($C$7="Semua",$C$7="",I679=$C$7),OR($C$8="Semua",$C$8="",C679=$C$8,E679=$C$8),OR($C$9="Semua",$C$9="",D679=$C$9),OR($C$10="",B679&gt;=$C$10),OR($C$11="",B679&lt;=$C$11),OR($C$12&lt;&gt;"Ya",K679&lt;&gt;""),OR($C$13="Semua",$C$13="",L679=$C$13)),"✓","")</f>
        <v/>
      </c>
      <c r="N679" s="93">
        <f>N(N678)+IF(M679="✓",1,0)</f>
        <v/>
      </c>
      <c r="O679" s="93">
        <f>N(O678)+IF(AND(B679&lt;&gt;"",B679&gt;='Uang Riba'!$H$30,B679&lt;='Uang Riba'!$I$30,OR(H679="Dana riba",H679="Pinjam uang riba",I679="Pinjam dari uang riba",I679="Ganti uang riba",I679="Kelebihan ganti dikembalikan",AND(C679="Kantong Uang Riba",G679="Pengeluaran"))),1,0)</f>
        <v/>
      </c>
      <c r="X679" s="93">
        <f>IF(AND(B679&lt;&gt;"",B679&gt;='Buku Akun'!$H$4,B679&lt;='Buku Akun'!$H$5,OR(C679='Buku Akun'!$C$4,AND(D679="Pindah",E679='Buku Akun'!$C$4))),B679+IF(AND(I679="Selisih bunga",DAY(B679)=1),0,0.01)+ROW()/10000000,"")</f>
        <v/>
      </c>
    </row>
    <row r="680" outlineLevel="1" ht="15" customHeight="1" s="94">
      <c r="A680" s="123">
        <f>IF(B680="","",ROW()-15)</f>
        <v/>
      </c>
      <c r="B680" s="124" t="n"/>
      <c r="C680" s="123" t="n"/>
      <c r="D680" s="123" t="n"/>
      <c r="E680" s="123" t="n"/>
      <c r="F680" s="125" t="n"/>
      <c r="G680" s="123" t="n"/>
      <c r="H680" s="123" t="n"/>
      <c r="I680" s="123" t="n"/>
      <c r="J680" s="123" t="n"/>
      <c r="K680" s="123" t="n"/>
      <c r="L680" s="123" t="n"/>
      <c r="M680" s="123">
        <f>IF(AND(B680&lt;&gt;"",OR($C$4="",ISNUMBER(SEARCH($C$4,C680&amp;" "&amp;E680&amp;" "&amp;G680&amp;" "&amp;H680&amp;" "&amp;I680&amp;" "&amp;J680&amp;" "&amp;K680&amp;" "&amp;L680))),OR($C$5="Semua",$C$5="",G680=$C$5),OR($C$6="Semua",$C$6="",H680=$C$6,H680="Pengeluaran "&amp;$C$6,AND($C$6="Uang Kos Mama",H680="Pengeluaran Uang Kos")),OR($C$7="Semua",$C$7="",I680=$C$7),OR($C$8="Semua",$C$8="",C680=$C$8,E680=$C$8),OR($C$9="Semua",$C$9="",D680=$C$9),OR($C$10="",B680&gt;=$C$10),OR($C$11="",B680&lt;=$C$11),OR($C$12&lt;&gt;"Ya",K680&lt;&gt;""),OR($C$13="Semua",$C$13="",L680=$C$13)),"✓","")</f>
        <v/>
      </c>
      <c r="N680" s="93">
        <f>N(N679)+IF(M680="✓",1,0)</f>
        <v/>
      </c>
      <c r="O680" s="93">
        <f>N(O679)+IF(AND(B680&lt;&gt;"",B680&gt;='Uang Riba'!$H$30,B680&lt;='Uang Riba'!$I$30,OR(H680="Dana riba",H680="Pinjam uang riba",I680="Pinjam dari uang riba",I680="Ganti uang riba",I680="Kelebihan ganti dikembalikan",AND(C680="Kantong Uang Riba",G680="Pengeluaran"))),1,0)</f>
        <v/>
      </c>
      <c r="X680" s="93">
        <f>IF(AND(B680&lt;&gt;"",B680&gt;='Buku Akun'!$H$4,B680&lt;='Buku Akun'!$H$5,OR(C680='Buku Akun'!$C$4,AND(D680="Pindah",E680='Buku Akun'!$C$4))),B680+IF(AND(I680="Selisih bunga",DAY(B680)=1),0,0.01)+ROW()/10000000,"")</f>
        <v/>
      </c>
    </row>
    <row r="681" outlineLevel="1" ht="15" customHeight="1" s="94">
      <c r="A681" s="123">
        <f>IF(B681="","",ROW()-15)</f>
        <v/>
      </c>
      <c r="B681" s="124" t="n"/>
      <c r="C681" s="123" t="n"/>
      <c r="D681" s="123" t="n"/>
      <c r="E681" s="123" t="n"/>
      <c r="F681" s="125" t="n"/>
      <c r="G681" s="123" t="n"/>
      <c r="H681" s="123" t="n"/>
      <c r="I681" s="123" t="n"/>
      <c r="J681" s="123" t="n"/>
      <c r="K681" s="123" t="n"/>
      <c r="L681" s="123" t="n"/>
      <c r="M681" s="123">
        <f>IF(AND(B681&lt;&gt;"",OR($C$4="",ISNUMBER(SEARCH($C$4,C681&amp;" "&amp;E681&amp;" "&amp;G681&amp;" "&amp;H681&amp;" "&amp;I681&amp;" "&amp;J681&amp;" "&amp;K681&amp;" "&amp;L681))),OR($C$5="Semua",$C$5="",G681=$C$5),OR($C$6="Semua",$C$6="",H681=$C$6,H681="Pengeluaran "&amp;$C$6,AND($C$6="Uang Kos Mama",H681="Pengeluaran Uang Kos")),OR($C$7="Semua",$C$7="",I681=$C$7),OR($C$8="Semua",$C$8="",C681=$C$8,E681=$C$8),OR($C$9="Semua",$C$9="",D681=$C$9),OR($C$10="",B681&gt;=$C$10),OR($C$11="",B681&lt;=$C$11),OR($C$12&lt;&gt;"Ya",K681&lt;&gt;""),OR($C$13="Semua",$C$13="",L681=$C$13)),"✓","")</f>
        <v/>
      </c>
      <c r="N681" s="93">
        <f>N(N680)+IF(M681="✓",1,0)</f>
        <v/>
      </c>
      <c r="O681" s="93">
        <f>N(O680)+IF(AND(B681&lt;&gt;"",B681&gt;='Uang Riba'!$H$30,B681&lt;='Uang Riba'!$I$30,OR(H681="Dana riba",H681="Pinjam uang riba",I681="Pinjam dari uang riba",I681="Ganti uang riba",I681="Kelebihan ganti dikembalikan",AND(C681="Kantong Uang Riba",G681="Pengeluaran"))),1,0)</f>
        <v/>
      </c>
      <c r="X681" s="93">
        <f>IF(AND(B681&lt;&gt;"",B681&gt;='Buku Akun'!$H$4,B681&lt;='Buku Akun'!$H$5,OR(C681='Buku Akun'!$C$4,AND(D681="Pindah",E681='Buku Akun'!$C$4))),B681+IF(AND(I681="Selisih bunga",DAY(B681)=1),0,0.01)+ROW()/10000000,"")</f>
        <v/>
      </c>
    </row>
    <row r="682" outlineLevel="1" ht="15" customHeight="1" s="94">
      <c r="A682" s="123">
        <f>IF(B682="","",ROW()-15)</f>
        <v/>
      </c>
      <c r="B682" s="124" t="n"/>
      <c r="C682" s="123" t="n"/>
      <c r="D682" s="123" t="n"/>
      <c r="E682" s="123" t="n"/>
      <c r="F682" s="125" t="n"/>
      <c r="G682" s="123" t="n"/>
      <c r="H682" s="123" t="n"/>
      <c r="I682" s="123" t="n"/>
      <c r="J682" s="123" t="n"/>
      <c r="K682" s="123" t="n"/>
      <c r="L682" s="123" t="n"/>
      <c r="M682" s="123">
        <f>IF(AND(B682&lt;&gt;"",OR($C$4="",ISNUMBER(SEARCH($C$4,C682&amp;" "&amp;E682&amp;" "&amp;G682&amp;" "&amp;H682&amp;" "&amp;I682&amp;" "&amp;J682&amp;" "&amp;K682&amp;" "&amp;L682))),OR($C$5="Semua",$C$5="",G682=$C$5),OR($C$6="Semua",$C$6="",H682=$C$6,H682="Pengeluaran "&amp;$C$6,AND($C$6="Uang Kos Mama",H682="Pengeluaran Uang Kos")),OR($C$7="Semua",$C$7="",I682=$C$7),OR($C$8="Semua",$C$8="",C682=$C$8,E682=$C$8),OR($C$9="Semua",$C$9="",D682=$C$9),OR($C$10="",B682&gt;=$C$10),OR($C$11="",B682&lt;=$C$11),OR($C$12&lt;&gt;"Ya",K682&lt;&gt;""),OR($C$13="Semua",$C$13="",L682=$C$13)),"✓","")</f>
        <v/>
      </c>
      <c r="N682" s="93">
        <f>N(N681)+IF(M682="✓",1,0)</f>
        <v/>
      </c>
      <c r="O682" s="93">
        <f>N(O681)+IF(AND(B682&lt;&gt;"",B682&gt;='Uang Riba'!$H$30,B682&lt;='Uang Riba'!$I$30,OR(H682="Dana riba",H682="Pinjam uang riba",I682="Pinjam dari uang riba",I682="Ganti uang riba",I682="Kelebihan ganti dikembalikan",AND(C682="Kantong Uang Riba",G682="Pengeluaran"))),1,0)</f>
        <v/>
      </c>
      <c r="X682" s="93">
        <f>IF(AND(B682&lt;&gt;"",B682&gt;='Buku Akun'!$H$4,B682&lt;='Buku Akun'!$H$5,OR(C682='Buku Akun'!$C$4,AND(D682="Pindah",E682='Buku Akun'!$C$4))),B682+IF(AND(I682="Selisih bunga",DAY(B682)=1),0,0.01)+ROW()/10000000,"")</f>
        <v/>
      </c>
    </row>
    <row r="683" outlineLevel="1" ht="15" customHeight="1" s="94">
      <c r="A683" s="123">
        <f>IF(B683="","",ROW()-15)</f>
        <v/>
      </c>
      <c r="B683" s="124" t="n"/>
      <c r="C683" s="123" t="n"/>
      <c r="D683" s="123" t="n"/>
      <c r="E683" s="123" t="n"/>
      <c r="F683" s="125" t="n"/>
      <c r="G683" s="123" t="n"/>
      <c r="H683" s="123" t="n"/>
      <c r="I683" s="123" t="n"/>
      <c r="J683" s="123" t="n"/>
      <c r="K683" s="123" t="n"/>
      <c r="L683" s="123" t="n"/>
      <c r="M683" s="123">
        <f>IF(AND(B683&lt;&gt;"",OR($C$4="",ISNUMBER(SEARCH($C$4,C683&amp;" "&amp;E683&amp;" "&amp;G683&amp;" "&amp;H683&amp;" "&amp;I683&amp;" "&amp;J683&amp;" "&amp;K683&amp;" "&amp;L683))),OR($C$5="Semua",$C$5="",G683=$C$5),OR($C$6="Semua",$C$6="",H683=$C$6,H683="Pengeluaran "&amp;$C$6,AND($C$6="Uang Kos Mama",H683="Pengeluaran Uang Kos")),OR($C$7="Semua",$C$7="",I683=$C$7),OR($C$8="Semua",$C$8="",C683=$C$8,E683=$C$8),OR($C$9="Semua",$C$9="",D683=$C$9),OR($C$10="",B683&gt;=$C$10),OR($C$11="",B683&lt;=$C$11),OR($C$12&lt;&gt;"Ya",K683&lt;&gt;""),OR($C$13="Semua",$C$13="",L683=$C$13)),"✓","")</f>
        <v/>
      </c>
      <c r="N683" s="93">
        <f>N(N682)+IF(M683="✓",1,0)</f>
        <v/>
      </c>
      <c r="O683" s="93">
        <f>N(O682)+IF(AND(B683&lt;&gt;"",B683&gt;='Uang Riba'!$H$30,B683&lt;='Uang Riba'!$I$30,OR(H683="Dana riba",H683="Pinjam uang riba",I683="Pinjam dari uang riba",I683="Ganti uang riba",I683="Kelebihan ganti dikembalikan",AND(C683="Kantong Uang Riba",G683="Pengeluaran"))),1,0)</f>
        <v/>
      </c>
      <c r="X683" s="93">
        <f>IF(AND(B683&lt;&gt;"",B683&gt;='Buku Akun'!$H$4,B683&lt;='Buku Akun'!$H$5,OR(C683='Buku Akun'!$C$4,AND(D683="Pindah",E683='Buku Akun'!$C$4))),B683+IF(AND(I683="Selisih bunga",DAY(B683)=1),0,0.01)+ROW()/10000000,"")</f>
        <v/>
      </c>
    </row>
    <row r="684" outlineLevel="1" ht="15" customHeight="1" s="94">
      <c r="A684" s="123">
        <f>IF(B684="","",ROW()-15)</f>
        <v/>
      </c>
      <c r="B684" s="124" t="n"/>
      <c r="C684" s="123" t="n"/>
      <c r="D684" s="123" t="n"/>
      <c r="E684" s="123" t="n"/>
      <c r="F684" s="125" t="n"/>
      <c r="G684" s="123" t="n"/>
      <c r="H684" s="123" t="n"/>
      <c r="I684" s="123" t="n"/>
      <c r="J684" s="123" t="n"/>
      <c r="K684" s="123" t="n"/>
      <c r="L684" s="123" t="n"/>
      <c r="M684" s="123">
        <f>IF(AND(B684&lt;&gt;"",OR($C$4="",ISNUMBER(SEARCH($C$4,C684&amp;" "&amp;E684&amp;" "&amp;G684&amp;" "&amp;H684&amp;" "&amp;I684&amp;" "&amp;J684&amp;" "&amp;K684&amp;" "&amp;L684))),OR($C$5="Semua",$C$5="",G684=$C$5),OR($C$6="Semua",$C$6="",H684=$C$6,H684="Pengeluaran "&amp;$C$6,AND($C$6="Uang Kos Mama",H684="Pengeluaran Uang Kos")),OR($C$7="Semua",$C$7="",I684=$C$7),OR($C$8="Semua",$C$8="",C684=$C$8,E684=$C$8),OR($C$9="Semua",$C$9="",D684=$C$9),OR($C$10="",B684&gt;=$C$10),OR($C$11="",B684&lt;=$C$11),OR($C$12&lt;&gt;"Ya",K684&lt;&gt;""),OR($C$13="Semua",$C$13="",L684=$C$13)),"✓","")</f>
        <v/>
      </c>
      <c r="N684" s="93">
        <f>N(N683)+IF(M684="✓",1,0)</f>
        <v/>
      </c>
      <c r="O684" s="93">
        <f>N(O683)+IF(AND(B684&lt;&gt;"",B684&gt;='Uang Riba'!$H$30,B684&lt;='Uang Riba'!$I$30,OR(H684="Dana riba",H684="Pinjam uang riba",I684="Pinjam dari uang riba",I684="Ganti uang riba",I684="Kelebihan ganti dikembalikan",AND(C684="Kantong Uang Riba",G684="Pengeluaran"))),1,0)</f>
        <v/>
      </c>
      <c r="X684" s="93">
        <f>IF(AND(B684&lt;&gt;"",B684&gt;='Buku Akun'!$H$4,B684&lt;='Buku Akun'!$H$5,OR(C684='Buku Akun'!$C$4,AND(D684="Pindah",E684='Buku Akun'!$C$4))),B684+IF(AND(I684="Selisih bunga",DAY(B684)=1),0,0.01)+ROW()/10000000,"")</f>
        <v/>
      </c>
    </row>
    <row r="685" outlineLevel="1" ht="15" customHeight="1" s="94">
      <c r="A685" s="123">
        <f>IF(B685="","",ROW()-15)</f>
        <v/>
      </c>
      <c r="B685" s="124" t="n"/>
      <c r="C685" s="123" t="n"/>
      <c r="D685" s="123" t="n"/>
      <c r="E685" s="123" t="n"/>
      <c r="F685" s="125" t="n"/>
      <c r="G685" s="123" t="n"/>
      <c r="H685" s="123" t="n"/>
      <c r="I685" s="123" t="n"/>
      <c r="J685" s="123" t="n"/>
      <c r="K685" s="123" t="n"/>
      <c r="L685" s="123" t="n"/>
      <c r="M685" s="123">
        <f>IF(AND(B685&lt;&gt;"",OR($C$4="",ISNUMBER(SEARCH($C$4,C685&amp;" "&amp;E685&amp;" "&amp;G685&amp;" "&amp;H685&amp;" "&amp;I685&amp;" "&amp;J685&amp;" "&amp;K685&amp;" "&amp;L685))),OR($C$5="Semua",$C$5="",G685=$C$5),OR($C$6="Semua",$C$6="",H685=$C$6,H685="Pengeluaran "&amp;$C$6,AND($C$6="Uang Kos Mama",H685="Pengeluaran Uang Kos")),OR($C$7="Semua",$C$7="",I685=$C$7),OR($C$8="Semua",$C$8="",C685=$C$8,E685=$C$8),OR($C$9="Semua",$C$9="",D685=$C$9),OR($C$10="",B685&gt;=$C$10),OR($C$11="",B685&lt;=$C$11),OR($C$12&lt;&gt;"Ya",K685&lt;&gt;""),OR($C$13="Semua",$C$13="",L685=$C$13)),"✓","")</f>
        <v/>
      </c>
      <c r="N685" s="93">
        <f>N(N684)+IF(M685="✓",1,0)</f>
        <v/>
      </c>
      <c r="O685" s="93">
        <f>N(O684)+IF(AND(B685&lt;&gt;"",B685&gt;='Uang Riba'!$H$30,B685&lt;='Uang Riba'!$I$30,OR(H685="Dana riba",H685="Pinjam uang riba",I685="Pinjam dari uang riba",I685="Ganti uang riba",I685="Kelebihan ganti dikembalikan",AND(C685="Kantong Uang Riba",G685="Pengeluaran"))),1,0)</f>
        <v/>
      </c>
      <c r="X685" s="93">
        <f>IF(AND(B685&lt;&gt;"",B685&gt;='Buku Akun'!$H$4,B685&lt;='Buku Akun'!$H$5,OR(C685='Buku Akun'!$C$4,AND(D685="Pindah",E685='Buku Akun'!$C$4))),B685+IF(AND(I685="Selisih bunga",DAY(B685)=1),0,0.01)+ROW()/10000000,"")</f>
        <v/>
      </c>
    </row>
    <row r="686" outlineLevel="1" ht="15" customHeight="1" s="94">
      <c r="A686" s="123">
        <f>IF(B686="","",ROW()-15)</f>
        <v/>
      </c>
      <c r="B686" s="124" t="n"/>
      <c r="C686" s="123" t="n"/>
      <c r="D686" s="123" t="n"/>
      <c r="E686" s="123" t="n"/>
      <c r="F686" s="125" t="n"/>
      <c r="G686" s="123" t="n"/>
      <c r="H686" s="123" t="n"/>
      <c r="I686" s="123" t="n"/>
      <c r="J686" s="123" t="n"/>
      <c r="K686" s="123" t="n"/>
      <c r="L686" s="123" t="n"/>
      <c r="M686" s="123">
        <f>IF(AND(B686&lt;&gt;"",OR($C$4="",ISNUMBER(SEARCH($C$4,C686&amp;" "&amp;E686&amp;" "&amp;G686&amp;" "&amp;H686&amp;" "&amp;I686&amp;" "&amp;J686&amp;" "&amp;K686&amp;" "&amp;L686))),OR($C$5="Semua",$C$5="",G686=$C$5),OR($C$6="Semua",$C$6="",H686=$C$6,H686="Pengeluaran "&amp;$C$6,AND($C$6="Uang Kos Mama",H686="Pengeluaran Uang Kos")),OR($C$7="Semua",$C$7="",I686=$C$7),OR($C$8="Semua",$C$8="",C686=$C$8,E686=$C$8),OR($C$9="Semua",$C$9="",D686=$C$9),OR($C$10="",B686&gt;=$C$10),OR($C$11="",B686&lt;=$C$11),OR($C$12&lt;&gt;"Ya",K686&lt;&gt;""),OR($C$13="Semua",$C$13="",L686=$C$13)),"✓","")</f>
        <v/>
      </c>
      <c r="N686" s="93">
        <f>N(N685)+IF(M686="✓",1,0)</f>
        <v/>
      </c>
      <c r="O686" s="93">
        <f>N(O685)+IF(AND(B686&lt;&gt;"",B686&gt;='Uang Riba'!$H$30,B686&lt;='Uang Riba'!$I$30,OR(H686="Dana riba",H686="Pinjam uang riba",I686="Pinjam dari uang riba",I686="Ganti uang riba",I686="Kelebihan ganti dikembalikan",AND(C686="Kantong Uang Riba",G686="Pengeluaran"))),1,0)</f>
        <v/>
      </c>
      <c r="X686" s="93">
        <f>IF(AND(B686&lt;&gt;"",B686&gt;='Buku Akun'!$H$4,B686&lt;='Buku Akun'!$H$5,OR(C686='Buku Akun'!$C$4,AND(D686="Pindah",E686='Buku Akun'!$C$4))),B686+IF(AND(I686="Selisih bunga",DAY(B686)=1),0,0.01)+ROW()/10000000,"")</f>
        <v/>
      </c>
    </row>
    <row r="687" outlineLevel="1" ht="15" customHeight="1" s="94">
      <c r="A687" s="123">
        <f>IF(B687="","",ROW()-15)</f>
        <v/>
      </c>
      <c r="B687" s="124" t="n"/>
      <c r="C687" s="123" t="n"/>
      <c r="D687" s="123" t="n"/>
      <c r="E687" s="123" t="n"/>
      <c r="F687" s="125" t="n"/>
      <c r="G687" s="123" t="n"/>
      <c r="H687" s="123" t="n"/>
      <c r="I687" s="123" t="n"/>
      <c r="J687" s="123" t="n"/>
      <c r="K687" s="123" t="n"/>
      <c r="L687" s="123" t="n"/>
      <c r="M687" s="123">
        <f>IF(AND(B687&lt;&gt;"",OR($C$4="",ISNUMBER(SEARCH($C$4,C687&amp;" "&amp;E687&amp;" "&amp;G687&amp;" "&amp;H687&amp;" "&amp;I687&amp;" "&amp;J687&amp;" "&amp;K687&amp;" "&amp;L687))),OR($C$5="Semua",$C$5="",G687=$C$5),OR($C$6="Semua",$C$6="",H687=$C$6,H687="Pengeluaran "&amp;$C$6,AND($C$6="Uang Kos Mama",H687="Pengeluaran Uang Kos")),OR($C$7="Semua",$C$7="",I687=$C$7),OR($C$8="Semua",$C$8="",C687=$C$8,E687=$C$8),OR($C$9="Semua",$C$9="",D687=$C$9),OR($C$10="",B687&gt;=$C$10),OR($C$11="",B687&lt;=$C$11),OR($C$12&lt;&gt;"Ya",K687&lt;&gt;""),OR($C$13="Semua",$C$13="",L687=$C$13)),"✓","")</f>
        <v/>
      </c>
      <c r="N687" s="93">
        <f>N(N686)+IF(M687="✓",1,0)</f>
        <v/>
      </c>
      <c r="O687" s="93">
        <f>N(O686)+IF(AND(B687&lt;&gt;"",B687&gt;='Uang Riba'!$H$30,B687&lt;='Uang Riba'!$I$30,OR(H687="Dana riba",H687="Pinjam uang riba",I687="Pinjam dari uang riba",I687="Ganti uang riba",I687="Kelebihan ganti dikembalikan",AND(C687="Kantong Uang Riba",G687="Pengeluaran"))),1,0)</f>
        <v/>
      </c>
      <c r="X687" s="93">
        <f>IF(AND(B687&lt;&gt;"",B687&gt;='Buku Akun'!$H$4,B687&lt;='Buku Akun'!$H$5,OR(C687='Buku Akun'!$C$4,AND(D687="Pindah",E687='Buku Akun'!$C$4))),B687+IF(AND(I687="Selisih bunga",DAY(B687)=1),0,0.01)+ROW()/10000000,"")</f>
        <v/>
      </c>
    </row>
    <row r="688" outlineLevel="1" ht="15" customHeight="1" s="94">
      <c r="A688" s="123">
        <f>IF(B688="","",ROW()-15)</f>
        <v/>
      </c>
      <c r="B688" s="124" t="n"/>
      <c r="C688" s="123" t="n"/>
      <c r="D688" s="123" t="n"/>
      <c r="E688" s="123" t="n"/>
      <c r="F688" s="125" t="n"/>
      <c r="G688" s="123" t="n"/>
      <c r="H688" s="123" t="n"/>
      <c r="I688" s="123" t="n"/>
      <c r="J688" s="123" t="n"/>
      <c r="K688" s="123" t="n"/>
      <c r="L688" s="123" t="n"/>
      <c r="M688" s="123">
        <f>IF(AND(B688&lt;&gt;"",OR($C$4="",ISNUMBER(SEARCH($C$4,C688&amp;" "&amp;E688&amp;" "&amp;G688&amp;" "&amp;H688&amp;" "&amp;I688&amp;" "&amp;J688&amp;" "&amp;K688&amp;" "&amp;L688))),OR($C$5="Semua",$C$5="",G688=$C$5),OR($C$6="Semua",$C$6="",H688=$C$6,H688="Pengeluaran "&amp;$C$6,AND($C$6="Uang Kos Mama",H688="Pengeluaran Uang Kos")),OR($C$7="Semua",$C$7="",I688=$C$7),OR($C$8="Semua",$C$8="",C688=$C$8,E688=$C$8),OR($C$9="Semua",$C$9="",D688=$C$9),OR($C$10="",B688&gt;=$C$10),OR($C$11="",B688&lt;=$C$11),OR($C$12&lt;&gt;"Ya",K688&lt;&gt;""),OR($C$13="Semua",$C$13="",L688=$C$13)),"✓","")</f>
        <v/>
      </c>
      <c r="N688" s="93">
        <f>N(N687)+IF(M688="✓",1,0)</f>
        <v/>
      </c>
      <c r="O688" s="93">
        <f>N(O687)+IF(AND(B688&lt;&gt;"",B688&gt;='Uang Riba'!$H$30,B688&lt;='Uang Riba'!$I$30,OR(H688="Dana riba",H688="Pinjam uang riba",I688="Pinjam dari uang riba",I688="Ganti uang riba",I688="Kelebihan ganti dikembalikan",AND(C688="Kantong Uang Riba",G688="Pengeluaran"))),1,0)</f>
        <v/>
      </c>
      <c r="X688" s="93">
        <f>IF(AND(B688&lt;&gt;"",B688&gt;='Buku Akun'!$H$4,B688&lt;='Buku Akun'!$H$5,OR(C688='Buku Akun'!$C$4,AND(D688="Pindah",E688='Buku Akun'!$C$4))),B688+IF(AND(I688="Selisih bunga",DAY(B688)=1),0,0.01)+ROW()/10000000,"")</f>
        <v/>
      </c>
    </row>
    <row r="689" outlineLevel="1" ht="15" customHeight="1" s="94">
      <c r="A689" s="123">
        <f>IF(B689="","",ROW()-15)</f>
        <v/>
      </c>
      <c r="B689" s="124" t="n"/>
      <c r="C689" s="123" t="n"/>
      <c r="D689" s="123" t="n"/>
      <c r="E689" s="123" t="n"/>
      <c r="F689" s="125" t="n"/>
      <c r="G689" s="123" t="n"/>
      <c r="H689" s="123" t="n"/>
      <c r="I689" s="123" t="n"/>
      <c r="J689" s="123" t="n"/>
      <c r="K689" s="123" t="n"/>
      <c r="L689" s="123" t="n"/>
      <c r="M689" s="123">
        <f>IF(AND(B689&lt;&gt;"",OR($C$4="",ISNUMBER(SEARCH($C$4,C689&amp;" "&amp;E689&amp;" "&amp;G689&amp;" "&amp;H689&amp;" "&amp;I689&amp;" "&amp;J689&amp;" "&amp;K689&amp;" "&amp;L689))),OR($C$5="Semua",$C$5="",G689=$C$5),OR($C$6="Semua",$C$6="",H689=$C$6,H689="Pengeluaran "&amp;$C$6,AND($C$6="Uang Kos Mama",H689="Pengeluaran Uang Kos")),OR($C$7="Semua",$C$7="",I689=$C$7),OR($C$8="Semua",$C$8="",C689=$C$8,E689=$C$8),OR($C$9="Semua",$C$9="",D689=$C$9),OR($C$10="",B689&gt;=$C$10),OR($C$11="",B689&lt;=$C$11),OR($C$12&lt;&gt;"Ya",K689&lt;&gt;""),OR($C$13="Semua",$C$13="",L689=$C$13)),"✓","")</f>
        <v/>
      </c>
      <c r="N689" s="93">
        <f>N(N688)+IF(M689="✓",1,0)</f>
        <v/>
      </c>
      <c r="O689" s="93">
        <f>N(O688)+IF(AND(B689&lt;&gt;"",B689&gt;='Uang Riba'!$H$30,B689&lt;='Uang Riba'!$I$30,OR(H689="Dana riba",H689="Pinjam uang riba",I689="Pinjam dari uang riba",I689="Ganti uang riba",I689="Kelebihan ganti dikembalikan",AND(C689="Kantong Uang Riba",G689="Pengeluaran"))),1,0)</f>
        <v/>
      </c>
      <c r="X689" s="93">
        <f>IF(AND(B689&lt;&gt;"",B689&gt;='Buku Akun'!$H$4,B689&lt;='Buku Akun'!$H$5,OR(C689='Buku Akun'!$C$4,AND(D689="Pindah",E689='Buku Akun'!$C$4))),B689+IF(AND(I689="Selisih bunga",DAY(B689)=1),0,0.01)+ROW()/10000000,"")</f>
        <v/>
      </c>
    </row>
    <row r="690" outlineLevel="1" ht="15" customHeight="1" s="94">
      <c r="A690" s="123">
        <f>IF(B690="","",ROW()-15)</f>
        <v/>
      </c>
      <c r="B690" s="124" t="n"/>
      <c r="C690" s="123" t="n"/>
      <c r="D690" s="123" t="n"/>
      <c r="E690" s="123" t="n"/>
      <c r="F690" s="125" t="n"/>
      <c r="G690" s="123" t="n"/>
      <c r="H690" s="123" t="n"/>
      <c r="I690" s="123" t="n"/>
      <c r="J690" s="123" t="n"/>
      <c r="K690" s="123" t="n"/>
      <c r="L690" s="123" t="n"/>
      <c r="M690" s="123">
        <f>IF(AND(B690&lt;&gt;"",OR($C$4="",ISNUMBER(SEARCH($C$4,C690&amp;" "&amp;E690&amp;" "&amp;G690&amp;" "&amp;H690&amp;" "&amp;I690&amp;" "&amp;J690&amp;" "&amp;K690&amp;" "&amp;L690))),OR($C$5="Semua",$C$5="",G690=$C$5),OR($C$6="Semua",$C$6="",H690=$C$6,H690="Pengeluaran "&amp;$C$6,AND($C$6="Uang Kos Mama",H690="Pengeluaran Uang Kos")),OR($C$7="Semua",$C$7="",I690=$C$7),OR($C$8="Semua",$C$8="",C690=$C$8,E690=$C$8),OR($C$9="Semua",$C$9="",D690=$C$9),OR($C$10="",B690&gt;=$C$10),OR($C$11="",B690&lt;=$C$11),OR($C$12&lt;&gt;"Ya",K690&lt;&gt;""),OR($C$13="Semua",$C$13="",L690=$C$13)),"✓","")</f>
        <v/>
      </c>
      <c r="N690" s="93">
        <f>N(N689)+IF(M690="✓",1,0)</f>
        <v/>
      </c>
      <c r="O690" s="93">
        <f>N(O689)+IF(AND(B690&lt;&gt;"",B690&gt;='Uang Riba'!$H$30,B690&lt;='Uang Riba'!$I$30,OR(H690="Dana riba",H690="Pinjam uang riba",I690="Pinjam dari uang riba",I690="Ganti uang riba",I690="Kelebihan ganti dikembalikan",AND(C690="Kantong Uang Riba",G690="Pengeluaran"))),1,0)</f>
        <v/>
      </c>
      <c r="X690" s="93">
        <f>IF(AND(B690&lt;&gt;"",B690&gt;='Buku Akun'!$H$4,B690&lt;='Buku Akun'!$H$5,OR(C690='Buku Akun'!$C$4,AND(D690="Pindah",E690='Buku Akun'!$C$4))),B690+IF(AND(I690="Selisih bunga",DAY(B690)=1),0,0.01)+ROW()/10000000,"")</f>
        <v/>
      </c>
    </row>
    <row r="691" outlineLevel="1" ht="15" customHeight="1" s="94">
      <c r="A691" s="123">
        <f>IF(B691="","",ROW()-15)</f>
        <v/>
      </c>
      <c r="B691" s="124" t="n"/>
      <c r="C691" s="123" t="n"/>
      <c r="D691" s="123" t="n"/>
      <c r="E691" s="123" t="n"/>
      <c r="F691" s="125" t="n"/>
      <c r="G691" s="123" t="n"/>
      <c r="H691" s="123" t="n"/>
      <c r="I691" s="123" t="n"/>
      <c r="J691" s="123" t="n"/>
      <c r="K691" s="123" t="n"/>
      <c r="L691" s="123" t="n"/>
      <c r="M691" s="123">
        <f>IF(AND(B691&lt;&gt;"",OR($C$4="",ISNUMBER(SEARCH($C$4,C691&amp;" "&amp;E691&amp;" "&amp;G691&amp;" "&amp;H691&amp;" "&amp;I691&amp;" "&amp;J691&amp;" "&amp;K691&amp;" "&amp;L691))),OR($C$5="Semua",$C$5="",G691=$C$5),OR($C$6="Semua",$C$6="",H691=$C$6,H691="Pengeluaran "&amp;$C$6,AND($C$6="Uang Kos Mama",H691="Pengeluaran Uang Kos")),OR($C$7="Semua",$C$7="",I691=$C$7),OR($C$8="Semua",$C$8="",C691=$C$8,E691=$C$8),OR($C$9="Semua",$C$9="",D691=$C$9),OR($C$10="",B691&gt;=$C$10),OR($C$11="",B691&lt;=$C$11),OR($C$12&lt;&gt;"Ya",K691&lt;&gt;""),OR($C$13="Semua",$C$13="",L691=$C$13)),"✓","")</f>
        <v/>
      </c>
      <c r="N691" s="93">
        <f>N(N690)+IF(M691="✓",1,0)</f>
        <v/>
      </c>
      <c r="O691" s="93">
        <f>N(O690)+IF(AND(B691&lt;&gt;"",B691&gt;='Uang Riba'!$H$30,B691&lt;='Uang Riba'!$I$30,OR(H691="Dana riba",H691="Pinjam uang riba",I691="Pinjam dari uang riba",I691="Ganti uang riba",I691="Kelebihan ganti dikembalikan",AND(C691="Kantong Uang Riba",G691="Pengeluaran"))),1,0)</f>
        <v/>
      </c>
      <c r="X691" s="93">
        <f>IF(AND(B691&lt;&gt;"",B691&gt;='Buku Akun'!$H$4,B691&lt;='Buku Akun'!$H$5,OR(C691='Buku Akun'!$C$4,AND(D691="Pindah",E691='Buku Akun'!$C$4))),B691+IF(AND(I691="Selisih bunga",DAY(B691)=1),0,0.01)+ROW()/10000000,"")</f>
        <v/>
      </c>
    </row>
    <row r="692" outlineLevel="1" ht="15" customHeight="1" s="94">
      <c r="A692" s="123">
        <f>IF(B692="","",ROW()-15)</f>
        <v/>
      </c>
      <c r="B692" s="124" t="n"/>
      <c r="C692" s="123" t="n"/>
      <c r="D692" s="123" t="n"/>
      <c r="E692" s="123" t="n"/>
      <c r="F692" s="125" t="n"/>
      <c r="G692" s="123" t="n"/>
      <c r="H692" s="123" t="n"/>
      <c r="I692" s="123" t="n"/>
      <c r="J692" s="123" t="n"/>
      <c r="K692" s="123" t="n"/>
      <c r="L692" s="123" t="n"/>
      <c r="M692" s="123">
        <f>IF(AND(B692&lt;&gt;"",OR($C$4="",ISNUMBER(SEARCH($C$4,C692&amp;" "&amp;E692&amp;" "&amp;G692&amp;" "&amp;H692&amp;" "&amp;I692&amp;" "&amp;J692&amp;" "&amp;K692&amp;" "&amp;L692))),OR($C$5="Semua",$C$5="",G692=$C$5),OR($C$6="Semua",$C$6="",H692=$C$6,H692="Pengeluaran "&amp;$C$6,AND($C$6="Uang Kos Mama",H692="Pengeluaran Uang Kos")),OR($C$7="Semua",$C$7="",I692=$C$7),OR($C$8="Semua",$C$8="",C692=$C$8,E692=$C$8),OR($C$9="Semua",$C$9="",D692=$C$9),OR($C$10="",B692&gt;=$C$10),OR($C$11="",B692&lt;=$C$11),OR($C$12&lt;&gt;"Ya",K692&lt;&gt;""),OR($C$13="Semua",$C$13="",L692=$C$13)),"✓","")</f>
        <v/>
      </c>
      <c r="N692" s="93">
        <f>N(N691)+IF(M692="✓",1,0)</f>
        <v/>
      </c>
      <c r="O692" s="93">
        <f>N(O691)+IF(AND(B692&lt;&gt;"",B692&gt;='Uang Riba'!$H$30,B692&lt;='Uang Riba'!$I$30,OR(H692="Dana riba",H692="Pinjam uang riba",I692="Pinjam dari uang riba",I692="Ganti uang riba",I692="Kelebihan ganti dikembalikan",AND(C692="Kantong Uang Riba",G692="Pengeluaran"))),1,0)</f>
        <v/>
      </c>
      <c r="X692" s="93">
        <f>IF(AND(B692&lt;&gt;"",B692&gt;='Buku Akun'!$H$4,B692&lt;='Buku Akun'!$H$5,OR(C692='Buku Akun'!$C$4,AND(D692="Pindah",E692='Buku Akun'!$C$4))),B692+IF(AND(I692="Selisih bunga",DAY(B692)=1),0,0.01)+ROW()/10000000,"")</f>
        <v/>
      </c>
    </row>
    <row r="693" outlineLevel="1" ht="15" customHeight="1" s="94">
      <c r="A693" s="123">
        <f>IF(B693="","",ROW()-15)</f>
        <v/>
      </c>
      <c r="B693" s="124" t="n"/>
      <c r="C693" s="123" t="n"/>
      <c r="D693" s="123" t="n"/>
      <c r="E693" s="123" t="n"/>
      <c r="F693" s="125" t="n"/>
      <c r="G693" s="123" t="n"/>
      <c r="H693" s="123" t="n"/>
      <c r="I693" s="123" t="n"/>
      <c r="J693" s="123" t="n"/>
      <c r="K693" s="123" t="n"/>
      <c r="L693" s="123" t="n"/>
      <c r="M693" s="123">
        <f>IF(AND(B693&lt;&gt;"",OR($C$4="",ISNUMBER(SEARCH($C$4,C693&amp;" "&amp;E693&amp;" "&amp;G693&amp;" "&amp;H693&amp;" "&amp;I693&amp;" "&amp;J693&amp;" "&amp;K693&amp;" "&amp;L693))),OR($C$5="Semua",$C$5="",G693=$C$5),OR($C$6="Semua",$C$6="",H693=$C$6,H693="Pengeluaran "&amp;$C$6,AND($C$6="Uang Kos Mama",H693="Pengeluaran Uang Kos")),OR($C$7="Semua",$C$7="",I693=$C$7),OR($C$8="Semua",$C$8="",C693=$C$8,E693=$C$8),OR($C$9="Semua",$C$9="",D693=$C$9),OR($C$10="",B693&gt;=$C$10),OR($C$11="",B693&lt;=$C$11),OR($C$12&lt;&gt;"Ya",K693&lt;&gt;""),OR($C$13="Semua",$C$13="",L693=$C$13)),"✓","")</f>
        <v/>
      </c>
      <c r="N693" s="93">
        <f>N(N692)+IF(M693="✓",1,0)</f>
        <v/>
      </c>
      <c r="O693" s="93">
        <f>N(O692)+IF(AND(B693&lt;&gt;"",B693&gt;='Uang Riba'!$H$30,B693&lt;='Uang Riba'!$I$30,OR(H693="Dana riba",H693="Pinjam uang riba",I693="Pinjam dari uang riba",I693="Ganti uang riba",I693="Kelebihan ganti dikembalikan",AND(C693="Kantong Uang Riba",G693="Pengeluaran"))),1,0)</f>
        <v/>
      </c>
      <c r="X693" s="93">
        <f>IF(AND(B693&lt;&gt;"",B693&gt;='Buku Akun'!$H$4,B693&lt;='Buku Akun'!$H$5,OR(C693='Buku Akun'!$C$4,AND(D693="Pindah",E693='Buku Akun'!$C$4))),B693+IF(AND(I693="Selisih bunga",DAY(B693)=1),0,0.01)+ROW()/10000000,"")</f>
        <v/>
      </c>
    </row>
    <row r="694" outlineLevel="1" ht="15" customHeight="1" s="94">
      <c r="A694" s="123">
        <f>IF(B694="","",ROW()-15)</f>
        <v/>
      </c>
      <c r="B694" s="124" t="n"/>
      <c r="C694" s="123" t="n"/>
      <c r="D694" s="123" t="n"/>
      <c r="E694" s="123" t="n"/>
      <c r="F694" s="125" t="n"/>
      <c r="G694" s="123" t="n"/>
      <c r="H694" s="123" t="n"/>
      <c r="I694" s="123" t="n"/>
      <c r="J694" s="123" t="n"/>
      <c r="K694" s="123" t="n"/>
      <c r="L694" s="123" t="n"/>
      <c r="M694" s="123">
        <f>IF(AND(B694&lt;&gt;"",OR($C$4="",ISNUMBER(SEARCH($C$4,C694&amp;" "&amp;E694&amp;" "&amp;G694&amp;" "&amp;H694&amp;" "&amp;I694&amp;" "&amp;J694&amp;" "&amp;K694&amp;" "&amp;L694))),OR($C$5="Semua",$C$5="",G694=$C$5),OR($C$6="Semua",$C$6="",H694=$C$6,H694="Pengeluaran "&amp;$C$6,AND($C$6="Uang Kos Mama",H694="Pengeluaran Uang Kos")),OR($C$7="Semua",$C$7="",I694=$C$7),OR($C$8="Semua",$C$8="",C694=$C$8,E694=$C$8),OR($C$9="Semua",$C$9="",D694=$C$9),OR($C$10="",B694&gt;=$C$10),OR($C$11="",B694&lt;=$C$11),OR($C$12&lt;&gt;"Ya",K694&lt;&gt;""),OR($C$13="Semua",$C$13="",L694=$C$13)),"✓","")</f>
        <v/>
      </c>
      <c r="N694" s="93">
        <f>N(N693)+IF(M694="✓",1,0)</f>
        <v/>
      </c>
      <c r="O694" s="93">
        <f>N(O693)+IF(AND(B694&lt;&gt;"",B694&gt;='Uang Riba'!$H$30,B694&lt;='Uang Riba'!$I$30,OR(H694="Dana riba",H694="Pinjam uang riba",I694="Pinjam dari uang riba",I694="Ganti uang riba",I694="Kelebihan ganti dikembalikan",AND(C694="Kantong Uang Riba",G694="Pengeluaran"))),1,0)</f>
        <v/>
      </c>
      <c r="X694" s="93">
        <f>IF(AND(B694&lt;&gt;"",B694&gt;='Buku Akun'!$H$4,B694&lt;='Buku Akun'!$H$5,OR(C694='Buku Akun'!$C$4,AND(D694="Pindah",E694='Buku Akun'!$C$4))),B694+IF(AND(I694="Selisih bunga",DAY(B694)=1),0,0.01)+ROW()/10000000,"")</f>
        <v/>
      </c>
    </row>
    <row r="695" outlineLevel="1" ht="15" customHeight="1" s="94">
      <c r="A695" s="123">
        <f>IF(B695="","",ROW()-15)</f>
        <v/>
      </c>
      <c r="B695" s="124" t="n"/>
      <c r="C695" s="123" t="n"/>
      <c r="D695" s="123" t="n"/>
      <c r="E695" s="123" t="n"/>
      <c r="F695" s="125" t="n"/>
      <c r="G695" s="123" t="n"/>
      <c r="H695" s="123" t="n"/>
      <c r="I695" s="123" t="n"/>
      <c r="J695" s="123" t="n"/>
      <c r="K695" s="123" t="n"/>
      <c r="L695" s="123" t="n"/>
      <c r="M695" s="123">
        <f>IF(AND(B695&lt;&gt;"",OR($C$4="",ISNUMBER(SEARCH($C$4,C695&amp;" "&amp;E695&amp;" "&amp;G695&amp;" "&amp;H695&amp;" "&amp;I695&amp;" "&amp;J695&amp;" "&amp;K695&amp;" "&amp;L695))),OR($C$5="Semua",$C$5="",G695=$C$5),OR($C$6="Semua",$C$6="",H695=$C$6,H695="Pengeluaran "&amp;$C$6,AND($C$6="Uang Kos Mama",H695="Pengeluaran Uang Kos")),OR($C$7="Semua",$C$7="",I695=$C$7),OR($C$8="Semua",$C$8="",C695=$C$8,E695=$C$8),OR($C$9="Semua",$C$9="",D695=$C$9),OR($C$10="",B695&gt;=$C$10),OR($C$11="",B695&lt;=$C$11),OR($C$12&lt;&gt;"Ya",K695&lt;&gt;""),OR($C$13="Semua",$C$13="",L695=$C$13)),"✓","")</f>
        <v/>
      </c>
      <c r="N695" s="93">
        <f>N(N694)+IF(M695="✓",1,0)</f>
        <v/>
      </c>
      <c r="O695" s="93">
        <f>N(O694)+IF(AND(B695&lt;&gt;"",B695&gt;='Uang Riba'!$H$30,B695&lt;='Uang Riba'!$I$30,OR(H695="Dana riba",H695="Pinjam uang riba",I695="Pinjam dari uang riba",I695="Ganti uang riba",I695="Kelebihan ganti dikembalikan",AND(C695="Kantong Uang Riba",G695="Pengeluaran"))),1,0)</f>
        <v/>
      </c>
      <c r="X695" s="93">
        <f>IF(AND(B695&lt;&gt;"",B695&gt;='Buku Akun'!$H$4,B695&lt;='Buku Akun'!$H$5,OR(C695='Buku Akun'!$C$4,AND(D695="Pindah",E695='Buku Akun'!$C$4))),B695+IF(AND(I695="Selisih bunga",DAY(B695)=1),0,0.01)+ROW()/10000000,"")</f>
        <v/>
      </c>
    </row>
    <row r="696" outlineLevel="1" ht="15" customHeight="1" s="94">
      <c r="A696" s="123">
        <f>IF(B696="","",ROW()-15)</f>
        <v/>
      </c>
      <c r="B696" s="124" t="n"/>
      <c r="C696" s="123" t="n"/>
      <c r="D696" s="123" t="n"/>
      <c r="E696" s="123" t="n"/>
      <c r="F696" s="125" t="n"/>
      <c r="G696" s="123" t="n"/>
      <c r="H696" s="123" t="n"/>
      <c r="I696" s="123" t="n"/>
      <c r="J696" s="123" t="n"/>
      <c r="K696" s="123" t="n"/>
      <c r="L696" s="123" t="n"/>
      <c r="M696" s="123">
        <f>IF(AND(B696&lt;&gt;"",OR($C$4="",ISNUMBER(SEARCH($C$4,C696&amp;" "&amp;E696&amp;" "&amp;G696&amp;" "&amp;H696&amp;" "&amp;I696&amp;" "&amp;J696&amp;" "&amp;K696&amp;" "&amp;L696))),OR($C$5="Semua",$C$5="",G696=$C$5),OR($C$6="Semua",$C$6="",H696=$C$6,H696="Pengeluaran "&amp;$C$6,AND($C$6="Uang Kos Mama",H696="Pengeluaran Uang Kos")),OR($C$7="Semua",$C$7="",I696=$C$7),OR($C$8="Semua",$C$8="",C696=$C$8,E696=$C$8),OR($C$9="Semua",$C$9="",D696=$C$9),OR($C$10="",B696&gt;=$C$10),OR($C$11="",B696&lt;=$C$11),OR($C$12&lt;&gt;"Ya",K696&lt;&gt;""),OR($C$13="Semua",$C$13="",L696=$C$13)),"✓","")</f>
        <v/>
      </c>
      <c r="N696" s="93">
        <f>N(N695)+IF(M696="✓",1,0)</f>
        <v/>
      </c>
      <c r="O696" s="93">
        <f>N(O695)+IF(AND(B696&lt;&gt;"",B696&gt;='Uang Riba'!$H$30,B696&lt;='Uang Riba'!$I$30,OR(H696="Dana riba",H696="Pinjam uang riba",I696="Pinjam dari uang riba",I696="Ganti uang riba",I696="Kelebihan ganti dikembalikan",AND(C696="Kantong Uang Riba",G696="Pengeluaran"))),1,0)</f>
        <v/>
      </c>
      <c r="X696" s="93">
        <f>IF(AND(B696&lt;&gt;"",B696&gt;='Buku Akun'!$H$4,B696&lt;='Buku Akun'!$H$5,OR(C696='Buku Akun'!$C$4,AND(D696="Pindah",E696='Buku Akun'!$C$4))),B696+IF(AND(I696="Selisih bunga",DAY(B696)=1),0,0.01)+ROW()/10000000,"")</f>
        <v/>
      </c>
    </row>
    <row r="697" outlineLevel="1" ht="15" customHeight="1" s="94">
      <c r="A697" s="123">
        <f>IF(B697="","",ROW()-15)</f>
        <v/>
      </c>
      <c r="B697" s="124" t="n"/>
      <c r="C697" s="123" t="n"/>
      <c r="D697" s="123" t="n"/>
      <c r="E697" s="123" t="n"/>
      <c r="F697" s="125" t="n"/>
      <c r="G697" s="123" t="n"/>
      <c r="H697" s="123" t="n"/>
      <c r="I697" s="123" t="n"/>
      <c r="J697" s="123" t="n"/>
      <c r="K697" s="123" t="n"/>
      <c r="L697" s="123" t="n"/>
      <c r="M697" s="123">
        <f>IF(AND(B697&lt;&gt;"",OR($C$4="",ISNUMBER(SEARCH($C$4,C697&amp;" "&amp;E697&amp;" "&amp;G697&amp;" "&amp;H697&amp;" "&amp;I697&amp;" "&amp;J697&amp;" "&amp;K697&amp;" "&amp;L697))),OR($C$5="Semua",$C$5="",G697=$C$5),OR($C$6="Semua",$C$6="",H697=$C$6,H697="Pengeluaran "&amp;$C$6,AND($C$6="Uang Kos Mama",H697="Pengeluaran Uang Kos")),OR($C$7="Semua",$C$7="",I697=$C$7),OR($C$8="Semua",$C$8="",C697=$C$8,E697=$C$8),OR($C$9="Semua",$C$9="",D697=$C$9),OR($C$10="",B697&gt;=$C$10),OR($C$11="",B697&lt;=$C$11),OR($C$12&lt;&gt;"Ya",K697&lt;&gt;""),OR($C$13="Semua",$C$13="",L697=$C$13)),"✓","")</f>
        <v/>
      </c>
      <c r="N697" s="93">
        <f>N(N696)+IF(M697="✓",1,0)</f>
        <v/>
      </c>
      <c r="O697" s="93">
        <f>N(O696)+IF(AND(B697&lt;&gt;"",B697&gt;='Uang Riba'!$H$30,B697&lt;='Uang Riba'!$I$30,OR(H697="Dana riba",H697="Pinjam uang riba",I697="Pinjam dari uang riba",I697="Ganti uang riba",I697="Kelebihan ganti dikembalikan",AND(C697="Kantong Uang Riba",G697="Pengeluaran"))),1,0)</f>
        <v/>
      </c>
      <c r="X697" s="93">
        <f>IF(AND(B697&lt;&gt;"",B697&gt;='Buku Akun'!$H$4,B697&lt;='Buku Akun'!$H$5,OR(C697='Buku Akun'!$C$4,AND(D697="Pindah",E697='Buku Akun'!$C$4))),B697+IF(AND(I697="Selisih bunga",DAY(B697)=1),0,0.01)+ROW()/10000000,"")</f>
        <v/>
      </c>
    </row>
    <row r="698" outlineLevel="1" ht="15" customHeight="1" s="94">
      <c r="A698" s="123">
        <f>IF(B698="","",ROW()-15)</f>
        <v/>
      </c>
      <c r="B698" s="124" t="n"/>
      <c r="C698" s="123" t="n"/>
      <c r="D698" s="123" t="n"/>
      <c r="E698" s="123" t="n"/>
      <c r="F698" s="125" t="n"/>
      <c r="G698" s="123" t="n"/>
      <c r="H698" s="123" t="n"/>
      <c r="I698" s="123" t="n"/>
      <c r="J698" s="123" t="n"/>
      <c r="K698" s="123" t="n"/>
      <c r="L698" s="123" t="n"/>
      <c r="M698" s="123">
        <f>IF(AND(B698&lt;&gt;"",OR($C$4="",ISNUMBER(SEARCH($C$4,C698&amp;" "&amp;E698&amp;" "&amp;G698&amp;" "&amp;H698&amp;" "&amp;I698&amp;" "&amp;J698&amp;" "&amp;K698&amp;" "&amp;L698))),OR($C$5="Semua",$C$5="",G698=$C$5),OR($C$6="Semua",$C$6="",H698=$C$6,H698="Pengeluaran "&amp;$C$6,AND($C$6="Uang Kos Mama",H698="Pengeluaran Uang Kos")),OR($C$7="Semua",$C$7="",I698=$C$7),OR($C$8="Semua",$C$8="",C698=$C$8,E698=$C$8),OR($C$9="Semua",$C$9="",D698=$C$9),OR($C$10="",B698&gt;=$C$10),OR($C$11="",B698&lt;=$C$11),OR($C$12&lt;&gt;"Ya",K698&lt;&gt;""),OR($C$13="Semua",$C$13="",L698=$C$13)),"✓","")</f>
        <v/>
      </c>
      <c r="N698" s="93">
        <f>N(N697)+IF(M698="✓",1,0)</f>
        <v/>
      </c>
      <c r="O698" s="93">
        <f>N(O697)+IF(AND(B698&lt;&gt;"",B698&gt;='Uang Riba'!$H$30,B698&lt;='Uang Riba'!$I$30,OR(H698="Dana riba",H698="Pinjam uang riba",I698="Pinjam dari uang riba",I698="Ganti uang riba",I698="Kelebihan ganti dikembalikan",AND(C698="Kantong Uang Riba",G698="Pengeluaran"))),1,0)</f>
        <v/>
      </c>
      <c r="X698" s="93">
        <f>IF(AND(B698&lt;&gt;"",B698&gt;='Buku Akun'!$H$4,B698&lt;='Buku Akun'!$H$5,OR(C698='Buku Akun'!$C$4,AND(D698="Pindah",E698='Buku Akun'!$C$4))),B698+IF(AND(I698="Selisih bunga",DAY(B698)=1),0,0.01)+ROW()/10000000,"")</f>
        <v/>
      </c>
    </row>
    <row r="699" outlineLevel="1" ht="15" customHeight="1" s="94">
      <c r="A699" s="123">
        <f>IF(B699="","",ROW()-15)</f>
        <v/>
      </c>
      <c r="B699" s="124" t="n"/>
      <c r="C699" s="123" t="n"/>
      <c r="D699" s="123" t="n"/>
      <c r="E699" s="123" t="n"/>
      <c r="F699" s="125" t="n"/>
      <c r="G699" s="123" t="n"/>
      <c r="H699" s="123" t="n"/>
      <c r="I699" s="123" t="n"/>
      <c r="J699" s="123" t="n"/>
      <c r="K699" s="123" t="n"/>
      <c r="L699" s="123" t="n"/>
      <c r="M699" s="123">
        <f>IF(AND(B699&lt;&gt;"",OR($C$4="",ISNUMBER(SEARCH($C$4,C699&amp;" "&amp;E699&amp;" "&amp;G699&amp;" "&amp;H699&amp;" "&amp;I699&amp;" "&amp;J699&amp;" "&amp;K699&amp;" "&amp;L699))),OR($C$5="Semua",$C$5="",G699=$C$5),OR($C$6="Semua",$C$6="",H699=$C$6,H699="Pengeluaran "&amp;$C$6,AND($C$6="Uang Kos Mama",H699="Pengeluaran Uang Kos")),OR($C$7="Semua",$C$7="",I699=$C$7),OR($C$8="Semua",$C$8="",C699=$C$8,E699=$C$8),OR($C$9="Semua",$C$9="",D699=$C$9),OR($C$10="",B699&gt;=$C$10),OR($C$11="",B699&lt;=$C$11),OR($C$12&lt;&gt;"Ya",K699&lt;&gt;""),OR($C$13="Semua",$C$13="",L699=$C$13)),"✓","")</f>
        <v/>
      </c>
      <c r="N699" s="93">
        <f>N(N698)+IF(M699="✓",1,0)</f>
        <v/>
      </c>
      <c r="O699" s="93">
        <f>N(O698)+IF(AND(B699&lt;&gt;"",B699&gt;='Uang Riba'!$H$30,B699&lt;='Uang Riba'!$I$30,OR(H699="Dana riba",H699="Pinjam uang riba",I699="Pinjam dari uang riba",I699="Ganti uang riba",I699="Kelebihan ganti dikembalikan",AND(C699="Kantong Uang Riba",G699="Pengeluaran"))),1,0)</f>
        <v/>
      </c>
      <c r="X699" s="93">
        <f>IF(AND(B699&lt;&gt;"",B699&gt;='Buku Akun'!$H$4,B699&lt;='Buku Akun'!$H$5,OR(C699='Buku Akun'!$C$4,AND(D699="Pindah",E699='Buku Akun'!$C$4))),B699+IF(AND(I699="Selisih bunga",DAY(B699)=1),0,0.01)+ROW()/10000000,"")</f>
        <v/>
      </c>
    </row>
    <row r="700" outlineLevel="1" ht="15" customHeight="1" s="94">
      <c r="A700" s="123">
        <f>IF(B700="","",ROW()-15)</f>
        <v/>
      </c>
      <c r="B700" s="124" t="n"/>
      <c r="C700" s="123" t="n"/>
      <c r="D700" s="123" t="n"/>
      <c r="E700" s="123" t="n"/>
      <c r="F700" s="125" t="n"/>
      <c r="G700" s="123" t="n"/>
      <c r="H700" s="123" t="n"/>
      <c r="I700" s="123" t="n"/>
      <c r="J700" s="123" t="n"/>
      <c r="K700" s="123" t="n"/>
      <c r="L700" s="123" t="n"/>
      <c r="M700" s="123">
        <f>IF(AND(B700&lt;&gt;"",OR($C$4="",ISNUMBER(SEARCH($C$4,C700&amp;" "&amp;E700&amp;" "&amp;G700&amp;" "&amp;H700&amp;" "&amp;I700&amp;" "&amp;J700&amp;" "&amp;K700&amp;" "&amp;L700))),OR($C$5="Semua",$C$5="",G700=$C$5),OR($C$6="Semua",$C$6="",H700=$C$6,H700="Pengeluaran "&amp;$C$6,AND($C$6="Uang Kos Mama",H700="Pengeluaran Uang Kos")),OR($C$7="Semua",$C$7="",I700=$C$7),OR($C$8="Semua",$C$8="",C700=$C$8,E700=$C$8),OR($C$9="Semua",$C$9="",D700=$C$9),OR($C$10="",B700&gt;=$C$10),OR($C$11="",B700&lt;=$C$11),OR($C$12&lt;&gt;"Ya",K700&lt;&gt;""),OR($C$13="Semua",$C$13="",L700=$C$13)),"✓","")</f>
        <v/>
      </c>
      <c r="N700" s="93">
        <f>N(N699)+IF(M700="✓",1,0)</f>
        <v/>
      </c>
      <c r="O700" s="93">
        <f>N(O699)+IF(AND(B700&lt;&gt;"",B700&gt;='Uang Riba'!$H$30,B700&lt;='Uang Riba'!$I$30,OR(H700="Dana riba",H700="Pinjam uang riba",I700="Pinjam dari uang riba",I700="Ganti uang riba",I700="Kelebihan ganti dikembalikan",AND(C700="Kantong Uang Riba",G700="Pengeluaran"))),1,0)</f>
        <v/>
      </c>
      <c r="X700" s="93">
        <f>IF(AND(B700&lt;&gt;"",B700&gt;='Buku Akun'!$H$4,B700&lt;='Buku Akun'!$H$5,OR(C700='Buku Akun'!$C$4,AND(D700="Pindah",E700='Buku Akun'!$C$4))),B700+IF(AND(I700="Selisih bunga",DAY(B700)=1),0,0.01)+ROW()/10000000,"")</f>
        <v/>
      </c>
    </row>
    <row r="701" outlineLevel="1" ht="15" customHeight="1" s="94">
      <c r="A701" s="123">
        <f>IF(B701="","",ROW()-15)</f>
        <v/>
      </c>
      <c r="B701" s="124" t="n"/>
      <c r="C701" s="123" t="n"/>
      <c r="D701" s="123" t="n"/>
      <c r="E701" s="123" t="n"/>
      <c r="F701" s="125" t="n"/>
      <c r="G701" s="123" t="n"/>
      <c r="H701" s="123" t="n"/>
      <c r="I701" s="123" t="n"/>
      <c r="J701" s="123" t="n"/>
      <c r="K701" s="123" t="n"/>
      <c r="L701" s="123" t="n"/>
      <c r="M701" s="123">
        <f>IF(AND(B701&lt;&gt;"",OR($C$4="",ISNUMBER(SEARCH($C$4,C701&amp;" "&amp;E701&amp;" "&amp;G701&amp;" "&amp;H701&amp;" "&amp;I701&amp;" "&amp;J701&amp;" "&amp;K701&amp;" "&amp;L701))),OR($C$5="Semua",$C$5="",G701=$C$5),OR($C$6="Semua",$C$6="",H701=$C$6,H701="Pengeluaran "&amp;$C$6,AND($C$6="Uang Kos Mama",H701="Pengeluaran Uang Kos")),OR($C$7="Semua",$C$7="",I701=$C$7),OR($C$8="Semua",$C$8="",C701=$C$8,E701=$C$8),OR($C$9="Semua",$C$9="",D701=$C$9),OR($C$10="",B701&gt;=$C$10),OR($C$11="",B701&lt;=$C$11),OR($C$12&lt;&gt;"Ya",K701&lt;&gt;""),OR($C$13="Semua",$C$13="",L701=$C$13)),"✓","")</f>
        <v/>
      </c>
      <c r="N701" s="93">
        <f>N(N700)+IF(M701="✓",1,0)</f>
        <v/>
      </c>
      <c r="O701" s="93">
        <f>N(O700)+IF(AND(B701&lt;&gt;"",B701&gt;='Uang Riba'!$H$30,B701&lt;='Uang Riba'!$I$30,OR(H701="Dana riba",H701="Pinjam uang riba",I701="Pinjam dari uang riba",I701="Ganti uang riba",I701="Kelebihan ganti dikembalikan",AND(C701="Kantong Uang Riba",G701="Pengeluaran"))),1,0)</f>
        <v/>
      </c>
      <c r="X701" s="93">
        <f>IF(AND(B701&lt;&gt;"",B701&gt;='Buku Akun'!$H$4,B701&lt;='Buku Akun'!$H$5,OR(C701='Buku Akun'!$C$4,AND(D701="Pindah",E701='Buku Akun'!$C$4))),B701+IF(AND(I701="Selisih bunga",DAY(B701)=1),0,0.01)+ROW()/10000000,"")</f>
        <v/>
      </c>
    </row>
    <row r="702" outlineLevel="1" ht="15" customHeight="1" s="94">
      <c r="A702" s="123">
        <f>IF(B702="","",ROW()-15)</f>
        <v/>
      </c>
      <c r="B702" s="124" t="n"/>
      <c r="C702" s="123" t="n"/>
      <c r="D702" s="123" t="n"/>
      <c r="E702" s="123" t="n"/>
      <c r="F702" s="125" t="n"/>
      <c r="G702" s="123" t="n"/>
      <c r="H702" s="123" t="n"/>
      <c r="I702" s="123" t="n"/>
      <c r="J702" s="123" t="n"/>
      <c r="K702" s="123" t="n"/>
      <c r="L702" s="123" t="n"/>
      <c r="M702" s="123">
        <f>IF(AND(B702&lt;&gt;"",OR($C$4="",ISNUMBER(SEARCH($C$4,C702&amp;" "&amp;E702&amp;" "&amp;G702&amp;" "&amp;H702&amp;" "&amp;I702&amp;" "&amp;J702&amp;" "&amp;K702&amp;" "&amp;L702))),OR($C$5="Semua",$C$5="",G702=$C$5),OR($C$6="Semua",$C$6="",H702=$C$6,H702="Pengeluaran "&amp;$C$6,AND($C$6="Uang Kos Mama",H702="Pengeluaran Uang Kos")),OR($C$7="Semua",$C$7="",I702=$C$7),OR($C$8="Semua",$C$8="",C702=$C$8,E702=$C$8),OR($C$9="Semua",$C$9="",D702=$C$9),OR($C$10="",B702&gt;=$C$10),OR($C$11="",B702&lt;=$C$11),OR($C$12&lt;&gt;"Ya",K702&lt;&gt;""),OR($C$13="Semua",$C$13="",L702=$C$13)),"✓","")</f>
        <v/>
      </c>
      <c r="N702" s="93">
        <f>N(N701)+IF(M702="✓",1,0)</f>
        <v/>
      </c>
      <c r="O702" s="93">
        <f>N(O701)+IF(AND(B702&lt;&gt;"",B702&gt;='Uang Riba'!$H$30,B702&lt;='Uang Riba'!$I$30,OR(H702="Dana riba",H702="Pinjam uang riba",I702="Pinjam dari uang riba",I702="Ganti uang riba",I702="Kelebihan ganti dikembalikan",AND(C702="Kantong Uang Riba",G702="Pengeluaran"))),1,0)</f>
        <v/>
      </c>
      <c r="X702" s="93">
        <f>IF(AND(B702&lt;&gt;"",B702&gt;='Buku Akun'!$H$4,B702&lt;='Buku Akun'!$H$5,OR(C702='Buku Akun'!$C$4,AND(D702="Pindah",E702='Buku Akun'!$C$4))),B702+IF(AND(I702="Selisih bunga",DAY(B702)=1),0,0.01)+ROW()/10000000,"")</f>
        <v/>
      </c>
    </row>
    <row r="703" outlineLevel="1" ht="15" customHeight="1" s="94">
      <c r="A703" s="123">
        <f>IF(B703="","",ROW()-15)</f>
        <v/>
      </c>
      <c r="B703" s="124" t="n"/>
      <c r="C703" s="123" t="n"/>
      <c r="D703" s="123" t="n"/>
      <c r="E703" s="123" t="n"/>
      <c r="F703" s="125" t="n"/>
      <c r="G703" s="123" t="n"/>
      <c r="H703" s="123" t="n"/>
      <c r="I703" s="123" t="n"/>
      <c r="J703" s="123" t="n"/>
      <c r="K703" s="123" t="n"/>
      <c r="L703" s="123" t="n"/>
      <c r="M703" s="123">
        <f>IF(AND(B703&lt;&gt;"",OR($C$4="",ISNUMBER(SEARCH($C$4,C703&amp;" "&amp;E703&amp;" "&amp;G703&amp;" "&amp;H703&amp;" "&amp;I703&amp;" "&amp;J703&amp;" "&amp;K703&amp;" "&amp;L703))),OR($C$5="Semua",$C$5="",G703=$C$5),OR($C$6="Semua",$C$6="",H703=$C$6,H703="Pengeluaran "&amp;$C$6,AND($C$6="Uang Kos Mama",H703="Pengeluaran Uang Kos")),OR($C$7="Semua",$C$7="",I703=$C$7),OR($C$8="Semua",$C$8="",C703=$C$8,E703=$C$8),OR($C$9="Semua",$C$9="",D703=$C$9),OR($C$10="",B703&gt;=$C$10),OR($C$11="",B703&lt;=$C$11),OR($C$12&lt;&gt;"Ya",K703&lt;&gt;""),OR($C$13="Semua",$C$13="",L703=$C$13)),"✓","")</f>
        <v/>
      </c>
      <c r="N703" s="93">
        <f>N(N702)+IF(M703="✓",1,0)</f>
        <v/>
      </c>
      <c r="O703" s="93">
        <f>N(O702)+IF(AND(B703&lt;&gt;"",B703&gt;='Uang Riba'!$H$30,B703&lt;='Uang Riba'!$I$30,OR(H703="Dana riba",H703="Pinjam uang riba",I703="Pinjam dari uang riba",I703="Ganti uang riba",I703="Kelebihan ganti dikembalikan",AND(C703="Kantong Uang Riba",G703="Pengeluaran"))),1,0)</f>
        <v/>
      </c>
      <c r="X703" s="93">
        <f>IF(AND(B703&lt;&gt;"",B703&gt;='Buku Akun'!$H$4,B703&lt;='Buku Akun'!$H$5,OR(C703='Buku Akun'!$C$4,AND(D703="Pindah",E703='Buku Akun'!$C$4))),B703+IF(AND(I703="Selisih bunga",DAY(B703)=1),0,0.01)+ROW()/10000000,"")</f>
        <v/>
      </c>
    </row>
    <row r="704" outlineLevel="1" ht="15" customHeight="1" s="94">
      <c r="A704" s="123">
        <f>IF(B704="","",ROW()-15)</f>
        <v/>
      </c>
      <c r="B704" s="124" t="n"/>
      <c r="C704" s="123" t="n"/>
      <c r="D704" s="123" t="n"/>
      <c r="E704" s="123" t="n"/>
      <c r="F704" s="125" t="n"/>
      <c r="G704" s="123" t="n"/>
      <c r="H704" s="123" t="n"/>
      <c r="I704" s="123" t="n"/>
      <c r="J704" s="123" t="n"/>
      <c r="K704" s="123" t="n"/>
      <c r="L704" s="123" t="n"/>
      <c r="M704" s="123">
        <f>IF(AND(B704&lt;&gt;"",OR($C$4="",ISNUMBER(SEARCH($C$4,C704&amp;" "&amp;E704&amp;" "&amp;G704&amp;" "&amp;H704&amp;" "&amp;I704&amp;" "&amp;J704&amp;" "&amp;K704&amp;" "&amp;L704))),OR($C$5="Semua",$C$5="",G704=$C$5),OR($C$6="Semua",$C$6="",H704=$C$6,H704="Pengeluaran "&amp;$C$6,AND($C$6="Uang Kos Mama",H704="Pengeluaran Uang Kos")),OR($C$7="Semua",$C$7="",I704=$C$7),OR($C$8="Semua",$C$8="",C704=$C$8,E704=$C$8),OR($C$9="Semua",$C$9="",D704=$C$9),OR($C$10="",B704&gt;=$C$10),OR($C$11="",B704&lt;=$C$11),OR($C$12&lt;&gt;"Ya",K704&lt;&gt;""),OR($C$13="Semua",$C$13="",L704=$C$13)),"✓","")</f>
        <v/>
      </c>
      <c r="N704" s="93">
        <f>N(N703)+IF(M704="✓",1,0)</f>
        <v/>
      </c>
      <c r="O704" s="93">
        <f>N(O703)+IF(AND(B704&lt;&gt;"",B704&gt;='Uang Riba'!$H$30,B704&lt;='Uang Riba'!$I$30,OR(H704="Dana riba",H704="Pinjam uang riba",I704="Pinjam dari uang riba",I704="Ganti uang riba",I704="Kelebihan ganti dikembalikan",AND(C704="Kantong Uang Riba",G704="Pengeluaran"))),1,0)</f>
        <v/>
      </c>
      <c r="X704" s="93">
        <f>IF(AND(B704&lt;&gt;"",B704&gt;='Buku Akun'!$H$4,B704&lt;='Buku Akun'!$H$5,OR(C704='Buku Akun'!$C$4,AND(D704="Pindah",E704='Buku Akun'!$C$4))),B704+IF(AND(I704="Selisih bunga",DAY(B704)=1),0,0.01)+ROW()/10000000,"")</f>
        <v/>
      </c>
    </row>
    <row r="705" outlineLevel="1" ht="15" customHeight="1" s="94">
      <c r="A705" s="123">
        <f>IF(B705="","",ROW()-15)</f>
        <v/>
      </c>
      <c r="B705" s="124" t="n"/>
      <c r="C705" s="123" t="n"/>
      <c r="D705" s="123" t="n"/>
      <c r="E705" s="123" t="n"/>
      <c r="F705" s="125" t="n"/>
      <c r="G705" s="123" t="n"/>
      <c r="H705" s="123" t="n"/>
      <c r="I705" s="123" t="n"/>
      <c r="J705" s="123" t="n"/>
      <c r="K705" s="123" t="n"/>
      <c r="L705" s="123" t="n"/>
      <c r="M705" s="123">
        <f>IF(AND(B705&lt;&gt;"",OR($C$4="",ISNUMBER(SEARCH($C$4,C705&amp;" "&amp;E705&amp;" "&amp;G705&amp;" "&amp;H705&amp;" "&amp;I705&amp;" "&amp;J705&amp;" "&amp;K705&amp;" "&amp;L705))),OR($C$5="Semua",$C$5="",G705=$C$5),OR($C$6="Semua",$C$6="",H705=$C$6,H705="Pengeluaran "&amp;$C$6,AND($C$6="Uang Kos Mama",H705="Pengeluaran Uang Kos")),OR($C$7="Semua",$C$7="",I705=$C$7),OR($C$8="Semua",$C$8="",C705=$C$8,E705=$C$8),OR($C$9="Semua",$C$9="",D705=$C$9),OR($C$10="",B705&gt;=$C$10),OR($C$11="",B705&lt;=$C$11),OR($C$12&lt;&gt;"Ya",K705&lt;&gt;""),OR($C$13="Semua",$C$13="",L705=$C$13)),"✓","")</f>
        <v/>
      </c>
      <c r="N705" s="93">
        <f>N(N704)+IF(M705="✓",1,0)</f>
        <v/>
      </c>
      <c r="O705" s="93">
        <f>N(O704)+IF(AND(B705&lt;&gt;"",B705&gt;='Uang Riba'!$H$30,B705&lt;='Uang Riba'!$I$30,OR(H705="Dana riba",H705="Pinjam uang riba",I705="Pinjam dari uang riba",I705="Ganti uang riba",I705="Kelebihan ganti dikembalikan",AND(C705="Kantong Uang Riba",G705="Pengeluaran"))),1,0)</f>
        <v/>
      </c>
      <c r="X705" s="93">
        <f>IF(AND(B705&lt;&gt;"",B705&gt;='Buku Akun'!$H$4,B705&lt;='Buku Akun'!$H$5,OR(C705='Buku Akun'!$C$4,AND(D705="Pindah",E705='Buku Akun'!$C$4))),B705+IF(AND(I705="Selisih bunga",DAY(B705)=1),0,0.01)+ROW()/10000000,"")</f>
        <v/>
      </c>
    </row>
    <row r="706" outlineLevel="1" ht="15" customHeight="1" s="94">
      <c r="A706" s="123">
        <f>IF(B706="","",ROW()-15)</f>
        <v/>
      </c>
      <c r="B706" s="124" t="n"/>
      <c r="C706" s="123" t="n"/>
      <c r="D706" s="123" t="n"/>
      <c r="E706" s="123" t="n"/>
      <c r="F706" s="125" t="n"/>
      <c r="G706" s="123" t="n"/>
      <c r="H706" s="123" t="n"/>
      <c r="I706" s="123" t="n"/>
      <c r="J706" s="123" t="n"/>
      <c r="K706" s="123" t="n"/>
      <c r="L706" s="123" t="n"/>
      <c r="M706" s="123">
        <f>IF(AND(B706&lt;&gt;"",OR($C$4="",ISNUMBER(SEARCH($C$4,C706&amp;" "&amp;E706&amp;" "&amp;G706&amp;" "&amp;H706&amp;" "&amp;I706&amp;" "&amp;J706&amp;" "&amp;K706&amp;" "&amp;L706))),OR($C$5="Semua",$C$5="",G706=$C$5),OR($C$6="Semua",$C$6="",H706=$C$6,H706="Pengeluaran "&amp;$C$6,AND($C$6="Uang Kos Mama",H706="Pengeluaran Uang Kos")),OR($C$7="Semua",$C$7="",I706=$C$7),OR($C$8="Semua",$C$8="",C706=$C$8,E706=$C$8),OR($C$9="Semua",$C$9="",D706=$C$9),OR($C$10="",B706&gt;=$C$10),OR($C$11="",B706&lt;=$C$11),OR($C$12&lt;&gt;"Ya",K706&lt;&gt;""),OR($C$13="Semua",$C$13="",L706=$C$13)),"✓","")</f>
        <v/>
      </c>
      <c r="N706" s="93">
        <f>N(N705)+IF(M706="✓",1,0)</f>
        <v/>
      </c>
      <c r="O706" s="93">
        <f>N(O705)+IF(AND(B706&lt;&gt;"",B706&gt;='Uang Riba'!$H$30,B706&lt;='Uang Riba'!$I$30,OR(H706="Dana riba",H706="Pinjam uang riba",I706="Pinjam dari uang riba",I706="Ganti uang riba",I706="Kelebihan ganti dikembalikan",AND(C706="Kantong Uang Riba",G706="Pengeluaran"))),1,0)</f>
        <v/>
      </c>
      <c r="X706" s="93">
        <f>IF(AND(B706&lt;&gt;"",B706&gt;='Buku Akun'!$H$4,B706&lt;='Buku Akun'!$H$5,OR(C706='Buku Akun'!$C$4,AND(D706="Pindah",E706='Buku Akun'!$C$4))),B706+IF(AND(I706="Selisih bunga",DAY(B706)=1),0,0.01)+ROW()/10000000,"")</f>
        <v/>
      </c>
    </row>
    <row r="707" outlineLevel="1" ht="15" customHeight="1" s="94">
      <c r="A707" s="123">
        <f>IF(B707="","",ROW()-15)</f>
        <v/>
      </c>
      <c r="B707" s="124" t="n"/>
      <c r="C707" s="123" t="n"/>
      <c r="D707" s="123" t="n"/>
      <c r="E707" s="123" t="n"/>
      <c r="F707" s="125" t="n"/>
      <c r="G707" s="123" t="n"/>
      <c r="H707" s="123" t="n"/>
      <c r="I707" s="123" t="n"/>
      <c r="J707" s="123" t="n"/>
      <c r="K707" s="123" t="n"/>
      <c r="L707" s="123" t="n"/>
      <c r="M707" s="123">
        <f>IF(AND(B707&lt;&gt;"",OR($C$4="",ISNUMBER(SEARCH($C$4,C707&amp;" "&amp;E707&amp;" "&amp;G707&amp;" "&amp;H707&amp;" "&amp;I707&amp;" "&amp;J707&amp;" "&amp;K707&amp;" "&amp;L707))),OR($C$5="Semua",$C$5="",G707=$C$5),OR($C$6="Semua",$C$6="",H707=$C$6,H707="Pengeluaran "&amp;$C$6,AND($C$6="Uang Kos Mama",H707="Pengeluaran Uang Kos")),OR($C$7="Semua",$C$7="",I707=$C$7),OR($C$8="Semua",$C$8="",C707=$C$8,E707=$C$8),OR($C$9="Semua",$C$9="",D707=$C$9),OR($C$10="",B707&gt;=$C$10),OR($C$11="",B707&lt;=$C$11),OR($C$12&lt;&gt;"Ya",K707&lt;&gt;""),OR($C$13="Semua",$C$13="",L707=$C$13)),"✓","")</f>
        <v/>
      </c>
      <c r="N707" s="93">
        <f>N(N706)+IF(M707="✓",1,0)</f>
        <v/>
      </c>
      <c r="O707" s="93">
        <f>N(O706)+IF(AND(B707&lt;&gt;"",B707&gt;='Uang Riba'!$H$30,B707&lt;='Uang Riba'!$I$30,OR(H707="Dana riba",H707="Pinjam uang riba",I707="Pinjam dari uang riba",I707="Ganti uang riba",I707="Kelebihan ganti dikembalikan",AND(C707="Kantong Uang Riba",G707="Pengeluaran"))),1,0)</f>
        <v/>
      </c>
      <c r="X707" s="93">
        <f>IF(AND(B707&lt;&gt;"",B707&gt;='Buku Akun'!$H$4,B707&lt;='Buku Akun'!$H$5,OR(C707='Buku Akun'!$C$4,AND(D707="Pindah",E707='Buku Akun'!$C$4))),B707+IF(AND(I707="Selisih bunga",DAY(B707)=1),0,0.01)+ROW()/10000000,"")</f>
        <v/>
      </c>
    </row>
    <row r="708" outlineLevel="1" ht="15" customHeight="1" s="94">
      <c r="A708" s="123">
        <f>IF(B708="","",ROW()-15)</f>
        <v/>
      </c>
      <c r="B708" s="124" t="n"/>
      <c r="C708" s="123" t="n"/>
      <c r="D708" s="123" t="n"/>
      <c r="E708" s="123" t="n"/>
      <c r="F708" s="125" t="n"/>
      <c r="G708" s="123" t="n"/>
      <c r="H708" s="123" t="n"/>
      <c r="I708" s="123" t="n"/>
      <c r="J708" s="123" t="n"/>
      <c r="K708" s="123" t="n"/>
      <c r="L708" s="123" t="n"/>
      <c r="M708" s="123">
        <f>IF(AND(B708&lt;&gt;"",OR($C$4="",ISNUMBER(SEARCH($C$4,C708&amp;" "&amp;E708&amp;" "&amp;G708&amp;" "&amp;H708&amp;" "&amp;I708&amp;" "&amp;J708&amp;" "&amp;K708&amp;" "&amp;L708))),OR($C$5="Semua",$C$5="",G708=$C$5),OR($C$6="Semua",$C$6="",H708=$C$6,H708="Pengeluaran "&amp;$C$6,AND($C$6="Uang Kos Mama",H708="Pengeluaran Uang Kos")),OR($C$7="Semua",$C$7="",I708=$C$7),OR($C$8="Semua",$C$8="",C708=$C$8,E708=$C$8),OR($C$9="Semua",$C$9="",D708=$C$9),OR($C$10="",B708&gt;=$C$10),OR($C$11="",B708&lt;=$C$11),OR($C$12&lt;&gt;"Ya",K708&lt;&gt;""),OR($C$13="Semua",$C$13="",L708=$C$13)),"✓","")</f>
        <v/>
      </c>
      <c r="N708" s="93">
        <f>N(N707)+IF(M708="✓",1,0)</f>
        <v/>
      </c>
      <c r="O708" s="93">
        <f>N(O707)+IF(AND(B708&lt;&gt;"",B708&gt;='Uang Riba'!$H$30,B708&lt;='Uang Riba'!$I$30,OR(H708="Dana riba",H708="Pinjam uang riba",I708="Pinjam dari uang riba",I708="Ganti uang riba",I708="Kelebihan ganti dikembalikan",AND(C708="Kantong Uang Riba",G708="Pengeluaran"))),1,0)</f>
        <v/>
      </c>
      <c r="X708" s="93">
        <f>IF(AND(B708&lt;&gt;"",B708&gt;='Buku Akun'!$H$4,B708&lt;='Buku Akun'!$H$5,OR(C708='Buku Akun'!$C$4,AND(D708="Pindah",E708='Buku Akun'!$C$4))),B708+IF(AND(I708="Selisih bunga",DAY(B708)=1),0,0.01)+ROW()/10000000,"")</f>
        <v/>
      </c>
    </row>
    <row r="709" outlineLevel="1" ht="15" customHeight="1" s="94">
      <c r="A709" s="123">
        <f>IF(B709="","",ROW()-15)</f>
        <v/>
      </c>
      <c r="B709" s="124" t="n"/>
      <c r="C709" s="123" t="n"/>
      <c r="D709" s="123" t="n"/>
      <c r="E709" s="123" t="n"/>
      <c r="F709" s="125" t="n"/>
      <c r="G709" s="123" t="n"/>
      <c r="H709" s="123" t="n"/>
      <c r="I709" s="123" t="n"/>
      <c r="J709" s="123" t="n"/>
      <c r="K709" s="123" t="n"/>
      <c r="L709" s="123" t="n"/>
      <c r="M709" s="123">
        <f>IF(AND(B709&lt;&gt;"",OR($C$4="",ISNUMBER(SEARCH($C$4,C709&amp;" "&amp;E709&amp;" "&amp;G709&amp;" "&amp;H709&amp;" "&amp;I709&amp;" "&amp;J709&amp;" "&amp;K709&amp;" "&amp;L709))),OR($C$5="Semua",$C$5="",G709=$C$5),OR($C$6="Semua",$C$6="",H709=$C$6,H709="Pengeluaran "&amp;$C$6,AND($C$6="Uang Kos Mama",H709="Pengeluaran Uang Kos")),OR($C$7="Semua",$C$7="",I709=$C$7),OR($C$8="Semua",$C$8="",C709=$C$8,E709=$C$8),OR($C$9="Semua",$C$9="",D709=$C$9),OR($C$10="",B709&gt;=$C$10),OR($C$11="",B709&lt;=$C$11),OR($C$12&lt;&gt;"Ya",K709&lt;&gt;""),OR($C$13="Semua",$C$13="",L709=$C$13)),"✓","")</f>
        <v/>
      </c>
      <c r="N709" s="93">
        <f>N(N708)+IF(M709="✓",1,0)</f>
        <v/>
      </c>
      <c r="O709" s="93">
        <f>N(O708)+IF(AND(B709&lt;&gt;"",B709&gt;='Uang Riba'!$H$30,B709&lt;='Uang Riba'!$I$30,OR(H709="Dana riba",H709="Pinjam uang riba",I709="Pinjam dari uang riba",I709="Ganti uang riba",I709="Kelebihan ganti dikembalikan",AND(C709="Kantong Uang Riba",G709="Pengeluaran"))),1,0)</f>
        <v/>
      </c>
      <c r="X709" s="93">
        <f>IF(AND(B709&lt;&gt;"",B709&gt;='Buku Akun'!$H$4,B709&lt;='Buku Akun'!$H$5,OR(C709='Buku Akun'!$C$4,AND(D709="Pindah",E709='Buku Akun'!$C$4))),B709+IF(AND(I709="Selisih bunga",DAY(B709)=1),0,0.01)+ROW()/10000000,"")</f>
        <v/>
      </c>
    </row>
    <row r="710" outlineLevel="1" ht="15" customHeight="1" s="94">
      <c r="A710" s="123">
        <f>IF(B710="","",ROW()-15)</f>
        <v/>
      </c>
      <c r="B710" s="124" t="n"/>
      <c r="C710" s="123" t="n"/>
      <c r="D710" s="123" t="n"/>
      <c r="E710" s="123" t="n"/>
      <c r="F710" s="125" t="n"/>
      <c r="G710" s="123" t="n"/>
      <c r="H710" s="123" t="n"/>
      <c r="I710" s="123" t="n"/>
      <c r="J710" s="123" t="n"/>
      <c r="K710" s="123" t="n"/>
      <c r="L710" s="123" t="n"/>
      <c r="M710" s="123">
        <f>IF(AND(B710&lt;&gt;"",OR($C$4="",ISNUMBER(SEARCH($C$4,C710&amp;" "&amp;E710&amp;" "&amp;G710&amp;" "&amp;H710&amp;" "&amp;I710&amp;" "&amp;J710&amp;" "&amp;K710&amp;" "&amp;L710))),OR($C$5="Semua",$C$5="",G710=$C$5),OR($C$6="Semua",$C$6="",H710=$C$6,H710="Pengeluaran "&amp;$C$6,AND($C$6="Uang Kos Mama",H710="Pengeluaran Uang Kos")),OR($C$7="Semua",$C$7="",I710=$C$7),OR($C$8="Semua",$C$8="",C710=$C$8,E710=$C$8),OR($C$9="Semua",$C$9="",D710=$C$9),OR($C$10="",B710&gt;=$C$10),OR($C$11="",B710&lt;=$C$11),OR($C$12&lt;&gt;"Ya",K710&lt;&gt;""),OR($C$13="Semua",$C$13="",L710=$C$13)),"✓","")</f>
        <v/>
      </c>
      <c r="N710" s="93">
        <f>N(N709)+IF(M710="✓",1,0)</f>
        <v/>
      </c>
      <c r="O710" s="93">
        <f>N(O709)+IF(AND(B710&lt;&gt;"",B710&gt;='Uang Riba'!$H$30,B710&lt;='Uang Riba'!$I$30,OR(H710="Dana riba",H710="Pinjam uang riba",I710="Pinjam dari uang riba",I710="Ganti uang riba",I710="Kelebihan ganti dikembalikan",AND(C710="Kantong Uang Riba",G710="Pengeluaran"))),1,0)</f>
        <v/>
      </c>
      <c r="X710" s="93">
        <f>IF(AND(B710&lt;&gt;"",B710&gt;='Buku Akun'!$H$4,B710&lt;='Buku Akun'!$H$5,OR(C710='Buku Akun'!$C$4,AND(D710="Pindah",E710='Buku Akun'!$C$4))),B710+IF(AND(I710="Selisih bunga",DAY(B710)=1),0,0.01)+ROW()/10000000,"")</f>
        <v/>
      </c>
    </row>
    <row r="711" outlineLevel="1" ht="15" customHeight="1" s="94">
      <c r="A711" s="123">
        <f>IF(B711="","",ROW()-15)</f>
        <v/>
      </c>
      <c r="B711" s="124" t="n"/>
      <c r="C711" s="123" t="n"/>
      <c r="D711" s="123" t="n"/>
      <c r="E711" s="123" t="n"/>
      <c r="F711" s="125" t="n"/>
      <c r="G711" s="123" t="n"/>
      <c r="H711" s="123" t="n"/>
      <c r="I711" s="123" t="n"/>
      <c r="J711" s="123" t="n"/>
      <c r="K711" s="123" t="n"/>
      <c r="L711" s="123" t="n"/>
      <c r="M711" s="123">
        <f>IF(AND(B711&lt;&gt;"",OR($C$4="",ISNUMBER(SEARCH($C$4,C711&amp;" "&amp;E711&amp;" "&amp;G711&amp;" "&amp;H711&amp;" "&amp;I711&amp;" "&amp;J711&amp;" "&amp;K711&amp;" "&amp;L711))),OR($C$5="Semua",$C$5="",G711=$C$5),OR($C$6="Semua",$C$6="",H711=$C$6,H711="Pengeluaran "&amp;$C$6,AND($C$6="Uang Kos Mama",H711="Pengeluaran Uang Kos")),OR($C$7="Semua",$C$7="",I711=$C$7),OR($C$8="Semua",$C$8="",C711=$C$8,E711=$C$8),OR($C$9="Semua",$C$9="",D711=$C$9),OR($C$10="",B711&gt;=$C$10),OR($C$11="",B711&lt;=$C$11),OR($C$12&lt;&gt;"Ya",K711&lt;&gt;""),OR($C$13="Semua",$C$13="",L711=$C$13)),"✓","")</f>
        <v/>
      </c>
      <c r="N711" s="93">
        <f>N(N710)+IF(M711="✓",1,0)</f>
        <v/>
      </c>
      <c r="O711" s="93">
        <f>N(O710)+IF(AND(B711&lt;&gt;"",B711&gt;='Uang Riba'!$H$30,B711&lt;='Uang Riba'!$I$30,OR(H711="Dana riba",H711="Pinjam uang riba",I711="Pinjam dari uang riba",I711="Ganti uang riba",I711="Kelebihan ganti dikembalikan",AND(C711="Kantong Uang Riba",G711="Pengeluaran"))),1,0)</f>
        <v/>
      </c>
      <c r="X711" s="93">
        <f>IF(AND(B711&lt;&gt;"",B711&gt;='Buku Akun'!$H$4,B711&lt;='Buku Akun'!$H$5,OR(C711='Buku Akun'!$C$4,AND(D711="Pindah",E711='Buku Akun'!$C$4))),B711+IF(AND(I711="Selisih bunga",DAY(B711)=1),0,0.01)+ROW()/10000000,"")</f>
        <v/>
      </c>
    </row>
    <row r="712" outlineLevel="1" ht="15" customHeight="1" s="94">
      <c r="A712" s="123">
        <f>IF(B712="","",ROW()-15)</f>
        <v/>
      </c>
      <c r="B712" s="124" t="n"/>
      <c r="C712" s="123" t="n"/>
      <c r="D712" s="123" t="n"/>
      <c r="E712" s="123" t="n"/>
      <c r="F712" s="125" t="n"/>
      <c r="G712" s="123" t="n"/>
      <c r="H712" s="123" t="n"/>
      <c r="I712" s="123" t="n"/>
      <c r="J712" s="123" t="n"/>
      <c r="K712" s="123" t="n"/>
      <c r="L712" s="123" t="n"/>
      <c r="M712" s="123">
        <f>IF(AND(B712&lt;&gt;"",OR($C$4="",ISNUMBER(SEARCH($C$4,C712&amp;" "&amp;E712&amp;" "&amp;G712&amp;" "&amp;H712&amp;" "&amp;I712&amp;" "&amp;J712&amp;" "&amp;K712&amp;" "&amp;L712))),OR($C$5="Semua",$C$5="",G712=$C$5),OR($C$6="Semua",$C$6="",H712=$C$6,H712="Pengeluaran "&amp;$C$6,AND($C$6="Uang Kos Mama",H712="Pengeluaran Uang Kos")),OR($C$7="Semua",$C$7="",I712=$C$7),OR($C$8="Semua",$C$8="",C712=$C$8,E712=$C$8),OR($C$9="Semua",$C$9="",D712=$C$9),OR($C$10="",B712&gt;=$C$10),OR($C$11="",B712&lt;=$C$11),OR($C$12&lt;&gt;"Ya",K712&lt;&gt;""),OR($C$13="Semua",$C$13="",L712=$C$13)),"✓","")</f>
        <v/>
      </c>
      <c r="N712" s="93">
        <f>N(N711)+IF(M712="✓",1,0)</f>
        <v/>
      </c>
      <c r="O712" s="93">
        <f>N(O711)+IF(AND(B712&lt;&gt;"",B712&gt;='Uang Riba'!$H$30,B712&lt;='Uang Riba'!$I$30,OR(H712="Dana riba",H712="Pinjam uang riba",I712="Pinjam dari uang riba",I712="Ganti uang riba",I712="Kelebihan ganti dikembalikan",AND(C712="Kantong Uang Riba",G712="Pengeluaran"))),1,0)</f>
        <v/>
      </c>
      <c r="X712" s="93">
        <f>IF(AND(B712&lt;&gt;"",B712&gt;='Buku Akun'!$H$4,B712&lt;='Buku Akun'!$H$5,OR(C712='Buku Akun'!$C$4,AND(D712="Pindah",E712='Buku Akun'!$C$4))),B712+IF(AND(I712="Selisih bunga",DAY(B712)=1),0,0.01)+ROW()/10000000,"")</f>
        <v/>
      </c>
    </row>
    <row r="713" outlineLevel="1" ht="15" customHeight="1" s="94">
      <c r="A713" s="123">
        <f>IF(B713="","",ROW()-15)</f>
        <v/>
      </c>
      <c r="B713" s="124" t="n"/>
      <c r="C713" s="123" t="n"/>
      <c r="D713" s="123" t="n"/>
      <c r="E713" s="123" t="n"/>
      <c r="F713" s="125" t="n"/>
      <c r="G713" s="123" t="n"/>
      <c r="H713" s="123" t="n"/>
      <c r="I713" s="123" t="n"/>
      <c r="J713" s="123" t="n"/>
      <c r="K713" s="123" t="n"/>
      <c r="L713" s="123" t="n"/>
      <c r="M713" s="123">
        <f>IF(AND(B713&lt;&gt;"",OR($C$4="",ISNUMBER(SEARCH($C$4,C713&amp;" "&amp;E713&amp;" "&amp;G713&amp;" "&amp;H713&amp;" "&amp;I713&amp;" "&amp;J713&amp;" "&amp;K713&amp;" "&amp;L713))),OR($C$5="Semua",$C$5="",G713=$C$5),OR($C$6="Semua",$C$6="",H713=$C$6,H713="Pengeluaran "&amp;$C$6,AND($C$6="Uang Kos Mama",H713="Pengeluaran Uang Kos")),OR($C$7="Semua",$C$7="",I713=$C$7),OR($C$8="Semua",$C$8="",C713=$C$8,E713=$C$8),OR($C$9="Semua",$C$9="",D713=$C$9),OR($C$10="",B713&gt;=$C$10),OR($C$11="",B713&lt;=$C$11),OR($C$12&lt;&gt;"Ya",K713&lt;&gt;""),OR($C$13="Semua",$C$13="",L713=$C$13)),"✓","")</f>
        <v/>
      </c>
      <c r="N713" s="93">
        <f>N(N712)+IF(M713="✓",1,0)</f>
        <v/>
      </c>
      <c r="O713" s="93">
        <f>N(O712)+IF(AND(B713&lt;&gt;"",B713&gt;='Uang Riba'!$H$30,B713&lt;='Uang Riba'!$I$30,OR(H713="Dana riba",H713="Pinjam uang riba",I713="Pinjam dari uang riba",I713="Ganti uang riba",I713="Kelebihan ganti dikembalikan",AND(C713="Kantong Uang Riba",G713="Pengeluaran"))),1,0)</f>
        <v/>
      </c>
      <c r="X713" s="93">
        <f>IF(AND(B713&lt;&gt;"",B713&gt;='Buku Akun'!$H$4,B713&lt;='Buku Akun'!$H$5,OR(C713='Buku Akun'!$C$4,AND(D713="Pindah",E713='Buku Akun'!$C$4))),B713+IF(AND(I713="Selisih bunga",DAY(B713)=1),0,0.01)+ROW()/10000000,"")</f>
        <v/>
      </c>
    </row>
    <row r="714" outlineLevel="1" ht="15" customHeight="1" s="94">
      <c r="A714" s="123">
        <f>IF(B714="","",ROW()-15)</f>
        <v/>
      </c>
      <c r="B714" s="124" t="n"/>
      <c r="C714" s="123" t="n"/>
      <c r="D714" s="123" t="n"/>
      <c r="E714" s="123" t="n"/>
      <c r="F714" s="125" t="n"/>
      <c r="G714" s="123" t="n"/>
      <c r="H714" s="123" t="n"/>
      <c r="I714" s="123" t="n"/>
      <c r="J714" s="123" t="n"/>
      <c r="K714" s="123" t="n"/>
      <c r="L714" s="123" t="n"/>
      <c r="M714" s="123">
        <f>IF(AND(B714&lt;&gt;"",OR($C$4="",ISNUMBER(SEARCH($C$4,C714&amp;" "&amp;E714&amp;" "&amp;G714&amp;" "&amp;H714&amp;" "&amp;I714&amp;" "&amp;J714&amp;" "&amp;K714&amp;" "&amp;L714))),OR($C$5="Semua",$C$5="",G714=$C$5),OR($C$6="Semua",$C$6="",H714=$C$6,H714="Pengeluaran "&amp;$C$6,AND($C$6="Uang Kos Mama",H714="Pengeluaran Uang Kos")),OR($C$7="Semua",$C$7="",I714=$C$7),OR($C$8="Semua",$C$8="",C714=$C$8,E714=$C$8),OR($C$9="Semua",$C$9="",D714=$C$9),OR($C$10="",B714&gt;=$C$10),OR($C$11="",B714&lt;=$C$11),OR($C$12&lt;&gt;"Ya",K714&lt;&gt;""),OR($C$13="Semua",$C$13="",L714=$C$13)),"✓","")</f>
        <v/>
      </c>
      <c r="N714" s="93">
        <f>N(N713)+IF(M714="✓",1,0)</f>
        <v/>
      </c>
      <c r="O714" s="93">
        <f>N(O713)+IF(AND(B714&lt;&gt;"",B714&gt;='Uang Riba'!$H$30,B714&lt;='Uang Riba'!$I$30,OR(H714="Dana riba",H714="Pinjam uang riba",I714="Pinjam dari uang riba",I714="Ganti uang riba",I714="Kelebihan ganti dikembalikan",AND(C714="Kantong Uang Riba",G714="Pengeluaran"))),1,0)</f>
        <v/>
      </c>
      <c r="X714" s="93">
        <f>IF(AND(B714&lt;&gt;"",B714&gt;='Buku Akun'!$H$4,B714&lt;='Buku Akun'!$H$5,OR(C714='Buku Akun'!$C$4,AND(D714="Pindah",E714='Buku Akun'!$C$4))),B714+IF(AND(I714="Selisih bunga",DAY(B714)=1),0,0.01)+ROW()/10000000,"")</f>
        <v/>
      </c>
    </row>
    <row r="715" outlineLevel="1" ht="15" customHeight="1" s="94">
      <c r="A715" s="123">
        <f>IF(B715="","",ROW()-15)</f>
        <v/>
      </c>
      <c r="B715" s="124" t="n"/>
      <c r="C715" s="123" t="n"/>
      <c r="D715" s="123" t="n"/>
      <c r="E715" s="123" t="n"/>
      <c r="F715" s="125" t="n"/>
      <c r="G715" s="123" t="n"/>
      <c r="H715" s="123" t="n"/>
      <c r="I715" s="123" t="n"/>
      <c r="J715" s="123" t="n"/>
      <c r="K715" s="123" t="n"/>
      <c r="L715" s="123" t="n"/>
      <c r="M715" s="123">
        <f>IF(AND(B715&lt;&gt;"",OR($C$4="",ISNUMBER(SEARCH($C$4,C715&amp;" "&amp;E715&amp;" "&amp;G715&amp;" "&amp;H715&amp;" "&amp;I715&amp;" "&amp;J715&amp;" "&amp;K715&amp;" "&amp;L715))),OR($C$5="Semua",$C$5="",G715=$C$5),OR($C$6="Semua",$C$6="",H715=$C$6,H715="Pengeluaran "&amp;$C$6,AND($C$6="Uang Kos Mama",H715="Pengeluaran Uang Kos")),OR($C$7="Semua",$C$7="",I715=$C$7),OR($C$8="Semua",$C$8="",C715=$C$8,E715=$C$8),OR($C$9="Semua",$C$9="",D715=$C$9),OR($C$10="",B715&gt;=$C$10),OR($C$11="",B715&lt;=$C$11),OR($C$12&lt;&gt;"Ya",K715&lt;&gt;""),OR($C$13="Semua",$C$13="",L715=$C$13)),"✓","")</f>
        <v/>
      </c>
      <c r="N715" s="93">
        <f>N(N714)+IF(M715="✓",1,0)</f>
        <v/>
      </c>
      <c r="O715" s="93">
        <f>N(O714)+IF(AND(B715&lt;&gt;"",B715&gt;='Uang Riba'!$H$30,B715&lt;='Uang Riba'!$I$30,OR(H715="Dana riba",H715="Pinjam uang riba",I715="Pinjam dari uang riba",I715="Ganti uang riba",I715="Kelebihan ganti dikembalikan",AND(C715="Kantong Uang Riba",G715="Pengeluaran"))),1,0)</f>
        <v/>
      </c>
      <c r="X715" s="93">
        <f>IF(AND(B715&lt;&gt;"",B715&gt;='Buku Akun'!$H$4,B715&lt;='Buku Akun'!$H$5,OR(C715='Buku Akun'!$C$4,AND(D715="Pindah",E715='Buku Akun'!$C$4))),B715+IF(AND(I715="Selisih bunga",DAY(B715)=1),0,0.01)+ROW()/10000000,"")</f>
        <v/>
      </c>
    </row>
    <row r="716" outlineLevel="1" ht="15" customHeight="1" s="94">
      <c r="A716" s="123">
        <f>IF(B716="","",ROW()-15)</f>
        <v/>
      </c>
      <c r="B716" s="124" t="n"/>
      <c r="C716" s="123" t="n"/>
      <c r="D716" s="123" t="n"/>
      <c r="E716" s="123" t="n"/>
      <c r="F716" s="125" t="n"/>
      <c r="G716" s="123" t="n"/>
      <c r="H716" s="123" t="n"/>
      <c r="I716" s="123" t="n"/>
      <c r="J716" s="123" t="n"/>
      <c r="K716" s="123" t="n"/>
      <c r="L716" s="123" t="n"/>
      <c r="M716" s="123">
        <f>IF(AND(B716&lt;&gt;"",OR($C$4="",ISNUMBER(SEARCH($C$4,C716&amp;" "&amp;E716&amp;" "&amp;G716&amp;" "&amp;H716&amp;" "&amp;I716&amp;" "&amp;J716&amp;" "&amp;K716&amp;" "&amp;L716))),OR($C$5="Semua",$C$5="",G716=$C$5),OR($C$6="Semua",$C$6="",H716=$C$6,H716="Pengeluaran "&amp;$C$6,AND($C$6="Uang Kos Mama",H716="Pengeluaran Uang Kos")),OR($C$7="Semua",$C$7="",I716=$C$7),OR($C$8="Semua",$C$8="",C716=$C$8,E716=$C$8),OR($C$9="Semua",$C$9="",D716=$C$9),OR($C$10="",B716&gt;=$C$10),OR($C$11="",B716&lt;=$C$11),OR($C$12&lt;&gt;"Ya",K716&lt;&gt;""),OR($C$13="Semua",$C$13="",L716=$C$13)),"✓","")</f>
        <v/>
      </c>
      <c r="N716" s="93">
        <f>N(N715)+IF(M716="✓",1,0)</f>
        <v/>
      </c>
      <c r="O716" s="93">
        <f>N(O715)+IF(AND(B716&lt;&gt;"",B716&gt;='Uang Riba'!$H$30,B716&lt;='Uang Riba'!$I$30,OR(H716="Dana riba",H716="Pinjam uang riba",I716="Pinjam dari uang riba",I716="Ganti uang riba",I716="Kelebihan ganti dikembalikan",AND(C716="Kantong Uang Riba",G716="Pengeluaran"))),1,0)</f>
        <v/>
      </c>
      <c r="X716" s="93">
        <f>IF(AND(B716&lt;&gt;"",B716&gt;='Buku Akun'!$H$4,B716&lt;='Buku Akun'!$H$5,OR(C716='Buku Akun'!$C$4,AND(D716="Pindah",E716='Buku Akun'!$C$4))),B716+IF(AND(I716="Selisih bunga",DAY(B716)=1),0,0.01)+ROW()/10000000,"")</f>
        <v/>
      </c>
    </row>
    <row r="717" outlineLevel="1" ht="15" customHeight="1" s="94">
      <c r="A717" s="123">
        <f>IF(B717="","",ROW()-15)</f>
        <v/>
      </c>
      <c r="B717" s="124" t="n"/>
      <c r="C717" s="123" t="n"/>
      <c r="D717" s="123" t="n"/>
      <c r="E717" s="123" t="n"/>
      <c r="F717" s="125" t="n"/>
      <c r="G717" s="123" t="n"/>
      <c r="H717" s="123" t="n"/>
      <c r="I717" s="123" t="n"/>
      <c r="J717" s="123" t="n"/>
      <c r="K717" s="123" t="n"/>
      <c r="L717" s="123" t="n"/>
      <c r="M717" s="123">
        <f>IF(AND(B717&lt;&gt;"",OR($C$4="",ISNUMBER(SEARCH($C$4,C717&amp;" "&amp;E717&amp;" "&amp;G717&amp;" "&amp;H717&amp;" "&amp;I717&amp;" "&amp;J717&amp;" "&amp;K717&amp;" "&amp;L717))),OR($C$5="Semua",$C$5="",G717=$C$5),OR($C$6="Semua",$C$6="",H717=$C$6,H717="Pengeluaran "&amp;$C$6,AND($C$6="Uang Kos Mama",H717="Pengeluaran Uang Kos")),OR($C$7="Semua",$C$7="",I717=$C$7),OR($C$8="Semua",$C$8="",C717=$C$8,E717=$C$8),OR($C$9="Semua",$C$9="",D717=$C$9),OR($C$10="",B717&gt;=$C$10),OR($C$11="",B717&lt;=$C$11),OR($C$12&lt;&gt;"Ya",K717&lt;&gt;""),OR($C$13="Semua",$C$13="",L717=$C$13)),"✓","")</f>
        <v/>
      </c>
      <c r="N717" s="93">
        <f>N(N716)+IF(M717="✓",1,0)</f>
        <v/>
      </c>
      <c r="O717" s="93">
        <f>N(O716)+IF(AND(B717&lt;&gt;"",B717&gt;='Uang Riba'!$H$30,B717&lt;='Uang Riba'!$I$30,OR(H717="Dana riba",H717="Pinjam uang riba",I717="Pinjam dari uang riba",I717="Ganti uang riba",I717="Kelebihan ganti dikembalikan",AND(C717="Kantong Uang Riba",G717="Pengeluaran"))),1,0)</f>
        <v/>
      </c>
      <c r="X717" s="93">
        <f>IF(AND(B717&lt;&gt;"",B717&gt;='Buku Akun'!$H$4,B717&lt;='Buku Akun'!$H$5,OR(C717='Buku Akun'!$C$4,AND(D717="Pindah",E717='Buku Akun'!$C$4))),B717+IF(AND(I717="Selisih bunga",DAY(B717)=1),0,0.01)+ROW()/10000000,"")</f>
        <v/>
      </c>
    </row>
    <row r="718" outlineLevel="1" ht="15" customHeight="1" s="94">
      <c r="A718" s="123">
        <f>IF(B718="","",ROW()-15)</f>
        <v/>
      </c>
      <c r="B718" s="124" t="n"/>
      <c r="C718" s="123" t="n"/>
      <c r="D718" s="123" t="n"/>
      <c r="E718" s="123" t="n"/>
      <c r="F718" s="125" t="n"/>
      <c r="G718" s="123" t="n"/>
      <c r="H718" s="123" t="n"/>
      <c r="I718" s="123" t="n"/>
      <c r="J718" s="123" t="n"/>
      <c r="K718" s="123" t="n"/>
      <c r="L718" s="123" t="n"/>
      <c r="M718" s="123">
        <f>IF(AND(B718&lt;&gt;"",OR($C$4="",ISNUMBER(SEARCH($C$4,C718&amp;" "&amp;E718&amp;" "&amp;G718&amp;" "&amp;H718&amp;" "&amp;I718&amp;" "&amp;J718&amp;" "&amp;K718&amp;" "&amp;L718))),OR($C$5="Semua",$C$5="",G718=$C$5),OR($C$6="Semua",$C$6="",H718=$C$6,H718="Pengeluaran "&amp;$C$6,AND($C$6="Uang Kos Mama",H718="Pengeluaran Uang Kos")),OR($C$7="Semua",$C$7="",I718=$C$7),OR($C$8="Semua",$C$8="",C718=$C$8,E718=$C$8),OR($C$9="Semua",$C$9="",D718=$C$9),OR($C$10="",B718&gt;=$C$10),OR($C$11="",B718&lt;=$C$11),OR($C$12&lt;&gt;"Ya",K718&lt;&gt;""),OR($C$13="Semua",$C$13="",L718=$C$13)),"✓","")</f>
        <v/>
      </c>
      <c r="N718" s="93">
        <f>N(N717)+IF(M718="✓",1,0)</f>
        <v/>
      </c>
      <c r="O718" s="93">
        <f>N(O717)+IF(AND(B718&lt;&gt;"",B718&gt;='Uang Riba'!$H$30,B718&lt;='Uang Riba'!$I$30,OR(H718="Dana riba",H718="Pinjam uang riba",I718="Pinjam dari uang riba",I718="Ganti uang riba",I718="Kelebihan ganti dikembalikan",AND(C718="Kantong Uang Riba",G718="Pengeluaran"))),1,0)</f>
        <v/>
      </c>
      <c r="X718" s="93">
        <f>IF(AND(B718&lt;&gt;"",B718&gt;='Buku Akun'!$H$4,B718&lt;='Buku Akun'!$H$5,OR(C718='Buku Akun'!$C$4,AND(D718="Pindah",E718='Buku Akun'!$C$4))),B718+IF(AND(I718="Selisih bunga",DAY(B718)=1),0,0.01)+ROW()/10000000,"")</f>
        <v/>
      </c>
    </row>
    <row r="719" outlineLevel="1" ht="15" customHeight="1" s="94">
      <c r="A719" s="123">
        <f>IF(B719="","",ROW()-15)</f>
        <v/>
      </c>
      <c r="B719" s="124" t="n"/>
      <c r="C719" s="123" t="n"/>
      <c r="D719" s="123" t="n"/>
      <c r="E719" s="123" t="n"/>
      <c r="F719" s="125" t="n"/>
      <c r="G719" s="123" t="n"/>
      <c r="H719" s="123" t="n"/>
      <c r="I719" s="123" t="n"/>
      <c r="J719" s="123" t="n"/>
      <c r="K719" s="123" t="n"/>
      <c r="L719" s="123" t="n"/>
      <c r="M719" s="123">
        <f>IF(AND(B719&lt;&gt;"",OR($C$4="",ISNUMBER(SEARCH($C$4,C719&amp;" "&amp;E719&amp;" "&amp;G719&amp;" "&amp;H719&amp;" "&amp;I719&amp;" "&amp;J719&amp;" "&amp;K719&amp;" "&amp;L719))),OR($C$5="Semua",$C$5="",G719=$C$5),OR($C$6="Semua",$C$6="",H719=$C$6,H719="Pengeluaran "&amp;$C$6,AND($C$6="Uang Kos Mama",H719="Pengeluaran Uang Kos")),OR($C$7="Semua",$C$7="",I719=$C$7),OR($C$8="Semua",$C$8="",C719=$C$8,E719=$C$8),OR($C$9="Semua",$C$9="",D719=$C$9),OR($C$10="",B719&gt;=$C$10),OR($C$11="",B719&lt;=$C$11),OR($C$12&lt;&gt;"Ya",K719&lt;&gt;""),OR($C$13="Semua",$C$13="",L719=$C$13)),"✓","")</f>
        <v/>
      </c>
      <c r="N719" s="93">
        <f>N(N718)+IF(M719="✓",1,0)</f>
        <v/>
      </c>
      <c r="O719" s="93">
        <f>N(O718)+IF(AND(B719&lt;&gt;"",B719&gt;='Uang Riba'!$H$30,B719&lt;='Uang Riba'!$I$30,OR(H719="Dana riba",H719="Pinjam uang riba",I719="Pinjam dari uang riba",I719="Ganti uang riba",I719="Kelebihan ganti dikembalikan",AND(C719="Kantong Uang Riba",G719="Pengeluaran"))),1,0)</f>
        <v/>
      </c>
      <c r="X719" s="93">
        <f>IF(AND(B719&lt;&gt;"",B719&gt;='Buku Akun'!$H$4,B719&lt;='Buku Akun'!$H$5,OR(C719='Buku Akun'!$C$4,AND(D719="Pindah",E719='Buku Akun'!$C$4))),B719+IF(AND(I719="Selisih bunga",DAY(B719)=1),0,0.01)+ROW()/10000000,"")</f>
        <v/>
      </c>
    </row>
    <row r="720" outlineLevel="1" ht="15" customHeight="1" s="94">
      <c r="A720" s="123">
        <f>IF(B720="","",ROW()-15)</f>
        <v/>
      </c>
      <c r="B720" s="124" t="n"/>
      <c r="C720" s="123" t="n"/>
      <c r="D720" s="123" t="n"/>
      <c r="E720" s="123" t="n"/>
      <c r="F720" s="125" t="n"/>
      <c r="G720" s="123" t="n"/>
      <c r="H720" s="123" t="n"/>
      <c r="I720" s="123" t="n"/>
      <c r="J720" s="123" t="n"/>
      <c r="K720" s="123" t="n"/>
      <c r="L720" s="123" t="n"/>
      <c r="M720" s="123">
        <f>IF(AND(B720&lt;&gt;"",OR($C$4="",ISNUMBER(SEARCH($C$4,C720&amp;" "&amp;E720&amp;" "&amp;G720&amp;" "&amp;H720&amp;" "&amp;I720&amp;" "&amp;J720&amp;" "&amp;K720&amp;" "&amp;L720))),OR($C$5="Semua",$C$5="",G720=$C$5),OR($C$6="Semua",$C$6="",H720=$C$6,H720="Pengeluaran "&amp;$C$6,AND($C$6="Uang Kos Mama",H720="Pengeluaran Uang Kos")),OR($C$7="Semua",$C$7="",I720=$C$7),OR($C$8="Semua",$C$8="",C720=$C$8,E720=$C$8),OR($C$9="Semua",$C$9="",D720=$C$9),OR($C$10="",B720&gt;=$C$10),OR($C$11="",B720&lt;=$C$11),OR($C$12&lt;&gt;"Ya",K720&lt;&gt;""),OR($C$13="Semua",$C$13="",L720=$C$13)),"✓","")</f>
        <v/>
      </c>
      <c r="N720" s="93">
        <f>N(N719)+IF(M720="✓",1,0)</f>
        <v/>
      </c>
      <c r="O720" s="93">
        <f>N(O719)+IF(AND(B720&lt;&gt;"",B720&gt;='Uang Riba'!$H$30,B720&lt;='Uang Riba'!$I$30,OR(H720="Dana riba",H720="Pinjam uang riba",I720="Pinjam dari uang riba",I720="Ganti uang riba",I720="Kelebihan ganti dikembalikan",AND(C720="Kantong Uang Riba",G720="Pengeluaran"))),1,0)</f>
        <v/>
      </c>
      <c r="X720" s="93">
        <f>IF(AND(B720&lt;&gt;"",B720&gt;='Buku Akun'!$H$4,B720&lt;='Buku Akun'!$H$5,OR(C720='Buku Akun'!$C$4,AND(D720="Pindah",E720='Buku Akun'!$C$4))),B720+IF(AND(I720="Selisih bunga",DAY(B720)=1),0,0.01)+ROW()/10000000,"")</f>
        <v/>
      </c>
    </row>
    <row r="721" outlineLevel="1" ht="15" customHeight="1" s="94">
      <c r="A721" s="123">
        <f>IF(B721="","",ROW()-15)</f>
        <v/>
      </c>
      <c r="B721" s="124" t="n"/>
      <c r="C721" s="123" t="n"/>
      <c r="D721" s="123" t="n"/>
      <c r="E721" s="123" t="n"/>
      <c r="F721" s="125" t="n"/>
      <c r="G721" s="123" t="n"/>
      <c r="H721" s="123" t="n"/>
      <c r="I721" s="123" t="n"/>
      <c r="J721" s="123" t="n"/>
      <c r="K721" s="123" t="n"/>
      <c r="L721" s="123" t="n"/>
      <c r="M721" s="123">
        <f>IF(AND(B721&lt;&gt;"",OR($C$4="",ISNUMBER(SEARCH($C$4,C721&amp;" "&amp;E721&amp;" "&amp;G721&amp;" "&amp;H721&amp;" "&amp;I721&amp;" "&amp;J721&amp;" "&amp;K721&amp;" "&amp;L721))),OR($C$5="Semua",$C$5="",G721=$C$5),OR($C$6="Semua",$C$6="",H721=$C$6,H721="Pengeluaran "&amp;$C$6,AND($C$6="Uang Kos Mama",H721="Pengeluaran Uang Kos")),OR($C$7="Semua",$C$7="",I721=$C$7),OR($C$8="Semua",$C$8="",C721=$C$8,E721=$C$8),OR($C$9="Semua",$C$9="",D721=$C$9),OR($C$10="",B721&gt;=$C$10),OR($C$11="",B721&lt;=$C$11),OR($C$12&lt;&gt;"Ya",K721&lt;&gt;""),OR($C$13="Semua",$C$13="",L721=$C$13)),"✓","")</f>
        <v/>
      </c>
      <c r="N721" s="93">
        <f>N(N720)+IF(M721="✓",1,0)</f>
        <v/>
      </c>
      <c r="O721" s="93">
        <f>N(O720)+IF(AND(B721&lt;&gt;"",B721&gt;='Uang Riba'!$H$30,B721&lt;='Uang Riba'!$I$30,OR(H721="Dana riba",H721="Pinjam uang riba",I721="Pinjam dari uang riba",I721="Ganti uang riba",I721="Kelebihan ganti dikembalikan",AND(C721="Kantong Uang Riba",G721="Pengeluaran"))),1,0)</f>
        <v/>
      </c>
      <c r="X721" s="93">
        <f>IF(AND(B721&lt;&gt;"",B721&gt;='Buku Akun'!$H$4,B721&lt;='Buku Akun'!$H$5,OR(C721='Buku Akun'!$C$4,AND(D721="Pindah",E721='Buku Akun'!$C$4))),B721+IF(AND(I721="Selisih bunga",DAY(B721)=1),0,0.01)+ROW()/10000000,"")</f>
        <v/>
      </c>
    </row>
    <row r="722" outlineLevel="1" ht="15" customHeight="1" s="94">
      <c r="A722" s="123">
        <f>IF(B722="","",ROW()-15)</f>
        <v/>
      </c>
      <c r="B722" s="124" t="n"/>
      <c r="C722" s="123" t="n"/>
      <c r="D722" s="123" t="n"/>
      <c r="E722" s="123" t="n"/>
      <c r="F722" s="125" t="n"/>
      <c r="G722" s="123" t="n"/>
      <c r="H722" s="123" t="n"/>
      <c r="I722" s="123" t="n"/>
      <c r="J722" s="123" t="n"/>
      <c r="K722" s="123" t="n"/>
      <c r="L722" s="123" t="n"/>
      <c r="M722" s="123">
        <f>IF(AND(B722&lt;&gt;"",OR($C$4="",ISNUMBER(SEARCH($C$4,C722&amp;" "&amp;E722&amp;" "&amp;G722&amp;" "&amp;H722&amp;" "&amp;I722&amp;" "&amp;J722&amp;" "&amp;K722&amp;" "&amp;L722))),OR($C$5="Semua",$C$5="",G722=$C$5),OR($C$6="Semua",$C$6="",H722=$C$6,H722="Pengeluaran "&amp;$C$6,AND($C$6="Uang Kos Mama",H722="Pengeluaran Uang Kos")),OR($C$7="Semua",$C$7="",I722=$C$7),OR($C$8="Semua",$C$8="",C722=$C$8,E722=$C$8),OR($C$9="Semua",$C$9="",D722=$C$9),OR($C$10="",B722&gt;=$C$10),OR($C$11="",B722&lt;=$C$11),OR($C$12&lt;&gt;"Ya",K722&lt;&gt;""),OR($C$13="Semua",$C$13="",L722=$C$13)),"✓","")</f>
        <v/>
      </c>
      <c r="N722" s="93">
        <f>N(N721)+IF(M722="✓",1,0)</f>
        <v/>
      </c>
      <c r="O722" s="93">
        <f>N(O721)+IF(AND(B722&lt;&gt;"",B722&gt;='Uang Riba'!$H$30,B722&lt;='Uang Riba'!$I$30,OR(H722="Dana riba",H722="Pinjam uang riba",I722="Pinjam dari uang riba",I722="Ganti uang riba",I722="Kelebihan ganti dikembalikan",AND(C722="Kantong Uang Riba",G722="Pengeluaran"))),1,0)</f>
        <v/>
      </c>
      <c r="X722" s="93">
        <f>IF(AND(B722&lt;&gt;"",B722&gt;='Buku Akun'!$H$4,B722&lt;='Buku Akun'!$H$5,OR(C722='Buku Akun'!$C$4,AND(D722="Pindah",E722='Buku Akun'!$C$4))),B722+IF(AND(I722="Selisih bunga",DAY(B722)=1),0,0.01)+ROW()/10000000,"")</f>
        <v/>
      </c>
    </row>
    <row r="723" outlineLevel="1" ht="15" customHeight="1" s="94">
      <c r="A723" s="123">
        <f>IF(B723="","",ROW()-15)</f>
        <v/>
      </c>
      <c r="B723" s="124" t="n"/>
      <c r="C723" s="123" t="n"/>
      <c r="D723" s="123" t="n"/>
      <c r="E723" s="123" t="n"/>
      <c r="F723" s="125" t="n"/>
      <c r="G723" s="123" t="n"/>
      <c r="H723" s="123" t="n"/>
      <c r="I723" s="123" t="n"/>
      <c r="J723" s="123" t="n"/>
      <c r="K723" s="123" t="n"/>
      <c r="L723" s="123" t="n"/>
      <c r="M723" s="123">
        <f>IF(AND(B723&lt;&gt;"",OR($C$4="",ISNUMBER(SEARCH($C$4,C723&amp;" "&amp;E723&amp;" "&amp;G723&amp;" "&amp;H723&amp;" "&amp;I723&amp;" "&amp;J723&amp;" "&amp;K723&amp;" "&amp;L723))),OR($C$5="Semua",$C$5="",G723=$C$5),OR($C$6="Semua",$C$6="",H723=$C$6,H723="Pengeluaran "&amp;$C$6,AND($C$6="Uang Kos Mama",H723="Pengeluaran Uang Kos")),OR($C$7="Semua",$C$7="",I723=$C$7),OR($C$8="Semua",$C$8="",C723=$C$8,E723=$C$8),OR($C$9="Semua",$C$9="",D723=$C$9),OR($C$10="",B723&gt;=$C$10),OR($C$11="",B723&lt;=$C$11),OR($C$12&lt;&gt;"Ya",K723&lt;&gt;""),OR($C$13="Semua",$C$13="",L723=$C$13)),"✓","")</f>
        <v/>
      </c>
      <c r="N723" s="93">
        <f>N(N722)+IF(M723="✓",1,0)</f>
        <v/>
      </c>
      <c r="O723" s="93">
        <f>N(O722)+IF(AND(B723&lt;&gt;"",B723&gt;='Uang Riba'!$H$30,B723&lt;='Uang Riba'!$I$30,OR(H723="Dana riba",H723="Pinjam uang riba",I723="Pinjam dari uang riba",I723="Ganti uang riba",I723="Kelebihan ganti dikembalikan",AND(C723="Kantong Uang Riba",G723="Pengeluaran"))),1,0)</f>
        <v/>
      </c>
      <c r="X723" s="93">
        <f>IF(AND(B723&lt;&gt;"",B723&gt;='Buku Akun'!$H$4,B723&lt;='Buku Akun'!$H$5,OR(C723='Buku Akun'!$C$4,AND(D723="Pindah",E723='Buku Akun'!$C$4))),B723+IF(AND(I723="Selisih bunga",DAY(B723)=1),0,0.01)+ROW()/10000000,"")</f>
        <v/>
      </c>
    </row>
    <row r="724" outlineLevel="1" ht="15" customHeight="1" s="94">
      <c r="A724" s="123">
        <f>IF(B724="","",ROW()-15)</f>
        <v/>
      </c>
      <c r="B724" s="124" t="n"/>
      <c r="C724" s="123" t="n"/>
      <c r="D724" s="123" t="n"/>
      <c r="E724" s="123" t="n"/>
      <c r="F724" s="125" t="n"/>
      <c r="G724" s="123" t="n"/>
      <c r="H724" s="123" t="n"/>
      <c r="I724" s="123" t="n"/>
      <c r="J724" s="123" t="n"/>
      <c r="K724" s="123" t="n"/>
      <c r="L724" s="123" t="n"/>
      <c r="M724" s="123">
        <f>IF(AND(B724&lt;&gt;"",OR($C$4="",ISNUMBER(SEARCH($C$4,C724&amp;" "&amp;E724&amp;" "&amp;G724&amp;" "&amp;H724&amp;" "&amp;I724&amp;" "&amp;J724&amp;" "&amp;K724&amp;" "&amp;L724))),OR($C$5="Semua",$C$5="",G724=$C$5),OR($C$6="Semua",$C$6="",H724=$C$6,H724="Pengeluaran "&amp;$C$6,AND($C$6="Uang Kos Mama",H724="Pengeluaran Uang Kos")),OR($C$7="Semua",$C$7="",I724=$C$7),OR($C$8="Semua",$C$8="",C724=$C$8,E724=$C$8),OR($C$9="Semua",$C$9="",D724=$C$9),OR($C$10="",B724&gt;=$C$10),OR($C$11="",B724&lt;=$C$11),OR($C$12&lt;&gt;"Ya",K724&lt;&gt;""),OR($C$13="Semua",$C$13="",L724=$C$13)),"✓","")</f>
        <v/>
      </c>
      <c r="N724" s="93">
        <f>N(N723)+IF(M724="✓",1,0)</f>
        <v/>
      </c>
      <c r="O724" s="93">
        <f>N(O723)+IF(AND(B724&lt;&gt;"",B724&gt;='Uang Riba'!$H$30,B724&lt;='Uang Riba'!$I$30,OR(H724="Dana riba",H724="Pinjam uang riba",I724="Pinjam dari uang riba",I724="Ganti uang riba",I724="Kelebihan ganti dikembalikan",AND(C724="Kantong Uang Riba",G724="Pengeluaran"))),1,0)</f>
        <v/>
      </c>
      <c r="X724" s="93">
        <f>IF(AND(B724&lt;&gt;"",B724&gt;='Buku Akun'!$H$4,B724&lt;='Buku Akun'!$H$5,OR(C724='Buku Akun'!$C$4,AND(D724="Pindah",E724='Buku Akun'!$C$4))),B724+IF(AND(I724="Selisih bunga",DAY(B724)=1),0,0.01)+ROW()/10000000,"")</f>
        <v/>
      </c>
    </row>
    <row r="725" outlineLevel="1" ht="15" customHeight="1" s="94">
      <c r="A725" s="123">
        <f>IF(B725="","",ROW()-15)</f>
        <v/>
      </c>
      <c r="B725" s="124" t="n"/>
      <c r="C725" s="123" t="n"/>
      <c r="D725" s="123" t="n"/>
      <c r="E725" s="123" t="n"/>
      <c r="F725" s="125" t="n"/>
      <c r="G725" s="123" t="n"/>
      <c r="H725" s="123" t="n"/>
      <c r="I725" s="123" t="n"/>
      <c r="J725" s="123" t="n"/>
      <c r="K725" s="123" t="n"/>
      <c r="L725" s="123" t="n"/>
      <c r="M725" s="123">
        <f>IF(AND(B725&lt;&gt;"",OR($C$4="",ISNUMBER(SEARCH($C$4,C725&amp;" "&amp;E725&amp;" "&amp;G725&amp;" "&amp;H725&amp;" "&amp;I725&amp;" "&amp;J725&amp;" "&amp;K725&amp;" "&amp;L725))),OR($C$5="Semua",$C$5="",G725=$C$5),OR($C$6="Semua",$C$6="",H725=$C$6,H725="Pengeluaran "&amp;$C$6,AND($C$6="Uang Kos Mama",H725="Pengeluaran Uang Kos")),OR($C$7="Semua",$C$7="",I725=$C$7),OR($C$8="Semua",$C$8="",C725=$C$8,E725=$C$8),OR($C$9="Semua",$C$9="",D725=$C$9),OR($C$10="",B725&gt;=$C$10),OR($C$11="",B725&lt;=$C$11),OR($C$12&lt;&gt;"Ya",K725&lt;&gt;""),OR($C$13="Semua",$C$13="",L725=$C$13)),"✓","")</f>
        <v/>
      </c>
      <c r="N725" s="93">
        <f>N(N724)+IF(M725="✓",1,0)</f>
        <v/>
      </c>
      <c r="O725" s="93">
        <f>N(O724)+IF(AND(B725&lt;&gt;"",B725&gt;='Uang Riba'!$H$30,B725&lt;='Uang Riba'!$I$30,OR(H725="Dana riba",H725="Pinjam uang riba",I725="Pinjam dari uang riba",I725="Ganti uang riba",I725="Kelebihan ganti dikembalikan",AND(C725="Kantong Uang Riba",G725="Pengeluaran"))),1,0)</f>
        <v/>
      </c>
      <c r="X725" s="93">
        <f>IF(AND(B725&lt;&gt;"",B725&gt;='Buku Akun'!$H$4,B725&lt;='Buku Akun'!$H$5,OR(C725='Buku Akun'!$C$4,AND(D725="Pindah",E725='Buku Akun'!$C$4))),B725+IF(AND(I725="Selisih bunga",DAY(B725)=1),0,0.01)+ROW()/10000000,"")</f>
        <v/>
      </c>
    </row>
    <row r="726" outlineLevel="1" ht="15" customHeight="1" s="94">
      <c r="A726" s="123">
        <f>IF(B726="","",ROW()-15)</f>
        <v/>
      </c>
      <c r="B726" s="124" t="n"/>
      <c r="C726" s="123" t="n"/>
      <c r="D726" s="123" t="n"/>
      <c r="E726" s="123" t="n"/>
      <c r="F726" s="125" t="n"/>
      <c r="G726" s="123" t="n"/>
      <c r="H726" s="123" t="n"/>
      <c r="I726" s="123" t="n"/>
      <c r="J726" s="123" t="n"/>
      <c r="K726" s="123" t="n"/>
      <c r="L726" s="123" t="n"/>
      <c r="M726" s="123">
        <f>IF(AND(B726&lt;&gt;"",OR($C$4="",ISNUMBER(SEARCH($C$4,C726&amp;" "&amp;E726&amp;" "&amp;G726&amp;" "&amp;H726&amp;" "&amp;I726&amp;" "&amp;J726&amp;" "&amp;K726&amp;" "&amp;L726))),OR($C$5="Semua",$C$5="",G726=$C$5),OR($C$6="Semua",$C$6="",H726=$C$6,H726="Pengeluaran "&amp;$C$6,AND($C$6="Uang Kos Mama",H726="Pengeluaran Uang Kos")),OR($C$7="Semua",$C$7="",I726=$C$7),OR($C$8="Semua",$C$8="",C726=$C$8,E726=$C$8),OR($C$9="Semua",$C$9="",D726=$C$9),OR($C$10="",B726&gt;=$C$10),OR($C$11="",B726&lt;=$C$11),OR($C$12&lt;&gt;"Ya",K726&lt;&gt;""),OR($C$13="Semua",$C$13="",L726=$C$13)),"✓","")</f>
        <v/>
      </c>
      <c r="N726" s="93">
        <f>N(N725)+IF(M726="✓",1,0)</f>
        <v/>
      </c>
      <c r="O726" s="93">
        <f>N(O725)+IF(AND(B726&lt;&gt;"",B726&gt;='Uang Riba'!$H$30,B726&lt;='Uang Riba'!$I$30,OR(H726="Dana riba",H726="Pinjam uang riba",I726="Pinjam dari uang riba",I726="Ganti uang riba",I726="Kelebihan ganti dikembalikan",AND(C726="Kantong Uang Riba",G726="Pengeluaran"))),1,0)</f>
        <v/>
      </c>
      <c r="X726" s="93">
        <f>IF(AND(B726&lt;&gt;"",B726&gt;='Buku Akun'!$H$4,B726&lt;='Buku Akun'!$H$5,OR(C726='Buku Akun'!$C$4,AND(D726="Pindah",E726='Buku Akun'!$C$4))),B726+IF(AND(I726="Selisih bunga",DAY(B726)=1),0,0.01)+ROW()/10000000,"")</f>
        <v/>
      </c>
    </row>
    <row r="727" outlineLevel="1" ht="15" customHeight="1" s="94">
      <c r="A727" s="123">
        <f>IF(B727="","",ROW()-15)</f>
        <v/>
      </c>
      <c r="B727" s="124" t="n"/>
      <c r="C727" s="123" t="n"/>
      <c r="D727" s="123" t="n"/>
      <c r="E727" s="123" t="n"/>
      <c r="F727" s="125" t="n"/>
      <c r="G727" s="123" t="n"/>
      <c r="H727" s="123" t="n"/>
      <c r="I727" s="123" t="n"/>
      <c r="J727" s="123" t="n"/>
      <c r="K727" s="123" t="n"/>
      <c r="L727" s="123" t="n"/>
      <c r="M727" s="123">
        <f>IF(AND(B727&lt;&gt;"",OR($C$4="",ISNUMBER(SEARCH($C$4,C727&amp;" "&amp;E727&amp;" "&amp;G727&amp;" "&amp;H727&amp;" "&amp;I727&amp;" "&amp;J727&amp;" "&amp;K727&amp;" "&amp;L727))),OR($C$5="Semua",$C$5="",G727=$C$5),OR($C$6="Semua",$C$6="",H727=$C$6,H727="Pengeluaran "&amp;$C$6,AND($C$6="Uang Kos Mama",H727="Pengeluaran Uang Kos")),OR($C$7="Semua",$C$7="",I727=$C$7),OR($C$8="Semua",$C$8="",C727=$C$8,E727=$C$8),OR($C$9="Semua",$C$9="",D727=$C$9),OR($C$10="",B727&gt;=$C$10),OR($C$11="",B727&lt;=$C$11),OR($C$12&lt;&gt;"Ya",K727&lt;&gt;""),OR($C$13="Semua",$C$13="",L727=$C$13)),"✓","")</f>
        <v/>
      </c>
      <c r="N727" s="93">
        <f>N(N726)+IF(M727="✓",1,0)</f>
        <v/>
      </c>
      <c r="O727" s="93">
        <f>N(O726)+IF(AND(B727&lt;&gt;"",B727&gt;='Uang Riba'!$H$30,B727&lt;='Uang Riba'!$I$30,OR(H727="Dana riba",H727="Pinjam uang riba",I727="Pinjam dari uang riba",I727="Ganti uang riba",I727="Kelebihan ganti dikembalikan",AND(C727="Kantong Uang Riba",G727="Pengeluaran"))),1,0)</f>
        <v/>
      </c>
      <c r="X727" s="93">
        <f>IF(AND(B727&lt;&gt;"",B727&gt;='Buku Akun'!$H$4,B727&lt;='Buku Akun'!$H$5,OR(C727='Buku Akun'!$C$4,AND(D727="Pindah",E727='Buku Akun'!$C$4))),B727+IF(AND(I727="Selisih bunga",DAY(B727)=1),0,0.01)+ROW()/10000000,"")</f>
        <v/>
      </c>
    </row>
    <row r="728" outlineLevel="1" ht="15" customHeight="1" s="94">
      <c r="A728" s="123">
        <f>IF(B728="","",ROW()-15)</f>
        <v/>
      </c>
      <c r="B728" s="124" t="n"/>
      <c r="C728" s="123" t="n"/>
      <c r="D728" s="123" t="n"/>
      <c r="E728" s="123" t="n"/>
      <c r="F728" s="125" t="n"/>
      <c r="G728" s="123" t="n"/>
      <c r="H728" s="123" t="n"/>
      <c r="I728" s="123" t="n"/>
      <c r="J728" s="123" t="n"/>
      <c r="K728" s="123" t="n"/>
      <c r="L728" s="123" t="n"/>
      <c r="M728" s="123">
        <f>IF(AND(B728&lt;&gt;"",OR($C$4="",ISNUMBER(SEARCH($C$4,C728&amp;" "&amp;E728&amp;" "&amp;G728&amp;" "&amp;H728&amp;" "&amp;I728&amp;" "&amp;J728&amp;" "&amp;K728&amp;" "&amp;L728))),OR($C$5="Semua",$C$5="",G728=$C$5),OR($C$6="Semua",$C$6="",H728=$C$6,H728="Pengeluaran "&amp;$C$6,AND($C$6="Uang Kos Mama",H728="Pengeluaran Uang Kos")),OR($C$7="Semua",$C$7="",I728=$C$7),OR($C$8="Semua",$C$8="",C728=$C$8,E728=$C$8),OR($C$9="Semua",$C$9="",D728=$C$9),OR($C$10="",B728&gt;=$C$10),OR($C$11="",B728&lt;=$C$11),OR($C$12&lt;&gt;"Ya",K728&lt;&gt;""),OR($C$13="Semua",$C$13="",L728=$C$13)),"✓","")</f>
        <v/>
      </c>
      <c r="N728" s="93">
        <f>N(N727)+IF(M728="✓",1,0)</f>
        <v/>
      </c>
      <c r="O728" s="93">
        <f>N(O727)+IF(AND(B728&lt;&gt;"",B728&gt;='Uang Riba'!$H$30,B728&lt;='Uang Riba'!$I$30,OR(H728="Dana riba",H728="Pinjam uang riba",I728="Pinjam dari uang riba",I728="Ganti uang riba",I728="Kelebihan ganti dikembalikan",AND(C728="Kantong Uang Riba",G728="Pengeluaran"))),1,0)</f>
        <v/>
      </c>
      <c r="X728" s="93">
        <f>IF(AND(B728&lt;&gt;"",B728&gt;='Buku Akun'!$H$4,B728&lt;='Buku Akun'!$H$5,OR(C728='Buku Akun'!$C$4,AND(D728="Pindah",E728='Buku Akun'!$C$4))),B728+IF(AND(I728="Selisih bunga",DAY(B728)=1),0,0.01)+ROW()/10000000,"")</f>
        <v/>
      </c>
    </row>
    <row r="729" outlineLevel="1" ht="15" customHeight="1" s="94">
      <c r="A729" s="123">
        <f>IF(B729="","",ROW()-15)</f>
        <v/>
      </c>
      <c r="B729" s="124" t="n"/>
      <c r="C729" s="123" t="n"/>
      <c r="D729" s="123" t="n"/>
      <c r="E729" s="123" t="n"/>
      <c r="F729" s="125" t="n"/>
      <c r="G729" s="123" t="n"/>
      <c r="H729" s="123" t="n"/>
      <c r="I729" s="123" t="n"/>
      <c r="J729" s="123" t="n"/>
      <c r="K729" s="123" t="n"/>
      <c r="L729" s="123" t="n"/>
      <c r="M729" s="123">
        <f>IF(AND(B729&lt;&gt;"",OR($C$4="",ISNUMBER(SEARCH($C$4,C729&amp;" "&amp;E729&amp;" "&amp;G729&amp;" "&amp;H729&amp;" "&amp;I729&amp;" "&amp;J729&amp;" "&amp;K729&amp;" "&amp;L729))),OR($C$5="Semua",$C$5="",G729=$C$5),OR($C$6="Semua",$C$6="",H729=$C$6,H729="Pengeluaran "&amp;$C$6,AND($C$6="Uang Kos Mama",H729="Pengeluaran Uang Kos")),OR($C$7="Semua",$C$7="",I729=$C$7),OR($C$8="Semua",$C$8="",C729=$C$8,E729=$C$8),OR($C$9="Semua",$C$9="",D729=$C$9),OR($C$10="",B729&gt;=$C$10),OR($C$11="",B729&lt;=$C$11),OR($C$12&lt;&gt;"Ya",K729&lt;&gt;""),OR($C$13="Semua",$C$13="",L729=$C$13)),"✓","")</f>
        <v/>
      </c>
      <c r="N729" s="93">
        <f>N(N728)+IF(M729="✓",1,0)</f>
        <v/>
      </c>
      <c r="O729" s="93">
        <f>N(O728)+IF(AND(B729&lt;&gt;"",B729&gt;='Uang Riba'!$H$30,B729&lt;='Uang Riba'!$I$30,OR(H729="Dana riba",H729="Pinjam uang riba",I729="Pinjam dari uang riba",I729="Ganti uang riba",I729="Kelebihan ganti dikembalikan",AND(C729="Kantong Uang Riba",G729="Pengeluaran"))),1,0)</f>
        <v/>
      </c>
      <c r="X729" s="93">
        <f>IF(AND(B729&lt;&gt;"",B729&gt;='Buku Akun'!$H$4,B729&lt;='Buku Akun'!$H$5,OR(C729='Buku Akun'!$C$4,AND(D729="Pindah",E729='Buku Akun'!$C$4))),B729+IF(AND(I729="Selisih bunga",DAY(B729)=1),0,0.01)+ROW()/10000000,"")</f>
        <v/>
      </c>
    </row>
    <row r="730" outlineLevel="1" ht="15" customHeight="1" s="94">
      <c r="A730" s="123">
        <f>IF(B730="","",ROW()-15)</f>
        <v/>
      </c>
      <c r="B730" s="124" t="n"/>
      <c r="C730" s="123" t="n"/>
      <c r="D730" s="123" t="n"/>
      <c r="E730" s="123" t="n"/>
      <c r="F730" s="125" t="n"/>
      <c r="G730" s="123" t="n"/>
      <c r="H730" s="123" t="n"/>
      <c r="I730" s="123" t="n"/>
      <c r="J730" s="123" t="n"/>
      <c r="K730" s="123" t="n"/>
      <c r="L730" s="123" t="n"/>
      <c r="M730" s="123">
        <f>IF(AND(B730&lt;&gt;"",OR($C$4="",ISNUMBER(SEARCH($C$4,C730&amp;" "&amp;E730&amp;" "&amp;G730&amp;" "&amp;H730&amp;" "&amp;I730&amp;" "&amp;J730&amp;" "&amp;K730&amp;" "&amp;L730))),OR($C$5="Semua",$C$5="",G730=$C$5),OR($C$6="Semua",$C$6="",H730=$C$6,H730="Pengeluaran "&amp;$C$6,AND($C$6="Uang Kos Mama",H730="Pengeluaran Uang Kos")),OR($C$7="Semua",$C$7="",I730=$C$7),OR($C$8="Semua",$C$8="",C730=$C$8,E730=$C$8),OR($C$9="Semua",$C$9="",D730=$C$9),OR($C$10="",B730&gt;=$C$10),OR($C$11="",B730&lt;=$C$11),OR($C$12&lt;&gt;"Ya",K730&lt;&gt;""),OR($C$13="Semua",$C$13="",L730=$C$13)),"✓","")</f>
        <v/>
      </c>
      <c r="N730" s="93">
        <f>N(N729)+IF(M730="✓",1,0)</f>
        <v/>
      </c>
      <c r="O730" s="93">
        <f>N(O729)+IF(AND(B730&lt;&gt;"",B730&gt;='Uang Riba'!$H$30,B730&lt;='Uang Riba'!$I$30,OR(H730="Dana riba",H730="Pinjam uang riba",I730="Pinjam dari uang riba",I730="Ganti uang riba",I730="Kelebihan ganti dikembalikan",AND(C730="Kantong Uang Riba",G730="Pengeluaran"))),1,0)</f>
        <v/>
      </c>
      <c r="X730" s="93">
        <f>IF(AND(B730&lt;&gt;"",B730&gt;='Buku Akun'!$H$4,B730&lt;='Buku Akun'!$H$5,OR(C730='Buku Akun'!$C$4,AND(D730="Pindah",E730='Buku Akun'!$C$4))),B730+IF(AND(I730="Selisih bunga",DAY(B730)=1),0,0.01)+ROW()/10000000,"")</f>
        <v/>
      </c>
    </row>
    <row r="731" outlineLevel="1" ht="15" customHeight="1" s="94">
      <c r="A731" s="123">
        <f>IF(B731="","",ROW()-15)</f>
        <v/>
      </c>
      <c r="B731" s="124" t="n"/>
      <c r="C731" s="123" t="n"/>
      <c r="D731" s="123" t="n"/>
      <c r="E731" s="123" t="n"/>
      <c r="F731" s="125" t="n"/>
      <c r="G731" s="123" t="n"/>
      <c r="H731" s="123" t="n"/>
      <c r="I731" s="123" t="n"/>
      <c r="J731" s="123" t="n"/>
      <c r="K731" s="123" t="n"/>
      <c r="L731" s="123" t="n"/>
      <c r="M731" s="123">
        <f>IF(AND(B731&lt;&gt;"",OR($C$4="",ISNUMBER(SEARCH($C$4,C731&amp;" "&amp;E731&amp;" "&amp;G731&amp;" "&amp;H731&amp;" "&amp;I731&amp;" "&amp;J731&amp;" "&amp;K731&amp;" "&amp;L731))),OR($C$5="Semua",$C$5="",G731=$C$5),OR($C$6="Semua",$C$6="",H731=$C$6,H731="Pengeluaran "&amp;$C$6,AND($C$6="Uang Kos Mama",H731="Pengeluaran Uang Kos")),OR($C$7="Semua",$C$7="",I731=$C$7),OR($C$8="Semua",$C$8="",C731=$C$8,E731=$C$8),OR($C$9="Semua",$C$9="",D731=$C$9),OR($C$10="",B731&gt;=$C$10),OR($C$11="",B731&lt;=$C$11),OR($C$12&lt;&gt;"Ya",K731&lt;&gt;""),OR($C$13="Semua",$C$13="",L731=$C$13)),"✓","")</f>
        <v/>
      </c>
      <c r="N731" s="93">
        <f>N(N730)+IF(M731="✓",1,0)</f>
        <v/>
      </c>
      <c r="O731" s="93">
        <f>N(O730)+IF(AND(B731&lt;&gt;"",B731&gt;='Uang Riba'!$H$30,B731&lt;='Uang Riba'!$I$30,OR(H731="Dana riba",H731="Pinjam uang riba",I731="Pinjam dari uang riba",I731="Ganti uang riba",I731="Kelebihan ganti dikembalikan",AND(C731="Kantong Uang Riba",G731="Pengeluaran"))),1,0)</f>
        <v/>
      </c>
      <c r="X731" s="93">
        <f>IF(AND(B731&lt;&gt;"",B731&gt;='Buku Akun'!$H$4,B731&lt;='Buku Akun'!$H$5,OR(C731='Buku Akun'!$C$4,AND(D731="Pindah",E731='Buku Akun'!$C$4))),B731+IF(AND(I731="Selisih bunga",DAY(B731)=1),0,0.01)+ROW()/10000000,"")</f>
        <v/>
      </c>
    </row>
    <row r="732" outlineLevel="1" ht="15" customHeight="1" s="94">
      <c r="A732" s="123">
        <f>IF(B732="","",ROW()-15)</f>
        <v/>
      </c>
      <c r="B732" s="124" t="n"/>
      <c r="C732" s="123" t="n"/>
      <c r="D732" s="123" t="n"/>
      <c r="E732" s="123" t="n"/>
      <c r="F732" s="125" t="n"/>
      <c r="G732" s="123" t="n"/>
      <c r="H732" s="123" t="n"/>
      <c r="I732" s="123" t="n"/>
      <c r="J732" s="123" t="n"/>
      <c r="K732" s="123" t="n"/>
      <c r="L732" s="123" t="n"/>
      <c r="M732" s="123">
        <f>IF(AND(B732&lt;&gt;"",OR($C$4="",ISNUMBER(SEARCH($C$4,C732&amp;" "&amp;E732&amp;" "&amp;G732&amp;" "&amp;H732&amp;" "&amp;I732&amp;" "&amp;J732&amp;" "&amp;K732&amp;" "&amp;L732))),OR($C$5="Semua",$C$5="",G732=$C$5),OR($C$6="Semua",$C$6="",H732=$C$6,H732="Pengeluaran "&amp;$C$6,AND($C$6="Uang Kos Mama",H732="Pengeluaran Uang Kos")),OR($C$7="Semua",$C$7="",I732=$C$7),OR($C$8="Semua",$C$8="",C732=$C$8,E732=$C$8),OR($C$9="Semua",$C$9="",D732=$C$9),OR($C$10="",B732&gt;=$C$10),OR($C$11="",B732&lt;=$C$11),OR($C$12&lt;&gt;"Ya",K732&lt;&gt;""),OR($C$13="Semua",$C$13="",L732=$C$13)),"✓","")</f>
        <v/>
      </c>
      <c r="N732" s="93">
        <f>N(N731)+IF(M732="✓",1,0)</f>
        <v/>
      </c>
      <c r="O732" s="93">
        <f>N(O731)+IF(AND(B732&lt;&gt;"",B732&gt;='Uang Riba'!$H$30,B732&lt;='Uang Riba'!$I$30,OR(H732="Dana riba",H732="Pinjam uang riba",I732="Pinjam dari uang riba",I732="Ganti uang riba",I732="Kelebihan ganti dikembalikan",AND(C732="Kantong Uang Riba",G732="Pengeluaran"))),1,0)</f>
        <v/>
      </c>
      <c r="X732" s="93">
        <f>IF(AND(B732&lt;&gt;"",B732&gt;='Buku Akun'!$H$4,B732&lt;='Buku Akun'!$H$5,OR(C732='Buku Akun'!$C$4,AND(D732="Pindah",E732='Buku Akun'!$C$4))),B732+IF(AND(I732="Selisih bunga",DAY(B732)=1),0,0.01)+ROW()/10000000,"")</f>
        <v/>
      </c>
    </row>
    <row r="733" outlineLevel="1" ht="15" customHeight="1" s="94">
      <c r="A733" s="123">
        <f>IF(B733="","",ROW()-15)</f>
        <v/>
      </c>
      <c r="B733" s="124" t="n"/>
      <c r="C733" s="123" t="n"/>
      <c r="D733" s="123" t="n"/>
      <c r="E733" s="123" t="n"/>
      <c r="F733" s="125" t="n"/>
      <c r="G733" s="123" t="n"/>
      <c r="H733" s="123" t="n"/>
      <c r="I733" s="123" t="n"/>
      <c r="J733" s="123" t="n"/>
      <c r="K733" s="123" t="n"/>
      <c r="L733" s="123" t="n"/>
      <c r="M733" s="123">
        <f>IF(AND(B733&lt;&gt;"",OR($C$4="",ISNUMBER(SEARCH($C$4,C733&amp;" "&amp;E733&amp;" "&amp;G733&amp;" "&amp;H733&amp;" "&amp;I733&amp;" "&amp;J733&amp;" "&amp;K733&amp;" "&amp;L733))),OR($C$5="Semua",$C$5="",G733=$C$5),OR($C$6="Semua",$C$6="",H733=$C$6,H733="Pengeluaran "&amp;$C$6,AND($C$6="Uang Kos Mama",H733="Pengeluaran Uang Kos")),OR($C$7="Semua",$C$7="",I733=$C$7),OR($C$8="Semua",$C$8="",C733=$C$8,E733=$C$8),OR($C$9="Semua",$C$9="",D733=$C$9),OR($C$10="",B733&gt;=$C$10),OR($C$11="",B733&lt;=$C$11),OR($C$12&lt;&gt;"Ya",K733&lt;&gt;""),OR($C$13="Semua",$C$13="",L733=$C$13)),"✓","")</f>
        <v/>
      </c>
      <c r="N733" s="93">
        <f>N(N732)+IF(M733="✓",1,0)</f>
        <v/>
      </c>
      <c r="O733" s="93">
        <f>N(O732)+IF(AND(B733&lt;&gt;"",B733&gt;='Uang Riba'!$H$30,B733&lt;='Uang Riba'!$I$30,OR(H733="Dana riba",H733="Pinjam uang riba",I733="Pinjam dari uang riba",I733="Ganti uang riba",I733="Kelebihan ganti dikembalikan",AND(C733="Kantong Uang Riba",G733="Pengeluaran"))),1,0)</f>
        <v/>
      </c>
      <c r="X733" s="93">
        <f>IF(AND(B733&lt;&gt;"",B733&gt;='Buku Akun'!$H$4,B733&lt;='Buku Akun'!$H$5,OR(C733='Buku Akun'!$C$4,AND(D733="Pindah",E733='Buku Akun'!$C$4))),B733+IF(AND(I733="Selisih bunga",DAY(B733)=1),0,0.01)+ROW()/10000000,"")</f>
        <v/>
      </c>
    </row>
    <row r="734" outlineLevel="1" ht="15" customHeight="1" s="94">
      <c r="A734" s="123">
        <f>IF(B734="","",ROW()-15)</f>
        <v/>
      </c>
      <c r="B734" s="124" t="n"/>
      <c r="C734" s="123" t="n"/>
      <c r="D734" s="123" t="n"/>
      <c r="E734" s="123" t="n"/>
      <c r="F734" s="125" t="n"/>
      <c r="G734" s="123" t="n"/>
      <c r="H734" s="123" t="n"/>
      <c r="I734" s="123" t="n"/>
      <c r="J734" s="123" t="n"/>
      <c r="K734" s="123" t="n"/>
      <c r="L734" s="123" t="n"/>
      <c r="M734" s="123">
        <f>IF(AND(B734&lt;&gt;"",OR($C$4="",ISNUMBER(SEARCH($C$4,C734&amp;" "&amp;E734&amp;" "&amp;G734&amp;" "&amp;H734&amp;" "&amp;I734&amp;" "&amp;J734&amp;" "&amp;K734&amp;" "&amp;L734))),OR($C$5="Semua",$C$5="",G734=$C$5),OR($C$6="Semua",$C$6="",H734=$C$6,H734="Pengeluaran "&amp;$C$6,AND($C$6="Uang Kos Mama",H734="Pengeluaran Uang Kos")),OR($C$7="Semua",$C$7="",I734=$C$7),OR($C$8="Semua",$C$8="",C734=$C$8,E734=$C$8),OR($C$9="Semua",$C$9="",D734=$C$9),OR($C$10="",B734&gt;=$C$10),OR($C$11="",B734&lt;=$C$11),OR($C$12&lt;&gt;"Ya",K734&lt;&gt;""),OR($C$13="Semua",$C$13="",L734=$C$13)),"✓","")</f>
        <v/>
      </c>
      <c r="N734" s="93">
        <f>N(N733)+IF(M734="✓",1,0)</f>
        <v/>
      </c>
      <c r="O734" s="93">
        <f>N(O733)+IF(AND(B734&lt;&gt;"",B734&gt;='Uang Riba'!$H$30,B734&lt;='Uang Riba'!$I$30,OR(H734="Dana riba",H734="Pinjam uang riba",I734="Pinjam dari uang riba",I734="Ganti uang riba",I734="Kelebihan ganti dikembalikan",AND(C734="Kantong Uang Riba",G734="Pengeluaran"))),1,0)</f>
        <v/>
      </c>
      <c r="X734" s="93">
        <f>IF(AND(B734&lt;&gt;"",B734&gt;='Buku Akun'!$H$4,B734&lt;='Buku Akun'!$H$5,OR(C734='Buku Akun'!$C$4,AND(D734="Pindah",E734='Buku Akun'!$C$4))),B734+IF(AND(I734="Selisih bunga",DAY(B734)=1),0,0.01)+ROW()/10000000,"")</f>
        <v/>
      </c>
    </row>
    <row r="735" outlineLevel="1" ht="15" customHeight="1" s="94">
      <c r="A735" s="123">
        <f>IF(B735="","",ROW()-15)</f>
        <v/>
      </c>
      <c r="B735" s="124" t="n"/>
      <c r="C735" s="123" t="n"/>
      <c r="D735" s="123" t="n"/>
      <c r="E735" s="123" t="n"/>
      <c r="F735" s="125" t="n"/>
      <c r="G735" s="123" t="n"/>
      <c r="H735" s="123" t="n"/>
      <c r="I735" s="123" t="n"/>
      <c r="J735" s="123" t="n"/>
      <c r="K735" s="123" t="n"/>
      <c r="L735" s="123" t="n"/>
      <c r="M735" s="123">
        <f>IF(AND(B735&lt;&gt;"",OR($C$4="",ISNUMBER(SEARCH($C$4,C735&amp;" "&amp;E735&amp;" "&amp;G735&amp;" "&amp;H735&amp;" "&amp;I735&amp;" "&amp;J735&amp;" "&amp;K735&amp;" "&amp;L735))),OR($C$5="Semua",$C$5="",G735=$C$5),OR($C$6="Semua",$C$6="",H735=$C$6,H735="Pengeluaran "&amp;$C$6,AND($C$6="Uang Kos Mama",H735="Pengeluaran Uang Kos")),OR($C$7="Semua",$C$7="",I735=$C$7),OR($C$8="Semua",$C$8="",C735=$C$8,E735=$C$8),OR($C$9="Semua",$C$9="",D735=$C$9),OR($C$10="",B735&gt;=$C$10),OR($C$11="",B735&lt;=$C$11),OR($C$12&lt;&gt;"Ya",K735&lt;&gt;""),OR($C$13="Semua",$C$13="",L735=$C$13)),"✓","")</f>
        <v/>
      </c>
      <c r="N735" s="93">
        <f>N(N734)+IF(M735="✓",1,0)</f>
        <v/>
      </c>
      <c r="O735" s="93">
        <f>N(O734)+IF(AND(B735&lt;&gt;"",B735&gt;='Uang Riba'!$H$30,B735&lt;='Uang Riba'!$I$30,OR(H735="Dana riba",H735="Pinjam uang riba",I735="Pinjam dari uang riba",I735="Ganti uang riba",I735="Kelebihan ganti dikembalikan",AND(C735="Kantong Uang Riba",G735="Pengeluaran"))),1,0)</f>
        <v/>
      </c>
      <c r="X735" s="93">
        <f>IF(AND(B735&lt;&gt;"",B735&gt;='Buku Akun'!$H$4,B735&lt;='Buku Akun'!$H$5,OR(C735='Buku Akun'!$C$4,AND(D735="Pindah",E735='Buku Akun'!$C$4))),B735+IF(AND(I735="Selisih bunga",DAY(B735)=1),0,0.01)+ROW()/10000000,"")</f>
        <v/>
      </c>
    </row>
    <row r="736" outlineLevel="1" ht="15" customHeight="1" s="94">
      <c r="A736" s="123">
        <f>IF(B736="","",ROW()-15)</f>
        <v/>
      </c>
      <c r="B736" s="124" t="n"/>
      <c r="C736" s="123" t="n"/>
      <c r="D736" s="123" t="n"/>
      <c r="E736" s="123" t="n"/>
      <c r="F736" s="125" t="n"/>
      <c r="G736" s="123" t="n"/>
      <c r="H736" s="123" t="n"/>
      <c r="I736" s="123" t="n"/>
      <c r="J736" s="123" t="n"/>
      <c r="K736" s="123" t="n"/>
      <c r="L736" s="123" t="n"/>
      <c r="M736" s="123">
        <f>IF(AND(B736&lt;&gt;"",OR($C$4="",ISNUMBER(SEARCH($C$4,C736&amp;" "&amp;E736&amp;" "&amp;G736&amp;" "&amp;H736&amp;" "&amp;I736&amp;" "&amp;J736&amp;" "&amp;K736&amp;" "&amp;L736))),OR($C$5="Semua",$C$5="",G736=$C$5),OR($C$6="Semua",$C$6="",H736=$C$6,H736="Pengeluaran "&amp;$C$6,AND($C$6="Uang Kos Mama",H736="Pengeluaran Uang Kos")),OR($C$7="Semua",$C$7="",I736=$C$7),OR($C$8="Semua",$C$8="",C736=$C$8,E736=$C$8),OR($C$9="Semua",$C$9="",D736=$C$9),OR($C$10="",B736&gt;=$C$10),OR($C$11="",B736&lt;=$C$11),OR($C$12&lt;&gt;"Ya",K736&lt;&gt;""),OR($C$13="Semua",$C$13="",L736=$C$13)),"✓","")</f>
        <v/>
      </c>
      <c r="N736" s="93">
        <f>N(N735)+IF(M736="✓",1,0)</f>
        <v/>
      </c>
      <c r="O736" s="93">
        <f>N(O735)+IF(AND(B736&lt;&gt;"",B736&gt;='Uang Riba'!$H$30,B736&lt;='Uang Riba'!$I$30,OR(H736="Dana riba",H736="Pinjam uang riba",I736="Pinjam dari uang riba",I736="Ganti uang riba",I736="Kelebihan ganti dikembalikan",AND(C736="Kantong Uang Riba",G736="Pengeluaran"))),1,0)</f>
        <v/>
      </c>
      <c r="X736" s="93">
        <f>IF(AND(B736&lt;&gt;"",B736&gt;='Buku Akun'!$H$4,B736&lt;='Buku Akun'!$H$5,OR(C736='Buku Akun'!$C$4,AND(D736="Pindah",E736='Buku Akun'!$C$4))),B736+IF(AND(I736="Selisih bunga",DAY(B736)=1),0,0.01)+ROW()/10000000,"")</f>
        <v/>
      </c>
    </row>
    <row r="737" outlineLevel="1" ht="15" customHeight="1" s="94">
      <c r="A737" s="123">
        <f>IF(B737="","",ROW()-15)</f>
        <v/>
      </c>
      <c r="B737" s="124" t="n"/>
      <c r="C737" s="123" t="n"/>
      <c r="D737" s="123" t="n"/>
      <c r="E737" s="123" t="n"/>
      <c r="F737" s="125" t="n"/>
      <c r="G737" s="123" t="n"/>
      <c r="H737" s="123" t="n"/>
      <c r="I737" s="123" t="n"/>
      <c r="J737" s="123" t="n"/>
      <c r="K737" s="123" t="n"/>
      <c r="L737" s="123" t="n"/>
      <c r="M737" s="123">
        <f>IF(AND(B737&lt;&gt;"",OR($C$4="",ISNUMBER(SEARCH($C$4,C737&amp;" "&amp;E737&amp;" "&amp;G737&amp;" "&amp;H737&amp;" "&amp;I737&amp;" "&amp;J737&amp;" "&amp;K737&amp;" "&amp;L737))),OR($C$5="Semua",$C$5="",G737=$C$5),OR($C$6="Semua",$C$6="",H737=$C$6,H737="Pengeluaran "&amp;$C$6,AND($C$6="Uang Kos Mama",H737="Pengeluaran Uang Kos")),OR($C$7="Semua",$C$7="",I737=$C$7),OR($C$8="Semua",$C$8="",C737=$C$8,E737=$C$8),OR($C$9="Semua",$C$9="",D737=$C$9),OR($C$10="",B737&gt;=$C$10),OR($C$11="",B737&lt;=$C$11),OR($C$12&lt;&gt;"Ya",K737&lt;&gt;""),OR($C$13="Semua",$C$13="",L737=$C$13)),"✓","")</f>
        <v/>
      </c>
      <c r="N737" s="93">
        <f>N(N736)+IF(M737="✓",1,0)</f>
        <v/>
      </c>
      <c r="O737" s="93">
        <f>N(O736)+IF(AND(B737&lt;&gt;"",B737&gt;='Uang Riba'!$H$30,B737&lt;='Uang Riba'!$I$30,OR(H737="Dana riba",H737="Pinjam uang riba",I737="Pinjam dari uang riba",I737="Ganti uang riba",I737="Kelebihan ganti dikembalikan",AND(C737="Kantong Uang Riba",G737="Pengeluaran"))),1,0)</f>
        <v/>
      </c>
      <c r="X737" s="93">
        <f>IF(AND(B737&lt;&gt;"",B737&gt;='Buku Akun'!$H$4,B737&lt;='Buku Akun'!$H$5,OR(C737='Buku Akun'!$C$4,AND(D737="Pindah",E737='Buku Akun'!$C$4))),B737+IF(AND(I737="Selisih bunga",DAY(B737)=1),0,0.01)+ROW()/10000000,"")</f>
        <v/>
      </c>
    </row>
    <row r="738" outlineLevel="1" ht="15" customHeight="1" s="94">
      <c r="A738" s="123">
        <f>IF(B738="","",ROW()-15)</f>
        <v/>
      </c>
      <c r="B738" s="124" t="n"/>
      <c r="C738" s="123" t="n"/>
      <c r="D738" s="123" t="n"/>
      <c r="E738" s="123" t="n"/>
      <c r="F738" s="125" t="n"/>
      <c r="G738" s="123" t="n"/>
      <c r="H738" s="123" t="n"/>
      <c r="I738" s="123" t="n"/>
      <c r="J738" s="123" t="n"/>
      <c r="K738" s="123" t="n"/>
      <c r="L738" s="123" t="n"/>
      <c r="M738" s="123">
        <f>IF(AND(B738&lt;&gt;"",OR($C$4="",ISNUMBER(SEARCH($C$4,C738&amp;" "&amp;E738&amp;" "&amp;G738&amp;" "&amp;H738&amp;" "&amp;I738&amp;" "&amp;J738&amp;" "&amp;K738&amp;" "&amp;L738))),OR($C$5="Semua",$C$5="",G738=$C$5),OR($C$6="Semua",$C$6="",H738=$C$6,H738="Pengeluaran "&amp;$C$6,AND($C$6="Uang Kos Mama",H738="Pengeluaran Uang Kos")),OR($C$7="Semua",$C$7="",I738=$C$7),OR($C$8="Semua",$C$8="",C738=$C$8,E738=$C$8),OR($C$9="Semua",$C$9="",D738=$C$9),OR($C$10="",B738&gt;=$C$10),OR($C$11="",B738&lt;=$C$11),OR($C$12&lt;&gt;"Ya",K738&lt;&gt;""),OR($C$13="Semua",$C$13="",L738=$C$13)),"✓","")</f>
        <v/>
      </c>
      <c r="N738" s="93">
        <f>N(N737)+IF(M738="✓",1,0)</f>
        <v/>
      </c>
      <c r="O738" s="93">
        <f>N(O737)+IF(AND(B738&lt;&gt;"",B738&gt;='Uang Riba'!$H$30,B738&lt;='Uang Riba'!$I$30,OR(H738="Dana riba",H738="Pinjam uang riba",I738="Pinjam dari uang riba",I738="Ganti uang riba",I738="Kelebihan ganti dikembalikan",AND(C738="Kantong Uang Riba",G738="Pengeluaran"))),1,0)</f>
        <v/>
      </c>
      <c r="X738" s="93">
        <f>IF(AND(B738&lt;&gt;"",B738&gt;='Buku Akun'!$H$4,B738&lt;='Buku Akun'!$H$5,OR(C738='Buku Akun'!$C$4,AND(D738="Pindah",E738='Buku Akun'!$C$4))),B738+IF(AND(I738="Selisih bunga",DAY(B738)=1),0,0.01)+ROW()/10000000,"")</f>
        <v/>
      </c>
    </row>
    <row r="739" outlineLevel="1" ht="15" customHeight="1" s="94">
      <c r="A739" s="123">
        <f>IF(B739="","",ROW()-15)</f>
        <v/>
      </c>
      <c r="B739" s="124" t="n"/>
      <c r="C739" s="123" t="n"/>
      <c r="D739" s="123" t="n"/>
      <c r="E739" s="123" t="n"/>
      <c r="F739" s="125" t="n"/>
      <c r="G739" s="123" t="n"/>
      <c r="H739" s="123" t="n"/>
      <c r="I739" s="123" t="n"/>
      <c r="J739" s="123" t="n"/>
      <c r="K739" s="123" t="n"/>
      <c r="L739" s="123" t="n"/>
      <c r="M739" s="123">
        <f>IF(AND(B739&lt;&gt;"",OR($C$4="",ISNUMBER(SEARCH($C$4,C739&amp;" "&amp;E739&amp;" "&amp;G739&amp;" "&amp;H739&amp;" "&amp;I739&amp;" "&amp;J739&amp;" "&amp;K739&amp;" "&amp;L739))),OR($C$5="Semua",$C$5="",G739=$C$5),OR($C$6="Semua",$C$6="",H739=$C$6,H739="Pengeluaran "&amp;$C$6,AND($C$6="Uang Kos Mama",H739="Pengeluaran Uang Kos")),OR($C$7="Semua",$C$7="",I739=$C$7),OR($C$8="Semua",$C$8="",C739=$C$8,E739=$C$8),OR($C$9="Semua",$C$9="",D739=$C$9),OR($C$10="",B739&gt;=$C$10),OR($C$11="",B739&lt;=$C$11),OR($C$12&lt;&gt;"Ya",K739&lt;&gt;""),OR($C$13="Semua",$C$13="",L739=$C$13)),"✓","")</f>
        <v/>
      </c>
      <c r="N739" s="93">
        <f>N(N738)+IF(M739="✓",1,0)</f>
        <v/>
      </c>
      <c r="O739" s="93">
        <f>N(O738)+IF(AND(B739&lt;&gt;"",B739&gt;='Uang Riba'!$H$30,B739&lt;='Uang Riba'!$I$30,OR(H739="Dana riba",H739="Pinjam uang riba",I739="Pinjam dari uang riba",I739="Ganti uang riba",I739="Kelebihan ganti dikembalikan",AND(C739="Kantong Uang Riba",G739="Pengeluaran"))),1,0)</f>
        <v/>
      </c>
      <c r="X739" s="93">
        <f>IF(AND(B739&lt;&gt;"",B739&gt;='Buku Akun'!$H$4,B739&lt;='Buku Akun'!$H$5,OR(C739='Buku Akun'!$C$4,AND(D739="Pindah",E739='Buku Akun'!$C$4))),B739+IF(AND(I739="Selisih bunga",DAY(B739)=1),0,0.01)+ROW()/10000000,"")</f>
        <v/>
      </c>
    </row>
    <row r="740" outlineLevel="1" ht="15" customHeight="1" s="94">
      <c r="A740" s="123">
        <f>IF(B740="","",ROW()-15)</f>
        <v/>
      </c>
      <c r="B740" s="124" t="n"/>
      <c r="C740" s="123" t="n"/>
      <c r="D740" s="123" t="n"/>
      <c r="E740" s="123" t="n"/>
      <c r="F740" s="125" t="n"/>
      <c r="G740" s="123" t="n"/>
      <c r="H740" s="123" t="n"/>
      <c r="I740" s="123" t="n"/>
      <c r="J740" s="123" t="n"/>
      <c r="K740" s="123" t="n"/>
      <c r="L740" s="123" t="n"/>
      <c r="M740" s="123">
        <f>IF(AND(B740&lt;&gt;"",OR($C$4="",ISNUMBER(SEARCH($C$4,C740&amp;" "&amp;E740&amp;" "&amp;G740&amp;" "&amp;H740&amp;" "&amp;I740&amp;" "&amp;J740&amp;" "&amp;K740&amp;" "&amp;L740))),OR($C$5="Semua",$C$5="",G740=$C$5),OR($C$6="Semua",$C$6="",H740=$C$6,H740="Pengeluaran "&amp;$C$6,AND($C$6="Uang Kos Mama",H740="Pengeluaran Uang Kos")),OR($C$7="Semua",$C$7="",I740=$C$7),OR($C$8="Semua",$C$8="",C740=$C$8,E740=$C$8),OR($C$9="Semua",$C$9="",D740=$C$9),OR($C$10="",B740&gt;=$C$10),OR($C$11="",B740&lt;=$C$11),OR($C$12&lt;&gt;"Ya",K740&lt;&gt;""),OR($C$13="Semua",$C$13="",L740=$C$13)),"✓","")</f>
        <v/>
      </c>
      <c r="N740" s="93">
        <f>N(N739)+IF(M740="✓",1,0)</f>
        <v/>
      </c>
      <c r="O740" s="93">
        <f>N(O739)+IF(AND(B740&lt;&gt;"",B740&gt;='Uang Riba'!$H$30,B740&lt;='Uang Riba'!$I$30,OR(H740="Dana riba",H740="Pinjam uang riba",I740="Pinjam dari uang riba",I740="Ganti uang riba",I740="Kelebihan ganti dikembalikan",AND(C740="Kantong Uang Riba",G740="Pengeluaran"))),1,0)</f>
        <v/>
      </c>
      <c r="X740" s="93">
        <f>IF(AND(B740&lt;&gt;"",B740&gt;='Buku Akun'!$H$4,B740&lt;='Buku Akun'!$H$5,OR(C740='Buku Akun'!$C$4,AND(D740="Pindah",E740='Buku Akun'!$C$4))),B740+IF(AND(I740="Selisih bunga",DAY(B740)=1),0,0.01)+ROW()/10000000,"")</f>
        <v/>
      </c>
    </row>
    <row r="741" outlineLevel="1" ht="15" customHeight="1" s="94">
      <c r="A741" s="123">
        <f>IF(B741="","",ROW()-15)</f>
        <v/>
      </c>
      <c r="B741" s="124" t="n"/>
      <c r="C741" s="123" t="n"/>
      <c r="D741" s="123" t="n"/>
      <c r="E741" s="123" t="n"/>
      <c r="F741" s="125" t="n"/>
      <c r="G741" s="123" t="n"/>
      <c r="H741" s="123" t="n"/>
      <c r="I741" s="123" t="n"/>
      <c r="J741" s="123" t="n"/>
      <c r="K741" s="123" t="n"/>
      <c r="L741" s="123" t="n"/>
      <c r="M741" s="123">
        <f>IF(AND(B741&lt;&gt;"",OR($C$4="",ISNUMBER(SEARCH($C$4,C741&amp;" "&amp;E741&amp;" "&amp;G741&amp;" "&amp;H741&amp;" "&amp;I741&amp;" "&amp;J741&amp;" "&amp;K741&amp;" "&amp;L741))),OR($C$5="Semua",$C$5="",G741=$C$5),OR($C$6="Semua",$C$6="",H741=$C$6,H741="Pengeluaran "&amp;$C$6,AND($C$6="Uang Kos Mama",H741="Pengeluaran Uang Kos")),OR($C$7="Semua",$C$7="",I741=$C$7),OR($C$8="Semua",$C$8="",C741=$C$8,E741=$C$8),OR($C$9="Semua",$C$9="",D741=$C$9),OR($C$10="",B741&gt;=$C$10),OR($C$11="",B741&lt;=$C$11),OR($C$12&lt;&gt;"Ya",K741&lt;&gt;""),OR($C$13="Semua",$C$13="",L741=$C$13)),"✓","")</f>
        <v/>
      </c>
      <c r="N741" s="93">
        <f>N(N740)+IF(M741="✓",1,0)</f>
        <v/>
      </c>
      <c r="O741" s="93">
        <f>N(O740)+IF(AND(B741&lt;&gt;"",B741&gt;='Uang Riba'!$H$30,B741&lt;='Uang Riba'!$I$30,OR(H741="Dana riba",H741="Pinjam uang riba",I741="Pinjam dari uang riba",I741="Ganti uang riba",I741="Kelebihan ganti dikembalikan",AND(C741="Kantong Uang Riba",G741="Pengeluaran"))),1,0)</f>
        <v/>
      </c>
      <c r="X741" s="93">
        <f>IF(AND(B741&lt;&gt;"",B741&gt;='Buku Akun'!$H$4,B741&lt;='Buku Akun'!$H$5,OR(C741='Buku Akun'!$C$4,AND(D741="Pindah",E741='Buku Akun'!$C$4))),B741+IF(AND(I741="Selisih bunga",DAY(B741)=1),0,0.01)+ROW()/10000000,"")</f>
        <v/>
      </c>
    </row>
    <row r="742" outlineLevel="1" ht="15" customHeight="1" s="94">
      <c r="A742" s="123">
        <f>IF(B742="","",ROW()-15)</f>
        <v/>
      </c>
      <c r="B742" s="124" t="n"/>
      <c r="C742" s="123" t="n"/>
      <c r="D742" s="123" t="n"/>
      <c r="E742" s="123" t="n"/>
      <c r="F742" s="125" t="n"/>
      <c r="G742" s="123" t="n"/>
      <c r="H742" s="123" t="n"/>
      <c r="I742" s="123" t="n"/>
      <c r="J742" s="123" t="n"/>
      <c r="K742" s="123" t="n"/>
      <c r="L742" s="123" t="n"/>
      <c r="M742" s="123">
        <f>IF(AND(B742&lt;&gt;"",OR($C$4="",ISNUMBER(SEARCH($C$4,C742&amp;" "&amp;E742&amp;" "&amp;G742&amp;" "&amp;H742&amp;" "&amp;I742&amp;" "&amp;J742&amp;" "&amp;K742&amp;" "&amp;L742))),OR($C$5="Semua",$C$5="",G742=$C$5),OR($C$6="Semua",$C$6="",H742=$C$6,H742="Pengeluaran "&amp;$C$6,AND($C$6="Uang Kos Mama",H742="Pengeluaran Uang Kos")),OR($C$7="Semua",$C$7="",I742=$C$7),OR($C$8="Semua",$C$8="",C742=$C$8,E742=$C$8),OR($C$9="Semua",$C$9="",D742=$C$9),OR($C$10="",B742&gt;=$C$10),OR($C$11="",B742&lt;=$C$11),OR($C$12&lt;&gt;"Ya",K742&lt;&gt;""),OR($C$13="Semua",$C$13="",L742=$C$13)),"✓","")</f>
        <v/>
      </c>
      <c r="N742" s="93">
        <f>N(N741)+IF(M742="✓",1,0)</f>
        <v/>
      </c>
      <c r="O742" s="93">
        <f>N(O741)+IF(AND(B742&lt;&gt;"",B742&gt;='Uang Riba'!$H$30,B742&lt;='Uang Riba'!$I$30,OR(H742="Dana riba",H742="Pinjam uang riba",I742="Pinjam dari uang riba",I742="Ganti uang riba",I742="Kelebihan ganti dikembalikan",AND(C742="Kantong Uang Riba",G742="Pengeluaran"))),1,0)</f>
        <v/>
      </c>
      <c r="X742" s="93">
        <f>IF(AND(B742&lt;&gt;"",B742&gt;='Buku Akun'!$H$4,B742&lt;='Buku Akun'!$H$5,OR(C742='Buku Akun'!$C$4,AND(D742="Pindah",E742='Buku Akun'!$C$4))),B742+IF(AND(I742="Selisih bunga",DAY(B742)=1),0,0.01)+ROW()/10000000,"")</f>
        <v/>
      </c>
    </row>
    <row r="743" outlineLevel="1" ht="15" customHeight="1" s="94">
      <c r="A743" s="123">
        <f>IF(B743="","",ROW()-15)</f>
        <v/>
      </c>
      <c r="B743" s="124" t="n"/>
      <c r="C743" s="123" t="n"/>
      <c r="D743" s="123" t="n"/>
      <c r="E743" s="123" t="n"/>
      <c r="F743" s="125" t="n"/>
      <c r="G743" s="123" t="n"/>
      <c r="H743" s="123" t="n"/>
      <c r="I743" s="123" t="n"/>
      <c r="J743" s="123" t="n"/>
      <c r="K743" s="123" t="n"/>
      <c r="L743" s="123" t="n"/>
      <c r="M743" s="123">
        <f>IF(AND(B743&lt;&gt;"",OR($C$4="",ISNUMBER(SEARCH($C$4,C743&amp;" "&amp;E743&amp;" "&amp;G743&amp;" "&amp;H743&amp;" "&amp;I743&amp;" "&amp;J743&amp;" "&amp;K743&amp;" "&amp;L743))),OR($C$5="Semua",$C$5="",G743=$C$5),OR($C$6="Semua",$C$6="",H743=$C$6,H743="Pengeluaran "&amp;$C$6,AND($C$6="Uang Kos Mama",H743="Pengeluaran Uang Kos")),OR($C$7="Semua",$C$7="",I743=$C$7),OR($C$8="Semua",$C$8="",C743=$C$8,E743=$C$8),OR($C$9="Semua",$C$9="",D743=$C$9),OR($C$10="",B743&gt;=$C$10),OR($C$11="",B743&lt;=$C$11),OR($C$12&lt;&gt;"Ya",K743&lt;&gt;""),OR($C$13="Semua",$C$13="",L743=$C$13)),"✓","")</f>
        <v/>
      </c>
      <c r="N743" s="93">
        <f>N(N742)+IF(M743="✓",1,0)</f>
        <v/>
      </c>
      <c r="O743" s="93">
        <f>N(O742)+IF(AND(B743&lt;&gt;"",B743&gt;='Uang Riba'!$H$30,B743&lt;='Uang Riba'!$I$30,OR(H743="Dana riba",H743="Pinjam uang riba",I743="Pinjam dari uang riba",I743="Ganti uang riba",I743="Kelebihan ganti dikembalikan",AND(C743="Kantong Uang Riba",G743="Pengeluaran"))),1,0)</f>
        <v/>
      </c>
      <c r="X743" s="93">
        <f>IF(AND(B743&lt;&gt;"",B743&gt;='Buku Akun'!$H$4,B743&lt;='Buku Akun'!$H$5,OR(C743='Buku Akun'!$C$4,AND(D743="Pindah",E743='Buku Akun'!$C$4))),B743+IF(AND(I743="Selisih bunga",DAY(B743)=1),0,0.01)+ROW()/10000000,"")</f>
        <v/>
      </c>
    </row>
    <row r="744" outlineLevel="1" ht="15" customHeight="1" s="94">
      <c r="A744" s="123">
        <f>IF(B744="","",ROW()-15)</f>
        <v/>
      </c>
      <c r="B744" s="124" t="n"/>
      <c r="C744" s="123" t="n"/>
      <c r="D744" s="123" t="n"/>
      <c r="E744" s="123" t="n"/>
      <c r="F744" s="125" t="n"/>
      <c r="G744" s="123" t="n"/>
      <c r="H744" s="123" t="n"/>
      <c r="I744" s="123" t="n"/>
      <c r="J744" s="123" t="n"/>
      <c r="K744" s="123" t="n"/>
      <c r="L744" s="123" t="n"/>
      <c r="M744" s="123">
        <f>IF(AND(B744&lt;&gt;"",OR($C$4="",ISNUMBER(SEARCH($C$4,C744&amp;" "&amp;E744&amp;" "&amp;G744&amp;" "&amp;H744&amp;" "&amp;I744&amp;" "&amp;J744&amp;" "&amp;K744&amp;" "&amp;L744))),OR($C$5="Semua",$C$5="",G744=$C$5),OR($C$6="Semua",$C$6="",H744=$C$6,H744="Pengeluaran "&amp;$C$6,AND($C$6="Uang Kos Mama",H744="Pengeluaran Uang Kos")),OR($C$7="Semua",$C$7="",I744=$C$7),OR($C$8="Semua",$C$8="",C744=$C$8,E744=$C$8),OR($C$9="Semua",$C$9="",D744=$C$9),OR($C$10="",B744&gt;=$C$10),OR($C$11="",B744&lt;=$C$11),OR($C$12&lt;&gt;"Ya",K744&lt;&gt;""),OR($C$13="Semua",$C$13="",L744=$C$13)),"✓","")</f>
        <v/>
      </c>
      <c r="N744" s="93">
        <f>N(N743)+IF(M744="✓",1,0)</f>
        <v/>
      </c>
      <c r="O744" s="93">
        <f>N(O743)+IF(AND(B744&lt;&gt;"",B744&gt;='Uang Riba'!$H$30,B744&lt;='Uang Riba'!$I$30,OR(H744="Dana riba",H744="Pinjam uang riba",I744="Pinjam dari uang riba",I744="Ganti uang riba",I744="Kelebihan ganti dikembalikan",AND(C744="Kantong Uang Riba",G744="Pengeluaran"))),1,0)</f>
        <v/>
      </c>
      <c r="X744" s="93">
        <f>IF(AND(B744&lt;&gt;"",B744&gt;='Buku Akun'!$H$4,B744&lt;='Buku Akun'!$H$5,OR(C744='Buku Akun'!$C$4,AND(D744="Pindah",E744='Buku Akun'!$C$4))),B744+IF(AND(I744="Selisih bunga",DAY(B744)=1),0,0.01)+ROW()/10000000,"")</f>
        <v/>
      </c>
    </row>
    <row r="745" outlineLevel="1" ht="15" customHeight="1" s="94">
      <c r="A745" s="123">
        <f>IF(B745="","",ROW()-15)</f>
        <v/>
      </c>
      <c r="B745" s="124" t="n"/>
      <c r="C745" s="123" t="n"/>
      <c r="D745" s="123" t="n"/>
      <c r="E745" s="123" t="n"/>
      <c r="F745" s="125" t="n"/>
      <c r="G745" s="123" t="n"/>
      <c r="H745" s="123" t="n"/>
      <c r="I745" s="123" t="n"/>
      <c r="J745" s="123" t="n"/>
      <c r="K745" s="123" t="n"/>
      <c r="L745" s="123" t="n"/>
      <c r="M745" s="123">
        <f>IF(AND(B745&lt;&gt;"",OR($C$4="",ISNUMBER(SEARCH($C$4,C745&amp;" "&amp;E745&amp;" "&amp;G745&amp;" "&amp;H745&amp;" "&amp;I745&amp;" "&amp;J745&amp;" "&amp;K745&amp;" "&amp;L745))),OR($C$5="Semua",$C$5="",G745=$C$5),OR($C$6="Semua",$C$6="",H745=$C$6,H745="Pengeluaran "&amp;$C$6,AND($C$6="Uang Kos Mama",H745="Pengeluaran Uang Kos")),OR($C$7="Semua",$C$7="",I745=$C$7),OR($C$8="Semua",$C$8="",C745=$C$8,E745=$C$8),OR($C$9="Semua",$C$9="",D745=$C$9),OR($C$10="",B745&gt;=$C$10),OR($C$11="",B745&lt;=$C$11),OR($C$12&lt;&gt;"Ya",K745&lt;&gt;""),OR($C$13="Semua",$C$13="",L745=$C$13)),"✓","")</f>
        <v/>
      </c>
      <c r="N745" s="93">
        <f>N(N744)+IF(M745="✓",1,0)</f>
        <v/>
      </c>
      <c r="O745" s="93">
        <f>N(O744)+IF(AND(B745&lt;&gt;"",B745&gt;='Uang Riba'!$H$30,B745&lt;='Uang Riba'!$I$30,OR(H745="Dana riba",H745="Pinjam uang riba",I745="Pinjam dari uang riba",I745="Ganti uang riba",I745="Kelebihan ganti dikembalikan",AND(C745="Kantong Uang Riba",G745="Pengeluaran"))),1,0)</f>
        <v/>
      </c>
      <c r="X745" s="93">
        <f>IF(AND(B745&lt;&gt;"",B745&gt;='Buku Akun'!$H$4,B745&lt;='Buku Akun'!$H$5,OR(C745='Buku Akun'!$C$4,AND(D745="Pindah",E745='Buku Akun'!$C$4))),B745+IF(AND(I745="Selisih bunga",DAY(B745)=1),0,0.01)+ROW()/10000000,"")</f>
        <v/>
      </c>
    </row>
    <row r="746" outlineLevel="1" ht="15" customHeight="1" s="94">
      <c r="A746" s="123">
        <f>IF(B746="","",ROW()-15)</f>
        <v/>
      </c>
      <c r="B746" s="124" t="n"/>
      <c r="C746" s="123" t="n"/>
      <c r="D746" s="123" t="n"/>
      <c r="E746" s="123" t="n"/>
      <c r="F746" s="125" t="n"/>
      <c r="G746" s="123" t="n"/>
      <c r="H746" s="123" t="n"/>
      <c r="I746" s="123" t="n"/>
      <c r="J746" s="123" t="n"/>
      <c r="K746" s="123" t="n"/>
      <c r="L746" s="123" t="n"/>
      <c r="M746" s="123">
        <f>IF(AND(B746&lt;&gt;"",OR($C$4="",ISNUMBER(SEARCH($C$4,C746&amp;" "&amp;E746&amp;" "&amp;G746&amp;" "&amp;H746&amp;" "&amp;I746&amp;" "&amp;J746&amp;" "&amp;K746&amp;" "&amp;L746))),OR($C$5="Semua",$C$5="",G746=$C$5),OR($C$6="Semua",$C$6="",H746=$C$6,H746="Pengeluaran "&amp;$C$6,AND($C$6="Uang Kos Mama",H746="Pengeluaran Uang Kos")),OR($C$7="Semua",$C$7="",I746=$C$7),OR($C$8="Semua",$C$8="",C746=$C$8,E746=$C$8),OR($C$9="Semua",$C$9="",D746=$C$9),OR($C$10="",B746&gt;=$C$10),OR($C$11="",B746&lt;=$C$11),OR($C$12&lt;&gt;"Ya",K746&lt;&gt;""),OR($C$13="Semua",$C$13="",L746=$C$13)),"✓","")</f>
        <v/>
      </c>
      <c r="N746" s="93">
        <f>N(N745)+IF(M746="✓",1,0)</f>
        <v/>
      </c>
      <c r="O746" s="93">
        <f>N(O745)+IF(AND(B746&lt;&gt;"",B746&gt;='Uang Riba'!$H$30,B746&lt;='Uang Riba'!$I$30,OR(H746="Dana riba",H746="Pinjam uang riba",I746="Pinjam dari uang riba",I746="Ganti uang riba",I746="Kelebihan ganti dikembalikan",AND(C746="Kantong Uang Riba",G746="Pengeluaran"))),1,0)</f>
        <v/>
      </c>
      <c r="X746" s="93">
        <f>IF(AND(B746&lt;&gt;"",B746&gt;='Buku Akun'!$H$4,B746&lt;='Buku Akun'!$H$5,OR(C746='Buku Akun'!$C$4,AND(D746="Pindah",E746='Buku Akun'!$C$4))),B746+IF(AND(I746="Selisih bunga",DAY(B746)=1),0,0.01)+ROW()/10000000,"")</f>
        <v/>
      </c>
    </row>
    <row r="747" outlineLevel="1" ht="15" customHeight="1" s="94">
      <c r="A747" s="123">
        <f>IF(B747="","",ROW()-15)</f>
        <v/>
      </c>
      <c r="B747" s="124" t="n"/>
      <c r="C747" s="123" t="n"/>
      <c r="D747" s="123" t="n"/>
      <c r="E747" s="123" t="n"/>
      <c r="F747" s="125" t="n"/>
      <c r="G747" s="123" t="n"/>
      <c r="H747" s="123" t="n"/>
      <c r="I747" s="123" t="n"/>
      <c r="J747" s="123" t="n"/>
      <c r="K747" s="123" t="n"/>
      <c r="L747" s="123" t="n"/>
      <c r="M747" s="123">
        <f>IF(AND(B747&lt;&gt;"",OR($C$4="",ISNUMBER(SEARCH($C$4,C747&amp;" "&amp;E747&amp;" "&amp;G747&amp;" "&amp;H747&amp;" "&amp;I747&amp;" "&amp;J747&amp;" "&amp;K747&amp;" "&amp;L747))),OR($C$5="Semua",$C$5="",G747=$C$5),OR($C$6="Semua",$C$6="",H747=$C$6,H747="Pengeluaran "&amp;$C$6,AND($C$6="Uang Kos Mama",H747="Pengeluaran Uang Kos")),OR($C$7="Semua",$C$7="",I747=$C$7),OR($C$8="Semua",$C$8="",C747=$C$8,E747=$C$8),OR($C$9="Semua",$C$9="",D747=$C$9),OR($C$10="",B747&gt;=$C$10),OR($C$11="",B747&lt;=$C$11),OR($C$12&lt;&gt;"Ya",K747&lt;&gt;""),OR($C$13="Semua",$C$13="",L747=$C$13)),"✓","")</f>
        <v/>
      </c>
      <c r="N747" s="93">
        <f>N(N746)+IF(M747="✓",1,0)</f>
        <v/>
      </c>
      <c r="O747" s="93">
        <f>N(O746)+IF(AND(B747&lt;&gt;"",B747&gt;='Uang Riba'!$H$30,B747&lt;='Uang Riba'!$I$30,OR(H747="Dana riba",H747="Pinjam uang riba",I747="Pinjam dari uang riba",I747="Ganti uang riba",I747="Kelebihan ganti dikembalikan",AND(C747="Kantong Uang Riba",G747="Pengeluaran"))),1,0)</f>
        <v/>
      </c>
      <c r="X747" s="93">
        <f>IF(AND(B747&lt;&gt;"",B747&gt;='Buku Akun'!$H$4,B747&lt;='Buku Akun'!$H$5,OR(C747='Buku Akun'!$C$4,AND(D747="Pindah",E747='Buku Akun'!$C$4))),B747+IF(AND(I747="Selisih bunga",DAY(B747)=1),0,0.01)+ROW()/10000000,"")</f>
        <v/>
      </c>
    </row>
    <row r="748" outlineLevel="1" ht="15" customHeight="1" s="94">
      <c r="A748" s="123">
        <f>IF(B748="","",ROW()-15)</f>
        <v/>
      </c>
      <c r="B748" s="124" t="n"/>
      <c r="C748" s="123" t="n"/>
      <c r="D748" s="123" t="n"/>
      <c r="E748" s="123" t="n"/>
      <c r="F748" s="125" t="n"/>
      <c r="G748" s="123" t="n"/>
      <c r="H748" s="123" t="n"/>
      <c r="I748" s="123" t="n"/>
      <c r="J748" s="123" t="n"/>
      <c r="K748" s="123" t="n"/>
      <c r="L748" s="123" t="n"/>
      <c r="M748" s="123">
        <f>IF(AND(B748&lt;&gt;"",OR($C$4="",ISNUMBER(SEARCH($C$4,C748&amp;" "&amp;E748&amp;" "&amp;G748&amp;" "&amp;H748&amp;" "&amp;I748&amp;" "&amp;J748&amp;" "&amp;K748&amp;" "&amp;L748))),OR($C$5="Semua",$C$5="",G748=$C$5),OR($C$6="Semua",$C$6="",H748=$C$6,H748="Pengeluaran "&amp;$C$6,AND($C$6="Uang Kos Mama",H748="Pengeluaran Uang Kos")),OR($C$7="Semua",$C$7="",I748=$C$7),OR($C$8="Semua",$C$8="",C748=$C$8,E748=$C$8),OR($C$9="Semua",$C$9="",D748=$C$9),OR($C$10="",B748&gt;=$C$10),OR($C$11="",B748&lt;=$C$11),OR($C$12&lt;&gt;"Ya",K748&lt;&gt;""),OR($C$13="Semua",$C$13="",L748=$C$13)),"✓","")</f>
        <v/>
      </c>
      <c r="N748" s="93">
        <f>N(N747)+IF(M748="✓",1,0)</f>
        <v/>
      </c>
      <c r="O748" s="93">
        <f>N(O747)+IF(AND(B748&lt;&gt;"",B748&gt;='Uang Riba'!$H$30,B748&lt;='Uang Riba'!$I$30,OR(H748="Dana riba",H748="Pinjam uang riba",I748="Pinjam dari uang riba",I748="Ganti uang riba",I748="Kelebihan ganti dikembalikan",AND(C748="Kantong Uang Riba",G748="Pengeluaran"))),1,0)</f>
        <v/>
      </c>
      <c r="X748" s="93">
        <f>IF(AND(B748&lt;&gt;"",B748&gt;='Buku Akun'!$H$4,B748&lt;='Buku Akun'!$H$5,OR(C748='Buku Akun'!$C$4,AND(D748="Pindah",E748='Buku Akun'!$C$4))),B748+IF(AND(I748="Selisih bunga",DAY(B748)=1),0,0.01)+ROW()/10000000,"")</f>
        <v/>
      </c>
    </row>
    <row r="749" outlineLevel="1" ht="15" customHeight="1" s="94">
      <c r="A749" s="123">
        <f>IF(B749="","",ROW()-15)</f>
        <v/>
      </c>
      <c r="B749" s="124" t="n"/>
      <c r="C749" s="123" t="n"/>
      <c r="D749" s="123" t="n"/>
      <c r="E749" s="123" t="n"/>
      <c r="F749" s="125" t="n"/>
      <c r="G749" s="123" t="n"/>
      <c r="H749" s="123" t="n"/>
      <c r="I749" s="123" t="n"/>
      <c r="J749" s="123" t="n"/>
      <c r="K749" s="123" t="n"/>
      <c r="L749" s="123" t="n"/>
      <c r="M749" s="123">
        <f>IF(AND(B749&lt;&gt;"",OR($C$4="",ISNUMBER(SEARCH($C$4,C749&amp;" "&amp;E749&amp;" "&amp;G749&amp;" "&amp;H749&amp;" "&amp;I749&amp;" "&amp;J749&amp;" "&amp;K749&amp;" "&amp;L749))),OR($C$5="Semua",$C$5="",G749=$C$5),OR($C$6="Semua",$C$6="",H749=$C$6,H749="Pengeluaran "&amp;$C$6,AND($C$6="Uang Kos Mama",H749="Pengeluaran Uang Kos")),OR($C$7="Semua",$C$7="",I749=$C$7),OR($C$8="Semua",$C$8="",C749=$C$8,E749=$C$8),OR($C$9="Semua",$C$9="",D749=$C$9),OR($C$10="",B749&gt;=$C$10),OR($C$11="",B749&lt;=$C$11),OR($C$12&lt;&gt;"Ya",K749&lt;&gt;""),OR($C$13="Semua",$C$13="",L749=$C$13)),"✓","")</f>
        <v/>
      </c>
      <c r="N749" s="93">
        <f>N(N748)+IF(M749="✓",1,0)</f>
        <v/>
      </c>
      <c r="O749" s="93">
        <f>N(O748)+IF(AND(B749&lt;&gt;"",B749&gt;='Uang Riba'!$H$30,B749&lt;='Uang Riba'!$I$30,OR(H749="Dana riba",H749="Pinjam uang riba",I749="Pinjam dari uang riba",I749="Ganti uang riba",I749="Kelebihan ganti dikembalikan",AND(C749="Kantong Uang Riba",G749="Pengeluaran"))),1,0)</f>
        <v/>
      </c>
      <c r="X749" s="93">
        <f>IF(AND(B749&lt;&gt;"",B749&gt;='Buku Akun'!$H$4,B749&lt;='Buku Akun'!$H$5,OR(C749='Buku Akun'!$C$4,AND(D749="Pindah",E749='Buku Akun'!$C$4))),B749+IF(AND(I749="Selisih bunga",DAY(B749)=1),0,0.01)+ROW()/10000000,"")</f>
        <v/>
      </c>
    </row>
    <row r="750" outlineLevel="1" ht="15" customHeight="1" s="94">
      <c r="A750" s="123">
        <f>IF(B750="","",ROW()-15)</f>
        <v/>
      </c>
      <c r="B750" s="124" t="n"/>
      <c r="C750" s="123" t="n"/>
      <c r="D750" s="123" t="n"/>
      <c r="E750" s="123" t="n"/>
      <c r="F750" s="125" t="n"/>
      <c r="G750" s="123" t="n"/>
      <c r="H750" s="123" t="n"/>
      <c r="I750" s="123" t="n"/>
      <c r="J750" s="123" t="n"/>
      <c r="K750" s="123" t="n"/>
      <c r="L750" s="123" t="n"/>
      <c r="M750" s="123">
        <f>IF(AND(B750&lt;&gt;"",OR($C$4="",ISNUMBER(SEARCH($C$4,C750&amp;" "&amp;E750&amp;" "&amp;G750&amp;" "&amp;H750&amp;" "&amp;I750&amp;" "&amp;J750&amp;" "&amp;K750&amp;" "&amp;L750))),OR($C$5="Semua",$C$5="",G750=$C$5),OR($C$6="Semua",$C$6="",H750=$C$6,H750="Pengeluaran "&amp;$C$6,AND($C$6="Uang Kos Mama",H750="Pengeluaran Uang Kos")),OR($C$7="Semua",$C$7="",I750=$C$7),OR($C$8="Semua",$C$8="",C750=$C$8,E750=$C$8),OR($C$9="Semua",$C$9="",D750=$C$9),OR($C$10="",B750&gt;=$C$10),OR($C$11="",B750&lt;=$C$11),OR($C$12&lt;&gt;"Ya",K750&lt;&gt;""),OR($C$13="Semua",$C$13="",L750=$C$13)),"✓","")</f>
        <v/>
      </c>
      <c r="N750" s="93">
        <f>N(N749)+IF(M750="✓",1,0)</f>
        <v/>
      </c>
      <c r="O750" s="93">
        <f>N(O749)+IF(AND(B750&lt;&gt;"",B750&gt;='Uang Riba'!$H$30,B750&lt;='Uang Riba'!$I$30,OR(H750="Dana riba",H750="Pinjam uang riba",I750="Pinjam dari uang riba",I750="Ganti uang riba",I750="Kelebihan ganti dikembalikan",AND(C750="Kantong Uang Riba",G750="Pengeluaran"))),1,0)</f>
        <v/>
      </c>
      <c r="X750" s="93">
        <f>IF(AND(B750&lt;&gt;"",B750&gt;='Buku Akun'!$H$4,B750&lt;='Buku Akun'!$H$5,OR(C750='Buku Akun'!$C$4,AND(D750="Pindah",E750='Buku Akun'!$C$4))),B750+IF(AND(I750="Selisih bunga",DAY(B750)=1),0,0.01)+ROW()/10000000,"")</f>
        <v/>
      </c>
    </row>
    <row r="751" outlineLevel="1" ht="15" customHeight="1" s="94">
      <c r="A751" s="123">
        <f>IF(B751="","",ROW()-15)</f>
        <v/>
      </c>
      <c r="B751" s="124" t="n"/>
      <c r="C751" s="123" t="n"/>
      <c r="D751" s="123" t="n"/>
      <c r="E751" s="123" t="n"/>
      <c r="F751" s="125" t="n"/>
      <c r="G751" s="123" t="n"/>
      <c r="H751" s="123" t="n"/>
      <c r="I751" s="123" t="n"/>
      <c r="J751" s="123" t="n"/>
      <c r="K751" s="123" t="n"/>
      <c r="L751" s="123" t="n"/>
      <c r="M751" s="123">
        <f>IF(AND(B751&lt;&gt;"",OR($C$4="",ISNUMBER(SEARCH($C$4,C751&amp;" "&amp;E751&amp;" "&amp;G751&amp;" "&amp;H751&amp;" "&amp;I751&amp;" "&amp;J751&amp;" "&amp;K751&amp;" "&amp;L751))),OR($C$5="Semua",$C$5="",G751=$C$5),OR($C$6="Semua",$C$6="",H751=$C$6,H751="Pengeluaran "&amp;$C$6,AND($C$6="Uang Kos Mama",H751="Pengeluaran Uang Kos")),OR($C$7="Semua",$C$7="",I751=$C$7),OR($C$8="Semua",$C$8="",C751=$C$8,E751=$C$8),OR($C$9="Semua",$C$9="",D751=$C$9),OR($C$10="",B751&gt;=$C$10),OR($C$11="",B751&lt;=$C$11),OR($C$12&lt;&gt;"Ya",K751&lt;&gt;""),OR($C$13="Semua",$C$13="",L751=$C$13)),"✓","")</f>
        <v/>
      </c>
      <c r="N751" s="93">
        <f>N(N750)+IF(M751="✓",1,0)</f>
        <v/>
      </c>
      <c r="O751" s="93">
        <f>N(O750)+IF(AND(B751&lt;&gt;"",B751&gt;='Uang Riba'!$H$30,B751&lt;='Uang Riba'!$I$30,OR(H751="Dana riba",H751="Pinjam uang riba",I751="Pinjam dari uang riba",I751="Ganti uang riba",I751="Kelebihan ganti dikembalikan",AND(C751="Kantong Uang Riba",G751="Pengeluaran"))),1,0)</f>
        <v/>
      </c>
      <c r="X751" s="93">
        <f>IF(AND(B751&lt;&gt;"",B751&gt;='Buku Akun'!$H$4,B751&lt;='Buku Akun'!$H$5,OR(C751='Buku Akun'!$C$4,AND(D751="Pindah",E751='Buku Akun'!$C$4))),B751+IF(AND(I751="Selisih bunga",DAY(B751)=1),0,0.01)+ROW()/10000000,"")</f>
        <v/>
      </c>
    </row>
    <row r="752" outlineLevel="1" ht="15" customHeight="1" s="94">
      <c r="A752" s="123">
        <f>IF(B752="","",ROW()-15)</f>
        <v/>
      </c>
      <c r="B752" s="124" t="n"/>
      <c r="C752" s="123" t="n"/>
      <c r="D752" s="123" t="n"/>
      <c r="E752" s="123" t="n"/>
      <c r="F752" s="125" t="n"/>
      <c r="G752" s="123" t="n"/>
      <c r="H752" s="123" t="n"/>
      <c r="I752" s="123" t="n"/>
      <c r="J752" s="123" t="n"/>
      <c r="K752" s="123" t="n"/>
      <c r="L752" s="123" t="n"/>
      <c r="M752" s="123">
        <f>IF(AND(B752&lt;&gt;"",OR($C$4="",ISNUMBER(SEARCH($C$4,C752&amp;" "&amp;E752&amp;" "&amp;G752&amp;" "&amp;H752&amp;" "&amp;I752&amp;" "&amp;J752&amp;" "&amp;K752&amp;" "&amp;L752))),OR($C$5="Semua",$C$5="",G752=$C$5),OR($C$6="Semua",$C$6="",H752=$C$6,H752="Pengeluaran "&amp;$C$6,AND($C$6="Uang Kos Mama",H752="Pengeluaran Uang Kos")),OR($C$7="Semua",$C$7="",I752=$C$7),OR($C$8="Semua",$C$8="",C752=$C$8,E752=$C$8),OR($C$9="Semua",$C$9="",D752=$C$9),OR($C$10="",B752&gt;=$C$10),OR($C$11="",B752&lt;=$C$11),OR($C$12&lt;&gt;"Ya",K752&lt;&gt;""),OR($C$13="Semua",$C$13="",L752=$C$13)),"✓","")</f>
        <v/>
      </c>
      <c r="N752" s="93">
        <f>N(N751)+IF(M752="✓",1,0)</f>
        <v/>
      </c>
      <c r="O752" s="93">
        <f>N(O751)+IF(AND(B752&lt;&gt;"",B752&gt;='Uang Riba'!$H$30,B752&lt;='Uang Riba'!$I$30,OR(H752="Dana riba",H752="Pinjam uang riba",I752="Pinjam dari uang riba",I752="Ganti uang riba",I752="Kelebihan ganti dikembalikan",AND(C752="Kantong Uang Riba",G752="Pengeluaran"))),1,0)</f>
        <v/>
      </c>
      <c r="X752" s="93">
        <f>IF(AND(B752&lt;&gt;"",B752&gt;='Buku Akun'!$H$4,B752&lt;='Buku Akun'!$H$5,OR(C752='Buku Akun'!$C$4,AND(D752="Pindah",E752='Buku Akun'!$C$4))),B752+IF(AND(I752="Selisih bunga",DAY(B752)=1),0,0.01)+ROW()/10000000,"")</f>
        <v/>
      </c>
    </row>
    <row r="753" outlineLevel="1" ht="15" customHeight="1" s="94">
      <c r="A753" s="123">
        <f>IF(B753="","",ROW()-15)</f>
        <v/>
      </c>
      <c r="B753" s="124" t="n"/>
      <c r="C753" s="123" t="n"/>
      <c r="D753" s="123" t="n"/>
      <c r="E753" s="123" t="n"/>
      <c r="F753" s="125" t="n"/>
      <c r="G753" s="123" t="n"/>
      <c r="H753" s="123" t="n"/>
      <c r="I753" s="123" t="n"/>
      <c r="J753" s="123" t="n"/>
      <c r="K753" s="123" t="n"/>
      <c r="L753" s="123" t="n"/>
      <c r="M753" s="123">
        <f>IF(AND(B753&lt;&gt;"",OR($C$4="",ISNUMBER(SEARCH($C$4,C753&amp;" "&amp;E753&amp;" "&amp;G753&amp;" "&amp;H753&amp;" "&amp;I753&amp;" "&amp;J753&amp;" "&amp;K753&amp;" "&amp;L753))),OR($C$5="Semua",$C$5="",G753=$C$5),OR($C$6="Semua",$C$6="",H753=$C$6,H753="Pengeluaran "&amp;$C$6,AND($C$6="Uang Kos Mama",H753="Pengeluaran Uang Kos")),OR($C$7="Semua",$C$7="",I753=$C$7),OR($C$8="Semua",$C$8="",C753=$C$8,E753=$C$8),OR($C$9="Semua",$C$9="",D753=$C$9),OR($C$10="",B753&gt;=$C$10),OR($C$11="",B753&lt;=$C$11),OR($C$12&lt;&gt;"Ya",K753&lt;&gt;""),OR($C$13="Semua",$C$13="",L753=$C$13)),"✓","")</f>
        <v/>
      </c>
      <c r="N753" s="93">
        <f>N(N752)+IF(M753="✓",1,0)</f>
        <v/>
      </c>
      <c r="O753" s="93">
        <f>N(O752)+IF(AND(B753&lt;&gt;"",B753&gt;='Uang Riba'!$H$30,B753&lt;='Uang Riba'!$I$30,OR(H753="Dana riba",H753="Pinjam uang riba",I753="Pinjam dari uang riba",I753="Ganti uang riba",I753="Kelebihan ganti dikembalikan",AND(C753="Kantong Uang Riba",G753="Pengeluaran"))),1,0)</f>
        <v/>
      </c>
      <c r="X753" s="93">
        <f>IF(AND(B753&lt;&gt;"",B753&gt;='Buku Akun'!$H$4,B753&lt;='Buku Akun'!$H$5,OR(C753='Buku Akun'!$C$4,AND(D753="Pindah",E753='Buku Akun'!$C$4))),B753+IF(AND(I753="Selisih bunga",DAY(B753)=1),0,0.01)+ROW()/10000000,"")</f>
        <v/>
      </c>
    </row>
    <row r="754" outlineLevel="1" ht="15" customHeight="1" s="94">
      <c r="A754" s="123">
        <f>IF(B754="","",ROW()-15)</f>
        <v/>
      </c>
      <c r="B754" s="124" t="n"/>
      <c r="C754" s="123" t="n"/>
      <c r="D754" s="123" t="n"/>
      <c r="E754" s="123" t="n"/>
      <c r="F754" s="125" t="n"/>
      <c r="G754" s="123" t="n"/>
      <c r="H754" s="123" t="n"/>
      <c r="I754" s="123" t="n"/>
      <c r="J754" s="123" t="n"/>
      <c r="K754" s="123" t="n"/>
      <c r="L754" s="123" t="n"/>
      <c r="M754" s="123">
        <f>IF(AND(B754&lt;&gt;"",OR($C$4="",ISNUMBER(SEARCH($C$4,C754&amp;" "&amp;E754&amp;" "&amp;G754&amp;" "&amp;H754&amp;" "&amp;I754&amp;" "&amp;J754&amp;" "&amp;K754&amp;" "&amp;L754))),OR($C$5="Semua",$C$5="",G754=$C$5),OR($C$6="Semua",$C$6="",H754=$C$6,H754="Pengeluaran "&amp;$C$6,AND($C$6="Uang Kos Mama",H754="Pengeluaran Uang Kos")),OR($C$7="Semua",$C$7="",I754=$C$7),OR($C$8="Semua",$C$8="",C754=$C$8,E754=$C$8),OR($C$9="Semua",$C$9="",D754=$C$9),OR($C$10="",B754&gt;=$C$10),OR($C$11="",B754&lt;=$C$11),OR($C$12&lt;&gt;"Ya",K754&lt;&gt;""),OR($C$13="Semua",$C$13="",L754=$C$13)),"✓","")</f>
        <v/>
      </c>
      <c r="N754" s="93">
        <f>N(N753)+IF(M754="✓",1,0)</f>
        <v/>
      </c>
      <c r="O754" s="93">
        <f>N(O753)+IF(AND(B754&lt;&gt;"",B754&gt;='Uang Riba'!$H$30,B754&lt;='Uang Riba'!$I$30,OR(H754="Dana riba",H754="Pinjam uang riba",I754="Pinjam dari uang riba",I754="Ganti uang riba",I754="Kelebihan ganti dikembalikan",AND(C754="Kantong Uang Riba",G754="Pengeluaran"))),1,0)</f>
        <v/>
      </c>
      <c r="X754" s="93">
        <f>IF(AND(B754&lt;&gt;"",B754&gt;='Buku Akun'!$H$4,B754&lt;='Buku Akun'!$H$5,OR(C754='Buku Akun'!$C$4,AND(D754="Pindah",E754='Buku Akun'!$C$4))),B754+IF(AND(I754="Selisih bunga",DAY(B754)=1),0,0.01)+ROW()/10000000,"")</f>
        <v/>
      </c>
    </row>
    <row r="755" outlineLevel="1" ht="15" customHeight="1" s="94">
      <c r="A755" s="123">
        <f>IF(B755="","",ROW()-15)</f>
        <v/>
      </c>
      <c r="B755" s="124" t="n"/>
      <c r="C755" s="123" t="n"/>
      <c r="D755" s="123" t="n"/>
      <c r="E755" s="123" t="n"/>
      <c r="F755" s="125" t="n"/>
      <c r="G755" s="123" t="n"/>
      <c r="H755" s="123" t="n"/>
      <c r="I755" s="123" t="n"/>
      <c r="J755" s="123" t="n"/>
      <c r="K755" s="123" t="n"/>
      <c r="L755" s="123" t="n"/>
      <c r="M755" s="123">
        <f>IF(AND(B755&lt;&gt;"",OR($C$4="",ISNUMBER(SEARCH($C$4,C755&amp;" "&amp;E755&amp;" "&amp;G755&amp;" "&amp;H755&amp;" "&amp;I755&amp;" "&amp;J755&amp;" "&amp;K755&amp;" "&amp;L755))),OR($C$5="Semua",$C$5="",G755=$C$5),OR($C$6="Semua",$C$6="",H755=$C$6,H755="Pengeluaran "&amp;$C$6,AND($C$6="Uang Kos Mama",H755="Pengeluaran Uang Kos")),OR($C$7="Semua",$C$7="",I755=$C$7),OR($C$8="Semua",$C$8="",C755=$C$8,E755=$C$8),OR($C$9="Semua",$C$9="",D755=$C$9),OR($C$10="",B755&gt;=$C$10),OR($C$11="",B755&lt;=$C$11),OR($C$12&lt;&gt;"Ya",K755&lt;&gt;""),OR($C$13="Semua",$C$13="",L755=$C$13)),"✓","")</f>
        <v/>
      </c>
      <c r="N755" s="93">
        <f>N(N754)+IF(M755="✓",1,0)</f>
        <v/>
      </c>
      <c r="O755" s="93">
        <f>N(O754)+IF(AND(B755&lt;&gt;"",B755&gt;='Uang Riba'!$H$30,B755&lt;='Uang Riba'!$I$30,OR(H755="Dana riba",H755="Pinjam uang riba",I755="Pinjam dari uang riba",I755="Ganti uang riba",I755="Kelebihan ganti dikembalikan",AND(C755="Kantong Uang Riba",G755="Pengeluaran"))),1,0)</f>
        <v/>
      </c>
      <c r="X755" s="93">
        <f>IF(AND(B755&lt;&gt;"",B755&gt;='Buku Akun'!$H$4,B755&lt;='Buku Akun'!$H$5,OR(C755='Buku Akun'!$C$4,AND(D755="Pindah",E755='Buku Akun'!$C$4))),B755+IF(AND(I755="Selisih bunga",DAY(B755)=1),0,0.01)+ROW()/10000000,"")</f>
        <v/>
      </c>
    </row>
    <row r="756" outlineLevel="1" ht="15" customHeight="1" s="94">
      <c r="A756" s="123">
        <f>IF(B756="","",ROW()-15)</f>
        <v/>
      </c>
      <c r="B756" s="124" t="n"/>
      <c r="C756" s="123" t="n"/>
      <c r="D756" s="123" t="n"/>
      <c r="E756" s="123" t="n"/>
      <c r="F756" s="125" t="n"/>
      <c r="G756" s="123" t="n"/>
      <c r="H756" s="123" t="n"/>
      <c r="I756" s="123" t="n"/>
      <c r="J756" s="123" t="n"/>
      <c r="K756" s="123" t="n"/>
      <c r="L756" s="123" t="n"/>
      <c r="M756" s="123">
        <f>IF(AND(B756&lt;&gt;"",OR($C$4="",ISNUMBER(SEARCH($C$4,C756&amp;" "&amp;E756&amp;" "&amp;G756&amp;" "&amp;H756&amp;" "&amp;I756&amp;" "&amp;J756&amp;" "&amp;K756&amp;" "&amp;L756))),OR($C$5="Semua",$C$5="",G756=$C$5),OR($C$6="Semua",$C$6="",H756=$C$6,H756="Pengeluaran "&amp;$C$6,AND($C$6="Uang Kos Mama",H756="Pengeluaran Uang Kos")),OR($C$7="Semua",$C$7="",I756=$C$7),OR($C$8="Semua",$C$8="",C756=$C$8,E756=$C$8),OR($C$9="Semua",$C$9="",D756=$C$9),OR($C$10="",B756&gt;=$C$10),OR($C$11="",B756&lt;=$C$11),OR($C$12&lt;&gt;"Ya",K756&lt;&gt;""),OR($C$13="Semua",$C$13="",L756=$C$13)),"✓","")</f>
        <v/>
      </c>
      <c r="N756" s="93">
        <f>N(N755)+IF(M756="✓",1,0)</f>
        <v/>
      </c>
      <c r="O756" s="93">
        <f>N(O755)+IF(AND(B756&lt;&gt;"",B756&gt;='Uang Riba'!$H$30,B756&lt;='Uang Riba'!$I$30,OR(H756="Dana riba",H756="Pinjam uang riba",I756="Pinjam dari uang riba",I756="Ganti uang riba",I756="Kelebihan ganti dikembalikan",AND(C756="Kantong Uang Riba",G756="Pengeluaran"))),1,0)</f>
        <v/>
      </c>
      <c r="X756" s="93">
        <f>IF(AND(B756&lt;&gt;"",B756&gt;='Buku Akun'!$H$4,B756&lt;='Buku Akun'!$H$5,OR(C756='Buku Akun'!$C$4,AND(D756="Pindah",E756='Buku Akun'!$C$4))),B756+IF(AND(I756="Selisih bunga",DAY(B756)=1),0,0.01)+ROW()/10000000,"")</f>
        <v/>
      </c>
    </row>
    <row r="757" outlineLevel="1" ht="15" customHeight="1" s="94">
      <c r="A757" s="123">
        <f>IF(B757="","",ROW()-15)</f>
        <v/>
      </c>
      <c r="B757" s="124" t="n"/>
      <c r="C757" s="123" t="n"/>
      <c r="D757" s="123" t="n"/>
      <c r="E757" s="123" t="n"/>
      <c r="F757" s="125" t="n"/>
      <c r="G757" s="123" t="n"/>
      <c r="H757" s="123" t="n"/>
      <c r="I757" s="123" t="n"/>
      <c r="J757" s="123" t="n"/>
      <c r="K757" s="123" t="n"/>
      <c r="L757" s="123" t="n"/>
      <c r="M757" s="123">
        <f>IF(AND(B757&lt;&gt;"",OR($C$4="",ISNUMBER(SEARCH($C$4,C757&amp;" "&amp;E757&amp;" "&amp;G757&amp;" "&amp;H757&amp;" "&amp;I757&amp;" "&amp;J757&amp;" "&amp;K757&amp;" "&amp;L757))),OR($C$5="Semua",$C$5="",G757=$C$5),OR($C$6="Semua",$C$6="",H757=$C$6,H757="Pengeluaran "&amp;$C$6,AND($C$6="Uang Kos Mama",H757="Pengeluaran Uang Kos")),OR($C$7="Semua",$C$7="",I757=$C$7),OR($C$8="Semua",$C$8="",C757=$C$8,E757=$C$8),OR($C$9="Semua",$C$9="",D757=$C$9),OR($C$10="",B757&gt;=$C$10),OR($C$11="",B757&lt;=$C$11),OR($C$12&lt;&gt;"Ya",K757&lt;&gt;""),OR($C$13="Semua",$C$13="",L757=$C$13)),"✓","")</f>
        <v/>
      </c>
      <c r="N757" s="93">
        <f>N(N756)+IF(M757="✓",1,0)</f>
        <v/>
      </c>
      <c r="O757" s="93">
        <f>N(O756)+IF(AND(B757&lt;&gt;"",B757&gt;='Uang Riba'!$H$30,B757&lt;='Uang Riba'!$I$30,OR(H757="Dana riba",H757="Pinjam uang riba",I757="Pinjam dari uang riba",I757="Ganti uang riba",I757="Kelebihan ganti dikembalikan",AND(C757="Kantong Uang Riba",G757="Pengeluaran"))),1,0)</f>
        <v/>
      </c>
      <c r="X757" s="93">
        <f>IF(AND(B757&lt;&gt;"",B757&gt;='Buku Akun'!$H$4,B757&lt;='Buku Akun'!$H$5,OR(C757='Buku Akun'!$C$4,AND(D757="Pindah",E757='Buku Akun'!$C$4))),B757+IF(AND(I757="Selisih bunga",DAY(B757)=1),0,0.01)+ROW()/10000000,"")</f>
        <v/>
      </c>
    </row>
    <row r="758" outlineLevel="1" ht="15" customHeight="1" s="94">
      <c r="A758" s="123">
        <f>IF(B758="","",ROW()-15)</f>
        <v/>
      </c>
      <c r="B758" s="124" t="n"/>
      <c r="C758" s="123" t="n"/>
      <c r="D758" s="123" t="n"/>
      <c r="E758" s="123" t="n"/>
      <c r="F758" s="125" t="n"/>
      <c r="G758" s="123" t="n"/>
      <c r="H758" s="123" t="n"/>
      <c r="I758" s="123" t="n"/>
      <c r="J758" s="123" t="n"/>
      <c r="K758" s="123" t="n"/>
      <c r="L758" s="123" t="n"/>
      <c r="M758" s="123">
        <f>IF(AND(B758&lt;&gt;"",OR($C$4="",ISNUMBER(SEARCH($C$4,C758&amp;" "&amp;E758&amp;" "&amp;G758&amp;" "&amp;H758&amp;" "&amp;I758&amp;" "&amp;J758&amp;" "&amp;K758&amp;" "&amp;L758))),OR($C$5="Semua",$C$5="",G758=$C$5),OR($C$6="Semua",$C$6="",H758=$C$6,H758="Pengeluaran "&amp;$C$6,AND($C$6="Uang Kos Mama",H758="Pengeluaran Uang Kos")),OR($C$7="Semua",$C$7="",I758=$C$7),OR($C$8="Semua",$C$8="",C758=$C$8,E758=$C$8),OR($C$9="Semua",$C$9="",D758=$C$9),OR($C$10="",B758&gt;=$C$10),OR($C$11="",B758&lt;=$C$11),OR($C$12&lt;&gt;"Ya",K758&lt;&gt;""),OR($C$13="Semua",$C$13="",L758=$C$13)),"✓","")</f>
        <v/>
      </c>
      <c r="N758" s="93">
        <f>N(N757)+IF(M758="✓",1,0)</f>
        <v/>
      </c>
      <c r="O758" s="93">
        <f>N(O757)+IF(AND(B758&lt;&gt;"",B758&gt;='Uang Riba'!$H$30,B758&lt;='Uang Riba'!$I$30,OR(H758="Dana riba",H758="Pinjam uang riba",I758="Pinjam dari uang riba",I758="Ganti uang riba",I758="Kelebihan ganti dikembalikan",AND(C758="Kantong Uang Riba",G758="Pengeluaran"))),1,0)</f>
        <v/>
      </c>
      <c r="X758" s="93">
        <f>IF(AND(B758&lt;&gt;"",B758&gt;='Buku Akun'!$H$4,B758&lt;='Buku Akun'!$H$5,OR(C758='Buku Akun'!$C$4,AND(D758="Pindah",E758='Buku Akun'!$C$4))),B758+IF(AND(I758="Selisih bunga",DAY(B758)=1),0,0.01)+ROW()/10000000,"")</f>
        <v/>
      </c>
    </row>
    <row r="759" outlineLevel="1" ht="15" customHeight="1" s="94">
      <c r="A759" s="123">
        <f>IF(B759="","",ROW()-15)</f>
        <v/>
      </c>
      <c r="B759" s="124" t="n"/>
      <c r="C759" s="123" t="n"/>
      <c r="D759" s="123" t="n"/>
      <c r="E759" s="123" t="n"/>
      <c r="F759" s="125" t="n"/>
      <c r="G759" s="123" t="n"/>
      <c r="H759" s="123" t="n"/>
      <c r="I759" s="123" t="n"/>
      <c r="J759" s="123" t="n"/>
      <c r="K759" s="123" t="n"/>
      <c r="L759" s="123" t="n"/>
      <c r="M759" s="123">
        <f>IF(AND(B759&lt;&gt;"",OR($C$4="",ISNUMBER(SEARCH($C$4,C759&amp;" "&amp;E759&amp;" "&amp;G759&amp;" "&amp;H759&amp;" "&amp;I759&amp;" "&amp;J759&amp;" "&amp;K759&amp;" "&amp;L759))),OR($C$5="Semua",$C$5="",G759=$C$5),OR($C$6="Semua",$C$6="",H759=$C$6,H759="Pengeluaran "&amp;$C$6,AND($C$6="Uang Kos Mama",H759="Pengeluaran Uang Kos")),OR($C$7="Semua",$C$7="",I759=$C$7),OR($C$8="Semua",$C$8="",C759=$C$8,E759=$C$8),OR($C$9="Semua",$C$9="",D759=$C$9),OR($C$10="",B759&gt;=$C$10),OR($C$11="",B759&lt;=$C$11),OR($C$12&lt;&gt;"Ya",K759&lt;&gt;""),OR($C$13="Semua",$C$13="",L759=$C$13)),"✓","")</f>
        <v/>
      </c>
      <c r="N759" s="93">
        <f>N(N758)+IF(M759="✓",1,0)</f>
        <v/>
      </c>
      <c r="O759" s="93">
        <f>N(O758)+IF(AND(B759&lt;&gt;"",B759&gt;='Uang Riba'!$H$30,B759&lt;='Uang Riba'!$I$30,OR(H759="Dana riba",H759="Pinjam uang riba",I759="Pinjam dari uang riba",I759="Ganti uang riba",I759="Kelebihan ganti dikembalikan",AND(C759="Kantong Uang Riba",G759="Pengeluaran"))),1,0)</f>
        <v/>
      </c>
      <c r="X759" s="93">
        <f>IF(AND(B759&lt;&gt;"",B759&gt;='Buku Akun'!$H$4,B759&lt;='Buku Akun'!$H$5,OR(C759='Buku Akun'!$C$4,AND(D759="Pindah",E759='Buku Akun'!$C$4))),B759+IF(AND(I759="Selisih bunga",DAY(B759)=1),0,0.01)+ROW()/10000000,"")</f>
        <v/>
      </c>
    </row>
    <row r="760" outlineLevel="1" ht="15" customHeight="1" s="94">
      <c r="A760" s="123">
        <f>IF(B760="","",ROW()-15)</f>
        <v/>
      </c>
      <c r="B760" s="124" t="n"/>
      <c r="C760" s="123" t="n"/>
      <c r="D760" s="123" t="n"/>
      <c r="E760" s="123" t="n"/>
      <c r="F760" s="125" t="n"/>
      <c r="G760" s="123" t="n"/>
      <c r="H760" s="123" t="n"/>
      <c r="I760" s="123" t="n"/>
      <c r="J760" s="123" t="n"/>
      <c r="K760" s="123" t="n"/>
      <c r="L760" s="123" t="n"/>
      <c r="M760" s="123">
        <f>IF(AND(B760&lt;&gt;"",OR($C$4="",ISNUMBER(SEARCH($C$4,C760&amp;" "&amp;E760&amp;" "&amp;G760&amp;" "&amp;H760&amp;" "&amp;I760&amp;" "&amp;J760&amp;" "&amp;K760&amp;" "&amp;L760))),OR($C$5="Semua",$C$5="",G760=$C$5),OR($C$6="Semua",$C$6="",H760=$C$6,H760="Pengeluaran "&amp;$C$6,AND($C$6="Uang Kos Mama",H760="Pengeluaran Uang Kos")),OR($C$7="Semua",$C$7="",I760=$C$7),OR($C$8="Semua",$C$8="",C760=$C$8,E760=$C$8),OR($C$9="Semua",$C$9="",D760=$C$9),OR($C$10="",B760&gt;=$C$10),OR($C$11="",B760&lt;=$C$11),OR($C$12&lt;&gt;"Ya",K760&lt;&gt;""),OR($C$13="Semua",$C$13="",L760=$C$13)),"✓","")</f>
        <v/>
      </c>
      <c r="N760" s="93">
        <f>N(N759)+IF(M760="✓",1,0)</f>
        <v/>
      </c>
      <c r="O760" s="93">
        <f>N(O759)+IF(AND(B760&lt;&gt;"",B760&gt;='Uang Riba'!$H$30,B760&lt;='Uang Riba'!$I$30,OR(H760="Dana riba",H760="Pinjam uang riba",I760="Pinjam dari uang riba",I760="Ganti uang riba",I760="Kelebihan ganti dikembalikan",AND(C760="Kantong Uang Riba",G760="Pengeluaran"))),1,0)</f>
        <v/>
      </c>
      <c r="X760" s="93">
        <f>IF(AND(B760&lt;&gt;"",B760&gt;='Buku Akun'!$H$4,B760&lt;='Buku Akun'!$H$5,OR(C760='Buku Akun'!$C$4,AND(D760="Pindah",E760='Buku Akun'!$C$4))),B760+IF(AND(I760="Selisih bunga",DAY(B760)=1),0,0.01)+ROW()/10000000,"")</f>
        <v/>
      </c>
    </row>
    <row r="761" outlineLevel="1" ht="15" customHeight="1" s="94">
      <c r="A761" s="123">
        <f>IF(B761="","",ROW()-15)</f>
        <v/>
      </c>
      <c r="B761" s="124" t="n"/>
      <c r="C761" s="123" t="n"/>
      <c r="D761" s="123" t="n"/>
      <c r="E761" s="123" t="n"/>
      <c r="F761" s="125" t="n"/>
      <c r="G761" s="123" t="n"/>
      <c r="H761" s="123" t="n"/>
      <c r="I761" s="123" t="n"/>
      <c r="J761" s="123" t="n"/>
      <c r="K761" s="123" t="n"/>
      <c r="L761" s="123" t="n"/>
      <c r="M761" s="123">
        <f>IF(AND(B761&lt;&gt;"",OR($C$4="",ISNUMBER(SEARCH($C$4,C761&amp;" "&amp;E761&amp;" "&amp;G761&amp;" "&amp;H761&amp;" "&amp;I761&amp;" "&amp;J761&amp;" "&amp;K761&amp;" "&amp;L761))),OR($C$5="Semua",$C$5="",G761=$C$5),OR($C$6="Semua",$C$6="",H761=$C$6,H761="Pengeluaran "&amp;$C$6,AND($C$6="Uang Kos Mama",H761="Pengeluaran Uang Kos")),OR($C$7="Semua",$C$7="",I761=$C$7),OR($C$8="Semua",$C$8="",C761=$C$8,E761=$C$8),OR($C$9="Semua",$C$9="",D761=$C$9),OR($C$10="",B761&gt;=$C$10),OR($C$11="",B761&lt;=$C$11),OR($C$12&lt;&gt;"Ya",K761&lt;&gt;""),OR($C$13="Semua",$C$13="",L761=$C$13)),"✓","")</f>
        <v/>
      </c>
      <c r="N761" s="93">
        <f>N(N760)+IF(M761="✓",1,0)</f>
        <v/>
      </c>
      <c r="O761" s="93">
        <f>N(O760)+IF(AND(B761&lt;&gt;"",B761&gt;='Uang Riba'!$H$30,B761&lt;='Uang Riba'!$I$30,OR(H761="Dana riba",H761="Pinjam uang riba",I761="Pinjam dari uang riba",I761="Ganti uang riba",I761="Kelebihan ganti dikembalikan",AND(C761="Kantong Uang Riba",G761="Pengeluaran"))),1,0)</f>
        <v/>
      </c>
      <c r="X761" s="93">
        <f>IF(AND(B761&lt;&gt;"",B761&gt;='Buku Akun'!$H$4,B761&lt;='Buku Akun'!$H$5,OR(C761='Buku Akun'!$C$4,AND(D761="Pindah",E761='Buku Akun'!$C$4))),B761+IF(AND(I761="Selisih bunga",DAY(B761)=1),0,0.01)+ROW()/10000000,"")</f>
        <v/>
      </c>
    </row>
    <row r="762" outlineLevel="1" ht="15" customHeight="1" s="94">
      <c r="A762" s="123">
        <f>IF(B762="","",ROW()-15)</f>
        <v/>
      </c>
      <c r="B762" s="124" t="n"/>
      <c r="C762" s="123" t="n"/>
      <c r="D762" s="123" t="n"/>
      <c r="E762" s="123" t="n"/>
      <c r="F762" s="125" t="n"/>
      <c r="G762" s="123" t="n"/>
      <c r="H762" s="123" t="n"/>
      <c r="I762" s="123" t="n"/>
      <c r="J762" s="123" t="n"/>
      <c r="K762" s="123" t="n"/>
      <c r="L762" s="123" t="n"/>
      <c r="M762" s="123">
        <f>IF(AND(B762&lt;&gt;"",OR($C$4="",ISNUMBER(SEARCH($C$4,C762&amp;" "&amp;E762&amp;" "&amp;G762&amp;" "&amp;H762&amp;" "&amp;I762&amp;" "&amp;J762&amp;" "&amp;K762&amp;" "&amp;L762))),OR($C$5="Semua",$C$5="",G762=$C$5),OR($C$6="Semua",$C$6="",H762=$C$6,H762="Pengeluaran "&amp;$C$6,AND($C$6="Uang Kos Mama",H762="Pengeluaran Uang Kos")),OR($C$7="Semua",$C$7="",I762=$C$7),OR($C$8="Semua",$C$8="",C762=$C$8,E762=$C$8),OR($C$9="Semua",$C$9="",D762=$C$9),OR($C$10="",B762&gt;=$C$10),OR($C$11="",B762&lt;=$C$11),OR($C$12&lt;&gt;"Ya",K762&lt;&gt;""),OR($C$13="Semua",$C$13="",L762=$C$13)),"✓","")</f>
        <v/>
      </c>
      <c r="N762" s="93">
        <f>N(N761)+IF(M762="✓",1,0)</f>
        <v/>
      </c>
      <c r="O762" s="93">
        <f>N(O761)+IF(AND(B762&lt;&gt;"",B762&gt;='Uang Riba'!$H$30,B762&lt;='Uang Riba'!$I$30,OR(H762="Dana riba",H762="Pinjam uang riba",I762="Pinjam dari uang riba",I762="Ganti uang riba",I762="Kelebihan ganti dikembalikan",AND(C762="Kantong Uang Riba",G762="Pengeluaran"))),1,0)</f>
        <v/>
      </c>
      <c r="X762" s="93">
        <f>IF(AND(B762&lt;&gt;"",B762&gt;='Buku Akun'!$H$4,B762&lt;='Buku Akun'!$H$5,OR(C762='Buku Akun'!$C$4,AND(D762="Pindah",E762='Buku Akun'!$C$4))),B762+IF(AND(I762="Selisih bunga",DAY(B762)=1),0,0.01)+ROW()/10000000,"")</f>
        <v/>
      </c>
    </row>
    <row r="763" outlineLevel="1" ht="15" customHeight="1" s="94">
      <c r="A763" s="123">
        <f>IF(B763="","",ROW()-15)</f>
        <v/>
      </c>
      <c r="B763" s="124" t="n"/>
      <c r="C763" s="123" t="n"/>
      <c r="D763" s="123" t="n"/>
      <c r="E763" s="123" t="n"/>
      <c r="F763" s="125" t="n"/>
      <c r="G763" s="123" t="n"/>
      <c r="H763" s="123" t="n"/>
      <c r="I763" s="123" t="n"/>
      <c r="J763" s="123" t="n"/>
      <c r="K763" s="123" t="n"/>
      <c r="L763" s="123" t="n"/>
      <c r="M763" s="123">
        <f>IF(AND(B763&lt;&gt;"",OR($C$4="",ISNUMBER(SEARCH($C$4,C763&amp;" "&amp;E763&amp;" "&amp;G763&amp;" "&amp;H763&amp;" "&amp;I763&amp;" "&amp;J763&amp;" "&amp;K763&amp;" "&amp;L763))),OR($C$5="Semua",$C$5="",G763=$C$5),OR($C$6="Semua",$C$6="",H763=$C$6,H763="Pengeluaran "&amp;$C$6,AND($C$6="Uang Kos Mama",H763="Pengeluaran Uang Kos")),OR($C$7="Semua",$C$7="",I763=$C$7),OR($C$8="Semua",$C$8="",C763=$C$8,E763=$C$8),OR($C$9="Semua",$C$9="",D763=$C$9),OR($C$10="",B763&gt;=$C$10),OR($C$11="",B763&lt;=$C$11),OR($C$12&lt;&gt;"Ya",K763&lt;&gt;""),OR($C$13="Semua",$C$13="",L763=$C$13)),"✓","")</f>
        <v/>
      </c>
      <c r="N763" s="93">
        <f>N(N762)+IF(M763="✓",1,0)</f>
        <v/>
      </c>
      <c r="O763" s="93">
        <f>N(O762)+IF(AND(B763&lt;&gt;"",B763&gt;='Uang Riba'!$H$30,B763&lt;='Uang Riba'!$I$30,OR(H763="Dana riba",H763="Pinjam uang riba",I763="Pinjam dari uang riba",I763="Ganti uang riba",I763="Kelebihan ganti dikembalikan",AND(C763="Kantong Uang Riba",G763="Pengeluaran"))),1,0)</f>
        <v/>
      </c>
      <c r="X763" s="93">
        <f>IF(AND(B763&lt;&gt;"",B763&gt;='Buku Akun'!$H$4,B763&lt;='Buku Akun'!$H$5,OR(C763='Buku Akun'!$C$4,AND(D763="Pindah",E763='Buku Akun'!$C$4))),B763+IF(AND(I763="Selisih bunga",DAY(B763)=1),0,0.01)+ROW()/10000000,"")</f>
        <v/>
      </c>
    </row>
    <row r="764" outlineLevel="1" ht="15" customHeight="1" s="94">
      <c r="A764" s="123">
        <f>IF(B764="","",ROW()-15)</f>
        <v/>
      </c>
      <c r="B764" s="124" t="n"/>
      <c r="C764" s="123" t="n"/>
      <c r="D764" s="123" t="n"/>
      <c r="E764" s="123" t="n"/>
      <c r="F764" s="125" t="n"/>
      <c r="G764" s="123" t="n"/>
      <c r="H764" s="123" t="n"/>
      <c r="I764" s="123" t="n"/>
      <c r="J764" s="123" t="n"/>
      <c r="K764" s="123" t="n"/>
      <c r="L764" s="123" t="n"/>
      <c r="M764" s="123">
        <f>IF(AND(B764&lt;&gt;"",OR($C$4="",ISNUMBER(SEARCH($C$4,C764&amp;" "&amp;E764&amp;" "&amp;G764&amp;" "&amp;H764&amp;" "&amp;I764&amp;" "&amp;J764&amp;" "&amp;K764&amp;" "&amp;L764))),OR($C$5="Semua",$C$5="",G764=$C$5),OR($C$6="Semua",$C$6="",H764=$C$6,H764="Pengeluaran "&amp;$C$6,AND($C$6="Uang Kos Mama",H764="Pengeluaran Uang Kos")),OR($C$7="Semua",$C$7="",I764=$C$7),OR($C$8="Semua",$C$8="",C764=$C$8,E764=$C$8),OR($C$9="Semua",$C$9="",D764=$C$9),OR($C$10="",B764&gt;=$C$10),OR($C$11="",B764&lt;=$C$11),OR($C$12&lt;&gt;"Ya",K764&lt;&gt;""),OR($C$13="Semua",$C$13="",L764=$C$13)),"✓","")</f>
        <v/>
      </c>
      <c r="N764" s="93">
        <f>N(N763)+IF(M764="✓",1,0)</f>
        <v/>
      </c>
      <c r="O764" s="93">
        <f>N(O763)+IF(AND(B764&lt;&gt;"",B764&gt;='Uang Riba'!$H$30,B764&lt;='Uang Riba'!$I$30,OR(H764="Dana riba",H764="Pinjam uang riba",I764="Pinjam dari uang riba",I764="Ganti uang riba",I764="Kelebihan ganti dikembalikan",AND(C764="Kantong Uang Riba",G764="Pengeluaran"))),1,0)</f>
        <v/>
      </c>
      <c r="X764" s="93">
        <f>IF(AND(B764&lt;&gt;"",B764&gt;='Buku Akun'!$H$4,B764&lt;='Buku Akun'!$H$5,OR(C764='Buku Akun'!$C$4,AND(D764="Pindah",E764='Buku Akun'!$C$4))),B764+IF(AND(I764="Selisih bunga",DAY(B764)=1),0,0.01)+ROW()/10000000,"")</f>
        <v/>
      </c>
    </row>
    <row r="765" outlineLevel="1" ht="15" customHeight="1" s="94">
      <c r="A765" s="123">
        <f>IF(B765="","",ROW()-15)</f>
        <v/>
      </c>
      <c r="B765" s="124" t="n"/>
      <c r="C765" s="123" t="n"/>
      <c r="D765" s="123" t="n"/>
      <c r="E765" s="123" t="n"/>
      <c r="F765" s="125" t="n"/>
      <c r="G765" s="123" t="n"/>
      <c r="H765" s="123" t="n"/>
      <c r="I765" s="123" t="n"/>
      <c r="J765" s="123" t="n"/>
      <c r="K765" s="123" t="n"/>
      <c r="L765" s="123" t="n"/>
      <c r="M765" s="123">
        <f>IF(AND(B765&lt;&gt;"",OR($C$4="",ISNUMBER(SEARCH($C$4,C765&amp;" "&amp;E765&amp;" "&amp;G765&amp;" "&amp;H765&amp;" "&amp;I765&amp;" "&amp;J765&amp;" "&amp;K765&amp;" "&amp;L765))),OR($C$5="Semua",$C$5="",G765=$C$5),OR($C$6="Semua",$C$6="",H765=$C$6,H765="Pengeluaran "&amp;$C$6,AND($C$6="Uang Kos Mama",H765="Pengeluaran Uang Kos")),OR($C$7="Semua",$C$7="",I765=$C$7),OR($C$8="Semua",$C$8="",C765=$C$8,E765=$C$8),OR($C$9="Semua",$C$9="",D765=$C$9),OR($C$10="",B765&gt;=$C$10),OR($C$11="",B765&lt;=$C$11),OR($C$12&lt;&gt;"Ya",K765&lt;&gt;""),OR($C$13="Semua",$C$13="",L765=$C$13)),"✓","")</f>
        <v/>
      </c>
      <c r="N765" s="93">
        <f>N(N764)+IF(M765="✓",1,0)</f>
        <v/>
      </c>
      <c r="O765" s="93">
        <f>N(O764)+IF(AND(B765&lt;&gt;"",B765&gt;='Uang Riba'!$H$30,B765&lt;='Uang Riba'!$I$30,OR(H765="Dana riba",H765="Pinjam uang riba",I765="Pinjam dari uang riba",I765="Ganti uang riba",I765="Kelebihan ganti dikembalikan",AND(C765="Kantong Uang Riba",G765="Pengeluaran"))),1,0)</f>
        <v/>
      </c>
      <c r="X765" s="93">
        <f>IF(AND(B765&lt;&gt;"",B765&gt;='Buku Akun'!$H$4,B765&lt;='Buku Akun'!$H$5,OR(C765='Buku Akun'!$C$4,AND(D765="Pindah",E765='Buku Akun'!$C$4))),B765+IF(AND(I765="Selisih bunga",DAY(B765)=1),0,0.01)+ROW()/10000000,"")</f>
        <v/>
      </c>
    </row>
    <row r="766" outlineLevel="1" ht="15" customHeight="1" s="94">
      <c r="A766" s="123">
        <f>IF(B766="","",ROW()-15)</f>
        <v/>
      </c>
      <c r="B766" s="124" t="n"/>
      <c r="C766" s="123" t="n"/>
      <c r="D766" s="123" t="n"/>
      <c r="E766" s="123" t="n"/>
      <c r="F766" s="125" t="n"/>
      <c r="G766" s="123" t="n"/>
      <c r="H766" s="123" t="n"/>
      <c r="I766" s="123" t="n"/>
      <c r="J766" s="123" t="n"/>
      <c r="K766" s="123" t="n"/>
      <c r="L766" s="123" t="n"/>
      <c r="M766" s="123">
        <f>IF(AND(B766&lt;&gt;"",OR($C$4="",ISNUMBER(SEARCH($C$4,C766&amp;" "&amp;E766&amp;" "&amp;G766&amp;" "&amp;H766&amp;" "&amp;I766&amp;" "&amp;J766&amp;" "&amp;K766&amp;" "&amp;L766))),OR($C$5="Semua",$C$5="",G766=$C$5),OR($C$6="Semua",$C$6="",H766=$C$6,H766="Pengeluaran "&amp;$C$6,AND($C$6="Uang Kos Mama",H766="Pengeluaran Uang Kos")),OR($C$7="Semua",$C$7="",I766=$C$7),OR($C$8="Semua",$C$8="",C766=$C$8,E766=$C$8),OR($C$9="Semua",$C$9="",D766=$C$9),OR($C$10="",B766&gt;=$C$10),OR($C$11="",B766&lt;=$C$11),OR($C$12&lt;&gt;"Ya",K766&lt;&gt;""),OR($C$13="Semua",$C$13="",L766=$C$13)),"✓","")</f>
        <v/>
      </c>
      <c r="N766" s="93">
        <f>N(N765)+IF(M766="✓",1,0)</f>
        <v/>
      </c>
      <c r="O766" s="93">
        <f>N(O765)+IF(AND(B766&lt;&gt;"",B766&gt;='Uang Riba'!$H$30,B766&lt;='Uang Riba'!$I$30,OR(H766="Dana riba",H766="Pinjam uang riba",I766="Pinjam dari uang riba",I766="Ganti uang riba",I766="Kelebihan ganti dikembalikan",AND(C766="Kantong Uang Riba",G766="Pengeluaran"))),1,0)</f>
        <v/>
      </c>
      <c r="X766" s="93">
        <f>IF(AND(B766&lt;&gt;"",B766&gt;='Buku Akun'!$H$4,B766&lt;='Buku Akun'!$H$5,OR(C766='Buku Akun'!$C$4,AND(D766="Pindah",E766='Buku Akun'!$C$4))),B766+IF(AND(I766="Selisih bunga",DAY(B766)=1),0,0.01)+ROW()/10000000,"")</f>
        <v/>
      </c>
    </row>
    <row r="767" outlineLevel="1" ht="15" customHeight="1" s="94">
      <c r="A767" s="123">
        <f>IF(B767="","",ROW()-15)</f>
        <v/>
      </c>
      <c r="B767" s="124" t="n"/>
      <c r="C767" s="123" t="n"/>
      <c r="D767" s="123" t="n"/>
      <c r="E767" s="123" t="n"/>
      <c r="F767" s="125" t="n"/>
      <c r="G767" s="123" t="n"/>
      <c r="H767" s="123" t="n"/>
      <c r="I767" s="123" t="n"/>
      <c r="J767" s="123" t="n"/>
      <c r="K767" s="123" t="n"/>
      <c r="L767" s="123" t="n"/>
      <c r="M767" s="123">
        <f>IF(AND(B767&lt;&gt;"",OR($C$4="",ISNUMBER(SEARCH($C$4,C767&amp;" "&amp;E767&amp;" "&amp;G767&amp;" "&amp;H767&amp;" "&amp;I767&amp;" "&amp;J767&amp;" "&amp;K767&amp;" "&amp;L767))),OR($C$5="Semua",$C$5="",G767=$C$5),OR($C$6="Semua",$C$6="",H767=$C$6,H767="Pengeluaran "&amp;$C$6,AND($C$6="Uang Kos Mama",H767="Pengeluaran Uang Kos")),OR($C$7="Semua",$C$7="",I767=$C$7),OR($C$8="Semua",$C$8="",C767=$C$8,E767=$C$8),OR($C$9="Semua",$C$9="",D767=$C$9),OR($C$10="",B767&gt;=$C$10),OR($C$11="",B767&lt;=$C$11),OR($C$12&lt;&gt;"Ya",K767&lt;&gt;""),OR($C$13="Semua",$C$13="",L767=$C$13)),"✓","")</f>
        <v/>
      </c>
      <c r="N767" s="93">
        <f>N(N766)+IF(M767="✓",1,0)</f>
        <v/>
      </c>
      <c r="O767" s="93">
        <f>N(O766)+IF(AND(B767&lt;&gt;"",B767&gt;='Uang Riba'!$H$30,B767&lt;='Uang Riba'!$I$30,OR(H767="Dana riba",H767="Pinjam uang riba",I767="Pinjam dari uang riba",I767="Ganti uang riba",I767="Kelebihan ganti dikembalikan",AND(C767="Kantong Uang Riba",G767="Pengeluaran"))),1,0)</f>
        <v/>
      </c>
      <c r="X767" s="93">
        <f>IF(AND(B767&lt;&gt;"",B767&gt;='Buku Akun'!$H$4,B767&lt;='Buku Akun'!$H$5,OR(C767='Buku Akun'!$C$4,AND(D767="Pindah",E767='Buku Akun'!$C$4))),B767+IF(AND(I767="Selisih bunga",DAY(B767)=1),0,0.01)+ROW()/10000000,"")</f>
        <v/>
      </c>
    </row>
    <row r="768" outlineLevel="1" ht="15" customHeight="1" s="94">
      <c r="A768" s="123">
        <f>IF(B768="","",ROW()-15)</f>
        <v/>
      </c>
      <c r="B768" s="124" t="n"/>
      <c r="C768" s="123" t="n"/>
      <c r="D768" s="123" t="n"/>
      <c r="E768" s="123" t="n"/>
      <c r="F768" s="125" t="n"/>
      <c r="G768" s="123" t="n"/>
      <c r="H768" s="123" t="n"/>
      <c r="I768" s="123" t="n"/>
      <c r="J768" s="123" t="n"/>
      <c r="K768" s="123" t="n"/>
      <c r="L768" s="123" t="n"/>
      <c r="M768" s="123">
        <f>IF(AND(B768&lt;&gt;"",OR($C$4="",ISNUMBER(SEARCH($C$4,C768&amp;" "&amp;E768&amp;" "&amp;G768&amp;" "&amp;H768&amp;" "&amp;I768&amp;" "&amp;J768&amp;" "&amp;K768&amp;" "&amp;L768))),OR($C$5="Semua",$C$5="",G768=$C$5),OR($C$6="Semua",$C$6="",H768=$C$6,H768="Pengeluaran "&amp;$C$6,AND($C$6="Uang Kos Mama",H768="Pengeluaran Uang Kos")),OR($C$7="Semua",$C$7="",I768=$C$7),OR($C$8="Semua",$C$8="",C768=$C$8,E768=$C$8),OR($C$9="Semua",$C$9="",D768=$C$9),OR($C$10="",B768&gt;=$C$10),OR($C$11="",B768&lt;=$C$11),OR($C$12&lt;&gt;"Ya",K768&lt;&gt;""),OR($C$13="Semua",$C$13="",L768=$C$13)),"✓","")</f>
        <v/>
      </c>
      <c r="N768" s="93">
        <f>N(N767)+IF(M768="✓",1,0)</f>
        <v/>
      </c>
      <c r="O768" s="93">
        <f>N(O767)+IF(AND(B768&lt;&gt;"",B768&gt;='Uang Riba'!$H$30,B768&lt;='Uang Riba'!$I$30,OR(H768="Dana riba",H768="Pinjam uang riba",I768="Pinjam dari uang riba",I768="Ganti uang riba",I768="Kelebihan ganti dikembalikan",AND(C768="Kantong Uang Riba",G768="Pengeluaran"))),1,0)</f>
        <v/>
      </c>
      <c r="X768" s="93">
        <f>IF(AND(B768&lt;&gt;"",B768&gt;='Buku Akun'!$H$4,B768&lt;='Buku Akun'!$H$5,OR(C768='Buku Akun'!$C$4,AND(D768="Pindah",E768='Buku Akun'!$C$4))),B768+IF(AND(I768="Selisih bunga",DAY(B768)=1),0,0.01)+ROW()/10000000,"")</f>
        <v/>
      </c>
    </row>
    <row r="769" outlineLevel="1" ht="15" customHeight="1" s="94">
      <c r="A769" s="123">
        <f>IF(B769="","",ROW()-15)</f>
        <v/>
      </c>
      <c r="B769" s="124" t="n"/>
      <c r="C769" s="123" t="n"/>
      <c r="D769" s="123" t="n"/>
      <c r="E769" s="123" t="n"/>
      <c r="F769" s="125" t="n"/>
      <c r="G769" s="123" t="n"/>
      <c r="H769" s="123" t="n"/>
      <c r="I769" s="123" t="n"/>
      <c r="J769" s="123" t="n"/>
      <c r="K769" s="123" t="n"/>
      <c r="L769" s="123" t="n"/>
      <c r="M769" s="123">
        <f>IF(AND(B769&lt;&gt;"",OR($C$4="",ISNUMBER(SEARCH($C$4,C769&amp;" "&amp;E769&amp;" "&amp;G769&amp;" "&amp;H769&amp;" "&amp;I769&amp;" "&amp;J769&amp;" "&amp;K769&amp;" "&amp;L769))),OR($C$5="Semua",$C$5="",G769=$C$5),OR($C$6="Semua",$C$6="",H769=$C$6,H769="Pengeluaran "&amp;$C$6,AND($C$6="Uang Kos Mama",H769="Pengeluaran Uang Kos")),OR($C$7="Semua",$C$7="",I769=$C$7),OR($C$8="Semua",$C$8="",C769=$C$8,E769=$C$8),OR($C$9="Semua",$C$9="",D769=$C$9),OR($C$10="",B769&gt;=$C$10),OR($C$11="",B769&lt;=$C$11),OR($C$12&lt;&gt;"Ya",K769&lt;&gt;""),OR($C$13="Semua",$C$13="",L769=$C$13)),"✓","")</f>
        <v/>
      </c>
      <c r="N769" s="93">
        <f>N(N768)+IF(M769="✓",1,0)</f>
        <v/>
      </c>
      <c r="O769" s="93">
        <f>N(O768)+IF(AND(B769&lt;&gt;"",B769&gt;='Uang Riba'!$H$30,B769&lt;='Uang Riba'!$I$30,OR(H769="Dana riba",H769="Pinjam uang riba",I769="Pinjam dari uang riba",I769="Ganti uang riba",I769="Kelebihan ganti dikembalikan",AND(C769="Kantong Uang Riba",G769="Pengeluaran"))),1,0)</f>
        <v/>
      </c>
      <c r="X769" s="93">
        <f>IF(AND(B769&lt;&gt;"",B769&gt;='Buku Akun'!$H$4,B769&lt;='Buku Akun'!$H$5,OR(C769='Buku Akun'!$C$4,AND(D769="Pindah",E769='Buku Akun'!$C$4))),B769+IF(AND(I769="Selisih bunga",DAY(B769)=1),0,0.01)+ROW()/10000000,"")</f>
        <v/>
      </c>
    </row>
    <row r="770" outlineLevel="1" ht="15" customHeight="1" s="94">
      <c r="A770" s="123">
        <f>IF(B770="","",ROW()-15)</f>
        <v/>
      </c>
      <c r="B770" s="124" t="n"/>
      <c r="C770" s="123" t="n"/>
      <c r="D770" s="123" t="n"/>
      <c r="E770" s="123" t="n"/>
      <c r="F770" s="125" t="n"/>
      <c r="G770" s="123" t="n"/>
      <c r="H770" s="123" t="n"/>
      <c r="I770" s="123" t="n"/>
      <c r="J770" s="123" t="n"/>
      <c r="K770" s="123" t="n"/>
      <c r="L770" s="123" t="n"/>
      <c r="M770" s="123">
        <f>IF(AND(B770&lt;&gt;"",OR($C$4="",ISNUMBER(SEARCH($C$4,C770&amp;" "&amp;E770&amp;" "&amp;G770&amp;" "&amp;H770&amp;" "&amp;I770&amp;" "&amp;J770&amp;" "&amp;K770&amp;" "&amp;L770))),OR($C$5="Semua",$C$5="",G770=$C$5),OR($C$6="Semua",$C$6="",H770=$C$6,H770="Pengeluaran "&amp;$C$6,AND($C$6="Uang Kos Mama",H770="Pengeluaran Uang Kos")),OR($C$7="Semua",$C$7="",I770=$C$7),OR($C$8="Semua",$C$8="",C770=$C$8,E770=$C$8),OR($C$9="Semua",$C$9="",D770=$C$9),OR($C$10="",B770&gt;=$C$10),OR($C$11="",B770&lt;=$C$11),OR($C$12&lt;&gt;"Ya",K770&lt;&gt;""),OR($C$13="Semua",$C$13="",L770=$C$13)),"✓","")</f>
        <v/>
      </c>
      <c r="N770" s="93">
        <f>N(N769)+IF(M770="✓",1,0)</f>
        <v/>
      </c>
      <c r="O770" s="93">
        <f>N(O769)+IF(AND(B770&lt;&gt;"",B770&gt;='Uang Riba'!$H$30,B770&lt;='Uang Riba'!$I$30,OR(H770="Dana riba",H770="Pinjam uang riba",I770="Pinjam dari uang riba",I770="Ganti uang riba",I770="Kelebihan ganti dikembalikan",AND(C770="Kantong Uang Riba",G770="Pengeluaran"))),1,0)</f>
        <v/>
      </c>
      <c r="X770" s="93">
        <f>IF(AND(B770&lt;&gt;"",B770&gt;='Buku Akun'!$H$4,B770&lt;='Buku Akun'!$H$5,OR(C770='Buku Akun'!$C$4,AND(D770="Pindah",E770='Buku Akun'!$C$4))),B770+IF(AND(I770="Selisih bunga",DAY(B770)=1),0,0.01)+ROW()/10000000,"")</f>
        <v/>
      </c>
    </row>
    <row r="771" outlineLevel="1" ht="15" customHeight="1" s="94">
      <c r="A771" s="123">
        <f>IF(B771="","",ROW()-15)</f>
        <v/>
      </c>
      <c r="B771" s="124" t="n"/>
      <c r="C771" s="123" t="n"/>
      <c r="D771" s="123" t="n"/>
      <c r="E771" s="123" t="n"/>
      <c r="F771" s="125" t="n"/>
      <c r="G771" s="123" t="n"/>
      <c r="H771" s="123" t="n"/>
      <c r="I771" s="123" t="n"/>
      <c r="J771" s="123" t="n"/>
      <c r="K771" s="123" t="n"/>
      <c r="L771" s="123" t="n"/>
      <c r="M771" s="123">
        <f>IF(AND(B771&lt;&gt;"",OR($C$4="",ISNUMBER(SEARCH($C$4,C771&amp;" "&amp;E771&amp;" "&amp;G771&amp;" "&amp;H771&amp;" "&amp;I771&amp;" "&amp;J771&amp;" "&amp;K771&amp;" "&amp;L771))),OR($C$5="Semua",$C$5="",G771=$C$5),OR($C$6="Semua",$C$6="",H771=$C$6,H771="Pengeluaran "&amp;$C$6,AND($C$6="Uang Kos Mama",H771="Pengeluaran Uang Kos")),OR($C$7="Semua",$C$7="",I771=$C$7),OR($C$8="Semua",$C$8="",C771=$C$8,E771=$C$8),OR($C$9="Semua",$C$9="",D771=$C$9),OR($C$10="",B771&gt;=$C$10),OR($C$11="",B771&lt;=$C$11),OR($C$12&lt;&gt;"Ya",K771&lt;&gt;""),OR($C$13="Semua",$C$13="",L771=$C$13)),"✓","")</f>
        <v/>
      </c>
      <c r="N771" s="93">
        <f>N(N770)+IF(M771="✓",1,0)</f>
        <v/>
      </c>
      <c r="O771" s="93">
        <f>N(O770)+IF(AND(B771&lt;&gt;"",B771&gt;='Uang Riba'!$H$30,B771&lt;='Uang Riba'!$I$30,OR(H771="Dana riba",H771="Pinjam uang riba",I771="Pinjam dari uang riba",I771="Ganti uang riba",I771="Kelebihan ganti dikembalikan",AND(C771="Kantong Uang Riba",G771="Pengeluaran"))),1,0)</f>
        <v/>
      </c>
      <c r="X771" s="93">
        <f>IF(AND(B771&lt;&gt;"",B771&gt;='Buku Akun'!$H$4,B771&lt;='Buku Akun'!$H$5,OR(C771='Buku Akun'!$C$4,AND(D771="Pindah",E771='Buku Akun'!$C$4))),B771+IF(AND(I771="Selisih bunga",DAY(B771)=1),0,0.01)+ROW()/10000000,"")</f>
        <v/>
      </c>
    </row>
    <row r="772" outlineLevel="1" ht="15" customHeight="1" s="94">
      <c r="A772" s="123">
        <f>IF(B772="","",ROW()-15)</f>
        <v/>
      </c>
      <c r="B772" s="124" t="n"/>
      <c r="C772" s="123" t="n"/>
      <c r="D772" s="123" t="n"/>
      <c r="E772" s="123" t="n"/>
      <c r="F772" s="125" t="n"/>
      <c r="G772" s="123" t="n"/>
      <c r="H772" s="123" t="n"/>
      <c r="I772" s="123" t="n"/>
      <c r="J772" s="123" t="n"/>
      <c r="K772" s="123" t="n"/>
      <c r="L772" s="123" t="n"/>
      <c r="M772" s="123">
        <f>IF(AND(B772&lt;&gt;"",OR($C$4="",ISNUMBER(SEARCH($C$4,C772&amp;" "&amp;E772&amp;" "&amp;G772&amp;" "&amp;H772&amp;" "&amp;I772&amp;" "&amp;J772&amp;" "&amp;K772&amp;" "&amp;L772))),OR($C$5="Semua",$C$5="",G772=$C$5),OR($C$6="Semua",$C$6="",H772=$C$6,H772="Pengeluaran "&amp;$C$6,AND($C$6="Uang Kos Mama",H772="Pengeluaran Uang Kos")),OR($C$7="Semua",$C$7="",I772=$C$7),OR($C$8="Semua",$C$8="",C772=$C$8,E772=$C$8),OR($C$9="Semua",$C$9="",D772=$C$9),OR($C$10="",B772&gt;=$C$10),OR($C$11="",B772&lt;=$C$11),OR($C$12&lt;&gt;"Ya",K772&lt;&gt;""),OR($C$13="Semua",$C$13="",L772=$C$13)),"✓","")</f>
        <v/>
      </c>
      <c r="N772" s="93">
        <f>N(N771)+IF(M772="✓",1,0)</f>
        <v/>
      </c>
      <c r="O772" s="93">
        <f>N(O771)+IF(AND(B772&lt;&gt;"",B772&gt;='Uang Riba'!$H$30,B772&lt;='Uang Riba'!$I$30,OR(H772="Dana riba",H772="Pinjam uang riba",I772="Pinjam dari uang riba",I772="Ganti uang riba",I772="Kelebihan ganti dikembalikan",AND(C772="Kantong Uang Riba",G772="Pengeluaran"))),1,0)</f>
        <v/>
      </c>
      <c r="X772" s="93">
        <f>IF(AND(B772&lt;&gt;"",B772&gt;='Buku Akun'!$H$4,B772&lt;='Buku Akun'!$H$5,OR(C772='Buku Akun'!$C$4,AND(D772="Pindah",E772='Buku Akun'!$C$4))),B772+IF(AND(I772="Selisih bunga",DAY(B772)=1),0,0.01)+ROW()/10000000,"")</f>
        <v/>
      </c>
    </row>
    <row r="773" outlineLevel="1" ht="15" customHeight="1" s="94">
      <c r="A773" s="123">
        <f>IF(B773="","",ROW()-15)</f>
        <v/>
      </c>
      <c r="B773" s="124" t="n"/>
      <c r="C773" s="123" t="n"/>
      <c r="D773" s="123" t="n"/>
      <c r="E773" s="123" t="n"/>
      <c r="F773" s="125" t="n"/>
      <c r="G773" s="123" t="n"/>
      <c r="H773" s="123" t="n"/>
      <c r="I773" s="123" t="n"/>
      <c r="J773" s="123" t="n"/>
      <c r="K773" s="123" t="n"/>
      <c r="L773" s="123" t="n"/>
      <c r="M773" s="123">
        <f>IF(AND(B773&lt;&gt;"",OR($C$4="",ISNUMBER(SEARCH($C$4,C773&amp;" "&amp;E773&amp;" "&amp;G773&amp;" "&amp;H773&amp;" "&amp;I773&amp;" "&amp;J773&amp;" "&amp;K773&amp;" "&amp;L773))),OR($C$5="Semua",$C$5="",G773=$C$5),OR($C$6="Semua",$C$6="",H773=$C$6,H773="Pengeluaran "&amp;$C$6,AND($C$6="Uang Kos Mama",H773="Pengeluaran Uang Kos")),OR($C$7="Semua",$C$7="",I773=$C$7),OR($C$8="Semua",$C$8="",C773=$C$8,E773=$C$8),OR($C$9="Semua",$C$9="",D773=$C$9),OR($C$10="",B773&gt;=$C$10),OR($C$11="",B773&lt;=$C$11),OR($C$12&lt;&gt;"Ya",K773&lt;&gt;""),OR($C$13="Semua",$C$13="",L773=$C$13)),"✓","")</f>
        <v/>
      </c>
      <c r="N773" s="93">
        <f>N(N772)+IF(M773="✓",1,0)</f>
        <v/>
      </c>
      <c r="O773" s="93">
        <f>N(O772)+IF(AND(B773&lt;&gt;"",B773&gt;='Uang Riba'!$H$30,B773&lt;='Uang Riba'!$I$30,OR(H773="Dana riba",H773="Pinjam uang riba",I773="Pinjam dari uang riba",I773="Ganti uang riba",I773="Kelebihan ganti dikembalikan",AND(C773="Kantong Uang Riba",G773="Pengeluaran"))),1,0)</f>
        <v/>
      </c>
      <c r="X773" s="93">
        <f>IF(AND(B773&lt;&gt;"",B773&gt;='Buku Akun'!$H$4,B773&lt;='Buku Akun'!$H$5,OR(C773='Buku Akun'!$C$4,AND(D773="Pindah",E773='Buku Akun'!$C$4))),B773+IF(AND(I773="Selisih bunga",DAY(B773)=1),0,0.01)+ROW()/10000000,"")</f>
        <v/>
      </c>
    </row>
    <row r="774" outlineLevel="1" ht="15" customHeight="1" s="94">
      <c r="A774" s="123">
        <f>IF(B774="","",ROW()-15)</f>
        <v/>
      </c>
      <c r="B774" s="124" t="n"/>
      <c r="C774" s="123" t="n"/>
      <c r="D774" s="123" t="n"/>
      <c r="E774" s="123" t="n"/>
      <c r="F774" s="125" t="n"/>
      <c r="G774" s="123" t="n"/>
      <c r="H774" s="123" t="n"/>
      <c r="I774" s="123" t="n"/>
      <c r="J774" s="123" t="n"/>
      <c r="K774" s="123" t="n"/>
      <c r="L774" s="123" t="n"/>
      <c r="M774" s="123">
        <f>IF(AND(B774&lt;&gt;"",OR($C$4="",ISNUMBER(SEARCH($C$4,C774&amp;" "&amp;E774&amp;" "&amp;G774&amp;" "&amp;H774&amp;" "&amp;I774&amp;" "&amp;J774&amp;" "&amp;K774&amp;" "&amp;L774))),OR($C$5="Semua",$C$5="",G774=$C$5),OR($C$6="Semua",$C$6="",H774=$C$6,H774="Pengeluaran "&amp;$C$6,AND($C$6="Uang Kos Mama",H774="Pengeluaran Uang Kos")),OR($C$7="Semua",$C$7="",I774=$C$7),OR($C$8="Semua",$C$8="",C774=$C$8,E774=$C$8),OR($C$9="Semua",$C$9="",D774=$C$9),OR($C$10="",B774&gt;=$C$10),OR($C$11="",B774&lt;=$C$11),OR($C$12&lt;&gt;"Ya",K774&lt;&gt;""),OR($C$13="Semua",$C$13="",L774=$C$13)),"✓","")</f>
        <v/>
      </c>
      <c r="N774" s="93">
        <f>N(N773)+IF(M774="✓",1,0)</f>
        <v/>
      </c>
      <c r="O774" s="93">
        <f>N(O773)+IF(AND(B774&lt;&gt;"",B774&gt;='Uang Riba'!$H$30,B774&lt;='Uang Riba'!$I$30,OR(H774="Dana riba",H774="Pinjam uang riba",I774="Pinjam dari uang riba",I774="Ganti uang riba",I774="Kelebihan ganti dikembalikan",AND(C774="Kantong Uang Riba",G774="Pengeluaran"))),1,0)</f>
        <v/>
      </c>
      <c r="X774" s="93">
        <f>IF(AND(B774&lt;&gt;"",B774&gt;='Buku Akun'!$H$4,B774&lt;='Buku Akun'!$H$5,OR(C774='Buku Akun'!$C$4,AND(D774="Pindah",E774='Buku Akun'!$C$4))),B774+IF(AND(I774="Selisih bunga",DAY(B774)=1),0,0.01)+ROW()/10000000,"")</f>
        <v/>
      </c>
    </row>
    <row r="775" outlineLevel="1" ht="15" customHeight="1" s="94">
      <c r="A775" s="123">
        <f>IF(B775="","",ROW()-15)</f>
        <v/>
      </c>
      <c r="B775" s="124" t="n"/>
      <c r="C775" s="123" t="n"/>
      <c r="D775" s="123" t="n"/>
      <c r="E775" s="123" t="n"/>
      <c r="F775" s="125" t="n"/>
      <c r="G775" s="123" t="n"/>
      <c r="H775" s="123" t="n"/>
      <c r="I775" s="123" t="n"/>
      <c r="J775" s="123" t="n"/>
      <c r="K775" s="123" t="n"/>
      <c r="L775" s="123" t="n"/>
      <c r="M775" s="123">
        <f>IF(AND(B775&lt;&gt;"",OR($C$4="",ISNUMBER(SEARCH($C$4,C775&amp;" "&amp;E775&amp;" "&amp;G775&amp;" "&amp;H775&amp;" "&amp;I775&amp;" "&amp;J775&amp;" "&amp;K775&amp;" "&amp;L775))),OR($C$5="Semua",$C$5="",G775=$C$5),OR($C$6="Semua",$C$6="",H775=$C$6,H775="Pengeluaran "&amp;$C$6,AND($C$6="Uang Kos Mama",H775="Pengeluaran Uang Kos")),OR($C$7="Semua",$C$7="",I775=$C$7),OR($C$8="Semua",$C$8="",C775=$C$8,E775=$C$8),OR($C$9="Semua",$C$9="",D775=$C$9),OR($C$10="",B775&gt;=$C$10),OR($C$11="",B775&lt;=$C$11),OR($C$12&lt;&gt;"Ya",K775&lt;&gt;""),OR($C$13="Semua",$C$13="",L775=$C$13)),"✓","")</f>
        <v/>
      </c>
      <c r="N775" s="93">
        <f>N(N774)+IF(M775="✓",1,0)</f>
        <v/>
      </c>
      <c r="O775" s="93">
        <f>N(O774)+IF(AND(B775&lt;&gt;"",B775&gt;='Uang Riba'!$H$30,B775&lt;='Uang Riba'!$I$30,OR(H775="Dana riba",H775="Pinjam uang riba",I775="Pinjam dari uang riba",I775="Ganti uang riba",I775="Kelebihan ganti dikembalikan",AND(C775="Kantong Uang Riba",G775="Pengeluaran"))),1,0)</f>
        <v/>
      </c>
      <c r="X775" s="93">
        <f>IF(AND(B775&lt;&gt;"",B775&gt;='Buku Akun'!$H$4,B775&lt;='Buku Akun'!$H$5,OR(C775='Buku Akun'!$C$4,AND(D775="Pindah",E775='Buku Akun'!$C$4))),B775+IF(AND(I775="Selisih bunga",DAY(B775)=1),0,0.01)+ROW()/10000000,"")</f>
        <v/>
      </c>
    </row>
    <row r="776" outlineLevel="1" ht="15" customHeight="1" s="94">
      <c r="A776" s="123">
        <f>IF(B776="","",ROW()-15)</f>
        <v/>
      </c>
      <c r="B776" s="124" t="n"/>
      <c r="C776" s="123" t="n"/>
      <c r="D776" s="123" t="n"/>
      <c r="E776" s="123" t="n"/>
      <c r="F776" s="125" t="n"/>
      <c r="G776" s="123" t="n"/>
      <c r="H776" s="123" t="n"/>
      <c r="I776" s="123" t="n"/>
      <c r="J776" s="123" t="n"/>
      <c r="K776" s="123" t="n"/>
      <c r="L776" s="123" t="n"/>
      <c r="M776" s="123">
        <f>IF(AND(B776&lt;&gt;"",OR($C$4="",ISNUMBER(SEARCH($C$4,C776&amp;" "&amp;E776&amp;" "&amp;G776&amp;" "&amp;H776&amp;" "&amp;I776&amp;" "&amp;J776&amp;" "&amp;K776&amp;" "&amp;L776))),OR($C$5="Semua",$C$5="",G776=$C$5),OR($C$6="Semua",$C$6="",H776=$C$6,H776="Pengeluaran "&amp;$C$6,AND($C$6="Uang Kos Mama",H776="Pengeluaran Uang Kos")),OR($C$7="Semua",$C$7="",I776=$C$7),OR($C$8="Semua",$C$8="",C776=$C$8,E776=$C$8),OR($C$9="Semua",$C$9="",D776=$C$9),OR($C$10="",B776&gt;=$C$10),OR($C$11="",B776&lt;=$C$11),OR($C$12&lt;&gt;"Ya",K776&lt;&gt;""),OR($C$13="Semua",$C$13="",L776=$C$13)),"✓","")</f>
        <v/>
      </c>
      <c r="N776" s="93">
        <f>N(N775)+IF(M776="✓",1,0)</f>
        <v/>
      </c>
      <c r="O776" s="93">
        <f>N(O775)+IF(AND(B776&lt;&gt;"",B776&gt;='Uang Riba'!$H$30,B776&lt;='Uang Riba'!$I$30,OR(H776="Dana riba",H776="Pinjam uang riba",I776="Pinjam dari uang riba",I776="Ganti uang riba",I776="Kelebihan ganti dikembalikan",AND(C776="Kantong Uang Riba",G776="Pengeluaran"))),1,0)</f>
        <v/>
      </c>
      <c r="X776" s="93">
        <f>IF(AND(B776&lt;&gt;"",B776&gt;='Buku Akun'!$H$4,B776&lt;='Buku Akun'!$H$5,OR(C776='Buku Akun'!$C$4,AND(D776="Pindah",E776='Buku Akun'!$C$4))),B776+IF(AND(I776="Selisih bunga",DAY(B776)=1),0,0.01)+ROW()/10000000,"")</f>
        <v/>
      </c>
    </row>
    <row r="777" outlineLevel="1" ht="15" customHeight="1" s="94">
      <c r="A777" s="123">
        <f>IF(B777="","",ROW()-15)</f>
        <v/>
      </c>
      <c r="B777" s="124" t="n"/>
      <c r="C777" s="123" t="n"/>
      <c r="D777" s="123" t="n"/>
      <c r="E777" s="123" t="n"/>
      <c r="F777" s="125" t="n"/>
      <c r="G777" s="123" t="n"/>
      <c r="H777" s="123" t="n"/>
      <c r="I777" s="123" t="n"/>
      <c r="J777" s="123" t="n"/>
      <c r="K777" s="123" t="n"/>
      <c r="L777" s="123" t="n"/>
      <c r="M777" s="123">
        <f>IF(AND(B777&lt;&gt;"",OR($C$4="",ISNUMBER(SEARCH($C$4,C777&amp;" "&amp;E777&amp;" "&amp;G777&amp;" "&amp;H777&amp;" "&amp;I777&amp;" "&amp;J777&amp;" "&amp;K777&amp;" "&amp;L777))),OR($C$5="Semua",$C$5="",G777=$C$5),OR($C$6="Semua",$C$6="",H777=$C$6,H777="Pengeluaran "&amp;$C$6,AND($C$6="Uang Kos Mama",H777="Pengeluaran Uang Kos")),OR($C$7="Semua",$C$7="",I777=$C$7),OR($C$8="Semua",$C$8="",C777=$C$8,E777=$C$8),OR($C$9="Semua",$C$9="",D777=$C$9),OR($C$10="",B777&gt;=$C$10),OR($C$11="",B777&lt;=$C$11),OR($C$12&lt;&gt;"Ya",K777&lt;&gt;""),OR($C$13="Semua",$C$13="",L777=$C$13)),"✓","")</f>
        <v/>
      </c>
      <c r="N777" s="93">
        <f>N(N776)+IF(M777="✓",1,0)</f>
        <v/>
      </c>
      <c r="O777" s="93">
        <f>N(O776)+IF(AND(B777&lt;&gt;"",B777&gt;='Uang Riba'!$H$30,B777&lt;='Uang Riba'!$I$30,OR(H777="Dana riba",H777="Pinjam uang riba",I777="Pinjam dari uang riba",I777="Ganti uang riba",I777="Kelebihan ganti dikembalikan",AND(C777="Kantong Uang Riba",G777="Pengeluaran"))),1,0)</f>
        <v/>
      </c>
      <c r="X777" s="93">
        <f>IF(AND(B777&lt;&gt;"",B777&gt;='Buku Akun'!$H$4,B777&lt;='Buku Akun'!$H$5,OR(C777='Buku Akun'!$C$4,AND(D777="Pindah",E777='Buku Akun'!$C$4))),B777+IF(AND(I777="Selisih bunga",DAY(B777)=1),0,0.01)+ROW()/10000000,"")</f>
        <v/>
      </c>
    </row>
    <row r="778" outlineLevel="1" ht="15" customHeight="1" s="94">
      <c r="A778" s="123">
        <f>IF(B778="","",ROW()-15)</f>
        <v/>
      </c>
      <c r="B778" s="124" t="n"/>
      <c r="C778" s="123" t="n"/>
      <c r="D778" s="123" t="n"/>
      <c r="E778" s="123" t="n"/>
      <c r="F778" s="125" t="n"/>
      <c r="G778" s="123" t="n"/>
      <c r="H778" s="123" t="n"/>
      <c r="I778" s="123" t="n"/>
      <c r="J778" s="123" t="n"/>
      <c r="K778" s="123" t="n"/>
      <c r="L778" s="123" t="n"/>
      <c r="M778" s="123">
        <f>IF(AND(B778&lt;&gt;"",OR($C$4="",ISNUMBER(SEARCH($C$4,C778&amp;" "&amp;E778&amp;" "&amp;G778&amp;" "&amp;H778&amp;" "&amp;I778&amp;" "&amp;J778&amp;" "&amp;K778&amp;" "&amp;L778))),OR($C$5="Semua",$C$5="",G778=$C$5),OR($C$6="Semua",$C$6="",H778=$C$6,H778="Pengeluaran "&amp;$C$6,AND($C$6="Uang Kos Mama",H778="Pengeluaran Uang Kos")),OR($C$7="Semua",$C$7="",I778=$C$7),OR($C$8="Semua",$C$8="",C778=$C$8,E778=$C$8),OR($C$9="Semua",$C$9="",D778=$C$9),OR($C$10="",B778&gt;=$C$10),OR($C$11="",B778&lt;=$C$11),OR($C$12&lt;&gt;"Ya",K778&lt;&gt;""),OR($C$13="Semua",$C$13="",L778=$C$13)),"✓","")</f>
        <v/>
      </c>
      <c r="N778" s="93">
        <f>N(N777)+IF(M778="✓",1,0)</f>
        <v/>
      </c>
      <c r="O778" s="93">
        <f>N(O777)+IF(AND(B778&lt;&gt;"",B778&gt;='Uang Riba'!$H$30,B778&lt;='Uang Riba'!$I$30,OR(H778="Dana riba",H778="Pinjam uang riba",I778="Pinjam dari uang riba",I778="Ganti uang riba",I778="Kelebihan ganti dikembalikan",AND(C778="Kantong Uang Riba",G778="Pengeluaran"))),1,0)</f>
        <v/>
      </c>
      <c r="X778" s="93">
        <f>IF(AND(B778&lt;&gt;"",B778&gt;='Buku Akun'!$H$4,B778&lt;='Buku Akun'!$H$5,OR(C778='Buku Akun'!$C$4,AND(D778="Pindah",E778='Buku Akun'!$C$4))),B778+IF(AND(I778="Selisih bunga",DAY(B778)=1),0,0.01)+ROW()/10000000,"")</f>
        <v/>
      </c>
    </row>
    <row r="779" outlineLevel="1" ht="15" customHeight="1" s="94">
      <c r="A779" s="123">
        <f>IF(B779="","",ROW()-15)</f>
        <v/>
      </c>
      <c r="B779" s="124" t="n"/>
      <c r="C779" s="123" t="n"/>
      <c r="D779" s="123" t="n"/>
      <c r="E779" s="123" t="n"/>
      <c r="F779" s="125" t="n"/>
      <c r="G779" s="123" t="n"/>
      <c r="H779" s="123" t="n"/>
      <c r="I779" s="123" t="n"/>
      <c r="J779" s="123" t="n"/>
      <c r="K779" s="123" t="n"/>
      <c r="L779" s="123" t="n"/>
      <c r="M779" s="123">
        <f>IF(AND(B779&lt;&gt;"",OR($C$4="",ISNUMBER(SEARCH($C$4,C779&amp;" "&amp;E779&amp;" "&amp;G779&amp;" "&amp;H779&amp;" "&amp;I779&amp;" "&amp;J779&amp;" "&amp;K779&amp;" "&amp;L779))),OR($C$5="Semua",$C$5="",G779=$C$5),OR($C$6="Semua",$C$6="",H779=$C$6,H779="Pengeluaran "&amp;$C$6,AND($C$6="Uang Kos Mama",H779="Pengeluaran Uang Kos")),OR($C$7="Semua",$C$7="",I779=$C$7),OR($C$8="Semua",$C$8="",C779=$C$8,E779=$C$8),OR($C$9="Semua",$C$9="",D779=$C$9),OR($C$10="",B779&gt;=$C$10),OR($C$11="",B779&lt;=$C$11),OR($C$12&lt;&gt;"Ya",K779&lt;&gt;""),OR($C$13="Semua",$C$13="",L779=$C$13)),"✓","")</f>
        <v/>
      </c>
      <c r="N779" s="93">
        <f>N(N778)+IF(M779="✓",1,0)</f>
        <v/>
      </c>
      <c r="O779" s="93">
        <f>N(O778)+IF(AND(B779&lt;&gt;"",B779&gt;='Uang Riba'!$H$30,B779&lt;='Uang Riba'!$I$30,OR(H779="Dana riba",H779="Pinjam uang riba",I779="Pinjam dari uang riba",I779="Ganti uang riba",I779="Kelebihan ganti dikembalikan",AND(C779="Kantong Uang Riba",G779="Pengeluaran"))),1,0)</f>
        <v/>
      </c>
      <c r="X779" s="93">
        <f>IF(AND(B779&lt;&gt;"",B779&gt;='Buku Akun'!$H$4,B779&lt;='Buku Akun'!$H$5,OR(C779='Buku Akun'!$C$4,AND(D779="Pindah",E779='Buku Akun'!$C$4))),B779+IF(AND(I779="Selisih bunga",DAY(B779)=1),0,0.01)+ROW()/10000000,"")</f>
        <v/>
      </c>
    </row>
    <row r="780" outlineLevel="1" ht="15" customHeight="1" s="94">
      <c r="A780" s="123">
        <f>IF(B780="","",ROW()-15)</f>
        <v/>
      </c>
      <c r="B780" s="124" t="n"/>
      <c r="C780" s="123" t="n"/>
      <c r="D780" s="123" t="n"/>
      <c r="E780" s="123" t="n"/>
      <c r="F780" s="125" t="n"/>
      <c r="G780" s="123" t="n"/>
      <c r="H780" s="123" t="n"/>
      <c r="I780" s="123" t="n"/>
      <c r="J780" s="123" t="n"/>
      <c r="K780" s="123" t="n"/>
      <c r="L780" s="123" t="n"/>
      <c r="M780" s="123">
        <f>IF(AND(B780&lt;&gt;"",OR($C$4="",ISNUMBER(SEARCH($C$4,C780&amp;" "&amp;E780&amp;" "&amp;G780&amp;" "&amp;H780&amp;" "&amp;I780&amp;" "&amp;J780&amp;" "&amp;K780&amp;" "&amp;L780))),OR($C$5="Semua",$C$5="",G780=$C$5),OR($C$6="Semua",$C$6="",H780=$C$6,H780="Pengeluaran "&amp;$C$6,AND($C$6="Uang Kos Mama",H780="Pengeluaran Uang Kos")),OR($C$7="Semua",$C$7="",I780=$C$7),OR($C$8="Semua",$C$8="",C780=$C$8,E780=$C$8),OR($C$9="Semua",$C$9="",D780=$C$9),OR($C$10="",B780&gt;=$C$10),OR($C$11="",B780&lt;=$C$11),OR($C$12&lt;&gt;"Ya",K780&lt;&gt;""),OR($C$13="Semua",$C$13="",L780=$C$13)),"✓","")</f>
        <v/>
      </c>
      <c r="N780" s="93">
        <f>N(N779)+IF(M780="✓",1,0)</f>
        <v/>
      </c>
      <c r="O780" s="93">
        <f>N(O779)+IF(AND(B780&lt;&gt;"",B780&gt;='Uang Riba'!$H$30,B780&lt;='Uang Riba'!$I$30,OR(H780="Dana riba",H780="Pinjam uang riba",I780="Pinjam dari uang riba",I780="Ganti uang riba",I780="Kelebihan ganti dikembalikan",AND(C780="Kantong Uang Riba",G780="Pengeluaran"))),1,0)</f>
        <v/>
      </c>
      <c r="X780" s="93">
        <f>IF(AND(B780&lt;&gt;"",B780&gt;='Buku Akun'!$H$4,B780&lt;='Buku Akun'!$H$5,OR(C780='Buku Akun'!$C$4,AND(D780="Pindah",E780='Buku Akun'!$C$4))),B780+IF(AND(I780="Selisih bunga",DAY(B780)=1),0,0.01)+ROW()/10000000,"")</f>
        <v/>
      </c>
    </row>
    <row r="781" outlineLevel="1" ht="15" customHeight="1" s="94">
      <c r="A781" s="123">
        <f>IF(B781="","",ROW()-15)</f>
        <v/>
      </c>
      <c r="B781" s="124" t="n"/>
      <c r="C781" s="123" t="n"/>
      <c r="D781" s="123" t="n"/>
      <c r="E781" s="123" t="n"/>
      <c r="F781" s="125" t="n"/>
      <c r="G781" s="123" t="n"/>
      <c r="H781" s="123" t="n"/>
      <c r="I781" s="123" t="n"/>
      <c r="J781" s="123" t="n"/>
      <c r="K781" s="123" t="n"/>
      <c r="L781" s="123" t="n"/>
      <c r="M781" s="123">
        <f>IF(AND(B781&lt;&gt;"",OR($C$4="",ISNUMBER(SEARCH($C$4,C781&amp;" "&amp;E781&amp;" "&amp;G781&amp;" "&amp;H781&amp;" "&amp;I781&amp;" "&amp;J781&amp;" "&amp;K781&amp;" "&amp;L781))),OR($C$5="Semua",$C$5="",G781=$C$5),OR($C$6="Semua",$C$6="",H781=$C$6,H781="Pengeluaran "&amp;$C$6,AND($C$6="Uang Kos Mama",H781="Pengeluaran Uang Kos")),OR($C$7="Semua",$C$7="",I781=$C$7),OR($C$8="Semua",$C$8="",C781=$C$8,E781=$C$8),OR($C$9="Semua",$C$9="",D781=$C$9),OR($C$10="",B781&gt;=$C$10),OR($C$11="",B781&lt;=$C$11),OR($C$12&lt;&gt;"Ya",K781&lt;&gt;""),OR($C$13="Semua",$C$13="",L781=$C$13)),"✓","")</f>
        <v/>
      </c>
      <c r="N781" s="93">
        <f>N(N780)+IF(M781="✓",1,0)</f>
        <v/>
      </c>
      <c r="O781" s="93">
        <f>N(O780)+IF(AND(B781&lt;&gt;"",B781&gt;='Uang Riba'!$H$30,B781&lt;='Uang Riba'!$I$30,OR(H781="Dana riba",H781="Pinjam uang riba",I781="Pinjam dari uang riba",I781="Ganti uang riba",I781="Kelebihan ganti dikembalikan",AND(C781="Kantong Uang Riba",G781="Pengeluaran"))),1,0)</f>
        <v/>
      </c>
      <c r="X781" s="93">
        <f>IF(AND(B781&lt;&gt;"",B781&gt;='Buku Akun'!$H$4,B781&lt;='Buku Akun'!$H$5,OR(C781='Buku Akun'!$C$4,AND(D781="Pindah",E781='Buku Akun'!$C$4))),B781+IF(AND(I781="Selisih bunga",DAY(B781)=1),0,0.01)+ROW()/10000000,"")</f>
        <v/>
      </c>
    </row>
    <row r="782" outlineLevel="1" ht="15" customHeight="1" s="94">
      <c r="A782" s="123">
        <f>IF(B782="","",ROW()-15)</f>
        <v/>
      </c>
      <c r="B782" s="124" t="n"/>
      <c r="C782" s="123" t="n"/>
      <c r="D782" s="123" t="n"/>
      <c r="E782" s="123" t="n"/>
      <c r="F782" s="125" t="n"/>
      <c r="G782" s="123" t="n"/>
      <c r="H782" s="123" t="n"/>
      <c r="I782" s="123" t="n"/>
      <c r="J782" s="123" t="n"/>
      <c r="K782" s="123" t="n"/>
      <c r="L782" s="123" t="n"/>
      <c r="M782" s="123">
        <f>IF(AND(B782&lt;&gt;"",OR($C$4="",ISNUMBER(SEARCH($C$4,C782&amp;" "&amp;E782&amp;" "&amp;G782&amp;" "&amp;H782&amp;" "&amp;I782&amp;" "&amp;J782&amp;" "&amp;K782&amp;" "&amp;L782))),OR($C$5="Semua",$C$5="",G782=$C$5),OR($C$6="Semua",$C$6="",H782=$C$6,H782="Pengeluaran "&amp;$C$6,AND($C$6="Uang Kos Mama",H782="Pengeluaran Uang Kos")),OR($C$7="Semua",$C$7="",I782=$C$7),OR($C$8="Semua",$C$8="",C782=$C$8,E782=$C$8),OR($C$9="Semua",$C$9="",D782=$C$9),OR($C$10="",B782&gt;=$C$10),OR($C$11="",B782&lt;=$C$11),OR($C$12&lt;&gt;"Ya",K782&lt;&gt;""),OR($C$13="Semua",$C$13="",L782=$C$13)),"✓","")</f>
        <v/>
      </c>
      <c r="N782" s="93">
        <f>N(N781)+IF(M782="✓",1,0)</f>
        <v/>
      </c>
      <c r="O782" s="93">
        <f>N(O781)+IF(AND(B782&lt;&gt;"",B782&gt;='Uang Riba'!$H$30,B782&lt;='Uang Riba'!$I$30,OR(H782="Dana riba",H782="Pinjam uang riba",I782="Pinjam dari uang riba",I782="Ganti uang riba",I782="Kelebihan ganti dikembalikan",AND(C782="Kantong Uang Riba",G782="Pengeluaran"))),1,0)</f>
        <v/>
      </c>
      <c r="X782" s="93">
        <f>IF(AND(B782&lt;&gt;"",B782&gt;='Buku Akun'!$H$4,B782&lt;='Buku Akun'!$H$5,OR(C782='Buku Akun'!$C$4,AND(D782="Pindah",E782='Buku Akun'!$C$4))),B782+IF(AND(I782="Selisih bunga",DAY(B782)=1),0,0.01)+ROW()/10000000,"")</f>
        <v/>
      </c>
    </row>
    <row r="783" outlineLevel="1" ht="15" customHeight="1" s="94">
      <c r="A783" s="123">
        <f>IF(B783="","",ROW()-15)</f>
        <v/>
      </c>
      <c r="B783" s="124" t="n"/>
      <c r="C783" s="123" t="n"/>
      <c r="D783" s="123" t="n"/>
      <c r="E783" s="123" t="n"/>
      <c r="F783" s="125" t="n"/>
      <c r="G783" s="123" t="n"/>
      <c r="H783" s="123" t="n"/>
      <c r="I783" s="123" t="n"/>
      <c r="J783" s="123" t="n"/>
      <c r="K783" s="123" t="n"/>
      <c r="L783" s="123" t="n"/>
      <c r="M783" s="123">
        <f>IF(AND(B783&lt;&gt;"",OR($C$4="",ISNUMBER(SEARCH($C$4,C783&amp;" "&amp;E783&amp;" "&amp;G783&amp;" "&amp;H783&amp;" "&amp;I783&amp;" "&amp;J783&amp;" "&amp;K783&amp;" "&amp;L783))),OR($C$5="Semua",$C$5="",G783=$C$5),OR($C$6="Semua",$C$6="",H783=$C$6,H783="Pengeluaran "&amp;$C$6,AND($C$6="Uang Kos Mama",H783="Pengeluaran Uang Kos")),OR($C$7="Semua",$C$7="",I783=$C$7),OR($C$8="Semua",$C$8="",C783=$C$8,E783=$C$8),OR($C$9="Semua",$C$9="",D783=$C$9),OR($C$10="",B783&gt;=$C$10),OR($C$11="",B783&lt;=$C$11),OR($C$12&lt;&gt;"Ya",K783&lt;&gt;""),OR($C$13="Semua",$C$13="",L783=$C$13)),"✓","")</f>
        <v/>
      </c>
      <c r="N783" s="93">
        <f>N(N782)+IF(M783="✓",1,0)</f>
        <v/>
      </c>
      <c r="O783" s="93">
        <f>N(O782)+IF(AND(B783&lt;&gt;"",B783&gt;='Uang Riba'!$H$30,B783&lt;='Uang Riba'!$I$30,OR(H783="Dana riba",H783="Pinjam uang riba",I783="Pinjam dari uang riba",I783="Ganti uang riba",I783="Kelebihan ganti dikembalikan",AND(C783="Kantong Uang Riba",G783="Pengeluaran"))),1,0)</f>
        <v/>
      </c>
      <c r="X783" s="93">
        <f>IF(AND(B783&lt;&gt;"",B783&gt;='Buku Akun'!$H$4,B783&lt;='Buku Akun'!$H$5,OR(C783='Buku Akun'!$C$4,AND(D783="Pindah",E783='Buku Akun'!$C$4))),B783+IF(AND(I783="Selisih bunga",DAY(B783)=1),0,0.01)+ROW()/10000000,"")</f>
        <v/>
      </c>
    </row>
    <row r="784" outlineLevel="1" ht="15" customHeight="1" s="94">
      <c r="A784" s="123">
        <f>IF(B784="","",ROW()-15)</f>
        <v/>
      </c>
      <c r="B784" s="124" t="n"/>
      <c r="C784" s="123" t="n"/>
      <c r="D784" s="123" t="n"/>
      <c r="E784" s="123" t="n"/>
      <c r="F784" s="125" t="n"/>
      <c r="G784" s="123" t="n"/>
      <c r="H784" s="123" t="n"/>
      <c r="I784" s="123" t="n"/>
      <c r="J784" s="123" t="n"/>
      <c r="K784" s="123" t="n"/>
      <c r="L784" s="123" t="n"/>
      <c r="M784" s="123">
        <f>IF(AND(B784&lt;&gt;"",OR($C$4="",ISNUMBER(SEARCH($C$4,C784&amp;" "&amp;E784&amp;" "&amp;G784&amp;" "&amp;H784&amp;" "&amp;I784&amp;" "&amp;J784&amp;" "&amp;K784&amp;" "&amp;L784))),OR($C$5="Semua",$C$5="",G784=$C$5),OR($C$6="Semua",$C$6="",H784=$C$6,H784="Pengeluaran "&amp;$C$6,AND($C$6="Uang Kos Mama",H784="Pengeluaran Uang Kos")),OR($C$7="Semua",$C$7="",I784=$C$7),OR($C$8="Semua",$C$8="",C784=$C$8,E784=$C$8),OR($C$9="Semua",$C$9="",D784=$C$9),OR($C$10="",B784&gt;=$C$10),OR($C$11="",B784&lt;=$C$11),OR($C$12&lt;&gt;"Ya",K784&lt;&gt;""),OR($C$13="Semua",$C$13="",L784=$C$13)),"✓","")</f>
        <v/>
      </c>
      <c r="N784" s="93">
        <f>N(N783)+IF(M784="✓",1,0)</f>
        <v/>
      </c>
      <c r="O784" s="93">
        <f>N(O783)+IF(AND(B784&lt;&gt;"",B784&gt;='Uang Riba'!$H$30,B784&lt;='Uang Riba'!$I$30,OR(H784="Dana riba",H784="Pinjam uang riba",I784="Pinjam dari uang riba",I784="Ganti uang riba",I784="Kelebihan ganti dikembalikan",AND(C784="Kantong Uang Riba",G784="Pengeluaran"))),1,0)</f>
        <v/>
      </c>
      <c r="X784" s="93">
        <f>IF(AND(B784&lt;&gt;"",B784&gt;='Buku Akun'!$H$4,B784&lt;='Buku Akun'!$H$5,OR(C784='Buku Akun'!$C$4,AND(D784="Pindah",E784='Buku Akun'!$C$4))),B784+IF(AND(I784="Selisih bunga",DAY(B784)=1),0,0.01)+ROW()/10000000,"")</f>
        <v/>
      </c>
    </row>
    <row r="785" outlineLevel="1" ht="15" customHeight="1" s="94">
      <c r="A785" s="123">
        <f>IF(B785="","",ROW()-15)</f>
        <v/>
      </c>
      <c r="B785" s="124" t="n"/>
      <c r="C785" s="123" t="n"/>
      <c r="D785" s="123" t="n"/>
      <c r="E785" s="123" t="n"/>
      <c r="F785" s="125" t="n"/>
      <c r="G785" s="123" t="n"/>
      <c r="H785" s="123" t="n"/>
      <c r="I785" s="123" t="n"/>
      <c r="J785" s="123" t="n"/>
      <c r="K785" s="123" t="n"/>
      <c r="L785" s="123" t="n"/>
      <c r="M785" s="123">
        <f>IF(AND(B785&lt;&gt;"",OR($C$4="",ISNUMBER(SEARCH($C$4,C785&amp;" "&amp;E785&amp;" "&amp;G785&amp;" "&amp;H785&amp;" "&amp;I785&amp;" "&amp;J785&amp;" "&amp;K785&amp;" "&amp;L785))),OR($C$5="Semua",$C$5="",G785=$C$5),OR($C$6="Semua",$C$6="",H785=$C$6,H785="Pengeluaran "&amp;$C$6,AND($C$6="Uang Kos Mama",H785="Pengeluaran Uang Kos")),OR($C$7="Semua",$C$7="",I785=$C$7),OR($C$8="Semua",$C$8="",C785=$C$8,E785=$C$8),OR($C$9="Semua",$C$9="",D785=$C$9),OR($C$10="",B785&gt;=$C$10),OR($C$11="",B785&lt;=$C$11),OR($C$12&lt;&gt;"Ya",K785&lt;&gt;""),OR($C$13="Semua",$C$13="",L785=$C$13)),"✓","")</f>
        <v/>
      </c>
      <c r="N785" s="93">
        <f>N(N784)+IF(M785="✓",1,0)</f>
        <v/>
      </c>
      <c r="O785" s="93">
        <f>N(O784)+IF(AND(B785&lt;&gt;"",B785&gt;='Uang Riba'!$H$30,B785&lt;='Uang Riba'!$I$30,OR(H785="Dana riba",H785="Pinjam uang riba",I785="Pinjam dari uang riba",I785="Ganti uang riba",I785="Kelebihan ganti dikembalikan",AND(C785="Kantong Uang Riba",G785="Pengeluaran"))),1,0)</f>
        <v/>
      </c>
      <c r="X785" s="93">
        <f>IF(AND(B785&lt;&gt;"",B785&gt;='Buku Akun'!$H$4,B785&lt;='Buku Akun'!$H$5,OR(C785='Buku Akun'!$C$4,AND(D785="Pindah",E785='Buku Akun'!$C$4))),B785+IF(AND(I785="Selisih bunga",DAY(B785)=1),0,0.01)+ROW()/10000000,"")</f>
        <v/>
      </c>
    </row>
    <row r="786" outlineLevel="1" ht="15" customHeight="1" s="94">
      <c r="A786" s="123">
        <f>IF(B786="","",ROW()-15)</f>
        <v/>
      </c>
      <c r="B786" s="124" t="n"/>
      <c r="C786" s="123" t="n"/>
      <c r="D786" s="123" t="n"/>
      <c r="E786" s="123" t="n"/>
      <c r="F786" s="125" t="n"/>
      <c r="G786" s="123" t="n"/>
      <c r="H786" s="123" t="n"/>
      <c r="I786" s="123" t="n"/>
      <c r="J786" s="123" t="n"/>
      <c r="K786" s="123" t="n"/>
      <c r="L786" s="123" t="n"/>
      <c r="M786" s="123">
        <f>IF(AND(B786&lt;&gt;"",OR($C$4="",ISNUMBER(SEARCH($C$4,C786&amp;" "&amp;E786&amp;" "&amp;G786&amp;" "&amp;H786&amp;" "&amp;I786&amp;" "&amp;J786&amp;" "&amp;K786&amp;" "&amp;L786))),OR($C$5="Semua",$C$5="",G786=$C$5),OR($C$6="Semua",$C$6="",H786=$C$6,H786="Pengeluaran "&amp;$C$6,AND($C$6="Uang Kos Mama",H786="Pengeluaran Uang Kos")),OR($C$7="Semua",$C$7="",I786=$C$7),OR($C$8="Semua",$C$8="",C786=$C$8,E786=$C$8),OR($C$9="Semua",$C$9="",D786=$C$9),OR($C$10="",B786&gt;=$C$10),OR($C$11="",B786&lt;=$C$11),OR($C$12&lt;&gt;"Ya",K786&lt;&gt;""),OR($C$13="Semua",$C$13="",L786=$C$13)),"✓","")</f>
        <v/>
      </c>
      <c r="N786" s="93">
        <f>N(N785)+IF(M786="✓",1,0)</f>
        <v/>
      </c>
      <c r="O786" s="93">
        <f>N(O785)+IF(AND(B786&lt;&gt;"",B786&gt;='Uang Riba'!$H$30,B786&lt;='Uang Riba'!$I$30,OR(H786="Dana riba",H786="Pinjam uang riba",I786="Pinjam dari uang riba",I786="Ganti uang riba",I786="Kelebihan ganti dikembalikan",AND(C786="Kantong Uang Riba",G786="Pengeluaran"))),1,0)</f>
        <v/>
      </c>
      <c r="X786" s="93">
        <f>IF(AND(B786&lt;&gt;"",B786&gt;='Buku Akun'!$H$4,B786&lt;='Buku Akun'!$H$5,OR(C786='Buku Akun'!$C$4,AND(D786="Pindah",E786='Buku Akun'!$C$4))),B786+IF(AND(I786="Selisih bunga",DAY(B786)=1),0,0.01)+ROW()/10000000,"")</f>
        <v/>
      </c>
    </row>
    <row r="787" outlineLevel="1" ht="15" customHeight="1" s="94">
      <c r="A787" s="123">
        <f>IF(B787="","",ROW()-15)</f>
        <v/>
      </c>
      <c r="B787" s="124" t="n"/>
      <c r="C787" s="123" t="n"/>
      <c r="D787" s="123" t="n"/>
      <c r="E787" s="123" t="n"/>
      <c r="F787" s="125" t="n"/>
      <c r="G787" s="123" t="n"/>
      <c r="H787" s="123" t="n"/>
      <c r="I787" s="123" t="n"/>
      <c r="J787" s="123" t="n"/>
      <c r="K787" s="123" t="n"/>
      <c r="L787" s="123" t="n"/>
      <c r="M787" s="123">
        <f>IF(AND(B787&lt;&gt;"",OR($C$4="",ISNUMBER(SEARCH($C$4,C787&amp;" "&amp;E787&amp;" "&amp;G787&amp;" "&amp;H787&amp;" "&amp;I787&amp;" "&amp;J787&amp;" "&amp;K787&amp;" "&amp;L787))),OR($C$5="Semua",$C$5="",G787=$C$5),OR($C$6="Semua",$C$6="",H787=$C$6,H787="Pengeluaran "&amp;$C$6,AND($C$6="Uang Kos Mama",H787="Pengeluaran Uang Kos")),OR($C$7="Semua",$C$7="",I787=$C$7),OR($C$8="Semua",$C$8="",C787=$C$8,E787=$C$8),OR($C$9="Semua",$C$9="",D787=$C$9),OR($C$10="",B787&gt;=$C$10),OR($C$11="",B787&lt;=$C$11),OR($C$12&lt;&gt;"Ya",K787&lt;&gt;""),OR($C$13="Semua",$C$13="",L787=$C$13)),"✓","")</f>
        <v/>
      </c>
      <c r="N787" s="93">
        <f>N(N786)+IF(M787="✓",1,0)</f>
        <v/>
      </c>
      <c r="O787" s="93">
        <f>N(O786)+IF(AND(B787&lt;&gt;"",B787&gt;='Uang Riba'!$H$30,B787&lt;='Uang Riba'!$I$30,OR(H787="Dana riba",H787="Pinjam uang riba",I787="Pinjam dari uang riba",I787="Ganti uang riba",I787="Kelebihan ganti dikembalikan",AND(C787="Kantong Uang Riba",G787="Pengeluaran"))),1,0)</f>
        <v/>
      </c>
      <c r="X787" s="93">
        <f>IF(AND(B787&lt;&gt;"",B787&gt;='Buku Akun'!$H$4,B787&lt;='Buku Akun'!$H$5,OR(C787='Buku Akun'!$C$4,AND(D787="Pindah",E787='Buku Akun'!$C$4))),B787+IF(AND(I787="Selisih bunga",DAY(B787)=1),0,0.01)+ROW()/10000000,"")</f>
        <v/>
      </c>
    </row>
    <row r="788" outlineLevel="1" ht="15" customHeight="1" s="94">
      <c r="A788" s="123">
        <f>IF(B788="","",ROW()-15)</f>
        <v/>
      </c>
      <c r="B788" s="124" t="n"/>
      <c r="C788" s="123" t="n"/>
      <c r="D788" s="123" t="n"/>
      <c r="E788" s="123" t="n"/>
      <c r="F788" s="125" t="n"/>
      <c r="G788" s="123" t="n"/>
      <c r="H788" s="123" t="n"/>
      <c r="I788" s="123" t="n"/>
      <c r="J788" s="123" t="n"/>
      <c r="K788" s="123" t="n"/>
      <c r="L788" s="123" t="n"/>
      <c r="M788" s="123">
        <f>IF(AND(B788&lt;&gt;"",OR($C$4="",ISNUMBER(SEARCH($C$4,C788&amp;" "&amp;E788&amp;" "&amp;G788&amp;" "&amp;H788&amp;" "&amp;I788&amp;" "&amp;J788&amp;" "&amp;K788&amp;" "&amp;L788))),OR($C$5="Semua",$C$5="",G788=$C$5),OR($C$6="Semua",$C$6="",H788=$C$6,H788="Pengeluaran "&amp;$C$6,AND($C$6="Uang Kos Mama",H788="Pengeluaran Uang Kos")),OR($C$7="Semua",$C$7="",I788=$C$7),OR($C$8="Semua",$C$8="",C788=$C$8,E788=$C$8),OR($C$9="Semua",$C$9="",D788=$C$9),OR($C$10="",B788&gt;=$C$10),OR($C$11="",B788&lt;=$C$11),OR($C$12&lt;&gt;"Ya",K788&lt;&gt;""),OR($C$13="Semua",$C$13="",L788=$C$13)),"✓","")</f>
        <v/>
      </c>
      <c r="N788" s="93">
        <f>N(N787)+IF(M788="✓",1,0)</f>
        <v/>
      </c>
      <c r="O788" s="93">
        <f>N(O787)+IF(AND(B788&lt;&gt;"",B788&gt;='Uang Riba'!$H$30,B788&lt;='Uang Riba'!$I$30,OR(H788="Dana riba",H788="Pinjam uang riba",I788="Pinjam dari uang riba",I788="Ganti uang riba",I788="Kelebihan ganti dikembalikan",AND(C788="Kantong Uang Riba",G788="Pengeluaran"))),1,0)</f>
        <v/>
      </c>
      <c r="X788" s="93">
        <f>IF(AND(B788&lt;&gt;"",B788&gt;='Buku Akun'!$H$4,B788&lt;='Buku Akun'!$H$5,OR(C788='Buku Akun'!$C$4,AND(D788="Pindah",E788='Buku Akun'!$C$4))),B788+IF(AND(I788="Selisih bunga",DAY(B788)=1),0,0.01)+ROW()/10000000,"")</f>
        <v/>
      </c>
    </row>
    <row r="789" outlineLevel="1" ht="15" customHeight="1" s="94">
      <c r="A789" s="123">
        <f>IF(B789="","",ROW()-15)</f>
        <v/>
      </c>
      <c r="B789" s="124" t="n"/>
      <c r="C789" s="123" t="n"/>
      <c r="D789" s="123" t="n"/>
      <c r="E789" s="123" t="n"/>
      <c r="F789" s="125" t="n"/>
      <c r="G789" s="123" t="n"/>
      <c r="H789" s="123" t="n"/>
      <c r="I789" s="123" t="n"/>
      <c r="J789" s="123" t="n"/>
      <c r="K789" s="123" t="n"/>
      <c r="L789" s="123" t="n"/>
      <c r="M789" s="123">
        <f>IF(AND(B789&lt;&gt;"",OR($C$4="",ISNUMBER(SEARCH($C$4,C789&amp;" "&amp;E789&amp;" "&amp;G789&amp;" "&amp;H789&amp;" "&amp;I789&amp;" "&amp;J789&amp;" "&amp;K789&amp;" "&amp;L789))),OR($C$5="Semua",$C$5="",G789=$C$5),OR($C$6="Semua",$C$6="",H789=$C$6,H789="Pengeluaran "&amp;$C$6,AND($C$6="Uang Kos Mama",H789="Pengeluaran Uang Kos")),OR($C$7="Semua",$C$7="",I789=$C$7),OR($C$8="Semua",$C$8="",C789=$C$8,E789=$C$8),OR($C$9="Semua",$C$9="",D789=$C$9),OR($C$10="",B789&gt;=$C$10),OR($C$11="",B789&lt;=$C$11),OR($C$12&lt;&gt;"Ya",K789&lt;&gt;""),OR($C$13="Semua",$C$13="",L789=$C$13)),"✓","")</f>
        <v/>
      </c>
      <c r="N789" s="93">
        <f>N(N788)+IF(M789="✓",1,0)</f>
        <v/>
      </c>
      <c r="O789" s="93">
        <f>N(O788)+IF(AND(B789&lt;&gt;"",B789&gt;='Uang Riba'!$H$30,B789&lt;='Uang Riba'!$I$30,OR(H789="Dana riba",H789="Pinjam uang riba",I789="Pinjam dari uang riba",I789="Ganti uang riba",I789="Kelebihan ganti dikembalikan",AND(C789="Kantong Uang Riba",G789="Pengeluaran"))),1,0)</f>
        <v/>
      </c>
      <c r="X789" s="93">
        <f>IF(AND(B789&lt;&gt;"",B789&gt;='Buku Akun'!$H$4,B789&lt;='Buku Akun'!$H$5,OR(C789='Buku Akun'!$C$4,AND(D789="Pindah",E789='Buku Akun'!$C$4))),B789+IF(AND(I789="Selisih bunga",DAY(B789)=1),0,0.01)+ROW()/10000000,"")</f>
        <v/>
      </c>
    </row>
    <row r="790" outlineLevel="1" ht="15" customHeight="1" s="94">
      <c r="A790" s="123">
        <f>IF(B790="","",ROW()-15)</f>
        <v/>
      </c>
      <c r="B790" s="124" t="n"/>
      <c r="C790" s="123" t="n"/>
      <c r="D790" s="123" t="n"/>
      <c r="E790" s="123" t="n"/>
      <c r="F790" s="125" t="n"/>
      <c r="G790" s="123" t="n"/>
      <c r="H790" s="123" t="n"/>
      <c r="I790" s="123" t="n"/>
      <c r="J790" s="123" t="n"/>
      <c r="K790" s="123" t="n"/>
      <c r="L790" s="123" t="n"/>
      <c r="M790" s="123">
        <f>IF(AND(B790&lt;&gt;"",OR($C$4="",ISNUMBER(SEARCH($C$4,C790&amp;" "&amp;E790&amp;" "&amp;G790&amp;" "&amp;H790&amp;" "&amp;I790&amp;" "&amp;J790&amp;" "&amp;K790&amp;" "&amp;L790))),OR($C$5="Semua",$C$5="",G790=$C$5),OR($C$6="Semua",$C$6="",H790=$C$6,H790="Pengeluaran "&amp;$C$6,AND($C$6="Uang Kos Mama",H790="Pengeluaran Uang Kos")),OR($C$7="Semua",$C$7="",I790=$C$7),OR($C$8="Semua",$C$8="",C790=$C$8,E790=$C$8),OR($C$9="Semua",$C$9="",D790=$C$9),OR($C$10="",B790&gt;=$C$10),OR($C$11="",B790&lt;=$C$11),OR($C$12&lt;&gt;"Ya",K790&lt;&gt;""),OR($C$13="Semua",$C$13="",L790=$C$13)),"✓","")</f>
        <v/>
      </c>
      <c r="N790" s="93">
        <f>N(N789)+IF(M790="✓",1,0)</f>
        <v/>
      </c>
      <c r="O790" s="93">
        <f>N(O789)+IF(AND(B790&lt;&gt;"",B790&gt;='Uang Riba'!$H$30,B790&lt;='Uang Riba'!$I$30,OR(H790="Dana riba",H790="Pinjam uang riba",I790="Pinjam dari uang riba",I790="Ganti uang riba",I790="Kelebihan ganti dikembalikan",AND(C790="Kantong Uang Riba",G790="Pengeluaran"))),1,0)</f>
        <v/>
      </c>
      <c r="X790" s="93">
        <f>IF(AND(B790&lt;&gt;"",B790&gt;='Buku Akun'!$H$4,B790&lt;='Buku Akun'!$H$5,OR(C790='Buku Akun'!$C$4,AND(D790="Pindah",E790='Buku Akun'!$C$4))),B790+IF(AND(I790="Selisih bunga",DAY(B790)=1),0,0.01)+ROW()/10000000,"")</f>
        <v/>
      </c>
    </row>
    <row r="791" outlineLevel="1" ht="15" customHeight="1" s="94">
      <c r="A791" s="123">
        <f>IF(B791="","",ROW()-15)</f>
        <v/>
      </c>
      <c r="B791" s="124" t="n"/>
      <c r="C791" s="123" t="n"/>
      <c r="D791" s="123" t="n"/>
      <c r="E791" s="123" t="n"/>
      <c r="F791" s="125" t="n"/>
      <c r="G791" s="123" t="n"/>
      <c r="H791" s="123" t="n"/>
      <c r="I791" s="123" t="n"/>
      <c r="J791" s="123" t="n"/>
      <c r="K791" s="123" t="n"/>
      <c r="L791" s="123" t="n"/>
      <c r="M791" s="123">
        <f>IF(AND(B791&lt;&gt;"",OR($C$4="",ISNUMBER(SEARCH($C$4,C791&amp;" "&amp;E791&amp;" "&amp;G791&amp;" "&amp;H791&amp;" "&amp;I791&amp;" "&amp;J791&amp;" "&amp;K791&amp;" "&amp;L791))),OR($C$5="Semua",$C$5="",G791=$C$5),OR($C$6="Semua",$C$6="",H791=$C$6,H791="Pengeluaran "&amp;$C$6,AND($C$6="Uang Kos Mama",H791="Pengeluaran Uang Kos")),OR($C$7="Semua",$C$7="",I791=$C$7),OR($C$8="Semua",$C$8="",C791=$C$8,E791=$C$8),OR($C$9="Semua",$C$9="",D791=$C$9),OR($C$10="",B791&gt;=$C$10),OR($C$11="",B791&lt;=$C$11),OR($C$12&lt;&gt;"Ya",K791&lt;&gt;""),OR($C$13="Semua",$C$13="",L791=$C$13)),"✓","")</f>
        <v/>
      </c>
      <c r="N791" s="93">
        <f>N(N790)+IF(M791="✓",1,0)</f>
        <v/>
      </c>
      <c r="O791" s="93">
        <f>N(O790)+IF(AND(B791&lt;&gt;"",B791&gt;='Uang Riba'!$H$30,B791&lt;='Uang Riba'!$I$30,OR(H791="Dana riba",H791="Pinjam uang riba",I791="Pinjam dari uang riba",I791="Ganti uang riba",I791="Kelebihan ganti dikembalikan",AND(C791="Kantong Uang Riba",G791="Pengeluaran"))),1,0)</f>
        <v/>
      </c>
      <c r="X791" s="93">
        <f>IF(AND(B791&lt;&gt;"",B791&gt;='Buku Akun'!$H$4,B791&lt;='Buku Akun'!$H$5,OR(C791='Buku Akun'!$C$4,AND(D791="Pindah",E791='Buku Akun'!$C$4))),B791+IF(AND(I791="Selisih bunga",DAY(B791)=1),0,0.01)+ROW()/10000000,"")</f>
        <v/>
      </c>
    </row>
    <row r="792" outlineLevel="1" ht="15" customHeight="1" s="94">
      <c r="A792" s="123">
        <f>IF(B792="","",ROW()-15)</f>
        <v/>
      </c>
      <c r="B792" s="124" t="n"/>
      <c r="C792" s="123" t="n"/>
      <c r="D792" s="123" t="n"/>
      <c r="E792" s="123" t="n"/>
      <c r="F792" s="125" t="n"/>
      <c r="G792" s="123" t="n"/>
      <c r="H792" s="123" t="n"/>
      <c r="I792" s="123" t="n"/>
      <c r="J792" s="123" t="n"/>
      <c r="K792" s="123" t="n"/>
      <c r="L792" s="123" t="n"/>
      <c r="M792" s="123">
        <f>IF(AND(B792&lt;&gt;"",OR($C$4="",ISNUMBER(SEARCH($C$4,C792&amp;" "&amp;E792&amp;" "&amp;G792&amp;" "&amp;H792&amp;" "&amp;I792&amp;" "&amp;J792&amp;" "&amp;K792&amp;" "&amp;L792))),OR($C$5="Semua",$C$5="",G792=$C$5),OR($C$6="Semua",$C$6="",H792=$C$6,H792="Pengeluaran "&amp;$C$6,AND($C$6="Uang Kos Mama",H792="Pengeluaran Uang Kos")),OR($C$7="Semua",$C$7="",I792=$C$7),OR($C$8="Semua",$C$8="",C792=$C$8,E792=$C$8),OR($C$9="Semua",$C$9="",D792=$C$9),OR($C$10="",B792&gt;=$C$10),OR($C$11="",B792&lt;=$C$11),OR($C$12&lt;&gt;"Ya",K792&lt;&gt;""),OR($C$13="Semua",$C$13="",L792=$C$13)),"✓","")</f>
        <v/>
      </c>
      <c r="N792" s="93">
        <f>N(N791)+IF(M792="✓",1,0)</f>
        <v/>
      </c>
      <c r="O792" s="93">
        <f>N(O791)+IF(AND(B792&lt;&gt;"",B792&gt;='Uang Riba'!$H$30,B792&lt;='Uang Riba'!$I$30,OR(H792="Dana riba",H792="Pinjam uang riba",I792="Pinjam dari uang riba",I792="Ganti uang riba",I792="Kelebihan ganti dikembalikan",AND(C792="Kantong Uang Riba",G792="Pengeluaran"))),1,0)</f>
        <v/>
      </c>
      <c r="X792" s="93">
        <f>IF(AND(B792&lt;&gt;"",B792&gt;='Buku Akun'!$H$4,B792&lt;='Buku Akun'!$H$5,OR(C792='Buku Akun'!$C$4,AND(D792="Pindah",E792='Buku Akun'!$C$4))),B792+IF(AND(I792="Selisih bunga",DAY(B792)=1),0,0.01)+ROW()/10000000,"")</f>
        <v/>
      </c>
    </row>
    <row r="793" outlineLevel="1" ht="15" customHeight="1" s="94">
      <c r="A793" s="123">
        <f>IF(B793="","",ROW()-15)</f>
        <v/>
      </c>
      <c r="B793" s="124" t="n"/>
      <c r="C793" s="123" t="n"/>
      <c r="D793" s="123" t="n"/>
      <c r="E793" s="123" t="n"/>
      <c r="F793" s="125" t="n"/>
      <c r="G793" s="123" t="n"/>
      <c r="H793" s="123" t="n"/>
      <c r="I793" s="123" t="n"/>
      <c r="J793" s="123" t="n"/>
      <c r="K793" s="123" t="n"/>
      <c r="L793" s="123" t="n"/>
      <c r="M793" s="123">
        <f>IF(AND(B793&lt;&gt;"",OR($C$4="",ISNUMBER(SEARCH($C$4,C793&amp;" "&amp;E793&amp;" "&amp;G793&amp;" "&amp;H793&amp;" "&amp;I793&amp;" "&amp;J793&amp;" "&amp;K793&amp;" "&amp;L793))),OR($C$5="Semua",$C$5="",G793=$C$5),OR($C$6="Semua",$C$6="",H793=$C$6,H793="Pengeluaran "&amp;$C$6,AND($C$6="Uang Kos Mama",H793="Pengeluaran Uang Kos")),OR($C$7="Semua",$C$7="",I793=$C$7),OR($C$8="Semua",$C$8="",C793=$C$8,E793=$C$8),OR($C$9="Semua",$C$9="",D793=$C$9),OR($C$10="",B793&gt;=$C$10),OR($C$11="",B793&lt;=$C$11),OR($C$12&lt;&gt;"Ya",K793&lt;&gt;""),OR($C$13="Semua",$C$13="",L793=$C$13)),"✓","")</f>
        <v/>
      </c>
      <c r="N793" s="93">
        <f>N(N792)+IF(M793="✓",1,0)</f>
        <v/>
      </c>
      <c r="O793" s="93">
        <f>N(O792)+IF(AND(B793&lt;&gt;"",B793&gt;='Uang Riba'!$H$30,B793&lt;='Uang Riba'!$I$30,OR(H793="Dana riba",H793="Pinjam uang riba",I793="Pinjam dari uang riba",I793="Ganti uang riba",I793="Kelebihan ganti dikembalikan",AND(C793="Kantong Uang Riba",G793="Pengeluaran"))),1,0)</f>
        <v/>
      </c>
      <c r="X793" s="93">
        <f>IF(AND(B793&lt;&gt;"",B793&gt;='Buku Akun'!$H$4,B793&lt;='Buku Akun'!$H$5,OR(C793='Buku Akun'!$C$4,AND(D793="Pindah",E793='Buku Akun'!$C$4))),B793+IF(AND(I793="Selisih bunga",DAY(B793)=1),0,0.01)+ROW()/10000000,"")</f>
        <v/>
      </c>
    </row>
    <row r="794" outlineLevel="1" ht="15" customHeight="1" s="94">
      <c r="A794" s="123">
        <f>IF(B794="","",ROW()-15)</f>
        <v/>
      </c>
      <c r="B794" s="124" t="n"/>
      <c r="C794" s="123" t="n"/>
      <c r="D794" s="123" t="n"/>
      <c r="E794" s="123" t="n"/>
      <c r="F794" s="125" t="n"/>
      <c r="G794" s="123" t="n"/>
      <c r="H794" s="123" t="n"/>
      <c r="I794" s="123" t="n"/>
      <c r="J794" s="123" t="n"/>
      <c r="K794" s="123" t="n"/>
      <c r="L794" s="123" t="n"/>
      <c r="M794" s="123">
        <f>IF(AND(B794&lt;&gt;"",OR($C$4="",ISNUMBER(SEARCH($C$4,C794&amp;" "&amp;E794&amp;" "&amp;G794&amp;" "&amp;H794&amp;" "&amp;I794&amp;" "&amp;J794&amp;" "&amp;K794&amp;" "&amp;L794))),OR($C$5="Semua",$C$5="",G794=$C$5),OR($C$6="Semua",$C$6="",H794=$C$6,H794="Pengeluaran "&amp;$C$6,AND($C$6="Uang Kos Mama",H794="Pengeluaran Uang Kos")),OR($C$7="Semua",$C$7="",I794=$C$7),OR($C$8="Semua",$C$8="",C794=$C$8,E794=$C$8),OR($C$9="Semua",$C$9="",D794=$C$9),OR($C$10="",B794&gt;=$C$10),OR($C$11="",B794&lt;=$C$11),OR($C$12&lt;&gt;"Ya",K794&lt;&gt;""),OR($C$13="Semua",$C$13="",L794=$C$13)),"✓","")</f>
        <v/>
      </c>
      <c r="N794" s="93">
        <f>N(N793)+IF(M794="✓",1,0)</f>
        <v/>
      </c>
      <c r="O794" s="93">
        <f>N(O793)+IF(AND(B794&lt;&gt;"",B794&gt;='Uang Riba'!$H$30,B794&lt;='Uang Riba'!$I$30,OR(H794="Dana riba",H794="Pinjam uang riba",I794="Pinjam dari uang riba",I794="Ganti uang riba",I794="Kelebihan ganti dikembalikan",AND(C794="Kantong Uang Riba",G794="Pengeluaran"))),1,0)</f>
        <v/>
      </c>
      <c r="X794" s="93">
        <f>IF(AND(B794&lt;&gt;"",B794&gt;='Buku Akun'!$H$4,B794&lt;='Buku Akun'!$H$5,OR(C794='Buku Akun'!$C$4,AND(D794="Pindah",E794='Buku Akun'!$C$4))),B794+IF(AND(I794="Selisih bunga",DAY(B794)=1),0,0.01)+ROW()/10000000,"")</f>
        <v/>
      </c>
    </row>
    <row r="795" outlineLevel="1" ht="15" customHeight="1" s="94">
      <c r="A795" s="123">
        <f>IF(B795="","",ROW()-15)</f>
        <v/>
      </c>
      <c r="B795" s="124" t="n"/>
      <c r="C795" s="123" t="n"/>
      <c r="D795" s="123" t="n"/>
      <c r="E795" s="123" t="n"/>
      <c r="F795" s="125" t="n"/>
      <c r="G795" s="123" t="n"/>
      <c r="H795" s="123" t="n"/>
      <c r="I795" s="123" t="n"/>
      <c r="J795" s="123" t="n"/>
      <c r="K795" s="123" t="n"/>
      <c r="L795" s="123" t="n"/>
      <c r="M795" s="123">
        <f>IF(AND(B795&lt;&gt;"",OR($C$4="",ISNUMBER(SEARCH($C$4,C795&amp;" "&amp;E795&amp;" "&amp;G795&amp;" "&amp;H795&amp;" "&amp;I795&amp;" "&amp;J795&amp;" "&amp;K795&amp;" "&amp;L795))),OR($C$5="Semua",$C$5="",G795=$C$5),OR($C$6="Semua",$C$6="",H795=$C$6,H795="Pengeluaran "&amp;$C$6,AND($C$6="Uang Kos Mama",H795="Pengeluaran Uang Kos")),OR($C$7="Semua",$C$7="",I795=$C$7),OR($C$8="Semua",$C$8="",C795=$C$8,E795=$C$8),OR($C$9="Semua",$C$9="",D795=$C$9),OR($C$10="",B795&gt;=$C$10),OR($C$11="",B795&lt;=$C$11),OR($C$12&lt;&gt;"Ya",K795&lt;&gt;""),OR($C$13="Semua",$C$13="",L795=$C$13)),"✓","")</f>
        <v/>
      </c>
      <c r="N795" s="93">
        <f>N(N794)+IF(M795="✓",1,0)</f>
        <v/>
      </c>
      <c r="O795" s="93">
        <f>N(O794)+IF(AND(B795&lt;&gt;"",B795&gt;='Uang Riba'!$H$30,B795&lt;='Uang Riba'!$I$30,OR(H795="Dana riba",H795="Pinjam uang riba",I795="Pinjam dari uang riba",I795="Ganti uang riba",I795="Kelebihan ganti dikembalikan",AND(C795="Kantong Uang Riba",G795="Pengeluaran"))),1,0)</f>
        <v/>
      </c>
      <c r="X795" s="93">
        <f>IF(AND(B795&lt;&gt;"",B795&gt;='Buku Akun'!$H$4,B795&lt;='Buku Akun'!$H$5,OR(C795='Buku Akun'!$C$4,AND(D795="Pindah",E795='Buku Akun'!$C$4))),B795+IF(AND(I795="Selisih bunga",DAY(B795)=1),0,0.01)+ROW()/10000000,"")</f>
        <v/>
      </c>
    </row>
    <row r="796" outlineLevel="1" ht="15" customHeight="1" s="94">
      <c r="A796" s="123">
        <f>IF(B796="","",ROW()-15)</f>
        <v/>
      </c>
      <c r="B796" s="124" t="n"/>
      <c r="C796" s="123" t="n"/>
      <c r="D796" s="123" t="n"/>
      <c r="E796" s="123" t="n"/>
      <c r="F796" s="125" t="n"/>
      <c r="G796" s="123" t="n"/>
      <c r="H796" s="123" t="n"/>
      <c r="I796" s="123" t="n"/>
      <c r="J796" s="123" t="n"/>
      <c r="K796" s="123" t="n"/>
      <c r="L796" s="123" t="n"/>
      <c r="M796" s="123">
        <f>IF(AND(B796&lt;&gt;"",OR($C$4="",ISNUMBER(SEARCH($C$4,C796&amp;" "&amp;E796&amp;" "&amp;G796&amp;" "&amp;H796&amp;" "&amp;I796&amp;" "&amp;J796&amp;" "&amp;K796&amp;" "&amp;L796))),OR($C$5="Semua",$C$5="",G796=$C$5),OR($C$6="Semua",$C$6="",H796=$C$6,H796="Pengeluaran "&amp;$C$6,AND($C$6="Uang Kos Mama",H796="Pengeluaran Uang Kos")),OR($C$7="Semua",$C$7="",I796=$C$7),OR($C$8="Semua",$C$8="",C796=$C$8,E796=$C$8),OR($C$9="Semua",$C$9="",D796=$C$9),OR($C$10="",B796&gt;=$C$10),OR($C$11="",B796&lt;=$C$11),OR($C$12&lt;&gt;"Ya",K796&lt;&gt;""),OR($C$13="Semua",$C$13="",L796=$C$13)),"✓","")</f>
        <v/>
      </c>
      <c r="N796" s="93">
        <f>N(N795)+IF(M796="✓",1,0)</f>
        <v/>
      </c>
      <c r="O796" s="93">
        <f>N(O795)+IF(AND(B796&lt;&gt;"",B796&gt;='Uang Riba'!$H$30,B796&lt;='Uang Riba'!$I$30,OR(H796="Dana riba",H796="Pinjam uang riba",I796="Pinjam dari uang riba",I796="Ganti uang riba",I796="Kelebihan ganti dikembalikan",AND(C796="Kantong Uang Riba",G796="Pengeluaran"))),1,0)</f>
        <v/>
      </c>
      <c r="X796" s="93">
        <f>IF(AND(B796&lt;&gt;"",B796&gt;='Buku Akun'!$H$4,B796&lt;='Buku Akun'!$H$5,OR(C796='Buku Akun'!$C$4,AND(D796="Pindah",E796='Buku Akun'!$C$4))),B796+IF(AND(I796="Selisih bunga",DAY(B796)=1),0,0.01)+ROW()/10000000,"")</f>
        <v/>
      </c>
    </row>
    <row r="797" outlineLevel="1" ht="15" customHeight="1" s="94">
      <c r="A797" s="123">
        <f>IF(B797="","",ROW()-15)</f>
        <v/>
      </c>
      <c r="B797" s="124" t="n"/>
      <c r="C797" s="123" t="n"/>
      <c r="D797" s="123" t="n"/>
      <c r="E797" s="123" t="n"/>
      <c r="F797" s="125" t="n"/>
      <c r="G797" s="123" t="n"/>
      <c r="H797" s="123" t="n"/>
      <c r="I797" s="123" t="n"/>
      <c r="J797" s="123" t="n"/>
      <c r="K797" s="123" t="n"/>
      <c r="L797" s="123" t="n"/>
      <c r="M797" s="123">
        <f>IF(AND(B797&lt;&gt;"",OR($C$4="",ISNUMBER(SEARCH($C$4,C797&amp;" "&amp;E797&amp;" "&amp;G797&amp;" "&amp;H797&amp;" "&amp;I797&amp;" "&amp;J797&amp;" "&amp;K797&amp;" "&amp;L797))),OR($C$5="Semua",$C$5="",G797=$C$5),OR($C$6="Semua",$C$6="",H797=$C$6,H797="Pengeluaran "&amp;$C$6,AND($C$6="Uang Kos Mama",H797="Pengeluaran Uang Kos")),OR($C$7="Semua",$C$7="",I797=$C$7),OR($C$8="Semua",$C$8="",C797=$C$8,E797=$C$8),OR($C$9="Semua",$C$9="",D797=$C$9),OR($C$10="",B797&gt;=$C$10),OR($C$11="",B797&lt;=$C$11),OR($C$12&lt;&gt;"Ya",K797&lt;&gt;""),OR($C$13="Semua",$C$13="",L797=$C$13)),"✓","")</f>
        <v/>
      </c>
      <c r="N797" s="93">
        <f>N(N796)+IF(M797="✓",1,0)</f>
        <v/>
      </c>
      <c r="O797" s="93">
        <f>N(O796)+IF(AND(B797&lt;&gt;"",B797&gt;='Uang Riba'!$H$30,B797&lt;='Uang Riba'!$I$30,OR(H797="Dana riba",H797="Pinjam uang riba",I797="Pinjam dari uang riba",I797="Ganti uang riba",I797="Kelebihan ganti dikembalikan",AND(C797="Kantong Uang Riba",G797="Pengeluaran"))),1,0)</f>
        <v/>
      </c>
      <c r="X797" s="93">
        <f>IF(AND(B797&lt;&gt;"",B797&gt;='Buku Akun'!$H$4,B797&lt;='Buku Akun'!$H$5,OR(C797='Buku Akun'!$C$4,AND(D797="Pindah",E797='Buku Akun'!$C$4))),B797+IF(AND(I797="Selisih bunga",DAY(B797)=1),0,0.01)+ROW()/10000000,"")</f>
        <v/>
      </c>
    </row>
    <row r="798" outlineLevel="1" ht="15" customHeight="1" s="94">
      <c r="A798" s="123">
        <f>IF(B798="","",ROW()-15)</f>
        <v/>
      </c>
      <c r="B798" s="124" t="n"/>
      <c r="C798" s="123" t="n"/>
      <c r="D798" s="123" t="n"/>
      <c r="E798" s="123" t="n"/>
      <c r="F798" s="125" t="n"/>
      <c r="G798" s="123" t="n"/>
      <c r="H798" s="123" t="n"/>
      <c r="I798" s="123" t="n"/>
      <c r="J798" s="123" t="n"/>
      <c r="K798" s="123" t="n"/>
      <c r="L798" s="123" t="n"/>
      <c r="M798" s="123">
        <f>IF(AND(B798&lt;&gt;"",OR($C$4="",ISNUMBER(SEARCH($C$4,C798&amp;" "&amp;E798&amp;" "&amp;G798&amp;" "&amp;H798&amp;" "&amp;I798&amp;" "&amp;J798&amp;" "&amp;K798&amp;" "&amp;L798))),OR($C$5="Semua",$C$5="",G798=$C$5),OR($C$6="Semua",$C$6="",H798=$C$6,H798="Pengeluaran "&amp;$C$6,AND($C$6="Uang Kos Mama",H798="Pengeluaran Uang Kos")),OR($C$7="Semua",$C$7="",I798=$C$7),OR($C$8="Semua",$C$8="",C798=$C$8,E798=$C$8),OR($C$9="Semua",$C$9="",D798=$C$9),OR($C$10="",B798&gt;=$C$10),OR($C$11="",B798&lt;=$C$11),OR($C$12&lt;&gt;"Ya",K798&lt;&gt;""),OR($C$13="Semua",$C$13="",L798=$C$13)),"✓","")</f>
        <v/>
      </c>
      <c r="N798" s="93">
        <f>N(N797)+IF(M798="✓",1,0)</f>
        <v/>
      </c>
      <c r="O798" s="93">
        <f>N(O797)+IF(AND(B798&lt;&gt;"",B798&gt;='Uang Riba'!$H$30,B798&lt;='Uang Riba'!$I$30,OR(H798="Dana riba",H798="Pinjam uang riba",I798="Pinjam dari uang riba",I798="Ganti uang riba",I798="Kelebihan ganti dikembalikan",AND(C798="Kantong Uang Riba",G798="Pengeluaran"))),1,0)</f>
        <v/>
      </c>
      <c r="X798" s="93">
        <f>IF(AND(B798&lt;&gt;"",B798&gt;='Buku Akun'!$H$4,B798&lt;='Buku Akun'!$H$5,OR(C798='Buku Akun'!$C$4,AND(D798="Pindah",E798='Buku Akun'!$C$4))),B798+IF(AND(I798="Selisih bunga",DAY(B798)=1),0,0.01)+ROW()/10000000,"")</f>
        <v/>
      </c>
    </row>
    <row r="799" outlineLevel="1" ht="15" customHeight="1" s="94">
      <c r="A799" s="123">
        <f>IF(B799="","",ROW()-15)</f>
        <v/>
      </c>
      <c r="B799" s="124" t="n"/>
      <c r="C799" s="123" t="n"/>
      <c r="D799" s="123" t="n"/>
      <c r="E799" s="123" t="n"/>
      <c r="F799" s="125" t="n"/>
      <c r="G799" s="123" t="n"/>
      <c r="H799" s="123" t="n"/>
      <c r="I799" s="123" t="n"/>
      <c r="J799" s="123" t="n"/>
      <c r="K799" s="123" t="n"/>
      <c r="L799" s="123" t="n"/>
      <c r="M799" s="123">
        <f>IF(AND(B799&lt;&gt;"",OR($C$4="",ISNUMBER(SEARCH($C$4,C799&amp;" "&amp;E799&amp;" "&amp;G799&amp;" "&amp;H799&amp;" "&amp;I799&amp;" "&amp;J799&amp;" "&amp;K799&amp;" "&amp;L799))),OR($C$5="Semua",$C$5="",G799=$C$5),OR($C$6="Semua",$C$6="",H799=$C$6,H799="Pengeluaran "&amp;$C$6,AND($C$6="Uang Kos Mama",H799="Pengeluaran Uang Kos")),OR($C$7="Semua",$C$7="",I799=$C$7),OR($C$8="Semua",$C$8="",C799=$C$8,E799=$C$8),OR($C$9="Semua",$C$9="",D799=$C$9),OR($C$10="",B799&gt;=$C$10),OR($C$11="",B799&lt;=$C$11),OR($C$12&lt;&gt;"Ya",K799&lt;&gt;""),OR($C$13="Semua",$C$13="",L799=$C$13)),"✓","")</f>
        <v/>
      </c>
      <c r="N799" s="93">
        <f>N(N798)+IF(M799="✓",1,0)</f>
        <v/>
      </c>
      <c r="O799" s="93">
        <f>N(O798)+IF(AND(B799&lt;&gt;"",B799&gt;='Uang Riba'!$H$30,B799&lt;='Uang Riba'!$I$30,OR(H799="Dana riba",H799="Pinjam uang riba",I799="Pinjam dari uang riba",I799="Ganti uang riba",I799="Kelebihan ganti dikembalikan",AND(C799="Kantong Uang Riba",G799="Pengeluaran"))),1,0)</f>
        <v/>
      </c>
      <c r="X799" s="93">
        <f>IF(AND(B799&lt;&gt;"",B799&gt;='Buku Akun'!$H$4,B799&lt;='Buku Akun'!$H$5,OR(C799='Buku Akun'!$C$4,AND(D799="Pindah",E799='Buku Akun'!$C$4))),B799+IF(AND(I799="Selisih bunga",DAY(B799)=1),0,0.01)+ROW()/10000000,"")</f>
        <v/>
      </c>
    </row>
    <row r="800" outlineLevel="1" ht="15" customHeight="1" s="94">
      <c r="A800" s="123">
        <f>IF(B800="","",ROW()-15)</f>
        <v/>
      </c>
      <c r="B800" s="124" t="n"/>
      <c r="C800" s="123" t="n"/>
      <c r="D800" s="123" t="n"/>
      <c r="E800" s="123" t="n"/>
      <c r="F800" s="125" t="n"/>
      <c r="G800" s="123" t="n"/>
      <c r="H800" s="123" t="n"/>
      <c r="I800" s="123" t="n"/>
      <c r="J800" s="123" t="n"/>
      <c r="K800" s="123" t="n"/>
      <c r="L800" s="123" t="n"/>
      <c r="M800" s="123">
        <f>IF(AND(B800&lt;&gt;"",OR($C$4="",ISNUMBER(SEARCH($C$4,C800&amp;" "&amp;E800&amp;" "&amp;G800&amp;" "&amp;H800&amp;" "&amp;I800&amp;" "&amp;J800&amp;" "&amp;K800&amp;" "&amp;L800))),OR($C$5="Semua",$C$5="",G800=$C$5),OR($C$6="Semua",$C$6="",H800=$C$6,H800="Pengeluaran "&amp;$C$6,AND($C$6="Uang Kos Mama",H800="Pengeluaran Uang Kos")),OR($C$7="Semua",$C$7="",I800=$C$7),OR($C$8="Semua",$C$8="",C800=$C$8,E800=$C$8),OR($C$9="Semua",$C$9="",D800=$C$9),OR($C$10="",B800&gt;=$C$10),OR($C$11="",B800&lt;=$C$11),OR($C$12&lt;&gt;"Ya",K800&lt;&gt;""),OR($C$13="Semua",$C$13="",L800=$C$13)),"✓","")</f>
        <v/>
      </c>
      <c r="N800" s="93">
        <f>N(N799)+IF(M800="✓",1,0)</f>
        <v/>
      </c>
      <c r="O800" s="93">
        <f>N(O799)+IF(AND(B800&lt;&gt;"",B800&gt;='Uang Riba'!$H$30,B800&lt;='Uang Riba'!$I$30,OR(H800="Dana riba",H800="Pinjam uang riba",I800="Pinjam dari uang riba",I800="Ganti uang riba",I800="Kelebihan ganti dikembalikan",AND(C800="Kantong Uang Riba",G800="Pengeluaran"))),1,0)</f>
        <v/>
      </c>
      <c r="X800" s="93">
        <f>IF(AND(B800&lt;&gt;"",B800&gt;='Buku Akun'!$H$4,B800&lt;='Buku Akun'!$H$5,OR(C800='Buku Akun'!$C$4,AND(D800="Pindah",E800='Buku Akun'!$C$4))),B800+IF(AND(I800="Selisih bunga",DAY(B800)=1),0,0.01)+ROW()/10000000,"")</f>
        <v/>
      </c>
    </row>
    <row r="801" outlineLevel="1" ht="15" customHeight="1" s="94">
      <c r="A801" s="123">
        <f>IF(B801="","",ROW()-15)</f>
        <v/>
      </c>
      <c r="B801" s="124" t="n"/>
      <c r="C801" s="123" t="n"/>
      <c r="D801" s="123" t="n"/>
      <c r="E801" s="123" t="n"/>
      <c r="F801" s="125" t="n"/>
      <c r="G801" s="123" t="n"/>
      <c r="H801" s="123" t="n"/>
      <c r="I801" s="123" t="n"/>
      <c r="J801" s="123" t="n"/>
      <c r="K801" s="123" t="n"/>
      <c r="L801" s="123" t="n"/>
      <c r="M801" s="123">
        <f>IF(AND(B801&lt;&gt;"",OR($C$4="",ISNUMBER(SEARCH($C$4,C801&amp;" "&amp;E801&amp;" "&amp;G801&amp;" "&amp;H801&amp;" "&amp;I801&amp;" "&amp;J801&amp;" "&amp;K801&amp;" "&amp;L801))),OR($C$5="Semua",$C$5="",G801=$C$5),OR($C$6="Semua",$C$6="",H801=$C$6,H801="Pengeluaran "&amp;$C$6,AND($C$6="Uang Kos Mama",H801="Pengeluaran Uang Kos")),OR($C$7="Semua",$C$7="",I801=$C$7),OR($C$8="Semua",$C$8="",C801=$C$8,E801=$C$8),OR($C$9="Semua",$C$9="",D801=$C$9),OR($C$10="",B801&gt;=$C$10),OR($C$11="",B801&lt;=$C$11),OR($C$12&lt;&gt;"Ya",K801&lt;&gt;""),OR($C$13="Semua",$C$13="",L801=$C$13)),"✓","")</f>
        <v/>
      </c>
      <c r="N801" s="93">
        <f>N(N800)+IF(M801="✓",1,0)</f>
        <v/>
      </c>
      <c r="O801" s="93">
        <f>N(O800)+IF(AND(B801&lt;&gt;"",B801&gt;='Uang Riba'!$H$30,B801&lt;='Uang Riba'!$I$30,OR(H801="Dana riba",H801="Pinjam uang riba",I801="Pinjam dari uang riba",I801="Ganti uang riba",I801="Kelebihan ganti dikembalikan",AND(C801="Kantong Uang Riba",G801="Pengeluaran"))),1,0)</f>
        <v/>
      </c>
      <c r="X801" s="93">
        <f>IF(AND(B801&lt;&gt;"",B801&gt;='Buku Akun'!$H$4,B801&lt;='Buku Akun'!$H$5,OR(C801='Buku Akun'!$C$4,AND(D801="Pindah",E801='Buku Akun'!$C$4))),B801+IF(AND(I801="Selisih bunga",DAY(B801)=1),0,0.01)+ROW()/10000000,"")</f>
        <v/>
      </c>
    </row>
    <row r="802" outlineLevel="1" ht="15" customHeight="1" s="94">
      <c r="A802" s="123">
        <f>IF(B802="","",ROW()-15)</f>
        <v/>
      </c>
      <c r="B802" s="124" t="n"/>
      <c r="C802" s="123" t="n"/>
      <c r="D802" s="123" t="n"/>
      <c r="E802" s="123" t="n"/>
      <c r="F802" s="125" t="n"/>
      <c r="G802" s="123" t="n"/>
      <c r="H802" s="123" t="n"/>
      <c r="I802" s="123" t="n"/>
      <c r="J802" s="123" t="n"/>
      <c r="K802" s="123" t="n"/>
      <c r="L802" s="123" t="n"/>
      <c r="M802" s="123">
        <f>IF(AND(B802&lt;&gt;"",OR($C$4="",ISNUMBER(SEARCH($C$4,C802&amp;" "&amp;E802&amp;" "&amp;G802&amp;" "&amp;H802&amp;" "&amp;I802&amp;" "&amp;J802&amp;" "&amp;K802&amp;" "&amp;L802))),OR($C$5="Semua",$C$5="",G802=$C$5),OR($C$6="Semua",$C$6="",H802=$C$6,H802="Pengeluaran "&amp;$C$6,AND($C$6="Uang Kos Mama",H802="Pengeluaran Uang Kos")),OR($C$7="Semua",$C$7="",I802=$C$7),OR($C$8="Semua",$C$8="",C802=$C$8,E802=$C$8),OR($C$9="Semua",$C$9="",D802=$C$9),OR($C$10="",B802&gt;=$C$10),OR($C$11="",B802&lt;=$C$11),OR($C$12&lt;&gt;"Ya",K802&lt;&gt;""),OR($C$13="Semua",$C$13="",L802=$C$13)),"✓","")</f>
        <v/>
      </c>
      <c r="N802" s="93">
        <f>N(N801)+IF(M802="✓",1,0)</f>
        <v/>
      </c>
      <c r="O802" s="93">
        <f>N(O801)+IF(AND(B802&lt;&gt;"",B802&gt;='Uang Riba'!$H$30,B802&lt;='Uang Riba'!$I$30,OR(H802="Dana riba",H802="Pinjam uang riba",I802="Pinjam dari uang riba",I802="Ganti uang riba",I802="Kelebihan ganti dikembalikan",AND(C802="Kantong Uang Riba",G802="Pengeluaran"))),1,0)</f>
        <v/>
      </c>
      <c r="X802" s="93">
        <f>IF(AND(B802&lt;&gt;"",B802&gt;='Buku Akun'!$H$4,B802&lt;='Buku Akun'!$H$5,OR(C802='Buku Akun'!$C$4,AND(D802="Pindah",E802='Buku Akun'!$C$4))),B802+IF(AND(I802="Selisih bunga",DAY(B802)=1),0,0.01)+ROW()/10000000,"")</f>
        <v/>
      </c>
    </row>
    <row r="803" outlineLevel="1" ht="15" customHeight="1" s="94">
      <c r="A803" s="123">
        <f>IF(B803="","",ROW()-15)</f>
        <v/>
      </c>
      <c r="B803" s="124" t="n"/>
      <c r="C803" s="123" t="n"/>
      <c r="D803" s="123" t="n"/>
      <c r="E803" s="123" t="n"/>
      <c r="F803" s="125" t="n"/>
      <c r="G803" s="123" t="n"/>
      <c r="H803" s="123" t="n"/>
      <c r="I803" s="123" t="n"/>
      <c r="J803" s="123" t="n"/>
      <c r="K803" s="123" t="n"/>
      <c r="L803" s="123" t="n"/>
      <c r="M803" s="123">
        <f>IF(AND(B803&lt;&gt;"",OR($C$4="",ISNUMBER(SEARCH($C$4,C803&amp;" "&amp;E803&amp;" "&amp;G803&amp;" "&amp;H803&amp;" "&amp;I803&amp;" "&amp;J803&amp;" "&amp;K803&amp;" "&amp;L803))),OR($C$5="Semua",$C$5="",G803=$C$5),OR($C$6="Semua",$C$6="",H803=$C$6,H803="Pengeluaran "&amp;$C$6,AND($C$6="Uang Kos Mama",H803="Pengeluaran Uang Kos")),OR($C$7="Semua",$C$7="",I803=$C$7),OR($C$8="Semua",$C$8="",C803=$C$8,E803=$C$8),OR($C$9="Semua",$C$9="",D803=$C$9),OR($C$10="",B803&gt;=$C$10),OR($C$11="",B803&lt;=$C$11),OR($C$12&lt;&gt;"Ya",K803&lt;&gt;""),OR($C$13="Semua",$C$13="",L803=$C$13)),"✓","")</f>
        <v/>
      </c>
      <c r="N803" s="93">
        <f>N(N802)+IF(M803="✓",1,0)</f>
        <v/>
      </c>
      <c r="O803" s="93">
        <f>N(O802)+IF(AND(B803&lt;&gt;"",B803&gt;='Uang Riba'!$H$30,B803&lt;='Uang Riba'!$I$30,OR(H803="Dana riba",H803="Pinjam uang riba",I803="Pinjam dari uang riba",I803="Ganti uang riba",I803="Kelebihan ganti dikembalikan",AND(C803="Kantong Uang Riba",G803="Pengeluaran"))),1,0)</f>
        <v/>
      </c>
      <c r="X803" s="93">
        <f>IF(AND(B803&lt;&gt;"",B803&gt;='Buku Akun'!$H$4,B803&lt;='Buku Akun'!$H$5,OR(C803='Buku Akun'!$C$4,AND(D803="Pindah",E803='Buku Akun'!$C$4))),B803+IF(AND(I803="Selisih bunga",DAY(B803)=1),0,0.01)+ROW()/10000000,"")</f>
        <v/>
      </c>
    </row>
    <row r="804" outlineLevel="1" ht="15" customHeight="1" s="94">
      <c r="A804" s="123">
        <f>IF(B804="","",ROW()-15)</f>
        <v/>
      </c>
      <c r="B804" s="124" t="n"/>
      <c r="C804" s="123" t="n"/>
      <c r="D804" s="123" t="n"/>
      <c r="E804" s="123" t="n"/>
      <c r="F804" s="125" t="n"/>
      <c r="G804" s="123" t="n"/>
      <c r="H804" s="123" t="n"/>
      <c r="I804" s="123" t="n"/>
      <c r="J804" s="123" t="n"/>
      <c r="K804" s="123" t="n"/>
      <c r="L804" s="123" t="n"/>
      <c r="M804" s="123">
        <f>IF(AND(B804&lt;&gt;"",OR($C$4="",ISNUMBER(SEARCH($C$4,C804&amp;" "&amp;E804&amp;" "&amp;G804&amp;" "&amp;H804&amp;" "&amp;I804&amp;" "&amp;J804&amp;" "&amp;K804&amp;" "&amp;L804))),OR($C$5="Semua",$C$5="",G804=$C$5),OR($C$6="Semua",$C$6="",H804=$C$6,H804="Pengeluaran "&amp;$C$6,AND($C$6="Uang Kos Mama",H804="Pengeluaran Uang Kos")),OR($C$7="Semua",$C$7="",I804=$C$7),OR($C$8="Semua",$C$8="",C804=$C$8,E804=$C$8),OR($C$9="Semua",$C$9="",D804=$C$9),OR($C$10="",B804&gt;=$C$10),OR($C$11="",B804&lt;=$C$11),OR($C$12&lt;&gt;"Ya",K804&lt;&gt;""),OR($C$13="Semua",$C$13="",L804=$C$13)),"✓","")</f>
        <v/>
      </c>
      <c r="N804" s="93">
        <f>N(N803)+IF(M804="✓",1,0)</f>
        <v/>
      </c>
      <c r="O804" s="93">
        <f>N(O803)+IF(AND(B804&lt;&gt;"",B804&gt;='Uang Riba'!$H$30,B804&lt;='Uang Riba'!$I$30,OR(H804="Dana riba",H804="Pinjam uang riba",I804="Pinjam dari uang riba",I804="Ganti uang riba",I804="Kelebihan ganti dikembalikan",AND(C804="Kantong Uang Riba",G804="Pengeluaran"))),1,0)</f>
        <v/>
      </c>
      <c r="X804" s="93">
        <f>IF(AND(B804&lt;&gt;"",B804&gt;='Buku Akun'!$H$4,B804&lt;='Buku Akun'!$H$5,OR(C804='Buku Akun'!$C$4,AND(D804="Pindah",E804='Buku Akun'!$C$4))),B804+IF(AND(I804="Selisih bunga",DAY(B804)=1),0,0.01)+ROW()/10000000,"")</f>
        <v/>
      </c>
    </row>
    <row r="805" outlineLevel="1" ht="15" customHeight="1" s="94">
      <c r="A805" s="123">
        <f>IF(B805="","",ROW()-15)</f>
        <v/>
      </c>
      <c r="B805" s="124" t="n"/>
      <c r="C805" s="123" t="n"/>
      <c r="D805" s="123" t="n"/>
      <c r="E805" s="123" t="n"/>
      <c r="F805" s="125" t="n"/>
      <c r="G805" s="123" t="n"/>
      <c r="H805" s="123" t="n"/>
      <c r="I805" s="123" t="n"/>
      <c r="J805" s="123" t="n"/>
      <c r="K805" s="123" t="n"/>
      <c r="L805" s="123" t="n"/>
      <c r="M805" s="123">
        <f>IF(AND(B805&lt;&gt;"",OR($C$4="",ISNUMBER(SEARCH($C$4,C805&amp;" "&amp;E805&amp;" "&amp;G805&amp;" "&amp;H805&amp;" "&amp;I805&amp;" "&amp;J805&amp;" "&amp;K805&amp;" "&amp;L805))),OR($C$5="Semua",$C$5="",G805=$C$5),OR($C$6="Semua",$C$6="",H805=$C$6,H805="Pengeluaran "&amp;$C$6,AND($C$6="Uang Kos Mama",H805="Pengeluaran Uang Kos")),OR($C$7="Semua",$C$7="",I805=$C$7),OR($C$8="Semua",$C$8="",C805=$C$8,E805=$C$8),OR($C$9="Semua",$C$9="",D805=$C$9),OR($C$10="",B805&gt;=$C$10),OR($C$11="",B805&lt;=$C$11),OR($C$12&lt;&gt;"Ya",K805&lt;&gt;""),OR($C$13="Semua",$C$13="",L805=$C$13)),"✓","")</f>
        <v/>
      </c>
      <c r="N805" s="93">
        <f>N(N804)+IF(M805="✓",1,0)</f>
        <v/>
      </c>
      <c r="O805" s="93">
        <f>N(O804)+IF(AND(B805&lt;&gt;"",B805&gt;='Uang Riba'!$H$30,B805&lt;='Uang Riba'!$I$30,OR(H805="Dana riba",H805="Pinjam uang riba",I805="Pinjam dari uang riba",I805="Ganti uang riba",I805="Kelebihan ganti dikembalikan",AND(C805="Kantong Uang Riba",G805="Pengeluaran"))),1,0)</f>
        <v/>
      </c>
      <c r="X805" s="93">
        <f>IF(AND(B805&lt;&gt;"",B805&gt;='Buku Akun'!$H$4,B805&lt;='Buku Akun'!$H$5,OR(C805='Buku Akun'!$C$4,AND(D805="Pindah",E805='Buku Akun'!$C$4))),B805+IF(AND(I805="Selisih bunga",DAY(B805)=1),0,0.01)+ROW()/10000000,"")</f>
        <v/>
      </c>
    </row>
    <row r="806" outlineLevel="1" ht="15" customHeight="1" s="94">
      <c r="A806" s="123">
        <f>IF(B806="","",ROW()-15)</f>
        <v/>
      </c>
      <c r="B806" s="124" t="n"/>
      <c r="C806" s="123" t="n"/>
      <c r="D806" s="123" t="n"/>
      <c r="E806" s="123" t="n"/>
      <c r="F806" s="125" t="n"/>
      <c r="G806" s="123" t="n"/>
      <c r="H806" s="123" t="n"/>
      <c r="I806" s="123" t="n"/>
      <c r="J806" s="123" t="n"/>
      <c r="K806" s="123" t="n"/>
      <c r="L806" s="123" t="n"/>
      <c r="M806" s="123">
        <f>IF(AND(B806&lt;&gt;"",OR($C$4="",ISNUMBER(SEARCH($C$4,C806&amp;" "&amp;E806&amp;" "&amp;G806&amp;" "&amp;H806&amp;" "&amp;I806&amp;" "&amp;J806&amp;" "&amp;K806&amp;" "&amp;L806))),OR($C$5="Semua",$C$5="",G806=$C$5),OR($C$6="Semua",$C$6="",H806=$C$6,H806="Pengeluaran "&amp;$C$6,AND($C$6="Uang Kos Mama",H806="Pengeluaran Uang Kos")),OR($C$7="Semua",$C$7="",I806=$C$7),OR($C$8="Semua",$C$8="",C806=$C$8,E806=$C$8),OR($C$9="Semua",$C$9="",D806=$C$9),OR($C$10="",B806&gt;=$C$10),OR($C$11="",B806&lt;=$C$11),OR($C$12&lt;&gt;"Ya",K806&lt;&gt;""),OR($C$13="Semua",$C$13="",L806=$C$13)),"✓","")</f>
        <v/>
      </c>
      <c r="N806" s="93">
        <f>N(N805)+IF(M806="✓",1,0)</f>
        <v/>
      </c>
      <c r="O806" s="93">
        <f>N(O805)+IF(AND(B806&lt;&gt;"",B806&gt;='Uang Riba'!$H$30,B806&lt;='Uang Riba'!$I$30,OR(H806="Dana riba",H806="Pinjam uang riba",I806="Pinjam dari uang riba",I806="Ganti uang riba",I806="Kelebihan ganti dikembalikan",AND(C806="Kantong Uang Riba",G806="Pengeluaran"))),1,0)</f>
        <v/>
      </c>
      <c r="X806" s="93">
        <f>IF(AND(B806&lt;&gt;"",B806&gt;='Buku Akun'!$H$4,B806&lt;='Buku Akun'!$H$5,OR(C806='Buku Akun'!$C$4,AND(D806="Pindah",E806='Buku Akun'!$C$4))),B806+IF(AND(I806="Selisih bunga",DAY(B806)=1),0,0.01)+ROW()/10000000,"")</f>
        <v/>
      </c>
    </row>
    <row r="807" outlineLevel="1" ht="15" customHeight="1" s="94">
      <c r="A807" s="123">
        <f>IF(B807="","",ROW()-15)</f>
        <v/>
      </c>
      <c r="B807" s="124" t="n"/>
      <c r="C807" s="123" t="n"/>
      <c r="D807" s="123" t="n"/>
      <c r="E807" s="123" t="n"/>
      <c r="F807" s="125" t="n"/>
      <c r="G807" s="123" t="n"/>
      <c r="H807" s="123" t="n"/>
      <c r="I807" s="123" t="n"/>
      <c r="J807" s="123" t="n"/>
      <c r="K807" s="123" t="n"/>
      <c r="L807" s="123" t="n"/>
      <c r="M807" s="123">
        <f>IF(AND(B807&lt;&gt;"",OR($C$4="",ISNUMBER(SEARCH($C$4,C807&amp;" "&amp;E807&amp;" "&amp;G807&amp;" "&amp;H807&amp;" "&amp;I807&amp;" "&amp;J807&amp;" "&amp;K807&amp;" "&amp;L807))),OR($C$5="Semua",$C$5="",G807=$C$5),OR($C$6="Semua",$C$6="",H807=$C$6,H807="Pengeluaran "&amp;$C$6,AND($C$6="Uang Kos Mama",H807="Pengeluaran Uang Kos")),OR($C$7="Semua",$C$7="",I807=$C$7),OR($C$8="Semua",$C$8="",C807=$C$8,E807=$C$8),OR($C$9="Semua",$C$9="",D807=$C$9),OR($C$10="",B807&gt;=$C$10),OR($C$11="",B807&lt;=$C$11),OR($C$12&lt;&gt;"Ya",K807&lt;&gt;""),OR($C$13="Semua",$C$13="",L807=$C$13)),"✓","")</f>
        <v/>
      </c>
      <c r="N807" s="93">
        <f>N(N806)+IF(M807="✓",1,0)</f>
        <v/>
      </c>
      <c r="O807" s="93">
        <f>N(O806)+IF(AND(B807&lt;&gt;"",B807&gt;='Uang Riba'!$H$30,B807&lt;='Uang Riba'!$I$30,OR(H807="Dana riba",H807="Pinjam uang riba",I807="Pinjam dari uang riba",I807="Ganti uang riba",I807="Kelebihan ganti dikembalikan",AND(C807="Kantong Uang Riba",G807="Pengeluaran"))),1,0)</f>
        <v/>
      </c>
      <c r="X807" s="93">
        <f>IF(AND(B807&lt;&gt;"",B807&gt;='Buku Akun'!$H$4,B807&lt;='Buku Akun'!$H$5,OR(C807='Buku Akun'!$C$4,AND(D807="Pindah",E807='Buku Akun'!$C$4))),B807+IF(AND(I807="Selisih bunga",DAY(B807)=1),0,0.01)+ROW()/10000000,"")</f>
        <v/>
      </c>
    </row>
    <row r="808" outlineLevel="1" ht="15" customHeight="1" s="94">
      <c r="A808" s="123">
        <f>IF(B808="","",ROW()-15)</f>
        <v/>
      </c>
      <c r="B808" s="124" t="n"/>
      <c r="C808" s="123" t="n"/>
      <c r="D808" s="123" t="n"/>
      <c r="E808" s="123" t="n"/>
      <c r="F808" s="125" t="n"/>
      <c r="G808" s="123" t="n"/>
      <c r="H808" s="123" t="n"/>
      <c r="I808" s="123" t="n"/>
      <c r="J808" s="123" t="n"/>
      <c r="K808" s="123" t="n"/>
      <c r="L808" s="123" t="n"/>
      <c r="M808" s="123">
        <f>IF(AND(B808&lt;&gt;"",OR($C$4="",ISNUMBER(SEARCH($C$4,C808&amp;" "&amp;E808&amp;" "&amp;G808&amp;" "&amp;H808&amp;" "&amp;I808&amp;" "&amp;J808&amp;" "&amp;K808&amp;" "&amp;L808))),OR($C$5="Semua",$C$5="",G808=$C$5),OR($C$6="Semua",$C$6="",H808=$C$6,H808="Pengeluaran "&amp;$C$6,AND($C$6="Uang Kos Mama",H808="Pengeluaran Uang Kos")),OR($C$7="Semua",$C$7="",I808=$C$7),OR($C$8="Semua",$C$8="",C808=$C$8,E808=$C$8),OR($C$9="Semua",$C$9="",D808=$C$9),OR($C$10="",B808&gt;=$C$10),OR($C$11="",B808&lt;=$C$11),OR($C$12&lt;&gt;"Ya",K808&lt;&gt;""),OR($C$13="Semua",$C$13="",L808=$C$13)),"✓","")</f>
        <v/>
      </c>
      <c r="N808" s="93">
        <f>N(N807)+IF(M808="✓",1,0)</f>
        <v/>
      </c>
      <c r="O808" s="93">
        <f>N(O807)+IF(AND(B808&lt;&gt;"",B808&gt;='Uang Riba'!$H$30,B808&lt;='Uang Riba'!$I$30,OR(H808="Dana riba",H808="Pinjam uang riba",I808="Pinjam dari uang riba",I808="Ganti uang riba",I808="Kelebihan ganti dikembalikan",AND(C808="Kantong Uang Riba",G808="Pengeluaran"))),1,0)</f>
        <v/>
      </c>
      <c r="X808" s="93">
        <f>IF(AND(B808&lt;&gt;"",B808&gt;='Buku Akun'!$H$4,B808&lt;='Buku Akun'!$H$5,OR(C808='Buku Akun'!$C$4,AND(D808="Pindah",E808='Buku Akun'!$C$4))),B808+IF(AND(I808="Selisih bunga",DAY(B808)=1),0,0.01)+ROW()/10000000,"")</f>
        <v/>
      </c>
    </row>
    <row r="809" outlineLevel="1" ht="15" customHeight="1" s="94">
      <c r="A809" s="123">
        <f>IF(B809="","",ROW()-15)</f>
        <v/>
      </c>
      <c r="B809" s="124" t="n"/>
      <c r="C809" s="123" t="n"/>
      <c r="D809" s="123" t="n"/>
      <c r="E809" s="123" t="n"/>
      <c r="F809" s="125" t="n"/>
      <c r="G809" s="123" t="n"/>
      <c r="H809" s="123" t="n"/>
      <c r="I809" s="123" t="n"/>
      <c r="J809" s="123" t="n"/>
      <c r="K809" s="123" t="n"/>
      <c r="L809" s="123" t="n"/>
      <c r="M809" s="123">
        <f>IF(AND(B809&lt;&gt;"",OR($C$4="",ISNUMBER(SEARCH($C$4,C809&amp;" "&amp;E809&amp;" "&amp;G809&amp;" "&amp;H809&amp;" "&amp;I809&amp;" "&amp;J809&amp;" "&amp;K809&amp;" "&amp;L809))),OR($C$5="Semua",$C$5="",G809=$C$5),OR($C$6="Semua",$C$6="",H809=$C$6,H809="Pengeluaran "&amp;$C$6,AND($C$6="Uang Kos Mama",H809="Pengeluaran Uang Kos")),OR($C$7="Semua",$C$7="",I809=$C$7),OR($C$8="Semua",$C$8="",C809=$C$8,E809=$C$8),OR($C$9="Semua",$C$9="",D809=$C$9),OR($C$10="",B809&gt;=$C$10),OR($C$11="",B809&lt;=$C$11),OR($C$12&lt;&gt;"Ya",K809&lt;&gt;""),OR($C$13="Semua",$C$13="",L809=$C$13)),"✓","")</f>
        <v/>
      </c>
      <c r="N809" s="93">
        <f>N(N808)+IF(M809="✓",1,0)</f>
        <v/>
      </c>
      <c r="O809" s="93">
        <f>N(O808)+IF(AND(B809&lt;&gt;"",B809&gt;='Uang Riba'!$H$30,B809&lt;='Uang Riba'!$I$30,OR(H809="Dana riba",H809="Pinjam uang riba",I809="Pinjam dari uang riba",I809="Ganti uang riba",I809="Kelebihan ganti dikembalikan",AND(C809="Kantong Uang Riba",G809="Pengeluaran"))),1,0)</f>
        <v/>
      </c>
      <c r="X809" s="93">
        <f>IF(AND(B809&lt;&gt;"",B809&gt;='Buku Akun'!$H$4,B809&lt;='Buku Akun'!$H$5,OR(C809='Buku Akun'!$C$4,AND(D809="Pindah",E809='Buku Akun'!$C$4))),B809+IF(AND(I809="Selisih bunga",DAY(B809)=1),0,0.01)+ROW()/10000000,"")</f>
        <v/>
      </c>
    </row>
    <row r="810" outlineLevel="1" ht="15" customHeight="1" s="94">
      <c r="A810" s="123">
        <f>IF(B810="","",ROW()-15)</f>
        <v/>
      </c>
      <c r="B810" s="124" t="n"/>
      <c r="C810" s="123" t="n"/>
      <c r="D810" s="123" t="n"/>
      <c r="E810" s="123" t="n"/>
      <c r="F810" s="125" t="n"/>
      <c r="G810" s="123" t="n"/>
      <c r="H810" s="123" t="n"/>
      <c r="I810" s="123" t="n"/>
      <c r="J810" s="123" t="n"/>
      <c r="K810" s="123" t="n"/>
      <c r="L810" s="123" t="n"/>
      <c r="M810" s="123">
        <f>IF(AND(B810&lt;&gt;"",OR($C$4="",ISNUMBER(SEARCH($C$4,C810&amp;" "&amp;E810&amp;" "&amp;G810&amp;" "&amp;H810&amp;" "&amp;I810&amp;" "&amp;J810&amp;" "&amp;K810&amp;" "&amp;L810))),OR($C$5="Semua",$C$5="",G810=$C$5),OR($C$6="Semua",$C$6="",H810=$C$6,H810="Pengeluaran "&amp;$C$6,AND($C$6="Uang Kos Mama",H810="Pengeluaran Uang Kos")),OR($C$7="Semua",$C$7="",I810=$C$7),OR($C$8="Semua",$C$8="",C810=$C$8,E810=$C$8),OR($C$9="Semua",$C$9="",D810=$C$9),OR($C$10="",B810&gt;=$C$10),OR($C$11="",B810&lt;=$C$11),OR($C$12&lt;&gt;"Ya",K810&lt;&gt;""),OR($C$13="Semua",$C$13="",L810=$C$13)),"✓","")</f>
        <v/>
      </c>
      <c r="N810" s="93">
        <f>N(N809)+IF(M810="✓",1,0)</f>
        <v/>
      </c>
      <c r="O810" s="93">
        <f>N(O809)+IF(AND(B810&lt;&gt;"",B810&gt;='Uang Riba'!$H$30,B810&lt;='Uang Riba'!$I$30,OR(H810="Dana riba",H810="Pinjam uang riba",I810="Pinjam dari uang riba",I810="Ganti uang riba",I810="Kelebihan ganti dikembalikan",AND(C810="Kantong Uang Riba",G810="Pengeluaran"))),1,0)</f>
        <v/>
      </c>
      <c r="X810" s="93">
        <f>IF(AND(B810&lt;&gt;"",B810&gt;='Buku Akun'!$H$4,B810&lt;='Buku Akun'!$H$5,OR(C810='Buku Akun'!$C$4,AND(D810="Pindah",E810='Buku Akun'!$C$4))),B810+IF(AND(I810="Selisih bunga",DAY(B810)=1),0,0.01)+ROW()/10000000,"")</f>
        <v/>
      </c>
    </row>
    <row r="811" outlineLevel="1" ht="15" customHeight="1" s="94">
      <c r="A811" s="123">
        <f>IF(B811="","",ROW()-15)</f>
        <v/>
      </c>
      <c r="B811" s="124" t="n"/>
      <c r="C811" s="123" t="n"/>
      <c r="D811" s="123" t="n"/>
      <c r="E811" s="123" t="n"/>
      <c r="F811" s="125" t="n"/>
      <c r="G811" s="123" t="n"/>
      <c r="H811" s="123" t="n"/>
      <c r="I811" s="123" t="n"/>
      <c r="J811" s="123" t="n"/>
      <c r="K811" s="123" t="n"/>
      <c r="L811" s="123" t="n"/>
      <c r="M811" s="123">
        <f>IF(AND(B811&lt;&gt;"",OR($C$4="",ISNUMBER(SEARCH($C$4,C811&amp;" "&amp;E811&amp;" "&amp;G811&amp;" "&amp;H811&amp;" "&amp;I811&amp;" "&amp;J811&amp;" "&amp;K811&amp;" "&amp;L811))),OR($C$5="Semua",$C$5="",G811=$C$5),OR($C$6="Semua",$C$6="",H811=$C$6,H811="Pengeluaran "&amp;$C$6,AND($C$6="Uang Kos Mama",H811="Pengeluaran Uang Kos")),OR($C$7="Semua",$C$7="",I811=$C$7),OR($C$8="Semua",$C$8="",C811=$C$8,E811=$C$8),OR($C$9="Semua",$C$9="",D811=$C$9),OR($C$10="",B811&gt;=$C$10),OR($C$11="",B811&lt;=$C$11),OR($C$12&lt;&gt;"Ya",K811&lt;&gt;""),OR($C$13="Semua",$C$13="",L811=$C$13)),"✓","")</f>
        <v/>
      </c>
      <c r="N811" s="93">
        <f>N(N810)+IF(M811="✓",1,0)</f>
        <v/>
      </c>
      <c r="O811" s="93">
        <f>N(O810)+IF(AND(B811&lt;&gt;"",B811&gt;='Uang Riba'!$H$30,B811&lt;='Uang Riba'!$I$30,OR(H811="Dana riba",H811="Pinjam uang riba",I811="Pinjam dari uang riba",I811="Ganti uang riba",I811="Kelebihan ganti dikembalikan",AND(C811="Kantong Uang Riba",G811="Pengeluaran"))),1,0)</f>
        <v/>
      </c>
      <c r="X811" s="93">
        <f>IF(AND(B811&lt;&gt;"",B811&gt;='Buku Akun'!$H$4,B811&lt;='Buku Akun'!$H$5,OR(C811='Buku Akun'!$C$4,AND(D811="Pindah",E811='Buku Akun'!$C$4))),B811+IF(AND(I811="Selisih bunga",DAY(B811)=1),0,0.01)+ROW()/10000000,"")</f>
        <v/>
      </c>
    </row>
    <row r="812" outlineLevel="1" ht="15" customHeight="1" s="94">
      <c r="A812" s="123">
        <f>IF(B812="","",ROW()-15)</f>
        <v/>
      </c>
      <c r="B812" s="124" t="n"/>
      <c r="C812" s="123" t="n"/>
      <c r="D812" s="123" t="n"/>
      <c r="E812" s="123" t="n"/>
      <c r="F812" s="125" t="n"/>
      <c r="G812" s="123" t="n"/>
      <c r="H812" s="123" t="n"/>
      <c r="I812" s="123" t="n"/>
      <c r="J812" s="123" t="n"/>
      <c r="K812" s="123" t="n"/>
      <c r="L812" s="123" t="n"/>
      <c r="M812" s="123">
        <f>IF(AND(B812&lt;&gt;"",OR($C$4="",ISNUMBER(SEARCH($C$4,C812&amp;" "&amp;E812&amp;" "&amp;G812&amp;" "&amp;H812&amp;" "&amp;I812&amp;" "&amp;J812&amp;" "&amp;K812&amp;" "&amp;L812))),OR($C$5="Semua",$C$5="",G812=$C$5),OR($C$6="Semua",$C$6="",H812=$C$6,H812="Pengeluaran "&amp;$C$6,AND($C$6="Uang Kos Mama",H812="Pengeluaran Uang Kos")),OR($C$7="Semua",$C$7="",I812=$C$7),OR($C$8="Semua",$C$8="",C812=$C$8,E812=$C$8),OR($C$9="Semua",$C$9="",D812=$C$9),OR($C$10="",B812&gt;=$C$10),OR($C$11="",B812&lt;=$C$11),OR($C$12&lt;&gt;"Ya",K812&lt;&gt;""),OR($C$13="Semua",$C$13="",L812=$C$13)),"✓","")</f>
        <v/>
      </c>
      <c r="N812" s="93">
        <f>N(N811)+IF(M812="✓",1,0)</f>
        <v/>
      </c>
      <c r="O812" s="93">
        <f>N(O811)+IF(AND(B812&lt;&gt;"",B812&gt;='Uang Riba'!$H$30,B812&lt;='Uang Riba'!$I$30,OR(H812="Dana riba",H812="Pinjam uang riba",I812="Pinjam dari uang riba",I812="Ganti uang riba",I812="Kelebihan ganti dikembalikan",AND(C812="Kantong Uang Riba",G812="Pengeluaran"))),1,0)</f>
        <v/>
      </c>
      <c r="X812" s="93">
        <f>IF(AND(B812&lt;&gt;"",B812&gt;='Buku Akun'!$H$4,B812&lt;='Buku Akun'!$H$5,OR(C812='Buku Akun'!$C$4,AND(D812="Pindah",E812='Buku Akun'!$C$4))),B812+IF(AND(I812="Selisih bunga",DAY(B812)=1),0,0.01)+ROW()/10000000,"")</f>
        <v/>
      </c>
    </row>
    <row r="813" outlineLevel="1" ht="15" customHeight="1" s="94">
      <c r="A813" s="123">
        <f>IF(B813="","",ROW()-15)</f>
        <v/>
      </c>
      <c r="B813" s="124" t="n"/>
      <c r="C813" s="123" t="n"/>
      <c r="D813" s="123" t="n"/>
      <c r="E813" s="123" t="n"/>
      <c r="F813" s="125" t="n"/>
      <c r="G813" s="123" t="n"/>
      <c r="H813" s="123" t="n"/>
      <c r="I813" s="123" t="n"/>
      <c r="J813" s="123" t="n"/>
      <c r="K813" s="123" t="n"/>
      <c r="L813" s="123" t="n"/>
      <c r="M813" s="123">
        <f>IF(AND(B813&lt;&gt;"",OR($C$4="",ISNUMBER(SEARCH($C$4,C813&amp;" "&amp;E813&amp;" "&amp;G813&amp;" "&amp;H813&amp;" "&amp;I813&amp;" "&amp;J813&amp;" "&amp;K813&amp;" "&amp;L813))),OR($C$5="Semua",$C$5="",G813=$C$5),OR($C$6="Semua",$C$6="",H813=$C$6,H813="Pengeluaran "&amp;$C$6,AND($C$6="Uang Kos Mama",H813="Pengeluaran Uang Kos")),OR($C$7="Semua",$C$7="",I813=$C$7),OR($C$8="Semua",$C$8="",C813=$C$8,E813=$C$8),OR($C$9="Semua",$C$9="",D813=$C$9),OR($C$10="",B813&gt;=$C$10),OR($C$11="",B813&lt;=$C$11),OR($C$12&lt;&gt;"Ya",K813&lt;&gt;""),OR($C$13="Semua",$C$13="",L813=$C$13)),"✓","")</f>
        <v/>
      </c>
      <c r="N813" s="93">
        <f>N(N812)+IF(M813="✓",1,0)</f>
        <v/>
      </c>
      <c r="O813" s="93">
        <f>N(O812)+IF(AND(B813&lt;&gt;"",B813&gt;='Uang Riba'!$H$30,B813&lt;='Uang Riba'!$I$30,OR(H813="Dana riba",H813="Pinjam uang riba",I813="Pinjam dari uang riba",I813="Ganti uang riba",I813="Kelebihan ganti dikembalikan",AND(C813="Kantong Uang Riba",G813="Pengeluaran"))),1,0)</f>
        <v/>
      </c>
      <c r="X813" s="93">
        <f>IF(AND(B813&lt;&gt;"",B813&gt;='Buku Akun'!$H$4,B813&lt;='Buku Akun'!$H$5,OR(C813='Buku Akun'!$C$4,AND(D813="Pindah",E813='Buku Akun'!$C$4))),B813+IF(AND(I813="Selisih bunga",DAY(B813)=1),0,0.01)+ROW()/10000000,"")</f>
        <v/>
      </c>
    </row>
    <row r="814" outlineLevel="1" ht="15" customHeight="1" s="94">
      <c r="A814" s="123">
        <f>IF(B814="","",ROW()-15)</f>
        <v/>
      </c>
      <c r="B814" s="124" t="n"/>
      <c r="C814" s="123" t="n"/>
      <c r="D814" s="123" t="n"/>
      <c r="E814" s="123" t="n"/>
      <c r="F814" s="125" t="n"/>
      <c r="G814" s="123" t="n"/>
      <c r="H814" s="123" t="n"/>
      <c r="I814" s="123" t="n"/>
      <c r="J814" s="123" t="n"/>
      <c r="K814" s="123" t="n"/>
      <c r="L814" s="123" t="n"/>
      <c r="M814" s="123">
        <f>IF(AND(B814&lt;&gt;"",OR($C$4="",ISNUMBER(SEARCH($C$4,C814&amp;" "&amp;E814&amp;" "&amp;G814&amp;" "&amp;H814&amp;" "&amp;I814&amp;" "&amp;J814&amp;" "&amp;K814&amp;" "&amp;L814))),OR($C$5="Semua",$C$5="",G814=$C$5),OR($C$6="Semua",$C$6="",H814=$C$6,H814="Pengeluaran "&amp;$C$6,AND($C$6="Uang Kos Mama",H814="Pengeluaran Uang Kos")),OR($C$7="Semua",$C$7="",I814=$C$7),OR($C$8="Semua",$C$8="",C814=$C$8,E814=$C$8),OR($C$9="Semua",$C$9="",D814=$C$9),OR($C$10="",B814&gt;=$C$10),OR($C$11="",B814&lt;=$C$11),OR($C$12&lt;&gt;"Ya",K814&lt;&gt;""),OR($C$13="Semua",$C$13="",L814=$C$13)),"✓","")</f>
        <v/>
      </c>
      <c r="N814" s="93">
        <f>N(N813)+IF(M814="✓",1,0)</f>
        <v/>
      </c>
      <c r="O814" s="93">
        <f>N(O813)+IF(AND(B814&lt;&gt;"",B814&gt;='Uang Riba'!$H$30,B814&lt;='Uang Riba'!$I$30,OR(H814="Dana riba",H814="Pinjam uang riba",I814="Pinjam dari uang riba",I814="Ganti uang riba",I814="Kelebihan ganti dikembalikan",AND(C814="Kantong Uang Riba",G814="Pengeluaran"))),1,0)</f>
        <v/>
      </c>
      <c r="X814" s="93">
        <f>IF(AND(B814&lt;&gt;"",B814&gt;='Buku Akun'!$H$4,B814&lt;='Buku Akun'!$H$5,OR(C814='Buku Akun'!$C$4,AND(D814="Pindah",E814='Buku Akun'!$C$4))),B814+IF(AND(I814="Selisih bunga",DAY(B814)=1),0,0.01)+ROW()/10000000,"")</f>
        <v/>
      </c>
    </row>
    <row r="815" outlineLevel="1" ht="15" customHeight="1" s="94">
      <c r="A815" s="123">
        <f>IF(B815="","",ROW()-15)</f>
        <v/>
      </c>
      <c r="B815" s="124" t="n"/>
      <c r="C815" s="123" t="n"/>
      <c r="D815" s="123" t="n"/>
      <c r="E815" s="123" t="n"/>
      <c r="F815" s="125" t="n"/>
      <c r="G815" s="123" t="n"/>
      <c r="H815" s="123" t="n"/>
      <c r="I815" s="123" t="n"/>
      <c r="J815" s="123" t="n"/>
      <c r="K815" s="123" t="n"/>
      <c r="L815" s="123" t="n"/>
      <c r="M815" s="123">
        <f>IF(AND(B815&lt;&gt;"",OR($C$4="",ISNUMBER(SEARCH($C$4,C815&amp;" "&amp;E815&amp;" "&amp;G815&amp;" "&amp;H815&amp;" "&amp;I815&amp;" "&amp;J815&amp;" "&amp;K815&amp;" "&amp;L815))),OR($C$5="Semua",$C$5="",G815=$C$5),OR($C$6="Semua",$C$6="",H815=$C$6,H815="Pengeluaran "&amp;$C$6,AND($C$6="Uang Kos Mama",H815="Pengeluaran Uang Kos")),OR($C$7="Semua",$C$7="",I815=$C$7),OR($C$8="Semua",$C$8="",C815=$C$8,E815=$C$8),OR($C$9="Semua",$C$9="",D815=$C$9),OR($C$10="",B815&gt;=$C$10),OR($C$11="",B815&lt;=$C$11),OR($C$12&lt;&gt;"Ya",K815&lt;&gt;""),OR($C$13="Semua",$C$13="",L815=$C$13)),"✓","")</f>
        <v/>
      </c>
      <c r="N815" s="93">
        <f>N(N814)+IF(M815="✓",1,0)</f>
        <v/>
      </c>
      <c r="O815" s="93">
        <f>N(O814)+IF(AND(B815&lt;&gt;"",B815&gt;='Uang Riba'!$H$30,B815&lt;='Uang Riba'!$I$30,OR(H815="Dana riba",H815="Pinjam uang riba",I815="Pinjam dari uang riba",I815="Ganti uang riba",I815="Kelebihan ganti dikembalikan",AND(C815="Kantong Uang Riba",G815="Pengeluaran"))),1,0)</f>
        <v/>
      </c>
      <c r="X815" s="93">
        <f>IF(AND(B815&lt;&gt;"",B815&gt;='Buku Akun'!$H$4,B815&lt;='Buku Akun'!$H$5,OR(C815='Buku Akun'!$C$4,AND(D815="Pindah",E815='Buku Akun'!$C$4))),B815+IF(AND(I815="Selisih bunga",DAY(B815)=1),0,0.01)+ROW()/10000000,"")</f>
        <v/>
      </c>
    </row>
    <row r="816" outlineLevel="1" ht="15" customHeight="1" s="94">
      <c r="A816" s="123">
        <f>IF(B816="","",ROW()-15)</f>
        <v/>
      </c>
      <c r="B816" s="124" t="n"/>
      <c r="C816" s="123" t="n"/>
      <c r="D816" s="123" t="n"/>
      <c r="E816" s="123" t="n"/>
      <c r="F816" s="125" t="n"/>
      <c r="G816" s="123" t="n"/>
      <c r="H816" s="123" t="n"/>
      <c r="I816" s="123" t="n"/>
      <c r="J816" s="123" t="n"/>
      <c r="K816" s="123" t="n"/>
      <c r="L816" s="123" t="n"/>
      <c r="M816" s="123">
        <f>IF(AND(B816&lt;&gt;"",OR($C$4="",ISNUMBER(SEARCH($C$4,C816&amp;" "&amp;E816&amp;" "&amp;G816&amp;" "&amp;H816&amp;" "&amp;I816&amp;" "&amp;J816&amp;" "&amp;K816&amp;" "&amp;L816))),OR($C$5="Semua",$C$5="",G816=$C$5),OR($C$6="Semua",$C$6="",H816=$C$6,H816="Pengeluaran "&amp;$C$6,AND($C$6="Uang Kos Mama",H816="Pengeluaran Uang Kos")),OR($C$7="Semua",$C$7="",I816=$C$7),OR($C$8="Semua",$C$8="",C816=$C$8,E816=$C$8),OR($C$9="Semua",$C$9="",D816=$C$9),OR($C$10="",B816&gt;=$C$10),OR($C$11="",B816&lt;=$C$11),OR($C$12&lt;&gt;"Ya",K816&lt;&gt;""),OR($C$13="Semua",$C$13="",L816=$C$13)),"✓","")</f>
        <v/>
      </c>
      <c r="N816" s="93">
        <f>N(N815)+IF(M816="✓",1,0)</f>
        <v/>
      </c>
      <c r="O816" s="93">
        <f>N(O815)+IF(AND(B816&lt;&gt;"",B816&gt;='Uang Riba'!$H$30,B816&lt;='Uang Riba'!$I$30,OR(H816="Dana riba",H816="Pinjam uang riba",I816="Pinjam dari uang riba",I816="Ganti uang riba",I816="Kelebihan ganti dikembalikan",AND(C816="Kantong Uang Riba",G816="Pengeluaran"))),1,0)</f>
        <v/>
      </c>
      <c r="X816" s="93">
        <f>IF(AND(B816&lt;&gt;"",B816&gt;='Buku Akun'!$H$4,B816&lt;='Buku Akun'!$H$5,OR(C816='Buku Akun'!$C$4,AND(D816="Pindah",E816='Buku Akun'!$C$4))),B816+IF(AND(I816="Selisih bunga",DAY(B816)=1),0,0.01)+ROW()/10000000,"")</f>
        <v/>
      </c>
    </row>
    <row r="817" outlineLevel="1" ht="15" customHeight="1" s="94">
      <c r="A817" s="123">
        <f>IF(B817="","",ROW()-15)</f>
        <v/>
      </c>
      <c r="B817" s="124" t="n"/>
      <c r="C817" s="123" t="n"/>
      <c r="D817" s="123" t="n"/>
      <c r="E817" s="123" t="n"/>
      <c r="F817" s="125" t="n"/>
      <c r="G817" s="123" t="n"/>
      <c r="H817" s="123" t="n"/>
      <c r="I817" s="123" t="n"/>
      <c r="J817" s="123" t="n"/>
      <c r="K817" s="123" t="n"/>
      <c r="L817" s="123" t="n"/>
      <c r="M817" s="123">
        <f>IF(AND(B817&lt;&gt;"",OR($C$4="",ISNUMBER(SEARCH($C$4,C817&amp;" "&amp;E817&amp;" "&amp;G817&amp;" "&amp;H817&amp;" "&amp;I817&amp;" "&amp;J817&amp;" "&amp;K817&amp;" "&amp;L817))),OR($C$5="Semua",$C$5="",G817=$C$5),OR($C$6="Semua",$C$6="",H817=$C$6,H817="Pengeluaran "&amp;$C$6,AND($C$6="Uang Kos Mama",H817="Pengeluaran Uang Kos")),OR($C$7="Semua",$C$7="",I817=$C$7),OR($C$8="Semua",$C$8="",C817=$C$8,E817=$C$8),OR($C$9="Semua",$C$9="",D817=$C$9),OR($C$10="",B817&gt;=$C$10),OR($C$11="",B817&lt;=$C$11),OR($C$12&lt;&gt;"Ya",K817&lt;&gt;""),OR($C$13="Semua",$C$13="",L817=$C$13)),"✓","")</f>
        <v/>
      </c>
      <c r="N817" s="93">
        <f>N(N816)+IF(M817="✓",1,0)</f>
        <v/>
      </c>
      <c r="O817" s="93">
        <f>N(O816)+IF(AND(B817&lt;&gt;"",B817&gt;='Uang Riba'!$H$30,B817&lt;='Uang Riba'!$I$30,OR(H817="Dana riba",H817="Pinjam uang riba",I817="Pinjam dari uang riba",I817="Ganti uang riba",I817="Kelebihan ganti dikembalikan",AND(C817="Kantong Uang Riba",G817="Pengeluaran"))),1,0)</f>
        <v/>
      </c>
      <c r="X817" s="93">
        <f>IF(AND(B817&lt;&gt;"",B817&gt;='Buku Akun'!$H$4,B817&lt;='Buku Akun'!$H$5,OR(C817='Buku Akun'!$C$4,AND(D817="Pindah",E817='Buku Akun'!$C$4))),B817+IF(AND(I817="Selisih bunga",DAY(B817)=1),0,0.01)+ROW()/10000000,"")</f>
        <v/>
      </c>
    </row>
    <row r="818" outlineLevel="1" ht="15" customHeight="1" s="94">
      <c r="A818" s="123">
        <f>IF(B818="","",ROW()-15)</f>
        <v/>
      </c>
      <c r="B818" s="124" t="n"/>
      <c r="C818" s="123" t="n"/>
      <c r="D818" s="123" t="n"/>
      <c r="E818" s="123" t="n"/>
      <c r="F818" s="125" t="n"/>
      <c r="G818" s="123" t="n"/>
      <c r="H818" s="123" t="n"/>
      <c r="I818" s="123" t="n"/>
      <c r="J818" s="123" t="n"/>
      <c r="K818" s="123" t="n"/>
      <c r="L818" s="123" t="n"/>
      <c r="M818" s="123">
        <f>IF(AND(B818&lt;&gt;"",OR($C$4="",ISNUMBER(SEARCH($C$4,C818&amp;" "&amp;E818&amp;" "&amp;G818&amp;" "&amp;H818&amp;" "&amp;I818&amp;" "&amp;J818&amp;" "&amp;K818&amp;" "&amp;L818))),OR($C$5="Semua",$C$5="",G818=$C$5),OR($C$6="Semua",$C$6="",H818=$C$6,H818="Pengeluaran "&amp;$C$6,AND($C$6="Uang Kos Mama",H818="Pengeluaran Uang Kos")),OR($C$7="Semua",$C$7="",I818=$C$7),OR($C$8="Semua",$C$8="",C818=$C$8,E818=$C$8),OR($C$9="Semua",$C$9="",D818=$C$9),OR($C$10="",B818&gt;=$C$10),OR($C$11="",B818&lt;=$C$11),OR($C$12&lt;&gt;"Ya",K818&lt;&gt;""),OR($C$13="Semua",$C$13="",L818=$C$13)),"✓","")</f>
        <v/>
      </c>
      <c r="N818" s="93">
        <f>N(N817)+IF(M818="✓",1,0)</f>
        <v/>
      </c>
      <c r="O818" s="93">
        <f>N(O817)+IF(AND(B818&lt;&gt;"",B818&gt;='Uang Riba'!$H$30,B818&lt;='Uang Riba'!$I$30,OR(H818="Dana riba",H818="Pinjam uang riba",I818="Pinjam dari uang riba",I818="Ganti uang riba",I818="Kelebihan ganti dikembalikan",AND(C818="Kantong Uang Riba",G818="Pengeluaran"))),1,0)</f>
        <v/>
      </c>
      <c r="X818" s="93">
        <f>IF(AND(B818&lt;&gt;"",B818&gt;='Buku Akun'!$H$4,B818&lt;='Buku Akun'!$H$5,OR(C818='Buku Akun'!$C$4,AND(D818="Pindah",E818='Buku Akun'!$C$4))),B818+IF(AND(I818="Selisih bunga",DAY(B818)=1),0,0.01)+ROW()/10000000,"")</f>
        <v/>
      </c>
    </row>
    <row r="819" outlineLevel="1" ht="15" customHeight="1" s="94">
      <c r="A819" s="123">
        <f>IF(B819="","",ROW()-15)</f>
        <v/>
      </c>
      <c r="B819" s="124" t="n"/>
      <c r="C819" s="123" t="n"/>
      <c r="D819" s="123" t="n"/>
      <c r="E819" s="123" t="n"/>
      <c r="F819" s="125" t="n"/>
      <c r="G819" s="123" t="n"/>
      <c r="H819" s="123" t="n"/>
      <c r="I819" s="123" t="n"/>
      <c r="J819" s="123" t="n"/>
      <c r="K819" s="123" t="n"/>
      <c r="L819" s="123" t="n"/>
      <c r="M819" s="123">
        <f>IF(AND(B819&lt;&gt;"",OR($C$4="",ISNUMBER(SEARCH($C$4,C819&amp;" "&amp;E819&amp;" "&amp;G819&amp;" "&amp;H819&amp;" "&amp;I819&amp;" "&amp;J819&amp;" "&amp;K819&amp;" "&amp;L819))),OR($C$5="Semua",$C$5="",G819=$C$5),OR($C$6="Semua",$C$6="",H819=$C$6,H819="Pengeluaran "&amp;$C$6,AND($C$6="Uang Kos Mama",H819="Pengeluaran Uang Kos")),OR($C$7="Semua",$C$7="",I819=$C$7),OR($C$8="Semua",$C$8="",C819=$C$8,E819=$C$8),OR($C$9="Semua",$C$9="",D819=$C$9),OR($C$10="",B819&gt;=$C$10),OR($C$11="",B819&lt;=$C$11),OR($C$12&lt;&gt;"Ya",K819&lt;&gt;""),OR($C$13="Semua",$C$13="",L819=$C$13)),"✓","")</f>
        <v/>
      </c>
      <c r="N819" s="93">
        <f>N(N818)+IF(M819="✓",1,0)</f>
        <v/>
      </c>
      <c r="O819" s="93">
        <f>N(O818)+IF(AND(B819&lt;&gt;"",B819&gt;='Uang Riba'!$H$30,B819&lt;='Uang Riba'!$I$30,OR(H819="Dana riba",H819="Pinjam uang riba",I819="Pinjam dari uang riba",I819="Ganti uang riba",I819="Kelebihan ganti dikembalikan",AND(C819="Kantong Uang Riba",G819="Pengeluaran"))),1,0)</f>
        <v/>
      </c>
      <c r="X819" s="93">
        <f>IF(AND(B819&lt;&gt;"",B819&gt;='Buku Akun'!$H$4,B819&lt;='Buku Akun'!$H$5,OR(C819='Buku Akun'!$C$4,AND(D819="Pindah",E819='Buku Akun'!$C$4))),B819+IF(AND(I819="Selisih bunga",DAY(B819)=1),0,0.01)+ROW()/10000000,"")</f>
        <v/>
      </c>
    </row>
    <row r="820" outlineLevel="1" ht="15" customHeight="1" s="94">
      <c r="A820" s="123">
        <f>IF(B820="","",ROW()-15)</f>
        <v/>
      </c>
      <c r="B820" s="124" t="n"/>
      <c r="C820" s="123" t="n"/>
      <c r="D820" s="123" t="n"/>
      <c r="E820" s="123" t="n"/>
      <c r="F820" s="125" t="n"/>
      <c r="G820" s="123" t="n"/>
      <c r="H820" s="123" t="n"/>
      <c r="I820" s="123" t="n"/>
      <c r="J820" s="123" t="n"/>
      <c r="K820" s="123" t="n"/>
      <c r="L820" s="123" t="n"/>
      <c r="M820" s="123">
        <f>IF(AND(B820&lt;&gt;"",OR($C$4="",ISNUMBER(SEARCH($C$4,C820&amp;" "&amp;E820&amp;" "&amp;G820&amp;" "&amp;H820&amp;" "&amp;I820&amp;" "&amp;J820&amp;" "&amp;K820&amp;" "&amp;L820))),OR($C$5="Semua",$C$5="",G820=$C$5),OR($C$6="Semua",$C$6="",H820=$C$6,H820="Pengeluaran "&amp;$C$6,AND($C$6="Uang Kos Mama",H820="Pengeluaran Uang Kos")),OR($C$7="Semua",$C$7="",I820=$C$7),OR($C$8="Semua",$C$8="",C820=$C$8,E820=$C$8),OR($C$9="Semua",$C$9="",D820=$C$9),OR($C$10="",B820&gt;=$C$10),OR($C$11="",B820&lt;=$C$11),OR($C$12&lt;&gt;"Ya",K820&lt;&gt;""),OR($C$13="Semua",$C$13="",L820=$C$13)),"✓","")</f>
        <v/>
      </c>
      <c r="N820" s="93">
        <f>N(N819)+IF(M820="✓",1,0)</f>
        <v/>
      </c>
      <c r="O820" s="93">
        <f>N(O819)+IF(AND(B820&lt;&gt;"",B820&gt;='Uang Riba'!$H$30,B820&lt;='Uang Riba'!$I$30,OR(H820="Dana riba",H820="Pinjam uang riba",I820="Pinjam dari uang riba",I820="Ganti uang riba",I820="Kelebihan ganti dikembalikan",AND(C820="Kantong Uang Riba",G820="Pengeluaran"))),1,0)</f>
        <v/>
      </c>
      <c r="X820" s="93">
        <f>IF(AND(B820&lt;&gt;"",B820&gt;='Buku Akun'!$H$4,B820&lt;='Buku Akun'!$H$5,OR(C820='Buku Akun'!$C$4,AND(D820="Pindah",E820='Buku Akun'!$C$4))),B820+IF(AND(I820="Selisih bunga",DAY(B820)=1),0,0.01)+ROW()/10000000,"")</f>
        <v/>
      </c>
    </row>
    <row r="821" outlineLevel="1" ht="15" customHeight="1" s="94">
      <c r="A821" s="123">
        <f>IF(B821="","",ROW()-15)</f>
        <v/>
      </c>
      <c r="B821" s="124" t="n"/>
      <c r="C821" s="123" t="n"/>
      <c r="D821" s="123" t="n"/>
      <c r="E821" s="123" t="n"/>
      <c r="F821" s="125" t="n"/>
      <c r="G821" s="123" t="n"/>
      <c r="H821" s="123" t="n"/>
      <c r="I821" s="123" t="n"/>
      <c r="J821" s="123" t="n"/>
      <c r="K821" s="123" t="n"/>
      <c r="L821" s="123" t="n"/>
      <c r="M821" s="123">
        <f>IF(AND(B821&lt;&gt;"",OR($C$4="",ISNUMBER(SEARCH($C$4,C821&amp;" "&amp;E821&amp;" "&amp;G821&amp;" "&amp;H821&amp;" "&amp;I821&amp;" "&amp;J821&amp;" "&amp;K821&amp;" "&amp;L821))),OR($C$5="Semua",$C$5="",G821=$C$5),OR($C$6="Semua",$C$6="",H821=$C$6,H821="Pengeluaran "&amp;$C$6,AND($C$6="Uang Kos Mama",H821="Pengeluaran Uang Kos")),OR($C$7="Semua",$C$7="",I821=$C$7),OR($C$8="Semua",$C$8="",C821=$C$8,E821=$C$8),OR($C$9="Semua",$C$9="",D821=$C$9),OR($C$10="",B821&gt;=$C$10),OR($C$11="",B821&lt;=$C$11),OR($C$12&lt;&gt;"Ya",K821&lt;&gt;""),OR($C$13="Semua",$C$13="",L821=$C$13)),"✓","")</f>
        <v/>
      </c>
      <c r="N821" s="93">
        <f>N(N820)+IF(M821="✓",1,0)</f>
        <v/>
      </c>
      <c r="O821" s="93">
        <f>N(O820)+IF(AND(B821&lt;&gt;"",B821&gt;='Uang Riba'!$H$30,B821&lt;='Uang Riba'!$I$30,OR(H821="Dana riba",H821="Pinjam uang riba",I821="Pinjam dari uang riba",I821="Ganti uang riba",I821="Kelebihan ganti dikembalikan",AND(C821="Kantong Uang Riba",G821="Pengeluaran"))),1,0)</f>
        <v/>
      </c>
      <c r="X821" s="93">
        <f>IF(AND(B821&lt;&gt;"",B821&gt;='Buku Akun'!$H$4,B821&lt;='Buku Akun'!$H$5,OR(C821='Buku Akun'!$C$4,AND(D821="Pindah",E821='Buku Akun'!$C$4))),B821+IF(AND(I821="Selisih bunga",DAY(B821)=1),0,0.01)+ROW()/10000000,"")</f>
        <v/>
      </c>
    </row>
    <row r="822" outlineLevel="1" ht="15" customHeight="1" s="94">
      <c r="A822" s="123">
        <f>IF(B822="","",ROW()-15)</f>
        <v/>
      </c>
      <c r="B822" s="124" t="n"/>
      <c r="C822" s="123" t="n"/>
      <c r="D822" s="123" t="n"/>
      <c r="E822" s="123" t="n"/>
      <c r="F822" s="125" t="n"/>
      <c r="G822" s="123" t="n"/>
      <c r="H822" s="123" t="n"/>
      <c r="I822" s="123" t="n"/>
      <c r="J822" s="123" t="n"/>
      <c r="K822" s="123" t="n"/>
      <c r="L822" s="123" t="n"/>
      <c r="M822" s="123">
        <f>IF(AND(B822&lt;&gt;"",OR($C$4="",ISNUMBER(SEARCH($C$4,C822&amp;" "&amp;E822&amp;" "&amp;G822&amp;" "&amp;H822&amp;" "&amp;I822&amp;" "&amp;J822&amp;" "&amp;K822&amp;" "&amp;L822))),OR($C$5="Semua",$C$5="",G822=$C$5),OR($C$6="Semua",$C$6="",H822=$C$6,H822="Pengeluaran "&amp;$C$6,AND($C$6="Uang Kos Mama",H822="Pengeluaran Uang Kos")),OR($C$7="Semua",$C$7="",I822=$C$7),OR($C$8="Semua",$C$8="",C822=$C$8,E822=$C$8),OR($C$9="Semua",$C$9="",D822=$C$9),OR($C$10="",B822&gt;=$C$10),OR($C$11="",B822&lt;=$C$11),OR($C$12&lt;&gt;"Ya",K822&lt;&gt;""),OR($C$13="Semua",$C$13="",L822=$C$13)),"✓","")</f>
        <v/>
      </c>
      <c r="N822" s="93">
        <f>N(N821)+IF(M822="✓",1,0)</f>
        <v/>
      </c>
      <c r="O822" s="93">
        <f>N(O821)+IF(AND(B822&lt;&gt;"",B822&gt;='Uang Riba'!$H$30,B822&lt;='Uang Riba'!$I$30,OR(H822="Dana riba",H822="Pinjam uang riba",I822="Pinjam dari uang riba",I822="Ganti uang riba",I822="Kelebihan ganti dikembalikan",AND(C822="Kantong Uang Riba",G822="Pengeluaran"))),1,0)</f>
        <v/>
      </c>
      <c r="X822" s="93">
        <f>IF(AND(B822&lt;&gt;"",B822&gt;='Buku Akun'!$H$4,B822&lt;='Buku Akun'!$H$5,OR(C822='Buku Akun'!$C$4,AND(D822="Pindah",E822='Buku Akun'!$C$4))),B822+IF(AND(I822="Selisih bunga",DAY(B822)=1),0,0.01)+ROW()/10000000,"")</f>
        <v/>
      </c>
    </row>
    <row r="823" outlineLevel="1" ht="15" customHeight="1" s="94">
      <c r="A823" s="123">
        <f>IF(B823="","",ROW()-15)</f>
        <v/>
      </c>
      <c r="B823" s="124" t="n"/>
      <c r="C823" s="123" t="n"/>
      <c r="D823" s="123" t="n"/>
      <c r="E823" s="123" t="n"/>
      <c r="F823" s="125" t="n"/>
      <c r="G823" s="123" t="n"/>
      <c r="H823" s="123" t="n"/>
      <c r="I823" s="123" t="n"/>
      <c r="J823" s="123" t="n"/>
      <c r="K823" s="123" t="n"/>
      <c r="L823" s="123" t="n"/>
      <c r="M823" s="123">
        <f>IF(AND(B823&lt;&gt;"",OR($C$4="",ISNUMBER(SEARCH($C$4,C823&amp;" "&amp;E823&amp;" "&amp;G823&amp;" "&amp;H823&amp;" "&amp;I823&amp;" "&amp;J823&amp;" "&amp;K823&amp;" "&amp;L823))),OR($C$5="Semua",$C$5="",G823=$C$5),OR($C$6="Semua",$C$6="",H823=$C$6,H823="Pengeluaran "&amp;$C$6,AND($C$6="Uang Kos Mama",H823="Pengeluaran Uang Kos")),OR($C$7="Semua",$C$7="",I823=$C$7),OR($C$8="Semua",$C$8="",C823=$C$8,E823=$C$8),OR($C$9="Semua",$C$9="",D823=$C$9),OR($C$10="",B823&gt;=$C$10),OR($C$11="",B823&lt;=$C$11),OR($C$12&lt;&gt;"Ya",K823&lt;&gt;""),OR($C$13="Semua",$C$13="",L823=$C$13)),"✓","")</f>
        <v/>
      </c>
      <c r="N823" s="93">
        <f>N(N822)+IF(M823="✓",1,0)</f>
        <v/>
      </c>
      <c r="O823" s="93">
        <f>N(O822)+IF(AND(B823&lt;&gt;"",B823&gt;='Uang Riba'!$H$30,B823&lt;='Uang Riba'!$I$30,OR(H823="Dana riba",H823="Pinjam uang riba",I823="Pinjam dari uang riba",I823="Ganti uang riba",I823="Kelebihan ganti dikembalikan",AND(C823="Kantong Uang Riba",G823="Pengeluaran"))),1,0)</f>
        <v/>
      </c>
      <c r="X823" s="93">
        <f>IF(AND(B823&lt;&gt;"",B823&gt;='Buku Akun'!$H$4,B823&lt;='Buku Akun'!$H$5,OR(C823='Buku Akun'!$C$4,AND(D823="Pindah",E823='Buku Akun'!$C$4))),B823+IF(AND(I823="Selisih bunga",DAY(B823)=1),0,0.01)+ROW()/10000000,"")</f>
        <v/>
      </c>
    </row>
    <row r="824" outlineLevel="1" ht="15" customHeight="1" s="94">
      <c r="A824" s="123">
        <f>IF(B824="","",ROW()-15)</f>
        <v/>
      </c>
      <c r="B824" s="124" t="n"/>
      <c r="C824" s="123" t="n"/>
      <c r="D824" s="123" t="n"/>
      <c r="E824" s="123" t="n"/>
      <c r="F824" s="125" t="n"/>
      <c r="G824" s="123" t="n"/>
      <c r="H824" s="123" t="n"/>
      <c r="I824" s="123" t="n"/>
      <c r="J824" s="123" t="n"/>
      <c r="K824" s="123" t="n"/>
      <c r="L824" s="123" t="n"/>
      <c r="M824" s="123">
        <f>IF(AND(B824&lt;&gt;"",OR($C$4="",ISNUMBER(SEARCH($C$4,C824&amp;" "&amp;E824&amp;" "&amp;G824&amp;" "&amp;H824&amp;" "&amp;I824&amp;" "&amp;J824&amp;" "&amp;K824&amp;" "&amp;L824))),OR($C$5="Semua",$C$5="",G824=$C$5),OR($C$6="Semua",$C$6="",H824=$C$6,H824="Pengeluaran "&amp;$C$6,AND($C$6="Uang Kos Mama",H824="Pengeluaran Uang Kos")),OR($C$7="Semua",$C$7="",I824=$C$7),OR($C$8="Semua",$C$8="",C824=$C$8,E824=$C$8),OR($C$9="Semua",$C$9="",D824=$C$9),OR($C$10="",B824&gt;=$C$10),OR($C$11="",B824&lt;=$C$11),OR($C$12&lt;&gt;"Ya",K824&lt;&gt;""),OR($C$13="Semua",$C$13="",L824=$C$13)),"✓","")</f>
        <v/>
      </c>
      <c r="N824" s="93">
        <f>N(N823)+IF(M824="✓",1,0)</f>
        <v/>
      </c>
      <c r="O824" s="93">
        <f>N(O823)+IF(AND(B824&lt;&gt;"",B824&gt;='Uang Riba'!$H$30,B824&lt;='Uang Riba'!$I$30,OR(H824="Dana riba",H824="Pinjam uang riba",I824="Pinjam dari uang riba",I824="Ganti uang riba",I824="Kelebihan ganti dikembalikan",AND(C824="Kantong Uang Riba",G824="Pengeluaran"))),1,0)</f>
        <v/>
      </c>
      <c r="X824" s="93">
        <f>IF(AND(B824&lt;&gt;"",B824&gt;='Buku Akun'!$H$4,B824&lt;='Buku Akun'!$H$5,OR(C824='Buku Akun'!$C$4,AND(D824="Pindah",E824='Buku Akun'!$C$4))),B824+IF(AND(I824="Selisih bunga",DAY(B824)=1),0,0.01)+ROW()/10000000,"")</f>
        <v/>
      </c>
    </row>
    <row r="825" outlineLevel="1" ht="15" customHeight="1" s="94">
      <c r="A825" s="123">
        <f>IF(B825="","",ROW()-15)</f>
        <v/>
      </c>
      <c r="B825" s="124" t="n"/>
      <c r="C825" s="123" t="n"/>
      <c r="D825" s="123" t="n"/>
      <c r="E825" s="123" t="n"/>
      <c r="F825" s="125" t="n"/>
      <c r="G825" s="123" t="n"/>
      <c r="H825" s="123" t="n"/>
      <c r="I825" s="123" t="n"/>
      <c r="J825" s="123" t="n"/>
      <c r="K825" s="123" t="n"/>
      <c r="L825" s="123" t="n"/>
      <c r="M825" s="123">
        <f>IF(AND(B825&lt;&gt;"",OR($C$4="",ISNUMBER(SEARCH($C$4,C825&amp;" "&amp;E825&amp;" "&amp;G825&amp;" "&amp;H825&amp;" "&amp;I825&amp;" "&amp;J825&amp;" "&amp;K825&amp;" "&amp;L825))),OR($C$5="Semua",$C$5="",G825=$C$5),OR($C$6="Semua",$C$6="",H825=$C$6,H825="Pengeluaran "&amp;$C$6,AND($C$6="Uang Kos Mama",H825="Pengeluaran Uang Kos")),OR($C$7="Semua",$C$7="",I825=$C$7),OR($C$8="Semua",$C$8="",C825=$C$8,E825=$C$8),OR($C$9="Semua",$C$9="",D825=$C$9),OR($C$10="",B825&gt;=$C$10),OR($C$11="",B825&lt;=$C$11),OR($C$12&lt;&gt;"Ya",K825&lt;&gt;""),OR($C$13="Semua",$C$13="",L825=$C$13)),"✓","")</f>
        <v/>
      </c>
      <c r="N825" s="93">
        <f>N(N824)+IF(M825="✓",1,0)</f>
        <v/>
      </c>
      <c r="O825" s="93">
        <f>N(O824)+IF(AND(B825&lt;&gt;"",B825&gt;='Uang Riba'!$H$30,B825&lt;='Uang Riba'!$I$30,OR(H825="Dana riba",H825="Pinjam uang riba",I825="Pinjam dari uang riba",I825="Ganti uang riba",I825="Kelebihan ganti dikembalikan",AND(C825="Kantong Uang Riba",G825="Pengeluaran"))),1,0)</f>
        <v/>
      </c>
      <c r="X825" s="93">
        <f>IF(AND(B825&lt;&gt;"",B825&gt;='Buku Akun'!$H$4,B825&lt;='Buku Akun'!$H$5,OR(C825='Buku Akun'!$C$4,AND(D825="Pindah",E825='Buku Akun'!$C$4))),B825+IF(AND(I825="Selisih bunga",DAY(B825)=1),0,0.01)+ROW()/10000000,"")</f>
        <v/>
      </c>
    </row>
    <row r="826" outlineLevel="1" ht="15" customHeight="1" s="94">
      <c r="A826" s="123">
        <f>IF(B826="","",ROW()-15)</f>
        <v/>
      </c>
      <c r="B826" s="124" t="n"/>
      <c r="C826" s="123" t="n"/>
      <c r="D826" s="123" t="n"/>
      <c r="E826" s="123" t="n"/>
      <c r="F826" s="125" t="n"/>
      <c r="G826" s="123" t="n"/>
      <c r="H826" s="123" t="n"/>
      <c r="I826" s="123" t="n"/>
      <c r="J826" s="123" t="n"/>
      <c r="K826" s="123" t="n"/>
      <c r="L826" s="123" t="n"/>
      <c r="M826" s="123">
        <f>IF(AND(B826&lt;&gt;"",OR($C$4="",ISNUMBER(SEARCH($C$4,C826&amp;" "&amp;E826&amp;" "&amp;G826&amp;" "&amp;H826&amp;" "&amp;I826&amp;" "&amp;J826&amp;" "&amp;K826&amp;" "&amp;L826))),OR($C$5="Semua",$C$5="",G826=$C$5),OR($C$6="Semua",$C$6="",H826=$C$6,H826="Pengeluaran "&amp;$C$6,AND($C$6="Uang Kos Mama",H826="Pengeluaran Uang Kos")),OR($C$7="Semua",$C$7="",I826=$C$7),OR($C$8="Semua",$C$8="",C826=$C$8,E826=$C$8),OR($C$9="Semua",$C$9="",D826=$C$9),OR($C$10="",B826&gt;=$C$10),OR($C$11="",B826&lt;=$C$11),OR($C$12&lt;&gt;"Ya",K826&lt;&gt;""),OR($C$13="Semua",$C$13="",L826=$C$13)),"✓","")</f>
        <v/>
      </c>
      <c r="N826" s="93">
        <f>N(N825)+IF(M826="✓",1,0)</f>
        <v/>
      </c>
      <c r="O826" s="93">
        <f>N(O825)+IF(AND(B826&lt;&gt;"",B826&gt;='Uang Riba'!$H$30,B826&lt;='Uang Riba'!$I$30,OR(H826="Dana riba",H826="Pinjam uang riba",I826="Pinjam dari uang riba",I826="Ganti uang riba",I826="Kelebihan ganti dikembalikan",AND(C826="Kantong Uang Riba",G826="Pengeluaran"))),1,0)</f>
        <v/>
      </c>
      <c r="X826" s="93">
        <f>IF(AND(B826&lt;&gt;"",B826&gt;='Buku Akun'!$H$4,B826&lt;='Buku Akun'!$H$5,OR(C826='Buku Akun'!$C$4,AND(D826="Pindah",E826='Buku Akun'!$C$4))),B826+IF(AND(I826="Selisih bunga",DAY(B826)=1),0,0.01)+ROW()/10000000,"")</f>
        <v/>
      </c>
    </row>
    <row r="827" outlineLevel="1" ht="15" customHeight="1" s="94">
      <c r="A827" s="123">
        <f>IF(B827="","",ROW()-15)</f>
        <v/>
      </c>
      <c r="B827" s="124" t="n"/>
      <c r="C827" s="123" t="n"/>
      <c r="D827" s="123" t="n"/>
      <c r="E827" s="123" t="n"/>
      <c r="F827" s="125" t="n"/>
      <c r="G827" s="123" t="n"/>
      <c r="H827" s="123" t="n"/>
      <c r="I827" s="123" t="n"/>
      <c r="J827" s="123" t="n"/>
      <c r="K827" s="123" t="n"/>
      <c r="L827" s="123" t="n"/>
      <c r="M827" s="123">
        <f>IF(AND(B827&lt;&gt;"",OR($C$4="",ISNUMBER(SEARCH($C$4,C827&amp;" "&amp;E827&amp;" "&amp;G827&amp;" "&amp;H827&amp;" "&amp;I827&amp;" "&amp;J827&amp;" "&amp;K827&amp;" "&amp;L827))),OR($C$5="Semua",$C$5="",G827=$C$5),OR($C$6="Semua",$C$6="",H827=$C$6,H827="Pengeluaran "&amp;$C$6,AND($C$6="Uang Kos Mama",H827="Pengeluaran Uang Kos")),OR($C$7="Semua",$C$7="",I827=$C$7),OR($C$8="Semua",$C$8="",C827=$C$8,E827=$C$8),OR($C$9="Semua",$C$9="",D827=$C$9),OR($C$10="",B827&gt;=$C$10),OR($C$11="",B827&lt;=$C$11),OR($C$12&lt;&gt;"Ya",K827&lt;&gt;""),OR($C$13="Semua",$C$13="",L827=$C$13)),"✓","")</f>
        <v/>
      </c>
      <c r="N827" s="93">
        <f>N(N826)+IF(M827="✓",1,0)</f>
        <v/>
      </c>
      <c r="O827" s="93">
        <f>N(O826)+IF(AND(B827&lt;&gt;"",B827&gt;='Uang Riba'!$H$30,B827&lt;='Uang Riba'!$I$30,OR(H827="Dana riba",H827="Pinjam uang riba",I827="Pinjam dari uang riba",I827="Ganti uang riba",I827="Kelebihan ganti dikembalikan",AND(C827="Kantong Uang Riba",G827="Pengeluaran"))),1,0)</f>
        <v/>
      </c>
      <c r="X827" s="93">
        <f>IF(AND(B827&lt;&gt;"",B827&gt;='Buku Akun'!$H$4,B827&lt;='Buku Akun'!$H$5,OR(C827='Buku Akun'!$C$4,AND(D827="Pindah",E827='Buku Akun'!$C$4))),B827+IF(AND(I827="Selisih bunga",DAY(B827)=1),0,0.01)+ROW()/10000000,"")</f>
        <v/>
      </c>
    </row>
    <row r="828" outlineLevel="1" ht="15" customHeight="1" s="94">
      <c r="A828" s="123">
        <f>IF(B828="","",ROW()-15)</f>
        <v/>
      </c>
      <c r="B828" s="124" t="n"/>
      <c r="C828" s="123" t="n"/>
      <c r="D828" s="123" t="n"/>
      <c r="E828" s="123" t="n"/>
      <c r="F828" s="125" t="n"/>
      <c r="G828" s="123" t="n"/>
      <c r="H828" s="123" t="n"/>
      <c r="I828" s="123" t="n"/>
      <c r="J828" s="123" t="n"/>
      <c r="K828" s="123" t="n"/>
      <c r="L828" s="123" t="n"/>
      <c r="M828" s="123">
        <f>IF(AND(B828&lt;&gt;"",OR($C$4="",ISNUMBER(SEARCH($C$4,C828&amp;" "&amp;E828&amp;" "&amp;G828&amp;" "&amp;H828&amp;" "&amp;I828&amp;" "&amp;J828&amp;" "&amp;K828&amp;" "&amp;L828))),OR($C$5="Semua",$C$5="",G828=$C$5),OR($C$6="Semua",$C$6="",H828=$C$6,H828="Pengeluaran "&amp;$C$6,AND($C$6="Uang Kos Mama",H828="Pengeluaran Uang Kos")),OR($C$7="Semua",$C$7="",I828=$C$7),OR($C$8="Semua",$C$8="",C828=$C$8,E828=$C$8),OR($C$9="Semua",$C$9="",D828=$C$9),OR($C$10="",B828&gt;=$C$10),OR($C$11="",B828&lt;=$C$11),OR($C$12&lt;&gt;"Ya",K828&lt;&gt;""),OR($C$13="Semua",$C$13="",L828=$C$13)),"✓","")</f>
        <v/>
      </c>
      <c r="N828" s="93">
        <f>N(N827)+IF(M828="✓",1,0)</f>
        <v/>
      </c>
      <c r="O828" s="93">
        <f>N(O827)+IF(AND(B828&lt;&gt;"",B828&gt;='Uang Riba'!$H$30,B828&lt;='Uang Riba'!$I$30,OR(H828="Dana riba",H828="Pinjam uang riba",I828="Pinjam dari uang riba",I828="Ganti uang riba",I828="Kelebihan ganti dikembalikan",AND(C828="Kantong Uang Riba",G828="Pengeluaran"))),1,0)</f>
        <v/>
      </c>
      <c r="X828" s="93">
        <f>IF(AND(B828&lt;&gt;"",B828&gt;='Buku Akun'!$H$4,B828&lt;='Buku Akun'!$H$5,OR(C828='Buku Akun'!$C$4,AND(D828="Pindah",E828='Buku Akun'!$C$4))),B828+IF(AND(I828="Selisih bunga",DAY(B828)=1),0,0.01)+ROW()/10000000,"")</f>
        <v/>
      </c>
    </row>
    <row r="829" outlineLevel="1" ht="15" customHeight="1" s="94">
      <c r="A829" s="123">
        <f>IF(B829="","",ROW()-15)</f>
        <v/>
      </c>
      <c r="B829" s="124" t="n"/>
      <c r="C829" s="123" t="n"/>
      <c r="D829" s="123" t="n"/>
      <c r="E829" s="123" t="n"/>
      <c r="F829" s="125" t="n"/>
      <c r="G829" s="123" t="n"/>
      <c r="H829" s="123" t="n"/>
      <c r="I829" s="123" t="n"/>
      <c r="J829" s="123" t="n"/>
      <c r="K829" s="123" t="n"/>
      <c r="L829" s="123" t="n"/>
      <c r="M829" s="123">
        <f>IF(AND(B829&lt;&gt;"",OR($C$4="",ISNUMBER(SEARCH($C$4,C829&amp;" "&amp;E829&amp;" "&amp;G829&amp;" "&amp;H829&amp;" "&amp;I829&amp;" "&amp;J829&amp;" "&amp;K829&amp;" "&amp;L829))),OR($C$5="Semua",$C$5="",G829=$C$5),OR($C$6="Semua",$C$6="",H829=$C$6,H829="Pengeluaran "&amp;$C$6,AND($C$6="Uang Kos Mama",H829="Pengeluaran Uang Kos")),OR($C$7="Semua",$C$7="",I829=$C$7),OR($C$8="Semua",$C$8="",C829=$C$8,E829=$C$8),OR($C$9="Semua",$C$9="",D829=$C$9),OR($C$10="",B829&gt;=$C$10),OR($C$11="",B829&lt;=$C$11),OR($C$12&lt;&gt;"Ya",K829&lt;&gt;""),OR($C$13="Semua",$C$13="",L829=$C$13)),"✓","")</f>
        <v/>
      </c>
      <c r="N829" s="93">
        <f>N(N828)+IF(M829="✓",1,0)</f>
        <v/>
      </c>
      <c r="O829" s="93">
        <f>N(O828)+IF(AND(B829&lt;&gt;"",B829&gt;='Uang Riba'!$H$30,B829&lt;='Uang Riba'!$I$30,OR(H829="Dana riba",H829="Pinjam uang riba",I829="Pinjam dari uang riba",I829="Ganti uang riba",I829="Kelebihan ganti dikembalikan",AND(C829="Kantong Uang Riba",G829="Pengeluaran"))),1,0)</f>
        <v/>
      </c>
      <c r="X829" s="93">
        <f>IF(AND(B829&lt;&gt;"",B829&gt;='Buku Akun'!$H$4,B829&lt;='Buku Akun'!$H$5,OR(C829='Buku Akun'!$C$4,AND(D829="Pindah",E829='Buku Akun'!$C$4))),B829+IF(AND(I829="Selisih bunga",DAY(B829)=1),0,0.01)+ROW()/10000000,"")</f>
        <v/>
      </c>
    </row>
    <row r="830" outlineLevel="1" ht="15" customHeight="1" s="94">
      <c r="A830" s="123">
        <f>IF(B830="","",ROW()-15)</f>
        <v/>
      </c>
      <c r="B830" s="124" t="n"/>
      <c r="C830" s="123" t="n"/>
      <c r="D830" s="123" t="n"/>
      <c r="E830" s="123" t="n"/>
      <c r="F830" s="125" t="n"/>
      <c r="G830" s="123" t="n"/>
      <c r="H830" s="123" t="n"/>
      <c r="I830" s="123" t="n"/>
      <c r="J830" s="123" t="n"/>
      <c r="K830" s="123" t="n"/>
      <c r="L830" s="123" t="n"/>
      <c r="M830" s="123">
        <f>IF(AND(B830&lt;&gt;"",OR($C$4="",ISNUMBER(SEARCH($C$4,C830&amp;" "&amp;E830&amp;" "&amp;G830&amp;" "&amp;H830&amp;" "&amp;I830&amp;" "&amp;J830&amp;" "&amp;K830&amp;" "&amp;L830))),OR($C$5="Semua",$C$5="",G830=$C$5),OR($C$6="Semua",$C$6="",H830=$C$6,H830="Pengeluaran "&amp;$C$6,AND($C$6="Uang Kos Mama",H830="Pengeluaran Uang Kos")),OR($C$7="Semua",$C$7="",I830=$C$7),OR($C$8="Semua",$C$8="",C830=$C$8,E830=$C$8),OR($C$9="Semua",$C$9="",D830=$C$9),OR($C$10="",B830&gt;=$C$10),OR($C$11="",B830&lt;=$C$11),OR($C$12&lt;&gt;"Ya",K830&lt;&gt;""),OR($C$13="Semua",$C$13="",L830=$C$13)),"✓","")</f>
        <v/>
      </c>
      <c r="N830" s="93">
        <f>N(N829)+IF(M830="✓",1,0)</f>
        <v/>
      </c>
      <c r="O830" s="93">
        <f>N(O829)+IF(AND(B830&lt;&gt;"",B830&gt;='Uang Riba'!$H$30,B830&lt;='Uang Riba'!$I$30,OR(H830="Dana riba",H830="Pinjam uang riba",I830="Pinjam dari uang riba",I830="Ganti uang riba",I830="Kelebihan ganti dikembalikan",AND(C830="Kantong Uang Riba",G830="Pengeluaran"))),1,0)</f>
        <v/>
      </c>
      <c r="X830" s="93">
        <f>IF(AND(B830&lt;&gt;"",B830&gt;='Buku Akun'!$H$4,B830&lt;='Buku Akun'!$H$5,OR(C830='Buku Akun'!$C$4,AND(D830="Pindah",E830='Buku Akun'!$C$4))),B830+IF(AND(I830="Selisih bunga",DAY(B830)=1),0,0.01)+ROW()/10000000,"")</f>
        <v/>
      </c>
    </row>
    <row r="831" outlineLevel="1" ht="15" customHeight="1" s="94">
      <c r="A831" s="123">
        <f>IF(B831="","",ROW()-15)</f>
        <v/>
      </c>
      <c r="B831" s="124" t="n"/>
      <c r="C831" s="123" t="n"/>
      <c r="D831" s="123" t="n"/>
      <c r="E831" s="123" t="n"/>
      <c r="F831" s="125" t="n"/>
      <c r="G831" s="123" t="n"/>
      <c r="H831" s="123" t="n"/>
      <c r="I831" s="123" t="n"/>
      <c r="J831" s="123" t="n"/>
      <c r="K831" s="123" t="n"/>
      <c r="L831" s="123" t="n"/>
      <c r="M831" s="123">
        <f>IF(AND(B831&lt;&gt;"",OR($C$4="",ISNUMBER(SEARCH($C$4,C831&amp;" "&amp;E831&amp;" "&amp;G831&amp;" "&amp;H831&amp;" "&amp;I831&amp;" "&amp;J831&amp;" "&amp;K831&amp;" "&amp;L831))),OR($C$5="Semua",$C$5="",G831=$C$5),OR($C$6="Semua",$C$6="",H831=$C$6,H831="Pengeluaran "&amp;$C$6,AND($C$6="Uang Kos Mama",H831="Pengeluaran Uang Kos")),OR($C$7="Semua",$C$7="",I831=$C$7),OR($C$8="Semua",$C$8="",C831=$C$8,E831=$C$8),OR($C$9="Semua",$C$9="",D831=$C$9),OR($C$10="",B831&gt;=$C$10),OR($C$11="",B831&lt;=$C$11),OR($C$12&lt;&gt;"Ya",K831&lt;&gt;""),OR($C$13="Semua",$C$13="",L831=$C$13)),"✓","")</f>
        <v/>
      </c>
      <c r="N831" s="93">
        <f>N(N830)+IF(M831="✓",1,0)</f>
        <v/>
      </c>
      <c r="O831" s="93">
        <f>N(O830)+IF(AND(B831&lt;&gt;"",B831&gt;='Uang Riba'!$H$30,B831&lt;='Uang Riba'!$I$30,OR(H831="Dana riba",H831="Pinjam uang riba",I831="Pinjam dari uang riba",I831="Ganti uang riba",I831="Kelebihan ganti dikembalikan",AND(C831="Kantong Uang Riba",G831="Pengeluaran"))),1,0)</f>
        <v/>
      </c>
      <c r="X831" s="93">
        <f>IF(AND(B831&lt;&gt;"",B831&gt;='Buku Akun'!$H$4,B831&lt;='Buku Akun'!$H$5,OR(C831='Buku Akun'!$C$4,AND(D831="Pindah",E831='Buku Akun'!$C$4))),B831+IF(AND(I831="Selisih bunga",DAY(B831)=1),0,0.01)+ROW()/10000000,"")</f>
        <v/>
      </c>
    </row>
    <row r="832" outlineLevel="1" ht="15" customHeight="1" s="94">
      <c r="A832" s="123">
        <f>IF(B832="","",ROW()-15)</f>
        <v/>
      </c>
      <c r="B832" s="124" t="n"/>
      <c r="C832" s="123" t="n"/>
      <c r="D832" s="123" t="n"/>
      <c r="E832" s="123" t="n"/>
      <c r="F832" s="125" t="n"/>
      <c r="G832" s="123" t="n"/>
      <c r="H832" s="123" t="n"/>
      <c r="I832" s="123" t="n"/>
      <c r="J832" s="123" t="n"/>
      <c r="K832" s="123" t="n"/>
      <c r="L832" s="123" t="n"/>
      <c r="M832" s="123">
        <f>IF(AND(B832&lt;&gt;"",OR($C$4="",ISNUMBER(SEARCH($C$4,C832&amp;" "&amp;E832&amp;" "&amp;G832&amp;" "&amp;H832&amp;" "&amp;I832&amp;" "&amp;J832&amp;" "&amp;K832&amp;" "&amp;L832))),OR($C$5="Semua",$C$5="",G832=$C$5),OR($C$6="Semua",$C$6="",H832=$C$6,H832="Pengeluaran "&amp;$C$6,AND($C$6="Uang Kos Mama",H832="Pengeluaran Uang Kos")),OR($C$7="Semua",$C$7="",I832=$C$7),OR($C$8="Semua",$C$8="",C832=$C$8,E832=$C$8),OR($C$9="Semua",$C$9="",D832=$C$9),OR($C$10="",B832&gt;=$C$10),OR($C$11="",B832&lt;=$C$11),OR($C$12&lt;&gt;"Ya",K832&lt;&gt;""),OR($C$13="Semua",$C$13="",L832=$C$13)),"✓","")</f>
        <v/>
      </c>
      <c r="N832" s="93">
        <f>N(N831)+IF(M832="✓",1,0)</f>
        <v/>
      </c>
      <c r="O832" s="93">
        <f>N(O831)+IF(AND(B832&lt;&gt;"",B832&gt;='Uang Riba'!$H$30,B832&lt;='Uang Riba'!$I$30,OR(H832="Dana riba",H832="Pinjam uang riba",I832="Pinjam dari uang riba",I832="Ganti uang riba",I832="Kelebihan ganti dikembalikan",AND(C832="Kantong Uang Riba",G832="Pengeluaran"))),1,0)</f>
        <v/>
      </c>
      <c r="X832" s="93">
        <f>IF(AND(B832&lt;&gt;"",B832&gt;='Buku Akun'!$H$4,B832&lt;='Buku Akun'!$H$5,OR(C832='Buku Akun'!$C$4,AND(D832="Pindah",E832='Buku Akun'!$C$4))),B832+IF(AND(I832="Selisih bunga",DAY(B832)=1),0,0.01)+ROW()/10000000,"")</f>
        <v/>
      </c>
    </row>
    <row r="833" outlineLevel="1" ht="15" customHeight="1" s="94">
      <c r="A833" s="123">
        <f>IF(B833="","",ROW()-15)</f>
        <v/>
      </c>
      <c r="B833" s="124" t="n"/>
      <c r="C833" s="123" t="n"/>
      <c r="D833" s="123" t="n"/>
      <c r="E833" s="123" t="n"/>
      <c r="F833" s="125" t="n"/>
      <c r="G833" s="123" t="n"/>
      <c r="H833" s="123" t="n"/>
      <c r="I833" s="123" t="n"/>
      <c r="J833" s="123" t="n"/>
      <c r="K833" s="123" t="n"/>
      <c r="L833" s="123" t="n"/>
      <c r="M833" s="123">
        <f>IF(AND(B833&lt;&gt;"",OR($C$4="",ISNUMBER(SEARCH($C$4,C833&amp;" "&amp;E833&amp;" "&amp;G833&amp;" "&amp;H833&amp;" "&amp;I833&amp;" "&amp;J833&amp;" "&amp;K833&amp;" "&amp;L833))),OR($C$5="Semua",$C$5="",G833=$C$5),OR($C$6="Semua",$C$6="",H833=$C$6,H833="Pengeluaran "&amp;$C$6,AND($C$6="Uang Kos Mama",H833="Pengeluaran Uang Kos")),OR($C$7="Semua",$C$7="",I833=$C$7),OR($C$8="Semua",$C$8="",C833=$C$8,E833=$C$8),OR($C$9="Semua",$C$9="",D833=$C$9),OR($C$10="",B833&gt;=$C$10),OR($C$11="",B833&lt;=$C$11),OR($C$12&lt;&gt;"Ya",K833&lt;&gt;""),OR($C$13="Semua",$C$13="",L833=$C$13)),"✓","")</f>
        <v/>
      </c>
      <c r="N833" s="93">
        <f>N(N832)+IF(M833="✓",1,0)</f>
        <v/>
      </c>
      <c r="O833" s="93">
        <f>N(O832)+IF(AND(B833&lt;&gt;"",B833&gt;='Uang Riba'!$H$30,B833&lt;='Uang Riba'!$I$30,OR(H833="Dana riba",H833="Pinjam uang riba",I833="Pinjam dari uang riba",I833="Ganti uang riba",I833="Kelebihan ganti dikembalikan",AND(C833="Kantong Uang Riba",G833="Pengeluaran"))),1,0)</f>
        <v/>
      </c>
      <c r="X833" s="93">
        <f>IF(AND(B833&lt;&gt;"",B833&gt;='Buku Akun'!$H$4,B833&lt;='Buku Akun'!$H$5,OR(C833='Buku Akun'!$C$4,AND(D833="Pindah",E833='Buku Akun'!$C$4))),B833+IF(AND(I833="Selisih bunga",DAY(B833)=1),0,0.01)+ROW()/10000000,"")</f>
        <v/>
      </c>
    </row>
    <row r="834" outlineLevel="1" ht="15" customHeight="1" s="94">
      <c r="A834" s="123">
        <f>IF(B834="","",ROW()-15)</f>
        <v/>
      </c>
      <c r="B834" s="124" t="n"/>
      <c r="C834" s="123" t="n"/>
      <c r="D834" s="123" t="n"/>
      <c r="E834" s="123" t="n"/>
      <c r="F834" s="125" t="n"/>
      <c r="G834" s="123" t="n"/>
      <c r="H834" s="123" t="n"/>
      <c r="I834" s="123" t="n"/>
      <c r="J834" s="123" t="n"/>
      <c r="K834" s="123" t="n"/>
      <c r="L834" s="123" t="n"/>
      <c r="M834" s="123">
        <f>IF(AND(B834&lt;&gt;"",OR($C$4="",ISNUMBER(SEARCH($C$4,C834&amp;" "&amp;E834&amp;" "&amp;G834&amp;" "&amp;H834&amp;" "&amp;I834&amp;" "&amp;J834&amp;" "&amp;K834&amp;" "&amp;L834))),OR($C$5="Semua",$C$5="",G834=$C$5),OR($C$6="Semua",$C$6="",H834=$C$6,H834="Pengeluaran "&amp;$C$6,AND($C$6="Uang Kos Mama",H834="Pengeluaran Uang Kos")),OR($C$7="Semua",$C$7="",I834=$C$7),OR($C$8="Semua",$C$8="",C834=$C$8,E834=$C$8),OR($C$9="Semua",$C$9="",D834=$C$9),OR($C$10="",B834&gt;=$C$10),OR($C$11="",B834&lt;=$C$11),OR($C$12&lt;&gt;"Ya",K834&lt;&gt;""),OR($C$13="Semua",$C$13="",L834=$C$13)),"✓","")</f>
        <v/>
      </c>
      <c r="N834" s="93">
        <f>N(N833)+IF(M834="✓",1,0)</f>
        <v/>
      </c>
      <c r="O834" s="93">
        <f>N(O833)+IF(AND(B834&lt;&gt;"",B834&gt;='Uang Riba'!$H$30,B834&lt;='Uang Riba'!$I$30,OR(H834="Dana riba",H834="Pinjam uang riba",I834="Pinjam dari uang riba",I834="Ganti uang riba",I834="Kelebihan ganti dikembalikan",AND(C834="Kantong Uang Riba",G834="Pengeluaran"))),1,0)</f>
        <v/>
      </c>
      <c r="X834" s="93">
        <f>IF(AND(B834&lt;&gt;"",B834&gt;='Buku Akun'!$H$4,B834&lt;='Buku Akun'!$H$5,OR(C834='Buku Akun'!$C$4,AND(D834="Pindah",E834='Buku Akun'!$C$4))),B834+IF(AND(I834="Selisih bunga",DAY(B834)=1),0,0.01)+ROW()/10000000,"")</f>
        <v/>
      </c>
    </row>
    <row r="835" outlineLevel="1" ht="15" customHeight="1" s="94">
      <c r="A835" s="123">
        <f>IF(B835="","",ROW()-15)</f>
        <v/>
      </c>
      <c r="B835" s="124" t="n"/>
      <c r="C835" s="123" t="n"/>
      <c r="D835" s="123" t="n"/>
      <c r="E835" s="123" t="n"/>
      <c r="F835" s="125" t="n"/>
      <c r="G835" s="123" t="n"/>
      <c r="H835" s="123" t="n"/>
      <c r="I835" s="123" t="n"/>
      <c r="J835" s="123" t="n"/>
      <c r="K835" s="123" t="n"/>
      <c r="L835" s="123" t="n"/>
      <c r="M835" s="123">
        <f>IF(AND(B835&lt;&gt;"",OR($C$4="",ISNUMBER(SEARCH($C$4,C835&amp;" "&amp;E835&amp;" "&amp;G835&amp;" "&amp;H835&amp;" "&amp;I835&amp;" "&amp;J835&amp;" "&amp;K835&amp;" "&amp;L835))),OR($C$5="Semua",$C$5="",G835=$C$5),OR($C$6="Semua",$C$6="",H835=$C$6,H835="Pengeluaran "&amp;$C$6,AND($C$6="Uang Kos Mama",H835="Pengeluaran Uang Kos")),OR($C$7="Semua",$C$7="",I835=$C$7),OR($C$8="Semua",$C$8="",C835=$C$8,E835=$C$8),OR($C$9="Semua",$C$9="",D835=$C$9),OR($C$10="",B835&gt;=$C$10),OR($C$11="",B835&lt;=$C$11),OR($C$12&lt;&gt;"Ya",K835&lt;&gt;""),OR($C$13="Semua",$C$13="",L835=$C$13)),"✓","")</f>
        <v/>
      </c>
      <c r="N835" s="93">
        <f>N(N834)+IF(M835="✓",1,0)</f>
        <v/>
      </c>
      <c r="O835" s="93">
        <f>N(O834)+IF(AND(B835&lt;&gt;"",B835&gt;='Uang Riba'!$H$30,B835&lt;='Uang Riba'!$I$30,OR(H835="Dana riba",H835="Pinjam uang riba",I835="Pinjam dari uang riba",I835="Ganti uang riba",I835="Kelebihan ganti dikembalikan",AND(C835="Kantong Uang Riba",G835="Pengeluaran"))),1,0)</f>
        <v/>
      </c>
      <c r="X835" s="93">
        <f>IF(AND(B835&lt;&gt;"",B835&gt;='Buku Akun'!$H$4,B835&lt;='Buku Akun'!$H$5,OR(C835='Buku Akun'!$C$4,AND(D835="Pindah",E835='Buku Akun'!$C$4))),B835+IF(AND(I835="Selisih bunga",DAY(B835)=1),0,0.01)+ROW()/10000000,"")</f>
        <v/>
      </c>
    </row>
    <row r="836" outlineLevel="1" ht="15" customHeight="1" s="94">
      <c r="A836" s="123">
        <f>IF(B836="","",ROW()-15)</f>
        <v/>
      </c>
      <c r="B836" s="124" t="n"/>
      <c r="C836" s="123" t="n"/>
      <c r="D836" s="123" t="n"/>
      <c r="E836" s="123" t="n"/>
      <c r="F836" s="125" t="n"/>
      <c r="G836" s="123" t="n"/>
      <c r="H836" s="123" t="n"/>
      <c r="I836" s="123" t="n"/>
      <c r="J836" s="123" t="n"/>
      <c r="K836" s="123" t="n"/>
      <c r="L836" s="123" t="n"/>
      <c r="M836" s="123">
        <f>IF(AND(B836&lt;&gt;"",OR($C$4="",ISNUMBER(SEARCH($C$4,C836&amp;" "&amp;E836&amp;" "&amp;G836&amp;" "&amp;H836&amp;" "&amp;I836&amp;" "&amp;J836&amp;" "&amp;K836&amp;" "&amp;L836))),OR($C$5="Semua",$C$5="",G836=$C$5),OR($C$6="Semua",$C$6="",H836=$C$6,H836="Pengeluaran "&amp;$C$6,AND($C$6="Uang Kos Mama",H836="Pengeluaran Uang Kos")),OR($C$7="Semua",$C$7="",I836=$C$7),OR($C$8="Semua",$C$8="",C836=$C$8,E836=$C$8),OR($C$9="Semua",$C$9="",D836=$C$9),OR($C$10="",B836&gt;=$C$10),OR($C$11="",B836&lt;=$C$11),OR($C$12&lt;&gt;"Ya",K836&lt;&gt;""),OR($C$13="Semua",$C$13="",L836=$C$13)),"✓","")</f>
        <v/>
      </c>
      <c r="N836" s="93">
        <f>N(N835)+IF(M836="✓",1,0)</f>
        <v/>
      </c>
      <c r="O836" s="93">
        <f>N(O835)+IF(AND(B836&lt;&gt;"",B836&gt;='Uang Riba'!$H$30,B836&lt;='Uang Riba'!$I$30,OR(H836="Dana riba",H836="Pinjam uang riba",I836="Pinjam dari uang riba",I836="Ganti uang riba",I836="Kelebihan ganti dikembalikan",AND(C836="Kantong Uang Riba",G836="Pengeluaran"))),1,0)</f>
        <v/>
      </c>
      <c r="X836" s="93">
        <f>IF(AND(B836&lt;&gt;"",B836&gt;='Buku Akun'!$H$4,B836&lt;='Buku Akun'!$H$5,OR(C836='Buku Akun'!$C$4,AND(D836="Pindah",E836='Buku Akun'!$C$4))),B836+IF(AND(I836="Selisih bunga",DAY(B836)=1),0,0.01)+ROW()/10000000,"")</f>
        <v/>
      </c>
    </row>
    <row r="837" outlineLevel="1" ht="15" customHeight="1" s="94">
      <c r="A837" s="123">
        <f>IF(B837="","",ROW()-15)</f>
        <v/>
      </c>
      <c r="B837" s="124" t="n"/>
      <c r="C837" s="123" t="n"/>
      <c r="D837" s="123" t="n"/>
      <c r="E837" s="123" t="n"/>
      <c r="F837" s="125" t="n"/>
      <c r="G837" s="123" t="n"/>
      <c r="H837" s="123" t="n"/>
      <c r="I837" s="123" t="n"/>
      <c r="J837" s="123" t="n"/>
      <c r="K837" s="123" t="n"/>
      <c r="L837" s="123" t="n"/>
      <c r="M837" s="123">
        <f>IF(AND(B837&lt;&gt;"",OR($C$4="",ISNUMBER(SEARCH($C$4,C837&amp;" "&amp;E837&amp;" "&amp;G837&amp;" "&amp;H837&amp;" "&amp;I837&amp;" "&amp;J837&amp;" "&amp;K837&amp;" "&amp;L837))),OR($C$5="Semua",$C$5="",G837=$C$5),OR($C$6="Semua",$C$6="",H837=$C$6,H837="Pengeluaran "&amp;$C$6,AND($C$6="Uang Kos Mama",H837="Pengeluaran Uang Kos")),OR($C$7="Semua",$C$7="",I837=$C$7),OR($C$8="Semua",$C$8="",C837=$C$8,E837=$C$8),OR($C$9="Semua",$C$9="",D837=$C$9),OR($C$10="",B837&gt;=$C$10),OR($C$11="",B837&lt;=$C$11),OR($C$12&lt;&gt;"Ya",K837&lt;&gt;""),OR($C$13="Semua",$C$13="",L837=$C$13)),"✓","")</f>
        <v/>
      </c>
      <c r="N837" s="93">
        <f>N(N836)+IF(M837="✓",1,0)</f>
        <v/>
      </c>
      <c r="O837" s="93">
        <f>N(O836)+IF(AND(B837&lt;&gt;"",B837&gt;='Uang Riba'!$H$30,B837&lt;='Uang Riba'!$I$30,OR(H837="Dana riba",H837="Pinjam uang riba",I837="Pinjam dari uang riba",I837="Ganti uang riba",I837="Kelebihan ganti dikembalikan",AND(C837="Kantong Uang Riba",G837="Pengeluaran"))),1,0)</f>
        <v/>
      </c>
      <c r="X837" s="93">
        <f>IF(AND(B837&lt;&gt;"",B837&gt;='Buku Akun'!$H$4,B837&lt;='Buku Akun'!$H$5,OR(C837='Buku Akun'!$C$4,AND(D837="Pindah",E837='Buku Akun'!$C$4))),B837+IF(AND(I837="Selisih bunga",DAY(B837)=1),0,0.01)+ROW()/10000000,"")</f>
        <v/>
      </c>
    </row>
    <row r="838" outlineLevel="1" ht="15" customHeight="1" s="94">
      <c r="A838" s="123">
        <f>IF(B838="","",ROW()-15)</f>
        <v/>
      </c>
      <c r="B838" s="124" t="n"/>
      <c r="C838" s="123" t="n"/>
      <c r="D838" s="123" t="n"/>
      <c r="E838" s="123" t="n"/>
      <c r="F838" s="125" t="n"/>
      <c r="G838" s="123" t="n"/>
      <c r="H838" s="123" t="n"/>
      <c r="I838" s="123" t="n"/>
      <c r="J838" s="123" t="n"/>
      <c r="K838" s="123" t="n"/>
      <c r="L838" s="123" t="n"/>
      <c r="M838" s="123">
        <f>IF(AND(B838&lt;&gt;"",OR($C$4="",ISNUMBER(SEARCH($C$4,C838&amp;" "&amp;E838&amp;" "&amp;G838&amp;" "&amp;H838&amp;" "&amp;I838&amp;" "&amp;J838&amp;" "&amp;K838&amp;" "&amp;L838))),OR($C$5="Semua",$C$5="",G838=$C$5),OR($C$6="Semua",$C$6="",H838=$C$6,H838="Pengeluaran "&amp;$C$6,AND($C$6="Uang Kos Mama",H838="Pengeluaran Uang Kos")),OR($C$7="Semua",$C$7="",I838=$C$7),OR($C$8="Semua",$C$8="",C838=$C$8,E838=$C$8),OR($C$9="Semua",$C$9="",D838=$C$9),OR($C$10="",B838&gt;=$C$10),OR($C$11="",B838&lt;=$C$11),OR($C$12&lt;&gt;"Ya",K838&lt;&gt;""),OR($C$13="Semua",$C$13="",L838=$C$13)),"✓","")</f>
        <v/>
      </c>
      <c r="N838" s="93">
        <f>N(N837)+IF(M838="✓",1,0)</f>
        <v/>
      </c>
      <c r="O838" s="93">
        <f>N(O837)+IF(AND(B838&lt;&gt;"",B838&gt;='Uang Riba'!$H$30,B838&lt;='Uang Riba'!$I$30,OR(H838="Dana riba",H838="Pinjam uang riba",I838="Pinjam dari uang riba",I838="Ganti uang riba",I838="Kelebihan ganti dikembalikan",AND(C838="Kantong Uang Riba",G838="Pengeluaran"))),1,0)</f>
        <v/>
      </c>
      <c r="X838" s="93">
        <f>IF(AND(B838&lt;&gt;"",B838&gt;='Buku Akun'!$H$4,B838&lt;='Buku Akun'!$H$5,OR(C838='Buku Akun'!$C$4,AND(D838="Pindah",E838='Buku Akun'!$C$4))),B838+IF(AND(I838="Selisih bunga",DAY(B838)=1),0,0.01)+ROW()/10000000,"")</f>
        <v/>
      </c>
    </row>
    <row r="839" outlineLevel="1" ht="15" customHeight="1" s="94">
      <c r="A839" s="123">
        <f>IF(B839="","",ROW()-15)</f>
        <v/>
      </c>
      <c r="B839" s="124" t="n"/>
      <c r="C839" s="123" t="n"/>
      <c r="D839" s="123" t="n"/>
      <c r="E839" s="123" t="n"/>
      <c r="F839" s="125" t="n"/>
      <c r="G839" s="123" t="n"/>
      <c r="H839" s="123" t="n"/>
      <c r="I839" s="123" t="n"/>
      <c r="J839" s="123" t="n"/>
      <c r="K839" s="123" t="n"/>
      <c r="L839" s="123" t="n"/>
      <c r="M839" s="123">
        <f>IF(AND(B839&lt;&gt;"",OR($C$4="",ISNUMBER(SEARCH($C$4,C839&amp;" "&amp;E839&amp;" "&amp;G839&amp;" "&amp;H839&amp;" "&amp;I839&amp;" "&amp;J839&amp;" "&amp;K839&amp;" "&amp;L839))),OR($C$5="Semua",$C$5="",G839=$C$5),OR($C$6="Semua",$C$6="",H839=$C$6,H839="Pengeluaran "&amp;$C$6,AND($C$6="Uang Kos Mama",H839="Pengeluaran Uang Kos")),OR($C$7="Semua",$C$7="",I839=$C$7),OR($C$8="Semua",$C$8="",C839=$C$8,E839=$C$8),OR($C$9="Semua",$C$9="",D839=$C$9),OR($C$10="",B839&gt;=$C$10),OR($C$11="",B839&lt;=$C$11),OR($C$12&lt;&gt;"Ya",K839&lt;&gt;""),OR($C$13="Semua",$C$13="",L839=$C$13)),"✓","")</f>
        <v/>
      </c>
      <c r="N839" s="93">
        <f>N(N838)+IF(M839="✓",1,0)</f>
        <v/>
      </c>
      <c r="O839" s="93">
        <f>N(O838)+IF(AND(B839&lt;&gt;"",B839&gt;='Uang Riba'!$H$30,B839&lt;='Uang Riba'!$I$30,OR(H839="Dana riba",H839="Pinjam uang riba",I839="Pinjam dari uang riba",I839="Ganti uang riba",I839="Kelebihan ganti dikembalikan",AND(C839="Kantong Uang Riba",G839="Pengeluaran"))),1,0)</f>
        <v/>
      </c>
      <c r="X839" s="93">
        <f>IF(AND(B839&lt;&gt;"",B839&gt;='Buku Akun'!$H$4,B839&lt;='Buku Akun'!$H$5,OR(C839='Buku Akun'!$C$4,AND(D839="Pindah",E839='Buku Akun'!$C$4))),B839+IF(AND(I839="Selisih bunga",DAY(B839)=1),0,0.01)+ROW()/10000000,"")</f>
        <v/>
      </c>
    </row>
    <row r="840" outlineLevel="1" ht="15" customHeight="1" s="94">
      <c r="A840" s="123">
        <f>IF(B840="","",ROW()-15)</f>
        <v/>
      </c>
      <c r="B840" s="124" t="n"/>
      <c r="C840" s="123" t="n"/>
      <c r="D840" s="123" t="n"/>
      <c r="E840" s="123" t="n"/>
      <c r="F840" s="125" t="n"/>
      <c r="G840" s="123" t="n"/>
      <c r="H840" s="123" t="n"/>
      <c r="I840" s="123" t="n"/>
      <c r="J840" s="123" t="n"/>
      <c r="K840" s="123" t="n"/>
      <c r="L840" s="123" t="n"/>
      <c r="M840" s="123">
        <f>IF(AND(B840&lt;&gt;"",OR($C$4="",ISNUMBER(SEARCH($C$4,C840&amp;" "&amp;E840&amp;" "&amp;G840&amp;" "&amp;H840&amp;" "&amp;I840&amp;" "&amp;J840&amp;" "&amp;K840&amp;" "&amp;L840))),OR($C$5="Semua",$C$5="",G840=$C$5),OR($C$6="Semua",$C$6="",H840=$C$6,H840="Pengeluaran "&amp;$C$6,AND($C$6="Uang Kos Mama",H840="Pengeluaran Uang Kos")),OR($C$7="Semua",$C$7="",I840=$C$7),OR($C$8="Semua",$C$8="",C840=$C$8,E840=$C$8),OR($C$9="Semua",$C$9="",D840=$C$9),OR($C$10="",B840&gt;=$C$10),OR($C$11="",B840&lt;=$C$11),OR($C$12&lt;&gt;"Ya",K840&lt;&gt;""),OR($C$13="Semua",$C$13="",L840=$C$13)),"✓","")</f>
        <v/>
      </c>
      <c r="N840" s="93">
        <f>N(N839)+IF(M840="✓",1,0)</f>
        <v/>
      </c>
      <c r="O840" s="93">
        <f>N(O839)+IF(AND(B840&lt;&gt;"",B840&gt;='Uang Riba'!$H$30,B840&lt;='Uang Riba'!$I$30,OR(H840="Dana riba",H840="Pinjam uang riba",I840="Pinjam dari uang riba",I840="Ganti uang riba",I840="Kelebihan ganti dikembalikan",AND(C840="Kantong Uang Riba",G840="Pengeluaran"))),1,0)</f>
        <v/>
      </c>
      <c r="X840" s="93">
        <f>IF(AND(B840&lt;&gt;"",B840&gt;='Buku Akun'!$H$4,B840&lt;='Buku Akun'!$H$5,OR(C840='Buku Akun'!$C$4,AND(D840="Pindah",E840='Buku Akun'!$C$4))),B840+IF(AND(I840="Selisih bunga",DAY(B840)=1),0,0.01)+ROW()/10000000,"")</f>
        <v/>
      </c>
    </row>
    <row r="841" outlineLevel="1" ht="15" customHeight="1" s="94">
      <c r="A841" s="123">
        <f>IF(B841="","",ROW()-15)</f>
        <v/>
      </c>
      <c r="B841" s="124" t="n"/>
      <c r="C841" s="123" t="n"/>
      <c r="D841" s="123" t="n"/>
      <c r="E841" s="123" t="n"/>
      <c r="F841" s="125" t="n"/>
      <c r="G841" s="123" t="n"/>
      <c r="H841" s="123" t="n"/>
      <c r="I841" s="123" t="n"/>
      <c r="J841" s="123" t="n"/>
      <c r="K841" s="123" t="n"/>
      <c r="L841" s="123" t="n"/>
      <c r="M841" s="123">
        <f>IF(AND(B841&lt;&gt;"",OR($C$4="",ISNUMBER(SEARCH($C$4,C841&amp;" "&amp;E841&amp;" "&amp;G841&amp;" "&amp;H841&amp;" "&amp;I841&amp;" "&amp;J841&amp;" "&amp;K841&amp;" "&amp;L841))),OR($C$5="Semua",$C$5="",G841=$C$5),OR($C$6="Semua",$C$6="",H841=$C$6,H841="Pengeluaran "&amp;$C$6,AND($C$6="Uang Kos Mama",H841="Pengeluaran Uang Kos")),OR($C$7="Semua",$C$7="",I841=$C$7),OR($C$8="Semua",$C$8="",C841=$C$8,E841=$C$8),OR($C$9="Semua",$C$9="",D841=$C$9),OR($C$10="",B841&gt;=$C$10),OR($C$11="",B841&lt;=$C$11),OR($C$12&lt;&gt;"Ya",K841&lt;&gt;""),OR($C$13="Semua",$C$13="",L841=$C$13)),"✓","")</f>
        <v/>
      </c>
      <c r="N841" s="93">
        <f>N(N840)+IF(M841="✓",1,0)</f>
        <v/>
      </c>
      <c r="O841" s="93">
        <f>N(O840)+IF(AND(B841&lt;&gt;"",B841&gt;='Uang Riba'!$H$30,B841&lt;='Uang Riba'!$I$30,OR(H841="Dana riba",H841="Pinjam uang riba",I841="Pinjam dari uang riba",I841="Ganti uang riba",I841="Kelebihan ganti dikembalikan",AND(C841="Kantong Uang Riba",G841="Pengeluaran"))),1,0)</f>
        <v/>
      </c>
      <c r="X841" s="93">
        <f>IF(AND(B841&lt;&gt;"",B841&gt;='Buku Akun'!$H$4,B841&lt;='Buku Akun'!$H$5,OR(C841='Buku Akun'!$C$4,AND(D841="Pindah",E841='Buku Akun'!$C$4))),B841+IF(AND(I841="Selisih bunga",DAY(B841)=1),0,0.01)+ROW()/10000000,"")</f>
        <v/>
      </c>
    </row>
    <row r="842" outlineLevel="1" ht="15" customHeight="1" s="94">
      <c r="A842" s="123">
        <f>IF(B842="","",ROW()-15)</f>
        <v/>
      </c>
      <c r="B842" s="124" t="n"/>
      <c r="C842" s="123" t="n"/>
      <c r="D842" s="123" t="n"/>
      <c r="E842" s="123" t="n"/>
      <c r="F842" s="125" t="n"/>
      <c r="G842" s="123" t="n"/>
      <c r="H842" s="123" t="n"/>
      <c r="I842" s="123" t="n"/>
      <c r="J842" s="123" t="n"/>
      <c r="K842" s="123" t="n"/>
      <c r="L842" s="123" t="n"/>
      <c r="M842" s="123">
        <f>IF(AND(B842&lt;&gt;"",OR($C$4="",ISNUMBER(SEARCH($C$4,C842&amp;" "&amp;E842&amp;" "&amp;G842&amp;" "&amp;H842&amp;" "&amp;I842&amp;" "&amp;J842&amp;" "&amp;K842&amp;" "&amp;L842))),OR($C$5="Semua",$C$5="",G842=$C$5),OR($C$6="Semua",$C$6="",H842=$C$6,H842="Pengeluaran "&amp;$C$6,AND($C$6="Uang Kos Mama",H842="Pengeluaran Uang Kos")),OR($C$7="Semua",$C$7="",I842=$C$7),OR($C$8="Semua",$C$8="",C842=$C$8,E842=$C$8),OR($C$9="Semua",$C$9="",D842=$C$9),OR($C$10="",B842&gt;=$C$10),OR($C$11="",B842&lt;=$C$11),OR($C$12&lt;&gt;"Ya",K842&lt;&gt;""),OR($C$13="Semua",$C$13="",L842=$C$13)),"✓","")</f>
        <v/>
      </c>
      <c r="N842" s="93">
        <f>N(N841)+IF(M842="✓",1,0)</f>
        <v/>
      </c>
      <c r="O842" s="93">
        <f>N(O841)+IF(AND(B842&lt;&gt;"",B842&gt;='Uang Riba'!$H$30,B842&lt;='Uang Riba'!$I$30,OR(H842="Dana riba",H842="Pinjam uang riba",I842="Pinjam dari uang riba",I842="Ganti uang riba",I842="Kelebihan ganti dikembalikan",AND(C842="Kantong Uang Riba",G842="Pengeluaran"))),1,0)</f>
        <v/>
      </c>
      <c r="X842" s="93">
        <f>IF(AND(B842&lt;&gt;"",B842&gt;='Buku Akun'!$H$4,B842&lt;='Buku Akun'!$H$5,OR(C842='Buku Akun'!$C$4,AND(D842="Pindah",E842='Buku Akun'!$C$4))),B842+IF(AND(I842="Selisih bunga",DAY(B842)=1),0,0.01)+ROW()/10000000,"")</f>
        <v/>
      </c>
    </row>
    <row r="843" outlineLevel="1" ht="15" customHeight="1" s="94">
      <c r="A843" s="123">
        <f>IF(B843="","",ROW()-15)</f>
        <v/>
      </c>
      <c r="B843" s="124" t="n"/>
      <c r="C843" s="123" t="n"/>
      <c r="D843" s="123" t="n"/>
      <c r="E843" s="123" t="n"/>
      <c r="F843" s="125" t="n"/>
      <c r="G843" s="123" t="n"/>
      <c r="H843" s="123" t="n"/>
      <c r="I843" s="123" t="n"/>
      <c r="J843" s="123" t="n"/>
      <c r="K843" s="123" t="n"/>
      <c r="L843" s="123" t="n"/>
      <c r="M843" s="123">
        <f>IF(AND(B843&lt;&gt;"",OR($C$4="",ISNUMBER(SEARCH($C$4,C843&amp;" "&amp;E843&amp;" "&amp;G843&amp;" "&amp;H843&amp;" "&amp;I843&amp;" "&amp;J843&amp;" "&amp;K843&amp;" "&amp;L843))),OR($C$5="Semua",$C$5="",G843=$C$5),OR($C$6="Semua",$C$6="",H843=$C$6,H843="Pengeluaran "&amp;$C$6,AND($C$6="Uang Kos Mama",H843="Pengeluaran Uang Kos")),OR($C$7="Semua",$C$7="",I843=$C$7),OR($C$8="Semua",$C$8="",C843=$C$8,E843=$C$8),OR($C$9="Semua",$C$9="",D843=$C$9),OR($C$10="",B843&gt;=$C$10),OR($C$11="",B843&lt;=$C$11),OR($C$12&lt;&gt;"Ya",K843&lt;&gt;""),OR($C$13="Semua",$C$13="",L843=$C$13)),"✓","")</f>
        <v/>
      </c>
      <c r="N843" s="93">
        <f>N(N842)+IF(M843="✓",1,0)</f>
        <v/>
      </c>
      <c r="O843" s="93">
        <f>N(O842)+IF(AND(B843&lt;&gt;"",B843&gt;='Uang Riba'!$H$30,B843&lt;='Uang Riba'!$I$30,OR(H843="Dana riba",H843="Pinjam uang riba",I843="Pinjam dari uang riba",I843="Ganti uang riba",I843="Kelebihan ganti dikembalikan",AND(C843="Kantong Uang Riba",G843="Pengeluaran"))),1,0)</f>
        <v/>
      </c>
      <c r="X843" s="93">
        <f>IF(AND(B843&lt;&gt;"",B843&gt;='Buku Akun'!$H$4,B843&lt;='Buku Akun'!$H$5,OR(C843='Buku Akun'!$C$4,AND(D843="Pindah",E843='Buku Akun'!$C$4))),B843+IF(AND(I843="Selisih bunga",DAY(B843)=1),0,0.01)+ROW()/10000000,"")</f>
        <v/>
      </c>
    </row>
    <row r="844" outlineLevel="1" ht="15" customHeight="1" s="94">
      <c r="A844" s="123">
        <f>IF(B844="","",ROW()-15)</f>
        <v/>
      </c>
      <c r="B844" s="124" t="n"/>
      <c r="C844" s="123" t="n"/>
      <c r="D844" s="123" t="n"/>
      <c r="E844" s="123" t="n"/>
      <c r="F844" s="125" t="n"/>
      <c r="G844" s="123" t="n"/>
      <c r="H844" s="123" t="n"/>
      <c r="I844" s="123" t="n"/>
      <c r="J844" s="123" t="n"/>
      <c r="K844" s="123" t="n"/>
      <c r="L844" s="123" t="n"/>
      <c r="M844" s="123">
        <f>IF(AND(B844&lt;&gt;"",OR($C$4="",ISNUMBER(SEARCH($C$4,C844&amp;" "&amp;E844&amp;" "&amp;G844&amp;" "&amp;H844&amp;" "&amp;I844&amp;" "&amp;J844&amp;" "&amp;K844&amp;" "&amp;L844))),OR($C$5="Semua",$C$5="",G844=$C$5),OR($C$6="Semua",$C$6="",H844=$C$6,H844="Pengeluaran "&amp;$C$6,AND($C$6="Uang Kos Mama",H844="Pengeluaran Uang Kos")),OR($C$7="Semua",$C$7="",I844=$C$7),OR($C$8="Semua",$C$8="",C844=$C$8,E844=$C$8),OR($C$9="Semua",$C$9="",D844=$C$9),OR($C$10="",B844&gt;=$C$10),OR($C$11="",B844&lt;=$C$11),OR($C$12&lt;&gt;"Ya",K844&lt;&gt;""),OR($C$13="Semua",$C$13="",L844=$C$13)),"✓","")</f>
        <v/>
      </c>
      <c r="N844" s="93">
        <f>N(N843)+IF(M844="✓",1,0)</f>
        <v/>
      </c>
      <c r="O844" s="93">
        <f>N(O843)+IF(AND(B844&lt;&gt;"",B844&gt;='Uang Riba'!$H$30,B844&lt;='Uang Riba'!$I$30,OR(H844="Dana riba",H844="Pinjam uang riba",I844="Pinjam dari uang riba",I844="Ganti uang riba",I844="Kelebihan ganti dikembalikan",AND(C844="Kantong Uang Riba",G844="Pengeluaran"))),1,0)</f>
        <v/>
      </c>
      <c r="X844" s="93">
        <f>IF(AND(B844&lt;&gt;"",B844&gt;='Buku Akun'!$H$4,B844&lt;='Buku Akun'!$H$5,OR(C844='Buku Akun'!$C$4,AND(D844="Pindah",E844='Buku Akun'!$C$4))),B844+IF(AND(I844="Selisih bunga",DAY(B844)=1),0,0.01)+ROW()/10000000,"")</f>
        <v/>
      </c>
    </row>
    <row r="845" outlineLevel="1" ht="15" customHeight="1" s="94">
      <c r="A845" s="123">
        <f>IF(B845="","",ROW()-15)</f>
        <v/>
      </c>
      <c r="B845" s="124" t="n"/>
      <c r="C845" s="123" t="n"/>
      <c r="D845" s="123" t="n"/>
      <c r="E845" s="123" t="n"/>
      <c r="F845" s="125" t="n"/>
      <c r="G845" s="123" t="n"/>
      <c r="H845" s="123" t="n"/>
      <c r="I845" s="123" t="n"/>
      <c r="J845" s="123" t="n"/>
      <c r="K845" s="123" t="n"/>
      <c r="L845" s="123" t="n"/>
      <c r="M845" s="123">
        <f>IF(AND(B845&lt;&gt;"",OR($C$4="",ISNUMBER(SEARCH($C$4,C845&amp;" "&amp;E845&amp;" "&amp;G845&amp;" "&amp;H845&amp;" "&amp;I845&amp;" "&amp;J845&amp;" "&amp;K845&amp;" "&amp;L845))),OR($C$5="Semua",$C$5="",G845=$C$5),OR($C$6="Semua",$C$6="",H845=$C$6,H845="Pengeluaran "&amp;$C$6,AND($C$6="Uang Kos Mama",H845="Pengeluaran Uang Kos")),OR($C$7="Semua",$C$7="",I845=$C$7),OR($C$8="Semua",$C$8="",C845=$C$8,E845=$C$8),OR($C$9="Semua",$C$9="",D845=$C$9),OR($C$10="",B845&gt;=$C$10),OR($C$11="",B845&lt;=$C$11),OR($C$12&lt;&gt;"Ya",K845&lt;&gt;""),OR($C$13="Semua",$C$13="",L845=$C$13)),"✓","")</f>
        <v/>
      </c>
      <c r="N845" s="93">
        <f>N(N844)+IF(M845="✓",1,0)</f>
        <v/>
      </c>
      <c r="O845" s="93">
        <f>N(O844)+IF(AND(B845&lt;&gt;"",B845&gt;='Uang Riba'!$H$30,B845&lt;='Uang Riba'!$I$30,OR(H845="Dana riba",H845="Pinjam uang riba",I845="Pinjam dari uang riba",I845="Ganti uang riba",I845="Kelebihan ganti dikembalikan",AND(C845="Kantong Uang Riba",G845="Pengeluaran"))),1,0)</f>
        <v/>
      </c>
      <c r="X845" s="93">
        <f>IF(AND(B845&lt;&gt;"",B845&gt;='Buku Akun'!$H$4,B845&lt;='Buku Akun'!$H$5,OR(C845='Buku Akun'!$C$4,AND(D845="Pindah",E845='Buku Akun'!$C$4))),B845+IF(AND(I845="Selisih bunga",DAY(B845)=1),0,0.01)+ROW()/10000000,"")</f>
        <v/>
      </c>
    </row>
    <row r="846" outlineLevel="1" ht="15" customHeight="1" s="94">
      <c r="A846" s="123">
        <f>IF(B846="","",ROW()-15)</f>
        <v/>
      </c>
      <c r="B846" s="124" t="n"/>
      <c r="C846" s="123" t="n"/>
      <c r="D846" s="123" t="n"/>
      <c r="E846" s="123" t="n"/>
      <c r="F846" s="125" t="n"/>
      <c r="G846" s="123" t="n"/>
      <c r="H846" s="123" t="n"/>
      <c r="I846" s="123" t="n"/>
      <c r="J846" s="123" t="n"/>
      <c r="K846" s="123" t="n"/>
      <c r="L846" s="123" t="n"/>
      <c r="M846" s="123">
        <f>IF(AND(B846&lt;&gt;"",OR($C$4="",ISNUMBER(SEARCH($C$4,C846&amp;" "&amp;E846&amp;" "&amp;G846&amp;" "&amp;H846&amp;" "&amp;I846&amp;" "&amp;J846&amp;" "&amp;K846&amp;" "&amp;L846))),OR($C$5="Semua",$C$5="",G846=$C$5),OR($C$6="Semua",$C$6="",H846=$C$6,H846="Pengeluaran "&amp;$C$6,AND($C$6="Uang Kos Mama",H846="Pengeluaran Uang Kos")),OR($C$7="Semua",$C$7="",I846=$C$7),OR($C$8="Semua",$C$8="",C846=$C$8,E846=$C$8),OR($C$9="Semua",$C$9="",D846=$C$9),OR($C$10="",B846&gt;=$C$10),OR($C$11="",B846&lt;=$C$11),OR($C$12&lt;&gt;"Ya",K846&lt;&gt;""),OR($C$13="Semua",$C$13="",L846=$C$13)),"✓","")</f>
        <v/>
      </c>
      <c r="N846" s="93">
        <f>N(N845)+IF(M846="✓",1,0)</f>
        <v/>
      </c>
      <c r="O846" s="93">
        <f>N(O845)+IF(AND(B846&lt;&gt;"",B846&gt;='Uang Riba'!$H$30,B846&lt;='Uang Riba'!$I$30,OR(H846="Dana riba",H846="Pinjam uang riba",I846="Pinjam dari uang riba",I846="Ganti uang riba",I846="Kelebihan ganti dikembalikan",AND(C846="Kantong Uang Riba",G846="Pengeluaran"))),1,0)</f>
        <v/>
      </c>
      <c r="X846" s="93">
        <f>IF(AND(B846&lt;&gt;"",B846&gt;='Buku Akun'!$H$4,B846&lt;='Buku Akun'!$H$5,OR(C846='Buku Akun'!$C$4,AND(D846="Pindah",E846='Buku Akun'!$C$4))),B846+IF(AND(I846="Selisih bunga",DAY(B846)=1),0,0.01)+ROW()/10000000,"")</f>
        <v/>
      </c>
    </row>
    <row r="847" outlineLevel="1" ht="15" customHeight="1" s="94">
      <c r="A847" s="123">
        <f>IF(B847="","",ROW()-15)</f>
        <v/>
      </c>
      <c r="B847" s="124" t="n"/>
      <c r="C847" s="123" t="n"/>
      <c r="D847" s="123" t="n"/>
      <c r="E847" s="123" t="n"/>
      <c r="F847" s="125" t="n"/>
      <c r="G847" s="123" t="n"/>
      <c r="H847" s="123" t="n"/>
      <c r="I847" s="123" t="n"/>
      <c r="J847" s="123" t="n"/>
      <c r="K847" s="123" t="n"/>
      <c r="L847" s="123" t="n"/>
      <c r="M847" s="123">
        <f>IF(AND(B847&lt;&gt;"",OR($C$4="",ISNUMBER(SEARCH($C$4,C847&amp;" "&amp;E847&amp;" "&amp;G847&amp;" "&amp;H847&amp;" "&amp;I847&amp;" "&amp;J847&amp;" "&amp;K847&amp;" "&amp;L847))),OR($C$5="Semua",$C$5="",G847=$C$5),OR($C$6="Semua",$C$6="",H847=$C$6,H847="Pengeluaran "&amp;$C$6,AND($C$6="Uang Kos Mama",H847="Pengeluaran Uang Kos")),OR($C$7="Semua",$C$7="",I847=$C$7),OR($C$8="Semua",$C$8="",C847=$C$8,E847=$C$8),OR($C$9="Semua",$C$9="",D847=$C$9),OR($C$10="",B847&gt;=$C$10),OR($C$11="",B847&lt;=$C$11),OR($C$12&lt;&gt;"Ya",K847&lt;&gt;""),OR($C$13="Semua",$C$13="",L847=$C$13)),"✓","")</f>
        <v/>
      </c>
      <c r="N847" s="93">
        <f>N(N846)+IF(M847="✓",1,0)</f>
        <v/>
      </c>
      <c r="O847" s="93">
        <f>N(O846)+IF(AND(B847&lt;&gt;"",B847&gt;='Uang Riba'!$H$30,B847&lt;='Uang Riba'!$I$30,OR(H847="Dana riba",H847="Pinjam uang riba",I847="Pinjam dari uang riba",I847="Ganti uang riba",I847="Kelebihan ganti dikembalikan",AND(C847="Kantong Uang Riba",G847="Pengeluaran"))),1,0)</f>
        <v/>
      </c>
      <c r="X847" s="93">
        <f>IF(AND(B847&lt;&gt;"",B847&gt;='Buku Akun'!$H$4,B847&lt;='Buku Akun'!$H$5,OR(C847='Buku Akun'!$C$4,AND(D847="Pindah",E847='Buku Akun'!$C$4))),B847+IF(AND(I847="Selisih bunga",DAY(B847)=1),0,0.01)+ROW()/10000000,"")</f>
        <v/>
      </c>
    </row>
    <row r="848" outlineLevel="1" ht="15" customHeight="1" s="94">
      <c r="A848" s="123">
        <f>IF(B848="","",ROW()-15)</f>
        <v/>
      </c>
      <c r="B848" s="124" t="n"/>
      <c r="C848" s="123" t="n"/>
      <c r="D848" s="123" t="n"/>
      <c r="E848" s="123" t="n"/>
      <c r="F848" s="125" t="n"/>
      <c r="G848" s="123" t="n"/>
      <c r="H848" s="123" t="n"/>
      <c r="I848" s="123" t="n"/>
      <c r="J848" s="123" t="n"/>
      <c r="K848" s="123" t="n"/>
      <c r="L848" s="123" t="n"/>
      <c r="M848" s="123">
        <f>IF(AND(B848&lt;&gt;"",OR($C$4="",ISNUMBER(SEARCH($C$4,C848&amp;" "&amp;E848&amp;" "&amp;G848&amp;" "&amp;H848&amp;" "&amp;I848&amp;" "&amp;J848&amp;" "&amp;K848&amp;" "&amp;L848))),OR($C$5="Semua",$C$5="",G848=$C$5),OR($C$6="Semua",$C$6="",H848=$C$6,H848="Pengeluaran "&amp;$C$6,AND($C$6="Uang Kos Mama",H848="Pengeluaran Uang Kos")),OR($C$7="Semua",$C$7="",I848=$C$7),OR($C$8="Semua",$C$8="",C848=$C$8,E848=$C$8),OR($C$9="Semua",$C$9="",D848=$C$9),OR($C$10="",B848&gt;=$C$10),OR($C$11="",B848&lt;=$C$11),OR($C$12&lt;&gt;"Ya",K848&lt;&gt;""),OR($C$13="Semua",$C$13="",L848=$C$13)),"✓","")</f>
        <v/>
      </c>
      <c r="N848" s="93">
        <f>N(N847)+IF(M848="✓",1,0)</f>
        <v/>
      </c>
      <c r="O848" s="93">
        <f>N(O847)+IF(AND(B848&lt;&gt;"",B848&gt;='Uang Riba'!$H$30,B848&lt;='Uang Riba'!$I$30,OR(H848="Dana riba",H848="Pinjam uang riba",I848="Pinjam dari uang riba",I848="Ganti uang riba",I848="Kelebihan ganti dikembalikan",AND(C848="Kantong Uang Riba",G848="Pengeluaran"))),1,0)</f>
        <v/>
      </c>
      <c r="X848" s="93">
        <f>IF(AND(B848&lt;&gt;"",B848&gt;='Buku Akun'!$H$4,B848&lt;='Buku Akun'!$H$5,OR(C848='Buku Akun'!$C$4,AND(D848="Pindah",E848='Buku Akun'!$C$4))),B848+IF(AND(I848="Selisih bunga",DAY(B848)=1),0,0.01)+ROW()/10000000,"")</f>
        <v/>
      </c>
    </row>
    <row r="849" outlineLevel="1" ht="15" customHeight="1" s="94">
      <c r="A849" s="123">
        <f>IF(B849="","",ROW()-15)</f>
        <v/>
      </c>
      <c r="B849" s="124" t="n"/>
      <c r="C849" s="123" t="n"/>
      <c r="D849" s="123" t="n"/>
      <c r="E849" s="123" t="n"/>
      <c r="F849" s="125" t="n"/>
      <c r="G849" s="123" t="n"/>
      <c r="H849" s="123" t="n"/>
      <c r="I849" s="123" t="n"/>
      <c r="J849" s="123" t="n"/>
      <c r="K849" s="123" t="n"/>
      <c r="L849" s="123" t="n"/>
      <c r="M849" s="123">
        <f>IF(AND(B849&lt;&gt;"",OR($C$4="",ISNUMBER(SEARCH($C$4,C849&amp;" "&amp;E849&amp;" "&amp;G849&amp;" "&amp;H849&amp;" "&amp;I849&amp;" "&amp;J849&amp;" "&amp;K849&amp;" "&amp;L849))),OR($C$5="Semua",$C$5="",G849=$C$5),OR($C$6="Semua",$C$6="",H849=$C$6,H849="Pengeluaran "&amp;$C$6,AND($C$6="Uang Kos Mama",H849="Pengeluaran Uang Kos")),OR($C$7="Semua",$C$7="",I849=$C$7),OR($C$8="Semua",$C$8="",C849=$C$8,E849=$C$8),OR($C$9="Semua",$C$9="",D849=$C$9),OR($C$10="",B849&gt;=$C$10),OR($C$11="",B849&lt;=$C$11),OR($C$12&lt;&gt;"Ya",K849&lt;&gt;""),OR($C$13="Semua",$C$13="",L849=$C$13)),"✓","")</f>
        <v/>
      </c>
      <c r="N849" s="93">
        <f>N(N848)+IF(M849="✓",1,0)</f>
        <v/>
      </c>
      <c r="O849" s="93">
        <f>N(O848)+IF(AND(B849&lt;&gt;"",B849&gt;='Uang Riba'!$H$30,B849&lt;='Uang Riba'!$I$30,OR(H849="Dana riba",H849="Pinjam uang riba",I849="Pinjam dari uang riba",I849="Ganti uang riba",I849="Kelebihan ganti dikembalikan",AND(C849="Kantong Uang Riba",G849="Pengeluaran"))),1,0)</f>
        <v/>
      </c>
      <c r="X849" s="93">
        <f>IF(AND(B849&lt;&gt;"",B849&gt;='Buku Akun'!$H$4,B849&lt;='Buku Akun'!$H$5,OR(C849='Buku Akun'!$C$4,AND(D849="Pindah",E849='Buku Akun'!$C$4))),B849+IF(AND(I849="Selisih bunga",DAY(B849)=1),0,0.01)+ROW()/10000000,"")</f>
        <v/>
      </c>
    </row>
    <row r="850" outlineLevel="1" ht="15" customHeight="1" s="94">
      <c r="A850" s="123">
        <f>IF(B850="","",ROW()-15)</f>
        <v/>
      </c>
      <c r="B850" s="124" t="n"/>
      <c r="C850" s="123" t="n"/>
      <c r="D850" s="123" t="n"/>
      <c r="E850" s="123" t="n"/>
      <c r="F850" s="125" t="n"/>
      <c r="G850" s="123" t="n"/>
      <c r="H850" s="123" t="n"/>
      <c r="I850" s="123" t="n"/>
      <c r="J850" s="123" t="n"/>
      <c r="K850" s="123" t="n"/>
      <c r="L850" s="123" t="n"/>
      <c r="M850" s="123">
        <f>IF(AND(B850&lt;&gt;"",OR($C$4="",ISNUMBER(SEARCH($C$4,C850&amp;" "&amp;E850&amp;" "&amp;G850&amp;" "&amp;H850&amp;" "&amp;I850&amp;" "&amp;J850&amp;" "&amp;K850&amp;" "&amp;L850))),OR($C$5="Semua",$C$5="",G850=$C$5),OR($C$6="Semua",$C$6="",H850=$C$6,H850="Pengeluaran "&amp;$C$6,AND($C$6="Uang Kos Mama",H850="Pengeluaran Uang Kos")),OR($C$7="Semua",$C$7="",I850=$C$7),OR($C$8="Semua",$C$8="",C850=$C$8,E850=$C$8),OR($C$9="Semua",$C$9="",D850=$C$9),OR($C$10="",B850&gt;=$C$10),OR($C$11="",B850&lt;=$C$11),OR($C$12&lt;&gt;"Ya",K850&lt;&gt;""),OR($C$13="Semua",$C$13="",L850=$C$13)),"✓","")</f>
        <v/>
      </c>
      <c r="N850" s="93">
        <f>N(N849)+IF(M850="✓",1,0)</f>
        <v/>
      </c>
      <c r="O850" s="93">
        <f>N(O849)+IF(AND(B850&lt;&gt;"",B850&gt;='Uang Riba'!$H$30,B850&lt;='Uang Riba'!$I$30,OR(H850="Dana riba",H850="Pinjam uang riba",I850="Pinjam dari uang riba",I850="Ganti uang riba",I850="Kelebihan ganti dikembalikan",AND(C850="Kantong Uang Riba",G850="Pengeluaran"))),1,0)</f>
        <v/>
      </c>
      <c r="X850" s="93">
        <f>IF(AND(B850&lt;&gt;"",B850&gt;='Buku Akun'!$H$4,B850&lt;='Buku Akun'!$H$5,OR(C850='Buku Akun'!$C$4,AND(D850="Pindah",E850='Buku Akun'!$C$4))),B850+IF(AND(I850="Selisih bunga",DAY(B850)=1),0,0.01)+ROW()/10000000,"")</f>
        <v/>
      </c>
    </row>
    <row r="851" outlineLevel="1" ht="15" customHeight="1" s="94">
      <c r="A851" s="123">
        <f>IF(B851="","",ROW()-15)</f>
        <v/>
      </c>
      <c r="B851" s="124" t="n"/>
      <c r="C851" s="123" t="n"/>
      <c r="D851" s="123" t="n"/>
      <c r="E851" s="123" t="n"/>
      <c r="F851" s="125" t="n"/>
      <c r="G851" s="123" t="n"/>
      <c r="H851" s="123" t="n"/>
      <c r="I851" s="123" t="n"/>
      <c r="J851" s="123" t="n"/>
      <c r="K851" s="123" t="n"/>
      <c r="L851" s="123" t="n"/>
      <c r="M851" s="123">
        <f>IF(AND(B851&lt;&gt;"",OR($C$4="",ISNUMBER(SEARCH($C$4,C851&amp;" "&amp;E851&amp;" "&amp;G851&amp;" "&amp;H851&amp;" "&amp;I851&amp;" "&amp;J851&amp;" "&amp;K851&amp;" "&amp;L851))),OR($C$5="Semua",$C$5="",G851=$C$5),OR($C$6="Semua",$C$6="",H851=$C$6,H851="Pengeluaran "&amp;$C$6,AND($C$6="Uang Kos Mama",H851="Pengeluaran Uang Kos")),OR($C$7="Semua",$C$7="",I851=$C$7),OR($C$8="Semua",$C$8="",C851=$C$8,E851=$C$8),OR($C$9="Semua",$C$9="",D851=$C$9),OR($C$10="",B851&gt;=$C$10),OR($C$11="",B851&lt;=$C$11),OR($C$12&lt;&gt;"Ya",K851&lt;&gt;""),OR($C$13="Semua",$C$13="",L851=$C$13)),"✓","")</f>
        <v/>
      </c>
      <c r="N851" s="93">
        <f>N(N850)+IF(M851="✓",1,0)</f>
        <v/>
      </c>
      <c r="O851" s="93">
        <f>N(O850)+IF(AND(B851&lt;&gt;"",B851&gt;='Uang Riba'!$H$30,B851&lt;='Uang Riba'!$I$30,OR(H851="Dana riba",H851="Pinjam uang riba",I851="Pinjam dari uang riba",I851="Ganti uang riba",I851="Kelebihan ganti dikembalikan",AND(C851="Kantong Uang Riba",G851="Pengeluaran"))),1,0)</f>
        <v/>
      </c>
      <c r="X851" s="93">
        <f>IF(AND(B851&lt;&gt;"",B851&gt;='Buku Akun'!$H$4,B851&lt;='Buku Akun'!$H$5,OR(C851='Buku Akun'!$C$4,AND(D851="Pindah",E851='Buku Akun'!$C$4))),B851+IF(AND(I851="Selisih bunga",DAY(B851)=1),0,0.01)+ROW()/10000000,"")</f>
        <v/>
      </c>
    </row>
    <row r="852" outlineLevel="1" ht="15" customHeight="1" s="94">
      <c r="A852" s="123">
        <f>IF(B852="","",ROW()-15)</f>
        <v/>
      </c>
      <c r="B852" s="124" t="n"/>
      <c r="C852" s="123" t="n"/>
      <c r="D852" s="123" t="n"/>
      <c r="E852" s="123" t="n"/>
      <c r="F852" s="125" t="n"/>
      <c r="G852" s="123" t="n"/>
      <c r="H852" s="123" t="n"/>
      <c r="I852" s="123" t="n"/>
      <c r="J852" s="123" t="n"/>
      <c r="K852" s="123" t="n"/>
      <c r="L852" s="123" t="n"/>
      <c r="M852" s="123">
        <f>IF(AND(B852&lt;&gt;"",OR($C$4="",ISNUMBER(SEARCH($C$4,C852&amp;" "&amp;E852&amp;" "&amp;G852&amp;" "&amp;H852&amp;" "&amp;I852&amp;" "&amp;J852&amp;" "&amp;K852&amp;" "&amp;L852))),OR($C$5="Semua",$C$5="",G852=$C$5),OR($C$6="Semua",$C$6="",H852=$C$6,H852="Pengeluaran "&amp;$C$6,AND($C$6="Uang Kos Mama",H852="Pengeluaran Uang Kos")),OR($C$7="Semua",$C$7="",I852=$C$7),OR($C$8="Semua",$C$8="",C852=$C$8,E852=$C$8),OR($C$9="Semua",$C$9="",D852=$C$9),OR($C$10="",B852&gt;=$C$10),OR($C$11="",B852&lt;=$C$11),OR($C$12&lt;&gt;"Ya",K852&lt;&gt;""),OR($C$13="Semua",$C$13="",L852=$C$13)),"✓","")</f>
        <v/>
      </c>
      <c r="N852" s="93">
        <f>N(N851)+IF(M852="✓",1,0)</f>
        <v/>
      </c>
      <c r="O852" s="93">
        <f>N(O851)+IF(AND(B852&lt;&gt;"",B852&gt;='Uang Riba'!$H$30,B852&lt;='Uang Riba'!$I$30,OR(H852="Dana riba",H852="Pinjam uang riba",I852="Pinjam dari uang riba",I852="Ganti uang riba",I852="Kelebihan ganti dikembalikan",AND(C852="Kantong Uang Riba",G852="Pengeluaran"))),1,0)</f>
        <v/>
      </c>
      <c r="X852" s="93">
        <f>IF(AND(B852&lt;&gt;"",B852&gt;='Buku Akun'!$H$4,B852&lt;='Buku Akun'!$H$5,OR(C852='Buku Akun'!$C$4,AND(D852="Pindah",E852='Buku Akun'!$C$4))),B852+IF(AND(I852="Selisih bunga",DAY(B852)=1),0,0.01)+ROW()/10000000,"")</f>
        <v/>
      </c>
    </row>
    <row r="853" outlineLevel="1" ht="15" customHeight="1" s="94">
      <c r="A853" s="123">
        <f>IF(B853="","",ROW()-15)</f>
        <v/>
      </c>
      <c r="B853" s="124" t="n"/>
      <c r="C853" s="123" t="n"/>
      <c r="D853" s="123" t="n"/>
      <c r="E853" s="123" t="n"/>
      <c r="F853" s="125" t="n"/>
      <c r="G853" s="123" t="n"/>
      <c r="H853" s="123" t="n"/>
      <c r="I853" s="123" t="n"/>
      <c r="J853" s="123" t="n"/>
      <c r="K853" s="123" t="n"/>
      <c r="L853" s="123" t="n"/>
      <c r="M853" s="123">
        <f>IF(AND(B853&lt;&gt;"",OR($C$4="",ISNUMBER(SEARCH($C$4,C853&amp;" "&amp;E853&amp;" "&amp;G853&amp;" "&amp;H853&amp;" "&amp;I853&amp;" "&amp;J853&amp;" "&amp;K853&amp;" "&amp;L853))),OR($C$5="Semua",$C$5="",G853=$C$5),OR($C$6="Semua",$C$6="",H853=$C$6,H853="Pengeluaran "&amp;$C$6,AND($C$6="Uang Kos Mama",H853="Pengeluaran Uang Kos")),OR($C$7="Semua",$C$7="",I853=$C$7),OR($C$8="Semua",$C$8="",C853=$C$8,E853=$C$8),OR($C$9="Semua",$C$9="",D853=$C$9),OR($C$10="",B853&gt;=$C$10),OR($C$11="",B853&lt;=$C$11),OR($C$12&lt;&gt;"Ya",K853&lt;&gt;""),OR($C$13="Semua",$C$13="",L853=$C$13)),"✓","")</f>
        <v/>
      </c>
      <c r="N853" s="93">
        <f>N(N852)+IF(M853="✓",1,0)</f>
        <v/>
      </c>
      <c r="O853" s="93">
        <f>N(O852)+IF(AND(B853&lt;&gt;"",B853&gt;='Uang Riba'!$H$30,B853&lt;='Uang Riba'!$I$30,OR(H853="Dana riba",H853="Pinjam uang riba",I853="Pinjam dari uang riba",I853="Ganti uang riba",I853="Kelebihan ganti dikembalikan",AND(C853="Kantong Uang Riba",G853="Pengeluaran"))),1,0)</f>
        <v/>
      </c>
      <c r="X853" s="93">
        <f>IF(AND(B853&lt;&gt;"",B853&gt;='Buku Akun'!$H$4,B853&lt;='Buku Akun'!$H$5,OR(C853='Buku Akun'!$C$4,AND(D853="Pindah",E853='Buku Akun'!$C$4))),B853+IF(AND(I853="Selisih bunga",DAY(B853)=1),0,0.01)+ROW()/10000000,"")</f>
        <v/>
      </c>
    </row>
    <row r="854" outlineLevel="1" ht="15" customHeight="1" s="94">
      <c r="A854" s="123">
        <f>IF(B854="","",ROW()-15)</f>
        <v/>
      </c>
      <c r="B854" s="124" t="n"/>
      <c r="C854" s="123" t="n"/>
      <c r="D854" s="123" t="n"/>
      <c r="E854" s="123" t="n"/>
      <c r="F854" s="125" t="n"/>
      <c r="G854" s="123" t="n"/>
      <c r="H854" s="123" t="n"/>
      <c r="I854" s="123" t="n"/>
      <c r="J854" s="123" t="n"/>
      <c r="K854" s="123" t="n"/>
      <c r="L854" s="123" t="n"/>
      <c r="M854" s="123">
        <f>IF(AND(B854&lt;&gt;"",OR($C$4="",ISNUMBER(SEARCH($C$4,C854&amp;" "&amp;E854&amp;" "&amp;G854&amp;" "&amp;H854&amp;" "&amp;I854&amp;" "&amp;J854&amp;" "&amp;K854&amp;" "&amp;L854))),OR($C$5="Semua",$C$5="",G854=$C$5),OR($C$6="Semua",$C$6="",H854=$C$6,H854="Pengeluaran "&amp;$C$6,AND($C$6="Uang Kos Mama",H854="Pengeluaran Uang Kos")),OR($C$7="Semua",$C$7="",I854=$C$7),OR($C$8="Semua",$C$8="",C854=$C$8,E854=$C$8),OR($C$9="Semua",$C$9="",D854=$C$9),OR($C$10="",B854&gt;=$C$10),OR($C$11="",B854&lt;=$C$11),OR($C$12&lt;&gt;"Ya",K854&lt;&gt;""),OR($C$13="Semua",$C$13="",L854=$C$13)),"✓","")</f>
        <v/>
      </c>
      <c r="N854" s="93">
        <f>N(N853)+IF(M854="✓",1,0)</f>
        <v/>
      </c>
      <c r="O854" s="93">
        <f>N(O853)+IF(AND(B854&lt;&gt;"",B854&gt;='Uang Riba'!$H$30,B854&lt;='Uang Riba'!$I$30,OR(H854="Dana riba",H854="Pinjam uang riba",I854="Pinjam dari uang riba",I854="Ganti uang riba",I854="Kelebihan ganti dikembalikan",AND(C854="Kantong Uang Riba",G854="Pengeluaran"))),1,0)</f>
        <v/>
      </c>
      <c r="X854" s="93">
        <f>IF(AND(B854&lt;&gt;"",B854&gt;='Buku Akun'!$H$4,B854&lt;='Buku Akun'!$H$5,OR(C854='Buku Akun'!$C$4,AND(D854="Pindah",E854='Buku Akun'!$C$4))),B854+IF(AND(I854="Selisih bunga",DAY(B854)=1),0,0.01)+ROW()/10000000,"")</f>
        <v/>
      </c>
    </row>
    <row r="855" outlineLevel="1" ht="15" customHeight="1" s="94">
      <c r="A855" s="123">
        <f>IF(B855="","",ROW()-15)</f>
        <v/>
      </c>
      <c r="B855" s="124" t="n"/>
      <c r="C855" s="123" t="n"/>
      <c r="D855" s="123" t="n"/>
      <c r="E855" s="123" t="n"/>
      <c r="F855" s="125" t="n"/>
      <c r="G855" s="123" t="n"/>
      <c r="H855" s="123" t="n"/>
      <c r="I855" s="123" t="n"/>
      <c r="J855" s="123" t="n"/>
      <c r="K855" s="123" t="n"/>
      <c r="L855" s="123" t="n"/>
      <c r="M855" s="123">
        <f>IF(AND(B855&lt;&gt;"",OR($C$4="",ISNUMBER(SEARCH($C$4,C855&amp;" "&amp;E855&amp;" "&amp;G855&amp;" "&amp;H855&amp;" "&amp;I855&amp;" "&amp;J855&amp;" "&amp;K855&amp;" "&amp;L855))),OR($C$5="Semua",$C$5="",G855=$C$5),OR($C$6="Semua",$C$6="",H855=$C$6,H855="Pengeluaran "&amp;$C$6,AND($C$6="Uang Kos Mama",H855="Pengeluaran Uang Kos")),OR($C$7="Semua",$C$7="",I855=$C$7),OR($C$8="Semua",$C$8="",C855=$C$8,E855=$C$8),OR($C$9="Semua",$C$9="",D855=$C$9),OR($C$10="",B855&gt;=$C$10),OR($C$11="",B855&lt;=$C$11),OR($C$12&lt;&gt;"Ya",K855&lt;&gt;""),OR($C$13="Semua",$C$13="",L855=$C$13)),"✓","")</f>
        <v/>
      </c>
      <c r="N855" s="93">
        <f>N(N854)+IF(M855="✓",1,0)</f>
        <v/>
      </c>
      <c r="O855" s="93">
        <f>N(O854)+IF(AND(B855&lt;&gt;"",B855&gt;='Uang Riba'!$H$30,B855&lt;='Uang Riba'!$I$30,OR(H855="Dana riba",H855="Pinjam uang riba",I855="Pinjam dari uang riba",I855="Ganti uang riba",I855="Kelebihan ganti dikembalikan",AND(C855="Kantong Uang Riba",G855="Pengeluaran"))),1,0)</f>
        <v/>
      </c>
      <c r="X855" s="93">
        <f>IF(AND(B855&lt;&gt;"",B855&gt;='Buku Akun'!$H$4,B855&lt;='Buku Akun'!$H$5,OR(C855='Buku Akun'!$C$4,AND(D855="Pindah",E855='Buku Akun'!$C$4))),B855+IF(AND(I855="Selisih bunga",DAY(B855)=1),0,0.01)+ROW()/10000000,"")</f>
        <v/>
      </c>
    </row>
    <row r="856" outlineLevel="1" ht="15" customHeight="1" s="94">
      <c r="A856" s="123">
        <f>IF(B856="","",ROW()-15)</f>
        <v/>
      </c>
      <c r="B856" s="124" t="n"/>
      <c r="C856" s="123" t="n"/>
      <c r="D856" s="123" t="n"/>
      <c r="E856" s="123" t="n"/>
      <c r="F856" s="125" t="n"/>
      <c r="G856" s="123" t="n"/>
      <c r="H856" s="123" t="n"/>
      <c r="I856" s="123" t="n"/>
      <c r="J856" s="123" t="n"/>
      <c r="K856" s="123" t="n"/>
      <c r="L856" s="123" t="n"/>
      <c r="M856" s="123">
        <f>IF(AND(B856&lt;&gt;"",OR($C$4="",ISNUMBER(SEARCH($C$4,C856&amp;" "&amp;E856&amp;" "&amp;G856&amp;" "&amp;H856&amp;" "&amp;I856&amp;" "&amp;J856&amp;" "&amp;K856&amp;" "&amp;L856))),OR($C$5="Semua",$C$5="",G856=$C$5),OR($C$6="Semua",$C$6="",H856=$C$6,H856="Pengeluaran "&amp;$C$6,AND($C$6="Uang Kos Mama",H856="Pengeluaran Uang Kos")),OR($C$7="Semua",$C$7="",I856=$C$7),OR($C$8="Semua",$C$8="",C856=$C$8,E856=$C$8),OR($C$9="Semua",$C$9="",D856=$C$9),OR($C$10="",B856&gt;=$C$10),OR($C$11="",B856&lt;=$C$11),OR($C$12&lt;&gt;"Ya",K856&lt;&gt;""),OR($C$13="Semua",$C$13="",L856=$C$13)),"✓","")</f>
        <v/>
      </c>
      <c r="N856" s="93">
        <f>N(N855)+IF(M856="✓",1,0)</f>
        <v/>
      </c>
      <c r="O856" s="93">
        <f>N(O855)+IF(AND(B856&lt;&gt;"",B856&gt;='Uang Riba'!$H$30,B856&lt;='Uang Riba'!$I$30,OR(H856="Dana riba",H856="Pinjam uang riba",I856="Pinjam dari uang riba",I856="Ganti uang riba",I856="Kelebihan ganti dikembalikan",AND(C856="Kantong Uang Riba",G856="Pengeluaran"))),1,0)</f>
        <v/>
      </c>
      <c r="X856" s="93">
        <f>IF(AND(B856&lt;&gt;"",B856&gt;='Buku Akun'!$H$4,B856&lt;='Buku Akun'!$H$5,OR(C856='Buku Akun'!$C$4,AND(D856="Pindah",E856='Buku Akun'!$C$4))),B856+IF(AND(I856="Selisih bunga",DAY(B856)=1),0,0.01)+ROW()/10000000,"")</f>
        <v/>
      </c>
    </row>
    <row r="857" outlineLevel="1" ht="15" customHeight="1" s="94">
      <c r="A857" s="123">
        <f>IF(B857="","",ROW()-15)</f>
        <v/>
      </c>
      <c r="B857" s="124" t="n"/>
      <c r="C857" s="123" t="n"/>
      <c r="D857" s="123" t="n"/>
      <c r="E857" s="123" t="n"/>
      <c r="F857" s="125" t="n"/>
      <c r="G857" s="123" t="n"/>
      <c r="H857" s="123" t="n"/>
      <c r="I857" s="123" t="n"/>
      <c r="J857" s="123" t="n"/>
      <c r="K857" s="123" t="n"/>
      <c r="L857" s="123" t="n"/>
      <c r="M857" s="123">
        <f>IF(AND(B857&lt;&gt;"",OR($C$4="",ISNUMBER(SEARCH($C$4,C857&amp;" "&amp;E857&amp;" "&amp;G857&amp;" "&amp;H857&amp;" "&amp;I857&amp;" "&amp;J857&amp;" "&amp;K857&amp;" "&amp;L857))),OR($C$5="Semua",$C$5="",G857=$C$5),OR($C$6="Semua",$C$6="",H857=$C$6,H857="Pengeluaran "&amp;$C$6,AND($C$6="Uang Kos Mama",H857="Pengeluaran Uang Kos")),OR($C$7="Semua",$C$7="",I857=$C$7),OR($C$8="Semua",$C$8="",C857=$C$8,E857=$C$8),OR($C$9="Semua",$C$9="",D857=$C$9),OR($C$10="",B857&gt;=$C$10),OR($C$11="",B857&lt;=$C$11),OR($C$12&lt;&gt;"Ya",K857&lt;&gt;""),OR($C$13="Semua",$C$13="",L857=$C$13)),"✓","")</f>
        <v/>
      </c>
      <c r="N857" s="93">
        <f>N(N856)+IF(M857="✓",1,0)</f>
        <v/>
      </c>
      <c r="O857" s="93">
        <f>N(O856)+IF(AND(B857&lt;&gt;"",B857&gt;='Uang Riba'!$H$30,B857&lt;='Uang Riba'!$I$30,OR(H857="Dana riba",H857="Pinjam uang riba",I857="Pinjam dari uang riba",I857="Ganti uang riba",I857="Kelebihan ganti dikembalikan",AND(C857="Kantong Uang Riba",G857="Pengeluaran"))),1,0)</f>
        <v/>
      </c>
      <c r="X857" s="93">
        <f>IF(AND(B857&lt;&gt;"",B857&gt;='Buku Akun'!$H$4,B857&lt;='Buku Akun'!$H$5,OR(C857='Buku Akun'!$C$4,AND(D857="Pindah",E857='Buku Akun'!$C$4))),B857+IF(AND(I857="Selisih bunga",DAY(B857)=1),0,0.01)+ROW()/10000000,"")</f>
        <v/>
      </c>
    </row>
    <row r="858" outlineLevel="1" ht="15" customHeight="1" s="94">
      <c r="A858" s="123">
        <f>IF(B858="","",ROW()-15)</f>
        <v/>
      </c>
      <c r="B858" s="124" t="n"/>
      <c r="C858" s="123" t="n"/>
      <c r="D858" s="123" t="n"/>
      <c r="E858" s="123" t="n"/>
      <c r="F858" s="125" t="n"/>
      <c r="G858" s="123" t="n"/>
      <c r="H858" s="123" t="n"/>
      <c r="I858" s="123" t="n"/>
      <c r="J858" s="123" t="n"/>
      <c r="K858" s="123" t="n"/>
      <c r="L858" s="123" t="n"/>
      <c r="M858" s="123">
        <f>IF(AND(B858&lt;&gt;"",OR($C$4="",ISNUMBER(SEARCH($C$4,C858&amp;" "&amp;E858&amp;" "&amp;G858&amp;" "&amp;H858&amp;" "&amp;I858&amp;" "&amp;J858&amp;" "&amp;K858&amp;" "&amp;L858))),OR($C$5="Semua",$C$5="",G858=$C$5),OR($C$6="Semua",$C$6="",H858=$C$6,H858="Pengeluaran "&amp;$C$6,AND($C$6="Uang Kos Mama",H858="Pengeluaran Uang Kos")),OR($C$7="Semua",$C$7="",I858=$C$7),OR($C$8="Semua",$C$8="",C858=$C$8,E858=$C$8),OR($C$9="Semua",$C$9="",D858=$C$9),OR($C$10="",B858&gt;=$C$10),OR($C$11="",B858&lt;=$C$11),OR($C$12&lt;&gt;"Ya",K858&lt;&gt;""),OR($C$13="Semua",$C$13="",L858=$C$13)),"✓","")</f>
        <v/>
      </c>
      <c r="N858" s="93">
        <f>N(N857)+IF(M858="✓",1,0)</f>
        <v/>
      </c>
      <c r="O858" s="93">
        <f>N(O857)+IF(AND(B858&lt;&gt;"",B858&gt;='Uang Riba'!$H$30,B858&lt;='Uang Riba'!$I$30,OR(H858="Dana riba",H858="Pinjam uang riba",I858="Pinjam dari uang riba",I858="Ganti uang riba",I858="Kelebihan ganti dikembalikan",AND(C858="Kantong Uang Riba",G858="Pengeluaran"))),1,0)</f>
        <v/>
      </c>
      <c r="X858" s="93">
        <f>IF(AND(B858&lt;&gt;"",B858&gt;='Buku Akun'!$H$4,B858&lt;='Buku Akun'!$H$5,OR(C858='Buku Akun'!$C$4,AND(D858="Pindah",E858='Buku Akun'!$C$4))),B858+IF(AND(I858="Selisih bunga",DAY(B858)=1),0,0.01)+ROW()/10000000,"")</f>
        <v/>
      </c>
    </row>
    <row r="859" outlineLevel="1" ht="15" customHeight="1" s="94">
      <c r="A859" s="123">
        <f>IF(B859="","",ROW()-15)</f>
        <v/>
      </c>
      <c r="B859" s="124" t="n"/>
      <c r="C859" s="123" t="n"/>
      <c r="D859" s="123" t="n"/>
      <c r="E859" s="123" t="n"/>
      <c r="F859" s="125" t="n"/>
      <c r="G859" s="123" t="n"/>
      <c r="H859" s="123" t="n"/>
      <c r="I859" s="123" t="n"/>
      <c r="J859" s="123" t="n"/>
      <c r="K859" s="123" t="n"/>
      <c r="L859" s="123" t="n"/>
      <c r="M859" s="123">
        <f>IF(AND(B859&lt;&gt;"",OR($C$4="",ISNUMBER(SEARCH($C$4,C859&amp;" "&amp;E859&amp;" "&amp;G859&amp;" "&amp;H859&amp;" "&amp;I859&amp;" "&amp;J859&amp;" "&amp;K859&amp;" "&amp;L859))),OR($C$5="Semua",$C$5="",G859=$C$5),OR($C$6="Semua",$C$6="",H859=$C$6,H859="Pengeluaran "&amp;$C$6,AND($C$6="Uang Kos Mama",H859="Pengeluaran Uang Kos")),OR($C$7="Semua",$C$7="",I859=$C$7),OR($C$8="Semua",$C$8="",C859=$C$8,E859=$C$8),OR($C$9="Semua",$C$9="",D859=$C$9),OR($C$10="",B859&gt;=$C$10),OR($C$11="",B859&lt;=$C$11),OR($C$12&lt;&gt;"Ya",K859&lt;&gt;""),OR($C$13="Semua",$C$13="",L859=$C$13)),"✓","")</f>
        <v/>
      </c>
      <c r="N859" s="93">
        <f>N(N858)+IF(M859="✓",1,0)</f>
        <v/>
      </c>
      <c r="O859" s="93">
        <f>N(O858)+IF(AND(B859&lt;&gt;"",B859&gt;='Uang Riba'!$H$30,B859&lt;='Uang Riba'!$I$30,OR(H859="Dana riba",H859="Pinjam uang riba",I859="Pinjam dari uang riba",I859="Ganti uang riba",I859="Kelebihan ganti dikembalikan",AND(C859="Kantong Uang Riba",G859="Pengeluaran"))),1,0)</f>
        <v/>
      </c>
      <c r="X859" s="93">
        <f>IF(AND(B859&lt;&gt;"",B859&gt;='Buku Akun'!$H$4,B859&lt;='Buku Akun'!$H$5,OR(C859='Buku Akun'!$C$4,AND(D859="Pindah",E859='Buku Akun'!$C$4))),B859+IF(AND(I859="Selisih bunga",DAY(B859)=1),0,0.01)+ROW()/10000000,"")</f>
        <v/>
      </c>
    </row>
    <row r="860" outlineLevel="1" ht="15" customHeight="1" s="94">
      <c r="A860" s="123">
        <f>IF(B860="","",ROW()-15)</f>
        <v/>
      </c>
      <c r="B860" s="124" t="n"/>
      <c r="C860" s="123" t="n"/>
      <c r="D860" s="123" t="n"/>
      <c r="E860" s="123" t="n"/>
      <c r="F860" s="125" t="n"/>
      <c r="G860" s="123" t="n"/>
      <c r="H860" s="123" t="n"/>
      <c r="I860" s="123" t="n"/>
      <c r="J860" s="123" t="n"/>
      <c r="K860" s="123" t="n"/>
      <c r="L860" s="123" t="n"/>
      <c r="M860" s="123">
        <f>IF(AND(B860&lt;&gt;"",OR($C$4="",ISNUMBER(SEARCH($C$4,C860&amp;" "&amp;E860&amp;" "&amp;G860&amp;" "&amp;H860&amp;" "&amp;I860&amp;" "&amp;J860&amp;" "&amp;K860&amp;" "&amp;L860))),OR($C$5="Semua",$C$5="",G860=$C$5),OR($C$6="Semua",$C$6="",H860=$C$6,H860="Pengeluaran "&amp;$C$6,AND($C$6="Uang Kos Mama",H860="Pengeluaran Uang Kos")),OR($C$7="Semua",$C$7="",I860=$C$7),OR($C$8="Semua",$C$8="",C860=$C$8,E860=$C$8),OR($C$9="Semua",$C$9="",D860=$C$9),OR($C$10="",B860&gt;=$C$10),OR($C$11="",B860&lt;=$C$11),OR($C$12&lt;&gt;"Ya",K860&lt;&gt;""),OR($C$13="Semua",$C$13="",L860=$C$13)),"✓","")</f>
        <v/>
      </c>
      <c r="N860" s="93">
        <f>N(N859)+IF(M860="✓",1,0)</f>
        <v/>
      </c>
      <c r="O860" s="93">
        <f>N(O859)+IF(AND(B860&lt;&gt;"",B860&gt;='Uang Riba'!$H$30,B860&lt;='Uang Riba'!$I$30,OR(H860="Dana riba",H860="Pinjam uang riba",I860="Pinjam dari uang riba",I860="Ganti uang riba",I860="Kelebihan ganti dikembalikan",AND(C860="Kantong Uang Riba",G860="Pengeluaran"))),1,0)</f>
        <v/>
      </c>
      <c r="X860" s="93">
        <f>IF(AND(B860&lt;&gt;"",B860&gt;='Buku Akun'!$H$4,B860&lt;='Buku Akun'!$H$5,OR(C860='Buku Akun'!$C$4,AND(D860="Pindah",E860='Buku Akun'!$C$4))),B860+IF(AND(I860="Selisih bunga",DAY(B860)=1),0,0.01)+ROW()/10000000,"")</f>
        <v/>
      </c>
    </row>
    <row r="861" outlineLevel="1" ht="15" customHeight="1" s="94">
      <c r="A861" s="123">
        <f>IF(B861="","",ROW()-15)</f>
        <v/>
      </c>
      <c r="B861" s="124" t="n"/>
      <c r="C861" s="123" t="n"/>
      <c r="D861" s="123" t="n"/>
      <c r="E861" s="123" t="n"/>
      <c r="F861" s="125" t="n"/>
      <c r="G861" s="123" t="n"/>
      <c r="H861" s="123" t="n"/>
      <c r="I861" s="123" t="n"/>
      <c r="J861" s="123" t="n"/>
      <c r="K861" s="123" t="n"/>
      <c r="L861" s="123" t="n"/>
      <c r="M861" s="123">
        <f>IF(AND(B861&lt;&gt;"",OR($C$4="",ISNUMBER(SEARCH($C$4,C861&amp;" "&amp;E861&amp;" "&amp;G861&amp;" "&amp;H861&amp;" "&amp;I861&amp;" "&amp;J861&amp;" "&amp;K861&amp;" "&amp;L861))),OR($C$5="Semua",$C$5="",G861=$C$5),OR($C$6="Semua",$C$6="",H861=$C$6,H861="Pengeluaran "&amp;$C$6,AND($C$6="Uang Kos Mama",H861="Pengeluaran Uang Kos")),OR($C$7="Semua",$C$7="",I861=$C$7),OR($C$8="Semua",$C$8="",C861=$C$8,E861=$C$8),OR($C$9="Semua",$C$9="",D861=$C$9),OR($C$10="",B861&gt;=$C$10),OR($C$11="",B861&lt;=$C$11),OR($C$12&lt;&gt;"Ya",K861&lt;&gt;""),OR($C$13="Semua",$C$13="",L861=$C$13)),"✓","")</f>
        <v/>
      </c>
      <c r="N861" s="93">
        <f>N(N860)+IF(M861="✓",1,0)</f>
        <v/>
      </c>
      <c r="O861" s="93">
        <f>N(O860)+IF(AND(B861&lt;&gt;"",B861&gt;='Uang Riba'!$H$30,B861&lt;='Uang Riba'!$I$30,OR(H861="Dana riba",H861="Pinjam uang riba",I861="Pinjam dari uang riba",I861="Ganti uang riba",I861="Kelebihan ganti dikembalikan",AND(C861="Kantong Uang Riba",G861="Pengeluaran"))),1,0)</f>
        <v/>
      </c>
      <c r="X861" s="93">
        <f>IF(AND(B861&lt;&gt;"",B861&gt;='Buku Akun'!$H$4,B861&lt;='Buku Akun'!$H$5,OR(C861='Buku Akun'!$C$4,AND(D861="Pindah",E861='Buku Akun'!$C$4))),B861+IF(AND(I861="Selisih bunga",DAY(B861)=1),0,0.01)+ROW()/10000000,"")</f>
        <v/>
      </c>
    </row>
    <row r="862" outlineLevel="1" ht="15" customHeight="1" s="94">
      <c r="A862" s="123">
        <f>IF(B862="","",ROW()-15)</f>
        <v/>
      </c>
      <c r="B862" s="124" t="n"/>
      <c r="C862" s="123" t="n"/>
      <c r="D862" s="123" t="n"/>
      <c r="E862" s="123" t="n"/>
      <c r="F862" s="125" t="n"/>
      <c r="G862" s="123" t="n"/>
      <c r="H862" s="123" t="n"/>
      <c r="I862" s="123" t="n"/>
      <c r="J862" s="123" t="n"/>
      <c r="K862" s="123" t="n"/>
      <c r="L862" s="123" t="n"/>
      <c r="M862" s="123">
        <f>IF(AND(B862&lt;&gt;"",OR($C$4="",ISNUMBER(SEARCH($C$4,C862&amp;" "&amp;E862&amp;" "&amp;G862&amp;" "&amp;H862&amp;" "&amp;I862&amp;" "&amp;J862&amp;" "&amp;K862&amp;" "&amp;L862))),OR($C$5="Semua",$C$5="",G862=$C$5),OR($C$6="Semua",$C$6="",H862=$C$6,H862="Pengeluaran "&amp;$C$6,AND($C$6="Uang Kos Mama",H862="Pengeluaran Uang Kos")),OR($C$7="Semua",$C$7="",I862=$C$7),OR($C$8="Semua",$C$8="",C862=$C$8,E862=$C$8),OR($C$9="Semua",$C$9="",D862=$C$9),OR($C$10="",B862&gt;=$C$10),OR($C$11="",B862&lt;=$C$11),OR($C$12&lt;&gt;"Ya",K862&lt;&gt;""),OR($C$13="Semua",$C$13="",L862=$C$13)),"✓","")</f>
        <v/>
      </c>
      <c r="N862" s="93">
        <f>N(N861)+IF(M862="✓",1,0)</f>
        <v/>
      </c>
      <c r="O862" s="93">
        <f>N(O861)+IF(AND(B862&lt;&gt;"",B862&gt;='Uang Riba'!$H$30,B862&lt;='Uang Riba'!$I$30,OR(H862="Dana riba",H862="Pinjam uang riba",I862="Pinjam dari uang riba",I862="Ganti uang riba",I862="Kelebihan ganti dikembalikan",AND(C862="Kantong Uang Riba",G862="Pengeluaran"))),1,0)</f>
        <v/>
      </c>
      <c r="X862" s="93">
        <f>IF(AND(B862&lt;&gt;"",B862&gt;='Buku Akun'!$H$4,B862&lt;='Buku Akun'!$H$5,OR(C862='Buku Akun'!$C$4,AND(D862="Pindah",E862='Buku Akun'!$C$4))),B862+IF(AND(I862="Selisih bunga",DAY(B862)=1),0,0.01)+ROW()/10000000,"")</f>
        <v/>
      </c>
    </row>
    <row r="863" outlineLevel="1" ht="15" customHeight="1" s="94">
      <c r="A863" s="123">
        <f>IF(B863="","",ROW()-15)</f>
        <v/>
      </c>
      <c r="B863" s="124" t="n"/>
      <c r="C863" s="123" t="n"/>
      <c r="D863" s="123" t="n"/>
      <c r="E863" s="123" t="n"/>
      <c r="F863" s="125" t="n"/>
      <c r="G863" s="123" t="n"/>
      <c r="H863" s="123" t="n"/>
      <c r="I863" s="123" t="n"/>
      <c r="J863" s="123" t="n"/>
      <c r="K863" s="123" t="n"/>
      <c r="L863" s="123" t="n"/>
      <c r="M863" s="123">
        <f>IF(AND(B863&lt;&gt;"",OR($C$4="",ISNUMBER(SEARCH($C$4,C863&amp;" "&amp;E863&amp;" "&amp;G863&amp;" "&amp;H863&amp;" "&amp;I863&amp;" "&amp;J863&amp;" "&amp;K863&amp;" "&amp;L863))),OR($C$5="Semua",$C$5="",G863=$C$5),OR($C$6="Semua",$C$6="",H863=$C$6,H863="Pengeluaran "&amp;$C$6,AND($C$6="Uang Kos Mama",H863="Pengeluaran Uang Kos")),OR($C$7="Semua",$C$7="",I863=$C$7),OR($C$8="Semua",$C$8="",C863=$C$8,E863=$C$8),OR($C$9="Semua",$C$9="",D863=$C$9),OR($C$10="",B863&gt;=$C$10),OR($C$11="",B863&lt;=$C$11),OR($C$12&lt;&gt;"Ya",K863&lt;&gt;""),OR($C$13="Semua",$C$13="",L863=$C$13)),"✓","")</f>
        <v/>
      </c>
      <c r="N863" s="93">
        <f>N(N862)+IF(M863="✓",1,0)</f>
        <v/>
      </c>
      <c r="O863" s="93">
        <f>N(O862)+IF(AND(B863&lt;&gt;"",B863&gt;='Uang Riba'!$H$30,B863&lt;='Uang Riba'!$I$30,OR(H863="Dana riba",H863="Pinjam uang riba",I863="Pinjam dari uang riba",I863="Ganti uang riba",I863="Kelebihan ganti dikembalikan",AND(C863="Kantong Uang Riba",G863="Pengeluaran"))),1,0)</f>
        <v/>
      </c>
      <c r="X863" s="93">
        <f>IF(AND(B863&lt;&gt;"",B863&gt;='Buku Akun'!$H$4,B863&lt;='Buku Akun'!$H$5,OR(C863='Buku Akun'!$C$4,AND(D863="Pindah",E863='Buku Akun'!$C$4))),B863+IF(AND(I863="Selisih bunga",DAY(B863)=1),0,0.01)+ROW()/10000000,"")</f>
        <v/>
      </c>
    </row>
    <row r="864" outlineLevel="1" ht="15" customHeight="1" s="94">
      <c r="A864" s="123">
        <f>IF(B864="","",ROW()-15)</f>
        <v/>
      </c>
      <c r="B864" s="124" t="n"/>
      <c r="C864" s="123" t="n"/>
      <c r="D864" s="123" t="n"/>
      <c r="E864" s="123" t="n"/>
      <c r="F864" s="125" t="n"/>
      <c r="G864" s="123" t="n"/>
      <c r="H864" s="123" t="n"/>
      <c r="I864" s="123" t="n"/>
      <c r="J864" s="123" t="n"/>
      <c r="K864" s="123" t="n"/>
      <c r="L864" s="123" t="n"/>
      <c r="M864" s="123">
        <f>IF(AND(B864&lt;&gt;"",OR($C$4="",ISNUMBER(SEARCH($C$4,C864&amp;" "&amp;E864&amp;" "&amp;G864&amp;" "&amp;H864&amp;" "&amp;I864&amp;" "&amp;J864&amp;" "&amp;K864&amp;" "&amp;L864))),OR($C$5="Semua",$C$5="",G864=$C$5),OR($C$6="Semua",$C$6="",H864=$C$6,H864="Pengeluaran "&amp;$C$6,AND($C$6="Uang Kos Mama",H864="Pengeluaran Uang Kos")),OR($C$7="Semua",$C$7="",I864=$C$7),OR($C$8="Semua",$C$8="",C864=$C$8,E864=$C$8),OR($C$9="Semua",$C$9="",D864=$C$9),OR($C$10="",B864&gt;=$C$10),OR($C$11="",B864&lt;=$C$11),OR($C$12&lt;&gt;"Ya",K864&lt;&gt;""),OR($C$13="Semua",$C$13="",L864=$C$13)),"✓","")</f>
        <v/>
      </c>
      <c r="N864" s="93">
        <f>N(N863)+IF(M864="✓",1,0)</f>
        <v/>
      </c>
      <c r="O864" s="93">
        <f>N(O863)+IF(AND(B864&lt;&gt;"",B864&gt;='Uang Riba'!$H$30,B864&lt;='Uang Riba'!$I$30,OR(H864="Dana riba",H864="Pinjam uang riba",I864="Pinjam dari uang riba",I864="Ganti uang riba",I864="Kelebihan ganti dikembalikan",AND(C864="Kantong Uang Riba",G864="Pengeluaran"))),1,0)</f>
        <v/>
      </c>
      <c r="X864" s="93">
        <f>IF(AND(B864&lt;&gt;"",B864&gt;='Buku Akun'!$H$4,B864&lt;='Buku Akun'!$H$5,OR(C864='Buku Akun'!$C$4,AND(D864="Pindah",E864='Buku Akun'!$C$4))),B864+IF(AND(I864="Selisih bunga",DAY(B864)=1),0,0.01)+ROW()/10000000,"")</f>
        <v/>
      </c>
    </row>
    <row r="865" outlineLevel="1" ht="15" customHeight="1" s="94">
      <c r="A865" s="123">
        <f>IF(B865="","",ROW()-15)</f>
        <v/>
      </c>
      <c r="B865" s="124" t="n"/>
      <c r="C865" s="123" t="n"/>
      <c r="D865" s="123" t="n"/>
      <c r="E865" s="123" t="n"/>
      <c r="F865" s="125" t="n"/>
      <c r="G865" s="123" t="n"/>
      <c r="H865" s="123" t="n"/>
      <c r="I865" s="123" t="n"/>
      <c r="J865" s="123" t="n"/>
      <c r="K865" s="123" t="n"/>
      <c r="L865" s="123" t="n"/>
      <c r="M865" s="123">
        <f>IF(AND(B865&lt;&gt;"",OR($C$4="",ISNUMBER(SEARCH($C$4,C865&amp;" "&amp;E865&amp;" "&amp;G865&amp;" "&amp;H865&amp;" "&amp;I865&amp;" "&amp;J865&amp;" "&amp;K865&amp;" "&amp;L865))),OR($C$5="Semua",$C$5="",G865=$C$5),OR($C$6="Semua",$C$6="",H865=$C$6,H865="Pengeluaran "&amp;$C$6,AND($C$6="Uang Kos Mama",H865="Pengeluaran Uang Kos")),OR($C$7="Semua",$C$7="",I865=$C$7),OR($C$8="Semua",$C$8="",C865=$C$8,E865=$C$8),OR($C$9="Semua",$C$9="",D865=$C$9),OR($C$10="",B865&gt;=$C$10),OR($C$11="",B865&lt;=$C$11),OR($C$12&lt;&gt;"Ya",K865&lt;&gt;""),OR($C$13="Semua",$C$13="",L865=$C$13)),"✓","")</f>
        <v/>
      </c>
      <c r="N865" s="93">
        <f>N(N864)+IF(M865="✓",1,0)</f>
        <v/>
      </c>
      <c r="O865" s="93">
        <f>N(O864)+IF(AND(B865&lt;&gt;"",B865&gt;='Uang Riba'!$H$30,B865&lt;='Uang Riba'!$I$30,OR(H865="Dana riba",H865="Pinjam uang riba",I865="Pinjam dari uang riba",I865="Ganti uang riba",I865="Kelebihan ganti dikembalikan",AND(C865="Kantong Uang Riba",G865="Pengeluaran"))),1,0)</f>
        <v/>
      </c>
      <c r="X865" s="93">
        <f>IF(AND(B865&lt;&gt;"",B865&gt;='Buku Akun'!$H$4,B865&lt;='Buku Akun'!$H$5,OR(C865='Buku Akun'!$C$4,AND(D865="Pindah",E865='Buku Akun'!$C$4))),B865+IF(AND(I865="Selisih bunga",DAY(B865)=1),0,0.01)+ROW()/10000000,"")</f>
        <v/>
      </c>
    </row>
    <row r="866" outlineLevel="1" ht="15" customHeight="1" s="94">
      <c r="A866" s="123">
        <f>IF(B866="","",ROW()-15)</f>
        <v/>
      </c>
      <c r="B866" s="124" t="n"/>
      <c r="C866" s="123" t="n"/>
      <c r="D866" s="123" t="n"/>
      <c r="E866" s="123" t="n"/>
      <c r="F866" s="125" t="n"/>
      <c r="G866" s="123" t="n"/>
      <c r="H866" s="123" t="n"/>
      <c r="I866" s="123" t="n"/>
      <c r="J866" s="123" t="n"/>
      <c r="K866" s="123" t="n"/>
      <c r="L866" s="123" t="n"/>
      <c r="M866" s="123">
        <f>IF(AND(B866&lt;&gt;"",OR($C$4="",ISNUMBER(SEARCH($C$4,C866&amp;" "&amp;E866&amp;" "&amp;G866&amp;" "&amp;H866&amp;" "&amp;I866&amp;" "&amp;J866&amp;" "&amp;K866&amp;" "&amp;L866))),OR($C$5="Semua",$C$5="",G866=$C$5),OR($C$6="Semua",$C$6="",H866=$C$6,H866="Pengeluaran "&amp;$C$6,AND($C$6="Uang Kos Mama",H866="Pengeluaran Uang Kos")),OR($C$7="Semua",$C$7="",I866=$C$7),OR($C$8="Semua",$C$8="",C866=$C$8,E866=$C$8),OR($C$9="Semua",$C$9="",D866=$C$9),OR($C$10="",B866&gt;=$C$10),OR($C$11="",B866&lt;=$C$11),OR($C$12&lt;&gt;"Ya",K866&lt;&gt;""),OR($C$13="Semua",$C$13="",L866=$C$13)),"✓","")</f>
        <v/>
      </c>
      <c r="N866" s="93">
        <f>N(N865)+IF(M866="✓",1,0)</f>
        <v/>
      </c>
      <c r="O866" s="93">
        <f>N(O865)+IF(AND(B866&lt;&gt;"",B866&gt;='Uang Riba'!$H$30,B866&lt;='Uang Riba'!$I$30,OR(H866="Dana riba",H866="Pinjam uang riba",I866="Pinjam dari uang riba",I866="Ganti uang riba",I866="Kelebihan ganti dikembalikan",AND(C866="Kantong Uang Riba",G866="Pengeluaran"))),1,0)</f>
        <v/>
      </c>
      <c r="X866" s="93">
        <f>IF(AND(B866&lt;&gt;"",B866&gt;='Buku Akun'!$H$4,B866&lt;='Buku Akun'!$H$5,OR(C866='Buku Akun'!$C$4,AND(D866="Pindah",E866='Buku Akun'!$C$4))),B866+IF(AND(I866="Selisih bunga",DAY(B866)=1),0,0.01)+ROW()/10000000,"")</f>
        <v/>
      </c>
    </row>
    <row r="867" outlineLevel="1" ht="15" customHeight="1" s="94">
      <c r="A867" s="123">
        <f>IF(B867="","",ROW()-15)</f>
        <v/>
      </c>
      <c r="B867" s="124" t="n"/>
      <c r="C867" s="123" t="n"/>
      <c r="D867" s="123" t="n"/>
      <c r="E867" s="123" t="n"/>
      <c r="F867" s="125" t="n"/>
      <c r="G867" s="123" t="n"/>
      <c r="H867" s="123" t="n"/>
      <c r="I867" s="123" t="n"/>
      <c r="J867" s="123" t="n"/>
      <c r="K867" s="123" t="n"/>
      <c r="L867" s="123" t="n"/>
      <c r="M867" s="123">
        <f>IF(AND(B867&lt;&gt;"",OR($C$4="",ISNUMBER(SEARCH($C$4,C867&amp;" "&amp;E867&amp;" "&amp;G867&amp;" "&amp;H867&amp;" "&amp;I867&amp;" "&amp;J867&amp;" "&amp;K867&amp;" "&amp;L867))),OR($C$5="Semua",$C$5="",G867=$C$5),OR($C$6="Semua",$C$6="",H867=$C$6,H867="Pengeluaran "&amp;$C$6,AND($C$6="Uang Kos Mama",H867="Pengeluaran Uang Kos")),OR($C$7="Semua",$C$7="",I867=$C$7),OR($C$8="Semua",$C$8="",C867=$C$8,E867=$C$8),OR($C$9="Semua",$C$9="",D867=$C$9),OR($C$10="",B867&gt;=$C$10),OR($C$11="",B867&lt;=$C$11),OR($C$12&lt;&gt;"Ya",K867&lt;&gt;""),OR($C$13="Semua",$C$13="",L867=$C$13)),"✓","")</f>
        <v/>
      </c>
      <c r="N867" s="93">
        <f>N(N866)+IF(M867="✓",1,0)</f>
        <v/>
      </c>
      <c r="O867" s="93">
        <f>N(O866)+IF(AND(B867&lt;&gt;"",B867&gt;='Uang Riba'!$H$30,B867&lt;='Uang Riba'!$I$30,OR(H867="Dana riba",H867="Pinjam uang riba",I867="Pinjam dari uang riba",I867="Ganti uang riba",I867="Kelebihan ganti dikembalikan",AND(C867="Kantong Uang Riba",G867="Pengeluaran"))),1,0)</f>
        <v/>
      </c>
      <c r="X867" s="93">
        <f>IF(AND(B867&lt;&gt;"",B867&gt;='Buku Akun'!$H$4,B867&lt;='Buku Akun'!$H$5,OR(C867='Buku Akun'!$C$4,AND(D867="Pindah",E867='Buku Akun'!$C$4))),B867+IF(AND(I867="Selisih bunga",DAY(B867)=1),0,0.01)+ROW()/10000000,"")</f>
        <v/>
      </c>
    </row>
    <row r="868" outlineLevel="1" ht="15" customHeight="1" s="94">
      <c r="A868" s="123">
        <f>IF(B868="","",ROW()-15)</f>
        <v/>
      </c>
      <c r="B868" s="124" t="n"/>
      <c r="C868" s="123" t="n"/>
      <c r="D868" s="123" t="n"/>
      <c r="E868" s="123" t="n"/>
      <c r="F868" s="125" t="n"/>
      <c r="G868" s="123" t="n"/>
      <c r="H868" s="123" t="n"/>
      <c r="I868" s="123" t="n"/>
      <c r="J868" s="123" t="n"/>
      <c r="K868" s="123" t="n"/>
      <c r="L868" s="123" t="n"/>
      <c r="M868" s="123">
        <f>IF(AND(B868&lt;&gt;"",OR($C$4="",ISNUMBER(SEARCH($C$4,C868&amp;" "&amp;E868&amp;" "&amp;G868&amp;" "&amp;H868&amp;" "&amp;I868&amp;" "&amp;J868&amp;" "&amp;K868&amp;" "&amp;L868))),OR($C$5="Semua",$C$5="",G868=$C$5),OR($C$6="Semua",$C$6="",H868=$C$6,H868="Pengeluaran "&amp;$C$6,AND($C$6="Uang Kos Mama",H868="Pengeluaran Uang Kos")),OR($C$7="Semua",$C$7="",I868=$C$7),OR($C$8="Semua",$C$8="",C868=$C$8,E868=$C$8),OR($C$9="Semua",$C$9="",D868=$C$9),OR($C$10="",B868&gt;=$C$10),OR($C$11="",B868&lt;=$C$11),OR($C$12&lt;&gt;"Ya",K868&lt;&gt;""),OR($C$13="Semua",$C$13="",L868=$C$13)),"✓","")</f>
        <v/>
      </c>
      <c r="N868" s="93">
        <f>N(N867)+IF(M868="✓",1,0)</f>
        <v/>
      </c>
      <c r="O868" s="93">
        <f>N(O867)+IF(AND(B868&lt;&gt;"",B868&gt;='Uang Riba'!$H$30,B868&lt;='Uang Riba'!$I$30,OR(H868="Dana riba",H868="Pinjam uang riba",I868="Pinjam dari uang riba",I868="Ganti uang riba",I868="Kelebihan ganti dikembalikan",AND(C868="Kantong Uang Riba",G868="Pengeluaran"))),1,0)</f>
        <v/>
      </c>
      <c r="X868" s="93">
        <f>IF(AND(B868&lt;&gt;"",B868&gt;='Buku Akun'!$H$4,B868&lt;='Buku Akun'!$H$5,OR(C868='Buku Akun'!$C$4,AND(D868="Pindah",E868='Buku Akun'!$C$4))),B868+IF(AND(I868="Selisih bunga",DAY(B868)=1),0,0.01)+ROW()/10000000,"")</f>
        <v/>
      </c>
    </row>
    <row r="869" outlineLevel="1" ht="15" customHeight="1" s="94">
      <c r="A869" s="123">
        <f>IF(B869="","",ROW()-15)</f>
        <v/>
      </c>
      <c r="B869" s="124" t="n"/>
      <c r="C869" s="123" t="n"/>
      <c r="D869" s="123" t="n"/>
      <c r="E869" s="123" t="n"/>
      <c r="F869" s="125" t="n"/>
      <c r="G869" s="123" t="n"/>
      <c r="H869" s="123" t="n"/>
      <c r="I869" s="123" t="n"/>
      <c r="J869" s="123" t="n"/>
      <c r="K869" s="123" t="n"/>
      <c r="L869" s="123" t="n"/>
      <c r="M869" s="123">
        <f>IF(AND(B869&lt;&gt;"",OR($C$4="",ISNUMBER(SEARCH($C$4,C869&amp;" "&amp;E869&amp;" "&amp;G869&amp;" "&amp;H869&amp;" "&amp;I869&amp;" "&amp;J869&amp;" "&amp;K869&amp;" "&amp;L869))),OR($C$5="Semua",$C$5="",G869=$C$5),OR($C$6="Semua",$C$6="",H869=$C$6,H869="Pengeluaran "&amp;$C$6,AND($C$6="Uang Kos Mama",H869="Pengeluaran Uang Kos")),OR($C$7="Semua",$C$7="",I869=$C$7),OR($C$8="Semua",$C$8="",C869=$C$8,E869=$C$8),OR($C$9="Semua",$C$9="",D869=$C$9),OR($C$10="",B869&gt;=$C$10),OR($C$11="",B869&lt;=$C$11),OR($C$12&lt;&gt;"Ya",K869&lt;&gt;""),OR($C$13="Semua",$C$13="",L869=$C$13)),"✓","")</f>
        <v/>
      </c>
      <c r="N869" s="93">
        <f>N(N868)+IF(M869="✓",1,0)</f>
        <v/>
      </c>
      <c r="O869" s="93">
        <f>N(O868)+IF(AND(B869&lt;&gt;"",B869&gt;='Uang Riba'!$H$30,B869&lt;='Uang Riba'!$I$30,OR(H869="Dana riba",H869="Pinjam uang riba",I869="Pinjam dari uang riba",I869="Ganti uang riba",I869="Kelebihan ganti dikembalikan",AND(C869="Kantong Uang Riba",G869="Pengeluaran"))),1,0)</f>
        <v/>
      </c>
      <c r="X869" s="93">
        <f>IF(AND(B869&lt;&gt;"",B869&gt;='Buku Akun'!$H$4,B869&lt;='Buku Akun'!$H$5,OR(C869='Buku Akun'!$C$4,AND(D869="Pindah",E869='Buku Akun'!$C$4))),B869+IF(AND(I869="Selisih bunga",DAY(B869)=1),0,0.01)+ROW()/10000000,"")</f>
        <v/>
      </c>
    </row>
    <row r="870" outlineLevel="1" ht="15" customHeight="1" s="94">
      <c r="A870" s="123">
        <f>IF(B870="","",ROW()-15)</f>
        <v/>
      </c>
      <c r="B870" s="124" t="n"/>
      <c r="C870" s="123" t="n"/>
      <c r="D870" s="123" t="n"/>
      <c r="E870" s="123" t="n"/>
      <c r="F870" s="125" t="n"/>
      <c r="G870" s="123" t="n"/>
      <c r="H870" s="123" t="n"/>
      <c r="I870" s="123" t="n"/>
      <c r="J870" s="123" t="n"/>
      <c r="K870" s="123" t="n"/>
      <c r="L870" s="123" t="n"/>
      <c r="M870" s="123">
        <f>IF(AND(B870&lt;&gt;"",OR($C$4="",ISNUMBER(SEARCH($C$4,C870&amp;" "&amp;E870&amp;" "&amp;G870&amp;" "&amp;H870&amp;" "&amp;I870&amp;" "&amp;J870&amp;" "&amp;K870&amp;" "&amp;L870))),OR($C$5="Semua",$C$5="",G870=$C$5),OR($C$6="Semua",$C$6="",H870=$C$6,H870="Pengeluaran "&amp;$C$6,AND($C$6="Uang Kos Mama",H870="Pengeluaran Uang Kos")),OR($C$7="Semua",$C$7="",I870=$C$7),OR($C$8="Semua",$C$8="",C870=$C$8,E870=$C$8),OR($C$9="Semua",$C$9="",D870=$C$9),OR($C$10="",B870&gt;=$C$10),OR($C$11="",B870&lt;=$C$11),OR($C$12&lt;&gt;"Ya",K870&lt;&gt;""),OR($C$13="Semua",$C$13="",L870=$C$13)),"✓","")</f>
        <v/>
      </c>
      <c r="N870" s="93">
        <f>N(N869)+IF(M870="✓",1,0)</f>
        <v/>
      </c>
      <c r="O870" s="93">
        <f>N(O869)+IF(AND(B870&lt;&gt;"",B870&gt;='Uang Riba'!$H$30,B870&lt;='Uang Riba'!$I$30,OR(H870="Dana riba",H870="Pinjam uang riba",I870="Pinjam dari uang riba",I870="Ganti uang riba",I870="Kelebihan ganti dikembalikan",AND(C870="Kantong Uang Riba",G870="Pengeluaran"))),1,0)</f>
        <v/>
      </c>
      <c r="X870" s="93">
        <f>IF(AND(B870&lt;&gt;"",B870&gt;='Buku Akun'!$H$4,B870&lt;='Buku Akun'!$H$5,OR(C870='Buku Akun'!$C$4,AND(D870="Pindah",E870='Buku Akun'!$C$4))),B870+IF(AND(I870="Selisih bunga",DAY(B870)=1),0,0.01)+ROW()/10000000,"")</f>
        <v/>
      </c>
    </row>
    <row r="871" outlineLevel="1" ht="15" customHeight="1" s="94">
      <c r="A871" s="123">
        <f>IF(B871="","",ROW()-15)</f>
        <v/>
      </c>
      <c r="B871" s="124" t="n"/>
      <c r="C871" s="123" t="n"/>
      <c r="D871" s="123" t="n"/>
      <c r="E871" s="123" t="n"/>
      <c r="F871" s="125" t="n"/>
      <c r="G871" s="123" t="n"/>
      <c r="H871" s="123" t="n"/>
      <c r="I871" s="123" t="n"/>
      <c r="J871" s="123" t="n"/>
      <c r="K871" s="123" t="n"/>
      <c r="L871" s="123" t="n"/>
      <c r="M871" s="123">
        <f>IF(AND(B871&lt;&gt;"",OR($C$4="",ISNUMBER(SEARCH($C$4,C871&amp;" "&amp;E871&amp;" "&amp;G871&amp;" "&amp;H871&amp;" "&amp;I871&amp;" "&amp;J871&amp;" "&amp;K871&amp;" "&amp;L871))),OR($C$5="Semua",$C$5="",G871=$C$5),OR($C$6="Semua",$C$6="",H871=$C$6,H871="Pengeluaran "&amp;$C$6,AND($C$6="Uang Kos Mama",H871="Pengeluaran Uang Kos")),OR($C$7="Semua",$C$7="",I871=$C$7),OR($C$8="Semua",$C$8="",C871=$C$8,E871=$C$8),OR($C$9="Semua",$C$9="",D871=$C$9),OR($C$10="",B871&gt;=$C$10),OR($C$11="",B871&lt;=$C$11),OR($C$12&lt;&gt;"Ya",K871&lt;&gt;""),OR($C$13="Semua",$C$13="",L871=$C$13)),"✓","")</f>
        <v/>
      </c>
      <c r="N871" s="93">
        <f>N(N870)+IF(M871="✓",1,0)</f>
        <v/>
      </c>
      <c r="O871" s="93">
        <f>N(O870)+IF(AND(B871&lt;&gt;"",B871&gt;='Uang Riba'!$H$30,B871&lt;='Uang Riba'!$I$30,OR(H871="Dana riba",H871="Pinjam uang riba",I871="Pinjam dari uang riba",I871="Ganti uang riba",I871="Kelebihan ganti dikembalikan",AND(C871="Kantong Uang Riba",G871="Pengeluaran"))),1,0)</f>
        <v/>
      </c>
      <c r="X871" s="93">
        <f>IF(AND(B871&lt;&gt;"",B871&gt;='Buku Akun'!$H$4,B871&lt;='Buku Akun'!$H$5,OR(C871='Buku Akun'!$C$4,AND(D871="Pindah",E871='Buku Akun'!$C$4))),B871+IF(AND(I871="Selisih bunga",DAY(B871)=1),0,0.01)+ROW()/10000000,"")</f>
        <v/>
      </c>
    </row>
    <row r="872" outlineLevel="1" ht="15" customHeight="1" s="94">
      <c r="A872" s="123">
        <f>IF(B872="","",ROW()-15)</f>
        <v/>
      </c>
      <c r="B872" s="124" t="n"/>
      <c r="C872" s="123" t="n"/>
      <c r="D872" s="123" t="n"/>
      <c r="E872" s="123" t="n"/>
      <c r="F872" s="125" t="n"/>
      <c r="G872" s="123" t="n"/>
      <c r="H872" s="123" t="n"/>
      <c r="I872" s="123" t="n"/>
      <c r="J872" s="123" t="n"/>
      <c r="K872" s="123" t="n"/>
      <c r="L872" s="123" t="n"/>
      <c r="M872" s="123">
        <f>IF(AND(B872&lt;&gt;"",OR($C$4="",ISNUMBER(SEARCH($C$4,C872&amp;" "&amp;E872&amp;" "&amp;G872&amp;" "&amp;H872&amp;" "&amp;I872&amp;" "&amp;J872&amp;" "&amp;K872&amp;" "&amp;L872))),OR($C$5="Semua",$C$5="",G872=$C$5),OR($C$6="Semua",$C$6="",H872=$C$6,H872="Pengeluaran "&amp;$C$6,AND($C$6="Uang Kos Mama",H872="Pengeluaran Uang Kos")),OR($C$7="Semua",$C$7="",I872=$C$7),OR($C$8="Semua",$C$8="",C872=$C$8,E872=$C$8),OR($C$9="Semua",$C$9="",D872=$C$9),OR($C$10="",B872&gt;=$C$10),OR($C$11="",B872&lt;=$C$11),OR($C$12&lt;&gt;"Ya",K872&lt;&gt;""),OR($C$13="Semua",$C$13="",L872=$C$13)),"✓","")</f>
        <v/>
      </c>
      <c r="N872" s="93">
        <f>N(N871)+IF(M872="✓",1,0)</f>
        <v/>
      </c>
      <c r="O872" s="93">
        <f>N(O871)+IF(AND(B872&lt;&gt;"",B872&gt;='Uang Riba'!$H$30,B872&lt;='Uang Riba'!$I$30,OR(H872="Dana riba",H872="Pinjam uang riba",I872="Pinjam dari uang riba",I872="Ganti uang riba",I872="Kelebihan ganti dikembalikan",AND(C872="Kantong Uang Riba",G872="Pengeluaran"))),1,0)</f>
        <v/>
      </c>
      <c r="X872" s="93">
        <f>IF(AND(B872&lt;&gt;"",B872&gt;='Buku Akun'!$H$4,B872&lt;='Buku Akun'!$H$5,OR(C872='Buku Akun'!$C$4,AND(D872="Pindah",E872='Buku Akun'!$C$4))),B872+IF(AND(I872="Selisih bunga",DAY(B872)=1),0,0.01)+ROW()/10000000,"")</f>
        <v/>
      </c>
    </row>
    <row r="873" outlineLevel="1" ht="15" customHeight="1" s="94">
      <c r="A873" s="123">
        <f>IF(B873="","",ROW()-15)</f>
        <v/>
      </c>
      <c r="B873" s="124" t="n"/>
      <c r="C873" s="123" t="n"/>
      <c r="D873" s="123" t="n"/>
      <c r="E873" s="123" t="n"/>
      <c r="F873" s="125" t="n"/>
      <c r="G873" s="123" t="n"/>
      <c r="H873" s="123" t="n"/>
      <c r="I873" s="123" t="n"/>
      <c r="J873" s="123" t="n"/>
      <c r="K873" s="123" t="n"/>
      <c r="L873" s="123" t="n"/>
      <c r="M873" s="123">
        <f>IF(AND(B873&lt;&gt;"",OR($C$4="",ISNUMBER(SEARCH($C$4,C873&amp;" "&amp;E873&amp;" "&amp;G873&amp;" "&amp;H873&amp;" "&amp;I873&amp;" "&amp;J873&amp;" "&amp;K873&amp;" "&amp;L873))),OR($C$5="Semua",$C$5="",G873=$C$5),OR($C$6="Semua",$C$6="",H873=$C$6,H873="Pengeluaran "&amp;$C$6,AND($C$6="Uang Kos Mama",H873="Pengeluaran Uang Kos")),OR($C$7="Semua",$C$7="",I873=$C$7),OR($C$8="Semua",$C$8="",C873=$C$8,E873=$C$8),OR($C$9="Semua",$C$9="",D873=$C$9),OR($C$10="",B873&gt;=$C$10),OR($C$11="",B873&lt;=$C$11),OR($C$12&lt;&gt;"Ya",K873&lt;&gt;""),OR($C$13="Semua",$C$13="",L873=$C$13)),"✓","")</f>
        <v/>
      </c>
      <c r="N873" s="93">
        <f>N(N872)+IF(M873="✓",1,0)</f>
        <v/>
      </c>
      <c r="O873" s="93">
        <f>N(O872)+IF(AND(B873&lt;&gt;"",B873&gt;='Uang Riba'!$H$30,B873&lt;='Uang Riba'!$I$30,OR(H873="Dana riba",H873="Pinjam uang riba",I873="Pinjam dari uang riba",I873="Ganti uang riba",I873="Kelebihan ganti dikembalikan",AND(C873="Kantong Uang Riba",G873="Pengeluaran"))),1,0)</f>
        <v/>
      </c>
      <c r="X873" s="93">
        <f>IF(AND(B873&lt;&gt;"",B873&gt;='Buku Akun'!$H$4,B873&lt;='Buku Akun'!$H$5,OR(C873='Buku Akun'!$C$4,AND(D873="Pindah",E873='Buku Akun'!$C$4))),B873+IF(AND(I873="Selisih bunga",DAY(B873)=1),0,0.01)+ROW()/10000000,"")</f>
        <v/>
      </c>
    </row>
    <row r="874" outlineLevel="1" ht="15" customHeight="1" s="94">
      <c r="A874" s="123">
        <f>IF(B874="","",ROW()-15)</f>
        <v/>
      </c>
      <c r="B874" s="124" t="n"/>
      <c r="C874" s="123" t="n"/>
      <c r="D874" s="123" t="n"/>
      <c r="E874" s="123" t="n"/>
      <c r="F874" s="125" t="n"/>
      <c r="G874" s="123" t="n"/>
      <c r="H874" s="123" t="n"/>
      <c r="I874" s="123" t="n"/>
      <c r="J874" s="123" t="n"/>
      <c r="K874" s="123" t="n"/>
      <c r="L874" s="123" t="n"/>
      <c r="M874" s="123">
        <f>IF(AND(B874&lt;&gt;"",OR($C$4="",ISNUMBER(SEARCH($C$4,C874&amp;" "&amp;E874&amp;" "&amp;G874&amp;" "&amp;H874&amp;" "&amp;I874&amp;" "&amp;J874&amp;" "&amp;K874&amp;" "&amp;L874))),OR($C$5="Semua",$C$5="",G874=$C$5),OR($C$6="Semua",$C$6="",H874=$C$6,H874="Pengeluaran "&amp;$C$6,AND($C$6="Uang Kos Mama",H874="Pengeluaran Uang Kos")),OR($C$7="Semua",$C$7="",I874=$C$7),OR($C$8="Semua",$C$8="",C874=$C$8,E874=$C$8),OR($C$9="Semua",$C$9="",D874=$C$9),OR($C$10="",B874&gt;=$C$10),OR($C$11="",B874&lt;=$C$11),OR($C$12&lt;&gt;"Ya",K874&lt;&gt;""),OR($C$13="Semua",$C$13="",L874=$C$13)),"✓","")</f>
        <v/>
      </c>
      <c r="N874" s="93">
        <f>N(N873)+IF(M874="✓",1,0)</f>
        <v/>
      </c>
      <c r="O874" s="93">
        <f>N(O873)+IF(AND(B874&lt;&gt;"",B874&gt;='Uang Riba'!$H$30,B874&lt;='Uang Riba'!$I$30,OR(H874="Dana riba",H874="Pinjam uang riba",I874="Pinjam dari uang riba",I874="Ganti uang riba",I874="Kelebihan ganti dikembalikan",AND(C874="Kantong Uang Riba",G874="Pengeluaran"))),1,0)</f>
        <v/>
      </c>
      <c r="X874" s="93">
        <f>IF(AND(B874&lt;&gt;"",B874&gt;='Buku Akun'!$H$4,B874&lt;='Buku Akun'!$H$5,OR(C874='Buku Akun'!$C$4,AND(D874="Pindah",E874='Buku Akun'!$C$4))),B874+IF(AND(I874="Selisih bunga",DAY(B874)=1),0,0.01)+ROW()/10000000,"")</f>
        <v/>
      </c>
    </row>
    <row r="875" outlineLevel="1" ht="15" customHeight="1" s="94">
      <c r="A875" s="123">
        <f>IF(B875="","",ROW()-15)</f>
        <v/>
      </c>
      <c r="B875" s="124" t="n"/>
      <c r="C875" s="123" t="n"/>
      <c r="D875" s="123" t="n"/>
      <c r="E875" s="123" t="n"/>
      <c r="F875" s="125" t="n"/>
      <c r="G875" s="123" t="n"/>
      <c r="H875" s="123" t="n"/>
      <c r="I875" s="123" t="n"/>
      <c r="J875" s="123" t="n"/>
      <c r="K875" s="123" t="n"/>
      <c r="L875" s="123" t="n"/>
      <c r="M875" s="123">
        <f>IF(AND(B875&lt;&gt;"",OR($C$4="",ISNUMBER(SEARCH($C$4,C875&amp;" "&amp;E875&amp;" "&amp;G875&amp;" "&amp;H875&amp;" "&amp;I875&amp;" "&amp;J875&amp;" "&amp;K875&amp;" "&amp;L875))),OR($C$5="Semua",$C$5="",G875=$C$5),OR($C$6="Semua",$C$6="",H875=$C$6,H875="Pengeluaran "&amp;$C$6,AND($C$6="Uang Kos Mama",H875="Pengeluaran Uang Kos")),OR($C$7="Semua",$C$7="",I875=$C$7),OR($C$8="Semua",$C$8="",C875=$C$8,E875=$C$8),OR($C$9="Semua",$C$9="",D875=$C$9),OR($C$10="",B875&gt;=$C$10),OR($C$11="",B875&lt;=$C$11),OR($C$12&lt;&gt;"Ya",K875&lt;&gt;""),OR($C$13="Semua",$C$13="",L875=$C$13)),"✓","")</f>
        <v/>
      </c>
      <c r="N875" s="93">
        <f>N(N874)+IF(M875="✓",1,0)</f>
        <v/>
      </c>
      <c r="O875" s="93">
        <f>N(O874)+IF(AND(B875&lt;&gt;"",B875&gt;='Uang Riba'!$H$30,B875&lt;='Uang Riba'!$I$30,OR(H875="Dana riba",H875="Pinjam uang riba",I875="Pinjam dari uang riba",I875="Ganti uang riba",I875="Kelebihan ganti dikembalikan",AND(C875="Kantong Uang Riba",G875="Pengeluaran"))),1,0)</f>
        <v/>
      </c>
      <c r="X875" s="93">
        <f>IF(AND(B875&lt;&gt;"",B875&gt;='Buku Akun'!$H$4,B875&lt;='Buku Akun'!$H$5,OR(C875='Buku Akun'!$C$4,AND(D875="Pindah",E875='Buku Akun'!$C$4))),B875+IF(AND(I875="Selisih bunga",DAY(B875)=1),0,0.01)+ROW()/10000000,"")</f>
        <v/>
      </c>
    </row>
    <row r="876" outlineLevel="1" ht="15" customHeight="1" s="94">
      <c r="A876" s="123">
        <f>IF(B876="","",ROW()-15)</f>
        <v/>
      </c>
      <c r="B876" s="124" t="n"/>
      <c r="C876" s="123" t="n"/>
      <c r="D876" s="123" t="n"/>
      <c r="E876" s="123" t="n"/>
      <c r="F876" s="125" t="n"/>
      <c r="G876" s="123" t="n"/>
      <c r="H876" s="123" t="n"/>
      <c r="I876" s="123" t="n"/>
      <c r="J876" s="123" t="n"/>
      <c r="K876" s="123" t="n"/>
      <c r="L876" s="123" t="n"/>
      <c r="M876" s="123">
        <f>IF(AND(B876&lt;&gt;"",OR($C$4="",ISNUMBER(SEARCH($C$4,C876&amp;" "&amp;E876&amp;" "&amp;G876&amp;" "&amp;H876&amp;" "&amp;I876&amp;" "&amp;J876&amp;" "&amp;K876&amp;" "&amp;L876))),OR($C$5="Semua",$C$5="",G876=$C$5),OR($C$6="Semua",$C$6="",H876=$C$6,H876="Pengeluaran "&amp;$C$6,AND($C$6="Uang Kos Mama",H876="Pengeluaran Uang Kos")),OR($C$7="Semua",$C$7="",I876=$C$7),OR($C$8="Semua",$C$8="",C876=$C$8,E876=$C$8),OR($C$9="Semua",$C$9="",D876=$C$9),OR($C$10="",B876&gt;=$C$10),OR($C$11="",B876&lt;=$C$11),OR($C$12&lt;&gt;"Ya",K876&lt;&gt;""),OR($C$13="Semua",$C$13="",L876=$C$13)),"✓","")</f>
        <v/>
      </c>
      <c r="N876" s="93">
        <f>N(N875)+IF(M876="✓",1,0)</f>
        <v/>
      </c>
      <c r="O876" s="93">
        <f>N(O875)+IF(AND(B876&lt;&gt;"",B876&gt;='Uang Riba'!$H$30,B876&lt;='Uang Riba'!$I$30,OR(H876="Dana riba",H876="Pinjam uang riba",I876="Pinjam dari uang riba",I876="Ganti uang riba",I876="Kelebihan ganti dikembalikan",AND(C876="Kantong Uang Riba",G876="Pengeluaran"))),1,0)</f>
        <v/>
      </c>
      <c r="X876" s="93">
        <f>IF(AND(B876&lt;&gt;"",B876&gt;='Buku Akun'!$H$4,B876&lt;='Buku Akun'!$H$5,OR(C876='Buku Akun'!$C$4,AND(D876="Pindah",E876='Buku Akun'!$C$4))),B876+IF(AND(I876="Selisih bunga",DAY(B876)=1),0,0.01)+ROW()/10000000,"")</f>
        <v/>
      </c>
    </row>
    <row r="877" outlineLevel="1" ht="15" customHeight="1" s="94">
      <c r="A877" s="123">
        <f>IF(B877="","",ROW()-15)</f>
        <v/>
      </c>
      <c r="B877" s="124" t="n"/>
      <c r="C877" s="123" t="n"/>
      <c r="D877" s="123" t="n"/>
      <c r="E877" s="123" t="n"/>
      <c r="F877" s="125" t="n"/>
      <c r="G877" s="123" t="n"/>
      <c r="H877" s="123" t="n"/>
      <c r="I877" s="123" t="n"/>
      <c r="J877" s="123" t="n"/>
      <c r="K877" s="123" t="n"/>
      <c r="L877" s="123" t="n"/>
      <c r="M877" s="123">
        <f>IF(AND(B877&lt;&gt;"",OR($C$4="",ISNUMBER(SEARCH($C$4,C877&amp;" "&amp;E877&amp;" "&amp;G877&amp;" "&amp;H877&amp;" "&amp;I877&amp;" "&amp;J877&amp;" "&amp;K877&amp;" "&amp;L877))),OR($C$5="Semua",$C$5="",G877=$C$5),OR($C$6="Semua",$C$6="",H877=$C$6,H877="Pengeluaran "&amp;$C$6,AND($C$6="Uang Kos Mama",H877="Pengeluaran Uang Kos")),OR($C$7="Semua",$C$7="",I877=$C$7),OR($C$8="Semua",$C$8="",C877=$C$8,E877=$C$8),OR($C$9="Semua",$C$9="",D877=$C$9),OR($C$10="",B877&gt;=$C$10),OR($C$11="",B877&lt;=$C$11),OR($C$12&lt;&gt;"Ya",K877&lt;&gt;""),OR($C$13="Semua",$C$13="",L877=$C$13)),"✓","")</f>
        <v/>
      </c>
      <c r="N877" s="93">
        <f>N(N876)+IF(M877="✓",1,0)</f>
        <v/>
      </c>
      <c r="O877" s="93">
        <f>N(O876)+IF(AND(B877&lt;&gt;"",B877&gt;='Uang Riba'!$H$30,B877&lt;='Uang Riba'!$I$30,OR(H877="Dana riba",H877="Pinjam uang riba",I877="Pinjam dari uang riba",I877="Ganti uang riba",I877="Kelebihan ganti dikembalikan",AND(C877="Kantong Uang Riba",G877="Pengeluaran"))),1,0)</f>
        <v/>
      </c>
      <c r="X877" s="93">
        <f>IF(AND(B877&lt;&gt;"",B877&gt;='Buku Akun'!$H$4,B877&lt;='Buku Akun'!$H$5,OR(C877='Buku Akun'!$C$4,AND(D877="Pindah",E877='Buku Akun'!$C$4))),B877+IF(AND(I877="Selisih bunga",DAY(B877)=1),0,0.01)+ROW()/10000000,"")</f>
        <v/>
      </c>
    </row>
    <row r="878" outlineLevel="1" ht="15" customHeight="1" s="94">
      <c r="A878" s="123">
        <f>IF(B878="","",ROW()-15)</f>
        <v/>
      </c>
      <c r="B878" s="124" t="n"/>
      <c r="C878" s="123" t="n"/>
      <c r="D878" s="123" t="n"/>
      <c r="E878" s="123" t="n"/>
      <c r="F878" s="125" t="n"/>
      <c r="G878" s="123" t="n"/>
      <c r="H878" s="123" t="n"/>
      <c r="I878" s="123" t="n"/>
      <c r="J878" s="123" t="n"/>
      <c r="K878" s="123" t="n"/>
      <c r="L878" s="123" t="n"/>
      <c r="M878" s="123">
        <f>IF(AND(B878&lt;&gt;"",OR($C$4="",ISNUMBER(SEARCH($C$4,C878&amp;" "&amp;E878&amp;" "&amp;G878&amp;" "&amp;H878&amp;" "&amp;I878&amp;" "&amp;J878&amp;" "&amp;K878&amp;" "&amp;L878))),OR($C$5="Semua",$C$5="",G878=$C$5),OR($C$6="Semua",$C$6="",H878=$C$6,H878="Pengeluaran "&amp;$C$6,AND($C$6="Uang Kos Mama",H878="Pengeluaran Uang Kos")),OR($C$7="Semua",$C$7="",I878=$C$7),OR($C$8="Semua",$C$8="",C878=$C$8,E878=$C$8),OR($C$9="Semua",$C$9="",D878=$C$9),OR($C$10="",B878&gt;=$C$10),OR($C$11="",B878&lt;=$C$11),OR($C$12&lt;&gt;"Ya",K878&lt;&gt;""),OR($C$13="Semua",$C$13="",L878=$C$13)),"✓","")</f>
        <v/>
      </c>
      <c r="N878" s="93">
        <f>N(N877)+IF(M878="✓",1,0)</f>
        <v/>
      </c>
      <c r="O878" s="93">
        <f>N(O877)+IF(AND(B878&lt;&gt;"",B878&gt;='Uang Riba'!$H$30,B878&lt;='Uang Riba'!$I$30,OR(H878="Dana riba",H878="Pinjam uang riba",I878="Pinjam dari uang riba",I878="Ganti uang riba",I878="Kelebihan ganti dikembalikan",AND(C878="Kantong Uang Riba",G878="Pengeluaran"))),1,0)</f>
        <v/>
      </c>
      <c r="X878" s="93">
        <f>IF(AND(B878&lt;&gt;"",B878&gt;='Buku Akun'!$H$4,B878&lt;='Buku Akun'!$H$5,OR(C878='Buku Akun'!$C$4,AND(D878="Pindah",E878='Buku Akun'!$C$4))),B878+IF(AND(I878="Selisih bunga",DAY(B878)=1),0,0.01)+ROW()/10000000,"")</f>
        <v/>
      </c>
    </row>
    <row r="879" outlineLevel="1" ht="15" customHeight="1" s="94">
      <c r="A879" s="123">
        <f>IF(B879="","",ROW()-15)</f>
        <v/>
      </c>
      <c r="B879" s="124" t="n"/>
      <c r="C879" s="123" t="n"/>
      <c r="D879" s="123" t="n"/>
      <c r="E879" s="123" t="n"/>
      <c r="F879" s="125" t="n"/>
      <c r="G879" s="123" t="n"/>
      <c r="H879" s="123" t="n"/>
      <c r="I879" s="123" t="n"/>
      <c r="J879" s="123" t="n"/>
      <c r="K879" s="123" t="n"/>
      <c r="L879" s="123" t="n"/>
      <c r="M879" s="123">
        <f>IF(AND(B879&lt;&gt;"",OR($C$4="",ISNUMBER(SEARCH($C$4,C879&amp;" "&amp;E879&amp;" "&amp;G879&amp;" "&amp;H879&amp;" "&amp;I879&amp;" "&amp;J879&amp;" "&amp;K879&amp;" "&amp;L879))),OR($C$5="Semua",$C$5="",G879=$C$5),OR($C$6="Semua",$C$6="",H879=$C$6,H879="Pengeluaran "&amp;$C$6,AND($C$6="Uang Kos Mama",H879="Pengeluaran Uang Kos")),OR($C$7="Semua",$C$7="",I879=$C$7),OR($C$8="Semua",$C$8="",C879=$C$8,E879=$C$8),OR($C$9="Semua",$C$9="",D879=$C$9),OR($C$10="",B879&gt;=$C$10),OR($C$11="",B879&lt;=$C$11),OR($C$12&lt;&gt;"Ya",K879&lt;&gt;""),OR($C$13="Semua",$C$13="",L879=$C$13)),"✓","")</f>
        <v/>
      </c>
      <c r="N879" s="93">
        <f>N(N878)+IF(M879="✓",1,0)</f>
        <v/>
      </c>
      <c r="O879" s="93">
        <f>N(O878)+IF(AND(B879&lt;&gt;"",B879&gt;='Uang Riba'!$H$30,B879&lt;='Uang Riba'!$I$30,OR(H879="Dana riba",H879="Pinjam uang riba",I879="Pinjam dari uang riba",I879="Ganti uang riba",I879="Kelebihan ganti dikembalikan",AND(C879="Kantong Uang Riba",G879="Pengeluaran"))),1,0)</f>
        <v/>
      </c>
      <c r="X879" s="93">
        <f>IF(AND(B879&lt;&gt;"",B879&gt;='Buku Akun'!$H$4,B879&lt;='Buku Akun'!$H$5,OR(C879='Buku Akun'!$C$4,AND(D879="Pindah",E879='Buku Akun'!$C$4))),B879+IF(AND(I879="Selisih bunga",DAY(B879)=1),0,0.01)+ROW()/10000000,"")</f>
        <v/>
      </c>
    </row>
    <row r="880" outlineLevel="1" ht="15" customHeight="1" s="94">
      <c r="A880" s="123">
        <f>IF(B880="","",ROW()-15)</f>
        <v/>
      </c>
      <c r="B880" s="124" t="n"/>
      <c r="C880" s="123" t="n"/>
      <c r="D880" s="123" t="n"/>
      <c r="E880" s="123" t="n"/>
      <c r="F880" s="125" t="n"/>
      <c r="G880" s="123" t="n"/>
      <c r="H880" s="123" t="n"/>
      <c r="I880" s="123" t="n"/>
      <c r="J880" s="123" t="n"/>
      <c r="K880" s="123" t="n"/>
      <c r="L880" s="123" t="n"/>
      <c r="M880" s="123">
        <f>IF(AND(B880&lt;&gt;"",OR($C$4="",ISNUMBER(SEARCH($C$4,C880&amp;" "&amp;E880&amp;" "&amp;G880&amp;" "&amp;H880&amp;" "&amp;I880&amp;" "&amp;J880&amp;" "&amp;K880&amp;" "&amp;L880))),OR($C$5="Semua",$C$5="",G880=$C$5),OR($C$6="Semua",$C$6="",H880=$C$6,H880="Pengeluaran "&amp;$C$6,AND($C$6="Uang Kos Mama",H880="Pengeluaran Uang Kos")),OR($C$7="Semua",$C$7="",I880=$C$7),OR($C$8="Semua",$C$8="",C880=$C$8,E880=$C$8),OR($C$9="Semua",$C$9="",D880=$C$9),OR($C$10="",B880&gt;=$C$10),OR($C$11="",B880&lt;=$C$11),OR($C$12&lt;&gt;"Ya",K880&lt;&gt;""),OR($C$13="Semua",$C$13="",L880=$C$13)),"✓","")</f>
        <v/>
      </c>
      <c r="N880" s="93">
        <f>N(N879)+IF(M880="✓",1,0)</f>
        <v/>
      </c>
      <c r="O880" s="93">
        <f>N(O879)+IF(AND(B880&lt;&gt;"",B880&gt;='Uang Riba'!$H$30,B880&lt;='Uang Riba'!$I$30,OR(H880="Dana riba",H880="Pinjam uang riba",I880="Pinjam dari uang riba",I880="Ganti uang riba",I880="Kelebihan ganti dikembalikan",AND(C880="Kantong Uang Riba",G880="Pengeluaran"))),1,0)</f>
        <v/>
      </c>
      <c r="X880" s="93">
        <f>IF(AND(B880&lt;&gt;"",B880&gt;='Buku Akun'!$H$4,B880&lt;='Buku Akun'!$H$5,OR(C880='Buku Akun'!$C$4,AND(D880="Pindah",E880='Buku Akun'!$C$4))),B880+IF(AND(I880="Selisih bunga",DAY(B880)=1),0,0.01)+ROW()/10000000,"")</f>
        <v/>
      </c>
    </row>
    <row r="881" outlineLevel="1" ht="15" customHeight="1" s="94">
      <c r="A881" s="123">
        <f>IF(B881="","",ROW()-15)</f>
        <v/>
      </c>
      <c r="B881" s="124" t="n"/>
      <c r="C881" s="123" t="n"/>
      <c r="D881" s="123" t="n"/>
      <c r="E881" s="123" t="n"/>
      <c r="F881" s="125" t="n"/>
      <c r="G881" s="123" t="n"/>
      <c r="H881" s="123" t="n"/>
      <c r="I881" s="123" t="n"/>
      <c r="J881" s="123" t="n"/>
      <c r="K881" s="123" t="n"/>
      <c r="L881" s="123" t="n"/>
      <c r="M881" s="123">
        <f>IF(AND(B881&lt;&gt;"",OR($C$4="",ISNUMBER(SEARCH($C$4,C881&amp;" "&amp;E881&amp;" "&amp;G881&amp;" "&amp;H881&amp;" "&amp;I881&amp;" "&amp;J881&amp;" "&amp;K881&amp;" "&amp;L881))),OR($C$5="Semua",$C$5="",G881=$C$5),OR($C$6="Semua",$C$6="",H881=$C$6,H881="Pengeluaran "&amp;$C$6,AND($C$6="Uang Kos Mama",H881="Pengeluaran Uang Kos")),OR($C$7="Semua",$C$7="",I881=$C$7),OR($C$8="Semua",$C$8="",C881=$C$8,E881=$C$8),OR($C$9="Semua",$C$9="",D881=$C$9),OR($C$10="",B881&gt;=$C$10),OR($C$11="",B881&lt;=$C$11),OR($C$12&lt;&gt;"Ya",K881&lt;&gt;""),OR($C$13="Semua",$C$13="",L881=$C$13)),"✓","")</f>
        <v/>
      </c>
      <c r="N881" s="93">
        <f>N(N880)+IF(M881="✓",1,0)</f>
        <v/>
      </c>
      <c r="O881" s="93">
        <f>N(O880)+IF(AND(B881&lt;&gt;"",B881&gt;='Uang Riba'!$H$30,B881&lt;='Uang Riba'!$I$30,OR(H881="Dana riba",H881="Pinjam uang riba",I881="Pinjam dari uang riba",I881="Ganti uang riba",I881="Kelebihan ganti dikembalikan",AND(C881="Kantong Uang Riba",G881="Pengeluaran"))),1,0)</f>
        <v/>
      </c>
      <c r="X881" s="93">
        <f>IF(AND(B881&lt;&gt;"",B881&gt;='Buku Akun'!$H$4,B881&lt;='Buku Akun'!$H$5,OR(C881='Buku Akun'!$C$4,AND(D881="Pindah",E881='Buku Akun'!$C$4))),B881+IF(AND(I881="Selisih bunga",DAY(B881)=1),0,0.01)+ROW()/10000000,"")</f>
        <v/>
      </c>
    </row>
    <row r="882" outlineLevel="1" ht="15" customHeight="1" s="94">
      <c r="A882" s="123">
        <f>IF(B882="","",ROW()-15)</f>
        <v/>
      </c>
      <c r="B882" s="124" t="n"/>
      <c r="C882" s="123" t="n"/>
      <c r="D882" s="123" t="n"/>
      <c r="E882" s="123" t="n"/>
      <c r="F882" s="125" t="n"/>
      <c r="G882" s="123" t="n"/>
      <c r="H882" s="123" t="n"/>
      <c r="I882" s="123" t="n"/>
      <c r="J882" s="123" t="n"/>
      <c r="K882" s="123" t="n"/>
      <c r="L882" s="123" t="n"/>
      <c r="M882" s="123">
        <f>IF(AND(B882&lt;&gt;"",OR($C$4="",ISNUMBER(SEARCH($C$4,C882&amp;" "&amp;E882&amp;" "&amp;G882&amp;" "&amp;H882&amp;" "&amp;I882&amp;" "&amp;J882&amp;" "&amp;K882&amp;" "&amp;L882))),OR($C$5="Semua",$C$5="",G882=$C$5),OR($C$6="Semua",$C$6="",H882=$C$6,H882="Pengeluaran "&amp;$C$6,AND($C$6="Uang Kos Mama",H882="Pengeluaran Uang Kos")),OR($C$7="Semua",$C$7="",I882=$C$7),OR($C$8="Semua",$C$8="",C882=$C$8,E882=$C$8),OR($C$9="Semua",$C$9="",D882=$C$9),OR($C$10="",B882&gt;=$C$10),OR($C$11="",B882&lt;=$C$11),OR($C$12&lt;&gt;"Ya",K882&lt;&gt;""),OR($C$13="Semua",$C$13="",L882=$C$13)),"✓","")</f>
        <v/>
      </c>
      <c r="N882" s="93">
        <f>N(N881)+IF(M882="✓",1,0)</f>
        <v/>
      </c>
      <c r="O882" s="93">
        <f>N(O881)+IF(AND(B882&lt;&gt;"",B882&gt;='Uang Riba'!$H$30,B882&lt;='Uang Riba'!$I$30,OR(H882="Dana riba",H882="Pinjam uang riba",I882="Pinjam dari uang riba",I882="Ganti uang riba",I882="Kelebihan ganti dikembalikan",AND(C882="Kantong Uang Riba",G882="Pengeluaran"))),1,0)</f>
        <v/>
      </c>
      <c r="X882" s="93">
        <f>IF(AND(B882&lt;&gt;"",B882&gt;='Buku Akun'!$H$4,B882&lt;='Buku Akun'!$H$5,OR(C882='Buku Akun'!$C$4,AND(D882="Pindah",E882='Buku Akun'!$C$4))),B882+IF(AND(I882="Selisih bunga",DAY(B882)=1),0,0.01)+ROW()/10000000,"")</f>
        <v/>
      </c>
    </row>
    <row r="883" outlineLevel="1" ht="15" customHeight="1" s="94">
      <c r="A883" s="123">
        <f>IF(B883="","",ROW()-15)</f>
        <v/>
      </c>
      <c r="B883" s="124" t="n"/>
      <c r="C883" s="123" t="n"/>
      <c r="D883" s="123" t="n"/>
      <c r="E883" s="123" t="n"/>
      <c r="F883" s="125" t="n"/>
      <c r="G883" s="123" t="n"/>
      <c r="H883" s="123" t="n"/>
      <c r="I883" s="123" t="n"/>
      <c r="J883" s="123" t="n"/>
      <c r="K883" s="123" t="n"/>
      <c r="L883" s="123" t="n"/>
      <c r="M883" s="123">
        <f>IF(AND(B883&lt;&gt;"",OR($C$4="",ISNUMBER(SEARCH($C$4,C883&amp;" "&amp;E883&amp;" "&amp;G883&amp;" "&amp;H883&amp;" "&amp;I883&amp;" "&amp;J883&amp;" "&amp;K883&amp;" "&amp;L883))),OR($C$5="Semua",$C$5="",G883=$C$5),OR($C$6="Semua",$C$6="",H883=$C$6,H883="Pengeluaran "&amp;$C$6,AND($C$6="Uang Kos Mama",H883="Pengeluaran Uang Kos")),OR($C$7="Semua",$C$7="",I883=$C$7),OR($C$8="Semua",$C$8="",C883=$C$8,E883=$C$8),OR($C$9="Semua",$C$9="",D883=$C$9),OR($C$10="",B883&gt;=$C$10),OR($C$11="",B883&lt;=$C$11),OR($C$12&lt;&gt;"Ya",K883&lt;&gt;""),OR($C$13="Semua",$C$13="",L883=$C$13)),"✓","")</f>
        <v/>
      </c>
      <c r="N883" s="93">
        <f>N(N882)+IF(M883="✓",1,0)</f>
        <v/>
      </c>
      <c r="O883" s="93">
        <f>N(O882)+IF(AND(B883&lt;&gt;"",B883&gt;='Uang Riba'!$H$30,B883&lt;='Uang Riba'!$I$30,OR(H883="Dana riba",H883="Pinjam uang riba",I883="Pinjam dari uang riba",I883="Ganti uang riba",I883="Kelebihan ganti dikembalikan",AND(C883="Kantong Uang Riba",G883="Pengeluaran"))),1,0)</f>
        <v/>
      </c>
      <c r="X883" s="93">
        <f>IF(AND(B883&lt;&gt;"",B883&gt;='Buku Akun'!$H$4,B883&lt;='Buku Akun'!$H$5,OR(C883='Buku Akun'!$C$4,AND(D883="Pindah",E883='Buku Akun'!$C$4))),B883+IF(AND(I883="Selisih bunga",DAY(B883)=1),0,0.01)+ROW()/10000000,"")</f>
        <v/>
      </c>
    </row>
    <row r="884" outlineLevel="1" ht="15" customHeight="1" s="94">
      <c r="A884" s="123">
        <f>IF(B884="","",ROW()-15)</f>
        <v/>
      </c>
      <c r="B884" s="124" t="n"/>
      <c r="C884" s="123" t="n"/>
      <c r="D884" s="123" t="n"/>
      <c r="E884" s="123" t="n"/>
      <c r="F884" s="125" t="n"/>
      <c r="G884" s="123" t="n"/>
      <c r="H884" s="123" t="n"/>
      <c r="I884" s="123" t="n"/>
      <c r="J884" s="123" t="n"/>
      <c r="K884" s="123" t="n"/>
      <c r="L884" s="123" t="n"/>
      <c r="M884" s="123">
        <f>IF(AND(B884&lt;&gt;"",OR($C$4="",ISNUMBER(SEARCH($C$4,C884&amp;" "&amp;E884&amp;" "&amp;G884&amp;" "&amp;H884&amp;" "&amp;I884&amp;" "&amp;J884&amp;" "&amp;K884&amp;" "&amp;L884))),OR($C$5="Semua",$C$5="",G884=$C$5),OR($C$6="Semua",$C$6="",H884=$C$6,H884="Pengeluaran "&amp;$C$6,AND($C$6="Uang Kos Mama",H884="Pengeluaran Uang Kos")),OR($C$7="Semua",$C$7="",I884=$C$7),OR($C$8="Semua",$C$8="",C884=$C$8,E884=$C$8),OR($C$9="Semua",$C$9="",D884=$C$9),OR($C$10="",B884&gt;=$C$10),OR($C$11="",B884&lt;=$C$11),OR($C$12&lt;&gt;"Ya",K884&lt;&gt;""),OR($C$13="Semua",$C$13="",L884=$C$13)),"✓","")</f>
        <v/>
      </c>
      <c r="N884" s="93">
        <f>N(N883)+IF(M884="✓",1,0)</f>
        <v/>
      </c>
      <c r="O884" s="93">
        <f>N(O883)+IF(AND(B884&lt;&gt;"",B884&gt;='Uang Riba'!$H$30,B884&lt;='Uang Riba'!$I$30,OR(H884="Dana riba",H884="Pinjam uang riba",I884="Pinjam dari uang riba",I884="Ganti uang riba",I884="Kelebihan ganti dikembalikan",AND(C884="Kantong Uang Riba",G884="Pengeluaran"))),1,0)</f>
        <v/>
      </c>
      <c r="X884" s="93">
        <f>IF(AND(B884&lt;&gt;"",B884&gt;='Buku Akun'!$H$4,B884&lt;='Buku Akun'!$H$5,OR(C884='Buku Akun'!$C$4,AND(D884="Pindah",E884='Buku Akun'!$C$4))),B884+IF(AND(I884="Selisih bunga",DAY(B884)=1),0,0.01)+ROW()/10000000,"")</f>
        <v/>
      </c>
    </row>
    <row r="885" outlineLevel="1" ht="15" customHeight="1" s="94">
      <c r="A885" s="123">
        <f>IF(B885="","",ROW()-15)</f>
        <v/>
      </c>
      <c r="B885" s="124" t="n"/>
      <c r="C885" s="123" t="n"/>
      <c r="D885" s="123" t="n"/>
      <c r="E885" s="123" t="n"/>
      <c r="F885" s="125" t="n"/>
      <c r="G885" s="123" t="n"/>
      <c r="H885" s="123" t="n"/>
      <c r="I885" s="123" t="n"/>
      <c r="J885" s="123" t="n"/>
      <c r="K885" s="123" t="n"/>
      <c r="L885" s="123" t="n"/>
      <c r="M885" s="123">
        <f>IF(AND(B885&lt;&gt;"",OR($C$4="",ISNUMBER(SEARCH($C$4,C885&amp;" "&amp;E885&amp;" "&amp;G885&amp;" "&amp;H885&amp;" "&amp;I885&amp;" "&amp;J885&amp;" "&amp;K885&amp;" "&amp;L885))),OR($C$5="Semua",$C$5="",G885=$C$5),OR($C$6="Semua",$C$6="",H885=$C$6,H885="Pengeluaran "&amp;$C$6,AND($C$6="Uang Kos Mama",H885="Pengeluaran Uang Kos")),OR($C$7="Semua",$C$7="",I885=$C$7),OR($C$8="Semua",$C$8="",C885=$C$8,E885=$C$8),OR($C$9="Semua",$C$9="",D885=$C$9),OR($C$10="",B885&gt;=$C$10),OR($C$11="",B885&lt;=$C$11),OR($C$12&lt;&gt;"Ya",K885&lt;&gt;""),OR($C$13="Semua",$C$13="",L885=$C$13)),"✓","")</f>
        <v/>
      </c>
      <c r="N885" s="93">
        <f>N(N884)+IF(M885="✓",1,0)</f>
        <v/>
      </c>
      <c r="O885" s="93">
        <f>N(O884)+IF(AND(B885&lt;&gt;"",B885&gt;='Uang Riba'!$H$30,B885&lt;='Uang Riba'!$I$30,OR(H885="Dana riba",H885="Pinjam uang riba",I885="Pinjam dari uang riba",I885="Ganti uang riba",I885="Kelebihan ganti dikembalikan",AND(C885="Kantong Uang Riba",G885="Pengeluaran"))),1,0)</f>
        <v/>
      </c>
      <c r="X885" s="93">
        <f>IF(AND(B885&lt;&gt;"",B885&gt;='Buku Akun'!$H$4,B885&lt;='Buku Akun'!$H$5,OR(C885='Buku Akun'!$C$4,AND(D885="Pindah",E885='Buku Akun'!$C$4))),B885+IF(AND(I885="Selisih bunga",DAY(B885)=1),0,0.01)+ROW()/10000000,"")</f>
        <v/>
      </c>
    </row>
    <row r="886" outlineLevel="1" ht="15" customHeight="1" s="94">
      <c r="A886" s="123">
        <f>IF(B886="","",ROW()-15)</f>
        <v/>
      </c>
      <c r="B886" s="124" t="n"/>
      <c r="C886" s="123" t="n"/>
      <c r="D886" s="123" t="n"/>
      <c r="E886" s="123" t="n"/>
      <c r="F886" s="125" t="n"/>
      <c r="G886" s="123" t="n"/>
      <c r="H886" s="123" t="n"/>
      <c r="I886" s="123" t="n"/>
      <c r="J886" s="123" t="n"/>
      <c r="K886" s="123" t="n"/>
      <c r="L886" s="123" t="n"/>
      <c r="M886" s="123">
        <f>IF(AND(B886&lt;&gt;"",OR($C$4="",ISNUMBER(SEARCH($C$4,C886&amp;" "&amp;E886&amp;" "&amp;G886&amp;" "&amp;H886&amp;" "&amp;I886&amp;" "&amp;J886&amp;" "&amp;K886&amp;" "&amp;L886))),OR($C$5="Semua",$C$5="",G886=$C$5),OR($C$6="Semua",$C$6="",H886=$C$6,H886="Pengeluaran "&amp;$C$6,AND($C$6="Uang Kos Mama",H886="Pengeluaran Uang Kos")),OR($C$7="Semua",$C$7="",I886=$C$7),OR($C$8="Semua",$C$8="",C886=$C$8,E886=$C$8),OR($C$9="Semua",$C$9="",D886=$C$9),OR($C$10="",B886&gt;=$C$10),OR($C$11="",B886&lt;=$C$11),OR($C$12&lt;&gt;"Ya",K886&lt;&gt;""),OR($C$13="Semua",$C$13="",L886=$C$13)),"✓","")</f>
        <v/>
      </c>
      <c r="N886" s="93">
        <f>N(N885)+IF(M886="✓",1,0)</f>
        <v/>
      </c>
      <c r="O886" s="93">
        <f>N(O885)+IF(AND(B886&lt;&gt;"",B886&gt;='Uang Riba'!$H$30,B886&lt;='Uang Riba'!$I$30,OR(H886="Dana riba",H886="Pinjam uang riba",I886="Pinjam dari uang riba",I886="Ganti uang riba",I886="Kelebihan ganti dikembalikan",AND(C886="Kantong Uang Riba",G886="Pengeluaran"))),1,0)</f>
        <v/>
      </c>
      <c r="X886" s="93">
        <f>IF(AND(B886&lt;&gt;"",B886&gt;='Buku Akun'!$H$4,B886&lt;='Buku Akun'!$H$5,OR(C886='Buku Akun'!$C$4,AND(D886="Pindah",E886='Buku Akun'!$C$4))),B886+IF(AND(I886="Selisih bunga",DAY(B886)=1),0,0.01)+ROW()/10000000,"")</f>
        <v/>
      </c>
    </row>
    <row r="887" outlineLevel="1" ht="15" customHeight="1" s="94">
      <c r="A887" s="123">
        <f>IF(B887="","",ROW()-15)</f>
        <v/>
      </c>
      <c r="B887" s="124" t="n"/>
      <c r="C887" s="123" t="n"/>
      <c r="D887" s="123" t="n"/>
      <c r="E887" s="123" t="n"/>
      <c r="F887" s="125" t="n"/>
      <c r="G887" s="123" t="n"/>
      <c r="H887" s="123" t="n"/>
      <c r="I887" s="123" t="n"/>
      <c r="J887" s="123" t="n"/>
      <c r="K887" s="123" t="n"/>
      <c r="L887" s="123" t="n"/>
      <c r="M887" s="123">
        <f>IF(AND(B887&lt;&gt;"",OR($C$4="",ISNUMBER(SEARCH($C$4,C887&amp;" "&amp;E887&amp;" "&amp;G887&amp;" "&amp;H887&amp;" "&amp;I887&amp;" "&amp;J887&amp;" "&amp;K887&amp;" "&amp;L887))),OR($C$5="Semua",$C$5="",G887=$C$5),OR($C$6="Semua",$C$6="",H887=$C$6,H887="Pengeluaran "&amp;$C$6,AND($C$6="Uang Kos Mama",H887="Pengeluaran Uang Kos")),OR($C$7="Semua",$C$7="",I887=$C$7),OR($C$8="Semua",$C$8="",C887=$C$8,E887=$C$8),OR($C$9="Semua",$C$9="",D887=$C$9),OR($C$10="",B887&gt;=$C$10),OR($C$11="",B887&lt;=$C$11),OR($C$12&lt;&gt;"Ya",K887&lt;&gt;""),OR($C$13="Semua",$C$13="",L887=$C$13)),"✓","")</f>
        <v/>
      </c>
      <c r="N887" s="93">
        <f>N(N886)+IF(M887="✓",1,0)</f>
        <v/>
      </c>
      <c r="O887" s="93">
        <f>N(O886)+IF(AND(B887&lt;&gt;"",B887&gt;='Uang Riba'!$H$30,B887&lt;='Uang Riba'!$I$30,OR(H887="Dana riba",H887="Pinjam uang riba",I887="Pinjam dari uang riba",I887="Ganti uang riba",I887="Kelebihan ganti dikembalikan",AND(C887="Kantong Uang Riba",G887="Pengeluaran"))),1,0)</f>
        <v/>
      </c>
      <c r="X887" s="93">
        <f>IF(AND(B887&lt;&gt;"",B887&gt;='Buku Akun'!$H$4,B887&lt;='Buku Akun'!$H$5,OR(C887='Buku Akun'!$C$4,AND(D887="Pindah",E887='Buku Akun'!$C$4))),B887+IF(AND(I887="Selisih bunga",DAY(B887)=1),0,0.01)+ROW()/10000000,"")</f>
        <v/>
      </c>
    </row>
    <row r="888" outlineLevel="1" ht="15" customHeight="1" s="94">
      <c r="A888" s="123">
        <f>IF(B888="","",ROW()-15)</f>
        <v/>
      </c>
      <c r="B888" s="124" t="n"/>
      <c r="C888" s="123" t="n"/>
      <c r="D888" s="123" t="n"/>
      <c r="E888" s="123" t="n"/>
      <c r="F888" s="125" t="n"/>
      <c r="G888" s="123" t="n"/>
      <c r="H888" s="123" t="n"/>
      <c r="I888" s="123" t="n"/>
      <c r="J888" s="123" t="n"/>
      <c r="K888" s="123" t="n"/>
      <c r="L888" s="123" t="n"/>
      <c r="M888" s="123">
        <f>IF(AND(B888&lt;&gt;"",OR($C$4="",ISNUMBER(SEARCH($C$4,C888&amp;" "&amp;E888&amp;" "&amp;G888&amp;" "&amp;H888&amp;" "&amp;I888&amp;" "&amp;J888&amp;" "&amp;K888&amp;" "&amp;L888))),OR($C$5="Semua",$C$5="",G888=$C$5),OR($C$6="Semua",$C$6="",H888=$C$6,H888="Pengeluaran "&amp;$C$6,AND($C$6="Uang Kos Mama",H888="Pengeluaran Uang Kos")),OR($C$7="Semua",$C$7="",I888=$C$7),OR($C$8="Semua",$C$8="",C888=$C$8,E888=$C$8),OR($C$9="Semua",$C$9="",D888=$C$9),OR($C$10="",B888&gt;=$C$10),OR($C$11="",B888&lt;=$C$11),OR($C$12&lt;&gt;"Ya",K888&lt;&gt;""),OR($C$13="Semua",$C$13="",L888=$C$13)),"✓","")</f>
        <v/>
      </c>
      <c r="N888" s="93">
        <f>N(N887)+IF(M888="✓",1,0)</f>
        <v/>
      </c>
      <c r="O888" s="93">
        <f>N(O887)+IF(AND(B888&lt;&gt;"",B888&gt;='Uang Riba'!$H$30,B888&lt;='Uang Riba'!$I$30,OR(H888="Dana riba",H888="Pinjam uang riba",I888="Pinjam dari uang riba",I888="Ganti uang riba",I888="Kelebihan ganti dikembalikan",AND(C888="Kantong Uang Riba",G888="Pengeluaran"))),1,0)</f>
        <v/>
      </c>
      <c r="X888" s="93">
        <f>IF(AND(B888&lt;&gt;"",B888&gt;='Buku Akun'!$H$4,B888&lt;='Buku Akun'!$H$5,OR(C888='Buku Akun'!$C$4,AND(D888="Pindah",E888='Buku Akun'!$C$4))),B888+IF(AND(I888="Selisih bunga",DAY(B888)=1),0,0.01)+ROW()/10000000,"")</f>
        <v/>
      </c>
    </row>
    <row r="889" outlineLevel="1" ht="15" customHeight="1" s="94">
      <c r="A889" s="123">
        <f>IF(B889="","",ROW()-15)</f>
        <v/>
      </c>
      <c r="B889" s="124" t="n"/>
      <c r="C889" s="123" t="n"/>
      <c r="D889" s="123" t="n"/>
      <c r="E889" s="123" t="n"/>
      <c r="F889" s="125" t="n"/>
      <c r="G889" s="123" t="n"/>
      <c r="H889" s="123" t="n"/>
      <c r="I889" s="123" t="n"/>
      <c r="J889" s="123" t="n"/>
      <c r="K889" s="123" t="n"/>
      <c r="L889" s="123" t="n"/>
      <c r="M889" s="123">
        <f>IF(AND(B889&lt;&gt;"",OR($C$4="",ISNUMBER(SEARCH($C$4,C889&amp;" "&amp;E889&amp;" "&amp;G889&amp;" "&amp;H889&amp;" "&amp;I889&amp;" "&amp;J889&amp;" "&amp;K889&amp;" "&amp;L889))),OR($C$5="Semua",$C$5="",G889=$C$5),OR($C$6="Semua",$C$6="",H889=$C$6,H889="Pengeluaran "&amp;$C$6,AND($C$6="Uang Kos Mama",H889="Pengeluaran Uang Kos")),OR($C$7="Semua",$C$7="",I889=$C$7),OR($C$8="Semua",$C$8="",C889=$C$8,E889=$C$8),OR($C$9="Semua",$C$9="",D889=$C$9),OR($C$10="",B889&gt;=$C$10),OR($C$11="",B889&lt;=$C$11),OR($C$12&lt;&gt;"Ya",K889&lt;&gt;""),OR($C$13="Semua",$C$13="",L889=$C$13)),"✓","")</f>
        <v/>
      </c>
      <c r="N889" s="93">
        <f>N(N888)+IF(M889="✓",1,0)</f>
        <v/>
      </c>
      <c r="O889" s="93">
        <f>N(O888)+IF(AND(B889&lt;&gt;"",B889&gt;='Uang Riba'!$H$30,B889&lt;='Uang Riba'!$I$30,OR(H889="Dana riba",H889="Pinjam uang riba",I889="Pinjam dari uang riba",I889="Ganti uang riba",I889="Kelebihan ganti dikembalikan",AND(C889="Kantong Uang Riba",G889="Pengeluaran"))),1,0)</f>
        <v/>
      </c>
      <c r="X889" s="93">
        <f>IF(AND(B889&lt;&gt;"",B889&gt;='Buku Akun'!$H$4,B889&lt;='Buku Akun'!$H$5,OR(C889='Buku Akun'!$C$4,AND(D889="Pindah",E889='Buku Akun'!$C$4))),B889+IF(AND(I889="Selisih bunga",DAY(B889)=1),0,0.01)+ROW()/10000000,"")</f>
        <v/>
      </c>
    </row>
    <row r="890" outlineLevel="1" ht="15" customHeight="1" s="94">
      <c r="A890" s="123">
        <f>IF(B890="","",ROW()-15)</f>
        <v/>
      </c>
      <c r="B890" s="124" t="n"/>
      <c r="C890" s="123" t="n"/>
      <c r="D890" s="123" t="n"/>
      <c r="E890" s="123" t="n"/>
      <c r="F890" s="125" t="n"/>
      <c r="G890" s="123" t="n"/>
      <c r="H890" s="123" t="n"/>
      <c r="I890" s="123" t="n"/>
      <c r="J890" s="123" t="n"/>
      <c r="K890" s="123" t="n"/>
      <c r="L890" s="123" t="n"/>
      <c r="M890" s="123">
        <f>IF(AND(B890&lt;&gt;"",OR($C$4="",ISNUMBER(SEARCH($C$4,C890&amp;" "&amp;E890&amp;" "&amp;G890&amp;" "&amp;H890&amp;" "&amp;I890&amp;" "&amp;J890&amp;" "&amp;K890&amp;" "&amp;L890))),OR($C$5="Semua",$C$5="",G890=$C$5),OR($C$6="Semua",$C$6="",H890=$C$6,H890="Pengeluaran "&amp;$C$6,AND($C$6="Uang Kos Mama",H890="Pengeluaran Uang Kos")),OR($C$7="Semua",$C$7="",I890=$C$7),OR($C$8="Semua",$C$8="",C890=$C$8,E890=$C$8),OR($C$9="Semua",$C$9="",D890=$C$9),OR($C$10="",B890&gt;=$C$10),OR($C$11="",B890&lt;=$C$11),OR($C$12&lt;&gt;"Ya",K890&lt;&gt;""),OR($C$13="Semua",$C$13="",L890=$C$13)),"✓","")</f>
        <v/>
      </c>
      <c r="N890" s="93">
        <f>N(N889)+IF(M890="✓",1,0)</f>
        <v/>
      </c>
      <c r="O890" s="93">
        <f>N(O889)+IF(AND(B890&lt;&gt;"",B890&gt;='Uang Riba'!$H$30,B890&lt;='Uang Riba'!$I$30,OR(H890="Dana riba",H890="Pinjam uang riba",I890="Pinjam dari uang riba",I890="Ganti uang riba",I890="Kelebihan ganti dikembalikan",AND(C890="Kantong Uang Riba",G890="Pengeluaran"))),1,0)</f>
        <v/>
      </c>
      <c r="X890" s="93">
        <f>IF(AND(B890&lt;&gt;"",B890&gt;='Buku Akun'!$H$4,B890&lt;='Buku Akun'!$H$5,OR(C890='Buku Akun'!$C$4,AND(D890="Pindah",E890='Buku Akun'!$C$4))),B890+IF(AND(I890="Selisih bunga",DAY(B890)=1),0,0.01)+ROW()/10000000,"")</f>
        <v/>
      </c>
    </row>
    <row r="891" outlineLevel="1" ht="15" customHeight="1" s="94">
      <c r="A891" s="123">
        <f>IF(B891="","",ROW()-15)</f>
        <v/>
      </c>
      <c r="B891" s="124" t="n"/>
      <c r="C891" s="123" t="n"/>
      <c r="D891" s="123" t="n"/>
      <c r="E891" s="123" t="n"/>
      <c r="F891" s="125" t="n"/>
      <c r="G891" s="123" t="n"/>
      <c r="H891" s="123" t="n"/>
      <c r="I891" s="123" t="n"/>
      <c r="J891" s="123" t="n"/>
      <c r="K891" s="123" t="n"/>
      <c r="L891" s="123" t="n"/>
      <c r="M891" s="123">
        <f>IF(AND(B891&lt;&gt;"",OR($C$4="",ISNUMBER(SEARCH($C$4,C891&amp;" "&amp;E891&amp;" "&amp;G891&amp;" "&amp;H891&amp;" "&amp;I891&amp;" "&amp;J891&amp;" "&amp;K891&amp;" "&amp;L891))),OR($C$5="Semua",$C$5="",G891=$C$5),OR($C$6="Semua",$C$6="",H891=$C$6,H891="Pengeluaran "&amp;$C$6,AND($C$6="Uang Kos Mama",H891="Pengeluaran Uang Kos")),OR($C$7="Semua",$C$7="",I891=$C$7),OR($C$8="Semua",$C$8="",C891=$C$8,E891=$C$8),OR($C$9="Semua",$C$9="",D891=$C$9),OR($C$10="",B891&gt;=$C$10),OR($C$11="",B891&lt;=$C$11),OR($C$12&lt;&gt;"Ya",K891&lt;&gt;""),OR($C$13="Semua",$C$13="",L891=$C$13)),"✓","")</f>
        <v/>
      </c>
      <c r="N891" s="93">
        <f>N(N890)+IF(M891="✓",1,0)</f>
        <v/>
      </c>
      <c r="O891" s="93">
        <f>N(O890)+IF(AND(B891&lt;&gt;"",B891&gt;='Uang Riba'!$H$30,B891&lt;='Uang Riba'!$I$30,OR(H891="Dana riba",H891="Pinjam uang riba",I891="Pinjam dari uang riba",I891="Ganti uang riba",I891="Kelebihan ganti dikembalikan",AND(C891="Kantong Uang Riba",G891="Pengeluaran"))),1,0)</f>
        <v/>
      </c>
      <c r="X891" s="93">
        <f>IF(AND(B891&lt;&gt;"",B891&gt;='Buku Akun'!$H$4,B891&lt;='Buku Akun'!$H$5,OR(C891='Buku Akun'!$C$4,AND(D891="Pindah",E891='Buku Akun'!$C$4))),B891+IF(AND(I891="Selisih bunga",DAY(B891)=1),0,0.01)+ROW()/10000000,"")</f>
        <v/>
      </c>
    </row>
    <row r="892" outlineLevel="1" ht="15" customHeight="1" s="94">
      <c r="A892" s="123">
        <f>IF(B892="","",ROW()-15)</f>
        <v/>
      </c>
      <c r="B892" s="124" t="n"/>
      <c r="C892" s="123" t="n"/>
      <c r="D892" s="123" t="n"/>
      <c r="E892" s="123" t="n"/>
      <c r="F892" s="125" t="n"/>
      <c r="G892" s="123" t="n"/>
      <c r="H892" s="123" t="n"/>
      <c r="I892" s="123" t="n"/>
      <c r="J892" s="123" t="n"/>
      <c r="K892" s="123" t="n"/>
      <c r="L892" s="123" t="n"/>
      <c r="M892" s="123">
        <f>IF(AND(B892&lt;&gt;"",OR($C$4="",ISNUMBER(SEARCH($C$4,C892&amp;" "&amp;E892&amp;" "&amp;G892&amp;" "&amp;H892&amp;" "&amp;I892&amp;" "&amp;J892&amp;" "&amp;K892&amp;" "&amp;L892))),OR($C$5="Semua",$C$5="",G892=$C$5),OR($C$6="Semua",$C$6="",H892=$C$6,H892="Pengeluaran "&amp;$C$6,AND($C$6="Uang Kos Mama",H892="Pengeluaran Uang Kos")),OR($C$7="Semua",$C$7="",I892=$C$7),OR($C$8="Semua",$C$8="",C892=$C$8,E892=$C$8),OR($C$9="Semua",$C$9="",D892=$C$9),OR($C$10="",B892&gt;=$C$10),OR($C$11="",B892&lt;=$C$11),OR($C$12&lt;&gt;"Ya",K892&lt;&gt;""),OR($C$13="Semua",$C$13="",L892=$C$13)),"✓","")</f>
        <v/>
      </c>
      <c r="N892" s="93">
        <f>N(N891)+IF(M892="✓",1,0)</f>
        <v/>
      </c>
      <c r="O892" s="93">
        <f>N(O891)+IF(AND(B892&lt;&gt;"",B892&gt;='Uang Riba'!$H$30,B892&lt;='Uang Riba'!$I$30,OR(H892="Dana riba",H892="Pinjam uang riba",I892="Pinjam dari uang riba",I892="Ganti uang riba",I892="Kelebihan ganti dikembalikan",AND(C892="Kantong Uang Riba",G892="Pengeluaran"))),1,0)</f>
        <v/>
      </c>
      <c r="X892" s="93">
        <f>IF(AND(B892&lt;&gt;"",B892&gt;='Buku Akun'!$H$4,B892&lt;='Buku Akun'!$H$5,OR(C892='Buku Akun'!$C$4,AND(D892="Pindah",E892='Buku Akun'!$C$4))),B892+IF(AND(I892="Selisih bunga",DAY(B892)=1),0,0.01)+ROW()/10000000,"")</f>
        <v/>
      </c>
    </row>
    <row r="893" outlineLevel="1" ht="15" customHeight="1" s="94">
      <c r="A893" s="123">
        <f>IF(B893="","",ROW()-15)</f>
        <v/>
      </c>
      <c r="B893" s="124" t="n"/>
      <c r="C893" s="123" t="n"/>
      <c r="D893" s="123" t="n"/>
      <c r="E893" s="123" t="n"/>
      <c r="F893" s="125" t="n"/>
      <c r="G893" s="123" t="n"/>
      <c r="H893" s="123" t="n"/>
      <c r="I893" s="123" t="n"/>
      <c r="J893" s="123" t="n"/>
      <c r="K893" s="123" t="n"/>
      <c r="L893" s="123" t="n"/>
      <c r="M893" s="123">
        <f>IF(AND(B893&lt;&gt;"",OR($C$4="",ISNUMBER(SEARCH($C$4,C893&amp;" "&amp;E893&amp;" "&amp;G893&amp;" "&amp;H893&amp;" "&amp;I893&amp;" "&amp;J893&amp;" "&amp;K893&amp;" "&amp;L893))),OR($C$5="Semua",$C$5="",G893=$C$5),OR($C$6="Semua",$C$6="",H893=$C$6,H893="Pengeluaran "&amp;$C$6,AND($C$6="Uang Kos Mama",H893="Pengeluaran Uang Kos")),OR($C$7="Semua",$C$7="",I893=$C$7),OR($C$8="Semua",$C$8="",C893=$C$8,E893=$C$8),OR($C$9="Semua",$C$9="",D893=$C$9),OR($C$10="",B893&gt;=$C$10),OR($C$11="",B893&lt;=$C$11),OR($C$12&lt;&gt;"Ya",K893&lt;&gt;""),OR($C$13="Semua",$C$13="",L893=$C$13)),"✓","")</f>
        <v/>
      </c>
      <c r="N893" s="93">
        <f>N(N892)+IF(M893="✓",1,0)</f>
        <v/>
      </c>
      <c r="O893" s="93">
        <f>N(O892)+IF(AND(B893&lt;&gt;"",B893&gt;='Uang Riba'!$H$30,B893&lt;='Uang Riba'!$I$30,OR(H893="Dana riba",H893="Pinjam uang riba",I893="Pinjam dari uang riba",I893="Ganti uang riba",I893="Kelebihan ganti dikembalikan",AND(C893="Kantong Uang Riba",G893="Pengeluaran"))),1,0)</f>
        <v/>
      </c>
      <c r="X893" s="93">
        <f>IF(AND(B893&lt;&gt;"",B893&gt;='Buku Akun'!$H$4,B893&lt;='Buku Akun'!$H$5,OR(C893='Buku Akun'!$C$4,AND(D893="Pindah",E893='Buku Akun'!$C$4))),B893+IF(AND(I893="Selisih bunga",DAY(B893)=1),0,0.01)+ROW()/10000000,"")</f>
        <v/>
      </c>
    </row>
    <row r="894" outlineLevel="1" ht="15" customHeight="1" s="94">
      <c r="A894" s="123">
        <f>IF(B894="","",ROW()-15)</f>
        <v/>
      </c>
      <c r="B894" s="124" t="n"/>
      <c r="C894" s="123" t="n"/>
      <c r="D894" s="123" t="n"/>
      <c r="E894" s="123" t="n"/>
      <c r="F894" s="125" t="n"/>
      <c r="G894" s="123" t="n"/>
      <c r="H894" s="123" t="n"/>
      <c r="I894" s="123" t="n"/>
      <c r="J894" s="123" t="n"/>
      <c r="K894" s="123" t="n"/>
      <c r="L894" s="123" t="n"/>
      <c r="M894" s="123">
        <f>IF(AND(B894&lt;&gt;"",OR($C$4="",ISNUMBER(SEARCH($C$4,C894&amp;" "&amp;E894&amp;" "&amp;G894&amp;" "&amp;H894&amp;" "&amp;I894&amp;" "&amp;J894&amp;" "&amp;K894&amp;" "&amp;L894))),OR($C$5="Semua",$C$5="",G894=$C$5),OR($C$6="Semua",$C$6="",H894=$C$6,H894="Pengeluaran "&amp;$C$6,AND($C$6="Uang Kos Mama",H894="Pengeluaran Uang Kos")),OR($C$7="Semua",$C$7="",I894=$C$7),OR($C$8="Semua",$C$8="",C894=$C$8,E894=$C$8),OR($C$9="Semua",$C$9="",D894=$C$9),OR($C$10="",B894&gt;=$C$10),OR($C$11="",B894&lt;=$C$11),OR($C$12&lt;&gt;"Ya",K894&lt;&gt;""),OR($C$13="Semua",$C$13="",L894=$C$13)),"✓","")</f>
        <v/>
      </c>
      <c r="N894" s="93">
        <f>N(N893)+IF(M894="✓",1,0)</f>
        <v/>
      </c>
      <c r="O894" s="93">
        <f>N(O893)+IF(AND(B894&lt;&gt;"",B894&gt;='Uang Riba'!$H$30,B894&lt;='Uang Riba'!$I$30,OR(H894="Dana riba",H894="Pinjam uang riba",I894="Pinjam dari uang riba",I894="Ganti uang riba",I894="Kelebihan ganti dikembalikan",AND(C894="Kantong Uang Riba",G894="Pengeluaran"))),1,0)</f>
        <v/>
      </c>
      <c r="X894" s="93">
        <f>IF(AND(B894&lt;&gt;"",B894&gt;='Buku Akun'!$H$4,B894&lt;='Buku Akun'!$H$5,OR(C894='Buku Akun'!$C$4,AND(D894="Pindah",E894='Buku Akun'!$C$4))),B894+IF(AND(I894="Selisih bunga",DAY(B894)=1),0,0.01)+ROW()/10000000,"")</f>
        <v/>
      </c>
    </row>
    <row r="895" outlineLevel="1" ht="15" customHeight="1" s="94">
      <c r="A895" s="123">
        <f>IF(B895="","",ROW()-15)</f>
        <v/>
      </c>
      <c r="B895" s="124" t="n"/>
      <c r="C895" s="123" t="n"/>
      <c r="D895" s="123" t="n"/>
      <c r="E895" s="123" t="n"/>
      <c r="F895" s="125" t="n"/>
      <c r="G895" s="123" t="n"/>
      <c r="H895" s="123" t="n"/>
      <c r="I895" s="123" t="n"/>
      <c r="J895" s="123" t="n"/>
      <c r="K895" s="123" t="n"/>
      <c r="L895" s="123" t="n"/>
      <c r="M895" s="123">
        <f>IF(AND(B895&lt;&gt;"",OR($C$4="",ISNUMBER(SEARCH($C$4,C895&amp;" "&amp;E895&amp;" "&amp;G895&amp;" "&amp;H895&amp;" "&amp;I895&amp;" "&amp;J895&amp;" "&amp;K895&amp;" "&amp;L895))),OR($C$5="Semua",$C$5="",G895=$C$5),OR($C$6="Semua",$C$6="",H895=$C$6,H895="Pengeluaran "&amp;$C$6,AND($C$6="Uang Kos Mama",H895="Pengeluaran Uang Kos")),OR($C$7="Semua",$C$7="",I895=$C$7),OR($C$8="Semua",$C$8="",C895=$C$8,E895=$C$8),OR($C$9="Semua",$C$9="",D895=$C$9),OR($C$10="",B895&gt;=$C$10),OR($C$11="",B895&lt;=$C$11),OR($C$12&lt;&gt;"Ya",K895&lt;&gt;""),OR($C$13="Semua",$C$13="",L895=$C$13)),"✓","")</f>
        <v/>
      </c>
      <c r="N895" s="93">
        <f>N(N894)+IF(M895="✓",1,0)</f>
        <v/>
      </c>
      <c r="O895" s="93">
        <f>N(O894)+IF(AND(B895&lt;&gt;"",B895&gt;='Uang Riba'!$H$30,B895&lt;='Uang Riba'!$I$30,OR(H895="Dana riba",H895="Pinjam uang riba",I895="Pinjam dari uang riba",I895="Ganti uang riba",I895="Kelebihan ganti dikembalikan",AND(C895="Kantong Uang Riba",G895="Pengeluaran"))),1,0)</f>
        <v/>
      </c>
      <c r="X895" s="93">
        <f>IF(AND(B895&lt;&gt;"",B895&gt;='Buku Akun'!$H$4,B895&lt;='Buku Akun'!$H$5,OR(C895='Buku Akun'!$C$4,AND(D895="Pindah",E895='Buku Akun'!$C$4))),B895+IF(AND(I895="Selisih bunga",DAY(B895)=1),0,0.01)+ROW()/10000000,"")</f>
        <v/>
      </c>
    </row>
    <row r="896" outlineLevel="1" ht="15" customHeight="1" s="94">
      <c r="A896" s="123">
        <f>IF(B896="","",ROW()-15)</f>
        <v/>
      </c>
      <c r="B896" s="124" t="n"/>
      <c r="C896" s="123" t="n"/>
      <c r="D896" s="123" t="n"/>
      <c r="E896" s="123" t="n"/>
      <c r="F896" s="125" t="n"/>
      <c r="G896" s="123" t="n"/>
      <c r="H896" s="123" t="n"/>
      <c r="I896" s="123" t="n"/>
      <c r="J896" s="123" t="n"/>
      <c r="K896" s="123" t="n"/>
      <c r="L896" s="123" t="n"/>
      <c r="M896" s="123">
        <f>IF(AND(B896&lt;&gt;"",OR($C$4="",ISNUMBER(SEARCH($C$4,C896&amp;" "&amp;E896&amp;" "&amp;G896&amp;" "&amp;H896&amp;" "&amp;I896&amp;" "&amp;J896&amp;" "&amp;K896&amp;" "&amp;L896))),OR($C$5="Semua",$C$5="",G896=$C$5),OR($C$6="Semua",$C$6="",H896=$C$6,H896="Pengeluaran "&amp;$C$6,AND($C$6="Uang Kos Mama",H896="Pengeluaran Uang Kos")),OR($C$7="Semua",$C$7="",I896=$C$7),OR($C$8="Semua",$C$8="",C896=$C$8,E896=$C$8),OR($C$9="Semua",$C$9="",D896=$C$9),OR($C$10="",B896&gt;=$C$10),OR($C$11="",B896&lt;=$C$11),OR($C$12&lt;&gt;"Ya",K896&lt;&gt;""),OR($C$13="Semua",$C$13="",L896=$C$13)),"✓","")</f>
        <v/>
      </c>
      <c r="N896" s="93">
        <f>N(N895)+IF(M896="✓",1,0)</f>
        <v/>
      </c>
      <c r="O896" s="93">
        <f>N(O895)+IF(AND(B896&lt;&gt;"",B896&gt;='Uang Riba'!$H$30,B896&lt;='Uang Riba'!$I$30,OR(H896="Dana riba",H896="Pinjam uang riba",I896="Pinjam dari uang riba",I896="Ganti uang riba",I896="Kelebihan ganti dikembalikan",AND(C896="Kantong Uang Riba",G896="Pengeluaran"))),1,0)</f>
        <v/>
      </c>
      <c r="X896" s="93">
        <f>IF(AND(B896&lt;&gt;"",B896&gt;='Buku Akun'!$H$4,B896&lt;='Buku Akun'!$H$5,OR(C896='Buku Akun'!$C$4,AND(D896="Pindah",E896='Buku Akun'!$C$4))),B896+IF(AND(I896="Selisih bunga",DAY(B896)=1),0,0.01)+ROW()/10000000,"")</f>
        <v/>
      </c>
    </row>
    <row r="897" outlineLevel="1" ht="15" customHeight="1" s="94">
      <c r="A897" s="123">
        <f>IF(B897="","",ROW()-15)</f>
        <v/>
      </c>
      <c r="B897" s="124" t="n"/>
      <c r="C897" s="123" t="n"/>
      <c r="D897" s="123" t="n"/>
      <c r="E897" s="123" t="n"/>
      <c r="F897" s="125" t="n"/>
      <c r="G897" s="123" t="n"/>
      <c r="H897" s="123" t="n"/>
      <c r="I897" s="123" t="n"/>
      <c r="J897" s="123" t="n"/>
      <c r="K897" s="123" t="n"/>
      <c r="L897" s="123" t="n"/>
      <c r="M897" s="123">
        <f>IF(AND(B897&lt;&gt;"",OR($C$4="",ISNUMBER(SEARCH($C$4,C897&amp;" "&amp;E897&amp;" "&amp;G897&amp;" "&amp;H897&amp;" "&amp;I897&amp;" "&amp;J897&amp;" "&amp;K897&amp;" "&amp;L897))),OR($C$5="Semua",$C$5="",G897=$C$5),OR($C$6="Semua",$C$6="",H897=$C$6,H897="Pengeluaran "&amp;$C$6,AND($C$6="Uang Kos Mama",H897="Pengeluaran Uang Kos")),OR($C$7="Semua",$C$7="",I897=$C$7),OR($C$8="Semua",$C$8="",C897=$C$8,E897=$C$8),OR($C$9="Semua",$C$9="",D897=$C$9),OR($C$10="",B897&gt;=$C$10),OR($C$11="",B897&lt;=$C$11),OR($C$12&lt;&gt;"Ya",K897&lt;&gt;""),OR($C$13="Semua",$C$13="",L897=$C$13)),"✓","")</f>
        <v/>
      </c>
      <c r="N897" s="93">
        <f>N(N896)+IF(M897="✓",1,0)</f>
        <v/>
      </c>
      <c r="O897" s="93">
        <f>N(O896)+IF(AND(B897&lt;&gt;"",B897&gt;='Uang Riba'!$H$30,B897&lt;='Uang Riba'!$I$30,OR(H897="Dana riba",H897="Pinjam uang riba",I897="Pinjam dari uang riba",I897="Ganti uang riba",I897="Kelebihan ganti dikembalikan",AND(C897="Kantong Uang Riba",G897="Pengeluaran"))),1,0)</f>
        <v/>
      </c>
      <c r="X897" s="93">
        <f>IF(AND(B897&lt;&gt;"",B897&gt;='Buku Akun'!$H$4,B897&lt;='Buku Akun'!$H$5,OR(C897='Buku Akun'!$C$4,AND(D897="Pindah",E897='Buku Akun'!$C$4))),B897+IF(AND(I897="Selisih bunga",DAY(B897)=1),0,0.01)+ROW()/10000000,"")</f>
        <v/>
      </c>
    </row>
    <row r="898" outlineLevel="1" ht="15" customHeight="1" s="94">
      <c r="A898" s="123">
        <f>IF(B898="","",ROW()-15)</f>
        <v/>
      </c>
      <c r="B898" s="124" t="n"/>
      <c r="C898" s="123" t="n"/>
      <c r="D898" s="123" t="n"/>
      <c r="E898" s="123" t="n"/>
      <c r="F898" s="125" t="n"/>
      <c r="G898" s="123" t="n"/>
      <c r="H898" s="123" t="n"/>
      <c r="I898" s="123" t="n"/>
      <c r="J898" s="123" t="n"/>
      <c r="K898" s="123" t="n"/>
      <c r="L898" s="123" t="n"/>
      <c r="M898" s="123">
        <f>IF(AND(B898&lt;&gt;"",OR($C$4="",ISNUMBER(SEARCH($C$4,C898&amp;" "&amp;E898&amp;" "&amp;G898&amp;" "&amp;H898&amp;" "&amp;I898&amp;" "&amp;J898&amp;" "&amp;K898&amp;" "&amp;L898))),OR($C$5="Semua",$C$5="",G898=$C$5),OR($C$6="Semua",$C$6="",H898=$C$6,H898="Pengeluaran "&amp;$C$6,AND($C$6="Uang Kos Mama",H898="Pengeluaran Uang Kos")),OR($C$7="Semua",$C$7="",I898=$C$7),OR($C$8="Semua",$C$8="",C898=$C$8,E898=$C$8),OR($C$9="Semua",$C$9="",D898=$C$9),OR($C$10="",B898&gt;=$C$10),OR($C$11="",B898&lt;=$C$11),OR($C$12&lt;&gt;"Ya",K898&lt;&gt;""),OR($C$13="Semua",$C$13="",L898=$C$13)),"✓","")</f>
        <v/>
      </c>
      <c r="N898" s="93">
        <f>N(N897)+IF(M898="✓",1,0)</f>
        <v/>
      </c>
      <c r="O898" s="93">
        <f>N(O897)+IF(AND(B898&lt;&gt;"",B898&gt;='Uang Riba'!$H$30,B898&lt;='Uang Riba'!$I$30,OR(H898="Dana riba",H898="Pinjam uang riba",I898="Pinjam dari uang riba",I898="Ganti uang riba",I898="Kelebihan ganti dikembalikan",AND(C898="Kantong Uang Riba",G898="Pengeluaran"))),1,0)</f>
        <v/>
      </c>
      <c r="X898" s="93">
        <f>IF(AND(B898&lt;&gt;"",B898&gt;='Buku Akun'!$H$4,B898&lt;='Buku Akun'!$H$5,OR(C898='Buku Akun'!$C$4,AND(D898="Pindah",E898='Buku Akun'!$C$4))),B898+IF(AND(I898="Selisih bunga",DAY(B898)=1),0,0.01)+ROW()/10000000,"")</f>
        <v/>
      </c>
    </row>
    <row r="899" outlineLevel="1" ht="15" customHeight="1" s="94">
      <c r="A899" s="123">
        <f>IF(B899="","",ROW()-15)</f>
        <v/>
      </c>
      <c r="B899" s="124" t="n"/>
      <c r="C899" s="123" t="n"/>
      <c r="D899" s="123" t="n"/>
      <c r="E899" s="123" t="n"/>
      <c r="F899" s="125" t="n"/>
      <c r="G899" s="123" t="n"/>
      <c r="H899" s="123" t="n"/>
      <c r="I899" s="123" t="n"/>
      <c r="J899" s="123" t="n"/>
      <c r="K899" s="123" t="n"/>
      <c r="L899" s="123" t="n"/>
      <c r="M899" s="123">
        <f>IF(AND(B899&lt;&gt;"",OR($C$4="",ISNUMBER(SEARCH($C$4,C899&amp;" "&amp;E899&amp;" "&amp;G899&amp;" "&amp;H899&amp;" "&amp;I899&amp;" "&amp;J899&amp;" "&amp;K899&amp;" "&amp;L899))),OR($C$5="Semua",$C$5="",G899=$C$5),OR($C$6="Semua",$C$6="",H899=$C$6,H899="Pengeluaran "&amp;$C$6,AND($C$6="Uang Kos Mama",H899="Pengeluaran Uang Kos")),OR($C$7="Semua",$C$7="",I899=$C$7),OR($C$8="Semua",$C$8="",C899=$C$8,E899=$C$8),OR($C$9="Semua",$C$9="",D899=$C$9),OR($C$10="",B899&gt;=$C$10),OR($C$11="",B899&lt;=$C$11),OR($C$12&lt;&gt;"Ya",K899&lt;&gt;""),OR($C$13="Semua",$C$13="",L899=$C$13)),"✓","")</f>
        <v/>
      </c>
      <c r="N899" s="93">
        <f>N(N898)+IF(M899="✓",1,0)</f>
        <v/>
      </c>
      <c r="O899" s="93">
        <f>N(O898)+IF(AND(B899&lt;&gt;"",B899&gt;='Uang Riba'!$H$30,B899&lt;='Uang Riba'!$I$30,OR(H899="Dana riba",H899="Pinjam uang riba",I899="Pinjam dari uang riba",I899="Ganti uang riba",I899="Kelebihan ganti dikembalikan",AND(C899="Kantong Uang Riba",G899="Pengeluaran"))),1,0)</f>
        <v/>
      </c>
      <c r="X899" s="93">
        <f>IF(AND(B899&lt;&gt;"",B899&gt;='Buku Akun'!$H$4,B899&lt;='Buku Akun'!$H$5,OR(C899='Buku Akun'!$C$4,AND(D899="Pindah",E899='Buku Akun'!$C$4))),B899+IF(AND(I899="Selisih bunga",DAY(B899)=1),0,0.01)+ROW()/10000000,"")</f>
        <v/>
      </c>
    </row>
    <row r="900" outlineLevel="1" ht="15" customHeight="1" s="94">
      <c r="A900" s="123">
        <f>IF(B900="","",ROW()-15)</f>
        <v/>
      </c>
      <c r="B900" s="124" t="n"/>
      <c r="C900" s="123" t="n"/>
      <c r="D900" s="123" t="n"/>
      <c r="E900" s="123" t="n"/>
      <c r="F900" s="125" t="n"/>
      <c r="G900" s="123" t="n"/>
      <c r="H900" s="123" t="n"/>
      <c r="I900" s="123" t="n"/>
      <c r="J900" s="123" t="n"/>
      <c r="K900" s="123" t="n"/>
      <c r="L900" s="123" t="n"/>
      <c r="M900" s="123">
        <f>IF(AND(B900&lt;&gt;"",OR($C$4="",ISNUMBER(SEARCH($C$4,C900&amp;" "&amp;E900&amp;" "&amp;G900&amp;" "&amp;H900&amp;" "&amp;I900&amp;" "&amp;J900&amp;" "&amp;K900&amp;" "&amp;L900))),OR($C$5="Semua",$C$5="",G900=$C$5),OR($C$6="Semua",$C$6="",H900=$C$6,H900="Pengeluaran "&amp;$C$6,AND($C$6="Uang Kos Mama",H900="Pengeluaran Uang Kos")),OR($C$7="Semua",$C$7="",I900=$C$7),OR($C$8="Semua",$C$8="",C900=$C$8,E900=$C$8),OR($C$9="Semua",$C$9="",D900=$C$9),OR($C$10="",B900&gt;=$C$10),OR($C$11="",B900&lt;=$C$11),OR($C$12&lt;&gt;"Ya",K900&lt;&gt;""),OR($C$13="Semua",$C$13="",L900=$C$13)),"✓","")</f>
        <v/>
      </c>
      <c r="N900" s="93">
        <f>N(N899)+IF(M900="✓",1,0)</f>
        <v/>
      </c>
      <c r="O900" s="93">
        <f>N(O899)+IF(AND(B900&lt;&gt;"",B900&gt;='Uang Riba'!$H$30,B900&lt;='Uang Riba'!$I$30,OR(H900="Dana riba",H900="Pinjam uang riba",I900="Pinjam dari uang riba",I900="Ganti uang riba",I900="Kelebihan ganti dikembalikan",AND(C900="Kantong Uang Riba",G900="Pengeluaran"))),1,0)</f>
        <v/>
      </c>
      <c r="X900" s="93">
        <f>IF(AND(B900&lt;&gt;"",B900&gt;='Buku Akun'!$H$4,B900&lt;='Buku Akun'!$H$5,OR(C900='Buku Akun'!$C$4,AND(D900="Pindah",E900='Buku Akun'!$C$4))),B900+IF(AND(I900="Selisih bunga",DAY(B900)=1),0,0.01)+ROW()/10000000,"")</f>
        <v/>
      </c>
    </row>
    <row r="901" outlineLevel="1" ht="15" customHeight="1" s="94">
      <c r="A901" s="123">
        <f>IF(B901="","",ROW()-15)</f>
        <v/>
      </c>
      <c r="B901" s="124" t="n"/>
      <c r="C901" s="123" t="n"/>
      <c r="D901" s="123" t="n"/>
      <c r="E901" s="123" t="n"/>
      <c r="F901" s="125" t="n"/>
      <c r="G901" s="123" t="n"/>
      <c r="H901" s="123" t="n"/>
      <c r="I901" s="123" t="n"/>
      <c r="J901" s="123" t="n"/>
      <c r="K901" s="123" t="n"/>
      <c r="L901" s="123" t="n"/>
      <c r="M901" s="123">
        <f>IF(AND(B901&lt;&gt;"",OR($C$4="",ISNUMBER(SEARCH($C$4,C901&amp;" "&amp;E901&amp;" "&amp;G901&amp;" "&amp;H901&amp;" "&amp;I901&amp;" "&amp;J901&amp;" "&amp;K901&amp;" "&amp;L901))),OR($C$5="Semua",$C$5="",G901=$C$5),OR($C$6="Semua",$C$6="",H901=$C$6,H901="Pengeluaran "&amp;$C$6,AND($C$6="Uang Kos Mama",H901="Pengeluaran Uang Kos")),OR($C$7="Semua",$C$7="",I901=$C$7),OR($C$8="Semua",$C$8="",C901=$C$8,E901=$C$8),OR($C$9="Semua",$C$9="",D901=$C$9),OR($C$10="",B901&gt;=$C$10),OR($C$11="",B901&lt;=$C$11),OR($C$12&lt;&gt;"Ya",K901&lt;&gt;""),OR($C$13="Semua",$C$13="",L901=$C$13)),"✓","")</f>
        <v/>
      </c>
      <c r="N901" s="93">
        <f>N(N900)+IF(M901="✓",1,0)</f>
        <v/>
      </c>
      <c r="O901" s="93">
        <f>N(O900)+IF(AND(B901&lt;&gt;"",B901&gt;='Uang Riba'!$H$30,B901&lt;='Uang Riba'!$I$30,OR(H901="Dana riba",H901="Pinjam uang riba",I901="Pinjam dari uang riba",I901="Ganti uang riba",I901="Kelebihan ganti dikembalikan",AND(C901="Kantong Uang Riba",G901="Pengeluaran"))),1,0)</f>
        <v/>
      </c>
      <c r="X901" s="93">
        <f>IF(AND(B901&lt;&gt;"",B901&gt;='Buku Akun'!$H$4,B901&lt;='Buku Akun'!$H$5,OR(C901='Buku Akun'!$C$4,AND(D901="Pindah",E901='Buku Akun'!$C$4))),B901+IF(AND(I901="Selisih bunga",DAY(B901)=1),0,0.01)+ROW()/10000000,"")</f>
        <v/>
      </c>
    </row>
    <row r="902" outlineLevel="1" ht="15" customHeight="1" s="94">
      <c r="A902" s="123">
        <f>IF(B902="","",ROW()-15)</f>
        <v/>
      </c>
      <c r="B902" s="124" t="n"/>
      <c r="C902" s="123" t="n"/>
      <c r="D902" s="123" t="n"/>
      <c r="E902" s="123" t="n"/>
      <c r="F902" s="125" t="n"/>
      <c r="G902" s="123" t="n"/>
      <c r="H902" s="123" t="n"/>
      <c r="I902" s="123" t="n"/>
      <c r="J902" s="123" t="n"/>
      <c r="K902" s="123" t="n"/>
      <c r="L902" s="123" t="n"/>
      <c r="M902" s="123">
        <f>IF(AND(B902&lt;&gt;"",OR($C$4="",ISNUMBER(SEARCH($C$4,C902&amp;" "&amp;E902&amp;" "&amp;G902&amp;" "&amp;H902&amp;" "&amp;I902&amp;" "&amp;J902&amp;" "&amp;K902&amp;" "&amp;L902))),OR($C$5="Semua",$C$5="",G902=$C$5),OR($C$6="Semua",$C$6="",H902=$C$6,H902="Pengeluaran "&amp;$C$6,AND($C$6="Uang Kos Mama",H902="Pengeluaran Uang Kos")),OR($C$7="Semua",$C$7="",I902=$C$7),OR($C$8="Semua",$C$8="",C902=$C$8,E902=$C$8),OR($C$9="Semua",$C$9="",D902=$C$9),OR($C$10="",B902&gt;=$C$10),OR($C$11="",B902&lt;=$C$11),OR($C$12&lt;&gt;"Ya",K902&lt;&gt;""),OR($C$13="Semua",$C$13="",L902=$C$13)),"✓","")</f>
        <v/>
      </c>
      <c r="N902" s="93">
        <f>N(N901)+IF(M902="✓",1,0)</f>
        <v/>
      </c>
      <c r="O902" s="93">
        <f>N(O901)+IF(AND(B902&lt;&gt;"",B902&gt;='Uang Riba'!$H$30,B902&lt;='Uang Riba'!$I$30,OR(H902="Dana riba",H902="Pinjam uang riba",I902="Pinjam dari uang riba",I902="Ganti uang riba",I902="Kelebihan ganti dikembalikan",AND(C902="Kantong Uang Riba",G902="Pengeluaran"))),1,0)</f>
        <v/>
      </c>
      <c r="X902" s="93">
        <f>IF(AND(B902&lt;&gt;"",B902&gt;='Buku Akun'!$H$4,B902&lt;='Buku Akun'!$H$5,OR(C902='Buku Akun'!$C$4,AND(D902="Pindah",E902='Buku Akun'!$C$4))),B902+IF(AND(I902="Selisih bunga",DAY(B902)=1),0,0.01)+ROW()/10000000,"")</f>
        <v/>
      </c>
    </row>
    <row r="903" outlineLevel="1" ht="15" customHeight="1" s="94">
      <c r="A903" s="123">
        <f>IF(B903="","",ROW()-15)</f>
        <v/>
      </c>
      <c r="B903" s="124" t="n"/>
      <c r="C903" s="123" t="n"/>
      <c r="D903" s="123" t="n"/>
      <c r="E903" s="123" t="n"/>
      <c r="F903" s="125" t="n"/>
      <c r="G903" s="123" t="n"/>
      <c r="H903" s="123" t="n"/>
      <c r="I903" s="123" t="n"/>
      <c r="J903" s="123" t="n"/>
      <c r="K903" s="123" t="n"/>
      <c r="L903" s="123" t="n"/>
      <c r="M903" s="123">
        <f>IF(AND(B903&lt;&gt;"",OR($C$4="",ISNUMBER(SEARCH($C$4,C903&amp;" "&amp;E903&amp;" "&amp;G903&amp;" "&amp;H903&amp;" "&amp;I903&amp;" "&amp;J903&amp;" "&amp;K903&amp;" "&amp;L903))),OR($C$5="Semua",$C$5="",G903=$C$5),OR($C$6="Semua",$C$6="",H903=$C$6,H903="Pengeluaran "&amp;$C$6,AND($C$6="Uang Kos Mama",H903="Pengeluaran Uang Kos")),OR($C$7="Semua",$C$7="",I903=$C$7),OR($C$8="Semua",$C$8="",C903=$C$8,E903=$C$8),OR($C$9="Semua",$C$9="",D903=$C$9),OR($C$10="",B903&gt;=$C$10),OR($C$11="",B903&lt;=$C$11),OR($C$12&lt;&gt;"Ya",K903&lt;&gt;""),OR($C$13="Semua",$C$13="",L903=$C$13)),"✓","")</f>
        <v/>
      </c>
      <c r="N903" s="93">
        <f>N(N902)+IF(M903="✓",1,0)</f>
        <v/>
      </c>
      <c r="O903" s="93">
        <f>N(O902)+IF(AND(B903&lt;&gt;"",B903&gt;='Uang Riba'!$H$30,B903&lt;='Uang Riba'!$I$30,OR(H903="Dana riba",H903="Pinjam uang riba",I903="Pinjam dari uang riba",I903="Ganti uang riba",I903="Kelebihan ganti dikembalikan",AND(C903="Kantong Uang Riba",G903="Pengeluaran"))),1,0)</f>
        <v/>
      </c>
      <c r="X903" s="93">
        <f>IF(AND(B903&lt;&gt;"",B903&gt;='Buku Akun'!$H$4,B903&lt;='Buku Akun'!$H$5,OR(C903='Buku Akun'!$C$4,AND(D903="Pindah",E903='Buku Akun'!$C$4))),B903+IF(AND(I903="Selisih bunga",DAY(B903)=1),0,0.01)+ROW()/10000000,"")</f>
        <v/>
      </c>
    </row>
    <row r="904" outlineLevel="1" ht="15" customHeight="1" s="94">
      <c r="A904" s="123">
        <f>IF(B904="","",ROW()-15)</f>
        <v/>
      </c>
      <c r="B904" s="124" t="n"/>
      <c r="C904" s="123" t="n"/>
      <c r="D904" s="123" t="n"/>
      <c r="E904" s="123" t="n"/>
      <c r="F904" s="125" t="n"/>
      <c r="G904" s="123" t="n"/>
      <c r="H904" s="123" t="n"/>
      <c r="I904" s="123" t="n"/>
      <c r="J904" s="123" t="n"/>
      <c r="K904" s="123" t="n"/>
      <c r="L904" s="123" t="n"/>
      <c r="M904" s="123">
        <f>IF(AND(B904&lt;&gt;"",OR($C$4="",ISNUMBER(SEARCH($C$4,C904&amp;" "&amp;E904&amp;" "&amp;G904&amp;" "&amp;H904&amp;" "&amp;I904&amp;" "&amp;J904&amp;" "&amp;K904&amp;" "&amp;L904))),OR($C$5="Semua",$C$5="",G904=$C$5),OR($C$6="Semua",$C$6="",H904=$C$6,H904="Pengeluaran "&amp;$C$6,AND($C$6="Uang Kos Mama",H904="Pengeluaran Uang Kos")),OR($C$7="Semua",$C$7="",I904=$C$7),OR($C$8="Semua",$C$8="",C904=$C$8,E904=$C$8),OR($C$9="Semua",$C$9="",D904=$C$9),OR($C$10="",B904&gt;=$C$10),OR($C$11="",B904&lt;=$C$11),OR($C$12&lt;&gt;"Ya",K904&lt;&gt;""),OR($C$13="Semua",$C$13="",L904=$C$13)),"✓","")</f>
        <v/>
      </c>
      <c r="N904" s="93">
        <f>N(N903)+IF(M904="✓",1,0)</f>
        <v/>
      </c>
      <c r="O904" s="93">
        <f>N(O903)+IF(AND(B904&lt;&gt;"",B904&gt;='Uang Riba'!$H$30,B904&lt;='Uang Riba'!$I$30,OR(H904="Dana riba",H904="Pinjam uang riba",I904="Pinjam dari uang riba",I904="Ganti uang riba",I904="Kelebihan ganti dikembalikan",AND(C904="Kantong Uang Riba",G904="Pengeluaran"))),1,0)</f>
        <v/>
      </c>
      <c r="X904" s="93">
        <f>IF(AND(B904&lt;&gt;"",B904&gt;='Buku Akun'!$H$4,B904&lt;='Buku Akun'!$H$5,OR(C904='Buku Akun'!$C$4,AND(D904="Pindah",E904='Buku Akun'!$C$4))),B904+IF(AND(I904="Selisih bunga",DAY(B904)=1),0,0.01)+ROW()/10000000,"")</f>
        <v/>
      </c>
    </row>
    <row r="905" outlineLevel="1" ht="15" customHeight="1" s="94">
      <c r="A905" s="123">
        <f>IF(B905="","",ROW()-15)</f>
        <v/>
      </c>
      <c r="B905" s="124" t="n"/>
      <c r="C905" s="123" t="n"/>
      <c r="D905" s="123" t="n"/>
      <c r="E905" s="123" t="n"/>
      <c r="F905" s="125" t="n"/>
      <c r="G905" s="123" t="n"/>
      <c r="H905" s="123" t="n"/>
      <c r="I905" s="123" t="n"/>
      <c r="J905" s="123" t="n"/>
      <c r="K905" s="123" t="n"/>
      <c r="L905" s="123" t="n"/>
      <c r="M905" s="123">
        <f>IF(AND(B905&lt;&gt;"",OR($C$4="",ISNUMBER(SEARCH($C$4,C905&amp;" "&amp;E905&amp;" "&amp;G905&amp;" "&amp;H905&amp;" "&amp;I905&amp;" "&amp;J905&amp;" "&amp;K905&amp;" "&amp;L905))),OR($C$5="Semua",$C$5="",G905=$C$5),OR($C$6="Semua",$C$6="",H905=$C$6,H905="Pengeluaran "&amp;$C$6,AND($C$6="Uang Kos Mama",H905="Pengeluaran Uang Kos")),OR($C$7="Semua",$C$7="",I905=$C$7),OR($C$8="Semua",$C$8="",C905=$C$8,E905=$C$8),OR($C$9="Semua",$C$9="",D905=$C$9),OR($C$10="",B905&gt;=$C$10),OR($C$11="",B905&lt;=$C$11),OR($C$12&lt;&gt;"Ya",K905&lt;&gt;""),OR($C$13="Semua",$C$13="",L905=$C$13)),"✓","")</f>
        <v/>
      </c>
      <c r="N905" s="93">
        <f>N(N904)+IF(M905="✓",1,0)</f>
        <v/>
      </c>
      <c r="O905" s="93">
        <f>N(O904)+IF(AND(B905&lt;&gt;"",B905&gt;='Uang Riba'!$H$30,B905&lt;='Uang Riba'!$I$30,OR(H905="Dana riba",H905="Pinjam uang riba",I905="Pinjam dari uang riba",I905="Ganti uang riba",I905="Kelebihan ganti dikembalikan",AND(C905="Kantong Uang Riba",G905="Pengeluaran"))),1,0)</f>
        <v/>
      </c>
      <c r="X905" s="93">
        <f>IF(AND(B905&lt;&gt;"",B905&gt;='Buku Akun'!$H$4,B905&lt;='Buku Akun'!$H$5,OR(C905='Buku Akun'!$C$4,AND(D905="Pindah",E905='Buku Akun'!$C$4))),B905+IF(AND(I905="Selisih bunga",DAY(B905)=1),0,0.01)+ROW()/10000000,"")</f>
        <v/>
      </c>
    </row>
    <row r="906" outlineLevel="1" ht="15" customHeight="1" s="94">
      <c r="A906" s="123">
        <f>IF(B906="","",ROW()-15)</f>
        <v/>
      </c>
      <c r="B906" s="124" t="n"/>
      <c r="C906" s="123" t="n"/>
      <c r="D906" s="123" t="n"/>
      <c r="E906" s="123" t="n"/>
      <c r="F906" s="125" t="n"/>
      <c r="G906" s="123" t="n"/>
      <c r="H906" s="123" t="n"/>
      <c r="I906" s="123" t="n"/>
      <c r="J906" s="123" t="n"/>
      <c r="K906" s="123" t="n"/>
      <c r="L906" s="123" t="n"/>
      <c r="M906" s="123">
        <f>IF(AND(B906&lt;&gt;"",OR($C$4="",ISNUMBER(SEARCH($C$4,C906&amp;" "&amp;E906&amp;" "&amp;G906&amp;" "&amp;H906&amp;" "&amp;I906&amp;" "&amp;J906&amp;" "&amp;K906&amp;" "&amp;L906))),OR($C$5="Semua",$C$5="",G906=$C$5),OR($C$6="Semua",$C$6="",H906=$C$6,H906="Pengeluaran "&amp;$C$6,AND($C$6="Uang Kos Mama",H906="Pengeluaran Uang Kos")),OR($C$7="Semua",$C$7="",I906=$C$7),OR($C$8="Semua",$C$8="",C906=$C$8,E906=$C$8),OR($C$9="Semua",$C$9="",D906=$C$9),OR($C$10="",B906&gt;=$C$10),OR($C$11="",B906&lt;=$C$11),OR($C$12&lt;&gt;"Ya",K906&lt;&gt;""),OR($C$13="Semua",$C$13="",L906=$C$13)),"✓","")</f>
        <v/>
      </c>
      <c r="N906" s="93">
        <f>N(N905)+IF(M906="✓",1,0)</f>
        <v/>
      </c>
      <c r="O906" s="93">
        <f>N(O905)+IF(AND(B906&lt;&gt;"",B906&gt;='Uang Riba'!$H$30,B906&lt;='Uang Riba'!$I$30,OR(H906="Dana riba",H906="Pinjam uang riba",I906="Pinjam dari uang riba",I906="Ganti uang riba",I906="Kelebihan ganti dikembalikan",AND(C906="Kantong Uang Riba",G906="Pengeluaran"))),1,0)</f>
        <v/>
      </c>
      <c r="X906" s="93">
        <f>IF(AND(B906&lt;&gt;"",B906&gt;='Buku Akun'!$H$4,B906&lt;='Buku Akun'!$H$5,OR(C906='Buku Akun'!$C$4,AND(D906="Pindah",E906='Buku Akun'!$C$4))),B906+IF(AND(I906="Selisih bunga",DAY(B906)=1),0,0.01)+ROW()/10000000,"")</f>
        <v/>
      </c>
    </row>
    <row r="907" outlineLevel="1" ht="15" customHeight="1" s="94">
      <c r="A907" s="123">
        <f>IF(B907="","",ROW()-15)</f>
        <v/>
      </c>
      <c r="B907" s="124" t="n"/>
      <c r="C907" s="123" t="n"/>
      <c r="D907" s="123" t="n"/>
      <c r="E907" s="123" t="n"/>
      <c r="F907" s="125" t="n"/>
      <c r="G907" s="123" t="n"/>
      <c r="H907" s="123" t="n"/>
      <c r="I907" s="123" t="n"/>
      <c r="J907" s="123" t="n"/>
      <c r="K907" s="123" t="n"/>
      <c r="L907" s="123" t="n"/>
      <c r="M907" s="123">
        <f>IF(AND(B907&lt;&gt;"",OR($C$4="",ISNUMBER(SEARCH($C$4,C907&amp;" "&amp;E907&amp;" "&amp;G907&amp;" "&amp;H907&amp;" "&amp;I907&amp;" "&amp;J907&amp;" "&amp;K907&amp;" "&amp;L907))),OR($C$5="Semua",$C$5="",G907=$C$5),OR($C$6="Semua",$C$6="",H907=$C$6,H907="Pengeluaran "&amp;$C$6,AND($C$6="Uang Kos Mama",H907="Pengeluaran Uang Kos")),OR($C$7="Semua",$C$7="",I907=$C$7),OR($C$8="Semua",$C$8="",C907=$C$8,E907=$C$8),OR($C$9="Semua",$C$9="",D907=$C$9),OR($C$10="",B907&gt;=$C$10),OR($C$11="",B907&lt;=$C$11),OR($C$12&lt;&gt;"Ya",K907&lt;&gt;""),OR($C$13="Semua",$C$13="",L907=$C$13)),"✓","")</f>
        <v/>
      </c>
      <c r="N907" s="93">
        <f>N(N906)+IF(M907="✓",1,0)</f>
        <v/>
      </c>
      <c r="O907" s="93">
        <f>N(O906)+IF(AND(B907&lt;&gt;"",B907&gt;='Uang Riba'!$H$30,B907&lt;='Uang Riba'!$I$30,OR(H907="Dana riba",H907="Pinjam uang riba",I907="Pinjam dari uang riba",I907="Ganti uang riba",I907="Kelebihan ganti dikembalikan",AND(C907="Kantong Uang Riba",G907="Pengeluaran"))),1,0)</f>
        <v/>
      </c>
      <c r="X907" s="93">
        <f>IF(AND(B907&lt;&gt;"",B907&gt;='Buku Akun'!$H$4,B907&lt;='Buku Akun'!$H$5,OR(C907='Buku Akun'!$C$4,AND(D907="Pindah",E907='Buku Akun'!$C$4))),B907+IF(AND(I907="Selisih bunga",DAY(B907)=1),0,0.01)+ROW()/10000000,"")</f>
        <v/>
      </c>
    </row>
    <row r="908" outlineLevel="1" ht="15" customHeight="1" s="94">
      <c r="A908" s="123">
        <f>IF(B908="","",ROW()-15)</f>
        <v/>
      </c>
      <c r="B908" s="124" t="n"/>
      <c r="C908" s="123" t="n"/>
      <c r="D908" s="123" t="n"/>
      <c r="E908" s="123" t="n"/>
      <c r="F908" s="125" t="n"/>
      <c r="G908" s="123" t="n"/>
      <c r="H908" s="123" t="n"/>
      <c r="I908" s="123" t="n"/>
      <c r="J908" s="123" t="n"/>
      <c r="K908" s="123" t="n"/>
      <c r="L908" s="123" t="n"/>
      <c r="M908" s="123">
        <f>IF(AND(B908&lt;&gt;"",OR($C$4="",ISNUMBER(SEARCH($C$4,C908&amp;" "&amp;E908&amp;" "&amp;G908&amp;" "&amp;H908&amp;" "&amp;I908&amp;" "&amp;J908&amp;" "&amp;K908&amp;" "&amp;L908))),OR($C$5="Semua",$C$5="",G908=$C$5),OR($C$6="Semua",$C$6="",H908=$C$6,H908="Pengeluaran "&amp;$C$6,AND($C$6="Uang Kos Mama",H908="Pengeluaran Uang Kos")),OR($C$7="Semua",$C$7="",I908=$C$7),OR($C$8="Semua",$C$8="",C908=$C$8,E908=$C$8),OR($C$9="Semua",$C$9="",D908=$C$9),OR($C$10="",B908&gt;=$C$10),OR($C$11="",B908&lt;=$C$11),OR($C$12&lt;&gt;"Ya",K908&lt;&gt;""),OR($C$13="Semua",$C$13="",L908=$C$13)),"✓","")</f>
        <v/>
      </c>
      <c r="N908" s="93">
        <f>N(N907)+IF(M908="✓",1,0)</f>
        <v/>
      </c>
      <c r="O908" s="93">
        <f>N(O907)+IF(AND(B908&lt;&gt;"",B908&gt;='Uang Riba'!$H$30,B908&lt;='Uang Riba'!$I$30,OR(H908="Dana riba",H908="Pinjam uang riba",I908="Pinjam dari uang riba",I908="Ganti uang riba",I908="Kelebihan ganti dikembalikan",AND(C908="Kantong Uang Riba",G908="Pengeluaran"))),1,0)</f>
        <v/>
      </c>
      <c r="X908" s="93">
        <f>IF(AND(B908&lt;&gt;"",B908&gt;='Buku Akun'!$H$4,B908&lt;='Buku Akun'!$H$5,OR(C908='Buku Akun'!$C$4,AND(D908="Pindah",E908='Buku Akun'!$C$4))),B908+IF(AND(I908="Selisih bunga",DAY(B908)=1),0,0.01)+ROW()/10000000,"")</f>
        <v/>
      </c>
    </row>
    <row r="909" outlineLevel="1" ht="15" customHeight="1" s="94">
      <c r="A909" s="123">
        <f>IF(B909="","",ROW()-15)</f>
        <v/>
      </c>
      <c r="B909" s="124" t="n"/>
      <c r="C909" s="123" t="n"/>
      <c r="D909" s="123" t="n"/>
      <c r="E909" s="123" t="n"/>
      <c r="F909" s="125" t="n"/>
      <c r="G909" s="123" t="n"/>
      <c r="H909" s="123" t="n"/>
      <c r="I909" s="123" t="n"/>
      <c r="J909" s="123" t="n"/>
      <c r="K909" s="123" t="n"/>
      <c r="L909" s="123" t="n"/>
      <c r="M909" s="123">
        <f>IF(AND(B909&lt;&gt;"",OR($C$4="",ISNUMBER(SEARCH($C$4,C909&amp;" "&amp;E909&amp;" "&amp;G909&amp;" "&amp;H909&amp;" "&amp;I909&amp;" "&amp;J909&amp;" "&amp;K909&amp;" "&amp;L909))),OR($C$5="Semua",$C$5="",G909=$C$5),OR($C$6="Semua",$C$6="",H909=$C$6,H909="Pengeluaran "&amp;$C$6,AND($C$6="Uang Kos Mama",H909="Pengeluaran Uang Kos")),OR($C$7="Semua",$C$7="",I909=$C$7),OR($C$8="Semua",$C$8="",C909=$C$8,E909=$C$8),OR($C$9="Semua",$C$9="",D909=$C$9),OR($C$10="",B909&gt;=$C$10),OR($C$11="",B909&lt;=$C$11),OR($C$12&lt;&gt;"Ya",K909&lt;&gt;""),OR($C$13="Semua",$C$13="",L909=$C$13)),"✓","")</f>
        <v/>
      </c>
      <c r="N909" s="93">
        <f>N(N908)+IF(M909="✓",1,0)</f>
        <v/>
      </c>
      <c r="O909" s="93">
        <f>N(O908)+IF(AND(B909&lt;&gt;"",B909&gt;='Uang Riba'!$H$30,B909&lt;='Uang Riba'!$I$30,OR(H909="Dana riba",H909="Pinjam uang riba",I909="Pinjam dari uang riba",I909="Ganti uang riba",I909="Kelebihan ganti dikembalikan",AND(C909="Kantong Uang Riba",G909="Pengeluaran"))),1,0)</f>
        <v/>
      </c>
      <c r="X909" s="93">
        <f>IF(AND(B909&lt;&gt;"",B909&gt;='Buku Akun'!$H$4,B909&lt;='Buku Akun'!$H$5,OR(C909='Buku Akun'!$C$4,AND(D909="Pindah",E909='Buku Akun'!$C$4))),B909+IF(AND(I909="Selisih bunga",DAY(B909)=1),0,0.01)+ROW()/10000000,"")</f>
        <v/>
      </c>
    </row>
    <row r="910" outlineLevel="1" ht="15" customHeight="1" s="94">
      <c r="A910" s="123">
        <f>IF(B910="","",ROW()-15)</f>
        <v/>
      </c>
      <c r="B910" s="124" t="n"/>
      <c r="C910" s="123" t="n"/>
      <c r="D910" s="123" t="n"/>
      <c r="E910" s="123" t="n"/>
      <c r="F910" s="125" t="n"/>
      <c r="G910" s="123" t="n"/>
      <c r="H910" s="123" t="n"/>
      <c r="I910" s="123" t="n"/>
      <c r="J910" s="123" t="n"/>
      <c r="K910" s="123" t="n"/>
      <c r="L910" s="123" t="n"/>
      <c r="M910" s="123">
        <f>IF(AND(B910&lt;&gt;"",OR($C$4="",ISNUMBER(SEARCH($C$4,C910&amp;" "&amp;E910&amp;" "&amp;G910&amp;" "&amp;H910&amp;" "&amp;I910&amp;" "&amp;J910&amp;" "&amp;K910&amp;" "&amp;L910))),OR($C$5="Semua",$C$5="",G910=$C$5),OR($C$6="Semua",$C$6="",H910=$C$6,H910="Pengeluaran "&amp;$C$6,AND($C$6="Uang Kos Mama",H910="Pengeluaran Uang Kos")),OR($C$7="Semua",$C$7="",I910=$C$7),OR($C$8="Semua",$C$8="",C910=$C$8,E910=$C$8),OR($C$9="Semua",$C$9="",D910=$C$9),OR($C$10="",B910&gt;=$C$10),OR($C$11="",B910&lt;=$C$11),OR($C$12&lt;&gt;"Ya",K910&lt;&gt;""),OR($C$13="Semua",$C$13="",L910=$C$13)),"✓","")</f>
        <v/>
      </c>
      <c r="N910" s="93">
        <f>N(N909)+IF(M910="✓",1,0)</f>
        <v/>
      </c>
      <c r="O910" s="93">
        <f>N(O909)+IF(AND(B910&lt;&gt;"",B910&gt;='Uang Riba'!$H$30,B910&lt;='Uang Riba'!$I$30,OR(H910="Dana riba",H910="Pinjam uang riba",I910="Pinjam dari uang riba",I910="Ganti uang riba",I910="Kelebihan ganti dikembalikan",AND(C910="Kantong Uang Riba",G910="Pengeluaran"))),1,0)</f>
        <v/>
      </c>
      <c r="X910" s="93">
        <f>IF(AND(B910&lt;&gt;"",B910&gt;='Buku Akun'!$H$4,B910&lt;='Buku Akun'!$H$5,OR(C910='Buku Akun'!$C$4,AND(D910="Pindah",E910='Buku Akun'!$C$4))),B910+IF(AND(I910="Selisih bunga",DAY(B910)=1),0,0.01)+ROW()/10000000,"")</f>
        <v/>
      </c>
    </row>
    <row r="911" outlineLevel="1" ht="15" customHeight="1" s="94">
      <c r="A911" s="123">
        <f>IF(B911="","",ROW()-15)</f>
        <v/>
      </c>
      <c r="B911" s="124" t="n"/>
      <c r="C911" s="123" t="n"/>
      <c r="D911" s="123" t="n"/>
      <c r="E911" s="123" t="n"/>
      <c r="F911" s="125" t="n"/>
      <c r="G911" s="123" t="n"/>
      <c r="H911" s="123" t="n"/>
      <c r="I911" s="123" t="n"/>
      <c r="J911" s="123" t="n"/>
      <c r="K911" s="123" t="n"/>
      <c r="L911" s="123" t="n"/>
      <c r="M911" s="123">
        <f>IF(AND(B911&lt;&gt;"",OR($C$4="",ISNUMBER(SEARCH($C$4,C911&amp;" "&amp;E911&amp;" "&amp;G911&amp;" "&amp;H911&amp;" "&amp;I911&amp;" "&amp;J911&amp;" "&amp;K911&amp;" "&amp;L911))),OR($C$5="Semua",$C$5="",G911=$C$5),OR($C$6="Semua",$C$6="",H911=$C$6,H911="Pengeluaran "&amp;$C$6,AND($C$6="Uang Kos Mama",H911="Pengeluaran Uang Kos")),OR($C$7="Semua",$C$7="",I911=$C$7),OR($C$8="Semua",$C$8="",C911=$C$8,E911=$C$8),OR($C$9="Semua",$C$9="",D911=$C$9),OR($C$10="",B911&gt;=$C$10),OR($C$11="",B911&lt;=$C$11),OR($C$12&lt;&gt;"Ya",K911&lt;&gt;""),OR($C$13="Semua",$C$13="",L911=$C$13)),"✓","")</f>
        <v/>
      </c>
      <c r="N911" s="93">
        <f>N(N910)+IF(M911="✓",1,0)</f>
        <v/>
      </c>
      <c r="O911" s="93">
        <f>N(O910)+IF(AND(B911&lt;&gt;"",B911&gt;='Uang Riba'!$H$30,B911&lt;='Uang Riba'!$I$30,OR(H911="Dana riba",H911="Pinjam uang riba",I911="Pinjam dari uang riba",I911="Ganti uang riba",I911="Kelebihan ganti dikembalikan",AND(C911="Kantong Uang Riba",G911="Pengeluaran"))),1,0)</f>
        <v/>
      </c>
      <c r="X911" s="93">
        <f>IF(AND(B911&lt;&gt;"",B911&gt;='Buku Akun'!$H$4,B911&lt;='Buku Akun'!$H$5,OR(C911='Buku Akun'!$C$4,AND(D911="Pindah",E911='Buku Akun'!$C$4))),B911+IF(AND(I911="Selisih bunga",DAY(B911)=1),0,0.01)+ROW()/10000000,"")</f>
        <v/>
      </c>
    </row>
    <row r="912" outlineLevel="1" ht="15" customHeight="1" s="94">
      <c r="A912" s="123">
        <f>IF(B912="","",ROW()-15)</f>
        <v/>
      </c>
      <c r="B912" s="124" t="n"/>
      <c r="C912" s="123" t="n"/>
      <c r="D912" s="123" t="n"/>
      <c r="E912" s="123" t="n"/>
      <c r="F912" s="125" t="n"/>
      <c r="G912" s="123" t="n"/>
      <c r="H912" s="123" t="n"/>
      <c r="I912" s="123" t="n"/>
      <c r="J912" s="123" t="n"/>
      <c r="K912" s="123" t="n"/>
      <c r="L912" s="123" t="n"/>
      <c r="M912" s="123">
        <f>IF(AND(B912&lt;&gt;"",OR($C$4="",ISNUMBER(SEARCH($C$4,C912&amp;" "&amp;E912&amp;" "&amp;G912&amp;" "&amp;H912&amp;" "&amp;I912&amp;" "&amp;J912&amp;" "&amp;K912&amp;" "&amp;L912))),OR($C$5="Semua",$C$5="",G912=$C$5),OR($C$6="Semua",$C$6="",H912=$C$6,H912="Pengeluaran "&amp;$C$6,AND($C$6="Uang Kos Mama",H912="Pengeluaran Uang Kos")),OR($C$7="Semua",$C$7="",I912=$C$7),OR($C$8="Semua",$C$8="",C912=$C$8,E912=$C$8),OR($C$9="Semua",$C$9="",D912=$C$9),OR($C$10="",B912&gt;=$C$10),OR($C$11="",B912&lt;=$C$11),OR($C$12&lt;&gt;"Ya",K912&lt;&gt;""),OR($C$13="Semua",$C$13="",L912=$C$13)),"✓","")</f>
        <v/>
      </c>
      <c r="N912" s="93">
        <f>N(N911)+IF(M912="✓",1,0)</f>
        <v/>
      </c>
      <c r="O912" s="93">
        <f>N(O911)+IF(AND(B912&lt;&gt;"",B912&gt;='Uang Riba'!$H$30,B912&lt;='Uang Riba'!$I$30,OR(H912="Dana riba",H912="Pinjam uang riba",I912="Pinjam dari uang riba",I912="Ganti uang riba",I912="Kelebihan ganti dikembalikan",AND(C912="Kantong Uang Riba",G912="Pengeluaran"))),1,0)</f>
        <v/>
      </c>
      <c r="X912" s="93">
        <f>IF(AND(B912&lt;&gt;"",B912&gt;='Buku Akun'!$H$4,B912&lt;='Buku Akun'!$H$5,OR(C912='Buku Akun'!$C$4,AND(D912="Pindah",E912='Buku Akun'!$C$4))),B912+IF(AND(I912="Selisih bunga",DAY(B912)=1),0,0.01)+ROW()/10000000,"")</f>
        <v/>
      </c>
    </row>
    <row r="913" outlineLevel="1" ht="15" customHeight="1" s="94">
      <c r="A913" s="123">
        <f>IF(B913="","",ROW()-15)</f>
        <v/>
      </c>
      <c r="B913" s="124" t="n"/>
      <c r="C913" s="123" t="n"/>
      <c r="D913" s="123" t="n"/>
      <c r="E913" s="123" t="n"/>
      <c r="F913" s="125" t="n"/>
      <c r="G913" s="123" t="n"/>
      <c r="H913" s="123" t="n"/>
      <c r="I913" s="123" t="n"/>
      <c r="J913" s="123" t="n"/>
      <c r="K913" s="123" t="n"/>
      <c r="L913" s="123" t="n"/>
      <c r="M913" s="123">
        <f>IF(AND(B913&lt;&gt;"",OR($C$4="",ISNUMBER(SEARCH($C$4,C913&amp;" "&amp;E913&amp;" "&amp;G913&amp;" "&amp;H913&amp;" "&amp;I913&amp;" "&amp;J913&amp;" "&amp;K913&amp;" "&amp;L913))),OR($C$5="Semua",$C$5="",G913=$C$5),OR($C$6="Semua",$C$6="",H913=$C$6,H913="Pengeluaran "&amp;$C$6,AND($C$6="Uang Kos Mama",H913="Pengeluaran Uang Kos")),OR($C$7="Semua",$C$7="",I913=$C$7),OR($C$8="Semua",$C$8="",C913=$C$8,E913=$C$8),OR($C$9="Semua",$C$9="",D913=$C$9),OR($C$10="",B913&gt;=$C$10),OR($C$11="",B913&lt;=$C$11),OR($C$12&lt;&gt;"Ya",K913&lt;&gt;""),OR($C$13="Semua",$C$13="",L913=$C$13)),"✓","")</f>
        <v/>
      </c>
      <c r="N913" s="93">
        <f>N(N912)+IF(M913="✓",1,0)</f>
        <v/>
      </c>
      <c r="O913" s="93">
        <f>N(O912)+IF(AND(B913&lt;&gt;"",B913&gt;='Uang Riba'!$H$30,B913&lt;='Uang Riba'!$I$30,OR(H913="Dana riba",H913="Pinjam uang riba",I913="Pinjam dari uang riba",I913="Ganti uang riba",I913="Kelebihan ganti dikembalikan",AND(C913="Kantong Uang Riba",G913="Pengeluaran"))),1,0)</f>
        <v/>
      </c>
      <c r="X913" s="93">
        <f>IF(AND(B913&lt;&gt;"",B913&gt;='Buku Akun'!$H$4,B913&lt;='Buku Akun'!$H$5,OR(C913='Buku Akun'!$C$4,AND(D913="Pindah",E913='Buku Akun'!$C$4))),B913+IF(AND(I913="Selisih bunga",DAY(B913)=1),0,0.01)+ROW()/10000000,"")</f>
        <v/>
      </c>
    </row>
    <row r="914" outlineLevel="1" ht="15" customHeight="1" s="94">
      <c r="A914" s="123">
        <f>IF(B914="","",ROW()-15)</f>
        <v/>
      </c>
      <c r="B914" s="124" t="n"/>
      <c r="C914" s="123" t="n"/>
      <c r="D914" s="123" t="n"/>
      <c r="E914" s="123" t="n"/>
      <c r="F914" s="125" t="n"/>
      <c r="G914" s="123" t="n"/>
      <c r="H914" s="123" t="n"/>
      <c r="I914" s="123" t="n"/>
      <c r="J914" s="123" t="n"/>
      <c r="K914" s="123" t="n"/>
      <c r="L914" s="123" t="n"/>
      <c r="M914" s="123">
        <f>IF(AND(B914&lt;&gt;"",OR($C$4="",ISNUMBER(SEARCH($C$4,C914&amp;" "&amp;E914&amp;" "&amp;G914&amp;" "&amp;H914&amp;" "&amp;I914&amp;" "&amp;J914&amp;" "&amp;K914&amp;" "&amp;L914))),OR($C$5="Semua",$C$5="",G914=$C$5),OR($C$6="Semua",$C$6="",H914=$C$6,H914="Pengeluaran "&amp;$C$6,AND($C$6="Uang Kos Mama",H914="Pengeluaran Uang Kos")),OR($C$7="Semua",$C$7="",I914=$C$7),OR($C$8="Semua",$C$8="",C914=$C$8,E914=$C$8),OR($C$9="Semua",$C$9="",D914=$C$9),OR($C$10="",B914&gt;=$C$10),OR($C$11="",B914&lt;=$C$11),OR($C$12&lt;&gt;"Ya",K914&lt;&gt;""),OR($C$13="Semua",$C$13="",L914=$C$13)),"✓","")</f>
        <v/>
      </c>
      <c r="N914" s="93">
        <f>N(N913)+IF(M914="✓",1,0)</f>
        <v/>
      </c>
      <c r="O914" s="93">
        <f>N(O913)+IF(AND(B914&lt;&gt;"",B914&gt;='Uang Riba'!$H$30,B914&lt;='Uang Riba'!$I$30,OR(H914="Dana riba",H914="Pinjam uang riba",I914="Pinjam dari uang riba",I914="Ganti uang riba",I914="Kelebihan ganti dikembalikan",AND(C914="Kantong Uang Riba",G914="Pengeluaran"))),1,0)</f>
        <v/>
      </c>
      <c r="X914" s="93">
        <f>IF(AND(B914&lt;&gt;"",B914&gt;='Buku Akun'!$H$4,B914&lt;='Buku Akun'!$H$5,OR(C914='Buku Akun'!$C$4,AND(D914="Pindah",E914='Buku Akun'!$C$4))),B914+IF(AND(I914="Selisih bunga",DAY(B914)=1),0,0.01)+ROW()/10000000,"")</f>
        <v/>
      </c>
    </row>
    <row r="915" outlineLevel="1" ht="15" customHeight="1" s="94">
      <c r="A915" s="123">
        <f>IF(B915="","",ROW()-15)</f>
        <v/>
      </c>
      <c r="B915" s="124" t="n"/>
      <c r="C915" s="123" t="n"/>
      <c r="D915" s="123" t="n"/>
      <c r="E915" s="123" t="n"/>
      <c r="F915" s="125" t="n"/>
      <c r="G915" s="123" t="n"/>
      <c r="H915" s="123" t="n"/>
      <c r="I915" s="123" t="n"/>
      <c r="J915" s="123" t="n"/>
      <c r="K915" s="123" t="n"/>
      <c r="L915" s="123" t="n"/>
      <c r="M915" s="123">
        <f>IF(AND(B915&lt;&gt;"",OR($C$4="",ISNUMBER(SEARCH($C$4,C915&amp;" "&amp;E915&amp;" "&amp;G915&amp;" "&amp;H915&amp;" "&amp;I915&amp;" "&amp;J915&amp;" "&amp;K915&amp;" "&amp;L915))),OR($C$5="Semua",$C$5="",G915=$C$5),OR($C$6="Semua",$C$6="",H915=$C$6,H915="Pengeluaran "&amp;$C$6,AND($C$6="Uang Kos Mama",H915="Pengeluaran Uang Kos")),OR($C$7="Semua",$C$7="",I915=$C$7),OR($C$8="Semua",$C$8="",C915=$C$8,E915=$C$8),OR($C$9="Semua",$C$9="",D915=$C$9),OR($C$10="",B915&gt;=$C$10),OR($C$11="",B915&lt;=$C$11),OR($C$12&lt;&gt;"Ya",K915&lt;&gt;""),OR($C$13="Semua",$C$13="",L915=$C$13)),"✓","")</f>
        <v/>
      </c>
      <c r="N915" s="93">
        <f>N(N914)+IF(M915="✓",1,0)</f>
        <v/>
      </c>
      <c r="O915" s="93">
        <f>N(O914)+IF(AND(B915&lt;&gt;"",B915&gt;='Uang Riba'!$H$30,B915&lt;='Uang Riba'!$I$30,OR(H915="Dana riba",H915="Pinjam uang riba",I915="Pinjam dari uang riba",I915="Ganti uang riba",I915="Kelebihan ganti dikembalikan",AND(C915="Kantong Uang Riba",G915="Pengeluaran"))),1,0)</f>
        <v/>
      </c>
      <c r="X915" s="93">
        <f>IF(AND(B915&lt;&gt;"",B915&gt;='Buku Akun'!$H$4,B915&lt;='Buku Akun'!$H$5,OR(C915='Buku Akun'!$C$4,AND(D915="Pindah",E915='Buku Akun'!$C$4))),B915+IF(AND(I915="Selisih bunga",DAY(B915)=1),0,0.01)+ROW()/10000000,"")</f>
        <v/>
      </c>
    </row>
    <row r="916" outlineLevel="1" ht="15" customHeight="1" s="94">
      <c r="A916" s="123">
        <f>IF(B916="","",ROW()-15)</f>
        <v/>
      </c>
      <c r="B916" s="124" t="n"/>
      <c r="C916" s="123" t="n"/>
      <c r="D916" s="123" t="n"/>
      <c r="E916" s="123" t="n"/>
      <c r="F916" s="125" t="n"/>
      <c r="G916" s="123" t="n"/>
      <c r="H916" s="123" t="n"/>
      <c r="I916" s="123" t="n"/>
      <c r="J916" s="123" t="n"/>
      <c r="K916" s="123" t="n"/>
      <c r="L916" s="123" t="n"/>
      <c r="M916" s="123">
        <f>IF(AND(B916&lt;&gt;"",OR($C$4="",ISNUMBER(SEARCH($C$4,C916&amp;" "&amp;E916&amp;" "&amp;G916&amp;" "&amp;H916&amp;" "&amp;I916&amp;" "&amp;J916&amp;" "&amp;K916&amp;" "&amp;L916))),OR($C$5="Semua",$C$5="",G916=$C$5),OR($C$6="Semua",$C$6="",H916=$C$6,H916="Pengeluaran "&amp;$C$6,AND($C$6="Uang Kos Mama",H916="Pengeluaran Uang Kos")),OR($C$7="Semua",$C$7="",I916=$C$7),OR($C$8="Semua",$C$8="",C916=$C$8,E916=$C$8),OR($C$9="Semua",$C$9="",D916=$C$9),OR($C$10="",B916&gt;=$C$10),OR($C$11="",B916&lt;=$C$11),OR($C$12&lt;&gt;"Ya",K916&lt;&gt;""),OR($C$13="Semua",$C$13="",L916=$C$13)),"✓","")</f>
        <v/>
      </c>
      <c r="N916" s="93">
        <f>N(N915)+IF(M916="✓",1,0)</f>
        <v/>
      </c>
      <c r="O916" s="93">
        <f>N(O915)+IF(AND(B916&lt;&gt;"",B916&gt;='Uang Riba'!$H$30,B916&lt;='Uang Riba'!$I$30,OR(H916="Dana riba",H916="Pinjam uang riba",I916="Pinjam dari uang riba",I916="Ganti uang riba",I916="Kelebihan ganti dikembalikan",AND(C916="Kantong Uang Riba",G916="Pengeluaran"))),1,0)</f>
        <v/>
      </c>
      <c r="X916" s="93">
        <f>IF(AND(B916&lt;&gt;"",B916&gt;='Buku Akun'!$H$4,B916&lt;='Buku Akun'!$H$5,OR(C916='Buku Akun'!$C$4,AND(D916="Pindah",E916='Buku Akun'!$C$4))),B916+IF(AND(I916="Selisih bunga",DAY(B916)=1),0,0.01)+ROW()/10000000,"")</f>
        <v/>
      </c>
    </row>
    <row r="917" outlineLevel="1" ht="15" customHeight="1" s="94">
      <c r="A917" s="123">
        <f>IF(B917="","",ROW()-15)</f>
        <v/>
      </c>
      <c r="B917" s="124" t="n"/>
      <c r="C917" s="123" t="n"/>
      <c r="D917" s="123" t="n"/>
      <c r="E917" s="123" t="n"/>
      <c r="F917" s="125" t="n"/>
      <c r="G917" s="123" t="n"/>
      <c r="H917" s="123" t="n"/>
      <c r="I917" s="123" t="n"/>
      <c r="J917" s="123" t="n"/>
      <c r="K917" s="123" t="n"/>
      <c r="L917" s="123" t="n"/>
      <c r="M917" s="123">
        <f>IF(AND(B917&lt;&gt;"",OR($C$4="",ISNUMBER(SEARCH($C$4,C917&amp;" "&amp;E917&amp;" "&amp;G917&amp;" "&amp;H917&amp;" "&amp;I917&amp;" "&amp;J917&amp;" "&amp;K917&amp;" "&amp;L917))),OR($C$5="Semua",$C$5="",G917=$C$5),OR($C$6="Semua",$C$6="",H917=$C$6,H917="Pengeluaran "&amp;$C$6,AND($C$6="Uang Kos Mama",H917="Pengeluaran Uang Kos")),OR($C$7="Semua",$C$7="",I917=$C$7),OR($C$8="Semua",$C$8="",C917=$C$8,E917=$C$8),OR($C$9="Semua",$C$9="",D917=$C$9),OR($C$10="",B917&gt;=$C$10),OR($C$11="",B917&lt;=$C$11),OR($C$12&lt;&gt;"Ya",K917&lt;&gt;""),OR($C$13="Semua",$C$13="",L917=$C$13)),"✓","")</f>
        <v/>
      </c>
      <c r="N917" s="93">
        <f>N(N916)+IF(M917="✓",1,0)</f>
        <v/>
      </c>
      <c r="O917" s="93">
        <f>N(O916)+IF(AND(B917&lt;&gt;"",B917&gt;='Uang Riba'!$H$30,B917&lt;='Uang Riba'!$I$30,OR(H917="Dana riba",H917="Pinjam uang riba",I917="Pinjam dari uang riba",I917="Ganti uang riba",I917="Kelebihan ganti dikembalikan",AND(C917="Kantong Uang Riba",G917="Pengeluaran"))),1,0)</f>
        <v/>
      </c>
      <c r="X917" s="93">
        <f>IF(AND(B917&lt;&gt;"",B917&gt;='Buku Akun'!$H$4,B917&lt;='Buku Akun'!$H$5,OR(C917='Buku Akun'!$C$4,AND(D917="Pindah",E917='Buku Akun'!$C$4))),B917+IF(AND(I917="Selisih bunga",DAY(B917)=1),0,0.01)+ROW()/10000000,"")</f>
        <v/>
      </c>
    </row>
    <row r="918" outlineLevel="1" ht="15" customHeight="1" s="94">
      <c r="A918" s="123">
        <f>IF(B918="","",ROW()-15)</f>
        <v/>
      </c>
      <c r="B918" s="124" t="n"/>
      <c r="C918" s="123" t="n"/>
      <c r="D918" s="123" t="n"/>
      <c r="E918" s="123" t="n"/>
      <c r="F918" s="125" t="n"/>
      <c r="G918" s="123" t="n"/>
      <c r="H918" s="123" t="n"/>
      <c r="I918" s="123" t="n"/>
      <c r="J918" s="123" t="n"/>
      <c r="K918" s="123" t="n"/>
      <c r="L918" s="123" t="n"/>
      <c r="M918" s="123">
        <f>IF(AND(B918&lt;&gt;"",OR($C$4="",ISNUMBER(SEARCH($C$4,C918&amp;" "&amp;E918&amp;" "&amp;G918&amp;" "&amp;H918&amp;" "&amp;I918&amp;" "&amp;J918&amp;" "&amp;K918&amp;" "&amp;L918))),OR($C$5="Semua",$C$5="",G918=$C$5),OR($C$6="Semua",$C$6="",H918=$C$6,H918="Pengeluaran "&amp;$C$6,AND($C$6="Uang Kos Mama",H918="Pengeluaran Uang Kos")),OR($C$7="Semua",$C$7="",I918=$C$7),OR($C$8="Semua",$C$8="",C918=$C$8,E918=$C$8),OR($C$9="Semua",$C$9="",D918=$C$9),OR($C$10="",B918&gt;=$C$10),OR($C$11="",B918&lt;=$C$11),OR($C$12&lt;&gt;"Ya",K918&lt;&gt;""),OR($C$13="Semua",$C$13="",L918=$C$13)),"✓","")</f>
        <v/>
      </c>
      <c r="N918" s="93">
        <f>N(N917)+IF(M918="✓",1,0)</f>
        <v/>
      </c>
      <c r="O918" s="93">
        <f>N(O917)+IF(AND(B918&lt;&gt;"",B918&gt;='Uang Riba'!$H$30,B918&lt;='Uang Riba'!$I$30,OR(H918="Dana riba",H918="Pinjam uang riba",I918="Pinjam dari uang riba",I918="Ganti uang riba",I918="Kelebihan ganti dikembalikan",AND(C918="Kantong Uang Riba",G918="Pengeluaran"))),1,0)</f>
        <v/>
      </c>
      <c r="X918" s="93">
        <f>IF(AND(B918&lt;&gt;"",B918&gt;='Buku Akun'!$H$4,B918&lt;='Buku Akun'!$H$5,OR(C918='Buku Akun'!$C$4,AND(D918="Pindah",E918='Buku Akun'!$C$4))),B918+IF(AND(I918="Selisih bunga",DAY(B918)=1),0,0.01)+ROW()/10000000,"")</f>
        <v/>
      </c>
    </row>
    <row r="919" outlineLevel="1" ht="15" customHeight="1" s="94">
      <c r="A919" s="123">
        <f>IF(B919="","",ROW()-15)</f>
        <v/>
      </c>
      <c r="B919" s="124" t="n"/>
      <c r="C919" s="123" t="n"/>
      <c r="D919" s="123" t="n"/>
      <c r="E919" s="123" t="n"/>
      <c r="F919" s="125" t="n"/>
      <c r="G919" s="123" t="n"/>
      <c r="H919" s="123" t="n"/>
      <c r="I919" s="123" t="n"/>
      <c r="J919" s="123" t="n"/>
      <c r="K919" s="123" t="n"/>
      <c r="L919" s="123" t="n"/>
      <c r="M919" s="123">
        <f>IF(AND(B919&lt;&gt;"",OR($C$4="",ISNUMBER(SEARCH($C$4,C919&amp;" "&amp;E919&amp;" "&amp;G919&amp;" "&amp;H919&amp;" "&amp;I919&amp;" "&amp;J919&amp;" "&amp;K919&amp;" "&amp;L919))),OR($C$5="Semua",$C$5="",G919=$C$5),OR($C$6="Semua",$C$6="",H919=$C$6,H919="Pengeluaran "&amp;$C$6,AND($C$6="Uang Kos Mama",H919="Pengeluaran Uang Kos")),OR($C$7="Semua",$C$7="",I919=$C$7),OR($C$8="Semua",$C$8="",C919=$C$8,E919=$C$8),OR($C$9="Semua",$C$9="",D919=$C$9),OR($C$10="",B919&gt;=$C$10),OR($C$11="",B919&lt;=$C$11),OR($C$12&lt;&gt;"Ya",K919&lt;&gt;""),OR($C$13="Semua",$C$13="",L919=$C$13)),"✓","")</f>
        <v/>
      </c>
      <c r="N919" s="93">
        <f>N(N918)+IF(M919="✓",1,0)</f>
        <v/>
      </c>
      <c r="O919" s="93">
        <f>N(O918)+IF(AND(B919&lt;&gt;"",B919&gt;='Uang Riba'!$H$30,B919&lt;='Uang Riba'!$I$30,OR(H919="Dana riba",H919="Pinjam uang riba",I919="Pinjam dari uang riba",I919="Ganti uang riba",I919="Kelebihan ganti dikembalikan",AND(C919="Kantong Uang Riba",G919="Pengeluaran"))),1,0)</f>
        <v/>
      </c>
      <c r="X919" s="93">
        <f>IF(AND(B919&lt;&gt;"",B919&gt;='Buku Akun'!$H$4,B919&lt;='Buku Akun'!$H$5,OR(C919='Buku Akun'!$C$4,AND(D919="Pindah",E919='Buku Akun'!$C$4))),B919+IF(AND(I919="Selisih bunga",DAY(B919)=1),0,0.01)+ROW()/10000000,"")</f>
        <v/>
      </c>
    </row>
    <row r="920" outlineLevel="1" ht="15" customHeight="1" s="94">
      <c r="A920" s="123">
        <f>IF(B920="","",ROW()-15)</f>
        <v/>
      </c>
      <c r="B920" s="124" t="n"/>
      <c r="C920" s="123" t="n"/>
      <c r="D920" s="123" t="n"/>
      <c r="E920" s="123" t="n"/>
      <c r="F920" s="125" t="n"/>
      <c r="G920" s="123" t="n"/>
      <c r="H920" s="123" t="n"/>
      <c r="I920" s="123" t="n"/>
      <c r="J920" s="123" t="n"/>
      <c r="K920" s="123" t="n"/>
      <c r="L920" s="123" t="n"/>
      <c r="M920" s="123">
        <f>IF(AND(B920&lt;&gt;"",OR($C$4="",ISNUMBER(SEARCH($C$4,C920&amp;" "&amp;E920&amp;" "&amp;G920&amp;" "&amp;H920&amp;" "&amp;I920&amp;" "&amp;J920&amp;" "&amp;K920&amp;" "&amp;L920))),OR($C$5="Semua",$C$5="",G920=$C$5),OR($C$6="Semua",$C$6="",H920=$C$6,H920="Pengeluaran "&amp;$C$6,AND($C$6="Uang Kos Mama",H920="Pengeluaran Uang Kos")),OR($C$7="Semua",$C$7="",I920=$C$7),OR($C$8="Semua",$C$8="",C920=$C$8,E920=$C$8),OR($C$9="Semua",$C$9="",D920=$C$9),OR($C$10="",B920&gt;=$C$10),OR($C$11="",B920&lt;=$C$11),OR($C$12&lt;&gt;"Ya",K920&lt;&gt;""),OR($C$13="Semua",$C$13="",L920=$C$13)),"✓","")</f>
        <v/>
      </c>
      <c r="N920" s="93">
        <f>N(N919)+IF(M920="✓",1,0)</f>
        <v/>
      </c>
      <c r="O920" s="93">
        <f>N(O919)+IF(AND(B920&lt;&gt;"",B920&gt;='Uang Riba'!$H$30,B920&lt;='Uang Riba'!$I$30,OR(H920="Dana riba",H920="Pinjam uang riba",I920="Pinjam dari uang riba",I920="Ganti uang riba",I920="Kelebihan ganti dikembalikan",AND(C920="Kantong Uang Riba",G920="Pengeluaran"))),1,0)</f>
        <v/>
      </c>
      <c r="X920" s="93">
        <f>IF(AND(B920&lt;&gt;"",B920&gt;='Buku Akun'!$H$4,B920&lt;='Buku Akun'!$H$5,OR(C920='Buku Akun'!$C$4,AND(D920="Pindah",E920='Buku Akun'!$C$4))),B920+IF(AND(I920="Selisih bunga",DAY(B920)=1),0,0.01)+ROW()/10000000,"")</f>
        <v/>
      </c>
    </row>
    <row r="921" outlineLevel="1" ht="15" customHeight="1" s="94">
      <c r="A921" s="123">
        <f>IF(B921="","",ROW()-15)</f>
        <v/>
      </c>
      <c r="B921" s="124" t="n"/>
      <c r="C921" s="123" t="n"/>
      <c r="D921" s="123" t="n"/>
      <c r="E921" s="123" t="n"/>
      <c r="F921" s="125" t="n"/>
      <c r="G921" s="123" t="n"/>
      <c r="H921" s="123" t="n"/>
      <c r="I921" s="123" t="n"/>
      <c r="J921" s="123" t="n"/>
      <c r="K921" s="123" t="n"/>
      <c r="L921" s="123" t="n"/>
      <c r="M921" s="123">
        <f>IF(AND(B921&lt;&gt;"",OR($C$4="",ISNUMBER(SEARCH($C$4,C921&amp;" "&amp;E921&amp;" "&amp;G921&amp;" "&amp;H921&amp;" "&amp;I921&amp;" "&amp;J921&amp;" "&amp;K921&amp;" "&amp;L921))),OR($C$5="Semua",$C$5="",G921=$C$5),OR($C$6="Semua",$C$6="",H921=$C$6,H921="Pengeluaran "&amp;$C$6,AND($C$6="Uang Kos Mama",H921="Pengeluaran Uang Kos")),OR($C$7="Semua",$C$7="",I921=$C$7),OR($C$8="Semua",$C$8="",C921=$C$8,E921=$C$8),OR($C$9="Semua",$C$9="",D921=$C$9),OR($C$10="",B921&gt;=$C$10),OR($C$11="",B921&lt;=$C$11),OR($C$12&lt;&gt;"Ya",K921&lt;&gt;""),OR($C$13="Semua",$C$13="",L921=$C$13)),"✓","")</f>
        <v/>
      </c>
      <c r="N921" s="93">
        <f>N(N920)+IF(M921="✓",1,0)</f>
        <v/>
      </c>
      <c r="O921" s="93">
        <f>N(O920)+IF(AND(B921&lt;&gt;"",B921&gt;='Uang Riba'!$H$30,B921&lt;='Uang Riba'!$I$30,OR(H921="Dana riba",H921="Pinjam uang riba",I921="Pinjam dari uang riba",I921="Ganti uang riba",I921="Kelebihan ganti dikembalikan",AND(C921="Kantong Uang Riba",G921="Pengeluaran"))),1,0)</f>
        <v/>
      </c>
      <c r="X921" s="93">
        <f>IF(AND(B921&lt;&gt;"",B921&gt;='Buku Akun'!$H$4,B921&lt;='Buku Akun'!$H$5,OR(C921='Buku Akun'!$C$4,AND(D921="Pindah",E921='Buku Akun'!$C$4))),B921+IF(AND(I921="Selisih bunga",DAY(B921)=1),0,0.01)+ROW()/10000000,"")</f>
        <v/>
      </c>
    </row>
    <row r="922" outlineLevel="1" ht="15" customHeight="1" s="94">
      <c r="A922" s="123">
        <f>IF(B922="","",ROW()-15)</f>
        <v/>
      </c>
      <c r="B922" s="124" t="n"/>
      <c r="C922" s="123" t="n"/>
      <c r="D922" s="123" t="n"/>
      <c r="E922" s="123" t="n"/>
      <c r="F922" s="125" t="n"/>
      <c r="G922" s="123" t="n"/>
      <c r="H922" s="123" t="n"/>
      <c r="I922" s="123" t="n"/>
      <c r="J922" s="123" t="n"/>
      <c r="K922" s="123" t="n"/>
      <c r="L922" s="123" t="n"/>
      <c r="M922" s="123">
        <f>IF(AND(B922&lt;&gt;"",OR($C$4="",ISNUMBER(SEARCH($C$4,C922&amp;" "&amp;E922&amp;" "&amp;G922&amp;" "&amp;H922&amp;" "&amp;I922&amp;" "&amp;J922&amp;" "&amp;K922&amp;" "&amp;L922))),OR($C$5="Semua",$C$5="",G922=$C$5),OR($C$6="Semua",$C$6="",H922=$C$6,H922="Pengeluaran "&amp;$C$6,AND($C$6="Uang Kos Mama",H922="Pengeluaran Uang Kos")),OR($C$7="Semua",$C$7="",I922=$C$7),OR($C$8="Semua",$C$8="",C922=$C$8,E922=$C$8),OR($C$9="Semua",$C$9="",D922=$C$9),OR($C$10="",B922&gt;=$C$10),OR($C$11="",B922&lt;=$C$11),OR($C$12&lt;&gt;"Ya",K922&lt;&gt;""),OR($C$13="Semua",$C$13="",L922=$C$13)),"✓","")</f>
        <v/>
      </c>
      <c r="N922" s="93">
        <f>N(N921)+IF(M922="✓",1,0)</f>
        <v/>
      </c>
      <c r="O922" s="93">
        <f>N(O921)+IF(AND(B922&lt;&gt;"",B922&gt;='Uang Riba'!$H$30,B922&lt;='Uang Riba'!$I$30,OR(H922="Dana riba",H922="Pinjam uang riba",I922="Pinjam dari uang riba",I922="Ganti uang riba",I922="Kelebihan ganti dikembalikan",AND(C922="Kantong Uang Riba",G922="Pengeluaran"))),1,0)</f>
        <v/>
      </c>
      <c r="X922" s="93">
        <f>IF(AND(B922&lt;&gt;"",B922&gt;='Buku Akun'!$H$4,B922&lt;='Buku Akun'!$H$5,OR(C922='Buku Akun'!$C$4,AND(D922="Pindah",E922='Buku Akun'!$C$4))),B922+IF(AND(I922="Selisih bunga",DAY(B922)=1),0,0.01)+ROW()/10000000,"")</f>
        <v/>
      </c>
    </row>
    <row r="923" outlineLevel="1" ht="15" customHeight="1" s="94">
      <c r="A923" s="123">
        <f>IF(B923="","",ROW()-15)</f>
        <v/>
      </c>
      <c r="B923" s="124" t="n"/>
      <c r="C923" s="123" t="n"/>
      <c r="D923" s="123" t="n"/>
      <c r="E923" s="123" t="n"/>
      <c r="F923" s="125" t="n"/>
      <c r="G923" s="123" t="n"/>
      <c r="H923" s="123" t="n"/>
      <c r="I923" s="123" t="n"/>
      <c r="J923" s="123" t="n"/>
      <c r="K923" s="123" t="n"/>
      <c r="L923" s="123" t="n"/>
      <c r="M923" s="123">
        <f>IF(AND(B923&lt;&gt;"",OR($C$4="",ISNUMBER(SEARCH($C$4,C923&amp;" "&amp;E923&amp;" "&amp;G923&amp;" "&amp;H923&amp;" "&amp;I923&amp;" "&amp;J923&amp;" "&amp;K923&amp;" "&amp;L923))),OR($C$5="Semua",$C$5="",G923=$C$5),OR($C$6="Semua",$C$6="",H923=$C$6,H923="Pengeluaran "&amp;$C$6,AND($C$6="Uang Kos Mama",H923="Pengeluaran Uang Kos")),OR($C$7="Semua",$C$7="",I923=$C$7),OR($C$8="Semua",$C$8="",C923=$C$8,E923=$C$8),OR($C$9="Semua",$C$9="",D923=$C$9),OR($C$10="",B923&gt;=$C$10),OR($C$11="",B923&lt;=$C$11),OR($C$12&lt;&gt;"Ya",K923&lt;&gt;""),OR($C$13="Semua",$C$13="",L923=$C$13)),"✓","")</f>
        <v/>
      </c>
      <c r="N923" s="93">
        <f>N(N922)+IF(M923="✓",1,0)</f>
        <v/>
      </c>
      <c r="O923" s="93">
        <f>N(O922)+IF(AND(B923&lt;&gt;"",B923&gt;='Uang Riba'!$H$30,B923&lt;='Uang Riba'!$I$30,OR(H923="Dana riba",H923="Pinjam uang riba",I923="Pinjam dari uang riba",I923="Ganti uang riba",I923="Kelebihan ganti dikembalikan",AND(C923="Kantong Uang Riba",G923="Pengeluaran"))),1,0)</f>
        <v/>
      </c>
      <c r="X923" s="93">
        <f>IF(AND(B923&lt;&gt;"",B923&gt;='Buku Akun'!$H$4,B923&lt;='Buku Akun'!$H$5,OR(C923='Buku Akun'!$C$4,AND(D923="Pindah",E923='Buku Akun'!$C$4))),B923+IF(AND(I923="Selisih bunga",DAY(B923)=1),0,0.01)+ROW()/10000000,"")</f>
        <v/>
      </c>
    </row>
    <row r="924" outlineLevel="1" ht="15" customHeight="1" s="94">
      <c r="A924" s="123">
        <f>IF(B924="","",ROW()-15)</f>
        <v/>
      </c>
      <c r="B924" s="124" t="n"/>
      <c r="C924" s="123" t="n"/>
      <c r="D924" s="123" t="n"/>
      <c r="E924" s="123" t="n"/>
      <c r="F924" s="125" t="n"/>
      <c r="G924" s="123" t="n"/>
      <c r="H924" s="123" t="n"/>
      <c r="I924" s="123" t="n"/>
      <c r="J924" s="123" t="n"/>
      <c r="K924" s="123" t="n"/>
      <c r="L924" s="123" t="n"/>
      <c r="M924" s="123">
        <f>IF(AND(B924&lt;&gt;"",OR($C$4="",ISNUMBER(SEARCH($C$4,C924&amp;" "&amp;E924&amp;" "&amp;G924&amp;" "&amp;H924&amp;" "&amp;I924&amp;" "&amp;J924&amp;" "&amp;K924&amp;" "&amp;L924))),OR($C$5="Semua",$C$5="",G924=$C$5),OR($C$6="Semua",$C$6="",H924=$C$6,H924="Pengeluaran "&amp;$C$6,AND($C$6="Uang Kos Mama",H924="Pengeluaran Uang Kos")),OR($C$7="Semua",$C$7="",I924=$C$7),OR($C$8="Semua",$C$8="",C924=$C$8,E924=$C$8),OR($C$9="Semua",$C$9="",D924=$C$9),OR($C$10="",B924&gt;=$C$10),OR($C$11="",B924&lt;=$C$11),OR($C$12&lt;&gt;"Ya",K924&lt;&gt;""),OR($C$13="Semua",$C$13="",L924=$C$13)),"✓","")</f>
        <v/>
      </c>
      <c r="N924" s="93">
        <f>N(N923)+IF(M924="✓",1,0)</f>
        <v/>
      </c>
      <c r="O924" s="93">
        <f>N(O923)+IF(AND(B924&lt;&gt;"",B924&gt;='Uang Riba'!$H$30,B924&lt;='Uang Riba'!$I$30,OR(H924="Dana riba",H924="Pinjam uang riba",I924="Pinjam dari uang riba",I924="Ganti uang riba",I924="Kelebihan ganti dikembalikan",AND(C924="Kantong Uang Riba",G924="Pengeluaran"))),1,0)</f>
        <v/>
      </c>
      <c r="X924" s="93">
        <f>IF(AND(B924&lt;&gt;"",B924&gt;='Buku Akun'!$H$4,B924&lt;='Buku Akun'!$H$5,OR(C924='Buku Akun'!$C$4,AND(D924="Pindah",E924='Buku Akun'!$C$4))),B924+IF(AND(I924="Selisih bunga",DAY(B924)=1),0,0.01)+ROW()/10000000,"")</f>
        <v/>
      </c>
    </row>
    <row r="925" outlineLevel="1" ht="15" customHeight="1" s="94">
      <c r="A925" s="123">
        <f>IF(B925="","",ROW()-15)</f>
        <v/>
      </c>
      <c r="B925" s="124" t="n"/>
      <c r="C925" s="123" t="n"/>
      <c r="D925" s="123" t="n"/>
      <c r="E925" s="123" t="n"/>
      <c r="F925" s="125" t="n"/>
      <c r="G925" s="123" t="n"/>
      <c r="H925" s="123" t="n"/>
      <c r="I925" s="123" t="n"/>
      <c r="J925" s="123" t="n"/>
      <c r="K925" s="123" t="n"/>
      <c r="L925" s="123" t="n"/>
      <c r="M925" s="123">
        <f>IF(AND(B925&lt;&gt;"",OR($C$4="",ISNUMBER(SEARCH($C$4,C925&amp;" "&amp;E925&amp;" "&amp;G925&amp;" "&amp;H925&amp;" "&amp;I925&amp;" "&amp;J925&amp;" "&amp;K925&amp;" "&amp;L925))),OR($C$5="Semua",$C$5="",G925=$C$5),OR($C$6="Semua",$C$6="",H925=$C$6,H925="Pengeluaran "&amp;$C$6,AND($C$6="Uang Kos Mama",H925="Pengeluaran Uang Kos")),OR($C$7="Semua",$C$7="",I925=$C$7),OR($C$8="Semua",$C$8="",C925=$C$8,E925=$C$8),OR($C$9="Semua",$C$9="",D925=$C$9),OR($C$10="",B925&gt;=$C$10),OR($C$11="",B925&lt;=$C$11),OR($C$12&lt;&gt;"Ya",K925&lt;&gt;""),OR($C$13="Semua",$C$13="",L925=$C$13)),"✓","")</f>
        <v/>
      </c>
      <c r="N925" s="93">
        <f>N(N924)+IF(M925="✓",1,0)</f>
        <v/>
      </c>
      <c r="O925" s="93">
        <f>N(O924)+IF(AND(B925&lt;&gt;"",B925&gt;='Uang Riba'!$H$30,B925&lt;='Uang Riba'!$I$30,OR(H925="Dana riba",H925="Pinjam uang riba",I925="Pinjam dari uang riba",I925="Ganti uang riba",I925="Kelebihan ganti dikembalikan",AND(C925="Kantong Uang Riba",G925="Pengeluaran"))),1,0)</f>
        <v/>
      </c>
      <c r="X925" s="93">
        <f>IF(AND(B925&lt;&gt;"",B925&gt;='Buku Akun'!$H$4,B925&lt;='Buku Akun'!$H$5,OR(C925='Buku Akun'!$C$4,AND(D925="Pindah",E925='Buku Akun'!$C$4))),B925+IF(AND(I925="Selisih bunga",DAY(B925)=1),0,0.01)+ROW()/10000000,"")</f>
        <v/>
      </c>
    </row>
    <row r="926" outlineLevel="1" ht="15" customHeight="1" s="94">
      <c r="A926" s="123">
        <f>IF(B926="","",ROW()-15)</f>
        <v/>
      </c>
      <c r="B926" s="124" t="n"/>
      <c r="C926" s="123" t="n"/>
      <c r="D926" s="123" t="n"/>
      <c r="E926" s="123" t="n"/>
      <c r="F926" s="125" t="n"/>
      <c r="G926" s="123" t="n"/>
      <c r="H926" s="123" t="n"/>
      <c r="I926" s="123" t="n"/>
      <c r="J926" s="123" t="n"/>
      <c r="K926" s="123" t="n"/>
      <c r="L926" s="123" t="n"/>
      <c r="M926" s="123">
        <f>IF(AND(B926&lt;&gt;"",OR($C$4="",ISNUMBER(SEARCH($C$4,C926&amp;" "&amp;E926&amp;" "&amp;G926&amp;" "&amp;H926&amp;" "&amp;I926&amp;" "&amp;J926&amp;" "&amp;K926&amp;" "&amp;L926))),OR($C$5="Semua",$C$5="",G926=$C$5),OR($C$6="Semua",$C$6="",H926=$C$6,H926="Pengeluaran "&amp;$C$6,AND($C$6="Uang Kos Mama",H926="Pengeluaran Uang Kos")),OR($C$7="Semua",$C$7="",I926=$C$7),OR($C$8="Semua",$C$8="",C926=$C$8,E926=$C$8),OR($C$9="Semua",$C$9="",D926=$C$9),OR($C$10="",B926&gt;=$C$10),OR($C$11="",B926&lt;=$C$11),OR($C$12&lt;&gt;"Ya",K926&lt;&gt;""),OR($C$13="Semua",$C$13="",L926=$C$13)),"✓","")</f>
        <v/>
      </c>
      <c r="N926" s="93">
        <f>N(N925)+IF(M926="✓",1,0)</f>
        <v/>
      </c>
      <c r="O926" s="93">
        <f>N(O925)+IF(AND(B926&lt;&gt;"",B926&gt;='Uang Riba'!$H$30,B926&lt;='Uang Riba'!$I$30,OR(H926="Dana riba",H926="Pinjam uang riba",I926="Pinjam dari uang riba",I926="Ganti uang riba",I926="Kelebihan ganti dikembalikan",AND(C926="Kantong Uang Riba",G926="Pengeluaran"))),1,0)</f>
        <v/>
      </c>
      <c r="X926" s="93">
        <f>IF(AND(B926&lt;&gt;"",B926&gt;='Buku Akun'!$H$4,B926&lt;='Buku Akun'!$H$5,OR(C926='Buku Akun'!$C$4,AND(D926="Pindah",E926='Buku Akun'!$C$4))),B926+IF(AND(I926="Selisih bunga",DAY(B926)=1),0,0.01)+ROW()/10000000,"")</f>
        <v/>
      </c>
    </row>
    <row r="927" outlineLevel="1" ht="15" customHeight="1" s="94">
      <c r="A927" s="123">
        <f>IF(B927="","",ROW()-15)</f>
        <v/>
      </c>
      <c r="B927" s="124" t="n"/>
      <c r="C927" s="123" t="n"/>
      <c r="D927" s="123" t="n"/>
      <c r="E927" s="123" t="n"/>
      <c r="F927" s="125" t="n"/>
      <c r="G927" s="123" t="n"/>
      <c r="H927" s="123" t="n"/>
      <c r="I927" s="123" t="n"/>
      <c r="J927" s="123" t="n"/>
      <c r="K927" s="123" t="n"/>
      <c r="L927" s="123" t="n"/>
      <c r="M927" s="123">
        <f>IF(AND(B927&lt;&gt;"",OR($C$4="",ISNUMBER(SEARCH($C$4,C927&amp;" "&amp;E927&amp;" "&amp;G927&amp;" "&amp;H927&amp;" "&amp;I927&amp;" "&amp;J927&amp;" "&amp;K927&amp;" "&amp;L927))),OR($C$5="Semua",$C$5="",G927=$C$5),OR($C$6="Semua",$C$6="",H927=$C$6,H927="Pengeluaran "&amp;$C$6,AND($C$6="Uang Kos Mama",H927="Pengeluaran Uang Kos")),OR($C$7="Semua",$C$7="",I927=$C$7),OR($C$8="Semua",$C$8="",C927=$C$8,E927=$C$8),OR($C$9="Semua",$C$9="",D927=$C$9),OR($C$10="",B927&gt;=$C$10),OR($C$11="",B927&lt;=$C$11),OR($C$12&lt;&gt;"Ya",K927&lt;&gt;""),OR($C$13="Semua",$C$13="",L927=$C$13)),"✓","")</f>
        <v/>
      </c>
      <c r="N927" s="93">
        <f>N(N926)+IF(M927="✓",1,0)</f>
        <v/>
      </c>
      <c r="O927" s="93">
        <f>N(O926)+IF(AND(B927&lt;&gt;"",B927&gt;='Uang Riba'!$H$30,B927&lt;='Uang Riba'!$I$30,OR(H927="Dana riba",H927="Pinjam uang riba",I927="Pinjam dari uang riba",I927="Ganti uang riba",I927="Kelebihan ganti dikembalikan",AND(C927="Kantong Uang Riba",G927="Pengeluaran"))),1,0)</f>
        <v/>
      </c>
      <c r="X927" s="93">
        <f>IF(AND(B927&lt;&gt;"",B927&gt;='Buku Akun'!$H$4,B927&lt;='Buku Akun'!$H$5,OR(C927='Buku Akun'!$C$4,AND(D927="Pindah",E927='Buku Akun'!$C$4))),B927+IF(AND(I927="Selisih bunga",DAY(B927)=1),0,0.01)+ROW()/10000000,"")</f>
        <v/>
      </c>
    </row>
    <row r="928" outlineLevel="1" ht="15" customHeight="1" s="94">
      <c r="A928" s="123">
        <f>IF(B928="","",ROW()-15)</f>
        <v/>
      </c>
      <c r="B928" s="124" t="n"/>
      <c r="C928" s="123" t="n"/>
      <c r="D928" s="123" t="n"/>
      <c r="E928" s="123" t="n"/>
      <c r="F928" s="125" t="n"/>
      <c r="G928" s="123" t="n"/>
      <c r="H928" s="123" t="n"/>
      <c r="I928" s="123" t="n"/>
      <c r="J928" s="123" t="n"/>
      <c r="K928" s="123" t="n"/>
      <c r="L928" s="123" t="n"/>
      <c r="M928" s="123">
        <f>IF(AND(B928&lt;&gt;"",OR($C$4="",ISNUMBER(SEARCH($C$4,C928&amp;" "&amp;E928&amp;" "&amp;G928&amp;" "&amp;H928&amp;" "&amp;I928&amp;" "&amp;J928&amp;" "&amp;K928&amp;" "&amp;L928))),OR($C$5="Semua",$C$5="",G928=$C$5),OR($C$6="Semua",$C$6="",H928=$C$6,H928="Pengeluaran "&amp;$C$6,AND($C$6="Uang Kos Mama",H928="Pengeluaran Uang Kos")),OR($C$7="Semua",$C$7="",I928=$C$7),OR($C$8="Semua",$C$8="",C928=$C$8,E928=$C$8),OR($C$9="Semua",$C$9="",D928=$C$9),OR($C$10="",B928&gt;=$C$10),OR($C$11="",B928&lt;=$C$11),OR($C$12&lt;&gt;"Ya",K928&lt;&gt;""),OR($C$13="Semua",$C$13="",L928=$C$13)),"✓","")</f>
        <v/>
      </c>
      <c r="N928" s="93">
        <f>N(N927)+IF(M928="✓",1,0)</f>
        <v/>
      </c>
      <c r="O928" s="93">
        <f>N(O927)+IF(AND(B928&lt;&gt;"",B928&gt;='Uang Riba'!$H$30,B928&lt;='Uang Riba'!$I$30,OR(H928="Dana riba",H928="Pinjam uang riba",I928="Pinjam dari uang riba",I928="Ganti uang riba",I928="Kelebihan ganti dikembalikan",AND(C928="Kantong Uang Riba",G928="Pengeluaran"))),1,0)</f>
        <v/>
      </c>
      <c r="X928" s="93">
        <f>IF(AND(B928&lt;&gt;"",B928&gt;='Buku Akun'!$H$4,B928&lt;='Buku Akun'!$H$5,OR(C928='Buku Akun'!$C$4,AND(D928="Pindah",E928='Buku Akun'!$C$4))),B928+IF(AND(I928="Selisih bunga",DAY(B928)=1),0,0.01)+ROW()/10000000,"")</f>
        <v/>
      </c>
    </row>
    <row r="929" outlineLevel="1" ht="15" customHeight="1" s="94">
      <c r="A929" s="123">
        <f>IF(B929="","",ROW()-15)</f>
        <v/>
      </c>
      <c r="B929" s="124" t="n"/>
      <c r="C929" s="123" t="n"/>
      <c r="D929" s="123" t="n"/>
      <c r="E929" s="123" t="n"/>
      <c r="F929" s="125" t="n"/>
      <c r="G929" s="123" t="n"/>
      <c r="H929" s="123" t="n"/>
      <c r="I929" s="123" t="n"/>
      <c r="J929" s="123" t="n"/>
      <c r="K929" s="123" t="n"/>
      <c r="L929" s="123" t="n"/>
      <c r="M929" s="123">
        <f>IF(AND(B929&lt;&gt;"",OR($C$4="",ISNUMBER(SEARCH($C$4,C929&amp;" "&amp;E929&amp;" "&amp;G929&amp;" "&amp;H929&amp;" "&amp;I929&amp;" "&amp;J929&amp;" "&amp;K929&amp;" "&amp;L929))),OR($C$5="Semua",$C$5="",G929=$C$5),OR($C$6="Semua",$C$6="",H929=$C$6,H929="Pengeluaran "&amp;$C$6,AND($C$6="Uang Kos Mama",H929="Pengeluaran Uang Kos")),OR($C$7="Semua",$C$7="",I929=$C$7),OR($C$8="Semua",$C$8="",C929=$C$8,E929=$C$8),OR($C$9="Semua",$C$9="",D929=$C$9),OR($C$10="",B929&gt;=$C$10),OR($C$11="",B929&lt;=$C$11),OR($C$12&lt;&gt;"Ya",K929&lt;&gt;""),OR($C$13="Semua",$C$13="",L929=$C$13)),"✓","")</f>
        <v/>
      </c>
      <c r="N929" s="93">
        <f>N(N928)+IF(M929="✓",1,0)</f>
        <v/>
      </c>
      <c r="O929" s="93">
        <f>N(O928)+IF(AND(B929&lt;&gt;"",B929&gt;='Uang Riba'!$H$30,B929&lt;='Uang Riba'!$I$30,OR(H929="Dana riba",H929="Pinjam uang riba",I929="Pinjam dari uang riba",I929="Ganti uang riba",I929="Kelebihan ganti dikembalikan",AND(C929="Kantong Uang Riba",G929="Pengeluaran"))),1,0)</f>
        <v/>
      </c>
      <c r="X929" s="93">
        <f>IF(AND(B929&lt;&gt;"",B929&gt;='Buku Akun'!$H$4,B929&lt;='Buku Akun'!$H$5,OR(C929='Buku Akun'!$C$4,AND(D929="Pindah",E929='Buku Akun'!$C$4))),B929+IF(AND(I929="Selisih bunga",DAY(B929)=1),0,0.01)+ROW()/10000000,"")</f>
        <v/>
      </c>
    </row>
    <row r="930" outlineLevel="1" ht="15" customHeight="1" s="94">
      <c r="A930" s="123">
        <f>IF(B930="","",ROW()-15)</f>
        <v/>
      </c>
      <c r="B930" s="124" t="n"/>
      <c r="C930" s="123" t="n"/>
      <c r="D930" s="123" t="n"/>
      <c r="E930" s="123" t="n"/>
      <c r="F930" s="125" t="n"/>
      <c r="G930" s="123" t="n"/>
      <c r="H930" s="123" t="n"/>
      <c r="I930" s="123" t="n"/>
      <c r="J930" s="123" t="n"/>
      <c r="K930" s="123" t="n"/>
      <c r="L930" s="123" t="n"/>
      <c r="M930" s="123">
        <f>IF(AND(B930&lt;&gt;"",OR($C$4="",ISNUMBER(SEARCH($C$4,C930&amp;" "&amp;E930&amp;" "&amp;G930&amp;" "&amp;H930&amp;" "&amp;I930&amp;" "&amp;J930&amp;" "&amp;K930&amp;" "&amp;L930))),OR($C$5="Semua",$C$5="",G930=$C$5),OR($C$6="Semua",$C$6="",H930=$C$6,H930="Pengeluaran "&amp;$C$6,AND($C$6="Uang Kos Mama",H930="Pengeluaran Uang Kos")),OR($C$7="Semua",$C$7="",I930=$C$7),OR($C$8="Semua",$C$8="",C930=$C$8,E930=$C$8),OR($C$9="Semua",$C$9="",D930=$C$9),OR($C$10="",B930&gt;=$C$10),OR($C$11="",B930&lt;=$C$11),OR($C$12&lt;&gt;"Ya",K930&lt;&gt;""),OR($C$13="Semua",$C$13="",L930=$C$13)),"✓","")</f>
        <v/>
      </c>
      <c r="N930" s="93">
        <f>N(N929)+IF(M930="✓",1,0)</f>
        <v/>
      </c>
      <c r="O930" s="93">
        <f>N(O929)+IF(AND(B930&lt;&gt;"",B930&gt;='Uang Riba'!$H$30,B930&lt;='Uang Riba'!$I$30,OR(H930="Dana riba",H930="Pinjam uang riba",I930="Pinjam dari uang riba",I930="Ganti uang riba",I930="Kelebihan ganti dikembalikan",AND(C930="Kantong Uang Riba",G930="Pengeluaran"))),1,0)</f>
        <v/>
      </c>
      <c r="X930" s="93">
        <f>IF(AND(B930&lt;&gt;"",B930&gt;='Buku Akun'!$H$4,B930&lt;='Buku Akun'!$H$5,OR(C930='Buku Akun'!$C$4,AND(D930="Pindah",E930='Buku Akun'!$C$4))),B930+IF(AND(I930="Selisih bunga",DAY(B930)=1),0,0.01)+ROW()/10000000,"")</f>
        <v/>
      </c>
    </row>
    <row r="931" outlineLevel="1" ht="15" customHeight="1" s="94">
      <c r="A931" s="123">
        <f>IF(B931="","",ROW()-15)</f>
        <v/>
      </c>
      <c r="B931" s="124" t="n"/>
      <c r="C931" s="123" t="n"/>
      <c r="D931" s="123" t="n"/>
      <c r="E931" s="123" t="n"/>
      <c r="F931" s="125" t="n"/>
      <c r="G931" s="123" t="n"/>
      <c r="H931" s="123" t="n"/>
      <c r="I931" s="123" t="n"/>
      <c r="J931" s="123" t="n"/>
      <c r="K931" s="123" t="n"/>
      <c r="L931" s="123" t="n"/>
      <c r="M931" s="123">
        <f>IF(AND(B931&lt;&gt;"",OR($C$4="",ISNUMBER(SEARCH($C$4,C931&amp;" "&amp;E931&amp;" "&amp;G931&amp;" "&amp;H931&amp;" "&amp;I931&amp;" "&amp;J931&amp;" "&amp;K931&amp;" "&amp;L931))),OR($C$5="Semua",$C$5="",G931=$C$5),OR($C$6="Semua",$C$6="",H931=$C$6,H931="Pengeluaran "&amp;$C$6,AND($C$6="Uang Kos Mama",H931="Pengeluaran Uang Kos")),OR($C$7="Semua",$C$7="",I931=$C$7),OR($C$8="Semua",$C$8="",C931=$C$8,E931=$C$8),OR($C$9="Semua",$C$9="",D931=$C$9),OR($C$10="",B931&gt;=$C$10),OR($C$11="",B931&lt;=$C$11),OR($C$12&lt;&gt;"Ya",K931&lt;&gt;""),OR($C$13="Semua",$C$13="",L931=$C$13)),"✓","")</f>
        <v/>
      </c>
      <c r="N931" s="93">
        <f>N(N930)+IF(M931="✓",1,0)</f>
        <v/>
      </c>
      <c r="O931" s="93">
        <f>N(O930)+IF(AND(B931&lt;&gt;"",B931&gt;='Uang Riba'!$H$30,B931&lt;='Uang Riba'!$I$30,OR(H931="Dana riba",H931="Pinjam uang riba",I931="Pinjam dari uang riba",I931="Ganti uang riba",I931="Kelebihan ganti dikembalikan",AND(C931="Kantong Uang Riba",G931="Pengeluaran"))),1,0)</f>
        <v/>
      </c>
      <c r="X931" s="93">
        <f>IF(AND(B931&lt;&gt;"",B931&gt;='Buku Akun'!$H$4,B931&lt;='Buku Akun'!$H$5,OR(C931='Buku Akun'!$C$4,AND(D931="Pindah",E931='Buku Akun'!$C$4))),B931+IF(AND(I931="Selisih bunga",DAY(B931)=1),0,0.01)+ROW()/10000000,"")</f>
        <v/>
      </c>
    </row>
    <row r="932" outlineLevel="1" ht="15" customHeight="1" s="94">
      <c r="A932" s="123">
        <f>IF(B932="","",ROW()-15)</f>
        <v/>
      </c>
      <c r="B932" s="124" t="n"/>
      <c r="C932" s="123" t="n"/>
      <c r="D932" s="123" t="n"/>
      <c r="E932" s="123" t="n"/>
      <c r="F932" s="125" t="n"/>
      <c r="G932" s="123" t="n"/>
      <c r="H932" s="123" t="n"/>
      <c r="I932" s="123" t="n"/>
      <c r="J932" s="123" t="n"/>
      <c r="K932" s="123" t="n"/>
      <c r="L932" s="123" t="n"/>
      <c r="M932" s="123">
        <f>IF(AND(B932&lt;&gt;"",OR($C$4="",ISNUMBER(SEARCH($C$4,C932&amp;" "&amp;E932&amp;" "&amp;G932&amp;" "&amp;H932&amp;" "&amp;I932&amp;" "&amp;J932&amp;" "&amp;K932&amp;" "&amp;L932))),OR($C$5="Semua",$C$5="",G932=$C$5),OR($C$6="Semua",$C$6="",H932=$C$6,H932="Pengeluaran "&amp;$C$6,AND($C$6="Uang Kos Mama",H932="Pengeluaran Uang Kos")),OR($C$7="Semua",$C$7="",I932=$C$7),OR($C$8="Semua",$C$8="",C932=$C$8,E932=$C$8),OR($C$9="Semua",$C$9="",D932=$C$9),OR($C$10="",B932&gt;=$C$10),OR($C$11="",B932&lt;=$C$11),OR($C$12&lt;&gt;"Ya",K932&lt;&gt;""),OR($C$13="Semua",$C$13="",L932=$C$13)),"✓","")</f>
        <v/>
      </c>
      <c r="N932" s="93">
        <f>N(N931)+IF(M932="✓",1,0)</f>
        <v/>
      </c>
      <c r="O932" s="93">
        <f>N(O931)+IF(AND(B932&lt;&gt;"",B932&gt;='Uang Riba'!$H$30,B932&lt;='Uang Riba'!$I$30,OR(H932="Dana riba",H932="Pinjam uang riba",I932="Pinjam dari uang riba",I932="Ganti uang riba",I932="Kelebihan ganti dikembalikan",AND(C932="Kantong Uang Riba",G932="Pengeluaran"))),1,0)</f>
        <v/>
      </c>
      <c r="X932" s="93">
        <f>IF(AND(B932&lt;&gt;"",B932&gt;='Buku Akun'!$H$4,B932&lt;='Buku Akun'!$H$5,OR(C932='Buku Akun'!$C$4,AND(D932="Pindah",E932='Buku Akun'!$C$4))),B932+IF(AND(I932="Selisih bunga",DAY(B932)=1),0,0.01)+ROW()/10000000,"")</f>
        <v/>
      </c>
    </row>
    <row r="933" outlineLevel="1" ht="15" customHeight="1" s="94">
      <c r="A933" s="123">
        <f>IF(B933="","",ROW()-15)</f>
        <v/>
      </c>
      <c r="B933" s="124" t="n"/>
      <c r="C933" s="123" t="n"/>
      <c r="D933" s="123" t="n"/>
      <c r="E933" s="123" t="n"/>
      <c r="F933" s="125" t="n"/>
      <c r="G933" s="123" t="n"/>
      <c r="H933" s="123" t="n"/>
      <c r="I933" s="123" t="n"/>
      <c r="J933" s="123" t="n"/>
      <c r="K933" s="123" t="n"/>
      <c r="L933" s="123" t="n"/>
      <c r="M933" s="123">
        <f>IF(AND(B933&lt;&gt;"",OR($C$4="",ISNUMBER(SEARCH($C$4,C933&amp;" "&amp;E933&amp;" "&amp;G933&amp;" "&amp;H933&amp;" "&amp;I933&amp;" "&amp;J933&amp;" "&amp;K933&amp;" "&amp;L933))),OR($C$5="Semua",$C$5="",G933=$C$5),OR($C$6="Semua",$C$6="",H933=$C$6,H933="Pengeluaran "&amp;$C$6,AND($C$6="Uang Kos Mama",H933="Pengeluaran Uang Kos")),OR($C$7="Semua",$C$7="",I933=$C$7),OR($C$8="Semua",$C$8="",C933=$C$8,E933=$C$8),OR($C$9="Semua",$C$9="",D933=$C$9),OR($C$10="",B933&gt;=$C$10),OR($C$11="",B933&lt;=$C$11),OR($C$12&lt;&gt;"Ya",K933&lt;&gt;""),OR($C$13="Semua",$C$13="",L933=$C$13)),"✓","")</f>
        <v/>
      </c>
      <c r="N933" s="93">
        <f>N(N932)+IF(M933="✓",1,0)</f>
        <v/>
      </c>
      <c r="O933" s="93">
        <f>N(O932)+IF(AND(B933&lt;&gt;"",B933&gt;='Uang Riba'!$H$30,B933&lt;='Uang Riba'!$I$30,OR(H933="Dana riba",H933="Pinjam uang riba",I933="Pinjam dari uang riba",I933="Ganti uang riba",I933="Kelebihan ganti dikembalikan",AND(C933="Kantong Uang Riba",G933="Pengeluaran"))),1,0)</f>
        <v/>
      </c>
      <c r="X933" s="93">
        <f>IF(AND(B933&lt;&gt;"",B933&gt;='Buku Akun'!$H$4,B933&lt;='Buku Akun'!$H$5,OR(C933='Buku Akun'!$C$4,AND(D933="Pindah",E933='Buku Akun'!$C$4))),B933+IF(AND(I933="Selisih bunga",DAY(B933)=1),0,0.01)+ROW()/10000000,"")</f>
        <v/>
      </c>
    </row>
    <row r="934" outlineLevel="1" ht="15" customHeight="1" s="94">
      <c r="A934" s="123">
        <f>IF(B934="","",ROW()-15)</f>
        <v/>
      </c>
      <c r="B934" s="124" t="n"/>
      <c r="C934" s="123" t="n"/>
      <c r="D934" s="123" t="n"/>
      <c r="E934" s="123" t="n"/>
      <c r="F934" s="125" t="n"/>
      <c r="G934" s="123" t="n"/>
      <c r="H934" s="123" t="n"/>
      <c r="I934" s="123" t="n"/>
      <c r="J934" s="123" t="n"/>
      <c r="K934" s="123" t="n"/>
      <c r="L934" s="123" t="n"/>
      <c r="M934" s="123">
        <f>IF(AND(B934&lt;&gt;"",OR($C$4="",ISNUMBER(SEARCH($C$4,C934&amp;" "&amp;E934&amp;" "&amp;G934&amp;" "&amp;H934&amp;" "&amp;I934&amp;" "&amp;J934&amp;" "&amp;K934&amp;" "&amp;L934))),OR($C$5="Semua",$C$5="",G934=$C$5),OR($C$6="Semua",$C$6="",H934=$C$6,H934="Pengeluaran "&amp;$C$6,AND($C$6="Uang Kos Mama",H934="Pengeluaran Uang Kos")),OR($C$7="Semua",$C$7="",I934=$C$7),OR($C$8="Semua",$C$8="",C934=$C$8,E934=$C$8),OR($C$9="Semua",$C$9="",D934=$C$9),OR($C$10="",B934&gt;=$C$10),OR($C$11="",B934&lt;=$C$11),OR($C$12&lt;&gt;"Ya",K934&lt;&gt;""),OR($C$13="Semua",$C$13="",L934=$C$13)),"✓","")</f>
        <v/>
      </c>
      <c r="N934" s="93">
        <f>N(N933)+IF(M934="✓",1,0)</f>
        <v/>
      </c>
      <c r="O934" s="93">
        <f>N(O933)+IF(AND(B934&lt;&gt;"",B934&gt;='Uang Riba'!$H$30,B934&lt;='Uang Riba'!$I$30,OR(H934="Dana riba",H934="Pinjam uang riba",I934="Pinjam dari uang riba",I934="Ganti uang riba",I934="Kelebihan ganti dikembalikan",AND(C934="Kantong Uang Riba",G934="Pengeluaran"))),1,0)</f>
        <v/>
      </c>
      <c r="X934" s="93">
        <f>IF(AND(B934&lt;&gt;"",B934&gt;='Buku Akun'!$H$4,B934&lt;='Buku Akun'!$H$5,OR(C934='Buku Akun'!$C$4,AND(D934="Pindah",E934='Buku Akun'!$C$4))),B934+IF(AND(I934="Selisih bunga",DAY(B934)=1),0,0.01)+ROW()/10000000,"")</f>
        <v/>
      </c>
    </row>
    <row r="935" outlineLevel="1" ht="15" customHeight="1" s="94">
      <c r="A935" s="123">
        <f>IF(B935="","",ROW()-15)</f>
        <v/>
      </c>
      <c r="B935" s="124" t="n"/>
      <c r="C935" s="123" t="n"/>
      <c r="D935" s="123" t="n"/>
      <c r="E935" s="123" t="n"/>
      <c r="F935" s="125" t="n"/>
      <c r="G935" s="123" t="n"/>
      <c r="H935" s="123" t="n"/>
      <c r="I935" s="123" t="n"/>
      <c r="J935" s="123" t="n"/>
      <c r="K935" s="123" t="n"/>
      <c r="L935" s="123" t="n"/>
      <c r="M935" s="123">
        <f>IF(AND(B935&lt;&gt;"",OR($C$4="",ISNUMBER(SEARCH($C$4,C935&amp;" "&amp;E935&amp;" "&amp;G935&amp;" "&amp;H935&amp;" "&amp;I935&amp;" "&amp;J935&amp;" "&amp;K935&amp;" "&amp;L935))),OR($C$5="Semua",$C$5="",G935=$C$5),OR($C$6="Semua",$C$6="",H935=$C$6,H935="Pengeluaran "&amp;$C$6,AND($C$6="Uang Kos Mama",H935="Pengeluaran Uang Kos")),OR($C$7="Semua",$C$7="",I935=$C$7),OR($C$8="Semua",$C$8="",C935=$C$8,E935=$C$8),OR($C$9="Semua",$C$9="",D935=$C$9),OR($C$10="",B935&gt;=$C$10),OR($C$11="",B935&lt;=$C$11),OR($C$12&lt;&gt;"Ya",K935&lt;&gt;""),OR($C$13="Semua",$C$13="",L935=$C$13)),"✓","")</f>
        <v/>
      </c>
      <c r="N935" s="93">
        <f>N(N934)+IF(M935="✓",1,0)</f>
        <v/>
      </c>
      <c r="O935" s="93">
        <f>N(O934)+IF(AND(B935&lt;&gt;"",B935&gt;='Uang Riba'!$H$30,B935&lt;='Uang Riba'!$I$30,OR(H935="Dana riba",H935="Pinjam uang riba",I935="Pinjam dari uang riba",I935="Ganti uang riba",I935="Kelebihan ganti dikembalikan",AND(C935="Kantong Uang Riba",G935="Pengeluaran"))),1,0)</f>
        <v/>
      </c>
      <c r="X935" s="93">
        <f>IF(AND(B935&lt;&gt;"",B935&gt;='Buku Akun'!$H$4,B935&lt;='Buku Akun'!$H$5,OR(C935='Buku Akun'!$C$4,AND(D935="Pindah",E935='Buku Akun'!$C$4))),B935+IF(AND(I935="Selisih bunga",DAY(B935)=1),0,0.01)+ROW()/10000000,"")</f>
        <v/>
      </c>
    </row>
    <row r="936" outlineLevel="1" ht="15" customHeight="1" s="94">
      <c r="A936" s="123">
        <f>IF(B936="","",ROW()-15)</f>
        <v/>
      </c>
      <c r="B936" s="124" t="n"/>
      <c r="C936" s="123" t="n"/>
      <c r="D936" s="123" t="n"/>
      <c r="E936" s="123" t="n"/>
      <c r="F936" s="125" t="n"/>
      <c r="G936" s="123" t="n"/>
      <c r="H936" s="123" t="n"/>
      <c r="I936" s="123" t="n"/>
      <c r="J936" s="123" t="n"/>
      <c r="K936" s="123" t="n"/>
      <c r="L936" s="123" t="n"/>
      <c r="M936" s="123">
        <f>IF(AND(B936&lt;&gt;"",OR($C$4="",ISNUMBER(SEARCH($C$4,C936&amp;" "&amp;E936&amp;" "&amp;G936&amp;" "&amp;H936&amp;" "&amp;I936&amp;" "&amp;J936&amp;" "&amp;K936&amp;" "&amp;L936))),OR($C$5="Semua",$C$5="",G936=$C$5),OR($C$6="Semua",$C$6="",H936=$C$6,H936="Pengeluaran "&amp;$C$6,AND($C$6="Uang Kos Mama",H936="Pengeluaran Uang Kos")),OR($C$7="Semua",$C$7="",I936=$C$7),OR($C$8="Semua",$C$8="",C936=$C$8,E936=$C$8),OR($C$9="Semua",$C$9="",D936=$C$9),OR($C$10="",B936&gt;=$C$10),OR($C$11="",B936&lt;=$C$11),OR($C$12&lt;&gt;"Ya",K936&lt;&gt;""),OR($C$13="Semua",$C$13="",L936=$C$13)),"✓","")</f>
        <v/>
      </c>
      <c r="N936" s="93">
        <f>N(N935)+IF(M936="✓",1,0)</f>
        <v/>
      </c>
      <c r="O936" s="93">
        <f>N(O935)+IF(AND(B936&lt;&gt;"",B936&gt;='Uang Riba'!$H$30,B936&lt;='Uang Riba'!$I$30,OR(H936="Dana riba",H936="Pinjam uang riba",I936="Pinjam dari uang riba",I936="Ganti uang riba",I936="Kelebihan ganti dikembalikan",AND(C936="Kantong Uang Riba",G936="Pengeluaran"))),1,0)</f>
        <v/>
      </c>
      <c r="X936" s="93">
        <f>IF(AND(B936&lt;&gt;"",B936&gt;='Buku Akun'!$H$4,B936&lt;='Buku Akun'!$H$5,OR(C936='Buku Akun'!$C$4,AND(D936="Pindah",E936='Buku Akun'!$C$4))),B936+IF(AND(I936="Selisih bunga",DAY(B936)=1),0,0.01)+ROW()/10000000,"")</f>
        <v/>
      </c>
    </row>
    <row r="937" outlineLevel="1" ht="15" customHeight="1" s="94">
      <c r="A937" s="123">
        <f>IF(B937="","",ROW()-15)</f>
        <v/>
      </c>
      <c r="B937" s="124" t="n"/>
      <c r="C937" s="123" t="n"/>
      <c r="D937" s="123" t="n"/>
      <c r="E937" s="123" t="n"/>
      <c r="F937" s="125" t="n"/>
      <c r="G937" s="123" t="n"/>
      <c r="H937" s="123" t="n"/>
      <c r="I937" s="123" t="n"/>
      <c r="J937" s="123" t="n"/>
      <c r="K937" s="123" t="n"/>
      <c r="L937" s="123" t="n"/>
      <c r="M937" s="123">
        <f>IF(AND(B937&lt;&gt;"",OR($C$4="",ISNUMBER(SEARCH($C$4,C937&amp;" "&amp;E937&amp;" "&amp;G937&amp;" "&amp;H937&amp;" "&amp;I937&amp;" "&amp;J937&amp;" "&amp;K937&amp;" "&amp;L937))),OR($C$5="Semua",$C$5="",G937=$C$5),OR($C$6="Semua",$C$6="",H937=$C$6,H937="Pengeluaran "&amp;$C$6,AND($C$6="Uang Kos Mama",H937="Pengeluaran Uang Kos")),OR($C$7="Semua",$C$7="",I937=$C$7),OR($C$8="Semua",$C$8="",C937=$C$8,E937=$C$8),OR($C$9="Semua",$C$9="",D937=$C$9),OR($C$10="",B937&gt;=$C$10),OR($C$11="",B937&lt;=$C$11),OR($C$12&lt;&gt;"Ya",K937&lt;&gt;""),OR($C$13="Semua",$C$13="",L937=$C$13)),"✓","")</f>
        <v/>
      </c>
      <c r="N937" s="93">
        <f>N(N936)+IF(M937="✓",1,0)</f>
        <v/>
      </c>
      <c r="O937" s="93">
        <f>N(O936)+IF(AND(B937&lt;&gt;"",B937&gt;='Uang Riba'!$H$30,B937&lt;='Uang Riba'!$I$30,OR(H937="Dana riba",H937="Pinjam uang riba",I937="Pinjam dari uang riba",I937="Ganti uang riba",I937="Kelebihan ganti dikembalikan",AND(C937="Kantong Uang Riba",G937="Pengeluaran"))),1,0)</f>
        <v/>
      </c>
      <c r="X937" s="93">
        <f>IF(AND(B937&lt;&gt;"",B937&gt;='Buku Akun'!$H$4,B937&lt;='Buku Akun'!$H$5,OR(C937='Buku Akun'!$C$4,AND(D937="Pindah",E937='Buku Akun'!$C$4))),B937+IF(AND(I937="Selisih bunga",DAY(B937)=1),0,0.01)+ROW()/10000000,"")</f>
        <v/>
      </c>
    </row>
    <row r="938" outlineLevel="1" ht="15" customHeight="1" s="94">
      <c r="A938" s="123">
        <f>IF(B938="","",ROW()-15)</f>
        <v/>
      </c>
      <c r="B938" s="124" t="n"/>
      <c r="C938" s="123" t="n"/>
      <c r="D938" s="123" t="n"/>
      <c r="E938" s="123" t="n"/>
      <c r="F938" s="125" t="n"/>
      <c r="G938" s="123" t="n"/>
      <c r="H938" s="123" t="n"/>
      <c r="I938" s="123" t="n"/>
      <c r="J938" s="123" t="n"/>
      <c r="K938" s="123" t="n"/>
      <c r="L938" s="123" t="n"/>
      <c r="M938" s="123">
        <f>IF(AND(B938&lt;&gt;"",OR($C$4="",ISNUMBER(SEARCH($C$4,C938&amp;" "&amp;E938&amp;" "&amp;G938&amp;" "&amp;H938&amp;" "&amp;I938&amp;" "&amp;J938&amp;" "&amp;K938&amp;" "&amp;L938))),OR($C$5="Semua",$C$5="",G938=$C$5),OR($C$6="Semua",$C$6="",H938=$C$6,H938="Pengeluaran "&amp;$C$6,AND($C$6="Uang Kos Mama",H938="Pengeluaran Uang Kos")),OR($C$7="Semua",$C$7="",I938=$C$7),OR($C$8="Semua",$C$8="",C938=$C$8,E938=$C$8),OR($C$9="Semua",$C$9="",D938=$C$9),OR($C$10="",B938&gt;=$C$10),OR($C$11="",B938&lt;=$C$11),OR($C$12&lt;&gt;"Ya",K938&lt;&gt;""),OR($C$13="Semua",$C$13="",L938=$C$13)),"✓","")</f>
        <v/>
      </c>
      <c r="N938" s="93">
        <f>N(N937)+IF(M938="✓",1,0)</f>
        <v/>
      </c>
      <c r="O938" s="93">
        <f>N(O937)+IF(AND(B938&lt;&gt;"",B938&gt;='Uang Riba'!$H$30,B938&lt;='Uang Riba'!$I$30,OR(H938="Dana riba",H938="Pinjam uang riba",I938="Pinjam dari uang riba",I938="Ganti uang riba",I938="Kelebihan ganti dikembalikan",AND(C938="Kantong Uang Riba",G938="Pengeluaran"))),1,0)</f>
        <v/>
      </c>
      <c r="X938" s="93">
        <f>IF(AND(B938&lt;&gt;"",B938&gt;='Buku Akun'!$H$4,B938&lt;='Buku Akun'!$H$5,OR(C938='Buku Akun'!$C$4,AND(D938="Pindah",E938='Buku Akun'!$C$4))),B938+IF(AND(I938="Selisih bunga",DAY(B938)=1),0,0.01)+ROW()/10000000,"")</f>
        <v/>
      </c>
    </row>
    <row r="939" outlineLevel="1" ht="15" customHeight="1" s="94">
      <c r="A939" s="123">
        <f>IF(B939="","",ROW()-15)</f>
        <v/>
      </c>
      <c r="B939" s="124" t="n"/>
      <c r="C939" s="123" t="n"/>
      <c r="D939" s="123" t="n"/>
      <c r="E939" s="123" t="n"/>
      <c r="F939" s="125" t="n"/>
      <c r="G939" s="123" t="n"/>
      <c r="H939" s="123" t="n"/>
      <c r="I939" s="123" t="n"/>
      <c r="J939" s="123" t="n"/>
      <c r="K939" s="123" t="n"/>
      <c r="L939" s="123" t="n"/>
      <c r="M939" s="123">
        <f>IF(AND(B939&lt;&gt;"",OR($C$4="",ISNUMBER(SEARCH($C$4,C939&amp;" "&amp;E939&amp;" "&amp;G939&amp;" "&amp;H939&amp;" "&amp;I939&amp;" "&amp;J939&amp;" "&amp;K939&amp;" "&amp;L939))),OR($C$5="Semua",$C$5="",G939=$C$5),OR($C$6="Semua",$C$6="",H939=$C$6,H939="Pengeluaran "&amp;$C$6,AND($C$6="Uang Kos Mama",H939="Pengeluaran Uang Kos")),OR($C$7="Semua",$C$7="",I939=$C$7),OR($C$8="Semua",$C$8="",C939=$C$8,E939=$C$8),OR($C$9="Semua",$C$9="",D939=$C$9),OR($C$10="",B939&gt;=$C$10),OR($C$11="",B939&lt;=$C$11),OR($C$12&lt;&gt;"Ya",K939&lt;&gt;""),OR($C$13="Semua",$C$13="",L939=$C$13)),"✓","")</f>
        <v/>
      </c>
      <c r="N939" s="93">
        <f>N(N938)+IF(M939="✓",1,0)</f>
        <v/>
      </c>
      <c r="O939" s="93">
        <f>N(O938)+IF(AND(B939&lt;&gt;"",B939&gt;='Uang Riba'!$H$30,B939&lt;='Uang Riba'!$I$30,OR(H939="Dana riba",H939="Pinjam uang riba",I939="Pinjam dari uang riba",I939="Ganti uang riba",I939="Kelebihan ganti dikembalikan",AND(C939="Kantong Uang Riba",G939="Pengeluaran"))),1,0)</f>
        <v/>
      </c>
      <c r="X939" s="93">
        <f>IF(AND(B939&lt;&gt;"",B939&gt;='Buku Akun'!$H$4,B939&lt;='Buku Akun'!$H$5,OR(C939='Buku Akun'!$C$4,AND(D939="Pindah",E939='Buku Akun'!$C$4))),B939+IF(AND(I939="Selisih bunga",DAY(B939)=1),0,0.01)+ROW()/10000000,"")</f>
        <v/>
      </c>
    </row>
    <row r="940" outlineLevel="1" ht="15" customHeight="1" s="94">
      <c r="A940" s="123">
        <f>IF(B940="","",ROW()-15)</f>
        <v/>
      </c>
      <c r="B940" s="124" t="n"/>
      <c r="C940" s="123" t="n"/>
      <c r="D940" s="123" t="n"/>
      <c r="E940" s="123" t="n"/>
      <c r="F940" s="125" t="n"/>
      <c r="G940" s="123" t="n"/>
      <c r="H940" s="123" t="n"/>
      <c r="I940" s="123" t="n"/>
      <c r="J940" s="123" t="n"/>
      <c r="K940" s="123" t="n"/>
      <c r="L940" s="123" t="n"/>
      <c r="M940" s="123">
        <f>IF(AND(B940&lt;&gt;"",OR($C$4="",ISNUMBER(SEARCH($C$4,C940&amp;" "&amp;E940&amp;" "&amp;G940&amp;" "&amp;H940&amp;" "&amp;I940&amp;" "&amp;J940&amp;" "&amp;K940&amp;" "&amp;L940))),OR($C$5="Semua",$C$5="",G940=$C$5),OR($C$6="Semua",$C$6="",H940=$C$6,H940="Pengeluaran "&amp;$C$6,AND($C$6="Uang Kos Mama",H940="Pengeluaran Uang Kos")),OR($C$7="Semua",$C$7="",I940=$C$7),OR($C$8="Semua",$C$8="",C940=$C$8,E940=$C$8),OR($C$9="Semua",$C$9="",D940=$C$9),OR($C$10="",B940&gt;=$C$10),OR($C$11="",B940&lt;=$C$11),OR($C$12&lt;&gt;"Ya",K940&lt;&gt;""),OR($C$13="Semua",$C$13="",L940=$C$13)),"✓","")</f>
        <v/>
      </c>
      <c r="N940" s="93">
        <f>N(N939)+IF(M940="✓",1,0)</f>
        <v/>
      </c>
      <c r="O940" s="93">
        <f>N(O939)+IF(AND(B940&lt;&gt;"",B940&gt;='Uang Riba'!$H$30,B940&lt;='Uang Riba'!$I$30,OR(H940="Dana riba",H940="Pinjam uang riba",I940="Pinjam dari uang riba",I940="Ganti uang riba",I940="Kelebihan ganti dikembalikan",AND(C940="Kantong Uang Riba",G940="Pengeluaran"))),1,0)</f>
        <v/>
      </c>
      <c r="X940" s="93">
        <f>IF(AND(B940&lt;&gt;"",B940&gt;='Buku Akun'!$H$4,B940&lt;='Buku Akun'!$H$5,OR(C940='Buku Akun'!$C$4,AND(D940="Pindah",E940='Buku Akun'!$C$4))),B940+IF(AND(I940="Selisih bunga",DAY(B940)=1),0,0.01)+ROW()/10000000,"")</f>
        <v/>
      </c>
    </row>
    <row r="941" outlineLevel="1" ht="15" customHeight="1" s="94">
      <c r="A941" s="123">
        <f>IF(B941="","",ROW()-15)</f>
        <v/>
      </c>
      <c r="B941" s="124" t="n"/>
      <c r="C941" s="123" t="n"/>
      <c r="D941" s="123" t="n"/>
      <c r="E941" s="123" t="n"/>
      <c r="F941" s="125" t="n"/>
      <c r="G941" s="123" t="n"/>
      <c r="H941" s="123" t="n"/>
      <c r="I941" s="123" t="n"/>
      <c r="J941" s="123" t="n"/>
      <c r="K941" s="123" t="n"/>
      <c r="L941" s="123" t="n"/>
      <c r="M941" s="123">
        <f>IF(AND(B941&lt;&gt;"",OR($C$4="",ISNUMBER(SEARCH($C$4,C941&amp;" "&amp;E941&amp;" "&amp;G941&amp;" "&amp;H941&amp;" "&amp;I941&amp;" "&amp;J941&amp;" "&amp;K941&amp;" "&amp;L941))),OR($C$5="Semua",$C$5="",G941=$C$5),OR($C$6="Semua",$C$6="",H941=$C$6,H941="Pengeluaran "&amp;$C$6,AND($C$6="Uang Kos Mama",H941="Pengeluaran Uang Kos")),OR($C$7="Semua",$C$7="",I941=$C$7),OR($C$8="Semua",$C$8="",C941=$C$8,E941=$C$8),OR($C$9="Semua",$C$9="",D941=$C$9),OR($C$10="",B941&gt;=$C$10),OR($C$11="",B941&lt;=$C$11),OR($C$12&lt;&gt;"Ya",K941&lt;&gt;""),OR($C$13="Semua",$C$13="",L941=$C$13)),"✓","")</f>
        <v/>
      </c>
      <c r="N941" s="93">
        <f>N(N940)+IF(M941="✓",1,0)</f>
        <v/>
      </c>
      <c r="O941" s="93">
        <f>N(O940)+IF(AND(B941&lt;&gt;"",B941&gt;='Uang Riba'!$H$30,B941&lt;='Uang Riba'!$I$30,OR(H941="Dana riba",H941="Pinjam uang riba",I941="Pinjam dari uang riba",I941="Ganti uang riba",I941="Kelebihan ganti dikembalikan",AND(C941="Kantong Uang Riba",G941="Pengeluaran"))),1,0)</f>
        <v/>
      </c>
      <c r="X941" s="93">
        <f>IF(AND(B941&lt;&gt;"",B941&gt;='Buku Akun'!$H$4,B941&lt;='Buku Akun'!$H$5,OR(C941='Buku Akun'!$C$4,AND(D941="Pindah",E941='Buku Akun'!$C$4))),B941+IF(AND(I941="Selisih bunga",DAY(B941)=1),0,0.01)+ROW()/10000000,"")</f>
        <v/>
      </c>
    </row>
    <row r="942" outlineLevel="1" ht="15" customHeight="1" s="94">
      <c r="A942" s="123">
        <f>IF(B942="","",ROW()-15)</f>
        <v/>
      </c>
      <c r="B942" s="124" t="n"/>
      <c r="C942" s="123" t="n"/>
      <c r="D942" s="123" t="n"/>
      <c r="E942" s="123" t="n"/>
      <c r="F942" s="125" t="n"/>
      <c r="G942" s="123" t="n"/>
      <c r="H942" s="123" t="n"/>
      <c r="I942" s="123" t="n"/>
      <c r="J942" s="123" t="n"/>
      <c r="K942" s="123" t="n"/>
      <c r="L942" s="123" t="n"/>
      <c r="M942" s="123">
        <f>IF(AND(B942&lt;&gt;"",OR($C$4="",ISNUMBER(SEARCH($C$4,C942&amp;" "&amp;E942&amp;" "&amp;G942&amp;" "&amp;H942&amp;" "&amp;I942&amp;" "&amp;J942&amp;" "&amp;K942&amp;" "&amp;L942))),OR($C$5="Semua",$C$5="",G942=$C$5),OR($C$6="Semua",$C$6="",H942=$C$6,H942="Pengeluaran "&amp;$C$6,AND($C$6="Uang Kos Mama",H942="Pengeluaran Uang Kos")),OR($C$7="Semua",$C$7="",I942=$C$7),OR($C$8="Semua",$C$8="",C942=$C$8,E942=$C$8),OR($C$9="Semua",$C$9="",D942=$C$9),OR($C$10="",B942&gt;=$C$10),OR($C$11="",B942&lt;=$C$11),OR($C$12&lt;&gt;"Ya",K942&lt;&gt;""),OR($C$13="Semua",$C$13="",L942=$C$13)),"✓","")</f>
        <v/>
      </c>
      <c r="N942" s="93">
        <f>N(N941)+IF(M942="✓",1,0)</f>
        <v/>
      </c>
      <c r="O942" s="93">
        <f>N(O941)+IF(AND(B942&lt;&gt;"",B942&gt;='Uang Riba'!$H$30,B942&lt;='Uang Riba'!$I$30,OR(H942="Dana riba",H942="Pinjam uang riba",I942="Pinjam dari uang riba",I942="Ganti uang riba",I942="Kelebihan ganti dikembalikan",AND(C942="Kantong Uang Riba",G942="Pengeluaran"))),1,0)</f>
        <v/>
      </c>
      <c r="X942" s="93">
        <f>IF(AND(B942&lt;&gt;"",B942&gt;='Buku Akun'!$H$4,B942&lt;='Buku Akun'!$H$5,OR(C942='Buku Akun'!$C$4,AND(D942="Pindah",E942='Buku Akun'!$C$4))),B942+IF(AND(I942="Selisih bunga",DAY(B942)=1),0,0.01)+ROW()/10000000,"")</f>
        <v/>
      </c>
    </row>
    <row r="943" outlineLevel="1" ht="15" customHeight="1" s="94">
      <c r="A943" s="123">
        <f>IF(B943="","",ROW()-15)</f>
        <v/>
      </c>
      <c r="B943" s="124" t="n"/>
      <c r="C943" s="123" t="n"/>
      <c r="D943" s="123" t="n"/>
      <c r="E943" s="123" t="n"/>
      <c r="F943" s="125" t="n"/>
      <c r="G943" s="123" t="n"/>
      <c r="H943" s="123" t="n"/>
      <c r="I943" s="123" t="n"/>
      <c r="J943" s="123" t="n"/>
      <c r="K943" s="123" t="n"/>
      <c r="L943" s="123" t="n"/>
      <c r="M943" s="123">
        <f>IF(AND(B943&lt;&gt;"",OR($C$4="",ISNUMBER(SEARCH($C$4,C943&amp;" "&amp;E943&amp;" "&amp;G943&amp;" "&amp;H943&amp;" "&amp;I943&amp;" "&amp;J943&amp;" "&amp;K943&amp;" "&amp;L943))),OR($C$5="Semua",$C$5="",G943=$C$5),OR($C$6="Semua",$C$6="",H943=$C$6,H943="Pengeluaran "&amp;$C$6,AND($C$6="Uang Kos Mama",H943="Pengeluaran Uang Kos")),OR($C$7="Semua",$C$7="",I943=$C$7),OR($C$8="Semua",$C$8="",C943=$C$8,E943=$C$8),OR($C$9="Semua",$C$9="",D943=$C$9),OR($C$10="",B943&gt;=$C$10),OR($C$11="",B943&lt;=$C$11),OR($C$12&lt;&gt;"Ya",K943&lt;&gt;""),OR($C$13="Semua",$C$13="",L943=$C$13)),"✓","")</f>
        <v/>
      </c>
      <c r="N943" s="93">
        <f>N(N942)+IF(M943="✓",1,0)</f>
        <v/>
      </c>
      <c r="O943" s="93">
        <f>N(O942)+IF(AND(B943&lt;&gt;"",B943&gt;='Uang Riba'!$H$30,B943&lt;='Uang Riba'!$I$30,OR(H943="Dana riba",H943="Pinjam uang riba",I943="Pinjam dari uang riba",I943="Ganti uang riba",I943="Kelebihan ganti dikembalikan",AND(C943="Kantong Uang Riba",G943="Pengeluaran"))),1,0)</f>
        <v/>
      </c>
      <c r="X943" s="93">
        <f>IF(AND(B943&lt;&gt;"",B943&gt;='Buku Akun'!$H$4,B943&lt;='Buku Akun'!$H$5,OR(C943='Buku Akun'!$C$4,AND(D943="Pindah",E943='Buku Akun'!$C$4))),B943+IF(AND(I943="Selisih bunga",DAY(B943)=1),0,0.01)+ROW()/10000000,"")</f>
        <v/>
      </c>
    </row>
    <row r="944" outlineLevel="1" ht="15" customHeight="1" s="94">
      <c r="A944" s="123">
        <f>IF(B944="","",ROW()-15)</f>
        <v/>
      </c>
      <c r="B944" s="124" t="n"/>
      <c r="C944" s="123" t="n"/>
      <c r="D944" s="123" t="n"/>
      <c r="E944" s="123" t="n"/>
      <c r="F944" s="125" t="n"/>
      <c r="G944" s="123" t="n"/>
      <c r="H944" s="123" t="n"/>
      <c r="I944" s="123" t="n"/>
      <c r="J944" s="123" t="n"/>
      <c r="K944" s="123" t="n"/>
      <c r="L944" s="123" t="n"/>
      <c r="M944" s="123">
        <f>IF(AND(B944&lt;&gt;"",OR($C$4="",ISNUMBER(SEARCH($C$4,C944&amp;" "&amp;E944&amp;" "&amp;G944&amp;" "&amp;H944&amp;" "&amp;I944&amp;" "&amp;J944&amp;" "&amp;K944&amp;" "&amp;L944))),OR($C$5="Semua",$C$5="",G944=$C$5),OR($C$6="Semua",$C$6="",H944=$C$6,H944="Pengeluaran "&amp;$C$6,AND($C$6="Uang Kos Mama",H944="Pengeluaran Uang Kos")),OR($C$7="Semua",$C$7="",I944=$C$7),OR($C$8="Semua",$C$8="",C944=$C$8,E944=$C$8),OR($C$9="Semua",$C$9="",D944=$C$9),OR($C$10="",B944&gt;=$C$10),OR($C$11="",B944&lt;=$C$11),OR($C$12&lt;&gt;"Ya",K944&lt;&gt;""),OR($C$13="Semua",$C$13="",L944=$C$13)),"✓","")</f>
        <v/>
      </c>
      <c r="N944" s="93">
        <f>N(N943)+IF(M944="✓",1,0)</f>
        <v/>
      </c>
      <c r="O944" s="93">
        <f>N(O943)+IF(AND(B944&lt;&gt;"",B944&gt;='Uang Riba'!$H$30,B944&lt;='Uang Riba'!$I$30,OR(H944="Dana riba",H944="Pinjam uang riba",I944="Pinjam dari uang riba",I944="Ganti uang riba",I944="Kelebihan ganti dikembalikan",AND(C944="Kantong Uang Riba",G944="Pengeluaran"))),1,0)</f>
        <v/>
      </c>
      <c r="X944" s="93">
        <f>IF(AND(B944&lt;&gt;"",B944&gt;='Buku Akun'!$H$4,B944&lt;='Buku Akun'!$H$5,OR(C944='Buku Akun'!$C$4,AND(D944="Pindah",E944='Buku Akun'!$C$4))),B944+IF(AND(I944="Selisih bunga",DAY(B944)=1),0,0.01)+ROW()/10000000,"")</f>
        <v/>
      </c>
    </row>
    <row r="945" outlineLevel="1" ht="15" customHeight="1" s="94">
      <c r="A945" s="123">
        <f>IF(B945="","",ROW()-15)</f>
        <v/>
      </c>
      <c r="B945" s="124" t="n"/>
      <c r="C945" s="123" t="n"/>
      <c r="D945" s="123" t="n"/>
      <c r="E945" s="123" t="n"/>
      <c r="F945" s="125" t="n"/>
      <c r="G945" s="123" t="n"/>
      <c r="H945" s="123" t="n"/>
      <c r="I945" s="123" t="n"/>
      <c r="J945" s="123" t="n"/>
      <c r="K945" s="123" t="n"/>
      <c r="L945" s="123" t="n"/>
      <c r="M945" s="123">
        <f>IF(AND(B945&lt;&gt;"",OR($C$4="",ISNUMBER(SEARCH($C$4,C945&amp;" "&amp;E945&amp;" "&amp;G945&amp;" "&amp;H945&amp;" "&amp;I945&amp;" "&amp;J945&amp;" "&amp;K945&amp;" "&amp;L945))),OR($C$5="Semua",$C$5="",G945=$C$5),OR($C$6="Semua",$C$6="",H945=$C$6,H945="Pengeluaran "&amp;$C$6,AND($C$6="Uang Kos Mama",H945="Pengeluaran Uang Kos")),OR($C$7="Semua",$C$7="",I945=$C$7),OR($C$8="Semua",$C$8="",C945=$C$8,E945=$C$8),OR($C$9="Semua",$C$9="",D945=$C$9),OR($C$10="",B945&gt;=$C$10),OR($C$11="",B945&lt;=$C$11),OR($C$12&lt;&gt;"Ya",K945&lt;&gt;""),OR($C$13="Semua",$C$13="",L945=$C$13)),"✓","")</f>
        <v/>
      </c>
      <c r="N945" s="93">
        <f>N(N944)+IF(M945="✓",1,0)</f>
        <v/>
      </c>
      <c r="O945" s="93">
        <f>N(O944)+IF(AND(B945&lt;&gt;"",B945&gt;='Uang Riba'!$H$30,B945&lt;='Uang Riba'!$I$30,OR(H945="Dana riba",H945="Pinjam uang riba",I945="Pinjam dari uang riba",I945="Ganti uang riba",I945="Kelebihan ganti dikembalikan",AND(C945="Kantong Uang Riba",G945="Pengeluaran"))),1,0)</f>
        <v/>
      </c>
      <c r="X945" s="93">
        <f>IF(AND(B945&lt;&gt;"",B945&gt;='Buku Akun'!$H$4,B945&lt;='Buku Akun'!$H$5,OR(C945='Buku Akun'!$C$4,AND(D945="Pindah",E945='Buku Akun'!$C$4))),B945+IF(AND(I945="Selisih bunga",DAY(B945)=1),0,0.01)+ROW()/10000000,"")</f>
        <v/>
      </c>
    </row>
    <row r="946" outlineLevel="1" ht="15" customHeight="1" s="94">
      <c r="A946" s="123">
        <f>IF(B946="","",ROW()-15)</f>
        <v/>
      </c>
      <c r="B946" s="124" t="n"/>
      <c r="C946" s="123" t="n"/>
      <c r="D946" s="123" t="n"/>
      <c r="E946" s="123" t="n"/>
      <c r="F946" s="125" t="n"/>
      <c r="G946" s="123" t="n"/>
      <c r="H946" s="123" t="n"/>
      <c r="I946" s="123" t="n"/>
      <c r="J946" s="123" t="n"/>
      <c r="K946" s="123" t="n"/>
      <c r="L946" s="123" t="n"/>
      <c r="M946" s="123">
        <f>IF(AND(B946&lt;&gt;"",OR($C$4="",ISNUMBER(SEARCH($C$4,C946&amp;" "&amp;E946&amp;" "&amp;G946&amp;" "&amp;H946&amp;" "&amp;I946&amp;" "&amp;J946&amp;" "&amp;K946&amp;" "&amp;L946))),OR($C$5="Semua",$C$5="",G946=$C$5),OR($C$6="Semua",$C$6="",H946=$C$6,H946="Pengeluaran "&amp;$C$6,AND($C$6="Uang Kos Mama",H946="Pengeluaran Uang Kos")),OR($C$7="Semua",$C$7="",I946=$C$7),OR($C$8="Semua",$C$8="",C946=$C$8,E946=$C$8),OR($C$9="Semua",$C$9="",D946=$C$9),OR($C$10="",B946&gt;=$C$10),OR($C$11="",B946&lt;=$C$11),OR($C$12&lt;&gt;"Ya",K946&lt;&gt;""),OR($C$13="Semua",$C$13="",L946=$C$13)),"✓","")</f>
        <v/>
      </c>
      <c r="N946" s="93">
        <f>N(N945)+IF(M946="✓",1,0)</f>
        <v/>
      </c>
      <c r="O946" s="93">
        <f>N(O945)+IF(AND(B946&lt;&gt;"",B946&gt;='Uang Riba'!$H$30,B946&lt;='Uang Riba'!$I$30,OR(H946="Dana riba",H946="Pinjam uang riba",I946="Pinjam dari uang riba",I946="Ganti uang riba",I946="Kelebihan ganti dikembalikan",AND(C946="Kantong Uang Riba",G946="Pengeluaran"))),1,0)</f>
        <v/>
      </c>
      <c r="X946" s="93">
        <f>IF(AND(B946&lt;&gt;"",B946&gt;='Buku Akun'!$H$4,B946&lt;='Buku Akun'!$H$5,OR(C946='Buku Akun'!$C$4,AND(D946="Pindah",E946='Buku Akun'!$C$4))),B946+IF(AND(I946="Selisih bunga",DAY(B946)=1),0,0.01)+ROW()/10000000,"")</f>
        <v/>
      </c>
    </row>
    <row r="947" outlineLevel="1" ht="15" customHeight="1" s="94">
      <c r="A947" s="123">
        <f>IF(B947="","",ROW()-15)</f>
        <v/>
      </c>
      <c r="B947" s="124" t="n"/>
      <c r="C947" s="123" t="n"/>
      <c r="D947" s="123" t="n"/>
      <c r="E947" s="123" t="n"/>
      <c r="F947" s="125" t="n"/>
      <c r="G947" s="123" t="n"/>
      <c r="H947" s="123" t="n"/>
      <c r="I947" s="123" t="n"/>
      <c r="J947" s="123" t="n"/>
      <c r="K947" s="123" t="n"/>
      <c r="L947" s="123" t="n"/>
      <c r="M947" s="123">
        <f>IF(AND(B947&lt;&gt;"",OR($C$4="",ISNUMBER(SEARCH($C$4,C947&amp;" "&amp;E947&amp;" "&amp;G947&amp;" "&amp;H947&amp;" "&amp;I947&amp;" "&amp;J947&amp;" "&amp;K947&amp;" "&amp;L947))),OR($C$5="Semua",$C$5="",G947=$C$5),OR($C$6="Semua",$C$6="",H947=$C$6,H947="Pengeluaran "&amp;$C$6,AND($C$6="Uang Kos Mama",H947="Pengeluaran Uang Kos")),OR($C$7="Semua",$C$7="",I947=$C$7),OR($C$8="Semua",$C$8="",C947=$C$8,E947=$C$8),OR($C$9="Semua",$C$9="",D947=$C$9),OR($C$10="",B947&gt;=$C$10),OR($C$11="",B947&lt;=$C$11),OR($C$12&lt;&gt;"Ya",K947&lt;&gt;""),OR($C$13="Semua",$C$13="",L947=$C$13)),"✓","")</f>
        <v/>
      </c>
      <c r="N947" s="93">
        <f>N(N946)+IF(M947="✓",1,0)</f>
        <v/>
      </c>
      <c r="O947" s="93">
        <f>N(O946)+IF(AND(B947&lt;&gt;"",B947&gt;='Uang Riba'!$H$30,B947&lt;='Uang Riba'!$I$30,OR(H947="Dana riba",H947="Pinjam uang riba",I947="Pinjam dari uang riba",I947="Ganti uang riba",I947="Kelebihan ganti dikembalikan",AND(C947="Kantong Uang Riba",G947="Pengeluaran"))),1,0)</f>
        <v/>
      </c>
      <c r="X947" s="93">
        <f>IF(AND(B947&lt;&gt;"",B947&gt;='Buku Akun'!$H$4,B947&lt;='Buku Akun'!$H$5,OR(C947='Buku Akun'!$C$4,AND(D947="Pindah",E947='Buku Akun'!$C$4))),B947+IF(AND(I947="Selisih bunga",DAY(B947)=1),0,0.01)+ROW()/10000000,"")</f>
        <v/>
      </c>
    </row>
    <row r="948" outlineLevel="1" ht="15" customHeight="1" s="94">
      <c r="A948" s="123">
        <f>IF(B948="","",ROW()-15)</f>
        <v/>
      </c>
      <c r="B948" s="124" t="n"/>
      <c r="C948" s="123" t="n"/>
      <c r="D948" s="123" t="n"/>
      <c r="E948" s="123" t="n"/>
      <c r="F948" s="125" t="n"/>
      <c r="G948" s="123" t="n"/>
      <c r="H948" s="123" t="n"/>
      <c r="I948" s="123" t="n"/>
      <c r="J948" s="123" t="n"/>
      <c r="K948" s="123" t="n"/>
      <c r="L948" s="123" t="n"/>
      <c r="M948" s="123">
        <f>IF(AND(B948&lt;&gt;"",OR($C$4="",ISNUMBER(SEARCH($C$4,C948&amp;" "&amp;E948&amp;" "&amp;G948&amp;" "&amp;H948&amp;" "&amp;I948&amp;" "&amp;J948&amp;" "&amp;K948&amp;" "&amp;L948))),OR($C$5="Semua",$C$5="",G948=$C$5),OR($C$6="Semua",$C$6="",H948=$C$6,H948="Pengeluaran "&amp;$C$6,AND($C$6="Uang Kos Mama",H948="Pengeluaran Uang Kos")),OR($C$7="Semua",$C$7="",I948=$C$7),OR($C$8="Semua",$C$8="",C948=$C$8,E948=$C$8),OR($C$9="Semua",$C$9="",D948=$C$9),OR($C$10="",B948&gt;=$C$10),OR($C$11="",B948&lt;=$C$11),OR($C$12&lt;&gt;"Ya",K948&lt;&gt;""),OR($C$13="Semua",$C$13="",L948=$C$13)),"✓","")</f>
        <v/>
      </c>
      <c r="N948" s="93">
        <f>N(N947)+IF(M948="✓",1,0)</f>
        <v/>
      </c>
      <c r="O948" s="93">
        <f>N(O947)+IF(AND(B948&lt;&gt;"",B948&gt;='Uang Riba'!$H$30,B948&lt;='Uang Riba'!$I$30,OR(H948="Dana riba",H948="Pinjam uang riba",I948="Pinjam dari uang riba",I948="Ganti uang riba",I948="Kelebihan ganti dikembalikan",AND(C948="Kantong Uang Riba",G948="Pengeluaran"))),1,0)</f>
        <v/>
      </c>
      <c r="X948" s="93">
        <f>IF(AND(B948&lt;&gt;"",B948&gt;='Buku Akun'!$H$4,B948&lt;='Buku Akun'!$H$5,OR(C948='Buku Akun'!$C$4,AND(D948="Pindah",E948='Buku Akun'!$C$4))),B948+IF(AND(I948="Selisih bunga",DAY(B948)=1),0,0.01)+ROW()/10000000,"")</f>
        <v/>
      </c>
    </row>
    <row r="949" outlineLevel="1" ht="15" customHeight="1" s="94">
      <c r="A949" s="123">
        <f>IF(B949="","",ROW()-15)</f>
        <v/>
      </c>
      <c r="B949" s="124" t="n"/>
      <c r="C949" s="123" t="n"/>
      <c r="D949" s="123" t="n"/>
      <c r="E949" s="123" t="n"/>
      <c r="F949" s="125" t="n"/>
      <c r="G949" s="123" t="n"/>
      <c r="H949" s="123" t="n"/>
      <c r="I949" s="123" t="n"/>
      <c r="J949" s="123" t="n"/>
      <c r="K949" s="123" t="n"/>
      <c r="L949" s="123" t="n"/>
      <c r="M949" s="123">
        <f>IF(AND(B949&lt;&gt;"",OR($C$4="",ISNUMBER(SEARCH($C$4,C949&amp;" "&amp;E949&amp;" "&amp;G949&amp;" "&amp;H949&amp;" "&amp;I949&amp;" "&amp;J949&amp;" "&amp;K949&amp;" "&amp;L949))),OR($C$5="Semua",$C$5="",G949=$C$5),OR($C$6="Semua",$C$6="",H949=$C$6,H949="Pengeluaran "&amp;$C$6,AND($C$6="Uang Kos Mama",H949="Pengeluaran Uang Kos")),OR($C$7="Semua",$C$7="",I949=$C$7),OR($C$8="Semua",$C$8="",C949=$C$8,E949=$C$8),OR($C$9="Semua",$C$9="",D949=$C$9),OR($C$10="",B949&gt;=$C$10),OR($C$11="",B949&lt;=$C$11),OR($C$12&lt;&gt;"Ya",K949&lt;&gt;""),OR($C$13="Semua",$C$13="",L949=$C$13)),"✓","")</f>
        <v/>
      </c>
      <c r="N949" s="93">
        <f>N(N948)+IF(M949="✓",1,0)</f>
        <v/>
      </c>
      <c r="O949" s="93">
        <f>N(O948)+IF(AND(B949&lt;&gt;"",B949&gt;='Uang Riba'!$H$30,B949&lt;='Uang Riba'!$I$30,OR(H949="Dana riba",H949="Pinjam uang riba",I949="Pinjam dari uang riba",I949="Ganti uang riba",I949="Kelebihan ganti dikembalikan",AND(C949="Kantong Uang Riba",G949="Pengeluaran"))),1,0)</f>
        <v/>
      </c>
      <c r="X949" s="93">
        <f>IF(AND(B949&lt;&gt;"",B949&gt;='Buku Akun'!$H$4,B949&lt;='Buku Akun'!$H$5,OR(C949='Buku Akun'!$C$4,AND(D949="Pindah",E949='Buku Akun'!$C$4))),B949+IF(AND(I949="Selisih bunga",DAY(B949)=1),0,0.01)+ROW()/10000000,"")</f>
        <v/>
      </c>
    </row>
    <row r="950" outlineLevel="1" ht="15" customHeight="1" s="94">
      <c r="A950" s="123">
        <f>IF(B950="","",ROW()-15)</f>
        <v/>
      </c>
      <c r="B950" s="124" t="n"/>
      <c r="C950" s="123" t="n"/>
      <c r="D950" s="123" t="n"/>
      <c r="E950" s="123" t="n"/>
      <c r="F950" s="125" t="n"/>
      <c r="G950" s="123" t="n"/>
      <c r="H950" s="123" t="n"/>
      <c r="I950" s="123" t="n"/>
      <c r="J950" s="123" t="n"/>
      <c r="K950" s="123" t="n"/>
      <c r="L950" s="123" t="n"/>
      <c r="M950" s="123">
        <f>IF(AND(B950&lt;&gt;"",OR($C$4="",ISNUMBER(SEARCH($C$4,C950&amp;" "&amp;E950&amp;" "&amp;G950&amp;" "&amp;H950&amp;" "&amp;I950&amp;" "&amp;J950&amp;" "&amp;K950&amp;" "&amp;L950))),OR($C$5="Semua",$C$5="",G950=$C$5),OR($C$6="Semua",$C$6="",H950=$C$6,H950="Pengeluaran "&amp;$C$6,AND($C$6="Uang Kos Mama",H950="Pengeluaran Uang Kos")),OR($C$7="Semua",$C$7="",I950=$C$7),OR($C$8="Semua",$C$8="",C950=$C$8,E950=$C$8),OR($C$9="Semua",$C$9="",D950=$C$9),OR($C$10="",B950&gt;=$C$10),OR($C$11="",B950&lt;=$C$11),OR($C$12&lt;&gt;"Ya",K950&lt;&gt;""),OR($C$13="Semua",$C$13="",L950=$C$13)),"✓","")</f>
        <v/>
      </c>
      <c r="N950" s="93">
        <f>N(N949)+IF(M950="✓",1,0)</f>
        <v/>
      </c>
      <c r="O950" s="93">
        <f>N(O949)+IF(AND(B950&lt;&gt;"",B950&gt;='Uang Riba'!$H$30,B950&lt;='Uang Riba'!$I$30,OR(H950="Dana riba",H950="Pinjam uang riba",I950="Pinjam dari uang riba",I950="Ganti uang riba",I950="Kelebihan ganti dikembalikan",AND(C950="Kantong Uang Riba",G950="Pengeluaran"))),1,0)</f>
        <v/>
      </c>
      <c r="X950" s="93">
        <f>IF(AND(B950&lt;&gt;"",B950&gt;='Buku Akun'!$H$4,B950&lt;='Buku Akun'!$H$5,OR(C950='Buku Akun'!$C$4,AND(D950="Pindah",E950='Buku Akun'!$C$4))),B950+IF(AND(I950="Selisih bunga",DAY(B950)=1),0,0.01)+ROW()/10000000,"")</f>
        <v/>
      </c>
    </row>
    <row r="951" outlineLevel="1" ht="15" customHeight="1" s="94">
      <c r="A951" s="123">
        <f>IF(B951="","",ROW()-15)</f>
        <v/>
      </c>
      <c r="B951" s="124" t="n"/>
      <c r="C951" s="123" t="n"/>
      <c r="D951" s="123" t="n"/>
      <c r="E951" s="123" t="n"/>
      <c r="F951" s="125" t="n"/>
      <c r="G951" s="123" t="n"/>
      <c r="H951" s="123" t="n"/>
      <c r="I951" s="123" t="n"/>
      <c r="J951" s="123" t="n"/>
      <c r="K951" s="123" t="n"/>
      <c r="L951" s="123" t="n"/>
      <c r="M951" s="123">
        <f>IF(AND(B951&lt;&gt;"",OR($C$4="",ISNUMBER(SEARCH($C$4,C951&amp;" "&amp;E951&amp;" "&amp;G951&amp;" "&amp;H951&amp;" "&amp;I951&amp;" "&amp;J951&amp;" "&amp;K951&amp;" "&amp;L951))),OR($C$5="Semua",$C$5="",G951=$C$5),OR($C$6="Semua",$C$6="",H951=$C$6,H951="Pengeluaran "&amp;$C$6,AND($C$6="Uang Kos Mama",H951="Pengeluaran Uang Kos")),OR($C$7="Semua",$C$7="",I951=$C$7),OR($C$8="Semua",$C$8="",C951=$C$8,E951=$C$8),OR($C$9="Semua",$C$9="",D951=$C$9),OR($C$10="",B951&gt;=$C$10),OR($C$11="",B951&lt;=$C$11),OR($C$12&lt;&gt;"Ya",K951&lt;&gt;""),OR($C$13="Semua",$C$13="",L951=$C$13)),"✓","")</f>
        <v/>
      </c>
      <c r="N951" s="93">
        <f>N(N950)+IF(M951="✓",1,0)</f>
        <v/>
      </c>
      <c r="O951" s="93">
        <f>N(O950)+IF(AND(B951&lt;&gt;"",B951&gt;='Uang Riba'!$H$30,B951&lt;='Uang Riba'!$I$30,OR(H951="Dana riba",H951="Pinjam uang riba",I951="Pinjam dari uang riba",I951="Ganti uang riba",I951="Kelebihan ganti dikembalikan",AND(C951="Kantong Uang Riba",G951="Pengeluaran"))),1,0)</f>
        <v/>
      </c>
      <c r="X951" s="93">
        <f>IF(AND(B951&lt;&gt;"",B951&gt;='Buku Akun'!$H$4,B951&lt;='Buku Akun'!$H$5,OR(C951='Buku Akun'!$C$4,AND(D951="Pindah",E951='Buku Akun'!$C$4))),B951+IF(AND(I951="Selisih bunga",DAY(B951)=1),0,0.01)+ROW()/10000000,"")</f>
        <v/>
      </c>
    </row>
    <row r="952" outlineLevel="1" ht="15" customHeight="1" s="94">
      <c r="A952" s="123">
        <f>IF(B952="","",ROW()-15)</f>
        <v/>
      </c>
      <c r="B952" s="124" t="n"/>
      <c r="C952" s="123" t="n"/>
      <c r="D952" s="123" t="n"/>
      <c r="E952" s="123" t="n"/>
      <c r="F952" s="125" t="n"/>
      <c r="G952" s="123" t="n"/>
      <c r="H952" s="123" t="n"/>
      <c r="I952" s="123" t="n"/>
      <c r="J952" s="123" t="n"/>
      <c r="K952" s="123" t="n"/>
      <c r="L952" s="123" t="n"/>
      <c r="M952" s="123">
        <f>IF(AND(B952&lt;&gt;"",OR($C$4="",ISNUMBER(SEARCH($C$4,C952&amp;" "&amp;E952&amp;" "&amp;G952&amp;" "&amp;H952&amp;" "&amp;I952&amp;" "&amp;J952&amp;" "&amp;K952&amp;" "&amp;L952))),OR($C$5="Semua",$C$5="",G952=$C$5),OR($C$6="Semua",$C$6="",H952=$C$6,H952="Pengeluaran "&amp;$C$6,AND($C$6="Uang Kos Mama",H952="Pengeluaran Uang Kos")),OR($C$7="Semua",$C$7="",I952=$C$7),OR($C$8="Semua",$C$8="",C952=$C$8,E952=$C$8),OR($C$9="Semua",$C$9="",D952=$C$9),OR($C$10="",B952&gt;=$C$10),OR($C$11="",B952&lt;=$C$11),OR($C$12&lt;&gt;"Ya",K952&lt;&gt;""),OR($C$13="Semua",$C$13="",L952=$C$13)),"✓","")</f>
        <v/>
      </c>
      <c r="N952" s="93">
        <f>N(N951)+IF(M952="✓",1,0)</f>
        <v/>
      </c>
      <c r="O952" s="93">
        <f>N(O951)+IF(AND(B952&lt;&gt;"",B952&gt;='Uang Riba'!$H$30,B952&lt;='Uang Riba'!$I$30,OR(H952="Dana riba",H952="Pinjam uang riba",I952="Pinjam dari uang riba",I952="Ganti uang riba",I952="Kelebihan ganti dikembalikan",AND(C952="Kantong Uang Riba",G952="Pengeluaran"))),1,0)</f>
        <v/>
      </c>
      <c r="X952" s="93">
        <f>IF(AND(B952&lt;&gt;"",B952&gt;='Buku Akun'!$H$4,B952&lt;='Buku Akun'!$H$5,OR(C952='Buku Akun'!$C$4,AND(D952="Pindah",E952='Buku Akun'!$C$4))),B952+IF(AND(I952="Selisih bunga",DAY(B952)=1),0,0.01)+ROW()/10000000,"")</f>
        <v/>
      </c>
    </row>
    <row r="953" outlineLevel="1" ht="15" customHeight="1" s="94">
      <c r="A953" s="123">
        <f>IF(B953="","",ROW()-15)</f>
        <v/>
      </c>
      <c r="B953" s="124" t="n"/>
      <c r="C953" s="123" t="n"/>
      <c r="D953" s="123" t="n"/>
      <c r="E953" s="123" t="n"/>
      <c r="F953" s="125" t="n"/>
      <c r="G953" s="123" t="n"/>
      <c r="H953" s="123" t="n"/>
      <c r="I953" s="123" t="n"/>
      <c r="J953" s="123" t="n"/>
      <c r="K953" s="123" t="n"/>
      <c r="L953" s="123" t="n"/>
      <c r="M953" s="123">
        <f>IF(AND(B953&lt;&gt;"",OR($C$4="",ISNUMBER(SEARCH($C$4,C953&amp;" "&amp;E953&amp;" "&amp;G953&amp;" "&amp;H953&amp;" "&amp;I953&amp;" "&amp;J953&amp;" "&amp;K953&amp;" "&amp;L953))),OR($C$5="Semua",$C$5="",G953=$C$5),OR($C$6="Semua",$C$6="",H953=$C$6,H953="Pengeluaran "&amp;$C$6,AND($C$6="Uang Kos Mama",H953="Pengeluaran Uang Kos")),OR($C$7="Semua",$C$7="",I953=$C$7),OR($C$8="Semua",$C$8="",C953=$C$8,E953=$C$8),OR($C$9="Semua",$C$9="",D953=$C$9),OR($C$10="",B953&gt;=$C$10),OR($C$11="",B953&lt;=$C$11),OR($C$12&lt;&gt;"Ya",K953&lt;&gt;""),OR($C$13="Semua",$C$13="",L953=$C$13)),"✓","")</f>
        <v/>
      </c>
      <c r="N953" s="93">
        <f>N(N952)+IF(M953="✓",1,0)</f>
        <v/>
      </c>
      <c r="O953" s="93">
        <f>N(O952)+IF(AND(B953&lt;&gt;"",B953&gt;='Uang Riba'!$H$30,B953&lt;='Uang Riba'!$I$30,OR(H953="Dana riba",H953="Pinjam uang riba",I953="Pinjam dari uang riba",I953="Ganti uang riba",I953="Kelebihan ganti dikembalikan",AND(C953="Kantong Uang Riba",G953="Pengeluaran"))),1,0)</f>
        <v/>
      </c>
      <c r="X953" s="93">
        <f>IF(AND(B953&lt;&gt;"",B953&gt;='Buku Akun'!$H$4,B953&lt;='Buku Akun'!$H$5,OR(C953='Buku Akun'!$C$4,AND(D953="Pindah",E953='Buku Akun'!$C$4))),B953+IF(AND(I953="Selisih bunga",DAY(B953)=1),0,0.01)+ROW()/10000000,"")</f>
        <v/>
      </c>
    </row>
    <row r="954" outlineLevel="1" ht="15" customHeight="1" s="94">
      <c r="A954" s="123">
        <f>IF(B954="","",ROW()-15)</f>
        <v/>
      </c>
      <c r="B954" s="124" t="n"/>
      <c r="C954" s="123" t="n"/>
      <c r="D954" s="123" t="n"/>
      <c r="E954" s="123" t="n"/>
      <c r="F954" s="125" t="n"/>
      <c r="G954" s="123" t="n"/>
      <c r="H954" s="123" t="n"/>
      <c r="I954" s="123" t="n"/>
      <c r="J954" s="123" t="n"/>
      <c r="K954" s="123" t="n"/>
      <c r="L954" s="123" t="n"/>
      <c r="M954" s="123">
        <f>IF(AND(B954&lt;&gt;"",OR($C$4="",ISNUMBER(SEARCH($C$4,C954&amp;" "&amp;E954&amp;" "&amp;G954&amp;" "&amp;H954&amp;" "&amp;I954&amp;" "&amp;J954&amp;" "&amp;K954&amp;" "&amp;L954))),OR($C$5="Semua",$C$5="",G954=$C$5),OR($C$6="Semua",$C$6="",H954=$C$6,H954="Pengeluaran "&amp;$C$6,AND($C$6="Uang Kos Mama",H954="Pengeluaran Uang Kos")),OR($C$7="Semua",$C$7="",I954=$C$7),OR($C$8="Semua",$C$8="",C954=$C$8,E954=$C$8),OR($C$9="Semua",$C$9="",D954=$C$9),OR($C$10="",B954&gt;=$C$10),OR($C$11="",B954&lt;=$C$11),OR($C$12&lt;&gt;"Ya",K954&lt;&gt;""),OR($C$13="Semua",$C$13="",L954=$C$13)),"✓","")</f>
        <v/>
      </c>
      <c r="N954" s="93">
        <f>N(N953)+IF(M954="✓",1,0)</f>
        <v/>
      </c>
      <c r="O954" s="93">
        <f>N(O953)+IF(AND(B954&lt;&gt;"",B954&gt;='Uang Riba'!$H$30,B954&lt;='Uang Riba'!$I$30,OR(H954="Dana riba",H954="Pinjam uang riba",I954="Pinjam dari uang riba",I954="Ganti uang riba",I954="Kelebihan ganti dikembalikan",AND(C954="Kantong Uang Riba",G954="Pengeluaran"))),1,0)</f>
        <v/>
      </c>
      <c r="X954" s="93">
        <f>IF(AND(B954&lt;&gt;"",B954&gt;='Buku Akun'!$H$4,B954&lt;='Buku Akun'!$H$5,OR(C954='Buku Akun'!$C$4,AND(D954="Pindah",E954='Buku Akun'!$C$4))),B954+IF(AND(I954="Selisih bunga",DAY(B954)=1),0,0.01)+ROW()/10000000,"")</f>
        <v/>
      </c>
    </row>
    <row r="955" outlineLevel="1" ht="15" customHeight="1" s="94">
      <c r="A955" s="123">
        <f>IF(B955="","",ROW()-15)</f>
        <v/>
      </c>
      <c r="B955" s="124" t="n"/>
      <c r="C955" s="123" t="n"/>
      <c r="D955" s="123" t="n"/>
      <c r="E955" s="123" t="n"/>
      <c r="F955" s="125" t="n"/>
      <c r="G955" s="123" t="n"/>
      <c r="H955" s="123" t="n"/>
      <c r="I955" s="123" t="n"/>
      <c r="J955" s="123" t="n"/>
      <c r="K955" s="123" t="n"/>
      <c r="L955" s="123" t="n"/>
      <c r="M955" s="123">
        <f>IF(AND(B955&lt;&gt;"",OR($C$4="",ISNUMBER(SEARCH($C$4,C955&amp;" "&amp;E955&amp;" "&amp;G955&amp;" "&amp;H955&amp;" "&amp;I955&amp;" "&amp;J955&amp;" "&amp;K955&amp;" "&amp;L955))),OR($C$5="Semua",$C$5="",G955=$C$5),OR($C$6="Semua",$C$6="",H955=$C$6,H955="Pengeluaran "&amp;$C$6,AND($C$6="Uang Kos Mama",H955="Pengeluaran Uang Kos")),OR($C$7="Semua",$C$7="",I955=$C$7),OR($C$8="Semua",$C$8="",C955=$C$8,E955=$C$8),OR($C$9="Semua",$C$9="",D955=$C$9),OR($C$10="",B955&gt;=$C$10),OR($C$11="",B955&lt;=$C$11),OR($C$12&lt;&gt;"Ya",K955&lt;&gt;""),OR($C$13="Semua",$C$13="",L955=$C$13)),"✓","")</f>
        <v/>
      </c>
      <c r="N955" s="93">
        <f>N(N954)+IF(M955="✓",1,0)</f>
        <v/>
      </c>
      <c r="O955" s="93">
        <f>N(O954)+IF(AND(B955&lt;&gt;"",B955&gt;='Uang Riba'!$H$30,B955&lt;='Uang Riba'!$I$30,OR(H955="Dana riba",H955="Pinjam uang riba",I955="Pinjam dari uang riba",I955="Ganti uang riba",I955="Kelebihan ganti dikembalikan",AND(C955="Kantong Uang Riba",G955="Pengeluaran"))),1,0)</f>
        <v/>
      </c>
      <c r="X955" s="93">
        <f>IF(AND(B955&lt;&gt;"",B955&gt;='Buku Akun'!$H$4,B955&lt;='Buku Akun'!$H$5,OR(C955='Buku Akun'!$C$4,AND(D955="Pindah",E955='Buku Akun'!$C$4))),B955+IF(AND(I955="Selisih bunga",DAY(B955)=1),0,0.01)+ROW()/10000000,"")</f>
        <v/>
      </c>
    </row>
    <row r="956" outlineLevel="1" ht="15" customHeight="1" s="94">
      <c r="A956" s="123">
        <f>IF(B956="","",ROW()-15)</f>
        <v/>
      </c>
      <c r="B956" s="124" t="n"/>
      <c r="C956" s="123" t="n"/>
      <c r="D956" s="123" t="n"/>
      <c r="E956" s="123" t="n"/>
      <c r="F956" s="125" t="n"/>
      <c r="G956" s="123" t="n"/>
      <c r="H956" s="123" t="n"/>
      <c r="I956" s="123" t="n"/>
      <c r="J956" s="123" t="n"/>
      <c r="K956" s="123" t="n"/>
      <c r="L956" s="123" t="n"/>
      <c r="M956" s="123">
        <f>IF(AND(B956&lt;&gt;"",OR($C$4="",ISNUMBER(SEARCH($C$4,C956&amp;" "&amp;E956&amp;" "&amp;G956&amp;" "&amp;H956&amp;" "&amp;I956&amp;" "&amp;J956&amp;" "&amp;K956&amp;" "&amp;L956))),OR($C$5="Semua",$C$5="",G956=$C$5),OR($C$6="Semua",$C$6="",H956=$C$6,H956="Pengeluaran "&amp;$C$6,AND($C$6="Uang Kos Mama",H956="Pengeluaran Uang Kos")),OR($C$7="Semua",$C$7="",I956=$C$7),OR($C$8="Semua",$C$8="",C956=$C$8,E956=$C$8),OR($C$9="Semua",$C$9="",D956=$C$9),OR($C$10="",B956&gt;=$C$10),OR($C$11="",B956&lt;=$C$11),OR($C$12&lt;&gt;"Ya",K956&lt;&gt;""),OR($C$13="Semua",$C$13="",L956=$C$13)),"✓","")</f>
        <v/>
      </c>
      <c r="N956" s="93">
        <f>N(N955)+IF(M956="✓",1,0)</f>
        <v/>
      </c>
      <c r="O956" s="93">
        <f>N(O955)+IF(AND(B956&lt;&gt;"",B956&gt;='Uang Riba'!$H$30,B956&lt;='Uang Riba'!$I$30,OR(H956="Dana riba",H956="Pinjam uang riba",I956="Pinjam dari uang riba",I956="Ganti uang riba",I956="Kelebihan ganti dikembalikan",AND(C956="Kantong Uang Riba",G956="Pengeluaran"))),1,0)</f>
        <v/>
      </c>
      <c r="X956" s="93">
        <f>IF(AND(B956&lt;&gt;"",B956&gt;='Buku Akun'!$H$4,B956&lt;='Buku Akun'!$H$5,OR(C956='Buku Akun'!$C$4,AND(D956="Pindah",E956='Buku Akun'!$C$4))),B956+IF(AND(I956="Selisih bunga",DAY(B956)=1),0,0.01)+ROW()/10000000,"")</f>
        <v/>
      </c>
    </row>
    <row r="957" outlineLevel="1" ht="15" customHeight="1" s="94">
      <c r="A957" s="123">
        <f>IF(B957="","",ROW()-15)</f>
        <v/>
      </c>
      <c r="B957" s="124" t="n"/>
      <c r="C957" s="123" t="n"/>
      <c r="D957" s="123" t="n"/>
      <c r="E957" s="123" t="n"/>
      <c r="F957" s="125" t="n"/>
      <c r="G957" s="123" t="n"/>
      <c r="H957" s="123" t="n"/>
      <c r="I957" s="123" t="n"/>
      <c r="J957" s="123" t="n"/>
      <c r="K957" s="123" t="n"/>
      <c r="L957" s="123" t="n"/>
      <c r="M957" s="123">
        <f>IF(AND(B957&lt;&gt;"",OR($C$4="",ISNUMBER(SEARCH($C$4,C957&amp;" "&amp;E957&amp;" "&amp;G957&amp;" "&amp;H957&amp;" "&amp;I957&amp;" "&amp;J957&amp;" "&amp;K957&amp;" "&amp;L957))),OR($C$5="Semua",$C$5="",G957=$C$5),OR($C$6="Semua",$C$6="",H957=$C$6,H957="Pengeluaran "&amp;$C$6,AND($C$6="Uang Kos Mama",H957="Pengeluaran Uang Kos")),OR($C$7="Semua",$C$7="",I957=$C$7),OR($C$8="Semua",$C$8="",C957=$C$8,E957=$C$8),OR($C$9="Semua",$C$9="",D957=$C$9),OR($C$10="",B957&gt;=$C$10),OR($C$11="",B957&lt;=$C$11),OR($C$12&lt;&gt;"Ya",K957&lt;&gt;""),OR($C$13="Semua",$C$13="",L957=$C$13)),"✓","")</f>
        <v/>
      </c>
      <c r="N957" s="93">
        <f>N(N956)+IF(M957="✓",1,0)</f>
        <v/>
      </c>
      <c r="O957" s="93">
        <f>N(O956)+IF(AND(B957&lt;&gt;"",B957&gt;='Uang Riba'!$H$30,B957&lt;='Uang Riba'!$I$30,OR(H957="Dana riba",H957="Pinjam uang riba",I957="Pinjam dari uang riba",I957="Ganti uang riba",I957="Kelebihan ganti dikembalikan",AND(C957="Kantong Uang Riba",G957="Pengeluaran"))),1,0)</f>
        <v/>
      </c>
      <c r="X957" s="93">
        <f>IF(AND(B957&lt;&gt;"",B957&gt;='Buku Akun'!$H$4,B957&lt;='Buku Akun'!$H$5,OR(C957='Buku Akun'!$C$4,AND(D957="Pindah",E957='Buku Akun'!$C$4))),B957+IF(AND(I957="Selisih bunga",DAY(B957)=1),0,0.01)+ROW()/10000000,"")</f>
        <v/>
      </c>
    </row>
    <row r="958" outlineLevel="1" ht="15" customHeight="1" s="94">
      <c r="A958" s="123">
        <f>IF(B958="","",ROW()-15)</f>
        <v/>
      </c>
      <c r="B958" s="124" t="n"/>
      <c r="C958" s="123" t="n"/>
      <c r="D958" s="123" t="n"/>
      <c r="E958" s="123" t="n"/>
      <c r="F958" s="125" t="n"/>
      <c r="G958" s="123" t="n"/>
      <c r="H958" s="123" t="n"/>
      <c r="I958" s="123" t="n"/>
      <c r="J958" s="123" t="n"/>
      <c r="K958" s="123" t="n"/>
      <c r="L958" s="123" t="n"/>
      <c r="M958" s="123">
        <f>IF(AND(B958&lt;&gt;"",OR($C$4="",ISNUMBER(SEARCH($C$4,C958&amp;" "&amp;E958&amp;" "&amp;G958&amp;" "&amp;H958&amp;" "&amp;I958&amp;" "&amp;J958&amp;" "&amp;K958&amp;" "&amp;L958))),OR($C$5="Semua",$C$5="",G958=$C$5),OR($C$6="Semua",$C$6="",H958=$C$6,H958="Pengeluaran "&amp;$C$6,AND($C$6="Uang Kos Mama",H958="Pengeluaran Uang Kos")),OR($C$7="Semua",$C$7="",I958=$C$7),OR($C$8="Semua",$C$8="",C958=$C$8,E958=$C$8),OR($C$9="Semua",$C$9="",D958=$C$9),OR($C$10="",B958&gt;=$C$10),OR($C$11="",B958&lt;=$C$11),OR($C$12&lt;&gt;"Ya",K958&lt;&gt;""),OR($C$13="Semua",$C$13="",L958=$C$13)),"✓","")</f>
        <v/>
      </c>
      <c r="N958" s="93">
        <f>N(N957)+IF(M958="✓",1,0)</f>
        <v/>
      </c>
      <c r="O958" s="93">
        <f>N(O957)+IF(AND(B958&lt;&gt;"",B958&gt;='Uang Riba'!$H$30,B958&lt;='Uang Riba'!$I$30,OR(H958="Dana riba",H958="Pinjam uang riba",I958="Pinjam dari uang riba",I958="Ganti uang riba",I958="Kelebihan ganti dikembalikan",AND(C958="Kantong Uang Riba",G958="Pengeluaran"))),1,0)</f>
        <v/>
      </c>
      <c r="X958" s="93">
        <f>IF(AND(B958&lt;&gt;"",B958&gt;='Buku Akun'!$H$4,B958&lt;='Buku Akun'!$H$5,OR(C958='Buku Akun'!$C$4,AND(D958="Pindah",E958='Buku Akun'!$C$4))),B958+IF(AND(I958="Selisih bunga",DAY(B958)=1),0,0.01)+ROW()/10000000,"")</f>
        <v/>
      </c>
    </row>
    <row r="959" outlineLevel="1" ht="15" customHeight="1" s="94">
      <c r="A959" s="123">
        <f>IF(B959="","",ROW()-15)</f>
        <v/>
      </c>
      <c r="B959" s="124" t="n"/>
      <c r="C959" s="123" t="n"/>
      <c r="D959" s="123" t="n"/>
      <c r="E959" s="123" t="n"/>
      <c r="F959" s="125" t="n"/>
      <c r="G959" s="123" t="n"/>
      <c r="H959" s="123" t="n"/>
      <c r="I959" s="123" t="n"/>
      <c r="J959" s="123" t="n"/>
      <c r="K959" s="123" t="n"/>
      <c r="L959" s="123" t="n"/>
      <c r="M959" s="123">
        <f>IF(AND(B959&lt;&gt;"",OR($C$4="",ISNUMBER(SEARCH($C$4,C959&amp;" "&amp;E959&amp;" "&amp;G959&amp;" "&amp;H959&amp;" "&amp;I959&amp;" "&amp;J959&amp;" "&amp;K959&amp;" "&amp;L959))),OR($C$5="Semua",$C$5="",G959=$C$5),OR($C$6="Semua",$C$6="",H959=$C$6,H959="Pengeluaran "&amp;$C$6,AND($C$6="Uang Kos Mama",H959="Pengeluaran Uang Kos")),OR($C$7="Semua",$C$7="",I959=$C$7),OR($C$8="Semua",$C$8="",C959=$C$8,E959=$C$8),OR($C$9="Semua",$C$9="",D959=$C$9),OR($C$10="",B959&gt;=$C$10),OR($C$11="",B959&lt;=$C$11),OR($C$12&lt;&gt;"Ya",K959&lt;&gt;""),OR($C$13="Semua",$C$13="",L959=$C$13)),"✓","")</f>
        <v/>
      </c>
      <c r="N959" s="93">
        <f>N(N958)+IF(M959="✓",1,0)</f>
        <v/>
      </c>
      <c r="O959" s="93">
        <f>N(O958)+IF(AND(B959&lt;&gt;"",B959&gt;='Uang Riba'!$H$30,B959&lt;='Uang Riba'!$I$30,OR(H959="Dana riba",H959="Pinjam uang riba",I959="Pinjam dari uang riba",I959="Ganti uang riba",I959="Kelebihan ganti dikembalikan",AND(C959="Kantong Uang Riba",G959="Pengeluaran"))),1,0)</f>
        <v/>
      </c>
      <c r="X959" s="93">
        <f>IF(AND(B959&lt;&gt;"",B959&gt;='Buku Akun'!$H$4,B959&lt;='Buku Akun'!$H$5,OR(C959='Buku Akun'!$C$4,AND(D959="Pindah",E959='Buku Akun'!$C$4))),B959+IF(AND(I959="Selisih bunga",DAY(B959)=1),0,0.01)+ROW()/10000000,"")</f>
        <v/>
      </c>
    </row>
    <row r="960" outlineLevel="1" ht="15" customHeight="1" s="94">
      <c r="A960" s="123">
        <f>IF(B960="","",ROW()-15)</f>
        <v/>
      </c>
      <c r="B960" s="124" t="n"/>
      <c r="C960" s="123" t="n"/>
      <c r="D960" s="123" t="n"/>
      <c r="E960" s="123" t="n"/>
      <c r="F960" s="125" t="n"/>
      <c r="G960" s="123" t="n"/>
      <c r="H960" s="123" t="n"/>
      <c r="I960" s="123" t="n"/>
      <c r="J960" s="123" t="n"/>
      <c r="K960" s="123" t="n"/>
      <c r="L960" s="123" t="n"/>
      <c r="M960" s="123">
        <f>IF(AND(B960&lt;&gt;"",OR($C$4="",ISNUMBER(SEARCH($C$4,C960&amp;" "&amp;E960&amp;" "&amp;G960&amp;" "&amp;H960&amp;" "&amp;I960&amp;" "&amp;J960&amp;" "&amp;K960&amp;" "&amp;L960))),OR($C$5="Semua",$C$5="",G960=$C$5),OR($C$6="Semua",$C$6="",H960=$C$6,H960="Pengeluaran "&amp;$C$6,AND($C$6="Uang Kos Mama",H960="Pengeluaran Uang Kos")),OR($C$7="Semua",$C$7="",I960=$C$7),OR($C$8="Semua",$C$8="",C960=$C$8,E960=$C$8),OR($C$9="Semua",$C$9="",D960=$C$9),OR($C$10="",B960&gt;=$C$10),OR($C$11="",B960&lt;=$C$11),OR($C$12&lt;&gt;"Ya",K960&lt;&gt;""),OR($C$13="Semua",$C$13="",L960=$C$13)),"✓","")</f>
        <v/>
      </c>
      <c r="N960" s="93">
        <f>N(N959)+IF(M960="✓",1,0)</f>
        <v/>
      </c>
      <c r="O960" s="93">
        <f>N(O959)+IF(AND(B960&lt;&gt;"",B960&gt;='Uang Riba'!$H$30,B960&lt;='Uang Riba'!$I$30,OR(H960="Dana riba",H960="Pinjam uang riba",I960="Pinjam dari uang riba",I960="Ganti uang riba",I960="Kelebihan ganti dikembalikan",AND(C960="Kantong Uang Riba",G960="Pengeluaran"))),1,0)</f>
        <v/>
      </c>
      <c r="X960" s="93">
        <f>IF(AND(B960&lt;&gt;"",B960&gt;='Buku Akun'!$H$4,B960&lt;='Buku Akun'!$H$5,OR(C960='Buku Akun'!$C$4,AND(D960="Pindah",E960='Buku Akun'!$C$4))),B960+IF(AND(I960="Selisih bunga",DAY(B960)=1),0,0.01)+ROW()/10000000,"")</f>
        <v/>
      </c>
    </row>
    <row r="961" outlineLevel="1" ht="15" customHeight="1" s="94">
      <c r="A961" s="123">
        <f>IF(B961="","",ROW()-15)</f>
        <v/>
      </c>
      <c r="B961" s="124" t="n"/>
      <c r="C961" s="123" t="n"/>
      <c r="D961" s="123" t="n"/>
      <c r="E961" s="123" t="n"/>
      <c r="F961" s="125" t="n"/>
      <c r="G961" s="123" t="n"/>
      <c r="H961" s="123" t="n"/>
      <c r="I961" s="123" t="n"/>
      <c r="J961" s="123" t="n"/>
      <c r="K961" s="123" t="n"/>
      <c r="L961" s="123" t="n"/>
      <c r="M961" s="123">
        <f>IF(AND(B961&lt;&gt;"",OR($C$4="",ISNUMBER(SEARCH($C$4,C961&amp;" "&amp;E961&amp;" "&amp;G961&amp;" "&amp;H961&amp;" "&amp;I961&amp;" "&amp;J961&amp;" "&amp;K961&amp;" "&amp;L961))),OR($C$5="Semua",$C$5="",G961=$C$5),OR($C$6="Semua",$C$6="",H961=$C$6,H961="Pengeluaran "&amp;$C$6,AND($C$6="Uang Kos Mama",H961="Pengeluaran Uang Kos")),OR($C$7="Semua",$C$7="",I961=$C$7),OR($C$8="Semua",$C$8="",C961=$C$8,E961=$C$8),OR($C$9="Semua",$C$9="",D961=$C$9),OR($C$10="",B961&gt;=$C$10),OR($C$11="",B961&lt;=$C$11),OR($C$12&lt;&gt;"Ya",K961&lt;&gt;""),OR($C$13="Semua",$C$13="",L961=$C$13)),"✓","")</f>
        <v/>
      </c>
      <c r="N961" s="93">
        <f>N(N960)+IF(M961="✓",1,0)</f>
        <v/>
      </c>
      <c r="O961" s="93">
        <f>N(O960)+IF(AND(B961&lt;&gt;"",B961&gt;='Uang Riba'!$H$30,B961&lt;='Uang Riba'!$I$30,OR(H961="Dana riba",H961="Pinjam uang riba",I961="Pinjam dari uang riba",I961="Ganti uang riba",I961="Kelebihan ganti dikembalikan",AND(C961="Kantong Uang Riba",G961="Pengeluaran"))),1,0)</f>
        <v/>
      </c>
      <c r="X961" s="93">
        <f>IF(AND(B961&lt;&gt;"",B961&gt;='Buku Akun'!$H$4,B961&lt;='Buku Akun'!$H$5,OR(C961='Buku Akun'!$C$4,AND(D961="Pindah",E961='Buku Akun'!$C$4))),B961+IF(AND(I961="Selisih bunga",DAY(B961)=1),0,0.01)+ROW()/10000000,"")</f>
        <v/>
      </c>
    </row>
    <row r="962" outlineLevel="1" ht="15" customHeight="1" s="94">
      <c r="A962" s="123">
        <f>IF(B962="","",ROW()-15)</f>
        <v/>
      </c>
      <c r="B962" s="124" t="n"/>
      <c r="C962" s="123" t="n"/>
      <c r="D962" s="123" t="n"/>
      <c r="E962" s="123" t="n"/>
      <c r="F962" s="125" t="n"/>
      <c r="G962" s="123" t="n"/>
      <c r="H962" s="123" t="n"/>
      <c r="I962" s="123" t="n"/>
      <c r="J962" s="123" t="n"/>
      <c r="K962" s="123" t="n"/>
      <c r="L962" s="123" t="n"/>
      <c r="M962" s="123">
        <f>IF(AND(B962&lt;&gt;"",OR($C$4="",ISNUMBER(SEARCH($C$4,C962&amp;" "&amp;E962&amp;" "&amp;G962&amp;" "&amp;H962&amp;" "&amp;I962&amp;" "&amp;J962&amp;" "&amp;K962&amp;" "&amp;L962))),OR($C$5="Semua",$C$5="",G962=$C$5),OR($C$6="Semua",$C$6="",H962=$C$6,H962="Pengeluaran "&amp;$C$6,AND($C$6="Uang Kos Mama",H962="Pengeluaran Uang Kos")),OR($C$7="Semua",$C$7="",I962=$C$7),OR($C$8="Semua",$C$8="",C962=$C$8,E962=$C$8),OR($C$9="Semua",$C$9="",D962=$C$9),OR($C$10="",B962&gt;=$C$10),OR($C$11="",B962&lt;=$C$11),OR($C$12&lt;&gt;"Ya",K962&lt;&gt;""),OR($C$13="Semua",$C$13="",L962=$C$13)),"✓","")</f>
        <v/>
      </c>
      <c r="N962" s="93">
        <f>N(N961)+IF(M962="✓",1,0)</f>
        <v/>
      </c>
      <c r="O962" s="93">
        <f>N(O961)+IF(AND(B962&lt;&gt;"",B962&gt;='Uang Riba'!$H$30,B962&lt;='Uang Riba'!$I$30,OR(H962="Dana riba",H962="Pinjam uang riba",I962="Pinjam dari uang riba",I962="Ganti uang riba",I962="Kelebihan ganti dikembalikan",AND(C962="Kantong Uang Riba",G962="Pengeluaran"))),1,0)</f>
        <v/>
      </c>
      <c r="X962" s="93">
        <f>IF(AND(B962&lt;&gt;"",B962&gt;='Buku Akun'!$H$4,B962&lt;='Buku Akun'!$H$5,OR(C962='Buku Akun'!$C$4,AND(D962="Pindah",E962='Buku Akun'!$C$4))),B962+IF(AND(I962="Selisih bunga",DAY(B962)=1),0,0.01)+ROW()/10000000,"")</f>
        <v/>
      </c>
    </row>
    <row r="963" outlineLevel="1" ht="15" customHeight="1" s="94">
      <c r="A963" s="123">
        <f>IF(B963="","",ROW()-15)</f>
        <v/>
      </c>
      <c r="B963" s="124" t="n"/>
      <c r="C963" s="123" t="n"/>
      <c r="D963" s="123" t="n"/>
      <c r="E963" s="123" t="n"/>
      <c r="F963" s="125" t="n"/>
      <c r="G963" s="123" t="n"/>
      <c r="H963" s="123" t="n"/>
      <c r="I963" s="123" t="n"/>
      <c r="J963" s="123" t="n"/>
      <c r="K963" s="123" t="n"/>
      <c r="L963" s="123" t="n"/>
      <c r="M963" s="123">
        <f>IF(AND(B963&lt;&gt;"",OR($C$4="",ISNUMBER(SEARCH($C$4,C963&amp;" "&amp;E963&amp;" "&amp;G963&amp;" "&amp;H963&amp;" "&amp;I963&amp;" "&amp;J963&amp;" "&amp;K963&amp;" "&amp;L963))),OR($C$5="Semua",$C$5="",G963=$C$5),OR($C$6="Semua",$C$6="",H963=$C$6,H963="Pengeluaran "&amp;$C$6,AND($C$6="Uang Kos Mama",H963="Pengeluaran Uang Kos")),OR($C$7="Semua",$C$7="",I963=$C$7),OR($C$8="Semua",$C$8="",C963=$C$8,E963=$C$8),OR($C$9="Semua",$C$9="",D963=$C$9),OR($C$10="",B963&gt;=$C$10),OR($C$11="",B963&lt;=$C$11),OR($C$12&lt;&gt;"Ya",K963&lt;&gt;""),OR($C$13="Semua",$C$13="",L963=$C$13)),"✓","")</f>
        <v/>
      </c>
      <c r="N963" s="93">
        <f>N(N962)+IF(M963="✓",1,0)</f>
        <v/>
      </c>
      <c r="O963" s="93">
        <f>N(O962)+IF(AND(B963&lt;&gt;"",B963&gt;='Uang Riba'!$H$30,B963&lt;='Uang Riba'!$I$30,OR(H963="Dana riba",H963="Pinjam uang riba",I963="Pinjam dari uang riba",I963="Ganti uang riba",I963="Kelebihan ganti dikembalikan",AND(C963="Kantong Uang Riba",G963="Pengeluaran"))),1,0)</f>
        <v/>
      </c>
      <c r="X963" s="93">
        <f>IF(AND(B963&lt;&gt;"",B963&gt;='Buku Akun'!$H$4,B963&lt;='Buku Akun'!$H$5,OR(C963='Buku Akun'!$C$4,AND(D963="Pindah",E963='Buku Akun'!$C$4))),B963+IF(AND(I963="Selisih bunga",DAY(B963)=1),0,0.01)+ROW()/10000000,"")</f>
        <v/>
      </c>
    </row>
    <row r="964" outlineLevel="1" ht="15" customHeight="1" s="94">
      <c r="A964" s="123">
        <f>IF(B964="","",ROW()-15)</f>
        <v/>
      </c>
      <c r="B964" s="124" t="n"/>
      <c r="C964" s="123" t="n"/>
      <c r="D964" s="123" t="n"/>
      <c r="E964" s="123" t="n"/>
      <c r="F964" s="125" t="n"/>
      <c r="G964" s="123" t="n"/>
      <c r="H964" s="123" t="n"/>
      <c r="I964" s="123" t="n"/>
      <c r="J964" s="123" t="n"/>
      <c r="K964" s="123" t="n"/>
      <c r="L964" s="123" t="n"/>
      <c r="M964" s="123">
        <f>IF(AND(B964&lt;&gt;"",OR($C$4="",ISNUMBER(SEARCH($C$4,C964&amp;" "&amp;E964&amp;" "&amp;G964&amp;" "&amp;H964&amp;" "&amp;I964&amp;" "&amp;J964&amp;" "&amp;K964&amp;" "&amp;L964))),OR($C$5="Semua",$C$5="",G964=$C$5),OR($C$6="Semua",$C$6="",H964=$C$6,H964="Pengeluaran "&amp;$C$6,AND($C$6="Uang Kos Mama",H964="Pengeluaran Uang Kos")),OR($C$7="Semua",$C$7="",I964=$C$7),OR($C$8="Semua",$C$8="",C964=$C$8,E964=$C$8),OR($C$9="Semua",$C$9="",D964=$C$9),OR($C$10="",B964&gt;=$C$10),OR($C$11="",B964&lt;=$C$11),OR($C$12&lt;&gt;"Ya",K964&lt;&gt;""),OR($C$13="Semua",$C$13="",L964=$C$13)),"✓","")</f>
        <v/>
      </c>
      <c r="N964" s="93">
        <f>N(N963)+IF(M964="✓",1,0)</f>
        <v/>
      </c>
      <c r="O964" s="93">
        <f>N(O963)+IF(AND(B964&lt;&gt;"",B964&gt;='Uang Riba'!$H$30,B964&lt;='Uang Riba'!$I$30,OR(H964="Dana riba",H964="Pinjam uang riba",I964="Pinjam dari uang riba",I964="Ganti uang riba",I964="Kelebihan ganti dikembalikan",AND(C964="Kantong Uang Riba",G964="Pengeluaran"))),1,0)</f>
        <v/>
      </c>
      <c r="X964" s="93">
        <f>IF(AND(B964&lt;&gt;"",B964&gt;='Buku Akun'!$H$4,B964&lt;='Buku Akun'!$H$5,OR(C964='Buku Akun'!$C$4,AND(D964="Pindah",E964='Buku Akun'!$C$4))),B964+IF(AND(I964="Selisih bunga",DAY(B964)=1),0,0.01)+ROW()/10000000,"")</f>
        <v/>
      </c>
    </row>
    <row r="965" outlineLevel="1" ht="15" customHeight="1" s="94">
      <c r="A965" s="123">
        <f>IF(B965="","",ROW()-15)</f>
        <v/>
      </c>
      <c r="B965" s="124" t="n"/>
      <c r="C965" s="123" t="n"/>
      <c r="D965" s="123" t="n"/>
      <c r="E965" s="123" t="n"/>
      <c r="F965" s="125" t="n"/>
      <c r="G965" s="123" t="n"/>
      <c r="H965" s="123" t="n"/>
      <c r="I965" s="123" t="n"/>
      <c r="J965" s="123" t="n"/>
      <c r="K965" s="123" t="n"/>
      <c r="L965" s="123" t="n"/>
      <c r="M965" s="123">
        <f>IF(AND(B965&lt;&gt;"",OR($C$4="",ISNUMBER(SEARCH($C$4,C965&amp;" "&amp;E965&amp;" "&amp;G965&amp;" "&amp;H965&amp;" "&amp;I965&amp;" "&amp;J965&amp;" "&amp;K965&amp;" "&amp;L965))),OR($C$5="Semua",$C$5="",G965=$C$5),OR($C$6="Semua",$C$6="",H965=$C$6,H965="Pengeluaran "&amp;$C$6,AND($C$6="Uang Kos Mama",H965="Pengeluaran Uang Kos")),OR($C$7="Semua",$C$7="",I965=$C$7),OR($C$8="Semua",$C$8="",C965=$C$8,E965=$C$8),OR($C$9="Semua",$C$9="",D965=$C$9),OR($C$10="",B965&gt;=$C$10),OR($C$11="",B965&lt;=$C$11),OR($C$12&lt;&gt;"Ya",K965&lt;&gt;""),OR($C$13="Semua",$C$13="",L965=$C$13)),"✓","")</f>
        <v/>
      </c>
      <c r="N965" s="93">
        <f>N(N964)+IF(M965="✓",1,0)</f>
        <v/>
      </c>
      <c r="O965" s="93">
        <f>N(O964)+IF(AND(B965&lt;&gt;"",B965&gt;='Uang Riba'!$H$30,B965&lt;='Uang Riba'!$I$30,OR(H965="Dana riba",H965="Pinjam uang riba",I965="Pinjam dari uang riba",I965="Ganti uang riba",I965="Kelebihan ganti dikembalikan",AND(C965="Kantong Uang Riba",G965="Pengeluaran"))),1,0)</f>
        <v/>
      </c>
      <c r="X965" s="93">
        <f>IF(AND(B965&lt;&gt;"",B965&gt;='Buku Akun'!$H$4,B965&lt;='Buku Akun'!$H$5,OR(C965='Buku Akun'!$C$4,AND(D965="Pindah",E965='Buku Akun'!$C$4))),B965+IF(AND(I965="Selisih bunga",DAY(B965)=1),0,0.01)+ROW()/10000000,"")</f>
        <v/>
      </c>
    </row>
    <row r="966" outlineLevel="1" ht="15" customHeight="1" s="94">
      <c r="A966" s="123">
        <f>IF(B966="","",ROW()-15)</f>
        <v/>
      </c>
      <c r="B966" s="124" t="n"/>
      <c r="C966" s="123" t="n"/>
      <c r="D966" s="123" t="n"/>
      <c r="E966" s="123" t="n"/>
      <c r="F966" s="125" t="n"/>
      <c r="G966" s="123" t="n"/>
      <c r="H966" s="123" t="n"/>
      <c r="I966" s="123" t="n"/>
      <c r="J966" s="123" t="n"/>
      <c r="K966" s="123" t="n"/>
      <c r="L966" s="123" t="n"/>
      <c r="M966" s="123">
        <f>IF(AND(B966&lt;&gt;"",OR($C$4="",ISNUMBER(SEARCH($C$4,C966&amp;" "&amp;E966&amp;" "&amp;G966&amp;" "&amp;H966&amp;" "&amp;I966&amp;" "&amp;J966&amp;" "&amp;K966&amp;" "&amp;L966))),OR($C$5="Semua",$C$5="",G966=$C$5),OR($C$6="Semua",$C$6="",H966=$C$6,H966="Pengeluaran "&amp;$C$6,AND($C$6="Uang Kos Mama",H966="Pengeluaran Uang Kos")),OR($C$7="Semua",$C$7="",I966=$C$7),OR($C$8="Semua",$C$8="",C966=$C$8,E966=$C$8),OR($C$9="Semua",$C$9="",D966=$C$9),OR($C$10="",B966&gt;=$C$10),OR($C$11="",B966&lt;=$C$11),OR($C$12&lt;&gt;"Ya",K966&lt;&gt;""),OR($C$13="Semua",$C$13="",L966=$C$13)),"✓","")</f>
        <v/>
      </c>
      <c r="N966" s="93">
        <f>N(N965)+IF(M966="✓",1,0)</f>
        <v/>
      </c>
      <c r="O966" s="93">
        <f>N(O965)+IF(AND(B966&lt;&gt;"",B966&gt;='Uang Riba'!$H$30,B966&lt;='Uang Riba'!$I$30,OR(H966="Dana riba",H966="Pinjam uang riba",I966="Pinjam dari uang riba",I966="Ganti uang riba",I966="Kelebihan ganti dikembalikan",AND(C966="Kantong Uang Riba",G966="Pengeluaran"))),1,0)</f>
        <v/>
      </c>
      <c r="X966" s="93">
        <f>IF(AND(B966&lt;&gt;"",B966&gt;='Buku Akun'!$H$4,B966&lt;='Buku Akun'!$H$5,OR(C966='Buku Akun'!$C$4,AND(D966="Pindah",E966='Buku Akun'!$C$4))),B966+IF(AND(I966="Selisih bunga",DAY(B966)=1),0,0.01)+ROW()/10000000,"")</f>
        <v/>
      </c>
    </row>
    <row r="967" outlineLevel="1" ht="15" customHeight="1" s="94">
      <c r="A967" s="123">
        <f>IF(B967="","",ROW()-15)</f>
        <v/>
      </c>
      <c r="B967" s="124" t="n"/>
      <c r="C967" s="123" t="n"/>
      <c r="D967" s="123" t="n"/>
      <c r="E967" s="123" t="n"/>
      <c r="F967" s="125" t="n"/>
      <c r="G967" s="123" t="n"/>
      <c r="H967" s="123" t="n"/>
      <c r="I967" s="123" t="n"/>
      <c r="J967" s="123" t="n"/>
      <c r="K967" s="123" t="n"/>
      <c r="L967" s="123" t="n"/>
      <c r="M967" s="123">
        <f>IF(AND(B967&lt;&gt;"",OR($C$4="",ISNUMBER(SEARCH($C$4,C967&amp;" "&amp;E967&amp;" "&amp;G967&amp;" "&amp;H967&amp;" "&amp;I967&amp;" "&amp;J967&amp;" "&amp;K967&amp;" "&amp;L967))),OR($C$5="Semua",$C$5="",G967=$C$5),OR($C$6="Semua",$C$6="",H967=$C$6,H967="Pengeluaran "&amp;$C$6,AND($C$6="Uang Kos Mama",H967="Pengeluaran Uang Kos")),OR($C$7="Semua",$C$7="",I967=$C$7),OR($C$8="Semua",$C$8="",C967=$C$8,E967=$C$8),OR($C$9="Semua",$C$9="",D967=$C$9),OR($C$10="",B967&gt;=$C$10),OR($C$11="",B967&lt;=$C$11),OR($C$12&lt;&gt;"Ya",K967&lt;&gt;""),OR($C$13="Semua",$C$13="",L967=$C$13)),"✓","")</f>
        <v/>
      </c>
      <c r="N967" s="93">
        <f>N(N966)+IF(M967="✓",1,0)</f>
        <v/>
      </c>
      <c r="O967" s="93">
        <f>N(O966)+IF(AND(B967&lt;&gt;"",B967&gt;='Uang Riba'!$H$30,B967&lt;='Uang Riba'!$I$30,OR(H967="Dana riba",H967="Pinjam uang riba",I967="Pinjam dari uang riba",I967="Ganti uang riba",I967="Kelebihan ganti dikembalikan",AND(C967="Kantong Uang Riba",G967="Pengeluaran"))),1,0)</f>
        <v/>
      </c>
      <c r="X967" s="93">
        <f>IF(AND(B967&lt;&gt;"",B967&gt;='Buku Akun'!$H$4,B967&lt;='Buku Akun'!$H$5,OR(C967='Buku Akun'!$C$4,AND(D967="Pindah",E967='Buku Akun'!$C$4))),B967+IF(AND(I967="Selisih bunga",DAY(B967)=1),0,0.01)+ROW()/10000000,"")</f>
        <v/>
      </c>
    </row>
    <row r="968" outlineLevel="1" ht="15" customHeight="1" s="94">
      <c r="A968" s="123">
        <f>IF(B968="","",ROW()-15)</f>
        <v/>
      </c>
      <c r="B968" s="124" t="n"/>
      <c r="C968" s="123" t="n"/>
      <c r="D968" s="123" t="n"/>
      <c r="E968" s="123" t="n"/>
      <c r="F968" s="125" t="n"/>
      <c r="G968" s="123" t="n"/>
      <c r="H968" s="123" t="n"/>
      <c r="I968" s="123" t="n"/>
      <c r="J968" s="123" t="n"/>
      <c r="K968" s="123" t="n"/>
      <c r="L968" s="123" t="n"/>
      <c r="M968" s="123">
        <f>IF(AND(B968&lt;&gt;"",OR($C$4="",ISNUMBER(SEARCH($C$4,C968&amp;" "&amp;E968&amp;" "&amp;G968&amp;" "&amp;H968&amp;" "&amp;I968&amp;" "&amp;J968&amp;" "&amp;K968&amp;" "&amp;L968))),OR($C$5="Semua",$C$5="",G968=$C$5),OR($C$6="Semua",$C$6="",H968=$C$6,H968="Pengeluaran "&amp;$C$6,AND($C$6="Uang Kos Mama",H968="Pengeluaran Uang Kos")),OR($C$7="Semua",$C$7="",I968=$C$7),OR($C$8="Semua",$C$8="",C968=$C$8,E968=$C$8),OR($C$9="Semua",$C$9="",D968=$C$9),OR($C$10="",B968&gt;=$C$10),OR($C$11="",B968&lt;=$C$11),OR($C$12&lt;&gt;"Ya",K968&lt;&gt;""),OR($C$13="Semua",$C$13="",L968=$C$13)),"✓","")</f>
        <v/>
      </c>
      <c r="N968" s="93">
        <f>N(N967)+IF(M968="✓",1,0)</f>
        <v/>
      </c>
      <c r="O968" s="93">
        <f>N(O967)+IF(AND(B968&lt;&gt;"",B968&gt;='Uang Riba'!$H$30,B968&lt;='Uang Riba'!$I$30,OR(H968="Dana riba",H968="Pinjam uang riba",I968="Pinjam dari uang riba",I968="Ganti uang riba",I968="Kelebihan ganti dikembalikan",AND(C968="Kantong Uang Riba",G968="Pengeluaran"))),1,0)</f>
        <v/>
      </c>
      <c r="X968" s="93">
        <f>IF(AND(B968&lt;&gt;"",B968&gt;='Buku Akun'!$H$4,B968&lt;='Buku Akun'!$H$5,OR(C968='Buku Akun'!$C$4,AND(D968="Pindah",E968='Buku Akun'!$C$4))),B968+IF(AND(I968="Selisih bunga",DAY(B968)=1),0,0.01)+ROW()/10000000,"")</f>
        <v/>
      </c>
    </row>
    <row r="969" outlineLevel="1" ht="15" customHeight="1" s="94">
      <c r="A969" s="123">
        <f>IF(B969="","",ROW()-15)</f>
        <v/>
      </c>
      <c r="B969" s="124" t="n"/>
      <c r="C969" s="123" t="n"/>
      <c r="D969" s="123" t="n"/>
      <c r="E969" s="123" t="n"/>
      <c r="F969" s="125" t="n"/>
      <c r="G969" s="123" t="n"/>
      <c r="H969" s="123" t="n"/>
      <c r="I969" s="123" t="n"/>
      <c r="J969" s="123" t="n"/>
      <c r="K969" s="123" t="n"/>
      <c r="L969" s="123" t="n"/>
      <c r="M969" s="123">
        <f>IF(AND(B969&lt;&gt;"",OR($C$4="",ISNUMBER(SEARCH($C$4,C969&amp;" "&amp;E969&amp;" "&amp;G969&amp;" "&amp;H969&amp;" "&amp;I969&amp;" "&amp;J969&amp;" "&amp;K969&amp;" "&amp;L969))),OR($C$5="Semua",$C$5="",G969=$C$5),OR($C$6="Semua",$C$6="",H969=$C$6,H969="Pengeluaran "&amp;$C$6,AND($C$6="Uang Kos Mama",H969="Pengeluaran Uang Kos")),OR($C$7="Semua",$C$7="",I969=$C$7),OR($C$8="Semua",$C$8="",C969=$C$8,E969=$C$8),OR($C$9="Semua",$C$9="",D969=$C$9),OR($C$10="",B969&gt;=$C$10),OR($C$11="",B969&lt;=$C$11),OR($C$12&lt;&gt;"Ya",K969&lt;&gt;""),OR($C$13="Semua",$C$13="",L969=$C$13)),"✓","")</f>
        <v/>
      </c>
      <c r="N969" s="93">
        <f>N(N968)+IF(M969="✓",1,0)</f>
        <v/>
      </c>
      <c r="O969" s="93">
        <f>N(O968)+IF(AND(B969&lt;&gt;"",B969&gt;='Uang Riba'!$H$30,B969&lt;='Uang Riba'!$I$30,OR(H969="Dana riba",H969="Pinjam uang riba",I969="Pinjam dari uang riba",I969="Ganti uang riba",I969="Kelebihan ganti dikembalikan",AND(C969="Kantong Uang Riba",G969="Pengeluaran"))),1,0)</f>
        <v/>
      </c>
      <c r="X969" s="93">
        <f>IF(AND(B969&lt;&gt;"",B969&gt;='Buku Akun'!$H$4,B969&lt;='Buku Akun'!$H$5,OR(C969='Buku Akun'!$C$4,AND(D969="Pindah",E969='Buku Akun'!$C$4))),B969+IF(AND(I969="Selisih bunga",DAY(B969)=1),0,0.01)+ROW()/10000000,"")</f>
        <v/>
      </c>
    </row>
    <row r="970" outlineLevel="1" ht="15" customHeight="1" s="94">
      <c r="A970" s="123">
        <f>IF(B970="","",ROW()-15)</f>
        <v/>
      </c>
      <c r="B970" s="124" t="n"/>
      <c r="C970" s="123" t="n"/>
      <c r="D970" s="123" t="n"/>
      <c r="E970" s="123" t="n"/>
      <c r="F970" s="125" t="n"/>
      <c r="G970" s="123" t="n"/>
      <c r="H970" s="123" t="n"/>
      <c r="I970" s="123" t="n"/>
      <c r="J970" s="123" t="n"/>
      <c r="K970" s="123" t="n"/>
      <c r="L970" s="123" t="n"/>
      <c r="M970" s="123">
        <f>IF(AND(B970&lt;&gt;"",OR($C$4="",ISNUMBER(SEARCH($C$4,C970&amp;" "&amp;E970&amp;" "&amp;G970&amp;" "&amp;H970&amp;" "&amp;I970&amp;" "&amp;J970&amp;" "&amp;K970&amp;" "&amp;L970))),OR($C$5="Semua",$C$5="",G970=$C$5),OR($C$6="Semua",$C$6="",H970=$C$6,H970="Pengeluaran "&amp;$C$6,AND($C$6="Uang Kos Mama",H970="Pengeluaran Uang Kos")),OR($C$7="Semua",$C$7="",I970=$C$7),OR($C$8="Semua",$C$8="",C970=$C$8,E970=$C$8),OR($C$9="Semua",$C$9="",D970=$C$9),OR($C$10="",B970&gt;=$C$10),OR($C$11="",B970&lt;=$C$11),OR($C$12&lt;&gt;"Ya",K970&lt;&gt;""),OR($C$13="Semua",$C$13="",L970=$C$13)),"✓","")</f>
        <v/>
      </c>
      <c r="N970" s="93">
        <f>N(N969)+IF(M970="✓",1,0)</f>
        <v/>
      </c>
      <c r="O970" s="93">
        <f>N(O969)+IF(AND(B970&lt;&gt;"",B970&gt;='Uang Riba'!$H$30,B970&lt;='Uang Riba'!$I$30,OR(H970="Dana riba",H970="Pinjam uang riba",I970="Pinjam dari uang riba",I970="Ganti uang riba",I970="Kelebihan ganti dikembalikan",AND(C970="Kantong Uang Riba",G970="Pengeluaran"))),1,0)</f>
        <v/>
      </c>
      <c r="X970" s="93">
        <f>IF(AND(B970&lt;&gt;"",B970&gt;='Buku Akun'!$H$4,B970&lt;='Buku Akun'!$H$5,OR(C970='Buku Akun'!$C$4,AND(D970="Pindah",E970='Buku Akun'!$C$4))),B970+IF(AND(I970="Selisih bunga",DAY(B970)=1),0,0.01)+ROW()/10000000,"")</f>
        <v/>
      </c>
    </row>
    <row r="971" outlineLevel="1" ht="15" customHeight="1" s="94">
      <c r="A971" s="123">
        <f>IF(B971="","",ROW()-15)</f>
        <v/>
      </c>
      <c r="B971" s="124" t="n"/>
      <c r="C971" s="123" t="n"/>
      <c r="D971" s="123" t="n"/>
      <c r="E971" s="123" t="n"/>
      <c r="F971" s="125" t="n"/>
      <c r="G971" s="123" t="n"/>
      <c r="H971" s="123" t="n"/>
      <c r="I971" s="123" t="n"/>
      <c r="J971" s="123" t="n"/>
      <c r="K971" s="123" t="n"/>
      <c r="L971" s="123" t="n"/>
      <c r="M971" s="123">
        <f>IF(AND(B971&lt;&gt;"",OR($C$4="",ISNUMBER(SEARCH($C$4,C971&amp;" "&amp;E971&amp;" "&amp;G971&amp;" "&amp;H971&amp;" "&amp;I971&amp;" "&amp;J971&amp;" "&amp;K971&amp;" "&amp;L971))),OR($C$5="Semua",$C$5="",G971=$C$5),OR($C$6="Semua",$C$6="",H971=$C$6,H971="Pengeluaran "&amp;$C$6,AND($C$6="Uang Kos Mama",H971="Pengeluaran Uang Kos")),OR($C$7="Semua",$C$7="",I971=$C$7),OR($C$8="Semua",$C$8="",C971=$C$8,E971=$C$8),OR($C$9="Semua",$C$9="",D971=$C$9),OR($C$10="",B971&gt;=$C$10),OR($C$11="",B971&lt;=$C$11),OR($C$12&lt;&gt;"Ya",K971&lt;&gt;""),OR($C$13="Semua",$C$13="",L971=$C$13)),"✓","")</f>
        <v/>
      </c>
      <c r="N971" s="93">
        <f>N(N970)+IF(M971="✓",1,0)</f>
        <v/>
      </c>
      <c r="O971" s="93">
        <f>N(O970)+IF(AND(B971&lt;&gt;"",B971&gt;='Uang Riba'!$H$30,B971&lt;='Uang Riba'!$I$30,OR(H971="Dana riba",H971="Pinjam uang riba",I971="Pinjam dari uang riba",I971="Ganti uang riba",I971="Kelebihan ganti dikembalikan",AND(C971="Kantong Uang Riba",G971="Pengeluaran"))),1,0)</f>
        <v/>
      </c>
      <c r="X971" s="93">
        <f>IF(AND(B971&lt;&gt;"",B971&gt;='Buku Akun'!$H$4,B971&lt;='Buku Akun'!$H$5,OR(C971='Buku Akun'!$C$4,AND(D971="Pindah",E971='Buku Akun'!$C$4))),B971+IF(AND(I971="Selisih bunga",DAY(B971)=1),0,0.01)+ROW()/10000000,"")</f>
        <v/>
      </c>
    </row>
    <row r="972" outlineLevel="1" ht="15" customHeight="1" s="94">
      <c r="A972" s="123">
        <f>IF(B972="","",ROW()-15)</f>
        <v/>
      </c>
      <c r="B972" s="124" t="n"/>
      <c r="C972" s="123" t="n"/>
      <c r="D972" s="123" t="n"/>
      <c r="E972" s="123" t="n"/>
      <c r="F972" s="125" t="n"/>
      <c r="G972" s="123" t="n"/>
      <c r="H972" s="123" t="n"/>
      <c r="I972" s="123" t="n"/>
      <c r="J972" s="123" t="n"/>
      <c r="K972" s="123" t="n"/>
      <c r="L972" s="123" t="n"/>
      <c r="M972" s="123">
        <f>IF(AND(B972&lt;&gt;"",OR($C$4="",ISNUMBER(SEARCH($C$4,C972&amp;" "&amp;E972&amp;" "&amp;G972&amp;" "&amp;H972&amp;" "&amp;I972&amp;" "&amp;J972&amp;" "&amp;K972&amp;" "&amp;L972))),OR($C$5="Semua",$C$5="",G972=$C$5),OR($C$6="Semua",$C$6="",H972=$C$6,H972="Pengeluaran "&amp;$C$6,AND($C$6="Uang Kos Mama",H972="Pengeluaran Uang Kos")),OR($C$7="Semua",$C$7="",I972=$C$7),OR($C$8="Semua",$C$8="",C972=$C$8,E972=$C$8),OR($C$9="Semua",$C$9="",D972=$C$9),OR($C$10="",B972&gt;=$C$10),OR($C$11="",B972&lt;=$C$11),OR($C$12&lt;&gt;"Ya",K972&lt;&gt;""),OR($C$13="Semua",$C$13="",L972=$C$13)),"✓","")</f>
        <v/>
      </c>
      <c r="N972" s="93">
        <f>N(N971)+IF(M972="✓",1,0)</f>
        <v/>
      </c>
      <c r="O972" s="93">
        <f>N(O971)+IF(AND(B972&lt;&gt;"",B972&gt;='Uang Riba'!$H$30,B972&lt;='Uang Riba'!$I$30,OR(H972="Dana riba",H972="Pinjam uang riba",I972="Pinjam dari uang riba",I972="Ganti uang riba",I972="Kelebihan ganti dikembalikan",AND(C972="Kantong Uang Riba",G972="Pengeluaran"))),1,0)</f>
        <v/>
      </c>
      <c r="X972" s="93">
        <f>IF(AND(B972&lt;&gt;"",B972&gt;='Buku Akun'!$H$4,B972&lt;='Buku Akun'!$H$5,OR(C972='Buku Akun'!$C$4,AND(D972="Pindah",E972='Buku Akun'!$C$4))),B972+IF(AND(I972="Selisih bunga",DAY(B972)=1),0,0.01)+ROW()/10000000,"")</f>
        <v/>
      </c>
    </row>
    <row r="973" outlineLevel="1" ht="15" customHeight="1" s="94">
      <c r="A973" s="123">
        <f>IF(B973="","",ROW()-15)</f>
        <v/>
      </c>
      <c r="B973" s="124" t="n"/>
      <c r="C973" s="123" t="n"/>
      <c r="D973" s="123" t="n"/>
      <c r="E973" s="123" t="n"/>
      <c r="F973" s="125" t="n"/>
      <c r="G973" s="123" t="n"/>
      <c r="H973" s="123" t="n"/>
      <c r="I973" s="123" t="n"/>
      <c r="J973" s="123" t="n"/>
      <c r="K973" s="123" t="n"/>
      <c r="L973" s="123" t="n"/>
      <c r="M973" s="123">
        <f>IF(AND(B973&lt;&gt;"",OR($C$4="",ISNUMBER(SEARCH($C$4,C973&amp;" "&amp;E973&amp;" "&amp;G973&amp;" "&amp;H973&amp;" "&amp;I973&amp;" "&amp;J973&amp;" "&amp;K973&amp;" "&amp;L973))),OR($C$5="Semua",$C$5="",G973=$C$5),OR($C$6="Semua",$C$6="",H973=$C$6,H973="Pengeluaran "&amp;$C$6,AND($C$6="Uang Kos Mama",H973="Pengeluaran Uang Kos")),OR($C$7="Semua",$C$7="",I973=$C$7),OR($C$8="Semua",$C$8="",C973=$C$8,E973=$C$8),OR($C$9="Semua",$C$9="",D973=$C$9),OR($C$10="",B973&gt;=$C$10),OR($C$11="",B973&lt;=$C$11),OR($C$12&lt;&gt;"Ya",K973&lt;&gt;""),OR($C$13="Semua",$C$13="",L973=$C$13)),"✓","")</f>
        <v/>
      </c>
      <c r="N973" s="93">
        <f>N(N972)+IF(M973="✓",1,0)</f>
        <v/>
      </c>
      <c r="O973" s="93">
        <f>N(O972)+IF(AND(B973&lt;&gt;"",B973&gt;='Uang Riba'!$H$30,B973&lt;='Uang Riba'!$I$30,OR(H973="Dana riba",H973="Pinjam uang riba",I973="Pinjam dari uang riba",I973="Ganti uang riba",I973="Kelebihan ganti dikembalikan",AND(C973="Kantong Uang Riba",G973="Pengeluaran"))),1,0)</f>
        <v/>
      </c>
      <c r="X973" s="93">
        <f>IF(AND(B973&lt;&gt;"",B973&gt;='Buku Akun'!$H$4,B973&lt;='Buku Akun'!$H$5,OR(C973='Buku Akun'!$C$4,AND(D973="Pindah",E973='Buku Akun'!$C$4))),B973+IF(AND(I973="Selisih bunga",DAY(B973)=1),0,0.01)+ROW()/10000000,"")</f>
        <v/>
      </c>
    </row>
    <row r="974" outlineLevel="1" ht="15" customHeight="1" s="94">
      <c r="A974" s="123">
        <f>IF(B974="","",ROW()-15)</f>
        <v/>
      </c>
      <c r="B974" s="124" t="n"/>
      <c r="C974" s="123" t="n"/>
      <c r="D974" s="123" t="n"/>
      <c r="E974" s="123" t="n"/>
      <c r="F974" s="125" t="n"/>
      <c r="G974" s="123" t="n"/>
      <c r="H974" s="123" t="n"/>
      <c r="I974" s="123" t="n"/>
      <c r="J974" s="123" t="n"/>
      <c r="K974" s="123" t="n"/>
      <c r="L974" s="123" t="n"/>
      <c r="M974" s="123">
        <f>IF(AND(B974&lt;&gt;"",OR($C$4="",ISNUMBER(SEARCH($C$4,C974&amp;" "&amp;E974&amp;" "&amp;G974&amp;" "&amp;H974&amp;" "&amp;I974&amp;" "&amp;J974&amp;" "&amp;K974&amp;" "&amp;L974))),OR($C$5="Semua",$C$5="",G974=$C$5),OR($C$6="Semua",$C$6="",H974=$C$6,H974="Pengeluaran "&amp;$C$6,AND($C$6="Uang Kos Mama",H974="Pengeluaran Uang Kos")),OR($C$7="Semua",$C$7="",I974=$C$7),OR($C$8="Semua",$C$8="",C974=$C$8,E974=$C$8),OR($C$9="Semua",$C$9="",D974=$C$9),OR($C$10="",B974&gt;=$C$10),OR($C$11="",B974&lt;=$C$11),OR($C$12&lt;&gt;"Ya",K974&lt;&gt;""),OR($C$13="Semua",$C$13="",L974=$C$13)),"✓","")</f>
        <v/>
      </c>
      <c r="N974" s="93">
        <f>N(N973)+IF(M974="✓",1,0)</f>
        <v/>
      </c>
      <c r="O974" s="93">
        <f>N(O973)+IF(AND(B974&lt;&gt;"",B974&gt;='Uang Riba'!$H$30,B974&lt;='Uang Riba'!$I$30,OR(H974="Dana riba",H974="Pinjam uang riba",I974="Pinjam dari uang riba",I974="Ganti uang riba",I974="Kelebihan ganti dikembalikan",AND(C974="Kantong Uang Riba",G974="Pengeluaran"))),1,0)</f>
        <v/>
      </c>
      <c r="X974" s="93">
        <f>IF(AND(B974&lt;&gt;"",B974&gt;='Buku Akun'!$H$4,B974&lt;='Buku Akun'!$H$5,OR(C974='Buku Akun'!$C$4,AND(D974="Pindah",E974='Buku Akun'!$C$4))),B974+IF(AND(I974="Selisih bunga",DAY(B974)=1),0,0.01)+ROW()/10000000,"")</f>
        <v/>
      </c>
    </row>
    <row r="975" outlineLevel="1" ht="15" customHeight="1" s="94">
      <c r="A975" s="123">
        <f>IF(B975="","",ROW()-15)</f>
        <v/>
      </c>
      <c r="B975" s="124" t="n"/>
      <c r="C975" s="123" t="n"/>
      <c r="D975" s="123" t="n"/>
      <c r="E975" s="123" t="n"/>
      <c r="F975" s="125" t="n"/>
      <c r="G975" s="123" t="n"/>
      <c r="H975" s="123" t="n"/>
      <c r="I975" s="123" t="n"/>
      <c r="J975" s="123" t="n"/>
      <c r="K975" s="123" t="n"/>
      <c r="L975" s="123" t="n"/>
      <c r="M975" s="123">
        <f>IF(AND(B975&lt;&gt;"",OR($C$4="",ISNUMBER(SEARCH($C$4,C975&amp;" "&amp;E975&amp;" "&amp;G975&amp;" "&amp;H975&amp;" "&amp;I975&amp;" "&amp;J975&amp;" "&amp;K975&amp;" "&amp;L975))),OR($C$5="Semua",$C$5="",G975=$C$5),OR($C$6="Semua",$C$6="",H975=$C$6,H975="Pengeluaran "&amp;$C$6,AND($C$6="Uang Kos Mama",H975="Pengeluaran Uang Kos")),OR($C$7="Semua",$C$7="",I975=$C$7),OR($C$8="Semua",$C$8="",C975=$C$8,E975=$C$8),OR($C$9="Semua",$C$9="",D975=$C$9),OR($C$10="",B975&gt;=$C$10),OR($C$11="",B975&lt;=$C$11),OR($C$12&lt;&gt;"Ya",K975&lt;&gt;""),OR($C$13="Semua",$C$13="",L975=$C$13)),"✓","")</f>
        <v/>
      </c>
      <c r="N975" s="93">
        <f>N(N974)+IF(M975="✓",1,0)</f>
        <v/>
      </c>
      <c r="O975" s="93">
        <f>N(O974)+IF(AND(B975&lt;&gt;"",B975&gt;='Uang Riba'!$H$30,B975&lt;='Uang Riba'!$I$30,OR(H975="Dana riba",H975="Pinjam uang riba",I975="Pinjam dari uang riba",I975="Ganti uang riba",I975="Kelebihan ganti dikembalikan",AND(C975="Kantong Uang Riba",G975="Pengeluaran"))),1,0)</f>
        <v/>
      </c>
      <c r="X975" s="93">
        <f>IF(AND(B975&lt;&gt;"",B975&gt;='Buku Akun'!$H$4,B975&lt;='Buku Akun'!$H$5,OR(C975='Buku Akun'!$C$4,AND(D975="Pindah",E975='Buku Akun'!$C$4))),B975+IF(AND(I975="Selisih bunga",DAY(B975)=1),0,0.01)+ROW()/10000000,"")</f>
        <v/>
      </c>
    </row>
    <row r="976" outlineLevel="1" ht="15" customHeight="1" s="94">
      <c r="A976" s="123">
        <f>IF(B976="","",ROW()-15)</f>
        <v/>
      </c>
      <c r="B976" s="124" t="n"/>
      <c r="C976" s="123" t="n"/>
      <c r="D976" s="123" t="n"/>
      <c r="E976" s="123" t="n"/>
      <c r="F976" s="125" t="n"/>
      <c r="G976" s="123" t="n"/>
      <c r="H976" s="123" t="n"/>
      <c r="I976" s="123" t="n"/>
      <c r="J976" s="123" t="n"/>
      <c r="K976" s="123" t="n"/>
      <c r="L976" s="123" t="n"/>
      <c r="M976" s="123">
        <f>IF(AND(B976&lt;&gt;"",OR($C$4="",ISNUMBER(SEARCH($C$4,C976&amp;" "&amp;E976&amp;" "&amp;G976&amp;" "&amp;H976&amp;" "&amp;I976&amp;" "&amp;J976&amp;" "&amp;K976&amp;" "&amp;L976))),OR($C$5="Semua",$C$5="",G976=$C$5),OR($C$6="Semua",$C$6="",H976=$C$6,H976="Pengeluaran "&amp;$C$6,AND($C$6="Uang Kos Mama",H976="Pengeluaran Uang Kos")),OR($C$7="Semua",$C$7="",I976=$C$7),OR($C$8="Semua",$C$8="",C976=$C$8,E976=$C$8),OR($C$9="Semua",$C$9="",D976=$C$9),OR($C$10="",B976&gt;=$C$10),OR($C$11="",B976&lt;=$C$11),OR($C$12&lt;&gt;"Ya",K976&lt;&gt;""),OR($C$13="Semua",$C$13="",L976=$C$13)),"✓","")</f>
        <v/>
      </c>
      <c r="N976" s="93">
        <f>N(N975)+IF(M976="✓",1,0)</f>
        <v/>
      </c>
      <c r="O976" s="93">
        <f>N(O975)+IF(AND(B976&lt;&gt;"",B976&gt;='Uang Riba'!$H$30,B976&lt;='Uang Riba'!$I$30,OR(H976="Dana riba",H976="Pinjam uang riba",I976="Pinjam dari uang riba",I976="Ganti uang riba",I976="Kelebihan ganti dikembalikan",AND(C976="Kantong Uang Riba",G976="Pengeluaran"))),1,0)</f>
        <v/>
      </c>
      <c r="X976" s="93">
        <f>IF(AND(B976&lt;&gt;"",B976&gt;='Buku Akun'!$H$4,B976&lt;='Buku Akun'!$H$5,OR(C976='Buku Akun'!$C$4,AND(D976="Pindah",E976='Buku Akun'!$C$4))),B976+IF(AND(I976="Selisih bunga",DAY(B976)=1),0,0.01)+ROW()/10000000,"")</f>
        <v/>
      </c>
    </row>
    <row r="977" outlineLevel="1" ht="15" customHeight="1" s="94">
      <c r="A977" s="123">
        <f>IF(B977="","",ROW()-15)</f>
        <v/>
      </c>
      <c r="B977" s="124" t="n"/>
      <c r="C977" s="123" t="n"/>
      <c r="D977" s="123" t="n"/>
      <c r="E977" s="123" t="n"/>
      <c r="F977" s="125" t="n"/>
      <c r="G977" s="123" t="n"/>
      <c r="H977" s="123" t="n"/>
      <c r="I977" s="123" t="n"/>
      <c r="J977" s="123" t="n"/>
      <c r="K977" s="123" t="n"/>
      <c r="L977" s="123" t="n"/>
      <c r="M977" s="123">
        <f>IF(AND(B977&lt;&gt;"",OR($C$4="",ISNUMBER(SEARCH($C$4,C977&amp;" "&amp;E977&amp;" "&amp;G977&amp;" "&amp;H977&amp;" "&amp;I977&amp;" "&amp;J977&amp;" "&amp;K977&amp;" "&amp;L977))),OR($C$5="Semua",$C$5="",G977=$C$5),OR($C$6="Semua",$C$6="",H977=$C$6,H977="Pengeluaran "&amp;$C$6,AND($C$6="Uang Kos Mama",H977="Pengeluaran Uang Kos")),OR($C$7="Semua",$C$7="",I977=$C$7),OR($C$8="Semua",$C$8="",C977=$C$8,E977=$C$8),OR($C$9="Semua",$C$9="",D977=$C$9),OR($C$10="",B977&gt;=$C$10),OR($C$11="",B977&lt;=$C$11),OR($C$12&lt;&gt;"Ya",K977&lt;&gt;""),OR($C$13="Semua",$C$13="",L977=$C$13)),"✓","")</f>
        <v/>
      </c>
      <c r="N977" s="93">
        <f>N(N976)+IF(M977="✓",1,0)</f>
        <v/>
      </c>
      <c r="O977" s="93">
        <f>N(O976)+IF(AND(B977&lt;&gt;"",B977&gt;='Uang Riba'!$H$30,B977&lt;='Uang Riba'!$I$30,OR(H977="Dana riba",H977="Pinjam uang riba",I977="Pinjam dari uang riba",I977="Ganti uang riba",I977="Kelebihan ganti dikembalikan",AND(C977="Kantong Uang Riba",G977="Pengeluaran"))),1,0)</f>
        <v/>
      </c>
      <c r="X977" s="93">
        <f>IF(AND(B977&lt;&gt;"",B977&gt;='Buku Akun'!$H$4,B977&lt;='Buku Akun'!$H$5,OR(C977='Buku Akun'!$C$4,AND(D977="Pindah",E977='Buku Akun'!$C$4))),B977+IF(AND(I977="Selisih bunga",DAY(B977)=1),0,0.01)+ROW()/10000000,"")</f>
        <v/>
      </c>
    </row>
    <row r="978" outlineLevel="1" ht="15" customHeight="1" s="94">
      <c r="A978" s="123">
        <f>IF(B978="","",ROW()-15)</f>
        <v/>
      </c>
      <c r="B978" s="124" t="n"/>
      <c r="C978" s="123" t="n"/>
      <c r="D978" s="123" t="n"/>
      <c r="E978" s="123" t="n"/>
      <c r="F978" s="125" t="n"/>
      <c r="G978" s="123" t="n"/>
      <c r="H978" s="123" t="n"/>
      <c r="I978" s="123" t="n"/>
      <c r="J978" s="123" t="n"/>
      <c r="K978" s="123" t="n"/>
      <c r="L978" s="123" t="n"/>
      <c r="M978" s="123">
        <f>IF(AND(B978&lt;&gt;"",OR($C$4="",ISNUMBER(SEARCH($C$4,C978&amp;" "&amp;E978&amp;" "&amp;G978&amp;" "&amp;H978&amp;" "&amp;I978&amp;" "&amp;J978&amp;" "&amp;K978&amp;" "&amp;L978))),OR($C$5="Semua",$C$5="",G978=$C$5),OR($C$6="Semua",$C$6="",H978=$C$6,H978="Pengeluaran "&amp;$C$6,AND($C$6="Uang Kos Mama",H978="Pengeluaran Uang Kos")),OR($C$7="Semua",$C$7="",I978=$C$7),OR($C$8="Semua",$C$8="",C978=$C$8,E978=$C$8),OR($C$9="Semua",$C$9="",D978=$C$9),OR($C$10="",B978&gt;=$C$10),OR($C$11="",B978&lt;=$C$11),OR($C$12&lt;&gt;"Ya",K978&lt;&gt;""),OR($C$13="Semua",$C$13="",L978=$C$13)),"✓","")</f>
        <v/>
      </c>
      <c r="N978" s="93">
        <f>N(N977)+IF(M978="✓",1,0)</f>
        <v/>
      </c>
      <c r="O978" s="93">
        <f>N(O977)+IF(AND(B978&lt;&gt;"",B978&gt;='Uang Riba'!$H$30,B978&lt;='Uang Riba'!$I$30,OR(H978="Dana riba",H978="Pinjam uang riba",I978="Pinjam dari uang riba",I978="Ganti uang riba",I978="Kelebihan ganti dikembalikan",AND(C978="Kantong Uang Riba",G978="Pengeluaran"))),1,0)</f>
        <v/>
      </c>
      <c r="X978" s="93">
        <f>IF(AND(B978&lt;&gt;"",B978&gt;='Buku Akun'!$H$4,B978&lt;='Buku Akun'!$H$5,OR(C978='Buku Akun'!$C$4,AND(D978="Pindah",E978='Buku Akun'!$C$4))),B978+IF(AND(I978="Selisih bunga",DAY(B978)=1),0,0.01)+ROW()/10000000,"")</f>
        <v/>
      </c>
    </row>
    <row r="979" outlineLevel="1" ht="15" customHeight="1" s="94">
      <c r="A979" s="123">
        <f>IF(B979="","",ROW()-15)</f>
        <v/>
      </c>
      <c r="B979" s="124" t="n"/>
      <c r="C979" s="123" t="n"/>
      <c r="D979" s="123" t="n"/>
      <c r="E979" s="123" t="n"/>
      <c r="F979" s="125" t="n"/>
      <c r="G979" s="123" t="n"/>
      <c r="H979" s="123" t="n"/>
      <c r="I979" s="123" t="n"/>
      <c r="J979" s="123" t="n"/>
      <c r="K979" s="123" t="n"/>
      <c r="L979" s="123" t="n"/>
      <c r="M979" s="123">
        <f>IF(AND(B979&lt;&gt;"",OR($C$4="",ISNUMBER(SEARCH($C$4,C979&amp;" "&amp;E979&amp;" "&amp;G979&amp;" "&amp;H979&amp;" "&amp;I979&amp;" "&amp;J979&amp;" "&amp;K979&amp;" "&amp;L979))),OR($C$5="Semua",$C$5="",G979=$C$5),OR($C$6="Semua",$C$6="",H979=$C$6,H979="Pengeluaran "&amp;$C$6,AND($C$6="Uang Kos Mama",H979="Pengeluaran Uang Kos")),OR($C$7="Semua",$C$7="",I979=$C$7),OR($C$8="Semua",$C$8="",C979=$C$8,E979=$C$8),OR($C$9="Semua",$C$9="",D979=$C$9),OR($C$10="",B979&gt;=$C$10),OR($C$11="",B979&lt;=$C$11),OR($C$12&lt;&gt;"Ya",K979&lt;&gt;""),OR($C$13="Semua",$C$13="",L979=$C$13)),"✓","")</f>
        <v/>
      </c>
      <c r="N979" s="93">
        <f>N(N978)+IF(M979="✓",1,0)</f>
        <v/>
      </c>
      <c r="O979" s="93">
        <f>N(O978)+IF(AND(B979&lt;&gt;"",B979&gt;='Uang Riba'!$H$30,B979&lt;='Uang Riba'!$I$30,OR(H979="Dana riba",H979="Pinjam uang riba",I979="Pinjam dari uang riba",I979="Ganti uang riba",I979="Kelebihan ganti dikembalikan",AND(C979="Kantong Uang Riba",G979="Pengeluaran"))),1,0)</f>
        <v/>
      </c>
      <c r="X979" s="93">
        <f>IF(AND(B979&lt;&gt;"",B979&gt;='Buku Akun'!$H$4,B979&lt;='Buku Akun'!$H$5,OR(C979='Buku Akun'!$C$4,AND(D979="Pindah",E979='Buku Akun'!$C$4))),B979+IF(AND(I979="Selisih bunga",DAY(B979)=1),0,0.01)+ROW()/10000000,"")</f>
        <v/>
      </c>
    </row>
    <row r="980" outlineLevel="1" ht="15" customHeight="1" s="94">
      <c r="A980" s="123">
        <f>IF(B980="","",ROW()-15)</f>
        <v/>
      </c>
      <c r="B980" s="124" t="n"/>
      <c r="C980" s="123" t="n"/>
      <c r="D980" s="123" t="n"/>
      <c r="E980" s="123" t="n"/>
      <c r="F980" s="125" t="n"/>
      <c r="G980" s="123" t="n"/>
      <c r="H980" s="123" t="n"/>
      <c r="I980" s="123" t="n"/>
      <c r="J980" s="123" t="n"/>
      <c r="K980" s="123" t="n"/>
      <c r="L980" s="123" t="n"/>
      <c r="M980" s="123">
        <f>IF(AND(B980&lt;&gt;"",OR($C$4="",ISNUMBER(SEARCH($C$4,C980&amp;" "&amp;E980&amp;" "&amp;G980&amp;" "&amp;H980&amp;" "&amp;I980&amp;" "&amp;J980&amp;" "&amp;K980&amp;" "&amp;L980))),OR($C$5="Semua",$C$5="",G980=$C$5),OR($C$6="Semua",$C$6="",H980=$C$6,H980="Pengeluaran "&amp;$C$6,AND($C$6="Uang Kos Mama",H980="Pengeluaran Uang Kos")),OR($C$7="Semua",$C$7="",I980=$C$7),OR($C$8="Semua",$C$8="",C980=$C$8,E980=$C$8),OR($C$9="Semua",$C$9="",D980=$C$9),OR($C$10="",B980&gt;=$C$10),OR($C$11="",B980&lt;=$C$11),OR($C$12&lt;&gt;"Ya",K980&lt;&gt;""),OR($C$13="Semua",$C$13="",L980=$C$13)),"✓","")</f>
        <v/>
      </c>
      <c r="N980" s="93">
        <f>N(N979)+IF(M980="✓",1,0)</f>
        <v/>
      </c>
      <c r="O980" s="93">
        <f>N(O979)+IF(AND(B980&lt;&gt;"",B980&gt;='Uang Riba'!$H$30,B980&lt;='Uang Riba'!$I$30,OR(H980="Dana riba",H980="Pinjam uang riba",I980="Pinjam dari uang riba",I980="Ganti uang riba",I980="Kelebihan ganti dikembalikan",AND(C980="Kantong Uang Riba",G980="Pengeluaran"))),1,0)</f>
        <v/>
      </c>
      <c r="X980" s="93">
        <f>IF(AND(B980&lt;&gt;"",B980&gt;='Buku Akun'!$H$4,B980&lt;='Buku Akun'!$H$5,OR(C980='Buku Akun'!$C$4,AND(D980="Pindah",E980='Buku Akun'!$C$4))),B980+IF(AND(I980="Selisih bunga",DAY(B980)=1),0,0.01)+ROW()/10000000,"")</f>
        <v/>
      </c>
    </row>
    <row r="981" outlineLevel="1" ht="15" customHeight="1" s="94">
      <c r="A981" s="123">
        <f>IF(B981="","",ROW()-15)</f>
        <v/>
      </c>
      <c r="B981" s="124" t="n"/>
      <c r="C981" s="123" t="n"/>
      <c r="D981" s="123" t="n"/>
      <c r="E981" s="123" t="n"/>
      <c r="F981" s="125" t="n"/>
      <c r="G981" s="123" t="n"/>
      <c r="H981" s="123" t="n"/>
      <c r="I981" s="123" t="n"/>
      <c r="J981" s="123" t="n"/>
      <c r="K981" s="123" t="n"/>
      <c r="L981" s="123" t="n"/>
      <c r="M981" s="123">
        <f>IF(AND(B981&lt;&gt;"",OR($C$4="",ISNUMBER(SEARCH($C$4,C981&amp;" "&amp;E981&amp;" "&amp;G981&amp;" "&amp;H981&amp;" "&amp;I981&amp;" "&amp;J981&amp;" "&amp;K981&amp;" "&amp;L981))),OR($C$5="Semua",$C$5="",G981=$C$5),OR($C$6="Semua",$C$6="",H981=$C$6,H981="Pengeluaran "&amp;$C$6,AND($C$6="Uang Kos Mama",H981="Pengeluaran Uang Kos")),OR($C$7="Semua",$C$7="",I981=$C$7),OR($C$8="Semua",$C$8="",C981=$C$8,E981=$C$8),OR($C$9="Semua",$C$9="",D981=$C$9),OR($C$10="",B981&gt;=$C$10),OR($C$11="",B981&lt;=$C$11),OR($C$12&lt;&gt;"Ya",K981&lt;&gt;""),OR($C$13="Semua",$C$13="",L981=$C$13)),"✓","")</f>
        <v/>
      </c>
      <c r="N981" s="93">
        <f>N(N980)+IF(M981="✓",1,0)</f>
        <v/>
      </c>
      <c r="O981" s="93">
        <f>N(O980)+IF(AND(B981&lt;&gt;"",B981&gt;='Uang Riba'!$H$30,B981&lt;='Uang Riba'!$I$30,OR(H981="Dana riba",H981="Pinjam uang riba",I981="Pinjam dari uang riba",I981="Ganti uang riba",I981="Kelebihan ganti dikembalikan",AND(C981="Kantong Uang Riba",G981="Pengeluaran"))),1,0)</f>
        <v/>
      </c>
      <c r="X981" s="93">
        <f>IF(AND(B981&lt;&gt;"",B981&gt;='Buku Akun'!$H$4,B981&lt;='Buku Akun'!$H$5,OR(C981='Buku Akun'!$C$4,AND(D981="Pindah",E981='Buku Akun'!$C$4))),B981+IF(AND(I981="Selisih bunga",DAY(B981)=1),0,0.01)+ROW()/10000000,"")</f>
        <v/>
      </c>
    </row>
    <row r="982" outlineLevel="1" ht="15" customHeight="1" s="94">
      <c r="A982" s="123">
        <f>IF(B982="","",ROW()-15)</f>
        <v/>
      </c>
      <c r="B982" s="124" t="n"/>
      <c r="C982" s="123" t="n"/>
      <c r="D982" s="123" t="n"/>
      <c r="E982" s="123" t="n"/>
      <c r="F982" s="125" t="n"/>
      <c r="G982" s="123" t="n"/>
      <c r="H982" s="123" t="n"/>
      <c r="I982" s="123" t="n"/>
      <c r="J982" s="123" t="n"/>
      <c r="K982" s="123" t="n"/>
      <c r="L982" s="123" t="n"/>
      <c r="M982" s="123">
        <f>IF(AND(B982&lt;&gt;"",OR($C$4="",ISNUMBER(SEARCH($C$4,C982&amp;" "&amp;E982&amp;" "&amp;G982&amp;" "&amp;H982&amp;" "&amp;I982&amp;" "&amp;J982&amp;" "&amp;K982&amp;" "&amp;L982))),OR($C$5="Semua",$C$5="",G982=$C$5),OR($C$6="Semua",$C$6="",H982=$C$6,H982="Pengeluaran "&amp;$C$6,AND($C$6="Uang Kos Mama",H982="Pengeluaran Uang Kos")),OR($C$7="Semua",$C$7="",I982=$C$7),OR($C$8="Semua",$C$8="",C982=$C$8,E982=$C$8),OR($C$9="Semua",$C$9="",D982=$C$9),OR($C$10="",B982&gt;=$C$10),OR($C$11="",B982&lt;=$C$11),OR($C$12&lt;&gt;"Ya",K982&lt;&gt;""),OR($C$13="Semua",$C$13="",L982=$C$13)),"✓","")</f>
        <v/>
      </c>
      <c r="N982" s="93">
        <f>N(N981)+IF(M982="✓",1,0)</f>
        <v/>
      </c>
      <c r="O982" s="93">
        <f>N(O981)+IF(AND(B982&lt;&gt;"",B982&gt;='Uang Riba'!$H$30,B982&lt;='Uang Riba'!$I$30,OR(H982="Dana riba",H982="Pinjam uang riba",I982="Pinjam dari uang riba",I982="Ganti uang riba",I982="Kelebihan ganti dikembalikan",AND(C982="Kantong Uang Riba",G982="Pengeluaran"))),1,0)</f>
        <v/>
      </c>
      <c r="X982" s="93">
        <f>IF(AND(B982&lt;&gt;"",B982&gt;='Buku Akun'!$H$4,B982&lt;='Buku Akun'!$H$5,OR(C982='Buku Akun'!$C$4,AND(D982="Pindah",E982='Buku Akun'!$C$4))),B982+IF(AND(I982="Selisih bunga",DAY(B982)=1),0,0.01)+ROW()/10000000,"")</f>
        <v/>
      </c>
    </row>
    <row r="983" outlineLevel="1" ht="15" customHeight="1" s="94">
      <c r="A983" s="123">
        <f>IF(B983="","",ROW()-15)</f>
        <v/>
      </c>
      <c r="B983" s="124" t="n"/>
      <c r="C983" s="123" t="n"/>
      <c r="D983" s="123" t="n"/>
      <c r="E983" s="123" t="n"/>
      <c r="F983" s="125" t="n"/>
      <c r="G983" s="123" t="n"/>
      <c r="H983" s="123" t="n"/>
      <c r="I983" s="123" t="n"/>
      <c r="J983" s="123" t="n"/>
      <c r="K983" s="123" t="n"/>
      <c r="L983" s="123" t="n"/>
      <c r="M983" s="123">
        <f>IF(AND(B983&lt;&gt;"",OR($C$4="",ISNUMBER(SEARCH($C$4,C983&amp;" "&amp;E983&amp;" "&amp;G983&amp;" "&amp;H983&amp;" "&amp;I983&amp;" "&amp;J983&amp;" "&amp;K983&amp;" "&amp;L983))),OR($C$5="Semua",$C$5="",G983=$C$5),OR($C$6="Semua",$C$6="",H983=$C$6,H983="Pengeluaran "&amp;$C$6,AND($C$6="Uang Kos Mama",H983="Pengeluaran Uang Kos")),OR($C$7="Semua",$C$7="",I983=$C$7),OR($C$8="Semua",$C$8="",C983=$C$8,E983=$C$8),OR($C$9="Semua",$C$9="",D983=$C$9),OR($C$10="",B983&gt;=$C$10),OR($C$11="",B983&lt;=$C$11),OR($C$12&lt;&gt;"Ya",K983&lt;&gt;""),OR($C$13="Semua",$C$13="",L983=$C$13)),"✓","")</f>
        <v/>
      </c>
      <c r="N983" s="93">
        <f>N(N982)+IF(M983="✓",1,0)</f>
        <v/>
      </c>
      <c r="O983" s="93">
        <f>N(O982)+IF(AND(B983&lt;&gt;"",B983&gt;='Uang Riba'!$H$30,B983&lt;='Uang Riba'!$I$30,OR(H983="Dana riba",H983="Pinjam uang riba",I983="Pinjam dari uang riba",I983="Ganti uang riba",I983="Kelebihan ganti dikembalikan",AND(C983="Kantong Uang Riba",G983="Pengeluaran"))),1,0)</f>
        <v/>
      </c>
      <c r="X983" s="93">
        <f>IF(AND(B983&lt;&gt;"",B983&gt;='Buku Akun'!$H$4,B983&lt;='Buku Akun'!$H$5,OR(C983='Buku Akun'!$C$4,AND(D983="Pindah",E983='Buku Akun'!$C$4))),B983+IF(AND(I983="Selisih bunga",DAY(B983)=1),0,0.01)+ROW()/10000000,"")</f>
        <v/>
      </c>
    </row>
    <row r="984" outlineLevel="1" ht="15" customHeight="1" s="94">
      <c r="A984" s="123">
        <f>IF(B984="","",ROW()-15)</f>
        <v/>
      </c>
      <c r="B984" s="124" t="n"/>
      <c r="C984" s="123" t="n"/>
      <c r="D984" s="123" t="n"/>
      <c r="E984" s="123" t="n"/>
      <c r="F984" s="125" t="n"/>
      <c r="G984" s="123" t="n"/>
      <c r="H984" s="123" t="n"/>
      <c r="I984" s="123" t="n"/>
      <c r="J984" s="123" t="n"/>
      <c r="K984" s="123" t="n"/>
      <c r="L984" s="123" t="n"/>
      <c r="M984" s="123">
        <f>IF(AND(B984&lt;&gt;"",OR($C$4="",ISNUMBER(SEARCH($C$4,C984&amp;" "&amp;E984&amp;" "&amp;G984&amp;" "&amp;H984&amp;" "&amp;I984&amp;" "&amp;J984&amp;" "&amp;K984&amp;" "&amp;L984))),OR($C$5="Semua",$C$5="",G984=$C$5),OR($C$6="Semua",$C$6="",H984=$C$6,H984="Pengeluaran "&amp;$C$6,AND($C$6="Uang Kos Mama",H984="Pengeluaran Uang Kos")),OR($C$7="Semua",$C$7="",I984=$C$7),OR($C$8="Semua",$C$8="",C984=$C$8,E984=$C$8),OR($C$9="Semua",$C$9="",D984=$C$9),OR($C$10="",B984&gt;=$C$10),OR($C$11="",B984&lt;=$C$11),OR($C$12&lt;&gt;"Ya",K984&lt;&gt;""),OR($C$13="Semua",$C$13="",L984=$C$13)),"✓","")</f>
        <v/>
      </c>
      <c r="N984" s="93">
        <f>N(N983)+IF(M984="✓",1,0)</f>
        <v/>
      </c>
      <c r="O984" s="93">
        <f>N(O983)+IF(AND(B984&lt;&gt;"",B984&gt;='Uang Riba'!$H$30,B984&lt;='Uang Riba'!$I$30,OR(H984="Dana riba",H984="Pinjam uang riba",I984="Pinjam dari uang riba",I984="Ganti uang riba",I984="Kelebihan ganti dikembalikan",AND(C984="Kantong Uang Riba",G984="Pengeluaran"))),1,0)</f>
        <v/>
      </c>
      <c r="X984" s="93">
        <f>IF(AND(B984&lt;&gt;"",B984&gt;='Buku Akun'!$H$4,B984&lt;='Buku Akun'!$H$5,OR(C984='Buku Akun'!$C$4,AND(D984="Pindah",E984='Buku Akun'!$C$4))),B984+IF(AND(I984="Selisih bunga",DAY(B984)=1),0,0.01)+ROW()/10000000,"")</f>
        <v/>
      </c>
    </row>
    <row r="985" outlineLevel="1" ht="15" customHeight="1" s="94">
      <c r="A985" s="123">
        <f>IF(B985="","",ROW()-15)</f>
        <v/>
      </c>
      <c r="B985" s="124" t="n"/>
      <c r="C985" s="123" t="n"/>
      <c r="D985" s="123" t="n"/>
      <c r="E985" s="123" t="n"/>
      <c r="F985" s="125" t="n"/>
      <c r="G985" s="123" t="n"/>
      <c r="H985" s="123" t="n"/>
      <c r="I985" s="123" t="n"/>
      <c r="J985" s="123" t="n"/>
      <c r="K985" s="123" t="n"/>
      <c r="L985" s="123" t="n"/>
      <c r="M985" s="123">
        <f>IF(AND(B985&lt;&gt;"",OR($C$4="",ISNUMBER(SEARCH($C$4,C985&amp;" "&amp;E985&amp;" "&amp;G985&amp;" "&amp;H985&amp;" "&amp;I985&amp;" "&amp;J985&amp;" "&amp;K985&amp;" "&amp;L985))),OR($C$5="Semua",$C$5="",G985=$C$5),OR($C$6="Semua",$C$6="",H985=$C$6,H985="Pengeluaran "&amp;$C$6,AND($C$6="Uang Kos Mama",H985="Pengeluaran Uang Kos")),OR($C$7="Semua",$C$7="",I985=$C$7),OR($C$8="Semua",$C$8="",C985=$C$8,E985=$C$8),OR($C$9="Semua",$C$9="",D985=$C$9),OR($C$10="",B985&gt;=$C$10),OR($C$11="",B985&lt;=$C$11),OR($C$12&lt;&gt;"Ya",K985&lt;&gt;""),OR($C$13="Semua",$C$13="",L985=$C$13)),"✓","")</f>
        <v/>
      </c>
      <c r="N985" s="93">
        <f>N(N984)+IF(M985="✓",1,0)</f>
        <v/>
      </c>
      <c r="O985" s="93">
        <f>N(O984)+IF(AND(B985&lt;&gt;"",B985&gt;='Uang Riba'!$H$30,B985&lt;='Uang Riba'!$I$30,OR(H985="Dana riba",H985="Pinjam uang riba",I985="Pinjam dari uang riba",I985="Ganti uang riba",I985="Kelebihan ganti dikembalikan",AND(C985="Kantong Uang Riba",G985="Pengeluaran"))),1,0)</f>
        <v/>
      </c>
      <c r="X985" s="93">
        <f>IF(AND(B985&lt;&gt;"",B985&gt;='Buku Akun'!$H$4,B985&lt;='Buku Akun'!$H$5,OR(C985='Buku Akun'!$C$4,AND(D985="Pindah",E985='Buku Akun'!$C$4))),B985+IF(AND(I985="Selisih bunga",DAY(B985)=1),0,0.01)+ROW()/10000000,"")</f>
        <v/>
      </c>
    </row>
    <row r="986" outlineLevel="1" ht="15" customHeight="1" s="94">
      <c r="A986" s="123">
        <f>IF(B986="","",ROW()-15)</f>
        <v/>
      </c>
      <c r="B986" s="124" t="n"/>
      <c r="C986" s="123" t="n"/>
      <c r="D986" s="123" t="n"/>
      <c r="E986" s="123" t="n"/>
      <c r="F986" s="125" t="n"/>
      <c r="G986" s="123" t="n"/>
      <c r="H986" s="123" t="n"/>
      <c r="I986" s="123" t="n"/>
      <c r="J986" s="123" t="n"/>
      <c r="K986" s="123" t="n"/>
      <c r="L986" s="123" t="n"/>
      <c r="M986" s="123">
        <f>IF(AND(B986&lt;&gt;"",OR($C$4="",ISNUMBER(SEARCH($C$4,C986&amp;" "&amp;E986&amp;" "&amp;G986&amp;" "&amp;H986&amp;" "&amp;I986&amp;" "&amp;J986&amp;" "&amp;K986&amp;" "&amp;L986))),OR($C$5="Semua",$C$5="",G986=$C$5),OR($C$6="Semua",$C$6="",H986=$C$6,H986="Pengeluaran "&amp;$C$6,AND($C$6="Uang Kos Mama",H986="Pengeluaran Uang Kos")),OR($C$7="Semua",$C$7="",I986=$C$7),OR($C$8="Semua",$C$8="",C986=$C$8,E986=$C$8),OR($C$9="Semua",$C$9="",D986=$C$9),OR($C$10="",B986&gt;=$C$10),OR($C$11="",B986&lt;=$C$11),OR($C$12&lt;&gt;"Ya",K986&lt;&gt;""),OR($C$13="Semua",$C$13="",L986=$C$13)),"✓","")</f>
        <v/>
      </c>
      <c r="N986" s="93">
        <f>N(N985)+IF(M986="✓",1,0)</f>
        <v/>
      </c>
      <c r="O986" s="93">
        <f>N(O985)+IF(AND(B986&lt;&gt;"",B986&gt;='Uang Riba'!$H$30,B986&lt;='Uang Riba'!$I$30,OR(H986="Dana riba",H986="Pinjam uang riba",I986="Pinjam dari uang riba",I986="Ganti uang riba",I986="Kelebihan ganti dikembalikan",AND(C986="Kantong Uang Riba",G986="Pengeluaran"))),1,0)</f>
        <v/>
      </c>
      <c r="X986" s="93">
        <f>IF(AND(B986&lt;&gt;"",B986&gt;='Buku Akun'!$H$4,B986&lt;='Buku Akun'!$H$5,OR(C986='Buku Akun'!$C$4,AND(D986="Pindah",E986='Buku Akun'!$C$4))),B986+IF(AND(I986="Selisih bunga",DAY(B986)=1),0,0.01)+ROW()/10000000,"")</f>
        <v/>
      </c>
    </row>
    <row r="987" outlineLevel="1" ht="15" customHeight="1" s="94">
      <c r="A987" s="123">
        <f>IF(B987="","",ROW()-15)</f>
        <v/>
      </c>
      <c r="B987" s="124" t="n"/>
      <c r="C987" s="123" t="n"/>
      <c r="D987" s="123" t="n"/>
      <c r="E987" s="123" t="n"/>
      <c r="F987" s="125" t="n"/>
      <c r="G987" s="123" t="n"/>
      <c r="H987" s="123" t="n"/>
      <c r="I987" s="123" t="n"/>
      <c r="J987" s="123" t="n"/>
      <c r="K987" s="123" t="n"/>
      <c r="L987" s="123" t="n"/>
      <c r="M987" s="123">
        <f>IF(AND(B987&lt;&gt;"",OR($C$4="",ISNUMBER(SEARCH($C$4,C987&amp;" "&amp;E987&amp;" "&amp;G987&amp;" "&amp;H987&amp;" "&amp;I987&amp;" "&amp;J987&amp;" "&amp;K987&amp;" "&amp;L987))),OR($C$5="Semua",$C$5="",G987=$C$5),OR($C$6="Semua",$C$6="",H987=$C$6,H987="Pengeluaran "&amp;$C$6,AND($C$6="Uang Kos Mama",H987="Pengeluaran Uang Kos")),OR($C$7="Semua",$C$7="",I987=$C$7),OR($C$8="Semua",$C$8="",C987=$C$8,E987=$C$8),OR($C$9="Semua",$C$9="",D987=$C$9),OR($C$10="",B987&gt;=$C$10),OR($C$11="",B987&lt;=$C$11),OR($C$12&lt;&gt;"Ya",K987&lt;&gt;""),OR($C$13="Semua",$C$13="",L987=$C$13)),"✓","")</f>
        <v/>
      </c>
      <c r="N987" s="93">
        <f>N(N986)+IF(M987="✓",1,0)</f>
        <v/>
      </c>
      <c r="O987" s="93">
        <f>N(O986)+IF(AND(B987&lt;&gt;"",B987&gt;='Uang Riba'!$H$30,B987&lt;='Uang Riba'!$I$30,OR(H987="Dana riba",H987="Pinjam uang riba",I987="Pinjam dari uang riba",I987="Ganti uang riba",I987="Kelebihan ganti dikembalikan",AND(C987="Kantong Uang Riba",G987="Pengeluaran"))),1,0)</f>
        <v/>
      </c>
      <c r="X987" s="93">
        <f>IF(AND(B987&lt;&gt;"",B987&gt;='Buku Akun'!$H$4,B987&lt;='Buku Akun'!$H$5,OR(C987='Buku Akun'!$C$4,AND(D987="Pindah",E987='Buku Akun'!$C$4))),B987+IF(AND(I987="Selisih bunga",DAY(B987)=1),0,0.01)+ROW()/10000000,"")</f>
        <v/>
      </c>
    </row>
    <row r="988" outlineLevel="1" ht="15" customHeight="1" s="94">
      <c r="A988" s="123">
        <f>IF(B988="","",ROW()-15)</f>
        <v/>
      </c>
      <c r="B988" s="124" t="n"/>
      <c r="C988" s="123" t="n"/>
      <c r="D988" s="123" t="n"/>
      <c r="E988" s="123" t="n"/>
      <c r="F988" s="125" t="n"/>
      <c r="G988" s="123" t="n"/>
      <c r="H988" s="123" t="n"/>
      <c r="I988" s="123" t="n"/>
      <c r="J988" s="123" t="n"/>
      <c r="K988" s="123" t="n"/>
      <c r="L988" s="123" t="n"/>
      <c r="M988" s="123">
        <f>IF(AND(B988&lt;&gt;"",OR($C$4="",ISNUMBER(SEARCH($C$4,C988&amp;" "&amp;E988&amp;" "&amp;G988&amp;" "&amp;H988&amp;" "&amp;I988&amp;" "&amp;J988&amp;" "&amp;K988&amp;" "&amp;L988))),OR($C$5="Semua",$C$5="",G988=$C$5),OR($C$6="Semua",$C$6="",H988=$C$6,H988="Pengeluaran "&amp;$C$6,AND($C$6="Uang Kos Mama",H988="Pengeluaran Uang Kos")),OR($C$7="Semua",$C$7="",I988=$C$7),OR($C$8="Semua",$C$8="",C988=$C$8,E988=$C$8),OR($C$9="Semua",$C$9="",D988=$C$9),OR($C$10="",B988&gt;=$C$10),OR($C$11="",B988&lt;=$C$11),OR($C$12&lt;&gt;"Ya",K988&lt;&gt;""),OR($C$13="Semua",$C$13="",L988=$C$13)),"✓","")</f>
        <v/>
      </c>
      <c r="N988" s="93">
        <f>N(N987)+IF(M988="✓",1,0)</f>
        <v/>
      </c>
      <c r="O988" s="93">
        <f>N(O987)+IF(AND(B988&lt;&gt;"",B988&gt;='Uang Riba'!$H$30,B988&lt;='Uang Riba'!$I$30,OR(H988="Dana riba",H988="Pinjam uang riba",I988="Pinjam dari uang riba",I988="Ganti uang riba",I988="Kelebihan ganti dikembalikan",AND(C988="Kantong Uang Riba",G988="Pengeluaran"))),1,0)</f>
        <v/>
      </c>
      <c r="X988" s="93">
        <f>IF(AND(B988&lt;&gt;"",B988&gt;='Buku Akun'!$H$4,B988&lt;='Buku Akun'!$H$5,OR(C988='Buku Akun'!$C$4,AND(D988="Pindah",E988='Buku Akun'!$C$4))),B988+IF(AND(I988="Selisih bunga",DAY(B988)=1),0,0.01)+ROW()/10000000,"")</f>
        <v/>
      </c>
    </row>
    <row r="989" outlineLevel="1" ht="15" customHeight="1" s="94">
      <c r="A989" s="123">
        <f>IF(B989="","",ROW()-15)</f>
        <v/>
      </c>
      <c r="B989" s="124" t="n"/>
      <c r="C989" s="123" t="n"/>
      <c r="D989" s="123" t="n"/>
      <c r="E989" s="123" t="n"/>
      <c r="F989" s="125" t="n"/>
      <c r="G989" s="123" t="n"/>
      <c r="H989" s="123" t="n"/>
      <c r="I989" s="123" t="n"/>
      <c r="J989" s="123" t="n"/>
      <c r="K989" s="123" t="n"/>
      <c r="L989" s="123" t="n"/>
      <c r="M989" s="123">
        <f>IF(AND(B989&lt;&gt;"",OR($C$4="",ISNUMBER(SEARCH($C$4,C989&amp;" "&amp;E989&amp;" "&amp;G989&amp;" "&amp;H989&amp;" "&amp;I989&amp;" "&amp;J989&amp;" "&amp;K989&amp;" "&amp;L989))),OR($C$5="Semua",$C$5="",G989=$C$5),OR($C$6="Semua",$C$6="",H989=$C$6,H989="Pengeluaran "&amp;$C$6,AND($C$6="Uang Kos Mama",H989="Pengeluaran Uang Kos")),OR($C$7="Semua",$C$7="",I989=$C$7),OR($C$8="Semua",$C$8="",C989=$C$8,E989=$C$8),OR($C$9="Semua",$C$9="",D989=$C$9),OR($C$10="",B989&gt;=$C$10),OR($C$11="",B989&lt;=$C$11),OR($C$12&lt;&gt;"Ya",K989&lt;&gt;""),OR($C$13="Semua",$C$13="",L989=$C$13)),"✓","")</f>
        <v/>
      </c>
      <c r="N989" s="93">
        <f>N(N988)+IF(M989="✓",1,0)</f>
        <v/>
      </c>
      <c r="O989" s="93">
        <f>N(O988)+IF(AND(B989&lt;&gt;"",B989&gt;='Uang Riba'!$H$30,B989&lt;='Uang Riba'!$I$30,OR(H989="Dana riba",H989="Pinjam uang riba",I989="Pinjam dari uang riba",I989="Ganti uang riba",I989="Kelebihan ganti dikembalikan",AND(C989="Kantong Uang Riba",G989="Pengeluaran"))),1,0)</f>
        <v/>
      </c>
      <c r="X989" s="93">
        <f>IF(AND(B989&lt;&gt;"",B989&gt;='Buku Akun'!$H$4,B989&lt;='Buku Akun'!$H$5,OR(C989='Buku Akun'!$C$4,AND(D989="Pindah",E989='Buku Akun'!$C$4))),B989+IF(AND(I989="Selisih bunga",DAY(B989)=1),0,0.01)+ROW()/10000000,"")</f>
        <v/>
      </c>
    </row>
    <row r="990" outlineLevel="1" ht="15" customHeight="1" s="94">
      <c r="A990" s="123">
        <f>IF(B990="","",ROW()-15)</f>
        <v/>
      </c>
      <c r="B990" s="124" t="n"/>
      <c r="C990" s="123" t="n"/>
      <c r="D990" s="123" t="n"/>
      <c r="E990" s="123" t="n"/>
      <c r="F990" s="125" t="n"/>
      <c r="G990" s="123" t="n"/>
      <c r="H990" s="123" t="n"/>
      <c r="I990" s="123" t="n"/>
      <c r="J990" s="123" t="n"/>
      <c r="K990" s="123" t="n"/>
      <c r="L990" s="123" t="n"/>
      <c r="M990" s="123">
        <f>IF(AND(B990&lt;&gt;"",OR($C$4="",ISNUMBER(SEARCH($C$4,C990&amp;" "&amp;E990&amp;" "&amp;G990&amp;" "&amp;H990&amp;" "&amp;I990&amp;" "&amp;J990&amp;" "&amp;K990&amp;" "&amp;L990))),OR($C$5="Semua",$C$5="",G990=$C$5),OR($C$6="Semua",$C$6="",H990=$C$6,H990="Pengeluaran "&amp;$C$6,AND($C$6="Uang Kos Mama",H990="Pengeluaran Uang Kos")),OR($C$7="Semua",$C$7="",I990=$C$7),OR($C$8="Semua",$C$8="",C990=$C$8,E990=$C$8),OR($C$9="Semua",$C$9="",D990=$C$9),OR($C$10="",B990&gt;=$C$10),OR($C$11="",B990&lt;=$C$11),OR($C$12&lt;&gt;"Ya",K990&lt;&gt;""),OR($C$13="Semua",$C$13="",L990=$C$13)),"✓","")</f>
        <v/>
      </c>
      <c r="N990" s="93">
        <f>N(N989)+IF(M990="✓",1,0)</f>
        <v/>
      </c>
      <c r="O990" s="93">
        <f>N(O989)+IF(AND(B990&lt;&gt;"",B990&gt;='Uang Riba'!$H$30,B990&lt;='Uang Riba'!$I$30,OR(H990="Dana riba",H990="Pinjam uang riba",I990="Pinjam dari uang riba",I990="Ganti uang riba",I990="Kelebihan ganti dikembalikan",AND(C990="Kantong Uang Riba",G990="Pengeluaran"))),1,0)</f>
        <v/>
      </c>
      <c r="X990" s="93">
        <f>IF(AND(B990&lt;&gt;"",B990&gt;='Buku Akun'!$H$4,B990&lt;='Buku Akun'!$H$5,OR(C990='Buku Akun'!$C$4,AND(D990="Pindah",E990='Buku Akun'!$C$4))),B990+IF(AND(I990="Selisih bunga",DAY(B990)=1),0,0.01)+ROW()/10000000,"")</f>
        <v/>
      </c>
    </row>
    <row r="991" outlineLevel="1" ht="15" customHeight="1" s="94">
      <c r="A991" s="123">
        <f>IF(B991="","",ROW()-15)</f>
        <v/>
      </c>
      <c r="B991" s="124" t="n"/>
      <c r="C991" s="123" t="n"/>
      <c r="D991" s="123" t="n"/>
      <c r="E991" s="123" t="n"/>
      <c r="F991" s="125" t="n"/>
      <c r="G991" s="123" t="n"/>
      <c r="H991" s="123" t="n"/>
      <c r="I991" s="123" t="n"/>
      <c r="J991" s="123" t="n"/>
      <c r="K991" s="123" t="n"/>
      <c r="L991" s="123" t="n"/>
      <c r="M991" s="123">
        <f>IF(AND(B991&lt;&gt;"",OR($C$4="",ISNUMBER(SEARCH($C$4,C991&amp;" "&amp;E991&amp;" "&amp;G991&amp;" "&amp;H991&amp;" "&amp;I991&amp;" "&amp;J991&amp;" "&amp;K991&amp;" "&amp;L991))),OR($C$5="Semua",$C$5="",G991=$C$5),OR($C$6="Semua",$C$6="",H991=$C$6,H991="Pengeluaran "&amp;$C$6,AND($C$6="Uang Kos Mama",H991="Pengeluaran Uang Kos")),OR($C$7="Semua",$C$7="",I991=$C$7),OR($C$8="Semua",$C$8="",C991=$C$8,E991=$C$8),OR($C$9="Semua",$C$9="",D991=$C$9),OR($C$10="",B991&gt;=$C$10),OR($C$11="",B991&lt;=$C$11),OR($C$12&lt;&gt;"Ya",K991&lt;&gt;""),OR($C$13="Semua",$C$13="",L991=$C$13)),"✓","")</f>
        <v/>
      </c>
      <c r="N991" s="93">
        <f>N(N990)+IF(M991="✓",1,0)</f>
        <v/>
      </c>
      <c r="O991" s="93">
        <f>N(O990)+IF(AND(B991&lt;&gt;"",B991&gt;='Uang Riba'!$H$30,B991&lt;='Uang Riba'!$I$30,OR(H991="Dana riba",H991="Pinjam uang riba",I991="Pinjam dari uang riba",I991="Ganti uang riba",I991="Kelebihan ganti dikembalikan",AND(C991="Kantong Uang Riba",G991="Pengeluaran"))),1,0)</f>
        <v/>
      </c>
      <c r="X991" s="93">
        <f>IF(AND(B991&lt;&gt;"",B991&gt;='Buku Akun'!$H$4,B991&lt;='Buku Akun'!$H$5,OR(C991='Buku Akun'!$C$4,AND(D991="Pindah",E991='Buku Akun'!$C$4))),B991+IF(AND(I991="Selisih bunga",DAY(B991)=1),0,0.01)+ROW()/10000000,"")</f>
        <v/>
      </c>
    </row>
    <row r="992" outlineLevel="1" ht="15" customHeight="1" s="94">
      <c r="A992" s="123">
        <f>IF(B992="","",ROW()-15)</f>
        <v/>
      </c>
      <c r="B992" s="124" t="n"/>
      <c r="C992" s="123" t="n"/>
      <c r="D992" s="123" t="n"/>
      <c r="E992" s="123" t="n"/>
      <c r="F992" s="125" t="n"/>
      <c r="G992" s="123" t="n"/>
      <c r="H992" s="123" t="n"/>
      <c r="I992" s="123" t="n"/>
      <c r="J992" s="123" t="n"/>
      <c r="K992" s="123" t="n"/>
      <c r="L992" s="123" t="n"/>
      <c r="M992" s="123">
        <f>IF(AND(B992&lt;&gt;"",OR($C$4="",ISNUMBER(SEARCH($C$4,C992&amp;" "&amp;E992&amp;" "&amp;G992&amp;" "&amp;H992&amp;" "&amp;I992&amp;" "&amp;J992&amp;" "&amp;K992&amp;" "&amp;L992))),OR($C$5="Semua",$C$5="",G992=$C$5),OR($C$6="Semua",$C$6="",H992=$C$6,H992="Pengeluaran "&amp;$C$6,AND($C$6="Uang Kos Mama",H992="Pengeluaran Uang Kos")),OR($C$7="Semua",$C$7="",I992=$C$7),OR($C$8="Semua",$C$8="",C992=$C$8,E992=$C$8),OR($C$9="Semua",$C$9="",D992=$C$9),OR($C$10="",B992&gt;=$C$10),OR($C$11="",B992&lt;=$C$11),OR($C$12&lt;&gt;"Ya",K992&lt;&gt;""),OR($C$13="Semua",$C$13="",L992=$C$13)),"✓","")</f>
        <v/>
      </c>
      <c r="N992" s="93">
        <f>N(N991)+IF(M992="✓",1,0)</f>
        <v/>
      </c>
      <c r="O992" s="93">
        <f>N(O991)+IF(AND(B992&lt;&gt;"",B992&gt;='Uang Riba'!$H$30,B992&lt;='Uang Riba'!$I$30,OR(H992="Dana riba",H992="Pinjam uang riba",I992="Pinjam dari uang riba",I992="Ganti uang riba",I992="Kelebihan ganti dikembalikan",AND(C992="Kantong Uang Riba",G992="Pengeluaran"))),1,0)</f>
        <v/>
      </c>
      <c r="X992" s="93">
        <f>IF(AND(B992&lt;&gt;"",B992&gt;='Buku Akun'!$H$4,B992&lt;='Buku Akun'!$H$5,OR(C992='Buku Akun'!$C$4,AND(D992="Pindah",E992='Buku Akun'!$C$4))),B992+IF(AND(I992="Selisih bunga",DAY(B992)=1),0,0.01)+ROW()/10000000,"")</f>
        <v/>
      </c>
    </row>
    <row r="993" outlineLevel="1" ht="15" customHeight="1" s="94">
      <c r="A993" s="123">
        <f>IF(B993="","",ROW()-15)</f>
        <v/>
      </c>
      <c r="B993" s="124" t="n"/>
      <c r="C993" s="123" t="n"/>
      <c r="D993" s="123" t="n"/>
      <c r="E993" s="123" t="n"/>
      <c r="F993" s="125" t="n"/>
      <c r="G993" s="123" t="n"/>
      <c r="H993" s="123" t="n"/>
      <c r="I993" s="123" t="n"/>
      <c r="J993" s="123" t="n"/>
      <c r="K993" s="123" t="n"/>
      <c r="L993" s="123" t="n"/>
      <c r="M993" s="123">
        <f>IF(AND(B993&lt;&gt;"",OR($C$4="",ISNUMBER(SEARCH($C$4,C993&amp;" "&amp;E993&amp;" "&amp;G993&amp;" "&amp;H993&amp;" "&amp;I993&amp;" "&amp;J993&amp;" "&amp;K993&amp;" "&amp;L993))),OR($C$5="Semua",$C$5="",G993=$C$5),OR($C$6="Semua",$C$6="",H993=$C$6,H993="Pengeluaran "&amp;$C$6,AND($C$6="Uang Kos Mama",H993="Pengeluaran Uang Kos")),OR($C$7="Semua",$C$7="",I993=$C$7),OR($C$8="Semua",$C$8="",C993=$C$8,E993=$C$8),OR($C$9="Semua",$C$9="",D993=$C$9),OR($C$10="",B993&gt;=$C$10),OR($C$11="",B993&lt;=$C$11),OR($C$12&lt;&gt;"Ya",K993&lt;&gt;""),OR($C$13="Semua",$C$13="",L993=$C$13)),"✓","")</f>
        <v/>
      </c>
      <c r="N993" s="93">
        <f>N(N992)+IF(M993="✓",1,0)</f>
        <v/>
      </c>
      <c r="O993" s="93">
        <f>N(O992)+IF(AND(B993&lt;&gt;"",B993&gt;='Uang Riba'!$H$30,B993&lt;='Uang Riba'!$I$30,OR(H993="Dana riba",H993="Pinjam uang riba",I993="Pinjam dari uang riba",I993="Ganti uang riba",I993="Kelebihan ganti dikembalikan",AND(C993="Kantong Uang Riba",G993="Pengeluaran"))),1,0)</f>
        <v/>
      </c>
      <c r="X993" s="93">
        <f>IF(AND(B993&lt;&gt;"",B993&gt;='Buku Akun'!$H$4,B993&lt;='Buku Akun'!$H$5,OR(C993='Buku Akun'!$C$4,AND(D993="Pindah",E993='Buku Akun'!$C$4))),B993+IF(AND(I993="Selisih bunga",DAY(B993)=1),0,0.01)+ROW()/10000000,"")</f>
        <v/>
      </c>
    </row>
    <row r="994" outlineLevel="1" ht="15" customHeight="1" s="94">
      <c r="A994" s="123">
        <f>IF(B994="","",ROW()-15)</f>
        <v/>
      </c>
      <c r="B994" s="124" t="n"/>
      <c r="C994" s="123" t="n"/>
      <c r="D994" s="123" t="n"/>
      <c r="E994" s="123" t="n"/>
      <c r="F994" s="125" t="n"/>
      <c r="G994" s="123" t="n"/>
      <c r="H994" s="123" t="n"/>
      <c r="I994" s="123" t="n"/>
      <c r="J994" s="123" t="n"/>
      <c r="K994" s="123" t="n"/>
      <c r="L994" s="123" t="n"/>
      <c r="M994" s="123">
        <f>IF(AND(B994&lt;&gt;"",OR($C$4="",ISNUMBER(SEARCH($C$4,C994&amp;" "&amp;E994&amp;" "&amp;G994&amp;" "&amp;H994&amp;" "&amp;I994&amp;" "&amp;J994&amp;" "&amp;K994&amp;" "&amp;L994))),OR($C$5="Semua",$C$5="",G994=$C$5),OR($C$6="Semua",$C$6="",H994=$C$6,H994="Pengeluaran "&amp;$C$6,AND($C$6="Uang Kos Mama",H994="Pengeluaran Uang Kos")),OR($C$7="Semua",$C$7="",I994=$C$7),OR($C$8="Semua",$C$8="",C994=$C$8,E994=$C$8),OR($C$9="Semua",$C$9="",D994=$C$9),OR($C$10="",B994&gt;=$C$10),OR($C$11="",B994&lt;=$C$11),OR($C$12&lt;&gt;"Ya",K994&lt;&gt;""),OR($C$13="Semua",$C$13="",L994=$C$13)),"✓","")</f>
        <v/>
      </c>
      <c r="N994" s="93">
        <f>N(N993)+IF(M994="✓",1,0)</f>
        <v/>
      </c>
      <c r="O994" s="93">
        <f>N(O993)+IF(AND(B994&lt;&gt;"",B994&gt;='Uang Riba'!$H$30,B994&lt;='Uang Riba'!$I$30,OR(H994="Dana riba",H994="Pinjam uang riba",I994="Pinjam dari uang riba",I994="Ganti uang riba",I994="Kelebihan ganti dikembalikan",AND(C994="Kantong Uang Riba",G994="Pengeluaran"))),1,0)</f>
        <v/>
      </c>
      <c r="X994" s="93">
        <f>IF(AND(B994&lt;&gt;"",B994&gt;='Buku Akun'!$H$4,B994&lt;='Buku Akun'!$H$5,OR(C994='Buku Akun'!$C$4,AND(D994="Pindah",E994='Buku Akun'!$C$4))),B994+IF(AND(I994="Selisih bunga",DAY(B994)=1),0,0.01)+ROW()/10000000,"")</f>
        <v/>
      </c>
    </row>
    <row r="995" outlineLevel="1" ht="15" customHeight="1" s="94">
      <c r="A995" s="123">
        <f>IF(B995="","",ROW()-15)</f>
        <v/>
      </c>
      <c r="B995" s="124" t="n"/>
      <c r="C995" s="123" t="n"/>
      <c r="D995" s="123" t="n"/>
      <c r="E995" s="123" t="n"/>
      <c r="F995" s="125" t="n"/>
      <c r="G995" s="123" t="n"/>
      <c r="H995" s="123" t="n"/>
      <c r="I995" s="123" t="n"/>
      <c r="J995" s="123" t="n"/>
      <c r="K995" s="123" t="n"/>
      <c r="L995" s="123" t="n"/>
      <c r="M995" s="123">
        <f>IF(AND(B995&lt;&gt;"",OR($C$4="",ISNUMBER(SEARCH($C$4,C995&amp;" "&amp;E995&amp;" "&amp;G995&amp;" "&amp;H995&amp;" "&amp;I995&amp;" "&amp;J995&amp;" "&amp;K995&amp;" "&amp;L995))),OR($C$5="Semua",$C$5="",G995=$C$5),OR($C$6="Semua",$C$6="",H995=$C$6,H995="Pengeluaran "&amp;$C$6,AND($C$6="Uang Kos Mama",H995="Pengeluaran Uang Kos")),OR($C$7="Semua",$C$7="",I995=$C$7),OR($C$8="Semua",$C$8="",C995=$C$8,E995=$C$8),OR($C$9="Semua",$C$9="",D995=$C$9),OR($C$10="",B995&gt;=$C$10),OR($C$11="",B995&lt;=$C$11),OR($C$12&lt;&gt;"Ya",K995&lt;&gt;""),OR($C$13="Semua",$C$13="",L995=$C$13)),"✓","")</f>
        <v/>
      </c>
      <c r="N995" s="93">
        <f>N(N994)+IF(M995="✓",1,0)</f>
        <v/>
      </c>
      <c r="O995" s="93">
        <f>N(O994)+IF(AND(B995&lt;&gt;"",B995&gt;='Uang Riba'!$H$30,B995&lt;='Uang Riba'!$I$30,OR(H995="Dana riba",H995="Pinjam uang riba",I995="Pinjam dari uang riba",I995="Ganti uang riba",I995="Kelebihan ganti dikembalikan",AND(C995="Kantong Uang Riba",G995="Pengeluaran"))),1,0)</f>
        <v/>
      </c>
      <c r="X995" s="93">
        <f>IF(AND(B995&lt;&gt;"",B995&gt;='Buku Akun'!$H$4,B995&lt;='Buku Akun'!$H$5,OR(C995='Buku Akun'!$C$4,AND(D995="Pindah",E995='Buku Akun'!$C$4))),B995+IF(AND(I995="Selisih bunga",DAY(B995)=1),0,0.01)+ROW()/10000000,"")</f>
        <v/>
      </c>
    </row>
    <row r="996" outlineLevel="1" ht="15" customHeight="1" s="94">
      <c r="A996" s="123">
        <f>IF(B996="","",ROW()-15)</f>
        <v/>
      </c>
      <c r="B996" s="124" t="n"/>
      <c r="C996" s="123" t="n"/>
      <c r="D996" s="123" t="n"/>
      <c r="E996" s="123" t="n"/>
      <c r="F996" s="125" t="n"/>
      <c r="G996" s="123" t="n"/>
      <c r="H996" s="123" t="n"/>
      <c r="I996" s="123" t="n"/>
      <c r="J996" s="123" t="n"/>
      <c r="K996" s="123" t="n"/>
      <c r="L996" s="123" t="n"/>
      <c r="M996" s="123">
        <f>IF(AND(B996&lt;&gt;"",OR($C$4="",ISNUMBER(SEARCH($C$4,C996&amp;" "&amp;E996&amp;" "&amp;G996&amp;" "&amp;H996&amp;" "&amp;I996&amp;" "&amp;J996&amp;" "&amp;K996&amp;" "&amp;L996))),OR($C$5="Semua",$C$5="",G996=$C$5),OR($C$6="Semua",$C$6="",H996=$C$6,H996="Pengeluaran "&amp;$C$6,AND($C$6="Uang Kos Mama",H996="Pengeluaran Uang Kos")),OR($C$7="Semua",$C$7="",I996=$C$7),OR($C$8="Semua",$C$8="",C996=$C$8,E996=$C$8),OR($C$9="Semua",$C$9="",D996=$C$9),OR($C$10="",B996&gt;=$C$10),OR($C$11="",B996&lt;=$C$11),OR($C$12&lt;&gt;"Ya",K996&lt;&gt;""),OR($C$13="Semua",$C$13="",L996=$C$13)),"✓","")</f>
        <v/>
      </c>
      <c r="N996" s="93">
        <f>N(N995)+IF(M996="✓",1,0)</f>
        <v/>
      </c>
      <c r="O996" s="93">
        <f>N(O995)+IF(AND(B996&lt;&gt;"",B996&gt;='Uang Riba'!$H$30,B996&lt;='Uang Riba'!$I$30,OR(H996="Dana riba",H996="Pinjam uang riba",I996="Pinjam dari uang riba",I996="Ganti uang riba",I996="Kelebihan ganti dikembalikan",AND(C996="Kantong Uang Riba",G996="Pengeluaran"))),1,0)</f>
        <v/>
      </c>
      <c r="X996" s="93">
        <f>IF(AND(B996&lt;&gt;"",B996&gt;='Buku Akun'!$H$4,B996&lt;='Buku Akun'!$H$5,OR(C996='Buku Akun'!$C$4,AND(D996="Pindah",E996='Buku Akun'!$C$4))),B996+IF(AND(I996="Selisih bunga",DAY(B996)=1),0,0.01)+ROW()/10000000,"")</f>
        <v/>
      </c>
    </row>
    <row r="997" outlineLevel="1" ht="15" customHeight="1" s="94">
      <c r="A997" s="123">
        <f>IF(B997="","",ROW()-15)</f>
        <v/>
      </c>
      <c r="B997" s="124" t="n"/>
      <c r="C997" s="123" t="n"/>
      <c r="D997" s="123" t="n"/>
      <c r="E997" s="123" t="n"/>
      <c r="F997" s="125" t="n"/>
      <c r="G997" s="123" t="n"/>
      <c r="H997" s="123" t="n"/>
      <c r="I997" s="123" t="n"/>
      <c r="J997" s="123" t="n"/>
      <c r="K997" s="123" t="n"/>
      <c r="L997" s="123" t="n"/>
      <c r="M997" s="123">
        <f>IF(AND(B997&lt;&gt;"",OR($C$4="",ISNUMBER(SEARCH($C$4,C997&amp;" "&amp;E997&amp;" "&amp;G997&amp;" "&amp;H997&amp;" "&amp;I997&amp;" "&amp;J997&amp;" "&amp;K997&amp;" "&amp;L997))),OR($C$5="Semua",$C$5="",G997=$C$5),OR($C$6="Semua",$C$6="",H997=$C$6,H997="Pengeluaran "&amp;$C$6,AND($C$6="Uang Kos Mama",H997="Pengeluaran Uang Kos")),OR($C$7="Semua",$C$7="",I997=$C$7),OR($C$8="Semua",$C$8="",C997=$C$8,E997=$C$8),OR($C$9="Semua",$C$9="",D997=$C$9),OR($C$10="",B997&gt;=$C$10),OR($C$11="",B997&lt;=$C$11),OR($C$12&lt;&gt;"Ya",K997&lt;&gt;""),OR($C$13="Semua",$C$13="",L997=$C$13)),"✓","")</f>
        <v/>
      </c>
      <c r="N997" s="93">
        <f>N(N996)+IF(M997="✓",1,0)</f>
        <v/>
      </c>
      <c r="O997" s="93">
        <f>N(O996)+IF(AND(B997&lt;&gt;"",B997&gt;='Uang Riba'!$H$30,B997&lt;='Uang Riba'!$I$30,OR(H997="Dana riba",H997="Pinjam uang riba",I997="Pinjam dari uang riba",I997="Ganti uang riba",I997="Kelebihan ganti dikembalikan",AND(C997="Kantong Uang Riba",G997="Pengeluaran"))),1,0)</f>
        <v/>
      </c>
      <c r="X997" s="93">
        <f>IF(AND(B997&lt;&gt;"",B997&gt;='Buku Akun'!$H$4,B997&lt;='Buku Akun'!$H$5,OR(C997='Buku Akun'!$C$4,AND(D997="Pindah",E997='Buku Akun'!$C$4))),B997+IF(AND(I997="Selisih bunga",DAY(B997)=1),0,0.01)+ROW()/10000000,"")</f>
        <v/>
      </c>
    </row>
    <row r="998" outlineLevel="1" ht="15" customHeight="1" s="94">
      <c r="A998" s="123">
        <f>IF(B998="","",ROW()-15)</f>
        <v/>
      </c>
      <c r="B998" s="124" t="n"/>
      <c r="C998" s="123" t="n"/>
      <c r="D998" s="123" t="n"/>
      <c r="E998" s="123" t="n"/>
      <c r="F998" s="125" t="n"/>
      <c r="G998" s="123" t="n"/>
      <c r="H998" s="123" t="n"/>
      <c r="I998" s="123" t="n"/>
      <c r="J998" s="123" t="n"/>
      <c r="K998" s="123" t="n"/>
      <c r="L998" s="123" t="n"/>
      <c r="M998" s="123">
        <f>IF(AND(B998&lt;&gt;"",OR($C$4="",ISNUMBER(SEARCH($C$4,C998&amp;" "&amp;E998&amp;" "&amp;G998&amp;" "&amp;H998&amp;" "&amp;I998&amp;" "&amp;J998&amp;" "&amp;K998&amp;" "&amp;L998))),OR($C$5="Semua",$C$5="",G998=$C$5),OR($C$6="Semua",$C$6="",H998=$C$6,H998="Pengeluaran "&amp;$C$6,AND($C$6="Uang Kos Mama",H998="Pengeluaran Uang Kos")),OR($C$7="Semua",$C$7="",I998=$C$7),OR($C$8="Semua",$C$8="",C998=$C$8,E998=$C$8),OR($C$9="Semua",$C$9="",D998=$C$9),OR($C$10="",B998&gt;=$C$10),OR($C$11="",B998&lt;=$C$11),OR($C$12&lt;&gt;"Ya",K998&lt;&gt;""),OR($C$13="Semua",$C$13="",L998=$C$13)),"✓","")</f>
        <v/>
      </c>
      <c r="N998" s="93">
        <f>N(N997)+IF(M998="✓",1,0)</f>
        <v/>
      </c>
      <c r="O998" s="93">
        <f>N(O997)+IF(AND(B998&lt;&gt;"",B998&gt;='Uang Riba'!$H$30,B998&lt;='Uang Riba'!$I$30,OR(H998="Dana riba",H998="Pinjam uang riba",I998="Pinjam dari uang riba",I998="Ganti uang riba",I998="Kelebihan ganti dikembalikan",AND(C998="Kantong Uang Riba",G998="Pengeluaran"))),1,0)</f>
        <v/>
      </c>
      <c r="X998" s="93">
        <f>IF(AND(B998&lt;&gt;"",B998&gt;='Buku Akun'!$H$4,B998&lt;='Buku Akun'!$H$5,OR(C998='Buku Akun'!$C$4,AND(D998="Pindah",E998='Buku Akun'!$C$4))),B998+IF(AND(I998="Selisih bunga",DAY(B998)=1),0,0.01)+ROW()/10000000,"")</f>
        <v/>
      </c>
    </row>
    <row r="999" outlineLevel="1" ht="15" customHeight="1" s="94">
      <c r="A999" s="123">
        <f>IF(B999="","",ROW()-15)</f>
        <v/>
      </c>
      <c r="B999" s="124" t="n"/>
      <c r="C999" s="123" t="n"/>
      <c r="D999" s="123" t="n"/>
      <c r="E999" s="123" t="n"/>
      <c r="F999" s="125" t="n"/>
      <c r="G999" s="123" t="n"/>
      <c r="H999" s="123" t="n"/>
      <c r="I999" s="123" t="n"/>
      <c r="J999" s="123" t="n"/>
      <c r="K999" s="123" t="n"/>
      <c r="L999" s="123" t="n"/>
      <c r="M999" s="123">
        <f>IF(AND(B999&lt;&gt;"",OR($C$4="",ISNUMBER(SEARCH($C$4,C999&amp;" "&amp;E999&amp;" "&amp;G999&amp;" "&amp;H999&amp;" "&amp;I999&amp;" "&amp;J999&amp;" "&amp;K999&amp;" "&amp;L999))),OR($C$5="Semua",$C$5="",G999=$C$5),OR($C$6="Semua",$C$6="",H999=$C$6,H999="Pengeluaran "&amp;$C$6,AND($C$6="Uang Kos Mama",H999="Pengeluaran Uang Kos")),OR($C$7="Semua",$C$7="",I999=$C$7),OR($C$8="Semua",$C$8="",C999=$C$8,E999=$C$8),OR($C$9="Semua",$C$9="",D999=$C$9),OR($C$10="",B999&gt;=$C$10),OR($C$11="",B999&lt;=$C$11),OR($C$12&lt;&gt;"Ya",K999&lt;&gt;""),OR($C$13="Semua",$C$13="",L999=$C$13)),"✓","")</f>
        <v/>
      </c>
      <c r="N999" s="93">
        <f>N(N998)+IF(M999="✓",1,0)</f>
        <v/>
      </c>
      <c r="O999" s="93">
        <f>N(O998)+IF(AND(B999&lt;&gt;"",B999&gt;='Uang Riba'!$H$30,B999&lt;='Uang Riba'!$I$30,OR(H999="Dana riba",H999="Pinjam uang riba",I999="Pinjam dari uang riba",I999="Ganti uang riba",I999="Kelebihan ganti dikembalikan",AND(C999="Kantong Uang Riba",G999="Pengeluaran"))),1,0)</f>
        <v/>
      </c>
      <c r="X999" s="93">
        <f>IF(AND(B999&lt;&gt;"",B999&gt;='Buku Akun'!$H$4,B999&lt;='Buku Akun'!$H$5,OR(C999='Buku Akun'!$C$4,AND(D999="Pindah",E999='Buku Akun'!$C$4))),B999+IF(AND(I999="Selisih bunga",DAY(B999)=1),0,0.01)+ROW()/10000000,"")</f>
        <v/>
      </c>
    </row>
    <row r="1000" outlineLevel="1" ht="15" customHeight="1" s="94">
      <c r="A1000" s="123">
        <f>IF(B1000="","",ROW()-15)</f>
        <v/>
      </c>
      <c r="B1000" s="124" t="n"/>
      <c r="C1000" s="123" t="n"/>
      <c r="D1000" s="123" t="n"/>
      <c r="E1000" s="123" t="n"/>
      <c r="F1000" s="125" t="n"/>
      <c r="G1000" s="123" t="n"/>
      <c r="H1000" s="123" t="n"/>
      <c r="I1000" s="123" t="n"/>
      <c r="J1000" s="123" t="n"/>
      <c r="K1000" s="123" t="n"/>
      <c r="L1000" s="123" t="n"/>
      <c r="M1000" s="123">
        <f>IF(AND(B1000&lt;&gt;"",OR($C$4="",ISNUMBER(SEARCH($C$4,C1000&amp;" "&amp;E1000&amp;" "&amp;G1000&amp;" "&amp;H1000&amp;" "&amp;I1000&amp;" "&amp;J1000&amp;" "&amp;K1000&amp;" "&amp;L1000))),OR($C$5="Semua",$C$5="",G1000=$C$5),OR($C$6="Semua",$C$6="",H1000=$C$6,H1000="Pengeluaran "&amp;$C$6,AND($C$6="Uang Kos Mama",H1000="Pengeluaran Uang Kos")),OR($C$7="Semua",$C$7="",I1000=$C$7),OR($C$8="Semua",$C$8="",C1000=$C$8,E1000=$C$8),OR($C$9="Semua",$C$9="",D1000=$C$9),OR($C$10="",B1000&gt;=$C$10),OR($C$11="",B1000&lt;=$C$11),OR($C$12&lt;&gt;"Ya",K1000&lt;&gt;""),OR($C$13="Semua",$C$13="",L1000=$C$13)),"✓","")</f>
        <v/>
      </c>
      <c r="N1000" s="93">
        <f>N(N999)+IF(M1000="✓",1,0)</f>
        <v/>
      </c>
      <c r="O1000" s="93">
        <f>N(O999)+IF(AND(B1000&lt;&gt;"",B1000&gt;='Uang Riba'!$H$30,B1000&lt;='Uang Riba'!$I$30,OR(H1000="Dana riba",H1000="Pinjam uang riba",I1000="Pinjam dari uang riba",I1000="Ganti uang riba",I1000="Kelebihan ganti dikembalikan",AND(C1000="Kantong Uang Riba",G1000="Pengeluaran"))),1,0)</f>
        <v/>
      </c>
      <c r="X1000" s="93">
        <f>IF(AND(B1000&lt;&gt;"",B1000&gt;='Buku Akun'!$H$4,B1000&lt;='Buku Akun'!$H$5,OR(C1000='Buku Akun'!$C$4,AND(D1000="Pindah",E1000='Buku Akun'!$C$4))),B1000+IF(AND(I1000="Selisih bunga",DAY(B1000)=1),0,0.01)+ROW()/10000000,"")</f>
        <v/>
      </c>
    </row>
    <row r="1001" outlineLevel="1" ht="15" customHeight="1" s="94">
      <c r="A1001" s="123">
        <f>IF(B1001="","",ROW()-15)</f>
        <v/>
      </c>
      <c r="B1001" s="124" t="n"/>
      <c r="C1001" s="123" t="n"/>
      <c r="D1001" s="123" t="n"/>
      <c r="E1001" s="123" t="n"/>
      <c r="F1001" s="125" t="n"/>
      <c r="G1001" s="123" t="n"/>
      <c r="H1001" s="123" t="n"/>
      <c r="I1001" s="123" t="n"/>
      <c r="J1001" s="123" t="n"/>
      <c r="K1001" s="123" t="n"/>
      <c r="L1001" s="123" t="n"/>
      <c r="M1001" s="123">
        <f>IF(AND(B1001&lt;&gt;"",OR($C$4="",ISNUMBER(SEARCH($C$4,C1001&amp;" "&amp;E1001&amp;" "&amp;G1001&amp;" "&amp;H1001&amp;" "&amp;I1001&amp;" "&amp;J1001&amp;" "&amp;K1001&amp;" "&amp;L1001))),OR($C$5="Semua",$C$5="",G1001=$C$5),OR($C$6="Semua",$C$6="",H1001=$C$6,H1001="Pengeluaran "&amp;$C$6,AND($C$6="Uang Kos Mama",H1001="Pengeluaran Uang Kos")),OR($C$7="Semua",$C$7="",I1001=$C$7),OR($C$8="Semua",$C$8="",C1001=$C$8,E1001=$C$8),OR($C$9="Semua",$C$9="",D1001=$C$9),OR($C$10="",B1001&gt;=$C$10),OR($C$11="",B1001&lt;=$C$11),OR($C$12&lt;&gt;"Ya",K1001&lt;&gt;""),OR($C$13="Semua",$C$13="",L1001=$C$13)),"✓","")</f>
        <v/>
      </c>
      <c r="N1001" s="93">
        <f>N(N1000)+IF(M1001="✓",1,0)</f>
        <v/>
      </c>
      <c r="O1001" s="93">
        <f>N(O1000)+IF(AND(B1001&lt;&gt;"",B1001&gt;='Uang Riba'!$H$30,B1001&lt;='Uang Riba'!$I$30,OR(H1001="Dana riba",H1001="Pinjam uang riba",I1001="Pinjam dari uang riba",I1001="Ganti uang riba",I1001="Kelebihan ganti dikembalikan",AND(C1001="Kantong Uang Riba",G1001="Pengeluaran"))),1,0)</f>
        <v/>
      </c>
      <c r="X1001" s="93">
        <f>IF(AND(B1001&lt;&gt;"",B1001&gt;='Buku Akun'!$H$4,B1001&lt;='Buku Akun'!$H$5,OR(C1001='Buku Akun'!$C$4,AND(D1001="Pindah",E1001='Buku Akun'!$C$4))),B1001+IF(AND(I1001="Selisih bunga",DAY(B1001)=1),0,0.01)+ROW()/10000000,"")</f>
        <v/>
      </c>
    </row>
    <row r="1002" outlineLevel="1" ht="15" customHeight="1" s="94">
      <c r="A1002" s="123">
        <f>IF(B1002="","",ROW()-15)</f>
        <v/>
      </c>
      <c r="B1002" s="124" t="n"/>
      <c r="C1002" s="123" t="n"/>
      <c r="D1002" s="123" t="n"/>
      <c r="E1002" s="123" t="n"/>
      <c r="F1002" s="125" t="n"/>
      <c r="G1002" s="123" t="n"/>
      <c r="H1002" s="123" t="n"/>
      <c r="I1002" s="123" t="n"/>
      <c r="J1002" s="123" t="n"/>
      <c r="K1002" s="123" t="n"/>
      <c r="L1002" s="123" t="n"/>
      <c r="M1002" s="123">
        <f>IF(AND(B1002&lt;&gt;"",OR($C$4="",ISNUMBER(SEARCH($C$4,C1002&amp;" "&amp;E1002&amp;" "&amp;G1002&amp;" "&amp;H1002&amp;" "&amp;I1002&amp;" "&amp;J1002&amp;" "&amp;K1002&amp;" "&amp;L1002))),OR($C$5="Semua",$C$5="",G1002=$C$5),OR($C$6="Semua",$C$6="",H1002=$C$6,H1002="Pengeluaran "&amp;$C$6,AND($C$6="Uang Kos Mama",H1002="Pengeluaran Uang Kos")),OR($C$7="Semua",$C$7="",I1002=$C$7),OR($C$8="Semua",$C$8="",C1002=$C$8,E1002=$C$8),OR($C$9="Semua",$C$9="",D1002=$C$9),OR($C$10="",B1002&gt;=$C$10),OR($C$11="",B1002&lt;=$C$11),OR($C$12&lt;&gt;"Ya",K1002&lt;&gt;""),OR($C$13="Semua",$C$13="",L1002=$C$13)),"✓","")</f>
        <v/>
      </c>
      <c r="N1002" s="93">
        <f>N(N1001)+IF(M1002="✓",1,0)</f>
        <v/>
      </c>
      <c r="O1002" s="93">
        <f>N(O1001)+IF(AND(B1002&lt;&gt;"",B1002&gt;='Uang Riba'!$H$30,B1002&lt;='Uang Riba'!$I$30,OR(H1002="Dana riba",H1002="Pinjam uang riba",I1002="Pinjam dari uang riba",I1002="Ganti uang riba",I1002="Kelebihan ganti dikembalikan",AND(C1002="Kantong Uang Riba",G1002="Pengeluaran"))),1,0)</f>
        <v/>
      </c>
      <c r="X1002" s="93">
        <f>IF(AND(B1002&lt;&gt;"",B1002&gt;='Buku Akun'!$H$4,B1002&lt;='Buku Akun'!$H$5,OR(C1002='Buku Akun'!$C$4,AND(D1002="Pindah",E1002='Buku Akun'!$C$4))),B1002+IF(AND(I1002="Selisih bunga",DAY(B1002)=1),0,0.01)+ROW()/10000000,"")</f>
        <v/>
      </c>
    </row>
    <row r="1003" outlineLevel="1" ht="15" customHeight="1" s="94">
      <c r="A1003" s="123">
        <f>IF(B1003="","",ROW()-15)</f>
        <v/>
      </c>
      <c r="B1003" s="124" t="n"/>
      <c r="C1003" s="123" t="n"/>
      <c r="D1003" s="123" t="n"/>
      <c r="E1003" s="123" t="n"/>
      <c r="F1003" s="125" t="n"/>
      <c r="G1003" s="123" t="n"/>
      <c r="H1003" s="123" t="n"/>
      <c r="I1003" s="123" t="n"/>
      <c r="J1003" s="123" t="n"/>
      <c r="K1003" s="123" t="n"/>
      <c r="L1003" s="123" t="n"/>
      <c r="M1003" s="123">
        <f>IF(AND(B1003&lt;&gt;"",OR($C$4="",ISNUMBER(SEARCH($C$4,C1003&amp;" "&amp;E1003&amp;" "&amp;G1003&amp;" "&amp;H1003&amp;" "&amp;I1003&amp;" "&amp;J1003&amp;" "&amp;K1003&amp;" "&amp;L1003))),OR($C$5="Semua",$C$5="",G1003=$C$5),OR($C$6="Semua",$C$6="",H1003=$C$6,H1003="Pengeluaran "&amp;$C$6,AND($C$6="Uang Kos Mama",H1003="Pengeluaran Uang Kos")),OR($C$7="Semua",$C$7="",I1003=$C$7),OR($C$8="Semua",$C$8="",C1003=$C$8,E1003=$C$8),OR($C$9="Semua",$C$9="",D1003=$C$9),OR($C$10="",B1003&gt;=$C$10),OR($C$11="",B1003&lt;=$C$11),OR($C$12&lt;&gt;"Ya",K1003&lt;&gt;""),OR($C$13="Semua",$C$13="",L1003=$C$13)),"✓","")</f>
        <v/>
      </c>
      <c r="N1003" s="93">
        <f>N(N1002)+IF(M1003="✓",1,0)</f>
        <v/>
      </c>
      <c r="O1003" s="93">
        <f>N(O1002)+IF(AND(B1003&lt;&gt;"",B1003&gt;='Uang Riba'!$H$30,B1003&lt;='Uang Riba'!$I$30,OR(H1003="Dana riba",H1003="Pinjam uang riba",I1003="Pinjam dari uang riba",I1003="Ganti uang riba",I1003="Kelebihan ganti dikembalikan",AND(C1003="Kantong Uang Riba",G1003="Pengeluaran"))),1,0)</f>
        <v/>
      </c>
      <c r="X1003" s="93">
        <f>IF(AND(B1003&lt;&gt;"",B1003&gt;='Buku Akun'!$H$4,B1003&lt;='Buku Akun'!$H$5,OR(C1003='Buku Akun'!$C$4,AND(D1003="Pindah",E1003='Buku Akun'!$C$4))),B1003+IF(AND(I1003="Selisih bunga",DAY(B1003)=1),0,0.01)+ROW()/10000000,"")</f>
        <v/>
      </c>
    </row>
    <row r="1004" outlineLevel="1" ht="15" customHeight="1" s="94">
      <c r="A1004" s="123">
        <f>IF(B1004="","",ROW()-15)</f>
        <v/>
      </c>
      <c r="B1004" s="124" t="n"/>
      <c r="C1004" s="123" t="n"/>
      <c r="D1004" s="123" t="n"/>
      <c r="E1004" s="123" t="n"/>
      <c r="F1004" s="125" t="n"/>
      <c r="G1004" s="123" t="n"/>
      <c r="H1004" s="123" t="n"/>
      <c r="I1004" s="123" t="n"/>
      <c r="J1004" s="123" t="n"/>
      <c r="K1004" s="123" t="n"/>
      <c r="L1004" s="123" t="n"/>
      <c r="M1004" s="123">
        <f>IF(AND(B1004&lt;&gt;"",OR($C$4="",ISNUMBER(SEARCH($C$4,C1004&amp;" "&amp;E1004&amp;" "&amp;G1004&amp;" "&amp;H1004&amp;" "&amp;I1004&amp;" "&amp;J1004&amp;" "&amp;K1004&amp;" "&amp;L1004))),OR($C$5="Semua",$C$5="",G1004=$C$5),OR($C$6="Semua",$C$6="",H1004=$C$6,H1004="Pengeluaran "&amp;$C$6,AND($C$6="Uang Kos Mama",H1004="Pengeluaran Uang Kos")),OR($C$7="Semua",$C$7="",I1004=$C$7),OR($C$8="Semua",$C$8="",C1004=$C$8,E1004=$C$8),OR($C$9="Semua",$C$9="",D1004=$C$9),OR($C$10="",B1004&gt;=$C$10),OR($C$11="",B1004&lt;=$C$11),OR($C$12&lt;&gt;"Ya",K1004&lt;&gt;""),OR($C$13="Semua",$C$13="",L1004=$C$13)),"✓","")</f>
        <v/>
      </c>
      <c r="N1004" s="93">
        <f>N(N1003)+IF(M1004="✓",1,0)</f>
        <v/>
      </c>
      <c r="O1004" s="93">
        <f>N(O1003)+IF(AND(B1004&lt;&gt;"",B1004&gt;='Uang Riba'!$H$30,B1004&lt;='Uang Riba'!$I$30,OR(H1004="Dana riba",H1004="Pinjam uang riba",I1004="Pinjam dari uang riba",I1004="Ganti uang riba",I1004="Kelebihan ganti dikembalikan",AND(C1004="Kantong Uang Riba",G1004="Pengeluaran"))),1,0)</f>
        <v/>
      </c>
      <c r="X1004" s="93">
        <f>IF(AND(B1004&lt;&gt;"",B1004&gt;='Buku Akun'!$H$4,B1004&lt;='Buku Akun'!$H$5,OR(C1004='Buku Akun'!$C$4,AND(D1004="Pindah",E1004='Buku Akun'!$C$4))),B1004+IF(AND(I1004="Selisih bunga",DAY(B1004)=1),0,0.01)+ROW()/10000000,"")</f>
        <v/>
      </c>
    </row>
    <row r="1005" outlineLevel="1" ht="15" customHeight="1" s="94">
      <c r="A1005" s="123">
        <f>IF(B1005="","",ROW()-15)</f>
        <v/>
      </c>
      <c r="B1005" s="124" t="n"/>
      <c r="C1005" s="123" t="n"/>
      <c r="D1005" s="123" t="n"/>
      <c r="E1005" s="123" t="n"/>
      <c r="F1005" s="125" t="n"/>
      <c r="G1005" s="123" t="n"/>
      <c r="H1005" s="123" t="n"/>
      <c r="I1005" s="123" t="n"/>
      <c r="J1005" s="123" t="n"/>
      <c r="K1005" s="123" t="n"/>
      <c r="L1005" s="123" t="n"/>
      <c r="M1005" s="123">
        <f>IF(AND(B1005&lt;&gt;"",OR($C$4="",ISNUMBER(SEARCH($C$4,C1005&amp;" "&amp;E1005&amp;" "&amp;G1005&amp;" "&amp;H1005&amp;" "&amp;I1005&amp;" "&amp;J1005&amp;" "&amp;K1005&amp;" "&amp;L1005))),OR($C$5="Semua",$C$5="",G1005=$C$5),OR($C$6="Semua",$C$6="",H1005=$C$6,H1005="Pengeluaran "&amp;$C$6,AND($C$6="Uang Kos Mama",H1005="Pengeluaran Uang Kos")),OR($C$7="Semua",$C$7="",I1005=$C$7),OR($C$8="Semua",$C$8="",C1005=$C$8,E1005=$C$8),OR($C$9="Semua",$C$9="",D1005=$C$9),OR($C$10="",B1005&gt;=$C$10),OR($C$11="",B1005&lt;=$C$11),OR($C$12&lt;&gt;"Ya",K1005&lt;&gt;""),OR($C$13="Semua",$C$13="",L1005=$C$13)),"✓","")</f>
        <v/>
      </c>
      <c r="N1005" s="93">
        <f>N(N1004)+IF(M1005="✓",1,0)</f>
        <v/>
      </c>
      <c r="O1005" s="93">
        <f>N(O1004)+IF(AND(B1005&lt;&gt;"",B1005&gt;='Uang Riba'!$H$30,B1005&lt;='Uang Riba'!$I$30,OR(H1005="Dana riba",H1005="Pinjam uang riba",I1005="Pinjam dari uang riba",I1005="Ganti uang riba",I1005="Kelebihan ganti dikembalikan",AND(C1005="Kantong Uang Riba",G1005="Pengeluaran"))),1,0)</f>
        <v/>
      </c>
      <c r="X1005" s="93">
        <f>IF(AND(B1005&lt;&gt;"",B1005&gt;='Buku Akun'!$H$4,B1005&lt;='Buku Akun'!$H$5,OR(C1005='Buku Akun'!$C$4,AND(D1005="Pindah",E1005='Buku Akun'!$C$4))),B1005+IF(AND(I1005="Selisih bunga",DAY(B1005)=1),0,0.01)+ROW()/10000000,"")</f>
        <v/>
      </c>
    </row>
    <row r="1006" outlineLevel="1" ht="15" customHeight="1" s="94">
      <c r="A1006" s="123">
        <f>IF(B1006="","",ROW()-15)</f>
        <v/>
      </c>
      <c r="B1006" s="124" t="n"/>
      <c r="C1006" s="123" t="n"/>
      <c r="D1006" s="123" t="n"/>
      <c r="E1006" s="123" t="n"/>
      <c r="F1006" s="125" t="n"/>
      <c r="G1006" s="123" t="n"/>
      <c r="H1006" s="123" t="n"/>
      <c r="I1006" s="123" t="n"/>
      <c r="J1006" s="123" t="n"/>
      <c r="K1006" s="123" t="n"/>
      <c r="L1006" s="123" t="n"/>
      <c r="M1006" s="123">
        <f>IF(AND(B1006&lt;&gt;"",OR($C$4="",ISNUMBER(SEARCH($C$4,C1006&amp;" "&amp;E1006&amp;" "&amp;G1006&amp;" "&amp;H1006&amp;" "&amp;I1006&amp;" "&amp;J1006&amp;" "&amp;K1006&amp;" "&amp;L1006))),OR($C$5="Semua",$C$5="",G1006=$C$5),OR($C$6="Semua",$C$6="",H1006=$C$6,H1006="Pengeluaran "&amp;$C$6,AND($C$6="Uang Kos Mama",H1006="Pengeluaran Uang Kos")),OR($C$7="Semua",$C$7="",I1006=$C$7),OR($C$8="Semua",$C$8="",C1006=$C$8,E1006=$C$8),OR($C$9="Semua",$C$9="",D1006=$C$9),OR($C$10="",B1006&gt;=$C$10),OR($C$11="",B1006&lt;=$C$11),OR($C$12&lt;&gt;"Ya",K1006&lt;&gt;""),OR($C$13="Semua",$C$13="",L1006=$C$13)),"✓","")</f>
        <v/>
      </c>
      <c r="N1006" s="93">
        <f>N(N1005)+IF(M1006="✓",1,0)</f>
        <v/>
      </c>
      <c r="O1006" s="93">
        <f>N(O1005)+IF(AND(B1006&lt;&gt;"",B1006&gt;='Uang Riba'!$H$30,B1006&lt;='Uang Riba'!$I$30,OR(H1006="Dana riba",H1006="Pinjam uang riba",I1006="Pinjam dari uang riba",I1006="Ganti uang riba",I1006="Kelebihan ganti dikembalikan",AND(C1006="Kantong Uang Riba",G1006="Pengeluaran"))),1,0)</f>
        <v/>
      </c>
      <c r="X1006" s="93">
        <f>IF(AND(B1006&lt;&gt;"",B1006&gt;='Buku Akun'!$H$4,B1006&lt;='Buku Akun'!$H$5,OR(C1006='Buku Akun'!$C$4,AND(D1006="Pindah",E1006='Buku Akun'!$C$4))),B1006+IF(AND(I1006="Selisih bunga",DAY(B1006)=1),0,0.01)+ROW()/10000000,"")</f>
        <v/>
      </c>
    </row>
    <row r="1007" outlineLevel="1" ht="15" customHeight="1" s="94">
      <c r="A1007" s="123">
        <f>IF(B1007="","",ROW()-15)</f>
        <v/>
      </c>
      <c r="B1007" s="124" t="n"/>
      <c r="C1007" s="123" t="n"/>
      <c r="D1007" s="123" t="n"/>
      <c r="E1007" s="123" t="n"/>
      <c r="F1007" s="125" t="n"/>
      <c r="G1007" s="123" t="n"/>
      <c r="H1007" s="123" t="n"/>
      <c r="I1007" s="123" t="n"/>
      <c r="J1007" s="123" t="n"/>
      <c r="K1007" s="123" t="n"/>
      <c r="L1007" s="123" t="n"/>
      <c r="M1007" s="123">
        <f>IF(AND(B1007&lt;&gt;"",OR($C$4="",ISNUMBER(SEARCH($C$4,C1007&amp;" "&amp;E1007&amp;" "&amp;G1007&amp;" "&amp;H1007&amp;" "&amp;I1007&amp;" "&amp;J1007&amp;" "&amp;K1007&amp;" "&amp;L1007))),OR($C$5="Semua",$C$5="",G1007=$C$5),OR($C$6="Semua",$C$6="",H1007=$C$6,H1007="Pengeluaran "&amp;$C$6,AND($C$6="Uang Kos Mama",H1007="Pengeluaran Uang Kos")),OR($C$7="Semua",$C$7="",I1007=$C$7),OR($C$8="Semua",$C$8="",C1007=$C$8,E1007=$C$8),OR($C$9="Semua",$C$9="",D1007=$C$9),OR($C$10="",B1007&gt;=$C$10),OR($C$11="",B1007&lt;=$C$11),OR($C$12&lt;&gt;"Ya",K1007&lt;&gt;""),OR($C$13="Semua",$C$13="",L1007=$C$13)),"✓","")</f>
        <v/>
      </c>
      <c r="N1007" s="93">
        <f>N(N1006)+IF(M1007="✓",1,0)</f>
        <v/>
      </c>
      <c r="O1007" s="93">
        <f>N(O1006)+IF(AND(B1007&lt;&gt;"",B1007&gt;='Uang Riba'!$H$30,B1007&lt;='Uang Riba'!$I$30,OR(H1007="Dana riba",H1007="Pinjam uang riba",I1007="Pinjam dari uang riba",I1007="Ganti uang riba",I1007="Kelebihan ganti dikembalikan",AND(C1007="Kantong Uang Riba",G1007="Pengeluaran"))),1,0)</f>
        <v/>
      </c>
      <c r="X1007" s="93">
        <f>IF(AND(B1007&lt;&gt;"",B1007&gt;='Buku Akun'!$H$4,B1007&lt;='Buku Akun'!$H$5,OR(C1007='Buku Akun'!$C$4,AND(D1007="Pindah",E1007='Buku Akun'!$C$4))),B1007+IF(AND(I1007="Selisih bunga",DAY(B1007)=1),0,0.01)+ROW()/10000000,"")</f>
        <v/>
      </c>
    </row>
    <row r="1008" outlineLevel="1" ht="15" customHeight="1" s="94">
      <c r="A1008" s="123">
        <f>IF(B1008="","",ROW()-15)</f>
        <v/>
      </c>
      <c r="B1008" s="124" t="n"/>
      <c r="C1008" s="123" t="n"/>
      <c r="D1008" s="123" t="n"/>
      <c r="E1008" s="123" t="n"/>
      <c r="F1008" s="125" t="n"/>
      <c r="G1008" s="123" t="n"/>
      <c r="H1008" s="123" t="n"/>
      <c r="I1008" s="123" t="n"/>
      <c r="J1008" s="123" t="n"/>
      <c r="K1008" s="123" t="n"/>
      <c r="L1008" s="123" t="n"/>
      <c r="M1008" s="123">
        <f>IF(AND(B1008&lt;&gt;"",OR($C$4="",ISNUMBER(SEARCH($C$4,C1008&amp;" "&amp;E1008&amp;" "&amp;G1008&amp;" "&amp;H1008&amp;" "&amp;I1008&amp;" "&amp;J1008&amp;" "&amp;K1008&amp;" "&amp;L1008))),OR($C$5="Semua",$C$5="",G1008=$C$5),OR($C$6="Semua",$C$6="",H1008=$C$6,H1008="Pengeluaran "&amp;$C$6,AND($C$6="Uang Kos Mama",H1008="Pengeluaran Uang Kos")),OR($C$7="Semua",$C$7="",I1008=$C$7),OR($C$8="Semua",$C$8="",C1008=$C$8,E1008=$C$8),OR($C$9="Semua",$C$9="",D1008=$C$9),OR($C$10="",B1008&gt;=$C$10),OR($C$11="",B1008&lt;=$C$11),OR($C$12&lt;&gt;"Ya",K1008&lt;&gt;""),OR($C$13="Semua",$C$13="",L1008=$C$13)),"✓","")</f>
        <v/>
      </c>
      <c r="N1008" s="93">
        <f>N(N1007)+IF(M1008="✓",1,0)</f>
        <v/>
      </c>
      <c r="O1008" s="93">
        <f>N(O1007)+IF(AND(B1008&lt;&gt;"",B1008&gt;='Uang Riba'!$H$30,B1008&lt;='Uang Riba'!$I$30,OR(H1008="Dana riba",H1008="Pinjam uang riba",I1008="Pinjam dari uang riba",I1008="Ganti uang riba",I1008="Kelebihan ganti dikembalikan",AND(C1008="Kantong Uang Riba",G1008="Pengeluaran"))),1,0)</f>
        <v/>
      </c>
      <c r="X1008" s="93">
        <f>IF(AND(B1008&lt;&gt;"",B1008&gt;='Buku Akun'!$H$4,B1008&lt;='Buku Akun'!$H$5,OR(C1008='Buku Akun'!$C$4,AND(D1008="Pindah",E1008='Buku Akun'!$C$4))),B1008+IF(AND(I1008="Selisih bunga",DAY(B1008)=1),0,0.01)+ROW()/10000000,"")</f>
        <v/>
      </c>
    </row>
    <row r="1009" outlineLevel="1" ht="15" customHeight="1" s="94">
      <c r="A1009" s="123">
        <f>IF(B1009="","",ROW()-15)</f>
        <v/>
      </c>
      <c r="B1009" s="124" t="n"/>
      <c r="C1009" s="123" t="n"/>
      <c r="D1009" s="123" t="n"/>
      <c r="E1009" s="123" t="n"/>
      <c r="F1009" s="125" t="n"/>
      <c r="G1009" s="123" t="n"/>
      <c r="H1009" s="123" t="n"/>
      <c r="I1009" s="123" t="n"/>
      <c r="J1009" s="123" t="n"/>
      <c r="K1009" s="123" t="n"/>
      <c r="L1009" s="123" t="n"/>
      <c r="M1009" s="123">
        <f>IF(AND(B1009&lt;&gt;"",OR($C$4="",ISNUMBER(SEARCH($C$4,C1009&amp;" "&amp;E1009&amp;" "&amp;G1009&amp;" "&amp;H1009&amp;" "&amp;I1009&amp;" "&amp;J1009&amp;" "&amp;K1009&amp;" "&amp;L1009))),OR($C$5="Semua",$C$5="",G1009=$C$5),OR($C$6="Semua",$C$6="",H1009=$C$6,H1009="Pengeluaran "&amp;$C$6,AND($C$6="Uang Kos Mama",H1009="Pengeluaran Uang Kos")),OR($C$7="Semua",$C$7="",I1009=$C$7),OR($C$8="Semua",$C$8="",C1009=$C$8,E1009=$C$8),OR($C$9="Semua",$C$9="",D1009=$C$9),OR($C$10="",B1009&gt;=$C$10),OR($C$11="",B1009&lt;=$C$11),OR($C$12&lt;&gt;"Ya",K1009&lt;&gt;""),OR($C$13="Semua",$C$13="",L1009=$C$13)),"✓","")</f>
        <v/>
      </c>
      <c r="N1009" s="93">
        <f>N(N1008)+IF(M1009="✓",1,0)</f>
        <v/>
      </c>
      <c r="O1009" s="93">
        <f>N(O1008)+IF(AND(B1009&lt;&gt;"",B1009&gt;='Uang Riba'!$H$30,B1009&lt;='Uang Riba'!$I$30,OR(H1009="Dana riba",H1009="Pinjam uang riba",I1009="Pinjam dari uang riba",I1009="Ganti uang riba",I1009="Kelebihan ganti dikembalikan",AND(C1009="Kantong Uang Riba",G1009="Pengeluaran"))),1,0)</f>
        <v/>
      </c>
      <c r="X1009" s="93">
        <f>IF(AND(B1009&lt;&gt;"",B1009&gt;='Buku Akun'!$H$4,B1009&lt;='Buku Akun'!$H$5,OR(C1009='Buku Akun'!$C$4,AND(D1009="Pindah",E1009='Buku Akun'!$C$4))),B1009+IF(AND(I1009="Selisih bunga",DAY(B1009)=1),0,0.01)+ROW()/10000000,"")</f>
        <v/>
      </c>
    </row>
    <row r="1010" outlineLevel="1" ht="15" customHeight="1" s="94">
      <c r="A1010" s="123">
        <f>IF(B1010="","",ROW()-15)</f>
        <v/>
      </c>
      <c r="B1010" s="124" t="n"/>
      <c r="C1010" s="123" t="n"/>
      <c r="D1010" s="123" t="n"/>
      <c r="E1010" s="123" t="n"/>
      <c r="F1010" s="125" t="n"/>
      <c r="G1010" s="123" t="n"/>
      <c r="H1010" s="123" t="n"/>
      <c r="I1010" s="123" t="n"/>
      <c r="J1010" s="123" t="n"/>
      <c r="K1010" s="123" t="n"/>
      <c r="L1010" s="123" t="n"/>
      <c r="M1010" s="123">
        <f>IF(AND(B1010&lt;&gt;"",OR($C$4="",ISNUMBER(SEARCH($C$4,C1010&amp;" "&amp;E1010&amp;" "&amp;G1010&amp;" "&amp;H1010&amp;" "&amp;I1010&amp;" "&amp;J1010&amp;" "&amp;K1010&amp;" "&amp;L1010))),OR($C$5="Semua",$C$5="",G1010=$C$5),OR($C$6="Semua",$C$6="",H1010=$C$6,H1010="Pengeluaran "&amp;$C$6,AND($C$6="Uang Kos Mama",H1010="Pengeluaran Uang Kos")),OR($C$7="Semua",$C$7="",I1010=$C$7),OR($C$8="Semua",$C$8="",C1010=$C$8,E1010=$C$8),OR($C$9="Semua",$C$9="",D1010=$C$9),OR($C$10="",B1010&gt;=$C$10),OR($C$11="",B1010&lt;=$C$11),OR($C$12&lt;&gt;"Ya",K1010&lt;&gt;""),OR($C$13="Semua",$C$13="",L1010=$C$13)),"✓","")</f>
        <v/>
      </c>
      <c r="N1010" s="93">
        <f>N(N1009)+IF(M1010="✓",1,0)</f>
        <v/>
      </c>
      <c r="O1010" s="93">
        <f>N(O1009)+IF(AND(B1010&lt;&gt;"",B1010&gt;='Uang Riba'!$H$30,B1010&lt;='Uang Riba'!$I$30,OR(H1010="Dana riba",H1010="Pinjam uang riba",I1010="Pinjam dari uang riba",I1010="Ganti uang riba",I1010="Kelebihan ganti dikembalikan",AND(C1010="Kantong Uang Riba",G1010="Pengeluaran"))),1,0)</f>
        <v/>
      </c>
      <c r="X1010" s="93">
        <f>IF(AND(B1010&lt;&gt;"",B1010&gt;='Buku Akun'!$H$4,B1010&lt;='Buku Akun'!$H$5,OR(C1010='Buku Akun'!$C$4,AND(D1010="Pindah",E1010='Buku Akun'!$C$4))),B1010+IF(AND(I1010="Selisih bunga",DAY(B1010)=1),0,0.01)+ROW()/10000000,"")</f>
        <v/>
      </c>
    </row>
    <row r="1011" outlineLevel="1" ht="15" customHeight="1" s="94">
      <c r="A1011" s="123">
        <f>IF(B1011="","",ROW()-15)</f>
        <v/>
      </c>
      <c r="B1011" s="124" t="n"/>
      <c r="C1011" s="123" t="n"/>
      <c r="D1011" s="123" t="n"/>
      <c r="E1011" s="123" t="n"/>
      <c r="F1011" s="125" t="n"/>
      <c r="G1011" s="123" t="n"/>
      <c r="H1011" s="123" t="n"/>
      <c r="I1011" s="123" t="n"/>
      <c r="J1011" s="123" t="n"/>
      <c r="K1011" s="123" t="n"/>
      <c r="L1011" s="123" t="n"/>
      <c r="M1011" s="123">
        <f>IF(AND(B1011&lt;&gt;"",OR($C$4="",ISNUMBER(SEARCH($C$4,C1011&amp;" "&amp;E1011&amp;" "&amp;G1011&amp;" "&amp;H1011&amp;" "&amp;I1011&amp;" "&amp;J1011&amp;" "&amp;K1011&amp;" "&amp;L1011))),OR($C$5="Semua",$C$5="",G1011=$C$5),OR($C$6="Semua",$C$6="",H1011=$C$6,H1011="Pengeluaran "&amp;$C$6,AND($C$6="Uang Kos Mama",H1011="Pengeluaran Uang Kos")),OR($C$7="Semua",$C$7="",I1011=$C$7),OR($C$8="Semua",$C$8="",C1011=$C$8,E1011=$C$8),OR($C$9="Semua",$C$9="",D1011=$C$9),OR($C$10="",B1011&gt;=$C$10),OR($C$11="",B1011&lt;=$C$11),OR($C$12&lt;&gt;"Ya",K1011&lt;&gt;""),OR($C$13="Semua",$C$13="",L1011=$C$13)),"✓","")</f>
        <v/>
      </c>
      <c r="N1011" s="93">
        <f>N(N1010)+IF(M1011="✓",1,0)</f>
        <v/>
      </c>
      <c r="O1011" s="93">
        <f>N(O1010)+IF(AND(B1011&lt;&gt;"",B1011&gt;='Uang Riba'!$H$30,B1011&lt;='Uang Riba'!$I$30,OR(H1011="Dana riba",H1011="Pinjam uang riba",I1011="Pinjam dari uang riba",I1011="Ganti uang riba",I1011="Kelebihan ganti dikembalikan",AND(C1011="Kantong Uang Riba",G1011="Pengeluaran"))),1,0)</f>
        <v/>
      </c>
      <c r="X1011" s="93">
        <f>IF(AND(B1011&lt;&gt;"",B1011&gt;='Buku Akun'!$H$4,B1011&lt;='Buku Akun'!$H$5,OR(C1011='Buku Akun'!$C$4,AND(D1011="Pindah",E1011='Buku Akun'!$C$4))),B1011+IF(AND(I1011="Selisih bunga",DAY(B1011)=1),0,0.01)+ROW()/10000000,"")</f>
        <v/>
      </c>
    </row>
    <row r="1012" outlineLevel="1" ht="15" customHeight="1" s="94">
      <c r="A1012" s="123">
        <f>IF(B1012="","",ROW()-15)</f>
        <v/>
      </c>
      <c r="B1012" s="124" t="n"/>
      <c r="C1012" s="123" t="n"/>
      <c r="D1012" s="123" t="n"/>
      <c r="E1012" s="123" t="n"/>
      <c r="F1012" s="125" t="n"/>
      <c r="G1012" s="123" t="n"/>
      <c r="H1012" s="123" t="n"/>
      <c r="I1012" s="123" t="n"/>
      <c r="J1012" s="123" t="n"/>
      <c r="K1012" s="123" t="n"/>
      <c r="L1012" s="123" t="n"/>
      <c r="M1012" s="123">
        <f>IF(AND(B1012&lt;&gt;"",OR($C$4="",ISNUMBER(SEARCH($C$4,C1012&amp;" "&amp;E1012&amp;" "&amp;G1012&amp;" "&amp;H1012&amp;" "&amp;I1012&amp;" "&amp;J1012&amp;" "&amp;K1012&amp;" "&amp;L1012))),OR($C$5="Semua",$C$5="",G1012=$C$5),OR($C$6="Semua",$C$6="",H1012=$C$6,H1012="Pengeluaran "&amp;$C$6,AND($C$6="Uang Kos Mama",H1012="Pengeluaran Uang Kos")),OR($C$7="Semua",$C$7="",I1012=$C$7),OR($C$8="Semua",$C$8="",C1012=$C$8,E1012=$C$8),OR($C$9="Semua",$C$9="",D1012=$C$9),OR($C$10="",B1012&gt;=$C$10),OR($C$11="",B1012&lt;=$C$11),OR($C$12&lt;&gt;"Ya",K1012&lt;&gt;""),OR($C$13="Semua",$C$13="",L1012=$C$13)),"✓","")</f>
        <v/>
      </c>
      <c r="N1012" s="93">
        <f>N(N1011)+IF(M1012="✓",1,0)</f>
        <v/>
      </c>
      <c r="O1012" s="93">
        <f>N(O1011)+IF(AND(B1012&lt;&gt;"",B1012&gt;='Uang Riba'!$H$30,B1012&lt;='Uang Riba'!$I$30,OR(H1012="Dana riba",H1012="Pinjam uang riba",I1012="Pinjam dari uang riba",I1012="Ganti uang riba",I1012="Kelebihan ganti dikembalikan",AND(C1012="Kantong Uang Riba",G1012="Pengeluaran"))),1,0)</f>
        <v/>
      </c>
      <c r="X1012" s="93">
        <f>IF(AND(B1012&lt;&gt;"",B1012&gt;='Buku Akun'!$H$4,B1012&lt;='Buku Akun'!$H$5,OR(C1012='Buku Akun'!$C$4,AND(D1012="Pindah",E1012='Buku Akun'!$C$4))),B1012+IF(AND(I1012="Selisih bunga",DAY(B1012)=1),0,0.01)+ROW()/10000000,"")</f>
        <v/>
      </c>
    </row>
    <row r="1013" outlineLevel="1" ht="15" customHeight="1" s="94">
      <c r="A1013" s="123">
        <f>IF(B1013="","",ROW()-15)</f>
        <v/>
      </c>
      <c r="B1013" s="124" t="n"/>
      <c r="C1013" s="123" t="n"/>
      <c r="D1013" s="123" t="n"/>
      <c r="E1013" s="123" t="n"/>
      <c r="F1013" s="125" t="n"/>
      <c r="G1013" s="123" t="n"/>
      <c r="H1013" s="123" t="n"/>
      <c r="I1013" s="123" t="n"/>
      <c r="J1013" s="123" t="n"/>
      <c r="K1013" s="123" t="n"/>
      <c r="L1013" s="123" t="n"/>
      <c r="M1013" s="123">
        <f>IF(AND(B1013&lt;&gt;"",OR($C$4="",ISNUMBER(SEARCH($C$4,C1013&amp;" "&amp;E1013&amp;" "&amp;G1013&amp;" "&amp;H1013&amp;" "&amp;I1013&amp;" "&amp;J1013&amp;" "&amp;K1013&amp;" "&amp;L1013))),OR($C$5="Semua",$C$5="",G1013=$C$5),OR($C$6="Semua",$C$6="",H1013=$C$6,H1013="Pengeluaran "&amp;$C$6,AND($C$6="Uang Kos Mama",H1013="Pengeluaran Uang Kos")),OR($C$7="Semua",$C$7="",I1013=$C$7),OR($C$8="Semua",$C$8="",C1013=$C$8,E1013=$C$8),OR($C$9="Semua",$C$9="",D1013=$C$9),OR($C$10="",B1013&gt;=$C$10),OR($C$11="",B1013&lt;=$C$11),OR($C$12&lt;&gt;"Ya",K1013&lt;&gt;""),OR($C$13="Semua",$C$13="",L1013=$C$13)),"✓","")</f>
        <v/>
      </c>
      <c r="N1013" s="93">
        <f>N(N1012)+IF(M1013="✓",1,0)</f>
        <v/>
      </c>
      <c r="O1013" s="93">
        <f>N(O1012)+IF(AND(B1013&lt;&gt;"",B1013&gt;='Uang Riba'!$H$30,B1013&lt;='Uang Riba'!$I$30,OR(H1013="Dana riba",H1013="Pinjam uang riba",I1013="Pinjam dari uang riba",I1013="Ganti uang riba",I1013="Kelebihan ganti dikembalikan",AND(C1013="Kantong Uang Riba",G1013="Pengeluaran"))),1,0)</f>
        <v/>
      </c>
      <c r="X1013" s="93">
        <f>IF(AND(B1013&lt;&gt;"",B1013&gt;='Buku Akun'!$H$4,B1013&lt;='Buku Akun'!$H$5,OR(C1013='Buku Akun'!$C$4,AND(D1013="Pindah",E1013='Buku Akun'!$C$4))),B1013+IF(AND(I1013="Selisih bunga",DAY(B1013)=1),0,0.01)+ROW()/10000000,"")</f>
        <v/>
      </c>
    </row>
    <row r="1014" outlineLevel="1" ht="15" customHeight="1" s="94">
      <c r="A1014" s="123">
        <f>IF(B1014="","",ROW()-15)</f>
        <v/>
      </c>
      <c r="B1014" s="124" t="n"/>
      <c r="C1014" s="123" t="n"/>
      <c r="D1014" s="123" t="n"/>
      <c r="E1014" s="123" t="n"/>
      <c r="F1014" s="125" t="n"/>
      <c r="G1014" s="123" t="n"/>
      <c r="H1014" s="123" t="n"/>
      <c r="I1014" s="123" t="n"/>
      <c r="J1014" s="123" t="n"/>
      <c r="K1014" s="123" t="n"/>
      <c r="L1014" s="123" t="n"/>
      <c r="M1014" s="123">
        <f>IF(AND(B1014&lt;&gt;"",OR($C$4="",ISNUMBER(SEARCH($C$4,C1014&amp;" "&amp;E1014&amp;" "&amp;G1014&amp;" "&amp;H1014&amp;" "&amp;I1014&amp;" "&amp;J1014&amp;" "&amp;K1014&amp;" "&amp;L1014))),OR($C$5="Semua",$C$5="",G1014=$C$5),OR($C$6="Semua",$C$6="",H1014=$C$6,H1014="Pengeluaran "&amp;$C$6,AND($C$6="Uang Kos Mama",H1014="Pengeluaran Uang Kos")),OR($C$7="Semua",$C$7="",I1014=$C$7),OR($C$8="Semua",$C$8="",C1014=$C$8,E1014=$C$8),OR($C$9="Semua",$C$9="",D1014=$C$9),OR($C$10="",B1014&gt;=$C$10),OR($C$11="",B1014&lt;=$C$11),OR($C$12&lt;&gt;"Ya",K1014&lt;&gt;""),OR($C$13="Semua",$C$13="",L1014=$C$13)),"✓","")</f>
        <v/>
      </c>
      <c r="N1014" s="93">
        <f>N(N1013)+IF(M1014="✓",1,0)</f>
        <v/>
      </c>
      <c r="O1014" s="93">
        <f>N(O1013)+IF(AND(B1014&lt;&gt;"",B1014&gt;='Uang Riba'!$H$30,B1014&lt;='Uang Riba'!$I$30,OR(H1014="Dana riba",H1014="Pinjam uang riba",I1014="Pinjam dari uang riba",I1014="Ganti uang riba",I1014="Kelebihan ganti dikembalikan",AND(C1014="Kantong Uang Riba",G1014="Pengeluaran"))),1,0)</f>
        <v/>
      </c>
      <c r="X1014" s="93">
        <f>IF(AND(B1014&lt;&gt;"",B1014&gt;='Buku Akun'!$H$4,B1014&lt;='Buku Akun'!$H$5,OR(C1014='Buku Akun'!$C$4,AND(D1014="Pindah",E1014='Buku Akun'!$C$4))),B1014+IF(AND(I1014="Selisih bunga",DAY(B1014)=1),0,0.01)+ROW()/10000000,"")</f>
        <v/>
      </c>
    </row>
    <row r="1015" outlineLevel="1" ht="15" customHeight="1" s="94">
      <c r="A1015" s="123">
        <f>IF(B1015="","",ROW()-15)</f>
        <v/>
      </c>
      <c r="B1015" s="124" t="n"/>
      <c r="C1015" s="123" t="n"/>
      <c r="D1015" s="123" t="n"/>
      <c r="E1015" s="123" t="n"/>
      <c r="F1015" s="125" t="n"/>
      <c r="G1015" s="123" t="n"/>
      <c r="H1015" s="123" t="n"/>
      <c r="I1015" s="123" t="n"/>
      <c r="J1015" s="123" t="n"/>
      <c r="K1015" s="123" t="n"/>
      <c r="L1015" s="123" t="n"/>
      <c r="M1015" s="123">
        <f>IF(AND(B1015&lt;&gt;"",OR($C$4="",ISNUMBER(SEARCH($C$4,C1015&amp;" "&amp;E1015&amp;" "&amp;G1015&amp;" "&amp;H1015&amp;" "&amp;I1015&amp;" "&amp;J1015&amp;" "&amp;K1015&amp;" "&amp;L1015))),OR($C$5="Semua",$C$5="",G1015=$C$5),OR($C$6="Semua",$C$6="",H1015=$C$6,H1015="Pengeluaran "&amp;$C$6,AND($C$6="Uang Kos Mama",H1015="Pengeluaran Uang Kos")),OR($C$7="Semua",$C$7="",I1015=$C$7),OR($C$8="Semua",$C$8="",C1015=$C$8,E1015=$C$8),OR($C$9="Semua",$C$9="",D1015=$C$9),OR($C$10="",B1015&gt;=$C$10),OR($C$11="",B1015&lt;=$C$11),OR($C$12&lt;&gt;"Ya",K1015&lt;&gt;""),OR($C$13="Semua",$C$13="",L1015=$C$13)),"✓","")</f>
        <v/>
      </c>
      <c r="N1015" s="93">
        <f>N(N1014)+IF(M1015="✓",1,0)</f>
        <v/>
      </c>
      <c r="O1015" s="93">
        <f>N(O1014)+IF(AND(B1015&lt;&gt;"",B1015&gt;='Uang Riba'!$H$30,B1015&lt;='Uang Riba'!$I$30,OR(H1015="Dana riba",H1015="Pinjam uang riba",I1015="Pinjam dari uang riba",I1015="Ganti uang riba",I1015="Kelebihan ganti dikembalikan",AND(C1015="Kantong Uang Riba",G1015="Pengeluaran"))),1,0)</f>
        <v/>
      </c>
      <c r="X1015" s="93">
        <f>IF(AND(B1015&lt;&gt;"",B1015&gt;='Buku Akun'!$H$4,B1015&lt;='Buku Akun'!$H$5,OR(C1015='Buku Akun'!$C$4,AND(D1015="Pindah",E1015='Buku Akun'!$C$4))),B1015+IF(AND(I1015="Selisih bunga",DAY(B1015)=1),0,0.01)+ROW()/10000000,"")</f>
        <v/>
      </c>
    </row>
    <row r="1016" outlineLevel="1" ht="15" customHeight="1" s="94">
      <c r="A1016" s="123">
        <f>IF(B1016="","",ROW()-15)</f>
        <v/>
      </c>
      <c r="B1016" s="124" t="n"/>
      <c r="C1016" s="123" t="n"/>
      <c r="D1016" s="123" t="n"/>
      <c r="E1016" s="123" t="n"/>
      <c r="F1016" s="125" t="n"/>
      <c r="G1016" s="123" t="n"/>
      <c r="H1016" s="123" t="n"/>
      <c r="I1016" s="123" t="n"/>
      <c r="J1016" s="123" t="n"/>
      <c r="K1016" s="123" t="n"/>
      <c r="L1016" s="123" t="n"/>
      <c r="M1016" s="123">
        <f>IF(AND(B1016&lt;&gt;"",OR($C$4="",ISNUMBER(SEARCH($C$4,C1016&amp;" "&amp;E1016&amp;" "&amp;G1016&amp;" "&amp;H1016&amp;" "&amp;I1016&amp;" "&amp;J1016&amp;" "&amp;K1016&amp;" "&amp;L1016))),OR($C$5="Semua",$C$5="",G1016=$C$5),OR($C$6="Semua",$C$6="",H1016=$C$6,H1016="Pengeluaran "&amp;$C$6,AND($C$6="Uang Kos Mama",H1016="Pengeluaran Uang Kos")),OR($C$7="Semua",$C$7="",I1016=$C$7),OR($C$8="Semua",$C$8="",C1016=$C$8,E1016=$C$8),OR($C$9="Semua",$C$9="",D1016=$C$9),OR($C$10="",B1016&gt;=$C$10),OR($C$11="",B1016&lt;=$C$11),OR($C$12&lt;&gt;"Ya",K1016&lt;&gt;""),OR($C$13="Semua",$C$13="",L1016=$C$13)),"✓","")</f>
        <v/>
      </c>
      <c r="N1016" s="93">
        <f>N(N1015)+IF(M1016="✓",1,0)</f>
        <v/>
      </c>
      <c r="O1016" s="93">
        <f>N(O1015)+IF(AND(B1016&lt;&gt;"",B1016&gt;='Uang Riba'!$H$30,B1016&lt;='Uang Riba'!$I$30,OR(H1016="Dana riba",H1016="Pinjam uang riba",I1016="Pinjam dari uang riba",I1016="Ganti uang riba",I1016="Kelebihan ganti dikembalikan",AND(C1016="Kantong Uang Riba",G1016="Pengeluaran"))),1,0)</f>
        <v/>
      </c>
      <c r="X1016" s="93">
        <f>IF(AND(B1016&lt;&gt;"",B1016&gt;='Buku Akun'!$H$4,B1016&lt;='Buku Akun'!$H$5,OR(C1016='Buku Akun'!$C$4,AND(D1016="Pindah",E1016='Buku Akun'!$C$4))),B1016+IF(AND(I1016="Selisih bunga",DAY(B1016)=1),0,0.01)+ROW()/10000000,"")</f>
        <v/>
      </c>
    </row>
    <row r="1017" outlineLevel="1" ht="15" customHeight="1" s="94">
      <c r="A1017" s="123">
        <f>IF(B1017="","",ROW()-15)</f>
        <v/>
      </c>
      <c r="B1017" s="124" t="n"/>
      <c r="C1017" s="123" t="n"/>
      <c r="D1017" s="123" t="n"/>
      <c r="E1017" s="123" t="n"/>
      <c r="F1017" s="125" t="n"/>
      <c r="G1017" s="123" t="n"/>
      <c r="H1017" s="123" t="n"/>
      <c r="I1017" s="123" t="n"/>
      <c r="J1017" s="123" t="n"/>
      <c r="K1017" s="123" t="n"/>
      <c r="L1017" s="123" t="n"/>
      <c r="M1017" s="123">
        <f>IF(AND(B1017&lt;&gt;"",OR($C$4="",ISNUMBER(SEARCH($C$4,C1017&amp;" "&amp;E1017&amp;" "&amp;G1017&amp;" "&amp;H1017&amp;" "&amp;I1017&amp;" "&amp;J1017&amp;" "&amp;K1017&amp;" "&amp;L1017))),OR($C$5="Semua",$C$5="",G1017=$C$5),OR($C$6="Semua",$C$6="",H1017=$C$6,H1017="Pengeluaran "&amp;$C$6,AND($C$6="Uang Kos Mama",H1017="Pengeluaran Uang Kos")),OR($C$7="Semua",$C$7="",I1017=$C$7),OR($C$8="Semua",$C$8="",C1017=$C$8,E1017=$C$8),OR($C$9="Semua",$C$9="",D1017=$C$9),OR($C$10="",B1017&gt;=$C$10),OR($C$11="",B1017&lt;=$C$11),OR($C$12&lt;&gt;"Ya",K1017&lt;&gt;""),OR($C$13="Semua",$C$13="",L1017=$C$13)),"✓","")</f>
        <v/>
      </c>
      <c r="N1017" s="93">
        <f>N(N1016)+IF(M1017="✓",1,0)</f>
        <v/>
      </c>
      <c r="O1017" s="93">
        <f>N(O1016)+IF(AND(B1017&lt;&gt;"",B1017&gt;='Uang Riba'!$H$30,B1017&lt;='Uang Riba'!$I$30,OR(H1017="Dana riba",H1017="Pinjam uang riba",I1017="Pinjam dari uang riba",I1017="Ganti uang riba",I1017="Kelebihan ganti dikembalikan",AND(C1017="Kantong Uang Riba",G1017="Pengeluaran"))),1,0)</f>
        <v/>
      </c>
      <c r="X1017" s="93">
        <f>IF(AND(B1017&lt;&gt;"",B1017&gt;='Buku Akun'!$H$4,B1017&lt;='Buku Akun'!$H$5,OR(C1017='Buku Akun'!$C$4,AND(D1017="Pindah",E1017='Buku Akun'!$C$4))),B1017+IF(AND(I1017="Selisih bunga",DAY(B1017)=1),0,0.01)+ROW()/10000000,"")</f>
        <v/>
      </c>
    </row>
    <row r="1018" outlineLevel="1" ht="15" customHeight="1" s="94">
      <c r="A1018" s="123">
        <f>IF(B1018="","",ROW()-15)</f>
        <v/>
      </c>
      <c r="B1018" s="124" t="n"/>
      <c r="C1018" s="123" t="n"/>
      <c r="D1018" s="123" t="n"/>
      <c r="E1018" s="123" t="n"/>
      <c r="F1018" s="125" t="n"/>
      <c r="G1018" s="123" t="n"/>
      <c r="H1018" s="123" t="n"/>
      <c r="I1018" s="123" t="n"/>
      <c r="J1018" s="123" t="n"/>
      <c r="K1018" s="123" t="n"/>
      <c r="L1018" s="123" t="n"/>
      <c r="M1018" s="123">
        <f>IF(AND(B1018&lt;&gt;"",OR($C$4="",ISNUMBER(SEARCH($C$4,C1018&amp;" "&amp;E1018&amp;" "&amp;G1018&amp;" "&amp;H1018&amp;" "&amp;I1018&amp;" "&amp;J1018&amp;" "&amp;K1018&amp;" "&amp;L1018))),OR($C$5="Semua",$C$5="",G1018=$C$5),OR($C$6="Semua",$C$6="",H1018=$C$6,H1018="Pengeluaran "&amp;$C$6,AND($C$6="Uang Kos Mama",H1018="Pengeluaran Uang Kos")),OR($C$7="Semua",$C$7="",I1018=$C$7),OR($C$8="Semua",$C$8="",C1018=$C$8,E1018=$C$8),OR($C$9="Semua",$C$9="",D1018=$C$9),OR($C$10="",B1018&gt;=$C$10),OR($C$11="",B1018&lt;=$C$11),OR($C$12&lt;&gt;"Ya",K1018&lt;&gt;""),OR($C$13="Semua",$C$13="",L1018=$C$13)),"✓","")</f>
        <v/>
      </c>
      <c r="N1018" s="93">
        <f>N(N1017)+IF(M1018="✓",1,0)</f>
        <v/>
      </c>
      <c r="O1018" s="93">
        <f>N(O1017)+IF(AND(B1018&lt;&gt;"",B1018&gt;='Uang Riba'!$H$30,B1018&lt;='Uang Riba'!$I$30,OR(H1018="Dana riba",H1018="Pinjam uang riba",I1018="Pinjam dari uang riba",I1018="Ganti uang riba",I1018="Kelebihan ganti dikembalikan",AND(C1018="Kantong Uang Riba",G1018="Pengeluaran"))),1,0)</f>
        <v/>
      </c>
      <c r="X1018" s="93">
        <f>IF(AND(B1018&lt;&gt;"",B1018&gt;='Buku Akun'!$H$4,B1018&lt;='Buku Akun'!$H$5,OR(C1018='Buku Akun'!$C$4,AND(D1018="Pindah",E1018='Buku Akun'!$C$4))),B1018+IF(AND(I1018="Selisih bunga",DAY(B1018)=1),0,0.01)+ROW()/10000000,"")</f>
        <v/>
      </c>
    </row>
    <row r="1019" outlineLevel="1" ht="15" customHeight="1" s="94">
      <c r="A1019" s="123">
        <f>IF(B1019="","",ROW()-15)</f>
        <v/>
      </c>
      <c r="B1019" s="124" t="n"/>
      <c r="C1019" s="123" t="n"/>
      <c r="D1019" s="123" t="n"/>
      <c r="E1019" s="123" t="n"/>
      <c r="F1019" s="125" t="n"/>
      <c r="G1019" s="123" t="n"/>
      <c r="H1019" s="123" t="n"/>
      <c r="I1019" s="123" t="n"/>
      <c r="J1019" s="123" t="n"/>
      <c r="K1019" s="123" t="n"/>
      <c r="L1019" s="123" t="n"/>
      <c r="M1019" s="123">
        <f>IF(AND(B1019&lt;&gt;"",OR($C$4="",ISNUMBER(SEARCH($C$4,C1019&amp;" "&amp;E1019&amp;" "&amp;G1019&amp;" "&amp;H1019&amp;" "&amp;I1019&amp;" "&amp;J1019&amp;" "&amp;K1019&amp;" "&amp;L1019))),OR($C$5="Semua",$C$5="",G1019=$C$5),OR($C$6="Semua",$C$6="",H1019=$C$6,H1019="Pengeluaran "&amp;$C$6,AND($C$6="Uang Kos Mama",H1019="Pengeluaran Uang Kos")),OR($C$7="Semua",$C$7="",I1019=$C$7),OR($C$8="Semua",$C$8="",C1019=$C$8,E1019=$C$8),OR($C$9="Semua",$C$9="",D1019=$C$9),OR($C$10="",B1019&gt;=$C$10),OR($C$11="",B1019&lt;=$C$11),OR($C$12&lt;&gt;"Ya",K1019&lt;&gt;""),OR($C$13="Semua",$C$13="",L1019=$C$13)),"✓","")</f>
        <v/>
      </c>
      <c r="N1019" s="93">
        <f>N(N1018)+IF(M1019="✓",1,0)</f>
        <v/>
      </c>
      <c r="O1019" s="93">
        <f>N(O1018)+IF(AND(B1019&lt;&gt;"",B1019&gt;='Uang Riba'!$H$30,B1019&lt;='Uang Riba'!$I$30,OR(H1019="Dana riba",H1019="Pinjam uang riba",I1019="Pinjam dari uang riba",I1019="Ganti uang riba",I1019="Kelebihan ganti dikembalikan",AND(C1019="Kantong Uang Riba",G1019="Pengeluaran"))),1,0)</f>
        <v/>
      </c>
      <c r="X1019" s="93">
        <f>IF(AND(B1019&lt;&gt;"",B1019&gt;='Buku Akun'!$H$4,B1019&lt;='Buku Akun'!$H$5,OR(C1019='Buku Akun'!$C$4,AND(D1019="Pindah",E1019='Buku Akun'!$C$4))),B1019+IF(AND(I1019="Selisih bunga",DAY(B1019)=1),0,0.01)+ROW()/10000000,"")</f>
        <v/>
      </c>
    </row>
    <row r="1020" outlineLevel="1" ht="15" customHeight="1" s="94">
      <c r="A1020" s="123">
        <f>IF(B1020="","",ROW()-15)</f>
        <v/>
      </c>
      <c r="B1020" s="124" t="n"/>
      <c r="C1020" s="123" t="n"/>
      <c r="D1020" s="123" t="n"/>
      <c r="E1020" s="123" t="n"/>
      <c r="F1020" s="125" t="n"/>
      <c r="G1020" s="123" t="n"/>
      <c r="H1020" s="123" t="n"/>
      <c r="I1020" s="123" t="n"/>
      <c r="J1020" s="123" t="n"/>
      <c r="K1020" s="123" t="n"/>
      <c r="L1020" s="123" t="n"/>
      <c r="M1020" s="123">
        <f>IF(AND(B1020&lt;&gt;"",OR($C$4="",ISNUMBER(SEARCH($C$4,C1020&amp;" "&amp;E1020&amp;" "&amp;G1020&amp;" "&amp;H1020&amp;" "&amp;I1020&amp;" "&amp;J1020&amp;" "&amp;K1020&amp;" "&amp;L1020))),OR($C$5="Semua",$C$5="",G1020=$C$5),OR($C$6="Semua",$C$6="",H1020=$C$6,H1020="Pengeluaran "&amp;$C$6,AND($C$6="Uang Kos Mama",H1020="Pengeluaran Uang Kos")),OR($C$7="Semua",$C$7="",I1020=$C$7),OR($C$8="Semua",$C$8="",C1020=$C$8,E1020=$C$8),OR($C$9="Semua",$C$9="",D1020=$C$9),OR($C$10="",B1020&gt;=$C$10),OR($C$11="",B1020&lt;=$C$11),OR($C$12&lt;&gt;"Ya",K1020&lt;&gt;""),OR($C$13="Semua",$C$13="",L1020=$C$13)),"✓","")</f>
        <v/>
      </c>
      <c r="N1020" s="93">
        <f>N(N1019)+IF(M1020="✓",1,0)</f>
        <v/>
      </c>
      <c r="O1020" s="93">
        <f>N(O1019)+IF(AND(B1020&lt;&gt;"",B1020&gt;='Uang Riba'!$H$30,B1020&lt;='Uang Riba'!$I$30,OR(H1020="Dana riba",H1020="Pinjam uang riba",I1020="Pinjam dari uang riba",I1020="Ganti uang riba",I1020="Kelebihan ganti dikembalikan",AND(C1020="Kantong Uang Riba",G1020="Pengeluaran"))),1,0)</f>
        <v/>
      </c>
      <c r="X1020" s="93">
        <f>IF(AND(B1020&lt;&gt;"",B1020&gt;='Buku Akun'!$H$4,B1020&lt;='Buku Akun'!$H$5,OR(C1020='Buku Akun'!$C$4,AND(D1020="Pindah",E1020='Buku Akun'!$C$4))),B1020+IF(AND(I1020="Selisih bunga",DAY(B1020)=1),0,0.01)+ROW()/10000000,"")</f>
        <v/>
      </c>
    </row>
    <row r="1021" outlineLevel="1" ht="15" customHeight="1" s="94">
      <c r="A1021" s="123">
        <f>IF(B1021="","",ROW()-15)</f>
        <v/>
      </c>
      <c r="B1021" s="124" t="n"/>
      <c r="C1021" s="123" t="n"/>
      <c r="D1021" s="123" t="n"/>
      <c r="E1021" s="123" t="n"/>
      <c r="F1021" s="125" t="n"/>
      <c r="G1021" s="123" t="n"/>
      <c r="H1021" s="123" t="n"/>
      <c r="I1021" s="123" t="n"/>
      <c r="J1021" s="123" t="n"/>
      <c r="K1021" s="123" t="n"/>
      <c r="L1021" s="123" t="n"/>
      <c r="M1021" s="123">
        <f>IF(AND(B1021&lt;&gt;"",OR($C$4="",ISNUMBER(SEARCH($C$4,C1021&amp;" "&amp;E1021&amp;" "&amp;G1021&amp;" "&amp;H1021&amp;" "&amp;I1021&amp;" "&amp;J1021&amp;" "&amp;K1021&amp;" "&amp;L1021))),OR($C$5="Semua",$C$5="",G1021=$C$5),OR($C$6="Semua",$C$6="",H1021=$C$6,H1021="Pengeluaran "&amp;$C$6,AND($C$6="Uang Kos Mama",H1021="Pengeluaran Uang Kos")),OR($C$7="Semua",$C$7="",I1021=$C$7),OR($C$8="Semua",$C$8="",C1021=$C$8,E1021=$C$8),OR($C$9="Semua",$C$9="",D1021=$C$9),OR($C$10="",B1021&gt;=$C$10),OR($C$11="",B1021&lt;=$C$11),OR($C$12&lt;&gt;"Ya",K1021&lt;&gt;""),OR($C$13="Semua",$C$13="",L1021=$C$13)),"✓","")</f>
        <v/>
      </c>
      <c r="N1021" s="93">
        <f>N(N1020)+IF(M1021="✓",1,0)</f>
        <v/>
      </c>
      <c r="O1021" s="93">
        <f>N(O1020)+IF(AND(B1021&lt;&gt;"",B1021&gt;='Uang Riba'!$H$30,B1021&lt;='Uang Riba'!$I$30,OR(H1021="Dana riba",H1021="Pinjam uang riba",I1021="Pinjam dari uang riba",I1021="Ganti uang riba",I1021="Kelebihan ganti dikembalikan",AND(C1021="Kantong Uang Riba",G1021="Pengeluaran"))),1,0)</f>
        <v/>
      </c>
      <c r="X1021" s="93">
        <f>IF(AND(B1021&lt;&gt;"",B1021&gt;='Buku Akun'!$H$4,B1021&lt;='Buku Akun'!$H$5,OR(C1021='Buku Akun'!$C$4,AND(D1021="Pindah",E1021='Buku Akun'!$C$4))),B1021+IF(AND(I1021="Selisih bunga",DAY(B1021)=1),0,0.01)+ROW()/10000000,"")</f>
        <v/>
      </c>
    </row>
    <row r="1022" outlineLevel="1" ht="15" customHeight="1" s="94">
      <c r="A1022" s="123">
        <f>IF(B1022="","",ROW()-15)</f>
        <v/>
      </c>
      <c r="B1022" s="124" t="n"/>
      <c r="C1022" s="123" t="n"/>
      <c r="D1022" s="123" t="n"/>
      <c r="E1022" s="123" t="n"/>
      <c r="F1022" s="125" t="n"/>
      <c r="G1022" s="123" t="n"/>
      <c r="H1022" s="123" t="n"/>
      <c r="I1022" s="123" t="n"/>
      <c r="J1022" s="123" t="n"/>
      <c r="K1022" s="123" t="n"/>
      <c r="L1022" s="123" t="n"/>
      <c r="M1022" s="123">
        <f>IF(AND(B1022&lt;&gt;"",OR($C$4="",ISNUMBER(SEARCH($C$4,C1022&amp;" "&amp;E1022&amp;" "&amp;G1022&amp;" "&amp;H1022&amp;" "&amp;I1022&amp;" "&amp;J1022&amp;" "&amp;K1022&amp;" "&amp;L1022))),OR($C$5="Semua",$C$5="",G1022=$C$5),OR($C$6="Semua",$C$6="",H1022=$C$6,H1022="Pengeluaran "&amp;$C$6,AND($C$6="Uang Kos Mama",H1022="Pengeluaran Uang Kos")),OR($C$7="Semua",$C$7="",I1022=$C$7),OR($C$8="Semua",$C$8="",C1022=$C$8,E1022=$C$8),OR($C$9="Semua",$C$9="",D1022=$C$9),OR($C$10="",B1022&gt;=$C$10),OR($C$11="",B1022&lt;=$C$11),OR($C$12&lt;&gt;"Ya",K1022&lt;&gt;""),OR($C$13="Semua",$C$13="",L1022=$C$13)),"✓","")</f>
        <v/>
      </c>
      <c r="N1022" s="93">
        <f>N(N1021)+IF(M1022="✓",1,0)</f>
        <v/>
      </c>
      <c r="O1022" s="93">
        <f>N(O1021)+IF(AND(B1022&lt;&gt;"",B1022&gt;='Uang Riba'!$H$30,B1022&lt;='Uang Riba'!$I$30,OR(H1022="Dana riba",H1022="Pinjam uang riba",I1022="Pinjam dari uang riba",I1022="Ganti uang riba",I1022="Kelebihan ganti dikembalikan",AND(C1022="Kantong Uang Riba",G1022="Pengeluaran"))),1,0)</f>
        <v/>
      </c>
      <c r="X1022" s="93">
        <f>IF(AND(B1022&lt;&gt;"",B1022&gt;='Buku Akun'!$H$4,B1022&lt;='Buku Akun'!$H$5,OR(C1022='Buku Akun'!$C$4,AND(D1022="Pindah",E1022='Buku Akun'!$C$4))),B1022+IF(AND(I1022="Selisih bunga",DAY(B1022)=1),0,0.01)+ROW()/10000000,"")</f>
        <v/>
      </c>
    </row>
    <row r="1023" outlineLevel="1" ht="15" customHeight="1" s="94">
      <c r="A1023" s="123">
        <f>IF(B1023="","",ROW()-15)</f>
        <v/>
      </c>
      <c r="B1023" s="124" t="n"/>
      <c r="C1023" s="123" t="n"/>
      <c r="D1023" s="123" t="n"/>
      <c r="E1023" s="123" t="n"/>
      <c r="F1023" s="125" t="n"/>
      <c r="G1023" s="123" t="n"/>
      <c r="H1023" s="123" t="n"/>
      <c r="I1023" s="123" t="n"/>
      <c r="J1023" s="123" t="n"/>
      <c r="K1023" s="123" t="n"/>
      <c r="L1023" s="123" t="n"/>
      <c r="M1023" s="123">
        <f>IF(AND(B1023&lt;&gt;"",OR($C$4="",ISNUMBER(SEARCH($C$4,C1023&amp;" "&amp;E1023&amp;" "&amp;G1023&amp;" "&amp;H1023&amp;" "&amp;I1023&amp;" "&amp;J1023&amp;" "&amp;K1023&amp;" "&amp;L1023))),OR($C$5="Semua",$C$5="",G1023=$C$5),OR($C$6="Semua",$C$6="",H1023=$C$6,H1023="Pengeluaran "&amp;$C$6,AND($C$6="Uang Kos Mama",H1023="Pengeluaran Uang Kos")),OR($C$7="Semua",$C$7="",I1023=$C$7),OR($C$8="Semua",$C$8="",C1023=$C$8,E1023=$C$8),OR($C$9="Semua",$C$9="",D1023=$C$9),OR($C$10="",B1023&gt;=$C$10),OR($C$11="",B1023&lt;=$C$11),OR($C$12&lt;&gt;"Ya",K1023&lt;&gt;""),OR($C$13="Semua",$C$13="",L1023=$C$13)),"✓","")</f>
        <v/>
      </c>
      <c r="N1023" s="93">
        <f>N(N1022)+IF(M1023="✓",1,0)</f>
        <v/>
      </c>
      <c r="O1023" s="93">
        <f>N(O1022)+IF(AND(B1023&lt;&gt;"",B1023&gt;='Uang Riba'!$H$30,B1023&lt;='Uang Riba'!$I$30,OR(H1023="Dana riba",H1023="Pinjam uang riba",I1023="Pinjam dari uang riba",I1023="Ganti uang riba",I1023="Kelebihan ganti dikembalikan",AND(C1023="Kantong Uang Riba",G1023="Pengeluaran"))),1,0)</f>
        <v/>
      </c>
      <c r="X1023" s="93">
        <f>IF(AND(B1023&lt;&gt;"",B1023&gt;='Buku Akun'!$H$4,B1023&lt;='Buku Akun'!$H$5,OR(C1023='Buku Akun'!$C$4,AND(D1023="Pindah",E1023='Buku Akun'!$C$4))),B1023+IF(AND(I1023="Selisih bunga",DAY(B1023)=1),0,0.01)+ROW()/10000000,"")</f>
        <v/>
      </c>
    </row>
    <row r="1024" outlineLevel="1" ht="15" customHeight="1" s="94">
      <c r="A1024" s="123">
        <f>IF(B1024="","",ROW()-15)</f>
        <v/>
      </c>
      <c r="B1024" s="124" t="n"/>
      <c r="C1024" s="123" t="n"/>
      <c r="D1024" s="123" t="n"/>
      <c r="E1024" s="123" t="n"/>
      <c r="F1024" s="125" t="n"/>
      <c r="G1024" s="123" t="n"/>
      <c r="H1024" s="123" t="n"/>
      <c r="I1024" s="123" t="n"/>
      <c r="J1024" s="123" t="n"/>
      <c r="K1024" s="123" t="n"/>
      <c r="L1024" s="123" t="n"/>
      <c r="M1024" s="123">
        <f>IF(AND(B1024&lt;&gt;"",OR($C$4="",ISNUMBER(SEARCH($C$4,C1024&amp;" "&amp;E1024&amp;" "&amp;G1024&amp;" "&amp;H1024&amp;" "&amp;I1024&amp;" "&amp;J1024&amp;" "&amp;K1024&amp;" "&amp;L1024))),OR($C$5="Semua",$C$5="",G1024=$C$5),OR($C$6="Semua",$C$6="",H1024=$C$6,H1024="Pengeluaran "&amp;$C$6,AND($C$6="Uang Kos Mama",H1024="Pengeluaran Uang Kos")),OR($C$7="Semua",$C$7="",I1024=$C$7),OR($C$8="Semua",$C$8="",C1024=$C$8,E1024=$C$8),OR($C$9="Semua",$C$9="",D1024=$C$9),OR($C$10="",B1024&gt;=$C$10),OR($C$11="",B1024&lt;=$C$11),OR($C$12&lt;&gt;"Ya",K1024&lt;&gt;""),OR($C$13="Semua",$C$13="",L1024=$C$13)),"✓","")</f>
        <v/>
      </c>
      <c r="N1024" s="93">
        <f>N(N1023)+IF(M1024="✓",1,0)</f>
        <v/>
      </c>
      <c r="O1024" s="93">
        <f>N(O1023)+IF(AND(B1024&lt;&gt;"",B1024&gt;='Uang Riba'!$H$30,B1024&lt;='Uang Riba'!$I$30,OR(H1024="Dana riba",H1024="Pinjam uang riba",I1024="Pinjam dari uang riba",I1024="Ganti uang riba",I1024="Kelebihan ganti dikembalikan",AND(C1024="Kantong Uang Riba",G1024="Pengeluaran"))),1,0)</f>
        <v/>
      </c>
      <c r="X1024" s="93">
        <f>IF(AND(B1024&lt;&gt;"",B1024&gt;='Buku Akun'!$H$4,B1024&lt;='Buku Akun'!$H$5,OR(C1024='Buku Akun'!$C$4,AND(D1024="Pindah",E1024='Buku Akun'!$C$4))),B1024+IF(AND(I1024="Selisih bunga",DAY(B1024)=1),0,0.01)+ROW()/10000000,"")</f>
        <v/>
      </c>
    </row>
    <row r="1025" outlineLevel="1" ht="15" customHeight="1" s="94">
      <c r="A1025" s="123">
        <f>IF(B1025="","",ROW()-15)</f>
        <v/>
      </c>
      <c r="B1025" s="124" t="n"/>
      <c r="C1025" s="123" t="n"/>
      <c r="D1025" s="123" t="n"/>
      <c r="E1025" s="123" t="n"/>
      <c r="F1025" s="125" t="n"/>
      <c r="G1025" s="123" t="n"/>
      <c r="H1025" s="123" t="n"/>
      <c r="I1025" s="123" t="n"/>
      <c r="J1025" s="123" t="n"/>
      <c r="K1025" s="123" t="n"/>
      <c r="L1025" s="123" t="n"/>
      <c r="M1025" s="123">
        <f>IF(AND(B1025&lt;&gt;"",OR($C$4="",ISNUMBER(SEARCH($C$4,C1025&amp;" "&amp;E1025&amp;" "&amp;G1025&amp;" "&amp;H1025&amp;" "&amp;I1025&amp;" "&amp;J1025&amp;" "&amp;K1025&amp;" "&amp;L1025))),OR($C$5="Semua",$C$5="",G1025=$C$5),OR($C$6="Semua",$C$6="",H1025=$C$6,H1025="Pengeluaran "&amp;$C$6,AND($C$6="Uang Kos Mama",H1025="Pengeluaran Uang Kos")),OR($C$7="Semua",$C$7="",I1025=$C$7),OR($C$8="Semua",$C$8="",C1025=$C$8,E1025=$C$8),OR($C$9="Semua",$C$9="",D1025=$C$9),OR($C$10="",B1025&gt;=$C$10),OR($C$11="",B1025&lt;=$C$11),OR($C$12&lt;&gt;"Ya",K1025&lt;&gt;""),OR($C$13="Semua",$C$13="",L1025=$C$13)),"✓","")</f>
        <v/>
      </c>
      <c r="N1025" s="93">
        <f>N(N1024)+IF(M1025="✓",1,0)</f>
        <v/>
      </c>
      <c r="O1025" s="93">
        <f>N(O1024)+IF(AND(B1025&lt;&gt;"",B1025&gt;='Uang Riba'!$H$30,B1025&lt;='Uang Riba'!$I$30,OR(H1025="Dana riba",H1025="Pinjam uang riba",I1025="Pinjam dari uang riba",I1025="Ganti uang riba",I1025="Kelebihan ganti dikembalikan",AND(C1025="Kantong Uang Riba",G1025="Pengeluaran"))),1,0)</f>
        <v/>
      </c>
      <c r="X1025" s="93">
        <f>IF(AND(B1025&lt;&gt;"",B1025&gt;='Buku Akun'!$H$4,B1025&lt;='Buku Akun'!$H$5,OR(C1025='Buku Akun'!$C$4,AND(D1025="Pindah",E1025='Buku Akun'!$C$4))),B1025+IF(AND(I1025="Selisih bunga",DAY(B1025)=1),0,0.01)+ROW()/10000000,"")</f>
        <v/>
      </c>
    </row>
    <row r="1026" outlineLevel="1" ht="15" customHeight="1" s="94">
      <c r="A1026" s="123">
        <f>IF(B1026="","",ROW()-15)</f>
        <v/>
      </c>
      <c r="B1026" s="124" t="n"/>
      <c r="C1026" s="123" t="n"/>
      <c r="D1026" s="123" t="n"/>
      <c r="E1026" s="123" t="n"/>
      <c r="F1026" s="125" t="n"/>
      <c r="G1026" s="123" t="n"/>
      <c r="H1026" s="123" t="n"/>
      <c r="I1026" s="123" t="n"/>
      <c r="J1026" s="123" t="n"/>
      <c r="K1026" s="123" t="n"/>
      <c r="L1026" s="123" t="n"/>
      <c r="M1026" s="123">
        <f>IF(AND(B1026&lt;&gt;"",OR($C$4="",ISNUMBER(SEARCH($C$4,C1026&amp;" "&amp;E1026&amp;" "&amp;G1026&amp;" "&amp;H1026&amp;" "&amp;I1026&amp;" "&amp;J1026&amp;" "&amp;K1026&amp;" "&amp;L1026))),OR($C$5="Semua",$C$5="",G1026=$C$5),OR($C$6="Semua",$C$6="",H1026=$C$6,H1026="Pengeluaran "&amp;$C$6,AND($C$6="Uang Kos Mama",H1026="Pengeluaran Uang Kos")),OR($C$7="Semua",$C$7="",I1026=$C$7),OR($C$8="Semua",$C$8="",C1026=$C$8,E1026=$C$8),OR($C$9="Semua",$C$9="",D1026=$C$9),OR($C$10="",B1026&gt;=$C$10),OR($C$11="",B1026&lt;=$C$11),OR($C$12&lt;&gt;"Ya",K1026&lt;&gt;""),OR($C$13="Semua",$C$13="",L1026=$C$13)),"✓","")</f>
        <v/>
      </c>
      <c r="N1026" s="93">
        <f>N(N1025)+IF(M1026="✓",1,0)</f>
        <v/>
      </c>
      <c r="O1026" s="93">
        <f>N(O1025)+IF(AND(B1026&lt;&gt;"",B1026&gt;='Uang Riba'!$H$30,B1026&lt;='Uang Riba'!$I$30,OR(H1026="Dana riba",H1026="Pinjam uang riba",I1026="Pinjam dari uang riba",I1026="Ganti uang riba",I1026="Kelebihan ganti dikembalikan",AND(C1026="Kantong Uang Riba",G1026="Pengeluaran"))),1,0)</f>
        <v/>
      </c>
      <c r="X1026" s="93">
        <f>IF(AND(B1026&lt;&gt;"",B1026&gt;='Buku Akun'!$H$4,B1026&lt;='Buku Akun'!$H$5,OR(C1026='Buku Akun'!$C$4,AND(D1026="Pindah",E1026='Buku Akun'!$C$4))),B1026+IF(AND(I1026="Selisih bunga",DAY(B1026)=1),0,0.01)+ROW()/10000000,"")</f>
        <v/>
      </c>
    </row>
    <row r="1027" outlineLevel="1" ht="15" customHeight="1" s="94">
      <c r="A1027" s="123">
        <f>IF(B1027="","",ROW()-15)</f>
        <v/>
      </c>
      <c r="B1027" s="124" t="n"/>
      <c r="C1027" s="123" t="n"/>
      <c r="D1027" s="123" t="n"/>
      <c r="E1027" s="123" t="n"/>
      <c r="F1027" s="125" t="n"/>
      <c r="G1027" s="123" t="n"/>
      <c r="H1027" s="123" t="n"/>
      <c r="I1027" s="123" t="n"/>
      <c r="J1027" s="123" t="n"/>
      <c r="K1027" s="123" t="n"/>
      <c r="L1027" s="123" t="n"/>
      <c r="M1027" s="123">
        <f>IF(AND(B1027&lt;&gt;"",OR($C$4="",ISNUMBER(SEARCH($C$4,C1027&amp;" "&amp;E1027&amp;" "&amp;G1027&amp;" "&amp;H1027&amp;" "&amp;I1027&amp;" "&amp;J1027&amp;" "&amp;K1027&amp;" "&amp;L1027))),OR($C$5="Semua",$C$5="",G1027=$C$5),OR($C$6="Semua",$C$6="",H1027=$C$6,H1027="Pengeluaran "&amp;$C$6,AND($C$6="Uang Kos Mama",H1027="Pengeluaran Uang Kos")),OR($C$7="Semua",$C$7="",I1027=$C$7),OR($C$8="Semua",$C$8="",C1027=$C$8,E1027=$C$8),OR($C$9="Semua",$C$9="",D1027=$C$9),OR($C$10="",B1027&gt;=$C$10),OR($C$11="",B1027&lt;=$C$11),OR($C$12&lt;&gt;"Ya",K1027&lt;&gt;""),OR($C$13="Semua",$C$13="",L1027=$C$13)),"✓","")</f>
        <v/>
      </c>
      <c r="N1027" s="93">
        <f>N(N1026)+IF(M1027="✓",1,0)</f>
        <v/>
      </c>
      <c r="O1027" s="93">
        <f>N(O1026)+IF(AND(B1027&lt;&gt;"",B1027&gt;='Uang Riba'!$H$30,B1027&lt;='Uang Riba'!$I$30,OR(H1027="Dana riba",H1027="Pinjam uang riba",I1027="Pinjam dari uang riba",I1027="Ganti uang riba",I1027="Kelebihan ganti dikembalikan",AND(C1027="Kantong Uang Riba",G1027="Pengeluaran"))),1,0)</f>
        <v/>
      </c>
      <c r="X1027" s="93">
        <f>IF(AND(B1027&lt;&gt;"",B1027&gt;='Buku Akun'!$H$4,B1027&lt;='Buku Akun'!$H$5,OR(C1027='Buku Akun'!$C$4,AND(D1027="Pindah",E1027='Buku Akun'!$C$4))),B1027+IF(AND(I1027="Selisih bunga",DAY(B1027)=1),0,0.01)+ROW()/10000000,"")</f>
        <v/>
      </c>
    </row>
    <row r="1028" outlineLevel="1" ht="15" customHeight="1" s="94">
      <c r="A1028" s="123">
        <f>IF(B1028="","",ROW()-15)</f>
        <v/>
      </c>
      <c r="B1028" s="124" t="n"/>
      <c r="C1028" s="123" t="n"/>
      <c r="D1028" s="123" t="n"/>
      <c r="E1028" s="123" t="n"/>
      <c r="F1028" s="125" t="n"/>
      <c r="G1028" s="123" t="n"/>
      <c r="H1028" s="123" t="n"/>
      <c r="I1028" s="123" t="n"/>
      <c r="J1028" s="123" t="n"/>
      <c r="K1028" s="123" t="n"/>
      <c r="L1028" s="123" t="n"/>
      <c r="M1028" s="123">
        <f>IF(AND(B1028&lt;&gt;"",OR($C$4="",ISNUMBER(SEARCH($C$4,C1028&amp;" "&amp;E1028&amp;" "&amp;G1028&amp;" "&amp;H1028&amp;" "&amp;I1028&amp;" "&amp;J1028&amp;" "&amp;K1028&amp;" "&amp;L1028))),OR($C$5="Semua",$C$5="",G1028=$C$5),OR($C$6="Semua",$C$6="",H1028=$C$6,H1028="Pengeluaran "&amp;$C$6,AND($C$6="Uang Kos Mama",H1028="Pengeluaran Uang Kos")),OR($C$7="Semua",$C$7="",I1028=$C$7),OR($C$8="Semua",$C$8="",C1028=$C$8,E1028=$C$8),OR($C$9="Semua",$C$9="",D1028=$C$9),OR($C$10="",B1028&gt;=$C$10),OR($C$11="",B1028&lt;=$C$11),OR($C$12&lt;&gt;"Ya",K1028&lt;&gt;""),OR($C$13="Semua",$C$13="",L1028=$C$13)),"✓","")</f>
        <v/>
      </c>
      <c r="N1028" s="93">
        <f>N(N1027)+IF(M1028="✓",1,0)</f>
        <v/>
      </c>
      <c r="O1028" s="93">
        <f>N(O1027)+IF(AND(B1028&lt;&gt;"",B1028&gt;='Uang Riba'!$H$30,B1028&lt;='Uang Riba'!$I$30,OR(H1028="Dana riba",H1028="Pinjam uang riba",I1028="Pinjam dari uang riba",I1028="Ganti uang riba",I1028="Kelebihan ganti dikembalikan",AND(C1028="Kantong Uang Riba",G1028="Pengeluaran"))),1,0)</f>
        <v/>
      </c>
      <c r="X1028" s="93">
        <f>IF(AND(B1028&lt;&gt;"",B1028&gt;='Buku Akun'!$H$4,B1028&lt;='Buku Akun'!$H$5,OR(C1028='Buku Akun'!$C$4,AND(D1028="Pindah",E1028='Buku Akun'!$C$4))),B1028+IF(AND(I1028="Selisih bunga",DAY(B1028)=1),0,0.01)+ROW()/10000000,"")</f>
        <v/>
      </c>
    </row>
    <row r="1029" outlineLevel="1" ht="15" customHeight="1" s="94">
      <c r="A1029" s="123">
        <f>IF(B1029="","",ROW()-15)</f>
        <v/>
      </c>
      <c r="B1029" s="124" t="n"/>
      <c r="C1029" s="123" t="n"/>
      <c r="D1029" s="123" t="n"/>
      <c r="E1029" s="123" t="n"/>
      <c r="F1029" s="125" t="n"/>
      <c r="G1029" s="123" t="n"/>
      <c r="H1029" s="123" t="n"/>
      <c r="I1029" s="123" t="n"/>
      <c r="J1029" s="123" t="n"/>
      <c r="K1029" s="123" t="n"/>
      <c r="L1029" s="123" t="n"/>
      <c r="M1029" s="123">
        <f>IF(AND(B1029&lt;&gt;"",OR($C$4="",ISNUMBER(SEARCH($C$4,C1029&amp;" "&amp;E1029&amp;" "&amp;G1029&amp;" "&amp;H1029&amp;" "&amp;I1029&amp;" "&amp;J1029&amp;" "&amp;K1029&amp;" "&amp;L1029))),OR($C$5="Semua",$C$5="",G1029=$C$5),OR($C$6="Semua",$C$6="",H1029=$C$6,H1029="Pengeluaran "&amp;$C$6,AND($C$6="Uang Kos Mama",H1029="Pengeluaran Uang Kos")),OR($C$7="Semua",$C$7="",I1029=$C$7),OR($C$8="Semua",$C$8="",C1029=$C$8,E1029=$C$8),OR($C$9="Semua",$C$9="",D1029=$C$9),OR($C$10="",B1029&gt;=$C$10),OR($C$11="",B1029&lt;=$C$11),OR($C$12&lt;&gt;"Ya",K1029&lt;&gt;""),OR($C$13="Semua",$C$13="",L1029=$C$13)),"✓","")</f>
        <v/>
      </c>
      <c r="N1029" s="93">
        <f>N(N1028)+IF(M1029="✓",1,0)</f>
        <v/>
      </c>
      <c r="O1029" s="93">
        <f>N(O1028)+IF(AND(B1029&lt;&gt;"",B1029&gt;='Uang Riba'!$H$30,B1029&lt;='Uang Riba'!$I$30,OR(H1029="Dana riba",H1029="Pinjam uang riba",I1029="Pinjam dari uang riba",I1029="Ganti uang riba",I1029="Kelebihan ganti dikembalikan",AND(C1029="Kantong Uang Riba",G1029="Pengeluaran"))),1,0)</f>
        <v/>
      </c>
      <c r="X1029" s="93">
        <f>IF(AND(B1029&lt;&gt;"",B1029&gt;='Buku Akun'!$H$4,B1029&lt;='Buku Akun'!$H$5,OR(C1029='Buku Akun'!$C$4,AND(D1029="Pindah",E1029='Buku Akun'!$C$4))),B1029+IF(AND(I1029="Selisih bunga",DAY(B1029)=1),0,0.01)+ROW()/10000000,"")</f>
        <v/>
      </c>
    </row>
    <row r="1030" outlineLevel="1" ht="15" customHeight="1" s="94">
      <c r="A1030" s="123">
        <f>IF(B1030="","",ROW()-15)</f>
        <v/>
      </c>
      <c r="B1030" s="124" t="n"/>
      <c r="C1030" s="123" t="n"/>
      <c r="D1030" s="123" t="n"/>
      <c r="E1030" s="123" t="n"/>
      <c r="F1030" s="125" t="n"/>
      <c r="G1030" s="123" t="n"/>
      <c r="H1030" s="123" t="n"/>
      <c r="I1030" s="123" t="n"/>
      <c r="J1030" s="123" t="n"/>
      <c r="K1030" s="123" t="n"/>
      <c r="L1030" s="123" t="n"/>
      <c r="M1030" s="123">
        <f>IF(AND(B1030&lt;&gt;"",OR($C$4="",ISNUMBER(SEARCH($C$4,C1030&amp;" "&amp;E1030&amp;" "&amp;G1030&amp;" "&amp;H1030&amp;" "&amp;I1030&amp;" "&amp;J1030&amp;" "&amp;K1030&amp;" "&amp;L1030))),OR($C$5="Semua",$C$5="",G1030=$C$5),OR($C$6="Semua",$C$6="",H1030=$C$6,H1030="Pengeluaran "&amp;$C$6,AND($C$6="Uang Kos Mama",H1030="Pengeluaran Uang Kos")),OR($C$7="Semua",$C$7="",I1030=$C$7),OR($C$8="Semua",$C$8="",C1030=$C$8,E1030=$C$8),OR($C$9="Semua",$C$9="",D1030=$C$9),OR($C$10="",B1030&gt;=$C$10),OR($C$11="",B1030&lt;=$C$11),OR($C$12&lt;&gt;"Ya",K1030&lt;&gt;""),OR($C$13="Semua",$C$13="",L1030=$C$13)),"✓","")</f>
        <v/>
      </c>
      <c r="N1030" s="93">
        <f>N(N1029)+IF(M1030="✓",1,0)</f>
        <v/>
      </c>
      <c r="O1030" s="93">
        <f>N(O1029)+IF(AND(B1030&lt;&gt;"",B1030&gt;='Uang Riba'!$H$30,B1030&lt;='Uang Riba'!$I$30,OR(H1030="Dana riba",H1030="Pinjam uang riba",I1030="Pinjam dari uang riba",I1030="Ganti uang riba",I1030="Kelebihan ganti dikembalikan",AND(C1030="Kantong Uang Riba",G1030="Pengeluaran"))),1,0)</f>
        <v/>
      </c>
      <c r="X1030" s="93">
        <f>IF(AND(B1030&lt;&gt;"",B1030&gt;='Buku Akun'!$H$4,B1030&lt;='Buku Akun'!$H$5,OR(C1030='Buku Akun'!$C$4,AND(D1030="Pindah",E1030='Buku Akun'!$C$4))),B1030+IF(AND(I1030="Selisih bunga",DAY(B1030)=1),0,0.01)+ROW()/10000000,"")</f>
        <v/>
      </c>
    </row>
    <row r="1031" outlineLevel="1" ht="15" customHeight="1" s="94">
      <c r="A1031" s="123">
        <f>IF(B1031="","",ROW()-15)</f>
        <v/>
      </c>
      <c r="B1031" s="124" t="n"/>
      <c r="C1031" s="123" t="n"/>
      <c r="D1031" s="123" t="n"/>
      <c r="E1031" s="123" t="n"/>
      <c r="F1031" s="125" t="n"/>
      <c r="G1031" s="123" t="n"/>
      <c r="H1031" s="123" t="n"/>
      <c r="I1031" s="123" t="n"/>
      <c r="J1031" s="123" t="n"/>
      <c r="K1031" s="123" t="n"/>
      <c r="L1031" s="123" t="n"/>
      <c r="M1031" s="123">
        <f>IF(AND(B1031&lt;&gt;"",OR($C$4="",ISNUMBER(SEARCH($C$4,C1031&amp;" "&amp;E1031&amp;" "&amp;G1031&amp;" "&amp;H1031&amp;" "&amp;I1031&amp;" "&amp;J1031&amp;" "&amp;K1031&amp;" "&amp;L1031))),OR($C$5="Semua",$C$5="",G1031=$C$5),OR($C$6="Semua",$C$6="",H1031=$C$6,H1031="Pengeluaran "&amp;$C$6,AND($C$6="Uang Kos Mama",H1031="Pengeluaran Uang Kos")),OR($C$7="Semua",$C$7="",I1031=$C$7),OR($C$8="Semua",$C$8="",C1031=$C$8,E1031=$C$8),OR($C$9="Semua",$C$9="",D1031=$C$9),OR($C$10="",B1031&gt;=$C$10),OR($C$11="",B1031&lt;=$C$11),OR($C$12&lt;&gt;"Ya",K1031&lt;&gt;""),OR($C$13="Semua",$C$13="",L1031=$C$13)),"✓","")</f>
        <v/>
      </c>
      <c r="N1031" s="93">
        <f>N(N1030)+IF(M1031="✓",1,0)</f>
        <v/>
      </c>
      <c r="O1031" s="93">
        <f>N(O1030)+IF(AND(B1031&lt;&gt;"",B1031&gt;='Uang Riba'!$H$30,B1031&lt;='Uang Riba'!$I$30,OR(H1031="Dana riba",H1031="Pinjam uang riba",I1031="Pinjam dari uang riba",I1031="Ganti uang riba",I1031="Kelebihan ganti dikembalikan",AND(C1031="Kantong Uang Riba",G1031="Pengeluaran"))),1,0)</f>
        <v/>
      </c>
      <c r="X1031" s="93">
        <f>IF(AND(B1031&lt;&gt;"",B1031&gt;='Buku Akun'!$H$4,B1031&lt;='Buku Akun'!$H$5,OR(C1031='Buku Akun'!$C$4,AND(D1031="Pindah",E1031='Buku Akun'!$C$4))),B1031+IF(AND(I1031="Selisih bunga",DAY(B1031)=1),0,0.01)+ROW()/10000000,"")</f>
        <v/>
      </c>
    </row>
    <row r="1032" outlineLevel="1" ht="15" customHeight="1" s="94">
      <c r="A1032" s="123">
        <f>IF(B1032="","",ROW()-15)</f>
        <v/>
      </c>
      <c r="B1032" s="124" t="n"/>
      <c r="C1032" s="123" t="n"/>
      <c r="D1032" s="123" t="n"/>
      <c r="E1032" s="123" t="n"/>
      <c r="F1032" s="125" t="n"/>
      <c r="G1032" s="123" t="n"/>
      <c r="H1032" s="123" t="n"/>
      <c r="I1032" s="123" t="n"/>
      <c r="J1032" s="123" t="n"/>
      <c r="K1032" s="123" t="n"/>
      <c r="L1032" s="123" t="n"/>
      <c r="M1032" s="123">
        <f>IF(AND(B1032&lt;&gt;"",OR($C$4="",ISNUMBER(SEARCH($C$4,C1032&amp;" "&amp;E1032&amp;" "&amp;G1032&amp;" "&amp;H1032&amp;" "&amp;I1032&amp;" "&amp;J1032&amp;" "&amp;K1032&amp;" "&amp;L1032))),OR($C$5="Semua",$C$5="",G1032=$C$5),OR($C$6="Semua",$C$6="",H1032=$C$6,H1032="Pengeluaran "&amp;$C$6,AND($C$6="Uang Kos Mama",H1032="Pengeluaran Uang Kos")),OR($C$7="Semua",$C$7="",I1032=$C$7),OR($C$8="Semua",$C$8="",C1032=$C$8,E1032=$C$8),OR($C$9="Semua",$C$9="",D1032=$C$9),OR($C$10="",B1032&gt;=$C$10),OR($C$11="",B1032&lt;=$C$11),OR($C$12&lt;&gt;"Ya",K1032&lt;&gt;""),OR($C$13="Semua",$C$13="",L1032=$C$13)),"✓","")</f>
        <v/>
      </c>
      <c r="N1032" s="93">
        <f>N(N1031)+IF(M1032="✓",1,0)</f>
        <v/>
      </c>
      <c r="O1032" s="93">
        <f>N(O1031)+IF(AND(B1032&lt;&gt;"",B1032&gt;='Uang Riba'!$H$30,B1032&lt;='Uang Riba'!$I$30,OR(H1032="Dana riba",H1032="Pinjam uang riba",I1032="Pinjam dari uang riba",I1032="Ganti uang riba",I1032="Kelebihan ganti dikembalikan",AND(C1032="Kantong Uang Riba",G1032="Pengeluaran"))),1,0)</f>
        <v/>
      </c>
      <c r="X1032" s="93">
        <f>IF(AND(B1032&lt;&gt;"",B1032&gt;='Buku Akun'!$H$4,B1032&lt;='Buku Akun'!$H$5,OR(C1032='Buku Akun'!$C$4,AND(D1032="Pindah",E1032='Buku Akun'!$C$4))),B1032+IF(AND(I1032="Selisih bunga",DAY(B1032)=1),0,0.01)+ROW()/10000000,"")</f>
        <v/>
      </c>
    </row>
    <row r="1033" outlineLevel="1" ht="15" customHeight="1" s="94">
      <c r="A1033" s="123">
        <f>IF(B1033="","",ROW()-15)</f>
        <v/>
      </c>
      <c r="B1033" s="124" t="n"/>
      <c r="C1033" s="123" t="n"/>
      <c r="D1033" s="123" t="n"/>
      <c r="E1033" s="123" t="n"/>
      <c r="F1033" s="125" t="n"/>
      <c r="G1033" s="123" t="n"/>
      <c r="H1033" s="123" t="n"/>
      <c r="I1033" s="123" t="n"/>
      <c r="J1033" s="123" t="n"/>
      <c r="K1033" s="123" t="n"/>
      <c r="L1033" s="123" t="n"/>
      <c r="M1033" s="123">
        <f>IF(AND(B1033&lt;&gt;"",OR($C$4="",ISNUMBER(SEARCH($C$4,C1033&amp;" "&amp;E1033&amp;" "&amp;G1033&amp;" "&amp;H1033&amp;" "&amp;I1033&amp;" "&amp;J1033&amp;" "&amp;K1033&amp;" "&amp;L1033))),OR($C$5="Semua",$C$5="",G1033=$C$5),OR($C$6="Semua",$C$6="",H1033=$C$6,H1033="Pengeluaran "&amp;$C$6,AND($C$6="Uang Kos Mama",H1033="Pengeluaran Uang Kos")),OR($C$7="Semua",$C$7="",I1033=$C$7),OR($C$8="Semua",$C$8="",C1033=$C$8,E1033=$C$8),OR($C$9="Semua",$C$9="",D1033=$C$9),OR($C$10="",B1033&gt;=$C$10),OR($C$11="",B1033&lt;=$C$11),OR($C$12&lt;&gt;"Ya",K1033&lt;&gt;""),OR($C$13="Semua",$C$13="",L1033=$C$13)),"✓","")</f>
        <v/>
      </c>
      <c r="N1033" s="93">
        <f>N(N1032)+IF(M1033="✓",1,0)</f>
        <v/>
      </c>
      <c r="O1033" s="93">
        <f>N(O1032)+IF(AND(B1033&lt;&gt;"",B1033&gt;='Uang Riba'!$H$30,B1033&lt;='Uang Riba'!$I$30,OR(H1033="Dana riba",H1033="Pinjam uang riba",I1033="Pinjam dari uang riba",I1033="Ganti uang riba",I1033="Kelebihan ganti dikembalikan",AND(C1033="Kantong Uang Riba",G1033="Pengeluaran"))),1,0)</f>
        <v/>
      </c>
      <c r="X1033" s="93">
        <f>IF(AND(B1033&lt;&gt;"",B1033&gt;='Buku Akun'!$H$4,B1033&lt;='Buku Akun'!$H$5,OR(C1033='Buku Akun'!$C$4,AND(D1033="Pindah",E1033='Buku Akun'!$C$4))),B1033+IF(AND(I1033="Selisih bunga",DAY(B1033)=1),0,0.01)+ROW()/10000000,"")</f>
        <v/>
      </c>
    </row>
    <row r="1034" outlineLevel="1" ht="15" customHeight="1" s="94">
      <c r="A1034" s="123">
        <f>IF(B1034="","",ROW()-15)</f>
        <v/>
      </c>
      <c r="B1034" s="124" t="n"/>
      <c r="C1034" s="123" t="n"/>
      <c r="D1034" s="123" t="n"/>
      <c r="E1034" s="123" t="n"/>
      <c r="F1034" s="125" t="n"/>
      <c r="G1034" s="123" t="n"/>
      <c r="H1034" s="123" t="n"/>
      <c r="I1034" s="123" t="n"/>
      <c r="J1034" s="123" t="n"/>
      <c r="K1034" s="123" t="n"/>
      <c r="L1034" s="123" t="n"/>
      <c r="M1034" s="123">
        <f>IF(AND(B1034&lt;&gt;"",OR($C$4="",ISNUMBER(SEARCH($C$4,C1034&amp;" "&amp;E1034&amp;" "&amp;G1034&amp;" "&amp;H1034&amp;" "&amp;I1034&amp;" "&amp;J1034&amp;" "&amp;K1034&amp;" "&amp;L1034))),OR($C$5="Semua",$C$5="",G1034=$C$5),OR($C$6="Semua",$C$6="",H1034=$C$6,H1034="Pengeluaran "&amp;$C$6,AND($C$6="Uang Kos Mama",H1034="Pengeluaran Uang Kos")),OR($C$7="Semua",$C$7="",I1034=$C$7),OR($C$8="Semua",$C$8="",C1034=$C$8,E1034=$C$8),OR($C$9="Semua",$C$9="",D1034=$C$9),OR($C$10="",B1034&gt;=$C$10),OR($C$11="",B1034&lt;=$C$11),OR($C$12&lt;&gt;"Ya",K1034&lt;&gt;""),OR($C$13="Semua",$C$13="",L1034=$C$13)),"✓","")</f>
        <v/>
      </c>
      <c r="N1034" s="93">
        <f>N(N1033)+IF(M1034="✓",1,0)</f>
        <v/>
      </c>
      <c r="O1034" s="93">
        <f>N(O1033)+IF(AND(B1034&lt;&gt;"",B1034&gt;='Uang Riba'!$H$30,B1034&lt;='Uang Riba'!$I$30,OR(H1034="Dana riba",H1034="Pinjam uang riba",I1034="Pinjam dari uang riba",I1034="Ganti uang riba",I1034="Kelebihan ganti dikembalikan",AND(C1034="Kantong Uang Riba",G1034="Pengeluaran"))),1,0)</f>
        <v/>
      </c>
      <c r="X1034" s="93">
        <f>IF(AND(B1034&lt;&gt;"",B1034&gt;='Buku Akun'!$H$4,B1034&lt;='Buku Akun'!$H$5,OR(C1034='Buku Akun'!$C$4,AND(D1034="Pindah",E1034='Buku Akun'!$C$4))),B1034+IF(AND(I1034="Selisih bunga",DAY(B1034)=1),0,0.01)+ROW()/10000000,"")</f>
        <v/>
      </c>
    </row>
    <row r="1035" outlineLevel="1" ht="15" customHeight="1" s="94">
      <c r="A1035" s="123">
        <f>IF(B1035="","",ROW()-15)</f>
        <v/>
      </c>
      <c r="B1035" s="124" t="n"/>
      <c r="C1035" s="123" t="n"/>
      <c r="D1035" s="123" t="n"/>
      <c r="E1035" s="123" t="n"/>
      <c r="F1035" s="125" t="n"/>
      <c r="G1035" s="123" t="n"/>
      <c r="H1035" s="123" t="n"/>
      <c r="I1035" s="123" t="n"/>
      <c r="J1035" s="123" t="n"/>
      <c r="K1035" s="123" t="n"/>
      <c r="L1035" s="123" t="n"/>
      <c r="M1035" s="123">
        <f>IF(AND(B1035&lt;&gt;"",OR($C$4="",ISNUMBER(SEARCH($C$4,C1035&amp;" "&amp;E1035&amp;" "&amp;G1035&amp;" "&amp;H1035&amp;" "&amp;I1035&amp;" "&amp;J1035&amp;" "&amp;K1035&amp;" "&amp;L1035))),OR($C$5="Semua",$C$5="",G1035=$C$5),OR($C$6="Semua",$C$6="",H1035=$C$6,H1035="Pengeluaran "&amp;$C$6,AND($C$6="Uang Kos Mama",H1035="Pengeluaran Uang Kos")),OR($C$7="Semua",$C$7="",I1035=$C$7),OR($C$8="Semua",$C$8="",C1035=$C$8,E1035=$C$8),OR($C$9="Semua",$C$9="",D1035=$C$9),OR($C$10="",B1035&gt;=$C$10),OR($C$11="",B1035&lt;=$C$11),OR($C$12&lt;&gt;"Ya",K1035&lt;&gt;""),OR($C$13="Semua",$C$13="",L1035=$C$13)),"✓","")</f>
        <v/>
      </c>
      <c r="N1035" s="93">
        <f>N(N1034)+IF(M1035="✓",1,0)</f>
        <v/>
      </c>
      <c r="O1035" s="93">
        <f>N(O1034)+IF(AND(B1035&lt;&gt;"",B1035&gt;='Uang Riba'!$H$30,B1035&lt;='Uang Riba'!$I$30,OR(H1035="Dana riba",H1035="Pinjam uang riba",I1035="Pinjam dari uang riba",I1035="Ganti uang riba",I1035="Kelebihan ganti dikembalikan",AND(C1035="Kantong Uang Riba",G1035="Pengeluaran"))),1,0)</f>
        <v/>
      </c>
      <c r="X1035" s="93">
        <f>IF(AND(B1035&lt;&gt;"",B1035&gt;='Buku Akun'!$H$4,B1035&lt;='Buku Akun'!$H$5,OR(C1035='Buku Akun'!$C$4,AND(D1035="Pindah",E1035='Buku Akun'!$C$4))),B1035+IF(AND(I1035="Selisih bunga",DAY(B1035)=1),0,0.01)+ROW()/10000000,"")</f>
        <v/>
      </c>
    </row>
    <row r="1036" outlineLevel="1" ht="15" customHeight="1" s="94">
      <c r="A1036" s="123">
        <f>IF(B1036="","",ROW()-15)</f>
        <v/>
      </c>
      <c r="B1036" s="124" t="n"/>
      <c r="C1036" s="123" t="n"/>
      <c r="D1036" s="123" t="n"/>
      <c r="E1036" s="123" t="n"/>
      <c r="F1036" s="125" t="n"/>
      <c r="G1036" s="123" t="n"/>
      <c r="H1036" s="123" t="n"/>
      <c r="I1036" s="123" t="n"/>
      <c r="J1036" s="123" t="n"/>
      <c r="K1036" s="123" t="n"/>
      <c r="L1036" s="123" t="n"/>
      <c r="M1036" s="123">
        <f>IF(AND(B1036&lt;&gt;"",OR($C$4="",ISNUMBER(SEARCH($C$4,C1036&amp;" "&amp;E1036&amp;" "&amp;G1036&amp;" "&amp;H1036&amp;" "&amp;I1036&amp;" "&amp;J1036&amp;" "&amp;K1036&amp;" "&amp;L1036))),OR($C$5="Semua",$C$5="",G1036=$C$5),OR($C$6="Semua",$C$6="",H1036=$C$6,H1036="Pengeluaran "&amp;$C$6,AND($C$6="Uang Kos Mama",H1036="Pengeluaran Uang Kos")),OR($C$7="Semua",$C$7="",I1036=$C$7),OR($C$8="Semua",$C$8="",C1036=$C$8,E1036=$C$8),OR($C$9="Semua",$C$9="",D1036=$C$9),OR($C$10="",B1036&gt;=$C$10),OR($C$11="",B1036&lt;=$C$11),OR($C$12&lt;&gt;"Ya",K1036&lt;&gt;""),OR($C$13="Semua",$C$13="",L1036=$C$13)),"✓","")</f>
        <v/>
      </c>
      <c r="N1036" s="93">
        <f>N(N1035)+IF(M1036="✓",1,0)</f>
        <v/>
      </c>
      <c r="O1036" s="93">
        <f>N(O1035)+IF(AND(B1036&lt;&gt;"",B1036&gt;='Uang Riba'!$H$30,B1036&lt;='Uang Riba'!$I$30,OR(H1036="Dana riba",H1036="Pinjam uang riba",I1036="Pinjam dari uang riba",I1036="Ganti uang riba",I1036="Kelebihan ganti dikembalikan",AND(C1036="Kantong Uang Riba",G1036="Pengeluaran"))),1,0)</f>
        <v/>
      </c>
      <c r="X1036" s="93">
        <f>IF(AND(B1036&lt;&gt;"",B1036&gt;='Buku Akun'!$H$4,B1036&lt;='Buku Akun'!$H$5,OR(C1036='Buku Akun'!$C$4,AND(D1036="Pindah",E1036='Buku Akun'!$C$4))),B1036+IF(AND(I1036="Selisih bunga",DAY(B1036)=1),0,0.01)+ROW()/10000000,"")</f>
        <v/>
      </c>
    </row>
    <row r="1037" outlineLevel="1" ht="15" customHeight="1" s="94">
      <c r="A1037" s="123">
        <f>IF(B1037="","",ROW()-15)</f>
        <v/>
      </c>
      <c r="B1037" s="124" t="n"/>
      <c r="C1037" s="123" t="n"/>
      <c r="D1037" s="123" t="n"/>
      <c r="E1037" s="123" t="n"/>
      <c r="F1037" s="125" t="n"/>
      <c r="G1037" s="123" t="n"/>
      <c r="H1037" s="123" t="n"/>
      <c r="I1037" s="123" t="n"/>
      <c r="J1037" s="123" t="n"/>
      <c r="K1037" s="123" t="n"/>
      <c r="L1037" s="123" t="n"/>
      <c r="M1037" s="123">
        <f>IF(AND(B1037&lt;&gt;"",OR($C$4="",ISNUMBER(SEARCH($C$4,C1037&amp;" "&amp;E1037&amp;" "&amp;G1037&amp;" "&amp;H1037&amp;" "&amp;I1037&amp;" "&amp;J1037&amp;" "&amp;K1037&amp;" "&amp;L1037))),OR($C$5="Semua",$C$5="",G1037=$C$5),OR($C$6="Semua",$C$6="",H1037=$C$6,H1037="Pengeluaran "&amp;$C$6,AND($C$6="Uang Kos Mama",H1037="Pengeluaran Uang Kos")),OR($C$7="Semua",$C$7="",I1037=$C$7),OR($C$8="Semua",$C$8="",C1037=$C$8,E1037=$C$8),OR($C$9="Semua",$C$9="",D1037=$C$9),OR($C$10="",B1037&gt;=$C$10),OR($C$11="",B1037&lt;=$C$11),OR($C$12&lt;&gt;"Ya",K1037&lt;&gt;""),OR($C$13="Semua",$C$13="",L1037=$C$13)),"✓","")</f>
        <v/>
      </c>
      <c r="N1037" s="93">
        <f>N(N1036)+IF(M1037="✓",1,0)</f>
        <v/>
      </c>
      <c r="O1037" s="93">
        <f>N(O1036)+IF(AND(B1037&lt;&gt;"",B1037&gt;='Uang Riba'!$H$30,B1037&lt;='Uang Riba'!$I$30,OR(H1037="Dana riba",H1037="Pinjam uang riba",I1037="Pinjam dari uang riba",I1037="Ganti uang riba",I1037="Kelebihan ganti dikembalikan",AND(C1037="Kantong Uang Riba",G1037="Pengeluaran"))),1,0)</f>
        <v/>
      </c>
      <c r="X1037" s="93">
        <f>IF(AND(B1037&lt;&gt;"",B1037&gt;='Buku Akun'!$H$4,B1037&lt;='Buku Akun'!$H$5,OR(C1037='Buku Akun'!$C$4,AND(D1037="Pindah",E1037='Buku Akun'!$C$4))),B1037+IF(AND(I1037="Selisih bunga",DAY(B1037)=1),0,0.01)+ROW()/10000000,"")</f>
        <v/>
      </c>
    </row>
    <row r="1038" outlineLevel="1" ht="15" customHeight="1" s="94">
      <c r="A1038" s="123">
        <f>IF(B1038="","",ROW()-15)</f>
        <v/>
      </c>
      <c r="B1038" s="124" t="n"/>
      <c r="C1038" s="123" t="n"/>
      <c r="D1038" s="123" t="n"/>
      <c r="E1038" s="123" t="n"/>
      <c r="F1038" s="125" t="n"/>
      <c r="G1038" s="123" t="n"/>
      <c r="H1038" s="123" t="n"/>
      <c r="I1038" s="123" t="n"/>
      <c r="J1038" s="123" t="n"/>
      <c r="K1038" s="123" t="n"/>
      <c r="L1038" s="123" t="n"/>
      <c r="M1038" s="123">
        <f>IF(AND(B1038&lt;&gt;"",OR($C$4="",ISNUMBER(SEARCH($C$4,C1038&amp;" "&amp;E1038&amp;" "&amp;G1038&amp;" "&amp;H1038&amp;" "&amp;I1038&amp;" "&amp;J1038&amp;" "&amp;K1038&amp;" "&amp;L1038))),OR($C$5="Semua",$C$5="",G1038=$C$5),OR($C$6="Semua",$C$6="",H1038=$C$6,H1038="Pengeluaran "&amp;$C$6,AND($C$6="Uang Kos Mama",H1038="Pengeluaran Uang Kos")),OR($C$7="Semua",$C$7="",I1038=$C$7),OR($C$8="Semua",$C$8="",C1038=$C$8,E1038=$C$8),OR($C$9="Semua",$C$9="",D1038=$C$9),OR($C$10="",B1038&gt;=$C$10),OR($C$11="",B1038&lt;=$C$11),OR($C$12&lt;&gt;"Ya",K1038&lt;&gt;""),OR($C$13="Semua",$C$13="",L1038=$C$13)),"✓","")</f>
        <v/>
      </c>
      <c r="N1038" s="93">
        <f>N(N1037)+IF(M1038="✓",1,0)</f>
        <v/>
      </c>
      <c r="O1038" s="93">
        <f>N(O1037)+IF(AND(B1038&lt;&gt;"",B1038&gt;='Uang Riba'!$H$30,B1038&lt;='Uang Riba'!$I$30,OR(H1038="Dana riba",H1038="Pinjam uang riba",I1038="Pinjam dari uang riba",I1038="Ganti uang riba",I1038="Kelebihan ganti dikembalikan",AND(C1038="Kantong Uang Riba",G1038="Pengeluaran"))),1,0)</f>
        <v/>
      </c>
      <c r="X1038" s="93">
        <f>IF(AND(B1038&lt;&gt;"",B1038&gt;='Buku Akun'!$H$4,B1038&lt;='Buku Akun'!$H$5,OR(C1038='Buku Akun'!$C$4,AND(D1038="Pindah",E1038='Buku Akun'!$C$4))),B1038+IF(AND(I1038="Selisih bunga",DAY(B1038)=1),0,0.01)+ROW()/10000000,"")</f>
        <v/>
      </c>
    </row>
    <row r="1039" outlineLevel="1" ht="15" customHeight="1" s="94">
      <c r="A1039" s="123">
        <f>IF(B1039="","",ROW()-15)</f>
        <v/>
      </c>
      <c r="B1039" s="124" t="n"/>
      <c r="C1039" s="123" t="n"/>
      <c r="D1039" s="123" t="n"/>
      <c r="E1039" s="123" t="n"/>
      <c r="F1039" s="125" t="n"/>
      <c r="G1039" s="123" t="n"/>
      <c r="H1039" s="123" t="n"/>
      <c r="I1039" s="123" t="n"/>
      <c r="J1039" s="123" t="n"/>
      <c r="K1039" s="123" t="n"/>
      <c r="L1039" s="123" t="n"/>
      <c r="M1039" s="123">
        <f>IF(AND(B1039&lt;&gt;"",OR($C$4="",ISNUMBER(SEARCH($C$4,C1039&amp;" "&amp;E1039&amp;" "&amp;G1039&amp;" "&amp;H1039&amp;" "&amp;I1039&amp;" "&amp;J1039&amp;" "&amp;K1039&amp;" "&amp;L1039))),OR($C$5="Semua",$C$5="",G1039=$C$5),OR($C$6="Semua",$C$6="",H1039=$C$6,H1039="Pengeluaran "&amp;$C$6,AND($C$6="Uang Kos Mama",H1039="Pengeluaran Uang Kos")),OR($C$7="Semua",$C$7="",I1039=$C$7),OR($C$8="Semua",$C$8="",C1039=$C$8,E1039=$C$8),OR($C$9="Semua",$C$9="",D1039=$C$9),OR($C$10="",B1039&gt;=$C$10),OR($C$11="",B1039&lt;=$C$11),OR($C$12&lt;&gt;"Ya",K1039&lt;&gt;""),OR($C$13="Semua",$C$13="",L1039=$C$13)),"✓","")</f>
        <v/>
      </c>
      <c r="N1039" s="93">
        <f>N(N1038)+IF(M1039="✓",1,0)</f>
        <v/>
      </c>
      <c r="O1039" s="93">
        <f>N(O1038)+IF(AND(B1039&lt;&gt;"",B1039&gt;='Uang Riba'!$H$30,B1039&lt;='Uang Riba'!$I$30,OR(H1039="Dana riba",H1039="Pinjam uang riba",I1039="Pinjam dari uang riba",I1039="Ganti uang riba",I1039="Kelebihan ganti dikembalikan",AND(C1039="Kantong Uang Riba",G1039="Pengeluaran"))),1,0)</f>
        <v/>
      </c>
      <c r="X1039" s="93">
        <f>IF(AND(B1039&lt;&gt;"",B1039&gt;='Buku Akun'!$H$4,B1039&lt;='Buku Akun'!$H$5,OR(C1039='Buku Akun'!$C$4,AND(D1039="Pindah",E1039='Buku Akun'!$C$4))),B1039+IF(AND(I1039="Selisih bunga",DAY(B1039)=1),0,0.01)+ROW()/10000000,"")</f>
        <v/>
      </c>
    </row>
    <row r="1040" outlineLevel="1" ht="15" customHeight="1" s="94">
      <c r="A1040" s="123">
        <f>IF(B1040="","",ROW()-15)</f>
        <v/>
      </c>
      <c r="B1040" s="124" t="n"/>
      <c r="C1040" s="123" t="n"/>
      <c r="D1040" s="123" t="n"/>
      <c r="E1040" s="123" t="n"/>
      <c r="F1040" s="125" t="n"/>
      <c r="G1040" s="123" t="n"/>
      <c r="H1040" s="123" t="n"/>
      <c r="I1040" s="123" t="n"/>
      <c r="J1040" s="123" t="n"/>
      <c r="K1040" s="123" t="n"/>
      <c r="L1040" s="123" t="n"/>
      <c r="M1040" s="123">
        <f>IF(AND(B1040&lt;&gt;"",OR($C$4="",ISNUMBER(SEARCH($C$4,C1040&amp;" "&amp;E1040&amp;" "&amp;G1040&amp;" "&amp;H1040&amp;" "&amp;I1040&amp;" "&amp;J1040&amp;" "&amp;K1040&amp;" "&amp;L1040))),OR($C$5="Semua",$C$5="",G1040=$C$5),OR($C$6="Semua",$C$6="",H1040=$C$6,H1040="Pengeluaran "&amp;$C$6,AND($C$6="Uang Kos Mama",H1040="Pengeluaran Uang Kos")),OR($C$7="Semua",$C$7="",I1040=$C$7),OR($C$8="Semua",$C$8="",C1040=$C$8,E1040=$C$8),OR($C$9="Semua",$C$9="",D1040=$C$9),OR($C$10="",B1040&gt;=$C$10),OR($C$11="",B1040&lt;=$C$11),OR($C$12&lt;&gt;"Ya",K1040&lt;&gt;""),OR($C$13="Semua",$C$13="",L1040=$C$13)),"✓","")</f>
        <v/>
      </c>
      <c r="N1040" s="93">
        <f>N(N1039)+IF(M1040="✓",1,0)</f>
        <v/>
      </c>
      <c r="O1040" s="93">
        <f>N(O1039)+IF(AND(B1040&lt;&gt;"",B1040&gt;='Uang Riba'!$H$30,B1040&lt;='Uang Riba'!$I$30,OR(H1040="Dana riba",H1040="Pinjam uang riba",I1040="Pinjam dari uang riba",I1040="Ganti uang riba",I1040="Kelebihan ganti dikembalikan",AND(C1040="Kantong Uang Riba",G1040="Pengeluaran"))),1,0)</f>
        <v/>
      </c>
      <c r="X1040" s="93">
        <f>IF(AND(B1040&lt;&gt;"",B1040&gt;='Buku Akun'!$H$4,B1040&lt;='Buku Akun'!$H$5,OR(C1040='Buku Akun'!$C$4,AND(D1040="Pindah",E1040='Buku Akun'!$C$4))),B1040+IF(AND(I1040="Selisih bunga",DAY(B1040)=1),0,0.01)+ROW()/10000000,"")</f>
        <v/>
      </c>
    </row>
    <row r="1041" outlineLevel="1" ht="15" customHeight="1" s="94">
      <c r="A1041" s="123">
        <f>IF(B1041="","",ROW()-15)</f>
        <v/>
      </c>
      <c r="B1041" s="124" t="n"/>
      <c r="C1041" s="123" t="n"/>
      <c r="D1041" s="123" t="n"/>
      <c r="E1041" s="123" t="n"/>
      <c r="F1041" s="125" t="n"/>
      <c r="G1041" s="123" t="n"/>
      <c r="H1041" s="123" t="n"/>
      <c r="I1041" s="123" t="n"/>
      <c r="J1041" s="123" t="n"/>
      <c r="K1041" s="123" t="n"/>
      <c r="L1041" s="123" t="n"/>
      <c r="M1041" s="123">
        <f>IF(AND(B1041&lt;&gt;"",OR($C$4="",ISNUMBER(SEARCH($C$4,C1041&amp;" "&amp;E1041&amp;" "&amp;G1041&amp;" "&amp;H1041&amp;" "&amp;I1041&amp;" "&amp;J1041&amp;" "&amp;K1041&amp;" "&amp;L1041))),OR($C$5="Semua",$C$5="",G1041=$C$5),OR($C$6="Semua",$C$6="",H1041=$C$6,H1041="Pengeluaran "&amp;$C$6,AND($C$6="Uang Kos Mama",H1041="Pengeluaran Uang Kos")),OR($C$7="Semua",$C$7="",I1041=$C$7),OR($C$8="Semua",$C$8="",C1041=$C$8,E1041=$C$8),OR($C$9="Semua",$C$9="",D1041=$C$9),OR($C$10="",B1041&gt;=$C$10),OR($C$11="",B1041&lt;=$C$11),OR($C$12&lt;&gt;"Ya",K1041&lt;&gt;""),OR($C$13="Semua",$C$13="",L1041=$C$13)),"✓","")</f>
        <v/>
      </c>
      <c r="N1041" s="93">
        <f>N(N1040)+IF(M1041="✓",1,0)</f>
        <v/>
      </c>
      <c r="O1041" s="93">
        <f>N(O1040)+IF(AND(B1041&lt;&gt;"",B1041&gt;='Uang Riba'!$H$30,B1041&lt;='Uang Riba'!$I$30,OR(H1041="Dana riba",H1041="Pinjam uang riba",I1041="Pinjam dari uang riba",I1041="Ganti uang riba",I1041="Kelebihan ganti dikembalikan",AND(C1041="Kantong Uang Riba",G1041="Pengeluaran"))),1,0)</f>
        <v/>
      </c>
      <c r="X1041" s="93">
        <f>IF(AND(B1041&lt;&gt;"",B1041&gt;='Buku Akun'!$H$4,B1041&lt;='Buku Akun'!$H$5,OR(C1041='Buku Akun'!$C$4,AND(D1041="Pindah",E1041='Buku Akun'!$C$4))),B1041+IF(AND(I1041="Selisih bunga",DAY(B1041)=1),0,0.01)+ROW()/10000000,"")</f>
        <v/>
      </c>
    </row>
    <row r="1042" outlineLevel="1" ht="15" customHeight="1" s="94">
      <c r="A1042" s="123">
        <f>IF(B1042="","",ROW()-15)</f>
        <v/>
      </c>
      <c r="B1042" s="124" t="n"/>
      <c r="C1042" s="123" t="n"/>
      <c r="D1042" s="123" t="n"/>
      <c r="E1042" s="123" t="n"/>
      <c r="F1042" s="125" t="n"/>
      <c r="G1042" s="123" t="n"/>
      <c r="H1042" s="123" t="n"/>
      <c r="I1042" s="123" t="n"/>
      <c r="J1042" s="123" t="n"/>
      <c r="K1042" s="123" t="n"/>
      <c r="L1042" s="123" t="n"/>
      <c r="M1042" s="123">
        <f>IF(AND(B1042&lt;&gt;"",OR($C$4="",ISNUMBER(SEARCH($C$4,C1042&amp;" "&amp;E1042&amp;" "&amp;G1042&amp;" "&amp;H1042&amp;" "&amp;I1042&amp;" "&amp;J1042&amp;" "&amp;K1042&amp;" "&amp;L1042))),OR($C$5="Semua",$C$5="",G1042=$C$5),OR($C$6="Semua",$C$6="",H1042=$C$6,H1042="Pengeluaran "&amp;$C$6,AND($C$6="Uang Kos Mama",H1042="Pengeluaran Uang Kos")),OR($C$7="Semua",$C$7="",I1042=$C$7),OR($C$8="Semua",$C$8="",C1042=$C$8,E1042=$C$8),OR($C$9="Semua",$C$9="",D1042=$C$9),OR($C$10="",B1042&gt;=$C$10),OR($C$11="",B1042&lt;=$C$11),OR($C$12&lt;&gt;"Ya",K1042&lt;&gt;""),OR($C$13="Semua",$C$13="",L1042=$C$13)),"✓","")</f>
        <v/>
      </c>
      <c r="N1042" s="93">
        <f>N(N1041)+IF(M1042="✓",1,0)</f>
        <v/>
      </c>
      <c r="O1042" s="93">
        <f>N(O1041)+IF(AND(B1042&lt;&gt;"",B1042&gt;='Uang Riba'!$H$30,B1042&lt;='Uang Riba'!$I$30,OR(H1042="Dana riba",H1042="Pinjam uang riba",I1042="Pinjam dari uang riba",I1042="Ganti uang riba",I1042="Kelebihan ganti dikembalikan",AND(C1042="Kantong Uang Riba",G1042="Pengeluaran"))),1,0)</f>
        <v/>
      </c>
      <c r="X1042" s="93">
        <f>IF(AND(B1042&lt;&gt;"",B1042&gt;='Buku Akun'!$H$4,B1042&lt;='Buku Akun'!$H$5,OR(C1042='Buku Akun'!$C$4,AND(D1042="Pindah",E1042='Buku Akun'!$C$4))),B1042+IF(AND(I1042="Selisih bunga",DAY(B1042)=1),0,0.01)+ROW()/10000000,"")</f>
        <v/>
      </c>
    </row>
    <row r="1043" outlineLevel="1" ht="15" customHeight="1" s="94">
      <c r="A1043" s="123">
        <f>IF(B1043="","",ROW()-15)</f>
        <v/>
      </c>
      <c r="B1043" s="124" t="n"/>
      <c r="C1043" s="123" t="n"/>
      <c r="D1043" s="123" t="n"/>
      <c r="E1043" s="123" t="n"/>
      <c r="F1043" s="125" t="n"/>
      <c r="G1043" s="123" t="n"/>
      <c r="H1043" s="123" t="n"/>
      <c r="I1043" s="123" t="n"/>
      <c r="J1043" s="123" t="n"/>
      <c r="K1043" s="123" t="n"/>
      <c r="L1043" s="123" t="n"/>
      <c r="M1043" s="123">
        <f>IF(AND(B1043&lt;&gt;"",OR($C$4="",ISNUMBER(SEARCH($C$4,C1043&amp;" "&amp;E1043&amp;" "&amp;G1043&amp;" "&amp;H1043&amp;" "&amp;I1043&amp;" "&amp;J1043&amp;" "&amp;K1043&amp;" "&amp;L1043))),OR($C$5="Semua",$C$5="",G1043=$C$5),OR($C$6="Semua",$C$6="",H1043=$C$6,H1043="Pengeluaran "&amp;$C$6,AND($C$6="Uang Kos Mama",H1043="Pengeluaran Uang Kos")),OR($C$7="Semua",$C$7="",I1043=$C$7),OR($C$8="Semua",$C$8="",C1043=$C$8,E1043=$C$8),OR($C$9="Semua",$C$9="",D1043=$C$9),OR($C$10="",B1043&gt;=$C$10),OR($C$11="",B1043&lt;=$C$11),OR($C$12&lt;&gt;"Ya",K1043&lt;&gt;""),OR($C$13="Semua",$C$13="",L1043=$C$13)),"✓","")</f>
        <v/>
      </c>
      <c r="N1043" s="93">
        <f>N(N1042)+IF(M1043="✓",1,0)</f>
        <v/>
      </c>
      <c r="O1043" s="93">
        <f>N(O1042)+IF(AND(B1043&lt;&gt;"",B1043&gt;='Uang Riba'!$H$30,B1043&lt;='Uang Riba'!$I$30,OR(H1043="Dana riba",H1043="Pinjam uang riba",I1043="Pinjam dari uang riba",I1043="Ganti uang riba",I1043="Kelebihan ganti dikembalikan",AND(C1043="Kantong Uang Riba",G1043="Pengeluaran"))),1,0)</f>
        <v/>
      </c>
      <c r="X1043" s="93">
        <f>IF(AND(B1043&lt;&gt;"",B1043&gt;='Buku Akun'!$H$4,B1043&lt;='Buku Akun'!$H$5,OR(C1043='Buku Akun'!$C$4,AND(D1043="Pindah",E1043='Buku Akun'!$C$4))),B1043+IF(AND(I1043="Selisih bunga",DAY(B1043)=1),0,0.01)+ROW()/10000000,"")</f>
        <v/>
      </c>
    </row>
    <row r="1044" outlineLevel="1" ht="15" customHeight="1" s="94">
      <c r="A1044" s="123">
        <f>IF(B1044="","",ROW()-15)</f>
        <v/>
      </c>
      <c r="B1044" s="124" t="n"/>
      <c r="C1044" s="123" t="n"/>
      <c r="D1044" s="123" t="n"/>
      <c r="E1044" s="123" t="n"/>
      <c r="F1044" s="125" t="n"/>
      <c r="G1044" s="123" t="n"/>
      <c r="H1044" s="123" t="n"/>
      <c r="I1044" s="123" t="n"/>
      <c r="J1044" s="123" t="n"/>
      <c r="K1044" s="123" t="n"/>
      <c r="L1044" s="123" t="n"/>
      <c r="M1044" s="123">
        <f>IF(AND(B1044&lt;&gt;"",OR($C$4="",ISNUMBER(SEARCH($C$4,C1044&amp;" "&amp;E1044&amp;" "&amp;G1044&amp;" "&amp;H1044&amp;" "&amp;I1044&amp;" "&amp;J1044&amp;" "&amp;K1044&amp;" "&amp;L1044))),OR($C$5="Semua",$C$5="",G1044=$C$5),OR($C$6="Semua",$C$6="",H1044=$C$6,H1044="Pengeluaran "&amp;$C$6,AND($C$6="Uang Kos Mama",H1044="Pengeluaran Uang Kos")),OR($C$7="Semua",$C$7="",I1044=$C$7),OR($C$8="Semua",$C$8="",C1044=$C$8,E1044=$C$8),OR($C$9="Semua",$C$9="",D1044=$C$9),OR($C$10="",B1044&gt;=$C$10),OR($C$11="",B1044&lt;=$C$11),OR($C$12&lt;&gt;"Ya",K1044&lt;&gt;""),OR($C$13="Semua",$C$13="",L1044=$C$13)),"✓","")</f>
        <v/>
      </c>
      <c r="N1044" s="93">
        <f>N(N1043)+IF(M1044="✓",1,0)</f>
        <v/>
      </c>
      <c r="O1044" s="93">
        <f>N(O1043)+IF(AND(B1044&lt;&gt;"",B1044&gt;='Uang Riba'!$H$30,B1044&lt;='Uang Riba'!$I$30,OR(H1044="Dana riba",H1044="Pinjam uang riba",I1044="Pinjam dari uang riba",I1044="Ganti uang riba",I1044="Kelebihan ganti dikembalikan",AND(C1044="Kantong Uang Riba",G1044="Pengeluaran"))),1,0)</f>
        <v/>
      </c>
      <c r="X1044" s="93">
        <f>IF(AND(B1044&lt;&gt;"",B1044&gt;='Buku Akun'!$H$4,B1044&lt;='Buku Akun'!$H$5,OR(C1044='Buku Akun'!$C$4,AND(D1044="Pindah",E1044='Buku Akun'!$C$4))),B1044+IF(AND(I1044="Selisih bunga",DAY(B1044)=1),0,0.01)+ROW()/10000000,"")</f>
        <v/>
      </c>
    </row>
    <row r="1045" outlineLevel="1" ht="15" customHeight="1" s="94">
      <c r="A1045" s="123">
        <f>IF(B1045="","",ROW()-15)</f>
        <v/>
      </c>
      <c r="B1045" s="124" t="n"/>
      <c r="C1045" s="123" t="n"/>
      <c r="D1045" s="123" t="n"/>
      <c r="E1045" s="123" t="n"/>
      <c r="F1045" s="125" t="n"/>
      <c r="G1045" s="123" t="n"/>
      <c r="H1045" s="123" t="n"/>
      <c r="I1045" s="123" t="n"/>
      <c r="J1045" s="123" t="n"/>
      <c r="K1045" s="123" t="n"/>
      <c r="L1045" s="123" t="n"/>
      <c r="M1045" s="123">
        <f>IF(AND(B1045&lt;&gt;"",OR($C$4="",ISNUMBER(SEARCH($C$4,C1045&amp;" "&amp;E1045&amp;" "&amp;G1045&amp;" "&amp;H1045&amp;" "&amp;I1045&amp;" "&amp;J1045&amp;" "&amp;K1045&amp;" "&amp;L1045))),OR($C$5="Semua",$C$5="",G1045=$C$5),OR($C$6="Semua",$C$6="",H1045=$C$6,H1045="Pengeluaran "&amp;$C$6,AND($C$6="Uang Kos Mama",H1045="Pengeluaran Uang Kos")),OR($C$7="Semua",$C$7="",I1045=$C$7),OR($C$8="Semua",$C$8="",C1045=$C$8,E1045=$C$8),OR($C$9="Semua",$C$9="",D1045=$C$9),OR($C$10="",B1045&gt;=$C$10),OR($C$11="",B1045&lt;=$C$11),OR($C$12&lt;&gt;"Ya",K1045&lt;&gt;""),OR($C$13="Semua",$C$13="",L1045=$C$13)),"✓","")</f>
        <v/>
      </c>
      <c r="N1045" s="93">
        <f>N(N1044)+IF(M1045="✓",1,0)</f>
        <v/>
      </c>
      <c r="O1045" s="93">
        <f>N(O1044)+IF(AND(B1045&lt;&gt;"",B1045&gt;='Uang Riba'!$H$30,B1045&lt;='Uang Riba'!$I$30,OR(H1045="Dana riba",H1045="Pinjam uang riba",I1045="Pinjam dari uang riba",I1045="Ganti uang riba",I1045="Kelebihan ganti dikembalikan",AND(C1045="Kantong Uang Riba",G1045="Pengeluaran"))),1,0)</f>
        <v/>
      </c>
      <c r="X1045" s="93">
        <f>IF(AND(B1045&lt;&gt;"",B1045&gt;='Buku Akun'!$H$4,B1045&lt;='Buku Akun'!$H$5,OR(C1045='Buku Akun'!$C$4,AND(D1045="Pindah",E1045='Buku Akun'!$C$4))),B1045+IF(AND(I1045="Selisih bunga",DAY(B1045)=1),0,0.01)+ROW()/10000000,"")</f>
        <v/>
      </c>
    </row>
    <row r="1046" outlineLevel="1" ht="15" customHeight="1" s="94">
      <c r="A1046" s="123">
        <f>IF(B1046="","",ROW()-15)</f>
        <v/>
      </c>
      <c r="B1046" s="124" t="n"/>
      <c r="C1046" s="123" t="n"/>
      <c r="D1046" s="123" t="n"/>
      <c r="E1046" s="123" t="n"/>
      <c r="F1046" s="125" t="n"/>
      <c r="G1046" s="123" t="n"/>
      <c r="H1046" s="123" t="n"/>
      <c r="I1046" s="123" t="n"/>
      <c r="J1046" s="123" t="n"/>
      <c r="K1046" s="123" t="n"/>
      <c r="L1046" s="123" t="n"/>
      <c r="M1046" s="123">
        <f>IF(AND(B1046&lt;&gt;"",OR($C$4="",ISNUMBER(SEARCH($C$4,C1046&amp;" "&amp;E1046&amp;" "&amp;G1046&amp;" "&amp;H1046&amp;" "&amp;I1046&amp;" "&amp;J1046&amp;" "&amp;K1046&amp;" "&amp;L1046))),OR($C$5="Semua",$C$5="",G1046=$C$5),OR($C$6="Semua",$C$6="",H1046=$C$6,H1046="Pengeluaran "&amp;$C$6,AND($C$6="Uang Kos Mama",H1046="Pengeluaran Uang Kos")),OR($C$7="Semua",$C$7="",I1046=$C$7),OR($C$8="Semua",$C$8="",C1046=$C$8,E1046=$C$8),OR($C$9="Semua",$C$9="",D1046=$C$9),OR($C$10="",B1046&gt;=$C$10),OR($C$11="",B1046&lt;=$C$11),OR($C$12&lt;&gt;"Ya",K1046&lt;&gt;""),OR($C$13="Semua",$C$13="",L1046=$C$13)),"✓","")</f>
        <v/>
      </c>
      <c r="N1046" s="93">
        <f>N(N1045)+IF(M1046="✓",1,0)</f>
        <v/>
      </c>
      <c r="O1046" s="93">
        <f>N(O1045)+IF(AND(B1046&lt;&gt;"",B1046&gt;='Uang Riba'!$H$30,B1046&lt;='Uang Riba'!$I$30,OR(H1046="Dana riba",H1046="Pinjam uang riba",I1046="Pinjam dari uang riba",I1046="Ganti uang riba",I1046="Kelebihan ganti dikembalikan",AND(C1046="Kantong Uang Riba",G1046="Pengeluaran"))),1,0)</f>
        <v/>
      </c>
      <c r="X1046" s="93">
        <f>IF(AND(B1046&lt;&gt;"",B1046&gt;='Buku Akun'!$H$4,B1046&lt;='Buku Akun'!$H$5,OR(C1046='Buku Akun'!$C$4,AND(D1046="Pindah",E1046='Buku Akun'!$C$4))),B1046+IF(AND(I1046="Selisih bunga",DAY(B1046)=1),0,0.01)+ROW()/10000000,"")</f>
        <v/>
      </c>
    </row>
    <row r="1047" outlineLevel="1" ht="15" customHeight="1" s="94">
      <c r="A1047" s="123">
        <f>IF(B1047="","",ROW()-15)</f>
        <v/>
      </c>
      <c r="B1047" s="124" t="n"/>
      <c r="C1047" s="123" t="n"/>
      <c r="D1047" s="123" t="n"/>
      <c r="E1047" s="123" t="n"/>
      <c r="F1047" s="125" t="n"/>
      <c r="G1047" s="123" t="n"/>
      <c r="H1047" s="123" t="n"/>
      <c r="I1047" s="123" t="n"/>
      <c r="J1047" s="123" t="n"/>
      <c r="K1047" s="123" t="n"/>
      <c r="L1047" s="123" t="n"/>
      <c r="M1047" s="123">
        <f>IF(AND(B1047&lt;&gt;"",OR($C$4="",ISNUMBER(SEARCH($C$4,C1047&amp;" "&amp;E1047&amp;" "&amp;G1047&amp;" "&amp;H1047&amp;" "&amp;I1047&amp;" "&amp;J1047&amp;" "&amp;K1047&amp;" "&amp;L1047))),OR($C$5="Semua",$C$5="",G1047=$C$5),OR($C$6="Semua",$C$6="",H1047=$C$6,H1047="Pengeluaran "&amp;$C$6,AND($C$6="Uang Kos Mama",H1047="Pengeluaran Uang Kos")),OR($C$7="Semua",$C$7="",I1047=$C$7),OR($C$8="Semua",$C$8="",C1047=$C$8,E1047=$C$8),OR($C$9="Semua",$C$9="",D1047=$C$9),OR($C$10="",B1047&gt;=$C$10),OR($C$11="",B1047&lt;=$C$11),OR($C$12&lt;&gt;"Ya",K1047&lt;&gt;""),OR($C$13="Semua",$C$13="",L1047=$C$13)),"✓","")</f>
        <v/>
      </c>
      <c r="N1047" s="93">
        <f>N(N1046)+IF(M1047="✓",1,0)</f>
        <v/>
      </c>
      <c r="O1047" s="93">
        <f>N(O1046)+IF(AND(B1047&lt;&gt;"",B1047&gt;='Uang Riba'!$H$30,B1047&lt;='Uang Riba'!$I$30,OR(H1047="Dana riba",H1047="Pinjam uang riba",I1047="Pinjam dari uang riba",I1047="Ganti uang riba",I1047="Kelebihan ganti dikembalikan",AND(C1047="Kantong Uang Riba",G1047="Pengeluaran"))),1,0)</f>
        <v/>
      </c>
      <c r="X1047" s="93">
        <f>IF(AND(B1047&lt;&gt;"",B1047&gt;='Buku Akun'!$H$4,B1047&lt;='Buku Akun'!$H$5,OR(C1047='Buku Akun'!$C$4,AND(D1047="Pindah",E1047='Buku Akun'!$C$4))),B1047+IF(AND(I1047="Selisih bunga",DAY(B1047)=1),0,0.01)+ROW()/10000000,"")</f>
        <v/>
      </c>
    </row>
    <row r="1048" outlineLevel="1" ht="15" customHeight="1" s="94">
      <c r="A1048" s="123">
        <f>IF(B1048="","",ROW()-15)</f>
        <v/>
      </c>
      <c r="B1048" s="124" t="n"/>
      <c r="C1048" s="123" t="n"/>
      <c r="D1048" s="123" t="n"/>
      <c r="E1048" s="123" t="n"/>
      <c r="F1048" s="125" t="n"/>
      <c r="G1048" s="123" t="n"/>
      <c r="H1048" s="123" t="n"/>
      <c r="I1048" s="123" t="n"/>
      <c r="J1048" s="123" t="n"/>
      <c r="K1048" s="123" t="n"/>
      <c r="L1048" s="123" t="n"/>
      <c r="M1048" s="123">
        <f>IF(AND(B1048&lt;&gt;"",OR($C$4="",ISNUMBER(SEARCH($C$4,C1048&amp;" "&amp;E1048&amp;" "&amp;G1048&amp;" "&amp;H1048&amp;" "&amp;I1048&amp;" "&amp;J1048&amp;" "&amp;K1048&amp;" "&amp;L1048))),OR($C$5="Semua",$C$5="",G1048=$C$5),OR($C$6="Semua",$C$6="",H1048=$C$6,H1048="Pengeluaran "&amp;$C$6,AND($C$6="Uang Kos Mama",H1048="Pengeluaran Uang Kos")),OR($C$7="Semua",$C$7="",I1048=$C$7),OR($C$8="Semua",$C$8="",C1048=$C$8,E1048=$C$8),OR($C$9="Semua",$C$9="",D1048=$C$9),OR($C$10="",B1048&gt;=$C$10),OR($C$11="",B1048&lt;=$C$11),OR($C$12&lt;&gt;"Ya",K1048&lt;&gt;""),OR($C$13="Semua",$C$13="",L1048=$C$13)),"✓","")</f>
        <v/>
      </c>
      <c r="N1048" s="93">
        <f>N(N1047)+IF(M1048="✓",1,0)</f>
        <v/>
      </c>
      <c r="O1048" s="93">
        <f>N(O1047)+IF(AND(B1048&lt;&gt;"",B1048&gt;='Uang Riba'!$H$30,B1048&lt;='Uang Riba'!$I$30,OR(H1048="Dana riba",H1048="Pinjam uang riba",I1048="Pinjam dari uang riba",I1048="Ganti uang riba",I1048="Kelebihan ganti dikembalikan",AND(C1048="Kantong Uang Riba",G1048="Pengeluaran"))),1,0)</f>
        <v/>
      </c>
      <c r="X1048" s="93">
        <f>IF(AND(B1048&lt;&gt;"",B1048&gt;='Buku Akun'!$H$4,B1048&lt;='Buku Akun'!$H$5,OR(C1048='Buku Akun'!$C$4,AND(D1048="Pindah",E1048='Buku Akun'!$C$4))),B1048+IF(AND(I1048="Selisih bunga",DAY(B1048)=1),0,0.01)+ROW()/10000000,"")</f>
        <v/>
      </c>
    </row>
    <row r="1049" outlineLevel="1" ht="15" customHeight="1" s="94">
      <c r="A1049" s="123">
        <f>IF(B1049="","",ROW()-15)</f>
        <v/>
      </c>
      <c r="B1049" s="124" t="n"/>
      <c r="C1049" s="123" t="n"/>
      <c r="D1049" s="123" t="n"/>
      <c r="E1049" s="123" t="n"/>
      <c r="F1049" s="125" t="n"/>
      <c r="G1049" s="123" t="n"/>
      <c r="H1049" s="123" t="n"/>
      <c r="I1049" s="123" t="n"/>
      <c r="J1049" s="123" t="n"/>
      <c r="K1049" s="123" t="n"/>
      <c r="L1049" s="123" t="n"/>
      <c r="M1049" s="123">
        <f>IF(AND(B1049&lt;&gt;"",OR($C$4="",ISNUMBER(SEARCH($C$4,C1049&amp;" "&amp;E1049&amp;" "&amp;G1049&amp;" "&amp;H1049&amp;" "&amp;I1049&amp;" "&amp;J1049&amp;" "&amp;K1049&amp;" "&amp;L1049))),OR($C$5="Semua",$C$5="",G1049=$C$5),OR($C$6="Semua",$C$6="",H1049=$C$6,H1049="Pengeluaran "&amp;$C$6,AND($C$6="Uang Kos Mama",H1049="Pengeluaran Uang Kos")),OR($C$7="Semua",$C$7="",I1049=$C$7),OR($C$8="Semua",$C$8="",C1049=$C$8,E1049=$C$8),OR($C$9="Semua",$C$9="",D1049=$C$9),OR($C$10="",B1049&gt;=$C$10),OR($C$11="",B1049&lt;=$C$11),OR($C$12&lt;&gt;"Ya",K1049&lt;&gt;""),OR($C$13="Semua",$C$13="",L1049=$C$13)),"✓","")</f>
        <v/>
      </c>
      <c r="N1049" s="93">
        <f>N(N1048)+IF(M1049="✓",1,0)</f>
        <v/>
      </c>
      <c r="O1049" s="93">
        <f>N(O1048)+IF(AND(B1049&lt;&gt;"",B1049&gt;='Uang Riba'!$H$30,B1049&lt;='Uang Riba'!$I$30,OR(H1049="Dana riba",H1049="Pinjam uang riba",I1049="Pinjam dari uang riba",I1049="Ganti uang riba",I1049="Kelebihan ganti dikembalikan",AND(C1049="Kantong Uang Riba",G1049="Pengeluaran"))),1,0)</f>
        <v/>
      </c>
      <c r="X1049" s="93">
        <f>IF(AND(B1049&lt;&gt;"",B1049&gt;='Buku Akun'!$H$4,B1049&lt;='Buku Akun'!$H$5,OR(C1049='Buku Akun'!$C$4,AND(D1049="Pindah",E1049='Buku Akun'!$C$4))),B1049+IF(AND(I1049="Selisih bunga",DAY(B1049)=1),0,0.01)+ROW()/10000000,"")</f>
        <v/>
      </c>
    </row>
    <row r="1050" outlineLevel="1" ht="15" customHeight="1" s="94">
      <c r="A1050" s="123">
        <f>IF(B1050="","",ROW()-15)</f>
        <v/>
      </c>
      <c r="B1050" s="124" t="n"/>
      <c r="C1050" s="123" t="n"/>
      <c r="D1050" s="123" t="n"/>
      <c r="E1050" s="123" t="n"/>
      <c r="F1050" s="125" t="n"/>
      <c r="G1050" s="123" t="n"/>
      <c r="H1050" s="123" t="n"/>
      <c r="I1050" s="123" t="n"/>
      <c r="J1050" s="123" t="n"/>
      <c r="K1050" s="123" t="n"/>
      <c r="L1050" s="123" t="n"/>
      <c r="M1050" s="123">
        <f>IF(AND(B1050&lt;&gt;"",OR($C$4="",ISNUMBER(SEARCH($C$4,C1050&amp;" "&amp;E1050&amp;" "&amp;G1050&amp;" "&amp;H1050&amp;" "&amp;I1050&amp;" "&amp;J1050&amp;" "&amp;K1050&amp;" "&amp;L1050))),OR($C$5="Semua",$C$5="",G1050=$C$5),OR($C$6="Semua",$C$6="",H1050=$C$6,H1050="Pengeluaran "&amp;$C$6,AND($C$6="Uang Kos Mama",H1050="Pengeluaran Uang Kos")),OR($C$7="Semua",$C$7="",I1050=$C$7),OR($C$8="Semua",$C$8="",C1050=$C$8,E1050=$C$8),OR($C$9="Semua",$C$9="",D1050=$C$9),OR($C$10="",B1050&gt;=$C$10),OR($C$11="",B1050&lt;=$C$11),OR($C$12&lt;&gt;"Ya",K1050&lt;&gt;""),OR($C$13="Semua",$C$13="",L1050=$C$13)),"✓","")</f>
        <v/>
      </c>
      <c r="N1050" s="93">
        <f>N(N1049)+IF(M1050="✓",1,0)</f>
        <v/>
      </c>
      <c r="O1050" s="93">
        <f>N(O1049)+IF(AND(B1050&lt;&gt;"",B1050&gt;='Uang Riba'!$H$30,B1050&lt;='Uang Riba'!$I$30,OR(H1050="Dana riba",H1050="Pinjam uang riba",I1050="Pinjam dari uang riba",I1050="Ganti uang riba",I1050="Kelebihan ganti dikembalikan",AND(C1050="Kantong Uang Riba",G1050="Pengeluaran"))),1,0)</f>
        <v/>
      </c>
      <c r="X1050" s="93">
        <f>IF(AND(B1050&lt;&gt;"",B1050&gt;='Buku Akun'!$H$4,B1050&lt;='Buku Akun'!$H$5,OR(C1050='Buku Akun'!$C$4,AND(D1050="Pindah",E1050='Buku Akun'!$C$4))),B1050+IF(AND(I1050="Selisih bunga",DAY(B1050)=1),0,0.01)+ROW()/10000000,"")</f>
        <v/>
      </c>
    </row>
    <row r="1051" outlineLevel="1" ht="15" customHeight="1" s="94">
      <c r="A1051" s="123">
        <f>IF(B1051="","",ROW()-15)</f>
        <v/>
      </c>
      <c r="B1051" s="124" t="n"/>
      <c r="C1051" s="123" t="n"/>
      <c r="D1051" s="123" t="n"/>
      <c r="E1051" s="123" t="n"/>
      <c r="F1051" s="125" t="n"/>
      <c r="G1051" s="123" t="n"/>
      <c r="H1051" s="123" t="n"/>
      <c r="I1051" s="123" t="n"/>
      <c r="J1051" s="123" t="n"/>
      <c r="K1051" s="123" t="n"/>
      <c r="L1051" s="123" t="n"/>
      <c r="M1051" s="123">
        <f>IF(AND(B1051&lt;&gt;"",OR($C$4="",ISNUMBER(SEARCH($C$4,C1051&amp;" "&amp;E1051&amp;" "&amp;G1051&amp;" "&amp;H1051&amp;" "&amp;I1051&amp;" "&amp;J1051&amp;" "&amp;K1051&amp;" "&amp;L1051))),OR($C$5="Semua",$C$5="",G1051=$C$5),OR($C$6="Semua",$C$6="",H1051=$C$6,H1051="Pengeluaran "&amp;$C$6,AND($C$6="Uang Kos Mama",H1051="Pengeluaran Uang Kos")),OR($C$7="Semua",$C$7="",I1051=$C$7),OR($C$8="Semua",$C$8="",C1051=$C$8,E1051=$C$8),OR($C$9="Semua",$C$9="",D1051=$C$9),OR($C$10="",B1051&gt;=$C$10),OR($C$11="",B1051&lt;=$C$11),OR($C$12&lt;&gt;"Ya",K1051&lt;&gt;""),OR($C$13="Semua",$C$13="",L1051=$C$13)),"✓","")</f>
        <v/>
      </c>
      <c r="N1051" s="93">
        <f>N(N1050)+IF(M1051="✓",1,0)</f>
        <v/>
      </c>
      <c r="O1051" s="93">
        <f>N(O1050)+IF(AND(B1051&lt;&gt;"",B1051&gt;='Uang Riba'!$H$30,B1051&lt;='Uang Riba'!$I$30,OR(H1051="Dana riba",H1051="Pinjam uang riba",I1051="Pinjam dari uang riba",I1051="Ganti uang riba",I1051="Kelebihan ganti dikembalikan",AND(C1051="Kantong Uang Riba",G1051="Pengeluaran"))),1,0)</f>
        <v/>
      </c>
      <c r="X1051" s="93">
        <f>IF(AND(B1051&lt;&gt;"",B1051&gt;='Buku Akun'!$H$4,B1051&lt;='Buku Akun'!$H$5,OR(C1051='Buku Akun'!$C$4,AND(D1051="Pindah",E1051='Buku Akun'!$C$4))),B1051+IF(AND(I1051="Selisih bunga",DAY(B1051)=1),0,0.01)+ROW()/10000000,"")</f>
        <v/>
      </c>
    </row>
    <row r="1052" outlineLevel="1" ht="15" customHeight="1" s="94">
      <c r="A1052" s="123">
        <f>IF(B1052="","",ROW()-15)</f>
        <v/>
      </c>
      <c r="B1052" s="124" t="n"/>
      <c r="C1052" s="123" t="n"/>
      <c r="D1052" s="123" t="n"/>
      <c r="E1052" s="123" t="n"/>
      <c r="F1052" s="125" t="n"/>
      <c r="G1052" s="123" t="n"/>
      <c r="H1052" s="123" t="n"/>
      <c r="I1052" s="123" t="n"/>
      <c r="J1052" s="123" t="n"/>
      <c r="K1052" s="123" t="n"/>
      <c r="L1052" s="123" t="n"/>
      <c r="M1052" s="123">
        <f>IF(AND(B1052&lt;&gt;"",OR($C$4="",ISNUMBER(SEARCH($C$4,C1052&amp;" "&amp;E1052&amp;" "&amp;G1052&amp;" "&amp;H1052&amp;" "&amp;I1052&amp;" "&amp;J1052&amp;" "&amp;K1052&amp;" "&amp;L1052))),OR($C$5="Semua",$C$5="",G1052=$C$5),OR($C$6="Semua",$C$6="",H1052=$C$6,H1052="Pengeluaran "&amp;$C$6,AND($C$6="Uang Kos Mama",H1052="Pengeluaran Uang Kos")),OR($C$7="Semua",$C$7="",I1052=$C$7),OR($C$8="Semua",$C$8="",C1052=$C$8,E1052=$C$8),OR($C$9="Semua",$C$9="",D1052=$C$9),OR($C$10="",B1052&gt;=$C$10),OR($C$11="",B1052&lt;=$C$11),OR($C$12&lt;&gt;"Ya",K1052&lt;&gt;""),OR($C$13="Semua",$C$13="",L1052=$C$13)),"✓","")</f>
        <v/>
      </c>
      <c r="N1052" s="93">
        <f>N(N1051)+IF(M1052="✓",1,0)</f>
        <v/>
      </c>
      <c r="O1052" s="93">
        <f>N(O1051)+IF(AND(B1052&lt;&gt;"",B1052&gt;='Uang Riba'!$H$30,B1052&lt;='Uang Riba'!$I$30,OR(H1052="Dana riba",H1052="Pinjam uang riba",I1052="Pinjam dari uang riba",I1052="Ganti uang riba",I1052="Kelebihan ganti dikembalikan",AND(C1052="Kantong Uang Riba",G1052="Pengeluaran"))),1,0)</f>
        <v/>
      </c>
      <c r="X1052" s="93">
        <f>IF(AND(B1052&lt;&gt;"",B1052&gt;='Buku Akun'!$H$4,B1052&lt;='Buku Akun'!$H$5,OR(C1052='Buku Akun'!$C$4,AND(D1052="Pindah",E1052='Buku Akun'!$C$4))),B1052+IF(AND(I1052="Selisih bunga",DAY(B1052)=1),0,0.01)+ROW()/10000000,"")</f>
        <v/>
      </c>
    </row>
    <row r="1053" outlineLevel="1" ht="15" customHeight="1" s="94">
      <c r="A1053" s="123">
        <f>IF(B1053="","",ROW()-15)</f>
        <v/>
      </c>
      <c r="B1053" s="124" t="n"/>
      <c r="C1053" s="123" t="n"/>
      <c r="D1053" s="123" t="n"/>
      <c r="E1053" s="123" t="n"/>
      <c r="F1053" s="125" t="n"/>
      <c r="G1053" s="123" t="n"/>
      <c r="H1053" s="123" t="n"/>
      <c r="I1053" s="123" t="n"/>
      <c r="J1053" s="123" t="n"/>
      <c r="K1053" s="123" t="n"/>
      <c r="L1053" s="123" t="n"/>
      <c r="M1053" s="123">
        <f>IF(AND(B1053&lt;&gt;"",OR($C$4="",ISNUMBER(SEARCH($C$4,C1053&amp;" "&amp;E1053&amp;" "&amp;G1053&amp;" "&amp;H1053&amp;" "&amp;I1053&amp;" "&amp;J1053&amp;" "&amp;K1053&amp;" "&amp;L1053))),OR($C$5="Semua",$C$5="",G1053=$C$5),OR($C$6="Semua",$C$6="",H1053=$C$6,H1053="Pengeluaran "&amp;$C$6,AND($C$6="Uang Kos Mama",H1053="Pengeluaran Uang Kos")),OR($C$7="Semua",$C$7="",I1053=$C$7),OR($C$8="Semua",$C$8="",C1053=$C$8,E1053=$C$8),OR($C$9="Semua",$C$9="",D1053=$C$9),OR($C$10="",B1053&gt;=$C$10),OR($C$11="",B1053&lt;=$C$11),OR($C$12&lt;&gt;"Ya",K1053&lt;&gt;""),OR($C$13="Semua",$C$13="",L1053=$C$13)),"✓","")</f>
        <v/>
      </c>
      <c r="N1053" s="93">
        <f>N(N1052)+IF(M1053="✓",1,0)</f>
        <v/>
      </c>
      <c r="O1053" s="93">
        <f>N(O1052)+IF(AND(B1053&lt;&gt;"",B1053&gt;='Uang Riba'!$H$30,B1053&lt;='Uang Riba'!$I$30,OR(H1053="Dana riba",H1053="Pinjam uang riba",I1053="Pinjam dari uang riba",I1053="Ganti uang riba",I1053="Kelebihan ganti dikembalikan",AND(C1053="Kantong Uang Riba",G1053="Pengeluaran"))),1,0)</f>
        <v/>
      </c>
      <c r="X1053" s="93">
        <f>IF(AND(B1053&lt;&gt;"",B1053&gt;='Buku Akun'!$H$4,B1053&lt;='Buku Akun'!$H$5,OR(C1053='Buku Akun'!$C$4,AND(D1053="Pindah",E1053='Buku Akun'!$C$4))),B1053+IF(AND(I1053="Selisih bunga",DAY(B1053)=1),0,0.01)+ROW()/10000000,"")</f>
        <v/>
      </c>
    </row>
    <row r="1054" outlineLevel="1" ht="15" customHeight="1" s="94">
      <c r="A1054" s="123">
        <f>IF(B1054="","",ROW()-15)</f>
        <v/>
      </c>
      <c r="B1054" s="124" t="n"/>
      <c r="C1054" s="123" t="n"/>
      <c r="D1054" s="123" t="n"/>
      <c r="E1054" s="123" t="n"/>
      <c r="F1054" s="125" t="n"/>
      <c r="G1054" s="123" t="n"/>
      <c r="H1054" s="123" t="n"/>
      <c r="I1054" s="123" t="n"/>
      <c r="J1054" s="123" t="n"/>
      <c r="K1054" s="123" t="n"/>
      <c r="L1054" s="123" t="n"/>
      <c r="M1054" s="123">
        <f>IF(AND(B1054&lt;&gt;"",OR($C$4="",ISNUMBER(SEARCH($C$4,C1054&amp;" "&amp;E1054&amp;" "&amp;G1054&amp;" "&amp;H1054&amp;" "&amp;I1054&amp;" "&amp;J1054&amp;" "&amp;K1054&amp;" "&amp;L1054))),OR($C$5="Semua",$C$5="",G1054=$C$5),OR($C$6="Semua",$C$6="",H1054=$C$6,H1054="Pengeluaran "&amp;$C$6,AND($C$6="Uang Kos Mama",H1054="Pengeluaran Uang Kos")),OR($C$7="Semua",$C$7="",I1054=$C$7),OR($C$8="Semua",$C$8="",C1054=$C$8,E1054=$C$8),OR($C$9="Semua",$C$9="",D1054=$C$9),OR($C$10="",B1054&gt;=$C$10),OR($C$11="",B1054&lt;=$C$11),OR($C$12&lt;&gt;"Ya",K1054&lt;&gt;""),OR($C$13="Semua",$C$13="",L1054=$C$13)),"✓","")</f>
        <v/>
      </c>
      <c r="N1054" s="93">
        <f>N(N1053)+IF(M1054="✓",1,0)</f>
        <v/>
      </c>
      <c r="O1054" s="93">
        <f>N(O1053)+IF(AND(B1054&lt;&gt;"",B1054&gt;='Uang Riba'!$H$30,B1054&lt;='Uang Riba'!$I$30,OR(H1054="Dana riba",H1054="Pinjam uang riba",I1054="Pinjam dari uang riba",I1054="Ganti uang riba",I1054="Kelebihan ganti dikembalikan",AND(C1054="Kantong Uang Riba",G1054="Pengeluaran"))),1,0)</f>
        <v/>
      </c>
      <c r="X1054" s="93">
        <f>IF(AND(B1054&lt;&gt;"",B1054&gt;='Buku Akun'!$H$4,B1054&lt;='Buku Akun'!$H$5,OR(C1054='Buku Akun'!$C$4,AND(D1054="Pindah",E1054='Buku Akun'!$C$4))),B1054+IF(AND(I1054="Selisih bunga",DAY(B1054)=1),0,0.01)+ROW()/10000000,"")</f>
        <v/>
      </c>
    </row>
    <row r="1055" outlineLevel="1" ht="15" customHeight="1" s="94">
      <c r="A1055" s="123">
        <f>IF(B1055="","",ROW()-15)</f>
        <v/>
      </c>
      <c r="B1055" s="124" t="n"/>
      <c r="C1055" s="123" t="n"/>
      <c r="D1055" s="123" t="n"/>
      <c r="E1055" s="123" t="n"/>
      <c r="F1055" s="125" t="n"/>
      <c r="G1055" s="123" t="n"/>
      <c r="H1055" s="123" t="n"/>
      <c r="I1055" s="123" t="n"/>
      <c r="J1055" s="123" t="n"/>
      <c r="K1055" s="123" t="n"/>
      <c r="L1055" s="123" t="n"/>
      <c r="M1055" s="123">
        <f>IF(AND(B1055&lt;&gt;"",OR($C$4="",ISNUMBER(SEARCH($C$4,C1055&amp;" "&amp;E1055&amp;" "&amp;G1055&amp;" "&amp;H1055&amp;" "&amp;I1055&amp;" "&amp;J1055&amp;" "&amp;K1055&amp;" "&amp;L1055))),OR($C$5="Semua",$C$5="",G1055=$C$5),OR($C$6="Semua",$C$6="",H1055=$C$6,H1055="Pengeluaran "&amp;$C$6,AND($C$6="Uang Kos Mama",H1055="Pengeluaran Uang Kos")),OR($C$7="Semua",$C$7="",I1055=$C$7),OR($C$8="Semua",$C$8="",C1055=$C$8,E1055=$C$8),OR($C$9="Semua",$C$9="",D1055=$C$9),OR($C$10="",B1055&gt;=$C$10),OR($C$11="",B1055&lt;=$C$11),OR($C$12&lt;&gt;"Ya",K1055&lt;&gt;""),OR($C$13="Semua",$C$13="",L1055=$C$13)),"✓","")</f>
        <v/>
      </c>
      <c r="N1055" s="93">
        <f>N(N1054)+IF(M1055="✓",1,0)</f>
        <v/>
      </c>
      <c r="O1055" s="93">
        <f>N(O1054)+IF(AND(B1055&lt;&gt;"",B1055&gt;='Uang Riba'!$H$30,B1055&lt;='Uang Riba'!$I$30,OR(H1055="Dana riba",H1055="Pinjam uang riba",I1055="Pinjam dari uang riba",I1055="Ganti uang riba",I1055="Kelebihan ganti dikembalikan",AND(C1055="Kantong Uang Riba",G1055="Pengeluaran"))),1,0)</f>
        <v/>
      </c>
      <c r="X1055" s="93">
        <f>IF(AND(B1055&lt;&gt;"",B1055&gt;='Buku Akun'!$H$4,B1055&lt;='Buku Akun'!$H$5,OR(C1055='Buku Akun'!$C$4,AND(D1055="Pindah",E1055='Buku Akun'!$C$4))),B1055+IF(AND(I1055="Selisih bunga",DAY(B1055)=1),0,0.01)+ROW()/10000000,"")</f>
        <v/>
      </c>
    </row>
    <row r="1056" outlineLevel="1" ht="15" customHeight="1" s="94">
      <c r="A1056" s="123">
        <f>IF(B1056="","",ROW()-15)</f>
        <v/>
      </c>
      <c r="B1056" s="124" t="n"/>
      <c r="C1056" s="123" t="n"/>
      <c r="D1056" s="123" t="n"/>
      <c r="E1056" s="123" t="n"/>
      <c r="F1056" s="125" t="n"/>
      <c r="G1056" s="123" t="n"/>
      <c r="H1056" s="123" t="n"/>
      <c r="I1056" s="123" t="n"/>
      <c r="J1056" s="123" t="n"/>
      <c r="K1056" s="123" t="n"/>
      <c r="L1056" s="123" t="n"/>
      <c r="M1056" s="123">
        <f>IF(AND(B1056&lt;&gt;"",OR($C$4="",ISNUMBER(SEARCH($C$4,C1056&amp;" "&amp;E1056&amp;" "&amp;G1056&amp;" "&amp;H1056&amp;" "&amp;I1056&amp;" "&amp;J1056&amp;" "&amp;K1056&amp;" "&amp;L1056))),OR($C$5="Semua",$C$5="",G1056=$C$5),OR($C$6="Semua",$C$6="",H1056=$C$6,H1056="Pengeluaran "&amp;$C$6,AND($C$6="Uang Kos Mama",H1056="Pengeluaran Uang Kos")),OR($C$7="Semua",$C$7="",I1056=$C$7),OR($C$8="Semua",$C$8="",C1056=$C$8,E1056=$C$8),OR($C$9="Semua",$C$9="",D1056=$C$9),OR($C$10="",B1056&gt;=$C$10),OR($C$11="",B1056&lt;=$C$11),OR($C$12&lt;&gt;"Ya",K1056&lt;&gt;""),OR($C$13="Semua",$C$13="",L1056=$C$13)),"✓","")</f>
        <v/>
      </c>
      <c r="N1056" s="93">
        <f>N(N1055)+IF(M1056="✓",1,0)</f>
        <v/>
      </c>
      <c r="O1056" s="93">
        <f>N(O1055)+IF(AND(B1056&lt;&gt;"",B1056&gt;='Uang Riba'!$H$30,B1056&lt;='Uang Riba'!$I$30,OR(H1056="Dana riba",H1056="Pinjam uang riba",I1056="Pinjam dari uang riba",I1056="Ganti uang riba",I1056="Kelebihan ganti dikembalikan",AND(C1056="Kantong Uang Riba",G1056="Pengeluaran"))),1,0)</f>
        <v/>
      </c>
      <c r="X1056" s="93">
        <f>IF(AND(B1056&lt;&gt;"",B1056&gt;='Buku Akun'!$H$4,B1056&lt;='Buku Akun'!$H$5,OR(C1056='Buku Akun'!$C$4,AND(D1056="Pindah",E1056='Buku Akun'!$C$4))),B1056+IF(AND(I1056="Selisih bunga",DAY(B1056)=1),0,0.01)+ROW()/10000000,"")</f>
        <v/>
      </c>
    </row>
    <row r="1057" outlineLevel="1" ht="15" customHeight="1" s="94">
      <c r="A1057" s="123">
        <f>IF(B1057="","",ROW()-15)</f>
        <v/>
      </c>
      <c r="B1057" s="124" t="n"/>
      <c r="C1057" s="123" t="n"/>
      <c r="D1057" s="123" t="n"/>
      <c r="E1057" s="123" t="n"/>
      <c r="F1057" s="125" t="n"/>
      <c r="G1057" s="123" t="n"/>
      <c r="H1057" s="123" t="n"/>
      <c r="I1057" s="123" t="n"/>
      <c r="J1057" s="123" t="n"/>
      <c r="K1057" s="123" t="n"/>
      <c r="L1057" s="123" t="n"/>
      <c r="M1057" s="123">
        <f>IF(AND(B1057&lt;&gt;"",OR($C$4="",ISNUMBER(SEARCH($C$4,C1057&amp;" "&amp;E1057&amp;" "&amp;G1057&amp;" "&amp;H1057&amp;" "&amp;I1057&amp;" "&amp;J1057&amp;" "&amp;K1057&amp;" "&amp;L1057))),OR($C$5="Semua",$C$5="",G1057=$C$5),OR($C$6="Semua",$C$6="",H1057=$C$6,H1057="Pengeluaran "&amp;$C$6,AND($C$6="Uang Kos Mama",H1057="Pengeluaran Uang Kos")),OR($C$7="Semua",$C$7="",I1057=$C$7),OR($C$8="Semua",$C$8="",C1057=$C$8,E1057=$C$8),OR($C$9="Semua",$C$9="",D1057=$C$9),OR($C$10="",B1057&gt;=$C$10),OR($C$11="",B1057&lt;=$C$11),OR($C$12&lt;&gt;"Ya",K1057&lt;&gt;""),OR($C$13="Semua",$C$13="",L1057=$C$13)),"✓","")</f>
        <v/>
      </c>
      <c r="N1057" s="93">
        <f>N(N1056)+IF(M1057="✓",1,0)</f>
        <v/>
      </c>
      <c r="O1057" s="93">
        <f>N(O1056)+IF(AND(B1057&lt;&gt;"",B1057&gt;='Uang Riba'!$H$30,B1057&lt;='Uang Riba'!$I$30,OR(H1057="Dana riba",H1057="Pinjam uang riba",I1057="Pinjam dari uang riba",I1057="Ganti uang riba",I1057="Kelebihan ganti dikembalikan",AND(C1057="Kantong Uang Riba",G1057="Pengeluaran"))),1,0)</f>
        <v/>
      </c>
      <c r="X1057" s="93">
        <f>IF(AND(B1057&lt;&gt;"",B1057&gt;='Buku Akun'!$H$4,B1057&lt;='Buku Akun'!$H$5,OR(C1057='Buku Akun'!$C$4,AND(D1057="Pindah",E1057='Buku Akun'!$C$4))),B1057+IF(AND(I1057="Selisih bunga",DAY(B1057)=1),0,0.01)+ROW()/10000000,"")</f>
        <v/>
      </c>
    </row>
    <row r="1058" outlineLevel="1" ht="15" customHeight="1" s="94">
      <c r="A1058" s="123">
        <f>IF(B1058="","",ROW()-15)</f>
        <v/>
      </c>
      <c r="B1058" s="124" t="n"/>
      <c r="C1058" s="123" t="n"/>
      <c r="D1058" s="123" t="n"/>
      <c r="E1058" s="123" t="n"/>
      <c r="F1058" s="125" t="n"/>
      <c r="G1058" s="123" t="n"/>
      <c r="H1058" s="123" t="n"/>
      <c r="I1058" s="123" t="n"/>
      <c r="J1058" s="123" t="n"/>
      <c r="K1058" s="123" t="n"/>
      <c r="L1058" s="123" t="n"/>
      <c r="M1058" s="123">
        <f>IF(AND(B1058&lt;&gt;"",OR($C$4="",ISNUMBER(SEARCH($C$4,C1058&amp;" "&amp;E1058&amp;" "&amp;G1058&amp;" "&amp;H1058&amp;" "&amp;I1058&amp;" "&amp;J1058&amp;" "&amp;K1058&amp;" "&amp;L1058))),OR($C$5="Semua",$C$5="",G1058=$C$5),OR($C$6="Semua",$C$6="",H1058=$C$6,H1058="Pengeluaran "&amp;$C$6,AND($C$6="Uang Kos Mama",H1058="Pengeluaran Uang Kos")),OR($C$7="Semua",$C$7="",I1058=$C$7),OR($C$8="Semua",$C$8="",C1058=$C$8,E1058=$C$8),OR($C$9="Semua",$C$9="",D1058=$C$9),OR($C$10="",B1058&gt;=$C$10),OR($C$11="",B1058&lt;=$C$11),OR($C$12&lt;&gt;"Ya",K1058&lt;&gt;""),OR($C$13="Semua",$C$13="",L1058=$C$13)),"✓","")</f>
        <v/>
      </c>
      <c r="N1058" s="93">
        <f>N(N1057)+IF(M1058="✓",1,0)</f>
        <v/>
      </c>
      <c r="O1058" s="93">
        <f>N(O1057)+IF(AND(B1058&lt;&gt;"",B1058&gt;='Uang Riba'!$H$30,B1058&lt;='Uang Riba'!$I$30,OR(H1058="Dana riba",H1058="Pinjam uang riba",I1058="Pinjam dari uang riba",I1058="Ganti uang riba",I1058="Kelebihan ganti dikembalikan",AND(C1058="Kantong Uang Riba",G1058="Pengeluaran"))),1,0)</f>
        <v/>
      </c>
      <c r="X1058" s="93">
        <f>IF(AND(B1058&lt;&gt;"",B1058&gt;='Buku Akun'!$H$4,B1058&lt;='Buku Akun'!$H$5,OR(C1058='Buku Akun'!$C$4,AND(D1058="Pindah",E1058='Buku Akun'!$C$4))),B1058+IF(AND(I1058="Selisih bunga",DAY(B1058)=1),0,0.01)+ROW()/10000000,"")</f>
        <v/>
      </c>
    </row>
    <row r="1059" outlineLevel="1" ht="15" customHeight="1" s="94">
      <c r="A1059" s="123">
        <f>IF(B1059="","",ROW()-15)</f>
        <v/>
      </c>
      <c r="B1059" s="124" t="n"/>
      <c r="C1059" s="123" t="n"/>
      <c r="D1059" s="123" t="n"/>
      <c r="E1059" s="123" t="n"/>
      <c r="F1059" s="125" t="n"/>
      <c r="G1059" s="123" t="n"/>
      <c r="H1059" s="123" t="n"/>
      <c r="I1059" s="123" t="n"/>
      <c r="J1059" s="123" t="n"/>
      <c r="K1059" s="123" t="n"/>
      <c r="L1059" s="123" t="n"/>
      <c r="M1059" s="123">
        <f>IF(AND(B1059&lt;&gt;"",OR($C$4="",ISNUMBER(SEARCH($C$4,C1059&amp;" "&amp;E1059&amp;" "&amp;G1059&amp;" "&amp;H1059&amp;" "&amp;I1059&amp;" "&amp;J1059&amp;" "&amp;K1059&amp;" "&amp;L1059))),OR($C$5="Semua",$C$5="",G1059=$C$5),OR($C$6="Semua",$C$6="",H1059=$C$6,H1059="Pengeluaran "&amp;$C$6,AND($C$6="Uang Kos Mama",H1059="Pengeluaran Uang Kos")),OR($C$7="Semua",$C$7="",I1059=$C$7),OR($C$8="Semua",$C$8="",C1059=$C$8,E1059=$C$8),OR($C$9="Semua",$C$9="",D1059=$C$9),OR($C$10="",B1059&gt;=$C$10),OR($C$11="",B1059&lt;=$C$11),OR($C$12&lt;&gt;"Ya",K1059&lt;&gt;""),OR($C$13="Semua",$C$13="",L1059=$C$13)),"✓","")</f>
        <v/>
      </c>
      <c r="N1059" s="93">
        <f>N(N1058)+IF(M1059="✓",1,0)</f>
        <v/>
      </c>
      <c r="O1059" s="93">
        <f>N(O1058)+IF(AND(B1059&lt;&gt;"",B1059&gt;='Uang Riba'!$H$30,B1059&lt;='Uang Riba'!$I$30,OR(H1059="Dana riba",H1059="Pinjam uang riba",I1059="Pinjam dari uang riba",I1059="Ganti uang riba",I1059="Kelebihan ganti dikembalikan",AND(C1059="Kantong Uang Riba",G1059="Pengeluaran"))),1,0)</f>
        <v/>
      </c>
      <c r="X1059" s="93">
        <f>IF(AND(B1059&lt;&gt;"",B1059&gt;='Buku Akun'!$H$4,B1059&lt;='Buku Akun'!$H$5,OR(C1059='Buku Akun'!$C$4,AND(D1059="Pindah",E1059='Buku Akun'!$C$4))),B1059+IF(AND(I1059="Selisih bunga",DAY(B1059)=1),0,0.01)+ROW()/10000000,"")</f>
        <v/>
      </c>
    </row>
    <row r="1060" outlineLevel="1" ht="15" customHeight="1" s="94">
      <c r="A1060" s="123">
        <f>IF(B1060="","",ROW()-15)</f>
        <v/>
      </c>
      <c r="B1060" s="124" t="n"/>
      <c r="C1060" s="123" t="n"/>
      <c r="D1060" s="123" t="n"/>
      <c r="E1060" s="123" t="n"/>
      <c r="F1060" s="125" t="n"/>
      <c r="G1060" s="123" t="n"/>
      <c r="H1060" s="123" t="n"/>
      <c r="I1060" s="123" t="n"/>
      <c r="J1060" s="123" t="n"/>
      <c r="K1060" s="123" t="n"/>
      <c r="L1060" s="123" t="n"/>
      <c r="M1060" s="123">
        <f>IF(AND(B1060&lt;&gt;"",OR($C$4="",ISNUMBER(SEARCH($C$4,C1060&amp;" "&amp;E1060&amp;" "&amp;G1060&amp;" "&amp;H1060&amp;" "&amp;I1060&amp;" "&amp;J1060&amp;" "&amp;K1060&amp;" "&amp;L1060))),OR($C$5="Semua",$C$5="",G1060=$C$5),OR($C$6="Semua",$C$6="",H1060=$C$6,H1060="Pengeluaran "&amp;$C$6,AND($C$6="Uang Kos Mama",H1060="Pengeluaran Uang Kos")),OR($C$7="Semua",$C$7="",I1060=$C$7),OR($C$8="Semua",$C$8="",C1060=$C$8,E1060=$C$8),OR($C$9="Semua",$C$9="",D1060=$C$9),OR($C$10="",B1060&gt;=$C$10),OR($C$11="",B1060&lt;=$C$11),OR($C$12&lt;&gt;"Ya",K1060&lt;&gt;""),OR($C$13="Semua",$C$13="",L1060=$C$13)),"✓","")</f>
        <v/>
      </c>
      <c r="N1060" s="93">
        <f>N(N1059)+IF(M1060="✓",1,0)</f>
        <v/>
      </c>
      <c r="O1060" s="93">
        <f>N(O1059)+IF(AND(B1060&lt;&gt;"",B1060&gt;='Uang Riba'!$H$30,B1060&lt;='Uang Riba'!$I$30,OR(H1060="Dana riba",H1060="Pinjam uang riba",I1060="Pinjam dari uang riba",I1060="Ganti uang riba",I1060="Kelebihan ganti dikembalikan",AND(C1060="Kantong Uang Riba",G1060="Pengeluaran"))),1,0)</f>
        <v/>
      </c>
      <c r="X1060" s="93">
        <f>IF(AND(B1060&lt;&gt;"",B1060&gt;='Buku Akun'!$H$4,B1060&lt;='Buku Akun'!$H$5,OR(C1060='Buku Akun'!$C$4,AND(D1060="Pindah",E1060='Buku Akun'!$C$4))),B1060+IF(AND(I1060="Selisih bunga",DAY(B1060)=1),0,0.01)+ROW()/10000000,"")</f>
        <v/>
      </c>
    </row>
    <row r="1061" outlineLevel="1" ht="15" customHeight="1" s="94">
      <c r="A1061" s="123">
        <f>IF(B1061="","",ROW()-15)</f>
        <v/>
      </c>
      <c r="B1061" s="124" t="n"/>
      <c r="C1061" s="123" t="n"/>
      <c r="D1061" s="123" t="n"/>
      <c r="E1061" s="123" t="n"/>
      <c r="F1061" s="125" t="n"/>
      <c r="G1061" s="123" t="n"/>
      <c r="H1061" s="123" t="n"/>
      <c r="I1061" s="123" t="n"/>
      <c r="J1061" s="123" t="n"/>
      <c r="K1061" s="123" t="n"/>
      <c r="L1061" s="123" t="n"/>
      <c r="M1061" s="123">
        <f>IF(AND(B1061&lt;&gt;"",OR($C$4="",ISNUMBER(SEARCH($C$4,C1061&amp;" "&amp;E1061&amp;" "&amp;G1061&amp;" "&amp;H1061&amp;" "&amp;I1061&amp;" "&amp;J1061&amp;" "&amp;K1061&amp;" "&amp;L1061))),OR($C$5="Semua",$C$5="",G1061=$C$5),OR($C$6="Semua",$C$6="",H1061=$C$6,H1061="Pengeluaran "&amp;$C$6,AND($C$6="Uang Kos Mama",H1061="Pengeluaran Uang Kos")),OR($C$7="Semua",$C$7="",I1061=$C$7),OR($C$8="Semua",$C$8="",C1061=$C$8,E1061=$C$8),OR($C$9="Semua",$C$9="",D1061=$C$9),OR($C$10="",B1061&gt;=$C$10),OR($C$11="",B1061&lt;=$C$11),OR($C$12&lt;&gt;"Ya",K1061&lt;&gt;""),OR($C$13="Semua",$C$13="",L1061=$C$13)),"✓","")</f>
        <v/>
      </c>
      <c r="N1061" s="93">
        <f>N(N1060)+IF(M1061="✓",1,0)</f>
        <v/>
      </c>
      <c r="O1061" s="93">
        <f>N(O1060)+IF(AND(B1061&lt;&gt;"",B1061&gt;='Uang Riba'!$H$30,B1061&lt;='Uang Riba'!$I$30,OR(H1061="Dana riba",H1061="Pinjam uang riba",I1061="Pinjam dari uang riba",I1061="Ganti uang riba",I1061="Kelebihan ganti dikembalikan",AND(C1061="Kantong Uang Riba",G1061="Pengeluaran"))),1,0)</f>
        <v/>
      </c>
      <c r="X1061" s="93">
        <f>IF(AND(B1061&lt;&gt;"",B1061&gt;='Buku Akun'!$H$4,B1061&lt;='Buku Akun'!$H$5,OR(C1061='Buku Akun'!$C$4,AND(D1061="Pindah",E1061='Buku Akun'!$C$4))),B1061+IF(AND(I1061="Selisih bunga",DAY(B1061)=1),0,0.01)+ROW()/10000000,"")</f>
        <v/>
      </c>
    </row>
    <row r="1062" outlineLevel="1" ht="15" customHeight="1" s="94">
      <c r="A1062" s="123">
        <f>IF(B1062="","",ROW()-15)</f>
        <v/>
      </c>
      <c r="B1062" s="124" t="n"/>
      <c r="C1062" s="123" t="n"/>
      <c r="D1062" s="123" t="n"/>
      <c r="E1062" s="123" t="n"/>
      <c r="F1062" s="125" t="n"/>
      <c r="G1062" s="123" t="n"/>
      <c r="H1062" s="123" t="n"/>
      <c r="I1062" s="123" t="n"/>
      <c r="J1062" s="123" t="n"/>
      <c r="K1062" s="123" t="n"/>
      <c r="L1062" s="123" t="n"/>
      <c r="M1062" s="123">
        <f>IF(AND(B1062&lt;&gt;"",OR($C$4="",ISNUMBER(SEARCH($C$4,C1062&amp;" "&amp;E1062&amp;" "&amp;G1062&amp;" "&amp;H1062&amp;" "&amp;I1062&amp;" "&amp;J1062&amp;" "&amp;K1062&amp;" "&amp;L1062))),OR($C$5="Semua",$C$5="",G1062=$C$5),OR($C$6="Semua",$C$6="",H1062=$C$6,H1062="Pengeluaran "&amp;$C$6,AND($C$6="Uang Kos Mama",H1062="Pengeluaran Uang Kos")),OR($C$7="Semua",$C$7="",I1062=$C$7),OR($C$8="Semua",$C$8="",C1062=$C$8,E1062=$C$8),OR($C$9="Semua",$C$9="",D1062=$C$9),OR($C$10="",B1062&gt;=$C$10),OR($C$11="",B1062&lt;=$C$11),OR($C$12&lt;&gt;"Ya",K1062&lt;&gt;""),OR($C$13="Semua",$C$13="",L1062=$C$13)),"✓","")</f>
        <v/>
      </c>
      <c r="N1062" s="93">
        <f>N(N1061)+IF(M1062="✓",1,0)</f>
        <v/>
      </c>
      <c r="O1062" s="93">
        <f>N(O1061)+IF(AND(B1062&lt;&gt;"",B1062&gt;='Uang Riba'!$H$30,B1062&lt;='Uang Riba'!$I$30,OR(H1062="Dana riba",H1062="Pinjam uang riba",I1062="Pinjam dari uang riba",I1062="Ganti uang riba",I1062="Kelebihan ganti dikembalikan",AND(C1062="Kantong Uang Riba",G1062="Pengeluaran"))),1,0)</f>
        <v/>
      </c>
      <c r="X1062" s="93">
        <f>IF(AND(B1062&lt;&gt;"",B1062&gt;='Buku Akun'!$H$4,B1062&lt;='Buku Akun'!$H$5,OR(C1062='Buku Akun'!$C$4,AND(D1062="Pindah",E1062='Buku Akun'!$C$4))),B1062+IF(AND(I1062="Selisih bunga",DAY(B1062)=1),0,0.01)+ROW()/10000000,"")</f>
        <v/>
      </c>
    </row>
    <row r="1063" outlineLevel="1" ht="15" customHeight="1" s="94">
      <c r="A1063" s="123">
        <f>IF(B1063="","",ROW()-15)</f>
        <v/>
      </c>
      <c r="B1063" s="124" t="n"/>
      <c r="C1063" s="123" t="n"/>
      <c r="D1063" s="123" t="n"/>
      <c r="E1063" s="123" t="n"/>
      <c r="F1063" s="125" t="n"/>
      <c r="G1063" s="123" t="n"/>
      <c r="H1063" s="123" t="n"/>
      <c r="I1063" s="123" t="n"/>
      <c r="J1063" s="123" t="n"/>
      <c r="K1063" s="123" t="n"/>
      <c r="L1063" s="123" t="n"/>
      <c r="M1063" s="123">
        <f>IF(AND(B1063&lt;&gt;"",OR($C$4="",ISNUMBER(SEARCH($C$4,C1063&amp;" "&amp;E1063&amp;" "&amp;G1063&amp;" "&amp;H1063&amp;" "&amp;I1063&amp;" "&amp;J1063&amp;" "&amp;K1063&amp;" "&amp;L1063))),OR($C$5="Semua",$C$5="",G1063=$C$5),OR($C$6="Semua",$C$6="",H1063=$C$6,H1063="Pengeluaran "&amp;$C$6,AND($C$6="Uang Kos Mama",H1063="Pengeluaran Uang Kos")),OR($C$7="Semua",$C$7="",I1063=$C$7),OR($C$8="Semua",$C$8="",C1063=$C$8,E1063=$C$8),OR($C$9="Semua",$C$9="",D1063=$C$9),OR($C$10="",B1063&gt;=$C$10),OR($C$11="",B1063&lt;=$C$11),OR($C$12&lt;&gt;"Ya",K1063&lt;&gt;""),OR($C$13="Semua",$C$13="",L1063=$C$13)),"✓","")</f>
        <v/>
      </c>
      <c r="N1063" s="93">
        <f>N(N1062)+IF(M1063="✓",1,0)</f>
        <v/>
      </c>
      <c r="O1063" s="93">
        <f>N(O1062)+IF(AND(B1063&lt;&gt;"",B1063&gt;='Uang Riba'!$H$30,B1063&lt;='Uang Riba'!$I$30,OR(H1063="Dana riba",H1063="Pinjam uang riba",I1063="Pinjam dari uang riba",I1063="Ganti uang riba",I1063="Kelebihan ganti dikembalikan",AND(C1063="Kantong Uang Riba",G1063="Pengeluaran"))),1,0)</f>
        <v/>
      </c>
      <c r="X1063" s="93">
        <f>IF(AND(B1063&lt;&gt;"",B1063&gt;='Buku Akun'!$H$4,B1063&lt;='Buku Akun'!$H$5,OR(C1063='Buku Akun'!$C$4,AND(D1063="Pindah",E1063='Buku Akun'!$C$4))),B1063+IF(AND(I1063="Selisih bunga",DAY(B1063)=1),0,0.01)+ROW()/10000000,"")</f>
        <v/>
      </c>
    </row>
    <row r="1064" outlineLevel="1" ht="15" customHeight="1" s="94">
      <c r="A1064" s="123">
        <f>IF(B1064="","",ROW()-15)</f>
        <v/>
      </c>
      <c r="B1064" s="124" t="n"/>
      <c r="C1064" s="123" t="n"/>
      <c r="D1064" s="123" t="n"/>
      <c r="E1064" s="123" t="n"/>
      <c r="F1064" s="125" t="n"/>
      <c r="G1064" s="123" t="n"/>
      <c r="H1064" s="123" t="n"/>
      <c r="I1064" s="123" t="n"/>
      <c r="J1064" s="123" t="n"/>
      <c r="K1064" s="123" t="n"/>
      <c r="L1064" s="123" t="n"/>
      <c r="M1064" s="123">
        <f>IF(AND(B1064&lt;&gt;"",OR($C$4="",ISNUMBER(SEARCH($C$4,C1064&amp;" "&amp;E1064&amp;" "&amp;G1064&amp;" "&amp;H1064&amp;" "&amp;I1064&amp;" "&amp;J1064&amp;" "&amp;K1064&amp;" "&amp;L1064))),OR($C$5="Semua",$C$5="",G1064=$C$5),OR($C$6="Semua",$C$6="",H1064=$C$6,H1064="Pengeluaran "&amp;$C$6,AND($C$6="Uang Kos Mama",H1064="Pengeluaran Uang Kos")),OR($C$7="Semua",$C$7="",I1064=$C$7),OR($C$8="Semua",$C$8="",C1064=$C$8,E1064=$C$8),OR($C$9="Semua",$C$9="",D1064=$C$9),OR($C$10="",B1064&gt;=$C$10),OR($C$11="",B1064&lt;=$C$11),OR($C$12&lt;&gt;"Ya",K1064&lt;&gt;""),OR($C$13="Semua",$C$13="",L1064=$C$13)),"✓","")</f>
        <v/>
      </c>
      <c r="N1064" s="93">
        <f>N(N1063)+IF(M1064="✓",1,0)</f>
        <v/>
      </c>
      <c r="O1064" s="93">
        <f>N(O1063)+IF(AND(B1064&lt;&gt;"",B1064&gt;='Uang Riba'!$H$30,B1064&lt;='Uang Riba'!$I$30,OR(H1064="Dana riba",H1064="Pinjam uang riba",I1064="Pinjam dari uang riba",I1064="Ganti uang riba",I1064="Kelebihan ganti dikembalikan",AND(C1064="Kantong Uang Riba",G1064="Pengeluaran"))),1,0)</f>
        <v/>
      </c>
      <c r="X1064" s="93">
        <f>IF(AND(B1064&lt;&gt;"",B1064&gt;='Buku Akun'!$H$4,B1064&lt;='Buku Akun'!$H$5,OR(C1064='Buku Akun'!$C$4,AND(D1064="Pindah",E1064='Buku Akun'!$C$4))),B1064+IF(AND(I1064="Selisih bunga",DAY(B1064)=1),0,0.01)+ROW()/10000000,"")</f>
        <v/>
      </c>
    </row>
    <row r="1065" outlineLevel="1" ht="15" customHeight="1" s="94">
      <c r="A1065" s="123">
        <f>IF(B1065="","",ROW()-15)</f>
        <v/>
      </c>
      <c r="B1065" s="124" t="n"/>
      <c r="C1065" s="123" t="n"/>
      <c r="D1065" s="123" t="n"/>
      <c r="E1065" s="123" t="n"/>
      <c r="F1065" s="125" t="n"/>
      <c r="G1065" s="123" t="n"/>
      <c r="H1065" s="123" t="n"/>
      <c r="I1065" s="123" t="n"/>
      <c r="J1065" s="123" t="n"/>
      <c r="K1065" s="123" t="n"/>
      <c r="L1065" s="123" t="n"/>
      <c r="M1065" s="123">
        <f>IF(AND(B1065&lt;&gt;"",OR($C$4="",ISNUMBER(SEARCH($C$4,C1065&amp;" "&amp;E1065&amp;" "&amp;G1065&amp;" "&amp;H1065&amp;" "&amp;I1065&amp;" "&amp;J1065&amp;" "&amp;K1065&amp;" "&amp;L1065))),OR($C$5="Semua",$C$5="",G1065=$C$5),OR($C$6="Semua",$C$6="",H1065=$C$6,H1065="Pengeluaran "&amp;$C$6,AND($C$6="Uang Kos Mama",H1065="Pengeluaran Uang Kos")),OR($C$7="Semua",$C$7="",I1065=$C$7),OR($C$8="Semua",$C$8="",C1065=$C$8,E1065=$C$8),OR($C$9="Semua",$C$9="",D1065=$C$9),OR($C$10="",B1065&gt;=$C$10),OR($C$11="",B1065&lt;=$C$11),OR($C$12&lt;&gt;"Ya",K1065&lt;&gt;""),OR($C$13="Semua",$C$13="",L1065=$C$13)),"✓","")</f>
        <v/>
      </c>
      <c r="N1065" s="93">
        <f>N(N1064)+IF(M1065="✓",1,0)</f>
        <v/>
      </c>
      <c r="O1065" s="93">
        <f>N(O1064)+IF(AND(B1065&lt;&gt;"",B1065&gt;='Uang Riba'!$H$30,B1065&lt;='Uang Riba'!$I$30,OR(H1065="Dana riba",H1065="Pinjam uang riba",I1065="Pinjam dari uang riba",I1065="Ganti uang riba",I1065="Kelebihan ganti dikembalikan",AND(C1065="Kantong Uang Riba",G1065="Pengeluaran"))),1,0)</f>
        <v/>
      </c>
      <c r="X1065" s="93">
        <f>IF(AND(B1065&lt;&gt;"",B1065&gt;='Buku Akun'!$H$4,B1065&lt;='Buku Akun'!$H$5,OR(C1065='Buku Akun'!$C$4,AND(D1065="Pindah",E1065='Buku Akun'!$C$4))),B1065+IF(AND(I1065="Selisih bunga",DAY(B1065)=1),0,0.01)+ROW()/10000000,"")</f>
        <v/>
      </c>
    </row>
    <row r="1066" outlineLevel="1" ht="15" customHeight="1" s="94">
      <c r="A1066" s="123">
        <f>IF(B1066="","",ROW()-15)</f>
        <v/>
      </c>
      <c r="B1066" s="124" t="n"/>
      <c r="C1066" s="123" t="n"/>
      <c r="D1066" s="123" t="n"/>
      <c r="E1066" s="123" t="n"/>
      <c r="F1066" s="125" t="n"/>
      <c r="G1066" s="123" t="n"/>
      <c r="H1066" s="123" t="n"/>
      <c r="I1066" s="123" t="n"/>
      <c r="J1066" s="123" t="n"/>
      <c r="K1066" s="123" t="n"/>
      <c r="L1066" s="123" t="n"/>
      <c r="M1066" s="123">
        <f>IF(AND(B1066&lt;&gt;"",OR($C$4="",ISNUMBER(SEARCH($C$4,C1066&amp;" "&amp;E1066&amp;" "&amp;G1066&amp;" "&amp;H1066&amp;" "&amp;I1066&amp;" "&amp;J1066&amp;" "&amp;K1066&amp;" "&amp;L1066))),OR($C$5="Semua",$C$5="",G1066=$C$5),OR($C$6="Semua",$C$6="",H1066=$C$6,H1066="Pengeluaran "&amp;$C$6,AND($C$6="Uang Kos Mama",H1066="Pengeluaran Uang Kos")),OR($C$7="Semua",$C$7="",I1066=$C$7),OR($C$8="Semua",$C$8="",C1066=$C$8,E1066=$C$8),OR($C$9="Semua",$C$9="",D1066=$C$9),OR($C$10="",B1066&gt;=$C$10),OR($C$11="",B1066&lt;=$C$11),OR($C$12&lt;&gt;"Ya",K1066&lt;&gt;""),OR($C$13="Semua",$C$13="",L1066=$C$13)),"✓","")</f>
        <v/>
      </c>
      <c r="N1066" s="93">
        <f>N(N1065)+IF(M1066="✓",1,0)</f>
        <v/>
      </c>
      <c r="O1066" s="93">
        <f>N(O1065)+IF(AND(B1066&lt;&gt;"",B1066&gt;='Uang Riba'!$H$30,B1066&lt;='Uang Riba'!$I$30,OR(H1066="Dana riba",H1066="Pinjam uang riba",I1066="Pinjam dari uang riba",I1066="Ganti uang riba",I1066="Kelebihan ganti dikembalikan",AND(C1066="Kantong Uang Riba",G1066="Pengeluaran"))),1,0)</f>
        <v/>
      </c>
      <c r="X1066" s="93">
        <f>IF(AND(B1066&lt;&gt;"",B1066&gt;='Buku Akun'!$H$4,B1066&lt;='Buku Akun'!$H$5,OR(C1066='Buku Akun'!$C$4,AND(D1066="Pindah",E1066='Buku Akun'!$C$4))),B1066+IF(AND(I1066="Selisih bunga",DAY(B1066)=1),0,0.01)+ROW()/10000000,"")</f>
        <v/>
      </c>
    </row>
    <row r="1067" outlineLevel="1" ht="15" customHeight="1" s="94">
      <c r="A1067" s="123">
        <f>IF(B1067="","",ROW()-15)</f>
        <v/>
      </c>
      <c r="B1067" s="124" t="n"/>
      <c r="C1067" s="123" t="n"/>
      <c r="D1067" s="123" t="n"/>
      <c r="E1067" s="123" t="n"/>
      <c r="F1067" s="125" t="n"/>
      <c r="G1067" s="123" t="n"/>
      <c r="H1067" s="123" t="n"/>
      <c r="I1067" s="123" t="n"/>
      <c r="J1067" s="123" t="n"/>
      <c r="K1067" s="123" t="n"/>
      <c r="L1067" s="123" t="n"/>
      <c r="M1067" s="123">
        <f>IF(AND(B1067&lt;&gt;"",OR($C$4="",ISNUMBER(SEARCH($C$4,C1067&amp;" "&amp;E1067&amp;" "&amp;G1067&amp;" "&amp;H1067&amp;" "&amp;I1067&amp;" "&amp;J1067&amp;" "&amp;K1067&amp;" "&amp;L1067))),OR($C$5="Semua",$C$5="",G1067=$C$5),OR($C$6="Semua",$C$6="",H1067=$C$6,H1067="Pengeluaran "&amp;$C$6,AND($C$6="Uang Kos Mama",H1067="Pengeluaran Uang Kos")),OR($C$7="Semua",$C$7="",I1067=$C$7),OR($C$8="Semua",$C$8="",C1067=$C$8,E1067=$C$8),OR($C$9="Semua",$C$9="",D1067=$C$9),OR($C$10="",B1067&gt;=$C$10),OR($C$11="",B1067&lt;=$C$11),OR($C$12&lt;&gt;"Ya",K1067&lt;&gt;""),OR($C$13="Semua",$C$13="",L1067=$C$13)),"✓","")</f>
        <v/>
      </c>
      <c r="N1067" s="93">
        <f>N(N1066)+IF(M1067="✓",1,0)</f>
        <v/>
      </c>
      <c r="O1067" s="93">
        <f>N(O1066)+IF(AND(B1067&lt;&gt;"",B1067&gt;='Uang Riba'!$H$30,B1067&lt;='Uang Riba'!$I$30,OR(H1067="Dana riba",H1067="Pinjam uang riba",I1067="Pinjam dari uang riba",I1067="Ganti uang riba",I1067="Kelebihan ganti dikembalikan",AND(C1067="Kantong Uang Riba",G1067="Pengeluaran"))),1,0)</f>
        <v/>
      </c>
      <c r="X1067" s="93">
        <f>IF(AND(B1067&lt;&gt;"",B1067&gt;='Buku Akun'!$H$4,B1067&lt;='Buku Akun'!$H$5,OR(C1067='Buku Akun'!$C$4,AND(D1067="Pindah",E1067='Buku Akun'!$C$4))),B1067+IF(AND(I1067="Selisih bunga",DAY(B1067)=1),0,0.01)+ROW()/10000000,"")</f>
        <v/>
      </c>
    </row>
    <row r="1068" outlineLevel="1" ht="15" customHeight="1" s="94">
      <c r="A1068" s="123">
        <f>IF(B1068="","",ROW()-15)</f>
        <v/>
      </c>
      <c r="B1068" s="124" t="n"/>
      <c r="C1068" s="123" t="n"/>
      <c r="D1068" s="123" t="n"/>
      <c r="E1068" s="123" t="n"/>
      <c r="F1068" s="125" t="n"/>
      <c r="G1068" s="123" t="n"/>
      <c r="H1068" s="123" t="n"/>
      <c r="I1068" s="123" t="n"/>
      <c r="J1068" s="123" t="n"/>
      <c r="K1068" s="123" t="n"/>
      <c r="L1068" s="123" t="n"/>
      <c r="M1068" s="123">
        <f>IF(AND(B1068&lt;&gt;"",OR($C$4="",ISNUMBER(SEARCH($C$4,C1068&amp;" "&amp;E1068&amp;" "&amp;G1068&amp;" "&amp;H1068&amp;" "&amp;I1068&amp;" "&amp;J1068&amp;" "&amp;K1068&amp;" "&amp;L1068))),OR($C$5="Semua",$C$5="",G1068=$C$5),OR($C$6="Semua",$C$6="",H1068=$C$6,H1068="Pengeluaran "&amp;$C$6,AND($C$6="Uang Kos Mama",H1068="Pengeluaran Uang Kos")),OR($C$7="Semua",$C$7="",I1068=$C$7),OR($C$8="Semua",$C$8="",C1068=$C$8,E1068=$C$8),OR($C$9="Semua",$C$9="",D1068=$C$9),OR($C$10="",B1068&gt;=$C$10),OR($C$11="",B1068&lt;=$C$11),OR($C$12&lt;&gt;"Ya",K1068&lt;&gt;""),OR($C$13="Semua",$C$13="",L1068=$C$13)),"✓","")</f>
        <v/>
      </c>
      <c r="N1068" s="93">
        <f>N(N1067)+IF(M1068="✓",1,0)</f>
        <v/>
      </c>
      <c r="O1068" s="93">
        <f>N(O1067)+IF(AND(B1068&lt;&gt;"",B1068&gt;='Uang Riba'!$H$30,B1068&lt;='Uang Riba'!$I$30,OR(H1068="Dana riba",H1068="Pinjam uang riba",I1068="Pinjam dari uang riba",I1068="Ganti uang riba",I1068="Kelebihan ganti dikembalikan",AND(C1068="Kantong Uang Riba",G1068="Pengeluaran"))),1,0)</f>
        <v/>
      </c>
      <c r="X1068" s="93">
        <f>IF(AND(B1068&lt;&gt;"",B1068&gt;='Buku Akun'!$H$4,B1068&lt;='Buku Akun'!$H$5,OR(C1068='Buku Akun'!$C$4,AND(D1068="Pindah",E1068='Buku Akun'!$C$4))),B1068+IF(AND(I1068="Selisih bunga",DAY(B1068)=1),0,0.01)+ROW()/10000000,"")</f>
        <v/>
      </c>
    </row>
    <row r="1069" outlineLevel="1" ht="15" customHeight="1" s="94">
      <c r="A1069" s="123">
        <f>IF(B1069="","",ROW()-15)</f>
        <v/>
      </c>
      <c r="B1069" s="124" t="n"/>
      <c r="C1069" s="123" t="n"/>
      <c r="D1069" s="123" t="n"/>
      <c r="E1069" s="123" t="n"/>
      <c r="F1069" s="125" t="n"/>
      <c r="G1069" s="123" t="n"/>
      <c r="H1069" s="123" t="n"/>
      <c r="I1069" s="123" t="n"/>
      <c r="J1069" s="123" t="n"/>
      <c r="K1069" s="123" t="n"/>
      <c r="L1069" s="123" t="n"/>
      <c r="M1069" s="123">
        <f>IF(AND(B1069&lt;&gt;"",OR($C$4="",ISNUMBER(SEARCH($C$4,C1069&amp;" "&amp;E1069&amp;" "&amp;G1069&amp;" "&amp;H1069&amp;" "&amp;I1069&amp;" "&amp;J1069&amp;" "&amp;K1069&amp;" "&amp;L1069))),OR($C$5="Semua",$C$5="",G1069=$C$5),OR($C$6="Semua",$C$6="",H1069=$C$6,H1069="Pengeluaran "&amp;$C$6,AND($C$6="Uang Kos Mama",H1069="Pengeluaran Uang Kos")),OR($C$7="Semua",$C$7="",I1069=$C$7),OR($C$8="Semua",$C$8="",C1069=$C$8,E1069=$C$8),OR($C$9="Semua",$C$9="",D1069=$C$9),OR($C$10="",B1069&gt;=$C$10),OR($C$11="",B1069&lt;=$C$11),OR($C$12&lt;&gt;"Ya",K1069&lt;&gt;""),OR($C$13="Semua",$C$13="",L1069=$C$13)),"✓","")</f>
        <v/>
      </c>
      <c r="N1069" s="93">
        <f>N(N1068)+IF(M1069="✓",1,0)</f>
        <v/>
      </c>
      <c r="O1069" s="93">
        <f>N(O1068)+IF(AND(B1069&lt;&gt;"",B1069&gt;='Uang Riba'!$H$30,B1069&lt;='Uang Riba'!$I$30,OR(H1069="Dana riba",H1069="Pinjam uang riba",I1069="Pinjam dari uang riba",I1069="Ganti uang riba",I1069="Kelebihan ganti dikembalikan",AND(C1069="Kantong Uang Riba",G1069="Pengeluaran"))),1,0)</f>
        <v/>
      </c>
      <c r="X1069" s="93">
        <f>IF(AND(B1069&lt;&gt;"",B1069&gt;='Buku Akun'!$H$4,B1069&lt;='Buku Akun'!$H$5,OR(C1069='Buku Akun'!$C$4,AND(D1069="Pindah",E1069='Buku Akun'!$C$4))),B1069+IF(AND(I1069="Selisih bunga",DAY(B1069)=1),0,0.01)+ROW()/10000000,"")</f>
        <v/>
      </c>
    </row>
    <row r="1070" outlineLevel="1" ht="15" customHeight="1" s="94">
      <c r="A1070" s="123">
        <f>IF(B1070="","",ROW()-15)</f>
        <v/>
      </c>
      <c r="B1070" s="124" t="n"/>
      <c r="C1070" s="123" t="n"/>
      <c r="D1070" s="123" t="n"/>
      <c r="E1070" s="123" t="n"/>
      <c r="F1070" s="125" t="n"/>
      <c r="G1070" s="123" t="n"/>
      <c r="H1070" s="123" t="n"/>
      <c r="I1070" s="123" t="n"/>
      <c r="J1070" s="123" t="n"/>
      <c r="K1070" s="123" t="n"/>
      <c r="L1070" s="123" t="n"/>
      <c r="M1070" s="123">
        <f>IF(AND(B1070&lt;&gt;"",OR($C$4="",ISNUMBER(SEARCH($C$4,C1070&amp;" "&amp;E1070&amp;" "&amp;G1070&amp;" "&amp;H1070&amp;" "&amp;I1070&amp;" "&amp;J1070&amp;" "&amp;K1070&amp;" "&amp;L1070))),OR($C$5="Semua",$C$5="",G1070=$C$5),OR($C$6="Semua",$C$6="",H1070=$C$6,H1070="Pengeluaran "&amp;$C$6,AND($C$6="Uang Kos Mama",H1070="Pengeluaran Uang Kos")),OR($C$7="Semua",$C$7="",I1070=$C$7),OR($C$8="Semua",$C$8="",C1070=$C$8,E1070=$C$8),OR($C$9="Semua",$C$9="",D1070=$C$9),OR($C$10="",B1070&gt;=$C$10),OR($C$11="",B1070&lt;=$C$11),OR($C$12&lt;&gt;"Ya",K1070&lt;&gt;""),OR($C$13="Semua",$C$13="",L1070=$C$13)),"✓","")</f>
        <v/>
      </c>
      <c r="N1070" s="93">
        <f>N(N1069)+IF(M1070="✓",1,0)</f>
        <v/>
      </c>
      <c r="O1070" s="93">
        <f>N(O1069)+IF(AND(B1070&lt;&gt;"",B1070&gt;='Uang Riba'!$H$30,B1070&lt;='Uang Riba'!$I$30,OR(H1070="Dana riba",H1070="Pinjam uang riba",I1070="Pinjam dari uang riba",I1070="Ganti uang riba",I1070="Kelebihan ganti dikembalikan",AND(C1070="Kantong Uang Riba",G1070="Pengeluaran"))),1,0)</f>
        <v/>
      </c>
      <c r="X1070" s="93">
        <f>IF(AND(B1070&lt;&gt;"",B1070&gt;='Buku Akun'!$H$4,B1070&lt;='Buku Akun'!$H$5,OR(C1070='Buku Akun'!$C$4,AND(D1070="Pindah",E1070='Buku Akun'!$C$4))),B1070+IF(AND(I1070="Selisih bunga",DAY(B1070)=1),0,0.01)+ROW()/10000000,"")</f>
        <v/>
      </c>
    </row>
    <row r="1071" outlineLevel="1" ht="15" customHeight="1" s="94">
      <c r="A1071" s="123">
        <f>IF(B1071="","",ROW()-15)</f>
        <v/>
      </c>
      <c r="B1071" s="124" t="n"/>
      <c r="C1071" s="123" t="n"/>
      <c r="D1071" s="123" t="n"/>
      <c r="E1071" s="123" t="n"/>
      <c r="F1071" s="125" t="n"/>
      <c r="G1071" s="123" t="n"/>
      <c r="H1071" s="123" t="n"/>
      <c r="I1071" s="123" t="n"/>
      <c r="J1071" s="123" t="n"/>
      <c r="K1071" s="123" t="n"/>
      <c r="L1071" s="123" t="n"/>
      <c r="M1071" s="123">
        <f>IF(AND(B1071&lt;&gt;"",OR($C$4="",ISNUMBER(SEARCH($C$4,C1071&amp;" "&amp;E1071&amp;" "&amp;G1071&amp;" "&amp;H1071&amp;" "&amp;I1071&amp;" "&amp;J1071&amp;" "&amp;K1071&amp;" "&amp;L1071))),OR($C$5="Semua",$C$5="",G1071=$C$5),OR($C$6="Semua",$C$6="",H1071=$C$6,H1071="Pengeluaran "&amp;$C$6,AND($C$6="Uang Kos Mama",H1071="Pengeluaran Uang Kos")),OR($C$7="Semua",$C$7="",I1071=$C$7),OR($C$8="Semua",$C$8="",C1071=$C$8,E1071=$C$8),OR($C$9="Semua",$C$9="",D1071=$C$9),OR($C$10="",B1071&gt;=$C$10),OR($C$11="",B1071&lt;=$C$11),OR($C$12&lt;&gt;"Ya",K1071&lt;&gt;""),OR($C$13="Semua",$C$13="",L1071=$C$13)),"✓","")</f>
        <v/>
      </c>
      <c r="N1071" s="93">
        <f>N(N1070)+IF(M1071="✓",1,0)</f>
        <v/>
      </c>
      <c r="O1071" s="93">
        <f>N(O1070)+IF(AND(B1071&lt;&gt;"",B1071&gt;='Uang Riba'!$H$30,B1071&lt;='Uang Riba'!$I$30,OR(H1071="Dana riba",H1071="Pinjam uang riba",I1071="Pinjam dari uang riba",I1071="Ganti uang riba",I1071="Kelebihan ganti dikembalikan",AND(C1071="Kantong Uang Riba",G1071="Pengeluaran"))),1,0)</f>
        <v/>
      </c>
      <c r="X1071" s="93">
        <f>IF(AND(B1071&lt;&gt;"",B1071&gt;='Buku Akun'!$H$4,B1071&lt;='Buku Akun'!$H$5,OR(C1071='Buku Akun'!$C$4,AND(D1071="Pindah",E1071='Buku Akun'!$C$4))),B1071+IF(AND(I1071="Selisih bunga",DAY(B1071)=1),0,0.01)+ROW()/10000000,"")</f>
        <v/>
      </c>
    </row>
    <row r="1072" outlineLevel="1" ht="15" customHeight="1" s="94">
      <c r="A1072" s="123">
        <f>IF(B1072="","",ROW()-15)</f>
        <v/>
      </c>
      <c r="B1072" s="124" t="n"/>
      <c r="C1072" s="123" t="n"/>
      <c r="D1072" s="123" t="n"/>
      <c r="E1072" s="123" t="n"/>
      <c r="F1072" s="125" t="n"/>
      <c r="G1072" s="123" t="n"/>
      <c r="H1072" s="123" t="n"/>
      <c r="I1072" s="123" t="n"/>
      <c r="J1072" s="123" t="n"/>
      <c r="K1072" s="123" t="n"/>
      <c r="L1072" s="123" t="n"/>
      <c r="M1072" s="123">
        <f>IF(AND(B1072&lt;&gt;"",OR($C$4="",ISNUMBER(SEARCH($C$4,C1072&amp;" "&amp;E1072&amp;" "&amp;G1072&amp;" "&amp;H1072&amp;" "&amp;I1072&amp;" "&amp;J1072&amp;" "&amp;K1072&amp;" "&amp;L1072))),OR($C$5="Semua",$C$5="",G1072=$C$5),OR($C$6="Semua",$C$6="",H1072=$C$6,H1072="Pengeluaran "&amp;$C$6,AND($C$6="Uang Kos Mama",H1072="Pengeluaran Uang Kos")),OR($C$7="Semua",$C$7="",I1072=$C$7),OR($C$8="Semua",$C$8="",C1072=$C$8,E1072=$C$8),OR($C$9="Semua",$C$9="",D1072=$C$9),OR($C$10="",B1072&gt;=$C$10),OR($C$11="",B1072&lt;=$C$11),OR($C$12&lt;&gt;"Ya",K1072&lt;&gt;""),OR($C$13="Semua",$C$13="",L1072=$C$13)),"✓","")</f>
        <v/>
      </c>
      <c r="N1072" s="93">
        <f>N(N1071)+IF(M1072="✓",1,0)</f>
        <v/>
      </c>
      <c r="O1072" s="93">
        <f>N(O1071)+IF(AND(B1072&lt;&gt;"",B1072&gt;='Uang Riba'!$H$30,B1072&lt;='Uang Riba'!$I$30,OR(H1072="Dana riba",H1072="Pinjam uang riba",I1072="Pinjam dari uang riba",I1072="Ganti uang riba",I1072="Kelebihan ganti dikembalikan",AND(C1072="Kantong Uang Riba",G1072="Pengeluaran"))),1,0)</f>
        <v/>
      </c>
      <c r="X1072" s="93">
        <f>IF(AND(B1072&lt;&gt;"",B1072&gt;='Buku Akun'!$H$4,B1072&lt;='Buku Akun'!$H$5,OR(C1072='Buku Akun'!$C$4,AND(D1072="Pindah",E1072='Buku Akun'!$C$4))),B1072+IF(AND(I1072="Selisih bunga",DAY(B1072)=1),0,0.01)+ROW()/10000000,"")</f>
        <v/>
      </c>
    </row>
    <row r="1073" outlineLevel="1" ht="15" customHeight="1" s="94">
      <c r="A1073" s="123">
        <f>IF(B1073="","",ROW()-15)</f>
        <v/>
      </c>
      <c r="B1073" s="124" t="n"/>
      <c r="C1073" s="123" t="n"/>
      <c r="D1073" s="123" t="n"/>
      <c r="E1073" s="123" t="n"/>
      <c r="F1073" s="125" t="n"/>
      <c r="G1073" s="123" t="n"/>
      <c r="H1073" s="123" t="n"/>
      <c r="I1073" s="123" t="n"/>
      <c r="J1073" s="123" t="n"/>
      <c r="K1073" s="123" t="n"/>
      <c r="L1073" s="123" t="n"/>
      <c r="M1073" s="123">
        <f>IF(AND(B1073&lt;&gt;"",OR($C$4="",ISNUMBER(SEARCH($C$4,C1073&amp;" "&amp;E1073&amp;" "&amp;G1073&amp;" "&amp;H1073&amp;" "&amp;I1073&amp;" "&amp;J1073&amp;" "&amp;K1073&amp;" "&amp;L1073))),OR($C$5="Semua",$C$5="",G1073=$C$5),OR($C$6="Semua",$C$6="",H1073=$C$6,H1073="Pengeluaran "&amp;$C$6,AND($C$6="Uang Kos Mama",H1073="Pengeluaran Uang Kos")),OR($C$7="Semua",$C$7="",I1073=$C$7),OR($C$8="Semua",$C$8="",C1073=$C$8,E1073=$C$8),OR($C$9="Semua",$C$9="",D1073=$C$9),OR($C$10="",B1073&gt;=$C$10),OR($C$11="",B1073&lt;=$C$11),OR($C$12&lt;&gt;"Ya",K1073&lt;&gt;""),OR($C$13="Semua",$C$13="",L1073=$C$13)),"✓","")</f>
        <v/>
      </c>
      <c r="N1073" s="93">
        <f>N(N1072)+IF(M1073="✓",1,0)</f>
        <v/>
      </c>
      <c r="O1073" s="93">
        <f>N(O1072)+IF(AND(B1073&lt;&gt;"",B1073&gt;='Uang Riba'!$H$30,B1073&lt;='Uang Riba'!$I$30,OR(H1073="Dana riba",H1073="Pinjam uang riba",I1073="Pinjam dari uang riba",I1073="Ganti uang riba",I1073="Kelebihan ganti dikembalikan",AND(C1073="Kantong Uang Riba",G1073="Pengeluaran"))),1,0)</f>
        <v/>
      </c>
      <c r="X1073" s="93">
        <f>IF(AND(B1073&lt;&gt;"",B1073&gt;='Buku Akun'!$H$4,B1073&lt;='Buku Akun'!$H$5,OR(C1073='Buku Akun'!$C$4,AND(D1073="Pindah",E1073='Buku Akun'!$C$4))),B1073+IF(AND(I1073="Selisih bunga",DAY(B1073)=1),0,0.01)+ROW()/10000000,"")</f>
        <v/>
      </c>
    </row>
    <row r="1074" outlineLevel="1" ht="15" customHeight="1" s="94">
      <c r="A1074" s="123">
        <f>IF(B1074="","",ROW()-15)</f>
        <v/>
      </c>
      <c r="B1074" s="124" t="n"/>
      <c r="C1074" s="123" t="n"/>
      <c r="D1074" s="123" t="n"/>
      <c r="E1074" s="123" t="n"/>
      <c r="F1074" s="125" t="n"/>
      <c r="G1074" s="123" t="n"/>
      <c r="H1074" s="123" t="n"/>
      <c r="I1074" s="123" t="n"/>
      <c r="J1074" s="123" t="n"/>
      <c r="K1074" s="123" t="n"/>
      <c r="L1074" s="123" t="n"/>
      <c r="M1074" s="123">
        <f>IF(AND(B1074&lt;&gt;"",OR($C$4="",ISNUMBER(SEARCH($C$4,C1074&amp;" "&amp;E1074&amp;" "&amp;G1074&amp;" "&amp;H1074&amp;" "&amp;I1074&amp;" "&amp;J1074&amp;" "&amp;K1074&amp;" "&amp;L1074))),OR($C$5="Semua",$C$5="",G1074=$C$5),OR($C$6="Semua",$C$6="",H1074=$C$6,H1074="Pengeluaran "&amp;$C$6,AND($C$6="Uang Kos Mama",H1074="Pengeluaran Uang Kos")),OR($C$7="Semua",$C$7="",I1074=$C$7),OR($C$8="Semua",$C$8="",C1074=$C$8,E1074=$C$8),OR($C$9="Semua",$C$9="",D1074=$C$9),OR($C$10="",B1074&gt;=$C$10),OR($C$11="",B1074&lt;=$C$11),OR($C$12&lt;&gt;"Ya",K1074&lt;&gt;""),OR($C$13="Semua",$C$13="",L1074=$C$13)),"✓","")</f>
        <v/>
      </c>
      <c r="N1074" s="93">
        <f>N(N1073)+IF(M1074="✓",1,0)</f>
        <v/>
      </c>
      <c r="O1074" s="93">
        <f>N(O1073)+IF(AND(B1074&lt;&gt;"",B1074&gt;='Uang Riba'!$H$30,B1074&lt;='Uang Riba'!$I$30,OR(H1074="Dana riba",H1074="Pinjam uang riba",I1074="Pinjam dari uang riba",I1074="Ganti uang riba",I1074="Kelebihan ganti dikembalikan",AND(C1074="Kantong Uang Riba",G1074="Pengeluaran"))),1,0)</f>
        <v/>
      </c>
      <c r="X1074" s="93">
        <f>IF(AND(B1074&lt;&gt;"",B1074&gt;='Buku Akun'!$H$4,B1074&lt;='Buku Akun'!$H$5,OR(C1074='Buku Akun'!$C$4,AND(D1074="Pindah",E1074='Buku Akun'!$C$4))),B1074+IF(AND(I1074="Selisih bunga",DAY(B1074)=1),0,0.01)+ROW()/10000000,"")</f>
        <v/>
      </c>
    </row>
    <row r="1075" outlineLevel="1" ht="15" customHeight="1" s="94">
      <c r="A1075" s="123">
        <f>IF(B1075="","",ROW()-15)</f>
        <v/>
      </c>
      <c r="B1075" s="124" t="n"/>
      <c r="C1075" s="123" t="n"/>
      <c r="D1075" s="123" t="n"/>
      <c r="E1075" s="123" t="n"/>
      <c r="F1075" s="125" t="n"/>
      <c r="G1075" s="123" t="n"/>
      <c r="H1075" s="123" t="n"/>
      <c r="I1075" s="123" t="n"/>
      <c r="J1075" s="123" t="n"/>
      <c r="K1075" s="123" t="n"/>
      <c r="L1075" s="123" t="n"/>
      <c r="M1075" s="123">
        <f>IF(AND(B1075&lt;&gt;"",OR($C$4="",ISNUMBER(SEARCH($C$4,C1075&amp;" "&amp;E1075&amp;" "&amp;G1075&amp;" "&amp;H1075&amp;" "&amp;I1075&amp;" "&amp;J1075&amp;" "&amp;K1075&amp;" "&amp;L1075))),OR($C$5="Semua",$C$5="",G1075=$C$5),OR($C$6="Semua",$C$6="",H1075=$C$6,H1075="Pengeluaran "&amp;$C$6,AND($C$6="Uang Kos Mama",H1075="Pengeluaran Uang Kos")),OR($C$7="Semua",$C$7="",I1075=$C$7),OR($C$8="Semua",$C$8="",C1075=$C$8,E1075=$C$8),OR($C$9="Semua",$C$9="",D1075=$C$9),OR($C$10="",B1075&gt;=$C$10),OR($C$11="",B1075&lt;=$C$11),OR($C$12&lt;&gt;"Ya",K1075&lt;&gt;""),OR($C$13="Semua",$C$13="",L1075=$C$13)),"✓","")</f>
        <v/>
      </c>
      <c r="N1075" s="93">
        <f>N(N1074)+IF(M1075="✓",1,0)</f>
        <v/>
      </c>
      <c r="O1075" s="93">
        <f>N(O1074)+IF(AND(B1075&lt;&gt;"",B1075&gt;='Uang Riba'!$H$30,B1075&lt;='Uang Riba'!$I$30,OR(H1075="Dana riba",H1075="Pinjam uang riba",I1075="Pinjam dari uang riba",I1075="Ganti uang riba",I1075="Kelebihan ganti dikembalikan",AND(C1075="Kantong Uang Riba",G1075="Pengeluaran"))),1,0)</f>
        <v/>
      </c>
      <c r="X1075" s="93">
        <f>IF(AND(B1075&lt;&gt;"",B1075&gt;='Buku Akun'!$H$4,B1075&lt;='Buku Akun'!$H$5,OR(C1075='Buku Akun'!$C$4,AND(D1075="Pindah",E1075='Buku Akun'!$C$4))),B1075+IF(AND(I1075="Selisih bunga",DAY(B1075)=1),0,0.01)+ROW()/10000000,"")</f>
        <v/>
      </c>
    </row>
    <row r="1076" outlineLevel="1" ht="15" customHeight="1" s="94">
      <c r="A1076" s="123">
        <f>IF(B1076="","",ROW()-15)</f>
        <v/>
      </c>
      <c r="B1076" s="124" t="n"/>
      <c r="C1076" s="123" t="n"/>
      <c r="D1076" s="123" t="n"/>
      <c r="E1076" s="123" t="n"/>
      <c r="F1076" s="125" t="n"/>
      <c r="G1076" s="123" t="n"/>
      <c r="H1076" s="123" t="n"/>
      <c r="I1076" s="123" t="n"/>
      <c r="J1076" s="123" t="n"/>
      <c r="K1076" s="123" t="n"/>
      <c r="L1076" s="123" t="n"/>
      <c r="M1076" s="123">
        <f>IF(AND(B1076&lt;&gt;"",OR($C$4="",ISNUMBER(SEARCH($C$4,C1076&amp;" "&amp;E1076&amp;" "&amp;G1076&amp;" "&amp;H1076&amp;" "&amp;I1076&amp;" "&amp;J1076&amp;" "&amp;K1076&amp;" "&amp;L1076))),OR($C$5="Semua",$C$5="",G1076=$C$5),OR($C$6="Semua",$C$6="",H1076=$C$6,H1076="Pengeluaran "&amp;$C$6,AND($C$6="Uang Kos Mama",H1076="Pengeluaran Uang Kos")),OR($C$7="Semua",$C$7="",I1076=$C$7),OR($C$8="Semua",$C$8="",C1076=$C$8,E1076=$C$8),OR($C$9="Semua",$C$9="",D1076=$C$9),OR($C$10="",B1076&gt;=$C$10),OR($C$11="",B1076&lt;=$C$11),OR($C$12&lt;&gt;"Ya",K1076&lt;&gt;""),OR($C$13="Semua",$C$13="",L1076=$C$13)),"✓","")</f>
        <v/>
      </c>
      <c r="N1076" s="93">
        <f>N(N1075)+IF(M1076="✓",1,0)</f>
        <v/>
      </c>
      <c r="O1076" s="93">
        <f>N(O1075)+IF(AND(B1076&lt;&gt;"",B1076&gt;='Uang Riba'!$H$30,B1076&lt;='Uang Riba'!$I$30,OR(H1076="Dana riba",H1076="Pinjam uang riba",I1076="Pinjam dari uang riba",I1076="Ganti uang riba",I1076="Kelebihan ganti dikembalikan",AND(C1076="Kantong Uang Riba",G1076="Pengeluaran"))),1,0)</f>
        <v/>
      </c>
      <c r="X1076" s="93">
        <f>IF(AND(B1076&lt;&gt;"",B1076&gt;='Buku Akun'!$H$4,B1076&lt;='Buku Akun'!$H$5,OR(C1076='Buku Akun'!$C$4,AND(D1076="Pindah",E1076='Buku Akun'!$C$4))),B1076+IF(AND(I1076="Selisih bunga",DAY(B1076)=1),0,0.01)+ROW()/10000000,"")</f>
        <v/>
      </c>
    </row>
    <row r="1077" outlineLevel="1" ht="15" customHeight="1" s="94">
      <c r="A1077" s="123">
        <f>IF(B1077="","",ROW()-15)</f>
        <v/>
      </c>
      <c r="B1077" s="124" t="n"/>
      <c r="C1077" s="123" t="n"/>
      <c r="D1077" s="123" t="n"/>
      <c r="E1077" s="123" t="n"/>
      <c r="F1077" s="125" t="n"/>
      <c r="G1077" s="123" t="n"/>
      <c r="H1077" s="123" t="n"/>
      <c r="I1077" s="123" t="n"/>
      <c r="J1077" s="123" t="n"/>
      <c r="K1077" s="123" t="n"/>
      <c r="L1077" s="123" t="n"/>
      <c r="M1077" s="123">
        <f>IF(AND(B1077&lt;&gt;"",OR($C$4="",ISNUMBER(SEARCH($C$4,C1077&amp;" "&amp;E1077&amp;" "&amp;G1077&amp;" "&amp;H1077&amp;" "&amp;I1077&amp;" "&amp;J1077&amp;" "&amp;K1077&amp;" "&amp;L1077))),OR($C$5="Semua",$C$5="",G1077=$C$5),OR($C$6="Semua",$C$6="",H1077=$C$6,H1077="Pengeluaran "&amp;$C$6,AND($C$6="Uang Kos Mama",H1077="Pengeluaran Uang Kos")),OR($C$7="Semua",$C$7="",I1077=$C$7),OR($C$8="Semua",$C$8="",C1077=$C$8,E1077=$C$8),OR($C$9="Semua",$C$9="",D1077=$C$9),OR($C$10="",B1077&gt;=$C$10),OR($C$11="",B1077&lt;=$C$11),OR($C$12&lt;&gt;"Ya",K1077&lt;&gt;""),OR($C$13="Semua",$C$13="",L1077=$C$13)),"✓","")</f>
        <v/>
      </c>
      <c r="N1077" s="93">
        <f>N(N1076)+IF(M1077="✓",1,0)</f>
        <v/>
      </c>
      <c r="O1077" s="93">
        <f>N(O1076)+IF(AND(B1077&lt;&gt;"",B1077&gt;='Uang Riba'!$H$30,B1077&lt;='Uang Riba'!$I$30,OR(H1077="Dana riba",H1077="Pinjam uang riba",I1077="Pinjam dari uang riba",I1077="Ganti uang riba",I1077="Kelebihan ganti dikembalikan",AND(C1077="Kantong Uang Riba",G1077="Pengeluaran"))),1,0)</f>
        <v/>
      </c>
      <c r="X1077" s="93">
        <f>IF(AND(B1077&lt;&gt;"",B1077&gt;='Buku Akun'!$H$4,B1077&lt;='Buku Akun'!$H$5,OR(C1077='Buku Akun'!$C$4,AND(D1077="Pindah",E1077='Buku Akun'!$C$4))),B1077+IF(AND(I1077="Selisih bunga",DAY(B1077)=1),0,0.01)+ROW()/10000000,"")</f>
        <v/>
      </c>
    </row>
    <row r="1078" outlineLevel="1" ht="15" customHeight="1" s="94">
      <c r="A1078" s="123">
        <f>IF(B1078="","",ROW()-15)</f>
        <v/>
      </c>
      <c r="B1078" s="124" t="n"/>
      <c r="C1078" s="123" t="n"/>
      <c r="D1078" s="123" t="n"/>
      <c r="E1078" s="123" t="n"/>
      <c r="F1078" s="125" t="n"/>
      <c r="G1078" s="123" t="n"/>
      <c r="H1078" s="123" t="n"/>
      <c r="I1078" s="123" t="n"/>
      <c r="J1078" s="123" t="n"/>
      <c r="K1078" s="123" t="n"/>
      <c r="L1078" s="123" t="n"/>
      <c r="M1078" s="123">
        <f>IF(AND(B1078&lt;&gt;"",OR($C$4="",ISNUMBER(SEARCH($C$4,C1078&amp;" "&amp;E1078&amp;" "&amp;G1078&amp;" "&amp;H1078&amp;" "&amp;I1078&amp;" "&amp;J1078&amp;" "&amp;K1078&amp;" "&amp;L1078))),OR($C$5="Semua",$C$5="",G1078=$C$5),OR($C$6="Semua",$C$6="",H1078=$C$6,H1078="Pengeluaran "&amp;$C$6,AND($C$6="Uang Kos Mama",H1078="Pengeluaran Uang Kos")),OR($C$7="Semua",$C$7="",I1078=$C$7),OR($C$8="Semua",$C$8="",C1078=$C$8,E1078=$C$8),OR($C$9="Semua",$C$9="",D1078=$C$9),OR($C$10="",B1078&gt;=$C$10),OR($C$11="",B1078&lt;=$C$11),OR($C$12&lt;&gt;"Ya",K1078&lt;&gt;""),OR($C$13="Semua",$C$13="",L1078=$C$13)),"✓","")</f>
        <v/>
      </c>
      <c r="N1078" s="93">
        <f>N(N1077)+IF(M1078="✓",1,0)</f>
        <v/>
      </c>
      <c r="O1078" s="93">
        <f>N(O1077)+IF(AND(B1078&lt;&gt;"",B1078&gt;='Uang Riba'!$H$30,B1078&lt;='Uang Riba'!$I$30,OR(H1078="Dana riba",H1078="Pinjam uang riba",I1078="Pinjam dari uang riba",I1078="Ganti uang riba",I1078="Kelebihan ganti dikembalikan",AND(C1078="Kantong Uang Riba",G1078="Pengeluaran"))),1,0)</f>
        <v/>
      </c>
      <c r="X1078" s="93">
        <f>IF(AND(B1078&lt;&gt;"",B1078&gt;='Buku Akun'!$H$4,B1078&lt;='Buku Akun'!$H$5,OR(C1078='Buku Akun'!$C$4,AND(D1078="Pindah",E1078='Buku Akun'!$C$4))),B1078+IF(AND(I1078="Selisih bunga",DAY(B1078)=1),0,0.01)+ROW()/10000000,"")</f>
        <v/>
      </c>
    </row>
    <row r="1079" outlineLevel="1" ht="15" customHeight="1" s="94">
      <c r="A1079" s="123">
        <f>IF(B1079="","",ROW()-15)</f>
        <v/>
      </c>
      <c r="B1079" s="124" t="n"/>
      <c r="C1079" s="123" t="n"/>
      <c r="D1079" s="123" t="n"/>
      <c r="E1079" s="123" t="n"/>
      <c r="F1079" s="125" t="n"/>
      <c r="G1079" s="123" t="n"/>
      <c r="H1079" s="123" t="n"/>
      <c r="I1079" s="123" t="n"/>
      <c r="J1079" s="123" t="n"/>
      <c r="K1079" s="123" t="n"/>
      <c r="L1079" s="123" t="n"/>
      <c r="M1079" s="123">
        <f>IF(AND(B1079&lt;&gt;"",OR($C$4="",ISNUMBER(SEARCH($C$4,C1079&amp;" "&amp;E1079&amp;" "&amp;G1079&amp;" "&amp;H1079&amp;" "&amp;I1079&amp;" "&amp;J1079&amp;" "&amp;K1079&amp;" "&amp;L1079))),OR($C$5="Semua",$C$5="",G1079=$C$5),OR($C$6="Semua",$C$6="",H1079=$C$6,H1079="Pengeluaran "&amp;$C$6,AND($C$6="Uang Kos Mama",H1079="Pengeluaran Uang Kos")),OR($C$7="Semua",$C$7="",I1079=$C$7),OR($C$8="Semua",$C$8="",C1079=$C$8,E1079=$C$8),OR($C$9="Semua",$C$9="",D1079=$C$9),OR($C$10="",B1079&gt;=$C$10),OR($C$11="",B1079&lt;=$C$11),OR($C$12&lt;&gt;"Ya",K1079&lt;&gt;""),OR($C$13="Semua",$C$13="",L1079=$C$13)),"✓","")</f>
        <v/>
      </c>
      <c r="N1079" s="93">
        <f>N(N1078)+IF(M1079="✓",1,0)</f>
        <v/>
      </c>
      <c r="O1079" s="93">
        <f>N(O1078)+IF(AND(B1079&lt;&gt;"",B1079&gt;='Uang Riba'!$H$30,B1079&lt;='Uang Riba'!$I$30,OR(H1079="Dana riba",H1079="Pinjam uang riba",I1079="Pinjam dari uang riba",I1079="Ganti uang riba",I1079="Kelebihan ganti dikembalikan",AND(C1079="Kantong Uang Riba",G1079="Pengeluaran"))),1,0)</f>
        <v/>
      </c>
      <c r="X1079" s="93">
        <f>IF(AND(B1079&lt;&gt;"",B1079&gt;='Buku Akun'!$H$4,B1079&lt;='Buku Akun'!$H$5,OR(C1079='Buku Akun'!$C$4,AND(D1079="Pindah",E1079='Buku Akun'!$C$4))),B1079+IF(AND(I1079="Selisih bunga",DAY(B1079)=1),0,0.01)+ROW()/10000000,"")</f>
        <v/>
      </c>
    </row>
    <row r="1080" outlineLevel="1" ht="15" customHeight="1" s="94">
      <c r="A1080" s="123">
        <f>IF(B1080="","",ROW()-15)</f>
        <v/>
      </c>
      <c r="B1080" s="124" t="n"/>
      <c r="C1080" s="123" t="n"/>
      <c r="D1080" s="123" t="n"/>
      <c r="E1080" s="123" t="n"/>
      <c r="F1080" s="125" t="n"/>
      <c r="G1080" s="123" t="n"/>
      <c r="H1080" s="123" t="n"/>
      <c r="I1080" s="123" t="n"/>
      <c r="J1080" s="123" t="n"/>
      <c r="K1080" s="123" t="n"/>
      <c r="L1080" s="123" t="n"/>
      <c r="M1080" s="123">
        <f>IF(AND(B1080&lt;&gt;"",OR($C$4="",ISNUMBER(SEARCH($C$4,C1080&amp;" "&amp;E1080&amp;" "&amp;G1080&amp;" "&amp;H1080&amp;" "&amp;I1080&amp;" "&amp;J1080&amp;" "&amp;K1080&amp;" "&amp;L1080))),OR($C$5="Semua",$C$5="",G1080=$C$5),OR($C$6="Semua",$C$6="",H1080=$C$6,H1080="Pengeluaran "&amp;$C$6,AND($C$6="Uang Kos Mama",H1080="Pengeluaran Uang Kos")),OR($C$7="Semua",$C$7="",I1080=$C$7),OR($C$8="Semua",$C$8="",C1080=$C$8,E1080=$C$8),OR($C$9="Semua",$C$9="",D1080=$C$9),OR($C$10="",B1080&gt;=$C$10),OR($C$11="",B1080&lt;=$C$11),OR($C$12&lt;&gt;"Ya",K1080&lt;&gt;""),OR($C$13="Semua",$C$13="",L1080=$C$13)),"✓","")</f>
        <v/>
      </c>
      <c r="N1080" s="93">
        <f>N(N1079)+IF(M1080="✓",1,0)</f>
        <v/>
      </c>
      <c r="O1080" s="93">
        <f>N(O1079)+IF(AND(B1080&lt;&gt;"",B1080&gt;='Uang Riba'!$H$30,B1080&lt;='Uang Riba'!$I$30,OR(H1080="Dana riba",H1080="Pinjam uang riba",I1080="Pinjam dari uang riba",I1080="Ganti uang riba",I1080="Kelebihan ganti dikembalikan",AND(C1080="Kantong Uang Riba",G1080="Pengeluaran"))),1,0)</f>
        <v/>
      </c>
      <c r="X1080" s="93">
        <f>IF(AND(B1080&lt;&gt;"",B1080&gt;='Buku Akun'!$H$4,B1080&lt;='Buku Akun'!$H$5,OR(C1080='Buku Akun'!$C$4,AND(D1080="Pindah",E1080='Buku Akun'!$C$4))),B1080+IF(AND(I1080="Selisih bunga",DAY(B1080)=1),0,0.01)+ROW()/10000000,"")</f>
        <v/>
      </c>
    </row>
    <row r="1081" outlineLevel="1" ht="15" customHeight="1" s="94">
      <c r="A1081" s="123">
        <f>IF(B1081="","",ROW()-15)</f>
        <v/>
      </c>
      <c r="B1081" s="124" t="n"/>
      <c r="C1081" s="123" t="n"/>
      <c r="D1081" s="123" t="n"/>
      <c r="E1081" s="123" t="n"/>
      <c r="F1081" s="125" t="n"/>
      <c r="G1081" s="123" t="n"/>
      <c r="H1081" s="123" t="n"/>
      <c r="I1081" s="123" t="n"/>
      <c r="J1081" s="123" t="n"/>
      <c r="K1081" s="123" t="n"/>
      <c r="L1081" s="123" t="n"/>
      <c r="M1081" s="123">
        <f>IF(AND(B1081&lt;&gt;"",OR($C$4="",ISNUMBER(SEARCH($C$4,C1081&amp;" "&amp;E1081&amp;" "&amp;G1081&amp;" "&amp;H1081&amp;" "&amp;I1081&amp;" "&amp;J1081&amp;" "&amp;K1081&amp;" "&amp;L1081))),OR($C$5="Semua",$C$5="",G1081=$C$5),OR($C$6="Semua",$C$6="",H1081=$C$6,H1081="Pengeluaran "&amp;$C$6,AND($C$6="Uang Kos Mama",H1081="Pengeluaran Uang Kos")),OR($C$7="Semua",$C$7="",I1081=$C$7),OR($C$8="Semua",$C$8="",C1081=$C$8,E1081=$C$8),OR($C$9="Semua",$C$9="",D1081=$C$9),OR($C$10="",B1081&gt;=$C$10),OR($C$11="",B1081&lt;=$C$11),OR($C$12&lt;&gt;"Ya",K1081&lt;&gt;""),OR($C$13="Semua",$C$13="",L1081=$C$13)),"✓","")</f>
        <v/>
      </c>
      <c r="N1081" s="93">
        <f>N(N1080)+IF(M1081="✓",1,0)</f>
        <v/>
      </c>
      <c r="O1081" s="93">
        <f>N(O1080)+IF(AND(B1081&lt;&gt;"",B1081&gt;='Uang Riba'!$H$30,B1081&lt;='Uang Riba'!$I$30,OR(H1081="Dana riba",H1081="Pinjam uang riba",I1081="Pinjam dari uang riba",I1081="Ganti uang riba",I1081="Kelebihan ganti dikembalikan",AND(C1081="Kantong Uang Riba",G1081="Pengeluaran"))),1,0)</f>
        <v/>
      </c>
      <c r="X1081" s="93">
        <f>IF(AND(B1081&lt;&gt;"",B1081&gt;='Buku Akun'!$H$4,B1081&lt;='Buku Akun'!$H$5,OR(C1081='Buku Akun'!$C$4,AND(D1081="Pindah",E1081='Buku Akun'!$C$4))),B1081+IF(AND(I1081="Selisih bunga",DAY(B1081)=1),0,0.01)+ROW()/10000000,"")</f>
        <v/>
      </c>
    </row>
    <row r="1082" outlineLevel="1" ht="15" customHeight="1" s="94">
      <c r="A1082" s="123">
        <f>IF(B1082="","",ROW()-15)</f>
        <v/>
      </c>
      <c r="B1082" s="124" t="n"/>
      <c r="C1082" s="123" t="n"/>
      <c r="D1082" s="123" t="n"/>
      <c r="E1082" s="123" t="n"/>
      <c r="F1082" s="125" t="n"/>
      <c r="G1082" s="123" t="n"/>
      <c r="H1082" s="123" t="n"/>
      <c r="I1082" s="123" t="n"/>
      <c r="J1082" s="123" t="n"/>
      <c r="K1082" s="123" t="n"/>
      <c r="L1082" s="123" t="n"/>
      <c r="M1082" s="123">
        <f>IF(AND(B1082&lt;&gt;"",OR($C$4="",ISNUMBER(SEARCH($C$4,C1082&amp;" "&amp;E1082&amp;" "&amp;G1082&amp;" "&amp;H1082&amp;" "&amp;I1082&amp;" "&amp;J1082&amp;" "&amp;K1082&amp;" "&amp;L1082))),OR($C$5="Semua",$C$5="",G1082=$C$5),OR($C$6="Semua",$C$6="",H1082=$C$6,H1082="Pengeluaran "&amp;$C$6,AND($C$6="Uang Kos Mama",H1082="Pengeluaran Uang Kos")),OR($C$7="Semua",$C$7="",I1082=$C$7),OR($C$8="Semua",$C$8="",C1082=$C$8,E1082=$C$8),OR($C$9="Semua",$C$9="",D1082=$C$9),OR($C$10="",B1082&gt;=$C$10),OR($C$11="",B1082&lt;=$C$11),OR($C$12&lt;&gt;"Ya",K1082&lt;&gt;""),OR($C$13="Semua",$C$13="",L1082=$C$13)),"✓","")</f>
        <v/>
      </c>
      <c r="N1082" s="93">
        <f>N(N1081)+IF(M1082="✓",1,0)</f>
        <v/>
      </c>
      <c r="O1082" s="93">
        <f>N(O1081)+IF(AND(B1082&lt;&gt;"",B1082&gt;='Uang Riba'!$H$30,B1082&lt;='Uang Riba'!$I$30,OR(H1082="Dana riba",H1082="Pinjam uang riba",I1082="Pinjam dari uang riba",I1082="Ganti uang riba",I1082="Kelebihan ganti dikembalikan",AND(C1082="Kantong Uang Riba",G1082="Pengeluaran"))),1,0)</f>
        <v/>
      </c>
      <c r="X1082" s="93">
        <f>IF(AND(B1082&lt;&gt;"",B1082&gt;='Buku Akun'!$H$4,B1082&lt;='Buku Akun'!$H$5,OR(C1082='Buku Akun'!$C$4,AND(D1082="Pindah",E1082='Buku Akun'!$C$4))),B1082+IF(AND(I1082="Selisih bunga",DAY(B1082)=1),0,0.01)+ROW()/10000000,"")</f>
        <v/>
      </c>
    </row>
    <row r="1083" outlineLevel="1" ht="15" customHeight="1" s="94">
      <c r="A1083" s="123">
        <f>IF(B1083="","",ROW()-15)</f>
        <v/>
      </c>
      <c r="B1083" s="124" t="n"/>
      <c r="C1083" s="123" t="n"/>
      <c r="D1083" s="123" t="n"/>
      <c r="E1083" s="123" t="n"/>
      <c r="F1083" s="125" t="n"/>
      <c r="G1083" s="123" t="n"/>
      <c r="H1083" s="123" t="n"/>
      <c r="I1083" s="123" t="n"/>
      <c r="J1083" s="123" t="n"/>
      <c r="K1083" s="123" t="n"/>
      <c r="L1083" s="123" t="n"/>
      <c r="M1083" s="123">
        <f>IF(AND(B1083&lt;&gt;"",OR($C$4="",ISNUMBER(SEARCH($C$4,C1083&amp;" "&amp;E1083&amp;" "&amp;G1083&amp;" "&amp;H1083&amp;" "&amp;I1083&amp;" "&amp;J1083&amp;" "&amp;K1083&amp;" "&amp;L1083))),OR($C$5="Semua",$C$5="",G1083=$C$5),OR($C$6="Semua",$C$6="",H1083=$C$6,H1083="Pengeluaran "&amp;$C$6,AND($C$6="Uang Kos Mama",H1083="Pengeluaran Uang Kos")),OR($C$7="Semua",$C$7="",I1083=$C$7),OR($C$8="Semua",$C$8="",C1083=$C$8,E1083=$C$8),OR($C$9="Semua",$C$9="",D1083=$C$9),OR($C$10="",B1083&gt;=$C$10),OR($C$11="",B1083&lt;=$C$11),OR($C$12&lt;&gt;"Ya",K1083&lt;&gt;""),OR($C$13="Semua",$C$13="",L1083=$C$13)),"✓","")</f>
        <v/>
      </c>
      <c r="N1083" s="93">
        <f>N(N1082)+IF(M1083="✓",1,0)</f>
        <v/>
      </c>
      <c r="O1083" s="93">
        <f>N(O1082)+IF(AND(B1083&lt;&gt;"",B1083&gt;='Uang Riba'!$H$30,B1083&lt;='Uang Riba'!$I$30,OR(H1083="Dana riba",H1083="Pinjam uang riba",I1083="Pinjam dari uang riba",I1083="Ganti uang riba",I1083="Kelebihan ganti dikembalikan",AND(C1083="Kantong Uang Riba",G1083="Pengeluaran"))),1,0)</f>
        <v/>
      </c>
      <c r="X1083" s="93">
        <f>IF(AND(B1083&lt;&gt;"",B1083&gt;='Buku Akun'!$H$4,B1083&lt;='Buku Akun'!$H$5,OR(C1083='Buku Akun'!$C$4,AND(D1083="Pindah",E1083='Buku Akun'!$C$4))),B1083+IF(AND(I1083="Selisih bunga",DAY(B1083)=1),0,0.01)+ROW()/10000000,"")</f>
        <v/>
      </c>
    </row>
    <row r="1084" outlineLevel="1" ht="15" customHeight="1" s="94">
      <c r="A1084" s="123">
        <f>IF(B1084="","",ROW()-15)</f>
        <v/>
      </c>
      <c r="B1084" s="124" t="n"/>
      <c r="C1084" s="123" t="n"/>
      <c r="D1084" s="123" t="n"/>
      <c r="E1084" s="123" t="n"/>
      <c r="F1084" s="125" t="n"/>
      <c r="G1084" s="123" t="n"/>
      <c r="H1084" s="123" t="n"/>
      <c r="I1084" s="123" t="n"/>
      <c r="J1084" s="123" t="n"/>
      <c r="K1084" s="123" t="n"/>
      <c r="L1084" s="123" t="n"/>
      <c r="M1084" s="123">
        <f>IF(AND(B1084&lt;&gt;"",OR($C$4="",ISNUMBER(SEARCH($C$4,C1084&amp;" "&amp;E1084&amp;" "&amp;G1084&amp;" "&amp;H1084&amp;" "&amp;I1084&amp;" "&amp;J1084&amp;" "&amp;K1084&amp;" "&amp;L1084))),OR($C$5="Semua",$C$5="",G1084=$C$5),OR($C$6="Semua",$C$6="",H1084=$C$6,H1084="Pengeluaran "&amp;$C$6,AND($C$6="Uang Kos Mama",H1084="Pengeluaran Uang Kos")),OR($C$7="Semua",$C$7="",I1084=$C$7),OR($C$8="Semua",$C$8="",C1084=$C$8,E1084=$C$8),OR($C$9="Semua",$C$9="",D1084=$C$9),OR($C$10="",B1084&gt;=$C$10),OR($C$11="",B1084&lt;=$C$11),OR($C$12&lt;&gt;"Ya",K1084&lt;&gt;""),OR($C$13="Semua",$C$13="",L1084=$C$13)),"✓","")</f>
        <v/>
      </c>
      <c r="N1084" s="93">
        <f>N(N1083)+IF(M1084="✓",1,0)</f>
        <v/>
      </c>
      <c r="O1084" s="93">
        <f>N(O1083)+IF(AND(B1084&lt;&gt;"",B1084&gt;='Uang Riba'!$H$30,B1084&lt;='Uang Riba'!$I$30,OR(H1084="Dana riba",H1084="Pinjam uang riba",I1084="Pinjam dari uang riba",I1084="Ganti uang riba",I1084="Kelebihan ganti dikembalikan",AND(C1084="Kantong Uang Riba",G1084="Pengeluaran"))),1,0)</f>
        <v/>
      </c>
      <c r="X1084" s="93">
        <f>IF(AND(B1084&lt;&gt;"",B1084&gt;='Buku Akun'!$H$4,B1084&lt;='Buku Akun'!$H$5,OR(C1084='Buku Akun'!$C$4,AND(D1084="Pindah",E1084='Buku Akun'!$C$4))),B1084+IF(AND(I1084="Selisih bunga",DAY(B1084)=1),0,0.01)+ROW()/10000000,"")</f>
        <v/>
      </c>
    </row>
    <row r="1085" outlineLevel="1" ht="15" customHeight="1" s="94">
      <c r="A1085" s="123">
        <f>IF(B1085="","",ROW()-15)</f>
        <v/>
      </c>
      <c r="B1085" s="124" t="n"/>
      <c r="C1085" s="123" t="n"/>
      <c r="D1085" s="123" t="n"/>
      <c r="E1085" s="123" t="n"/>
      <c r="F1085" s="125" t="n"/>
      <c r="G1085" s="123" t="n"/>
      <c r="H1085" s="123" t="n"/>
      <c r="I1085" s="123" t="n"/>
      <c r="J1085" s="123" t="n"/>
      <c r="K1085" s="123" t="n"/>
      <c r="L1085" s="123" t="n"/>
      <c r="M1085" s="123">
        <f>IF(AND(B1085&lt;&gt;"",OR($C$4="",ISNUMBER(SEARCH($C$4,C1085&amp;" "&amp;E1085&amp;" "&amp;G1085&amp;" "&amp;H1085&amp;" "&amp;I1085&amp;" "&amp;J1085&amp;" "&amp;K1085&amp;" "&amp;L1085))),OR($C$5="Semua",$C$5="",G1085=$C$5),OR($C$6="Semua",$C$6="",H1085=$C$6,H1085="Pengeluaran "&amp;$C$6,AND($C$6="Uang Kos Mama",H1085="Pengeluaran Uang Kos")),OR($C$7="Semua",$C$7="",I1085=$C$7),OR($C$8="Semua",$C$8="",C1085=$C$8,E1085=$C$8),OR($C$9="Semua",$C$9="",D1085=$C$9),OR($C$10="",B1085&gt;=$C$10),OR($C$11="",B1085&lt;=$C$11),OR($C$12&lt;&gt;"Ya",K1085&lt;&gt;""),OR($C$13="Semua",$C$13="",L1085=$C$13)),"✓","")</f>
        <v/>
      </c>
      <c r="N1085" s="93">
        <f>N(N1084)+IF(M1085="✓",1,0)</f>
        <v/>
      </c>
      <c r="O1085" s="93">
        <f>N(O1084)+IF(AND(B1085&lt;&gt;"",B1085&gt;='Uang Riba'!$H$30,B1085&lt;='Uang Riba'!$I$30,OR(H1085="Dana riba",H1085="Pinjam uang riba",I1085="Pinjam dari uang riba",I1085="Ganti uang riba",I1085="Kelebihan ganti dikembalikan",AND(C1085="Kantong Uang Riba",G1085="Pengeluaran"))),1,0)</f>
        <v/>
      </c>
      <c r="X1085" s="93">
        <f>IF(AND(B1085&lt;&gt;"",B1085&gt;='Buku Akun'!$H$4,B1085&lt;='Buku Akun'!$H$5,OR(C1085='Buku Akun'!$C$4,AND(D1085="Pindah",E1085='Buku Akun'!$C$4))),B1085+IF(AND(I1085="Selisih bunga",DAY(B1085)=1),0,0.01)+ROW()/10000000,"")</f>
        <v/>
      </c>
    </row>
    <row r="1086" outlineLevel="1" ht="15" customHeight="1" s="94">
      <c r="A1086" s="123">
        <f>IF(B1086="","",ROW()-15)</f>
        <v/>
      </c>
      <c r="B1086" s="124" t="n"/>
      <c r="C1086" s="123" t="n"/>
      <c r="D1086" s="123" t="n"/>
      <c r="E1086" s="123" t="n"/>
      <c r="F1086" s="125" t="n"/>
      <c r="G1086" s="123" t="n"/>
      <c r="H1086" s="123" t="n"/>
      <c r="I1086" s="123" t="n"/>
      <c r="J1086" s="123" t="n"/>
      <c r="K1086" s="123" t="n"/>
      <c r="L1086" s="123" t="n"/>
      <c r="M1086" s="123">
        <f>IF(AND(B1086&lt;&gt;"",OR($C$4="",ISNUMBER(SEARCH($C$4,C1086&amp;" "&amp;E1086&amp;" "&amp;G1086&amp;" "&amp;H1086&amp;" "&amp;I1086&amp;" "&amp;J1086&amp;" "&amp;K1086&amp;" "&amp;L1086))),OR($C$5="Semua",$C$5="",G1086=$C$5),OR($C$6="Semua",$C$6="",H1086=$C$6,H1086="Pengeluaran "&amp;$C$6,AND($C$6="Uang Kos Mama",H1086="Pengeluaran Uang Kos")),OR($C$7="Semua",$C$7="",I1086=$C$7),OR($C$8="Semua",$C$8="",C1086=$C$8,E1086=$C$8),OR($C$9="Semua",$C$9="",D1086=$C$9),OR($C$10="",B1086&gt;=$C$10),OR($C$11="",B1086&lt;=$C$11),OR($C$12&lt;&gt;"Ya",K1086&lt;&gt;""),OR($C$13="Semua",$C$13="",L1086=$C$13)),"✓","")</f>
        <v/>
      </c>
      <c r="N1086" s="93">
        <f>N(N1085)+IF(M1086="✓",1,0)</f>
        <v/>
      </c>
      <c r="O1086" s="93">
        <f>N(O1085)+IF(AND(B1086&lt;&gt;"",B1086&gt;='Uang Riba'!$H$30,B1086&lt;='Uang Riba'!$I$30,OR(H1086="Dana riba",H1086="Pinjam uang riba",I1086="Pinjam dari uang riba",I1086="Ganti uang riba",I1086="Kelebihan ganti dikembalikan",AND(C1086="Kantong Uang Riba",G1086="Pengeluaran"))),1,0)</f>
        <v/>
      </c>
      <c r="X1086" s="93">
        <f>IF(AND(B1086&lt;&gt;"",B1086&gt;='Buku Akun'!$H$4,B1086&lt;='Buku Akun'!$H$5,OR(C1086='Buku Akun'!$C$4,AND(D1086="Pindah",E1086='Buku Akun'!$C$4))),B1086+IF(AND(I1086="Selisih bunga",DAY(B1086)=1),0,0.01)+ROW()/10000000,"")</f>
        <v/>
      </c>
    </row>
    <row r="1087" outlineLevel="1" ht="15" customHeight="1" s="94">
      <c r="A1087" s="123">
        <f>IF(B1087="","",ROW()-15)</f>
        <v/>
      </c>
      <c r="B1087" s="124" t="n"/>
      <c r="C1087" s="123" t="n"/>
      <c r="D1087" s="123" t="n"/>
      <c r="E1087" s="123" t="n"/>
      <c r="F1087" s="125" t="n"/>
      <c r="G1087" s="123" t="n"/>
      <c r="H1087" s="123" t="n"/>
      <c r="I1087" s="123" t="n"/>
      <c r="J1087" s="123" t="n"/>
      <c r="K1087" s="123" t="n"/>
      <c r="L1087" s="123" t="n"/>
      <c r="M1087" s="123">
        <f>IF(AND(B1087&lt;&gt;"",OR($C$4="",ISNUMBER(SEARCH($C$4,C1087&amp;" "&amp;E1087&amp;" "&amp;G1087&amp;" "&amp;H1087&amp;" "&amp;I1087&amp;" "&amp;J1087&amp;" "&amp;K1087&amp;" "&amp;L1087))),OR($C$5="Semua",$C$5="",G1087=$C$5),OR($C$6="Semua",$C$6="",H1087=$C$6,H1087="Pengeluaran "&amp;$C$6,AND($C$6="Uang Kos Mama",H1087="Pengeluaran Uang Kos")),OR($C$7="Semua",$C$7="",I1087=$C$7),OR($C$8="Semua",$C$8="",C1087=$C$8,E1087=$C$8),OR($C$9="Semua",$C$9="",D1087=$C$9),OR($C$10="",B1087&gt;=$C$10),OR($C$11="",B1087&lt;=$C$11),OR($C$12&lt;&gt;"Ya",K1087&lt;&gt;""),OR($C$13="Semua",$C$13="",L1087=$C$13)),"✓","")</f>
        <v/>
      </c>
      <c r="N1087" s="93">
        <f>N(N1086)+IF(M1087="✓",1,0)</f>
        <v/>
      </c>
      <c r="O1087" s="93">
        <f>N(O1086)+IF(AND(B1087&lt;&gt;"",B1087&gt;='Uang Riba'!$H$30,B1087&lt;='Uang Riba'!$I$30,OR(H1087="Dana riba",H1087="Pinjam uang riba",I1087="Pinjam dari uang riba",I1087="Ganti uang riba",I1087="Kelebihan ganti dikembalikan",AND(C1087="Kantong Uang Riba",G1087="Pengeluaran"))),1,0)</f>
        <v/>
      </c>
      <c r="X1087" s="93">
        <f>IF(AND(B1087&lt;&gt;"",B1087&gt;='Buku Akun'!$H$4,B1087&lt;='Buku Akun'!$H$5,OR(C1087='Buku Akun'!$C$4,AND(D1087="Pindah",E1087='Buku Akun'!$C$4))),B1087+IF(AND(I1087="Selisih bunga",DAY(B1087)=1),0,0.01)+ROW()/10000000,"")</f>
        <v/>
      </c>
    </row>
    <row r="1088" outlineLevel="1" ht="15" customHeight="1" s="94">
      <c r="A1088" s="123">
        <f>IF(B1088="","",ROW()-15)</f>
        <v/>
      </c>
      <c r="B1088" s="124" t="n"/>
      <c r="C1088" s="123" t="n"/>
      <c r="D1088" s="123" t="n"/>
      <c r="E1088" s="123" t="n"/>
      <c r="F1088" s="125" t="n"/>
      <c r="G1088" s="123" t="n"/>
      <c r="H1088" s="123" t="n"/>
      <c r="I1088" s="123" t="n"/>
      <c r="J1088" s="123" t="n"/>
      <c r="K1088" s="123" t="n"/>
      <c r="L1088" s="123" t="n"/>
      <c r="M1088" s="123">
        <f>IF(AND(B1088&lt;&gt;"",OR($C$4="",ISNUMBER(SEARCH($C$4,C1088&amp;" "&amp;E1088&amp;" "&amp;G1088&amp;" "&amp;H1088&amp;" "&amp;I1088&amp;" "&amp;J1088&amp;" "&amp;K1088&amp;" "&amp;L1088))),OR($C$5="Semua",$C$5="",G1088=$C$5),OR($C$6="Semua",$C$6="",H1088=$C$6,H1088="Pengeluaran "&amp;$C$6,AND($C$6="Uang Kos Mama",H1088="Pengeluaran Uang Kos")),OR($C$7="Semua",$C$7="",I1088=$C$7),OR($C$8="Semua",$C$8="",C1088=$C$8,E1088=$C$8),OR($C$9="Semua",$C$9="",D1088=$C$9),OR($C$10="",B1088&gt;=$C$10),OR($C$11="",B1088&lt;=$C$11),OR($C$12&lt;&gt;"Ya",K1088&lt;&gt;""),OR($C$13="Semua",$C$13="",L1088=$C$13)),"✓","")</f>
        <v/>
      </c>
      <c r="N1088" s="93">
        <f>N(N1087)+IF(M1088="✓",1,0)</f>
        <v/>
      </c>
      <c r="O1088" s="93">
        <f>N(O1087)+IF(AND(B1088&lt;&gt;"",B1088&gt;='Uang Riba'!$H$30,B1088&lt;='Uang Riba'!$I$30,OR(H1088="Dana riba",H1088="Pinjam uang riba",I1088="Pinjam dari uang riba",I1088="Ganti uang riba",I1088="Kelebihan ganti dikembalikan",AND(C1088="Kantong Uang Riba",G1088="Pengeluaran"))),1,0)</f>
        <v/>
      </c>
      <c r="X1088" s="93">
        <f>IF(AND(B1088&lt;&gt;"",B1088&gt;='Buku Akun'!$H$4,B1088&lt;='Buku Akun'!$H$5,OR(C1088='Buku Akun'!$C$4,AND(D1088="Pindah",E1088='Buku Akun'!$C$4))),B1088+IF(AND(I1088="Selisih bunga",DAY(B1088)=1),0,0.01)+ROW()/10000000,"")</f>
        <v/>
      </c>
    </row>
    <row r="1089" outlineLevel="1" ht="15" customHeight="1" s="94">
      <c r="A1089" s="123">
        <f>IF(B1089="","",ROW()-15)</f>
        <v/>
      </c>
      <c r="B1089" s="124" t="n"/>
      <c r="C1089" s="123" t="n"/>
      <c r="D1089" s="123" t="n"/>
      <c r="E1089" s="123" t="n"/>
      <c r="F1089" s="125" t="n"/>
      <c r="G1089" s="123" t="n"/>
      <c r="H1089" s="123" t="n"/>
      <c r="I1089" s="123" t="n"/>
      <c r="J1089" s="123" t="n"/>
      <c r="K1089" s="123" t="n"/>
      <c r="L1089" s="123" t="n"/>
      <c r="M1089" s="123">
        <f>IF(AND(B1089&lt;&gt;"",OR($C$4="",ISNUMBER(SEARCH($C$4,C1089&amp;" "&amp;E1089&amp;" "&amp;G1089&amp;" "&amp;H1089&amp;" "&amp;I1089&amp;" "&amp;J1089&amp;" "&amp;K1089&amp;" "&amp;L1089))),OR($C$5="Semua",$C$5="",G1089=$C$5),OR($C$6="Semua",$C$6="",H1089=$C$6,H1089="Pengeluaran "&amp;$C$6,AND($C$6="Uang Kos Mama",H1089="Pengeluaran Uang Kos")),OR($C$7="Semua",$C$7="",I1089=$C$7),OR($C$8="Semua",$C$8="",C1089=$C$8,E1089=$C$8),OR($C$9="Semua",$C$9="",D1089=$C$9),OR($C$10="",B1089&gt;=$C$10),OR($C$11="",B1089&lt;=$C$11),OR($C$12&lt;&gt;"Ya",K1089&lt;&gt;""),OR($C$13="Semua",$C$13="",L1089=$C$13)),"✓","")</f>
        <v/>
      </c>
      <c r="N1089" s="93">
        <f>N(N1088)+IF(M1089="✓",1,0)</f>
        <v/>
      </c>
      <c r="O1089" s="93">
        <f>N(O1088)+IF(AND(B1089&lt;&gt;"",B1089&gt;='Uang Riba'!$H$30,B1089&lt;='Uang Riba'!$I$30,OR(H1089="Dana riba",H1089="Pinjam uang riba",I1089="Pinjam dari uang riba",I1089="Ganti uang riba",I1089="Kelebihan ganti dikembalikan",AND(C1089="Kantong Uang Riba",G1089="Pengeluaran"))),1,0)</f>
        <v/>
      </c>
      <c r="X1089" s="93">
        <f>IF(AND(B1089&lt;&gt;"",B1089&gt;='Buku Akun'!$H$4,B1089&lt;='Buku Akun'!$H$5,OR(C1089='Buku Akun'!$C$4,AND(D1089="Pindah",E1089='Buku Akun'!$C$4))),B1089+IF(AND(I1089="Selisih bunga",DAY(B1089)=1),0,0.01)+ROW()/10000000,"")</f>
        <v/>
      </c>
    </row>
    <row r="1090" outlineLevel="1" ht="15" customHeight="1" s="94">
      <c r="A1090" s="123">
        <f>IF(B1090="","",ROW()-15)</f>
        <v/>
      </c>
      <c r="B1090" s="124" t="n"/>
      <c r="C1090" s="123" t="n"/>
      <c r="D1090" s="123" t="n"/>
      <c r="E1090" s="123" t="n"/>
      <c r="F1090" s="125" t="n"/>
      <c r="G1090" s="123" t="n"/>
      <c r="H1090" s="123" t="n"/>
      <c r="I1090" s="123" t="n"/>
      <c r="J1090" s="123" t="n"/>
      <c r="K1090" s="123" t="n"/>
      <c r="L1090" s="123" t="n"/>
      <c r="M1090" s="123">
        <f>IF(AND(B1090&lt;&gt;"",OR($C$4="",ISNUMBER(SEARCH($C$4,C1090&amp;" "&amp;E1090&amp;" "&amp;G1090&amp;" "&amp;H1090&amp;" "&amp;I1090&amp;" "&amp;J1090&amp;" "&amp;K1090&amp;" "&amp;L1090))),OR($C$5="Semua",$C$5="",G1090=$C$5),OR($C$6="Semua",$C$6="",H1090=$C$6,H1090="Pengeluaran "&amp;$C$6,AND($C$6="Uang Kos Mama",H1090="Pengeluaran Uang Kos")),OR($C$7="Semua",$C$7="",I1090=$C$7),OR($C$8="Semua",$C$8="",C1090=$C$8,E1090=$C$8),OR($C$9="Semua",$C$9="",D1090=$C$9),OR($C$10="",B1090&gt;=$C$10),OR($C$11="",B1090&lt;=$C$11),OR($C$12&lt;&gt;"Ya",K1090&lt;&gt;""),OR($C$13="Semua",$C$13="",L1090=$C$13)),"✓","")</f>
        <v/>
      </c>
      <c r="N1090" s="93">
        <f>N(N1089)+IF(M1090="✓",1,0)</f>
        <v/>
      </c>
      <c r="O1090" s="93">
        <f>N(O1089)+IF(AND(B1090&lt;&gt;"",B1090&gt;='Uang Riba'!$H$30,B1090&lt;='Uang Riba'!$I$30,OR(H1090="Dana riba",H1090="Pinjam uang riba",I1090="Pinjam dari uang riba",I1090="Ganti uang riba",I1090="Kelebihan ganti dikembalikan",AND(C1090="Kantong Uang Riba",G1090="Pengeluaran"))),1,0)</f>
        <v/>
      </c>
      <c r="X1090" s="93">
        <f>IF(AND(B1090&lt;&gt;"",B1090&gt;='Buku Akun'!$H$4,B1090&lt;='Buku Akun'!$H$5,OR(C1090='Buku Akun'!$C$4,AND(D1090="Pindah",E1090='Buku Akun'!$C$4))),B1090+IF(AND(I1090="Selisih bunga",DAY(B1090)=1),0,0.01)+ROW()/10000000,"")</f>
        <v/>
      </c>
    </row>
    <row r="1091" outlineLevel="1" ht="15" customHeight="1" s="94">
      <c r="A1091" s="123">
        <f>IF(B1091="","",ROW()-15)</f>
        <v/>
      </c>
      <c r="B1091" s="124" t="n"/>
      <c r="C1091" s="123" t="n"/>
      <c r="D1091" s="123" t="n"/>
      <c r="E1091" s="123" t="n"/>
      <c r="F1091" s="125" t="n"/>
      <c r="G1091" s="123" t="n"/>
      <c r="H1091" s="123" t="n"/>
      <c r="I1091" s="123" t="n"/>
      <c r="J1091" s="123" t="n"/>
      <c r="K1091" s="123" t="n"/>
      <c r="L1091" s="123" t="n"/>
      <c r="M1091" s="123">
        <f>IF(AND(B1091&lt;&gt;"",OR($C$4="",ISNUMBER(SEARCH($C$4,C1091&amp;" "&amp;E1091&amp;" "&amp;G1091&amp;" "&amp;H1091&amp;" "&amp;I1091&amp;" "&amp;J1091&amp;" "&amp;K1091&amp;" "&amp;L1091))),OR($C$5="Semua",$C$5="",G1091=$C$5),OR($C$6="Semua",$C$6="",H1091=$C$6,H1091="Pengeluaran "&amp;$C$6,AND($C$6="Uang Kos Mama",H1091="Pengeluaran Uang Kos")),OR($C$7="Semua",$C$7="",I1091=$C$7),OR($C$8="Semua",$C$8="",C1091=$C$8,E1091=$C$8),OR($C$9="Semua",$C$9="",D1091=$C$9),OR($C$10="",B1091&gt;=$C$10),OR($C$11="",B1091&lt;=$C$11),OR($C$12&lt;&gt;"Ya",K1091&lt;&gt;""),OR($C$13="Semua",$C$13="",L1091=$C$13)),"✓","")</f>
        <v/>
      </c>
      <c r="N1091" s="93">
        <f>N(N1090)+IF(M1091="✓",1,0)</f>
        <v/>
      </c>
      <c r="O1091" s="93">
        <f>N(O1090)+IF(AND(B1091&lt;&gt;"",B1091&gt;='Uang Riba'!$H$30,B1091&lt;='Uang Riba'!$I$30,OR(H1091="Dana riba",H1091="Pinjam uang riba",I1091="Pinjam dari uang riba",I1091="Ganti uang riba",I1091="Kelebihan ganti dikembalikan",AND(C1091="Kantong Uang Riba",G1091="Pengeluaran"))),1,0)</f>
        <v/>
      </c>
      <c r="X1091" s="93">
        <f>IF(AND(B1091&lt;&gt;"",B1091&gt;='Buku Akun'!$H$4,B1091&lt;='Buku Akun'!$H$5,OR(C1091='Buku Akun'!$C$4,AND(D1091="Pindah",E1091='Buku Akun'!$C$4))),B1091+IF(AND(I1091="Selisih bunga",DAY(B1091)=1),0,0.01)+ROW()/10000000,"")</f>
        <v/>
      </c>
    </row>
    <row r="1092" outlineLevel="1" ht="15" customHeight="1" s="94">
      <c r="A1092" s="123">
        <f>IF(B1092="","",ROW()-15)</f>
        <v/>
      </c>
      <c r="B1092" s="124" t="n"/>
      <c r="C1092" s="123" t="n"/>
      <c r="D1092" s="123" t="n"/>
      <c r="E1092" s="123" t="n"/>
      <c r="F1092" s="125" t="n"/>
      <c r="G1092" s="123" t="n"/>
      <c r="H1092" s="123" t="n"/>
      <c r="I1092" s="123" t="n"/>
      <c r="J1092" s="123" t="n"/>
      <c r="K1092" s="123" t="n"/>
      <c r="L1092" s="123" t="n"/>
      <c r="M1092" s="123">
        <f>IF(AND(B1092&lt;&gt;"",OR($C$4="",ISNUMBER(SEARCH($C$4,C1092&amp;" "&amp;E1092&amp;" "&amp;G1092&amp;" "&amp;H1092&amp;" "&amp;I1092&amp;" "&amp;J1092&amp;" "&amp;K1092&amp;" "&amp;L1092))),OR($C$5="Semua",$C$5="",G1092=$C$5),OR($C$6="Semua",$C$6="",H1092=$C$6,H1092="Pengeluaran "&amp;$C$6,AND($C$6="Uang Kos Mama",H1092="Pengeluaran Uang Kos")),OR($C$7="Semua",$C$7="",I1092=$C$7),OR($C$8="Semua",$C$8="",C1092=$C$8,E1092=$C$8),OR($C$9="Semua",$C$9="",D1092=$C$9),OR($C$10="",B1092&gt;=$C$10),OR($C$11="",B1092&lt;=$C$11),OR($C$12&lt;&gt;"Ya",K1092&lt;&gt;""),OR($C$13="Semua",$C$13="",L1092=$C$13)),"✓","")</f>
        <v/>
      </c>
      <c r="N1092" s="93">
        <f>N(N1091)+IF(M1092="✓",1,0)</f>
        <v/>
      </c>
      <c r="O1092" s="93">
        <f>N(O1091)+IF(AND(B1092&lt;&gt;"",B1092&gt;='Uang Riba'!$H$30,B1092&lt;='Uang Riba'!$I$30,OR(H1092="Dana riba",H1092="Pinjam uang riba",I1092="Pinjam dari uang riba",I1092="Ganti uang riba",I1092="Kelebihan ganti dikembalikan",AND(C1092="Kantong Uang Riba",G1092="Pengeluaran"))),1,0)</f>
        <v/>
      </c>
      <c r="X1092" s="93">
        <f>IF(AND(B1092&lt;&gt;"",B1092&gt;='Buku Akun'!$H$4,B1092&lt;='Buku Akun'!$H$5,OR(C1092='Buku Akun'!$C$4,AND(D1092="Pindah",E1092='Buku Akun'!$C$4))),B1092+IF(AND(I1092="Selisih bunga",DAY(B1092)=1),0,0.01)+ROW()/10000000,"")</f>
        <v/>
      </c>
    </row>
    <row r="1093" outlineLevel="1" ht="15" customHeight="1" s="94">
      <c r="A1093" s="123">
        <f>IF(B1093="","",ROW()-15)</f>
        <v/>
      </c>
      <c r="B1093" s="124" t="n"/>
      <c r="C1093" s="123" t="n"/>
      <c r="D1093" s="123" t="n"/>
      <c r="E1093" s="123" t="n"/>
      <c r="F1093" s="125" t="n"/>
      <c r="G1093" s="123" t="n"/>
      <c r="H1093" s="123" t="n"/>
      <c r="I1093" s="123" t="n"/>
      <c r="J1093" s="123" t="n"/>
      <c r="K1093" s="123" t="n"/>
      <c r="L1093" s="123" t="n"/>
      <c r="M1093" s="123">
        <f>IF(AND(B1093&lt;&gt;"",OR($C$4="",ISNUMBER(SEARCH($C$4,C1093&amp;" "&amp;E1093&amp;" "&amp;G1093&amp;" "&amp;H1093&amp;" "&amp;I1093&amp;" "&amp;J1093&amp;" "&amp;K1093&amp;" "&amp;L1093))),OR($C$5="Semua",$C$5="",G1093=$C$5),OR($C$6="Semua",$C$6="",H1093=$C$6,H1093="Pengeluaran "&amp;$C$6,AND($C$6="Uang Kos Mama",H1093="Pengeluaran Uang Kos")),OR($C$7="Semua",$C$7="",I1093=$C$7),OR($C$8="Semua",$C$8="",C1093=$C$8,E1093=$C$8),OR($C$9="Semua",$C$9="",D1093=$C$9),OR($C$10="",B1093&gt;=$C$10),OR($C$11="",B1093&lt;=$C$11),OR($C$12&lt;&gt;"Ya",K1093&lt;&gt;""),OR($C$13="Semua",$C$13="",L1093=$C$13)),"✓","")</f>
        <v/>
      </c>
      <c r="N1093" s="93">
        <f>N(N1092)+IF(M1093="✓",1,0)</f>
        <v/>
      </c>
      <c r="O1093" s="93">
        <f>N(O1092)+IF(AND(B1093&lt;&gt;"",B1093&gt;='Uang Riba'!$H$30,B1093&lt;='Uang Riba'!$I$30,OR(H1093="Dana riba",H1093="Pinjam uang riba",I1093="Pinjam dari uang riba",I1093="Ganti uang riba",I1093="Kelebihan ganti dikembalikan",AND(C1093="Kantong Uang Riba",G1093="Pengeluaran"))),1,0)</f>
        <v/>
      </c>
      <c r="X1093" s="93">
        <f>IF(AND(B1093&lt;&gt;"",B1093&gt;='Buku Akun'!$H$4,B1093&lt;='Buku Akun'!$H$5,OR(C1093='Buku Akun'!$C$4,AND(D1093="Pindah",E1093='Buku Akun'!$C$4))),B1093+IF(AND(I1093="Selisih bunga",DAY(B1093)=1),0,0.01)+ROW()/10000000,"")</f>
        <v/>
      </c>
    </row>
    <row r="1094" outlineLevel="1" ht="15" customHeight="1" s="94">
      <c r="A1094" s="123">
        <f>IF(B1094="","",ROW()-15)</f>
        <v/>
      </c>
      <c r="B1094" s="124" t="n"/>
      <c r="C1094" s="123" t="n"/>
      <c r="D1094" s="123" t="n"/>
      <c r="E1094" s="123" t="n"/>
      <c r="F1094" s="125" t="n"/>
      <c r="G1094" s="123" t="n"/>
      <c r="H1094" s="123" t="n"/>
      <c r="I1094" s="123" t="n"/>
      <c r="J1094" s="123" t="n"/>
      <c r="K1094" s="123" t="n"/>
      <c r="L1094" s="123" t="n"/>
      <c r="M1094" s="123">
        <f>IF(AND(B1094&lt;&gt;"",OR($C$4="",ISNUMBER(SEARCH($C$4,C1094&amp;" "&amp;E1094&amp;" "&amp;G1094&amp;" "&amp;H1094&amp;" "&amp;I1094&amp;" "&amp;J1094&amp;" "&amp;K1094&amp;" "&amp;L1094))),OR($C$5="Semua",$C$5="",G1094=$C$5),OR($C$6="Semua",$C$6="",H1094=$C$6,H1094="Pengeluaran "&amp;$C$6,AND($C$6="Uang Kos Mama",H1094="Pengeluaran Uang Kos")),OR($C$7="Semua",$C$7="",I1094=$C$7),OR($C$8="Semua",$C$8="",C1094=$C$8,E1094=$C$8),OR($C$9="Semua",$C$9="",D1094=$C$9),OR($C$10="",B1094&gt;=$C$10),OR($C$11="",B1094&lt;=$C$11),OR($C$12&lt;&gt;"Ya",K1094&lt;&gt;""),OR($C$13="Semua",$C$13="",L1094=$C$13)),"✓","")</f>
        <v/>
      </c>
      <c r="N1094" s="93">
        <f>N(N1093)+IF(M1094="✓",1,0)</f>
        <v/>
      </c>
      <c r="O1094" s="93">
        <f>N(O1093)+IF(AND(B1094&lt;&gt;"",B1094&gt;='Uang Riba'!$H$30,B1094&lt;='Uang Riba'!$I$30,OR(H1094="Dana riba",H1094="Pinjam uang riba",I1094="Pinjam dari uang riba",I1094="Ganti uang riba",I1094="Kelebihan ganti dikembalikan",AND(C1094="Kantong Uang Riba",G1094="Pengeluaran"))),1,0)</f>
        <v/>
      </c>
      <c r="X1094" s="93">
        <f>IF(AND(B1094&lt;&gt;"",B1094&gt;='Buku Akun'!$H$4,B1094&lt;='Buku Akun'!$H$5,OR(C1094='Buku Akun'!$C$4,AND(D1094="Pindah",E1094='Buku Akun'!$C$4))),B1094+IF(AND(I1094="Selisih bunga",DAY(B1094)=1),0,0.01)+ROW()/10000000,"")</f>
        <v/>
      </c>
    </row>
    <row r="1095" outlineLevel="1" ht="15" customHeight="1" s="94">
      <c r="A1095" s="123">
        <f>IF(B1095="","",ROW()-15)</f>
        <v/>
      </c>
      <c r="B1095" s="124" t="n"/>
      <c r="C1095" s="123" t="n"/>
      <c r="D1095" s="123" t="n"/>
      <c r="E1095" s="123" t="n"/>
      <c r="F1095" s="125" t="n"/>
      <c r="G1095" s="123" t="n"/>
      <c r="H1095" s="123" t="n"/>
      <c r="I1095" s="123" t="n"/>
      <c r="J1095" s="123" t="n"/>
      <c r="K1095" s="123" t="n"/>
      <c r="L1095" s="123" t="n"/>
      <c r="M1095" s="123">
        <f>IF(AND(B1095&lt;&gt;"",OR($C$4="",ISNUMBER(SEARCH($C$4,C1095&amp;" "&amp;E1095&amp;" "&amp;G1095&amp;" "&amp;H1095&amp;" "&amp;I1095&amp;" "&amp;J1095&amp;" "&amp;K1095&amp;" "&amp;L1095))),OR($C$5="Semua",$C$5="",G1095=$C$5),OR($C$6="Semua",$C$6="",H1095=$C$6,H1095="Pengeluaran "&amp;$C$6,AND($C$6="Uang Kos Mama",H1095="Pengeluaran Uang Kos")),OR($C$7="Semua",$C$7="",I1095=$C$7),OR($C$8="Semua",$C$8="",C1095=$C$8,E1095=$C$8),OR($C$9="Semua",$C$9="",D1095=$C$9),OR($C$10="",B1095&gt;=$C$10),OR($C$11="",B1095&lt;=$C$11),OR($C$12&lt;&gt;"Ya",K1095&lt;&gt;""),OR($C$13="Semua",$C$13="",L1095=$C$13)),"✓","")</f>
        <v/>
      </c>
      <c r="N1095" s="93">
        <f>N(N1094)+IF(M1095="✓",1,0)</f>
        <v/>
      </c>
      <c r="O1095" s="93">
        <f>N(O1094)+IF(AND(B1095&lt;&gt;"",B1095&gt;='Uang Riba'!$H$30,B1095&lt;='Uang Riba'!$I$30,OR(H1095="Dana riba",H1095="Pinjam uang riba",I1095="Pinjam dari uang riba",I1095="Ganti uang riba",I1095="Kelebihan ganti dikembalikan",AND(C1095="Kantong Uang Riba",G1095="Pengeluaran"))),1,0)</f>
        <v/>
      </c>
      <c r="X1095" s="93">
        <f>IF(AND(B1095&lt;&gt;"",B1095&gt;='Buku Akun'!$H$4,B1095&lt;='Buku Akun'!$H$5,OR(C1095='Buku Akun'!$C$4,AND(D1095="Pindah",E1095='Buku Akun'!$C$4))),B1095+IF(AND(I1095="Selisih bunga",DAY(B1095)=1),0,0.01)+ROW()/10000000,"")</f>
        <v/>
      </c>
    </row>
    <row r="1096" outlineLevel="1" ht="15" customHeight="1" s="94">
      <c r="A1096" s="123">
        <f>IF(B1096="","",ROW()-15)</f>
        <v/>
      </c>
      <c r="B1096" s="124" t="n"/>
      <c r="C1096" s="123" t="n"/>
      <c r="D1096" s="123" t="n"/>
      <c r="E1096" s="123" t="n"/>
      <c r="F1096" s="125" t="n"/>
      <c r="G1096" s="123" t="n"/>
      <c r="H1096" s="123" t="n"/>
      <c r="I1096" s="123" t="n"/>
      <c r="J1096" s="123" t="n"/>
      <c r="K1096" s="123" t="n"/>
      <c r="L1096" s="123" t="n"/>
      <c r="M1096" s="123">
        <f>IF(AND(B1096&lt;&gt;"",OR($C$4="",ISNUMBER(SEARCH($C$4,C1096&amp;" "&amp;E1096&amp;" "&amp;G1096&amp;" "&amp;H1096&amp;" "&amp;I1096&amp;" "&amp;J1096&amp;" "&amp;K1096&amp;" "&amp;L1096))),OR($C$5="Semua",$C$5="",G1096=$C$5),OR($C$6="Semua",$C$6="",H1096=$C$6,H1096="Pengeluaran "&amp;$C$6,AND($C$6="Uang Kos Mama",H1096="Pengeluaran Uang Kos")),OR($C$7="Semua",$C$7="",I1096=$C$7),OR($C$8="Semua",$C$8="",C1096=$C$8,E1096=$C$8),OR($C$9="Semua",$C$9="",D1096=$C$9),OR($C$10="",B1096&gt;=$C$10),OR($C$11="",B1096&lt;=$C$11),OR($C$12&lt;&gt;"Ya",K1096&lt;&gt;""),OR($C$13="Semua",$C$13="",L1096=$C$13)),"✓","")</f>
        <v/>
      </c>
      <c r="N1096" s="93">
        <f>N(N1095)+IF(M1096="✓",1,0)</f>
        <v/>
      </c>
      <c r="O1096" s="93">
        <f>N(O1095)+IF(AND(B1096&lt;&gt;"",B1096&gt;='Uang Riba'!$H$30,B1096&lt;='Uang Riba'!$I$30,OR(H1096="Dana riba",H1096="Pinjam uang riba",I1096="Pinjam dari uang riba",I1096="Ganti uang riba",I1096="Kelebihan ganti dikembalikan",AND(C1096="Kantong Uang Riba",G1096="Pengeluaran"))),1,0)</f>
        <v/>
      </c>
      <c r="X1096" s="93">
        <f>IF(AND(B1096&lt;&gt;"",B1096&gt;='Buku Akun'!$H$4,B1096&lt;='Buku Akun'!$H$5,OR(C1096='Buku Akun'!$C$4,AND(D1096="Pindah",E1096='Buku Akun'!$C$4))),B1096+IF(AND(I1096="Selisih bunga",DAY(B1096)=1),0,0.01)+ROW()/10000000,"")</f>
        <v/>
      </c>
    </row>
    <row r="1097" outlineLevel="1" ht="15" customHeight="1" s="94">
      <c r="A1097" s="123">
        <f>IF(B1097="","",ROW()-15)</f>
        <v/>
      </c>
      <c r="B1097" s="124" t="n"/>
      <c r="C1097" s="123" t="n"/>
      <c r="D1097" s="123" t="n"/>
      <c r="E1097" s="123" t="n"/>
      <c r="F1097" s="125" t="n"/>
      <c r="G1097" s="123" t="n"/>
      <c r="H1097" s="123" t="n"/>
      <c r="I1097" s="123" t="n"/>
      <c r="J1097" s="123" t="n"/>
      <c r="K1097" s="123" t="n"/>
      <c r="L1097" s="123" t="n"/>
      <c r="M1097" s="123">
        <f>IF(AND(B1097&lt;&gt;"",OR($C$4="",ISNUMBER(SEARCH($C$4,C1097&amp;" "&amp;E1097&amp;" "&amp;G1097&amp;" "&amp;H1097&amp;" "&amp;I1097&amp;" "&amp;J1097&amp;" "&amp;K1097&amp;" "&amp;L1097))),OR($C$5="Semua",$C$5="",G1097=$C$5),OR($C$6="Semua",$C$6="",H1097=$C$6,H1097="Pengeluaran "&amp;$C$6,AND($C$6="Uang Kos Mama",H1097="Pengeluaran Uang Kos")),OR($C$7="Semua",$C$7="",I1097=$C$7),OR($C$8="Semua",$C$8="",C1097=$C$8,E1097=$C$8),OR($C$9="Semua",$C$9="",D1097=$C$9),OR($C$10="",B1097&gt;=$C$10),OR($C$11="",B1097&lt;=$C$11),OR($C$12&lt;&gt;"Ya",K1097&lt;&gt;""),OR($C$13="Semua",$C$13="",L1097=$C$13)),"✓","")</f>
        <v/>
      </c>
      <c r="N1097" s="93">
        <f>N(N1096)+IF(M1097="✓",1,0)</f>
        <v/>
      </c>
      <c r="O1097" s="93">
        <f>N(O1096)+IF(AND(B1097&lt;&gt;"",B1097&gt;='Uang Riba'!$H$30,B1097&lt;='Uang Riba'!$I$30,OR(H1097="Dana riba",H1097="Pinjam uang riba",I1097="Pinjam dari uang riba",I1097="Ganti uang riba",I1097="Kelebihan ganti dikembalikan",AND(C1097="Kantong Uang Riba",G1097="Pengeluaran"))),1,0)</f>
        <v/>
      </c>
      <c r="X1097" s="93">
        <f>IF(AND(B1097&lt;&gt;"",B1097&gt;='Buku Akun'!$H$4,B1097&lt;='Buku Akun'!$H$5,OR(C1097='Buku Akun'!$C$4,AND(D1097="Pindah",E1097='Buku Akun'!$C$4))),B1097+IF(AND(I1097="Selisih bunga",DAY(B1097)=1),0,0.01)+ROW()/10000000,"")</f>
        <v/>
      </c>
    </row>
    <row r="1098" outlineLevel="1" ht="15" customHeight="1" s="94">
      <c r="A1098" s="123">
        <f>IF(B1098="","",ROW()-15)</f>
        <v/>
      </c>
      <c r="B1098" s="124" t="n"/>
      <c r="C1098" s="123" t="n"/>
      <c r="D1098" s="123" t="n"/>
      <c r="E1098" s="123" t="n"/>
      <c r="F1098" s="125" t="n"/>
      <c r="G1098" s="123" t="n"/>
      <c r="H1098" s="123" t="n"/>
      <c r="I1098" s="123" t="n"/>
      <c r="J1098" s="123" t="n"/>
      <c r="K1098" s="123" t="n"/>
      <c r="L1098" s="123" t="n"/>
      <c r="M1098" s="123">
        <f>IF(AND(B1098&lt;&gt;"",OR($C$4="",ISNUMBER(SEARCH($C$4,C1098&amp;" "&amp;E1098&amp;" "&amp;G1098&amp;" "&amp;H1098&amp;" "&amp;I1098&amp;" "&amp;J1098&amp;" "&amp;K1098&amp;" "&amp;L1098))),OR($C$5="Semua",$C$5="",G1098=$C$5),OR($C$6="Semua",$C$6="",H1098=$C$6,H1098="Pengeluaran "&amp;$C$6,AND($C$6="Uang Kos Mama",H1098="Pengeluaran Uang Kos")),OR($C$7="Semua",$C$7="",I1098=$C$7),OR($C$8="Semua",$C$8="",C1098=$C$8,E1098=$C$8),OR($C$9="Semua",$C$9="",D1098=$C$9),OR($C$10="",B1098&gt;=$C$10),OR($C$11="",B1098&lt;=$C$11),OR($C$12&lt;&gt;"Ya",K1098&lt;&gt;""),OR($C$13="Semua",$C$13="",L1098=$C$13)),"✓","")</f>
        <v/>
      </c>
      <c r="N1098" s="93">
        <f>N(N1097)+IF(M1098="✓",1,0)</f>
        <v/>
      </c>
      <c r="O1098" s="93">
        <f>N(O1097)+IF(AND(B1098&lt;&gt;"",B1098&gt;='Uang Riba'!$H$30,B1098&lt;='Uang Riba'!$I$30,OR(H1098="Dana riba",H1098="Pinjam uang riba",I1098="Pinjam dari uang riba",I1098="Ganti uang riba",I1098="Kelebihan ganti dikembalikan",AND(C1098="Kantong Uang Riba",G1098="Pengeluaran"))),1,0)</f>
        <v/>
      </c>
      <c r="X1098" s="93">
        <f>IF(AND(B1098&lt;&gt;"",B1098&gt;='Buku Akun'!$H$4,B1098&lt;='Buku Akun'!$H$5,OR(C1098='Buku Akun'!$C$4,AND(D1098="Pindah",E1098='Buku Akun'!$C$4))),B1098+IF(AND(I1098="Selisih bunga",DAY(B1098)=1),0,0.01)+ROW()/10000000,"")</f>
        <v/>
      </c>
    </row>
    <row r="1099" outlineLevel="1" ht="15" customHeight="1" s="94">
      <c r="A1099" s="123">
        <f>IF(B1099="","",ROW()-15)</f>
        <v/>
      </c>
      <c r="B1099" s="124" t="n"/>
      <c r="C1099" s="123" t="n"/>
      <c r="D1099" s="123" t="n"/>
      <c r="E1099" s="123" t="n"/>
      <c r="F1099" s="125" t="n"/>
      <c r="G1099" s="123" t="n"/>
      <c r="H1099" s="123" t="n"/>
      <c r="I1099" s="123" t="n"/>
      <c r="J1099" s="123" t="n"/>
      <c r="K1099" s="123" t="n"/>
      <c r="L1099" s="123" t="n"/>
      <c r="M1099" s="123">
        <f>IF(AND(B1099&lt;&gt;"",OR($C$4="",ISNUMBER(SEARCH($C$4,C1099&amp;" "&amp;E1099&amp;" "&amp;G1099&amp;" "&amp;H1099&amp;" "&amp;I1099&amp;" "&amp;J1099&amp;" "&amp;K1099&amp;" "&amp;L1099))),OR($C$5="Semua",$C$5="",G1099=$C$5),OR($C$6="Semua",$C$6="",H1099=$C$6,H1099="Pengeluaran "&amp;$C$6,AND($C$6="Uang Kos Mama",H1099="Pengeluaran Uang Kos")),OR($C$7="Semua",$C$7="",I1099=$C$7),OR($C$8="Semua",$C$8="",C1099=$C$8,E1099=$C$8),OR($C$9="Semua",$C$9="",D1099=$C$9),OR($C$10="",B1099&gt;=$C$10),OR($C$11="",B1099&lt;=$C$11),OR($C$12&lt;&gt;"Ya",K1099&lt;&gt;""),OR($C$13="Semua",$C$13="",L1099=$C$13)),"✓","")</f>
        <v/>
      </c>
      <c r="N1099" s="93">
        <f>N(N1098)+IF(M1099="✓",1,0)</f>
        <v/>
      </c>
      <c r="O1099" s="93">
        <f>N(O1098)+IF(AND(B1099&lt;&gt;"",B1099&gt;='Uang Riba'!$H$30,B1099&lt;='Uang Riba'!$I$30,OR(H1099="Dana riba",H1099="Pinjam uang riba",I1099="Pinjam dari uang riba",I1099="Ganti uang riba",I1099="Kelebihan ganti dikembalikan",AND(C1099="Kantong Uang Riba",G1099="Pengeluaran"))),1,0)</f>
        <v/>
      </c>
      <c r="X1099" s="93">
        <f>IF(AND(B1099&lt;&gt;"",B1099&gt;='Buku Akun'!$H$4,B1099&lt;='Buku Akun'!$H$5,OR(C1099='Buku Akun'!$C$4,AND(D1099="Pindah",E1099='Buku Akun'!$C$4))),B1099+IF(AND(I1099="Selisih bunga",DAY(B1099)=1),0,0.01)+ROW()/10000000,"")</f>
        <v/>
      </c>
    </row>
    <row r="1100" outlineLevel="1" ht="15" customHeight="1" s="94">
      <c r="A1100" s="123">
        <f>IF(B1100="","",ROW()-15)</f>
        <v/>
      </c>
      <c r="B1100" s="124" t="n"/>
      <c r="C1100" s="123" t="n"/>
      <c r="D1100" s="123" t="n"/>
      <c r="E1100" s="123" t="n"/>
      <c r="F1100" s="125" t="n"/>
      <c r="G1100" s="123" t="n"/>
      <c r="H1100" s="123" t="n"/>
      <c r="I1100" s="123" t="n"/>
      <c r="J1100" s="123" t="n"/>
      <c r="K1100" s="123" t="n"/>
      <c r="L1100" s="123" t="n"/>
      <c r="M1100" s="123">
        <f>IF(AND(B1100&lt;&gt;"",OR($C$4="",ISNUMBER(SEARCH($C$4,C1100&amp;" "&amp;E1100&amp;" "&amp;G1100&amp;" "&amp;H1100&amp;" "&amp;I1100&amp;" "&amp;J1100&amp;" "&amp;K1100&amp;" "&amp;L1100))),OR($C$5="Semua",$C$5="",G1100=$C$5),OR($C$6="Semua",$C$6="",H1100=$C$6,H1100="Pengeluaran "&amp;$C$6,AND($C$6="Uang Kos Mama",H1100="Pengeluaran Uang Kos")),OR($C$7="Semua",$C$7="",I1100=$C$7),OR($C$8="Semua",$C$8="",C1100=$C$8,E1100=$C$8),OR($C$9="Semua",$C$9="",D1100=$C$9),OR($C$10="",B1100&gt;=$C$10),OR($C$11="",B1100&lt;=$C$11),OR($C$12&lt;&gt;"Ya",K1100&lt;&gt;""),OR($C$13="Semua",$C$13="",L1100=$C$13)),"✓","")</f>
        <v/>
      </c>
      <c r="N1100" s="93">
        <f>N(N1099)+IF(M1100="✓",1,0)</f>
        <v/>
      </c>
      <c r="O1100" s="93">
        <f>N(O1099)+IF(AND(B1100&lt;&gt;"",B1100&gt;='Uang Riba'!$H$30,B1100&lt;='Uang Riba'!$I$30,OR(H1100="Dana riba",H1100="Pinjam uang riba",I1100="Pinjam dari uang riba",I1100="Ganti uang riba",I1100="Kelebihan ganti dikembalikan",AND(C1100="Kantong Uang Riba",G1100="Pengeluaran"))),1,0)</f>
        <v/>
      </c>
      <c r="X1100" s="93">
        <f>IF(AND(B1100&lt;&gt;"",B1100&gt;='Buku Akun'!$H$4,B1100&lt;='Buku Akun'!$H$5,OR(C1100='Buku Akun'!$C$4,AND(D1100="Pindah",E1100='Buku Akun'!$C$4))),B1100+IF(AND(I1100="Selisih bunga",DAY(B1100)=1),0,0.01)+ROW()/10000000,"")</f>
        <v/>
      </c>
    </row>
    <row r="1101" outlineLevel="1" ht="15" customHeight="1" s="94">
      <c r="A1101" s="123">
        <f>IF(B1101="","",ROW()-15)</f>
        <v/>
      </c>
      <c r="B1101" s="124" t="n"/>
      <c r="C1101" s="123" t="n"/>
      <c r="D1101" s="123" t="n"/>
      <c r="E1101" s="123" t="n"/>
      <c r="F1101" s="125" t="n"/>
      <c r="G1101" s="123" t="n"/>
      <c r="H1101" s="123" t="n"/>
      <c r="I1101" s="123" t="n"/>
      <c r="J1101" s="123" t="n"/>
      <c r="K1101" s="123" t="n"/>
      <c r="L1101" s="123" t="n"/>
      <c r="M1101" s="123">
        <f>IF(AND(B1101&lt;&gt;"",OR($C$4="",ISNUMBER(SEARCH($C$4,C1101&amp;" "&amp;E1101&amp;" "&amp;G1101&amp;" "&amp;H1101&amp;" "&amp;I1101&amp;" "&amp;J1101&amp;" "&amp;K1101&amp;" "&amp;L1101))),OR($C$5="Semua",$C$5="",G1101=$C$5),OR($C$6="Semua",$C$6="",H1101=$C$6,H1101="Pengeluaran "&amp;$C$6,AND($C$6="Uang Kos Mama",H1101="Pengeluaran Uang Kos")),OR($C$7="Semua",$C$7="",I1101=$C$7),OR($C$8="Semua",$C$8="",C1101=$C$8,E1101=$C$8),OR($C$9="Semua",$C$9="",D1101=$C$9),OR($C$10="",B1101&gt;=$C$10),OR($C$11="",B1101&lt;=$C$11),OR($C$12&lt;&gt;"Ya",K1101&lt;&gt;""),OR($C$13="Semua",$C$13="",L1101=$C$13)),"✓","")</f>
        <v/>
      </c>
      <c r="N1101" s="93">
        <f>N(N1100)+IF(M1101="✓",1,0)</f>
        <v/>
      </c>
      <c r="O1101" s="93">
        <f>N(O1100)+IF(AND(B1101&lt;&gt;"",B1101&gt;='Uang Riba'!$H$30,B1101&lt;='Uang Riba'!$I$30,OR(H1101="Dana riba",H1101="Pinjam uang riba",I1101="Pinjam dari uang riba",I1101="Ganti uang riba",I1101="Kelebihan ganti dikembalikan",AND(C1101="Kantong Uang Riba",G1101="Pengeluaran"))),1,0)</f>
        <v/>
      </c>
      <c r="X1101" s="93">
        <f>IF(AND(B1101&lt;&gt;"",B1101&gt;='Buku Akun'!$H$4,B1101&lt;='Buku Akun'!$H$5,OR(C1101='Buku Akun'!$C$4,AND(D1101="Pindah",E1101='Buku Akun'!$C$4))),B1101+IF(AND(I1101="Selisih bunga",DAY(B1101)=1),0,0.01)+ROW()/10000000,"")</f>
        <v/>
      </c>
    </row>
    <row r="1102" outlineLevel="1" ht="15" customHeight="1" s="94">
      <c r="A1102" s="123">
        <f>IF(B1102="","",ROW()-15)</f>
        <v/>
      </c>
      <c r="B1102" s="124" t="n"/>
      <c r="C1102" s="123" t="n"/>
      <c r="D1102" s="123" t="n"/>
      <c r="E1102" s="123" t="n"/>
      <c r="F1102" s="125" t="n"/>
      <c r="G1102" s="123" t="n"/>
      <c r="H1102" s="123" t="n"/>
      <c r="I1102" s="123" t="n"/>
      <c r="J1102" s="123" t="n"/>
      <c r="K1102" s="123" t="n"/>
      <c r="L1102" s="123" t="n"/>
      <c r="M1102" s="123">
        <f>IF(AND(B1102&lt;&gt;"",OR($C$4="",ISNUMBER(SEARCH($C$4,C1102&amp;" "&amp;E1102&amp;" "&amp;G1102&amp;" "&amp;H1102&amp;" "&amp;I1102&amp;" "&amp;J1102&amp;" "&amp;K1102&amp;" "&amp;L1102))),OR($C$5="Semua",$C$5="",G1102=$C$5),OR($C$6="Semua",$C$6="",H1102=$C$6,H1102="Pengeluaran "&amp;$C$6,AND($C$6="Uang Kos Mama",H1102="Pengeluaran Uang Kos")),OR($C$7="Semua",$C$7="",I1102=$C$7),OR($C$8="Semua",$C$8="",C1102=$C$8,E1102=$C$8),OR($C$9="Semua",$C$9="",D1102=$C$9),OR($C$10="",B1102&gt;=$C$10),OR($C$11="",B1102&lt;=$C$11),OR($C$12&lt;&gt;"Ya",K1102&lt;&gt;""),OR($C$13="Semua",$C$13="",L1102=$C$13)),"✓","")</f>
        <v/>
      </c>
      <c r="N1102" s="93">
        <f>N(N1101)+IF(M1102="✓",1,0)</f>
        <v/>
      </c>
      <c r="O1102" s="93">
        <f>N(O1101)+IF(AND(B1102&lt;&gt;"",B1102&gt;='Uang Riba'!$H$30,B1102&lt;='Uang Riba'!$I$30,OR(H1102="Dana riba",H1102="Pinjam uang riba",I1102="Pinjam dari uang riba",I1102="Ganti uang riba",I1102="Kelebihan ganti dikembalikan",AND(C1102="Kantong Uang Riba",G1102="Pengeluaran"))),1,0)</f>
        <v/>
      </c>
      <c r="X1102" s="93">
        <f>IF(AND(B1102&lt;&gt;"",B1102&gt;='Buku Akun'!$H$4,B1102&lt;='Buku Akun'!$H$5,OR(C1102='Buku Akun'!$C$4,AND(D1102="Pindah",E1102='Buku Akun'!$C$4))),B1102+IF(AND(I1102="Selisih bunga",DAY(B1102)=1),0,0.01)+ROW()/10000000,"")</f>
        <v/>
      </c>
    </row>
    <row r="1103" outlineLevel="1" ht="15" customHeight="1" s="94">
      <c r="A1103" s="123">
        <f>IF(B1103="","",ROW()-15)</f>
        <v/>
      </c>
      <c r="B1103" s="124" t="n"/>
      <c r="C1103" s="123" t="n"/>
      <c r="D1103" s="123" t="n"/>
      <c r="E1103" s="123" t="n"/>
      <c r="F1103" s="125" t="n"/>
      <c r="G1103" s="123" t="n"/>
      <c r="H1103" s="123" t="n"/>
      <c r="I1103" s="123" t="n"/>
      <c r="J1103" s="123" t="n"/>
      <c r="K1103" s="123" t="n"/>
      <c r="L1103" s="123" t="n"/>
      <c r="M1103" s="123">
        <f>IF(AND(B1103&lt;&gt;"",OR($C$4="",ISNUMBER(SEARCH($C$4,C1103&amp;" "&amp;E1103&amp;" "&amp;G1103&amp;" "&amp;H1103&amp;" "&amp;I1103&amp;" "&amp;J1103&amp;" "&amp;K1103&amp;" "&amp;L1103))),OR($C$5="Semua",$C$5="",G1103=$C$5),OR($C$6="Semua",$C$6="",H1103=$C$6,H1103="Pengeluaran "&amp;$C$6,AND($C$6="Uang Kos Mama",H1103="Pengeluaran Uang Kos")),OR($C$7="Semua",$C$7="",I1103=$C$7),OR($C$8="Semua",$C$8="",C1103=$C$8,E1103=$C$8),OR($C$9="Semua",$C$9="",D1103=$C$9),OR($C$10="",B1103&gt;=$C$10),OR($C$11="",B1103&lt;=$C$11),OR($C$12&lt;&gt;"Ya",K1103&lt;&gt;""),OR($C$13="Semua",$C$13="",L1103=$C$13)),"✓","")</f>
        <v/>
      </c>
      <c r="N1103" s="93">
        <f>N(N1102)+IF(M1103="✓",1,0)</f>
        <v/>
      </c>
      <c r="O1103" s="93">
        <f>N(O1102)+IF(AND(B1103&lt;&gt;"",B1103&gt;='Uang Riba'!$H$30,B1103&lt;='Uang Riba'!$I$30,OR(H1103="Dana riba",H1103="Pinjam uang riba",I1103="Pinjam dari uang riba",I1103="Ganti uang riba",I1103="Kelebihan ganti dikembalikan",AND(C1103="Kantong Uang Riba",G1103="Pengeluaran"))),1,0)</f>
        <v/>
      </c>
      <c r="X1103" s="93">
        <f>IF(AND(B1103&lt;&gt;"",B1103&gt;='Buku Akun'!$H$4,B1103&lt;='Buku Akun'!$H$5,OR(C1103='Buku Akun'!$C$4,AND(D1103="Pindah",E1103='Buku Akun'!$C$4))),B1103+IF(AND(I1103="Selisih bunga",DAY(B1103)=1),0,0.01)+ROW()/10000000,"")</f>
        <v/>
      </c>
    </row>
    <row r="1104" outlineLevel="1" ht="15" customHeight="1" s="94">
      <c r="A1104" s="123">
        <f>IF(B1104="","",ROW()-15)</f>
        <v/>
      </c>
      <c r="B1104" s="124" t="n"/>
      <c r="C1104" s="123" t="n"/>
      <c r="D1104" s="123" t="n"/>
      <c r="E1104" s="123" t="n"/>
      <c r="F1104" s="125" t="n"/>
      <c r="G1104" s="123" t="n"/>
      <c r="H1104" s="123" t="n"/>
      <c r="I1104" s="123" t="n"/>
      <c r="J1104" s="123" t="n"/>
      <c r="K1104" s="123" t="n"/>
      <c r="L1104" s="123" t="n"/>
      <c r="M1104" s="123">
        <f>IF(AND(B1104&lt;&gt;"",OR($C$4="",ISNUMBER(SEARCH($C$4,C1104&amp;" "&amp;E1104&amp;" "&amp;G1104&amp;" "&amp;H1104&amp;" "&amp;I1104&amp;" "&amp;J1104&amp;" "&amp;K1104&amp;" "&amp;L1104))),OR($C$5="Semua",$C$5="",G1104=$C$5),OR($C$6="Semua",$C$6="",H1104=$C$6,H1104="Pengeluaran "&amp;$C$6,AND($C$6="Uang Kos Mama",H1104="Pengeluaran Uang Kos")),OR($C$7="Semua",$C$7="",I1104=$C$7),OR($C$8="Semua",$C$8="",C1104=$C$8,E1104=$C$8),OR($C$9="Semua",$C$9="",D1104=$C$9),OR($C$10="",B1104&gt;=$C$10),OR($C$11="",B1104&lt;=$C$11),OR($C$12&lt;&gt;"Ya",K1104&lt;&gt;""),OR($C$13="Semua",$C$13="",L1104=$C$13)),"✓","")</f>
        <v/>
      </c>
      <c r="N1104" s="93">
        <f>N(N1103)+IF(M1104="✓",1,0)</f>
        <v/>
      </c>
      <c r="O1104" s="93">
        <f>N(O1103)+IF(AND(B1104&lt;&gt;"",B1104&gt;='Uang Riba'!$H$30,B1104&lt;='Uang Riba'!$I$30,OR(H1104="Dana riba",H1104="Pinjam uang riba",I1104="Pinjam dari uang riba",I1104="Ganti uang riba",I1104="Kelebihan ganti dikembalikan",AND(C1104="Kantong Uang Riba",G1104="Pengeluaran"))),1,0)</f>
        <v/>
      </c>
      <c r="X1104" s="93">
        <f>IF(AND(B1104&lt;&gt;"",B1104&gt;='Buku Akun'!$H$4,B1104&lt;='Buku Akun'!$H$5,OR(C1104='Buku Akun'!$C$4,AND(D1104="Pindah",E1104='Buku Akun'!$C$4))),B1104+IF(AND(I1104="Selisih bunga",DAY(B1104)=1),0,0.01)+ROW()/10000000,"")</f>
        <v/>
      </c>
    </row>
    <row r="1105" outlineLevel="1" ht="15" customHeight="1" s="94">
      <c r="A1105" s="123">
        <f>IF(B1105="","",ROW()-15)</f>
        <v/>
      </c>
      <c r="B1105" s="124" t="n"/>
      <c r="C1105" s="123" t="n"/>
      <c r="D1105" s="123" t="n"/>
      <c r="E1105" s="123" t="n"/>
      <c r="F1105" s="125" t="n"/>
      <c r="G1105" s="123" t="n"/>
      <c r="H1105" s="123" t="n"/>
      <c r="I1105" s="123" t="n"/>
      <c r="J1105" s="123" t="n"/>
      <c r="K1105" s="123" t="n"/>
      <c r="L1105" s="123" t="n"/>
      <c r="M1105" s="123">
        <f>IF(AND(B1105&lt;&gt;"",OR($C$4="",ISNUMBER(SEARCH($C$4,C1105&amp;" "&amp;E1105&amp;" "&amp;G1105&amp;" "&amp;H1105&amp;" "&amp;I1105&amp;" "&amp;J1105&amp;" "&amp;K1105&amp;" "&amp;L1105))),OR($C$5="Semua",$C$5="",G1105=$C$5),OR($C$6="Semua",$C$6="",H1105=$C$6,H1105="Pengeluaran "&amp;$C$6,AND($C$6="Uang Kos Mama",H1105="Pengeluaran Uang Kos")),OR($C$7="Semua",$C$7="",I1105=$C$7),OR($C$8="Semua",$C$8="",C1105=$C$8,E1105=$C$8),OR($C$9="Semua",$C$9="",D1105=$C$9),OR($C$10="",B1105&gt;=$C$10),OR($C$11="",B1105&lt;=$C$11),OR($C$12&lt;&gt;"Ya",K1105&lt;&gt;""),OR($C$13="Semua",$C$13="",L1105=$C$13)),"✓","")</f>
        <v/>
      </c>
      <c r="N1105" s="93">
        <f>N(N1104)+IF(M1105="✓",1,0)</f>
        <v/>
      </c>
      <c r="O1105" s="93">
        <f>N(O1104)+IF(AND(B1105&lt;&gt;"",B1105&gt;='Uang Riba'!$H$30,B1105&lt;='Uang Riba'!$I$30,OR(H1105="Dana riba",H1105="Pinjam uang riba",I1105="Pinjam dari uang riba",I1105="Ganti uang riba",I1105="Kelebihan ganti dikembalikan",AND(C1105="Kantong Uang Riba",G1105="Pengeluaran"))),1,0)</f>
        <v/>
      </c>
      <c r="X1105" s="93">
        <f>IF(AND(B1105&lt;&gt;"",B1105&gt;='Buku Akun'!$H$4,B1105&lt;='Buku Akun'!$H$5,OR(C1105='Buku Akun'!$C$4,AND(D1105="Pindah",E1105='Buku Akun'!$C$4))),B1105+IF(AND(I1105="Selisih bunga",DAY(B1105)=1),0,0.01)+ROW()/10000000,"")</f>
        <v/>
      </c>
    </row>
    <row r="1106" outlineLevel="1" ht="15" customHeight="1" s="94">
      <c r="A1106" s="123">
        <f>IF(B1106="","",ROW()-15)</f>
        <v/>
      </c>
      <c r="B1106" s="124" t="n"/>
      <c r="C1106" s="123" t="n"/>
      <c r="D1106" s="123" t="n"/>
      <c r="E1106" s="123" t="n"/>
      <c r="F1106" s="125" t="n"/>
      <c r="G1106" s="123" t="n"/>
      <c r="H1106" s="123" t="n"/>
      <c r="I1106" s="123" t="n"/>
      <c r="J1106" s="123" t="n"/>
      <c r="K1106" s="123" t="n"/>
      <c r="L1106" s="123" t="n"/>
      <c r="M1106" s="123">
        <f>IF(AND(B1106&lt;&gt;"",OR($C$4="",ISNUMBER(SEARCH($C$4,C1106&amp;" "&amp;E1106&amp;" "&amp;G1106&amp;" "&amp;H1106&amp;" "&amp;I1106&amp;" "&amp;J1106&amp;" "&amp;K1106&amp;" "&amp;L1106))),OR($C$5="Semua",$C$5="",G1106=$C$5),OR($C$6="Semua",$C$6="",H1106=$C$6,H1106="Pengeluaran "&amp;$C$6,AND($C$6="Uang Kos Mama",H1106="Pengeluaran Uang Kos")),OR($C$7="Semua",$C$7="",I1106=$C$7),OR($C$8="Semua",$C$8="",C1106=$C$8,E1106=$C$8),OR($C$9="Semua",$C$9="",D1106=$C$9),OR($C$10="",B1106&gt;=$C$10),OR($C$11="",B1106&lt;=$C$11),OR($C$12&lt;&gt;"Ya",K1106&lt;&gt;""),OR($C$13="Semua",$C$13="",L1106=$C$13)),"✓","")</f>
        <v/>
      </c>
      <c r="N1106" s="93">
        <f>N(N1105)+IF(M1106="✓",1,0)</f>
        <v/>
      </c>
      <c r="O1106" s="93">
        <f>N(O1105)+IF(AND(B1106&lt;&gt;"",B1106&gt;='Uang Riba'!$H$30,B1106&lt;='Uang Riba'!$I$30,OR(H1106="Dana riba",H1106="Pinjam uang riba",I1106="Pinjam dari uang riba",I1106="Ganti uang riba",I1106="Kelebihan ganti dikembalikan",AND(C1106="Kantong Uang Riba",G1106="Pengeluaran"))),1,0)</f>
        <v/>
      </c>
      <c r="X1106" s="93">
        <f>IF(AND(B1106&lt;&gt;"",B1106&gt;='Buku Akun'!$H$4,B1106&lt;='Buku Akun'!$H$5,OR(C1106='Buku Akun'!$C$4,AND(D1106="Pindah",E1106='Buku Akun'!$C$4))),B1106+IF(AND(I1106="Selisih bunga",DAY(B1106)=1),0,0.01)+ROW()/10000000,"")</f>
        <v/>
      </c>
    </row>
    <row r="1107" outlineLevel="1" ht="15" customHeight="1" s="94">
      <c r="A1107" s="123">
        <f>IF(B1107="","",ROW()-15)</f>
        <v/>
      </c>
      <c r="B1107" s="124" t="n"/>
      <c r="C1107" s="123" t="n"/>
      <c r="D1107" s="123" t="n"/>
      <c r="E1107" s="123" t="n"/>
      <c r="F1107" s="125" t="n"/>
      <c r="G1107" s="123" t="n"/>
      <c r="H1107" s="123" t="n"/>
      <c r="I1107" s="123" t="n"/>
      <c r="J1107" s="123" t="n"/>
      <c r="K1107" s="123" t="n"/>
      <c r="L1107" s="123" t="n"/>
      <c r="M1107" s="123">
        <f>IF(AND(B1107&lt;&gt;"",OR($C$4="",ISNUMBER(SEARCH($C$4,C1107&amp;" "&amp;E1107&amp;" "&amp;G1107&amp;" "&amp;H1107&amp;" "&amp;I1107&amp;" "&amp;J1107&amp;" "&amp;K1107&amp;" "&amp;L1107))),OR($C$5="Semua",$C$5="",G1107=$C$5),OR($C$6="Semua",$C$6="",H1107=$C$6,H1107="Pengeluaran "&amp;$C$6,AND($C$6="Uang Kos Mama",H1107="Pengeluaran Uang Kos")),OR($C$7="Semua",$C$7="",I1107=$C$7),OR($C$8="Semua",$C$8="",C1107=$C$8,E1107=$C$8),OR($C$9="Semua",$C$9="",D1107=$C$9),OR($C$10="",B1107&gt;=$C$10),OR($C$11="",B1107&lt;=$C$11),OR($C$12&lt;&gt;"Ya",K1107&lt;&gt;""),OR($C$13="Semua",$C$13="",L1107=$C$13)),"✓","")</f>
        <v/>
      </c>
      <c r="N1107" s="93">
        <f>N(N1106)+IF(M1107="✓",1,0)</f>
        <v/>
      </c>
      <c r="O1107" s="93">
        <f>N(O1106)+IF(AND(B1107&lt;&gt;"",B1107&gt;='Uang Riba'!$H$30,B1107&lt;='Uang Riba'!$I$30,OR(H1107="Dana riba",H1107="Pinjam uang riba",I1107="Pinjam dari uang riba",I1107="Ganti uang riba",I1107="Kelebihan ganti dikembalikan",AND(C1107="Kantong Uang Riba",G1107="Pengeluaran"))),1,0)</f>
        <v/>
      </c>
      <c r="X1107" s="93">
        <f>IF(AND(B1107&lt;&gt;"",B1107&gt;='Buku Akun'!$H$4,B1107&lt;='Buku Akun'!$H$5,OR(C1107='Buku Akun'!$C$4,AND(D1107="Pindah",E1107='Buku Akun'!$C$4))),B1107+IF(AND(I1107="Selisih bunga",DAY(B1107)=1),0,0.01)+ROW()/10000000,"")</f>
        <v/>
      </c>
    </row>
    <row r="1108" outlineLevel="1" ht="15" customHeight="1" s="94">
      <c r="A1108" s="123">
        <f>IF(B1108="","",ROW()-15)</f>
        <v/>
      </c>
      <c r="B1108" s="124" t="n"/>
      <c r="C1108" s="123" t="n"/>
      <c r="D1108" s="123" t="n"/>
      <c r="E1108" s="123" t="n"/>
      <c r="F1108" s="125" t="n"/>
      <c r="G1108" s="123" t="n"/>
      <c r="H1108" s="123" t="n"/>
      <c r="I1108" s="123" t="n"/>
      <c r="J1108" s="123" t="n"/>
      <c r="K1108" s="123" t="n"/>
      <c r="L1108" s="123" t="n"/>
      <c r="M1108" s="123">
        <f>IF(AND(B1108&lt;&gt;"",OR($C$4="",ISNUMBER(SEARCH($C$4,C1108&amp;" "&amp;E1108&amp;" "&amp;G1108&amp;" "&amp;H1108&amp;" "&amp;I1108&amp;" "&amp;J1108&amp;" "&amp;K1108&amp;" "&amp;L1108))),OR($C$5="Semua",$C$5="",G1108=$C$5),OR($C$6="Semua",$C$6="",H1108=$C$6,H1108="Pengeluaran "&amp;$C$6,AND($C$6="Uang Kos Mama",H1108="Pengeluaran Uang Kos")),OR($C$7="Semua",$C$7="",I1108=$C$7),OR($C$8="Semua",$C$8="",C1108=$C$8,E1108=$C$8),OR($C$9="Semua",$C$9="",D1108=$C$9),OR($C$10="",B1108&gt;=$C$10),OR($C$11="",B1108&lt;=$C$11),OR($C$12&lt;&gt;"Ya",K1108&lt;&gt;""),OR($C$13="Semua",$C$13="",L1108=$C$13)),"✓","")</f>
        <v/>
      </c>
      <c r="N1108" s="93">
        <f>N(N1107)+IF(M1108="✓",1,0)</f>
        <v/>
      </c>
      <c r="O1108" s="93">
        <f>N(O1107)+IF(AND(B1108&lt;&gt;"",B1108&gt;='Uang Riba'!$H$30,B1108&lt;='Uang Riba'!$I$30,OR(H1108="Dana riba",H1108="Pinjam uang riba",I1108="Pinjam dari uang riba",I1108="Ganti uang riba",I1108="Kelebihan ganti dikembalikan",AND(C1108="Kantong Uang Riba",G1108="Pengeluaran"))),1,0)</f>
        <v/>
      </c>
      <c r="X1108" s="93">
        <f>IF(AND(B1108&lt;&gt;"",B1108&gt;='Buku Akun'!$H$4,B1108&lt;='Buku Akun'!$H$5,OR(C1108='Buku Akun'!$C$4,AND(D1108="Pindah",E1108='Buku Akun'!$C$4))),B1108+IF(AND(I1108="Selisih bunga",DAY(B1108)=1),0,0.01)+ROW()/10000000,"")</f>
        <v/>
      </c>
    </row>
    <row r="1109" outlineLevel="1" ht="15" customHeight="1" s="94">
      <c r="A1109" s="123">
        <f>IF(B1109="","",ROW()-15)</f>
        <v/>
      </c>
      <c r="B1109" s="124" t="n"/>
      <c r="C1109" s="123" t="n"/>
      <c r="D1109" s="123" t="n"/>
      <c r="E1109" s="123" t="n"/>
      <c r="F1109" s="125" t="n"/>
      <c r="G1109" s="123" t="n"/>
      <c r="H1109" s="123" t="n"/>
      <c r="I1109" s="123" t="n"/>
      <c r="J1109" s="123" t="n"/>
      <c r="K1109" s="123" t="n"/>
      <c r="L1109" s="123" t="n"/>
      <c r="M1109" s="123">
        <f>IF(AND(B1109&lt;&gt;"",OR($C$4="",ISNUMBER(SEARCH($C$4,C1109&amp;" "&amp;E1109&amp;" "&amp;G1109&amp;" "&amp;H1109&amp;" "&amp;I1109&amp;" "&amp;J1109&amp;" "&amp;K1109&amp;" "&amp;L1109))),OR($C$5="Semua",$C$5="",G1109=$C$5),OR($C$6="Semua",$C$6="",H1109=$C$6,H1109="Pengeluaran "&amp;$C$6,AND($C$6="Uang Kos Mama",H1109="Pengeluaran Uang Kos")),OR($C$7="Semua",$C$7="",I1109=$C$7),OR($C$8="Semua",$C$8="",C1109=$C$8,E1109=$C$8),OR($C$9="Semua",$C$9="",D1109=$C$9),OR($C$10="",B1109&gt;=$C$10),OR($C$11="",B1109&lt;=$C$11),OR($C$12&lt;&gt;"Ya",K1109&lt;&gt;""),OR($C$13="Semua",$C$13="",L1109=$C$13)),"✓","")</f>
        <v/>
      </c>
      <c r="N1109" s="93">
        <f>N(N1108)+IF(M1109="✓",1,0)</f>
        <v/>
      </c>
      <c r="O1109" s="93">
        <f>N(O1108)+IF(AND(B1109&lt;&gt;"",B1109&gt;='Uang Riba'!$H$30,B1109&lt;='Uang Riba'!$I$30,OR(H1109="Dana riba",H1109="Pinjam uang riba",I1109="Pinjam dari uang riba",I1109="Ganti uang riba",I1109="Kelebihan ganti dikembalikan",AND(C1109="Kantong Uang Riba",G1109="Pengeluaran"))),1,0)</f>
        <v/>
      </c>
      <c r="X1109" s="93">
        <f>IF(AND(B1109&lt;&gt;"",B1109&gt;='Buku Akun'!$H$4,B1109&lt;='Buku Akun'!$H$5,OR(C1109='Buku Akun'!$C$4,AND(D1109="Pindah",E1109='Buku Akun'!$C$4))),B1109+IF(AND(I1109="Selisih bunga",DAY(B1109)=1),0,0.01)+ROW()/10000000,"")</f>
        <v/>
      </c>
    </row>
    <row r="1110" outlineLevel="1" ht="15" customHeight="1" s="94">
      <c r="A1110" s="123">
        <f>IF(B1110="","",ROW()-15)</f>
        <v/>
      </c>
      <c r="B1110" s="124" t="n"/>
      <c r="C1110" s="123" t="n"/>
      <c r="D1110" s="123" t="n"/>
      <c r="E1110" s="123" t="n"/>
      <c r="F1110" s="125" t="n"/>
      <c r="G1110" s="123" t="n"/>
      <c r="H1110" s="123" t="n"/>
      <c r="I1110" s="123" t="n"/>
      <c r="J1110" s="123" t="n"/>
      <c r="K1110" s="123" t="n"/>
      <c r="L1110" s="123" t="n"/>
      <c r="M1110" s="123">
        <f>IF(AND(B1110&lt;&gt;"",OR($C$4="",ISNUMBER(SEARCH($C$4,C1110&amp;" "&amp;E1110&amp;" "&amp;G1110&amp;" "&amp;H1110&amp;" "&amp;I1110&amp;" "&amp;J1110&amp;" "&amp;K1110&amp;" "&amp;L1110))),OR($C$5="Semua",$C$5="",G1110=$C$5),OR($C$6="Semua",$C$6="",H1110=$C$6,H1110="Pengeluaran "&amp;$C$6,AND($C$6="Uang Kos Mama",H1110="Pengeluaran Uang Kos")),OR($C$7="Semua",$C$7="",I1110=$C$7),OR($C$8="Semua",$C$8="",C1110=$C$8,E1110=$C$8),OR($C$9="Semua",$C$9="",D1110=$C$9),OR($C$10="",B1110&gt;=$C$10),OR($C$11="",B1110&lt;=$C$11),OR($C$12&lt;&gt;"Ya",K1110&lt;&gt;""),OR($C$13="Semua",$C$13="",L1110=$C$13)),"✓","")</f>
        <v/>
      </c>
      <c r="N1110" s="93">
        <f>N(N1109)+IF(M1110="✓",1,0)</f>
        <v/>
      </c>
      <c r="O1110" s="93">
        <f>N(O1109)+IF(AND(B1110&lt;&gt;"",B1110&gt;='Uang Riba'!$H$30,B1110&lt;='Uang Riba'!$I$30,OR(H1110="Dana riba",H1110="Pinjam uang riba",I1110="Pinjam dari uang riba",I1110="Ganti uang riba",I1110="Kelebihan ganti dikembalikan",AND(C1110="Kantong Uang Riba",G1110="Pengeluaran"))),1,0)</f>
        <v/>
      </c>
      <c r="X1110" s="93">
        <f>IF(AND(B1110&lt;&gt;"",B1110&gt;='Buku Akun'!$H$4,B1110&lt;='Buku Akun'!$H$5,OR(C1110='Buku Akun'!$C$4,AND(D1110="Pindah",E1110='Buku Akun'!$C$4))),B1110+IF(AND(I1110="Selisih bunga",DAY(B1110)=1),0,0.01)+ROW()/10000000,"")</f>
        <v/>
      </c>
    </row>
    <row r="1111" outlineLevel="1" ht="15" customHeight="1" s="94">
      <c r="A1111" s="123">
        <f>IF(B1111="","",ROW()-15)</f>
        <v/>
      </c>
      <c r="B1111" s="124" t="n"/>
      <c r="C1111" s="123" t="n"/>
      <c r="D1111" s="123" t="n"/>
      <c r="E1111" s="123" t="n"/>
      <c r="F1111" s="125" t="n"/>
      <c r="G1111" s="123" t="n"/>
      <c r="H1111" s="123" t="n"/>
      <c r="I1111" s="123" t="n"/>
      <c r="J1111" s="123" t="n"/>
      <c r="K1111" s="123" t="n"/>
      <c r="L1111" s="123" t="n"/>
      <c r="M1111" s="123">
        <f>IF(AND(B1111&lt;&gt;"",OR($C$4="",ISNUMBER(SEARCH($C$4,C1111&amp;" "&amp;E1111&amp;" "&amp;G1111&amp;" "&amp;H1111&amp;" "&amp;I1111&amp;" "&amp;J1111&amp;" "&amp;K1111&amp;" "&amp;L1111))),OR($C$5="Semua",$C$5="",G1111=$C$5),OR($C$6="Semua",$C$6="",H1111=$C$6,H1111="Pengeluaran "&amp;$C$6,AND($C$6="Uang Kos Mama",H1111="Pengeluaran Uang Kos")),OR($C$7="Semua",$C$7="",I1111=$C$7),OR($C$8="Semua",$C$8="",C1111=$C$8,E1111=$C$8),OR($C$9="Semua",$C$9="",D1111=$C$9),OR($C$10="",B1111&gt;=$C$10),OR($C$11="",B1111&lt;=$C$11),OR($C$12&lt;&gt;"Ya",K1111&lt;&gt;""),OR($C$13="Semua",$C$13="",L1111=$C$13)),"✓","")</f>
        <v/>
      </c>
      <c r="N1111" s="93">
        <f>N(N1110)+IF(M1111="✓",1,0)</f>
        <v/>
      </c>
      <c r="O1111" s="93">
        <f>N(O1110)+IF(AND(B1111&lt;&gt;"",B1111&gt;='Uang Riba'!$H$30,B1111&lt;='Uang Riba'!$I$30,OR(H1111="Dana riba",H1111="Pinjam uang riba",I1111="Pinjam dari uang riba",I1111="Ganti uang riba",I1111="Kelebihan ganti dikembalikan",AND(C1111="Kantong Uang Riba",G1111="Pengeluaran"))),1,0)</f>
        <v/>
      </c>
      <c r="X1111" s="93">
        <f>IF(AND(B1111&lt;&gt;"",B1111&gt;='Buku Akun'!$H$4,B1111&lt;='Buku Akun'!$H$5,OR(C1111='Buku Akun'!$C$4,AND(D1111="Pindah",E1111='Buku Akun'!$C$4))),B1111+IF(AND(I1111="Selisih bunga",DAY(B1111)=1),0,0.01)+ROW()/10000000,"")</f>
        <v/>
      </c>
    </row>
    <row r="1112" outlineLevel="1" ht="15" customHeight="1" s="94">
      <c r="A1112" s="123">
        <f>IF(B1112="","",ROW()-15)</f>
        <v/>
      </c>
      <c r="B1112" s="124" t="n"/>
      <c r="C1112" s="123" t="n"/>
      <c r="D1112" s="123" t="n"/>
      <c r="E1112" s="123" t="n"/>
      <c r="F1112" s="125" t="n"/>
      <c r="G1112" s="123" t="n"/>
      <c r="H1112" s="123" t="n"/>
      <c r="I1112" s="123" t="n"/>
      <c r="J1112" s="123" t="n"/>
      <c r="K1112" s="123" t="n"/>
      <c r="L1112" s="123" t="n"/>
      <c r="M1112" s="123">
        <f>IF(AND(B1112&lt;&gt;"",OR($C$4="",ISNUMBER(SEARCH($C$4,C1112&amp;" "&amp;E1112&amp;" "&amp;G1112&amp;" "&amp;H1112&amp;" "&amp;I1112&amp;" "&amp;J1112&amp;" "&amp;K1112&amp;" "&amp;L1112))),OR($C$5="Semua",$C$5="",G1112=$C$5),OR($C$6="Semua",$C$6="",H1112=$C$6,H1112="Pengeluaran "&amp;$C$6,AND($C$6="Uang Kos Mama",H1112="Pengeluaran Uang Kos")),OR($C$7="Semua",$C$7="",I1112=$C$7),OR($C$8="Semua",$C$8="",C1112=$C$8,E1112=$C$8),OR($C$9="Semua",$C$9="",D1112=$C$9),OR($C$10="",B1112&gt;=$C$10),OR($C$11="",B1112&lt;=$C$11),OR($C$12&lt;&gt;"Ya",K1112&lt;&gt;""),OR($C$13="Semua",$C$13="",L1112=$C$13)),"✓","")</f>
        <v/>
      </c>
      <c r="N1112" s="93">
        <f>N(N1111)+IF(M1112="✓",1,0)</f>
        <v/>
      </c>
      <c r="O1112" s="93">
        <f>N(O1111)+IF(AND(B1112&lt;&gt;"",B1112&gt;='Uang Riba'!$H$30,B1112&lt;='Uang Riba'!$I$30,OR(H1112="Dana riba",H1112="Pinjam uang riba",I1112="Pinjam dari uang riba",I1112="Ganti uang riba",I1112="Kelebihan ganti dikembalikan",AND(C1112="Kantong Uang Riba",G1112="Pengeluaran"))),1,0)</f>
        <v/>
      </c>
      <c r="X1112" s="93">
        <f>IF(AND(B1112&lt;&gt;"",B1112&gt;='Buku Akun'!$H$4,B1112&lt;='Buku Akun'!$H$5,OR(C1112='Buku Akun'!$C$4,AND(D1112="Pindah",E1112='Buku Akun'!$C$4))),B1112+IF(AND(I1112="Selisih bunga",DAY(B1112)=1),0,0.01)+ROW()/10000000,"")</f>
        <v/>
      </c>
    </row>
    <row r="1113" outlineLevel="1" ht="15" customHeight="1" s="94">
      <c r="A1113" s="123">
        <f>IF(B1113="","",ROW()-15)</f>
        <v/>
      </c>
      <c r="B1113" s="124" t="n"/>
      <c r="C1113" s="123" t="n"/>
      <c r="D1113" s="123" t="n"/>
      <c r="E1113" s="123" t="n"/>
      <c r="F1113" s="125" t="n"/>
      <c r="G1113" s="123" t="n"/>
      <c r="H1113" s="123" t="n"/>
      <c r="I1113" s="123" t="n"/>
      <c r="J1113" s="123" t="n"/>
      <c r="K1113" s="123" t="n"/>
      <c r="L1113" s="123" t="n"/>
      <c r="M1113" s="123">
        <f>IF(AND(B1113&lt;&gt;"",OR($C$4="",ISNUMBER(SEARCH($C$4,C1113&amp;" "&amp;E1113&amp;" "&amp;G1113&amp;" "&amp;H1113&amp;" "&amp;I1113&amp;" "&amp;J1113&amp;" "&amp;K1113&amp;" "&amp;L1113))),OR($C$5="Semua",$C$5="",G1113=$C$5),OR($C$6="Semua",$C$6="",H1113=$C$6,H1113="Pengeluaran "&amp;$C$6,AND($C$6="Uang Kos Mama",H1113="Pengeluaran Uang Kos")),OR($C$7="Semua",$C$7="",I1113=$C$7),OR($C$8="Semua",$C$8="",C1113=$C$8,E1113=$C$8),OR($C$9="Semua",$C$9="",D1113=$C$9),OR($C$10="",B1113&gt;=$C$10),OR($C$11="",B1113&lt;=$C$11),OR($C$12&lt;&gt;"Ya",K1113&lt;&gt;""),OR($C$13="Semua",$C$13="",L1113=$C$13)),"✓","")</f>
        <v/>
      </c>
      <c r="N1113" s="93">
        <f>N(N1112)+IF(M1113="✓",1,0)</f>
        <v/>
      </c>
      <c r="O1113" s="93">
        <f>N(O1112)+IF(AND(B1113&lt;&gt;"",B1113&gt;='Uang Riba'!$H$30,B1113&lt;='Uang Riba'!$I$30,OR(H1113="Dana riba",H1113="Pinjam uang riba",I1113="Pinjam dari uang riba",I1113="Ganti uang riba",I1113="Kelebihan ganti dikembalikan",AND(C1113="Kantong Uang Riba",G1113="Pengeluaran"))),1,0)</f>
        <v/>
      </c>
      <c r="X1113" s="93">
        <f>IF(AND(B1113&lt;&gt;"",B1113&gt;='Buku Akun'!$H$4,B1113&lt;='Buku Akun'!$H$5,OR(C1113='Buku Akun'!$C$4,AND(D1113="Pindah",E1113='Buku Akun'!$C$4))),B1113+IF(AND(I1113="Selisih bunga",DAY(B1113)=1),0,0.01)+ROW()/10000000,"")</f>
        <v/>
      </c>
    </row>
    <row r="1114" outlineLevel="1" ht="15" customHeight="1" s="94">
      <c r="A1114" s="123">
        <f>IF(B1114="","",ROW()-15)</f>
        <v/>
      </c>
      <c r="B1114" s="124" t="n"/>
      <c r="C1114" s="123" t="n"/>
      <c r="D1114" s="123" t="n"/>
      <c r="E1114" s="123" t="n"/>
      <c r="F1114" s="125" t="n"/>
      <c r="G1114" s="123" t="n"/>
      <c r="H1114" s="123" t="n"/>
      <c r="I1114" s="123" t="n"/>
      <c r="J1114" s="123" t="n"/>
      <c r="K1114" s="123" t="n"/>
      <c r="L1114" s="123" t="n"/>
      <c r="M1114" s="123">
        <f>IF(AND(B1114&lt;&gt;"",OR($C$4="",ISNUMBER(SEARCH($C$4,C1114&amp;" "&amp;E1114&amp;" "&amp;G1114&amp;" "&amp;H1114&amp;" "&amp;I1114&amp;" "&amp;J1114&amp;" "&amp;K1114&amp;" "&amp;L1114))),OR($C$5="Semua",$C$5="",G1114=$C$5),OR($C$6="Semua",$C$6="",H1114=$C$6,H1114="Pengeluaran "&amp;$C$6,AND($C$6="Uang Kos Mama",H1114="Pengeluaran Uang Kos")),OR($C$7="Semua",$C$7="",I1114=$C$7),OR($C$8="Semua",$C$8="",C1114=$C$8,E1114=$C$8),OR($C$9="Semua",$C$9="",D1114=$C$9),OR($C$10="",B1114&gt;=$C$10),OR($C$11="",B1114&lt;=$C$11),OR($C$12&lt;&gt;"Ya",K1114&lt;&gt;""),OR($C$13="Semua",$C$13="",L1114=$C$13)),"✓","")</f>
        <v/>
      </c>
      <c r="N1114" s="93">
        <f>N(N1113)+IF(M1114="✓",1,0)</f>
        <v/>
      </c>
      <c r="O1114" s="93">
        <f>N(O1113)+IF(AND(B1114&lt;&gt;"",B1114&gt;='Uang Riba'!$H$30,B1114&lt;='Uang Riba'!$I$30,OR(H1114="Dana riba",H1114="Pinjam uang riba",I1114="Pinjam dari uang riba",I1114="Ganti uang riba",I1114="Kelebihan ganti dikembalikan",AND(C1114="Kantong Uang Riba",G1114="Pengeluaran"))),1,0)</f>
        <v/>
      </c>
      <c r="X1114" s="93">
        <f>IF(AND(B1114&lt;&gt;"",B1114&gt;='Buku Akun'!$H$4,B1114&lt;='Buku Akun'!$H$5,OR(C1114='Buku Akun'!$C$4,AND(D1114="Pindah",E1114='Buku Akun'!$C$4))),B1114+IF(AND(I1114="Selisih bunga",DAY(B1114)=1),0,0.01)+ROW()/10000000,"")</f>
        <v/>
      </c>
    </row>
    <row r="1115" outlineLevel="1" ht="15" customHeight="1" s="94">
      <c r="A1115" s="123">
        <f>IF(B1115="","",ROW()-15)</f>
        <v/>
      </c>
      <c r="B1115" s="124" t="n"/>
      <c r="C1115" s="123" t="n"/>
      <c r="D1115" s="123" t="n"/>
      <c r="E1115" s="123" t="n"/>
      <c r="F1115" s="125" t="n"/>
      <c r="G1115" s="123" t="n"/>
      <c r="H1115" s="123" t="n"/>
      <c r="I1115" s="123" t="n"/>
      <c r="J1115" s="123" t="n"/>
      <c r="K1115" s="123" t="n"/>
      <c r="L1115" s="123" t="n"/>
      <c r="M1115" s="123">
        <f>IF(AND(B1115&lt;&gt;"",OR($C$4="",ISNUMBER(SEARCH($C$4,C1115&amp;" "&amp;E1115&amp;" "&amp;G1115&amp;" "&amp;H1115&amp;" "&amp;I1115&amp;" "&amp;J1115&amp;" "&amp;K1115&amp;" "&amp;L1115))),OR($C$5="Semua",$C$5="",G1115=$C$5),OR($C$6="Semua",$C$6="",H1115=$C$6,H1115="Pengeluaran "&amp;$C$6,AND($C$6="Uang Kos Mama",H1115="Pengeluaran Uang Kos")),OR($C$7="Semua",$C$7="",I1115=$C$7),OR($C$8="Semua",$C$8="",C1115=$C$8,E1115=$C$8),OR($C$9="Semua",$C$9="",D1115=$C$9),OR($C$10="",B1115&gt;=$C$10),OR($C$11="",B1115&lt;=$C$11),OR($C$12&lt;&gt;"Ya",K1115&lt;&gt;""),OR($C$13="Semua",$C$13="",L1115=$C$13)),"✓","")</f>
        <v/>
      </c>
      <c r="N1115" s="93">
        <f>N(N1114)+IF(M1115="✓",1,0)</f>
        <v/>
      </c>
      <c r="O1115" s="93">
        <f>N(O1114)+IF(AND(B1115&lt;&gt;"",B1115&gt;='Uang Riba'!$H$30,B1115&lt;='Uang Riba'!$I$30,OR(H1115="Dana riba",H1115="Pinjam uang riba",I1115="Pinjam dari uang riba",I1115="Ganti uang riba",I1115="Kelebihan ganti dikembalikan",AND(C1115="Kantong Uang Riba",G1115="Pengeluaran"))),1,0)</f>
        <v/>
      </c>
      <c r="X1115" s="93">
        <f>IF(AND(B1115&lt;&gt;"",B1115&gt;='Buku Akun'!$H$4,B1115&lt;='Buku Akun'!$H$5,OR(C1115='Buku Akun'!$C$4,AND(D1115="Pindah",E1115='Buku Akun'!$C$4))),B1115+IF(AND(I1115="Selisih bunga",DAY(B1115)=1),0,0.01)+ROW()/10000000,"")</f>
        <v/>
      </c>
    </row>
    <row r="1116" outlineLevel="1" ht="15" customHeight="1" s="94">
      <c r="A1116" s="123">
        <f>IF(B1116="","",ROW()-15)</f>
        <v/>
      </c>
      <c r="B1116" s="124" t="n"/>
      <c r="C1116" s="123" t="n"/>
      <c r="D1116" s="123" t="n"/>
      <c r="E1116" s="123" t="n"/>
      <c r="F1116" s="125" t="n"/>
      <c r="G1116" s="123" t="n"/>
      <c r="H1116" s="123" t="n"/>
      <c r="I1116" s="123" t="n"/>
      <c r="J1116" s="123" t="n"/>
      <c r="K1116" s="123" t="n"/>
      <c r="L1116" s="123" t="n"/>
      <c r="M1116" s="123">
        <f>IF(AND(B1116&lt;&gt;"",OR($C$4="",ISNUMBER(SEARCH($C$4,C1116&amp;" "&amp;E1116&amp;" "&amp;G1116&amp;" "&amp;H1116&amp;" "&amp;I1116&amp;" "&amp;J1116&amp;" "&amp;K1116&amp;" "&amp;L1116))),OR($C$5="Semua",$C$5="",G1116=$C$5),OR($C$6="Semua",$C$6="",H1116=$C$6,H1116="Pengeluaran "&amp;$C$6,AND($C$6="Uang Kos Mama",H1116="Pengeluaran Uang Kos")),OR($C$7="Semua",$C$7="",I1116=$C$7),OR($C$8="Semua",$C$8="",C1116=$C$8,E1116=$C$8),OR($C$9="Semua",$C$9="",D1116=$C$9),OR($C$10="",B1116&gt;=$C$10),OR($C$11="",B1116&lt;=$C$11),OR($C$12&lt;&gt;"Ya",K1116&lt;&gt;""),OR($C$13="Semua",$C$13="",L1116=$C$13)),"✓","")</f>
        <v/>
      </c>
      <c r="N1116" s="93">
        <f>N(N1115)+IF(M1116="✓",1,0)</f>
        <v/>
      </c>
      <c r="O1116" s="93">
        <f>N(O1115)+IF(AND(B1116&lt;&gt;"",B1116&gt;='Uang Riba'!$H$30,B1116&lt;='Uang Riba'!$I$30,OR(H1116="Dana riba",H1116="Pinjam uang riba",I1116="Pinjam dari uang riba",I1116="Ganti uang riba",I1116="Kelebihan ganti dikembalikan",AND(C1116="Kantong Uang Riba",G1116="Pengeluaran"))),1,0)</f>
        <v/>
      </c>
      <c r="X1116" s="93">
        <f>IF(AND(B1116&lt;&gt;"",B1116&gt;='Buku Akun'!$H$4,B1116&lt;='Buku Akun'!$H$5,OR(C1116='Buku Akun'!$C$4,AND(D1116="Pindah",E1116='Buku Akun'!$C$4))),B1116+IF(AND(I1116="Selisih bunga",DAY(B1116)=1),0,0.01)+ROW()/10000000,"")</f>
        <v/>
      </c>
    </row>
    <row r="1117" outlineLevel="1" ht="15" customHeight="1" s="94">
      <c r="A1117" s="123">
        <f>IF(B1117="","",ROW()-15)</f>
        <v/>
      </c>
      <c r="B1117" s="124" t="n"/>
      <c r="C1117" s="123" t="n"/>
      <c r="D1117" s="123" t="n"/>
      <c r="E1117" s="123" t="n"/>
      <c r="F1117" s="125" t="n"/>
      <c r="G1117" s="123" t="n"/>
      <c r="H1117" s="123" t="n"/>
      <c r="I1117" s="123" t="n"/>
      <c r="J1117" s="123" t="n"/>
      <c r="K1117" s="123" t="n"/>
      <c r="L1117" s="123" t="n"/>
      <c r="M1117" s="123">
        <f>IF(AND(B1117&lt;&gt;"",OR($C$4="",ISNUMBER(SEARCH($C$4,C1117&amp;" "&amp;E1117&amp;" "&amp;G1117&amp;" "&amp;H1117&amp;" "&amp;I1117&amp;" "&amp;J1117&amp;" "&amp;K1117&amp;" "&amp;L1117))),OR($C$5="Semua",$C$5="",G1117=$C$5),OR($C$6="Semua",$C$6="",H1117=$C$6,H1117="Pengeluaran "&amp;$C$6,AND($C$6="Uang Kos Mama",H1117="Pengeluaran Uang Kos")),OR($C$7="Semua",$C$7="",I1117=$C$7),OR($C$8="Semua",$C$8="",C1117=$C$8,E1117=$C$8),OR($C$9="Semua",$C$9="",D1117=$C$9),OR($C$10="",B1117&gt;=$C$10),OR($C$11="",B1117&lt;=$C$11),OR($C$12&lt;&gt;"Ya",K1117&lt;&gt;""),OR($C$13="Semua",$C$13="",L1117=$C$13)),"✓","")</f>
        <v/>
      </c>
      <c r="N1117" s="93">
        <f>N(N1116)+IF(M1117="✓",1,0)</f>
        <v/>
      </c>
      <c r="O1117" s="93">
        <f>N(O1116)+IF(AND(B1117&lt;&gt;"",B1117&gt;='Uang Riba'!$H$30,B1117&lt;='Uang Riba'!$I$30,OR(H1117="Dana riba",H1117="Pinjam uang riba",I1117="Pinjam dari uang riba",I1117="Ganti uang riba",I1117="Kelebihan ganti dikembalikan",AND(C1117="Kantong Uang Riba",G1117="Pengeluaran"))),1,0)</f>
        <v/>
      </c>
      <c r="X1117" s="93">
        <f>IF(AND(B1117&lt;&gt;"",B1117&gt;='Buku Akun'!$H$4,B1117&lt;='Buku Akun'!$H$5,OR(C1117='Buku Akun'!$C$4,AND(D1117="Pindah",E1117='Buku Akun'!$C$4))),B1117+IF(AND(I1117="Selisih bunga",DAY(B1117)=1),0,0.01)+ROW()/10000000,"")</f>
        <v/>
      </c>
    </row>
    <row r="1118" outlineLevel="1" ht="15" customHeight="1" s="94">
      <c r="A1118" s="123">
        <f>IF(B1118="","",ROW()-15)</f>
        <v/>
      </c>
      <c r="B1118" s="124" t="n"/>
      <c r="C1118" s="123" t="n"/>
      <c r="D1118" s="123" t="n"/>
      <c r="E1118" s="123" t="n"/>
      <c r="F1118" s="125" t="n"/>
      <c r="G1118" s="123" t="n"/>
      <c r="H1118" s="123" t="n"/>
      <c r="I1118" s="123" t="n"/>
      <c r="J1118" s="123" t="n"/>
      <c r="K1118" s="123" t="n"/>
      <c r="L1118" s="123" t="n"/>
      <c r="M1118" s="123">
        <f>IF(AND(B1118&lt;&gt;"",OR($C$4="",ISNUMBER(SEARCH($C$4,C1118&amp;" "&amp;E1118&amp;" "&amp;G1118&amp;" "&amp;H1118&amp;" "&amp;I1118&amp;" "&amp;J1118&amp;" "&amp;K1118&amp;" "&amp;L1118))),OR($C$5="Semua",$C$5="",G1118=$C$5),OR($C$6="Semua",$C$6="",H1118=$C$6,H1118="Pengeluaran "&amp;$C$6,AND($C$6="Uang Kos Mama",H1118="Pengeluaran Uang Kos")),OR($C$7="Semua",$C$7="",I1118=$C$7),OR($C$8="Semua",$C$8="",C1118=$C$8,E1118=$C$8),OR($C$9="Semua",$C$9="",D1118=$C$9),OR($C$10="",B1118&gt;=$C$10),OR($C$11="",B1118&lt;=$C$11),OR($C$12&lt;&gt;"Ya",K1118&lt;&gt;""),OR($C$13="Semua",$C$13="",L1118=$C$13)),"✓","")</f>
        <v/>
      </c>
      <c r="N1118" s="93">
        <f>N(N1117)+IF(M1118="✓",1,0)</f>
        <v/>
      </c>
      <c r="O1118" s="93">
        <f>N(O1117)+IF(AND(B1118&lt;&gt;"",B1118&gt;='Uang Riba'!$H$30,B1118&lt;='Uang Riba'!$I$30,OR(H1118="Dana riba",H1118="Pinjam uang riba",I1118="Pinjam dari uang riba",I1118="Ganti uang riba",I1118="Kelebihan ganti dikembalikan",AND(C1118="Kantong Uang Riba",G1118="Pengeluaran"))),1,0)</f>
        <v/>
      </c>
      <c r="X1118" s="93">
        <f>IF(AND(B1118&lt;&gt;"",B1118&gt;='Buku Akun'!$H$4,B1118&lt;='Buku Akun'!$H$5,OR(C1118='Buku Akun'!$C$4,AND(D1118="Pindah",E1118='Buku Akun'!$C$4))),B1118+IF(AND(I1118="Selisih bunga",DAY(B1118)=1),0,0.01)+ROW()/10000000,"")</f>
        <v/>
      </c>
    </row>
    <row r="1119" outlineLevel="1" ht="15" customHeight="1" s="94">
      <c r="A1119" s="123">
        <f>IF(B1119="","",ROW()-15)</f>
        <v/>
      </c>
      <c r="B1119" s="124" t="n"/>
      <c r="C1119" s="123" t="n"/>
      <c r="D1119" s="123" t="n"/>
      <c r="E1119" s="123" t="n"/>
      <c r="F1119" s="125" t="n"/>
      <c r="G1119" s="123" t="n"/>
      <c r="H1119" s="123" t="n"/>
      <c r="I1119" s="123" t="n"/>
      <c r="J1119" s="123" t="n"/>
      <c r="K1119" s="123" t="n"/>
      <c r="L1119" s="123" t="n"/>
      <c r="M1119" s="123">
        <f>IF(AND(B1119&lt;&gt;"",OR($C$4="",ISNUMBER(SEARCH($C$4,C1119&amp;" "&amp;E1119&amp;" "&amp;G1119&amp;" "&amp;H1119&amp;" "&amp;I1119&amp;" "&amp;J1119&amp;" "&amp;K1119&amp;" "&amp;L1119))),OR($C$5="Semua",$C$5="",G1119=$C$5),OR($C$6="Semua",$C$6="",H1119=$C$6,H1119="Pengeluaran "&amp;$C$6,AND($C$6="Uang Kos Mama",H1119="Pengeluaran Uang Kos")),OR($C$7="Semua",$C$7="",I1119=$C$7),OR($C$8="Semua",$C$8="",C1119=$C$8,E1119=$C$8),OR($C$9="Semua",$C$9="",D1119=$C$9),OR($C$10="",B1119&gt;=$C$10),OR($C$11="",B1119&lt;=$C$11),OR($C$12&lt;&gt;"Ya",K1119&lt;&gt;""),OR($C$13="Semua",$C$13="",L1119=$C$13)),"✓","")</f>
        <v/>
      </c>
      <c r="N1119" s="93">
        <f>N(N1118)+IF(M1119="✓",1,0)</f>
        <v/>
      </c>
      <c r="O1119" s="93">
        <f>N(O1118)+IF(AND(B1119&lt;&gt;"",B1119&gt;='Uang Riba'!$H$30,B1119&lt;='Uang Riba'!$I$30,OR(H1119="Dana riba",H1119="Pinjam uang riba",I1119="Pinjam dari uang riba",I1119="Ganti uang riba",I1119="Kelebihan ganti dikembalikan",AND(C1119="Kantong Uang Riba",G1119="Pengeluaran"))),1,0)</f>
        <v/>
      </c>
      <c r="X1119" s="93">
        <f>IF(AND(B1119&lt;&gt;"",B1119&gt;='Buku Akun'!$H$4,B1119&lt;='Buku Akun'!$H$5,OR(C1119='Buku Akun'!$C$4,AND(D1119="Pindah",E1119='Buku Akun'!$C$4))),B1119+IF(AND(I1119="Selisih bunga",DAY(B1119)=1),0,0.01)+ROW()/10000000,"")</f>
        <v/>
      </c>
    </row>
    <row r="1120" outlineLevel="1" ht="15" customHeight="1" s="94">
      <c r="A1120" s="123">
        <f>IF(B1120="","",ROW()-15)</f>
        <v/>
      </c>
      <c r="B1120" s="124" t="n"/>
      <c r="C1120" s="123" t="n"/>
      <c r="D1120" s="123" t="n"/>
      <c r="E1120" s="123" t="n"/>
      <c r="F1120" s="125" t="n"/>
      <c r="G1120" s="123" t="n"/>
      <c r="H1120" s="123" t="n"/>
      <c r="I1120" s="123" t="n"/>
      <c r="J1120" s="123" t="n"/>
      <c r="K1120" s="123" t="n"/>
      <c r="L1120" s="123" t="n"/>
      <c r="M1120" s="123">
        <f>IF(AND(B1120&lt;&gt;"",OR($C$4="",ISNUMBER(SEARCH($C$4,C1120&amp;" "&amp;E1120&amp;" "&amp;G1120&amp;" "&amp;H1120&amp;" "&amp;I1120&amp;" "&amp;J1120&amp;" "&amp;K1120&amp;" "&amp;L1120))),OR($C$5="Semua",$C$5="",G1120=$C$5),OR($C$6="Semua",$C$6="",H1120=$C$6,H1120="Pengeluaran "&amp;$C$6,AND($C$6="Uang Kos Mama",H1120="Pengeluaran Uang Kos")),OR($C$7="Semua",$C$7="",I1120=$C$7),OR($C$8="Semua",$C$8="",C1120=$C$8,E1120=$C$8),OR($C$9="Semua",$C$9="",D1120=$C$9),OR($C$10="",B1120&gt;=$C$10),OR($C$11="",B1120&lt;=$C$11),OR($C$12&lt;&gt;"Ya",K1120&lt;&gt;""),OR($C$13="Semua",$C$13="",L1120=$C$13)),"✓","")</f>
        <v/>
      </c>
      <c r="N1120" s="93">
        <f>N(N1119)+IF(M1120="✓",1,0)</f>
        <v/>
      </c>
      <c r="O1120" s="93">
        <f>N(O1119)+IF(AND(B1120&lt;&gt;"",B1120&gt;='Uang Riba'!$H$30,B1120&lt;='Uang Riba'!$I$30,OR(H1120="Dana riba",H1120="Pinjam uang riba",I1120="Pinjam dari uang riba",I1120="Ganti uang riba",I1120="Kelebihan ganti dikembalikan",AND(C1120="Kantong Uang Riba",G1120="Pengeluaran"))),1,0)</f>
        <v/>
      </c>
      <c r="X1120" s="93">
        <f>IF(AND(B1120&lt;&gt;"",B1120&gt;='Buku Akun'!$H$4,B1120&lt;='Buku Akun'!$H$5,OR(C1120='Buku Akun'!$C$4,AND(D1120="Pindah",E1120='Buku Akun'!$C$4))),B1120+IF(AND(I1120="Selisih bunga",DAY(B1120)=1),0,0.01)+ROW()/10000000,"")</f>
        <v/>
      </c>
    </row>
    <row r="1121" outlineLevel="1" ht="15" customHeight="1" s="94">
      <c r="A1121" s="123">
        <f>IF(B1121="","",ROW()-15)</f>
        <v/>
      </c>
      <c r="B1121" s="124" t="n"/>
      <c r="C1121" s="123" t="n"/>
      <c r="D1121" s="123" t="n"/>
      <c r="E1121" s="123" t="n"/>
      <c r="F1121" s="125" t="n"/>
      <c r="G1121" s="123" t="n"/>
      <c r="H1121" s="123" t="n"/>
      <c r="I1121" s="123" t="n"/>
      <c r="J1121" s="123" t="n"/>
      <c r="K1121" s="123" t="n"/>
      <c r="L1121" s="123" t="n"/>
      <c r="M1121" s="123">
        <f>IF(AND(B1121&lt;&gt;"",OR($C$4="",ISNUMBER(SEARCH($C$4,C1121&amp;" "&amp;E1121&amp;" "&amp;G1121&amp;" "&amp;H1121&amp;" "&amp;I1121&amp;" "&amp;J1121&amp;" "&amp;K1121&amp;" "&amp;L1121))),OR($C$5="Semua",$C$5="",G1121=$C$5),OR($C$6="Semua",$C$6="",H1121=$C$6,H1121="Pengeluaran "&amp;$C$6,AND($C$6="Uang Kos Mama",H1121="Pengeluaran Uang Kos")),OR($C$7="Semua",$C$7="",I1121=$C$7),OR($C$8="Semua",$C$8="",C1121=$C$8,E1121=$C$8),OR($C$9="Semua",$C$9="",D1121=$C$9),OR($C$10="",B1121&gt;=$C$10),OR($C$11="",B1121&lt;=$C$11),OR($C$12&lt;&gt;"Ya",K1121&lt;&gt;""),OR($C$13="Semua",$C$13="",L1121=$C$13)),"✓","")</f>
        <v/>
      </c>
      <c r="N1121" s="93">
        <f>N(N1120)+IF(M1121="✓",1,0)</f>
        <v/>
      </c>
      <c r="O1121" s="93">
        <f>N(O1120)+IF(AND(B1121&lt;&gt;"",B1121&gt;='Uang Riba'!$H$30,B1121&lt;='Uang Riba'!$I$30,OR(H1121="Dana riba",H1121="Pinjam uang riba",I1121="Pinjam dari uang riba",I1121="Ganti uang riba",I1121="Kelebihan ganti dikembalikan",AND(C1121="Kantong Uang Riba",G1121="Pengeluaran"))),1,0)</f>
        <v/>
      </c>
      <c r="X1121" s="93">
        <f>IF(AND(B1121&lt;&gt;"",B1121&gt;='Buku Akun'!$H$4,B1121&lt;='Buku Akun'!$H$5,OR(C1121='Buku Akun'!$C$4,AND(D1121="Pindah",E1121='Buku Akun'!$C$4))),B1121+IF(AND(I1121="Selisih bunga",DAY(B1121)=1),0,0.01)+ROW()/10000000,"")</f>
        <v/>
      </c>
    </row>
    <row r="1122" outlineLevel="1" ht="15" customHeight="1" s="94">
      <c r="A1122" s="123">
        <f>IF(B1122="","",ROW()-15)</f>
        <v/>
      </c>
      <c r="B1122" s="124" t="n"/>
      <c r="C1122" s="123" t="n"/>
      <c r="D1122" s="123" t="n"/>
      <c r="E1122" s="123" t="n"/>
      <c r="F1122" s="125" t="n"/>
      <c r="G1122" s="123" t="n"/>
      <c r="H1122" s="123" t="n"/>
      <c r="I1122" s="123" t="n"/>
      <c r="J1122" s="123" t="n"/>
      <c r="K1122" s="123" t="n"/>
      <c r="L1122" s="123" t="n"/>
      <c r="M1122" s="123">
        <f>IF(AND(B1122&lt;&gt;"",OR($C$4="",ISNUMBER(SEARCH($C$4,C1122&amp;" "&amp;E1122&amp;" "&amp;G1122&amp;" "&amp;H1122&amp;" "&amp;I1122&amp;" "&amp;J1122&amp;" "&amp;K1122&amp;" "&amp;L1122))),OR($C$5="Semua",$C$5="",G1122=$C$5),OR($C$6="Semua",$C$6="",H1122=$C$6,H1122="Pengeluaran "&amp;$C$6,AND($C$6="Uang Kos Mama",H1122="Pengeluaran Uang Kos")),OR($C$7="Semua",$C$7="",I1122=$C$7),OR($C$8="Semua",$C$8="",C1122=$C$8,E1122=$C$8),OR($C$9="Semua",$C$9="",D1122=$C$9),OR($C$10="",B1122&gt;=$C$10),OR($C$11="",B1122&lt;=$C$11),OR($C$12&lt;&gt;"Ya",K1122&lt;&gt;""),OR($C$13="Semua",$C$13="",L1122=$C$13)),"✓","")</f>
        <v/>
      </c>
      <c r="N1122" s="93">
        <f>N(N1121)+IF(M1122="✓",1,0)</f>
        <v/>
      </c>
      <c r="O1122" s="93">
        <f>N(O1121)+IF(AND(B1122&lt;&gt;"",B1122&gt;='Uang Riba'!$H$30,B1122&lt;='Uang Riba'!$I$30,OR(H1122="Dana riba",H1122="Pinjam uang riba",I1122="Pinjam dari uang riba",I1122="Ganti uang riba",I1122="Kelebihan ganti dikembalikan",AND(C1122="Kantong Uang Riba",G1122="Pengeluaran"))),1,0)</f>
        <v/>
      </c>
      <c r="X1122" s="93">
        <f>IF(AND(B1122&lt;&gt;"",B1122&gt;='Buku Akun'!$H$4,B1122&lt;='Buku Akun'!$H$5,OR(C1122='Buku Akun'!$C$4,AND(D1122="Pindah",E1122='Buku Akun'!$C$4))),B1122+IF(AND(I1122="Selisih bunga",DAY(B1122)=1),0,0.01)+ROW()/10000000,"")</f>
        <v/>
      </c>
    </row>
    <row r="1123" outlineLevel="1" ht="15" customHeight="1" s="94">
      <c r="A1123" s="123">
        <f>IF(B1123="","",ROW()-15)</f>
        <v/>
      </c>
      <c r="B1123" s="124" t="n"/>
      <c r="C1123" s="123" t="n"/>
      <c r="D1123" s="123" t="n"/>
      <c r="E1123" s="123" t="n"/>
      <c r="F1123" s="125" t="n"/>
      <c r="G1123" s="123" t="n"/>
      <c r="H1123" s="123" t="n"/>
      <c r="I1123" s="123" t="n"/>
      <c r="J1123" s="123" t="n"/>
      <c r="K1123" s="123" t="n"/>
      <c r="L1123" s="123" t="n"/>
      <c r="M1123" s="123">
        <f>IF(AND(B1123&lt;&gt;"",OR($C$4="",ISNUMBER(SEARCH($C$4,C1123&amp;" "&amp;E1123&amp;" "&amp;G1123&amp;" "&amp;H1123&amp;" "&amp;I1123&amp;" "&amp;J1123&amp;" "&amp;K1123&amp;" "&amp;L1123))),OR($C$5="Semua",$C$5="",G1123=$C$5),OR($C$6="Semua",$C$6="",H1123=$C$6,H1123="Pengeluaran "&amp;$C$6,AND($C$6="Uang Kos Mama",H1123="Pengeluaran Uang Kos")),OR($C$7="Semua",$C$7="",I1123=$C$7),OR($C$8="Semua",$C$8="",C1123=$C$8,E1123=$C$8),OR($C$9="Semua",$C$9="",D1123=$C$9),OR($C$10="",B1123&gt;=$C$10),OR($C$11="",B1123&lt;=$C$11),OR($C$12&lt;&gt;"Ya",K1123&lt;&gt;""),OR($C$13="Semua",$C$13="",L1123=$C$13)),"✓","")</f>
        <v/>
      </c>
      <c r="N1123" s="93">
        <f>N(N1122)+IF(M1123="✓",1,0)</f>
        <v/>
      </c>
      <c r="O1123" s="93">
        <f>N(O1122)+IF(AND(B1123&lt;&gt;"",B1123&gt;='Uang Riba'!$H$30,B1123&lt;='Uang Riba'!$I$30,OR(H1123="Dana riba",H1123="Pinjam uang riba",I1123="Pinjam dari uang riba",I1123="Ganti uang riba",I1123="Kelebihan ganti dikembalikan",AND(C1123="Kantong Uang Riba",G1123="Pengeluaran"))),1,0)</f>
        <v/>
      </c>
      <c r="X1123" s="93">
        <f>IF(AND(B1123&lt;&gt;"",B1123&gt;='Buku Akun'!$H$4,B1123&lt;='Buku Akun'!$H$5,OR(C1123='Buku Akun'!$C$4,AND(D1123="Pindah",E1123='Buku Akun'!$C$4))),B1123+IF(AND(I1123="Selisih bunga",DAY(B1123)=1),0,0.01)+ROW()/10000000,"")</f>
        <v/>
      </c>
    </row>
    <row r="1124" outlineLevel="1" ht="15" customHeight="1" s="94">
      <c r="A1124" s="123">
        <f>IF(B1124="","",ROW()-15)</f>
        <v/>
      </c>
      <c r="B1124" s="124" t="n"/>
      <c r="C1124" s="123" t="n"/>
      <c r="D1124" s="123" t="n"/>
      <c r="E1124" s="123" t="n"/>
      <c r="F1124" s="125" t="n"/>
      <c r="G1124" s="123" t="n"/>
      <c r="H1124" s="123" t="n"/>
      <c r="I1124" s="123" t="n"/>
      <c r="J1124" s="123" t="n"/>
      <c r="K1124" s="123" t="n"/>
      <c r="L1124" s="123" t="n"/>
      <c r="M1124" s="123">
        <f>IF(AND(B1124&lt;&gt;"",OR($C$4="",ISNUMBER(SEARCH($C$4,C1124&amp;" "&amp;E1124&amp;" "&amp;G1124&amp;" "&amp;H1124&amp;" "&amp;I1124&amp;" "&amp;J1124&amp;" "&amp;K1124&amp;" "&amp;L1124))),OR($C$5="Semua",$C$5="",G1124=$C$5),OR($C$6="Semua",$C$6="",H1124=$C$6,H1124="Pengeluaran "&amp;$C$6,AND($C$6="Uang Kos Mama",H1124="Pengeluaran Uang Kos")),OR($C$7="Semua",$C$7="",I1124=$C$7),OR($C$8="Semua",$C$8="",C1124=$C$8,E1124=$C$8),OR($C$9="Semua",$C$9="",D1124=$C$9),OR($C$10="",B1124&gt;=$C$10),OR($C$11="",B1124&lt;=$C$11),OR($C$12&lt;&gt;"Ya",K1124&lt;&gt;""),OR($C$13="Semua",$C$13="",L1124=$C$13)),"✓","")</f>
        <v/>
      </c>
      <c r="N1124" s="93">
        <f>N(N1123)+IF(M1124="✓",1,0)</f>
        <v/>
      </c>
      <c r="O1124" s="93">
        <f>N(O1123)+IF(AND(B1124&lt;&gt;"",B1124&gt;='Uang Riba'!$H$30,B1124&lt;='Uang Riba'!$I$30,OR(H1124="Dana riba",H1124="Pinjam uang riba",I1124="Pinjam dari uang riba",I1124="Ganti uang riba",I1124="Kelebihan ganti dikembalikan",AND(C1124="Kantong Uang Riba",G1124="Pengeluaran"))),1,0)</f>
        <v/>
      </c>
      <c r="X1124" s="93">
        <f>IF(AND(B1124&lt;&gt;"",B1124&gt;='Buku Akun'!$H$4,B1124&lt;='Buku Akun'!$H$5,OR(C1124='Buku Akun'!$C$4,AND(D1124="Pindah",E1124='Buku Akun'!$C$4))),B1124+IF(AND(I1124="Selisih bunga",DAY(B1124)=1),0,0.01)+ROW()/10000000,"")</f>
        <v/>
      </c>
    </row>
    <row r="1125" outlineLevel="1" ht="15" customHeight="1" s="94">
      <c r="A1125" s="123">
        <f>IF(B1125="","",ROW()-15)</f>
        <v/>
      </c>
      <c r="B1125" s="124" t="n"/>
      <c r="C1125" s="123" t="n"/>
      <c r="D1125" s="123" t="n"/>
      <c r="E1125" s="123" t="n"/>
      <c r="F1125" s="125" t="n"/>
      <c r="G1125" s="123" t="n"/>
      <c r="H1125" s="123" t="n"/>
      <c r="I1125" s="123" t="n"/>
      <c r="J1125" s="123" t="n"/>
      <c r="K1125" s="123" t="n"/>
      <c r="L1125" s="123" t="n"/>
      <c r="M1125" s="123">
        <f>IF(AND(B1125&lt;&gt;"",OR($C$4="",ISNUMBER(SEARCH($C$4,C1125&amp;" "&amp;E1125&amp;" "&amp;G1125&amp;" "&amp;H1125&amp;" "&amp;I1125&amp;" "&amp;J1125&amp;" "&amp;K1125&amp;" "&amp;L1125))),OR($C$5="Semua",$C$5="",G1125=$C$5),OR($C$6="Semua",$C$6="",H1125=$C$6,H1125="Pengeluaran "&amp;$C$6,AND($C$6="Uang Kos Mama",H1125="Pengeluaran Uang Kos")),OR($C$7="Semua",$C$7="",I1125=$C$7),OR($C$8="Semua",$C$8="",C1125=$C$8,E1125=$C$8),OR($C$9="Semua",$C$9="",D1125=$C$9),OR($C$10="",B1125&gt;=$C$10),OR($C$11="",B1125&lt;=$C$11),OR($C$12&lt;&gt;"Ya",K1125&lt;&gt;""),OR($C$13="Semua",$C$13="",L1125=$C$13)),"✓","")</f>
        <v/>
      </c>
      <c r="N1125" s="93">
        <f>N(N1124)+IF(M1125="✓",1,0)</f>
        <v/>
      </c>
      <c r="O1125" s="93">
        <f>N(O1124)+IF(AND(B1125&lt;&gt;"",B1125&gt;='Uang Riba'!$H$30,B1125&lt;='Uang Riba'!$I$30,OR(H1125="Dana riba",H1125="Pinjam uang riba",I1125="Pinjam dari uang riba",I1125="Ganti uang riba",I1125="Kelebihan ganti dikembalikan",AND(C1125="Kantong Uang Riba",G1125="Pengeluaran"))),1,0)</f>
        <v/>
      </c>
      <c r="X1125" s="93">
        <f>IF(AND(B1125&lt;&gt;"",B1125&gt;='Buku Akun'!$H$4,B1125&lt;='Buku Akun'!$H$5,OR(C1125='Buku Akun'!$C$4,AND(D1125="Pindah",E1125='Buku Akun'!$C$4))),B1125+IF(AND(I1125="Selisih bunga",DAY(B1125)=1),0,0.01)+ROW()/10000000,"")</f>
        <v/>
      </c>
    </row>
    <row r="1126" outlineLevel="1" ht="15" customHeight="1" s="94">
      <c r="A1126" s="123">
        <f>IF(B1126="","",ROW()-15)</f>
        <v/>
      </c>
      <c r="B1126" s="124" t="n"/>
      <c r="C1126" s="123" t="n"/>
      <c r="D1126" s="123" t="n"/>
      <c r="E1126" s="123" t="n"/>
      <c r="F1126" s="125" t="n"/>
      <c r="G1126" s="123" t="n"/>
      <c r="H1126" s="123" t="n"/>
      <c r="I1126" s="123" t="n"/>
      <c r="J1126" s="123" t="n"/>
      <c r="K1126" s="123" t="n"/>
      <c r="L1126" s="123" t="n"/>
      <c r="M1126" s="123">
        <f>IF(AND(B1126&lt;&gt;"",OR($C$4="",ISNUMBER(SEARCH($C$4,C1126&amp;" "&amp;E1126&amp;" "&amp;G1126&amp;" "&amp;H1126&amp;" "&amp;I1126&amp;" "&amp;J1126&amp;" "&amp;K1126&amp;" "&amp;L1126))),OR($C$5="Semua",$C$5="",G1126=$C$5),OR($C$6="Semua",$C$6="",H1126=$C$6,H1126="Pengeluaran "&amp;$C$6,AND($C$6="Uang Kos Mama",H1126="Pengeluaran Uang Kos")),OR($C$7="Semua",$C$7="",I1126=$C$7),OR($C$8="Semua",$C$8="",C1126=$C$8,E1126=$C$8),OR($C$9="Semua",$C$9="",D1126=$C$9),OR($C$10="",B1126&gt;=$C$10),OR($C$11="",B1126&lt;=$C$11),OR($C$12&lt;&gt;"Ya",K1126&lt;&gt;""),OR($C$13="Semua",$C$13="",L1126=$C$13)),"✓","")</f>
        <v/>
      </c>
      <c r="N1126" s="93">
        <f>N(N1125)+IF(M1126="✓",1,0)</f>
        <v/>
      </c>
      <c r="O1126" s="93">
        <f>N(O1125)+IF(AND(B1126&lt;&gt;"",B1126&gt;='Uang Riba'!$H$30,B1126&lt;='Uang Riba'!$I$30,OR(H1126="Dana riba",H1126="Pinjam uang riba",I1126="Pinjam dari uang riba",I1126="Ganti uang riba",I1126="Kelebihan ganti dikembalikan",AND(C1126="Kantong Uang Riba",G1126="Pengeluaran"))),1,0)</f>
        <v/>
      </c>
      <c r="X1126" s="93">
        <f>IF(AND(B1126&lt;&gt;"",B1126&gt;='Buku Akun'!$H$4,B1126&lt;='Buku Akun'!$H$5,OR(C1126='Buku Akun'!$C$4,AND(D1126="Pindah",E1126='Buku Akun'!$C$4))),B1126+IF(AND(I1126="Selisih bunga",DAY(B1126)=1),0,0.01)+ROW()/10000000,"")</f>
        <v/>
      </c>
    </row>
    <row r="1127" outlineLevel="1" ht="15" customHeight="1" s="94">
      <c r="A1127" s="123">
        <f>IF(B1127="","",ROW()-15)</f>
        <v/>
      </c>
      <c r="B1127" s="124" t="n"/>
      <c r="C1127" s="123" t="n"/>
      <c r="D1127" s="123" t="n"/>
      <c r="E1127" s="123" t="n"/>
      <c r="F1127" s="125" t="n"/>
      <c r="G1127" s="123" t="n"/>
      <c r="H1127" s="123" t="n"/>
      <c r="I1127" s="123" t="n"/>
      <c r="J1127" s="123" t="n"/>
      <c r="K1127" s="123" t="n"/>
      <c r="L1127" s="123" t="n"/>
      <c r="M1127" s="123">
        <f>IF(AND(B1127&lt;&gt;"",OR($C$4="",ISNUMBER(SEARCH($C$4,C1127&amp;" "&amp;E1127&amp;" "&amp;G1127&amp;" "&amp;H1127&amp;" "&amp;I1127&amp;" "&amp;J1127&amp;" "&amp;K1127&amp;" "&amp;L1127))),OR($C$5="Semua",$C$5="",G1127=$C$5),OR($C$6="Semua",$C$6="",H1127=$C$6,H1127="Pengeluaran "&amp;$C$6,AND($C$6="Uang Kos Mama",H1127="Pengeluaran Uang Kos")),OR($C$7="Semua",$C$7="",I1127=$C$7),OR($C$8="Semua",$C$8="",C1127=$C$8,E1127=$C$8),OR($C$9="Semua",$C$9="",D1127=$C$9),OR($C$10="",B1127&gt;=$C$10),OR($C$11="",B1127&lt;=$C$11),OR($C$12&lt;&gt;"Ya",K1127&lt;&gt;""),OR($C$13="Semua",$C$13="",L1127=$C$13)),"✓","")</f>
        <v/>
      </c>
      <c r="N1127" s="93">
        <f>N(N1126)+IF(M1127="✓",1,0)</f>
        <v/>
      </c>
      <c r="O1127" s="93">
        <f>N(O1126)+IF(AND(B1127&lt;&gt;"",B1127&gt;='Uang Riba'!$H$30,B1127&lt;='Uang Riba'!$I$30,OR(H1127="Dana riba",H1127="Pinjam uang riba",I1127="Pinjam dari uang riba",I1127="Ganti uang riba",I1127="Kelebihan ganti dikembalikan",AND(C1127="Kantong Uang Riba",G1127="Pengeluaran"))),1,0)</f>
        <v/>
      </c>
      <c r="X1127" s="93">
        <f>IF(AND(B1127&lt;&gt;"",B1127&gt;='Buku Akun'!$H$4,B1127&lt;='Buku Akun'!$H$5,OR(C1127='Buku Akun'!$C$4,AND(D1127="Pindah",E1127='Buku Akun'!$C$4))),B1127+IF(AND(I1127="Selisih bunga",DAY(B1127)=1),0,0.01)+ROW()/10000000,"")</f>
        <v/>
      </c>
    </row>
    <row r="1128" outlineLevel="1" ht="15" customHeight="1" s="94">
      <c r="A1128" s="123">
        <f>IF(B1128="","",ROW()-15)</f>
        <v/>
      </c>
      <c r="B1128" s="124" t="n"/>
      <c r="C1128" s="123" t="n"/>
      <c r="D1128" s="123" t="n"/>
      <c r="E1128" s="123" t="n"/>
      <c r="F1128" s="125" t="n"/>
      <c r="G1128" s="123" t="n"/>
      <c r="H1128" s="123" t="n"/>
      <c r="I1128" s="123" t="n"/>
      <c r="J1128" s="123" t="n"/>
      <c r="K1128" s="123" t="n"/>
      <c r="L1128" s="123" t="n"/>
      <c r="M1128" s="123">
        <f>IF(AND(B1128&lt;&gt;"",OR($C$4="",ISNUMBER(SEARCH($C$4,C1128&amp;" "&amp;E1128&amp;" "&amp;G1128&amp;" "&amp;H1128&amp;" "&amp;I1128&amp;" "&amp;J1128&amp;" "&amp;K1128&amp;" "&amp;L1128))),OR($C$5="Semua",$C$5="",G1128=$C$5),OR($C$6="Semua",$C$6="",H1128=$C$6,H1128="Pengeluaran "&amp;$C$6,AND($C$6="Uang Kos Mama",H1128="Pengeluaran Uang Kos")),OR($C$7="Semua",$C$7="",I1128=$C$7),OR($C$8="Semua",$C$8="",C1128=$C$8,E1128=$C$8),OR($C$9="Semua",$C$9="",D1128=$C$9),OR($C$10="",B1128&gt;=$C$10),OR($C$11="",B1128&lt;=$C$11),OR($C$12&lt;&gt;"Ya",K1128&lt;&gt;""),OR($C$13="Semua",$C$13="",L1128=$C$13)),"✓","")</f>
        <v/>
      </c>
      <c r="N1128" s="93">
        <f>N(N1127)+IF(M1128="✓",1,0)</f>
        <v/>
      </c>
      <c r="O1128" s="93">
        <f>N(O1127)+IF(AND(B1128&lt;&gt;"",B1128&gt;='Uang Riba'!$H$30,B1128&lt;='Uang Riba'!$I$30,OR(H1128="Dana riba",H1128="Pinjam uang riba",I1128="Pinjam dari uang riba",I1128="Ganti uang riba",I1128="Kelebihan ganti dikembalikan",AND(C1128="Kantong Uang Riba",G1128="Pengeluaran"))),1,0)</f>
        <v/>
      </c>
      <c r="X1128" s="93">
        <f>IF(AND(B1128&lt;&gt;"",B1128&gt;='Buku Akun'!$H$4,B1128&lt;='Buku Akun'!$H$5,OR(C1128='Buku Akun'!$C$4,AND(D1128="Pindah",E1128='Buku Akun'!$C$4))),B1128+IF(AND(I1128="Selisih bunga",DAY(B1128)=1),0,0.01)+ROW()/10000000,"")</f>
        <v/>
      </c>
    </row>
    <row r="1129" outlineLevel="1" ht="15" customHeight="1" s="94">
      <c r="A1129" s="123">
        <f>IF(B1129="","",ROW()-15)</f>
        <v/>
      </c>
      <c r="B1129" s="124" t="n"/>
      <c r="C1129" s="123" t="n"/>
      <c r="D1129" s="123" t="n"/>
      <c r="E1129" s="123" t="n"/>
      <c r="F1129" s="125" t="n"/>
      <c r="G1129" s="123" t="n"/>
      <c r="H1129" s="123" t="n"/>
      <c r="I1129" s="123" t="n"/>
      <c r="J1129" s="123" t="n"/>
      <c r="K1129" s="123" t="n"/>
      <c r="L1129" s="123" t="n"/>
      <c r="M1129" s="123">
        <f>IF(AND(B1129&lt;&gt;"",OR($C$4="",ISNUMBER(SEARCH($C$4,C1129&amp;" "&amp;E1129&amp;" "&amp;G1129&amp;" "&amp;H1129&amp;" "&amp;I1129&amp;" "&amp;J1129&amp;" "&amp;K1129&amp;" "&amp;L1129))),OR($C$5="Semua",$C$5="",G1129=$C$5),OR($C$6="Semua",$C$6="",H1129=$C$6,H1129="Pengeluaran "&amp;$C$6,AND($C$6="Uang Kos Mama",H1129="Pengeluaran Uang Kos")),OR($C$7="Semua",$C$7="",I1129=$C$7),OR($C$8="Semua",$C$8="",C1129=$C$8,E1129=$C$8),OR($C$9="Semua",$C$9="",D1129=$C$9),OR($C$10="",B1129&gt;=$C$10),OR($C$11="",B1129&lt;=$C$11),OR($C$12&lt;&gt;"Ya",K1129&lt;&gt;""),OR($C$13="Semua",$C$13="",L1129=$C$13)),"✓","")</f>
        <v/>
      </c>
      <c r="N1129" s="93">
        <f>N(N1128)+IF(M1129="✓",1,0)</f>
        <v/>
      </c>
      <c r="O1129" s="93">
        <f>N(O1128)+IF(AND(B1129&lt;&gt;"",B1129&gt;='Uang Riba'!$H$30,B1129&lt;='Uang Riba'!$I$30,OR(H1129="Dana riba",H1129="Pinjam uang riba",I1129="Pinjam dari uang riba",I1129="Ganti uang riba",I1129="Kelebihan ganti dikembalikan",AND(C1129="Kantong Uang Riba",G1129="Pengeluaran"))),1,0)</f>
        <v/>
      </c>
      <c r="X1129" s="93">
        <f>IF(AND(B1129&lt;&gt;"",B1129&gt;='Buku Akun'!$H$4,B1129&lt;='Buku Akun'!$H$5,OR(C1129='Buku Akun'!$C$4,AND(D1129="Pindah",E1129='Buku Akun'!$C$4))),B1129+IF(AND(I1129="Selisih bunga",DAY(B1129)=1),0,0.01)+ROW()/10000000,"")</f>
        <v/>
      </c>
    </row>
    <row r="1130" outlineLevel="1" ht="15" customHeight="1" s="94">
      <c r="A1130" s="123">
        <f>IF(B1130="","",ROW()-15)</f>
        <v/>
      </c>
      <c r="B1130" s="124" t="n"/>
      <c r="C1130" s="123" t="n"/>
      <c r="D1130" s="123" t="n"/>
      <c r="E1130" s="123" t="n"/>
      <c r="F1130" s="125" t="n"/>
      <c r="G1130" s="123" t="n"/>
      <c r="H1130" s="123" t="n"/>
      <c r="I1130" s="123" t="n"/>
      <c r="J1130" s="123" t="n"/>
      <c r="K1130" s="123" t="n"/>
      <c r="L1130" s="123" t="n"/>
      <c r="M1130" s="123">
        <f>IF(AND(B1130&lt;&gt;"",OR($C$4="",ISNUMBER(SEARCH($C$4,C1130&amp;" "&amp;E1130&amp;" "&amp;G1130&amp;" "&amp;H1130&amp;" "&amp;I1130&amp;" "&amp;J1130&amp;" "&amp;K1130&amp;" "&amp;L1130))),OR($C$5="Semua",$C$5="",G1130=$C$5),OR($C$6="Semua",$C$6="",H1130=$C$6,H1130="Pengeluaran "&amp;$C$6,AND($C$6="Uang Kos Mama",H1130="Pengeluaran Uang Kos")),OR($C$7="Semua",$C$7="",I1130=$C$7),OR($C$8="Semua",$C$8="",C1130=$C$8,E1130=$C$8),OR($C$9="Semua",$C$9="",D1130=$C$9),OR($C$10="",B1130&gt;=$C$10),OR($C$11="",B1130&lt;=$C$11),OR($C$12&lt;&gt;"Ya",K1130&lt;&gt;""),OR($C$13="Semua",$C$13="",L1130=$C$13)),"✓","")</f>
        <v/>
      </c>
      <c r="N1130" s="93">
        <f>N(N1129)+IF(M1130="✓",1,0)</f>
        <v/>
      </c>
      <c r="O1130" s="93">
        <f>N(O1129)+IF(AND(B1130&lt;&gt;"",B1130&gt;='Uang Riba'!$H$30,B1130&lt;='Uang Riba'!$I$30,OR(H1130="Dana riba",H1130="Pinjam uang riba",I1130="Pinjam dari uang riba",I1130="Ganti uang riba",I1130="Kelebihan ganti dikembalikan",AND(C1130="Kantong Uang Riba",G1130="Pengeluaran"))),1,0)</f>
        <v/>
      </c>
      <c r="X1130" s="93">
        <f>IF(AND(B1130&lt;&gt;"",B1130&gt;='Buku Akun'!$H$4,B1130&lt;='Buku Akun'!$H$5,OR(C1130='Buku Akun'!$C$4,AND(D1130="Pindah",E1130='Buku Akun'!$C$4))),B1130+IF(AND(I1130="Selisih bunga",DAY(B1130)=1),0,0.01)+ROW()/10000000,"")</f>
        <v/>
      </c>
    </row>
    <row r="1131" outlineLevel="1" ht="15" customHeight="1" s="94">
      <c r="A1131" s="123">
        <f>IF(B1131="","",ROW()-15)</f>
        <v/>
      </c>
      <c r="B1131" s="124" t="n"/>
      <c r="C1131" s="123" t="n"/>
      <c r="D1131" s="123" t="n"/>
      <c r="E1131" s="123" t="n"/>
      <c r="F1131" s="125" t="n"/>
      <c r="G1131" s="123" t="n"/>
      <c r="H1131" s="123" t="n"/>
      <c r="I1131" s="123" t="n"/>
      <c r="J1131" s="123" t="n"/>
      <c r="K1131" s="123" t="n"/>
      <c r="L1131" s="123" t="n"/>
      <c r="M1131" s="123">
        <f>IF(AND(B1131&lt;&gt;"",OR($C$4="",ISNUMBER(SEARCH($C$4,C1131&amp;" "&amp;E1131&amp;" "&amp;G1131&amp;" "&amp;H1131&amp;" "&amp;I1131&amp;" "&amp;J1131&amp;" "&amp;K1131&amp;" "&amp;L1131))),OR($C$5="Semua",$C$5="",G1131=$C$5),OR($C$6="Semua",$C$6="",H1131=$C$6,H1131="Pengeluaran "&amp;$C$6,AND($C$6="Uang Kos Mama",H1131="Pengeluaran Uang Kos")),OR($C$7="Semua",$C$7="",I1131=$C$7),OR($C$8="Semua",$C$8="",C1131=$C$8,E1131=$C$8),OR($C$9="Semua",$C$9="",D1131=$C$9),OR($C$10="",B1131&gt;=$C$10),OR($C$11="",B1131&lt;=$C$11),OR($C$12&lt;&gt;"Ya",K1131&lt;&gt;""),OR($C$13="Semua",$C$13="",L1131=$C$13)),"✓","")</f>
        <v/>
      </c>
      <c r="N1131" s="93">
        <f>N(N1130)+IF(M1131="✓",1,0)</f>
        <v/>
      </c>
      <c r="O1131" s="93">
        <f>N(O1130)+IF(AND(B1131&lt;&gt;"",B1131&gt;='Uang Riba'!$H$30,B1131&lt;='Uang Riba'!$I$30,OR(H1131="Dana riba",H1131="Pinjam uang riba",I1131="Pinjam dari uang riba",I1131="Ganti uang riba",I1131="Kelebihan ganti dikembalikan",AND(C1131="Kantong Uang Riba",G1131="Pengeluaran"))),1,0)</f>
        <v/>
      </c>
      <c r="X1131" s="93">
        <f>IF(AND(B1131&lt;&gt;"",B1131&gt;='Buku Akun'!$H$4,B1131&lt;='Buku Akun'!$H$5,OR(C1131='Buku Akun'!$C$4,AND(D1131="Pindah",E1131='Buku Akun'!$C$4))),B1131+IF(AND(I1131="Selisih bunga",DAY(B1131)=1),0,0.01)+ROW()/10000000,"")</f>
        <v/>
      </c>
    </row>
    <row r="1132" outlineLevel="1" ht="15" customHeight="1" s="94">
      <c r="A1132" s="123">
        <f>IF(B1132="","",ROW()-15)</f>
        <v/>
      </c>
      <c r="B1132" s="124" t="n"/>
      <c r="C1132" s="123" t="n"/>
      <c r="D1132" s="123" t="n"/>
      <c r="E1132" s="123" t="n"/>
      <c r="F1132" s="125" t="n"/>
      <c r="G1132" s="123" t="n"/>
      <c r="H1132" s="123" t="n"/>
      <c r="I1132" s="123" t="n"/>
      <c r="J1132" s="123" t="n"/>
      <c r="K1132" s="123" t="n"/>
      <c r="L1132" s="123" t="n"/>
      <c r="M1132" s="123">
        <f>IF(AND(B1132&lt;&gt;"",OR($C$4="",ISNUMBER(SEARCH($C$4,C1132&amp;" "&amp;E1132&amp;" "&amp;G1132&amp;" "&amp;H1132&amp;" "&amp;I1132&amp;" "&amp;J1132&amp;" "&amp;K1132&amp;" "&amp;L1132))),OR($C$5="Semua",$C$5="",G1132=$C$5),OR($C$6="Semua",$C$6="",H1132=$C$6,H1132="Pengeluaran "&amp;$C$6,AND($C$6="Uang Kos Mama",H1132="Pengeluaran Uang Kos")),OR($C$7="Semua",$C$7="",I1132=$C$7),OR($C$8="Semua",$C$8="",C1132=$C$8,E1132=$C$8),OR($C$9="Semua",$C$9="",D1132=$C$9),OR($C$10="",B1132&gt;=$C$10),OR($C$11="",B1132&lt;=$C$11),OR($C$12&lt;&gt;"Ya",K1132&lt;&gt;""),OR($C$13="Semua",$C$13="",L1132=$C$13)),"✓","")</f>
        <v/>
      </c>
      <c r="N1132" s="93">
        <f>N(N1131)+IF(M1132="✓",1,0)</f>
        <v/>
      </c>
      <c r="O1132" s="93">
        <f>N(O1131)+IF(AND(B1132&lt;&gt;"",B1132&gt;='Uang Riba'!$H$30,B1132&lt;='Uang Riba'!$I$30,OR(H1132="Dana riba",H1132="Pinjam uang riba",I1132="Pinjam dari uang riba",I1132="Ganti uang riba",I1132="Kelebihan ganti dikembalikan",AND(C1132="Kantong Uang Riba",G1132="Pengeluaran"))),1,0)</f>
        <v/>
      </c>
      <c r="X1132" s="93">
        <f>IF(AND(B1132&lt;&gt;"",B1132&gt;='Buku Akun'!$H$4,B1132&lt;='Buku Akun'!$H$5,OR(C1132='Buku Akun'!$C$4,AND(D1132="Pindah",E1132='Buku Akun'!$C$4))),B1132+IF(AND(I1132="Selisih bunga",DAY(B1132)=1),0,0.01)+ROW()/10000000,"")</f>
        <v/>
      </c>
    </row>
    <row r="1133" outlineLevel="1" ht="15" customHeight="1" s="94">
      <c r="A1133" s="123">
        <f>IF(B1133="","",ROW()-15)</f>
        <v/>
      </c>
      <c r="B1133" s="124" t="n"/>
      <c r="C1133" s="123" t="n"/>
      <c r="D1133" s="123" t="n"/>
      <c r="E1133" s="123" t="n"/>
      <c r="F1133" s="125" t="n"/>
      <c r="G1133" s="123" t="n"/>
      <c r="H1133" s="123" t="n"/>
      <c r="I1133" s="123" t="n"/>
      <c r="J1133" s="123" t="n"/>
      <c r="K1133" s="123" t="n"/>
      <c r="L1133" s="123" t="n"/>
      <c r="M1133" s="123">
        <f>IF(AND(B1133&lt;&gt;"",OR($C$4="",ISNUMBER(SEARCH($C$4,C1133&amp;" "&amp;E1133&amp;" "&amp;G1133&amp;" "&amp;H1133&amp;" "&amp;I1133&amp;" "&amp;J1133&amp;" "&amp;K1133&amp;" "&amp;L1133))),OR($C$5="Semua",$C$5="",G1133=$C$5),OR($C$6="Semua",$C$6="",H1133=$C$6,H1133="Pengeluaran "&amp;$C$6,AND($C$6="Uang Kos Mama",H1133="Pengeluaran Uang Kos")),OR($C$7="Semua",$C$7="",I1133=$C$7),OR($C$8="Semua",$C$8="",C1133=$C$8,E1133=$C$8),OR($C$9="Semua",$C$9="",D1133=$C$9),OR($C$10="",B1133&gt;=$C$10),OR($C$11="",B1133&lt;=$C$11),OR($C$12&lt;&gt;"Ya",K1133&lt;&gt;""),OR($C$13="Semua",$C$13="",L1133=$C$13)),"✓","")</f>
        <v/>
      </c>
      <c r="N1133" s="93">
        <f>N(N1132)+IF(M1133="✓",1,0)</f>
        <v/>
      </c>
      <c r="O1133" s="93">
        <f>N(O1132)+IF(AND(B1133&lt;&gt;"",B1133&gt;='Uang Riba'!$H$30,B1133&lt;='Uang Riba'!$I$30,OR(H1133="Dana riba",H1133="Pinjam uang riba",I1133="Pinjam dari uang riba",I1133="Ganti uang riba",I1133="Kelebihan ganti dikembalikan",AND(C1133="Kantong Uang Riba",G1133="Pengeluaran"))),1,0)</f>
        <v/>
      </c>
      <c r="X1133" s="93">
        <f>IF(AND(B1133&lt;&gt;"",B1133&gt;='Buku Akun'!$H$4,B1133&lt;='Buku Akun'!$H$5,OR(C1133='Buku Akun'!$C$4,AND(D1133="Pindah",E1133='Buku Akun'!$C$4))),B1133+IF(AND(I1133="Selisih bunga",DAY(B1133)=1),0,0.01)+ROW()/10000000,"")</f>
        <v/>
      </c>
    </row>
    <row r="1134" outlineLevel="1" ht="15" customHeight="1" s="94">
      <c r="A1134" s="123">
        <f>IF(B1134="","",ROW()-15)</f>
        <v/>
      </c>
      <c r="B1134" s="124" t="n"/>
      <c r="C1134" s="123" t="n"/>
      <c r="D1134" s="123" t="n"/>
      <c r="E1134" s="123" t="n"/>
      <c r="F1134" s="125" t="n"/>
      <c r="G1134" s="123" t="n"/>
      <c r="H1134" s="123" t="n"/>
      <c r="I1134" s="123" t="n"/>
      <c r="J1134" s="123" t="n"/>
      <c r="K1134" s="123" t="n"/>
      <c r="L1134" s="123" t="n"/>
      <c r="M1134" s="123">
        <f>IF(AND(B1134&lt;&gt;"",OR($C$4="",ISNUMBER(SEARCH($C$4,C1134&amp;" "&amp;E1134&amp;" "&amp;G1134&amp;" "&amp;H1134&amp;" "&amp;I1134&amp;" "&amp;J1134&amp;" "&amp;K1134&amp;" "&amp;L1134))),OR($C$5="Semua",$C$5="",G1134=$C$5),OR($C$6="Semua",$C$6="",H1134=$C$6,H1134="Pengeluaran "&amp;$C$6,AND($C$6="Uang Kos Mama",H1134="Pengeluaran Uang Kos")),OR($C$7="Semua",$C$7="",I1134=$C$7),OR($C$8="Semua",$C$8="",C1134=$C$8,E1134=$C$8),OR($C$9="Semua",$C$9="",D1134=$C$9),OR($C$10="",B1134&gt;=$C$10),OR($C$11="",B1134&lt;=$C$11),OR($C$12&lt;&gt;"Ya",K1134&lt;&gt;""),OR($C$13="Semua",$C$13="",L1134=$C$13)),"✓","")</f>
        <v/>
      </c>
      <c r="N1134" s="93">
        <f>N(N1133)+IF(M1134="✓",1,0)</f>
        <v/>
      </c>
      <c r="O1134" s="93">
        <f>N(O1133)+IF(AND(B1134&lt;&gt;"",B1134&gt;='Uang Riba'!$H$30,B1134&lt;='Uang Riba'!$I$30,OR(H1134="Dana riba",H1134="Pinjam uang riba",I1134="Pinjam dari uang riba",I1134="Ganti uang riba",I1134="Kelebihan ganti dikembalikan",AND(C1134="Kantong Uang Riba",G1134="Pengeluaran"))),1,0)</f>
        <v/>
      </c>
      <c r="X1134" s="93">
        <f>IF(AND(B1134&lt;&gt;"",B1134&gt;='Buku Akun'!$H$4,B1134&lt;='Buku Akun'!$H$5,OR(C1134='Buku Akun'!$C$4,AND(D1134="Pindah",E1134='Buku Akun'!$C$4))),B1134+IF(AND(I1134="Selisih bunga",DAY(B1134)=1),0,0.01)+ROW()/10000000,"")</f>
        <v/>
      </c>
    </row>
    <row r="1135" outlineLevel="1" ht="15" customHeight="1" s="94">
      <c r="A1135" s="123">
        <f>IF(B1135="","",ROW()-15)</f>
        <v/>
      </c>
      <c r="B1135" s="124" t="n"/>
      <c r="C1135" s="123" t="n"/>
      <c r="D1135" s="123" t="n"/>
      <c r="E1135" s="123" t="n"/>
      <c r="F1135" s="125" t="n"/>
      <c r="G1135" s="123" t="n"/>
      <c r="H1135" s="123" t="n"/>
      <c r="I1135" s="123" t="n"/>
      <c r="J1135" s="123" t="n"/>
      <c r="K1135" s="123" t="n"/>
      <c r="L1135" s="123" t="n"/>
      <c r="M1135" s="123">
        <f>IF(AND(B1135&lt;&gt;"",OR($C$4="",ISNUMBER(SEARCH($C$4,C1135&amp;" "&amp;E1135&amp;" "&amp;G1135&amp;" "&amp;H1135&amp;" "&amp;I1135&amp;" "&amp;J1135&amp;" "&amp;K1135&amp;" "&amp;L1135))),OR($C$5="Semua",$C$5="",G1135=$C$5),OR($C$6="Semua",$C$6="",H1135=$C$6,H1135="Pengeluaran "&amp;$C$6,AND($C$6="Uang Kos Mama",H1135="Pengeluaran Uang Kos")),OR($C$7="Semua",$C$7="",I1135=$C$7),OR($C$8="Semua",$C$8="",C1135=$C$8,E1135=$C$8),OR($C$9="Semua",$C$9="",D1135=$C$9),OR($C$10="",B1135&gt;=$C$10),OR($C$11="",B1135&lt;=$C$11),OR($C$12&lt;&gt;"Ya",K1135&lt;&gt;""),OR($C$13="Semua",$C$13="",L1135=$C$13)),"✓","")</f>
        <v/>
      </c>
      <c r="N1135" s="93">
        <f>N(N1134)+IF(M1135="✓",1,0)</f>
        <v/>
      </c>
      <c r="O1135" s="93">
        <f>N(O1134)+IF(AND(B1135&lt;&gt;"",B1135&gt;='Uang Riba'!$H$30,B1135&lt;='Uang Riba'!$I$30,OR(H1135="Dana riba",H1135="Pinjam uang riba",I1135="Pinjam dari uang riba",I1135="Ganti uang riba",I1135="Kelebihan ganti dikembalikan",AND(C1135="Kantong Uang Riba",G1135="Pengeluaran"))),1,0)</f>
        <v/>
      </c>
      <c r="X1135" s="93">
        <f>IF(AND(B1135&lt;&gt;"",B1135&gt;='Buku Akun'!$H$4,B1135&lt;='Buku Akun'!$H$5,OR(C1135='Buku Akun'!$C$4,AND(D1135="Pindah",E1135='Buku Akun'!$C$4))),B1135+IF(AND(I1135="Selisih bunga",DAY(B1135)=1),0,0.01)+ROW()/10000000,"")</f>
        <v/>
      </c>
    </row>
    <row r="1136" outlineLevel="1" ht="15" customHeight="1" s="94">
      <c r="A1136" s="123">
        <f>IF(B1136="","",ROW()-15)</f>
        <v/>
      </c>
      <c r="B1136" s="124" t="n"/>
      <c r="C1136" s="123" t="n"/>
      <c r="D1136" s="123" t="n"/>
      <c r="E1136" s="123" t="n"/>
      <c r="F1136" s="125" t="n"/>
      <c r="G1136" s="123" t="n"/>
      <c r="H1136" s="123" t="n"/>
      <c r="I1136" s="123" t="n"/>
      <c r="J1136" s="123" t="n"/>
      <c r="K1136" s="123" t="n"/>
      <c r="L1136" s="123" t="n"/>
      <c r="M1136" s="123">
        <f>IF(AND(B1136&lt;&gt;"",OR($C$4="",ISNUMBER(SEARCH($C$4,C1136&amp;" "&amp;E1136&amp;" "&amp;G1136&amp;" "&amp;H1136&amp;" "&amp;I1136&amp;" "&amp;J1136&amp;" "&amp;K1136&amp;" "&amp;L1136))),OR($C$5="Semua",$C$5="",G1136=$C$5),OR($C$6="Semua",$C$6="",H1136=$C$6,H1136="Pengeluaran "&amp;$C$6,AND($C$6="Uang Kos Mama",H1136="Pengeluaran Uang Kos")),OR($C$7="Semua",$C$7="",I1136=$C$7),OR($C$8="Semua",$C$8="",C1136=$C$8,E1136=$C$8),OR($C$9="Semua",$C$9="",D1136=$C$9),OR($C$10="",B1136&gt;=$C$10),OR($C$11="",B1136&lt;=$C$11),OR($C$12&lt;&gt;"Ya",K1136&lt;&gt;""),OR($C$13="Semua",$C$13="",L1136=$C$13)),"✓","")</f>
        <v/>
      </c>
      <c r="N1136" s="93">
        <f>N(N1135)+IF(M1136="✓",1,0)</f>
        <v/>
      </c>
      <c r="O1136" s="93">
        <f>N(O1135)+IF(AND(B1136&lt;&gt;"",B1136&gt;='Uang Riba'!$H$30,B1136&lt;='Uang Riba'!$I$30,OR(H1136="Dana riba",H1136="Pinjam uang riba",I1136="Pinjam dari uang riba",I1136="Ganti uang riba",I1136="Kelebihan ganti dikembalikan",AND(C1136="Kantong Uang Riba",G1136="Pengeluaran"))),1,0)</f>
        <v/>
      </c>
      <c r="X1136" s="93">
        <f>IF(AND(B1136&lt;&gt;"",B1136&gt;='Buku Akun'!$H$4,B1136&lt;='Buku Akun'!$H$5,OR(C1136='Buku Akun'!$C$4,AND(D1136="Pindah",E1136='Buku Akun'!$C$4))),B1136+IF(AND(I1136="Selisih bunga",DAY(B1136)=1),0,0.01)+ROW()/10000000,"")</f>
        <v/>
      </c>
    </row>
    <row r="1137" outlineLevel="1" ht="15" customHeight="1" s="94">
      <c r="A1137" s="123">
        <f>IF(B1137="","",ROW()-15)</f>
        <v/>
      </c>
      <c r="B1137" s="124" t="n"/>
      <c r="C1137" s="123" t="n"/>
      <c r="D1137" s="123" t="n"/>
      <c r="E1137" s="123" t="n"/>
      <c r="F1137" s="125" t="n"/>
      <c r="G1137" s="123" t="n"/>
      <c r="H1137" s="123" t="n"/>
      <c r="I1137" s="123" t="n"/>
      <c r="J1137" s="123" t="n"/>
      <c r="K1137" s="123" t="n"/>
      <c r="L1137" s="123" t="n"/>
      <c r="M1137" s="123">
        <f>IF(AND(B1137&lt;&gt;"",OR($C$4="",ISNUMBER(SEARCH($C$4,C1137&amp;" "&amp;E1137&amp;" "&amp;G1137&amp;" "&amp;H1137&amp;" "&amp;I1137&amp;" "&amp;J1137&amp;" "&amp;K1137&amp;" "&amp;L1137))),OR($C$5="Semua",$C$5="",G1137=$C$5),OR($C$6="Semua",$C$6="",H1137=$C$6,H1137="Pengeluaran "&amp;$C$6,AND($C$6="Uang Kos Mama",H1137="Pengeluaran Uang Kos")),OR($C$7="Semua",$C$7="",I1137=$C$7),OR($C$8="Semua",$C$8="",C1137=$C$8,E1137=$C$8),OR($C$9="Semua",$C$9="",D1137=$C$9),OR($C$10="",B1137&gt;=$C$10),OR($C$11="",B1137&lt;=$C$11),OR($C$12&lt;&gt;"Ya",K1137&lt;&gt;""),OR($C$13="Semua",$C$13="",L1137=$C$13)),"✓","")</f>
        <v/>
      </c>
      <c r="N1137" s="93">
        <f>N(N1136)+IF(M1137="✓",1,0)</f>
        <v/>
      </c>
      <c r="O1137" s="93">
        <f>N(O1136)+IF(AND(B1137&lt;&gt;"",B1137&gt;='Uang Riba'!$H$30,B1137&lt;='Uang Riba'!$I$30,OR(H1137="Dana riba",H1137="Pinjam uang riba",I1137="Pinjam dari uang riba",I1137="Ganti uang riba",I1137="Kelebihan ganti dikembalikan",AND(C1137="Kantong Uang Riba",G1137="Pengeluaran"))),1,0)</f>
        <v/>
      </c>
      <c r="X1137" s="93">
        <f>IF(AND(B1137&lt;&gt;"",B1137&gt;='Buku Akun'!$H$4,B1137&lt;='Buku Akun'!$H$5,OR(C1137='Buku Akun'!$C$4,AND(D1137="Pindah",E1137='Buku Akun'!$C$4))),B1137+IF(AND(I1137="Selisih bunga",DAY(B1137)=1),0,0.01)+ROW()/10000000,"")</f>
        <v/>
      </c>
    </row>
    <row r="1138" outlineLevel="1" ht="15" customHeight="1" s="94">
      <c r="A1138" s="123">
        <f>IF(B1138="","",ROW()-15)</f>
        <v/>
      </c>
      <c r="B1138" s="124" t="n"/>
      <c r="C1138" s="123" t="n"/>
      <c r="D1138" s="123" t="n"/>
      <c r="E1138" s="123" t="n"/>
      <c r="F1138" s="125" t="n"/>
      <c r="G1138" s="123" t="n"/>
      <c r="H1138" s="123" t="n"/>
      <c r="I1138" s="123" t="n"/>
      <c r="J1138" s="123" t="n"/>
      <c r="K1138" s="123" t="n"/>
      <c r="L1138" s="123" t="n"/>
      <c r="M1138" s="123">
        <f>IF(AND(B1138&lt;&gt;"",OR($C$4="",ISNUMBER(SEARCH($C$4,C1138&amp;" "&amp;E1138&amp;" "&amp;G1138&amp;" "&amp;H1138&amp;" "&amp;I1138&amp;" "&amp;J1138&amp;" "&amp;K1138&amp;" "&amp;L1138))),OR($C$5="Semua",$C$5="",G1138=$C$5),OR($C$6="Semua",$C$6="",H1138=$C$6,H1138="Pengeluaran "&amp;$C$6,AND($C$6="Uang Kos Mama",H1138="Pengeluaran Uang Kos")),OR($C$7="Semua",$C$7="",I1138=$C$7),OR($C$8="Semua",$C$8="",C1138=$C$8,E1138=$C$8),OR($C$9="Semua",$C$9="",D1138=$C$9),OR($C$10="",B1138&gt;=$C$10),OR($C$11="",B1138&lt;=$C$11),OR($C$12&lt;&gt;"Ya",K1138&lt;&gt;""),OR($C$13="Semua",$C$13="",L1138=$C$13)),"✓","")</f>
        <v/>
      </c>
      <c r="N1138" s="93">
        <f>N(N1137)+IF(M1138="✓",1,0)</f>
        <v/>
      </c>
      <c r="O1138" s="93">
        <f>N(O1137)+IF(AND(B1138&lt;&gt;"",B1138&gt;='Uang Riba'!$H$30,B1138&lt;='Uang Riba'!$I$30,OR(H1138="Dana riba",H1138="Pinjam uang riba",I1138="Pinjam dari uang riba",I1138="Ganti uang riba",I1138="Kelebihan ganti dikembalikan",AND(C1138="Kantong Uang Riba",G1138="Pengeluaran"))),1,0)</f>
        <v/>
      </c>
      <c r="X1138" s="93">
        <f>IF(AND(B1138&lt;&gt;"",B1138&gt;='Buku Akun'!$H$4,B1138&lt;='Buku Akun'!$H$5,OR(C1138='Buku Akun'!$C$4,AND(D1138="Pindah",E1138='Buku Akun'!$C$4))),B1138+IF(AND(I1138="Selisih bunga",DAY(B1138)=1),0,0.01)+ROW()/10000000,"")</f>
        <v/>
      </c>
    </row>
    <row r="1139" outlineLevel="1" ht="15" customHeight="1" s="94">
      <c r="A1139" s="123">
        <f>IF(B1139="","",ROW()-15)</f>
        <v/>
      </c>
      <c r="B1139" s="124" t="n"/>
      <c r="C1139" s="123" t="n"/>
      <c r="D1139" s="123" t="n"/>
      <c r="E1139" s="123" t="n"/>
      <c r="F1139" s="125" t="n"/>
      <c r="G1139" s="123" t="n"/>
      <c r="H1139" s="123" t="n"/>
      <c r="I1139" s="123" t="n"/>
      <c r="J1139" s="123" t="n"/>
      <c r="K1139" s="123" t="n"/>
      <c r="L1139" s="123" t="n"/>
      <c r="M1139" s="123">
        <f>IF(AND(B1139&lt;&gt;"",OR($C$4="",ISNUMBER(SEARCH($C$4,C1139&amp;" "&amp;E1139&amp;" "&amp;G1139&amp;" "&amp;H1139&amp;" "&amp;I1139&amp;" "&amp;J1139&amp;" "&amp;K1139&amp;" "&amp;L1139))),OR($C$5="Semua",$C$5="",G1139=$C$5),OR($C$6="Semua",$C$6="",H1139=$C$6,H1139="Pengeluaran "&amp;$C$6,AND($C$6="Uang Kos Mama",H1139="Pengeluaran Uang Kos")),OR($C$7="Semua",$C$7="",I1139=$C$7),OR($C$8="Semua",$C$8="",C1139=$C$8,E1139=$C$8),OR($C$9="Semua",$C$9="",D1139=$C$9),OR($C$10="",B1139&gt;=$C$10),OR($C$11="",B1139&lt;=$C$11),OR($C$12&lt;&gt;"Ya",K1139&lt;&gt;""),OR($C$13="Semua",$C$13="",L1139=$C$13)),"✓","")</f>
        <v/>
      </c>
      <c r="N1139" s="93">
        <f>N(N1138)+IF(M1139="✓",1,0)</f>
        <v/>
      </c>
      <c r="O1139" s="93">
        <f>N(O1138)+IF(AND(B1139&lt;&gt;"",B1139&gt;='Uang Riba'!$H$30,B1139&lt;='Uang Riba'!$I$30,OR(H1139="Dana riba",H1139="Pinjam uang riba",I1139="Pinjam dari uang riba",I1139="Ganti uang riba",I1139="Kelebihan ganti dikembalikan",AND(C1139="Kantong Uang Riba",G1139="Pengeluaran"))),1,0)</f>
        <v/>
      </c>
      <c r="X1139" s="93">
        <f>IF(AND(B1139&lt;&gt;"",B1139&gt;='Buku Akun'!$H$4,B1139&lt;='Buku Akun'!$H$5,OR(C1139='Buku Akun'!$C$4,AND(D1139="Pindah",E1139='Buku Akun'!$C$4))),B1139+IF(AND(I1139="Selisih bunga",DAY(B1139)=1),0,0.01)+ROW()/10000000,"")</f>
        <v/>
      </c>
    </row>
    <row r="1140" outlineLevel="1" ht="15" customHeight="1" s="94">
      <c r="A1140" s="123">
        <f>IF(B1140="","",ROW()-15)</f>
        <v/>
      </c>
      <c r="B1140" s="124" t="n"/>
      <c r="C1140" s="123" t="n"/>
      <c r="D1140" s="123" t="n"/>
      <c r="E1140" s="123" t="n"/>
      <c r="F1140" s="125" t="n"/>
      <c r="G1140" s="123" t="n"/>
      <c r="H1140" s="123" t="n"/>
      <c r="I1140" s="123" t="n"/>
      <c r="J1140" s="123" t="n"/>
      <c r="K1140" s="123" t="n"/>
      <c r="L1140" s="123" t="n"/>
      <c r="M1140" s="123">
        <f>IF(AND(B1140&lt;&gt;"",OR($C$4="",ISNUMBER(SEARCH($C$4,C1140&amp;" "&amp;E1140&amp;" "&amp;G1140&amp;" "&amp;H1140&amp;" "&amp;I1140&amp;" "&amp;J1140&amp;" "&amp;K1140&amp;" "&amp;L1140))),OR($C$5="Semua",$C$5="",G1140=$C$5),OR($C$6="Semua",$C$6="",H1140=$C$6,H1140="Pengeluaran "&amp;$C$6,AND($C$6="Uang Kos Mama",H1140="Pengeluaran Uang Kos")),OR($C$7="Semua",$C$7="",I1140=$C$7),OR($C$8="Semua",$C$8="",C1140=$C$8,E1140=$C$8),OR($C$9="Semua",$C$9="",D1140=$C$9),OR($C$10="",B1140&gt;=$C$10),OR($C$11="",B1140&lt;=$C$11),OR($C$12&lt;&gt;"Ya",K1140&lt;&gt;""),OR($C$13="Semua",$C$13="",L1140=$C$13)),"✓","")</f>
        <v/>
      </c>
      <c r="N1140" s="93">
        <f>N(N1139)+IF(M1140="✓",1,0)</f>
        <v/>
      </c>
      <c r="O1140" s="93">
        <f>N(O1139)+IF(AND(B1140&lt;&gt;"",B1140&gt;='Uang Riba'!$H$30,B1140&lt;='Uang Riba'!$I$30,OR(H1140="Dana riba",H1140="Pinjam uang riba",I1140="Pinjam dari uang riba",I1140="Ganti uang riba",I1140="Kelebihan ganti dikembalikan",AND(C1140="Kantong Uang Riba",G1140="Pengeluaran"))),1,0)</f>
        <v/>
      </c>
      <c r="X1140" s="93">
        <f>IF(AND(B1140&lt;&gt;"",B1140&gt;='Buku Akun'!$H$4,B1140&lt;='Buku Akun'!$H$5,OR(C1140='Buku Akun'!$C$4,AND(D1140="Pindah",E1140='Buku Akun'!$C$4))),B1140+IF(AND(I1140="Selisih bunga",DAY(B1140)=1),0,0.01)+ROW()/10000000,"")</f>
        <v/>
      </c>
    </row>
    <row r="1141" outlineLevel="1" ht="15" customHeight="1" s="94">
      <c r="A1141" s="123">
        <f>IF(B1141="","",ROW()-15)</f>
        <v/>
      </c>
      <c r="B1141" s="124" t="n"/>
      <c r="C1141" s="123" t="n"/>
      <c r="D1141" s="123" t="n"/>
      <c r="E1141" s="123" t="n"/>
      <c r="F1141" s="125" t="n"/>
      <c r="G1141" s="123" t="n"/>
      <c r="H1141" s="123" t="n"/>
      <c r="I1141" s="123" t="n"/>
      <c r="J1141" s="123" t="n"/>
      <c r="K1141" s="123" t="n"/>
      <c r="L1141" s="123" t="n"/>
      <c r="M1141" s="123">
        <f>IF(AND(B1141&lt;&gt;"",OR($C$4="",ISNUMBER(SEARCH($C$4,C1141&amp;" "&amp;E1141&amp;" "&amp;G1141&amp;" "&amp;H1141&amp;" "&amp;I1141&amp;" "&amp;J1141&amp;" "&amp;K1141&amp;" "&amp;L1141))),OR($C$5="Semua",$C$5="",G1141=$C$5),OR($C$6="Semua",$C$6="",H1141=$C$6,H1141="Pengeluaran "&amp;$C$6,AND($C$6="Uang Kos Mama",H1141="Pengeluaran Uang Kos")),OR($C$7="Semua",$C$7="",I1141=$C$7),OR($C$8="Semua",$C$8="",C1141=$C$8,E1141=$C$8),OR($C$9="Semua",$C$9="",D1141=$C$9),OR($C$10="",B1141&gt;=$C$10),OR($C$11="",B1141&lt;=$C$11),OR($C$12&lt;&gt;"Ya",K1141&lt;&gt;""),OR($C$13="Semua",$C$13="",L1141=$C$13)),"✓","")</f>
        <v/>
      </c>
      <c r="N1141" s="93">
        <f>N(N1140)+IF(M1141="✓",1,0)</f>
        <v/>
      </c>
      <c r="O1141" s="93">
        <f>N(O1140)+IF(AND(B1141&lt;&gt;"",B1141&gt;='Uang Riba'!$H$30,B1141&lt;='Uang Riba'!$I$30,OR(H1141="Dana riba",H1141="Pinjam uang riba",I1141="Pinjam dari uang riba",I1141="Ganti uang riba",I1141="Kelebihan ganti dikembalikan",AND(C1141="Kantong Uang Riba",G1141="Pengeluaran"))),1,0)</f>
        <v/>
      </c>
      <c r="X1141" s="93">
        <f>IF(AND(B1141&lt;&gt;"",B1141&gt;='Buku Akun'!$H$4,B1141&lt;='Buku Akun'!$H$5,OR(C1141='Buku Akun'!$C$4,AND(D1141="Pindah",E1141='Buku Akun'!$C$4))),B1141+IF(AND(I1141="Selisih bunga",DAY(B1141)=1),0,0.01)+ROW()/10000000,"")</f>
        <v/>
      </c>
    </row>
    <row r="1142" outlineLevel="1" ht="15" customHeight="1" s="94">
      <c r="A1142" s="123">
        <f>IF(B1142="","",ROW()-15)</f>
        <v/>
      </c>
      <c r="B1142" s="124" t="n"/>
      <c r="C1142" s="123" t="n"/>
      <c r="D1142" s="123" t="n"/>
      <c r="E1142" s="123" t="n"/>
      <c r="F1142" s="125" t="n"/>
      <c r="G1142" s="123" t="n"/>
      <c r="H1142" s="123" t="n"/>
      <c r="I1142" s="123" t="n"/>
      <c r="J1142" s="123" t="n"/>
      <c r="K1142" s="123" t="n"/>
      <c r="L1142" s="123" t="n"/>
      <c r="M1142" s="123">
        <f>IF(AND(B1142&lt;&gt;"",OR($C$4="",ISNUMBER(SEARCH($C$4,C1142&amp;" "&amp;E1142&amp;" "&amp;G1142&amp;" "&amp;H1142&amp;" "&amp;I1142&amp;" "&amp;J1142&amp;" "&amp;K1142&amp;" "&amp;L1142))),OR($C$5="Semua",$C$5="",G1142=$C$5),OR($C$6="Semua",$C$6="",H1142=$C$6,H1142="Pengeluaran "&amp;$C$6,AND($C$6="Uang Kos Mama",H1142="Pengeluaran Uang Kos")),OR($C$7="Semua",$C$7="",I1142=$C$7),OR($C$8="Semua",$C$8="",C1142=$C$8,E1142=$C$8),OR($C$9="Semua",$C$9="",D1142=$C$9),OR($C$10="",B1142&gt;=$C$10),OR($C$11="",B1142&lt;=$C$11),OR($C$12&lt;&gt;"Ya",K1142&lt;&gt;""),OR($C$13="Semua",$C$13="",L1142=$C$13)),"✓","")</f>
        <v/>
      </c>
      <c r="N1142" s="93">
        <f>N(N1141)+IF(M1142="✓",1,0)</f>
        <v/>
      </c>
      <c r="O1142" s="93">
        <f>N(O1141)+IF(AND(B1142&lt;&gt;"",B1142&gt;='Uang Riba'!$H$30,B1142&lt;='Uang Riba'!$I$30,OR(H1142="Dana riba",H1142="Pinjam uang riba",I1142="Pinjam dari uang riba",I1142="Ganti uang riba",I1142="Kelebihan ganti dikembalikan",AND(C1142="Kantong Uang Riba",G1142="Pengeluaran"))),1,0)</f>
        <v/>
      </c>
      <c r="X1142" s="93">
        <f>IF(AND(B1142&lt;&gt;"",B1142&gt;='Buku Akun'!$H$4,B1142&lt;='Buku Akun'!$H$5,OR(C1142='Buku Akun'!$C$4,AND(D1142="Pindah",E1142='Buku Akun'!$C$4))),B1142+IF(AND(I1142="Selisih bunga",DAY(B1142)=1),0,0.01)+ROW()/10000000,"")</f>
        <v/>
      </c>
    </row>
    <row r="1143" outlineLevel="1" ht="15" customHeight="1" s="94">
      <c r="A1143" s="123">
        <f>IF(B1143="","",ROW()-15)</f>
        <v/>
      </c>
      <c r="B1143" s="124" t="n"/>
      <c r="C1143" s="123" t="n"/>
      <c r="D1143" s="123" t="n"/>
      <c r="E1143" s="123" t="n"/>
      <c r="F1143" s="125" t="n"/>
      <c r="G1143" s="123" t="n"/>
      <c r="H1143" s="123" t="n"/>
      <c r="I1143" s="123" t="n"/>
      <c r="J1143" s="123" t="n"/>
      <c r="K1143" s="123" t="n"/>
      <c r="L1143" s="123" t="n"/>
      <c r="M1143" s="123">
        <f>IF(AND(B1143&lt;&gt;"",OR($C$4="",ISNUMBER(SEARCH($C$4,C1143&amp;" "&amp;E1143&amp;" "&amp;G1143&amp;" "&amp;H1143&amp;" "&amp;I1143&amp;" "&amp;J1143&amp;" "&amp;K1143&amp;" "&amp;L1143))),OR($C$5="Semua",$C$5="",G1143=$C$5),OR($C$6="Semua",$C$6="",H1143=$C$6,H1143="Pengeluaran "&amp;$C$6,AND($C$6="Uang Kos Mama",H1143="Pengeluaran Uang Kos")),OR($C$7="Semua",$C$7="",I1143=$C$7),OR($C$8="Semua",$C$8="",C1143=$C$8,E1143=$C$8),OR($C$9="Semua",$C$9="",D1143=$C$9),OR($C$10="",B1143&gt;=$C$10),OR($C$11="",B1143&lt;=$C$11),OR($C$12&lt;&gt;"Ya",K1143&lt;&gt;""),OR($C$13="Semua",$C$13="",L1143=$C$13)),"✓","")</f>
        <v/>
      </c>
      <c r="N1143" s="93">
        <f>N(N1142)+IF(M1143="✓",1,0)</f>
        <v/>
      </c>
      <c r="O1143" s="93">
        <f>N(O1142)+IF(AND(B1143&lt;&gt;"",B1143&gt;='Uang Riba'!$H$30,B1143&lt;='Uang Riba'!$I$30,OR(H1143="Dana riba",H1143="Pinjam uang riba",I1143="Pinjam dari uang riba",I1143="Ganti uang riba",I1143="Kelebihan ganti dikembalikan",AND(C1143="Kantong Uang Riba",G1143="Pengeluaran"))),1,0)</f>
        <v/>
      </c>
      <c r="X1143" s="93">
        <f>IF(AND(B1143&lt;&gt;"",B1143&gt;='Buku Akun'!$H$4,B1143&lt;='Buku Akun'!$H$5,OR(C1143='Buku Akun'!$C$4,AND(D1143="Pindah",E1143='Buku Akun'!$C$4))),B1143+IF(AND(I1143="Selisih bunga",DAY(B1143)=1),0,0.01)+ROW()/10000000,"")</f>
        <v/>
      </c>
    </row>
    <row r="1144" outlineLevel="1" ht="15" customHeight="1" s="94">
      <c r="A1144" s="123">
        <f>IF(B1144="","",ROW()-15)</f>
        <v/>
      </c>
      <c r="B1144" s="124" t="n"/>
      <c r="C1144" s="123" t="n"/>
      <c r="D1144" s="123" t="n"/>
      <c r="E1144" s="123" t="n"/>
      <c r="F1144" s="125" t="n"/>
      <c r="G1144" s="123" t="n"/>
      <c r="H1144" s="123" t="n"/>
      <c r="I1144" s="123" t="n"/>
      <c r="J1144" s="123" t="n"/>
      <c r="K1144" s="123" t="n"/>
      <c r="L1144" s="123" t="n"/>
      <c r="M1144" s="123">
        <f>IF(AND(B1144&lt;&gt;"",OR($C$4="",ISNUMBER(SEARCH($C$4,C1144&amp;" "&amp;E1144&amp;" "&amp;G1144&amp;" "&amp;H1144&amp;" "&amp;I1144&amp;" "&amp;J1144&amp;" "&amp;K1144&amp;" "&amp;L1144))),OR($C$5="Semua",$C$5="",G1144=$C$5),OR($C$6="Semua",$C$6="",H1144=$C$6,H1144="Pengeluaran "&amp;$C$6,AND($C$6="Uang Kos Mama",H1144="Pengeluaran Uang Kos")),OR($C$7="Semua",$C$7="",I1144=$C$7),OR($C$8="Semua",$C$8="",C1144=$C$8,E1144=$C$8),OR($C$9="Semua",$C$9="",D1144=$C$9),OR($C$10="",B1144&gt;=$C$10),OR($C$11="",B1144&lt;=$C$11),OR($C$12&lt;&gt;"Ya",K1144&lt;&gt;""),OR($C$13="Semua",$C$13="",L1144=$C$13)),"✓","")</f>
        <v/>
      </c>
      <c r="N1144" s="93">
        <f>N(N1143)+IF(M1144="✓",1,0)</f>
        <v/>
      </c>
      <c r="O1144" s="93">
        <f>N(O1143)+IF(AND(B1144&lt;&gt;"",B1144&gt;='Uang Riba'!$H$30,B1144&lt;='Uang Riba'!$I$30,OR(H1144="Dana riba",H1144="Pinjam uang riba",I1144="Pinjam dari uang riba",I1144="Ganti uang riba",I1144="Kelebihan ganti dikembalikan",AND(C1144="Kantong Uang Riba",G1144="Pengeluaran"))),1,0)</f>
        <v/>
      </c>
      <c r="X1144" s="93">
        <f>IF(AND(B1144&lt;&gt;"",B1144&gt;='Buku Akun'!$H$4,B1144&lt;='Buku Akun'!$H$5,OR(C1144='Buku Akun'!$C$4,AND(D1144="Pindah",E1144='Buku Akun'!$C$4))),B1144+IF(AND(I1144="Selisih bunga",DAY(B1144)=1),0,0.01)+ROW()/10000000,"")</f>
        <v/>
      </c>
    </row>
    <row r="1145" outlineLevel="1" ht="15" customHeight="1" s="94">
      <c r="A1145" s="123">
        <f>IF(B1145="","",ROW()-15)</f>
        <v/>
      </c>
      <c r="B1145" s="124" t="n"/>
      <c r="C1145" s="123" t="n"/>
      <c r="D1145" s="123" t="n"/>
      <c r="E1145" s="123" t="n"/>
      <c r="F1145" s="125" t="n"/>
      <c r="G1145" s="123" t="n"/>
      <c r="H1145" s="123" t="n"/>
      <c r="I1145" s="123" t="n"/>
      <c r="J1145" s="123" t="n"/>
      <c r="K1145" s="123" t="n"/>
      <c r="L1145" s="123" t="n"/>
      <c r="M1145" s="123">
        <f>IF(AND(B1145&lt;&gt;"",OR($C$4="",ISNUMBER(SEARCH($C$4,C1145&amp;" "&amp;E1145&amp;" "&amp;G1145&amp;" "&amp;H1145&amp;" "&amp;I1145&amp;" "&amp;J1145&amp;" "&amp;K1145&amp;" "&amp;L1145))),OR($C$5="Semua",$C$5="",G1145=$C$5),OR($C$6="Semua",$C$6="",H1145=$C$6,H1145="Pengeluaran "&amp;$C$6,AND($C$6="Uang Kos Mama",H1145="Pengeluaran Uang Kos")),OR($C$7="Semua",$C$7="",I1145=$C$7),OR($C$8="Semua",$C$8="",C1145=$C$8,E1145=$C$8),OR($C$9="Semua",$C$9="",D1145=$C$9),OR($C$10="",B1145&gt;=$C$10),OR($C$11="",B1145&lt;=$C$11),OR($C$12&lt;&gt;"Ya",K1145&lt;&gt;""),OR($C$13="Semua",$C$13="",L1145=$C$13)),"✓","")</f>
        <v/>
      </c>
      <c r="N1145" s="93">
        <f>N(N1144)+IF(M1145="✓",1,0)</f>
        <v/>
      </c>
      <c r="O1145" s="93">
        <f>N(O1144)+IF(AND(B1145&lt;&gt;"",B1145&gt;='Uang Riba'!$H$30,B1145&lt;='Uang Riba'!$I$30,OR(H1145="Dana riba",H1145="Pinjam uang riba",I1145="Pinjam dari uang riba",I1145="Ganti uang riba",I1145="Kelebihan ganti dikembalikan",AND(C1145="Kantong Uang Riba",G1145="Pengeluaran"))),1,0)</f>
        <v/>
      </c>
      <c r="X1145" s="93">
        <f>IF(AND(B1145&lt;&gt;"",B1145&gt;='Buku Akun'!$H$4,B1145&lt;='Buku Akun'!$H$5,OR(C1145='Buku Akun'!$C$4,AND(D1145="Pindah",E1145='Buku Akun'!$C$4))),B1145+IF(AND(I1145="Selisih bunga",DAY(B1145)=1),0,0.01)+ROW()/10000000,"")</f>
        <v/>
      </c>
    </row>
    <row r="1146" outlineLevel="1" ht="15" customHeight="1" s="94">
      <c r="A1146" s="123">
        <f>IF(B1146="","",ROW()-15)</f>
        <v/>
      </c>
      <c r="B1146" s="124" t="n"/>
      <c r="C1146" s="123" t="n"/>
      <c r="D1146" s="123" t="n"/>
      <c r="E1146" s="123" t="n"/>
      <c r="F1146" s="125" t="n"/>
      <c r="G1146" s="123" t="n"/>
      <c r="H1146" s="123" t="n"/>
      <c r="I1146" s="123" t="n"/>
      <c r="J1146" s="123" t="n"/>
      <c r="K1146" s="123" t="n"/>
      <c r="L1146" s="123" t="n"/>
      <c r="M1146" s="123">
        <f>IF(AND(B1146&lt;&gt;"",OR($C$4="",ISNUMBER(SEARCH($C$4,C1146&amp;" "&amp;E1146&amp;" "&amp;G1146&amp;" "&amp;H1146&amp;" "&amp;I1146&amp;" "&amp;J1146&amp;" "&amp;K1146&amp;" "&amp;L1146))),OR($C$5="Semua",$C$5="",G1146=$C$5),OR($C$6="Semua",$C$6="",H1146=$C$6,H1146="Pengeluaran "&amp;$C$6,AND($C$6="Uang Kos Mama",H1146="Pengeluaran Uang Kos")),OR($C$7="Semua",$C$7="",I1146=$C$7),OR($C$8="Semua",$C$8="",C1146=$C$8,E1146=$C$8),OR($C$9="Semua",$C$9="",D1146=$C$9),OR($C$10="",B1146&gt;=$C$10),OR($C$11="",B1146&lt;=$C$11),OR($C$12&lt;&gt;"Ya",K1146&lt;&gt;""),OR($C$13="Semua",$C$13="",L1146=$C$13)),"✓","")</f>
        <v/>
      </c>
      <c r="N1146" s="93">
        <f>N(N1145)+IF(M1146="✓",1,0)</f>
        <v/>
      </c>
      <c r="O1146" s="93">
        <f>N(O1145)+IF(AND(B1146&lt;&gt;"",B1146&gt;='Uang Riba'!$H$30,B1146&lt;='Uang Riba'!$I$30,OR(H1146="Dana riba",H1146="Pinjam uang riba",I1146="Pinjam dari uang riba",I1146="Ganti uang riba",I1146="Kelebihan ganti dikembalikan",AND(C1146="Kantong Uang Riba",G1146="Pengeluaran"))),1,0)</f>
        <v/>
      </c>
      <c r="X1146" s="93">
        <f>IF(AND(B1146&lt;&gt;"",B1146&gt;='Buku Akun'!$H$4,B1146&lt;='Buku Akun'!$H$5,OR(C1146='Buku Akun'!$C$4,AND(D1146="Pindah",E1146='Buku Akun'!$C$4))),B1146+IF(AND(I1146="Selisih bunga",DAY(B1146)=1),0,0.01)+ROW()/10000000,"")</f>
        <v/>
      </c>
    </row>
    <row r="1147" outlineLevel="1" ht="15" customHeight="1" s="94">
      <c r="A1147" s="123">
        <f>IF(B1147="","",ROW()-15)</f>
        <v/>
      </c>
      <c r="B1147" s="124" t="n"/>
      <c r="C1147" s="123" t="n"/>
      <c r="D1147" s="123" t="n"/>
      <c r="E1147" s="123" t="n"/>
      <c r="F1147" s="125" t="n"/>
      <c r="G1147" s="123" t="n"/>
      <c r="H1147" s="123" t="n"/>
      <c r="I1147" s="123" t="n"/>
      <c r="J1147" s="123" t="n"/>
      <c r="K1147" s="123" t="n"/>
      <c r="L1147" s="123" t="n"/>
      <c r="M1147" s="123">
        <f>IF(AND(B1147&lt;&gt;"",OR($C$4="",ISNUMBER(SEARCH($C$4,C1147&amp;" "&amp;E1147&amp;" "&amp;G1147&amp;" "&amp;H1147&amp;" "&amp;I1147&amp;" "&amp;J1147&amp;" "&amp;K1147&amp;" "&amp;L1147))),OR($C$5="Semua",$C$5="",G1147=$C$5),OR($C$6="Semua",$C$6="",H1147=$C$6,H1147="Pengeluaran "&amp;$C$6,AND($C$6="Uang Kos Mama",H1147="Pengeluaran Uang Kos")),OR($C$7="Semua",$C$7="",I1147=$C$7),OR($C$8="Semua",$C$8="",C1147=$C$8,E1147=$C$8),OR($C$9="Semua",$C$9="",D1147=$C$9),OR($C$10="",B1147&gt;=$C$10),OR($C$11="",B1147&lt;=$C$11),OR($C$12&lt;&gt;"Ya",K1147&lt;&gt;""),OR($C$13="Semua",$C$13="",L1147=$C$13)),"✓","")</f>
        <v/>
      </c>
      <c r="N1147" s="93">
        <f>N(N1146)+IF(M1147="✓",1,0)</f>
        <v/>
      </c>
      <c r="O1147" s="93">
        <f>N(O1146)+IF(AND(B1147&lt;&gt;"",B1147&gt;='Uang Riba'!$H$30,B1147&lt;='Uang Riba'!$I$30,OR(H1147="Dana riba",H1147="Pinjam uang riba",I1147="Pinjam dari uang riba",I1147="Ganti uang riba",I1147="Kelebihan ganti dikembalikan",AND(C1147="Kantong Uang Riba",G1147="Pengeluaran"))),1,0)</f>
        <v/>
      </c>
      <c r="X1147" s="93">
        <f>IF(AND(B1147&lt;&gt;"",B1147&gt;='Buku Akun'!$H$4,B1147&lt;='Buku Akun'!$H$5,OR(C1147='Buku Akun'!$C$4,AND(D1147="Pindah",E1147='Buku Akun'!$C$4))),B1147+IF(AND(I1147="Selisih bunga",DAY(B1147)=1),0,0.01)+ROW()/10000000,"")</f>
        <v/>
      </c>
    </row>
    <row r="1148" outlineLevel="1" ht="15" customHeight="1" s="94">
      <c r="A1148" s="123">
        <f>IF(B1148="","",ROW()-15)</f>
        <v/>
      </c>
      <c r="B1148" s="124" t="n"/>
      <c r="C1148" s="123" t="n"/>
      <c r="D1148" s="123" t="n"/>
      <c r="E1148" s="123" t="n"/>
      <c r="F1148" s="125" t="n"/>
      <c r="G1148" s="123" t="n"/>
      <c r="H1148" s="123" t="n"/>
      <c r="I1148" s="123" t="n"/>
      <c r="J1148" s="123" t="n"/>
      <c r="K1148" s="123" t="n"/>
      <c r="L1148" s="123" t="n"/>
      <c r="M1148" s="123">
        <f>IF(AND(B1148&lt;&gt;"",OR($C$4="",ISNUMBER(SEARCH($C$4,C1148&amp;" "&amp;E1148&amp;" "&amp;G1148&amp;" "&amp;H1148&amp;" "&amp;I1148&amp;" "&amp;J1148&amp;" "&amp;K1148&amp;" "&amp;L1148))),OR($C$5="Semua",$C$5="",G1148=$C$5),OR($C$6="Semua",$C$6="",H1148=$C$6,H1148="Pengeluaran "&amp;$C$6,AND($C$6="Uang Kos Mama",H1148="Pengeluaran Uang Kos")),OR($C$7="Semua",$C$7="",I1148=$C$7),OR($C$8="Semua",$C$8="",C1148=$C$8,E1148=$C$8),OR($C$9="Semua",$C$9="",D1148=$C$9),OR($C$10="",B1148&gt;=$C$10),OR($C$11="",B1148&lt;=$C$11),OR($C$12&lt;&gt;"Ya",K1148&lt;&gt;""),OR($C$13="Semua",$C$13="",L1148=$C$13)),"✓","")</f>
        <v/>
      </c>
      <c r="N1148" s="93">
        <f>N(N1147)+IF(M1148="✓",1,0)</f>
        <v/>
      </c>
      <c r="O1148" s="93">
        <f>N(O1147)+IF(AND(B1148&lt;&gt;"",B1148&gt;='Uang Riba'!$H$30,B1148&lt;='Uang Riba'!$I$30,OR(H1148="Dana riba",H1148="Pinjam uang riba",I1148="Pinjam dari uang riba",I1148="Ganti uang riba",I1148="Kelebihan ganti dikembalikan",AND(C1148="Kantong Uang Riba",G1148="Pengeluaran"))),1,0)</f>
        <v/>
      </c>
      <c r="X1148" s="93">
        <f>IF(AND(B1148&lt;&gt;"",B1148&gt;='Buku Akun'!$H$4,B1148&lt;='Buku Akun'!$H$5,OR(C1148='Buku Akun'!$C$4,AND(D1148="Pindah",E1148='Buku Akun'!$C$4))),B1148+IF(AND(I1148="Selisih bunga",DAY(B1148)=1),0,0.01)+ROW()/10000000,"")</f>
        <v/>
      </c>
    </row>
    <row r="1149" outlineLevel="1" ht="15" customHeight="1" s="94">
      <c r="A1149" s="123">
        <f>IF(B1149="","",ROW()-15)</f>
        <v/>
      </c>
      <c r="B1149" s="124" t="n"/>
      <c r="C1149" s="123" t="n"/>
      <c r="D1149" s="123" t="n"/>
      <c r="E1149" s="123" t="n"/>
      <c r="F1149" s="125" t="n"/>
      <c r="G1149" s="123" t="n"/>
      <c r="H1149" s="123" t="n"/>
      <c r="I1149" s="123" t="n"/>
      <c r="J1149" s="123" t="n"/>
      <c r="K1149" s="123" t="n"/>
      <c r="L1149" s="123" t="n"/>
      <c r="M1149" s="123">
        <f>IF(AND(B1149&lt;&gt;"",OR($C$4="",ISNUMBER(SEARCH($C$4,C1149&amp;" "&amp;E1149&amp;" "&amp;G1149&amp;" "&amp;H1149&amp;" "&amp;I1149&amp;" "&amp;J1149&amp;" "&amp;K1149&amp;" "&amp;L1149))),OR($C$5="Semua",$C$5="",G1149=$C$5),OR($C$6="Semua",$C$6="",H1149=$C$6,H1149="Pengeluaran "&amp;$C$6,AND($C$6="Uang Kos Mama",H1149="Pengeluaran Uang Kos")),OR($C$7="Semua",$C$7="",I1149=$C$7),OR($C$8="Semua",$C$8="",C1149=$C$8,E1149=$C$8),OR($C$9="Semua",$C$9="",D1149=$C$9),OR($C$10="",B1149&gt;=$C$10),OR($C$11="",B1149&lt;=$C$11),OR($C$12&lt;&gt;"Ya",K1149&lt;&gt;""),OR($C$13="Semua",$C$13="",L1149=$C$13)),"✓","")</f>
        <v/>
      </c>
      <c r="N1149" s="93">
        <f>N(N1148)+IF(M1149="✓",1,0)</f>
        <v/>
      </c>
      <c r="O1149" s="93">
        <f>N(O1148)+IF(AND(B1149&lt;&gt;"",B1149&gt;='Uang Riba'!$H$30,B1149&lt;='Uang Riba'!$I$30,OR(H1149="Dana riba",H1149="Pinjam uang riba",I1149="Pinjam dari uang riba",I1149="Ganti uang riba",I1149="Kelebihan ganti dikembalikan",AND(C1149="Kantong Uang Riba",G1149="Pengeluaran"))),1,0)</f>
        <v/>
      </c>
      <c r="X1149" s="93">
        <f>IF(AND(B1149&lt;&gt;"",B1149&gt;='Buku Akun'!$H$4,B1149&lt;='Buku Akun'!$H$5,OR(C1149='Buku Akun'!$C$4,AND(D1149="Pindah",E1149='Buku Akun'!$C$4))),B1149+IF(AND(I1149="Selisih bunga",DAY(B1149)=1),0,0.01)+ROW()/10000000,"")</f>
        <v/>
      </c>
    </row>
    <row r="1150" outlineLevel="1" ht="15" customHeight="1" s="94">
      <c r="A1150" s="123">
        <f>IF(B1150="","",ROW()-15)</f>
        <v/>
      </c>
      <c r="B1150" s="124" t="n"/>
      <c r="C1150" s="123" t="n"/>
      <c r="D1150" s="123" t="n"/>
      <c r="E1150" s="123" t="n"/>
      <c r="F1150" s="125" t="n"/>
      <c r="G1150" s="123" t="n"/>
      <c r="H1150" s="123" t="n"/>
      <c r="I1150" s="123" t="n"/>
      <c r="J1150" s="123" t="n"/>
      <c r="K1150" s="123" t="n"/>
      <c r="L1150" s="123" t="n"/>
      <c r="M1150" s="123">
        <f>IF(AND(B1150&lt;&gt;"",OR($C$4="",ISNUMBER(SEARCH($C$4,C1150&amp;" "&amp;E1150&amp;" "&amp;G1150&amp;" "&amp;H1150&amp;" "&amp;I1150&amp;" "&amp;J1150&amp;" "&amp;K1150&amp;" "&amp;L1150))),OR($C$5="Semua",$C$5="",G1150=$C$5),OR($C$6="Semua",$C$6="",H1150=$C$6,H1150="Pengeluaran "&amp;$C$6,AND($C$6="Uang Kos Mama",H1150="Pengeluaran Uang Kos")),OR($C$7="Semua",$C$7="",I1150=$C$7),OR($C$8="Semua",$C$8="",C1150=$C$8,E1150=$C$8),OR($C$9="Semua",$C$9="",D1150=$C$9),OR($C$10="",B1150&gt;=$C$10),OR($C$11="",B1150&lt;=$C$11),OR($C$12&lt;&gt;"Ya",K1150&lt;&gt;""),OR($C$13="Semua",$C$13="",L1150=$C$13)),"✓","")</f>
        <v/>
      </c>
      <c r="N1150" s="93">
        <f>N(N1149)+IF(M1150="✓",1,0)</f>
        <v/>
      </c>
      <c r="O1150" s="93">
        <f>N(O1149)+IF(AND(B1150&lt;&gt;"",B1150&gt;='Uang Riba'!$H$30,B1150&lt;='Uang Riba'!$I$30,OR(H1150="Dana riba",H1150="Pinjam uang riba",I1150="Pinjam dari uang riba",I1150="Ganti uang riba",I1150="Kelebihan ganti dikembalikan",AND(C1150="Kantong Uang Riba",G1150="Pengeluaran"))),1,0)</f>
        <v/>
      </c>
      <c r="X1150" s="93">
        <f>IF(AND(B1150&lt;&gt;"",B1150&gt;='Buku Akun'!$H$4,B1150&lt;='Buku Akun'!$H$5,OR(C1150='Buku Akun'!$C$4,AND(D1150="Pindah",E1150='Buku Akun'!$C$4))),B1150+IF(AND(I1150="Selisih bunga",DAY(B1150)=1),0,0.01)+ROW()/10000000,"")</f>
        <v/>
      </c>
    </row>
    <row r="1151" outlineLevel="1" ht="15" customHeight="1" s="94">
      <c r="A1151" s="123">
        <f>IF(B1151="","",ROW()-15)</f>
        <v/>
      </c>
      <c r="B1151" s="124" t="n"/>
      <c r="C1151" s="123" t="n"/>
      <c r="D1151" s="123" t="n"/>
      <c r="E1151" s="123" t="n"/>
      <c r="F1151" s="125" t="n"/>
      <c r="G1151" s="123" t="n"/>
      <c r="H1151" s="123" t="n"/>
      <c r="I1151" s="123" t="n"/>
      <c r="J1151" s="123" t="n"/>
      <c r="K1151" s="123" t="n"/>
      <c r="L1151" s="123" t="n"/>
      <c r="M1151" s="123">
        <f>IF(AND(B1151&lt;&gt;"",OR($C$4="",ISNUMBER(SEARCH($C$4,C1151&amp;" "&amp;E1151&amp;" "&amp;G1151&amp;" "&amp;H1151&amp;" "&amp;I1151&amp;" "&amp;J1151&amp;" "&amp;K1151&amp;" "&amp;L1151))),OR($C$5="Semua",$C$5="",G1151=$C$5),OR($C$6="Semua",$C$6="",H1151=$C$6,H1151="Pengeluaran "&amp;$C$6,AND($C$6="Uang Kos Mama",H1151="Pengeluaran Uang Kos")),OR($C$7="Semua",$C$7="",I1151=$C$7),OR($C$8="Semua",$C$8="",C1151=$C$8,E1151=$C$8),OR($C$9="Semua",$C$9="",D1151=$C$9),OR($C$10="",B1151&gt;=$C$10),OR($C$11="",B1151&lt;=$C$11),OR($C$12&lt;&gt;"Ya",K1151&lt;&gt;""),OR($C$13="Semua",$C$13="",L1151=$C$13)),"✓","")</f>
        <v/>
      </c>
      <c r="N1151" s="93">
        <f>N(N1150)+IF(M1151="✓",1,0)</f>
        <v/>
      </c>
      <c r="O1151" s="93">
        <f>N(O1150)+IF(AND(B1151&lt;&gt;"",B1151&gt;='Uang Riba'!$H$30,B1151&lt;='Uang Riba'!$I$30,OR(H1151="Dana riba",H1151="Pinjam uang riba",I1151="Pinjam dari uang riba",I1151="Ganti uang riba",I1151="Kelebihan ganti dikembalikan",AND(C1151="Kantong Uang Riba",G1151="Pengeluaran"))),1,0)</f>
        <v/>
      </c>
      <c r="X1151" s="93">
        <f>IF(AND(B1151&lt;&gt;"",B1151&gt;='Buku Akun'!$H$4,B1151&lt;='Buku Akun'!$H$5,OR(C1151='Buku Akun'!$C$4,AND(D1151="Pindah",E1151='Buku Akun'!$C$4))),B1151+IF(AND(I1151="Selisih bunga",DAY(B1151)=1),0,0.01)+ROW()/10000000,"")</f>
        <v/>
      </c>
    </row>
    <row r="1152" outlineLevel="1" ht="15" customHeight="1" s="94">
      <c r="A1152" s="123">
        <f>IF(B1152="","",ROW()-15)</f>
        <v/>
      </c>
      <c r="B1152" s="124" t="n"/>
      <c r="C1152" s="123" t="n"/>
      <c r="D1152" s="123" t="n"/>
      <c r="E1152" s="123" t="n"/>
      <c r="F1152" s="125" t="n"/>
      <c r="G1152" s="123" t="n"/>
      <c r="H1152" s="123" t="n"/>
      <c r="I1152" s="123" t="n"/>
      <c r="J1152" s="123" t="n"/>
      <c r="K1152" s="123" t="n"/>
      <c r="L1152" s="123" t="n"/>
      <c r="M1152" s="123">
        <f>IF(AND(B1152&lt;&gt;"",OR($C$4="",ISNUMBER(SEARCH($C$4,C1152&amp;" "&amp;E1152&amp;" "&amp;G1152&amp;" "&amp;H1152&amp;" "&amp;I1152&amp;" "&amp;J1152&amp;" "&amp;K1152&amp;" "&amp;L1152))),OR($C$5="Semua",$C$5="",G1152=$C$5),OR($C$6="Semua",$C$6="",H1152=$C$6,H1152="Pengeluaran "&amp;$C$6,AND($C$6="Uang Kos Mama",H1152="Pengeluaran Uang Kos")),OR($C$7="Semua",$C$7="",I1152=$C$7),OR($C$8="Semua",$C$8="",C1152=$C$8,E1152=$C$8),OR($C$9="Semua",$C$9="",D1152=$C$9),OR($C$10="",B1152&gt;=$C$10),OR($C$11="",B1152&lt;=$C$11),OR($C$12&lt;&gt;"Ya",K1152&lt;&gt;""),OR($C$13="Semua",$C$13="",L1152=$C$13)),"✓","")</f>
        <v/>
      </c>
      <c r="N1152" s="93">
        <f>N(N1151)+IF(M1152="✓",1,0)</f>
        <v/>
      </c>
      <c r="O1152" s="93">
        <f>N(O1151)+IF(AND(B1152&lt;&gt;"",B1152&gt;='Uang Riba'!$H$30,B1152&lt;='Uang Riba'!$I$30,OR(H1152="Dana riba",H1152="Pinjam uang riba",I1152="Pinjam dari uang riba",I1152="Ganti uang riba",I1152="Kelebihan ganti dikembalikan",AND(C1152="Kantong Uang Riba",G1152="Pengeluaran"))),1,0)</f>
        <v/>
      </c>
      <c r="X1152" s="93">
        <f>IF(AND(B1152&lt;&gt;"",B1152&gt;='Buku Akun'!$H$4,B1152&lt;='Buku Akun'!$H$5,OR(C1152='Buku Akun'!$C$4,AND(D1152="Pindah",E1152='Buku Akun'!$C$4))),B1152+IF(AND(I1152="Selisih bunga",DAY(B1152)=1),0,0.01)+ROW()/10000000,"")</f>
        <v/>
      </c>
    </row>
    <row r="1153" outlineLevel="1" ht="15" customHeight="1" s="94">
      <c r="A1153" s="123">
        <f>IF(B1153="","",ROW()-15)</f>
        <v/>
      </c>
      <c r="B1153" s="124" t="n"/>
      <c r="C1153" s="123" t="n"/>
      <c r="D1153" s="123" t="n"/>
      <c r="E1153" s="123" t="n"/>
      <c r="F1153" s="125" t="n"/>
      <c r="G1153" s="123" t="n"/>
      <c r="H1153" s="123" t="n"/>
      <c r="I1153" s="123" t="n"/>
      <c r="J1153" s="123" t="n"/>
      <c r="K1153" s="123" t="n"/>
      <c r="L1153" s="123" t="n"/>
      <c r="M1153" s="123">
        <f>IF(AND(B1153&lt;&gt;"",OR($C$4="",ISNUMBER(SEARCH($C$4,C1153&amp;" "&amp;E1153&amp;" "&amp;G1153&amp;" "&amp;H1153&amp;" "&amp;I1153&amp;" "&amp;J1153&amp;" "&amp;K1153&amp;" "&amp;L1153))),OR($C$5="Semua",$C$5="",G1153=$C$5),OR($C$6="Semua",$C$6="",H1153=$C$6,H1153="Pengeluaran "&amp;$C$6,AND($C$6="Uang Kos Mama",H1153="Pengeluaran Uang Kos")),OR($C$7="Semua",$C$7="",I1153=$C$7),OR($C$8="Semua",$C$8="",C1153=$C$8,E1153=$C$8),OR($C$9="Semua",$C$9="",D1153=$C$9),OR($C$10="",B1153&gt;=$C$10),OR($C$11="",B1153&lt;=$C$11),OR($C$12&lt;&gt;"Ya",K1153&lt;&gt;""),OR($C$13="Semua",$C$13="",L1153=$C$13)),"✓","")</f>
        <v/>
      </c>
      <c r="N1153" s="93">
        <f>N(N1152)+IF(M1153="✓",1,0)</f>
        <v/>
      </c>
      <c r="O1153" s="93">
        <f>N(O1152)+IF(AND(B1153&lt;&gt;"",B1153&gt;='Uang Riba'!$H$30,B1153&lt;='Uang Riba'!$I$30,OR(H1153="Dana riba",H1153="Pinjam uang riba",I1153="Pinjam dari uang riba",I1153="Ganti uang riba",I1153="Kelebihan ganti dikembalikan",AND(C1153="Kantong Uang Riba",G1153="Pengeluaran"))),1,0)</f>
        <v/>
      </c>
      <c r="X1153" s="93">
        <f>IF(AND(B1153&lt;&gt;"",B1153&gt;='Buku Akun'!$H$4,B1153&lt;='Buku Akun'!$H$5,OR(C1153='Buku Akun'!$C$4,AND(D1153="Pindah",E1153='Buku Akun'!$C$4))),B1153+IF(AND(I1153="Selisih bunga",DAY(B1153)=1),0,0.01)+ROW()/10000000,"")</f>
        <v/>
      </c>
    </row>
    <row r="1154" outlineLevel="1" ht="15" customHeight="1" s="94">
      <c r="A1154" s="123">
        <f>IF(B1154="","",ROW()-15)</f>
        <v/>
      </c>
      <c r="B1154" s="124" t="n"/>
      <c r="C1154" s="123" t="n"/>
      <c r="D1154" s="123" t="n"/>
      <c r="E1154" s="123" t="n"/>
      <c r="F1154" s="125" t="n"/>
      <c r="G1154" s="123" t="n"/>
      <c r="H1154" s="123" t="n"/>
      <c r="I1154" s="123" t="n"/>
      <c r="J1154" s="123" t="n"/>
      <c r="K1154" s="123" t="n"/>
      <c r="L1154" s="123" t="n"/>
      <c r="M1154" s="123">
        <f>IF(AND(B1154&lt;&gt;"",OR($C$4="",ISNUMBER(SEARCH($C$4,C1154&amp;" "&amp;E1154&amp;" "&amp;G1154&amp;" "&amp;H1154&amp;" "&amp;I1154&amp;" "&amp;J1154&amp;" "&amp;K1154&amp;" "&amp;L1154))),OR($C$5="Semua",$C$5="",G1154=$C$5),OR($C$6="Semua",$C$6="",H1154=$C$6,H1154="Pengeluaran "&amp;$C$6,AND($C$6="Uang Kos Mama",H1154="Pengeluaran Uang Kos")),OR($C$7="Semua",$C$7="",I1154=$C$7),OR($C$8="Semua",$C$8="",C1154=$C$8,E1154=$C$8),OR($C$9="Semua",$C$9="",D1154=$C$9),OR($C$10="",B1154&gt;=$C$10),OR($C$11="",B1154&lt;=$C$11),OR($C$12&lt;&gt;"Ya",K1154&lt;&gt;""),OR($C$13="Semua",$C$13="",L1154=$C$13)),"✓","")</f>
        <v/>
      </c>
      <c r="N1154" s="93">
        <f>N(N1153)+IF(M1154="✓",1,0)</f>
        <v/>
      </c>
      <c r="O1154" s="93">
        <f>N(O1153)+IF(AND(B1154&lt;&gt;"",B1154&gt;='Uang Riba'!$H$30,B1154&lt;='Uang Riba'!$I$30,OR(H1154="Dana riba",H1154="Pinjam uang riba",I1154="Pinjam dari uang riba",I1154="Ganti uang riba",I1154="Kelebihan ganti dikembalikan",AND(C1154="Kantong Uang Riba",G1154="Pengeluaran"))),1,0)</f>
        <v/>
      </c>
      <c r="X1154" s="93">
        <f>IF(AND(B1154&lt;&gt;"",B1154&gt;='Buku Akun'!$H$4,B1154&lt;='Buku Akun'!$H$5,OR(C1154='Buku Akun'!$C$4,AND(D1154="Pindah",E1154='Buku Akun'!$C$4))),B1154+IF(AND(I1154="Selisih bunga",DAY(B1154)=1),0,0.01)+ROW()/10000000,"")</f>
        <v/>
      </c>
    </row>
    <row r="1155" outlineLevel="1" ht="15" customHeight="1" s="94">
      <c r="A1155" s="123">
        <f>IF(B1155="","",ROW()-15)</f>
        <v/>
      </c>
      <c r="B1155" s="124" t="n"/>
      <c r="C1155" s="123" t="n"/>
      <c r="D1155" s="123" t="n"/>
      <c r="E1155" s="123" t="n"/>
      <c r="F1155" s="125" t="n"/>
      <c r="G1155" s="123" t="n"/>
      <c r="H1155" s="123" t="n"/>
      <c r="I1155" s="123" t="n"/>
      <c r="J1155" s="123" t="n"/>
      <c r="K1155" s="123" t="n"/>
      <c r="L1155" s="123" t="n"/>
      <c r="M1155" s="123">
        <f>IF(AND(B1155&lt;&gt;"",OR($C$4="",ISNUMBER(SEARCH($C$4,C1155&amp;" "&amp;E1155&amp;" "&amp;G1155&amp;" "&amp;H1155&amp;" "&amp;I1155&amp;" "&amp;J1155&amp;" "&amp;K1155&amp;" "&amp;L1155))),OR($C$5="Semua",$C$5="",G1155=$C$5),OR($C$6="Semua",$C$6="",H1155=$C$6,H1155="Pengeluaran "&amp;$C$6,AND($C$6="Uang Kos Mama",H1155="Pengeluaran Uang Kos")),OR($C$7="Semua",$C$7="",I1155=$C$7),OR($C$8="Semua",$C$8="",C1155=$C$8,E1155=$C$8),OR($C$9="Semua",$C$9="",D1155=$C$9),OR($C$10="",B1155&gt;=$C$10),OR($C$11="",B1155&lt;=$C$11),OR($C$12&lt;&gt;"Ya",K1155&lt;&gt;""),OR($C$13="Semua",$C$13="",L1155=$C$13)),"✓","")</f>
        <v/>
      </c>
      <c r="N1155" s="93">
        <f>N(N1154)+IF(M1155="✓",1,0)</f>
        <v/>
      </c>
      <c r="O1155" s="93">
        <f>N(O1154)+IF(AND(B1155&lt;&gt;"",B1155&gt;='Uang Riba'!$H$30,B1155&lt;='Uang Riba'!$I$30,OR(H1155="Dana riba",H1155="Pinjam uang riba",I1155="Pinjam dari uang riba",I1155="Ganti uang riba",I1155="Kelebihan ganti dikembalikan",AND(C1155="Kantong Uang Riba",G1155="Pengeluaran"))),1,0)</f>
        <v/>
      </c>
      <c r="X1155" s="93">
        <f>IF(AND(B1155&lt;&gt;"",B1155&gt;='Buku Akun'!$H$4,B1155&lt;='Buku Akun'!$H$5,OR(C1155='Buku Akun'!$C$4,AND(D1155="Pindah",E1155='Buku Akun'!$C$4))),B1155+IF(AND(I1155="Selisih bunga",DAY(B1155)=1),0,0.01)+ROW()/10000000,"")</f>
        <v/>
      </c>
    </row>
    <row r="1156" outlineLevel="1" ht="15" customHeight="1" s="94">
      <c r="A1156" s="123">
        <f>IF(B1156="","",ROW()-15)</f>
        <v/>
      </c>
      <c r="B1156" s="124" t="n"/>
      <c r="C1156" s="123" t="n"/>
      <c r="D1156" s="123" t="n"/>
      <c r="E1156" s="123" t="n"/>
      <c r="F1156" s="125" t="n"/>
      <c r="G1156" s="123" t="n"/>
      <c r="H1156" s="123" t="n"/>
      <c r="I1156" s="123" t="n"/>
      <c r="J1156" s="123" t="n"/>
      <c r="K1156" s="123" t="n"/>
      <c r="L1156" s="123" t="n"/>
      <c r="M1156" s="123">
        <f>IF(AND(B1156&lt;&gt;"",OR($C$4="",ISNUMBER(SEARCH($C$4,C1156&amp;" "&amp;E1156&amp;" "&amp;G1156&amp;" "&amp;H1156&amp;" "&amp;I1156&amp;" "&amp;J1156&amp;" "&amp;K1156&amp;" "&amp;L1156))),OR($C$5="Semua",$C$5="",G1156=$C$5),OR($C$6="Semua",$C$6="",H1156=$C$6,H1156="Pengeluaran "&amp;$C$6,AND($C$6="Uang Kos Mama",H1156="Pengeluaran Uang Kos")),OR($C$7="Semua",$C$7="",I1156=$C$7),OR($C$8="Semua",$C$8="",C1156=$C$8,E1156=$C$8),OR($C$9="Semua",$C$9="",D1156=$C$9),OR($C$10="",B1156&gt;=$C$10),OR($C$11="",B1156&lt;=$C$11),OR($C$12&lt;&gt;"Ya",K1156&lt;&gt;""),OR($C$13="Semua",$C$13="",L1156=$C$13)),"✓","")</f>
        <v/>
      </c>
      <c r="N1156" s="93">
        <f>N(N1155)+IF(M1156="✓",1,0)</f>
        <v/>
      </c>
      <c r="O1156" s="93">
        <f>N(O1155)+IF(AND(B1156&lt;&gt;"",B1156&gt;='Uang Riba'!$H$30,B1156&lt;='Uang Riba'!$I$30,OR(H1156="Dana riba",H1156="Pinjam uang riba",I1156="Pinjam dari uang riba",I1156="Ganti uang riba",I1156="Kelebihan ganti dikembalikan",AND(C1156="Kantong Uang Riba",G1156="Pengeluaran"))),1,0)</f>
        <v/>
      </c>
      <c r="X1156" s="93">
        <f>IF(AND(B1156&lt;&gt;"",B1156&gt;='Buku Akun'!$H$4,B1156&lt;='Buku Akun'!$H$5,OR(C1156='Buku Akun'!$C$4,AND(D1156="Pindah",E1156='Buku Akun'!$C$4))),B1156+IF(AND(I1156="Selisih bunga",DAY(B1156)=1),0,0.01)+ROW()/10000000,"")</f>
        <v/>
      </c>
    </row>
    <row r="1157" outlineLevel="1" ht="15" customHeight="1" s="94">
      <c r="A1157" s="123">
        <f>IF(B1157="","",ROW()-15)</f>
        <v/>
      </c>
      <c r="B1157" s="124" t="n"/>
      <c r="C1157" s="123" t="n"/>
      <c r="D1157" s="123" t="n"/>
      <c r="E1157" s="123" t="n"/>
      <c r="F1157" s="125" t="n"/>
      <c r="G1157" s="123" t="n"/>
      <c r="H1157" s="123" t="n"/>
      <c r="I1157" s="123" t="n"/>
      <c r="J1157" s="123" t="n"/>
      <c r="K1157" s="123" t="n"/>
      <c r="L1157" s="123" t="n"/>
      <c r="M1157" s="123">
        <f>IF(AND(B1157&lt;&gt;"",OR($C$4="",ISNUMBER(SEARCH($C$4,C1157&amp;" "&amp;E1157&amp;" "&amp;G1157&amp;" "&amp;H1157&amp;" "&amp;I1157&amp;" "&amp;J1157&amp;" "&amp;K1157&amp;" "&amp;L1157))),OR($C$5="Semua",$C$5="",G1157=$C$5),OR($C$6="Semua",$C$6="",H1157=$C$6,H1157="Pengeluaran "&amp;$C$6,AND($C$6="Uang Kos Mama",H1157="Pengeluaran Uang Kos")),OR($C$7="Semua",$C$7="",I1157=$C$7),OR($C$8="Semua",$C$8="",C1157=$C$8,E1157=$C$8),OR($C$9="Semua",$C$9="",D1157=$C$9),OR($C$10="",B1157&gt;=$C$10),OR($C$11="",B1157&lt;=$C$11),OR($C$12&lt;&gt;"Ya",K1157&lt;&gt;""),OR($C$13="Semua",$C$13="",L1157=$C$13)),"✓","")</f>
        <v/>
      </c>
      <c r="N1157" s="93">
        <f>N(N1156)+IF(M1157="✓",1,0)</f>
        <v/>
      </c>
      <c r="O1157" s="93">
        <f>N(O1156)+IF(AND(B1157&lt;&gt;"",B1157&gt;='Uang Riba'!$H$30,B1157&lt;='Uang Riba'!$I$30,OR(H1157="Dana riba",H1157="Pinjam uang riba",I1157="Pinjam dari uang riba",I1157="Ganti uang riba",I1157="Kelebihan ganti dikembalikan",AND(C1157="Kantong Uang Riba",G1157="Pengeluaran"))),1,0)</f>
        <v/>
      </c>
      <c r="X1157" s="93">
        <f>IF(AND(B1157&lt;&gt;"",B1157&gt;='Buku Akun'!$H$4,B1157&lt;='Buku Akun'!$H$5,OR(C1157='Buku Akun'!$C$4,AND(D1157="Pindah",E1157='Buku Akun'!$C$4))),B1157+IF(AND(I1157="Selisih bunga",DAY(B1157)=1),0,0.01)+ROW()/10000000,"")</f>
        <v/>
      </c>
    </row>
    <row r="1158" outlineLevel="1" ht="15" customHeight="1" s="94">
      <c r="A1158" s="123">
        <f>IF(B1158="","",ROW()-15)</f>
        <v/>
      </c>
      <c r="B1158" s="124" t="n"/>
      <c r="C1158" s="123" t="n"/>
      <c r="D1158" s="123" t="n"/>
      <c r="E1158" s="123" t="n"/>
      <c r="F1158" s="125" t="n"/>
      <c r="G1158" s="123" t="n"/>
      <c r="H1158" s="123" t="n"/>
      <c r="I1158" s="123" t="n"/>
      <c r="J1158" s="123" t="n"/>
      <c r="K1158" s="123" t="n"/>
      <c r="L1158" s="123" t="n"/>
      <c r="M1158" s="123">
        <f>IF(AND(B1158&lt;&gt;"",OR($C$4="",ISNUMBER(SEARCH($C$4,C1158&amp;" "&amp;E1158&amp;" "&amp;G1158&amp;" "&amp;H1158&amp;" "&amp;I1158&amp;" "&amp;J1158&amp;" "&amp;K1158&amp;" "&amp;L1158))),OR($C$5="Semua",$C$5="",G1158=$C$5),OR($C$6="Semua",$C$6="",H1158=$C$6,H1158="Pengeluaran "&amp;$C$6,AND($C$6="Uang Kos Mama",H1158="Pengeluaran Uang Kos")),OR($C$7="Semua",$C$7="",I1158=$C$7),OR($C$8="Semua",$C$8="",C1158=$C$8,E1158=$C$8),OR($C$9="Semua",$C$9="",D1158=$C$9),OR($C$10="",B1158&gt;=$C$10),OR($C$11="",B1158&lt;=$C$11),OR($C$12&lt;&gt;"Ya",K1158&lt;&gt;""),OR($C$13="Semua",$C$13="",L1158=$C$13)),"✓","")</f>
        <v/>
      </c>
      <c r="N1158" s="93">
        <f>N(N1157)+IF(M1158="✓",1,0)</f>
        <v/>
      </c>
      <c r="O1158" s="93">
        <f>N(O1157)+IF(AND(B1158&lt;&gt;"",B1158&gt;='Uang Riba'!$H$30,B1158&lt;='Uang Riba'!$I$30,OR(H1158="Dana riba",H1158="Pinjam uang riba",I1158="Pinjam dari uang riba",I1158="Ganti uang riba",I1158="Kelebihan ganti dikembalikan",AND(C1158="Kantong Uang Riba",G1158="Pengeluaran"))),1,0)</f>
        <v/>
      </c>
      <c r="X1158" s="93">
        <f>IF(AND(B1158&lt;&gt;"",B1158&gt;='Buku Akun'!$H$4,B1158&lt;='Buku Akun'!$H$5,OR(C1158='Buku Akun'!$C$4,AND(D1158="Pindah",E1158='Buku Akun'!$C$4))),B1158+IF(AND(I1158="Selisih bunga",DAY(B1158)=1),0,0.01)+ROW()/10000000,"")</f>
        <v/>
      </c>
    </row>
    <row r="1159" outlineLevel="1" ht="15" customHeight="1" s="94">
      <c r="A1159" s="123">
        <f>IF(B1159="","",ROW()-15)</f>
        <v/>
      </c>
      <c r="B1159" s="124" t="n"/>
      <c r="C1159" s="123" t="n"/>
      <c r="D1159" s="123" t="n"/>
      <c r="E1159" s="123" t="n"/>
      <c r="F1159" s="125" t="n"/>
      <c r="G1159" s="123" t="n"/>
      <c r="H1159" s="123" t="n"/>
      <c r="I1159" s="123" t="n"/>
      <c r="J1159" s="123" t="n"/>
      <c r="K1159" s="123" t="n"/>
      <c r="L1159" s="123" t="n"/>
      <c r="M1159" s="123">
        <f>IF(AND(B1159&lt;&gt;"",OR($C$4="",ISNUMBER(SEARCH($C$4,C1159&amp;" "&amp;E1159&amp;" "&amp;G1159&amp;" "&amp;H1159&amp;" "&amp;I1159&amp;" "&amp;J1159&amp;" "&amp;K1159&amp;" "&amp;L1159))),OR($C$5="Semua",$C$5="",G1159=$C$5),OR($C$6="Semua",$C$6="",H1159=$C$6,H1159="Pengeluaran "&amp;$C$6,AND($C$6="Uang Kos Mama",H1159="Pengeluaran Uang Kos")),OR($C$7="Semua",$C$7="",I1159=$C$7),OR($C$8="Semua",$C$8="",C1159=$C$8,E1159=$C$8),OR($C$9="Semua",$C$9="",D1159=$C$9),OR($C$10="",B1159&gt;=$C$10),OR($C$11="",B1159&lt;=$C$11),OR($C$12&lt;&gt;"Ya",K1159&lt;&gt;""),OR($C$13="Semua",$C$13="",L1159=$C$13)),"✓","")</f>
        <v/>
      </c>
      <c r="N1159" s="93">
        <f>N(N1158)+IF(M1159="✓",1,0)</f>
        <v/>
      </c>
      <c r="O1159" s="93">
        <f>N(O1158)+IF(AND(B1159&lt;&gt;"",B1159&gt;='Uang Riba'!$H$30,B1159&lt;='Uang Riba'!$I$30,OR(H1159="Dana riba",H1159="Pinjam uang riba",I1159="Pinjam dari uang riba",I1159="Ganti uang riba",I1159="Kelebihan ganti dikembalikan",AND(C1159="Kantong Uang Riba",G1159="Pengeluaran"))),1,0)</f>
        <v/>
      </c>
      <c r="X1159" s="93">
        <f>IF(AND(B1159&lt;&gt;"",B1159&gt;='Buku Akun'!$H$4,B1159&lt;='Buku Akun'!$H$5,OR(C1159='Buku Akun'!$C$4,AND(D1159="Pindah",E1159='Buku Akun'!$C$4))),B1159+IF(AND(I1159="Selisih bunga",DAY(B1159)=1),0,0.01)+ROW()/10000000,"")</f>
        <v/>
      </c>
    </row>
    <row r="1160" outlineLevel="1" ht="15" customHeight="1" s="94">
      <c r="A1160" s="123">
        <f>IF(B1160="","",ROW()-15)</f>
        <v/>
      </c>
      <c r="B1160" s="124" t="n"/>
      <c r="C1160" s="123" t="n"/>
      <c r="D1160" s="123" t="n"/>
      <c r="E1160" s="123" t="n"/>
      <c r="F1160" s="125" t="n"/>
      <c r="G1160" s="123" t="n"/>
      <c r="H1160" s="123" t="n"/>
      <c r="I1160" s="123" t="n"/>
      <c r="J1160" s="123" t="n"/>
      <c r="K1160" s="123" t="n"/>
      <c r="L1160" s="123" t="n"/>
      <c r="M1160" s="123">
        <f>IF(AND(B1160&lt;&gt;"",OR($C$4="",ISNUMBER(SEARCH($C$4,C1160&amp;" "&amp;E1160&amp;" "&amp;G1160&amp;" "&amp;H1160&amp;" "&amp;I1160&amp;" "&amp;J1160&amp;" "&amp;K1160&amp;" "&amp;L1160))),OR($C$5="Semua",$C$5="",G1160=$C$5),OR($C$6="Semua",$C$6="",H1160=$C$6,H1160="Pengeluaran "&amp;$C$6,AND($C$6="Uang Kos Mama",H1160="Pengeluaran Uang Kos")),OR($C$7="Semua",$C$7="",I1160=$C$7),OR($C$8="Semua",$C$8="",C1160=$C$8,E1160=$C$8),OR($C$9="Semua",$C$9="",D1160=$C$9),OR($C$10="",B1160&gt;=$C$10),OR($C$11="",B1160&lt;=$C$11),OR($C$12&lt;&gt;"Ya",K1160&lt;&gt;""),OR($C$13="Semua",$C$13="",L1160=$C$13)),"✓","")</f>
        <v/>
      </c>
      <c r="N1160" s="93">
        <f>N(N1159)+IF(M1160="✓",1,0)</f>
        <v/>
      </c>
      <c r="O1160" s="93">
        <f>N(O1159)+IF(AND(B1160&lt;&gt;"",B1160&gt;='Uang Riba'!$H$30,B1160&lt;='Uang Riba'!$I$30,OR(H1160="Dana riba",H1160="Pinjam uang riba",I1160="Pinjam dari uang riba",I1160="Ganti uang riba",I1160="Kelebihan ganti dikembalikan",AND(C1160="Kantong Uang Riba",G1160="Pengeluaran"))),1,0)</f>
        <v/>
      </c>
      <c r="X1160" s="93">
        <f>IF(AND(B1160&lt;&gt;"",B1160&gt;='Buku Akun'!$H$4,B1160&lt;='Buku Akun'!$H$5,OR(C1160='Buku Akun'!$C$4,AND(D1160="Pindah",E1160='Buku Akun'!$C$4))),B1160+IF(AND(I1160="Selisih bunga",DAY(B1160)=1),0,0.01)+ROW()/10000000,"")</f>
        <v/>
      </c>
    </row>
    <row r="1161" outlineLevel="1" ht="15" customHeight="1" s="94">
      <c r="A1161" s="123">
        <f>IF(B1161="","",ROW()-15)</f>
        <v/>
      </c>
      <c r="B1161" s="124" t="n"/>
      <c r="C1161" s="123" t="n"/>
      <c r="D1161" s="123" t="n"/>
      <c r="E1161" s="123" t="n"/>
      <c r="F1161" s="125" t="n"/>
      <c r="G1161" s="123" t="n"/>
      <c r="H1161" s="123" t="n"/>
      <c r="I1161" s="123" t="n"/>
      <c r="J1161" s="123" t="n"/>
      <c r="K1161" s="123" t="n"/>
      <c r="L1161" s="123" t="n"/>
      <c r="M1161" s="123">
        <f>IF(AND(B1161&lt;&gt;"",OR($C$4="",ISNUMBER(SEARCH($C$4,C1161&amp;" "&amp;E1161&amp;" "&amp;G1161&amp;" "&amp;H1161&amp;" "&amp;I1161&amp;" "&amp;J1161&amp;" "&amp;K1161&amp;" "&amp;L1161))),OR($C$5="Semua",$C$5="",G1161=$C$5),OR($C$6="Semua",$C$6="",H1161=$C$6,H1161="Pengeluaran "&amp;$C$6,AND($C$6="Uang Kos Mama",H1161="Pengeluaran Uang Kos")),OR($C$7="Semua",$C$7="",I1161=$C$7),OR($C$8="Semua",$C$8="",C1161=$C$8,E1161=$C$8),OR($C$9="Semua",$C$9="",D1161=$C$9),OR($C$10="",B1161&gt;=$C$10),OR($C$11="",B1161&lt;=$C$11),OR($C$12&lt;&gt;"Ya",K1161&lt;&gt;""),OR($C$13="Semua",$C$13="",L1161=$C$13)),"✓","")</f>
        <v/>
      </c>
      <c r="N1161" s="93">
        <f>N(N1160)+IF(M1161="✓",1,0)</f>
        <v/>
      </c>
      <c r="O1161" s="93">
        <f>N(O1160)+IF(AND(B1161&lt;&gt;"",B1161&gt;='Uang Riba'!$H$30,B1161&lt;='Uang Riba'!$I$30,OR(H1161="Dana riba",H1161="Pinjam uang riba",I1161="Pinjam dari uang riba",I1161="Ganti uang riba",I1161="Kelebihan ganti dikembalikan",AND(C1161="Kantong Uang Riba",G1161="Pengeluaran"))),1,0)</f>
        <v/>
      </c>
      <c r="X1161" s="93">
        <f>IF(AND(B1161&lt;&gt;"",B1161&gt;='Buku Akun'!$H$4,B1161&lt;='Buku Akun'!$H$5,OR(C1161='Buku Akun'!$C$4,AND(D1161="Pindah",E1161='Buku Akun'!$C$4))),B1161+IF(AND(I1161="Selisih bunga",DAY(B1161)=1),0,0.01)+ROW()/10000000,"")</f>
        <v/>
      </c>
    </row>
    <row r="1162" outlineLevel="1" ht="15" customHeight="1" s="94">
      <c r="A1162" s="123">
        <f>IF(B1162="","",ROW()-15)</f>
        <v/>
      </c>
      <c r="B1162" s="124" t="n"/>
      <c r="C1162" s="123" t="n"/>
      <c r="D1162" s="123" t="n"/>
      <c r="E1162" s="123" t="n"/>
      <c r="F1162" s="125" t="n"/>
      <c r="G1162" s="123" t="n"/>
      <c r="H1162" s="123" t="n"/>
      <c r="I1162" s="123" t="n"/>
      <c r="J1162" s="123" t="n"/>
      <c r="K1162" s="123" t="n"/>
      <c r="L1162" s="123" t="n"/>
      <c r="M1162" s="123">
        <f>IF(AND(B1162&lt;&gt;"",OR($C$4="",ISNUMBER(SEARCH($C$4,C1162&amp;" "&amp;E1162&amp;" "&amp;G1162&amp;" "&amp;H1162&amp;" "&amp;I1162&amp;" "&amp;J1162&amp;" "&amp;K1162&amp;" "&amp;L1162))),OR($C$5="Semua",$C$5="",G1162=$C$5),OR($C$6="Semua",$C$6="",H1162=$C$6,H1162="Pengeluaran "&amp;$C$6,AND($C$6="Uang Kos Mama",H1162="Pengeluaran Uang Kos")),OR($C$7="Semua",$C$7="",I1162=$C$7),OR($C$8="Semua",$C$8="",C1162=$C$8,E1162=$C$8),OR($C$9="Semua",$C$9="",D1162=$C$9),OR($C$10="",B1162&gt;=$C$10),OR($C$11="",B1162&lt;=$C$11),OR($C$12&lt;&gt;"Ya",K1162&lt;&gt;""),OR($C$13="Semua",$C$13="",L1162=$C$13)),"✓","")</f>
        <v/>
      </c>
      <c r="N1162" s="93">
        <f>N(N1161)+IF(M1162="✓",1,0)</f>
        <v/>
      </c>
      <c r="O1162" s="93">
        <f>N(O1161)+IF(AND(B1162&lt;&gt;"",B1162&gt;='Uang Riba'!$H$30,B1162&lt;='Uang Riba'!$I$30,OR(H1162="Dana riba",H1162="Pinjam uang riba",I1162="Pinjam dari uang riba",I1162="Ganti uang riba",I1162="Kelebihan ganti dikembalikan",AND(C1162="Kantong Uang Riba",G1162="Pengeluaran"))),1,0)</f>
        <v/>
      </c>
      <c r="X1162" s="93">
        <f>IF(AND(B1162&lt;&gt;"",B1162&gt;='Buku Akun'!$H$4,B1162&lt;='Buku Akun'!$H$5,OR(C1162='Buku Akun'!$C$4,AND(D1162="Pindah",E1162='Buku Akun'!$C$4))),B1162+IF(AND(I1162="Selisih bunga",DAY(B1162)=1),0,0.01)+ROW()/10000000,"")</f>
        <v/>
      </c>
    </row>
    <row r="1163" outlineLevel="1" ht="15" customHeight="1" s="94">
      <c r="A1163" s="123">
        <f>IF(B1163="","",ROW()-15)</f>
        <v/>
      </c>
      <c r="B1163" s="124" t="n"/>
      <c r="C1163" s="123" t="n"/>
      <c r="D1163" s="123" t="n"/>
      <c r="E1163" s="123" t="n"/>
      <c r="F1163" s="125" t="n"/>
      <c r="G1163" s="123" t="n"/>
      <c r="H1163" s="123" t="n"/>
      <c r="I1163" s="123" t="n"/>
      <c r="J1163" s="123" t="n"/>
      <c r="K1163" s="123" t="n"/>
      <c r="L1163" s="123" t="n"/>
      <c r="M1163" s="123">
        <f>IF(AND(B1163&lt;&gt;"",OR($C$4="",ISNUMBER(SEARCH($C$4,C1163&amp;" "&amp;E1163&amp;" "&amp;G1163&amp;" "&amp;H1163&amp;" "&amp;I1163&amp;" "&amp;J1163&amp;" "&amp;K1163&amp;" "&amp;L1163))),OR($C$5="Semua",$C$5="",G1163=$C$5),OR($C$6="Semua",$C$6="",H1163=$C$6,H1163="Pengeluaran "&amp;$C$6,AND($C$6="Uang Kos Mama",H1163="Pengeluaran Uang Kos")),OR($C$7="Semua",$C$7="",I1163=$C$7),OR($C$8="Semua",$C$8="",C1163=$C$8,E1163=$C$8),OR($C$9="Semua",$C$9="",D1163=$C$9),OR($C$10="",B1163&gt;=$C$10),OR($C$11="",B1163&lt;=$C$11),OR($C$12&lt;&gt;"Ya",K1163&lt;&gt;""),OR($C$13="Semua",$C$13="",L1163=$C$13)),"✓","")</f>
        <v/>
      </c>
      <c r="N1163" s="93">
        <f>N(N1162)+IF(M1163="✓",1,0)</f>
        <v/>
      </c>
      <c r="O1163" s="93">
        <f>N(O1162)+IF(AND(B1163&lt;&gt;"",B1163&gt;='Uang Riba'!$H$30,B1163&lt;='Uang Riba'!$I$30,OR(H1163="Dana riba",H1163="Pinjam uang riba",I1163="Pinjam dari uang riba",I1163="Ganti uang riba",I1163="Kelebihan ganti dikembalikan",AND(C1163="Kantong Uang Riba",G1163="Pengeluaran"))),1,0)</f>
        <v/>
      </c>
      <c r="X1163" s="93">
        <f>IF(AND(B1163&lt;&gt;"",B1163&gt;='Buku Akun'!$H$4,B1163&lt;='Buku Akun'!$H$5,OR(C1163='Buku Akun'!$C$4,AND(D1163="Pindah",E1163='Buku Akun'!$C$4))),B1163+IF(AND(I1163="Selisih bunga",DAY(B1163)=1),0,0.01)+ROW()/10000000,"")</f>
        <v/>
      </c>
    </row>
    <row r="1164" outlineLevel="1" ht="15" customHeight="1" s="94">
      <c r="A1164" s="123">
        <f>IF(B1164="","",ROW()-15)</f>
        <v/>
      </c>
      <c r="B1164" s="124" t="n"/>
      <c r="C1164" s="123" t="n"/>
      <c r="D1164" s="123" t="n"/>
      <c r="E1164" s="123" t="n"/>
      <c r="F1164" s="125" t="n"/>
      <c r="G1164" s="123" t="n"/>
      <c r="H1164" s="123" t="n"/>
      <c r="I1164" s="123" t="n"/>
      <c r="J1164" s="123" t="n"/>
      <c r="K1164" s="123" t="n"/>
      <c r="L1164" s="123" t="n"/>
      <c r="M1164" s="123">
        <f>IF(AND(B1164&lt;&gt;"",OR($C$4="",ISNUMBER(SEARCH($C$4,C1164&amp;" "&amp;E1164&amp;" "&amp;G1164&amp;" "&amp;H1164&amp;" "&amp;I1164&amp;" "&amp;J1164&amp;" "&amp;K1164&amp;" "&amp;L1164))),OR($C$5="Semua",$C$5="",G1164=$C$5),OR($C$6="Semua",$C$6="",H1164=$C$6,H1164="Pengeluaran "&amp;$C$6,AND($C$6="Uang Kos Mama",H1164="Pengeluaran Uang Kos")),OR($C$7="Semua",$C$7="",I1164=$C$7),OR($C$8="Semua",$C$8="",C1164=$C$8,E1164=$C$8),OR($C$9="Semua",$C$9="",D1164=$C$9),OR($C$10="",B1164&gt;=$C$10),OR($C$11="",B1164&lt;=$C$11),OR($C$12&lt;&gt;"Ya",K1164&lt;&gt;""),OR($C$13="Semua",$C$13="",L1164=$C$13)),"✓","")</f>
        <v/>
      </c>
      <c r="N1164" s="93">
        <f>N(N1163)+IF(M1164="✓",1,0)</f>
        <v/>
      </c>
      <c r="O1164" s="93">
        <f>N(O1163)+IF(AND(B1164&lt;&gt;"",B1164&gt;='Uang Riba'!$H$30,B1164&lt;='Uang Riba'!$I$30,OR(H1164="Dana riba",H1164="Pinjam uang riba",I1164="Pinjam dari uang riba",I1164="Ganti uang riba",I1164="Kelebihan ganti dikembalikan",AND(C1164="Kantong Uang Riba",G1164="Pengeluaran"))),1,0)</f>
        <v/>
      </c>
      <c r="X1164" s="93">
        <f>IF(AND(B1164&lt;&gt;"",B1164&gt;='Buku Akun'!$H$4,B1164&lt;='Buku Akun'!$H$5,OR(C1164='Buku Akun'!$C$4,AND(D1164="Pindah",E1164='Buku Akun'!$C$4))),B1164+IF(AND(I1164="Selisih bunga",DAY(B1164)=1),0,0.01)+ROW()/10000000,"")</f>
        <v/>
      </c>
    </row>
    <row r="1165" outlineLevel="1" ht="15" customHeight="1" s="94">
      <c r="A1165" s="123">
        <f>IF(B1165="","",ROW()-15)</f>
        <v/>
      </c>
      <c r="B1165" s="124" t="n"/>
      <c r="C1165" s="123" t="n"/>
      <c r="D1165" s="123" t="n"/>
      <c r="E1165" s="123" t="n"/>
      <c r="F1165" s="125" t="n"/>
      <c r="G1165" s="123" t="n"/>
      <c r="H1165" s="123" t="n"/>
      <c r="I1165" s="123" t="n"/>
      <c r="J1165" s="123" t="n"/>
      <c r="K1165" s="123" t="n"/>
      <c r="L1165" s="123" t="n"/>
      <c r="M1165" s="123">
        <f>IF(AND(B1165&lt;&gt;"",OR($C$4="",ISNUMBER(SEARCH($C$4,C1165&amp;" "&amp;E1165&amp;" "&amp;G1165&amp;" "&amp;H1165&amp;" "&amp;I1165&amp;" "&amp;J1165&amp;" "&amp;K1165&amp;" "&amp;L1165))),OR($C$5="Semua",$C$5="",G1165=$C$5),OR($C$6="Semua",$C$6="",H1165=$C$6,H1165="Pengeluaran "&amp;$C$6,AND($C$6="Uang Kos Mama",H1165="Pengeluaran Uang Kos")),OR($C$7="Semua",$C$7="",I1165=$C$7),OR($C$8="Semua",$C$8="",C1165=$C$8,E1165=$C$8),OR($C$9="Semua",$C$9="",D1165=$C$9),OR($C$10="",B1165&gt;=$C$10),OR($C$11="",B1165&lt;=$C$11),OR($C$12&lt;&gt;"Ya",K1165&lt;&gt;""),OR($C$13="Semua",$C$13="",L1165=$C$13)),"✓","")</f>
        <v/>
      </c>
      <c r="N1165" s="93">
        <f>N(N1164)+IF(M1165="✓",1,0)</f>
        <v/>
      </c>
      <c r="O1165" s="93">
        <f>N(O1164)+IF(AND(B1165&lt;&gt;"",B1165&gt;='Uang Riba'!$H$30,B1165&lt;='Uang Riba'!$I$30,OR(H1165="Dana riba",H1165="Pinjam uang riba",I1165="Pinjam dari uang riba",I1165="Ganti uang riba",I1165="Kelebihan ganti dikembalikan",AND(C1165="Kantong Uang Riba",G1165="Pengeluaran"))),1,0)</f>
        <v/>
      </c>
      <c r="X1165" s="93">
        <f>IF(AND(B1165&lt;&gt;"",B1165&gt;='Buku Akun'!$H$4,B1165&lt;='Buku Akun'!$H$5,OR(C1165='Buku Akun'!$C$4,AND(D1165="Pindah",E1165='Buku Akun'!$C$4))),B1165+IF(AND(I1165="Selisih bunga",DAY(B1165)=1),0,0.01)+ROW()/10000000,"")</f>
        <v/>
      </c>
    </row>
    <row r="1166" outlineLevel="1" ht="15" customHeight="1" s="94">
      <c r="A1166" s="123">
        <f>IF(B1166="","",ROW()-15)</f>
        <v/>
      </c>
      <c r="B1166" s="124" t="n"/>
      <c r="C1166" s="123" t="n"/>
      <c r="D1166" s="123" t="n"/>
      <c r="E1166" s="123" t="n"/>
      <c r="F1166" s="125" t="n"/>
      <c r="G1166" s="123" t="n"/>
      <c r="H1166" s="123" t="n"/>
      <c r="I1166" s="123" t="n"/>
      <c r="J1166" s="123" t="n"/>
      <c r="K1166" s="123" t="n"/>
      <c r="L1166" s="123" t="n"/>
      <c r="M1166" s="123">
        <f>IF(AND(B1166&lt;&gt;"",OR($C$4="",ISNUMBER(SEARCH($C$4,C1166&amp;" "&amp;E1166&amp;" "&amp;G1166&amp;" "&amp;H1166&amp;" "&amp;I1166&amp;" "&amp;J1166&amp;" "&amp;K1166&amp;" "&amp;L1166))),OR($C$5="Semua",$C$5="",G1166=$C$5),OR($C$6="Semua",$C$6="",H1166=$C$6,H1166="Pengeluaran "&amp;$C$6,AND($C$6="Uang Kos Mama",H1166="Pengeluaran Uang Kos")),OR($C$7="Semua",$C$7="",I1166=$C$7),OR($C$8="Semua",$C$8="",C1166=$C$8,E1166=$C$8),OR($C$9="Semua",$C$9="",D1166=$C$9),OR($C$10="",B1166&gt;=$C$10),OR($C$11="",B1166&lt;=$C$11),OR($C$12&lt;&gt;"Ya",K1166&lt;&gt;""),OR($C$13="Semua",$C$13="",L1166=$C$13)),"✓","")</f>
        <v/>
      </c>
      <c r="N1166" s="93">
        <f>N(N1165)+IF(M1166="✓",1,0)</f>
        <v/>
      </c>
      <c r="O1166" s="93">
        <f>N(O1165)+IF(AND(B1166&lt;&gt;"",B1166&gt;='Uang Riba'!$H$30,B1166&lt;='Uang Riba'!$I$30,OR(H1166="Dana riba",H1166="Pinjam uang riba",I1166="Pinjam dari uang riba",I1166="Ganti uang riba",I1166="Kelebihan ganti dikembalikan",AND(C1166="Kantong Uang Riba",G1166="Pengeluaran"))),1,0)</f>
        <v/>
      </c>
      <c r="X1166" s="93">
        <f>IF(AND(B1166&lt;&gt;"",B1166&gt;='Buku Akun'!$H$4,B1166&lt;='Buku Akun'!$H$5,OR(C1166='Buku Akun'!$C$4,AND(D1166="Pindah",E1166='Buku Akun'!$C$4))),B1166+IF(AND(I1166="Selisih bunga",DAY(B1166)=1),0,0.01)+ROW()/10000000,"")</f>
        <v/>
      </c>
    </row>
    <row r="1167" outlineLevel="1" ht="15" customHeight="1" s="94">
      <c r="A1167" s="123">
        <f>IF(B1167="","",ROW()-15)</f>
        <v/>
      </c>
      <c r="B1167" s="124" t="n"/>
      <c r="C1167" s="123" t="n"/>
      <c r="D1167" s="123" t="n"/>
      <c r="E1167" s="123" t="n"/>
      <c r="F1167" s="125" t="n"/>
      <c r="G1167" s="123" t="n"/>
      <c r="H1167" s="123" t="n"/>
      <c r="I1167" s="123" t="n"/>
      <c r="J1167" s="123" t="n"/>
      <c r="K1167" s="123" t="n"/>
      <c r="L1167" s="123" t="n"/>
      <c r="M1167" s="123">
        <f>IF(AND(B1167&lt;&gt;"",OR($C$4="",ISNUMBER(SEARCH($C$4,C1167&amp;" "&amp;E1167&amp;" "&amp;G1167&amp;" "&amp;H1167&amp;" "&amp;I1167&amp;" "&amp;J1167&amp;" "&amp;K1167&amp;" "&amp;L1167))),OR($C$5="Semua",$C$5="",G1167=$C$5),OR($C$6="Semua",$C$6="",H1167=$C$6,H1167="Pengeluaran "&amp;$C$6,AND($C$6="Uang Kos Mama",H1167="Pengeluaran Uang Kos")),OR($C$7="Semua",$C$7="",I1167=$C$7),OR($C$8="Semua",$C$8="",C1167=$C$8,E1167=$C$8),OR($C$9="Semua",$C$9="",D1167=$C$9),OR($C$10="",B1167&gt;=$C$10),OR($C$11="",B1167&lt;=$C$11),OR($C$12&lt;&gt;"Ya",K1167&lt;&gt;""),OR($C$13="Semua",$C$13="",L1167=$C$13)),"✓","")</f>
        <v/>
      </c>
      <c r="N1167" s="93">
        <f>N(N1166)+IF(M1167="✓",1,0)</f>
        <v/>
      </c>
      <c r="O1167" s="93">
        <f>N(O1166)+IF(AND(B1167&lt;&gt;"",B1167&gt;='Uang Riba'!$H$30,B1167&lt;='Uang Riba'!$I$30,OR(H1167="Dana riba",H1167="Pinjam uang riba",I1167="Pinjam dari uang riba",I1167="Ganti uang riba",I1167="Kelebihan ganti dikembalikan",AND(C1167="Kantong Uang Riba",G1167="Pengeluaran"))),1,0)</f>
        <v/>
      </c>
      <c r="X1167" s="93">
        <f>IF(AND(B1167&lt;&gt;"",B1167&gt;='Buku Akun'!$H$4,B1167&lt;='Buku Akun'!$H$5,OR(C1167='Buku Akun'!$C$4,AND(D1167="Pindah",E1167='Buku Akun'!$C$4))),B1167+IF(AND(I1167="Selisih bunga",DAY(B1167)=1),0,0.01)+ROW()/10000000,"")</f>
        <v/>
      </c>
    </row>
    <row r="1168" outlineLevel="1" ht="15" customHeight="1" s="94">
      <c r="A1168" s="123">
        <f>IF(B1168="","",ROW()-15)</f>
        <v/>
      </c>
      <c r="B1168" s="124" t="n"/>
      <c r="C1168" s="123" t="n"/>
      <c r="D1168" s="123" t="n"/>
      <c r="E1168" s="123" t="n"/>
      <c r="F1168" s="125" t="n"/>
      <c r="G1168" s="123" t="n"/>
      <c r="H1168" s="123" t="n"/>
      <c r="I1168" s="123" t="n"/>
      <c r="J1168" s="123" t="n"/>
      <c r="K1168" s="123" t="n"/>
      <c r="L1168" s="123" t="n"/>
      <c r="M1168" s="123">
        <f>IF(AND(B1168&lt;&gt;"",OR($C$4="",ISNUMBER(SEARCH($C$4,C1168&amp;" "&amp;E1168&amp;" "&amp;G1168&amp;" "&amp;H1168&amp;" "&amp;I1168&amp;" "&amp;J1168&amp;" "&amp;K1168&amp;" "&amp;L1168))),OR($C$5="Semua",$C$5="",G1168=$C$5),OR($C$6="Semua",$C$6="",H1168=$C$6,H1168="Pengeluaran "&amp;$C$6,AND($C$6="Uang Kos Mama",H1168="Pengeluaran Uang Kos")),OR($C$7="Semua",$C$7="",I1168=$C$7),OR($C$8="Semua",$C$8="",C1168=$C$8,E1168=$C$8),OR($C$9="Semua",$C$9="",D1168=$C$9),OR($C$10="",B1168&gt;=$C$10),OR($C$11="",B1168&lt;=$C$11),OR($C$12&lt;&gt;"Ya",K1168&lt;&gt;""),OR($C$13="Semua",$C$13="",L1168=$C$13)),"✓","")</f>
        <v/>
      </c>
      <c r="N1168" s="93">
        <f>N(N1167)+IF(M1168="✓",1,0)</f>
        <v/>
      </c>
      <c r="O1168" s="93">
        <f>N(O1167)+IF(AND(B1168&lt;&gt;"",B1168&gt;='Uang Riba'!$H$30,B1168&lt;='Uang Riba'!$I$30,OR(H1168="Dana riba",H1168="Pinjam uang riba",I1168="Pinjam dari uang riba",I1168="Ganti uang riba",I1168="Kelebihan ganti dikembalikan",AND(C1168="Kantong Uang Riba",G1168="Pengeluaran"))),1,0)</f>
        <v/>
      </c>
      <c r="X1168" s="93">
        <f>IF(AND(B1168&lt;&gt;"",B1168&gt;='Buku Akun'!$H$4,B1168&lt;='Buku Akun'!$H$5,OR(C1168='Buku Akun'!$C$4,AND(D1168="Pindah",E1168='Buku Akun'!$C$4))),B1168+IF(AND(I1168="Selisih bunga",DAY(B1168)=1),0,0.01)+ROW()/10000000,"")</f>
        <v/>
      </c>
    </row>
    <row r="1169" outlineLevel="1" ht="15" customHeight="1" s="94">
      <c r="A1169" s="123">
        <f>IF(B1169="","",ROW()-15)</f>
        <v/>
      </c>
      <c r="B1169" s="124" t="n"/>
      <c r="C1169" s="123" t="n"/>
      <c r="D1169" s="123" t="n"/>
      <c r="E1169" s="123" t="n"/>
      <c r="F1169" s="125" t="n"/>
      <c r="G1169" s="123" t="n"/>
      <c r="H1169" s="123" t="n"/>
      <c r="I1169" s="123" t="n"/>
      <c r="J1169" s="123" t="n"/>
      <c r="K1169" s="123" t="n"/>
      <c r="L1169" s="123" t="n"/>
      <c r="M1169" s="123">
        <f>IF(AND(B1169&lt;&gt;"",OR($C$4="",ISNUMBER(SEARCH($C$4,C1169&amp;" "&amp;E1169&amp;" "&amp;G1169&amp;" "&amp;H1169&amp;" "&amp;I1169&amp;" "&amp;J1169&amp;" "&amp;K1169&amp;" "&amp;L1169))),OR($C$5="Semua",$C$5="",G1169=$C$5),OR($C$6="Semua",$C$6="",H1169=$C$6,H1169="Pengeluaran "&amp;$C$6,AND($C$6="Uang Kos Mama",H1169="Pengeluaran Uang Kos")),OR($C$7="Semua",$C$7="",I1169=$C$7),OR($C$8="Semua",$C$8="",C1169=$C$8,E1169=$C$8),OR($C$9="Semua",$C$9="",D1169=$C$9),OR($C$10="",B1169&gt;=$C$10),OR($C$11="",B1169&lt;=$C$11),OR($C$12&lt;&gt;"Ya",K1169&lt;&gt;""),OR($C$13="Semua",$C$13="",L1169=$C$13)),"✓","")</f>
        <v/>
      </c>
      <c r="N1169" s="93">
        <f>N(N1168)+IF(M1169="✓",1,0)</f>
        <v/>
      </c>
      <c r="O1169" s="93">
        <f>N(O1168)+IF(AND(B1169&lt;&gt;"",B1169&gt;='Uang Riba'!$H$30,B1169&lt;='Uang Riba'!$I$30,OR(H1169="Dana riba",H1169="Pinjam uang riba",I1169="Pinjam dari uang riba",I1169="Ganti uang riba",I1169="Kelebihan ganti dikembalikan",AND(C1169="Kantong Uang Riba",G1169="Pengeluaran"))),1,0)</f>
        <v/>
      </c>
      <c r="X1169" s="93">
        <f>IF(AND(B1169&lt;&gt;"",B1169&gt;='Buku Akun'!$H$4,B1169&lt;='Buku Akun'!$H$5,OR(C1169='Buku Akun'!$C$4,AND(D1169="Pindah",E1169='Buku Akun'!$C$4))),B1169+IF(AND(I1169="Selisih bunga",DAY(B1169)=1),0,0.01)+ROW()/10000000,"")</f>
        <v/>
      </c>
    </row>
    <row r="1170" outlineLevel="1" ht="15" customHeight="1" s="94">
      <c r="A1170" s="123">
        <f>IF(B1170="","",ROW()-15)</f>
        <v/>
      </c>
      <c r="B1170" s="124" t="n"/>
      <c r="C1170" s="123" t="n"/>
      <c r="D1170" s="123" t="n"/>
      <c r="E1170" s="123" t="n"/>
      <c r="F1170" s="125" t="n"/>
      <c r="G1170" s="123" t="n"/>
      <c r="H1170" s="123" t="n"/>
      <c r="I1170" s="123" t="n"/>
      <c r="J1170" s="123" t="n"/>
      <c r="K1170" s="123" t="n"/>
      <c r="L1170" s="123" t="n"/>
      <c r="M1170" s="123">
        <f>IF(AND(B1170&lt;&gt;"",OR($C$4="",ISNUMBER(SEARCH($C$4,C1170&amp;" "&amp;E1170&amp;" "&amp;G1170&amp;" "&amp;H1170&amp;" "&amp;I1170&amp;" "&amp;J1170&amp;" "&amp;K1170&amp;" "&amp;L1170))),OR($C$5="Semua",$C$5="",G1170=$C$5),OR($C$6="Semua",$C$6="",H1170=$C$6,H1170="Pengeluaran "&amp;$C$6,AND($C$6="Uang Kos Mama",H1170="Pengeluaran Uang Kos")),OR($C$7="Semua",$C$7="",I1170=$C$7),OR($C$8="Semua",$C$8="",C1170=$C$8,E1170=$C$8),OR($C$9="Semua",$C$9="",D1170=$C$9),OR($C$10="",B1170&gt;=$C$10),OR($C$11="",B1170&lt;=$C$11),OR($C$12&lt;&gt;"Ya",K1170&lt;&gt;""),OR($C$13="Semua",$C$13="",L1170=$C$13)),"✓","")</f>
        <v/>
      </c>
      <c r="N1170" s="93">
        <f>N(N1169)+IF(M1170="✓",1,0)</f>
        <v/>
      </c>
      <c r="O1170" s="93">
        <f>N(O1169)+IF(AND(B1170&lt;&gt;"",B1170&gt;='Uang Riba'!$H$30,B1170&lt;='Uang Riba'!$I$30,OR(H1170="Dana riba",H1170="Pinjam uang riba",I1170="Pinjam dari uang riba",I1170="Ganti uang riba",I1170="Kelebihan ganti dikembalikan",AND(C1170="Kantong Uang Riba",G1170="Pengeluaran"))),1,0)</f>
        <v/>
      </c>
      <c r="X1170" s="93">
        <f>IF(AND(B1170&lt;&gt;"",B1170&gt;='Buku Akun'!$H$4,B1170&lt;='Buku Akun'!$H$5,OR(C1170='Buku Akun'!$C$4,AND(D1170="Pindah",E1170='Buku Akun'!$C$4))),B1170+IF(AND(I1170="Selisih bunga",DAY(B1170)=1),0,0.01)+ROW()/10000000,"")</f>
        <v/>
      </c>
    </row>
    <row r="1171" outlineLevel="1" ht="15" customHeight="1" s="94">
      <c r="A1171" s="123">
        <f>IF(B1171="","",ROW()-15)</f>
        <v/>
      </c>
      <c r="B1171" s="124" t="n"/>
      <c r="C1171" s="123" t="n"/>
      <c r="D1171" s="123" t="n"/>
      <c r="E1171" s="123" t="n"/>
      <c r="F1171" s="125" t="n"/>
      <c r="G1171" s="123" t="n"/>
      <c r="H1171" s="123" t="n"/>
      <c r="I1171" s="123" t="n"/>
      <c r="J1171" s="123" t="n"/>
      <c r="K1171" s="123" t="n"/>
      <c r="L1171" s="123" t="n"/>
      <c r="M1171" s="123">
        <f>IF(AND(B1171&lt;&gt;"",OR($C$4="",ISNUMBER(SEARCH($C$4,C1171&amp;" "&amp;E1171&amp;" "&amp;G1171&amp;" "&amp;H1171&amp;" "&amp;I1171&amp;" "&amp;J1171&amp;" "&amp;K1171&amp;" "&amp;L1171))),OR($C$5="Semua",$C$5="",G1171=$C$5),OR($C$6="Semua",$C$6="",H1171=$C$6,H1171="Pengeluaran "&amp;$C$6,AND($C$6="Uang Kos Mama",H1171="Pengeluaran Uang Kos")),OR($C$7="Semua",$C$7="",I1171=$C$7),OR($C$8="Semua",$C$8="",C1171=$C$8,E1171=$C$8),OR($C$9="Semua",$C$9="",D1171=$C$9),OR($C$10="",B1171&gt;=$C$10),OR($C$11="",B1171&lt;=$C$11),OR($C$12&lt;&gt;"Ya",K1171&lt;&gt;""),OR($C$13="Semua",$C$13="",L1171=$C$13)),"✓","")</f>
        <v/>
      </c>
      <c r="N1171" s="93">
        <f>N(N1170)+IF(M1171="✓",1,0)</f>
        <v/>
      </c>
      <c r="O1171" s="93">
        <f>N(O1170)+IF(AND(B1171&lt;&gt;"",B1171&gt;='Uang Riba'!$H$30,B1171&lt;='Uang Riba'!$I$30,OR(H1171="Dana riba",H1171="Pinjam uang riba",I1171="Pinjam dari uang riba",I1171="Ganti uang riba",I1171="Kelebihan ganti dikembalikan",AND(C1171="Kantong Uang Riba",G1171="Pengeluaran"))),1,0)</f>
        <v/>
      </c>
      <c r="X1171" s="93">
        <f>IF(AND(B1171&lt;&gt;"",B1171&gt;='Buku Akun'!$H$4,B1171&lt;='Buku Akun'!$H$5,OR(C1171='Buku Akun'!$C$4,AND(D1171="Pindah",E1171='Buku Akun'!$C$4))),B1171+IF(AND(I1171="Selisih bunga",DAY(B1171)=1),0,0.01)+ROW()/10000000,"")</f>
        <v/>
      </c>
    </row>
    <row r="1172" outlineLevel="1" ht="15" customHeight="1" s="94">
      <c r="A1172" s="123">
        <f>IF(B1172="","",ROW()-15)</f>
        <v/>
      </c>
      <c r="B1172" s="124" t="n"/>
      <c r="C1172" s="123" t="n"/>
      <c r="D1172" s="123" t="n"/>
      <c r="E1172" s="123" t="n"/>
      <c r="F1172" s="125" t="n"/>
      <c r="G1172" s="123" t="n"/>
      <c r="H1172" s="123" t="n"/>
      <c r="I1172" s="123" t="n"/>
      <c r="J1172" s="123" t="n"/>
      <c r="K1172" s="123" t="n"/>
      <c r="L1172" s="123" t="n"/>
      <c r="M1172" s="123">
        <f>IF(AND(B1172&lt;&gt;"",OR($C$4="",ISNUMBER(SEARCH($C$4,C1172&amp;" "&amp;E1172&amp;" "&amp;G1172&amp;" "&amp;H1172&amp;" "&amp;I1172&amp;" "&amp;J1172&amp;" "&amp;K1172&amp;" "&amp;L1172))),OR($C$5="Semua",$C$5="",G1172=$C$5),OR($C$6="Semua",$C$6="",H1172=$C$6,H1172="Pengeluaran "&amp;$C$6,AND($C$6="Uang Kos Mama",H1172="Pengeluaran Uang Kos")),OR($C$7="Semua",$C$7="",I1172=$C$7),OR($C$8="Semua",$C$8="",C1172=$C$8,E1172=$C$8),OR($C$9="Semua",$C$9="",D1172=$C$9),OR($C$10="",B1172&gt;=$C$10),OR($C$11="",B1172&lt;=$C$11),OR($C$12&lt;&gt;"Ya",K1172&lt;&gt;""),OR($C$13="Semua",$C$13="",L1172=$C$13)),"✓","")</f>
        <v/>
      </c>
      <c r="N1172" s="93">
        <f>N(N1171)+IF(M1172="✓",1,0)</f>
        <v/>
      </c>
      <c r="O1172" s="93">
        <f>N(O1171)+IF(AND(B1172&lt;&gt;"",B1172&gt;='Uang Riba'!$H$30,B1172&lt;='Uang Riba'!$I$30,OR(H1172="Dana riba",H1172="Pinjam uang riba",I1172="Pinjam dari uang riba",I1172="Ganti uang riba",I1172="Kelebihan ganti dikembalikan",AND(C1172="Kantong Uang Riba",G1172="Pengeluaran"))),1,0)</f>
        <v/>
      </c>
      <c r="X1172" s="93">
        <f>IF(AND(B1172&lt;&gt;"",B1172&gt;='Buku Akun'!$H$4,B1172&lt;='Buku Akun'!$H$5,OR(C1172='Buku Akun'!$C$4,AND(D1172="Pindah",E1172='Buku Akun'!$C$4))),B1172+IF(AND(I1172="Selisih bunga",DAY(B1172)=1),0,0.01)+ROW()/10000000,"")</f>
        <v/>
      </c>
    </row>
    <row r="1173" outlineLevel="1" ht="15" customHeight="1" s="94">
      <c r="A1173" s="123">
        <f>IF(B1173="","",ROW()-15)</f>
        <v/>
      </c>
      <c r="B1173" s="124" t="n"/>
      <c r="C1173" s="123" t="n"/>
      <c r="D1173" s="123" t="n"/>
      <c r="E1173" s="123" t="n"/>
      <c r="F1173" s="125" t="n"/>
      <c r="G1173" s="123" t="n"/>
      <c r="H1173" s="123" t="n"/>
      <c r="I1173" s="123" t="n"/>
      <c r="J1173" s="123" t="n"/>
      <c r="K1173" s="123" t="n"/>
      <c r="L1173" s="123" t="n"/>
      <c r="M1173" s="123">
        <f>IF(AND(B1173&lt;&gt;"",OR($C$4="",ISNUMBER(SEARCH($C$4,C1173&amp;" "&amp;E1173&amp;" "&amp;G1173&amp;" "&amp;H1173&amp;" "&amp;I1173&amp;" "&amp;J1173&amp;" "&amp;K1173&amp;" "&amp;L1173))),OR($C$5="Semua",$C$5="",G1173=$C$5),OR($C$6="Semua",$C$6="",H1173=$C$6,H1173="Pengeluaran "&amp;$C$6,AND($C$6="Uang Kos Mama",H1173="Pengeluaran Uang Kos")),OR($C$7="Semua",$C$7="",I1173=$C$7),OR($C$8="Semua",$C$8="",C1173=$C$8,E1173=$C$8),OR($C$9="Semua",$C$9="",D1173=$C$9),OR($C$10="",B1173&gt;=$C$10),OR($C$11="",B1173&lt;=$C$11),OR($C$12&lt;&gt;"Ya",K1173&lt;&gt;""),OR($C$13="Semua",$C$13="",L1173=$C$13)),"✓","")</f>
        <v/>
      </c>
      <c r="N1173" s="93">
        <f>N(N1172)+IF(M1173="✓",1,0)</f>
        <v/>
      </c>
      <c r="O1173" s="93">
        <f>N(O1172)+IF(AND(B1173&lt;&gt;"",B1173&gt;='Uang Riba'!$H$30,B1173&lt;='Uang Riba'!$I$30,OR(H1173="Dana riba",H1173="Pinjam uang riba",I1173="Pinjam dari uang riba",I1173="Ganti uang riba",I1173="Kelebihan ganti dikembalikan",AND(C1173="Kantong Uang Riba",G1173="Pengeluaran"))),1,0)</f>
        <v/>
      </c>
      <c r="X1173" s="93">
        <f>IF(AND(B1173&lt;&gt;"",B1173&gt;='Buku Akun'!$H$4,B1173&lt;='Buku Akun'!$H$5,OR(C1173='Buku Akun'!$C$4,AND(D1173="Pindah",E1173='Buku Akun'!$C$4))),B1173+IF(AND(I1173="Selisih bunga",DAY(B1173)=1),0,0.01)+ROW()/10000000,"")</f>
        <v/>
      </c>
    </row>
    <row r="1174" outlineLevel="1" ht="15" customHeight="1" s="94">
      <c r="A1174" s="123">
        <f>IF(B1174="","",ROW()-15)</f>
        <v/>
      </c>
      <c r="B1174" s="124" t="n"/>
      <c r="C1174" s="123" t="n"/>
      <c r="D1174" s="123" t="n"/>
      <c r="E1174" s="123" t="n"/>
      <c r="F1174" s="125" t="n"/>
      <c r="G1174" s="123" t="n"/>
      <c r="H1174" s="123" t="n"/>
      <c r="I1174" s="123" t="n"/>
      <c r="J1174" s="123" t="n"/>
      <c r="K1174" s="123" t="n"/>
      <c r="L1174" s="123" t="n"/>
      <c r="M1174" s="123">
        <f>IF(AND(B1174&lt;&gt;"",OR($C$4="",ISNUMBER(SEARCH($C$4,C1174&amp;" "&amp;E1174&amp;" "&amp;G1174&amp;" "&amp;H1174&amp;" "&amp;I1174&amp;" "&amp;J1174&amp;" "&amp;K1174&amp;" "&amp;L1174))),OR($C$5="Semua",$C$5="",G1174=$C$5),OR($C$6="Semua",$C$6="",H1174=$C$6,H1174="Pengeluaran "&amp;$C$6,AND($C$6="Uang Kos Mama",H1174="Pengeluaran Uang Kos")),OR($C$7="Semua",$C$7="",I1174=$C$7),OR($C$8="Semua",$C$8="",C1174=$C$8,E1174=$C$8),OR($C$9="Semua",$C$9="",D1174=$C$9),OR($C$10="",B1174&gt;=$C$10),OR($C$11="",B1174&lt;=$C$11),OR($C$12&lt;&gt;"Ya",K1174&lt;&gt;""),OR($C$13="Semua",$C$13="",L1174=$C$13)),"✓","")</f>
        <v/>
      </c>
      <c r="N1174" s="93">
        <f>N(N1173)+IF(M1174="✓",1,0)</f>
        <v/>
      </c>
      <c r="O1174" s="93">
        <f>N(O1173)+IF(AND(B1174&lt;&gt;"",B1174&gt;='Uang Riba'!$H$30,B1174&lt;='Uang Riba'!$I$30,OR(H1174="Dana riba",H1174="Pinjam uang riba",I1174="Pinjam dari uang riba",I1174="Ganti uang riba",I1174="Kelebihan ganti dikembalikan",AND(C1174="Kantong Uang Riba",G1174="Pengeluaran"))),1,0)</f>
        <v/>
      </c>
      <c r="X1174" s="93">
        <f>IF(AND(B1174&lt;&gt;"",B1174&gt;='Buku Akun'!$H$4,B1174&lt;='Buku Akun'!$H$5,OR(C1174='Buku Akun'!$C$4,AND(D1174="Pindah",E1174='Buku Akun'!$C$4))),B1174+IF(AND(I1174="Selisih bunga",DAY(B1174)=1),0,0.01)+ROW()/10000000,"")</f>
        <v/>
      </c>
    </row>
    <row r="1175" outlineLevel="1" ht="15" customHeight="1" s="94">
      <c r="A1175" s="123">
        <f>IF(B1175="","",ROW()-15)</f>
        <v/>
      </c>
      <c r="B1175" s="124" t="n"/>
      <c r="C1175" s="123" t="n"/>
      <c r="D1175" s="123" t="n"/>
      <c r="E1175" s="123" t="n"/>
      <c r="F1175" s="125" t="n"/>
      <c r="G1175" s="123" t="n"/>
      <c r="H1175" s="123" t="n"/>
      <c r="I1175" s="123" t="n"/>
      <c r="J1175" s="123" t="n"/>
      <c r="K1175" s="123" t="n"/>
      <c r="L1175" s="123" t="n"/>
      <c r="M1175" s="123">
        <f>IF(AND(B1175&lt;&gt;"",OR($C$4="",ISNUMBER(SEARCH($C$4,C1175&amp;" "&amp;E1175&amp;" "&amp;G1175&amp;" "&amp;H1175&amp;" "&amp;I1175&amp;" "&amp;J1175&amp;" "&amp;K1175&amp;" "&amp;L1175))),OR($C$5="Semua",$C$5="",G1175=$C$5),OR($C$6="Semua",$C$6="",H1175=$C$6,H1175="Pengeluaran "&amp;$C$6,AND($C$6="Uang Kos Mama",H1175="Pengeluaran Uang Kos")),OR($C$7="Semua",$C$7="",I1175=$C$7),OR($C$8="Semua",$C$8="",C1175=$C$8,E1175=$C$8),OR($C$9="Semua",$C$9="",D1175=$C$9),OR($C$10="",B1175&gt;=$C$10),OR($C$11="",B1175&lt;=$C$11),OR($C$12&lt;&gt;"Ya",K1175&lt;&gt;""),OR($C$13="Semua",$C$13="",L1175=$C$13)),"✓","")</f>
        <v/>
      </c>
      <c r="N1175" s="93">
        <f>N(N1174)+IF(M1175="✓",1,0)</f>
        <v/>
      </c>
      <c r="O1175" s="93">
        <f>N(O1174)+IF(AND(B1175&lt;&gt;"",B1175&gt;='Uang Riba'!$H$30,B1175&lt;='Uang Riba'!$I$30,OR(H1175="Dana riba",H1175="Pinjam uang riba",I1175="Pinjam dari uang riba",I1175="Ganti uang riba",I1175="Kelebihan ganti dikembalikan",AND(C1175="Kantong Uang Riba",G1175="Pengeluaran"))),1,0)</f>
        <v/>
      </c>
      <c r="X1175" s="93">
        <f>IF(AND(B1175&lt;&gt;"",B1175&gt;='Buku Akun'!$H$4,B1175&lt;='Buku Akun'!$H$5,OR(C1175='Buku Akun'!$C$4,AND(D1175="Pindah",E1175='Buku Akun'!$C$4))),B1175+IF(AND(I1175="Selisih bunga",DAY(B1175)=1),0,0.01)+ROW()/10000000,"")</f>
        <v/>
      </c>
    </row>
    <row r="1176" outlineLevel="1" ht="15" customHeight="1" s="94">
      <c r="A1176" s="123">
        <f>IF(B1176="","",ROW()-15)</f>
        <v/>
      </c>
      <c r="B1176" s="124" t="n"/>
      <c r="C1176" s="123" t="n"/>
      <c r="D1176" s="123" t="n"/>
      <c r="E1176" s="123" t="n"/>
      <c r="F1176" s="125" t="n"/>
      <c r="G1176" s="123" t="n"/>
      <c r="H1176" s="123" t="n"/>
      <c r="I1176" s="123" t="n"/>
      <c r="J1176" s="123" t="n"/>
      <c r="K1176" s="123" t="n"/>
      <c r="L1176" s="123" t="n"/>
      <c r="M1176" s="123">
        <f>IF(AND(B1176&lt;&gt;"",OR($C$4="",ISNUMBER(SEARCH($C$4,C1176&amp;" "&amp;E1176&amp;" "&amp;G1176&amp;" "&amp;H1176&amp;" "&amp;I1176&amp;" "&amp;J1176&amp;" "&amp;K1176&amp;" "&amp;L1176))),OR($C$5="Semua",$C$5="",G1176=$C$5),OR($C$6="Semua",$C$6="",H1176=$C$6,H1176="Pengeluaran "&amp;$C$6,AND($C$6="Uang Kos Mama",H1176="Pengeluaran Uang Kos")),OR($C$7="Semua",$C$7="",I1176=$C$7),OR($C$8="Semua",$C$8="",C1176=$C$8,E1176=$C$8),OR($C$9="Semua",$C$9="",D1176=$C$9),OR($C$10="",B1176&gt;=$C$10),OR($C$11="",B1176&lt;=$C$11),OR($C$12&lt;&gt;"Ya",K1176&lt;&gt;""),OR($C$13="Semua",$C$13="",L1176=$C$13)),"✓","")</f>
        <v/>
      </c>
      <c r="N1176" s="93">
        <f>N(N1175)+IF(M1176="✓",1,0)</f>
        <v/>
      </c>
      <c r="O1176" s="93">
        <f>N(O1175)+IF(AND(B1176&lt;&gt;"",B1176&gt;='Uang Riba'!$H$30,B1176&lt;='Uang Riba'!$I$30,OR(H1176="Dana riba",H1176="Pinjam uang riba",I1176="Pinjam dari uang riba",I1176="Ganti uang riba",I1176="Kelebihan ganti dikembalikan",AND(C1176="Kantong Uang Riba",G1176="Pengeluaran"))),1,0)</f>
        <v/>
      </c>
      <c r="X1176" s="93">
        <f>IF(AND(B1176&lt;&gt;"",B1176&gt;='Buku Akun'!$H$4,B1176&lt;='Buku Akun'!$H$5,OR(C1176='Buku Akun'!$C$4,AND(D1176="Pindah",E1176='Buku Akun'!$C$4))),B1176+IF(AND(I1176="Selisih bunga",DAY(B1176)=1),0,0.01)+ROW()/10000000,"")</f>
        <v/>
      </c>
    </row>
    <row r="1177" outlineLevel="1" ht="15" customHeight="1" s="94">
      <c r="A1177" s="123">
        <f>IF(B1177="","",ROW()-15)</f>
        <v/>
      </c>
      <c r="B1177" s="124" t="n"/>
      <c r="C1177" s="123" t="n"/>
      <c r="D1177" s="123" t="n"/>
      <c r="E1177" s="123" t="n"/>
      <c r="F1177" s="125" t="n"/>
      <c r="G1177" s="123" t="n"/>
      <c r="H1177" s="123" t="n"/>
      <c r="I1177" s="123" t="n"/>
      <c r="J1177" s="123" t="n"/>
      <c r="K1177" s="123" t="n"/>
      <c r="L1177" s="123" t="n"/>
      <c r="M1177" s="123">
        <f>IF(AND(B1177&lt;&gt;"",OR($C$4="",ISNUMBER(SEARCH($C$4,C1177&amp;" "&amp;E1177&amp;" "&amp;G1177&amp;" "&amp;H1177&amp;" "&amp;I1177&amp;" "&amp;J1177&amp;" "&amp;K1177&amp;" "&amp;L1177))),OR($C$5="Semua",$C$5="",G1177=$C$5),OR($C$6="Semua",$C$6="",H1177=$C$6,H1177="Pengeluaran "&amp;$C$6,AND($C$6="Uang Kos Mama",H1177="Pengeluaran Uang Kos")),OR($C$7="Semua",$C$7="",I1177=$C$7),OR($C$8="Semua",$C$8="",C1177=$C$8,E1177=$C$8),OR($C$9="Semua",$C$9="",D1177=$C$9),OR($C$10="",B1177&gt;=$C$10),OR($C$11="",B1177&lt;=$C$11),OR($C$12&lt;&gt;"Ya",K1177&lt;&gt;""),OR($C$13="Semua",$C$13="",L1177=$C$13)),"✓","")</f>
        <v/>
      </c>
      <c r="N1177" s="93">
        <f>N(N1176)+IF(M1177="✓",1,0)</f>
        <v/>
      </c>
      <c r="O1177" s="93">
        <f>N(O1176)+IF(AND(B1177&lt;&gt;"",B1177&gt;='Uang Riba'!$H$30,B1177&lt;='Uang Riba'!$I$30,OR(H1177="Dana riba",H1177="Pinjam uang riba",I1177="Pinjam dari uang riba",I1177="Ganti uang riba",I1177="Kelebihan ganti dikembalikan",AND(C1177="Kantong Uang Riba",G1177="Pengeluaran"))),1,0)</f>
        <v/>
      </c>
      <c r="X1177" s="93">
        <f>IF(AND(B1177&lt;&gt;"",B1177&gt;='Buku Akun'!$H$4,B1177&lt;='Buku Akun'!$H$5,OR(C1177='Buku Akun'!$C$4,AND(D1177="Pindah",E1177='Buku Akun'!$C$4))),B1177+IF(AND(I1177="Selisih bunga",DAY(B1177)=1),0,0.01)+ROW()/10000000,"")</f>
        <v/>
      </c>
    </row>
    <row r="1178" outlineLevel="1" ht="15" customHeight="1" s="94">
      <c r="A1178" s="123">
        <f>IF(B1178="","",ROW()-15)</f>
        <v/>
      </c>
      <c r="B1178" s="124" t="n"/>
      <c r="C1178" s="123" t="n"/>
      <c r="D1178" s="123" t="n"/>
      <c r="E1178" s="123" t="n"/>
      <c r="F1178" s="125" t="n"/>
      <c r="G1178" s="123" t="n"/>
      <c r="H1178" s="123" t="n"/>
      <c r="I1178" s="123" t="n"/>
      <c r="J1178" s="123" t="n"/>
      <c r="K1178" s="123" t="n"/>
      <c r="L1178" s="123" t="n"/>
      <c r="M1178" s="123">
        <f>IF(AND(B1178&lt;&gt;"",OR($C$4="",ISNUMBER(SEARCH($C$4,C1178&amp;" "&amp;E1178&amp;" "&amp;G1178&amp;" "&amp;H1178&amp;" "&amp;I1178&amp;" "&amp;J1178&amp;" "&amp;K1178&amp;" "&amp;L1178))),OR($C$5="Semua",$C$5="",G1178=$C$5),OR($C$6="Semua",$C$6="",H1178=$C$6,H1178="Pengeluaran "&amp;$C$6,AND($C$6="Uang Kos Mama",H1178="Pengeluaran Uang Kos")),OR($C$7="Semua",$C$7="",I1178=$C$7),OR($C$8="Semua",$C$8="",C1178=$C$8,E1178=$C$8),OR($C$9="Semua",$C$9="",D1178=$C$9),OR($C$10="",B1178&gt;=$C$10),OR($C$11="",B1178&lt;=$C$11),OR($C$12&lt;&gt;"Ya",K1178&lt;&gt;""),OR($C$13="Semua",$C$13="",L1178=$C$13)),"✓","")</f>
        <v/>
      </c>
      <c r="N1178" s="93">
        <f>N(N1177)+IF(M1178="✓",1,0)</f>
        <v/>
      </c>
      <c r="O1178" s="93">
        <f>N(O1177)+IF(AND(B1178&lt;&gt;"",B1178&gt;='Uang Riba'!$H$30,B1178&lt;='Uang Riba'!$I$30,OR(H1178="Dana riba",H1178="Pinjam uang riba",I1178="Pinjam dari uang riba",I1178="Ganti uang riba",I1178="Kelebihan ganti dikembalikan",AND(C1178="Kantong Uang Riba",G1178="Pengeluaran"))),1,0)</f>
        <v/>
      </c>
      <c r="X1178" s="93">
        <f>IF(AND(B1178&lt;&gt;"",B1178&gt;='Buku Akun'!$H$4,B1178&lt;='Buku Akun'!$H$5,OR(C1178='Buku Akun'!$C$4,AND(D1178="Pindah",E1178='Buku Akun'!$C$4))),B1178+IF(AND(I1178="Selisih bunga",DAY(B1178)=1),0,0.01)+ROW()/10000000,"")</f>
        <v/>
      </c>
    </row>
    <row r="1179" outlineLevel="1" ht="15" customHeight="1" s="94">
      <c r="A1179" s="123">
        <f>IF(B1179="","",ROW()-15)</f>
        <v/>
      </c>
      <c r="B1179" s="124" t="n"/>
      <c r="C1179" s="123" t="n"/>
      <c r="D1179" s="123" t="n"/>
      <c r="E1179" s="123" t="n"/>
      <c r="F1179" s="125" t="n"/>
      <c r="G1179" s="123" t="n"/>
      <c r="H1179" s="123" t="n"/>
      <c r="I1179" s="123" t="n"/>
      <c r="J1179" s="123" t="n"/>
      <c r="K1179" s="123" t="n"/>
      <c r="L1179" s="123" t="n"/>
      <c r="M1179" s="123">
        <f>IF(AND(B1179&lt;&gt;"",OR($C$4="",ISNUMBER(SEARCH($C$4,C1179&amp;" "&amp;E1179&amp;" "&amp;G1179&amp;" "&amp;H1179&amp;" "&amp;I1179&amp;" "&amp;J1179&amp;" "&amp;K1179&amp;" "&amp;L1179))),OR($C$5="Semua",$C$5="",G1179=$C$5),OR($C$6="Semua",$C$6="",H1179=$C$6,H1179="Pengeluaran "&amp;$C$6,AND($C$6="Uang Kos Mama",H1179="Pengeluaran Uang Kos")),OR($C$7="Semua",$C$7="",I1179=$C$7),OR($C$8="Semua",$C$8="",C1179=$C$8,E1179=$C$8),OR($C$9="Semua",$C$9="",D1179=$C$9),OR($C$10="",B1179&gt;=$C$10),OR($C$11="",B1179&lt;=$C$11),OR($C$12&lt;&gt;"Ya",K1179&lt;&gt;""),OR($C$13="Semua",$C$13="",L1179=$C$13)),"✓","")</f>
        <v/>
      </c>
      <c r="N1179" s="93">
        <f>N(N1178)+IF(M1179="✓",1,0)</f>
        <v/>
      </c>
      <c r="O1179" s="93">
        <f>N(O1178)+IF(AND(B1179&lt;&gt;"",B1179&gt;='Uang Riba'!$H$30,B1179&lt;='Uang Riba'!$I$30,OR(H1179="Dana riba",H1179="Pinjam uang riba",I1179="Pinjam dari uang riba",I1179="Ganti uang riba",I1179="Kelebihan ganti dikembalikan",AND(C1179="Kantong Uang Riba",G1179="Pengeluaran"))),1,0)</f>
        <v/>
      </c>
      <c r="X1179" s="93">
        <f>IF(AND(B1179&lt;&gt;"",B1179&gt;='Buku Akun'!$H$4,B1179&lt;='Buku Akun'!$H$5,OR(C1179='Buku Akun'!$C$4,AND(D1179="Pindah",E1179='Buku Akun'!$C$4))),B1179+IF(AND(I1179="Selisih bunga",DAY(B1179)=1),0,0.01)+ROW()/10000000,"")</f>
        <v/>
      </c>
    </row>
    <row r="1180" outlineLevel="1" ht="15" customHeight="1" s="94">
      <c r="A1180" s="123">
        <f>IF(B1180="","",ROW()-15)</f>
        <v/>
      </c>
      <c r="B1180" s="124" t="n"/>
      <c r="C1180" s="123" t="n"/>
      <c r="D1180" s="123" t="n"/>
      <c r="E1180" s="123" t="n"/>
      <c r="F1180" s="125" t="n"/>
      <c r="G1180" s="123" t="n"/>
      <c r="H1180" s="123" t="n"/>
      <c r="I1180" s="123" t="n"/>
      <c r="J1180" s="123" t="n"/>
      <c r="K1180" s="123" t="n"/>
      <c r="L1180" s="123" t="n"/>
      <c r="M1180" s="123">
        <f>IF(AND(B1180&lt;&gt;"",OR($C$4="",ISNUMBER(SEARCH($C$4,C1180&amp;" "&amp;E1180&amp;" "&amp;G1180&amp;" "&amp;H1180&amp;" "&amp;I1180&amp;" "&amp;J1180&amp;" "&amp;K1180&amp;" "&amp;L1180))),OR($C$5="Semua",$C$5="",G1180=$C$5),OR($C$6="Semua",$C$6="",H1180=$C$6,H1180="Pengeluaran "&amp;$C$6,AND($C$6="Uang Kos Mama",H1180="Pengeluaran Uang Kos")),OR($C$7="Semua",$C$7="",I1180=$C$7),OR($C$8="Semua",$C$8="",C1180=$C$8,E1180=$C$8),OR($C$9="Semua",$C$9="",D1180=$C$9),OR($C$10="",B1180&gt;=$C$10),OR($C$11="",B1180&lt;=$C$11),OR($C$12&lt;&gt;"Ya",K1180&lt;&gt;""),OR($C$13="Semua",$C$13="",L1180=$C$13)),"✓","")</f>
        <v/>
      </c>
      <c r="N1180" s="93">
        <f>N(N1179)+IF(M1180="✓",1,0)</f>
        <v/>
      </c>
      <c r="O1180" s="93">
        <f>N(O1179)+IF(AND(B1180&lt;&gt;"",B1180&gt;='Uang Riba'!$H$30,B1180&lt;='Uang Riba'!$I$30,OR(H1180="Dana riba",H1180="Pinjam uang riba",I1180="Pinjam dari uang riba",I1180="Ganti uang riba",I1180="Kelebihan ganti dikembalikan",AND(C1180="Kantong Uang Riba",G1180="Pengeluaran"))),1,0)</f>
        <v/>
      </c>
      <c r="X1180" s="93">
        <f>IF(AND(B1180&lt;&gt;"",B1180&gt;='Buku Akun'!$H$4,B1180&lt;='Buku Akun'!$H$5,OR(C1180='Buku Akun'!$C$4,AND(D1180="Pindah",E1180='Buku Akun'!$C$4))),B1180+IF(AND(I1180="Selisih bunga",DAY(B1180)=1),0,0.01)+ROW()/10000000,"")</f>
        <v/>
      </c>
    </row>
    <row r="1181" outlineLevel="1" ht="15" customHeight="1" s="94">
      <c r="A1181" s="123">
        <f>IF(B1181="","",ROW()-15)</f>
        <v/>
      </c>
      <c r="B1181" s="124" t="n"/>
      <c r="C1181" s="123" t="n"/>
      <c r="D1181" s="123" t="n"/>
      <c r="E1181" s="123" t="n"/>
      <c r="F1181" s="125" t="n"/>
      <c r="G1181" s="123" t="n"/>
      <c r="H1181" s="123" t="n"/>
      <c r="I1181" s="123" t="n"/>
      <c r="J1181" s="123" t="n"/>
      <c r="K1181" s="123" t="n"/>
      <c r="L1181" s="123" t="n"/>
      <c r="M1181" s="123">
        <f>IF(AND(B1181&lt;&gt;"",OR($C$4="",ISNUMBER(SEARCH($C$4,C1181&amp;" "&amp;E1181&amp;" "&amp;G1181&amp;" "&amp;H1181&amp;" "&amp;I1181&amp;" "&amp;J1181&amp;" "&amp;K1181&amp;" "&amp;L1181))),OR($C$5="Semua",$C$5="",G1181=$C$5),OR($C$6="Semua",$C$6="",H1181=$C$6,H1181="Pengeluaran "&amp;$C$6,AND($C$6="Uang Kos Mama",H1181="Pengeluaran Uang Kos")),OR($C$7="Semua",$C$7="",I1181=$C$7),OR($C$8="Semua",$C$8="",C1181=$C$8,E1181=$C$8),OR($C$9="Semua",$C$9="",D1181=$C$9),OR($C$10="",B1181&gt;=$C$10),OR($C$11="",B1181&lt;=$C$11),OR($C$12&lt;&gt;"Ya",K1181&lt;&gt;""),OR($C$13="Semua",$C$13="",L1181=$C$13)),"✓","")</f>
        <v/>
      </c>
      <c r="N1181" s="93">
        <f>N(N1180)+IF(M1181="✓",1,0)</f>
        <v/>
      </c>
      <c r="O1181" s="93">
        <f>N(O1180)+IF(AND(B1181&lt;&gt;"",B1181&gt;='Uang Riba'!$H$30,B1181&lt;='Uang Riba'!$I$30,OR(H1181="Dana riba",H1181="Pinjam uang riba",I1181="Pinjam dari uang riba",I1181="Ganti uang riba",I1181="Kelebihan ganti dikembalikan",AND(C1181="Kantong Uang Riba",G1181="Pengeluaran"))),1,0)</f>
        <v/>
      </c>
      <c r="X1181" s="93">
        <f>IF(AND(B1181&lt;&gt;"",B1181&gt;='Buku Akun'!$H$4,B1181&lt;='Buku Akun'!$H$5,OR(C1181='Buku Akun'!$C$4,AND(D1181="Pindah",E1181='Buku Akun'!$C$4))),B1181+IF(AND(I1181="Selisih bunga",DAY(B1181)=1),0,0.01)+ROW()/10000000,"")</f>
        <v/>
      </c>
    </row>
    <row r="1182" outlineLevel="1" ht="15" customHeight="1" s="94">
      <c r="A1182" s="123">
        <f>IF(B1182="","",ROW()-15)</f>
        <v/>
      </c>
      <c r="B1182" s="124" t="n"/>
      <c r="C1182" s="123" t="n"/>
      <c r="D1182" s="123" t="n"/>
      <c r="E1182" s="123" t="n"/>
      <c r="F1182" s="125" t="n"/>
      <c r="G1182" s="123" t="n"/>
      <c r="H1182" s="123" t="n"/>
      <c r="I1182" s="123" t="n"/>
      <c r="J1182" s="123" t="n"/>
      <c r="K1182" s="123" t="n"/>
      <c r="L1182" s="123" t="n"/>
      <c r="M1182" s="123">
        <f>IF(AND(B1182&lt;&gt;"",OR($C$4="",ISNUMBER(SEARCH($C$4,C1182&amp;" "&amp;E1182&amp;" "&amp;G1182&amp;" "&amp;H1182&amp;" "&amp;I1182&amp;" "&amp;J1182&amp;" "&amp;K1182&amp;" "&amp;L1182))),OR($C$5="Semua",$C$5="",G1182=$C$5),OR($C$6="Semua",$C$6="",H1182=$C$6,H1182="Pengeluaran "&amp;$C$6,AND($C$6="Uang Kos Mama",H1182="Pengeluaran Uang Kos")),OR($C$7="Semua",$C$7="",I1182=$C$7),OR($C$8="Semua",$C$8="",C1182=$C$8,E1182=$C$8),OR($C$9="Semua",$C$9="",D1182=$C$9),OR($C$10="",B1182&gt;=$C$10),OR($C$11="",B1182&lt;=$C$11),OR($C$12&lt;&gt;"Ya",K1182&lt;&gt;""),OR($C$13="Semua",$C$13="",L1182=$C$13)),"✓","")</f>
        <v/>
      </c>
      <c r="N1182" s="93">
        <f>N(N1181)+IF(M1182="✓",1,0)</f>
        <v/>
      </c>
      <c r="O1182" s="93">
        <f>N(O1181)+IF(AND(B1182&lt;&gt;"",B1182&gt;='Uang Riba'!$H$30,B1182&lt;='Uang Riba'!$I$30,OR(H1182="Dana riba",H1182="Pinjam uang riba",I1182="Pinjam dari uang riba",I1182="Ganti uang riba",I1182="Kelebihan ganti dikembalikan",AND(C1182="Kantong Uang Riba",G1182="Pengeluaran"))),1,0)</f>
        <v/>
      </c>
      <c r="X1182" s="93">
        <f>IF(AND(B1182&lt;&gt;"",B1182&gt;='Buku Akun'!$H$4,B1182&lt;='Buku Akun'!$H$5,OR(C1182='Buku Akun'!$C$4,AND(D1182="Pindah",E1182='Buku Akun'!$C$4))),B1182+IF(AND(I1182="Selisih bunga",DAY(B1182)=1),0,0.01)+ROW()/10000000,"")</f>
        <v/>
      </c>
    </row>
    <row r="1183" outlineLevel="1" ht="15" customHeight="1" s="94">
      <c r="A1183" s="123">
        <f>IF(B1183="","",ROW()-15)</f>
        <v/>
      </c>
      <c r="B1183" s="124" t="n"/>
      <c r="C1183" s="123" t="n"/>
      <c r="D1183" s="123" t="n"/>
      <c r="E1183" s="123" t="n"/>
      <c r="F1183" s="125" t="n"/>
      <c r="G1183" s="123" t="n"/>
      <c r="H1183" s="123" t="n"/>
      <c r="I1183" s="123" t="n"/>
      <c r="J1183" s="123" t="n"/>
      <c r="K1183" s="123" t="n"/>
      <c r="L1183" s="123" t="n"/>
      <c r="M1183" s="123">
        <f>IF(AND(B1183&lt;&gt;"",OR($C$4="",ISNUMBER(SEARCH($C$4,C1183&amp;" "&amp;E1183&amp;" "&amp;G1183&amp;" "&amp;H1183&amp;" "&amp;I1183&amp;" "&amp;J1183&amp;" "&amp;K1183&amp;" "&amp;L1183))),OR($C$5="Semua",$C$5="",G1183=$C$5),OR($C$6="Semua",$C$6="",H1183=$C$6,H1183="Pengeluaran "&amp;$C$6,AND($C$6="Uang Kos Mama",H1183="Pengeluaran Uang Kos")),OR($C$7="Semua",$C$7="",I1183=$C$7),OR($C$8="Semua",$C$8="",C1183=$C$8,E1183=$C$8),OR($C$9="Semua",$C$9="",D1183=$C$9),OR($C$10="",B1183&gt;=$C$10),OR($C$11="",B1183&lt;=$C$11),OR($C$12&lt;&gt;"Ya",K1183&lt;&gt;""),OR($C$13="Semua",$C$13="",L1183=$C$13)),"✓","")</f>
        <v/>
      </c>
      <c r="N1183" s="93">
        <f>N(N1182)+IF(M1183="✓",1,0)</f>
        <v/>
      </c>
      <c r="O1183" s="93">
        <f>N(O1182)+IF(AND(B1183&lt;&gt;"",B1183&gt;='Uang Riba'!$H$30,B1183&lt;='Uang Riba'!$I$30,OR(H1183="Dana riba",H1183="Pinjam uang riba",I1183="Pinjam dari uang riba",I1183="Ganti uang riba",I1183="Kelebihan ganti dikembalikan",AND(C1183="Kantong Uang Riba",G1183="Pengeluaran"))),1,0)</f>
        <v/>
      </c>
      <c r="X1183" s="93">
        <f>IF(AND(B1183&lt;&gt;"",B1183&gt;='Buku Akun'!$H$4,B1183&lt;='Buku Akun'!$H$5,OR(C1183='Buku Akun'!$C$4,AND(D1183="Pindah",E1183='Buku Akun'!$C$4))),B1183+IF(AND(I1183="Selisih bunga",DAY(B1183)=1),0,0.01)+ROW()/10000000,"")</f>
        <v/>
      </c>
    </row>
    <row r="1184" outlineLevel="1" ht="15" customHeight="1" s="94">
      <c r="A1184" s="123">
        <f>IF(B1184="","",ROW()-15)</f>
        <v/>
      </c>
      <c r="B1184" s="124" t="n"/>
      <c r="C1184" s="123" t="n"/>
      <c r="D1184" s="123" t="n"/>
      <c r="E1184" s="123" t="n"/>
      <c r="F1184" s="125" t="n"/>
      <c r="G1184" s="123" t="n"/>
      <c r="H1184" s="123" t="n"/>
      <c r="I1184" s="123" t="n"/>
      <c r="J1184" s="123" t="n"/>
      <c r="K1184" s="123" t="n"/>
      <c r="L1184" s="123" t="n"/>
      <c r="M1184" s="123">
        <f>IF(AND(B1184&lt;&gt;"",OR($C$4="",ISNUMBER(SEARCH($C$4,C1184&amp;" "&amp;E1184&amp;" "&amp;G1184&amp;" "&amp;H1184&amp;" "&amp;I1184&amp;" "&amp;J1184&amp;" "&amp;K1184&amp;" "&amp;L1184))),OR($C$5="Semua",$C$5="",G1184=$C$5),OR($C$6="Semua",$C$6="",H1184=$C$6,H1184="Pengeluaran "&amp;$C$6,AND($C$6="Uang Kos Mama",H1184="Pengeluaran Uang Kos")),OR($C$7="Semua",$C$7="",I1184=$C$7),OR($C$8="Semua",$C$8="",C1184=$C$8,E1184=$C$8),OR($C$9="Semua",$C$9="",D1184=$C$9),OR($C$10="",B1184&gt;=$C$10),OR($C$11="",B1184&lt;=$C$11),OR($C$12&lt;&gt;"Ya",K1184&lt;&gt;""),OR($C$13="Semua",$C$13="",L1184=$C$13)),"✓","")</f>
        <v/>
      </c>
      <c r="N1184" s="93">
        <f>N(N1183)+IF(M1184="✓",1,0)</f>
        <v/>
      </c>
      <c r="O1184" s="93">
        <f>N(O1183)+IF(AND(B1184&lt;&gt;"",B1184&gt;='Uang Riba'!$H$30,B1184&lt;='Uang Riba'!$I$30,OR(H1184="Dana riba",H1184="Pinjam uang riba",I1184="Pinjam dari uang riba",I1184="Ganti uang riba",I1184="Kelebihan ganti dikembalikan",AND(C1184="Kantong Uang Riba",G1184="Pengeluaran"))),1,0)</f>
        <v/>
      </c>
      <c r="X1184" s="93">
        <f>IF(AND(B1184&lt;&gt;"",B1184&gt;='Buku Akun'!$H$4,B1184&lt;='Buku Akun'!$H$5,OR(C1184='Buku Akun'!$C$4,AND(D1184="Pindah",E1184='Buku Akun'!$C$4))),B1184+IF(AND(I1184="Selisih bunga",DAY(B1184)=1),0,0.01)+ROW()/10000000,"")</f>
        <v/>
      </c>
    </row>
    <row r="1185" outlineLevel="1" ht="15" customHeight="1" s="94">
      <c r="A1185" s="123">
        <f>IF(B1185="","",ROW()-15)</f>
        <v/>
      </c>
      <c r="B1185" s="124" t="n"/>
      <c r="C1185" s="123" t="n"/>
      <c r="D1185" s="123" t="n"/>
      <c r="E1185" s="123" t="n"/>
      <c r="F1185" s="125" t="n"/>
      <c r="G1185" s="123" t="n"/>
      <c r="H1185" s="123" t="n"/>
      <c r="I1185" s="123" t="n"/>
      <c r="J1185" s="123" t="n"/>
      <c r="K1185" s="123" t="n"/>
      <c r="L1185" s="123" t="n"/>
      <c r="M1185" s="123">
        <f>IF(AND(B1185&lt;&gt;"",OR($C$4="",ISNUMBER(SEARCH($C$4,C1185&amp;" "&amp;E1185&amp;" "&amp;G1185&amp;" "&amp;H1185&amp;" "&amp;I1185&amp;" "&amp;J1185&amp;" "&amp;K1185&amp;" "&amp;L1185))),OR($C$5="Semua",$C$5="",G1185=$C$5),OR($C$6="Semua",$C$6="",H1185=$C$6,H1185="Pengeluaran "&amp;$C$6,AND($C$6="Uang Kos Mama",H1185="Pengeluaran Uang Kos")),OR($C$7="Semua",$C$7="",I1185=$C$7),OR($C$8="Semua",$C$8="",C1185=$C$8,E1185=$C$8),OR($C$9="Semua",$C$9="",D1185=$C$9),OR($C$10="",B1185&gt;=$C$10),OR($C$11="",B1185&lt;=$C$11),OR($C$12&lt;&gt;"Ya",K1185&lt;&gt;""),OR($C$13="Semua",$C$13="",L1185=$C$13)),"✓","")</f>
        <v/>
      </c>
      <c r="N1185" s="93">
        <f>N(N1184)+IF(M1185="✓",1,0)</f>
        <v/>
      </c>
      <c r="O1185" s="93">
        <f>N(O1184)+IF(AND(B1185&lt;&gt;"",B1185&gt;='Uang Riba'!$H$30,B1185&lt;='Uang Riba'!$I$30,OR(H1185="Dana riba",H1185="Pinjam uang riba",I1185="Pinjam dari uang riba",I1185="Ganti uang riba",I1185="Kelebihan ganti dikembalikan",AND(C1185="Kantong Uang Riba",G1185="Pengeluaran"))),1,0)</f>
        <v/>
      </c>
      <c r="X1185" s="93">
        <f>IF(AND(B1185&lt;&gt;"",B1185&gt;='Buku Akun'!$H$4,B1185&lt;='Buku Akun'!$H$5,OR(C1185='Buku Akun'!$C$4,AND(D1185="Pindah",E1185='Buku Akun'!$C$4))),B1185+IF(AND(I1185="Selisih bunga",DAY(B1185)=1),0,0.01)+ROW()/10000000,"")</f>
        <v/>
      </c>
    </row>
    <row r="1186" outlineLevel="1" ht="15" customHeight="1" s="94">
      <c r="A1186" s="123">
        <f>IF(B1186="","",ROW()-15)</f>
        <v/>
      </c>
      <c r="B1186" s="124" t="n"/>
      <c r="C1186" s="123" t="n"/>
      <c r="D1186" s="123" t="n"/>
      <c r="E1186" s="123" t="n"/>
      <c r="F1186" s="125" t="n"/>
      <c r="G1186" s="123" t="n"/>
      <c r="H1186" s="123" t="n"/>
      <c r="I1186" s="123" t="n"/>
      <c r="J1186" s="123" t="n"/>
      <c r="K1186" s="123" t="n"/>
      <c r="L1186" s="123" t="n"/>
      <c r="M1186" s="123">
        <f>IF(AND(B1186&lt;&gt;"",OR($C$4="",ISNUMBER(SEARCH($C$4,C1186&amp;" "&amp;E1186&amp;" "&amp;G1186&amp;" "&amp;H1186&amp;" "&amp;I1186&amp;" "&amp;J1186&amp;" "&amp;K1186&amp;" "&amp;L1186))),OR($C$5="Semua",$C$5="",G1186=$C$5),OR($C$6="Semua",$C$6="",H1186=$C$6,H1186="Pengeluaran "&amp;$C$6,AND($C$6="Uang Kos Mama",H1186="Pengeluaran Uang Kos")),OR($C$7="Semua",$C$7="",I1186=$C$7),OR($C$8="Semua",$C$8="",C1186=$C$8,E1186=$C$8),OR($C$9="Semua",$C$9="",D1186=$C$9),OR($C$10="",B1186&gt;=$C$10),OR($C$11="",B1186&lt;=$C$11),OR($C$12&lt;&gt;"Ya",K1186&lt;&gt;""),OR($C$13="Semua",$C$13="",L1186=$C$13)),"✓","")</f>
        <v/>
      </c>
      <c r="N1186" s="93">
        <f>N(N1185)+IF(M1186="✓",1,0)</f>
        <v/>
      </c>
      <c r="O1186" s="93">
        <f>N(O1185)+IF(AND(B1186&lt;&gt;"",B1186&gt;='Uang Riba'!$H$30,B1186&lt;='Uang Riba'!$I$30,OR(H1186="Dana riba",H1186="Pinjam uang riba",I1186="Pinjam dari uang riba",I1186="Ganti uang riba",I1186="Kelebihan ganti dikembalikan",AND(C1186="Kantong Uang Riba",G1186="Pengeluaran"))),1,0)</f>
        <v/>
      </c>
      <c r="X1186" s="93">
        <f>IF(AND(B1186&lt;&gt;"",B1186&gt;='Buku Akun'!$H$4,B1186&lt;='Buku Akun'!$H$5,OR(C1186='Buku Akun'!$C$4,AND(D1186="Pindah",E1186='Buku Akun'!$C$4))),B1186+IF(AND(I1186="Selisih bunga",DAY(B1186)=1),0,0.01)+ROW()/10000000,"")</f>
        <v/>
      </c>
    </row>
    <row r="1187" outlineLevel="1" ht="15" customHeight="1" s="94">
      <c r="A1187" s="123">
        <f>IF(B1187="","",ROW()-15)</f>
        <v/>
      </c>
      <c r="B1187" s="124" t="n"/>
      <c r="C1187" s="123" t="n"/>
      <c r="D1187" s="123" t="n"/>
      <c r="E1187" s="123" t="n"/>
      <c r="F1187" s="125" t="n"/>
      <c r="G1187" s="123" t="n"/>
      <c r="H1187" s="123" t="n"/>
      <c r="I1187" s="123" t="n"/>
      <c r="J1187" s="123" t="n"/>
      <c r="K1187" s="123" t="n"/>
      <c r="L1187" s="123" t="n"/>
      <c r="M1187" s="123">
        <f>IF(AND(B1187&lt;&gt;"",OR($C$4="",ISNUMBER(SEARCH($C$4,C1187&amp;" "&amp;E1187&amp;" "&amp;G1187&amp;" "&amp;H1187&amp;" "&amp;I1187&amp;" "&amp;J1187&amp;" "&amp;K1187&amp;" "&amp;L1187))),OR($C$5="Semua",$C$5="",G1187=$C$5),OR($C$6="Semua",$C$6="",H1187=$C$6,H1187="Pengeluaran "&amp;$C$6,AND($C$6="Uang Kos Mama",H1187="Pengeluaran Uang Kos")),OR($C$7="Semua",$C$7="",I1187=$C$7),OR($C$8="Semua",$C$8="",C1187=$C$8,E1187=$C$8),OR($C$9="Semua",$C$9="",D1187=$C$9),OR($C$10="",B1187&gt;=$C$10),OR($C$11="",B1187&lt;=$C$11),OR($C$12&lt;&gt;"Ya",K1187&lt;&gt;""),OR($C$13="Semua",$C$13="",L1187=$C$13)),"✓","")</f>
        <v/>
      </c>
      <c r="N1187" s="93">
        <f>N(N1186)+IF(M1187="✓",1,0)</f>
        <v/>
      </c>
      <c r="O1187" s="93">
        <f>N(O1186)+IF(AND(B1187&lt;&gt;"",B1187&gt;='Uang Riba'!$H$30,B1187&lt;='Uang Riba'!$I$30,OR(H1187="Dana riba",H1187="Pinjam uang riba",I1187="Pinjam dari uang riba",I1187="Ganti uang riba",I1187="Kelebihan ganti dikembalikan",AND(C1187="Kantong Uang Riba",G1187="Pengeluaran"))),1,0)</f>
        <v/>
      </c>
      <c r="X1187" s="93">
        <f>IF(AND(B1187&lt;&gt;"",B1187&gt;='Buku Akun'!$H$4,B1187&lt;='Buku Akun'!$H$5,OR(C1187='Buku Akun'!$C$4,AND(D1187="Pindah",E1187='Buku Akun'!$C$4))),B1187+IF(AND(I1187="Selisih bunga",DAY(B1187)=1),0,0.01)+ROW()/10000000,"")</f>
        <v/>
      </c>
    </row>
    <row r="1188" outlineLevel="1" ht="15" customHeight="1" s="94">
      <c r="A1188" s="123">
        <f>IF(B1188="","",ROW()-15)</f>
        <v/>
      </c>
      <c r="B1188" s="124" t="n"/>
      <c r="C1188" s="123" t="n"/>
      <c r="D1188" s="123" t="n"/>
      <c r="E1188" s="123" t="n"/>
      <c r="F1188" s="125" t="n"/>
      <c r="G1188" s="123" t="n"/>
      <c r="H1188" s="123" t="n"/>
      <c r="I1188" s="123" t="n"/>
      <c r="J1188" s="123" t="n"/>
      <c r="K1188" s="123" t="n"/>
      <c r="L1188" s="123" t="n"/>
      <c r="M1188" s="123">
        <f>IF(AND(B1188&lt;&gt;"",OR($C$4="",ISNUMBER(SEARCH($C$4,C1188&amp;" "&amp;E1188&amp;" "&amp;G1188&amp;" "&amp;H1188&amp;" "&amp;I1188&amp;" "&amp;J1188&amp;" "&amp;K1188&amp;" "&amp;L1188))),OR($C$5="Semua",$C$5="",G1188=$C$5),OR($C$6="Semua",$C$6="",H1188=$C$6,H1188="Pengeluaran "&amp;$C$6,AND($C$6="Uang Kos Mama",H1188="Pengeluaran Uang Kos")),OR($C$7="Semua",$C$7="",I1188=$C$7),OR($C$8="Semua",$C$8="",C1188=$C$8,E1188=$C$8),OR($C$9="Semua",$C$9="",D1188=$C$9),OR($C$10="",B1188&gt;=$C$10),OR($C$11="",B1188&lt;=$C$11),OR($C$12&lt;&gt;"Ya",K1188&lt;&gt;""),OR($C$13="Semua",$C$13="",L1188=$C$13)),"✓","")</f>
        <v/>
      </c>
      <c r="N1188" s="93">
        <f>N(N1187)+IF(M1188="✓",1,0)</f>
        <v/>
      </c>
      <c r="O1188" s="93">
        <f>N(O1187)+IF(AND(B1188&lt;&gt;"",B1188&gt;='Uang Riba'!$H$30,B1188&lt;='Uang Riba'!$I$30,OR(H1188="Dana riba",H1188="Pinjam uang riba",I1188="Pinjam dari uang riba",I1188="Ganti uang riba",I1188="Kelebihan ganti dikembalikan",AND(C1188="Kantong Uang Riba",G1188="Pengeluaran"))),1,0)</f>
        <v/>
      </c>
      <c r="X1188" s="93">
        <f>IF(AND(B1188&lt;&gt;"",B1188&gt;='Buku Akun'!$H$4,B1188&lt;='Buku Akun'!$H$5,OR(C1188='Buku Akun'!$C$4,AND(D1188="Pindah",E1188='Buku Akun'!$C$4))),B1188+IF(AND(I1188="Selisih bunga",DAY(B1188)=1),0,0.01)+ROW()/10000000,"")</f>
        <v/>
      </c>
    </row>
    <row r="1189" outlineLevel="1" ht="15" customHeight="1" s="94">
      <c r="A1189" s="123">
        <f>IF(B1189="","",ROW()-15)</f>
        <v/>
      </c>
      <c r="B1189" s="124" t="n"/>
      <c r="C1189" s="123" t="n"/>
      <c r="D1189" s="123" t="n"/>
      <c r="E1189" s="123" t="n"/>
      <c r="F1189" s="125" t="n"/>
      <c r="G1189" s="123" t="n"/>
      <c r="H1189" s="123" t="n"/>
      <c r="I1189" s="123" t="n"/>
      <c r="J1189" s="123" t="n"/>
      <c r="K1189" s="123" t="n"/>
      <c r="L1189" s="123" t="n"/>
      <c r="M1189" s="123">
        <f>IF(AND(B1189&lt;&gt;"",OR($C$4="",ISNUMBER(SEARCH($C$4,C1189&amp;" "&amp;E1189&amp;" "&amp;G1189&amp;" "&amp;H1189&amp;" "&amp;I1189&amp;" "&amp;J1189&amp;" "&amp;K1189&amp;" "&amp;L1189))),OR($C$5="Semua",$C$5="",G1189=$C$5),OR($C$6="Semua",$C$6="",H1189=$C$6,H1189="Pengeluaran "&amp;$C$6,AND($C$6="Uang Kos Mama",H1189="Pengeluaran Uang Kos")),OR($C$7="Semua",$C$7="",I1189=$C$7),OR($C$8="Semua",$C$8="",C1189=$C$8,E1189=$C$8),OR($C$9="Semua",$C$9="",D1189=$C$9),OR($C$10="",B1189&gt;=$C$10),OR($C$11="",B1189&lt;=$C$11),OR($C$12&lt;&gt;"Ya",K1189&lt;&gt;""),OR($C$13="Semua",$C$13="",L1189=$C$13)),"✓","")</f>
        <v/>
      </c>
      <c r="N1189" s="93">
        <f>N(N1188)+IF(M1189="✓",1,0)</f>
        <v/>
      </c>
      <c r="O1189" s="93">
        <f>N(O1188)+IF(AND(B1189&lt;&gt;"",B1189&gt;='Uang Riba'!$H$30,B1189&lt;='Uang Riba'!$I$30,OR(H1189="Dana riba",H1189="Pinjam uang riba",I1189="Pinjam dari uang riba",I1189="Ganti uang riba",I1189="Kelebihan ganti dikembalikan",AND(C1189="Kantong Uang Riba",G1189="Pengeluaran"))),1,0)</f>
        <v/>
      </c>
      <c r="X1189" s="93">
        <f>IF(AND(B1189&lt;&gt;"",B1189&gt;='Buku Akun'!$H$4,B1189&lt;='Buku Akun'!$H$5,OR(C1189='Buku Akun'!$C$4,AND(D1189="Pindah",E1189='Buku Akun'!$C$4))),B1189+IF(AND(I1189="Selisih bunga",DAY(B1189)=1),0,0.01)+ROW()/10000000,"")</f>
        <v/>
      </c>
    </row>
    <row r="1190" outlineLevel="1" ht="15" customHeight="1" s="94">
      <c r="A1190" s="123">
        <f>IF(B1190="","",ROW()-15)</f>
        <v/>
      </c>
      <c r="B1190" s="124" t="n"/>
      <c r="C1190" s="123" t="n"/>
      <c r="D1190" s="123" t="n"/>
      <c r="E1190" s="123" t="n"/>
      <c r="F1190" s="125" t="n"/>
      <c r="G1190" s="123" t="n"/>
      <c r="H1190" s="123" t="n"/>
      <c r="I1190" s="123" t="n"/>
      <c r="J1190" s="123" t="n"/>
      <c r="K1190" s="123" t="n"/>
      <c r="L1190" s="123" t="n"/>
      <c r="M1190" s="123">
        <f>IF(AND(B1190&lt;&gt;"",OR($C$4="",ISNUMBER(SEARCH($C$4,C1190&amp;" "&amp;E1190&amp;" "&amp;G1190&amp;" "&amp;H1190&amp;" "&amp;I1190&amp;" "&amp;J1190&amp;" "&amp;K1190&amp;" "&amp;L1190))),OR($C$5="Semua",$C$5="",G1190=$C$5),OR($C$6="Semua",$C$6="",H1190=$C$6,H1190="Pengeluaran "&amp;$C$6,AND($C$6="Uang Kos Mama",H1190="Pengeluaran Uang Kos")),OR($C$7="Semua",$C$7="",I1190=$C$7),OR($C$8="Semua",$C$8="",C1190=$C$8,E1190=$C$8),OR($C$9="Semua",$C$9="",D1190=$C$9),OR($C$10="",B1190&gt;=$C$10),OR($C$11="",B1190&lt;=$C$11),OR($C$12&lt;&gt;"Ya",K1190&lt;&gt;""),OR($C$13="Semua",$C$13="",L1190=$C$13)),"✓","")</f>
        <v/>
      </c>
      <c r="N1190" s="93">
        <f>N(N1189)+IF(M1190="✓",1,0)</f>
        <v/>
      </c>
      <c r="O1190" s="93">
        <f>N(O1189)+IF(AND(B1190&lt;&gt;"",B1190&gt;='Uang Riba'!$H$30,B1190&lt;='Uang Riba'!$I$30,OR(H1190="Dana riba",H1190="Pinjam uang riba",I1190="Pinjam dari uang riba",I1190="Ganti uang riba",I1190="Kelebihan ganti dikembalikan",AND(C1190="Kantong Uang Riba",G1190="Pengeluaran"))),1,0)</f>
        <v/>
      </c>
      <c r="X1190" s="93">
        <f>IF(AND(B1190&lt;&gt;"",B1190&gt;='Buku Akun'!$H$4,B1190&lt;='Buku Akun'!$H$5,OR(C1190='Buku Akun'!$C$4,AND(D1190="Pindah",E1190='Buku Akun'!$C$4))),B1190+IF(AND(I1190="Selisih bunga",DAY(B1190)=1),0,0.01)+ROW()/10000000,"")</f>
        <v/>
      </c>
    </row>
    <row r="1191" outlineLevel="1" ht="15" customHeight="1" s="94">
      <c r="A1191" s="123">
        <f>IF(B1191="","",ROW()-15)</f>
        <v/>
      </c>
      <c r="B1191" s="124" t="n"/>
      <c r="C1191" s="123" t="n"/>
      <c r="D1191" s="123" t="n"/>
      <c r="E1191" s="123" t="n"/>
      <c r="F1191" s="125" t="n"/>
      <c r="G1191" s="123" t="n"/>
      <c r="H1191" s="123" t="n"/>
      <c r="I1191" s="123" t="n"/>
      <c r="J1191" s="123" t="n"/>
      <c r="K1191" s="123" t="n"/>
      <c r="L1191" s="123" t="n"/>
      <c r="M1191" s="123">
        <f>IF(AND(B1191&lt;&gt;"",OR($C$4="",ISNUMBER(SEARCH($C$4,C1191&amp;" "&amp;E1191&amp;" "&amp;G1191&amp;" "&amp;H1191&amp;" "&amp;I1191&amp;" "&amp;J1191&amp;" "&amp;K1191&amp;" "&amp;L1191))),OR($C$5="Semua",$C$5="",G1191=$C$5),OR($C$6="Semua",$C$6="",H1191=$C$6,H1191="Pengeluaran "&amp;$C$6,AND($C$6="Uang Kos Mama",H1191="Pengeluaran Uang Kos")),OR($C$7="Semua",$C$7="",I1191=$C$7),OR($C$8="Semua",$C$8="",C1191=$C$8,E1191=$C$8),OR($C$9="Semua",$C$9="",D1191=$C$9),OR($C$10="",B1191&gt;=$C$10),OR($C$11="",B1191&lt;=$C$11),OR($C$12&lt;&gt;"Ya",K1191&lt;&gt;""),OR($C$13="Semua",$C$13="",L1191=$C$13)),"✓","")</f>
        <v/>
      </c>
      <c r="N1191" s="93">
        <f>N(N1190)+IF(M1191="✓",1,0)</f>
        <v/>
      </c>
      <c r="O1191" s="93">
        <f>N(O1190)+IF(AND(B1191&lt;&gt;"",B1191&gt;='Uang Riba'!$H$30,B1191&lt;='Uang Riba'!$I$30,OR(H1191="Dana riba",H1191="Pinjam uang riba",I1191="Pinjam dari uang riba",I1191="Ganti uang riba",I1191="Kelebihan ganti dikembalikan",AND(C1191="Kantong Uang Riba",G1191="Pengeluaran"))),1,0)</f>
        <v/>
      </c>
      <c r="X1191" s="93">
        <f>IF(AND(B1191&lt;&gt;"",B1191&gt;='Buku Akun'!$H$4,B1191&lt;='Buku Akun'!$H$5,OR(C1191='Buku Akun'!$C$4,AND(D1191="Pindah",E1191='Buku Akun'!$C$4))),B1191+IF(AND(I1191="Selisih bunga",DAY(B1191)=1),0,0.01)+ROW()/10000000,"")</f>
        <v/>
      </c>
    </row>
    <row r="1192" outlineLevel="1" ht="15" customHeight="1" s="94">
      <c r="A1192" s="123">
        <f>IF(B1192="","",ROW()-15)</f>
        <v/>
      </c>
      <c r="B1192" s="124" t="n"/>
      <c r="C1192" s="123" t="n"/>
      <c r="D1192" s="123" t="n"/>
      <c r="E1192" s="123" t="n"/>
      <c r="F1192" s="125" t="n"/>
      <c r="G1192" s="123" t="n"/>
      <c r="H1192" s="123" t="n"/>
      <c r="I1192" s="123" t="n"/>
      <c r="J1192" s="123" t="n"/>
      <c r="K1192" s="123" t="n"/>
      <c r="L1192" s="123" t="n"/>
      <c r="M1192" s="123">
        <f>IF(AND(B1192&lt;&gt;"",OR($C$4="",ISNUMBER(SEARCH($C$4,C1192&amp;" "&amp;E1192&amp;" "&amp;G1192&amp;" "&amp;H1192&amp;" "&amp;I1192&amp;" "&amp;J1192&amp;" "&amp;K1192&amp;" "&amp;L1192))),OR($C$5="Semua",$C$5="",G1192=$C$5),OR($C$6="Semua",$C$6="",H1192=$C$6,H1192="Pengeluaran "&amp;$C$6,AND($C$6="Uang Kos Mama",H1192="Pengeluaran Uang Kos")),OR($C$7="Semua",$C$7="",I1192=$C$7),OR($C$8="Semua",$C$8="",C1192=$C$8,E1192=$C$8),OR($C$9="Semua",$C$9="",D1192=$C$9),OR($C$10="",B1192&gt;=$C$10),OR($C$11="",B1192&lt;=$C$11),OR($C$12&lt;&gt;"Ya",K1192&lt;&gt;""),OR($C$13="Semua",$C$13="",L1192=$C$13)),"✓","")</f>
        <v/>
      </c>
      <c r="N1192" s="93">
        <f>N(N1191)+IF(M1192="✓",1,0)</f>
        <v/>
      </c>
      <c r="O1192" s="93">
        <f>N(O1191)+IF(AND(B1192&lt;&gt;"",B1192&gt;='Uang Riba'!$H$30,B1192&lt;='Uang Riba'!$I$30,OR(H1192="Dana riba",H1192="Pinjam uang riba",I1192="Pinjam dari uang riba",I1192="Ganti uang riba",I1192="Kelebihan ganti dikembalikan",AND(C1192="Kantong Uang Riba",G1192="Pengeluaran"))),1,0)</f>
        <v/>
      </c>
      <c r="X1192" s="93">
        <f>IF(AND(B1192&lt;&gt;"",B1192&gt;='Buku Akun'!$H$4,B1192&lt;='Buku Akun'!$H$5,OR(C1192='Buku Akun'!$C$4,AND(D1192="Pindah",E1192='Buku Akun'!$C$4))),B1192+IF(AND(I1192="Selisih bunga",DAY(B1192)=1),0,0.01)+ROW()/10000000,"")</f>
        <v/>
      </c>
    </row>
    <row r="1193" outlineLevel="1" ht="15" customHeight="1" s="94">
      <c r="A1193" s="123">
        <f>IF(B1193="","",ROW()-15)</f>
        <v/>
      </c>
      <c r="B1193" s="124" t="n"/>
      <c r="C1193" s="123" t="n"/>
      <c r="D1193" s="123" t="n"/>
      <c r="E1193" s="123" t="n"/>
      <c r="F1193" s="125" t="n"/>
      <c r="G1193" s="123" t="n"/>
      <c r="H1193" s="123" t="n"/>
      <c r="I1193" s="123" t="n"/>
      <c r="J1193" s="123" t="n"/>
      <c r="K1193" s="123" t="n"/>
      <c r="L1193" s="123" t="n"/>
      <c r="M1193" s="123">
        <f>IF(AND(B1193&lt;&gt;"",OR($C$4="",ISNUMBER(SEARCH($C$4,C1193&amp;" "&amp;E1193&amp;" "&amp;G1193&amp;" "&amp;H1193&amp;" "&amp;I1193&amp;" "&amp;J1193&amp;" "&amp;K1193&amp;" "&amp;L1193))),OR($C$5="Semua",$C$5="",G1193=$C$5),OR($C$6="Semua",$C$6="",H1193=$C$6,H1193="Pengeluaran "&amp;$C$6,AND($C$6="Uang Kos Mama",H1193="Pengeluaran Uang Kos")),OR($C$7="Semua",$C$7="",I1193=$C$7),OR($C$8="Semua",$C$8="",C1193=$C$8,E1193=$C$8),OR($C$9="Semua",$C$9="",D1193=$C$9),OR($C$10="",B1193&gt;=$C$10),OR($C$11="",B1193&lt;=$C$11),OR($C$12&lt;&gt;"Ya",K1193&lt;&gt;""),OR($C$13="Semua",$C$13="",L1193=$C$13)),"✓","")</f>
        <v/>
      </c>
      <c r="N1193" s="93">
        <f>N(N1192)+IF(M1193="✓",1,0)</f>
        <v/>
      </c>
      <c r="O1193" s="93">
        <f>N(O1192)+IF(AND(B1193&lt;&gt;"",B1193&gt;='Uang Riba'!$H$30,B1193&lt;='Uang Riba'!$I$30,OR(H1193="Dana riba",H1193="Pinjam uang riba",I1193="Pinjam dari uang riba",I1193="Ganti uang riba",I1193="Kelebihan ganti dikembalikan",AND(C1193="Kantong Uang Riba",G1193="Pengeluaran"))),1,0)</f>
        <v/>
      </c>
      <c r="X1193" s="93">
        <f>IF(AND(B1193&lt;&gt;"",B1193&gt;='Buku Akun'!$H$4,B1193&lt;='Buku Akun'!$H$5,OR(C1193='Buku Akun'!$C$4,AND(D1193="Pindah",E1193='Buku Akun'!$C$4))),B1193+IF(AND(I1193="Selisih bunga",DAY(B1193)=1),0,0.01)+ROW()/10000000,"")</f>
        <v/>
      </c>
    </row>
    <row r="1194" outlineLevel="1" ht="15" customHeight="1" s="94">
      <c r="A1194" s="123">
        <f>IF(B1194="","",ROW()-15)</f>
        <v/>
      </c>
      <c r="B1194" s="124" t="n"/>
      <c r="C1194" s="123" t="n"/>
      <c r="D1194" s="123" t="n"/>
      <c r="E1194" s="123" t="n"/>
      <c r="F1194" s="125" t="n"/>
      <c r="G1194" s="123" t="n"/>
      <c r="H1194" s="123" t="n"/>
      <c r="I1194" s="123" t="n"/>
      <c r="J1194" s="123" t="n"/>
      <c r="K1194" s="123" t="n"/>
      <c r="L1194" s="123" t="n"/>
      <c r="M1194" s="123">
        <f>IF(AND(B1194&lt;&gt;"",OR($C$4="",ISNUMBER(SEARCH($C$4,C1194&amp;" "&amp;E1194&amp;" "&amp;G1194&amp;" "&amp;H1194&amp;" "&amp;I1194&amp;" "&amp;J1194&amp;" "&amp;K1194&amp;" "&amp;L1194))),OR($C$5="Semua",$C$5="",G1194=$C$5),OR($C$6="Semua",$C$6="",H1194=$C$6,H1194="Pengeluaran "&amp;$C$6,AND($C$6="Uang Kos Mama",H1194="Pengeluaran Uang Kos")),OR($C$7="Semua",$C$7="",I1194=$C$7),OR($C$8="Semua",$C$8="",C1194=$C$8,E1194=$C$8),OR($C$9="Semua",$C$9="",D1194=$C$9),OR($C$10="",B1194&gt;=$C$10),OR($C$11="",B1194&lt;=$C$11),OR($C$12&lt;&gt;"Ya",K1194&lt;&gt;""),OR($C$13="Semua",$C$13="",L1194=$C$13)),"✓","")</f>
        <v/>
      </c>
      <c r="N1194" s="93">
        <f>N(N1193)+IF(M1194="✓",1,0)</f>
        <v/>
      </c>
      <c r="O1194" s="93">
        <f>N(O1193)+IF(AND(B1194&lt;&gt;"",B1194&gt;='Uang Riba'!$H$30,B1194&lt;='Uang Riba'!$I$30,OR(H1194="Dana riba",H1194="Pinjam uang riba",I1194="Pinjam dari uang riba",I1194="Ganti uang riba",I1194="Kelebihan ganti dikembalikan",AND(C1194="Kantong Uang Riba",G1194="Pengeluaran"))),1,0)</f>
        <v/>
      </c>
      <c r="X1194" s="93">
        <f>IF(AND(B1194&lt;&gt;"",B1194&gt;='Buku Akun'!$H$4,B1194&lt;='Buku Akun'!$H$5,OR(C1194='Buku Akun'!$C$4,AND(D1194="Pindah",E1194='Buku Akun'!$C$4))),B1194+IF(AND(I1194="Selisih bunga",DAY(B1194)=1),0,0.01)+ROW()/10000000,"")</f>
        <v/>
      </c>
    </row>
    <row r="1195" outlineLevel="1" ht="15" customHeight="1" s="94">
      <c r="A1195" s="123">
        <f>IF(B1195="","",ROW()-15)</f>
        <v/>
      </c>
      <c r="B1195" s="124" t="n"/>
      <c r="C1195" s="123" t="n"/>
      <c r="D1195" s="123" t="n"/>
      <c r="E1195" s="123" t="n"/>
      <c r="F1195" s="125" t="n"/>
      <c r="G1195" s="123" t="n"/>
      <c r="H1195" s="123" t="n"/>
      <c r="I1195" s="123" t="n"/>
      <c r="J1195" s="123" t="n"/>
      <c r="K1195" s="123" t="n"/>
      <c r="L1195" s="123" t="n"/>
      <c r="M1195" s="123">
        <f>IF(AND(B1195&lt;&gt;"",OR($C$4="",ISNUMBER(SEARCH($C$4,C1195&amp;" "&amp;E1195&amp;" "&amp;G1195&amp;" "&amp;H1195&amp;" "&amp;I1195&amp;" "&amp;J1195&amp;" "&amp;K1195&amp;" "&amp;L1195))),OR($C$5="Semua",$C$5="",G1195=$C$5),OR($C$6="Semua",$C$6="",H1195=$C$6,H1195="Pengeluaran "&amp;$C$6,AND($C$6="Uang Kos Mama",H1195="Pengeluaran Uang Kos")),OR($C$7="Semua",$C$7="",I1195=$C$7),OR($C$8="Semua",$C$8="",C1195=$C$8,E1195=$C$8),OR($C$9="Semua",$C$9="",D1195=$C$9),OR($C$10="",B1195&gt;=$C$10),OR($C$11="",B1195&lt;=$C$11),OR($C$12&lt;&gt;"Ya",K1195&lt;&gt;""),OR($C$13="Semua",$C$13="",L1195=$C$13)),"✓","")</f>
        <v/>
      </c>
      <c r="N1195" s="93">
        <f>N(N1194)+IF(M1195="✓",1,0)</f>
        <v/>
      </c>
      <c r="O1195" s="93">
        <f>N(O1194)+IF(AND(B1195&lt;&gt;"",B1195&gt;='Uang Riba'!$H$30,B1195&lt;='Uang Riba'!$I$30,OR(H1195="Dana riba",H1195="Pinjam uang riba",I1195="Pinjam dari uang riba",I1195="Ganti uang riba",I1195="Kelebihan ganti dikembalikan",AND(C1195="Kantong Uang Riba",G1195="Pengeluaran"))),1,0)</f>
        <v/>
      </c>
      <c r="X1195" s="93">
        <f>IF(AND(B1195&lt;&gt;"",B1195&gt;='Buku Akun'!$H$4,B1195&lt;='Buku Akun'!$H$5,OR(C1195='Buku Akun'!$C$4,AND(D1195="Pindah",E1195='Buku Akun'!$C$4))),B1195+IF(AND(I1195="Selisih bunga",DAY(B1195)=1),0,0.01)+ROW()/10000000,"")</f>
        <v/>
      </c>
    </row>
    <row r="1196" outlineLevel="1" ht="15" customHeight="1" s="94">
      <c r="A1196" s="123">
        <f>IF(B1196="","",ROW()-15)</f>
        <v/>
      </c>
      <c r="B1196" s="124" t="n"/>
      <c r="C1196" s="123" t="n"/>
      <c r="D1196" s="123" t="n"/>
      <c r="E1196" s="123" t="n"/>
      <c r="F1196" s="125" t="n"/>
      <c r="G1196" s="123" t="n"/>
      <c r="H1196" s="123" t="n"/>
      <c r="I1196" s="123" t="n"/>
      <c r="J1196" s="123" t="n"/>
      <c r="K1196" s="123" t="n"/>
      <c r="L1196" s="123" t="n"/>
      <c r="M1196" s="123">
        <f>IF(AND(B1196&lt;&gt;"",OR($C$4="",ISNUMBER(SEARCH($C$4,C1196&amp;" "&amp;E1196&amp;" "&amp;G1196&amp;" "&amp;H1196&amp;" "&amp;I1196&amp;" "&amp;J1196&amp;" "&amp;K1196&amp;" "&amp;L1196))),OR($C$5="Semua",$C$5="",G1196=$C$5),OR($C$6="Semua",$C$6="",H1196=$C$6,H1196="Pengeluaran "&amp;$C$6,AND($C$6="Uang Kos Mama",H1196="Pengeluaran Uang Kos")),OR($C$7="Semua",$C$7="",I1196=$C$7),OR($C$8="Semua",$C$8="",C1196=$C$8,E1196=$C$8),OR($C$9="Semua",$C$9="",D1196=$C$9),OR($C$10="",B1196&gt;=$C$10),OR($C$11="",B1196&lt;=$C$11),OR($C$12&lt;&gt;"Ya",K1196&lt;&gt;""),OR($C$13="Semua",$C$13="",L1196=$C$13)),"✓","")</f>
        <v/>
      </c>
      <c r="N1196" s="93">
        <f>N(N1195)+IF(M1196="✓",1,0)</f>
        <v/>
      </c>
      <c r="O1196" s="93">
        <f>N(O1195)+IF(AND(B1196&lt;&gt;"",B1196&gt;='Uang Riba'!$H$30,B1196&lt;='Uang Riba'!$I$30,OR(H1196="Dana riba",H1196="Pinjam uang riba",I1196="Pinjam dari uang riba",I1196="Ganti uang riba",I1196="Kelebihan ganti dikembalikan",AND(C1196="Kantong Uang Riba",G1196="Pengeluaran"))),1,0)</f>
        <v/>
      </c>
      <c r="X1196" s="93">
        <f>IF(AND(B1196&lt;&gt;"",B1196&gt;='Buku Akun'!$H$4,B1196&lt;='Buku Akun'!$H$5,OR(C1196='Buku Akun'!$C$4,AND(D1196="Pindah",E1196='Buku Akun'!$C$4))),B1196+IF(AND(I1196="Selisih bunga",DAY(B1196)=1),0,0.01)+ROW()/10000000,"")</f>
        <v/>
      </c>
    </row>
    <row r="1197" outlineLevel="1" ht="15" customHeight="1" s="94">
      <c r="A1197" s="123">
        <f>IF(B1197="","",ROW()-15)</f>
        <v/>
      </c>
      <c r="B1197" s="124" t="n"/>
      <c r="C1197" s="123" t="n"/>
      <c r="D1197" s="123" t="n"/>
      <c r="E1197" s="123" t="n"/>
      <c r="F1197" s="125" t="n"/>
      <c r="G1197" s="123" t="n"/>
      <c r="H1197" s="123" t="n"/>
      <c r="I1197" s="123" t="n"/>
      <c r="J1197" s="123" t="n"/>
      <c r="K1197" s="123" t="n"/>
      <c r="L1197" s="123" t="n"/>
      <c r="M1197" s="123">
        <f>IF(AND(B1197&lt;&gt;"",OR($C$4="",ISNUMBER(SEARCH($C$4,C1197&amp;" "&amp;E1197&amp;" "&amp;G1197&amp;" "&amp;H1197&amp;" "&amp;I1197&amp;" "&amp;J1197&amp;" "&amp;K1197&amp;" "&amp;L1197))),OR($C$5="Semua",$C$5="",G1197=$C$5),OR($C$6="Semua",$C$6="",H1197=$C$6,H1197="Pengeluaran "&amp;$C$6,AND($C$6="Uang Kos Mama",H1197="Pengeluaran Uang Kos")),OR($C$7="Semua",$C$7="",I1197=$C$7),OR($C$8="Semua",$C$8="",C1197=$C$8,E1197=$C$8),OR($C$9="Semua",$C$9="",D1197=$C$9),OR($C$10="",B1197&gt;=$C$10),OR($C$11="",B1197&lt;=$C$11),OR($C$12&lt;&gt;"Ya",K1197&lt;&gt;""),OR($C$13="Semua",$C$13="",L1197=$C$13)),"✓","")</f>
        <v/>
      </c>
      <c r="N1197" s="93">
        <f>N(N1196)+IF(M1197="✓",1,0)</f>
        <v/>
      </c>
      <c r="O1197" s="93">
        <f>N(O1196)+IF(AND(B1197&lt;&gt;"",B1197&gt;='Uang Riba'!$H$30,B1197&lt;='Uang Riba'!$I$30,OR(H1197="Dana riba",H1197="Pinjam uang riba",I1197="Pinjam dari uang riba",I1197="Ganti uang riba",I1197="Kelebihan ganti dikembalikan",AND(C1197="Kantong Uang Riba",G1197="Pengeluaran"))),1,0)</f>
        <v/>
      </c>
      <c r="X1197" s="93">
        <f>IF(AND(B1197&lt;&gt;"",B1197&gt;='Buku Akun'!$H$4,B1197&lt;='Buku Akun'!$H$5,OR(C1197='Buku Akun'!$C$4,AND(D1197="Pindah",E1197='Buku Akun'!$C$4))),B1197+IF(AND(I1197="Selisih bunga",DAY(B1197)=1),0,0.01)+ROW()/10000000,"")</f>
        <v/>
      </c>
    </row>
    <row r="1198" outlineLevel="1" ht="15" customHeight="1" s="94">
      <c r="A1198" s="123">
        <f>IF(B1198="","",ROW()-15)</f>
        <v/>
      </c>
      <c r="B1198" s="124" t="n"/>
      <c r="C1198" s="123" t="n"/>
      <c r="D1198" s="123" t="n"/>
      <c r="E1198" s="123" t="n"/>
      <c r="F1198" s="125" t="n"/>
      <c r="G1198" s="123" t="n"/>
      <c r="H1198" s="123" t="n"/>
      <c r="I1198" s="123" t="n"/>
      <c r="J1198" s="123" t="n"/>
      <c r="K1198" s="123" t="n"/>
      <c r="L1198" s="123" t="n"/>
      <c r="M1198" s="123">
        <f>IF(AND(B1198&lt;&gt;"",OR($C$4="",ISNUMBER(SEARCH($C$4,C1198&amp;" "&amp;E1198&amp;" "&amp;G1198&amp;" "&amp;H1198&amp;" "&amp;I1198&amp;" "&amp;J1198&amp;" "&amp;K1198&amp;" "&amp;L1198))),OR($C$5="Semua",$C$5="",G1198=$C$5),OR($C$6="Semua",$C$6="",H1198=$C$6,H1198="Pengeluaran "&amp;$C$6,AND($C$6="Uang Kos Mama",H1198="Pengeluaran Uang Kos")),OR($C$7="Semua",$C$7="",I1198=$C$7),OR($C$8="Semua",$C$8="",C1198=$C$8,E1198=$C$8),OR($C$9="Semua",$C$9="",D1198=$C$9),OR($C$10="",B1198&gt;=$C$10),OR($C$11="",B1198&lt;=$C$11),OR($C$12&lt;&gt;"Ya",K1198&lt;&gt;""),OR($C$13="Semua",$C$13="",L1198=$C$13)),"✓","")</f>
        <v/>
      </c>
      <c r="N1198" s="93">
        <f>N(N1197)+IF(M1198="✓",1,0)</f>
        <v/>
      </c>
      <c r="O1198" s="93">
        <f>N(O1197)+IF(AND(B1198&lt;&gt;"",B1198&gt;='Uang Riba'!$H$30,B1198&lt;='Uang Riba'!$I$30,OR(H1198="Dana riba",H1198="Pinjam uang riba",I1198="Pinjam dari uang riba",I1198="Ganti uang riba",I1198="Kelebihan ganti dikembalikan",AND(C1198="Kantong Uang Riba",G1198="Pengeluaran"))),1,0)</f>
        <v/>
      </c>
      <c r="X1198" s="93">
        <f>IF(AND(B1198&lt;&gt;"",B1198&gt;='Buku Akun'!$H$4,B1198&lt;='Buku Akun'!$H$5,OR(C1198='Buku Akun'!$C$4,AND(D1198="Pindah",E1198='Buku Akun'!$C$4))),B1198+IF(AND(I1198="Selisih bunga",DAY(B1198)=1),0,0.01)+ROW()/10000000,"")</f>
        <v/>
      </c>
    </row>
    <row r="1199" outlineLevel="1" ht="15" customHeight="1" s="94">
      <c r="A1199" s="123">
        <f>IF(B1199="","",ROW()-15)</f>
        <v/>
      </c>
      <c r="B1199" s="124" t="n"/>
      <c r="C1199" s="123" t="n"/>
      <c r="D1199" s="123" t="n"/>
      <c r="E1199" s="123" t="n"/>
      <c r="F1199" s="125" t="n"/>
      <c r="G1199" s="123" t="n"/>
      <c r="H1199" s="123" t="n"/>
      <c r="I1199" s="123" t="n"/>
      <c r="J1199" s="123" t="n"/>
      <c r="K1199" s="123" t="n"/>
      <c r="L1199" s="123" t="n"/>
      <c r="M1199" s="123">
        <f>IF(AND(B1199&lt;&gt;"",OR($C$4="",ISNUMBER(SEARCH($C$4,C1199&amp;" "&amp;E1199&amp;" "&amp;G1199&amp;" "&amp;H1199&amp;" "&amp;I1199&amp;" "&amp;J1199&amp;" "&amp;K1199&amp;" "&amp;L1199))),OR($C$5="Semua",$C$5="",G1199=$C$5),OR($C$6="Semua",$C$6="",H1199=$C$6,H1199="Pengeluaran "&amp;$C$6,AND($C$6="Uang Kos Mama",H1199="Pengeluaran Uang Kos")),OR($C$7="Semua",$C$7="",I1199=$C$7),OR($C$8="Semua",$C$8="",C1199=$C$8,E1199=$C$8),OR($C$9="Semua",$C$9="",D1199=$C$9),OR($C$10="",B1199&gt;=$C$10),OR($C$11="",B1199&lt;=$C$11),OR($C$12&lt;&gt;"Ya",K1199&lt;&gt;""),OR($C$13="Semua",$C$13="",L1199=$C$13)),"✓","")</f>
        <v/>
      </c>
      <c r="N1199" s="93">
        <f>N(N1198)+IF(M1199="✓",1,0)</f>
        <v/>
      </c>
      <c r="O1199" s="93">
        <f>N(O1198)+IF(AND(B1199&lt;&gt;"",B1199&gt;='Uang Riba'!$H$30,B1199&lt;='Uang Riba'!$I$30,OR(H1199="Dana riba",H1199="Pinjam uang riba",I1199="Pinjam dari uang riba",I1199="Ganti uang riba",I1199="Kelebihan ganti dikembalikan",AND(C1199="Kantong Uang Riba",G1199="Pengeluaran"))),1,0)</f>
        <v/>
      </c>
      <c r="X1199" s="93">
        <f>IF(AND(B1199&lt;&gt;"",B1199&gt;='Buku Akun'!$H$4,B1199&lt;='Buku Akun'!$H$5,OR(C1199='Buku Akun'!$C$4,AND(D1199="Pindah",E1199='Buku Akun'!$C$4))),B1199+IF(AND(I1199="Selisih bunga",DAY(B1199)=1),0,0.01)+ROW()/10000000,"")</f>
        <v/>
      </c>
    </row>
    <row r="1200" outlineLevel="1" ht="15" customHeight="1" s="94">
      <c r="A1200" s="123">
        <f>IF(B1200="","",ROW()-15)</f>
        <v/>
      </c>
      <c r="B1200" s="124" t="n"/>
      <c r="C1200" s="123" t="n"/>
      <c r="D1200" s="123" t="n"/>
      <c r="E1200" s="123" t="n"/>
      <c r="F1200" s="125" t="n"/>
      <c r="G1200" s="123" t="n"/>
      <c r="H1200" s="123" t="n"/>
      <c r="I1200" s="123" t="n"/>
      <c r="J1200" s="123" t="n"/>
      <c r="K1200" s="123" t="n"/>
      <c r="L1200" s="123" t="n"/>
      <c r="M1200" s="123">
        <f>IF(AND(B1200&lt;&gt;"",OR($C$4="",ISNUMBER(SEARCH($C$4,C1200&amp;" "&amp;E1200&amp;" "&amp;G1200&amp;" "&amp;H1200&amp;" "&amp;I1200&amp;" "&amp;J1200&amp;" "&amp;K1200&amp;" "&amp;L1200))),OR($C$5="Semua",$C$5="",G1200=$C$5),OR($C$6="Semua",$C$6="",H1200=$C$6,H1200="Pengeluaran "&amp;$C$6,AND($C$6="Uang Kos Mama",H1200="Pengeluaran Uang Kos")),OR($C$7="Semua",$C$7="",I1200=$C$7),OR($C$8="Semua",$C$8="",C1200=$C$8,E1200=$C$8),OR($C$9="Semua",$C$9="",D1200=$C$9),OR($C$10="",B1200&gt;=$C$10),OR($C$11="",B1200&lt;=$C$11),OR($C$12&lt;&gt;"Ya",K1200&lt;&gt;""),OR($C$13="Semua",$C$13="",L1200=$C$13)),"✓","")</f>
        <v/>
      </c>
      <c r="N1200" s="93">
        <f>N(N1199)+IF(M1200="✓",1,0)</f>
        <v/>
      </c>
      <c r="O1200" s="93">
        <f>N(O1199)+IF(AND(B1200&lt;&gt;"",B1200&gt;='Uang Riba'!$H$30,B1200&lt;='Uang Riba'!$I$30,OR(H1200="Dana riba",H1200="Pinjam uang riba",I1200="Pinjam dari uang riba",I1200="Ganti uang riba",I1200="Kelebihan ganti dikembalikan",AND(C1200="Kantong Uang Riba",G1200="Pengeluaran"))),1,0)</f>
        <v/>
      </c>
      <c r="X1200" s="93">
        <f>IF(AND(B1200&lt;&gt;"",B1200&gt;='Buku Akun'!$H$4,B1200&lt;='Buku Akun'!$H$5,OR(C1200='Buku Akun'!$C$4,AND(D1200="Pindah",E1200='Buku Akun'!$C$4))),B1200+IF(AND(I1200="Selisih bunga",DAY(B1200)=1),0,0.01)+ROW()/10000000,"")</f>
        <v/>
      </c>
    </row>
    <row r="1201" outlineLevel="1" ht="15" customHeight="1" s="94">
      <c r="A1201" s="123">
        <f>IF(B1201="","",ROW()-15)</f>
        <v/>
      </c>
      <c r="B1201" s="124" t="n"/>
      <c r="C1201" s="123" t="n"/>
      <c r="D1201" s="123" t="n"/>
      <c r="E1201" s="123" t="n"/>
      <c r="F1201" s="125" t="n"/>
      <c r="G1201" s="123" t="n"/>
      <c r="H1201" s="123" t="n"/>
      <c r="I1201" s="123" t="n"/>
      <c r="J1201" s="123" t="n"/>
      <c r="K1201" s="123" t="n"/>
      <c r="L1201" s="123" t="n"/>
      <c r="M1201" s="123">
        <f>IF(AND(B1201&lt;&gt;"",OR($C$4="",ISNUMBER(SEARCH($C$4,C1201&amp;" "&amp;E1201&amp;" "&amp;G1201&amp;" "&amp;H1201&amp;" "&amp;I1201&amp;" "&amp;J1201&amp;" "&amp;K1201&amp;" "&amp;L1201))),OR($C$5="Semua",$C$5="",G1201=$C$5),OR($C$6="Semua",$C$6="",H1201=$C$6,H1201="Pengeluaran "&amp;$C$6,AND($C$6="Uang Kos Mama",H1201="Pengeluaran Uang Kos")),OR($C$7="Semua",$C$7="",I1201=$C$7),OR($C$8="Semua",$C$8="",C1201=$C$8,E1201=$C$8),OR($C$9="Semua",$C$9="",D1201=$C$9),OR($C$10="",B1201&gt;=$C$10),OR($C$11="",B1201&lt;=$C$11),OR($C$12&lt;&gt;"Ya",K1201&lt;&gt;""),OR($C$13="Semua",$C$13="",L1201=$C$13)),"✓","")</f>
        <v/>
      </c>
      <c r="N1201" s="93">
        <f>N(N1200)+IF(M1201="✓",1,0)</f>
        <v/>
      </c>
      <c r="O1201" s="93">
        <f>N(O1200)+IF(AND(B1201&lt;&gt;"",B1201&gt;='Uang Riba'!$H$30,B1201&lt;='Uang Riba'!$I$30,OR(H1201="Dana riba",H1201="Pinjam uang riba",I1201="Pinjam dari uang riba",I1201="Ganti uang riba",I1201="Kelebihan ganti dikembalikan",AND(C1201="Kantong Uang Riba",G1201="Pengeluaran"))),1,0)</f>
        <v/>
      </c>
      <c r="X1201" s="93">
        <f>IF(AND(B1201&lt;&gt;"",B1201&gt;='Buku Akun'!$H$4,B1201&lt;='Buku Akun'!$H$5,OR(C1201='Buku Akun'!$C$4,AND(D1201="Pindah",E1201='Buku Akun'!$C$4))),B1201+IF(AND(I1201="Selisih bunga",DAY(B1201)=1),0,0.01)+ROW()/10000000,"")</f>
        <v/>
      </c>
    </row>
    <row r="1202" outlineLevel="1" ht="15" customHeight="1" s="94">
      <c r="A1202" s="123">
        <f>IF(B1202="","",ROW()-15)</f>
        <v/>
      </c>
      <c r="B1202" s="124" t="n"/>
      <c r="C1202" s="123" t="n"/>
      <c r="D1202" s="123" t="n"/>
      <c r="E1202" s="123" t="n"/>
      <c r="F1202" s="125" t="n"/>
      <c r="G1202" s="123" t="n"/>
      <c r="H1202" s="123" t="n"/>
      <c r="I1202" s="123" t="n"/>
      <c r="J1202" s="123" t="n"/>
      <c r="K1202" s="123" t="n"/>
      <c r="L1202" s="123" t="n"/>
      <c r="M1202" s="123">
        <f>IF(AND(B1202&lt;&gt;"",OR($C$4="",ISNUMBER(SEARCH($C$4,C1202&amp;" "&amp;E1202&amp;" "&amp;G1202&amp;" "&amp;H1202&amp;" "&amp;I1202&amp;" "&amp;J1202&amp;" "&amp;K1202&amp;" "&amp;L1202))),OR($C$5="Semua",$C$5="",G1202=$C$5),OR($C$6="Semua",$C$6="",H1202=$C$6,H1202="Pengeluaran "&amp;$C$6,AND($C$6="Uang Kos Mama",H1202="Pengeluaran Uang Kos")),OR($C$7="Semua",$C$7="",I1202=$C$7),OR($C$8="Semua",$C$8="",C1202=$C$8,E1202=$C$8),OR($C$9="Semua",$C$9="",D1202=$C$9),OR($C$10="",B1202&gt;=$C$10),OR($C$11="",B1202&lt;=$C$11),OR($C$12&lt;&gt;"Ya",K1202&lt;&gt;""),OR($C$13="Semua",$C$13="",L1202=$C$13)),"✓","")</f>
        <v/>
      </c>
      <c r="N1202" s="93">
        <f>N(N1201)+IF(M1202="✓",1,0)</f>
        <v/>
      </c>
      <c r="O1202" s="93">
        <f>N(O1201)+IF(AND(B1202&lt;&gt;"",B1202&gt;='Uang Riba'!$H$30,B1202&lt;='Uang Riba'!$I$30,OR(H1202="Dana riba",H1202="Pinjam uang riba",I1202="Pinjam dari uang riba",I1202="Ganti uang riba",I1202="Kelebihan ganti dikembalikan",AND(C1202="Kantong Uang Riba",G1202="Pengeluaran"))),1,0)</f>
        <v/>
      </c>
      <c r="X1202" s="93">
        <f>IF(AND(B1202&lt;&gt;"",B1202&gt;='Buku Akun'!$H$4,B1202&lt;='Buku Akun'!$H$5,OR(C1202='Buku Akun'!$C$4,AND(D1202="Pindah",E1202='Buku Akun'!$C$4))),B1202+IF(AND(I1202="Selisih bunga",DAY(B1202)=1),0,0.01)+ROW()/10000000,"")</f>
        <v/>
      </c>
    </row>
    <row r="1203" outlineLevel="1" ht="15" customHeight="1" s="94">
      <c r="A1203" s="123">
        <f>IF(B1203="","",ROW()-15)</f>
        <v/>
      </c>
      <c r="B1203" s="124" t="n"/>
      <c r="C1203" s="123" t="n"/>
      <c r="D1203" s="123" t="n"/>
      <c r="E1203" s="123" t="n"/>
      <c r="F1203" s="125" t="n"/>
      <c r="G1203" s="123" t="n"/>
      <c r="H1203" s="123" t="n"/>
      <c r="I1203" s="123" t="n"/>
      <c r="J1203" s="123" t="n"/>
      <c r="K1203" s="123" t="n"/>
      <c r="L1203" s="123" t="n"/>
      <c r="M1203" s="123">
        <f>IF(AND(B1203&lt;&gt;"",OR($C$4="",ISNUMBER(SEARCH($C$4,C1203&amp;" "&amp;E1203&amp;" "&amp;G1203&amp;" "&amp;H1203&amp;" "&amp;I1203&amp;" "&amp;J1203&amp;" "&amp;K1203&amp;" "&amp;L1203))),OR($C$5="Semua",$C$5="",G1203=$C$5),OR($C$6="Semua",$C$6="",H1203=$C$6,H1203="Pengeluaran "&amp;$C$6,AND($C$6="Uang Kos Mama",H1203="Pengeluaran Uang Kos")),OR($C$7="Semua",$C$7="",I1203=$C$7),OR($C$8="Semua",$C$8="",C1203=$C$8,E1203=$C$8),OR($C$9="Semua",$C$9="",D1203=$C$9),OR($C$10="",B1203&gt;=$C$10),OR($C$11="",B1203&lt;=$C$11),OR($C$12&lt;&gt;"Ya",K1203&lt;&gt;""),OR($C$13="Semua",$C$13="",L1203=$C$13)),"✓","")</f>
        <v/>
      </c>
      <c r="N1203" s="93">
        <f>N(N1202)+IF(M1203="✓",1,0)</f>
        <v/>
      </c>
      <c r="O1203" s="93">
        <f>N(O1202)+IF(AND(B1203&lt;&gt;"",B1203&gt;='Uang Riba'!$H$30,B1203&lt;='Uang Riba'!$I$30,OR(H1203="Dana riba",H1203="Pinjam uang riba",I1203="Pinjam dari uang riba",I1203="Ganti uang riba",I1203="Kelebihan ganti dikembalikan",AND(C1203="Kantong Uang Riba",G1203="Pengeluaran"))),1,0)</f>
        <v/>
      </c>
      <c r="X1203" s="93">
        <f>IF(AND(B1203&lt;&gt;"",B1203&gt;='Buku Akun'!$H$4,B1203&lt;='Buku Akun'!$H$5,OR(C1203='Buku Akun'!$C$4,AND(D1203="Pindah",E1203='Buku Akun'!$C$4))),B1203+IF(AND(I1203="Selisih bunga",DAY(B1203)=1),0,0.01)+ROW()/10000000,"")</f>
        <v/>
      </c>
    </row>
    <row r="1204" outlineLevel="1" ht="15" customHeight="1" s="94">
      <c r="A1204" s="123">
        <f>IF(B1204="","",ROW()-15)</f>
        <v/>
      </c>
      <c r="B1204" s="124" t="n"/>
      <c r="C1204" s="123" t="n"/>
      <c r="D1204" s="123" t="n"/>
      <c r="E1204" s="123" t="n"/>
      <c r="F1204" s="125" t="n"/>
      <c r="G1204" s="123" t="n"/>
      <c r="H1204" s="123" t="n"/>
      <c r="I1204" s="123" t="n"/>
      <c r="J1204" s="123" t="n"/>
      <c r="K1204" s="123" t="n"/>
      <c r="L1204" s="123" t="n"/>
      <c r="M1204" s="123">
        <f>IF(AND(B1204&lt;&gt;"",OR($C$4="",ISNUMBER(SEARCH($C$4,C1204&amp;" "&amp;E1204&amp;" "&amp;G1204&amp;" "&amp;H1204&amp;" "&amp;I1204&amp;" "&amp;J1204&amp;" "&amp;K1204&amp;" "&amp;L1204))),OR($C$5="Semua",$C$5="",G1204=$C$5),OR($C$6="Semua",$C$6="",H1204=$C$6,H1204="Pengeluaran "&amp;$C$6,AND($C$6="Uang Kos Mama",H1204="Pengeluaran Uang Kos")),OR($C$7="Semua",$C$7="",I1204=$C$7),OR($C$8="Semua",$C$8="",C1204=$C$8,E1204=$C$8),OR($C$9="Semua",$C$9="",D1204=$C$9),OR($C$10="",B1204&gt;=$C$10),OR($C$11="",B1204&lt;=$C$11),OR($C$12&lt;&gt;"Ya",K1204&lt;&gt;""),OR($C$13="Semua",$C$13="",L1204=$C$13)),"✓","")</f>
        <v/>
      </c>
      <c r="N1204" s="93">
        <f>N(N1203)+IF(M1204="✓",1,0)</f>
        <v/>
      </c>
      <c r="O1204" s="93">
        <f>N(O1203)+IF(AND(B1204&lt;&gt;"",B1204&gt;='Uang Riba'!$H$30,B1204&lt;='Uang Riba'!$I$30,OR(H1204="Dana riba",H1204="Pinjam uang riba",I1204="Pinjam dari uang riba",I1204="Ganti uang riba",I1204="Kelebihan ganti dikembalikan",AND(C1204="Kantong Uang Riba",G1204="Pengeluaran"))),1,0)</f>
        <v/>
      </c>
      <c r="X1204" s="93">
        <f>IF(AND(B1204&lt;&gt;"",B1204&gt;='Buku Akun'!$H$4,B1204&lt;='Buku Akun'!$H$5,OR(C1204='Buku Akun'!$C$4,AND(D1204="Pindah",E1204='Buku Akun'!$C$4))),B1204+IF(AND(I1204="Selisih bunga",DAY(B1204)=1),0,0.01)+ROW()/10000000,"")</f>
        <v/>
      </c>
    </row>
    <row r="1205" outlineLevel="1" ht="15" customHeight="1" s="94">
      <c r="A1205" s="123">
        <f>IF(B1205="","",ROW()-15)</f>
        <v/>
      </c>
      <c r="B1205" s="124" t="n"/>
      <c r="C1205" s="123" t="n"/>
      <c r="D1205" s="123" t="n"/>
      <c r="E1205" s="123" t="n"/>
      <c r="F1205" s="125" t="n"/>
      <c r="G1205" s="123" t="n"/>
      <c r="H1205" s="123" t="n"/>
      <c r="I1205" s="123" t="n"/>
      <c r="J1205" s="123" t="n"/>
      <c r="K1205" s="123" t="n"/>
      <c r="L1205" s="123" t="n"/>
      <c r="M1205" s="123">
        <f>IF(AND(B1205&lt;&gt;"",OR($C$4="",ISNUMBER(SEARCH($C$4,C1205&amp;" "&amp;E1205&amp;" "&amp;G1205&amp;" "&amp;H1205&amp;" "&amp;I1205&amp;" "&amp;J1205&amp;" "&amp;K1205&amp;" "&amp;L1205))),OR($C$5="Semua",$C$5="",G1205=$C$5),OR($C$6="Semua",$C$6="",H1205=$C$6,H1205="Pengeluaran "&amp;$C$6,AND($C$6="Uang Kos Mama",H1205="Pengeluaran Uang Kos")),OR($C$7="Semua",$C$7="",I1205=$C$7),OR($C$8="Semua",$C$8="",C1205=$C$8,E1205=$C$8),OR($C$9="Semua",$C$9="",D1205=$C$9),OR($C$10="",B1205&gt;=$C$10),OR($C$11="",B1205&lt;=$C$11),OR($C$12&lt;&gt;"Ya",K1205&lt;&gt;""),OR($C$13="Semua",$C$13="",L1205=$C$13)),"✓","")</f>
        <v/>
      </c>
      <c r="N1205" s="93">
        <f>N(N1204)+IF(M1205="✓",1,0)</f>
        <v/>
      </c>
      <c r="O1205" s="93">
        <f>N(O1204)+IF(AND(B1205&lt;&gt;"",B1205&gt;='Uang Riba'!$H$30,B1205&lt;='Uang Riba'!$I$30,OR(H1205="Dana riba",H1205="Pinjam uang riba",I1205="Pinjam dari uang riba",I1205="Ganti uang riba",I1205="Kelebihan ganti dikembalikan",AND(C1205="Kantong Uang Riba",G1205="Pengeluaran"))),1,0)</f>
        <v/>
      </c>
      <c r="X1205" s="93">
        <f>IF(AND(B1205&lt;&gt;"",B1205&gt;='Buku Akun'!$H$4,B1205&lt;='Buku Akun'!$H$5,OR(C1205='Buku Akun'!$C$4,AND(D1205="Pindah",E1205='Buku Akun'!$C$4))),B1205+IF(AND(I1205="Selisih bunga",DAY(B1205)=1),0,0.01)+ROW()/10000000,"")</f>
        <v/>
      </c>
    </row>
    <row r="1206" outlineLevel="1" ht="15" customHeight="1" s="94">
      <c r="A1206" s="123">
        <f>IF(B1206="","",ROW()-15)</f>
        <v/>
      </c>
      <c r="B1206" s="124" t="n"/>
      <c r="C1206" s="123" t="n"/>
      <c r="D1206" s="123" t="n"/>
      <c r="E1206" s="123" t="n"/>
      <c r="F1206" s="125" t="n"/>
      <c r="G1206" s="123" t="n"/>
      <c r="H1206" s="123" t="n"/>
      <c r="I1206" s="123" t="n"/>
      <c r="J1206" s="123" t="n"/>
      <c r="K1206" s="123" t="n"/>
      <c r="L1206" s="123" t="n"/>
      <c r="M1206" s="123">
        <f>IF(AND(B1206&lt;&gt;"",OR($C$4="",ISNUMBER(SEARCH($C$4,C1206&amp;" "&amp;E1206&amp;" "&amp;G1206&amp;" "&amp;H1206&amp;" "&amp;I1206&amp;" "&amp;J1206&amp;" "&amp;K1206&amp;" "&amp;L1206))),OR($C$5="Semua",$C$5="",G1206=$C$5),OR($C$6="Semua",$C$6="",H1206=$C$6,H1206="Pengeluaran "&amp;$C$6,AND($C$6="Uang Kos Mama",H1206="Pengeluaran Uang Kos")),OR($C$7="Semua",$C$7="",I1206=$C$7),OR($C$8="Semua",$C$8="",C1206=$C$8,E1206=$C$8),OR($C$9="Semua",$C$9="",D1206=$C$9),OR($C$10="",B1206&gt;=$C$10),OR($C$11="",B1206&lt;=$C$11),OR($C$12&lt;&gt;"Ya",K1206&lt;&gt;""),OR($C$13="Semua",$C$13="",L1206=$C$13)),"✓","")</f>
        <v/>
      </c>
      <c r="N1206" s="93">
        <f>N(N1205)+IF(M1206="✓",1,0)</f>
        <v/>
      </c>
      <c r="O1206" s="93">
        <f>N(O1205)+IF(AND(B1206&lt;&gt;"",B1206&gt;='Uang Riba'!$H$30,B1206&lt;='Uang Riba'!$I$30,OR(H1206="Dana riba",H1206="Pinjam uang riba",I1206="Pinjam dari uang riba",I1206="Ganti uang riba",I1206="Kelebihan ganti dikembalikan",AND(C1206="Kantong Uang Riba",G1206="Pengeluaran"))),1,0)</f>
        <v/>
      </c>
      <c r="X1206" s="93">
        <f>IF(AND(B1206&lt;&gt;"",B1206&gt;='Buku Akun'!$H$4,B1206&lt;='Buku Akun'!$H$5,OR(C1206='Buku Akun'!$C$4,AND(D1206="Pindah",E1206='Buku Akun'!$C$4))),B1206+IF(AND(I1206="Selisih bunga",DAY(B1206)=1),0,0.01)+ROW()/10000000,"")</f>
        <v/>
      </c>
    </row>
    <row r="1207" outlineLevel="1" ht="15" customHeight="1" s="94">
      <c r="A1207" s="123">
        <f>IF(B1207="","",ROW()-15)</f>
        <v/>
      </c>
      <c r="B1207" s="124" t="n"/>
      <c r="C1207" s="123" t="n"/>
      <c r="D1207" s="123" t="n"/>
      <c r="E1207" s="123" t="n"/>
      <c r="F1207" s="125" t="n"/>
      <c r="G1207" s="123" t="n"/>
      <c r="H1207" s="123" t="n"/>
      <c r="I1207" s="123" t="n"/>
      <c r="J1207" s="123" t="n"/>
      <c r="K1207" s="123" t="n"/>
      <c r="L1207" s="123" t="n"/>
      <c r="M1207" s="123">
        <f>IF(AND(B1207&lt;&gt;"",OR($C$4="",ISNUMBER(SEARCH($C$4,C1207&amp;" "&amp;E1207&amp;" "&amp;G1207&amp;" "&amp;H1207&amp;" "&amp;I1207&amp;" "&amp;J1207&amp;" "&amp;K1207&amp;" "&amp;L1207))),OR($C$5="Semua",$C$5="",G1207=$C$5),OR($C$6="Semua",$C$6="",H1207=$C$6,H1207="Pengeluaran "&amp;$C$6,AND($C$6="Uang Kos Mama",H1207="Pengeluaran Uang Kos")),OR($C$7="Semua",$C$7="",I1207=$C$7),OR($C$8="Semua",$C$8="",C1207=$C$8,E1207=$C$8),OR($C$9="Semua",$C$9="",D1207=$C$9),OR($C$10="",B1207&gt;=$C$10),OR($C$11="",B1207&lt;=$C$11),OR($C$12&lt;&gt;"Ya",K1207&lt;&gt;""),OR($C$13="Semua",$C$13="",L1207=$C$13)),"✓","")</f>
        <v/>
      </c>
      <c r="N1207" s="93">
        <f>N(N1206)+IF(M1207="✓",1,0)</f>
        <v/>
      </c>
      <c r="O1207" s="93">
        <f>N(O1206)+IF(AND(B1207&lt;&gt;"",B1207&gt;='Uang Riba'!$H$30,B1207&lt;='Uang Riba'!$I$30,OR(H1207="Dana riba",H1207="Pinjam uang riba",I1207="Pinjam dari uang riba",I1207="Ganti uang riba",I1207="Kelebihan ganti dikembalikan",AND(C1207="Kantong Uang Riba",G1207="Pengeluaran"))),1,0)</f>
        <v/>
      </c>
      <c r="X1207" s="93">
        <f>IF(AND(B1207&lt;&gt;"",B1207&gt;='Buku Akun'!$H$4,B1207&lt;='Buku Akun'!$H$5,OR(C1207='Buku Akun'!$C$4,AND(D1207="Pindah",E1207='Buku Akun'!$C$4))),B1207+IF(AND(I1207="Selisih bunga",DAY(B1207)=1),0,0.01)+ROW()/10000000,"")</f>
        <v/>
      </c>
    </row>
    <row r="1208" outlineLevel="1" ht="15" customHeight="1" s="94">
      <c r="A1208" s="123">
        <f>IF(B1208="","",ROW()-15)</f>
        <v/>
      </c>
      <c r="B1208" s="124" t="n"/>
      <c r="C1208" s="123" t="n"/>
      <c r="D1208" s="123" t="n"/>
      <c r="E1208" s="123" t="n"/>
      <c r="F1208" s="125" t="n"/>
      <c r="G1208" s="123" t="n"/>
      <c r="H1208" s="123" t="n"/>
      <c r="I1208" s="123" t="n"/>
      <c r="J1208" s="123" t="n"/>
      <c r="K1208" s="123" t="n"/>
      <c r="L1208" s="123" t="n"/>
      <c r="M1208" s="123">
        <f>IF(AND(B1208&lt;&gt;"",OR($C$4="",ISNUMBER(SEARCH($C$4,C1208&amp;" "&amp;E1208&amp;" "&amp;G1208&amp;" "&amp;H1208&amp;" "&amp;I1208&amp;" "&amp;J1208&amp;" "&amp;K1208&amp;" "&amp;L1208))),OR($C$5="Semua",$C$5="",G1208=$C$5),OR($C$6="Semua",$C$6="",H1208=$C$6,H1208="Pengeluaran "&amp;$C$6,AND($C$6="Uang Kos Mama",H1208="Pengeluaran Uang Kos")),OR($C$7="Semua",$C$7="",I1208=$C$7),OR($C$8="Semua",$C$8="",C1208=$C$8,E1208=$C$8),OR($C$9="Semua",$C$9="",D1208=$C$9),OR($C$10="",B1208&gt;=$C$10),OR($C$11="",B1208&lt;=$C$11),OR($C$12&lt;&gt;"Ya",K1208&lt;&gt;""),OR($C$13="Semua",$C$13="",L1208=$C$13)),"✓","")</f>
        <v/>
      </c>
      <c r="N1208" s="93">
        <f>N(N1207)+IF(M1208="✓",1,0)</f>
        <v/>
      </c>
      <c r="O1208" s="93">
        <f>N(O1207)+IF(AND(B1208&lt;&gt;"",B1208&gt;='Uang Riba'!$H$30,B1208&lt;='Uang Riba'!$I$30,OR(H1208="Dana riba",H1208="Pinjam uang riba",I1208="Pinjam dari uang riba",I1208="Ganti uang riba",I1208="Kelebihan ganti dikembalikan",AND(C1208="Kantong Uang Riba",G1208="Pengeluaran"))),1,0)</f>
        <v/>
      </c>
      <c r="X1208" s="93">
        <f>IF(AND(B1208&lt;&gt;"",B1208&gt;='Buku Akun'!$H$4,B1208&lt;='Buku Akun'!$H$5,OR(C1208='Buku Akun'!$C$4,AND(D1208="Pindah",E1208='Buku Akun'!$C$4))),B1208+IF(AND(I1208="Selisih bunga",DAY(B1208)=1),0,0.01)+ROW()/10000000,"")</f>
        <v/>
      </c>
    </row>
    <row r="1209" outlineLevel="1" ht="15" customHeight="1" s="94">
      <c r="A1209" s="123">
        <f>IF(B1209="","",ROW()-15)</f>
        <v/>
      </c>
      <c r="B1209" s="124" t="n"/>
      <c r="C1209" s="123" t="n"/>
      <c r="D1209" s="123" t="n"/>
      <c r="E1209" s="123" t="n"/>
      <c r="F1209" s="125" t="n"/>
      <c r="G1209" s="123" t="n"/>
      <c r="H1209" s="123" t="n"/>
      <c r="I1209" s="123" t="n"/>
      <c r="J1209" s="123" t="n"/>
      <c r="K1209" s="123" t="n"/>
      <c r="L1209" s="123" t="n"/>
      <c r="M1209" s="123">
        <f>IF(AND(B1209&lt;&gt;"",OR($C$4="",ISNUMBER(SEARCH($C$4,C1209&amp;" "&amp;E1209&amp;" "&amp;G1209&amp;" "&amp;H1209&amp;" "&amp;I1209&amp;" "&amp;J1209&amp;" "&amp;K1209&amp;" "&amp;L1209))),OR($C$5="Semua",$C$5="",G1209=$C$5),OR($C$6="Semua",$C$6="",H1209=$C$6,H1209="Pengeluaran "&amp;$C$6,AND($C$6="Uang Kos Mama",H1209="Pengeluaran Uang Kos")),OR($C$7="Semua",$C$7="",I1209=$C$7),OR($C$8="Semua",$C$8="",C1209=$C$8,E1209=$C$8),OR($C$9="Semua",$C$9="",D1209=$C$9),OR($C$10="",B1209&gt;=$C$10),OR($C$11="",B1209&lt;=$C$11),OR($C$12&lt;&gt;"Ya",K1209&lt;&gt;""),OR($C$13="Semua",$C$13="",L1209=$C$13)),"✓","")</f>
        <v/>
      </c>
      <c r="N1209" s="93">
        <f>N(N1208)+IF(M1209="✓",1,0)</f>
        <v/>
      </c>
      <c r="O1209" s="93">
        <f>N(O1208)+IF(AND(B1209&lt;&gt;"",B1209&gt;='Uang Riba'!$H$30,B1209&lt;='Uang Riba'!$I$30,OR(H1209="Dana riba",H1209="Pinjam uang riba",I1209="Pinjam dari uang riba",I1209="Ganti uang riba",I1209="Kelebihan ganti dikembalikan",AND(C1209="Kantong Uang Riba",G1209="Pengeluaran"))),1,0)</f>
        <v/>
      </c>
      <c r="X1209" s="93">
        <f>IF(AND(B1209&lt;&gt;"",B1209&gt;='Buku Akun'!$H$4,B1209&lt;='Buku Akun'!$H$5,OR(C1209='Buku Akun'!$C$4,AND(D1209="Pindah",E1209='Buku Akun'!$C$4))),B1209+IF(AND(I1209="Selisih bunga",DAY(B1209)=1),0,0.01)+ROW()/10000000,"")</f>
        <v/>
      </c>
    </row>
    <row r="1210" outlineLevel="1" ht="15" customHeight="1" s="94">
      <c r="A1210" s="123">
        <f>IF(B1210="","",ROW()-15)</f>
        <v/>
      </c>
      <c r="B1210" s="124" t="n"/>
      <c r="C1210" s="123" t="n"/>
      <c r="D1210" s="123" t="n"/>
      <c r="E1210" s="123" t="n"/>
      <c r="F1210" s="125" t="n"/>
      <c r="G1210" s="123" t="n"/>
      <c r="H1210" s="123" t="n"/>
      <c r="I1210" s="123" t="n"/>
      <c r="J1210" s="123" t="n"/>
      <c r="K1210" s="123" t="n"/>
      <c r="L1210" s="123" t="n"/>
      <c r="M1210" s="123">
        <f>IF(AND(B1210&lt;&gt;"",OR($C$4="",ISNUMBER(SEARCH($C$4,C1210&amp;" "&amp;E1210&amp;" "&amp;G1210&amp;" "&amp;H1210&amp;" "&amp;I1210&amp;" "&amp;J1210&amp;" "&amp;K1210&amp;" "&amp;L1210))),OR($C$5="Semua",$C$5="",G1210=$C$5),OR($C$6="Semua",$C$6="",H1210=$C$6,H1210="Pengeluaran "&amp;$C$6,AND($C$6="Uang Kos Mama",H1210="Pengeluaran Uang Kos")),OR($C$7="Semua",$C$7="",I1210=$C$7),OR($C$8="Semua",$C$8="",C1210=$C$8,E1210=$C$8),OR($C$9="Semua",$C$9="",D1210=$C$9),OR($C$10="",B1210&gt;=$C$10),OR($C$11="",B1210&lt;=$C$11),OR($C$12&lt;&gt;"Ya",K1210&lt;&gt;""),OR($C$13="Semua",$C$13="",L1210=$C$13)),"✓","")</f>
        <v/>
      </c>
      <c r="N1210" s="93">
        <f>N(N1209)+IF(M1210="✓",1,0)</f>
        <v/>
      </c>
      <c r="O1210" s="93">
        <f>N(O1209)+IF(AND(B1210&lt;&gt;"",B1210&gt;='Uang Riba'!$H$30,B1210&lt;='Uang Riba'!$I$30,OR(H1210="Dana riba",H1210="Pinjam uang riba",I1210="Pinjam dari uang riba",I1210="Ganti uang riba",I1210="Kelebihan ganti dikembalikan",AND(C1210="Kantong Uang Riba",G1210="Pengeluaran"))),1,0)</f>
        <v/>
      </c>
      <c r="X1210" s="93">
        <f>IF(AND(B1210&lt;&gt;"",B1210&gt;='Buku Akun'!$H$4,B1210&lt;='Buku Akun'!$H$5,OR(C1210='Buku Akun'!$C$4,AND(D1210="Pindah",E1210='Buku Akun'!$C$4))),B1210+IF(AND(I1210="Selisih bunga",DAY(B1210)=1),0,0.01)+ROW()/10000000,"")</f>
        <v/>
      </c>
    </row>
    <row r="1211" outlineLevel="1" ht="15" customHeight="1" s="94">
      <c r="A1211" s="123">
        <f>IF(B1211="","",ROW()-15)</f>
        <v/>
      </c>
      <c r="B1211" s="124" t="n"/>
      <c r="C1211" s="123" t="n"/>
      <c r="D1211" s="123" t="n"/>
      <c r="E1211" s="123" t="n"/>
      <c r="F1211" s="125" t="n"/>
      <c r="G1211" s="123" t="n"/>
      <c r="H1211" s="123" t="n"/>
      <c r="I1211" s="123" t="n"/>
      <c r="J1211" s="123" t="n"/>
      <c r="K1211" s="123" t="n"/>
      <c r="L1211" s="123" t="n"/>
      <c r="M1211" s="123">
        <f>IF(AND(B1211&lt;&gt;"",OR($C$4="",ISNUMBER(SEARCH($C$4,C1211&amp;" "&amp;E1211&amp;" "&amp;G1211&amp;" "&amp;H1211&amp;" "&amp;I1211&amp;" "&amp;J1211&amp;" "&amp;K1211&amp;" "&amp;L1211))),OR($C$5="Semua",$C$5="",G1211=$C$5),OR($C$6="Semua",$C$6="",H1211=$C$6,H1211="Pengeluaran "&amp;$C$6,AND($C$6="Uang Kos Mama",H1211="Pengeluaran Uang Kos")),OR($C$7="Semua",$C$7="",I1211=$C$7),OR($C$8="Semua",$C$8="",C1211=$C$8,E1211=$C$8),OR($C$9="Semua",$C$9="",D1211=$C$9),OR($C$10="",B1211&gt;=$C$10),OR($C$11="",B1211&lt;=$C$11),OR($C$12&lt;&gt;"Ya",K1211&lt;&gt;""),OR($C$13="Semua",$C$13="",L1211=$C$13)),"✓","")</f>
        <v/>
      </c>
      <c r="N1211" s="93">
        <f>N(N1210)+IF(M1211="✓",1,0)</f>
        <v/>
      </c>
      <c r="O1211" s="93">
        <f>N(O1210)+IF(AND(B1211&lt;&gt;"",B1211&gt;='Uang Riba'!$H$30,B1211&lt;='Uang Riba'!$I$30,OR(H1211="Dana riba",H1211="Pinjam uang riba",I1211="Pinjam dari uang riba",I1211="Ganti uang riba",I1211="Kelebihan ganti dikembalikan",AND(C1211="Kantong Uang Riba",G1211="Pengeluaran"))),1,0)</f>
        <v/>
      </c>
      <c r="X1211" s="93">
        <f>IF(AND(B1211&lt;&gt;"",B1211&gt;='Buku Akun'!$H$4,B1211&lt;='Buku Akun'!$H$5,OR(C1211='Buku Akun'!$C$4,AND(D1211="Pindah",E1211='Buku Akun'!$C$4))),B1211+IF(AND(I1211="Selisih bunga",DAY(B1211)=1),0,0.01)+ROW()/10000000,"")</f>
        <v/>
      </c>
    </row>
    <row r="1212" outlineLevel="1" ht="15" customHeight="1" s="94">
      <c r="A1212" s="123">
        <f>IF(B1212="","",ROW()-15)</f>
        <v/>
      </c>
      <c r="B1212" s="124" t="n"/>
      <c r="C1212" s="123" t="n"/>
      <c r="D1212" s="123" t="n"/>
      <c r="E1212" s="123" t="n"/>
      <c r="F1212" s="125" t="n"/>
      <c r="G1212" s="123" t="n"/>
      <c r="H1212" s="123" t="n"/>
      <c r="I1212" s="123" t="n"/>
      <c r="J1212" s="123" t="n"/>
      <c r="K1212" s="123" t="n"/>
      <c r="L1212" s="123" t="n"/>
      <c r="M1212" s="123">
        <f>IF(AND(B1212&lt;&gt;"",OR($C$4="",ISNUMBER(SEARCH($C$4,C1212&amp;" "&amp;E1212&amp;" "&amp;G1212&amp;" "&amp;H1212&amp;" "&amp;I1212&amp;" "&amp;J1212&amp;" "&amp;K1212&amp;" "&amp;L1212))),OR($C$5="Semua",$C$5="",G1212=$C$5),OR($C$6="Semua",$C$6="",H1212=$C$6,H1212="Pengeluaran "&amp;$C$6,AND($C$6="Uang Kos Mama",H1212="Pengeluaran Uang Kos")),OR($C$7="Semua",$C$7="",I1212=$C$7),OR($C$8="Semua",$C$8="",C1212=$C$8,E1212=$C$8),OR($C$9="Semua",$C$9="",D1212=$C$9),OR($C$10="",B1212&gt;=$C$10),OR($C$11="",B1212&lt;=$C$11),OR($C$12&lt;&gt;"Ya",K1212&lt;&gt;""),OR($C$13="Semua",$C$13="",L1212=$C$13)),"✓","")</f>
        <v/>
      </c>
      <c r="N1212" s="93">
        <f>N(N1211)+IF(M1212="✓",1,0)</f>
        <v/>
      </c>
      <c r="O1212" s="93">
        <f>N(O1211)+IF(AND(B1212&lt;&gt;"",B1212&gt;='Uang Riba'!$H$30,B1212&lt;='Uang Riba'!$I$30,OR(H1212="Dana riba",H1212="Pinjam uang riba",I1212="Pinjam dari uang riba",I1212="Ganti uang riba",I1212="Kelebihan ganti dikembalikan",AND(C1212="Kantong Uang Riba",G1212="Pengeluaran"))),1,0)</f>
        <v/>
      </c>
      <c r="X1212" s="93">
        <f>IF(AND(B1212&lt;&gt;"",B1212&gt;='Buku Akun'!$H$4,B1212&lt;='Buku Akun'!$H$5,OR(C1212='Buku Akun'!$C$4,AND(D1212="Pindah",E1212='Buku Akun'!$C$4))),B1212+IF(AND(I1212="Selisih bunga",DAY(B1212)=1),0,0.01)+ROW()/10000000,"")</f>
        <v/>
      </c>
    </row>
    <row r="1213" outlineLevel="1" ht="15" customHeight="1" s="94">
      <c r="A1213" s="123">
        <f>IF(B1213="","",ROW()-15)</f>
        <v/>
      </c>
      <c r="B1213" s="124" t="n"/>
      <c r="C1213" s="123" t="n"/>
      <c r="D1213" s="123" t="n"/>
      <c r="E1213" s="123" t="n"/>
      <c r="F1213" s="125" t="n"/>
      <c r="G1213" s="123" t="n"/>
      <c r="H1213" s="123" t="n"/>
      <c r="I1213" s="123" t="n"/>
      <c r="J1213" s="123" t="n"/>
      <c r="K1213" s="123" t="n"/>
      <c r="L1213" s="123" t="n"/>
      <c r="M1213" s="123">
        <f>IF(AND(B1213&lt;&gt;"",OR($C$4="",ISNUMBER(SEARCH($C$4,C1213&amp;" "&amp;E1213&amp;" "&amp;G1213&amp;" "&amp;H1213&amp;" "&amp;I1213&amp;" "&amp;J1213&amp;" "&amp;K1213&amp;" "&amp;L1213))),OR($C$5="Semua",$C$5="",G1213=$C$5),OR($C$6="Semua",$C$6="",H1213=$C$6,H1213="Pengeluaran "&amp;$C$6,AND($C$6="Uang Kos Mama",H1213="Pengeluaran Uang Kos")),OR($C$7="Semua",$C$7="",I1213=$C$7),OR($C$8="Semua",$C$8="",C1213=$C$8,E1213=$C$8),OR($C$9="Semua",$C$9="",D1213=$C$9),OR($C$10="",B1213&gt;=$C$10),OR($C$11="",B1213&lt;=$C$11),OR($C$12&lt;&gt;"Ya",K1213&lt;&gt;""),OR($C$13="Semua",$C$13="",L1213=$C$13)),"✓","")</f>
        <v/>
      </c>
      <c r="N1213" s="93">
        <f>N(N1212)+IF(M1213="✓",1,0)</f>
        <v/>
      </c>
      <c r="O1213" s="93">
        <f>N(O1212)+IF(AND(B1213&lt;&gt;"",B1213&gt;='Uang Riba'!$H$30,B1213&lt;='Uang Riba'!$I$30,OR(H1213="Dana riba",H1213="Pinjam uang riba",I1213="Pinjam dari uang riba",I1213="Ganti uang riba",I1213="Kelebihan ganti dikembalikan",AND(C1213="Kantong Uang Riba",G1213="Pengeluaran"))),1,0)</f>
        <v/>
      </c>
      <c r="X1213" s="93">
        <f>IF(AND(B1213&lt;&gt;"",B1213&gt;='Buku Akun'!$H$4,B1213&lt;='Buku Akun'!$H$5,OR(C1213='Buku Akun'!$C$4,AND(D1213="Pindah",E1213='Buku Akun'!$C$4))),B1213+IF(AND(I1213="Selisih bunga",DAY(B1213)=1),0,0.01)+ROW()/10000000,"")</f>
        <v/>
      </c>
    </row>
    <row r="1214" outlineLevel="1" ht="15" customHeight="1" s="94">
      <c r="A1214" s="123">
        <f>IF(B1214="","",ROW()-15)</f>
        <v/>
      </c>
      <c r="B1214" s="124" t="n"/>
      <c r="C1214" s="123" t="n"/>
      <c r="D1214" s="123" t="n"/>
      <c r="E1214" s="123" t="n"/>
      <c r="F1214" s="125" t="n"/>
      <c r="G1214" s="123" t="n"/>
      <c r="H1214" s="123" t="n"/>
      <c r="I1214" s="123" t="n"/>
      <c r="J1214" s="123" t="n"/>
      <c r="K1214" s="123" t="n"/>
      <c r="L1214" s="123" t="n"/>
      <c r="M1214" s="123">
        <f>IF(AND(B1214&lt;&gt;"",OR($C$4="",ISNUMBER(SEARCH($C$4,C1214&amp;" "&amp;E1214&amp;" "&amp;G1214&amp;" "&amp;H1214&amp;" "&amp;I1214&amp;" "&amp;J1214&amp;" "&amp;K1214&amp;" "&amp;L1214))),OR($C$5="Semua",$C$5="",G1214=$C$5),OR($C$6="Semua",$C$6="",H1214=$C$6,H1214="Pengeluaran "&amp;$C$6,AND($C$6="Uang Kos Mama",H1214="Pengeluaran Uang Kos")),OR($C$7="Semua",$C$7="",I1214=$C$7),OR($C$8="Semua",$C$8="",C1214=$C$8,E1214=$C$8),OR($C$9="Semua",$C$9="",D1214=$C$9),OR($C$10="",B1214&gt;=$C$10),OR($C$11="",B1214&lt;=$C$11),OR($C$12&lt;&gt;"Ya",K1214&lt;&gt;""),OR($C$13="Semua",$C$13="",L1214=$C$13)),"✓","")</f>
        <v/>
      </c>
      <c r="N1214" s="93">
        <f>N(N1213)+IF(M1214="✓",1,0)</f>
        <v/>
      </c>
      <c r="O1214" s="93">
        <f>N(O1213)+IF(AND(B1214&lt;&gt;"",B1214&gt;='Uang Riba'!$H$30,B1214&lt;='Uang Riba'!$I$30,OR(H1214="Dana riba",H1214="Pinjam uang riba",I1214="Pinjam dari uang riba",I1214="Ganti uang riba",I1214="Kelebihan ganti dikembalikan",AND(C1214="Kantong Uang Riba",G1214="Pengeluaran"))),1,0)</f>
        <v/>
      </c>
      <c r="X1214" s="93">
        <f>IF(AND(B1214&lt;&gt;"",B1214&gt;='Buku Akun'!$H$4,B1214&lt;='Buku Akun'!$H$5,OR(C1214='Buku Akun'!$C$4,AND(D1214="Pindah",E1214='Buku Akun'!$C$4))),B1214+IF(AND(I1214="Selisih bunga",DAY(B1214)=1),0,0.01)+ROW()/10000000,"")</f>
        <v/>
      </c>
    </row>
    <row r="1215" outlineLevel="1" ht="15" customHeight="1" s="94">
      <c r="A1215" s="123">
        <f>IF(B1215="","",ROW()-15)</f>
        <v/>
      </c>
      <c r="B1215" s="124" t="n"/>
      <c r="C1215" s="123" t="n"/>
      <c r="D1215" s="123" t="n"/>
      <c r="E1215" s="123" t="n"/>
      <c r="F1215" s="125" t="n"/>
      <c r="G1215" s="123" t="n"/>
      <c r="H1215" s="123" t="n"/>
      <c r="I1215" s="123" t="n"/>
      <c r="J1215" s="123" t="n"/>
      <c r="K1215" s="123" t="n"/>
      <c r="L1215" s="123" t="n"/>
      <c r="M1215" s="123">
        <f>IF(AND(B1215&lt;&gt;"",OR($C$4="",ISNUMBER(SEARCH($C$4,C1215&amp;" "&amp;E1215&amp;" "&amp;G1215&amp;" "&amp;H1215&amp;" "&amp;I1215&amp;" "&amp;J1215&amp;" "&amp;K1215&amp;" "&amp;L1215))),OR($C$5="Semua",$C$5="",G1215=$C$5),OR($C$6="Semua",$C$6="",H1215=$C$6,H1215="Pengeluaran "&amp;$C$6,AND($C$6="Uang Kos Mama",H1215="Pengeluaran Uang Kos")),OR($C$7="Semua",$C$7="",I1215=$C$7),OR($C$8="Semua",$C$8="",C1215=$C$8,E1215=$C$8),OR($C$9="Semua",$C$9="",D1215=$C$9),OR($C$10="",B1215&gt;=$C$10),OR($C$11="",B1215&lt;=$C$11),OR($C$12&lt;&gt;"Ya",K1215&lt;&gt;""),OR($C$13="Semua",$C$13="",L1215=$C$13)),"✓","")</f>
        <v/>
      </c>
      <c r="N1215" s="93">
        <f>N(N1214)+IF(M1215="✓",1,0)</f>
        <v/>
      </c>
      <c r="O1215" s="93">
        <f>N(O1214)+IF(AND(B1215&lt;&gt;"",B1215&gt;='Uang Riba'!$H$30,B1215&lt;='Uang Riba'!$I$30,OR(H1215="Dana riba",H1215="Pinjam uang riba",I1215="Pinjam dari uang riba",I1215="Ganti uang riba",I1215="Kelebihan ganti dikembalikan",AND(C1215="Kantong Uang Riba",G1215="Pengeluaran"))),1,0)</f>
        <v/>
      </c>
      <c r="X1215" s="93">
        <f>IF(AND(B1215&lt;&gt;"",B1215&gt;='Buku Akun'!$H$4,B1215&lt;='Buku Akun'!$H$5,OR(C1215='Buku Akun'!$C$4,AND(D1215="Pindah",E1215='Buku Akun'!$C$4))),B1215+IF(AND(I1215="Selisih bunga",DAY(B1215)=1),0,0.01)+ROW()/10000000,"")</f>
        <v/>
      </c>
    </row>
    <row r="1216" outlineLevel="1" ht="15" customHeight="1" s="94">
      <c r="A1216" s="123">
        <f>IF(B1216="","",ROW()-15)</f>
        <v/>
      </c>
      <c r="B1216" s="124" t="n"/>
      <c r="C1216" s="123" t="n"/>
      <c r="D1216" s="123" t="n"/>
      <c r="E1216" s="123" t="n"/>
      <c r="F1216" s="125" t="n"/>
      <c r="G1216" s="123" t="n"/>
      <c r="H1216" s="123" t="n"/>
      <c r="I1216" s="123" t="n"/>
      <c r="J1216" s="123" t="n"/>
      <c r="K1216" s="123" t="n"/>
      <c r="L1216" s="123" t="n"/>
      <c r="M1216" s="123">
        <f>IF(AND(B1216&lt;&gt;"",OR($C$4="",ISNUMBER(SEARCH($C$4,C1216&amp;" "&amp;E1216&amp;" "&amp;G1216&amp;" "&amp;H1216&amp;" "&amp;I1216&amp;" "&amp;J1216&amp;" "&amp;K1216&amp;" "&amp;L1216))),OR($C$5="Semua",$C$5="",G1216=$C$5),OR($C$6="Semua",$C$6="",H1216=$C$6,H1216="Pengeluaran "&amp;$C$6,AND($C$6="Uang Kos Mama",H1216="Pengeluaran Uang Kos")),OR($C$7="Semua",$C$7="",I1216=$C$7),OR($C$8="Semua",$C$8="",C1216=$C$8,E1216=$C$8),OR($C$9="Semua",$C$9="",D1216=$C$9),OR($C$10="",B1216&gt;=$C$10),OR($C$11="",B1216&lt;=$C$11),OR($C$12&lt;&gt;"Ya",K1216&lt;&gt;""),OR($C$13="Semua",$C$13="",L1216=$C$13)),"✓","")</f>
        <v/>
      </c>
      <c r="N1216" s="93">
        <f>N(N1215)+IF(M1216="✓",1,0)</f>
        <v/>
      </c>
      <c r="O1216" s="93">
        <f>N(O1215)+IF(AND(B1216&lt;&gt;"",B1216&gt;='Uang Riba'!$H$30,B1216&lt;='Uang Riba'!$I$30,OR(H1216="Dana riba",H1216="Pinjam uang riba",I1216="Pinjam dari uang riba",I1216="Ganti uang riba",I1216="Kelebihan ganti dikembalikan",AND(C1216="Kantong Uang Riba",G1216="Pengeluaran"))),1,0)</f>
        <v/>
      </c>
      <c r="X1216" s="93">
        <f>IF(AND(B1216&lt;&gt;"",B1216&gt;='Buku Akun'!$H$4,B1216&lt;='Buku Akun'!$H$5,OR(C1216='Buku Akun'!$C$4,AND(D1216="Pindah",E1216='Buku Akun'!$C$4))),B1216+IF(AND(I1216="Selisih bunga",DAY(B1216)=1),0,0.01)+ROW()/10000000,"")</f>
        <v/>
      </c>
    </row>
    <row r="1217" outlineLevel="1" ht="15" customHeight="1" s="94">
      <c r="A1217" s="123">
        <f>IF(B1217="","",ROW()-15)</f>
        <v/>
      </c>
      <c r="B1217" s="124" t="n"/>
      <c r="C1217" s="123" t="n"/>
      <c r="D1217" s="123" t="n"/>
      <c r="E1217" s="123" t="n"/>
      <c r="F1217" s="125" t="n"/>
      <c r="G1217" s="123" t="n"/>
      <c r="H1217" s="123" t="n"/>
      <c r="I1217" s="123" t="n"/>
      <c r="J1217" s="123" t="n"/>
      <c r="K1217" s="123" t="n"/>
      <c r="L1217" s="123" t="n"/>
      <c r="M1217" s="123">
        <f>IF(AND(B1217&lt;&gt;"",OR($C$4="",ISNUMBER(SEARCH($C$4,C1217&amp;" "&amp;E1217&amp;" "&amp;G1217&amp;" "&amp;H1217&amp;" "&amp;I1217&amp;" "&amp;J1217&amp;" "&amp;K1217&amp;" "&amp;L1217))),OR($C$5="Semua",$C$5="",G1217=$C$5),OR($C$6="Semua",$C$6="",H1217=$C$6,H1217="Pengeluaran "&amp;$C$6,AND($C$6="Uang Kos Mama",H1217="Pengeluaran Uang Kos")),OR($C$7="Semua",$C$7="",I1217=$C$7),OR($C$8="Semua",$C$8="",C1217=$C$8,E1217=$C$8),OR($C$9="Semua",$C$9="",D1217=$C$9),OR($C$10="",B1217&gt;=$C$10),OR($C$11="",B1217&lt;=$C$11),OR($C$12&lt;&gt;"Ya",K1217&lt;&gt;""),OR($C$13="Semua",$C$13="",L1217=$C$13)),"✓","")</f>
        <v/>
      </c>
      <c r="N1217" s="93">
        <f>N(N1216)+IF(M1217="✓",1,0)</f>
        <v/>
      </c>
      <c r="O1217" s="93">
        <f>N(O1216)+IF(AND(B1217&lt;&gt;"",B1217&gt;='Uang Riba'!$H$30,B1217&lt;='Uang Riba'!$I$30,OR(H1217="Dana riba",H1217="Pinjam uang riba",I1217="Pinjam dari uang riba",I1217="Ganti uang riba",I1217="Kelebihan ganti dikembalikan",AND(C1217="Kantong Uang Riba",G1217="Pengeluaran"))),1,0)</f>
        <v/>
      </c>
      <c r="X1217" s="93">
        <f>IF(AND(B1217&lt;&gt;"",B1217&gt;='Buku Akun'!$H$4,B1217&lt;='Buku Akun'!$H$5,OR(C1217='Buku Akun'!$C$4,AND(D1217="Pindah",E1217='Buku Akun'!$C$4))),B1217+IF(AND(I1217="Selisih bunga",DAY(B1217)=1),0,0.01)+ROW()/10000000,"")</f>
        <v/>
      </c>
    </row>
    <row r="1218" outlineLevel="1" ht="15" customHeight="1" s="94">
      <c r="A1218" s="123">
        <f>IF(B1218="","",ROW()-15)</f>
        <v/>
      </c>
      <c r="B1218" s="124" t="n"/>
      <c r="C1218" s="123" t="n"/>
      <c r="D1218" s="123" t="n"/>
      <c r="E1218" s="123" t="n"/>
      <c r="F1218" s="125" t="n"/>
      <c r="G1218" s="123" t="n"/>
      <c r="H1218" s="123" t="n"/>
      <c r="I1218" s="123" t="n"/>
      <c r="J1218" s="123" t="n"/>
      <c r="K1218" s="123" t="n"/>
      <c r="L1218" s="123" t="n"/>
      <c r="M1218" s="123">
        <f>IF(AND(B1218&lt;&gt;"",OR($C$4="",ISNUMBER(SEARCH($C$4,C1218&amp;" "&amp;E1218&amp;" "&amp;G1218&amp;" "&amp;H1218&amp;" "&amp;I1218&amp;" "&amp;J1218&amp;" "&amp;K1218&amp;" "&amp;L1218))),OR($C$5="Semua",$C$5="",G1218=$C$5),OR($C$6="Semua",$C$6="",H1218=$C$6,H1218="Pengeluaran "&amp;$C$6,AND($C$6="Uang Kos Mama",H1218="Pengeluaran Uang Kos")),OR($C$7="Semua",$C$7="",I1218=$C$7),OR($C$8="Semua",$C$8="",C1218=$C$8,E1218=$C$8),OR($C$9="Semua",$C$9="",D1218=$C$9),OR($C$10="",B1218&gt;=$C$10),OR($C$11="",B1218&lt;=$C$11),OR($C$12&lt;&gt;"Ya",K1218&lt;&gt;""),OR($C$13="Semua",$C$13="",L1218=$C$13)),"✓","")</f>
        <v/>
      </c>
      <c r="N1218" s="93">
        <f>N(N1217)+IF(M1218="✓",1,0)</f>
        <v/>
      </c>
      <c r="O1218" s="93">
        <f>N(O1217)+IF(AND(B1218&lt;&gt;"",B1218&gt;='Uang Riba'!$H$30,B1218&lt;='Uang Riba'!$I$30,OR(H1218="Dana riba",H1218="Pinjam uang riba",I1218="Pinjam dari uang riba",I1218="Ganti uang riba",I1218="Kelebihan ganti dikembalikan",AND(C1218="Kantong Uang Riba",G1218="Pengeluaran"))),1,0)</f>
        <v/>
      </c>
      <c r="X1218" s="93">
        <f>IF(AND(B1218&lt;&gt;"",B1218&gt;='Buku Akun'!$H$4,B1218&lt;='Buku Akun'!$H$5,OR(C1218='Buku Akun'!$C$4,AND(D1218="Pindah",E1218='Buku Akun'!$C$4))),B1218+IF(AND(I1218="Selisih bunga",DAY(B1218)=1),0,0.01)+ROW()/10000000,"")</f>
        <v/>
      </c>
    </row>
    <row r="1219" outlineLevel="1" ht="15" customHeight="1" s="94">
      <c r="A1219" s="123">
        <f>IF(B1219="","",ROW()-15)</f>
        <v/>
      </c>
      <c r="B1219" s="124" t="n"/>
      <c r="C1219" s="123" t="n"/>
      <c r="D1219" s="123" t="n"/>
      <c r="E1219" s="123" t="n"/>
      <c r="F1219" s="125" t="n"/>
      <c r="G1219" s="123" t="n"/>
      <c r="H1219" s="123" t="n"/>
      <c r="I1219" s="123" t="n"/>
      <c r="J1219" s="123" t="n"/>
      <c r="K1219" s="123" t="n"/>
      <c r="L1219" s="123" t="n"/>
      <c r="M1219" s="123">
        <f>IF(AND(B1219&lt;&gt;"",OR($C$4="",ISNUMBER(SEARCH($C$4,C1219&amp;" "&amp;E1219&amp;" "&amp;G1219&amp;" "&amp;H1219&amp;" "&amp;I1219&amp;" "&amp;J1219&amp;" "&amp;K1219&amp;" "&amp;L1219))),OR($C$5="Semua",$C$5="",G1219=$C$5),OR($C$6="Semua",$C$6="",H1219=$C$6,H1219="Pengeluaran "&amp;$C$6,AND($C$6="Uang Kos Mama",H1219="Pengeluaran Uang Kos")),OR($C$7="Semua",$C$7="",I1219=$C$7),OR($C$8="Semua",$C$8="",C1219=$C$8,E1219=$C$8),OR($C$9="Semua",$C$9="",D1219=$C$9),OR($C$10="",B1219&gt;=$C$10),OR($C$11="",B1219&lt;=$C$11),OR($C$12&lt;&gt;"Ya",K1219&lt;&gt;""),OR($C$13="Semua",$C$13="",L1219=$C$13)),"✓","")</f>
        <v/>
      </c>
      <c r="N1219" s="93">
        <f>N(N1218)+IF(M1219="✓",1,0)</f>
        <v/>
      </c>
      <c r="O1219" s="93">
        <f>N(O1218)+IF(AND(B1219&lt;&gt;"",B1219&gt;='Uang Riba'!$H$30,B1219&lt;='Uang Riba'!$I$30,OR(H1219="Dana riba",H1219="Pinjam uang riba",I1219="Pinjam dari uang riba",I1219="Ganti uang riba",I1219="Kelebihan ganti dikembalikan",AND(C1219="Kantong Uang Riba",G1219="Pengeluaran"))),1,0)</f>
        <v/>
      </c>
      <c r="X1219" s="93">
        <f>IF(AND(B1219&lt;&gt;"",B1219&gt;='Buku Akun'!$H$4,B1219&lt;='Buku Akun'!$H$5,OR(C1219='Buku Akun'!$C$4,AND(D1219="Pindah",E1219='Buku Akun'!$C$4))),B1219+IF(AND(I1219="Selisih bunga",DAY(B1219)=1),0,0.01)+ROW()/10000000,"")</f>
        <v/>
      </c>
    </row>
    <row r="1220" outlineLevel="1" ht="15" customHeight="1" s="94">
      <c r="A1220" s="123">
        <f>IF(B1220="","",ROW()-15)</f>
        <v/>
      </c>
      <c r="B1220" s="124" t="n"/>
      <c r="C1220" s="123" t="n"/>
      <c r="D1220" s="123" t="n"/>
      <c r="E1220" s="123" t="n"/>
      <c r="F1220" s="125" t="n"/>
      <c r="G1220" s="123" t="n"/>
      <c r="H1220" s="123" t="n"/>
      <c r="I1220" s="123" t="n"/>
      <c r="J1220" s="123" t="n"/>
      <c r="K1220" s="123" t="n"/>
      <c r="L1220" s="123" t="n"/>
      <c r="M1220" s="123">
        <f>IF(AND(B1220&lt;&gt;"",OR($C$4="",ISNUMBER(SEARCH($C$4,C1220&amp;" "&amp;E1220&amp;" "&amp;G1220&amp;" "&amp;H1220&amp;" "&amp;I1220&amp;" "&amp;J1220&amp;" "&amp;K1220&amp;" "&amp;L1220))),OR($C$5="Semua",$C$5="",G1220=$C$5),OR($C$6="Semua",$C$6="",H1220=$C$6,H1220="Pengeluaran "&amp;$C$6,AND($C$6="Uang Kos Mama",H1220="Pengeluaran Uang Kos")),OR($C$7="Semua",$C$7="",I1220=$C$7),OR($C$8="Semua",$C$8="",C1220=$C$8,E1220=$C$8),OR($C$9="Semua",$C$9="",D1220=$C$9),OR($C$10="",B1220&gt;=$C$10),OR($C$11="",B1220&lt;=$C$11),OR($C$12&lt;&gt;"Ya",K1220&lt;&gt;""),OR($C$13="Semua",$C$13="",L1220=$C$13)),"✓","")</f>
        <v/>
      </c>
      <c r="N1220" s="93">
        <f>N(N1219)+IF(M1220="✓",1,0)</f>
        <v/>
      </c>
      <c r="O1220" s="93">
        <f>N(O1219)+IF(AND(B1220&lt;&gt;"",B1220&gt;='Uang Riba'!$H$30,B1220&lt;='Uang Riba'!$I$30,OR(H1220="Dana riba",H1220="Pinjam uang riba",I1220="Pinjam dari uang riba",I1220="Ganti uang riba",I1220="Kelebihan ganti dikembalikan",AND(C1220="Kantong Uang Riba",G1220="Pengeluaran"))),1,0)</f>
        <v/>
      </c>
      <c r="X1220" s="93">
        <f>IF(AND(B1220&lt;&gt;"",B1220&gt;='Buku Akun'!$H$4,B1220&lt;='Buku Akun'!$H$5,OR(C1220='Buku Akun'!$C$4,AND(D1220="Pindah",E1220='Buku Akun'!$C$4))),B1220+IF(AND(I1220="Selisih bunga",DAY(B1220)=1),0,0.01)+ROW()/10000000,"")</f>
        <v/>
      </c>
    </row>
    <row r="1221" outlineLevel="1" ht="15" customHeight="1" s="94">
      <c r="A1221" s="123">
        <f>IF(B1221="","",ROW()-15)</f>
        <v/>
      </c>
      <c r="B1221" s="124" t="n"/>
      <c r="C1221" s="123" t="n"/>
      <c r="D1221" s="123" t="n"/>
      <c r="E1221" s="123" t="n"/>
      <c r="F1221" s="125" t="n"/>
      <c r="G1221" s="123" t="n"/>
      <c r="H1221" s="123" t="n"/>
      <c r="I1221" s="123" t="n"/>
      <c r="J1221" s="123" t="n"/>
      <c r="K1221" s="123" t="n"/>
      <c r="L1221" s="123" t="n"/>
      <c r="M1221" s="123">
        <f>IF(AND(B1221&lt;&gt;"",OR($C$4="",ISNUMBER(SEARCH($C$4,C1221&amp;" "&amp;E1221&amp;" "&amp;G1221&amp;" "&amp;H1221&amp;" "&amp;I1221&amp;" "&amp;J1221&amp;" "&amp;K1221&amp;" "&amp;L1221))),OR($C$5="Semua",$C$5="",G1221=$C$5),OR($C$6="Semua",$C$6="",H1221=$C$6,H1221="Pengeluaran "&amp;$C$6,AND($C$6="Uang Kos Mama",H1221="Pengeluaran Uang Kos")),OR($C$7="Semua",$C$7="",I1221=$C$7),OR($C$8="Semua",$C$8="",C1221=$C$8,E1221=$C$8),OR($C$9="Semua",$C$9="",D1221=$C$9),OR($C$10="",B1221&gt;=$C$10),OR($C$11="",B1221&lt;=$C$11),OR($C$12&lt;&gt;"Ya",K1221&lt;&gt;""),OR($C$13="Semua",$C$13="",L1221=$C$13)),"✓","")</f>
        <v/>
      </c>
      <c r="N1221" s="93">
        <f>N(N1220)+IF(M1221="✓",1,0)</f>
        <v/>
      </c>
      <c r="O1221" s="93">
        <f>N(O1220)+IF(AND(B1221&lt;&gt;"",B1221&gt;='Uang Riba'!$H$30,B1221&lt;='Uang Riba'!$I$30,OR(H1221="Dana riba",H1221="Pinjam uang riba",I1221="Pinjam dari uang riba",I1221="Ganti uang riba",I1221="Kelebihan ganti dikembalikan",AND(C1221="Kantong Uang Riba",G1221="Pengeluaran"))),1,0)</f>
        <v/>
      </c>
      <c r="X1221" s="93">
        <f>IF(AND(B1221&lt;&gt;"",B1221&gt;='Buku Akun'!$H$4,B1221&lt;='Buku Akun'!$H$5,OR(C1221='Buku Akun'!$C$4,AND(D1221="Pindah",E1221='Buku Akun'!$C$4))),B1221+IF(AND(I1221="Selisih bunga",DAY(B1221)=1),0,0.01)+ROW()/10000000,"")</f>
        <v/>
      </c>
    </row>
    <row r="1222" outlineLevel="1" ht="15" customHeight="1" s="94">
      <c r="A1222" s="123">
        <f>IF(B1222="","",ROW()-15)</f>
        <v/>
      </c>
      <c r="B1222" s="124" t="n"/>
      <c r="C1222" s="123" t="n"/>
      <c r="D1222" s="123" t="n"/>
      <c r="E1222" s="123" t="n"/>
      <c r="F1222" s="125" t="n"/>
      <c r="G1222" s="123" t="n"/>
      <c r="H1222" s="123" t="n"/>
      <c r="I1222" s="123" t="n"/>
      <c r="J1222" s="123" t="n"/>
      <c r="K1222" s="123" t="n"/>
      <c r="L1222" s="123" t="n"/>
      <c r="M1222" s="123">
        <f>IF(AND(B1222&lt;&gt;"",OR($C$4="",ISNUMBER(SEARCH($C$4,C1222&amp;" "&amp;E1222&amp;" "&amp;G1222&amp;" "&amp;H1222&amp;" "&amp;I1222&amp;" "&amp;J1222&amp;" "&amp;K1222&amp;" "&amp;L1222))),OR($C$5="Semua",$C$5="",G1222=$C$5),OR($C$6="Semua",$C$6="",H1222=$C$6,H1222="Pengeluaran "&amp;$C$6,AND($C$6="Uang Kos Mama",H1222="Pengeluaran Uang Kos")),OR($C$7="Semua",$C$7="",I1222=$C$7),OR($C$8="Semua",$C$8="",C1222=$C$8,E1222=$C$8),OR($C$9="Semua",$C$9="",D1222=$C$9),OR($C$10="",B1222&gt;=$C$10),OR($C$11="",B1222&lt;=$C$11),OR($C$12&lt;&gt;"Ya",K1222&lt;&gt;""),OR($C$13="Semua",$C$13="",L1222=$C$13)),"✓","")</f>
        <v/>
      </c>
      <c r="N1222" s="93">
        <f>N(N1221)+IF(M1222="✓",1,0)</f>
        <v/>
      </c>
      <c r="O1222" s="93">
        <f>N(O1221)+IF(AND(B1222&lt;&gt;"",B1222&gt;='Uang Riba'!$H$30,B1222&lt;='Uang Riba'!$I$30,OR(H1222="Dana riba",H1222="Pinjam uang riba",I1222="Pinjam dari uang riba",I1222="Ganti uang riba",I1222="Kelebihan ganti dikembalikan",AND(C1222="Kantong Uang Riba",G1222="Pengeluaran"))),1,0)</f>
        <v/>
      </c>
      <c r="X1222" s="93">
        <f>IF(AND(B1222&lt;&gt;"",B1222&gt;='Buku Akun'!$H$4,B1222&lt;='Buku Akun'!$H$5,OR(C1222='Buku Akun'!$C$4,AND(D1222="Pindah",E1222='Buku Akun'!$C$4))),B1222+IF(AND(I1222="Selisih bunga",DAY(B1222)=1),0,0.01)+ROW()/10000000,"")</f>
        <v/>
      </c>
    </row>
    <row r="1223" outlineLevel="1" ht="15" customHeight="1" s="94">
      <c r="A1223" s="123">
        <f>IF(B1223="","",ROW()-15)</f>
        <v/>
      </c>
      <c r="B1223" s="124" t="n"/>
      <c r="C1223" s="123" t="n"/>
      <c r="D1223" s="123" t="n"/>
      <c r="E1223" s="123" t="n"/>
      <c r="F1223" s="125" t="n"/>
      <c r="G1223" s="123" t="n"/>
      <c r="H1223" s="123" t="n"/>
      <c r="I1223" s="123" t="n"/>
      <c r="J1223" s="123" t="n"/>
      <c r="K1223" s="123" t="n"/>
      <c r="L1223" s="123" t="n"/>
      <c r="M1223" s="123">
        <f>IF(AND(B1223&lt;&gt;"",OR($C$4="",ISNUMBER(SEARCH($C$4,C1223&amp;" "&amp;E1223&amp;" "&amp;G1223&amp;" "&amp;H1223&amp;" "&amp;I1223&amp;" "&amp;J1223&amp;" "&amp;K1223&amp;" "&amp;L1223))),OR($C$5="Semua",$C$5="",G1223=$C$5),OR($C$6="Semua",$C$6="",H1223=$C$6,H1223="Pengeluaran "&amp;$C$6,AND($C$6="Uang Kos Mama",H1223="Pengeluaran Uang Kos")),OR($C$7="Semua",$C$7="",I1223=$C$7),OR($C$8="Semua",$C$8="",C1223=$C$8,E1223=$C$8),OR($C$9="Semua",$C$9="",D1223=$C$9),OR($C$10="",B1223&gt;=$C$10),OR($C$11="",B1223&lt;=$C$11),OR($C$12&lt;&gt;"Ya",K1223&lt;&gt;""),OR($C$13="Semua",$C$13="",L1223=$C$13)),"✓","")</f>
        <v/>
      </c>
      <c r="N1223" s="93">
        <f>N(N1222)+IF(M1223="✓",1,0)</f>
        <v/>
      </c>
      <c r="O1223" s="93">
        <f>N(O1222)+IF(AND(B1223&lt;&gt;"",B1223&gt;='Uang Riba'!$H$30,B1223&lt;='Uang Riba'!$I$30,OR(H1223="Dana riba",H1223="Pinjam uang riba",I1223="Pinjam dari uang riba",I1223="Ganti uang riba",I1223="Kelebihan ganti dikembalikan",AND(C1223="Kantong Uang Riba",G1223="Pengeluaran"))),1,0)</f>
        <v/>
      </c>
      <c r="X1223" s="93">
        <f>IF(AND(B1223&lt;&gt;"",B1223&gt;='Buku Akun'!$H$4,B1223&lt;='Buku Akun'!$H$5,OR(C1223='Buku Akun'!$C$4,AND(D1223="Pindah",E1223='Buku Akun'!$C$4))),B1223+IF(AND(I1223="Selisih bunga",DAY(B1223)=1),0,0.01)+ROW()/10000000,"")</f>
        <v/>
      </c>
    </row>
    <row r="1224" outlineLevel="1" ht="15" customHeight="1" s="94">
      <c r="A1224" s="123">
        <f>IF(B1224="","",ROW()-15)</f>
        <v/>
      </c>
      <c r="B1224" s="124" t="n"/>
      <c r="C1224" s="123" t="n"/>
      <c r="D1224" s="123" t="n"/>
      <c r="E1224" s="123" t="n"/>
      <c r="F1224" s="125" t="n"/>
      <c r="G1224" s="123" t="n"/>
      <c r="H1224" s="123" t="n"/>
      <c r="I1224" s="123" t="n"/>
      <c r="J1224" s="123" t="n"/>
      <c r="K1224" s="123" t="n"/>
      <c r="L1224" s="123" t="n"/>
      <c r="M1224" s="123">
        <f>IF(AND(B1224&lt;&gt;"",OR($C$4="",ISNUMBER(SEARCH($C$4,C1224&amp;" "&amp;E1224&amp;" "&amp;G1224&amp;" "&amp;H1224&amp;" "&amp;I1224&amp;" "&amp;J1224&amp;" "&amp;K1224&amp;" "&amp;L1224))),OR($C$5="Semua",$C$5="",G1224=$C$5),OR($C$6="Semua",$C$6="",H1224=$C$6,H1224="Pengeluaran "&amp;$C$6,AND($C$6="Uang Kos Mama",H1224="Pengeluaran Uang Kos")),OR($C$7="Semua",$C$7="",I1224=$C$7),OR($C$8="Semua",$C$8="",C1224=$C$8,E1224=$C$8),OR($C$9="Semua",$C$9="",D1224=$C$9),OR($C$10="",B1224&gt;=$C$10),OR($C$11="",B1224&lt;=$C$11),OR($C$12&lt;&gt;"Ya",K1224&lt;&gt;""),OR($C$13="Semua",$C$13="",L1224=$C$13)),"✓","")</f>
        <v/>
      </c>
      <c r="N1224" s="93">
        <f>N(N1223)+IF(M1224="✓",1,0)</f>
        <v/>
      </c>
      <c r="O1224" s="93">
        <f>N(O1223)+IF(AND(B1224&lt;&gt;"",B1224&gt;='Uang Riba'!$H$30,B1224&lt;='Uang Riba'!$I$30,OR(H1224="Dana riba",H1224="Pinjam uang riba",I1224="Pinjam dari uang riba",I1224="Ganti uang riba",I1224="Kelebihan ganti dikembalikan",AND(C1224="Kantong Uang Riba",G1224="Pengeluaran"))),1,0)</f>
        <v/>
      </c>
      <c r="X1224" s="93">
        <f>IF(AND(B1224&lt;&gt;"",B1224&gt;='Buku Akun'!$H$4,B1224&lt;='Buku Akun'!$H$5,OR(C1224='Buku Akun'!$C$4,AND(D1224="Pindah",E1224='Buku Akun'!$C$4))),B1224+IF(AND(I1224="Selisih bunga",DAY(B1224)=1),0,0.01)+ROW()/10000000,"")</f>
        <v/>
      </c>
    </row>
    <row r="1225" outlineLevel="1" ht="15" customHeight="1" s="94">
      <c r="A1225" s="123">
        <f>IF(B1225="","",ROW()-15)</f>
        <v/>
      </c>
      <c r="B1225" s="124" t="n"/>
      <c r="C1225" s="123" t="n"/>
      <c r="D1225" s="123" t="n"/>
      <c r="E1225" s="123" t="n"/>
      <c r="F1225" s="125" t="n"/>
      <c r="G1225" s="123" t="n"/>
      <c r="H1225" s="123" t="n"/>
      <c r="I1225" s="123" t="n"/>
      <c r="J1225" s="123" t="n"/>
      <c r="K1225" s="123" t="n"/>
      <c r="L1225" s="123" t="n"/>
      <c r="M1225" s="123">
        <f>IF(AND(B1225&lt;&gt;"",OR($C$4="",ISNUMBER(SEARCH($C$4,C1225&amp;" "&amp;E1225&amp;" "&amp;G1225&amp;" "&amp;H1225&amp;" "&amp;I1225&amp;" "&amp;J1225&amp;" "&amp;K1225&amp;" "&amp;L1225))),OR($C$5="Semua",$C$5="",G1225=$C$5),OR($C$6="Semua",$C$6="",H1225=$C$6,H1225="Pengeluaran "&amp;$C$6,AND($C$6="Uang Kos Mama",H1225="Pengeluaran Uang Kos")),OR($C$7="Semua",$C$7="",I1225=$C$7),OR($C$8="Semua",$C$8="",C1225=$C$8,E1225=$C$8),OR($C$9="Semua",$C$9="",D1225=$C$9),OR($C$10="",B1225&gt;=$C$10),OR($C$11="",B1225&lt;=$C$11),OR($C$12&lt;&gt;"Ya",K1225&lt;&gt;""),OR($C$13="Semua",$C$13="",L1225=$C$13)),"✓","")</f>
        <v/>
      </c>
      <c r="N1225" s="93">
        <f>N(N1224)+IF(M1225="✓",1,0)</f>
        <v/>
      </c>
      <c r="O1225" s="93">
        <f>N(O1224)+IF(AND(B1225&lt;&gt;"",B1225&gt;='Uang Riba'!$H$30,B1225&lt;='Uang Riba'!$I$30,OR(H1225="Dana riba",H1225="Pinjam uang riba",I1225="Pinjam dari uang riba",I1225="Ganti uang riba",I1225="Kelebihan ganti dikembalikan",AND(C1225="Kantong Uang Riba",G1225="Pengeluaran"))),1,0)</f>
        <v/>
      </c>
      <c r="X1225" s="93">
        <f>IF(AND(B1225&lt;&gt;"",B1225&gt;='Buku Akun'!$H$4,B1225&lt;='Buku Akun'!$H$5,OR(C1225='Buku Akun'!$C$4,AND(D1225="Pindah",E1225='Buku Akun'!$C$4))),B1225+IF(AND(I1225="Selisih bunga",DAY(B1225)=1),0,0.01)+ROW()/10000000,"")</f>
        <v/>
      </c>
    </row>
    <row r="1226" outlineLevel="1" ht="15" customHeight="1" s="94">
      <c r="A1226" s="123">
        <f>IF(B1226="","",ROW()-15)</f>
        <v/>
      </c>
      <c r="B1226" s="124" t="n"/>
      <c r="C1226" s="123" t="n"/>
      <c r="D1226" s="123" t="n"/>
      <c r="E1226" s="123" t="n"/>
      <c r="F1226" s="125" t="n"/>
      <c r="G1226" s="123" t="n"/>
      <c r="H1226" s="123" t="n"/>
      <c r="I1226" s="123" t="n"/>
      <c r="J1226" s="123" t="n"/>
      <c r="K1226" s="123" t="n"/>
      <c r="L1226" s="123" t="n"/>
      <c r="M1226" s="123">
        <f>IF(AND(B1226&lt;&gt;"",OR($C$4="",ISNUMBER(SEARCH($C$4,C1226&amp;" "&amp;E1226&amp;" "&amp;G1226&amp;" "&amp;H1226&amp;" "&amp;I1226&amp;" "&amp;J1226&amp;" "&amp;K1226&amp;" "&amp;L1226))),OR($C$5="Semua",$C$5="",G1226=$C$5),OR($C$6="Semua",$C$6="",H1226=$C$6,H1226="Pengeluaran "&amp;$C$6,AND($C$6="Uang Kos Mama",H1226="Pengeluaran Uang Kos")),OR($C$7="Semua",$C$7="",I1226=$C$7),OR($C$8="Semua",$C$8="",C1226=$C$8,E1226=$C$8),OR($C$9="Semua",$C$9="",D1226=$C$9),OR($C$10="",B1226&gt;=$C$10),OR($C$11="",B1226&lt;=$C$11),OR($C$12&lt;&gt;"Ya",K1226&lt;&gt;""),OR($C$13="Semua",$C$13="",L1226=$C$13)),"✓","")</f>
        <v/>
      </c>
      <c r="N1226" s="93">
        <f>N(N1225)+IF(M1226="✓",1,0)</f>
        <v/>
      </c>
      <c r="O1226" s="93">
        <f>N(O1225)+IF(AND(B1226&lt;&gt;"",B1226&gt;='Uang Riba'!$H$30,B1226&lt;='Uang Riba'!$I$30,OR(H1226="Dana riba",H1226="Pinjam uang riba",I1226="Pinjam dari uang riba",I1226="Ganti uang riba",I1226="Kelebihan ganti dikembalikan",AND(C1226="Kantong Uang Riba",G1226="Pengeluaran"))),1,0)</f>
        <v/>
      </c>
      <c r="X1226" s="93">
        <f>IF(AND(B1226&lt;&gt;"",B1226&gt;='Buku Akun'!$H$4,B1226&lt;='Buku Akun'!$H$5,OR(C1226='Buku Akun'!$C$4,AND(D1226="Pindah",E1226='Buku Akun'!$C$4))),B1226+IF(AND(I1226="Selisih bunga",DAY(B1226)=1),0,0.01)+ROW()/10000000,"")</f>
        <v/>
      </c>
    </row>
    <row r="1227" outlineLevel="1" ht="15" customHeight="1" s="94">
      <c r="A1227" s="123">
        <f>IF(B1227="","",ROW()-15)</f>
        <v/>
      </c>
      <c r="B1227" s="124" t="n"/>
      <c r="C1227" s="123" t="n"/>
      <c r="D1227" s="123" t="n"/>
      <c r="E1227" s="123" t="n"/>
      <c r="F1227" s="125" t="n"/>
      <c r="G1227" s="123" t="n"/>
      <c r="H1227" s="123" t="n"/>
      <c r="I1227" s="123" t="n"/>
      <c r="J1227" s="123" t="n"/>
      <c r="K1227" s="123" t="n"/>
      <c r="L1227" s="123" t="n"/>
      <c r="M1227" s="123">
        <f>IF(AND(B1227&lt;&gt;"",OR($C$4="",ISNUMBER(SEARCH($C$4,C1227&amp;" "&amp;E1227&amp;" "&amp;G1227&amp;" "&amp;H1227&amp;" "&amp;I1227&amp;" "&amp;J1227&amp;" "&amp;K1227&amp;" "&amp;L1227))),OR($C$5="Semua",$C$5="",G1227=$C$5),OR($C$6="Semua",$C$6="",H1227=$C$6,H1227="Pengeluaran "&amp;$C$6,AND($C$6="Uang Kos Mama",H1227="Pengeluaran Uang Kos")),OR($C$7="Semua",$C$7="",I1227=$C$7),OR($C$8="Semua",$C$8="",C1227=$C$8,E1227=$C$8),OR($C$9="Semua",$C$9="",D1227=$C$9),OR($C$10="",B1227&gt;=$C$10),OR($C$11="",B1227&lt;=$C$11),OR($C$12&lt;&gt;"Ya",K1227&lt;&gt;""),OR($C$13="Semua",$C$13="",L1227=$C$13)),"✓","")</f>
        <v/>
      </c>
      <c r="N1227" s="93">
        <f>N(N1226)+IF(M1227="✓",1,0)</f>
        <v/>
      </c>
      <c r="O1227" s="93">
        <f>N(O1226)+IF(AND(B1227&lt;&gt;"",B1227&gt;='Uang Riba'!$H$30,B1227&lt;='Uang Riba'!$I$30,OR(H1227="Dana riba",H1227="Pinjam uang riba",I1227="Pinjam dari uang riba",I1227="Ganti uang riba",I1227="Kelebihan ganti dikembalikan",AND(C1227="Kantong Uang Riba",G1227="Pengeluaran"))),1,0)</f>
        <v/>
      </c>
      <c r="X1227" s="93">
        <f>IF(AND(B1227&lt;&gt;"",B1227&gt;='Buku Akun'!$H$4,B1227&lt;='Buku Akun'!$H$5,OR(C1227='Buku Akun'!$C$4,AND(D1227="Pindah",E1227='Buku Akun'!$C$4))),B1227+IF(AND(I1227="Selisih bunga",DAY(B1227)=1),0,0.01)+ROW()/10000000,"")</f>
        <v/>
      </c>
    </row>
    <row r="1228" outlineLevel="1" ht="15" customHeight="1" s="94">
      <c r="A1228" s="123">
        <f>IF(B1228="","",ROW()-15)</f>
        <v/>
      </c>
      <c r="B1228" s="124" t="n"/>
      <c r="C1228" s="123" t="n"/>
      <c r="D1228" s="123" t="n"/>
      <c r="E1228" s="123" t="n"/>
      <c r="F1228" s="125" t="n"/>
      <c r="G1228" s="123" t="n"/>
      <c r="H1228" s="123" t="n"/>
      <c r="I1228" s="123" t="n"/>
      <c r="J1228" s="123" t="n"/>
      <c r="K1228" s="123" t="n"/>
      <c r="L1228" s="123" t="n"/>
      <c r="M1228" s="123">
        <f>IF(AND(B1228&lt;&gt;"",OR($C$4="",ISNUMBER(SEARCH($C$4,C1228&amp;" "&amp;E1228&amp;" "&amp;G1228&amp;" "&amp;H1228&amp;" "&amp;I1228&amp;" "&amp;J1228&amp;" "&amp;K1228&amp;" "&amp;L1228))),OR($C$5="Semua",$C$5="",G1228=$C$5),OR($C$6="Semua",$C$6="",H1228=$C$6,H1228="Pengeluaran "&amp;$C$6,AND($C$6="Uang Kos Mama",H1228="Pengeluaran Uang Kos")),OR($C$7="Semua",$C$7="",I1228=$C$7),OR($C$8="Semua",$C$8="",C1228=$C$8,E1228=$C$8),OR($C$9="Semua",$C$9="",D1228=$C$9),OR($C$10="",B1228&gt;=$C$10),OR($C$11="",B1228&lt;=$C$11),OR($C$12&lt;&gt;"Ya",K1228&lt;&gt;""),OR($C$13="Semua",$C$13="",L1228=$C$13)),"✓","")</f>
        <v/>
      </c>
      <c r="N1228" s="93">
        <f>N(N1227)+IF(M1228="✓",1,0)</f>
        <v/>
      </c>
      <c r="O1228" s="93">
        <f>N(O1227)+IF(AND(B1228&lt;&gt;"",B1228&gt;='Uang Riba'!$H$30,B1228&lt;='Uang Riba'!$I$30,OR(H1228="Dana riba",H1228="Pinjam uang riba",I1228="Pinjam dari uang riba",I1228="Ganti uang riba",I1228="Kelebihan ganti dikembalikan",AND(C1228="Kantong Uang Riba",G1228="Pengeluaran"))),1,0)</f>
        <v/>
      </c>
      <c r="X1228" s="93">
        <f>IF(AND(B1228&lt;&gt;"",B1228&gt;='Buku Akun'!$H$4,B1228&lt;='Buku Akun'!$H$5,OR(C1228='Buku Akun'!$C$4,AND(D1228="Pindah",E1228='Buku Akun'!$C$4))),B1228+IF(AND(I1228="Selisih bunga",DAY(B1228)=1),0,0.01)+ROW()/10000000,"")</f>
        <v/>
      </c>
    </row>
    <row r="1229" outlineLevel="1" ht="15" customHeight="1" s="94">
      <c r="A1229" s="123">
        <f>IF(B1229="","",ROW()-15)</f>
        <v/>
      </c>
      <c r="B1229" s="124" t="n"/>
      <c r="C1229" s="123" t="n"/>
      <c r="D1229" s="123" t="n"/>
      <c r="E1229" s="123" t="n"/>
      <c r="F1229" s="125" t="n"/>
      <c r="G1229" s="123" t="n"/>
      <c r="H1229" s="123" t="n"/>
      <c r="I1229" s="123" t="n"/>
      <c r="J1229" s="123" t="n"/>
      <c r="K1229" s="123" t="n"/>
      <c r="L1229" s="123" t="n"/>
      <c r="M1229" s="123">
        <f>IF(AND(B1229&lt;&gt;"",OR($C$4="",ISNUMBER(SEARCH($C$4,C1229&amp;" "&amp;E1229&amp;" "&amp;G1229&amp;" "&amp;H1229&amp;" "&amp;I1229&amp;" "&amp;J1229&amp;" "&amp;K1229&amp;" "&amp;L1229))),OR($C$5="Semua",$C$5="",G1229=$C$5),OR($C$6="Semua",$C$6="",H1229=$C$6,H1229="Pengeluaran "&amp;$C$6,AND($C$6="Uang Kos Mama",H1229="Pengeluaran Uang Kos")),OR($C$7="Semua",$C$7="",I1229=$C$7),OR($C$8="Semua",$C$8="",C1229=$C$8,E1229=$C$8),OR($C$9="Semua",$C$9="",D1229=$C$9),OR($C$10="",B1229&gt;=$C$10),OR($C$11="",B1229&lt;=$C$11),OR($C$12&lt;&gt;"Ya",K1229&lt;&gt;""),OR($C$13="Semua",$C$13="",L1229=$C$13)),"✓","")</f>
        <v/>
      </c>
      <c r="N1229" s="93">
        <f>N(N1228)+IF(M1229="✓",1,0)</f>
        <v/>
      </c>
      <c r="O1229" s="93">
        <f>N(O1228)+IF(AND(B1229&lt;&gt;"",B1229&gt;='Uang Riba'!$H$30,B1229&lt;='Uang Riba'!$I$30,OR(H1229="Dana riba",H1229="Pinjam uang riba",I1229="Pinjam dari uang riba",I1229="Ganti uang riba",I1229="Kelebihan ganti dikembalikan",AND(C1229="Kantong Uang Riba",G1229="Pengeluaran"))),1,0)</f>
        <v/>
      </c>
      <c r="X1229" s="93">
        <f>IF(AND(B1229&lt;&gt;"",B1229&gt;='Buku Akun'!$H$4,B1229&lt;='Buku Akun'!$H$5,OR(C1229='Buku Akun'!$C$4,AND(D1229="Pindah",E1229='Buku Akun'!$C$4))),B1229+IF(AND(I1229="Selisih bunga",DAY(B1229)=1),0,0.01)+ROW()/10000000,"")</f>
        <v/>
      </c>
    </row>
    <row r="1230" outlineLevel="1" ht="15" customHeight="1" s="94">
      <c r="A1230" s="123">
        <f>IF(B1230="","",ROW()-15)</f>
        <v/>
      </c>
      <c r="B1230" s="124" t="n"/>
      <c r="C1230" s="123" t="n"/>
      <c r="D1230" s="123" t="n"/>
      <c r="E1230" s="123" t="n"/>
      <c r="F1230" s="125" t="n"/>
      <c r="G1230" s="123" t="n"/>
      <c r="H1230" s="123" t="n"/>
      <c r="I1230" s="123" t="n"/>
      <c r="J1230" s="123" t="n"/>
      <c r="K1230" s="123" t="n"/>
      <c r="L1230" s="123" t="n"/>
      <c r="M1230" s="123">
        <f>IF(AND(B1230&lt;&gt;"",OR($C$4="",ISNUMBER(SEARCH($C$4,C1230&amp;" "&amp;E1230&amp;" "&amp;G1230&amp;" "&amp;H1230&amp;" "&amp;I1230&amp;" "&amp;J1230&amp;" "&amp;K1230&amp;" "&amp;L1230))),OR($C$5="Semua",$C$5="",G1230=$C$5),OR($C$6="Semua",$C$6="",H1230=$C$6,H1230="Pengeluaran "&amp;$C$6,AND($C$6="Uang Kos Mama",H1230="Pengeluaran Uang Kos")),OR($C$7="Semua",$C$7="",I1230=$C$7),OR($C$8="Semua",$C$8="",C1230=$C$8,E1230=$C$8),OR($C$9="Semua",$C$9="",D1230=$C$9),OR($C$10="",B1230&gt;=$C$10),OR($C$11="",B1230&lt;=$C$11),OR($C$12&lt;&gt;"Ya",K1230&lt;&gt;""),OR($C$13="Semua",$C$13="",L1230=$C$13)),"✓","")</f>
        <v/>
      </c>
      <c r="N1230" s="93">
        <f>N(N1229)+IF(M1230="✓",1,0)</f>
        <v/>
      </c>
      <c r="O1230" s="93">
        <f>N(O1229)+IF(AND(B1230&lt;&gt;"",B1230&gt;='Uang Riba'!$H$30,B1230&lt;='Uang Riba'!$I$30,OR(H1230="Dana riba",H1230="Pinjam uang riba",I1230="Pinjam dari uang riba",I1230="Ganti uang riba",I1230="Kelebihan ganti dikembalikan",AND(C1230="Kantong Uang Riba",G1230="Pengeluaran"))),1,0)</f>
        <v/>
      </c>
      <c r="X1230" s="93">
        <f>IF(AND(B1230&lt;&gt;"",B1230&gt;='Buku Akun'!$H$4,B1230&lt;='Buku Akun'!$H$5,OR(C1230='Buku Akun'!$C$4,AND(D1230="Pindah",E1230='Buku Akun'!$C$4))),B1230+IF(AND(I1230="Selisih bunga",DAY(B1230)=1),0,0.01)+ROW()/10000000,"")</f>
        <v/>
      </c>
    </row>
    <row r="1231" outlineLevel="1" ht="15" customHeight="1" s="94">
      <c r="A1231" s="123">
        <f>IF(B1231="","",ROW()-15)</f>
        <v/>
      </c>
      <c r="B1231" s="124" t="n"/>
      <c r="C1231" s="123" t="n"/>
      <c r="D1231" s="123" t="n"/>
      <c r="E1231" s="123" t="n"/>
      <c r="F1231" s="125" t="n"/>
      <c r="G1231" s="123" t="n"/>
      <c r="H1231" s="123" t="n"/>
      <c r="I1231" s="123" t="n"/>
      <c r="J1231" s="123" t="n"/>
      <c r="K1231" s="123" t="n"/>
      <c r="L1231" s="123" t="n"/>
      <c r="M1231" s="123">
        <f>IF(AND(B1231&lt;&gt;"",OR($C$4="",ISNUMBER(SEARCH($C$4,C1231&amp;" "&amp;E1231&amp;" "&amp;G1231&amp;" "&amp;H1231&amp;" "&amp;I1231&amp;" "&amp;J1231&amp;" "&amp;K1231&amp;" "&amp;L1231))),OR($C$5="Semua",$C$5="",G1231=$C$5),OR($C$6="Semua",$C$6="",H1231=$C$6,H1231="Pengeluaran "&amp;$C$6,AND($C$6="Uang Kos Mama",H1231="Pengeluaran Uang Kos")),OR($C$7="Semua",$C$7="",I1231=$C$7),OR($C$8="Semua",$C$8="",C1231=$C$8,E1231=$C$8),OR($C$9="Semua",$C$9="",D1231=$C$9),OR($C$10="",B1231&gt;=$C$10),OR($C$11="",B1231&lt;=$C$11),OR($C$12&lt;&gt;"Ya",K1231&lt;&gt;""),OR($C$13="Semua",$C$13="",L1231=$C$13)),"✓","")</f>
        <v/>
      </c>
      <c r="N1231" s="93">
        <f>N(N1230)+IF(M1231="✓",1,0)</f>
        <v/>
      </c>
      <c r="O1231" s="93">
        <f>N(O1230)+IF(AND(B1231&lt;&gt;"",B1231&gt;='Uang Riba'!$H$30,B1231&lt;='Uang Riba'!$I$30,OR(H1231="Dana riba",H1231="Pinjam uang riba",I1231="Pinjam dari uang riba",I1231="Ganti uang riba",I1231="Kelebihan ganti dikembalikan",AND(C1231="Kantong Uang Riba",G1231="Pengeluaran"))),1,0)</f>
        <v/>
      </c>
      <c r="X1231" s="93">
        <f>IF(AND(B1231&lt;&gt;"",B1231&gt;='Buku Akun'!$H$4,B1231&lt;='Buku Akun'!$H$5,OR(C1231='Buku Akun'!$C$4,AND(D1231="Pindah",E1231='Buku Akun'!$C$4))),B1231+IF(AND(I1231="Selisih bunga",DAY(B1231)=1),0,0.01)+ROW()/10000000,"")</f>
        <v/>
      </c>
    </row>
    <row r="1232" outlineLevel="1" ht="15" customHeight="1" s="94">
      <c r="A1232" s="123">
        <f>IF(B1232="","",ROW()-15)</f>
        <v/>
      </c>
      <c r="B1232" s="124" t="n"/>
      <c r="C1232" s="123" t="n"/>
      <c r="D1232" s="123" t="n"/>
      <c r="E1232" s="123" t="n"/>
      <c r="F1232" s="125" t="n"/>
      <c r="G1232" s="123" t="n"/>
      <c r="H1232" s="123" t="n"/>
      <c r="I1232" s="123" t="n"/>
      <c r="J1232" s="123" t="n"/>
      <c r="K1232" s="123" t="n"/>
      <c r="L1232" s="123" t="n"/>
      <c r="M1232" s="123">
        <f>IF(AND(B1232&lt;&gt;"",OR($C$4="",ISNUMBER(SEARCH($C$4,C1232&amp;" "&amp;E1232&amp;" "&amp;G1232&amp;" "&amp;H1232&amp;" "&amp;I1232&amp;" "&amp;J1232&amp;" "&amp;K1232&amp;" "&amp;L1232))),OR($C$5="Semua",$C$5="",G1232=$C$5),OR($C$6="Semua",$C$6="",H1232=$C$6,H1232="Pengeluaran "&amp;$C$6,AND($C$6="Uang Kos Mama",H1232="Pengeluaran Uang Kos")),OR($C$7="Semua",$C$7="",I1232=$C$7),OR($C$8="Semua",$C$8="",C1232=$C$8,E1232=$C$8),OR($C$9="Semua",$C$9="",D1232=$C$9),OR($C$10="",B1232&gt;=$C$10),OR($C$11="",B1232&lt;=$C$11),OR($C$12&lt;&gt;"Ya",K1232&lt;&gt;""),OR($C$13="Semua",$C$13="",L1232=$C$13)),"✓","")</f>
        <v/>
      </c>
      <c r="N1232" s="93">
        <f>N(N1231)+IF(M1232="✓",1,0)</f>
        <v/>
      </c>
      <c r="O1232" s="93">
        <f>N(O1231)+IF(AND(B1232&lt;&gt;"",B1232&gt;='Uang Riba'!$H$30,B1232&lt;='Uang Riba'!$I$30,OR(H1232="Dana riba",H1232="Pinjam uang riba",I1232="Pinjam dari uang riba",I1232="Ganti uang riba",I1232="Kelebihan ganti dikembalikan",AND(C1232="Kantong Uang Riba",G1232="Pengeluaran"))),1,0)</f>
        <v/>
      </c>
      <c r="X1232" s="93">
        <f>IF(AND(B1232&lt;&gt;"",B1232&gt;='Buku Akun'!$H$4,B1232&lt;='Buku Akun'!$H$5,OR(C1232='Buku Akun'!$C$4,AND(D1232="Pindah",E1232='Buku Akun'!$C$4))),B1232+IF(AND(I1232="Selisih bunga",DAY(B1232)=1),0,0.01)+ROW()/10000000,"")</f>
        <v/>
      </c>
    </row>
    <row r="1233" outlineLevel="1" ht="15" customHeight="1" s="94">
      <c r="A1233" s="123">
        <f>IF(B1233="","",ROW()-15)</f>
        <v/>
      </c>
      <c r="B1233" s="124" t="n"/>
      <c r="C1233" s="123" t="n"/>
      <c r="D1233" s="123" t="n"/>
      <c r="E1233" s="123" t="n"/>
      <c r="F1233" s="125" t="n"/>
      <c r="G1233" s="123" t="n"/>
      <c r="H1233" s="123" t="n"/>
      <c r="I1233" s="123" t="n"/>
      <c r="J1233" s="123" t="n"/>
      <c r="K1233" s="123" t="n"/>
      <c r="L1233" s="123" t="n"/>
      <c r="M1233" s="123">
        <f>IF(AND(B1233&lt;&gt;"",OR($C$4="",ISNUMBER(SEARCH($C$4,C1233&amp;" "&amp;E1233&amp;" "&amp;G1233&amp;" "&amp;H1233&amp;" "&amp;I1233&amp;" "&amp;J1233&amp;" "&amp;K1233&amp;" "&amp;L1233))),OR($C$5="Semua",$C$5="",G1233=$C$5),OR($C$6="Semua",$C$6="",H1233=$C$6,H1233="Pengeluaran "&amp;$C$6,AND($C$6="Uang Kos Mama",H1233="Pengeluaran Uang Kos")),OR($C$7="Semua",$C$7="",I1233=$C$7),OR($C$8="Semua",$C$8="",C1233=$C$8,E1233=$C$8),OR($C$9="Semua",$C$9="",D1233=$C$9),OR($C$10="",B1233&gt;=$C$10),OR($C$11="",B1233&lt;=$C$11),OR($C$12&lt;&gt;"Ya",K1233&lt;&gt;""),OR($C$13="Semua",$C$13="",L1233=$C$13)),"✓","")</f>
        <v/>
      </c>
      <c r="N1233" s="93">
        <f>N(N1232)+IF(M1233="✓",1,0)</f>
        <v/>
      </c>
      <c r="O1233" s="93">
        <f>N(O1232)+IF(AND(B1233&lt;&gt;"",B1233&gt;='Uang Riba'!$H$30,B1233&lt;='Uang Riba'!$I$30,OR(H1233="Dana riba",H1233="Pinjam uang riba",I1233="Pinjam dari uang riba",I1233="Ganti uang riba",I1233="Kelebihan ganti dikembalikan",AND(C1233="Kantong Uang Riba",G1233="Pengeluaran"))),1,0)</f>
        <v/>
      </c>
      <c r="X1233" s="93">
        <f>IF(AND(B1233&lt;&gt;"",B1233&gt;='Buku Akun'!$H$4,B1233&lt;='Buku Akun'!$H$5,OR(C1233='Buku Akun'!$C$4,AND(D1233="Pindah",E1233='Buku Akun'!$C$4))),B1233+IF(AND(I1233="Selisih bunga",DAY(B1233)=1),0,0.01)+ROW()/10000000,"")</f>
        <v/>
      </c>
    </row>
    <row r="1234" outlineLevel="1" ht="15" customHeight="1" s="94">
      <c r="A1234" s="123">
        <f>IF(B1234="","",ROW()-15)</f>
        <v/>
      </c>
      <c r="B1234" s="124" t="n"/>
      <c r="C1234" s="123" t="n"/>
      <c r="D1234" s="123" t="n"/>
      <c r="E1234" s="123" t="n"/>
      <c r="F1234" s="125" t="n"/>
      <c r="G1234" s="123" t="n"/>
      <c r="H1234" s="123" t="n"/>
      <c r="I1234" s="123" t="n"/>
      <c r="J1234" s="123" t="n"/>
      <c r="K1234" s="123" t="n"/>
      <c r="L1234" s="123" t="n"/>
      <c r="M1234" s="123">
        <f>IF(AND(B1234&lt;&gt;"",OR($C$4="",ISNUMBER(SEARCH($C$4,C1234&amp;" "&amp;E1234&amp;" "&amp;G1234&amp;" "&amp;H1234&amp;" "&amp;I1234&amp;" "&amp;J1234&amp;" "&amp;K1234&amp;" "&amp;L1234))),OR($C$5="Semua",$C$5="",G1234=$C$5),OR($C$6="Semua",$C$6="",H1234=$C$6,H1234="Pengeluaran "&amp;$C$6,AND($C$6="Uang Kos Mama",H1234="Pengeluaran Uang Kos")),OR($C$7="Semua",$C$7="",I1234=$C$7),OR($C$8="Semua",$C$8="",C1234=$C$8,E1234=$C$8),OR($C$9="Semua",$C$9="",D1234=$C$9),OR($C$10="",B1234&gt;=$C$10),OR($C$11="",B1234&lt;=$C$11),OR($C$12&lt;&gt;"Ya",K1234&lt;&gt;""),OR($C$13="Semua",$C$13="",L1234=$C$13)),"✓","")</f>
        <v/>
      </c>
      <c r="N1234" s="93">
        <f>N(N1233)+IF(M1234="✓",1,0)</f>
        <v/>
      </c>
      <c r="O1234" s="93">
        <f>N(O1233)+IF(AND(B1234&lt;&gt;"",B1234&gt;='Uang Riba'!$H$30,B1234&lt;='Uang Riba'!$I$30,OR(H1234="Dana riba",H1234="Pinjam uang riba",I1234="Pinjam dari uang riba",I1234="Ganti uang riba",I1234="Kelebihan ganti dikembalikan",AND(C1234="Kantong Uang Riba",G1234="Pengeluaran"))),1,0)</f>
        <v/>
      </c>
      <c r="X1234" s="93">
        <f>IF(AND(B1234&lt;&gt;"",B1234&gt;='Buku Akun'!$H$4,B1234&lt;='Buku Akun'!$H$5,OR(C1234='Buku Akun'!$C$4,AND(D1234="Pindah",E1234='Buku Akun'!$C$4))),B1234+IF(AND(I1234="Selisih bunga",DAY(B1234)=1),0,0.01)+ROW()/10000000,"")</f>
        <v/>
      </c>
    </row>
    <row r="1235" outlineLevel="1" ht="15" customHeight="1" s="94">
      <c r="A1235" s="123">
        <f>IF(B1235="","",ROW()-15)</f>
        <v/>
      </c>
      <c r="B1235" s="124" t="n"/>
      <c r="C1235" s="123" t="n"/>
      <c r="D1235" s="123" t="n"/>
      <c r="E1235" s="123" t="n"/>
      <c r="F1235" s="125" t="n"/>
      <c r="G1235" s="123" t="n"/>
      <c r="H1235" s="123" t="n"/>
      <c r="I1235" s="123" t="n"/>
      <c r="J1235" s="123" t="n"/>
      <c r="K1235" s="123" t="n"/>
      <c r="L1235" s="123" t="n"/>
      <c r="M1235" s="123">
        <f>IF(AND(B1235&lt;&gt;"",OR($C$4="",ISNUMBER(SEARCH($C$4,C1235&amp;" "&amp;E1235&amp;" "&amp;G1235&amp;" "&amp;H1235&amp;" "&amp;I1235&amp;" "&amp;J1235&amp;" "&amp;K1235&amp;" "&amp;L1235))),OR($C$5="Semua",$C$5="",G1235=$C$5),OR($C$6="Semua",$C$6="",H1235=$C$6,H1235="Pengeluaran "&amp;$C$6,AND($C$6="Uang Kos Mama",H1235="Pengeluaran Uang Kos")),OR($C$7="Semua",$C$7="",I1235=$C$7),OR($C$8="Semua",$C$8="",C1235=$C$8,E1235=$C$8),OR($C$9="Semua",$C$9="",D1235=$C$9),OR($C$10="",B1235&gt;=$C$10),OR($C$11="",B1235&lt;=$C$11),OR($C$12&lt;&gt;"Ya",K1235&lt;&gt;""),OR($C$13="Semua",$C$13="",L1235=$C$13)),"✓","")</f>
        <v/>
      </c>
      <c r="N1235" s="93">
        <f>N(N1234)+IF(M1235="✓",1,0)</f>
        <v/>
      </c>
      <c r="O1235" s="93">
        <f>N(O1234)+IF(AND(B1235&lt;&gt;"",B1235&gt;='Uang Riba'!$H$30,B1235&lt;='Uang Riba'!$I$30,OR(H1235="Dana riba",H1235="Pinjam uang riba",I1235="Pinjam dari uang riba",I1235="Ganti uang riba",I1235="Kelebihan ganti dikembalikan",AND(C1235="Kantong Uang Riba",G1235="Pengeluaran"))),1,0)</f>
        <v/>
      </c>
      <c r="X1235" s="93">
        <f>IF(AND(B1235&lt;&gt;"",B1235&gt;='Buku Akun'!$H$4,B1235&lt;='Buku Akun'!$H$5,OR(C1235='Buku Akun'!$C$4,AND(D1235="Pindah",E1235='Buku Akun'!$C$4))),B1235+IF(AND(I1235="Selisih bunga",DAY(B1235)=1),0,0.01)+ROW()/10000000,"")</f>
        <v/>
      </c>
    </row>
    <row r="1236" outlineLevel="1" ht="15" customHeight="1" s="94">
      <c r="A1236" s="123">
        <f>IF(B1236="","",ROW()-15)</f>
        <v/>
      </c>
      <c r="B1236" s="124" t="n"/>
      <c r="C1236" s="123" t="n"/>
      <c r="D1236" s="123" t="n"/>
      <c r="E1236" s="123" t="n"/>
      <c r="F1236" s="125" t="n"/>
      <c r="G1236" s="123" t="n"/>
      <c r="H1236" s="123" t="n"/>
      <c r="I1236" s="123" t="n"/>
      <c r="J1236" s="123" t="n"/>
      <c r="K1236" s="123" t="n"/>
      <c r="L1236" s="123" t="n"/>
      <c r="M1236" s="123">
        <f>IF(AND(B1236&lt;&gt;"",OR($C$4="",ISNUMBER(SEARCH($C$4,C1236&amp;" "&amp;E1236&amp;" "&amp;G1236&amp;" "&amp;H1236&amp;" "&amp;I1236&amp;" "&amp;J1236&amp;" "&amp;K1236&amp;" "&amp;L1236))),OR($C$5="Semua",$C$5="",G1236=$C$5),OR($C$6="Semua",$C$6="",H1236=$C$6,H1236="Pengeluaran "&amp;$C$6,AND($C$6="Uang Kos Mama",H1236="Pengeluaran Uang Kos")),OR($C$7="Semua",$C$7="",I1236=$C$7),OR($C$8="Semua",$C$8="",C1236=$C$8,E1236=$C$8),OR($C$9="Semua",$C$9="",D1236=$C$9),OR($C$10="",B1236&gt;=$C$10),OR($C$11="",B1236&lt;=$C$11),OR($C$12&lt;&gt;"Ya",K1236&lt;&gt;""),OR($C$13="Semua",$C$13="",L1236=$C$13)),"✓","")</f>
        <v/>
      </c>
      <c r="N1236" s="93">
        <f>N(N1235)+IF(M1236="✓",1,0)</f>
        <v/>
      </c>
      <c r="O1236" s="93">
        <f>N(O1235)+IF(AND(B1236&lt;&gt;"",B1236&gt;='Uang Riba'!$H$30,B1236&lt;='Uang Riba'!$I$30,OR(H1236="Dana riba",H1236="Pinjam uang riba",I1236="Pinjam dari uang riba",I1236="Ganti uang riba",I1236="Kelebihan ganti dikembalikan",AND(C1236="Kantong Uang Riba",G1236="Pengeluaran"))),1,0)</f>
        <v/>
      </c>
      <c r="X1236" s="93">
        <f>IF(AND(B1236&lt;&gt;"",B1236&gt;='Buku Akun'!$H$4,B1236&lt;='Buku Akun'!$H$5,OR(C1236='Buku Akun'!$C$4,AND(D1236="Pindah",E1236='Buku Akun'!$C$4))),B1236+IF(AND(I1236="Selisih bunga",DAY(B1236)=1),0,0.01)+ROW()/10000000,"")</f>
        <v/>
      </c>
    </row>
    <row r="1237" outlineLevel="1" ht="15" customHeight="1" s="94">
      <c r="A1237" s="123">
        <f>IF(B1237="","",ROW()-15)</f>
        <v/>
      </c>
      <c r="B1237" s="124" t="n"/>
      <c r="C1237" s="123" t="n"/>
      <c r="D1237" s="123" t="n"/>
      <c r="E1237" s="123" t="n"/>
      <c r="F1237" s="125" t="n"/>
      <c r="G1237" s="123" t="n"/>
      <c r="H1237" s="123" t="n"/>
      <c r="I1237" s="123" t="n"/>
      <c r="J1237" s="123" t="n"/>
      <c r="K1237" s="123" t="n"/>
      <c r="L1237" s="123" t="n"/>
      <c r="M1237" s="123">
        <f>IF(AND(B1237&lt;&gt;"",OR($C$4="",ISNUMBER(SEARCH($C$4,C1237&amp;" "&amp;E1237&amp;" "&amp;G1237&amp;" "&amp;H1237&amp;" "&amp;I1237&amp;" "&amp;J1237&amp;" "&amp;K1237&amp;" "&amp;L1237))),OR($C$5="Semua",$C$5="",G1237=$C$5),OR($C$6="Semua",$C$6="",H1237=$C$6,H1237="Pengeluaran "&amp;$C$6,AND($C$6="Uang Kos Mama",H1237="Pengeluaran Uang Kos")),OR($C$7="Semua",$C$7="",I1237=$C$7),OR($C$8="Semua",$C$8="",C1237=$C$8,E1237=$C$8),OR($C$9="Semua",$C$9="",D1237=$C$9),OR($C$10="",B1237&gt;=$C$10),OR($C$11="",B1237&lt;=$C$11),OR($C$12&lt;&gt;"Ya",K1237&lt;&gt;""),OR($C$13="Semua",$C$13="",L1237=$C$13)),"✓","")</f>
        <v/>
      </c>
      <c r="N1237" s="93">
        <f>N(N1236)+IF(M1237="✓",1,0)</f>
        <v/>
      </c>
      <c r="O1237" s="93">
        <f>N(O1236)+IF(AND(B1237&lt;&gt;"",B1237&gt;='Uang Riba'!$H$30,B1237&lt;='Uang Riba'!$I$30,OR(H1237="Dana riba",H1237="Pinjam uang riba",I1237="Pinjam dari uang riba",I1237="Ganti uang riba",I1237="Kelebihan ganti dikembalikan",AND(C1237="Kantong Uang Riba",G1237="Pengeluaran"))),1,0)</f>
        <v/>
      </c>
      <c r="X1237" s="93">
        <f>IF(AND(B1237&lt;&gt;"",B1237&gt;='Buku Akun'!$H$4,B1237&lt;='Buku Akun'!$H$5,OR(C1237='Buku Akun'!$C$4,AND(D1237="Pindah",E1237='Buku Akun'!$C$4))),B1237+IF(AND(I1237="Selisih bunga",DAY(B1237)=1),0,0.01)+ROW()/10000000,"")</f>
        <v/>
      </c>
    </row>
    <row r="1238" outlineLevel="1" ht="15" customHeight="1" s="94">
      <c r="A1238" s="123">
        <f>IF(B1238="","",ROW()-15)</f>
        <v/>
      </c>
      <c r="B1238" s="124" t="n"/>
      <c r="C1238" s="123" t="n"/>
      <c r="D1238" s="123" t="n"/>
      <c r="E1238" s="123" t="n"/>
      <c r="F1238" s="125" t="n"/>
      <c r="G1238" s="123" t="n"/>
      <c r="H1238" s="123" t="n"/>
      <c r="I1238" s="123" t="n"/>
      <c r="J1238" s="123" t="n"/>
      <c r="K1238" s="123" t="n"/>
      <c r="L1238" s="123" t="n"/>
      <c r="M1238" s="123">
        <f>IF(AND(B1238&lt;&gt;"",OR($C$4="",ISNUMBER(SEARCH($C$4,C1238&amp;" "&amp;E1238&amp;" "&amp;G1238&amp;" "&amp;H1238&amp;" "&amp;I1238&amp;" "&amp;J1238&amp;" "&amp;K1238&amp;" "&amp;L1238))),OR($C$5="Semua",$C$5="",G1238=$C$5),OR($C$6="Semua",$C$6="",H1238=$C$6,H1238="Pengeluaran "&amp;$C$6,AND($C$6="Uang Kos Mama",H1238="Pengeluaran Uang Kos")),OR($C$7="Semua",$C$7="",I1238=$C$7),OR($C$8="Semua",$C$8="",C1238=$C$8,E1238=$C$8),OR($C$9="Semua",$C$9="",D1238=$C$9),OR($C$10="",B1238&gt;=$C$10),OR($C$11="",B1238&lt;=$C$11),OR($C$12&lt;&gt;"Ya",K1238&lt;&gt;""),OR($C$13="Semua",$C$13="",L1238=$C$13)),"✓","")</f>
        <v/>
      </c>
      <c r="N1238" s="93">
        <f>N(N1237)+IF(M1238="✓",1,0)</f>
        <v/>
      </c>
      <c r="O1238" s="93">
        <f>N(O1237)+IF(AND(B1238&lt;&gt;"",B1238&gt;='Uang Riba'!$H$30,B1238&lt;='Uang Riba'!$I$30,OR(H1238="Dana riba",H1238="Pinjam uang riba",I1238="Pinjam dari uang riba",I1238="Ganti uang riba",I1238="Kelebihan ganti dikembalikan",AND(C1238="Kantong Uang Riba",G1238="Pengeluaran"))),1,0)</f>
        <v/>
      </c>
      <c r="X1238" s="93">
        <f>IF(AND(B1238&lt;&gt;"",B1238&gt;='Buku Akun'!$H$4,B1238&lt;='Buku Akun'!$H$5,OR(C1238='Buku Akun'!$C$4,AND(D1238="Pindah",E1238='Buku Akun'!$C$4))),B1238+IF(AND(I1238="Selisih bunga",DAY(B1238)=1),0,0.01)+ROW()/10000000,"")</f>
        <v/>
      </c>
    </row>
    <row r="1239" outlineLevel="1" ht="15" customHeight="1" s="94">
      <c r="A1239" s="123">
        <f>IF(B1239="","",ROW()-15)</f>
        <v/>
      </c>
      <c r="B1239" s="124" t="n"/>
      <c r="C1239" s="123" t="n"/>
      <c r="D1239" s="123" t="n"/>
      <c r="E1239" s="123" t="n"/>
      <c r="F1239" s="125" t="n"/>
      <c r="G1239" s="123" t="n"/>
      <c r="H1239" s="123" t="n"/>
      <c r="I1239" s="123" t="n"/>
      <c r="J1239" s="123" t="n"/>
      <c r="K1239" s="123" t="n"/>
      <c r="L1239" s="123" t="n"/>
      <c r="M1239" s="123">
        <f>IF(AND(B1239&lt;&gt;"",OR($C$4="",ISNUMBER(SEARCH($C$4,C1239&amp;" "&amp;E1239&amp;" "&amp;G1239&amp;" "&amp;H1239&amp;" "&amp;I1239&amp;" "&amp;J1239&amp;" "&amp;K1239&amp;" "&amp;L1239))),OR($C$5="Semua",$C$5="",G1239=$C$5),OR($C$6="Semua",$C$6="",H1239=$C$6,H1239="Pengeluaran "&amp;$C$6,AND($C$6="Uang Kos Mama",H1239="Pengeluaran Uang Kos")),OR($C$7="Semua",$C$7="",I1239=$C$7),OR($C$8="Semua",$C$8="",C1239=$C$8,E1239=$C$8),OR($C$9="Semua",$C$9="",D1239=$C$9),OR($C$10="",B1239&gt;=$C$10),OR($C$11="",B1239&lt;=$C$11),OR($C$12&lt;&gt;"Ya",K1239&lt;&gt;""),OR($C$13="Semua",$C$13="",L1239=$C$13)),"✓","")</f>
        <v/>
      </c>
      <c r="N1239" s="93">
        <f>N(N1238)+IF(M1239="✓",1,0)</f>
        <v/>
      </c>
      <c r="O1239" s="93">
        <f>N(O1238)+IF(AND(B1239&lt;&gt;"",B1239&gt;='Uang Riba'!$H$30,B1239&lt;='Uang Riba'!$I$30,OR(H1239="Dana riba",H1239="Pinjam uang riba",I1239="Pinjam dari uang riba",I1239="Ganti uang riba",I1239="Kelebihan ganti dikembalikan",AND(C1239="Kantong Uang Riba",G1239="Pengeluaran"))),1,0)</f>
        <v/>
      </c>
      <c r="X1239" s="93">
        <f>IF(AND(B1239&lt;&gt;"",B1239&gt;='Buku Akun'!$H$4,B1239&lt;='Buku Akun'!$H$5,OR(C1239='Buku Akun'!$C$4,AND(D1239="Pindah",E1239='Buku Akun'!$C$4))),B1239+IF(AND(I1239="Selisih bunga",DAY(B1239)=1),0,0.01)+ROW()/10000000,"")</f>
        <v/>
      </c>
    </row>
    <row r="1240" outlineLevel="1" ht="15" customHeight="1" s="94">
      <c r="A1240" s="123">
        <f>IF(B1240="","",ROW()-15)</f>
        <v/>
      </c>
      <c r="B1240" s="124" t="n"/>
      <c r="C1240" s="123" t="n"/>
      <c r="D1240" s="123" t="n"/>
      <c r="E1240" s="123" t="n"/>
      <c r="F1240" s="125" t="n"/>
      <c r="G1240" s="123" t="n"/>
      <c r="H1240" s="123" t="n"/>
      <c r="I1240" s="123" t="n"/>
      <c r="J1240" s="123" t="n"/>
      <c r="K1240" s="123" t="n"/>
      <c r="L1240" s="123" t="n"/>
      <c r="M1240" s="123">
        <f>IF(AND(B1240&lt;&gt;"",OR($C$4="",ISNUMBER(SEARCH($C$4,C1240&amp;" "&amp;E1240&amp;" "&amp;G1240&amp;" "&amp;H1240&amp;" "&amp;I1240&amp;" "&amp;J1240&amp;" "&amp;K1240&amp;" "&amp;L1240))),OR($C$5="Semua",$C$5="",G1240=$C$5),OR($C$6="Semua",$C$6="",H1240=$C$6,H1240="Pengeluaran "&amp;$C$6,AND($C$6="Uang Kos Mama",H1240="Pengeluaran Uang Kos")),OR($C$7="Semua",$C$7="",I1240=$C$7),OR($C$8="Semua",$C$8="",C1240=$C$8,E1240=$C$8),OR($C$9="Semua",$C$9="",D1240=$C$9),OR($C$10="",B1240&gt;=$C$10),OR($C$11="",B1240&lt;=$C$11),OR($C$12&lt;&gt;"Ya",K1240&lt;&gt;""),OR($C$13="Semua",$C$13="",L1240=$C$13)),"✓","")</f>
        <v/>
      </c>
      <c r="N1240" s="93">
        <f>N(N1239)+IF(M1240="✓",1,0)</f>
        <v/>
      </c>
      <c r="O1240" s="93">
        <f>N(O1239)+IF(AND(B1240&lt;&gt;"",B1240&gt;='Uang Riba'!$H$30,B1240&lt;='Uang Riba'!$I$30,OR(H1240="Dana riba",H1240="Pinjam uang riba",I1240="Pinjam dari uang riba",I1240="Ganti uang riba",I1240="Kelebihan ganti dikembalikan",AND(C1240="Kantong Uang Riba",G1240="Pengeluaran"))),1,0)</f>
        <v/>
      </c>
      <c r="X1240" s="93">
        <f>IF(AND(B1240&lt;&gt;"",B1240&gt;='Buku Akun'!$H$4,B1240&lt;='Buku Akun'!$H$5,OR(C1240='Buku Akun'!$C$4,AND(D1240="Pindah",E1240='Buku Akun'!$C$4))),B1240+IF(AND(I1240="Selisih bunga",DAY(B1240)=1),0,0.01)+ROW()/10000000,"")</f>
        <v/>
      </c>
    </row>
    <row r="1241" outlineLevel="1" ht="15" customHeight="1" s="94">
      <c r="A1241" s="123">
        <f>IF(B1241="","",ROW()-15)</f>
        <v/>
      </c>
      <c r="B1241" s="124" t="n"/>
      <c r="C1241" s="123" t="n"/>
      <c r="D1241" s="123" t="n"/>
      <c r="E1241" s="123" t="n"/>
      <c r="F1241" s="125" t="n"/>
      <c r="G1241" s="123" t="n"/>
      <c r="H1241" s="123" t="n"/>
      <c r="I1241" s="123" t="n"/>
      <c r="J1241" s="123" t="n"/>
      <c r="K1241" s="123" t="n"/>
      <c r="L1241" s="123" t="n"/>
      <c r="M1241" s="123">
        <f>IF(AND(B1241&lt;&gt;"",OR($C$4="",ISNUMBER(SEARCH($C$4,C1241&amp;" "&amp;E1241&amp;" "&amp;G1241&amp;" "&amp;H1241&amp;" "&amp;I1241&amp;" "&amp;J1241&amp;" "&amp;K1241&amp;" "&amp;L1241))),OR($C$5="Semua",$C$5="",G1241=$C$5),OR($C$6="Semua",$C$6="",H1241=$C$6,H1241="Pengeluaran "&amp;$C$6,AND($C$6="Uang Kos Mama",H1241="Pengeluaran Uang Kos")),OR($C$7="Semua",$C$7="",I1241=$C$7),OR($C$8="Semua",$C$8="",C1241=$C$8,E1241=$C$8),OR($C$9="Semua",$C$9="",D1241=$C$9),OR($C$10="",B1241&gt;=$C$10),OR($C$11="",B1241&lt;=$C$11),OR($C$12&lt;&gt;"Ya",K1241&lt;&gt;""),OR($C$13="Semua",$C$13="",L1241=$C$13)),"✓","")</f>
        <v/>
      </c>
      <c r="N1241" s="93">
        <f>N(N1240)+IF(M1241="✓",1,0)</f>
        <v/>
      </c>
      <c r="O1241" s="93">
        <f>N(O1240)+IF(AND(B1241&lt;&gt;"",B1241&gt;='Uang Riba'!$H$30,B1241&lt;='Uang Riba'!$I$30,OR(H1241="Dana riba",H1241="Pinjam uang riba",I1241="Pinjam dari uang riba",I1241="Ganti uang riba",I1241="Kelebihan ganti dikembalikan",AND(C1241="Kantong Uang Riba",G1241="Pengeluaran"))),1,0)</f>
        <v/>
      </c>
      <c r="X1241" s="93">
        <f>IF(AND(B1241&lt;&gt;"",B1241&gt;='Buku Akun'!$H$4,B1241&lt;='Buku Akun'!$H$5,OR(C1241='Buku Akun'!$C$4,AND(D1241="Pindah",E1241='Buku Akun'!$C$4))),B1241+IF(AND(I1241="Selisih bunga",DAY(B1241)=1),0,0.01)+ROW()/10000000,"")</f>
        <v/>
      </c>
    </row>
    <row r="1242" outlineLevel="1" ht="15" customHeight="1" s="94">
      <c r="A1242" s="123">
        <f>IF(B1242="","",ROW()-15)</f>
        <v/>
      </c>
      <c r="B1242" s="124" t="n"/>
      <c r="C1242" s="123" t="n"/>
      <c r="D1242" s="123" t="n"/>
      <c r="E1242" s="123" t="n"/>
      <c r="F1242" s="125" t="n"/>
      <c r="G1242" s="123" t="n"/>
      <c r="H1242" s="123" t="n"/>
      <c r="I1242" s="123" t="n"/>
      <c r="J1242" s="123" t="n"/>
      <c r="K1242" s="123" t="n"/>
      <c r="L1242" s="123" t="n"/>
      <c r="M1242" s="123">
        <f>IF(AND(B1242&lt;&gt;"",OR($C$4="",ISNUMBER(SEARCH($C$4,C1242&amp;" "&amp;E1242&amp;" "&amp;G1242&amp;" "&amp;H1242&amp;" "&amp;I1242&amp;" "&amp;J1242&amp;" "&amp;K1242&amp;" "&amp;L1242))),OR($C$5="Semua",$C$5="",G1242=$C$5),OR($C$6="Semua",$C$6="",H1242=$C$6,H1242="Pengeluaran "&amp;$C$6,AND($C$6="Uang Kos Mama",H1242="Pengeluaran Uang Kos")),OR($C$7="Semua",$C$7="",I1242=$C$7),OR($C$8="Semua",$C$8="",C1242=$C$8,E1242=$C$8),OR($C$9="Semua",$C$9="",D1242=$C$9),OR($C$10="",B1242&gt;=$C$10),OR($C$11="",B1242&lt;=$C$11),OR($C$12&lt;&gt;"Ya",K1242&lt;&gt;""),OR($C$13="Semua",$C$13="",L1242=$C$13)),"✓","")</f>
        <v/>
      </c>
      <c r="N1242" s="93">
        <f>N(N1241)+IF(M1242="✓",1,0)</f>
        <v/>
      </c>
      <c r="O1242" s="93">
        <f>N(O1241)+IF(AND(B1242&lt;&gt;"",B1242&gt;='Uang Riba'!$H$30,B1242&lt;='Uang Riba'!$I$30,OR(H1242="Dana riba",H1242="Pinjam uang riba",I1242="Pinjam dari uang riba",I1242="Ganti uang riba",I1242="Kelebihan ganti dikembalikan",AND(C1242="Kantong Uang Riba",G1242="Pengeluaran"))),1,0)</f>
        <v/>
      </c>
      <c r="X1242" s="93">
        <f>IF(AND(B1242&lt;&gt;"",B1242&gt;='Buku Akun'!$H$4,B1242&lt;='Buku Akun'!$H$5,OR(C1242='Buku Akun'!$C$4,AND(D1242="Pindah",E1242='Buku Akun'!$C$4))),B1242+IF(AND(I1242="Selisih bunga",DAY(B1242)=1),0,0.01)+ROW()/10000000,"")</f>
        <v/>
      </c>
    </row>
    <row r="1243" outlineLevel="1" ht="15" customHeight="1" s="94">
      <c r="A1243" s="123">
        <f>IF(B1243="","",ROW()-15)</f>
        <v/>
      </c>
      <c r="B1243" s="124" t="n"/>
      <c r="C1243" s="123" t="n"/>
      <c r="D1243" s="123" t="n"/>
      <c r="E1243" s="123" t="n"/>
      <c r="F1243" s="125" t="n"/>
      <c r="G1243" s="123" t="n"/>
      <c r="H1243" s="123" t="n"/>
      <c r="I1243" s="123" t="n"/>
      <c r="J1243" s="123" t="n"/>
      <c r="K1243" s="123" t="n"/>
      <c r="L1243" s="123" t="n"/>
      <c r="M1243" s="123">
        <f>IF(AND(B1243&lt;&gt;"",OR($C$4="",ISNUMBER(SEARCH($C$4,C1243&amp;" "&amp;E1243&amp;" "&amp;G1243&amp;" "&amp;H1243&amp;" "&amp;I1243&amp;" "&amp;J1243&amp;" "&amp;K1243&amp;" "&amp;L1243))),OR($C$5="Semua",$C$5="",G1243=$C$5),OR($C$6="Semua",$C$6="",H1243=$C$6,H1243="Pengeluaran "&amp;$C$6,AND($C$6="Uang Kos Mama",H1243="Pengeluaran Uang Kos")),OR($C$7="Semua",$C$7="",I1243=$C$7),OR($C$8="Semua",$C$8="",C1243=$C$8,E1243=$C$8),OR($C$9="Semua",$C$9="",D1243=$C$9),OR($C$10="",B1243&gt;=$C$10),OR($C$11="",B1243&lt;=$C$11),OR($C$12&lt;&gt;"Ya",K1243&lt;&gt;""),OR($C$13="Semua",$C$13="",L1243=$C$13)),"✓","")</f>
        <v/>
      </c>
      <c r="N1243" s="93">
        <f>N(N1242)+IF(M1243="✓",1,0)</f>
        <v/>
      </c>
      <c r="O1243" s="93">
        <f>N(O1242)+IF(AND(B1243&lt;&gt;"",B1243&gt;='Uang Riba'!$H$30,B1243&lt;='Uang Riba'!$I$30,OR(H1243="Dana riba",H1243="Pinjam uang riba",I1243="Pinjam dari uang riba",I1243="Ganti uang riba",I1243="Kelebihan ganti dikembalikan",AND(C1243="Kantong Uang Riba",G1243="Pengeluaran"))),1,0)</f>
        <v/>
      </c>
      <c r="X1243" s="93">
        <f>IF(AND(B1243&lt;&gt;"",B1243&gt;='Buku Akun'!$H$4,B1243&lt;='Buku Akun'!$H$5,OR(C1243='Buku Akun'!$C$4,AND(D1243="Pindah",E1243='Buku Akun'!$C$4))),B1243+IF(AND(I1243="Selisih bunga",DAY(B1243)=1),0,0.01)+ROW()/10000000,"")</f>
        <v/>
      </c>
    </row>
    <row r="1244" outlineLevel="1" ht="15" customHeight="1" s="94">
      <c r="A1244" s="123">
        <f>IF(B1244="","",ROW()-15)</f>
        <v/>
      </c>
      <c r="B1244" s="124" t="n"/>
      <c r="C1244" s="123" t="n"/>
      <c r="D1244" s="123" t="n"/>
      <c r="E1244" s="123" t="n"/>
      <c r="F1244" s="125" t="n"/>
      <c r="G1244" s="123" t="n"/>
      <c r="H1244" s="123" t="n"/>
      <c r="I1244" s="123" t="n"/>
      <c r="J1244" s="123" t="n"/>
      <c r="K1244" s="123" t="n"/>
      <c r="L1244" s="123" t="n"/>
      <c r="M1244" s="123">
        <f>IF(AND(B1244&lt;&gt;"",OR($C$4="",ISNUMBER(SEARCH($C$4,C1244&amp;" "&amp;E1244&amp;" "&amp;G1244&amp;" "&amp;H1244&amp;" "&amp;I1244&amp;" "&amp;J1244&amp;" "&amp;K1244&amp;" "&amp;L1244))),OR($C$5="Semua",$C$5="",G1244=$C$5),OR($C$6="Semua",$C$6="",H1244=$C$6,H1244="Pengeluaran "&amp;$C$6,AND($C$6="Uang Kos Mama",H1244="Pengeluaran Uang Kos")),OR($C$7="Semua",$C$7="",I1244=$C$7),OR($C$8="Semua",$C$8="",C1244=$C$8,E1244=$C$8),OR($C$9="Semua",$C$9="",D1244=$C$9),OR($C$10="",B1244&gt;=$C$10),OR($C$11="",B1244&lt;=$C$11),OR($C$12&lt;&gt;"Ya",K1244&lt;&gt;""),OR($C$13="Semua",$C$13="",L1244=$C$13)),"✓","")</f>
        <v/>
      </c>
      <c r="N1244" s="93">
        <f>N(N1243)+IF(M1244="✓",1,0)</f>
        <v/>
      </c>
      <c r="O1244" s="93">
        <f>N(O1243)+IF(AND(B1244&lt;&gt;"",B1244&gt;='Uang Riba'!$H$30,B1244&lt;='Uang Riba'!$I$30,OR(H1244="Dana riba",H1244="Pinjam uang riba",I1244="Pinjam dari uang riba",I1244="Ganti uang riba",I1244="Kelebihan ganti dikembalikan",AND(C1244="Kantong Uang Riba",G1244="Pengeluaran"))),1,0)</f>
        <v/>
      </c>
      <c r="X1244" s="93">
        <f>IF(AND(B1244&lt;&gt;"",B1244&gt;='Buku Akun'!$H$4,B1244&lt;='Buku Akun'!$H$5,OR(C1244='Buku Akun'!$C$4,AND(D1244="Pindah",E1244='Buku Akun'!$C$4))),B1244+IF(AND(I1244="Selisih bunga",DAY(B1244)=1),0,0.01)+ROW()/10000000,"")</f>
        <v/>
      </c>
    </row>
    <row r="1245" outlineLevel="1" ht="15" customHeight="1" s="94">
      <c r="A1245" s="123">
        <f>IF(B1245="","",ROW()-15)</f>
        <v/>
      </c>
      <c r="B1245" s="124" t="n"/>
      <c r="C1245" s="123" t="n"/>
      <c r="D1245" s="123" t="n"/>
      <c r="E1245" s="123" t="n"/>
      <c r="F1245" s="125" t="n"/>
      <c r="G1245" s="123" t="n"/>
      <c r="H1245" s="123" t="n"/>
      <c r="I1245" s="123" t="n"/>
      <c r="J1245" s="123" t="n"/>
      <c r="K1245" s="123" t="n"/>
      <c r="L1245" s="123" t="n"/>
      <c r="M1245" s="123">
        <f>IF(AND(B1245&lt;&gt;"",OR($C$4="",ISNUMBER(SEARCH($C$4,C1245&amp;" "&amp;E1245&amp;" "&amp;G1245&amp;" "&amp;H1245&amp;" "&amp;I1245&amp;" "&amp;J1245&amp;" "&amp;K1245&amp;" "&amp;L1245))),OR($C$5="Semua",$C$5="",G1245=$C$5),OR($C$6="Semua",$C$6="",H1245=$C$6,H1245="Pengeluaran "&amp;$C$6,AND($C$6="Uang Kos Mama",H1245="Pengeluaran Uang Kos")),OR($C$7="Semua",$C$7="",I1245=$C$7),OR($C$8="Semua",$C$8="",C1245=$C$8,E1245=$C$8),OR($C$9="Semua",$C$9="",D1245=$C$9),OR($C$10="",B1245&gt;=$C$10),OR($C$11="",B1245&lt;=$C$11),OR($C$12&lt;&gt;"Ya",K1245&lt;&gt;""),OR($C$13="Semua",$C$13="",L1245=$C$13)),"✓","")</f>
        <v/>
      </c>
      <c r="N1245" s="93">
        <f>N(N1244)+IF(M1245="✓",1,0)</f>
        <v/>
      </c>
      <c r="O1245" s="93">
        <f>N(O1244)+IF(AND(B1245&lt;&gt;"",B1245&gt;='Uang Riba'!$H$30,B1245&lt;='Uang Riba'!$I$30,OR(H1245="Dana riba",H1245="Pinjam uang riba",I1245="Pinjam dari uang riba",I1245="Ganti uang riba",I1245="Kelebihan ganti dikembalikan",AND(C1245="Kantong Uang Riba",G1245="Pengeluaran"))),1,0)</f>
        <v/>
      </c>
      <c r="X1245" s="93">
        <f>IF(AND(B1245&lt;&gt;"",B1245&gt;='Buku Akun'!$H$4,B1245&lt;='Buku Akun'!$H$5,OR(C1245='Buku Akun'!$C$4,AND(D1245="Pindah",E1245='Buku Akun'!$C$4))),B1245+IF(AND(I1245="Selisih bunga",DAY(B1245)=1),0,0.01)+ROW()/10000000,"")</f>
        <v/>
      </c>
    </row>
    <row r="1246" outlineLevel="1" ht="15" customHeight="1" s="94">
      <c r="A1246" s="123">
        <f>IF(B1246="","",ROW()-15)</f>
        <v/>
      </c>
      <c r="B1246" s="124" t="n"/>
      <c r="C1246" s="123" t="n"/>
      <c r="D1246" s="123" t="n"/>
      <c r="E1246" s="123" t="n"/>
      <c r="F1246" s="125" t="n"/>
      <c r="G1246" s="123" t="n"/>
      <c r="H1246" s="123" t="n"/>
      <c r="I1246" s="123" t="n"/>
      <c r="J1246" s="123" t="n"/>
      <c r="K1246" s="123" t="n"/>
      <c r="L1246" s="123" t="n"/>
      <c r="M1246" s="123">
        <f>IF(AND(B1246&lt;&gt;"",OR($C$4="",ISNUMBER(SEARCH($C$4,C1246&amp;" "&amp;E1246&amp;" "&amp;G1246&amp;" "&amp;H1246&amp;" "&amp;I1246&amp;" "&amp;J1246&amp;" "&amp;K1246&amp;" "&amp;L1246))),OR($C$5="Semua",$C$5="",G1246=$C$5),OR($C$6="Semua",$C$6="",H1246=$C$6,H1246="Pengeluaran "&amp;$C$6,AND($C$6="Uang Kos Mama",H1246="Pengeluaran Uang Kos")),OR($C$7="Semua",$C$7="",I1246=$C$7),OR($C$8="Semua",$C$8="",C1246=$C$8,E1246=$C$8),OR($C$9="Semua",$C$9="",D1246=$C$9),OR($C$10="",B1246&gt;=$C$10),OR($C$11="",B1246&lt;=$C$11),OR($C$12&lt;&gt;"Ya",K1246&lt;&gt;""),OR($C$13="Semua",$C$13="",L1246=$C$13)),"✓","")</f>
        <v/>
      </c>
      <c r="N1246" s="93">
        <f>N(N1245)+IF(M1246="✓",1,0)</f>
        <v/>
      </c>
      <c r="O1246" s="93">
        <f>N(O1245)+IF(AND(B1246&lt;&gt;"",B1246&gt;='Uang Riba'!$H$30,B1246&lt;='Uang Riba'!$I$30,OR(H1246="Dana riba",H1246="Pinjam uang riba",I1246="Pinjam dari uang riba",I1246="Ganti uang riba",I1246="Kelebihan ganti dikembalikan",AND(C1246="Kantong Uang Riba",G1246="Pengeluaran"))),1,0)</f>
        <v/>
      </c>
      <c r="X1246" s="93">
        <f>IF(AND(B1246&lt;&gt;"",B1246&gt;='Buku Akun'!$H$4,B1246&lt;='Buku Akun'!$H$5,OR(C1246='Buku Akun'!$C$4,AND(D1246="Pindah",E1246='Buku Akun'!$C$4))),B1246+IF(AND(I1246="Selisih bunga",DAY(B1246)=1),0,0.01)+ROW()/10000000,"")</f>
        <v/>
      </c>
    </row>
    <row r="1247" outlineLevel="1" ht="15" customHeight="1" s="94">
      <c r="A1247" s="123">
        <f>IF(B1247="","",ROW()-15)</f>
        <v/>
      </c>
      <c r="B1247" s="124" t="n"/>
      <c r="C1247" s="123" t="n"/>
      <c r="D1247" s="123" t="n"/>
      <c r="E1247" s="123" t="n"/>
      <c r="F1247" s="125" t="n"/>
      <c r="G1247" s="123" t="n"/>
      <c r="H1247" s="123" t="n"/>
      <c r="I1247" s="123" t="n"/>
      <c r="J1247" s="123" t="n"/>
      <c r="K1247" s="123" t="n"/>
      <c r="L1247" s="123" t="n"/>
      <c r="M1247" s="123">
        <f>IF(AND(B1247&lt;&gt;"",OR($C$4="",ISNUMBER(SEARCH($C$4,C1247&amp;" "&amp;E1247&amp;" "&amp;G1247&amp;" "&amp;H1247&amp;" "&amp;I1247&amp;" "&amp;J1247&amp;" "&amp;K1247&amp;" "&amp;L1247))),OR($C$5="Semua",$C$5="",G1247=$C$5),OR($C$6="Semua",$C$6="",H1247=$C$6,H1247="Pengeluaran "&amp;$C$6,AND($C$6="Uang Kos Mama",H1247="Pengeluaran Uang Kos")),OR($C$7="Semua",$C$7="",I1247=$C$7),OR($C$8="Semua",$C$8="",C1247=$C$8,E1247=$C$8),OR($C$9="Semua",$C$9="",D1247=$C$9),OR($C$10="",B1247&gt;=$C$10),OR($C$11="",B1247&lt;=$C$11),OR($C$12&lt;&gt;"Ya",K1247&lt;&gt;""),OR($C$13="Semua",$C$13="",L1247=$C$13)),"✓","")</f>
        <v/>
      </c>
      <c r="N1247" s="93">
        <f>N(N1246)+IF(M1247="✓",1,0)</f>
        <v/>
      </c>
      <c r="O1247" s="93">
        <f>N(O1246)+IF(AND(B1247&lt;&gt;"",B1247&gt;='Uang Riba'!$H$30,B1247&lt;='Uang Riba'!$I$30,OR(H1247="Dana riba",H1247="Pinjam uang riba",I1247="Pinjam dari uang riba",I1247="Ganti uang riba",I1247="Kelebihan ganti dikembalikan",AND(C1247="Kantong Uang Riba",G1247="Pengeluaran"))),1,0)</f>
        <v/>
      </c>
      <c r="X1247" s="93">
        <f>IF(AND(B1247&lt;&gt;"",B1247&gt;='Buku Akun'!$H$4,B1247&lt;='Buku Akun'!$H$5,OR(C1247='Buku Akun'!$C$4,AND(D1247="Pindah",E1247='Buku Akun'!$C$4))),B1247+IF(AND(I1247="Selisih bunga",DAY(B1247)=1),0,0.01)+ROW()/10000000,"")</f>
        <v/>
      </c>
    </row>
    <row r="1248" outlineLevel="1" ht="15" customHeight="1" s="94">
      <c r="A1248" s="123">
        <f>IF(B1248="","",ROW()-15)</f>
        <v/>
      </c>
      <c r="B1248" s="124" t="n"/>
      <c r="C1248" s="123" t="n"/>
      <c r="D1248" s="123" t="n"/>
      <c r="E1248" s="123" t="n"/>
      <c r="F1248" s="125" t="n"/>
      <c r="G1248" s="123" t="n"/>
      <c r="H1248" s="123" t="n"/>
      <c r="I1248" s="123" t="n"/>
      <c r="J1248" s="123" t="n"/>
      <c r="K1248" s="123" t="n"/>
      <c r="L1248" s="123" t="n"/>
      <c r="M1248" s="123">
        <f>IF(AND(B1248&lt;&gt;"",OR($C$4="",ISNUMBER(SEARCH($C$4,C1248&amp;" "&amp;E1248&amp;" "&amp;G1248&amp;" "&amp;H1248&amp;" "&amp;I1248&amp;" "&amp;J1248&amp;" "&amp;K1248&amp;" "&amp;L1248))),OR($C$5="Semua",$C$5="",G1248=$C$5),OR($C$6="Semua",$C$6="",H1248=$C$6,H1248="Pengeluaran "&amp;$C$6,AND($C$6="Uang Kos Mama",H1248="Pengeluaran Uang Kos")),OR($C$7="Semua",$C$7="",I1248=$C$7),OR($C$8="Semua",$C$8="",C1248=$C$8,E1248=$C$8),OR($C$9="Semua",$C$9="",D1248=$C$9),OR($C$10="",B1248&gt;=$C$10),OR($C$11="",B1248&lt;=$C$11),OR($C$12&lt;&gt;"Ya",K1248&lt;&gt;""),OR($C$13="Semua",$C$13="",L1248=$C$13)),"✓","")</f>
        <v/>
      </c>
      <c r="N1248" s="93">
        <f>N(N1247)+IF(M1248="✓",1,0)</f>
        <v/>
      </c>
      <c r="O1248" s="93">
        <f>N(O1247)+IF(AND(B1248&lt;&gt;"",B1248&gt;='Uang Riba'!$H$30,B1248&lt;='Uang Riba'!$I$30,OR(H1248="Dana riba",H1248="Pinjam uang riba",I1248="Pinjam dari uang riba",I1248="Ganti uang riba",I1248="Kelebihan ganti dikembalikan",AND(C1248="Kantong Uang Riba",G1248="Pengeluaran"))),1,0)</f>
        <v/>
      </c>
      <c r="X1248" s="93">
        <f>IF(AND(B1248&lt;&gt;"",B1248&gt;='Buku Akun'!$H$4,B1248&lt;='Buku Akun'!$H$5,OR(C1248='Buku Akun'!$C$4,AND(D1248="Pindah",E1248='Buku Akun'!$C$4))),B1248+IF(AND(I1248="Selisih bunga",DAY(B1248)=1),0,0.01)+ROW()/10000000,"")</f>
        <v/>
      </c>
    </row>
    <row r="1249" outlineLevel="1" ht="15" customHeight="1" s="94">
      <c r="A1249" s="123">
        <f>IF(B1249="","",ROW()-15)</f>
        <v/>
      </c>
      <c r="B1249" s="124" t="n"/>
      <c r="C1249" s="123" t="n"/>
      <c r="D1249" s="123" t="n"/>
      <c r="E1249" s="123" t="n"/>
      <c r="F1249" s="125" t="n"/>
      <c r="G1249" s="123" t="n"/>
      <c r="H1249" s="123" t="n"/>
      <c r="I1249" s="123" t="n"/>
      <c r="J1249" s="123" t="n"/>
      <c r="K1249" s="123" t="n"/>
      <c r="L1249" s="123" t="n"/>
      <c r="M1249" s="123">
        <f>IF(AND(B1249&lt;&gt;"",OR($C$4="",ISNUMBER(SEARCH($C$4,C1249&amp;" "&amp;E1249&amp;" "&amp;G1249&amp;" "&amp;H1249&amp;" "&amp;I1249&amp;" "&amp;J1249&amp;" "&amp;K1249&amp;" "&amp;L1249))),OR($C$5="Semua",$C$5="",G1249=$C$5),OR($C$6="Semua",$C$6="",H1249=$C$6,H1249="Pengeluaran "&amp;$C$6,AND($C$6="Uang Kos Mama",H1249="Pengeluaran Uang Kos")),OR($C$7="Semua",$C$7="",I1249=$C$7),OR($C$8="Semua",$C$8="",C1249=$C$8,E1249=$C$8),OR($C$9="Semua",$C$9="",D1249=$C$9),OR($C$10="",B1249&gt;=$C$10),OR($C$11="",B1249&lt;=$C$11),OR($C$12&lt;&gt;"Ya",K1249&lt;&gt;""),OR($C$13="Semua",$C$13="",L1249=$C$13)),"✓","")</f>
        <v/>
      </c>
      <c r="N1249" s="93">
        <f>N(N1248)+IF(M1249="✓",1,0)</f>
        <v/>
      </c>
      <c r="O1249" s="93">
        <f>N(O1248)+IF(AND(B1249&lt;&gt;"",B1249&gt;='Uang Riba'!$H$30,B1249&lt;='Uang Riba'!$I$30,OR(H1249="Dana riba",H1249="Pinjam uang riba",I1249="Pinjam dari uang riba",I1249="Ganti uang riba",I1249="Kelebihan ganti dikembalikan",AND(C1249="Kantong Uang Riba",G1249="Pengeluaran"))),1,0)</f>
        <v/>
      </c>
      <c r="X1249" s="93">
        <f>IF(AND(B1249&lt;&gt;"",B1249&gt;='Buku Akun'!$H$4,B1249&lt;='Buku Akun'!$H$5,OR(C1249='Buku Akun'!$C$4,AND(D1249="Pindah",E1249='Buku Akun'!$C$4))),B1249+IF(AND(I1249="Selisih bunga",DAY(B1249)=1),0,0.01)+ROW()/10000000,"")</f>
        <v/>
      </c>
    </row>
    <row r="1250" outlineLevel="1" ht="15" customHeight="1" s="94">
      <c r="A1250" s="123">
        <f>IF(B1250="","",ROW()-15)</f>
        <v/>
      </c>
      <c r="B1250" s="124" t="n"/>
      <c r="C1250" s="123" t="n"/>
      <c r="D1250" s="123" t="n"/>
      <c r="E1250" s="123" t="n"/>
      <c r="F1250" s="125" t="n"/>
      <c r="G1250" s="123" t="n"/>
      <c r="H1250" s="123" t="n"/>
      <c r="I1250" s="123" t="n"/>
      <c r="J1250" s="123" t="n"/>
      <c r="K1250" s="123" t="n"/>
      <c r="L1250" s="123" t="n"/>
      <c r="M1250" s="123">
        <f>IF(AND(B1250&lt;&gt;"",OR($C$4="",ISNUMBER(SEARCH($C$4,C1250&amp;" "&amp;E1250&amp;" "&amp;G1250&amp;" "&amp;H1250&amp;" "&amp;I1250&amp;" "&amp;J1250&amp;" "&amp;K1250&amp;" "&amp;L1250))),OR($C$5="Semua",$C$5="",G1250=$C$5),OR($C$6="Semua",$C$6="",H1250=$C$6,H1250="Pengeluaran "&amp;$C$6,AND($C$6="Uang Kos Mama",H1250="Pengeluaran Uang Kos")),OR($C$7="Semua",$C$7="",I1250=$C$7),OR($C$8="Semua",$C$8="",C1250=$C$8,E1250=$C$8),OR($C$9="Semua",$C$9="",D1250=$C$9),OR($C$10="",B1250&gt;=$C$10),OR($C$11="",B1250&lt;=$C$11),OR($C$12&lt;&gt;"Ya",K1250&lt;&gt;""),OR($C$13="Semua",$C$13="",L1250=$C$13)),"✓","")</f>
        <v/>
      </c>
      <c r="N1250" s="93">
        <f>N(N1249)+IF(M1250="✓",1,0)</f>
        <v/>
      </c>
      <c r="O1250" s="93">
        <f>N(O1249)+IF(AND(B1250&lt;&gt;"",B1250&gt;='Uang Riba'!$H$30,B1250&lt;='Uang Riba'!$I$30,OR(H1250="Dana riba",H1250="Pinjam uang riba",I1250="Pinjam dari uang riba",I1250="Ganti uang riba",I1250="Kelebihan ganti dikembalikan",AND(C1250="Kantong Uang Riba",G1250="Pengeluaran"))),1,0)</f>
        <v/>
      </c>
      <c r="X1250" s="93">
        <f>IF(AND(B1250&lt;&gt;"",B1250&gt;='Buku Akun'!$H$4,B1250&lt;='Buku Akun'!$H$5,OR(C1250='Buku Akun'!$C$4,AND(D1250="Pindah",E1250='Buku Akun'!$C$4))),B1250+IF(AND(I1250="Selisih bunga",DAY(B1250)=1),0,0.01)+ROW()/10000000,"")</f>
        <v/>
      </c>
    </row>
    <row r="1251" outlineLevel="1" ht="15" customHeight="1" s="94">
      <c r="A1251" s="123">
        <f>IF(B1251="","",ROW()-15)</f>
        <v/>
      </c>
      <c r="B1251" s="124" t="n"/>
      <c r="C1251" s="123" t="n"/>
      <c r="D1251" s="123" t="n"/>
      <c r="E1251" s="123" t="n"/>
      <c r="F1251" s="125" t="n"/>
      <c r="G1251" s="123" t="n"/>
      <c r="H1251" s="123" t="n"/>
      <c r="I1251" s="123" t="n"/>
      <c r="J1251" s="123" t="n"/>
      <c r="K1251" s="123" t="n"/>
      <c r="L1251" s="123" t="n"/>
      <c r="M1251" s="123">
        <f>IF(AND(B1251&lt;&gt;"",OR($C$4="",ISNUMBER(SEARCH($C$4,C1251&amp;" "&amp;E1251&amp;" "&amp;G1251&amp;" "&amp;H1251&amp;" "&amp;I1251&amp;" "&amp;J1251&amp;" "&amp;K1251&amp;" "&amp;L1251))),OR($C$5="Semua",$C$5="",G1251=$C$5),OR($C$6="Semua",$C$6="",H1251=$C$6,H1251="Pengeluaran "&amp;$C$6,AND($C$6="Uang Kos Mama",H1251="Pengeluaran Uang Kos")),OR($C$7="Semua",$C$7="",I1251=$C$7),OR($C$8="Semua",$C$8="",C1251=$C$8,E1251=$C$8),OR($C$9="Semua",$C$9="",D1251=$C$9),OR($C$10="",B1251&gt;=$C$10),OR($C$11="",B1251&lt;=$C$11),OR($C$12&lt;&gt;"Ya",K1251&lt;&gt;""),OR($C$13="Semua",$C$13="",L1251=$C$13)),"✓","")</f>
        <v/>
      </c>
      <c r="N1251" s="93">
        <f>N(N1250)+IF(M1251="✓",1,0)</f>
        <v/>
      </c>
      <c r="O1251" s="93">
        <f>N(O1250)+IF(AND(B1251&lt;&gt;"",B1251&gt;='Uang Riba'!$H$30,B1251&lt;='Uang Riba'!$I$30,OR(H1251="Dana riba",H1251="Pinjam uang riba",I1251="Pinjam dari uang riba",I1251="Ganti uang riba",I1251="Kelebihan ganti dikembalikan",AND(C1251="Kantong Uang Riba",G1251="Pengeluaran"))),1,0)</f>
        <v/>
      </c>
      <c r="X1251" s="93">
        <f>IF(AND(B1251&lt;&gt;"",B1251&gt;='Buku Akun'!$H$4,B1251&lt;='Buku Akun'!$H$5,OR(C1251='Buku Akun'!$C$4,AND(D1251="Pindah",E1251='Buku Akun'!$C$4))),B1251+IF(AND(I1251="Selisih bunga",DAY(B1251)=1),0,0.01)+ROW()/10000000,"")</f>
        <v/>
      </c>
    </row>
    <row r="1252" outlineLevel="1" ht="15" customHeight="1" s="94">
      <c r="A1252" s="123">
        <f>IF(B1252="","",ROW()-15)</f>
        <v/>
      </c>
      <c r="B1252" s="124" t="n"/>
      <c r="C1252" s="123" t="n"/>
      <c r="D1252" s="123" t="n"/>
      <c r="E1252" s="123" t="n"/>
      <c r="F1252" s="125" t="n"/>
      <c r="G1252" s="123" t="n"/>
      <c r="H1252" s="123" t="n"/>
      <c r="I1252" s="123" t="n"/>
      <c r="J1252" s="123" t="n"/>
      <c r="K1252" s="123" t="n"/>
      <c r="L1252" s="123" t="n"/>
      <c r="M1252" s="123">
        <f>IF(AND(B1252&lt;&gt;"",OR($C$4="",ISNUMBER(SEARCH($C$4,C1252&amp;" "&amp;E1252&amp;" "&amp;G1252&amp;" "&amp;H1252&amp;" "&amp;I1252&amp;" "&amp;J1252&amp;" "&amp;K1252&amp;" "&amp;L1252))),OR($C$5="Semua",$C$5="",G1252=$C$5),OR($C$6="Semua",$C$6="",H1252=$C$6,H1252="Pengeluaran "&amp;$C$6,AND($C$6="Uang Kos Mama",H1252="Pengeluaran Uang Kos")),OR($C$7="Semua",$C$7="",I1252=$C$7),OR($C$8="Semua",$C$8="",C1252=$C$8,E1252=$C$8),OR($C$9="Semua",$C$9="",D1252=$C$9),OR($C$10="",B1252&gt;=$C$10),OR($C$11="",B1252&lt;=$C$11),OR($C$12&lt;&gt;"Ya",K1252&lt;&gt;""),OR($C$13="Semua",$C$13="",L1252=$C$13)),"✓","")</f>
        <v/>
      </c>
      <c r="N1252" s="93">
        <f>N(N1251)+IF(M1252="✓",1,0)</f>
        <v/>
      </c>
      <c r="O1252" s="93">
        <f>N(O1251)+IF(AND(B1252&lt;&gt;"",B1252&gt;='Uang Riba'!$H$30,B1252&lt;='Uang Riba'!$I$30,OR(H1252="Dana riba",H1252="Pinjam uang riba",I1252="Pinjam dari uang riba",I1252="Ganti uang riba",I1252="Kelebihan ganti dikembalikan",AND(C1252="Kantong Uang Riba",G1252="Pengeluaran"))),1,0)</f>
        <v/>
      </c>
      <c r="X1252" s="93">
        <f>IF(AND(B1252&lt;&gt;"",B1252&gt;='Buku Akun'!$H$4,B1252&lt;='Buku Akun'!$H$5,OR(C1252='Buku Akun'!$C$4,AND(D1252="Pindah",E1252='Buku Akun'!$C$4))),B1252+IF(AND(I1252="Selisih bunga",DAY(B1252)=1),0,0.01)+ROW()/10000000,"")</f>
        <v/>
      </c>
    </row>
    <row r="1253" outlineLevel="1" ht="15" customHeight="1" s="94">
      <c r="A1253" s="123">
        <f>IF(B1253="","",ROW()-15)</f>
        <v/>
      </c>
      <c r="B1253" s="124" t="n"/>
      <c r="C1253" s="123" t="n"/>
      <c r="D1253" s="123" t="n"/>
      <c r="E1253" s="123" t="n"/>
      <c r="F1253" s="125" t="n"/>
      <c r="G1253" s="123" t="n"/>
      <c r="H1253" s="123" t="n"/>
      <c r="I1253" s="123" t="n"/>
      <c r="J1253" s="123" t="n"/>
      <c r="K1253" s="123" t="n"/>
      <c r="L1253" s="123" t="n"/>
      <c r="M1253" s="123">
        <f>IF(AND(B1253&lt;&gt;"",OR($C$4="",ISNUMBER(SEARCH($C$4,C1253&amp;" "&amp;E1253&amp;" "&amp;G1253&amp;" "&amp;H1253&amp;" "&amp;I1253&amp;" "&amp;J1253&amp;" "&amp;K1253&amp;" "&amp;L1253))),OR($C$5="Semua",$C$5="",G1253=$C$5),OR($C$6="Semua",$C$6="",H1253=$C$6,H1253="Pengeluaran "&amp;$C$6,AND($C$6="Uang Kos Mama",H1253="Pengeluaran Uang Kos")),OR($C$7="Semua",$C$7="",I1253=$C$7),OR($C$8="Semua",$C$8="",C1253=$C$8,E1253=$C$8),OR($C$9="Semua",$C$9="",D1253=$C$9),OR($C$10="",B1253&gt;=$C$10),OR($C$11="",B1253&lt;=$C$11),OR($C$12&lt;&gt;"Ya",K1253&lt;&gt;""),OR($C$13="Semua",$C$13="",L1253=$C$13)),"✓","")</f>
        <v/>
      </c>
      <c r="N1253" s="93">
        <f>N(N1252)+IF(M1253="✓",1,0)</f>
        <v/>
      </c>
      <c r="O1253" s="93">
        <f>N(O1252)+IF(AND(B1253&lt;&gt;"",B1253&gt;='Uang Riba'!$H$30,B1253&lt;='Uang Riba'!$I$30,OR(H1253="Dana riba",H1253="Pinjam uang riba",I1253="Pinjam dari uang riba",I1253="Ganti uang riba",I1253="Kelebihan ganti dikembalikan",AND(C1253="Kantong Uang Riba",G1253="Pengeluaran"))),1,0)</f>
        <v/>
      </c>
      <c r="X1253" s="93">
        <f>IF(AND(B1253&lt;&gt;"",B1253&gt;='Buku Akun'!$H$4,B1253&lt;='Buku Akun'!$H$5,OR(C1253='Buku Akun'!$C$4,AND(D1253="Pindah",E1253='Buku Akun'!$C$4))),B1253+IF(AND(I1253="Selisih bunga",DAY(B1253)=1),0,0.01)+ROW()/10000000,"")</f>
        <v/>
      </c>
    </row>
    <row r="1254" outlineLevel="1" ht="15" customHeight="1" s="94">
      <c r="A1254" s="123">
        <f>IF(B1254="","",ROW()-15)</f>
        <v/>
      </c>
      <c r="B1254" s="124" t="n"/>
      <c r="C1254" s="123" t="n"/>
      <c r="D1254" s="123" t="n"/>
      <c r="E1254" s="123" t="n"/>
      <c r="F1254" s="125" t="n"/>
      <c r="G1254" s="123" t="n"/>
      <c r="H1254" s="123" t="n"/>
      <c r="I1254" s="123" t="n"/>
      <c r="J1254" s="123" t="n"/>
      <c r="K1254" s="123" t="n"/>
      <c r="L1254" s="123" t="n"/>
      <c r="M1254" s="123">
        <f>IF(AND(B1254&lt;&gt;"",OR($C$4="",ISNUMBER(SEARCH($C$4,C1254&amp;" "&amp;E1254&amp;" "&amp;G1254&amp;" "&amp;H1254&amp;" "&amp;I1254&amp;" "&amp;J1254&amp;" "&amp;K1254&amp;" "&amp;L1254))),OR($C$5="Semua",$C$5="",G1254=$C$5),OR($C$6="Semua",$C$6="",H1254=$C$6,H1254="Pengeluaran "&amp;$C$6,AND($C$6="Uang Kos Mama",H1254="Pengeluaran Uang Kos")),OR($C$7="Semua",$C$7="",I1254=$C$7),OR($C$8="Semua",$C$8="",C1254=$C$8,E1254=$C$8),OR($C$9="Semua",$C$9="",D1254=$C$9),OR($C$10="",B1254&gt;=$C$10),OR($C$11="",B1254&lt;=$C$11),OR($C$12&lt;&gt;"Ya",K1254&lt;&gt;""),OR($C$13="Semua",$C$13="",L1254=$C$13)),"✓","")</f>
        <v/>
      </c>
      <c r="N1254" s="93">
        <f>N(N1253)+IF(M1254="✓",1,0)</f>
        <v/>
      </c>
      <c r="O1254" s="93">
        <f>N(O1253)+IF(AND(B1254&lt;&gt;"",B1254&gt;='Uang Riba'!$H$30,B1254&lt;='Uang Riba'!$I$30,OR(H1254="Dana riba",H1254="Pinjam uang riba",I1254="Pinjam dari uang riba",I1254="Ganti uang riba",I1254="Kelebihan ganti dikembalikan",AND(C1254="Kantong Uang Riba",G1254="Pengeluaran"))),1,0)</f>
        <v/>
      </c>
      <c r="X1254" s="93">
        <f>IF(AND(B1254&lt;&gt;"",B1254&gt;='Buku Akun'!$H$4,B1254&lt;='Buku Akun'!$H$5,OR(C1254='Buku Akun'!$C$4,AND(D1254="Pindah",E1254='Buku Akun'!$C$4))),B1254+IF(AND(I1254="Selisih bunga",DAY(B1254)=1),0,0.01)+ROW()/10000000,"")</f>
        <v/>
      </c>
    </row>
    <row r="1255" outlineLevel="1" ht="15" customHeight="1" s="94">
      <c r="A1255" s="123">
        <f>IF(B1255="","",ROW()-15)</f>
        <v/>
      </c>
      <c r="B1255" s="124" t="n"/>
      <c r="C1255" s="123" t="n"/>
      <c r="D1255" s="123" t="n"/>
      <c r="E1255" s="123" t="n"/>
      <c r="F1255" s="125" t="n"/>
      <c r="G1255" s="123" t="n"/>
      <c r="H1255" s="123" t="n"/>
      <c r="I1255" s="123" t="n"/>
      <c r="J1255" s="123" t="n"/>
      <c r="K1255" s="123" t="n"/>
      <c r="L1255" s="123" t="n"/>
      <c r="M1255" s="123">
        <f>IF(AND(B1255&lt;&gt;"",OR($C$4="",ISNUMBER(SEARCH($C$4,C1255&amp;" "&amp;E1255&amp;" "&amp;G1255&amp;" "&amp;H1255&amp;" "&amp;I1255&amp;" "&amp;J1255&amp;" "&amp;K1255&amp;" "&amp;L1255))),OR($C$5="Semua",$C$5="",G1255=$C$5),OR($C$6="Semua",$C$6="",H1255=$C$6,H1255="Pengeluaran "&amp;$C$6,AND($C$6="Uang Kos Mama",H1255="Pengeluaran Uang Kos")),OR($C$7="Semua",$C$7="",I1255=$C$7),OR($C$8="Semua",$C$8="",C1255=$C$8,E1255=$C$8),OR($C$9="Semua",$C$9="",D1255=$C$9),OR($C$10="",B1255&gt;=$C$10),OR($C$11="",B1255&lt;=$C$11),OR($C$12&lt;&gt;"Ya",K1255&lt;&gt;""),OR($C$13="Semua",$C$13="",L1255=$C$13)),"✓","")</f>
        <v/>
      </c>
      <c r="N1255" s="93">
        <f>N(N1254)+IF(M1255="✓",1,0)</f>
        <v/>
      </c>
      <c r="O1255" s="93">
        <f>N(O1254)+IF(AND(B1255&lt;&gt;"",B1255&gt;='Uang Riba'!$H$30,B1255&lt;='Uang Riba'!$I$30,OR(H1255="Dana riba",H1255="Pinjam uang riba",I1255="Pinjam dari uang riba",I1255="Ganti uang riba",I1255="Kelebihan ganti dikembalikan",AND(C1255="Kantong Uang Riba",G1255="Pengeluaran"))),1,0)</f>
        <v/>
      </c>
      <c r="X1255" s="93">
        <f>IF(AND(B1255&lt;&gt;"",B1255&gt;='Buku Akun'!$H$4,B1255&lt;='Buku Akun'!$H$5,OR(C1255='Buku Akun'!$C$4,AND(D1255="Pindah",E1255='Buku Akun'!$C$4))),B1255+IF(AND(I1255="Selisih bunga",DAY(B1255)=1),0,0.01)+ROW()/10000000,"")</f>
        <v/>
      </c>
    </row>
    <row r="1256" outlineLevel="1" ht="15" customHeight="1" s="94">
      <c r="A1256" s="123">
        <f>IF(B1256="","",ROW()-15)</f>
        <v/>
      </c>
      <c r="B1256" s="124" t="n"/>
      <c r="C1256" s="123" t="n"/>
      <c r="D1256" s="123" t="n"/>
      <c r="E1256" s="123" t="n"/>
      <c r="F1256" s="125" t="n"/>
      <c r="G1256" s="123" t="n"/>
      <c r="H1256" s="123" t="n"/>
      <c r="I1256" s="123" t="n"/>
      <c r="J1256" s="123" t="n"/>
      <c r="K1256" s="123" t="n"/>
      <c r="L1256" s="123" t="n"/>
      <c r="M1256" s="123">
        <f>IF(AND(B1256&lt;&gt;"",OR($C$4="",ISNUMBER(SEARCH($C$4,C1256&amp;" "&amp;E1256&amp;" "&amp;G1256&amp;" "&amp;H1256&amp;" "&amp;I1256&amp;" "&amp;J1256&amp;" "&amp;K1256&amp;" "&amp;L1256))),OR($C$5="Semua",$C$5="",G1256=$C$5),OR($C$6="Semua",$C$6="",H1256=$C$6,H1256="Pengeluaran "&amp;$C$6,AND($C$6="Uang Kos Mama",H1256="Pengeluaran Uang Kos")),OR($C$7="Semua",$C$7="",I1256=$C$7),OR($C$8="Semua",$C$8="",C1256=$C$8,E1256=$C$8),OR($C$9="Semua",$C$9="",D1256=$C$9),OR($C$10="",B1256&gt;=$C$10),OR($C$11="",B1256&lt;=$C$11),OR($C$12&lt;&gt;"Ya",K1256&lt;&gt;""),OR($C$13="Semua",$C$13="",L1256=$C$13)),"✓","")</f>
        <v/>
      </c>
      <c r="N1256" s="93">
        <f>N(N1255)+IF(M1256="✓",1,0)</f>
        <v/>
      </c>
      <c r="O1256" s="93">
        <f>N(O1255)+IF(AND(B1256&lt;&gt;"",B1256&gt;='Uang Riba'!$H$30,B1256&lt;='Uang Riba'!$I$30,OR(H1256="Dana riba",H1256="Pinjam uang riba",I1256="Pinjam dari uang riba",I1256="Ganti uang riba",I1256="Kelebihan ganti dikembalikan",AND(C1256="Kantong Uang Riba",G1256="Pengeluaran"))),1,0)</f>
        <v/>
      </c>
      <c r="X1256" s="93">
        <f>IF(AND(B1256&lt;&gt;"",B1256&gt;='Buku Akun'!$H$4,B1256&lt;='Buku Akun'!$H$5,OR(C1256='Buku Akun'!$C$4,AND(D1256="Pindah",E1256='Buku Akun'!$C$4))),B1256+IF(AND(I1256="Selisih bunga",DAY(B1256)=1),0,0.01)+ROW()/10000000,"")</f>
        <v/>
      </c>
    </row>
    <row r="1257" outlineLevel="1" ht="15" customHeight="1" s="94">
      <c r="A1257" s="123">
        <f>IF(B1257="","",ROW()-15)</f>
        <v/>
      </c>
      <c r="B1257" s="124" t="n"/>
      <c r="C1257" s="123" t="n"/>
      <c r="D1257" s="123" t="n"/>
      <c r="E1257" s="123" t="n"/>
      <c r="F1257" s="125" t="n"/>
      <c r="G1257" s="123" t="n"/>
      <c r="H1257" s="123" t="n"/>
      <c r="I1257" s="123" t="n"/>
      <c r="J1257" s="123" t="n"/>
      <c r="K1257" s="123" t="n"/>
      <c r="L1257" s="123" t="n"/>
      <c r="M1257" s="123">
        <f>IF(AND(B1257&lt;&gt;"",OR($C$4="",ISNUMBER(SEARCH($C$4,C1257&amp;" "&amp;E1257&amp;" "&amp;G1257&amp;" "&amp;H1257&amp;" "&amp;I1257&amp;" "&amp;J1257&amp;" "&amp;K1257&amp;" "&amp;L1257))),OR($C$5="Semua",$C$5="",G1257=$C$5),OR($C$6="Semua",$C$6="",H1257=$C$6,H1257="Pengeluaran "&amp;$C$6,AND($C$6="Uang Kos Mama",H1257="Pengeluaran Uang Kos")),OR($C$7="Semua",$C$7="",I1257=$C$7),OR($C$8="Semua",$C$8="",C1257=$C$8,E1257=$C$8),OR($C$9="Semua",$C$9="",D1257=$C$9),OR($C$10="",B1257&gt;=$C$10),OR($C$11="",B1257&lt;=$C$11),OR($C$12&lt;&gt;"Ya",K1257&lt;&gt;""),OR($C$13="Semua",$C$13="",L1257=$C$13)),"✓","")</f>
        <v/>
      </c>
      <c r="N1257" s="93">
        <f>N(N1256)+IF(M1257="✓",1,0)</f>
        <v/>
      </c>
      <c r="O1257" s="93">
        <f>N(O1256)+IF(AND(B1257&lt;&gt;"",B1257&gt;='Uang Riba'!$H$30,B1257&lt;='Uang Riba'!$I$30,OR(H1257="Dana riba",H1257="Pinjam uang riba",I1257="Pinjam dari uang riba",I1257="Ganti uang riba",I1257="Kelebihan ganti dikembalikan",AND(C1257="Kantong Uang Riba",G1257="Pengeluaran"))),1,0)</f>
        <v/>
      </c>
      <c r="X1257" s="93">
        <f>IF(AND(B1257&lt;&gt;"",B1257&gt;='Buku Akun'!$H$4,B1257&lt;='Buku Akun'!$H$5,OR(C1257='Buku Akun'!$C$4,AND(D1257="Pindah",E1257='Buku Akun'!$C$4))),B1257+IF(AND(I1257="Selisih bunga",DAY(B1257)=1),0,0.01)+ROW()/10000000,"")</f>
        <v/>
      </c>
    </row>
    <row r="1258" outlineLevel="1" ht="15" customHeight="1" s="94">
      <c r="A1258" s="123">
        <f>IF(B1258="","",ROW()-15)</f>
        <v/>
      </c>
      <c r="B1258" s="124" t="n"/>
      <c r="C1258" s="123" t="n"/>
      <c r="D1258" s="123" t="n"/>
      <c r="E1258" s="123" t="n"/>
      <c r="F1258" s="125" t="n"/>
      <c r="G1258" s="123" t="n"/>
      <c r="H1258" s="123" t="n"/>
      <c r="I1258" s="123" t="n"/>
      <c r="J1258" s="123" t="n"/>
      <c r="K1258" s="123" t="n"/>
      <c r="L1258" s="123" t="n"/>
      <c r="M1258" s="123">
        <f>IF(AND(B1258&lt;&gt;"",OR($C$4="",ISNUMBER(SEARCH($C$4,C1258&amp;" "&amp;E1258&amp;" "&amp;G1258&amp;" "&amp;H1258&amp;" "&amp;I1258&amp;" "&amp;J1258&amp;" "&amp;K1258&amp;" "&amp;L1258))),OR($C$5="Semua",$C$5="",G1258=$C$5),OR($C$6="Semua",$C$6="",H1258=$C$6,H1258="Pengeluaran "&amp;$C$6,AND($C$6="Uang Kos Mama",H1258="Pengeluaran Uang Kos")),OR($C$7="Semua",$C$7="",I1258=$C$7),OR($C$8="Semua",$C$8="",C1258=$C$8,E1258=$C$8),OR($C$9="Semua",$C$9="",D1258=$C$9),OR($C$10="",B1258&gt;=$C$10),OR($C$11="",B1258&lt;=$C$11),OR($C$12&lt;&gt;"Ya",K1258&lt;&gt;""),OR($C$13="Semua",$C$13="",L1258=$C$13)),"✓","")</f>
        <v/>
      </c>
      <c r="N1258" s="93">
        <f>N(N1257)+IF(M1258="✓",1,0)</f>
        <v/>
      </c>
      <c r="O1258" s="93">
        <f>N(O1257)+IF(AND(B1258&lt;&gt;"",B1258&gt;='Uang Riba'!$H$30,B1258&lt;='Uang Riba'!$I$30,OR(H1258="Dana riba",H1258="Pinjam uang riba",I1258="Pinjam dari uang riba",I1258="Ganti uang riba",I1258="Kelebihan ganti dikembalikan",AND(C1258="Kantong Uang Riba",G1258="Pengeluaran"))),1,0)</f>
        <v/>
      </c>
      <c r="X1258" s="93">
        <f>IF(AND(B1258&lt;&gt;"",B1258&gt;='Buku Akun'!$H$4,B1258&lt;='Buku Akun'!$H$5,OR(C1258='Buku Akun'!$C$4,AND(D1258="Pindah",E1258='Buku Akun'!$C$4))),B1258+IF(AND(I1258="Selisih bunga",DAY(B1258)=1),0,0.01)+ROW()/10000000,"")</f>
        <v/>
      </c>
    </row>
    <row r="1259" outlineLevel="1" ht="15" customHeight="1" s="94">
      <c r="A1259" s="123">
        <f>IF(B1259="","",ROW()-15)</f>
        <v/>
      </c>
      <c r="B1259" s="124" t="n"/>
      <c r="C1259" s="123" t="n"/>
      <c r="D1259" s="123" t="n"/>
      <c r="E1259" s="123" t="n"/>
      <c r="F1259" s="125" t="n"/>
      <c r="G1259" s="123" t="n"/>
      <c r="H1259" s="123" t="n"/>
      <c r="I1259" s="123" t="n"/>
      <c r="J1259" s="123" t="n"/>
      <c r="K1259" s="123" t="n"/>
      <c r="L1259" s="123" t="n"/>
      <c r="M1259" s="123">
        <f>IF(AND(B1259&lt;&gt;"",OR($C$4="",ISNUMBER(SEARCH($C$4,C1259&amp;" "&amp;E1259&amp;" "&amp;G1259&amp;" "&amp;H1259&amp;" "&amp;I1259&amp;" "&amp;J1259&amp;" "&amp;K1259&amp;" "&amp;L1259))),OR($C$5="Semua",$C$5="",G1259=$C$5),OR($C$6="Semua",$C$6="",H1259=$C$6,H1259="Pengeluaran "&amp;$C$6,AND($C$6="Uang Kos Mama",H1259="Pengeluaran Uang Kos")),OR($C$7="Semua",$C$7="",I1259=$C$7),OR($C$8="Semua",$C$8="",C1259=$C$8,E1259=$C$8),OR($C$9="Semua",$C$9="",D1259=$C$9),OR($C$10="",B1259&gt;=$C$10),OR($C$11="",B1259&lt;=$C$11),OR($C$12&lt;&gt;"Ya",K1259&lt;&gt;""),OR($C$13="Semua",$C$13="",L1259=$C$13)),"✓","")</f>
        <v/>
      </c>
      <c r="N1259" s="93">
        <f>N(N1258)+IF(M1259="✓",1,0)</f>
        <v/>
      </c>
      <c r="O1259" s="93">
        <f>N(O1258)+IF(AND(B1259&lt;&gt;"",B1259&gt;='Uang Riba'!$H$30,B1259&lt;='Uang Riba'!$I$30,OR(H1259="Dana riba",H1259="Pinjam uang riba",I1259="Pinjam dari uang riba",I1259="Ganti uang riba",I1259="Kelebihan ganti dikembalikan",AND(C1259="Kantong Uang Riba",G1259="Pengeluaran"))),1,0)</f>
        <v/>
      </c>
      <c r="X1259" s="93">
        <f>IF(AND(B1259&lt;&gt;"",B1259&gt;='Buku Akun'!$H$4,B1259&lt;='Buku Akun'!$H$5,OR(C1259='Buku Akun'!$C$4,AND(D1259="Pindah",E1259='Buku Akun'!$C$4))),B1259+IF(AND(I1259="Selisih bunga",DAY(B1259)=1),0,0.01)+ROW()/10000000,"")</f>
        <v/>
      </c>
    </row>
    <row r="1260" outlineLevel="1" ht="15" customHeight="1" s="94">
      <c r="A1260" s="123">
        <f>IF(B1260="","",ROW()-15)</f>
        <v/>
      </c>
      <c r="B1260" s="124" t="n"/>
      <c r="C1260" s="123" t="n"/>
      <c r="D1260" s="123" t="n"/>
      <c r="E1260" s="123" t="n"/>
      <c r="F1260" s="125" t="n"/>
      <c r="G1260" s="123" t="n"/>
      <c r="H1260" s="123" t="n"/>
      <c r="I1260" s="123" t="n"/>
      <c r="J1260" s="123" t="n"/>
      <c r="K1260" s="123" t="n"/>
      <c r="L1260" s="123" t="n"/>
      <c r="M1260" s="123">
        <f>IF(AND(B1260&lt;&gt;"",OR($C$4="",ISNUMBER(SEARCH($C$4,C1260&amp;" "&amp;E1260&amp;" "&amp;G1260&amp;" "&amp;H1260&amp;" "&amp;I1260&amp;" "&amp;J1260&amp;" "&amp;K1260&amp;" "&amp;L1260))),OR($C$5="Semua",$C$5="",G1260=$C$5),OR($C$6="Semua",$C$6="",H1260=$C$6,H1260="Pengeluaran "&amp;$C$6,AND($C$6="Uang Kos Mama",H1260="Pengeluaran Uang Kos")),OR($C$7="Semua",$C$7="",I1260=$C$7),OR($C$8="Semua",$C$8="",C1260=$C$8,E1260=$C$8),OR($C$9="Semua",$C$9="",D1260=$C$9),OR($C$10="",B1260&gt;=$C$10),OR($C$11="",B1260&lt;=$C$11),OR($C$12&lt;&gt;"Ya",K1260&lt;&gt;""),OR($C$13="Semua",$C$13="",L1260=$C$13)),"✓","")</f>
        <v/>
      </c>
      <c r="N1260" s="93">
        <f>N(N1259)+IF(M1260="✓",1,0)</f>
        <v/>
      </c>
      <c r="O1260" s="93">
        <f>N(O1259)+IF(AND(B1260&lt;&gt;"",B1260&gt;='Uang Riba'!$H$30,B1260&lt;='Uang Riba'!$I$30,OR(H1260="Dana riba",H1260="Pinjam uang riba",I1260="Pinjam dari uang riba",I1260="Ganti uang riba",I1260="Kelebihan ganti dikembalikan",AND(C1260="Kantong Uang Riba",G1260="Pengeluaran"))),1,0)</f>
        <v/>
      </c>
      <c r="X1260" s="93">
        <f>IF(AND(B1260&lt;&gt;"",B1260&gt;='Buku Akun'!$H$4,B1260&lt;='Buku Akun'!$H$5,OR(C1260='Buku Akun'!$C$4,AND(D1260="Pindah",E1260='Buku Akun'!$C$4))),B1260+IF(AND(I1260="Selisih bunga",DAY(B1260)=1),0,0.01)+ROW()/10000000,"")</f>
        <v/>
      </c>
    </row>
    <row r="1261" outlineLevel="1" ht="15" customHeight="1" s="94">
      <c r="A1261" s="123">
        <f>IF(B1261="","",ROW()-15)</f>
        <v/>
      </c>
      <c r="B1261" s="124" t="n"/>
      <c r="C1261" s="123" t="n"/>
      <c r="D1261" s="123" t="n"/>
      <c r="E1261" s="123" t="n"/>
      <c r="F1261" s="125" t="n"/>
      <c r="G1261" s="123" t="n"/>
      <c r="H1261" s="123" t="n"/>
      <c r="I1261" s="123" t="n"/>
      <c r="J1261" s="123" t="n"/>
      <c r="K1261" s="123" t="n"/>
      <c r="L1261" s="123" t="n"/>
      <c r="M1261" s="123">
        <f>IF(AND(B1261&lt;&gt;"",OR($C$4="",ISNUMBER(SEARCH($C$4,C1261&amp;" "&amp;E1261&amp;" "&amp;G1261&amp;" "&amp;H1261&amp;" "&amp;I1261&amp;" "&amp;J1261&amp;" "&amp;K1261&amp;" "&amp;L1261))),OR($C$5="Semua",$C$5="",G1261=$C$5),OR($C$6="Semua",$C$6="",H1261=$C$6,H1261="Pengeluaran "&amp;$C$6,AND($C$6="Uang Kos Mama",H1261="Pengeluaran Uang Kos")),OR($C$7="Semua",$C$7="",I1261=$C$7),OR($C$8="Semua",$C$8="",C1261=$C$8,E1261=$C$8),OR($C$9="Semua",$C$9="",D1261=$C$9),OR($C$10="",B1261&gt;=$C$10),OR($C$11="",B1261&lt;=$C$11),OR($C$12&lt;&gt;"Ya",K1261&lt;&gt;""),OR($C$13="Semua",$C$13="",L1261=$C$13)),"✓","")</f>
        <v/>
      </c>
      <c r="N1261" s="93">
        <f>N(N1260)+IF(M1261="✓",1,0)</f>
        <v/>
      </c>
      <c r="O1261" s="93">
        <f>N(O1260)+IF(AND(B1261&lt;&gt;"",B1261&gt;='Uang Riba'!$H$30,B1261&lt;='Uang Riba'!$I$30,OR(H1261="Dana riba",H1261="Pinjam uang riba",I1261="Pinjam dari uang riba",I1261="Ganti uang riba",I1261="Kelebihan ganti dikembalikan",AND(C1261="Kantong Uang Riba",G1261="Pengeluaran"))),1,0)</f>
        <v/>
      </c>
      <c r="X1261" s="93">
        <f>IF(AND(B1261&lt;&gt;"",B1261&gt;='Buku Akun'!$H$4,B1261&lt;='Buku Akun'!$H$5,OR(C1261='Buku Akun'!$C$4,AND(D1261="Pindah",E1261='Buku Akun'!$C$4))),B1261+IF(AND(I1261="Selisih bunga",DAY(B1261)=1),0,0.01)+ROW()/10000000,"")</f>
        <v/>
      </c>
    </row>
    <row r="1262" outlineLevel="1" ht="15" customHeight="1" s="94">
      <c r="A1262" s="123">
        <f>IF(B1262="","",ROW()-15)</f>
        <v/>
      </c>
      <c r="B1262" s="124" t="n"/>
      <c r="C1262" s="123" t="n"/>
      <c r="D1262" s="123" t="n"/>
      <c r="E1262" s="123" t="n"/>
      <c r="F1262" s="125" t="n"/>
      <c r="G1262" s="123" t="n"/>
      <c r="H1262" s="123" t="n"/>
      <c r="I1262" s="123" t="n"/>
      <c r="J1262" s="123" t="n"/>
      <c r="K1262" s="123" t="n"/>
      <c r="L1262" s="123" t="n"/>
      <c r="M1262" s="123">
        <f>IF(AND(B1262&lt;&gt;"",OR($C$4="",ISNUMBER(SEARCH($C$4,C1262&amp;" "&amp;E1262&amp;" "&amp;G1262&amp;" "&amp;H1262&amp;" "&amp;I1262&amp;" "&amp;J1262&amp;" "&amp;K1262&amp;" "&amp;L1262))),OR($C$5="Semua",$C$5="",G1262=$C$5),OR($C$6="Semua",$C$6="",H1262=$C$6,H1262="Pengeluaran "&amp;$C$6,AND($C$6="Uang Kos Mama",H1262="Pengeluaran Uang Kos")),OR($C$7="Semua",$C$7="",I1262=$C$7),OR($C$8="Semua",$C$8="",C1262=$C$8,E1262=$C$8),OR($C$9="Semua",$C$9="",D1262=$C$9),OR($C$10="",B1262&gt;=$C$10),OR($C$11="",B1262&lt;=$C$11),OR($C$12&lt;&gt;"Ya",K1262&lt;&gt;""),OR($C$13="Semua",$C$13="",L1262=$C$13)),"✓","")</f>
        <v/>
      </c>
      <c r="N1262" s="93">
        <f>N(N1261)+IF(M1262="✓",1,0)</f>
        <v/>
      </c>
      <c r="O1262" s="93">
        <f>N(O1261)+IF(AND(B1262&lt;&gt;"",B1262&gt;='Uang Riba'!$H$30,B1262&lt;='Uang Riba'!$I$30,OR(H1262="Dana riba",H1262="Pinjam uang riba",I1262="Pinjam dari uang riba",I1262="Ganti uang riba",I1262="Kelebihan ganti dikembalikan",AND(C1262="Kantong Uang Riba",G1262="Pengeluaran"))),1,0)</f>
        <v/>
      </c>
      <c r="X1262" s="93">
        <f>IF(AND(B1262&lt;&gt;"",B1262&gt;='Buku Akun'!$H$4,B1262&lt;='Buku Akun'!$H$5,OR(C1262='Buku Akun'!$C$4,AND(D1262="Pindah",E1262='Buku Akun'!$C$4))),B1262+IF(AND(I1262="Selisih bunga",DAY(B1262)=1),0,0.01)+ROW()/10000000,"")</f>
        <v/>
      </c>
    </row>
    <row r="1263" outlineLevel="1" ht="15" customHeight="1" s="94">
      <c r="A1263" s="123">
        <f>IF(B1263="","",ROW()-15)</f>
        <v/>
      </c>
      <c r="B1263" s="124" t="n"/>
      <c r="C1263" s="123" t="n"/>
      <c r="D1263" s="123" t="n"/>
      <c r="E1263" s="123" t="n"/>
      <c r="F1263" s="125" t="n"/>
      <c r="G1263" s="123" t="n"/>
      <c r="H1263" s="123" t="n"/>
      <c r="I1263" s="123" t="n"/>
      <c r="J1263" s="123" t="n"/>
      <c r="K1263" s="123" t="n"/>
      <c r="L1263" s="123" t="n"/>
      <c r="M1263" s="123">
        <f>IF(AND(B1263&lt;&gt;"",OR($C$4="",ISNUMBER(SEARCH($C$4,C1263&amp;" "&amp;E1263&amp;" "&amp;G1263&amp;" "&amp;H1263&amp;" "&amp;I1263&amp;" "&amp;J1263&amp;" "&amp;K1263&amp;" "&amp;L1263))),OR($C$5="Semua",$C$5="",G1263=$C$5),OR($C$6="Semua",$C$6="",H1263=$C$6,H1263="Pengeluaran "&amp;$C$6,AND($C$6="Uang Kos Mama",H1263="Pengeluaran Uang Kos")),OR($C$7="Semua",$C$7="",I1263=$C$7),OR($C$8="Semua",$C$8="",C1263=$C$8,E1263=$C$8),OR($C$9="Semua",$C$9="",D1263=$C$9),OR($C$10="",B1263&gt;=$C$10),OR($C$11="",B1263&lt;=$C$11),OR($C$12&lt;&gt;"Ya",K1263&lt;&gt;""),OR($C$13="Semua",$C$13="",L1263=$C$13)),"✓","")</f>
        <v/>
      </c>
      <c r="N1263" s="93">
        <f>N(N1262)+IF(M1263="✓",1,0)</f>
        <v/>
      </c>
      <c r="O1263" s="93">
        <f>N(O1262)+IF(AND(B1263&lt;&gt;"",B1263&gt;='Uang Riba'!$H$30,B1263&lt;='Uang Riba'!$I$30,OR(H1263="Dana riba",H1263="Pinjam uang riba",I1263="Pinjam dari uang riba",I1263="Ganti uang riba",I1263="Kelebihan ganti dikembalikan",AND(C1263="Kantong Uang Riba",G1263="Pengeluaran"))),1,0)</f>
        <v/>
      </c>
      <c r="X1263" s="93">
        <f>IF(AND(B1263&lt;&gt;"",B1263&gt;='Buku Akun'!$H$4,B1263&lt;='Buku Akun'!$H$5,OR(C1263='Buku Akun'!$C$4,AND(D1263="Pindah",E1263='Buku Akun'!$C$4))),B1263+IF(AND(I1263="Selisih bunga",DAY(B1263)=1),0,0.01)+ROW()/10000000,"")</f>
        <v/>
      </c>
    </row>
    <row r="1264" outlineLevel="1" ht="15" customHeight="1" s="94">
      <c r="A1264" s="123">
        <f>IF(B1264="","",ROW()-15)</f>
        <v/>
      </c>
      <c r="B1264" s="124" t="n"/>
      <c r="C1264" s="123" t="n"/>
      <c r="D1264" s="123" t="n"/>
      <c r="E1264" s="123" t="n"/>
      <c r="F1264" s="125" t="n"/>
      <c r="G1264" s="123" t="n"/>
      <c r="H1264" s="123" t="n"/>
      <c r="I1264" s="123" t="n"/>
      <c r="J1264" s="123" t="n"/>
      <c r="K1264" s="123" t="n"/>
      <c r="L1264" s="123" t="n"/>
      <c r="M1264" s="123">
        <f>IF(AND(B1264&lt;&gt;"",OR($C$4="",ISNUMBER(SEARCH($C$4,C1264&amp;" "&amp;E1264&amp;" "&amp;G1264&amp;" "&amp;H1264&amp;" "&amp;I1264&amp;" "&amp;J1264&amp;" "&amp;K1264&amp;" "&amp;L1264))),OR($C$5="Semua",$C$5="",G1264=$C$5),OR($C$6="Semua",$C$6="",H1264=$C$6,H1264="Pengeluaran "&amp;$C$6,AND($C$6="Uang Kos Mama",H1264="Pengeluaran Uang Kos")),OR($C$7="Semua",$C$7="",I1264=$C$7),OR($C$8="Semua",$C$8="",C1264=$C$8,E1264=$C$8),OR($C$9="Semua",$C$9="",D1264=$C$9),OR($C$10="",B1264&gt;=$C$10),OR($C$11="",B1264&lt;=$C$11),OR($C$12&lt;&gt;"Ya",K1264&lt;&gt;""),OR($C$13="Semua",$C$13="",L1264=$C$13)),"✓","")</f>
        <v/>
      </c>
      <c r="N1264" s="93">
        <f>N(N1263)+IF(M1264="✓",1,0)</f>
        <v/>
      </c>
      <c r="O1264" s="93">
        <f>N(O1263)+IF(AND(B1264&lt;&gt;"",B1264&gt;='Uang Riba'!$H$30,B1264&lt;='Uang Riba'!$I$30,OR(H1264="Dana riba",H1264="Pinjam uang riba",I1264="Pinjam dari uang riba",I1264="Ganti uang riba",I1264="Kelebihan ganti dikembalikan",AND(C1264="Kantong Uang Riba",G1264="Pengeluaran"))),1,0)</f>
        <v/>
      </c>
      <c r="X1264" s="93">
        <f>IF(AND(B1264&lt;&gt;"",B1264&gt;='Buku Akun'!$H$4,B1264&lt;='Buku Akun'!$H$5,OR(C1264='Buku Akun'!$C$4,AND(D1264="Pindah",E1264='Buku Akun'!$C$4))),B1264+IF(AND(I1264="Selisih bunga",DAY(B1264)=1),0,0.01)+ROW()/10000000,"")</f>
        <v/>
      </c>
    </row>
    <row r="1265" outlineLevel="1" ht="15" customHeight="1" s="94">
      <c r="A1265" s="123">
        <f>IF(B1265="","",ROW()-15)</f>
        <v/>
      </c>
      <c r="B1265" s="124" t="n"/>
      <c r="C1265" s="123" t="n"/>
      <c r="D1265" s="123" t="n"/>
      <c r="E1265" s="123" t="n"/>
      <c r="F1265" s="125" t="n"/>
      <c r="G1265" s="123" t="n"/>
      <c r="H1265" s="123" t="n"/>
      <c r="I1265" s="123" t="n"/>
      <c r="J1265" s="123" t="n"/>
      <c r="K1265" s="123" t="n"/>
      <c r="L1265" s="123" t="n"/>
      <c r="M1265" s="123">
        <f>IF(AND(B1265&lt;&gt;"",OR($C$4="",ISNUMBER(SEARCH($C$4,C1265&amp;" "&amp;E1265&amp;" "&amp;G1265&amp;" "&amp;H1265&amp;" "&amp;I1265&amp;" "&amp;J1265&amp;" "&amp;K1265&amp;" "&amp;L1265))),OR($C$5="Semua",$C$5="",G1265=$C$5),OR($C$6="Semua",$C$6="",H1265=$C$6,H1265="Pengeluaran "&amp;$C$6,AND($C$6="Uang Kos Mama",H1265="Pengeluaran Uang Kos")),OR($C$7="Semua",$C$7="",I1265=$C$7),OR($C$8="Semua",$C$8="",C1265=$C$8,E1265=$C$8),OR($C$9="Semua",$C$9="",D1265=$C$9),OR($C$10="",B1265&gt;=$C$10),OR($C$11="",B1265&lt;=$C$11),OR($C$12&lt;&gt;"Ya",K1265&lt;&gt;""),OR($C$13="Semua",$C$13="",L1265=$C$13)),"✓","")</f>
        <v/>
      </c>
      <c r="N1265" s="93">
        <f>N(N1264)+IF(M1265="✓",1,0)</f>
        <v/>
      </c>
      <c r="O1265" s="93">
        <f>N(O1264)+IF(AND(B1265&lt;&gt;"",B1265&gt;='Uang Riba'!$H$30,B1265&lt;='Uang Riba'!$I$30,OR(H1265="Dana riba",H1265="Pinjam uang riba",I1265="Pinjam dari uang riba",I1265="Ganti uang riba",I1265="Kelebihan ganti dikembalikan",AND(C1265="Kantong Uang Riba",G1265="Pengeluaran"))),1,0)</f>
        <v/>
      </c>
      <c r="X1265" s="93">
        <f>IF(AND(B1265&lt;&gt;"",B1265&gt;='Buku Akun'!$H$4,B1265&lt;='Buku Akun'!$H$5,OR(C1265='Buku Akun'!$C$4,AND(D1265="Pindah",E1265='Buku Akun'!$C$4))),B1265+IF(AND(I1265="Selisih bunga",DAY(B1265)=1),0,0.01)+ROW()/10000000,"")</f>
        <v/>
      </c>
    </row>
    <row r="1266" outlineLevel="1" ht="15" customHeight="1" s="94">
      <c r="A1266" s="123">
        <f>IF(B1266="","",ROW()-15)</f>
        <v/>
      </c>
      <c r="B1266" s="124" t="n"/>
      <c r="C1266" s="123" t="n"/>
      <c r="D1266" s="123" t="n"/>
      <c r="E1266" s="123" t="n"/>
      <c r="F1266" s="125" t="n"/>
      <c r="G1266" s="123" t="n"/>
      <c r="H1266" s="123" t="n"/>
      <c r="I1266" s="123" t="n"/>
      <c r="J1266" s="123" t="n"/>
      <c r="K1266" s="123" t="n"/>
      <c r="L1266" s="123" t="n"/>
      <c r="M1266" s="123">
        <f>IF(AND(B1266&lt;&gt;"",OR($C$4="",ISNUMBER(SEARCH($C$4,C1266&amp;" "&amp;E1266&amp;" "&amp;G1266&amp;" "&amp;H1266&amp;" "&amp;I1266&amp;" "&amp;J1266&amp;" "&amp;K1266&amp;" "&amp;L1266))),OR($C$5="Semua",$C$5="",G1266=$C$5),OR($C$6="Semua",$C$6="",H1266=$C$6,H1266="Pengeluaran "&amp;$C$6,AND($C$6="Uang Kos Mama",H1266="Pengeluaran Uang Kos")),OR($C$7="Semua",$C$7="",I1266=$C$7),OR($C$8="Semua",$C$8="",C1266=$C$8,E1266=$C$8),OR($C$9="Semua",$C$9="",D1266=$C$9),OR($C$10="",B1266&gt;=$C$10),OR($C$11="",B1266&lt;=$C$11),OR($C$12&lt;&gt;"Ya",K1266&lt;&gt;""),OR($C$13="Semua",$C$13="",L1266=$C$13)),"✓","")</f>
        <v/>
      </c>
      <c r="N1266" s="93">
        <f>N(N1265)+IF(M1266="✓",1,0)</f>
        <v/>
      </c>
      <c r="O1266" s="93">
        <f>N(O1265)+IF(AND(B1266&lt;&gt;"",B1266&gt;='Uang Riba'!$H$30,B1266&lt;='Uang Riba'!$I$30,OR(H1266="Dana riba",H1266="Pinjam uang riba",I1266="Pinjam dari uang riba",I1266="Ganti uang riba",I1266="Kelebihan ganti dikembalikan",AND(C1266="Kantong Uang Riba",G1266="Pengeluaran"))),1,0)</f>
        <v/>
      </c>
      <c r="X1266" s="93">
        <f>IF(AND(B1266&lt;&gt;"",B1266&gt;='Buku Akun'!$H$4,B1266&lt;='Buku Akun'!$H$5,OR(C1266='Buku Akun'!$C$4,AND(D1266="Pindah",E1266='Buku Akun'!$C$4))),B1266+IF(AND(I1266="Selisih bunga",DAY(B1266)=1),0,0.01)+ROW()/10000000,"")</f>
        <v/>
      </c>
    </row>
    <row r="1267" outlineLevel="1" ht="15" customHeight="1" s="94">
      <c r="A1267" s="123">
        <f>IF(B1267="","",ROW()-15)</f>
        <v/>
      </c>
      <c r="B1267" s="124" t="n"/>
      <c r="C1267" s="123" t="n"/>
      <c r="D1267" s="123" t="n"/>
      <c r="E1267" s="123" t="n"/>
      <c r="F1267" s="125" t="n"/>
      <c r="G1267" s="123" t="n"/>
      <c r="H1267" s="123" t="n"/>
      <c r="I1267" s="123" t="n"/>
      <c r="J1267" s="123" t="n"/>
      <c r="K1267" s="123" t="n"/>
      <c r="L1267" s="123" t="n"/>
      <c r="M1267" s="123">
        <f>IF(AND(B1267&lt;&gt;"",OR($C$4="",ISNUMBER(SEARCH($C$4,C1267&amp;" "&amp;E1267&amp;" "&amp;G1267&amp;" "&amp;H1267&amp;" "&amp;I1267&amp;" "&amp;J1267&amp;" "&amp;K1267&amp;" "&amp;L1267))),OR($C$5="Semua",$C$5="",G1267=$C$5),OR($C$6="Semua",$C$6="",H1267=$C$6,H1267="Pengeluaran "&amp;$C$6,AND($C$6="Uang Kos Mama",H1267="Pengeluaran Uang Kos")),OR($C$7="Semua",$C$7="",I1267=$C$7),OR($C$8="Semua",$C$8="",C1267=$C$8,E1267=$C$8),OR($C$9="Semua",$C$9="",D1267=$C$9),OR($C$10="",B1267&gt;=$C$10),OR($C$11="",B1267&lt;=$C$11),OR($C$12&lt;&gt;"Ya",K1267&lt;&gt;""),OR($C$13="Semua",$C$13="",L1267=$C$13)),"✓","")</f>
        <v/>
      </c>
      <c r="N1267" s="93">
        <f>N(N1266)+IF(M1267="✓",1,0)</f>
        <v/>
      </c>
      <c r="O1267" s="93">
        <f>N(O1266)+IF(AND(B1267&lt;&gt;"",B1267&gt;='Uang Riba'!$H$30,B1267&lt;='Uang Riba'!$I$30,OR(H1267="Dana riba",H1267="Pinjam uang riba",I1267="Pinjam dari uang riba",I1267="Ganti uang riba",I1267="Kelebihan ganti dikembalikan",AND(C1267="Kantong Uang Riba",G1267="Pengeluaran"))),1,0)</f>
        <v/>
      </c>
      <c r="X1267" s="93">
        <f>IF(AND(B1267&lt;&gt;"",B1267&gt;='Buku Akun'!$H$4,B1267&lt;='Buku Akun'!$H$5,OR(C1267='Buku Akun'!$C$4,AND(D1267="Pindah",E1267='Buku Akun'!$C$4))),B1267+IF(AND(I1267="Selisih bunga",DAY(B1267)=1),0,0.01)+ROW()/10000000,"")</f>
        <v/>
      </c>
    </row>
    <row r="1268" outlineLevel="1" ht="15" customHeight="1" s="94">
      <c r="A1268" s="123">
        <f>IF(B1268="","",ROW()-15)</f>
        <v/>
      </c>
      <c r="B1268" s="124" t="n"/>
      <c r="C1268" s="123" t="n"/>
      <c r="D1268" s="123" t="n"/>
      <c r="E1268" s="123" t="n"/>
      <c r="F1268" s="125" t="n"/>
      <c r="G1268" s="123" t="n"/>
      <c r="H1268" s="123" t="n"/>
      <c r="I1268" s="123" t="n"/>
      <c r="J1268" s="123" t="n"/>
      <c r="K1268" s="123" t="n"/>
      <c r="L1268" s="123" t="n"/>
      <c r="M1268" s="123">
        <f>IF(AND(B1268&lt;&gt;"",OR($C$4="",ISNUMBER(SEARCH($C$4,C1268&amp;" "&amp;E1268&amp;" "&amp;G1268&amp;" "&amp;H1268&amp;" "&amp;I1268&amp;" "&amp;J1268&amp;" "&amp;K1268&amp;" "&amp;L1268))),OR($C$5="Semua",$C$5="",G1268=$C$5),OR($C$6="Semua",$C$6="",H1268=$C$6,H1268="Pengeluaran "&amp;$C$6,AND($C$6="Uang Kos Mama",H1268="Pengeluaran Uang Kos")),OR($C$7="Semua",$C$7="",I1268=$C$7),OR($C$8="Semua",$C$8="",C1268=$C$8,E1268=$C$8),OR($C$9="Semua",$C$9="",D1268=$C$9),OR($C$10="",B1268&gt;=$C$10),OR($C$11="",B1268&lt;=$C$11),OR($C$12&lt;&gt;"Ya",K1268&lt;&gt;""),OR($C$13="Semua",$C$13="",L1268=$C$13)),"✓","")</f>
        <v/>
      </c>
      <c r="N1268" s="93">
        <f>N(N1267)+IF(M1268="✓",1,0)</f>
        <v/>
      </c>
      <c r="O1268" s="93">
        <f>N(O1267)+IF(AND(B1268&lt;&gt;"",B1268&gt;='Uang Riba'!$H$30,B1268&lt;='Uang Riba'!$I$30,OR(H1268="Dana riba",H1268="Pinjam uang riba",I1268="Pinjam dari uang riba",I1268="Ganti uang riba",I1268="Kelebihan ganti dikembalikan",AND(C1268="Kantong Uang Riba",G1268="Pengeluaran"))),1,0)</f>
        <v/>
      </c>
      <c r="X1268" s="93">
        <f>IF(AND(B1268&lt;&gt;"",B1268&gt;='Buku Akun'!$H$4,B1268&lt;='Buku Akun'!$H$5,OR(C1268='Buku Akun'!$C$4,AND(D1268="Pindah",E1268='Buku Akun'!$C$4))),B1268+IF(AND(I1268="Selisih bunga",DAY(B1268)=1),0,0.01)+ROW()/10000000,"")</f>
        <v/>
      </c>
    </row>
    <row r="1269" outlineLevel="1" ht="15" customHeight="1" s="94">
      <c r="A1269" s="123">
        <f>IF(B1269="","",ROW()-15)</f>
        <v/>
      </c>
      <c r="B1269" s="124" t="n"/>
      <c r="C1269" s="123" t="n"/>
      <c r="D1269" s="123" t="n"/>
      <c r="E1269" s="123" t="n"/>
      <c r="F1269" s="125" t="n"/>
      <c r="G1269" s="123" t="n"/>
      <c r="H1269" s="123" t="n"/>
      <c r="I1269" s="123" t="n"/>
      <c r="J1269" s="123" t="n"/>
      <c r="K1269" s="123" t="n"/>
      <c r="L1269" s="123" t="n"/>
      <c r="M1269" s="123">
        <f>IF(AND(B1269&lt;&gt;"",OR($C$4="",ISNUMBER(SEARCH($C$4,C1269&amp;" "&amp;E1269&amp;" "&amp;G1269&amp;" "&amp;H1269&amp;" "&amp;I1269&amp;" "&amp;J1269&amp;" "&amp;K1269&amp;" "&amp;L1269))),OR($C$5="Semua",$C$5="",G1269=$C$5),OR($C$6="Semua",$C$6="",H1269=$C$6,H1269="Pengeluaran "&amp;$C$6,AND($C$6="Uang Kos Mama",H1269="Pengeluaran Uang Kos")),OR($C$7="Semua",$C$7="",I1269=$C$7),OR($C$8="Semua",$C$8="",C1269=$C$8,E1269=$C$8),OR($C$9="Semua",$C$9="",D1269=$C$9),OR($C$10="",B1269&gt;=$C$10),OR($C$11="",B1269&lt;=$C$11),OR($C$12&lt;&gt;"Ya",K1269&lt;&gt;""),OR($C$13="Semua",$C$13="",L1269=$C$13)),"✓","")</f>
        <v/>
      </c>
      <c r="N1269" s="93">
        <f>N(N1268)+IF(M1269="✓",1,0)</f>
        <v/>
      </c>
      <c r="O1269" s="93">
        <f>N(O1268)+IF(AND(B1269&lt;&gt;"",B1269&gt;='Uang Riba'!$H$30,B1269&lt;='Uang Riba'!$I$30,OR(H1269="Dana riba",H1269="Pinjam uang riba",I1269="Pinjam dari uang riba",I1269="Ganti uang riba",I1269="Kelebihan ganti dikembalikan",AND(C1269="Kantong Uang Riba",G1269="Pengeluaran"))),1,0)</f>
        <v/>
      </c>
      <c r="X1269" s="93">
        <f>IF(AND(B1269&lt;&gt;"",B1269&gt;='Buku Akun'!$H$4,B1269&lt;='Buku Akun'!$H$5,OR(C1269='Buku Akun'!$C$4,AND(D1269="Pindah",E1269='Buku Akun'!$C$4))),B1269+IF(AND(I1269="Selisih bunga",DAY(B1269)=1),0,0.01)+ROW()/10000000,"")</f>
        <v/>
      </c>
    </row>
    <row r="1270" outlineLevel="1" ht="15" customHeight="1" s="94">
      <c r="A1270" s="123">
        <f>IF(B1270="","",ROW()-15)</f>
        <v/>
      </c>
      <c r="B1270" s="124" t="n"/>
      <c r="C1270" s="123" t="n"/>
      <c r="D1270" s="123" t="n"/>
      <c r="E1270" s="123" t="n"/>
      <c r="F1270" s="125" t="n"/>
      <c r="G1270" s="123" t="n"/>
      <c r="H1270" s="123" t="n"/>
      <c r="I1270" s="123" t="n"/>
      <c r="J1270" s="123" t="n"/>
      <c r="K1270" s="123" t="n"/>
      <c r="L1270" s="123" t="n"/>
      <c r="M1270" s="123">
        <f>IF(AND(B1270&lt;&gt;"",OR($C$4="",ISNUMBER(SEARCH($C$4,C1270&amp;" "&amp;E1270&amp;" "&amp;G1270&amp;" "&amp;H1270&amp;" "&amp;I1270&amp;" "&amp;J1270&amp;" "&amp;K1270&amp;" "&amp;L1270))),OR($C$5="Semua",$C$5="",G1270=$C$5),OR($C$6="Semua",$C$6="",H1270=$C$6,H1270="Pengeluaran "&amp;$C$6,AND($C$6="Uang Kos Mama",H1270="Pengeluaran Uang Kos")),OR($C$7="Semua",$C$7="",I1270=$C$7),OR($C$8="Semua",$C$8="",C1270=$C$8,E1270=$C$8),OR($C$9="Semua",$C$9="",D1270=$C$9),OR($C$10="",B1270&gt;=$C$10),OR($C$11="",B1270&lt;=$C$11),OR($C$12&lt;&gt;"Ya",K1270&lt;&gt;""),OR($C$13="Semua",$C$13="",L1270=$C$13)),"✓","")</f>
        <v/>
      </c>
      <c r="N1270" s="93">
        <f>N(N1269)+IF(M1270="✓",1,0)</f>
        <v/>
      </c>
      <c r="O1270" s="93">
        <f>N(O1269)+IF(AND(B1270&lt;&gt;"",B1270&gt;='Uang Riba'!$H$30,B1270&lt;='Uang Riba'!$I$30,OR(H1270="Dana riba",H1270="Pinjam uang riba",I1270="Pinjam dari uang riba",I1270="Ganti uang riba",I1270="Kelebihan ganti dikembalikan",AND(C1270="Kantong Uang Riba",G1270="Pengeluaran"))),1,0)</f>
        <v/>
      </c>
      <c r="X1270" s="93">
        <f>IF(AND(B1270&lt;&gt;"",B1270&gt;='Buku Akun'!$H$4,B1270&lt;='Buku Akun'!$H$5,OR(C1270='Buku Akun'!$C$4,AND(D1270="Pindah",E1270='Buku Akun'!$C$4))),B1270+IF(AND(I1270="Selisih bunga",DAY(B1270)=1),0,0.01)+ROW()/10000000,"")</f>
        <v/>
      </c>
    </row>
    <row r="1271" outlineLevel="1" ht="15" customHeight="1" s="94">
      <c r="A1271" s="123">
        <f>IF(B1271="","",ROW()-15)</f>
        <v/>
      </c>
      <c r="B1271" s="124" t="n"/>
      <c r="C1271" s="123" t="n"/>
      <c r="D1271" s="123" t="n"/>
      <c r="E1271" s="123" t="n"/>
      <c r="F1271" s="125" t="n"/>
      <c r="G1271" s="123" t="n"/>
      <c r="H1271" s="123" t="n"/>
      <c r="I1271" s="123" t="n"/>
      <c r="J1271" s="123" t="n"/>
      <c r="K1271" s="123" t="n"/>
      <c r="L1271" s="123" t="n"/>
      <c r="M1271" s="123">
        <f>IF(AND(B1271&lt;&gt;"",OR($C$4="",ISNUMBER(SEARCH($C$4,C1271&amp;" "&amp;E1271&amp;" "&amp;G1271&amp;" "&amp;H1271&amp;" "&amp;I1271&amp;" "&amp;J1271&amp;" "&amp;K1271&amp;" "&amp;L1271))),OR($C$5="Semua",$C$5="",G1271=$C$5),OR($C$6="Semua",$C$6="",H1271=$C$6,H1271="Pengeluaran "&amp;$C$6,AND($C$6="Uang Kos Mama",H1271="Pengeluaran Uang Kos")),OR($C$7="Semua",$C$7="",I1271=$C$7),OR($C$8="Semua",$C$8="",C1271=$C$8,E1271=$C$8),OR($C$9="Semua",$C$9="",D1271=$C$9),OR($C$10="",B1271&gt;=$C$10),OR($C$11="",B1271&lt;=$C$11),OR($C$12&lt;&gt;"Ya",K1271&lt;&gt;""),OR($C$13="Semua",$C$13="",L1271=$C$13)),"✓","")</f>
        <v/>
      </c>
      <c r="N1271" s="93">
        <f>N(N1270)+IF(M1271="✓",1,0)</f>
        <v/>
      </c>
      <c r="O1271" s="93">
        <f>N(O1270)+IF(AND(B1271&lt;&gt;"",B1271&gt;='Uang Riba'!$H$30,B1271&lt;='Uang Riba'!$I$30,OR(H1271="Dana riba",H1271="Pinjam uang riba",I1271="Pinjam dari uang riba",I1271="Ganti uang riba",I1271="Kelebihan ganti dikembalikan",AND(C1271="Kantong Uang Riba",G1271="Pengeluaran"))),1,0)</f>
        <v/>
      </c>
      <c r="X1271" s="93">
        <f>IF(AND(B1271&lt;&gt;"",B1271&gt;='Buku Akun'!$H$4,B1271&lt;='Buku Akun'!$H$5,OR(C1271='Buku Akun'!$C$4,AND(D1271="Pindah",E1271='Buku Akun'!$C$4))),B1271+IF(AND(I1271="Selisih bunga",DAY(B1271)=1),0,0.01)+ROW()/10000000,"")</f>
        <v/>
      </c>
    </row>
    <row r="1272" outlineLevel="1" ht="15" customHeight="1" s="94">
      <c r="A1272" s="123">
        <f>IF(B1272="","",ROW()-15)</f>
        <v/>
      </c>
      <c r="B1272" s="124" t="n"/>
      <c r="C1272" s="123" t="n"/>
      <c r="D1272" s="123" t="n"/>
      <c r="E1272" s="123" t="n"/>
      <c r="F1272" s="125" t="n"/>
      <c r="G1272" s="123" t="n"/>
      <c r="H1272" s="123" t="n"/>
      <c r="I1272" s="123" t="n"/>
      <c r="J1272" s="123" t="n"/>
      <c r="K1272" s="123" t="n"/>
      <c r="L1272" s="123" t="n"/>
      <c r="M1272" s="123">
        <f>IF(AND(B1272&lt;&gt;"",OR($C$4="",ISNUMBER(SEARCH($C$4,C1272&amp;" "&amp;E1272&amp;" "&amp;G1272&amp;" "&amp;H1272&amp;" "&amp;I1272&amp;" "&amp;J1272&amp;" "&amp;K1272&amp;" "&amp;L1272))),OR($C$5="Semua",$C$5="",G1272=$C$5),OR($C$6="Semua",$C$6="",H1272=$C$6,H1272="Pengeluaran "&amp;$C$6,AND($C$6="Uang Kos Mama",H1272="Pengeluaran Uang Kos")),OR($C$7="Semua",$C$7="",I1272=$C$7),OR($C$8="Semua",$C$8="",C1272=$C$8,E1272=$C$8),OR($C$9="Semua",$C$9="",D1272=$C$9),OR($C$10="",B1272&gt;=$C$10),OR($C$11="",B1272&lt;=$C$11),OR($C$12&lt;&gt;"Ya",K1272&lt;&gt;""),OR($C$13="Semua",$C$13="",L1272=$C$13)),"✓","")</f>
        <v/>
      </c>
      <c r="N1272" s="93">
        <f>N(N1271)+IF(M1272="✓",1,0)</f>
        <v/>
      </c>
      <c r="O1272" s="93">
        <f>N(O1271)+IF(AND(B1272&lt;&gt;"",B1272&gt;='Uang Riba'!$H$30,B1272&lt;='Uang Riba'!$I$30,OR(H1272="Dana riba",H1272="Pinjam uang riba",I1272="Pinjam dari uang riba",I1272="Ganti uang riba",I1272="Kelebihan ganti dikembalikan",AND(C1272="Kantong Uang Riba",G1272="Pengeluaran"))),1,0)</f>
        <v/>
      </c>
      <c r="X1272" s="93">
        <f>IF(AND(B1272&lt;&gt;"",B1272&gt;='Buku Akun'!$H$4,B1272&lt;='Buku Akun'!$H$5,OR(C1272='Buku Akun'!$C$4,AND(D1272="Pindah",E1272='Buku Akun'!$C$4))),B1272+IF(AND(I1272="Selisih bunga",DAY(B1272)=1),0,0.01)+ROW()/10000000,"")</f>
        <v/>
      </c>
    </row>
    <row r="1273" outlineLevel="1" ht="15" customHeight="1" s="94">
      <c r="A1273" s="123">
        <f>IF(B1273="","",ROW()-15)</f>
        <v/>
      </c>
      <c r="B1273" s="124" t="n"/>
      <c r="C1273" s="123" t="n"/>
      <c r="D1273" s="123" t="n"/>
      <c r="E1273" s="123" t="n"/>
      <c r="F1273" s="125" t="n"/>
      <c r="G1273" s="123" t="n"/>
      <c r="H1273" s="123" t="n"/>
      <c r="I1273" s="123" t="n"/>
      <c r="J1273" s="123" t="n"/>
      <c r="K1273" s="123" t="n"/>
      <c r="L1273" s="123" t="n"/>
      <c r="M1273" s="123">
        <f>IF(AND(B1273&lt;&gt;"",OR($C$4="",ISNUMBER(SEARCH($C$4,C1273&amp;" "&amp;E1273&amp;" "&amp;G1273&amp;" "&amp;H1273&amp;" "&amp;I1273&amp;" "&amp;J1273&amp;" "&amp;K1273&amp;" "&amp;L1273))),OR($C$5="Semua",$C$5="",G1273=$C$5),OR($C$6="Semua",$C$6="",H1273=$C$6,H1273="Pengeluaran "&amp;$C$6,AND($C$6="Uang Kos Mama",H1273="Pengeluaran Uang Kos")),OR($C$7="Semua",$C$7="",I1273=$C$7),OR($C$8="Semua",$C$8="",C1273=$C$8,E1273=$C$8),OR($C$9="Semua",$C$9="",D1273=$C$9),OR($C$10="",B1273&gt;=$C$10),OR($C$11="",B1273&lt;=$C$11),OR($C$12&lt;&gt;"Ya",K1273&lt;&gt;""),OR($C$13="Semua",$C$13="",L1273=$C$13)),"✓","")</f>
        <v/>
      </c>
      <c r="N1273" s="93">
        <f>N(N1272)+IF(M1273="✓",1,0)</f>
        <v/>
      </c>
      <c r="O1273" s="93">
        <f>N(O1272)+IF(AND(B1273&lt;&gt;"",B1273&gt;='Uang Riba'!$H$30,B1273&lt;='Uang Riba'!$I$30,OR(H1273="Dana riba",H1273="Pinjam uang riba",I1273="Pinjam dari uang riba",I1273="Ganti uang riba",I1273="Kelebihan ganti dikembalikan",AND(C1273="Kantong Uang Riba",G1273="Pengeluaran"))),1,0)</f>
        <v/>
      </c>
      <c r="X1273" s="93">
        <f>IF(AND(B1273&lt;&gt;"",B1273&gt;='Buku Akun'!$H$4,B1273&lt;='Buku Akun'!$H$5,OR(C1273='Buku Akun'!$C$4,AND(D1273="Pindah",E1273='Buku Akun'!$C$4))),B1273+IF(AND(I1273="Selisih bunga",DAY(B1273)=1),0,0.01)+ROW()/10000000,"")</f>
        <v/>
      </c>
    </row>
    <row r="1274" outlineLevel="1" ht="15" customHeight="1" s="94">
      <c r="A1274" s="123">
        <f>IF(B1274="","",ROW()-15)</f>
        <v/>
      </c>
      <c r="B1274" s="124" t="n"/>
      <c r="C1274" s="123" t="n"/>
      <c r="D1274" s="123" t="n"/>
      <c r="E1274" s="123" t="n"/>
      <c r="F1274" s="125" t="n"/>
      <c r="G1274" s="123" t="n"/>
      <c r="H1274" s="123" t="n"/>
      <c r="I1274" s="123" t="n"/>
      <c r="J1274" s="123" t="n"/>
      <c r="K1274" s="123" t="n"/>
      <c r="L1274" s="123" t="n"/>
      <c r="M1274" s="123">
        <f>IF(AND(B1274&lt;&gt;"",OR($C$4="",ISNUMBER(SEARCH($C$4,C1274&amp;" "&amp;E1274&amp;" "&amp;G1274&amp;" "&amp;H1274&amp;" "&amp;I1274&amp;" "&amp;J1274&amp;" "&amp;K1274&amp;" "&amp;L1274))),OR($C$5="Semua",$C$5="",G1274=$C$5),OR($C$6="Semua",$C$6="",H1274=$C$6,H1274="Pengeluaran "&amp;$C$6,AND($C$6="Uang Kos Mama",H1274="Pengeluaran Uang Kos")),OR($C$7="Semua",$C$7="",I1274=$C$7),OR($C$8="Semua",$C$8="",C1274=$C$8,E1274=$C$8),OR($C$9="Semua",$C$9="",D1274=$C$9),OR($C$10="",B1274&gt;=$C$10),OR($C$11="",B1274&lt;=$C$11),OR($C$12&lt;&gt;"Ya",K1274&lt;&gt;""),OR($C$13="Semua",$C$13="",L1274=$C$13)),"✓","")</f>
        <v/>
      </c>
      <c r="N1274" s="93">
        <f>N(N1273)+IF(M1274="✓",1,0)</f>
        <v/>
      </c>
      <c r="O1274" s="93">
        <f>N(O1273)+IF(AND(B1274&lt;&gt;"",B1274&gt;='Uang Riba'!$H$30,B1274&lt;='Uang Riba'!$I$30,OR(H1274="Dana riba",H1274="Pinjam uang riba",I1274="Pinjam dari uang riba",I1274="Ganti uang riba",I1274="Kelebihan ganti dikembalikan",AND(C1274="Kantong Uang Riba",G1274="Pengeluaran"))),1,0)</f>
        <v/>
      </c>
      <c r="X1274" s="93">
        <f>IF(AND(B1274&lt;&gt;"",B1274&gt;='Buku Akun'!$H$4,B1274&lt;='Buku Akun'!$H$5,OR(C1274='Buku Akun'!$C$4,AND(D1274="Pindah",E1274='Buku Akun'!$C$4))),B1274+IF(AND(I1274="Selisih bunga",DAY(B1274)=1),0,0.01)+ROW()/10000000,"")</f>
        <v/>
      </c>
    </row>
    <row r="1275" outlineLevel="1" ht="15" customHeight="1" s="94">
      <c r="A1275" s="123">
        <f>IF(B1275="","",ROW()-15)</f>
        <v/>
      </c>
      <c r="B1275" s="124" t="n"/>
      <c r="C1275" s="123" t="n"/>
      <c r="D1275" s="123" t="n"/>
      <c r="E1275" s="123" t="n"/>
      <c r="F1275" s="125" t="n"/>
      <c r="G1275" s="123" t="n"/>
      <c r="H1275" s="123" t="n"/>
      <c r="I1275" s="123" t="n"/>
      <c r="J1275" s="123" t="n"/>
      <c r="K1275" s="123" t="n"/>
      <c r="L1275" s="123" t="n"/>
      <c r="M1275" s="123">
        <f>IF(AND(B1275&lt;&gt;"",OR($C$4="",ISNUMBER(SEARCH($C$4,C1275&amp;" "&amp;E1275&amp;" "&amp;G1275&amp;" "&amp;H1275&amp;" "&amp;I1275&amp;" "&amp;J1275&amp;" "&amp;K1275&amp;" "&amp;L1275))),OR($C$5="Semua",$C$5="",G1275=$C$5),OR($C$6="Semua",$C$6="",H1275=$C$6,H1275="Pengeluaran "&amp;$C$6,AND($C$6="Uang Kos Mama",H1275="Pengeluaran Uang Kos")),OR($C$7="Semua",$C$7="",I1275=$C$7),OR($C$8="Semua",$C$8="",C1275=$C$8,E1275=$C$8),OR($C$9="Semua",$C$9="",D1275=$C$9),OR($C$10="",B1275&gt;=$C$10),OR($C$11="",B1275&lt;=$C$11),OR($C$12&lt;&gt;"Ya",K1275&lt;&gt;""),OR($C$13="Semua",$C$13="",L1275=$C$13)),"✓","")</f>
        <v/>
      </c>
      <c r="N1275" s="93">
        <f>N(N1274)+IF(M1275="✓",1,0)</f>
        <v/>
      </c>
      <c r="O1275" s="93">
        <f>N(O1274)+IF(AND(B1275&lt;&gt;"",B1275&gt;='Uang Riba'!$H$30,B1275&lt;='Uang Riba'!$I$30,OR(H1275="Dana riba",H1275="Pinjam uang riba",I1275="Pinjam dari uang riba",I1275="Ganti uang riba",I1275="Kelebihan ganti dikembalikan",AND(C1275="Kantong Uang Riba",G1275="Pengeluaran"))),1,0)</f>
        <v/>
      </c>
      <c r="X1275" s="93">
        <f>IF(AND(B1275&lt;&gt;"",B1275&gt;='Buku Akun'!$H$4,B1275&lt;='Buku Akun'!$H$5,OR(C1275='Buku Akun'!$C$4,AND(D1275="Pindah",E1275='Buku Akun'!$C$4))),B1275+IF(AND(I1275="Selisih bunga",DAY(B1275)=1),0,0.01)+ROW()/10000000,"")</f>
        <v/>
      </c>
    </row>
    <row r="1276" outlineLevel="1" ht="15" customHeight="1" s="94">
      <c r="A1276" s="123">
        <f>IF(B1276="","",ROW()-15)</f>
        <v/>
      </c>
      <c r="B1276" s="124" t="n"/>
      <c r="C1276" s="123" t="n"/>
      <c r="D1276" s="123" t="n"/>
      <c r="E1276" s="123" t="n"/>
      <c r="F1276" s="125" t="n"/>
      <c r="G1276" s="123" t="n"/>
      <c r="H1276" s="123" t="n"/>
      <c r="I1276" s="123" t="n"/>
      <c r="J1276" s="123" t="n"/>
      <c r="K1276" s="123" t="n"/>
      <c r="L1276" s="123" t="n"/>
      <c r="M1276" s="123">
        <f>IF(AND(B1276&lt;&gt;"",OR($C$4="",ISNUMBER(SEARCH($C$4,C1276&amp;" "&amp;E1276&amp;" "&amp;G1276&amp;" "&amp;H1276&amp;" "&amp;I1276&amp;" "&amp;J1276&amp;" "&amp;K1276&amp;" "&amp;L1276))),OR($C$5="Semua",$C$5="",G1276=$C$5),OR($C$6="Semua",$C$6="",H1276=$C$6,H1276="Pengeluaran "&amp;$C$6,AND($C$6="Uang Kos Mama",H1276="Pengeluaran Uang Kos")),OR($C$7="Semua",$C$7="",I1276=$C$7),OR($C$8="Semua",$C$8="",C1276=$C$8,E1276=$C$8),OR($C$9="Semua",$C$9="",D1276=$C$9),OR($C$10="",B1276&gt;=$C$10),OR($C$11="",B1276&lt;=$C$11),OR($C$12&lt;&gt;"Ya",K1276&lt;&gt;""),OR($C$13="Semua",$C$13="",L1276=$C$13)),"✓","")</f>
        <v/>
      </c>
      <c r="N1276" s="93">
        <f>N(N1275)+IF(M1276="✓",1,0)</f>
        <v/>
      </c>
      <c r="O1276" s="93">
        <f>N(O1275)+IF(AND(B1276&lt;&gt;"",B1276&gt;='Uang Riba'!$H$30,B1276&lt;='Uang Riba'!$I$30,OR(H1276="Dana riba",H1276="Pinjam uang riba",I1276="Pinjam dari uang riba",I1276="Ganti uang riba",I1276="Kelebihan ganti dikembalikan",AND(C1276="Kantong Uang Riba",G1276="Pengeluaran"))),1,0)</f>
        <v/>
      </c>
      <c r="X1276" s="93">
        <f>IF(AND(B1276&lt;&gt;"",B1276&gt;='Buku Akun'!$H$4,B1276&lt;='Buku Akun'!$H$5,OR(C1276='Buku Akun'!$C$4,AND(D1276="Pindah",E1276='Buku Akun'!$C$4))),B1276+IF(AND(I1276="Selisih bunga",DAY(B1276)=1),0,0.01)+ROW()/10000000,"")</f>
        <v/>
      </c>
    </row>
    <row r="1277" outlineLevel="1" ht="15" customHeight="1" s="94">
      <c r="A1277" s="123">
        <f>IF(B1277="","",ROW()-15)</f>
        <v/>
      </c>
      <c r="B1277" s="124" t="n"/>
      <c r="C1277" s="123" t="n"/>
      <c r="D1277" s="123" t="n"/>
      <c r="E1277" s="123" t="n"/>
      <c r="F1277" s="125" t="n"/>
      <c r="G1277" s="123" t="n"/>
      <c r="H1277" s="123" t="n"/>
      <c r="I1277" s="123" t="n"/>
      <c r="J1277" s="123" t="n"/>
      <c r="K1277" s="123" t="n"/>
      <c r="L1277" s="123" t="n"/>
      <c r="M1277" s="123">
        <f>IF(AND(B1277&lt;&gt;"",OR($C$4="",ISNUMBER(SEARCH($C$4,C1277&amp;" "&amp;E1277&amp;" "&amp;G1277&amp;" "&amp;H1277&amp;" "&amp;I1277&amp;" "&amp;J1277&amp;" "&amp;K1277&amp;" "&amp;L1277))),OR($C$5="Semua",$C$5="",G1277=$C$5),OR($C$6="Semua",$C$6="",H1277=$C$6,H1277="Pengeluaran "&amp;$C$6,AND($C$6="Uang Kos Mama",H1277="Pengeluaran Uang Kos")),OR($C$7="Semua",$C$7="",I1277=$C$7),OR($C$8="Semua",$C$8="",C1277=$C$8,E1277=$C$8),OR($C$9="Semua",$C$9="",D1277=$C$9),OR($C$10="",B1277&gt;=$C$10),OR($C$11="",B1277&lt;=$C$11),OR($C$12&lt;&gt;"Ya",K1277&lt;&gt;""),OR($C$13="Semua",$C$13="",L1277=$C$13)),"✓","")</f>
        <v/>
      </c>
      <c r="N1277" s="93">
        <f>N(N1276)+IF(M1277="✓",1,0)</f>
        <v/>
      </c>
      <c r="O1277" s="93">
        <f>N(O1276)+IF(AND(B1277&lt;&gt;"",B1277&gt;='Uang Riba'!$H$30,B1277&lt;='Uang Riba'!$I$30,OR(H1277="Dana riba",H1277="Pinjam uang riba",I1277="Pinjam dari uang riba",I1277="Ganti uang riba",I1277="Kelebihan ganti dikembalikan",AND(C1277="Kantong Uang Riba",G1277="Pengeluaran"))),1,0)</f>
        <v/>
      </c>
      <c r="X1277" s="93">
        <f>IF(AND(B1277&lt;&gt;"",B1277&gt;='Buku Akun'!$H$4,B1277&lt;='Buku Akun'!$H$5,OR(C1277='Buku Akun'!$C$4,AND(D1277="Pindah",E1277='Buku Akun'!$C$4))),B1277+IF(AND(I1277="Selisih bunga",DAY(B1277)=1),0,0.01)+ROW()/10000000,"")</f>
        <v/>
      </c>
    </row>
    <row r="1278" outlineLevel="1" ht="15" customHeight="1" s="94">
      <c r="A1278" s="123">
        <f>IF(B1278="","",ROW()-15)</f>
        <v/>
      </c>
      <c r="B1278" s="124" t="n"/>
      <c r="C1278" s="123" t="n"/>
      <c r="D1278" s="123" t="n"/>
      <c r="E1278" s="123" t="n"/>
      <c r="F1278" s="125" t="n"/>
      <c r="G1278" s="123" t="n"/>
      <c r="H1278" s="123" t="n"/>
      <c r="I1278" s="123" t="n"/>
      <c r="J1278" s="123" t="n"/>
      <c r="K1278" s="123" t="n"/>
      <c r="L1278" s="123" t="n"/>
      <c r="M1278" s="123">
        <f>IF(AND(B1278&lt;&gt;"",OR($C$4="",ISNUMBER(SEARCH($C$4,C1278&amp;" "&amp;E1278&amp;" "&amp;G1278&amp;" "&amp;H1278&amp;" "&amp;I1278&amp;" "&amp;J1278&amp;" "&amp;K1278&amp;" "&amp;L1278))),OR($C$5="Semua",$C$5="",G1278=$C$5),OR($C$6="Semua",$C$6="",H1278=$C$6,H1278="Pengeluaran "&amp;$C$6,AND($C$6="Uang Kos Mama",H1278="Pengeluaran Uang Kos")),OR($C$7="Semua",$C$7="",I1278=$C$7),OR($C$8="Semua",$C$8="",C1278=$C$8,E1278=$C$8),OR($C$9="Semua",$C$9="",D1278=$C$9),OR($C$10="",B1278&gt;=$C$10),OR($C$11="",B1278&lt;=$C$11),OR($C$12&lt;&gt;"Ya",K1278&lt;&gt;""),OR($C$13="Semua",$C$13="",L1278=$C$13)),"✓","")</f>
        <v/>
      </c>
      <c r="N1278" s="93">
        <f>N(N1277)+IF(M1278="✓",1,0)</f>
        <v/>
      </c>
      <c r="O1278" s="93">
        <f>N(O1277)+IF(AND(B1278&lt;&gt;"",B1278&gt;='Uang Riba'!$H$30,B1278&lt;='Uang Riba'!$I$30,OR(H1278="Dana riba",H1278="Pinjam uang riba",I1278="Pinjam dari uang riba",I1278="Ganti uang riba",I1278="Kelebihan ganti dikembalikan",AND(C1278="Kantong Uang Riba",G1278="Pengeluaran"))),1,0)</f>
        <v/>
      </c>
      <c r="X1278" s="93">
        <f>IF(AND(B1278&lt;&gt;"",B1278&gt;='Buku Akun'!$H$4,B1278&lt;='Buku Akun'!$H$5,OR(C1278='Buku Akun'!$C$4,AND(D1278="Pindah",E1278='Buku Akun'!$C$4))),B1278+IF(AND(I1278="Selisih bunga",DAY(B1278)=1),0,0.01)+ROW()/10000000,"")</f>
        <v/>
      </c>
    </row>
    <row r="1279" outlineLevel="1" ht="15" customHeight="1" s="94">
      <c r="A1279" s="123">
        <f>IF(B1279="","",ROW()-15)</f>
        <v/>
      </c>
      <c r="B1279" s="124" t="n"/>
      <c r="C1279" s="123" t="n"/>
      <c r="D1279" s="123" t="n"/>
      <c r="E1279" s="123" t="n"/>
      <c r="F1279" s="125" t="n"/>
      <c r="G1279" s="123" t="n"/>
      <c r="H1279" s="123" t="n"/>
      <c r="I1279" s="123" t="n"/>
      <c r="J1279" s="123" t="n"/>
      <c r="K1279" s="123" t="n"/>
      <c r="L1279" s="123" t="n"/>
      <c r="M1279" s="123">
        <f>IF(AND(B1279&lt;&gt;"",OR($C$4="",ISNUMBER(SEARCH($C$4,C1279&amp;" "&amp;E1279&amp;" "&amp;G1279&amp;" "&amp;H1279&amp;" "&amp;I1279&amp;" "&amp;J1279&amp;" "&amp;K1279&amp;" "&amp;L1279))),OR($C$5="Semua",$C$5="",G1279=$C$5),OR($C$6="Semua",$C$6="",H1279=$C$6,H1279="Pengeluaran "&amp;$C$6,AND($C$6="Uang Kos Mama",H1279="Pengeluaran Uang Kos")),OR($C$7="Semua",$C$7="",I1279=$C$7),OR($C$8="Semua",$C$8="",C1279=$C$8,E1279=$C$8),OR($C$9="Semua",$C$9="",D1279=$C$9),OR($C$10="",B1279&gt;=$C$10),OR($C$11="",B1279&lt;=$C$11),OR($C$12&lt;&gt;"Ya",K1279&lt;&gt;""),OR($C$13="Semua",$C$13="",L1279=$C$13)),"✓","")</f>
        <v/>
      </c>
      <c r="N1279" s="93">
        <f>N(N1278)+IF(M1279="✓",1,0)</f>
        <v/>
      </c>
      <c r="O1279" s="93">
        <f>N(O1278)+IF(AND(B1279&lt;&gt;"",B1279&gt;='Uang Riba'!$H$30,B1279&lt;='Uang Riba'!$I$30,OR(H1279="Dana riba",H1279="Pinjam uang riba",I1279="Pinjam dari uang riba",I1279="Ganti uang riba",I1279="Kelebihan ganti dikembalikan",AND(C1279="Kantong Uang Riba",G1279="Pengeluaran"))),1,0)</f>
        <v/>
      </c>
      <c r="X1279" s="93">
        <f>IF(AND(B1279&lt;&gt;"",B1279&gt;='Buku Akun'!$H$4,B1279&lt;='Buku Akun'!$H$5,OR(C1279='Buku Akun'!$C$4,AND(D1279="Pindah",E1279='Buku Akun'!$C$4))),B1279+IF(AND(I1279="Selisih bunga",DAY(B1279)=1),0,0.01)+ROW()/10000000,"")</f>
        <v/>
      </c>
    </row>
    <row r="1280" outlineLevel="1" ht="15" customHeight="1" s="94">
      <c r="A1280" s="123">
        <f>IF(B1280="","",ROW()-15)</f>
        <v/>
      </c>
      <c r="B1280" s="124" t="n"/>
      <c r="C1280" s="123" t="n"/>
      <c r="D1280" s="123" t="n"/>
      <c r="E1280" s="123" t="n"/>
      <c r="F1280" s="125" t="n"/>
      <c r="G1280" s="123" t="n"/>
      <c r="H1280" s="123" t="n"/>
      <c r="I1280" s="123" t="n"/>
      <c r="J1280" s="123" t="n"/>
      <c r="K1280" s="123" t="n"/>
      <c r="L1280" s="123" t="n"/>
      <c r="M1280" s="123">
        <f>IF(AND(B1280&lt;&gt;"",OR($C$4="",ISNUMBER(SEARCH($C$4,C1280&amp;" "&amp;E1280&amp;" "&amp;G1280&amp;" "&amp;H1280&amp;" "&amp;I1280&amp;" "&amp;J1280&amp;" "&amp;K1280&amp;" "&amp;L1280))),OR($C$5="Semua",$C$5="",G1280=$C$5),OR($C$6="Semua",$C$6="",H1280=$C$6,H1280="Pengeluaran "&amp;$C$6,AND($C$6="Uang Kos Mama",H1280="Pengeluaran Uang Kos")),OR($C$7="Semua",$C$7="",I1280=$C$7),OR($C$8="Semua",$C$8="",C1280=$C$8,E1280=$C$8),OR($C$9="Semua",$C$9="",D1280=$C$9),OR($C$10="",B1280&gt;=$C$10),OR($C$11="",B1280&lt;=$C$11),OR($C$12&lt;&gt;"Ya",K1280&lt;&gt;""),OR($C$13="Semua",$C$13="",L1280=$C$13)),"✓","")</f>
        <v/>
      </c>
      <c r="N1280" s="93">
        <f>N(N1279)+IF(M1280="✓",1,0)</f>
        <v/>
      </c>
      <c r="O1280" s="93">
        <f>N(O1279)+IF(AND(B1280&lt;&gt;"",B1280&gt;='Uang Riba'!$H$30,B1280&lt;='Uang Riba'!$I$30,OR(H1280="Dana riba",H1280="Pinjam uang riba",I1280="Pinjam dari uang riba",I1280="Ganti uang riba",I1280="Kelebihan ganti dikembalikan",AND(C1280="Kantong Uang Riba",G1280="Pengeluaran"))),1,0)</f>
        <v/>
      </c>
      <c r="X1280" s="93">
        <f>IF(AND(B1280&lt;&gt;"",B1280&gt;='Buku Akun'!$H$4,B1280&lt;='Buku Akun'!$H$5,OR(C1280='Buku Akun'!$C$4,AND(D1280="Pindah",E1280='Buku Akun'!$C$4))),B1280+IF(AND(I1280="Selisih bunga",DAY(B1280)=1),0,0.01)+ROW()/10000000,"")</f>
        <v/>
      </c>
    </row>
    <row r="1281" outlineLevel="1" ht="15" customHeight="1" s="94">
      <c r="A1281" s="123">
        <f>IF(B1281="","",ROW()-15)</f>
        <v/>
      </c>
      <c r="B1281" s="124" t="n"/>
      <c r="C1281" s="123" t="n"/>
      <c r="D1281" s="123" t="n"/>
      <c r="E1281" s="123" t="n"/>
      <c r="F1281" s="125" t="n"/>
      <c r="G1281" s="123" t="n"/>
      <c r="H1281" s="123" t="n"/>
      <c r="I1281" s="123" t="n"/>
      <c r="J1281" s="123" t="n"/>
      <c r="K1281" s="123" t="n"/>
      <c r="L1281" s="123" t="n"/>
      <c r="M1281" s="123">
        <f>IF(AND(B1281&lt;&gt;"",OR($C$4="",ISNUMBER(SEARCH($C$4,C1281&amp;" "&amp;E1281&amp;" "&amp;G1281&amp;" "&amp;H1281&amp;" "&amp;I1281&amp;" "&amp;J1281&amp;" "&amp;K1281&amp;" "&amp;L1281))),OR($C$5="Semua",$C$5="",G1281=$C$5),OR($C$6="Semua",$C$6="",H1281=$C$6,H1281="Pengeluaran "&amp;$C$6,AND($C$6="Uang Kos Mama",H1281="Pengeluaran Uang Kos")),OR($C$7="Semua",$C$7="",I1281=$C$7),OR($C$8="Semua",$C$8="",C1281=$C$8,E1281=$C$8),OR($C$9="Semua",$C$9="",D1281=$C$9),OR($C$10="",B1281&gt;=$C$10),OR($C$11="",B1281&lt;=$C$11),OR($C$12&lt;&gt;"Ya",K1281&lt;&gt;""),OR($C$13="Semua",$C$13="",L1281=$C$13)),"✓","")</f>
        <v/>
      </c>
      <c r="N1281" s="93">
        <f>N(N1280)+IF(M1281="✓",1,0)</f>
        <v/>
      </c>
      <c r="O1281" s="93">
        <f>N(O1280)+IF(AND(B1281&lt;&gt;"",B1281&gt;='Uang Riba'!$H$30,B1281&lt;='Uang Riba'!$I$30,OR(H1281="Dana riba",H1281="Pinjam uang riba",I1281="Pinjam dari uang riba",I1281="Ganti uang riba",I1281="Kelebihan ganti dikembalikan",AND(C1281="Kantong Uang Riba",G1281="Pengeluaran"))),1,0)</f>
        <v/>
      </c>
      <c r="X1281" s="93">
        <f>IF(AND(B1281&lt;&gt;"",B1281&gt;='Buku Akun'!$H$4,B1281&lt;='Buku Akun'!$H$5,OR(C1281='Buku Akun'!$C$4,AND(D1281="Pindah",E1281='Buku Akun'!$C$4))),B1281+IF(AND(I1281="Selisih bunga",DAY(B1281)=1),0,0.01)+ROW()/10000000,"")</f>
        <v/>
      </c>
    </row>
    <row r="1282" outlineLevel="1" ht="15" customHeight="1" s="94">
      <c r="A1282" s="123">
        <f>IF(B1282="","",ROW()-15)</f>
        <v/>
      </c>
      <c r="B1282" s="124" t="n"/>
      <c r="C1282" s="123" t="n"/>
      <c r="D1282" s="123" t="n"/>
      <c r="E1282" s="123" t="n"/>
      <c r="F1282" s="125" t="n"/>
      <c r="G1282" s="123" t="n"/>
      <c r="H1282" s="123" t="n"/>
      <c r="I1282" s="123" t="n"/>
      <c r="J1282" s="123" t="n"/>
      <c r="K1282" s="123" t="n"/>
      <c r="L1282" s="123" t="n"/>
      <c r="M1282" s="123">
        <f>IF(AND(B1282&lt;&gt;"",OR($C$4="",ISNUMBER(SEARCH($C$4,C1282&amp;" "&amp;E1282&amp;" "&amp;G1282&amp;" "&amp;H1282&amp;" "&amp;I1282&amp;" "&amp;J1282&amp;" "&amp;K1282&amp;" "&amp;L1282))),OR($C$5="Semua",$C$5="",G1282=$C$5),OR($C$6="Semua",$C$6="",H1282=$C$6,H1282="Pengeluaran "&amp;$C$6,AND($C$6="Uang Kos Mama",H1282="Pengeluaran Uang Kos")),OR($C$7="Semua",$C$7="",I1282=$C$7),OR($C$8="Semua",$C$8="",C1282=$C$8,E1282=$C$8),OR($C$9="Semua",$C$9="",D1282=$C$9),OR($C$10="",B1282&gt;=$C$10),OR($C$11="",B1282&lt;=$C$11),OR($C$12&lt;&gt;"Ya",K1282&lt;&gt;""),OR($C$13="Semua",$C$13="",L1282=$C$13)),"✓","")</f>
        <v/>
      </c>
      <c r="N1282" s="93">
        <f>N(N1281)+IF(M1282="✓",1,0)</f>
        <v/>
      </c>
      <c r="O1282" s="93">
        <f>N(O1281)+IF(AND(B1282&lt;&gt;"",B1282&gt;='Uang Riba'!$H$30,B1282&lt;='Uang Riba'!$I$30,OR(H1282="Dana riba",H1282="Pinjam uang riba",I1282="Pinjam dari uang riba",I1282="Ganti uang riba",I1282="Kelebihan ganti dikembalikan",AND(C1282="Kantong Uang Riba",G1282="Pengeluaran"))),1,0)</f>
        <v/>
      </c>
      <c r="X1282" s="93">
        <f>IF(AND(B1282&lt;&gt;"",B1282&gt;='Buku Akun'!$H$4,B1282&lt;='Buku Akun'!$H$5,OR(C1282='Buku Akun'!$C$4,AND(D1282="Pindah",E1282='Buku Akun'!$C$4))),B1282+IF(AND(I1282="Selisih bunga",DAY(B1282)=1),0,0.01)+ROW()/10000000,"")</f>
        <v/>
      </c>
    </row>
    <row r="1283" outlineLevel="1" ht="15" customHeight="1" s="94">
      <c r="A1283" s="123">
        <f>IF(B1283="","",ROW()-15)</f>
        <v/>
      </c>
      <c r="B1283" s="124" t="n"/>
      <c r="C1283" s="123" t="n"/>
      <c r="D1283" s="123" t="n"/>
      <c r="E1283" s="123" t="n"/>
      <c r="F1283" s="125" t="n"/>
      <c r="G1283" s="123" t="n"/>
      <c r="H1283" s="123" t="n"/>
      <c r="I1283" s="123" t="n"/>
      <c r="J1283" s="123" t="n"/>
      <c r="K1283" s="123" t="n"/>
      <c r="L1283" s="123" t="n"/>
      <c r="M1283" s="123">
        <f>IF(AND(B1283&lt;&gt;"",OR($C$4="",ISNUMBER(SEARCH($C$4,C1283&amp;" "&amp;E1283&amp;" "&amp;G1283&amp;" "&amp;H1283&amp;" "&amp;I1283&amp;" "&amp;J1283&amp;" "&amp;K1283&amp;" "&amp;L1283))),OR($C$5="Semua",$C$5="",G1283=$C$5),OR($C$6="Semua",$C$6="",H1283=$C$6,H1283="Pengeluaran "&amp;$C$6,AND($C$6="Uang Kos Mama",H1283="Pengeluaran Uang Kos")),OR($C$7="Semua",$C$7="",I1283=$C$7),OR($C$8="Semua",$C$8="",C1283=$C$8,E1283=$C$8),OR($C$9="Semua",$C$9="",D1283=$C$9),OR($C$10="",B1283&gt;=$C$10),OR($C$11="",B1283&lt;=$C$11),OR($C$12&lt;&gt;"Ya",K1283&lt;&gt;""),OR($C$13="Semua",$C$13="",L1283=$C$13)),"✓","")</f>
        <v/>
      </c>
      <c r="N1283" s="93">
        <f>N(N1282)+IF(M1283="✓",1,0)</f>
        <v/>
      </c>
      <c r="O1283" s="93">
        <f>N(O1282)+IF(AND(B1283&lt;&gt;"",B1283&gt;='Uang Riba'!$H$30,B1283&lt;='Uang Riba'!$I$30,OR(H1283="Dana riba",H1283="Pinjam uang riba",I1283="Pinjam dari uang riba",I1283="Ganti uang riba",I1283="Kelebihan ganti dikembalikan",AND(C1283="Kantong Uang Riba",G1283="Pengeluaran"))),1,0)</f>
        <v/>
      </c>
      <c r="X1283" s="93">
        <f>IF(AND(B1283&lt;&gt;"",B1283&gt;='Buku Akun'!$H$4,B1283&lt;='Buku Akun'!$H$5,OR(C1283='Buku Akun'!$C$4,AND(D1283="Pindah",E1283='Buku Akun'!$C$4))),B1283+IF(AND(I1283="Selisih bunga",DAY(B1283)=1),0,0.01)+ROW()/10000000,"")</f>
        <v/>
      </c>
    </row>
    <row r="1284" outlineLevel="1" ht="15" customHeight="1" s="94">
      <c r="A1284" s="123">
        <f>IF(B1284="","",ROW()-15)</f>
        <v/>
      </c>
      <c r="B1284" s="124" t="n"/>
      <c r="C1284" s="123" t="n"/>
      <c r="D1284" s="123" t="n"/>
      <c r="E1284" s="123" t="n"/>
      <c r="F1284" s="125" t="n"/>
      <c r="G1284" s="123" t="n"/>
      <c r="H1284" s="123" t="n"/>
      <c r="I1284" s="123" t="n"/>
      <c r="J1284" s="123" t="n"/>
      <c r="K1284" s="123" t="n"/>
      <c r="L1284" s="123" t="n"/>
      <c r="M1284" s="123">
        <f>IF(AND(B1284&lt;&gt;"",OR($C$4="",ISNUMBER(SEARCH($C$4,C1284&amp;" "&amp;E1284&amp;" "&amp;G1284&amp;" "&amp;H1284&amp;" "&amp;I1284&amp;" "&amp;J1284&amp;" "&amp;K1284&amp;" "&amp;L1284))),OR($C$5="Semua",$C$5="",G1284=$C$5),OR($C$6="Semua",$C$6="",H1284=$C$6,H1284="Pengeluaran "&amp;$C$6,AND($C$6="Uang Kos Mama",H1284="Pengeluaran Uang Kos")),OR($C$7="Semua",$C$7="",I1284=$C$7),OR($C$8="Semua",$C$8="",C1284=$C$8,E1284=$C$8),OR($C$9="Semua",$C$9="",D1284=$C$9),OR($C$10="",B1284&gt;=$C$10),OR($C$11="",B1284&lt;=$C$11),OR($C$12&lt;&gt;"Ya",K1284&lt;&gt;""),OR($C$13="Semua",$C$13="",L1284=$C$13)),"✓","")</f>
        <v/>
      </c>
      <c r="N1284" s="93">
        <f>N(N1283)+IF(M1284="✓",1,0)</f>
        <v/>
      </c>
      <c r="O1284" s="93">
        <f>N(O1283)+IF(AND(B1284&lt;&gt;"",B1284&gt;='Uang Riba'!$H$30,B1284&lt;='Uang Riba'!$I$30,OR(H1284="Dana riba",H1284="Pinjam uang riba",I1284="Pinjam dari uang riba",I1284="Ganti uang riba",I1284="Kelebihan ganti dikembalikan",AND(C1284="Kantong Uang Riba",G1284="Pengeluaran"))),1,0)</f>
        <v/>
      </c>
      <c r="X1284" s="93">
        <f>IF(AND(B1284&lt;&gt;"",B1284&gt;='Buku Akun'!$H$4,B1284&lt;='Buku Akun'!$H$5,OR(C1284='Buku Akun'!$C$4,AND(D1284="Pindah",E1284='Buku Akun'!$C$4))),B1284+IF(AND(I1284="Selisih bunga",DAY(B1284)=1),0,0.01)+ROW()/10000000,"")</f>
        <v/>
      </c>
    </row>
    <row r="1285" outlineLevel="1" ht="15" customHeight="1" s="94">
      <c r="A1285" s="123">
        <f>IF(B1285="","",ROW()-15)</f>
        <v/>
      </c>
      <c r="B1285" s="124" t="n"/>
      <c r="C1285" s="123" t="n"/>
      <c r="D1285" s="123" t="n"/>
      <c r="E1285" s="123" t="n"/>
      <c r="F1285" s="125" t="n"/>
      <c r="G1285" s="123" t="n"/>
      <c r="H1285" s="123" t="n"/>
      <c r="I1285" s="123" t="n"/>
      <c r="J1285" s="123" t="n"/>
      <c r="K1285" s="123" t="n"/>
      <c r="L1285" s="123" t="n"/>
      <c r="M1285" s="123">
        <f>IF(AND(B1285&lt;&gt;"",OR($C$4="",ISNUMBER(SEARCH($C$4,C1285&amp;" "&amp;E1285&amp;" "&amp;G1285&amp;" "&amp;H1285&amp;" "&amp;I1285&amp;" "&amp;J1285&amp;" "&amp;K1285&amp;" "&amp;L1285))),OR($C$5="Semua",$C$5="",G1285=$C$5),OR($C$6="Semua",$C$6="",H1285=$C$6,H1285="Pengeluaran "&amp;$C$6,AND($C$6="Uang Kos Mama",H1285="Pengeluaran Uang Kos")),OR($C$7="Semua",$C$7="",I1285=$C$7),OR($C$8="Semua",$C$8="",C1285=$C$8,E1285=$C$8),OR($C$9="Semua",$C$9="",D1285=$C$9),OR($C$10="",B1285&gt;=$C$10),OR($C$11="",B1285&lt;=$C$11),OR($C$12&lt;&gt;"Ya",K1285&lt;&gt;""),OR($C$13="Semua",$C$13="",L1285=$C$13)),"✓","")</f>
        <v/>
      </c>
      <c r="N1285" s="93">
        <f>N(N1284)+IF(M1285="✓",1,0)</f>
        <v/>
      </c>
      <c r="O1285" s="93">
        <f>N(O1284)+IF(AND(B1285&lt;&gt;"",B1285&gt;='Uang Riba'!$H$30,B1285&lt;='Uang Riba'!$I$30,OR(H1285="Dana riba",H1285="Pinjam uang riba",I1285="Pinjam dari uang riba",I1285="Ganti uang riba",I1285="Kelebihan ganti dikembalikan",AND(C1285="Kantong Uang Riba",G1285="Pengeluaran"))),1,0)</f>
        <v/>
      </c>
      <c r="X1285" s="93">
        <f>IF(AND(B1285&lt;&gt;"",B1285&gt;='Buku Akun'!$H$4,B1285&lt;='Buku Akun'!$H$5,OR(C1285='Buku Akun'!$C$4,AND(D1285="Pindah",E1285='Buku Akun'!$C$4))),B1285+IF(AND(I1285="Selisih bunga",DAY(B1285)=1),0,0.01)+ROW()/10000000,"")</f>
        <v/>
      </c>
    </row>
    <row r="1286" outlineLevel="1" ht="15" customHeight="1" s="94">
      <c r="A1286" s="123">
        <f>IF(B1286="","",ROW()-15)</f>
        <v/>
      </c>
      <c r="B1286" s="124" t="n"/>
      <c r="C1286" s="123" t="n"/>
      <c r="D1286" s="123" t="n"/>
      <c r="E1286" s="123" t="n"/>
      <c r="F1286" s="125" t="n"/>
      <c r="G1286" s="123" t="n"/>
      <c r="H1286" s="123" t="n"/>
      <c r="I1286" s="123" t="n"/>
      <c r="J1286" s="123" t="n"/>
      <c r="K1286" s="123" t="n"/>
      <c r="L1286" s="123" t="n"/>
      <c r="M1286" s="123">
        <f>IF(AND(B1286&lt;&gt;"",OR($C$4="",ISNUMBER(SEARCH($C$4,C1286&amp;" "&amp;E1286&amp;" "&amp;G1286&amp;" "&amp;H1286&amp;" "&amp;I1286&amp;" "&amp;J1286&amp;" "&amp;K1286&amp;" "&amp;L1286))),OR($C$5="Semua",$C$5="",G1286=$C$5),OR($C$6="Semua",$C$6="",H1286=$C$6,H1286="Pengeluaran "&amp;$C$6,AND($C$6="Uang Kos Mama",H1286="Pengeluaran Uang Kos")),OR($C$7="Semua",$C$7="",I1286=$C$7),OR($C$8="Semua",$C$8="",C1286=$C$8,E1286=$C$8),OR($C$9="Semua",$C$9="",D1286=$C$9),OR($C$10="",B1286&gt;=$C$10),OR($C$11="",B1286&lt;=$C$11),OR($C$12&lt;&gt;"Ya",K1286&lt;&gt;""),OR($C$13="Semua",$C$13="",L1286=$C$13)),"✓","")</f>
        <v/>
      </c>
      <c r="N1286" s="93">
        <f>N(N1285)+IF(M1286="✓",1,0)</f>
        <v/>
      </c>
      <c r="O1286" s="93">
        <f>N(O1285)+IF(AND(B1286&lt;&gt;"",B1286&gt;='Uang Riba'!$H$30,B1286&lt;='Uang Riba'!$I$30,OR(H1286="Dana riba",H1286="Pinjam uang riba",I1286="Pinjam dari uang riba",I1286="Ganti uang riba",I1286="Kelebihan ganti dikembalikan",AND(C1286="Kantong Uang Riba",G1286="Pengeluaran"))),1,0)</f>
        <v/>
      </c>
      <c r="X1286" s="93">
        <f>IF(AND(B1286&lt;&gt;"",B1286&gt;='Buku Akun'!$H$4,B1286&lt;='Buku Akun'!$H$5,OR(C1286='Buku Akun'!$C$4,AND(D1286="Pindah",E1286='Buku Akun'!$C$4))),B1286+IF(AND(I1286="Selisih bunga",DAY(B1286)=1),0,0.01)+ROW()/10000000,"")</f>
        <v/>
      </c>
    </row>
    <row r="1287" outlineLevel="1" ht="15" customHeight="1" s="94">
      <c r="A1287" s="123">
        <f>IF(B1287="","",ROW()-15)</f>
        <v/>
      </c>
      <c r="B1287" s="124" t="n"/>
      <c r="C1287" s="123" t="n"/>
      <c r="D1287" s="123" t="n"/>
      <c r="E1287" s="123" t="n"/>
      <c r="F1287" s="125" t="n"/>
      <c r="G1287" s="123" t="n"/>
      <c r="H1287" s="123" t="n"/>
      <c r="I1287" s="123" t="n"/>
      <c r="J1287" s="123" t="n"/>
      <c r="K1287" s="123" t="n"/>
      <c r="L1287" s="123" t="n"/>
      <c r="M1287" s="123">
        <f>IF(AND(B1287&lt;&gt;"",OR($C$4="",ISNUMBER(SEARCH($C$4,C1287&amp;" "&amp;E1287&amp;" "&amp;G1287&amp;" "&amp;H1287&amp;" "&amp;I1287&amp;" "&amp;J1287&amp;" "&amp;K1287&amp;" "&amp;L1287))),OR($C$5="Semua",$C$5="",G1287=$C$5),OR($C$6="Semua",$C$6="",H1287=$C$6,H1287="Pengeluaran "&amp;$C$6,AND($C$6="Uang Kos Mama",H1287="Pengeluaran Uang Kos")),OR($C$7="Semua",$C$7="",I1287=$C$7),OR($C$8="Semua",$C$8="",C1287=$C$8,E1287=$C$8),OR($C$9="Semua",$C$9="",D1287=$C$9),OR($C$10="",B1287&gt;=$C$10),OR($C$11="",B1287&lt;=$C$11),OR($C$12&lt;&gt;"Ya",K1287&lt;&gt;""),OR($C$13="Semua",$C$13="",L1287=$C$13)),"✓","")</f>
        <v/>
      </c>
      <c r="N1287" s="93">
        <f>N(N1286)+IF(M1287="✓",1,0)</f>
        <v/>
      </c>
      <c r="O1287" s="93">
        <f>N(O1286)+IF(AND(B1287&lt;&gt;"",B1287&gt;='Uang Riba'!$H$30,B1287&lt;='Uang Riba'!$I$30,OR(H1287="Dana riba",H1287="Pinjam uang riba",I1287="Pinjam dari uang riba",I1287="Ganti uang riba",I1287="Kelebihan ganti dikembalikan",AND(C1287="Kantong Uang Riba",G1287="Pengeluaran"))),1,0)</f>
        <v/>
      </c>
      <c r="X1287" s="93">
        <f>IF(AND(B1287&lt;&gt;"",B1287&gt;='Buku Akun'!$H$4,B1287&lt;='Buku Akun'!$H$5,OR(C1287='Buku Akun'!$C$4,AND(D1287="Pindah",E1287='Buku Akun'!$C$4))),B1287+IF(AND(I1287="Selisih bunga",DAY(B1287)=1),0,0.01)+ROW()/10000000,"")</f>
        <v/>
      </c>
    </row>
    <row r="1288" outlineLevel="1" ht="15" customHeight="1" s="94">
      <c r="A1288" s="123">
        <f>IF(B1288="","",ROW()-15)</f>
        <v/>
      </c>
      <c r="B1288" s="124" t="n"/>
      <c r="C1288" s="123" t="n"/>
      <c r="D1288" s="123" t="n"/>
      <c r="E1288" s="123" t="n"/>
      <c r="F1288" s="125" t="n"/>
      <c r="G1288" s="123" t="n"/>
      <c r="H1288" s="123" t="n"/>
      <c r="I1288" s="123" t="n"/>
      <c r="J1288" s="123" t="n"/>
      <c r="K1288" s="123" t="n"/>
      <c r="L1288" s="123" t="n"/>
      <c r="M1288" s="123">
        <f>IF(AND(B1288&lt;&gt;"",OR($C$4="",ISNUMBER(SEARCH($C$4,C1288&amp;" "&amp;E1288&amp;" "&amp;G1288&amp;" "&amp;H1288&amp;" "&amp;I1288&amp;" "&amp;J1288&amp;" "&amp;K1288&amp;" "&amp;L1288))),OR($C$5="Semua",$C$5="",G1288=$C$5),OR($C$6="Semua",$C$6="",H1288=$C$6,H1288="Pengeluaran "&amp;$C$6,AND($C$6="Uang Kos Mama",H1288="Pengeluaran Uang Kos")),OR($C$7="Semua",$C$7="",I1288=$C$7),OR($C$8="Semua",$C$8="",C1288=$C$8,E1288=$C$8),OR($C$9="Semua",$C$9="",D1288=$C$9),OR($C$10="",B1288&gt;=$C$10),OR($C$11="",B1288&lt;=$C$11),OR($C$12&lt;&gt;"Ya",K1288&lt;&gt;""),OR($C$13="Semua",$C$13="",L1288=$C$13)),"✓","")</f>
        <v/>
      </c>
      <c r="N1288" s="93">
        <f>N(N1287)+IF(M1288="✓",1,0)</f>
        <v/>
      </c>
      <c r="O1288" s="93">
        <f>N(O1287)+IF(AND(B1288&lt;&gt;"",B1288&gt;='Uang Riba'!$H$30,B1288&lt;='Uang Riba'!$I$30,OR(H1288="Dana riba",H1288="Pinjam uang riba",I1288="Pinjam dari uang riba",I1288="Ganti uang riba",I1288="Kelebihan ganti dikembalikan",AND(C1288="Kantong Uang Riba",G1288="Pengeluaran"))),1,0)</f>
        <v/>
      </c>
      <c r="X1288" s="93">
        <f>IF(AND(B1288&lt;&gt;"",B1288&gt;='Buku Akun'!$H$4,B1288&lt;='Buku Akun'!$H$5,OR(C1288='Buku Akun'!$C$4,AND(D1288="Pindah",E1288='Buku Akun'!$C$4))),B1288+IF(AND(I1288="Selisih bunga",DAY(B1288)=1),0,0.01)+ROW()/10000000,"")</f>
        <v/>
      </c>
    </row>
    <row r="1289" outlineLevel="1" ht="15" customHeight="1" s="94">
      <c r="A1289" s="123">
        <f>IF(B1289="","",ROW()-15)</f>
        <v/>
      </c>
      <c r="B1289" s="124" t="n"/>
      <c r="C1289" s="123" t="n"/>
      <c r="D1289" s="123" t="n"/>
      <c r="E1289" s="123" t="n"/>
      <c r="F1289" s="125" t="n"/>
      <c r="G1289" s="123" t="n"/>
      <c r="H1289" s="123" t="n"/>
      <c r="I1289" s="123" t="n"/>
      <c r="J1289" s="123" t="n"/>
      <c r="K1289" s="123" t="n"/>
      <c r="L1289" s="123" t="n"/>
      <c r="M1289" s="123">
        <f>IF(AND(B1289&lt;&gt;"",OR($C$4="",ISNUMBER(SEARCH($C$4,C1289&amp;" "&amp;E1289&amp;" "&amp;G1289&amp;" "&amp;H1289&amp;" "&amp;I1289&amp;" "&amp;J1289&amp;" "&amp;K1289&amp;" "&amp;L1289))),OR($C$5="Semua",$C$5="",G1289=$C$5),OR($C$6="Semua",$C$6="",H1289=$C$6,H1289="Pengeluaran "&amp;$C$6,AND($C$6="Uang Kos Mama",H1289="Pengeluaran Uang Kos")),OR($C$7="Semua",$C$7="",I1289=$C$7),OR($C$8="Semua",$C$8="",C1289=$C$8,E1289=$C$8),OR($C$9="Semua",$C$9="",D1289=$C$9),OR($C$10="",B1289&gt;=$C$10),OR($C$11="",B1289&lt;=$C$11),OR($C$12&lt;&gt;"Ya",K1289&lt;&gt;""),OR($C$13="Semua",$C$13="",L1289=$C$13)),"✓","")</f>
        <v/>
      </c>
      <c r="N1289" s="93">
        <f>N(N1288)+IF(M1289="✓",1,0)</f>
        <v/>
      </c>
      <c r="O1289" s="93">
        <f>N(O1288)+IF(AND(B1289&lt;&gt;"",B1289&gt;='Uang Riba'!$H$30,B1289&lt;='Uang Riba'!$I$30,OR(H1289="Dana riba",H1289="Pinjam uang riba",I1289="Pinjam dari uang riba",I1289="Ganti uang riba",I1289="Kelebihan ganti dikembalikan",AND(C1289="Kantong Uang Riba",G1289="Pengeluaran"))),1,0)</f>
        <v/>
      </c>
      <c r="X1289" s="93">
        <f>IF(AND(B1289&lt;&gt;"",B1289&gt;='Buku Akun'!$H$4,B1289&lt;='Buku Akun'!$H$5,OR(C1289='Buku Akun'!$C$4,AND(D1289="Pindah",E1289='Buku Akun'!$C$4))),B1289+IF(AND(I1289="Selisih bunga",DAY(B1289)=1),0,0.01)+ROW()/10000000,"")</f>
        <v/>
      </c>
    </row>
    <row r="1290" outlineLevel="1" ht="15" customHeight="1" s="94">
      <c r="A1290" s="123">
        <f>IF(B1290="","",ROW()-15)</f>
        <v/>
      </c>
      <c r="B1290" s="124" t="n"/>
      <c r="C1290" s="123" t="n"/>
      <c r="D1290" s="123" t="n"/>
      <c r="E1290" s="123" t="n"/>
      <c r="F1290" s="125" t="n"/>
      <c r="G1290" s="123" t="n"/>
      <c r="H1290" s="123" t="n"/>
      <c r="I1290" s="123" t="n"/>
      <c r="J1290" s="123" t="n"/>
      <c r="K1290" s="123" t="n"/>
      <c r="L1290" s="123" t="n"/>
      <c r="M1290" s="123">
        <f>IF(AND(B1290&lt;&gt;"",OR($C$4="",ISNUMBER(SEARCH($C$4,C1290&amp;" "&amp;E1290&amp;" "&amp;G1290&amp;" "&amp;H1290&amp;" "&amp;I1290&amp;" "&amp;J1290&amp;" "&amp;K1290&amp;" "&amp;L1290))),OR($C$5="Semua",$C$5="",G1290=$C$5),OR($C$6="Semua",$C$6="",H1290=$C$6,H1290="Pengeluaran "&amp;$C$6,AND($C$6="Uang Kos Mama",H1290="Pengeluaran Uang Kos")),OR($C$7="Semua",$C$7="",I1290=$C$7),OR($C$8="Semua",$C$8="",C1290=$C$8,E1290=$C$8),OR($C$9="Semua",$C$9="",D1290=$C$9),OR($C$10="",B1290&gt;=$C$10),OR($C$11="",B1290&lt;=$C$11),OR($C$12&lt;&gt;"Ya",K1290&lt;&gt;""),OR($C$13="Semua",$C$13="",L1290=$C$13)),"✓","")</f>
        <v/>
      </c>
      <c r="N1290" s="93">
        <f>N(N1289)+IF(M1290="✓",1,0)</f>
        <v/>
      </c>
      <c r="O1290" s="93">
        <f>N(O1289)+IF(AND(B1290&lt;&gt;"",B1290&gt;='Uang Riba'!$H$30,B1290&lt;='Uang Riba'!$I$30,OR(H1290="Dana riba",H1290="Pinjam uang riba",I1290="Pinjam dari uang riba",I1290="Ganti uang riba",I1290="Kelebihan ganti dikembalikan",AND(C1290="Kantong Uang Riba",G1290="Pengeluaran"))),1,0)</f>
        <v/>
      </c>
      <c r="X1290" s="93">
        <f>IF(AND(B1290&lt;&gt;"",B1290&gt;='Buku Akun'!$H$4,B1290&lt;='Buku Akun'!$H$5,OR(C1290='Buku Akun'!$C$4,AND(D1290="Pindah",E1290='Buku Akun'!$C$4))),B1290+IF(AND(I1290="Selisih bunga",DAY(B1290)=1),0,0.01)+ROW()/10000000,"")</f>
        <v/>
      </c>
    </row>
    <row r="1291" outlineLevel="1" ht="15" customHeight="1" s="94">
      <c r="A1291" s="123">
        <f>IF(B1291="","",ROW()-15)</f>
        <v/>
      </c>
      <c r="B1291" s="124" t="n"/>
      <c r="C1291" s="123" t="n"/>
      <c r="D1291" s="123" t="n"/>
      <c r="E1291" s="123" t="n"/>
      <c r="F1291" s="125" t="n"/>
      <c r="G1291" s="123" t="n"/>
      <c r="H1291" s="123" t="n"/>
      <c r="I1291" s="123" t="n"/>
      <c r="J1291" s="123" t="n"/>
      <c r="K1291" s="123" t="n"/>
      <c r="L1291" s="123" t="n"/>
      <c r="M1291" s="123">
        <f>IF(AND(B1291&lt;&gt;"",OR($C$4="",ISNUMBER(SEARCH($C$4,C1291&amp;" "&amp;E1291&amp;" "&amp;G1291&amp;" "&amp;H1291&amp;" "&amp;I1291&amp;" "&amp;J1291&amp;" "&amp;K1291&amp;" "&amp;L1291))),OR($C$5="Semua",$C$5="",G1291=$C$5),OR($C$6="Semua",$C$6="",H1291=$C$6,H1291="Pengeluaran "&amp;$C$6,AND($C$6="Uang Kos Mama",H1291="Pengeluaran Uang Kos")),OR($C$7="Semua",$C$7="",I1291=$C$7),OR($C$8="Semua",$C$8="",C1291=$C$8,E1291=$C$8),OR($C$9="Semua",$C$9="",D1291=$C$9),OR($C$10="",B1291&gt;=$C$10),OR($C$11="",B1291&lt;=$C$11),OR($C$12&lt;&gt;"Ya",K1291&lt;&gt;""),OR($C$13="Semua",$C$13="",L1291=$C$13)),"✓","")</f>
        <v/>
      </c>
      <c r="N1291" s="93">
        <f>N(N1290)+IF(M1291="✓",1,0)</f>
        <v/>
      </c>
      <c r="O1291" s="93">
        <f>N(O1290)+IF(AND(B1291&lt;&gt;"",B1291&gt;='Uang Riba'!$H$30,B1291&lt;='Uang Riba'!$I$30,OR(H1291="Dana riba",H1291="Pinjam uang riba",I1291="Pinjam dari uang riba",I1291="Ganti uang riba",I1291="Kelebihan ganti dikembalikan",AND(C1291="Kantong Uang Riba",G1291="Pengeluaran"))),1,0)</f>
        <v/>
      </c>
      <c r="X1291" s="93">
        <f>IF(AND(B1291&lt;&gt;"",B1291&gt;='Buku Akun'!$H$4,B1291&lt;='Buku Akun'!$H$5,OR(C1291='Buku Akun'!$C$4,AND(D1291="Pindah",E1291='Buku Akun'!$C$4))),B1291+IF(AND(I1291="Selisih bunga",DAY(B1291)=1),0,0.01)+ROW()/10000000,"")</f>
        <v/>
      </c>
    </row>
    <row r="1292" outlineLevel="1" ht="15" customHeight="1" s="94">
      <c r="A1292" s="123">
        <f>IF(B1292="","",ROW()-15)</f>
        <v/>
      </c>
      <c r="B1292" s="124" t="n"/>
      <c r="C1292" s="123" t="n"/>
      <c r="D1292" s="123" t="n"/>
      <c r="E1292" s="123" t="n"/>
      <c r="F1292" s="125" t="n"/>
      <c r="G1292" s="123" t="n"/>
      <c r="H1292" s="123" t="n"/>
      <c r="I1292" s="123" t="n"/>
      <c r="J1292" s="123" t="n"/>
      <c r="K1292" s="123" t="n"/>
      <c r="L1292" s="123" t="n"/>
      <c r="M1292" s="123">
        <f>IF(AND(B1292&lt;&gt;"",OR($C$4="",ISNUMBER(SEARCH($C$4,C1292&amp;" "&amp;E1292&amp;" "&amp;G1292&amp;" "&amp;H1292&amp;" "&amp;I1292&amp;" "&amp;J1292&amp;" "&amp;K1292&amp;" "&amp;L1292))),OR($C$5="Semua",$C$5="",G1292=$C$5),OR($C$6="Semua",$C$6="",H1292=$C$6,H1292="Pengeluaran "&amp;$C$6,AND($C$6="Uang Kos Mama",H1292="Pengeluaran Uang Kos")),OR($C$7="Semua",$C$7="",I1292=$C$7),OR($C$8="Semua",$C$8="",C1292=$C$8,E1292=$C$8),OR($C$9="Semua",$C$9="",D1292=$C$9),OR($C$10="",B1292&gt;=$C$10),OR($C$11="",B1292&lt;=$C$11),OR($C$12&lt;&gt;"Ya",K1292&lt;&gt;""),OR($C$13="Semua",$C$13="",L1292=$C$13)),"✓","")</f>
        <v/>
      </c>
      <c r="N1292" s="93">
        <f>N(N1291)+IF(M1292="✓",1,0)</f>
        <v/>
      </c>
      <c r="O1292" s="93">
        <f>N(O1291)+IF(AND(B1292&lt;&gt;"",B1292&gt;='Uang Riba'!$H$30,B1292&lt;='Uang Riba'!$I$30,OR(H1292="Dana riba",H1292="Pinjam uang riba",I1292="Pinjam dari uang riba",I1292="Ganti uang riba",I1292="Kelebihan ganti dikembalikan",AND(C1292="Kantong Uang Riba",G1292="Pengeluaran"))),1,0)</f>
        <v/>
      </c>
      <c r="X1292" s="93">
        <f>IF(AND(B1292&lt;&gt;"",B1292&gt;='Buku Akun'!$H$4,B1292&lt;='Buku Akun'!$H$5,OR(C1292='Buku Akun'!$C$4,AND(D1292="Pindah",E1292='Buku Akun'!$C$4))),B1292+IF(AND(I1292="Selisih bunga",DAY(B1292)=1),0,0.01)+ROW()/10000000,"")</f>
        <v/>
      </c>
    </row>
    <row r="1293" outlineLevel="1" ht="15" customHeight="1" s="94">
      <c r="A1293" s="123">
        <f>IF(B1293="","",ROW()-15)</f>
        <v/>
      </c>
      <c r="B1293" s="124" t="n"/>
      <c r="C1293" s="123" t="n"/>
      <c r="D1293" s="123" t="n"/>
      <c r="E1293" s="123" t="n"/>
      <c r="F1293" s="125" t="n"/>
      <c r="G1293" s="123" t="n"/>
      <c r="H1293" s="123" t="n"/>
      <c r="I1293" s="123" t="n"/>
      <c r="J1293" s="123" t="n"/>
      <c r="K1293" s="123" t="n"/>
      <c r="L1293" s="123" t="n"/>
      <c r="M1293" s="123">
        <f>IF(AND(B1293&lt;&gt;"",OR($C$4="",ISNUMBER(SEARCH($C$4,C1293&amp;" "&amp;E1293&amp;" "&amp;G1293&amp;" "&amp;H1293&amp;" "&amp;I1293&amp;" "&amp;J1293&amp;" "&amp;K1293&amp;" "&amp;L1293))),OR($C$5="Semua",$C$5="",G1293=$C$5),OR($C$6="Semua",$C$6="",H1293=$C$6,H1293="Pengeluaran "&amp;$C$6,AND($C$6="Uang Kos Mama",H1293="Pengeluaran Uang Kos")),OR($C$7="Semua",$C$7="",I1293=$C$7),OR($C$8="Semua",$C$8="",C1293=$C$8,E1293=$C$8),OR($C$9="Semua",$C$9="",D1293=$C$9),OR($C$10="",B1293&gt;=$C$10),OR($C$11="",B1293&lt;=$C$11),OR($C$12&lt;&gt;"Ya",K1293&lt;&gt;""),OR($C$13="Semua",$C$13="",L1293=$C$13)),"✓","")</f>
        <v/>
      </c>
      <c r="N1293" s="93">
        <f>N(N1292)+IF(M1293="✓",1,0)</f>
        <v/>
      </c>
      <c r="O1293" s="93">
        <f>N(O1292)+IF(AND(B1293&lt;&gt;"",B1293&gt;='Uang Riba'!$H$30,B1293&lt;='Uang Riba'!$I$30,OR(H1293="Dana riba",H1293="Pinjam uang riba",I1293="Pinjam dari uang riba",I1293="Ganti uang riba",I1293="Kelebihan ganti dikembalikan",AND(C1293="Kantong Uang Riba",G1293="Pengeluaran"))),1,0)</f>
        <v/>
      </c>
      <c r="X1293" s="93">
        <f>IF(AND(B1293&lt;&gt;"",B1293&gt;='Buku Akun'!$H$4,B1293&lt;='Buku Akun'!$H$5,OR(C1293='Buku Akun'!$C$4,AND(D1293="Pindah",E1293='Buku Akun'!$C$4))),B1293+IF(AND(I1293="Selisih bunga",DAY(B1293)=1),0,0.01)+ROW()/10000000,"")</f>
        <v/>
      </c>
    </row>
    <row r="1294" outlineLevel="1" ht="15" customHeight="1" s="94">
      <c r="A1294" s="123">
        <f>IF(B1294="","",ROW()-15)</f>
        <v/>
      </c>
      <c r="B1294" s="124" t="n"/>
      <c r="C1294" s="123" t="n"/>
      <c r="D1294" s="123" t="n"/>
      <c r="E1294" s="123" t="n"/>
      <c r="F1294" s="125" t="n"/>
      <c r="G1294" s="123" t="n"/>
      <c r="H1294" s="123" t="n"/>
      <c r="I1294" s="123" t="n"/>
      <c r="J1294" s="123" t="n"/>
      <c r="K1294" s="123" t="n"/>
      <c r="L1294" s="123" t="n"/>
      <c r="M1294" s="123">
        <f>IF(AND(B1294&lt;&gt;"",OR($C$4="",ISNUMBER(SEARCH($C$4,C1294&amp;" "&amp;E1294&amp;" "&amp;G1294&amp;" "&amp;H1294&amp;" "&amp;I1294&amp;" "&amp;J1294&amp;" "&amp;K1294&amp;" "&amp;L1294))),OR($C$5="Semua",$C$5="",G1294=$C$5),OR($C$6="Semua",$C$6="",H1294=$C$6,H1294="Pengeluaran "&amp;$C$6,AND($C$6="Uang Kos Mama",H1294="Pengeluaran Uang Kos")),OR($C$7="Semua",$C$7="",I1294=$C$7),OR($C$8="Semua",$C$8="",C1294=$C$8,E1294=$C$8),OR($C$9="Semua",$C$9="",D1294=$C$9),OR($C$10="",B1294&gt;=$C$10),OR($C$11="",B1294&lt;=$C$11),OR($C$12&lt;&gt;"Ya",K1294&lt;&gt;""),OR($C$13="Semua",$C$13="",L1294=$C$13)),"✓","")</f>
        <v/>
      </c>
      <c r="N1294" s="93">
        <f>N(N1293)+IF(M1294="✓",1,0)</f>
        <v/>
      </c>
      <c r="O1294" s="93">
        <f>N(O1293)+IF(AND(B1294&lt;&gt;"",B1294&gt;='Uang Riba'!$H$30,B1294&lt;='Uang Riba'!$I$30,OR(H1294="Dana riba",H1294="Pinjam uang riba",I1294="Pinjam dari uang riba",I1294="Ganti uang riba",I1294="Kelebihan ganti dikembalikan",AND(C1294="Kantong Uang Riba",G1294="Pengeluaran"))),1,0)</f>
        <v/>
      </c>
      <c r="X1294" s="93">
        <f>IF(AND(B1294&lt;&gt;"",B1294&gt;='Buku Akun'!$H$4,B1294&lt;='Buku Akun'!$H$5,OR(C1294='Buku Akun'!$C$4,AND(D1294="Pindah",E1294='Buku Akun'!$C$4))),B1294+IF(AND(I1294="Selisih bunga",DAY(B1294)=1),0,0.01)+ROW()/10000000,"")</f>
        <v/>
      </c>
    </row>
    <row r="1295" outlineLevel="1" ht="15" customHeight="1" s="94">
      <c r="A1295" s="123">
        <f>IF(B1295="","",ROW()-15)</f>
        <v/>
      </c>
      <c r="B1295" s="124" t="n"/>
      <c r="C1295" s="123" t="n"/>
      <c r="D1295" s="123" t="n"/>
      <c r="E1295" s="123" t="n"/>
      <c r="F1295" s="125" t="n"/>
      <c r="G1295" s="123" t="n"/>
      <c r="H1295" s="123" t="n"/>
      <c r="I1295" s="123" t="n"/>
      <c r="J1295" s="123" t="n"/>
      <c r="K1295" s="123" t="n"/>
      <c r="L1295" s="123" t="n"/>
      <c r="M1295" s="123">
        <f>IF(AND(B1295&lt;&gt;"",OR($C$4="",ISNUMBER(SEARCH($C$4,C1295&amp;" "&amp;E1295&amp;" "&amp;G1295&amp;" "&amp;H1295&amp;" "&amp;I1295&amp;" "&amp;J1295&amp;" "&amp;K1295&amp;" "&amp;L1295))),OR($C$5="Semua",$C$5="",G1295=$C$5),OR($C$6="Semua",$C$6="",H1295=$C$6,H1295="Pengeluaran "&amp;$C$6,AND($C$6="Uang Kos Mama",H1295="Pengeluaran Uang Kos")),OR($C$7="Semua",$C$7="",I1295=$C$7),OR($C$8="Semua",$C$8="",C1295=$C$8,E1295=$C$8),OR($C$9="Semua",$C$9="",D1295=$C$9),OR($C$10="",B1295&gt;=$C$10),OR($C$11="",B1295&lt;=$C$11),OR($C$12&lt;&gt;"Ya",K1295&lt;&gt;""),OR($C$13="Semua",$C$13="",L1295=$C$13)),"✓","")</f>
        <v/>
      </c>
      <c r="N1295" s="93">
        <f>N(N1294)+IF(M1295="✓",1,0)</f>
        <v/>
      </c>
      <c r="O1295" s="93">
        <f>N(O1294)+IF(AND(B1295&lt;&gt;"",B1295&gt;='Uang Riba'!$H$30,B1295&lt;='Uang Riba'!$I$30,OR(H1295="Dana riba",H1295="Pinjam uang riba",I1295="Pinjam dari uang riba",I1295="Ganti uang riba",I1295="Kelebihan ganti dikembalikan",AND(C1295="Kantong Uang Riba",G1295="Pengeluaran"))),1,0)</f>
        <v/>
      </c>
      <c r="X1295" s="93">
        <f>IF(AND(B1295&lt;&gt;"",B1295&gt;='Buku Akun'!$H$4,B1295&lt;='Buku Akun'!$H$5,OR(C1295='Buku Akun'!$C$4,AND(D1295="Pindah",E1295='Buku Akun'!$C$4))),B1295+IF(AND(I1295="Selisih bunga",DAY(B1295)=1),0,0.01)+ROW()/10000000,"")</f>
        <v/>
      </c>
    </row>
    <row r="1296" outlineLevel="1" ht="15" customHeight="1" s="94">
      <c r="A1296" s="123">
        <f>IF(B1296="","",ROW()-15)</f>
        <v/>
      </c>
      <c r="B1296" s="124" t="n"/>
      <c r="C1296" s="123" t="n"/>
      <c r="D1296" s="123" t="n"/>
      <c r="E1296" s="123" t="n"/>
      <c r="F1296" s="125" t="n"/>
      <c r="G1296" s="123" t="n"/>
      <c r="H1296" s="123" t="n"/>
      <c r="I1296" s="123" t="n"/>
      <c r="J1296" s="123" t="n"/>
      <c r="K1296" s="123" t="n"/>
      <c r="L1296" s="123" t="n"/>
      <c r="M1296" s="123">
        <f>IF(AND(B1296&lt;&gt;"",OR($C$4="",ISNUMBER(SEARCH($C$4,C1296&amp;" "&amp;E1296&amp;" "&amp;G1296&amp;" "&amp;H1296&amp;" "&amp;I1296&amp;" "&amp;J1296&amp;" "&amp;K1296&amp;" "&amp;L1296))),OR($C$5="Semua",$C$5="",G1296=$C$5),OR($C$6="Semua",$C$6="",H1296=$C$6,H1296="Pengeluaran "&amp;$C$6,AND($C$6="Uang Kos Mama",H1296="Pengeluaran Uang Kos")),OR($C$7="Semua",$C$7="",I1296=$C$7),OR($C$8="Semua",$C$8="",C1296=$C$8,E1296=$C$8),OR($C$9="Semua",$C$9="",D1296=$C$9),OR($C$10="",B1296&gt;=$C$10),OR($C$11="",B1296&lt;=$C$11),OR($C$12&lt;&gt;"Ya",K1296&lt;&gt;""),OR($C$13="Semua",$C$13="",L1296=$C$13)),"✓","")</f>
        <v/>
      </c>
      <c r="N1296" s="93">
        <f>N(N1295)+IF(M1296="✓",1,0)</f>
        <v/>
      </c>
      <c r="O1296" s="93">
        <f>N(O1295)+IF(AND(B1296&lt;&gt;"",B1296&gt;='Uang Riba'!$H$30,B1296&lt;='Uang Riba'!$I$30,OR(H1296="Dana riba",H1296="Pinjam uang riba",I1296="Pinjam dari uang riba",I1296="Ganti uang riba",I1296="Kelebihan ganti dikembalikan",AND(C1296="Kantong Uang Riba",G1296="Pengeluaran"))),1,0)</f>
        <v/>
      </c>
      <c r="X1296" s="93">
        <f>IF(AND(B1296&lt;&gt;"",B1296&gt;='Buku Akun'!$H$4,B1296&lt;='Buku Akun'!$H$5,OR(C1296='Buku Akun'!$C$4,AND(D1296="Pindah",E1296='Buku Akun'!$C$4))),B1296+IF(AND(I1296="Selisih bunga",DAY(B1296)=1),0,0.01)+ROW()/10000000,"")</f>
        <v/>
      </c>
    </row>
    <row r="1297" outlineLevel="1" ht="15" customHeight="1" s="94">
      <c r="A1297" s="123">
        <f>IF(B1297="","",ROW()-15)</f>
        <v/>
      </c>
      <c r="B1297" s="124" t="n"/>
      <c r="C1297" s="123" t="n"/>
      <c r="D1297" s="123" t="n"/>
      <c r="E1297" s="123" t="n"/>
      <c r="F1297" s="125" t="n"/>
      <c r="G1297" s="123" t="n"/>
      <c r="H1297" s="123" t="n"/>
      <c r="I1297" s="123" t="n"/>
      <c r="J1297" s="123" t="n"/>
      <c r="K1297" s="123" t="n"/>
      <c r="L1297" s="123" t="n"/>
      <c r="M1297" s="123">
        <f>IF(AND(B1297&lt;&gt;"",OR($C$4="",ISNUMBER(SEARCH($C$4,C1297&amp;" "&amp;E1297&amp;" "&amp;G1297&amp;" "&amp;H1297&amp;" "&amp;I1297&amp;" "&amp;J1297&amp;" "&amp;K1297&amp;" "&amp;L1297))),OR($C$5="Semua",$C$5="",G1297=$C$5),OR($C$6="Semua",$C$6="",H1297=$C$6,H1297="Pengeluaran "&amp;$C$6,AND($C$6="Uang Kos Mama",H1297="Pengeluaran Uang Kos")),OR($C$7="Semua",$C$7="",I1297=$C$7),OR($C$8="Semua",$C$8="",C1297=$C$8,E1297=$C$8),OR($C$9="Semua",$C$9="",D1297=$C$9),OR($C$10="",B1297&gt;=$C$10),OR($C$11="",B1297&lt;=$C$11),OR($C$12&lt;&gt;"Ya",K1297&lt;&gt;""),OR($C$13="Semua",$C$13="",L1297=$C$13)),"✓","")</f>
        <v/>
      </c>
      <c r="N1297" s="93">
        <f>N(N1296)+IF(M1297="✓",1,0)</f>
        <v/>
      </c>
      <c r="O1297" s="93">
        <f>N(O1296)+IF(AND(B1297&lt;&gt;"",B1297&gt;='Uang Riba'!$H$30,B1297&lt;='Uang Riba'!$I$30,OR(H1297="Dana riba",H1297="Pinjam uang riba",I1297="Pinjam dari uang riba",I1297="Ganti uang riba",I1297="Kelebihan ganti dikembalikan",AND(C1297="Kantong Uang Riba",G1297="Pengeluaran"))),1,0)</f>
        <v/>
      </c>
      <c r="X1297" s="93">
        <f>IF(AND(B1297&lt;&gt;"",B1297&gt;='Buku Akun'!$H$4,B1297&lt;='Buku Akun'!$H$5,OR(C1297='Buku Akun'!$C$4,AND(D1297="Pindah",E1297='Buku Akun'!$C$4))),B1297+IF(AND(I1297="Selisih bunga",DAY(B1297)=1),0,0.01)+ROW()/10000000,"")</f>
        <v/>
      </c>
    </row>
    <row r="1298" outlineLevel="1" ht="15" customHeight="1" s="94">
      <c r="A1298" s="123">
        <f>IF(B1298="","",ROW()-15)</f>
        <v/>
      </c>
      <c r="B1298" s="124" t="n"/>
      <c r="C1298" s="123" t="n"/>
      <c r="D1298" s="123" t="n"/>
      <c r="E1298" s="123" t="n"/>
      <c r="F1298" s="125" t="n"/>
      <c r="G1298" s="123" t="n"/>
      <c r="H1298" s="123" t="n"/>
      <c r="I1298" s="123" t="n"/>
      <c r="J1298" s="123" t="n"/>
      <c r="K1298" s="123" t="n"/>
      <c r="L1298" s="123" t="n"/>
      <c r="M1298" s="123">
        <f>IF(AND(B1298&lt;&gt;"",OR($C$4="",ISNUMBER(SEARCH($C$4,C1298&amp;" "&amp;E1298&amp;" "&amp;G1298&amp;" "&amp;H1298&amp;" "&amp;I1298&amp;" "&amp;J1298&amp;" "&amp;K1298&amp;" "&amp;L1298))),OR($C$5="Semua",$C$5="",G1298=$C$5),OR($C$6="Semua",$C$6="",H1298=$C$6,H1298="Pengeluaran "&amp;$C$6,AND($C$6="Uang Kos Mama",H1298="Pengeluaran Uang Kos")),OR($C$7="Semua",$C$7="",I1298=$C$7),OR($C$8="Semua",$C$8="",C1298=$C$8,E1298=$C$8),OR($C$9="Semua",$C$9="",D1298=$C$9),OR($C$10="",B1298&gt;=$C$10),OR($C$11="",B1298&lt;=$C$11),OR($C$12&lt;&gt;"Ya",K1298&lt;&gt;""),OR($C$13="Semua",$C$13="",L1298=$C$13)),"✓","")</f>
        <v/>
      </c>
      <c r="N1298" s="93">
        <f>N(N1297)+IF(M1298="✓",1,0)</f>
        <v/>
      </c>
      <c r="O1298" s="93">
        <f>N(O1297)+IF(AND(B1298&lt;&gt;"",B1298&gt;='Uang Riba'!$H$30,B1298&lt;='Uang Riba'!$I$30,OR(H1298="Dana riba",H1298="Pinjam uang riba",I1298="Pinjam dari uang riba",I1298="Ganti uang riba",I1298="Kelebihan ganti dikembalikan",AND(C1298="Kantong Uang Riba",G1298="Pengeluaran"))),1,0)</f>
        <v/>
      </c>
      <c r="X1298" s="93">
        <f>IF(AND(B1298&lt;&gt;"",B1298&gt;='Buku Akun'!$H$4,B1298&lt;='Buku Akun'!$H$5,OR(C1298='Buku Akun'!$C$4,AND(D1298="Pindah",E1298='Buku Akun'!$C$4))),B1298+IF(AND(I1298="Selisih bunga",DAY(B1298)=1),0,0.01)+ROW()/10000000,"")</f>
        <v/>
      </c>
    </row>
    <row r="1299" outlineLevel="1" ht="15" customHeight="1" s="94">
      <c r="A1299" s="123">
        <f>IF(B1299="","",ROW()-15)</f>
        <v/>
      </c>
      <c r="B1299" s="124" t="n"/>
      <c r="C1299" s="123" t="n"/>
      <c r="D1299" s="123" t="n"/>
      <c r="E1299" s="123" t="n"/>
      <c r="F1299" s="125" t="n"/>
      <c r="G1299" s="123" t="n"/>
      <c r="H1299" s="123" t="n"/>
      <c r="I1299" s="123" t="n"/>
      <c r="J1299" s="123" t="n"/>
      <c r="K1299" s="123" t="n"/>
      <c r="L1299" s="123" t="n"/>
      <c r="M1299" s="123">
        <f>IF(AND(B1299&lt;&gt;"",OR($C$4="",ISNUMBER(SEARCH($C$4,C1299&amp;" "&amp;E1299&amp;" "&amp;G1299&amp;" "&amp;H1299&amp;" "&amp;I1299&amp;" "&amp;J1299&amp;" "&amp;K1299&amp;" "&amp;L1299))),OR($C$5="Semua",$C$5="",G1299=$C$5),OR($C$6="Semua",$C$6="",H1299=$C$6,H1299="Pengeluaran "&amp;$C$6,AND($C$6="Uang Kos Mama",H1299="Pengeluaran Uang Kos")),OR($C$7="Semua",$C$7="",I1299=$C$7),OR($C$8="Semua",$C$8="",C1299=$C$8,E1299=$C$8),OR($C$9="Semua",$C$9="",D1299=$C$9),OR($C$10="",B1299&gt;=$C$10),OR($C$11="",B1299&lt;=$C$11),OR($C$12&lt;&gt;"Ya",K1299&lt;&gt;""),OR($C$13="Semua",$C$13="",L1299=$C$13)),"✓","")</f>
        <v/>
      </c>
      <c r="N1299" s="93">
        <f>N(N1298)+IF(M1299="✓",1,0)</f>
        <v/>
      </c>
      <c r="O1299" s="93">
        <f>N(O1298)+IF(AND(B1299&lt;&gt;"",B1299&gt;='Uang Riba'!$H$30,B1299&lt;='Uang Riba'!$I$30,OR(H1299="Dana riba",H1299="Pinjam uang riba",I1299="Pinjam dari uang riba",I1299="Ganti uang riba",I1299="Kelebihan ganti dikembalikan",AND(C1299="Kantong Uang Riba",G1299="Pengeluaran"))),1,0)</f>
        <v/>
      </c>
      <c r="X1299" s="93">
        <f>IF(AND(B1299&lt;&gt;"",B1299&gt;='Buku Akun'!$H$4,B1299&lt;='Buku Akun'!$H$5,OR(C1299='Buku Akun'!$C$4,AND(D1299="Pindah",E1299='Buku Akun'!$C$4))),B1299+IF(AND(I1299="Selisih bunga",DAY(B1299)=1),0,0.01)+ROW()/10000000,"")</f>
        <v/>
      </c>
    </row>
    <row r="1300" outlineLevel="1" ht="15" customHeight="1" s="94">
      <c r="A1300" s="123">
        <f>IF(B1300="","",ROW()-15)</f>
        <v/>
      </c>
      <c r="B1300" s="124" t="n"/>
      <c r="C1300" s="123" t="n"/>
      <c r="D1300" s="123" t="n"/>
      <c r="E1300" s="123" t="n"/>
      <c r="F1300" s="125" t="n"/>
      <c r="G1300" s="123" t="n"/>
      <c r="H1300" s="123" t="n"/>
      <c r="I1300" s="123" t="n"/>
      <c r="J1300" s="123" t="n"/>
      <c r="K1300" s="123" t="n"/>
      <c r="L1300" s="123" t="n"/>
      <c r="M1300" s="123">
        <f>IF(AND(B1300&lt;&gt;"",OR($C$4="",ISNUMBER(SEARCH($C$4,C1300&amp;" "&amp;E1300&amp;" "&amp;G1300&amp;" "&amp;H1300&amp;" "&amp;I1300&amp;" "&amp;J1300&amp;" "&amp;K1300&amp;" "&amp;L1300))),OR($C$5="Semua",$C$5="",G1300=$C$5),OR($C$6="Semua",$C$6="",H1300=$C$6,H1300="Pengeluaran "&amp;$C$6,AND($C$6="Uang Kos Mama",H1300="Pengeluaran Uang Kos")),OR($C$7="Semua",$C$7="",I1300=$C$7),OR($C$8="Semua",$C$8="",C1300=$C$8,E1300=$C$8),OR($C$9="Semua",$C$9="",D1300=$C$9),OR($C$10="",B1300&gt;=$C$10),OR($C$11="",B1300&lt;=$C$11),OR($C$12&lt;&gt;"Ya",K1300&lt;&gt;""),OR($C$13="Semua",$C$13="",L1300=$C$13)),"✓","")</f>
        <v/>
      </c>
      <c r="N1300" s="93">
        <f>N(N1299)+IF(M1300="✓",1,0)</f>
        <v/>
      </c>
      <c r="O1300" s="93">
        <f>N(O1299)+IF(AND(B1300&lt;&gt;"",B1300&gt;='Uang Riba'!$H$30,B1300&lt;='Uang Riba'!$I$30,OR(H1300="Dana riba",H1300="Pinjam uang riba",I1300="Pinjam dari uang riba",I1300="Ganti uang riba",I1300="Kelebihan ganti dikembalikan",AND(C1300="Kantong Uang Riba",G1300="Pengeluaran"))),1,0)</f>
        <v/>
      </c>
      <c r="X1300" s="93">
        <f>IF(AND(B1300&lt;&gt;"",B1300&gt;='Buku Akun'!$H$4,B1300&lt;='Buku Akun'!$H$5,OR(C1300='Buku Akun'!$C$4,AND(D1300="Pindah",E1300='Buku Akun'!$C$4))),B1300+IF(AND(I1300="Selisih bunga",DAY(B1300)=1),0,0.01)+ROW()/10000000,"")</f>
        <v/>
      </c>
    </row>
    <row r="1301" outlineLevel="1" ht="15" customHeight="1" s="94">
      <c r="A1301" s="123">
        <f>IF(B1301="","",ROW()-15)</f>
        <v/>
      </c>
      <c r="B1301" s="124" t="n"/>
      <c r="C1301" s="123" t="n"/>
      <c r="D1301" s="123" t="n"/>
      <c r="E1301" s="123" t="n"/>
      <c r="F1301" s="125" t="n"/>
      <c r="G1301" s="123" t="n"/>
      <c r="H1301" s="123" t="n"/>
      <c r="I1301" s="123" t="n"/>
      <c r="J1301" s="123" t="n"/>
      <c r="K1301" s="123" t="n"/>
      <c r="L1301" s="123" t="n"/>
      <c r="M1301" s="123">
        <f>IF(AND(B1301&lt;&gt;"",OR($C$4="",ISNUMBER(SEARCH($C$4,C1301&amp;" "&amp;E1301&amp;" "&amp;G1301&amp;" "&amp;H1301&amp;" "&amp;I1301&amp;" "&amp;J1301&amp;" "&amp;K1301&amp;" "&amp;L1301))),OR($C$5="Semua",$C$5="",G1301=$C$5),OR($C$6="Semua",$C$6="",H1301=$C$6,H1301="Pengeluaran "&amp;$C$6,AND($C$6="Uang Kos Mama",H1301="Pengeluaran Uang Kos")),OR($C$7="Semua",$C$7="",I1301=$C$7),OR($C$8="Semua",$C$8="",C1301=$C$8,E1301=$C$8),OR($C$9="Semua",$C$9="",D1301=$C$9),OR($C$10="",B1301&gt;=$C$10),OR($C$11="",B1301&lt;=$C$11),OR($C$12&lt;&gt;"Ya",K1301&lt;&gt;""),OR($C$13="Semua",$C$13="",L1301=$C$13)),"✓","")</f>
        <v/>
      </c>
      <c r="N1301" s="93">
        <f>N(N1300)+IF(M1301="✓",1,0)</f>
        <v/>
      </c>
      <c r="O1301" s="93">
        <f>N(O1300)+IF(AND(B1301&lt;&gt;"",B1301&gt;='Uang Riba'!$H$30,B1301&lt;='Uang Riba'!$I$30,OR(H1301="Dana riba",H1301="Pinjam uang riba",I1301="Pinjam dari uang riba",I1301="Ganti uang riba",I1301="Kelebihan ganti dikembalikan",AND(C1301="Kantong Uang Riba",G1301="Pengeluaran"))),1,0)</f>
        <v/>
      </c>
      <c r="X1301" s="93">
        <f>IF(AND(B1301&lt;&gt;"",B1301&gt;='Buku Akun'!$H$4,B1301&lt;='Buku Akun'!$H$5,OR(C1301='Buku Akun'!$C$4,AND(D1301="Pindah",E1301='Buku Akun'!$C$4))),B1301+IF(AND(I1301="Selisih bunga",DAY(B1301)=1),0,0.01)+ROW()/10000000,"")</f>
        <v/>
      </c>
    </row>
    <row r="1302" outlineLevel="1" ht="15" customHeight="1" s="94">
      <c r="A1302" s="123">
        <f>IF(B1302="","",ROW()-15)</f>
        <v/>
      </c>
      <c r="B1302" s="124" t="n"/>
      <c r="C1302" s="123" t="n"/>
      <c r="D1302" s="123" t="n"/>
      <c r="E1302" s="123" t="n"/>
      <c r="F1302" s="125" t="n"/>
      <c r="G1302" s="123" t="n"/>
      <c r="H1302" s="123" t="n"/>
      <c r="I1302" s="123" t="n"/>
      <c r="J1302" s="123" t="n"/>
      <c r="K1302" s="123" t="n"/>
      <c r="L1302" s="123" t="n"/>
      <c r="M1302" s="123">
        <f>IF(AND(B1302&lt;&gt;"",OR($C$4="",ISNUMBER(SEARCH($C$4,C1302&amp;" "&amp;E1302&amp;" "&amp;G1302&amp;" "&amp;H1302&amp;" "&amp;I1302&amp;" "&amp;J1302&amp;" "&amp;K1302&amp;" "&amp;L1302))),OR($C$5="Semua",$C$5="",G1302=$C$5),OR($C$6="Semua",$C$6="",H1302=$C$6,H1302="Pengeluaran "&amp;$C$6,AND($C$6="Uang Kos Mama",H1302="Pengeluaran Uang Kos")),OR($C$7="Semua",$C$7="",I1302=$C$7),OR($C$8="Semua",$C$8="",C1302=$C$8,E1302=$C$8),OR($C$9="Semua",$C$9="",D1302=$C$9),OR($C$10="",B1302&gt;=$C$10),OR($C$11="",B1302&lt;=$C$11),OR($C$12&lt;&gt;"Ya",K1302&lt;&gt;""),OR($C$13="Semua",$C$13="",L1302=$C$13)),"✓","")</f>
        <v/>
      </c>
      <c r="N1302" s="93">
        <f>N(N1301)+IF(M1302="✓",1,0)</f>
        <v/>
      </c>
      <c r="O1302" s="93">
        <f>N(O1301)+IF(AND(B1302&lt;&gt;"",B1302&gt;='Uang Riba'!$H$30,B1302&lt;='Uang Riba'!$I$30,OR(H1302="Dana riba",H1302="Pinjam uang riba",I1302="Pinjam dari uang riba",I1302="Ganti uang riba",I1302="Kelebihan ganti dikembalikan",AND(C1302="Kantong Uang Riba",G1302="Pengeluaran"))),1,0)</f>
        <v/>
      </c>
      <c r="X1302" s="93">
        <f>IF(AND(B1302&lt;&gt;"",B1302&gt;='Buku Akun'!$H$4,B1302&lt;='Buku Akun'!$H$5,OR(C1302='Buku Akun'!$C$4,AND(D1302="Pindah",E1302='Buku Akun'!$C$4))),B1302+IF(AND(I1302="Selisih bunga",DAY(B1302)=1),0,0.01)+ROW()/10000000,"")</f>
        <v/>
      </c>
    </row>
    <row r="1303" outlineLevel="1" ht="15" customHeight="1" s="94">
      <c r="A1303" s="123">
        <f>IF(B1303="","",ROW()-15)</f>
        <v/>
      </c>
      <c r="B1303" s="124" t="n"/>
      <c r="C1303" s="123" t="n"/>
      <c r="D1303" s="123" t="n"/>
      <c r="E1303" s="123" t="n"/>
      <c r="F1303" s="125" t="n"/>
      <c r="G1303" s="123" t="n"/>
      <c r="H1303" s="123" t="n"/>
      <c r="I1303" s="123" t="n"/>
      <c r="J1303" s="123" t="n"/>
      <c r="K1303" s="123" t="n"/>
      <c r="L1303" s="123" t="n"/>
      <c r="M1303" s="123">
        <f>IF(AND(B1303&lt;&gt;"",OR($C$4="",ISNUMBER(SEARCH($C$4,C1303&amp;" "&amp;E1303&amp;" "&amp;G1303&amp;" "&amp;H1303&amp;" "&amp;I1303&amp;" "&amp;J1303&amp;" "&amp;K1303&amp;" "&amp;L1303))),OR($C$5="Semua",$C$5="",G1303=$C$5),OR($C$6="Semua",$C$6="",H1303=$C$6,H1303="Pengeluaran "&amp;$C$6,AND($C$6="Uang Kos Mama",H1303="Pengeluaran Uang Kos")),OR($C$7="Semua",$C$7="",I1303=$C$7),OR($C$8="Semua",$C$8="",C1303=$C$8,E1303=$C$8),OR($C$9="Semua",$C$9="",D1303=$C$9),OR($C$10="",B1303&gt;=$C$10),OR($C$11="",B1303&lt;=$C$11),OR($C$12&lt;&gt;"Ya",K1303&lt;&gt;""),OR($C$13="Semua",$C$13="",L1303=$C$13)),"✓","")</f>
        <v/>
      </c>
      <c r="N1303" s="93">
        <f>N(N1302)+IF(M1303="✓",1,0)</f>
        <v/>
      </c>
      <c r="O1303" s="93">
        <f>N(O1302)+IF(AND(B1303&lt;&gt;"",B1303&gt;='Uang Riba'!$H$30,B1303&lt;='Uang Riba'!$I$30,OR(H1303="Dana riba",H1303="Pinjam uang riba",I1303="Pinjam dari uang riba",I1303="Ganti uang riba",I1303="Kelebihan ganti dikembalikan",AND(C1303="Kantong Uang Riba",G1303="Pengeluaran"))),1,0)</f>
        <v/>
      </c>
      <c r="X1303" s="93">
        <f>IF(AND(B1303&lt;&gt;"",B1303&gt;='Buku Akun'!$H$4,B1303&lt;='Buku Akun'!$H$5,OR(C1303='Buku Akun'!$C$4,AND(D1303="Pindah",E1303='Buku Akun'!$C$4))),B1303+IF(AND(I1303="Selisih bunga",DAY(B1303)=1),0,0.01)+ROW()/10000000,"")</f>
        <v/>
      </c>
    </row>
    <row r="1304" outlineLevel="1" ht="15" customHeight="1" s="94">
      <c r="A1304" s="123">
        <f>IF(B1304="","",ROW()-15)</f>
        <v/>
      </c>
      <c r="B1304" s="124" t="n"/>
      <c r="C1304" s="123" t="n"/>
      <c r="D1304" s="123" t="n"/>
      <c r="E1304" s="123" t="n"/>
      <c r="F1304" s="125" t="n"/>
      <c r="G1304" s="123" t="n"/>
      <c r="H1304" s="123" t="n"/>
      <c r="I1304" s="123" t="n"/>
      <c r="J1304" s="123" t="n"/>
      <c r="K1304" s="123" t="n"/>
      <c r="L1304" s="123" t="n"/>
      <c r="M1304" s="123">
        <f>IF(AND(B1304&lt;&gt;"",OR($C$4="",ISNUMBER(SEARCH($C$4,C1304&amp;" "&amp;E1304&amp;" "&amp;G1304&amp;" "&amp;H1304&amp;" "&amp;I1304&amp;" "&amp;J1304&amp;" "&amp;K1304&amp;" "&amp;L1304))),OR($C$5="Semua",$C$5="",G1304=$C$5),OR($C$6="Semua",$C$6="",H1304=$C$6,H1304="Pengeluaran "&amp;$C$6,AND($C$6="Uang Kos Mama",H1304="Pengeluaran Uang Kos")),OR($C$7="Semua",$C$7="",I1304=$C$7),OR($C$8="Semua",$C$8="",C1304=$C$8,E1304=$C$8),OR($C$9="Semua",$C$9="",D1304=$C$9),OR($C$10="",B1304&gt;=$C$10),OR($C$11="",B1304&lt;=$C$11),OR($C$12&lt;&gt;"Ya",K1304&lt;&gt;""),OR($C$13="Semua",$C$13="",L1304=$C$13)),"✓","")</f>
        <v/>
      </c>
      <c r="N1304" s="93">
        <f>N(N1303)+IF(M1304="✓",1,0)</f>
        <v/>
      </c>
      <c r="O1304" s="93">
        <f>N(O1303)+IF(AND(B1304&lt;&gt;"",B1304&gt;='Uang Riba'!$H$30,B1304&lt;='Uang Riba'!$I$30,OR(H1304="Dana riba",H1304="Pinjam uang riba",I1304="Pinjam dari uang riba",I1304="Ganti uang riba",I1304="Kelebihan ganti dikembalikan",AND(C1304="Kantong Uang Riba",G1304="Pengeluaran"))),1,0)</f>
        <v/>
      </c>
      <c r="X1304" s="93">
        <f>IF(AND(B1304&lt;&gt;"",B1304&gt;='Buku Akun'!$H$4,B1304&lt;='Buku Akun'!$H$5,OR(C1304='Buku Akun'!$C$4,AND(D1304="Pindah",E1304='Buku Akun'!$C$4))),B1304+IF(AND(I1304="Selisih bunga",DAY(B1304)=1),0,0.01)+ROW()/10000000,"")</f>
        <v/>
      </c>
    </row>
    <row r="1305" outlineLevel="1" ht="15" customHeight="1" s="94">
      <c r="A1305" s="123">
        <f>IF(B1305="","",ROW()-15)</f>
        <v/>
      </c>
      <c r="B1305" s="124" t="n"/>
      <c r="C1305" s="123" t="n"/>
      <c r="D1305" s="123" t="n"/>
      <c r="E1305" s="123" t="n"/>
      <c r="F1305" s="125" t="n"/>
      <c r="G1305" s="123" t="n"/>
      <c r="H1305" s="123" t="n"/>
      <c r="I1305" s="123" t="n"/>
      <c r="J1305" s="123" t="n"/>
      <c r="K1305" s="123" t="n"/>
      <c r="L1305" s="123" t="n"/>
      <c r="M1305" s="123">
        <f>IF(AND(B1305&lt;&gt;"",OR($C$4="",ISNUMBER(SEARCH($C$4,C1305&amp;" "&amp;E1305&amp;" "&amp;G1305&amp;" "&amp;H1305&amp;" "&amp;I1305&amp;" "&amp;J1305&amp;" "&amp;K1305&amp;" "&amp;L1305))),OR($C$5="Semua",$C$5="",G1305=$C$5),OR($C$6="Semua",$C$6="",H1305=$C$6,H1305="Pengeluaran "&amp;$C$6,AND($C$6="Uang Kos Mama",H1305="Pengeluaran Uang Kos")),OR($C$7="Semua",$C$7="",I1305=$C$7),OR($C$8="Semua",$C$8="",C1305=$C$8,E1305=$C$8),OR($C$9="Semua",$C$9="",D1305=$C$9),OR($C$10="",B1305&gt;=$C$10),OR($C$11="",B1305&lt;=$C$11),OR($C$12&lt;&gt;"Ya",K1305&lt;&gt;""),OR($C$13="Semua",$C$13="",L1305=$C$13)),"✓","")</f>
        <v/>
      </c>
      <c r="N1305" s="93">
        <f>N(N1304)+IF(M1305="✓",1,0)</f>
        <v/>
      </c>
      <c r="O1305" s="93">
        <f>N(O1304)+IF(AND(B1305&lt;&gt;"",B1305&gt;='Uang Riba'!$H$30,B1305&lt;='Uang Riba'!$I$30,OR(H1305="Dana riba",H1305="Pinjam uang riba",I1305="Pinjam dari uang riba",I1305="Ganti uang riba",I1305="Kelebihan ganti dikembalikan",AND(C1305="Kantong Uang Riba",G1305="Pengeluaran"))),1,0)</f>
        <v/>
      </c>
      <c r="X1305" s="93">
        <f>IF(AND(B1305&lt;&gt;"",B1305&gt;='Buku Akun'!$H$4,B1305&lt;='Buku Akun'!$H$5,OR(C1305='Buku Akun'!$C$4,AND(D1305="Pindah",E1305='Buku Akun'!$C$4))),B1305+IF(AND(I1305="Selisih bunga",DAY(B1305)=1),0,0.01)+ROW()/10000000,"")</f>
        <v/>
      </c>
    </row>
    <row r="1306" outlineLevel="1" ht="15" customHeight="1" s="94">
      <c r="A1306" s="123">
        <f>IF(B1306="","",ROW()-15)</f>
        <v/>
      </c>
      <c r="B1306" s="124" t="n"/>
      <c r="C1306" s="123" t="n"/>
      <c r="D1306" s="123" t="n"/>
      <c r="E1306" s="123" t="n"/>
      <c r="F1306" s="125" t="n"/>
      <c r="G1306" s="123" t="n"/>
      <c r="H1306" s="123" t="n"/>
      <c r="I1306" s="123" t="n"/>
      <c r="J1306" s="123" t="n"/>
      <c r="K1306" s="123" t="n"/>
      <c r="L1306" s="123" t="n"/>
      <c r="M1306" s="123">
        <f>IF(AND(B1306&lt;&gt;"",OR($C$4="",ISNUMBER(SEARCH($C$4,C1306&amp;" "&amp;E1306&amp;" "&amp;G1306&amp;" "&amp;H1306&amp;" "&amp;I1306&amp;" "&amp;J1306&amp;" "&amp;K1306&amp;" "&amp;L1306))),OR($C$5="Semua",$C$5="",G1306=$C$5),OR($C$6="Semua",$C$6="",H1306=$C$6,H1306="Pengeluaran "&amp;$C$6,AND($C$6="Uang Kos Mama",H1306="Pengeluaran Uang Kos")),OR($C$7="Semua",$C$7="",I1306=$C$7),OR($C$8="Semua",$C$8="",C1306=$C$8,E1306=$C$8),OR($C$9="Semua",$C$9="",D1306=$C$9),OR($C$10="",B1306&gt;=$C$10),OR($C$11="",B1306&lt;=$C$11),OR($C$12&lt;&gt;"Ya",K1306&lt;&gt;""),OR($C$13="Semua",$C$13="",L1306=$C$13)),"✓","")</f>
        <v/>
      </c>
      <c r="N1306" s="93">
        <f>N(N1305)+IF(M1306="✓",1,0)</f>
        <v/>
      </c>
      <c r="O1306" s="93">
        <f>N(O1305)+IF(AND(B1306&lt;&gt;"",B1306&gt;='Uang Riba'!$H$30,B1306&lt;='Uang Riba'!$I$30,OR(H1306="Dana riba",H1306="Pinjam uang riba",I1306="Pinjam dari uang riba",I1306="Ganti uang riba",I1306="Kelebihan ganti dikembalikan",AND(C1306="Kantong Uang Riba",G1306="Pengeluaran"))),1,0)</f>
        <v/>
      </c>
      <c r="X1306" s="93">
        <f>IF(AND(B1306&lt;&gt;"",B1306&gt;='Buku Akun'!$H$4,B1306&lt;='Buku Akun'!$H$5,OR(C1306='Buku Akun'!$C$4,AND(D1306="Pindah",E1306='Buku Akun'!$C$4))),B1306+IF(AND(I1306="Selisih bunga",DAY(B1306)=1),0,0.01)+ROW()/10000000,"")</f>
        <v/>
      </c>
    </row>
    <row r="1307" outlineLevel="1" ht="15" customHeight="1" s="94">
      <c r="A1307" s="123">
        <f>IF(B1307="","",ROW()-15)</f>
        <v/>
      </c>
      <c r="B1307" s="124" t="n"/>
      <c r="C1307" s="123" t="n"/>
      <c r="D1307" s="123" t="n"/>
      <c r="E1307" s="123" t="n"/>
      <c r="F1307" s="125" t="n"/>
      <c r="G1307" s="123" t="n"/>
      <c r="H1307" s="123" t="n"/>
      <c r="I1307" s="123" t="n"/>
      <c r="J1307" s="123" t="n"/>
      <c r="K1307" s="123" t="n"/>
      <c r="L1307" s="123" t="n"/>
      <c r="M1307" s="123">
        <f>IF(AND(B1307&lt;&gt;"",OR($C$4="",ISNUMBER(SEARCH($C$4,C1307&amp;" "&amp;E1307&amp;" "&amp;G1307&amp;" "&amp;H1307&amp;" "&amp;I1307&amp;" "&amp;J1307&amp;" "&amp;K1307&amp;" "&amp;L1307))),OR($C$5="Semua",$C$5="",G1307=$C$5),OR($C$6="Semua",$C$6="",H1307=$C$6,H1307="Pengeluaran "&amp;$C$6,AND($C$6="Uang Kos Mama",H1307="Pengeluaran Uang Kos")),OR($C$7="Semua",$C$7="",I1307=$C$7),OR($C$8="Semua",$C$8="",C1307=$C$8,E1307=$C$8),OR($C$9="Semua",$C$9="",D1307=$C$9),OR($C$10="",B1307&gt;=$C$10),OR($C$11="",B1307&lt;=$C$11),OR($C$12&lt;&gt;"Ya",K1307&lt;&gt;""),OR($C$13="Semua",$C$13="",L1307=$C$13)),"✓","")</f>
        <v/>
      </c>
      <c r="N1307" s="93">
        <f>N(N1306)+IF(M1307="✓",1,0)</f>
        <v/>
      </c>
      <c r="O1307" s="93">
        <f>N(O1306)+IF(AND(B1307&lt;&gt;"",B1307&gt;='Uang Riba'!$H$30,B1307&lt;='Uang Riba'!$I$30,OR(H1307="Dana riba",H1307="Pinjam uang riba",I1307="Pinjam dari uang riba",I1307="Ganti uang riba",I1307="Kelebihan ganti dikembalikan",AND(C1307="Kantong Uang Riba",G1307="Pengeluaran"))),1,0)</f>
        <v/>
      </c>
      <c r="X1307" s="93">
        <f>IF(AND(B1307&lt;&gt;"",B1307&gt;='Buku Akun'!$H$4,B1307&lt;='Buku Akun'!$H$5,OR(C1307='Buku Akun'!$C$4,AND(D1307="Pindah",E1307='Buku Akun'!$C$4))),B1307+IF(AND(I1307="Selisih bunga",DAY(B1307)=1),0,0.01)+ROW()/10000000,"")</f>
        <v/>
      </c>
    </row>
    <row r="1308" outlineLevel="1" ht="15" customHeight="1" s="94">
      <c r="A1308" s="123">
        <f>IF(B1308="","",ROW()-15)</f>
        <v/>
      </c>
      <c r="B1308" s="124" t="n"/>
      <c r="C1308" s="123" t="n"/>
      <c r="D1308" s="123" t="n"/>
      <c r="E1308" s="123" t="n"/>
      <c r="F1308" s="125" t="n"/>
      <c r="G1308" s="123" t="n"/>
      <c r="H1308" s="123" t="n"/>
      <c r="I1308" s="123" t="n"/>
      <c r="J1308" s="123" t="n"/>
      <c r="K1308" s="123" t="n"/>
      <c r="L1308" s="123" t="n"/>
      <c r="M1308" s="123">
        <f>IF(AND(B1308&lt;&gt;"",OR($C$4="",ISNUMBER(SEARCH($C$4,C1308&amp;" "&amp;E1308&amp;" "&amp;G1308&amp;" "&amp;H1308&amp;" "&amp;I1308&amp;" "&amp;J1308&amp;" "&amp;K1308&amp;" "&amp;L1308))),OR($C$5="Semua",$C$5="",G1308=$C$5),OR($C$6="Semua",$C$6="",H1308=$C$6,H1308="Pengeluaran "&amp;$C$6,AND($C$6="Uang Kos Mama",H1308="Pengeluaran Uang Kos")),OR($C$7="Semua",$C$7="",I1308=$C$7),OR($C$8="Semua",$C$8="",C1308=$C$8,E1308=$C$8),OR($C$9="Semua",$C$9="",D1308=$C$9),OR($C$10="",B1308&gt;=$C$10),OR($C$11="",B1308&lt;=$C$11),OR($C$12&lt;&gt;"Ya",K1308&lt;&gt;""),OR($C$13="Semua",$C$13="",L1308=$C$13)),"✓","")</f>
        <v/>
      </c>
      <c r="N1308" s="93">
        <f>N(N1307)+IF(M1308="✓",1,0)</f>
        <v/>
      </c>
      <c r="O1308" s="93">
        <f>N(O1307)+IF(AND(B1308&lt;&gt;"",B1308&gt;='Uang Riba'!$H$30,B1308&lt;='Uang Riba'!$I$30,OR(H1308="Dana riba",H1308="Pinjam uang riba",I1308="Pinjam dari uang riba",I1308="Ganti uang riba",I1308="Kelebihan ganti dikembalikan",AND(C1308="Kantong Uang Riba",G1308="Pengeluaran"))),1,0)</f>
        <v/>
      </c>
      <c r="X1308" s="93">
        <f>IF(AND(B1308&lt;&gt;"",B1308&gt;='Buku Akun'!$H$4,B1308&lt;='Buku Akun'!$H$5,OR(C1308='Buku Akun'!$C$4,AND(D1308="Pindah",E1308='Buku Akun'!$C$4))),B1308+IF(AND(I1308="Selisih bunga",DAY(B1308)=1),0,0.01)+ROW()/10000000,"")</f>
        <v/>
      </c>
    </row>
    <row r="1309" outlineLevel="1" ht="15" customHeight="1" s="94">
      <c r="A1309" s="123">
        <f>IF(B1309="","",ROW()-15)</f>
        <v/>
      </c>
      <c r="B1309" s="124" t="n"/>
      <c r="C1309" s="123" t="n"/>
      <c r="D1309" s="123" t="n"/>
      <c r="E1309" s="123" t="n"/>
      <c r="F1309" s="125" t="n"/>
      <c r="G1309" s="123" t="n"/>
      <c r="H1309" s="123" t="n"/>
      <c r="I1309" s="123" t="n"/>
      <c r="J1309" s="123" t="n"/>
      <c r="K1309" s="123" t="n"/>
      <c r="L1309" s="123" t="n"/>
      <c r="M1309" s="123">
        <f>IF(AND(B1309&lt;&gt;"",OR($C$4="",ISNUMBER(SEARCH($C$4,C1309&amp;" "&amp;E1309&amp;" "&amp;G1309&amp;" "&amp;H1309&amp;" "&amp;I1309&amp;" "&amp;J1309&amp;" "&amp;K1309&amp;" "&amp;L1309))),OR($C$5="Semua",$C$5="",G1309=$C$5),OR($C$6="Semua",$C$6="",H1309=$C$6,H1309="Pengeluaran "&amp;$C$6,AND($C$6="Uang Kos Mama",H1309="Pengeluaran Uang Kos")),OR($C$7="Semua",$C$7="",I1309=$C$7),OR($C$8="Semua",$C$8="",C1309=$C$8,E1309=$C$8),OR($C$9="Semua",$C$9="",D1309=$C$9),OR($C$10="",B1309&gt;=$C$10),OR($C$11="",B1309&lt;=$C$11),OR($C$12&lt;&gt;"Ya",K1309&lt;&gt;""),OR($C$13="Semua",$C$13="",L1309=$C$13)),"✓","")</f>
        <v/>
      </c>
      <c r="N1309" s="93">
        <f>N(N1308)+IF(M1309="✓",1,0)</f>
        <v/>
      </c>
      <c r="O1309" s="93">
        <f>N(O1308)+IF(AND(B1309&lt;&gt;"",B1309&gt;='Uang Riba'!$H$30,B1309&lt;='Uang Riba'!$I$30,OR(H1309="Dana riba",H1309="Pinjam uang riba",I1309="Pinjam dari uang riba",I1309="Ganti uang riba",I1309="Kelebihan ganti dikembalikan",AND(C1309="Kantong Uang Riba",G1309="Pengeluaran"))),1,0)</f>
        <v/>
      </c>
      <c r="X1309" s="93">
        <f>IF(AND(B1309&lt;&gt;"",B1309&gt;='Buku Akun'!$H$4,B1309&lt;='Buku Akun'!$H$5,OR(C1309='Buku Akun'!$C$4,AND(D1309="Pindah",E1309='Buku Akun'!$C$4))),B1309+IF(AND(I1309="Selisih bunga",DAY(B1309)=1),0,0.01)+ROW()/10000000,"")</f>
        <v/>
      </c>
    </row>
    <row r="1310" outlineLevel="1" ht="15" customHeight="1" s="94">
      <c r="A1310" s="123">
        <f>IF(B1310="","",ROW()-15)</f>
        <v/>
      </c>
      <c r="B1310" s="124" t="n"/>
      <c r="C1310" s="123" t="n"/>
      <c r="D1310" s="123" t="n"/>
      <c r="E1310" s="123" t="n"/>
      <c r="F1310" s="125" t="n"/>
      <c r="G1310" s="123" t="n"/>
      <c r="H1310" s="123" t="n"/>
      <c r="I1310" s="123" t="n"/>
      <c r="J1310" s="123" t="n"/>
      <c r="K1310" s="123" t="n"/>
      <c r="L1310" s="123" t="n"/>
      <c r="M1310" s="123">
        <f>IF(AND(B1310&lt;&gt;"",OR($C$4="",ISNUMBER(SEARCH($C$4,C1310&amp;" "&amp;E1310&amp;" "&amp;G1310&amp;" "&amp;H1310&amp;" "&amp;I1310&amp;" "&amp;J1310&amp;" "&amp;K1310&amp;" "&amp;L1310))),OR($C$5="Semua",$C$5="",G1310=$C$5),OR($C$6="Semua",$C$6="",H1310=$C$6,H1310="Pengeluaran "&amp;$C$6,AND($C$6="Uang Kos Mama",H1310="Pengeluaran Uang Kos")),OR($C$7="Semua",$C$7="",I1310=$C$7),OR($C$8="Semua",$C$8="",C1310=$C$8,E1310=$C$8),OR($C$9="Semua",$C$9="",D1310=$C$9),OR($C$10="",B1310&gt;=$C$10),OR($C$11="",B1310&lt;=$C$11),OR($C$12&lt;&gt;"Ya",K1310&lt;&gt;""),OR($C$13="Semua",$C$13="",L1310=$C$13)),"✓","")</f>
        <v/>
      </c>
      <c r="N1310" s="93">
        <f>N(N1309)+IF(M1310="✓",1,0)</f>
        <v/>
      </c>
      <c r="O1310" s="93">
        <f>N(O1309)+IF(AND(B1310&lt;&gt;"",B1310&gt;='Uang Riba'!$H$30,B1310&lt;='Uang Riba'!$I$30,OR(H1310="Dana riba",H1310="Pinjam uang riba",I1310="Pinjam dari uang riba",I1310="Ganti uang riba",I1310="Kelebihan ganti dikembalikan",AND(C1310="Kantong Uang Riba",G1310="Pengeluaran"))),1,0)</f>
        <v/>
      </c>
      <c r="X1310" s="93">
        <f>IF(AND(B1310&lt;&gt;"",B1310&gt;='Buku Akun'!$H$4,B1310&lt;='Buku Akun'!$H$5,OR(C1310='Buku Akun'!$C$4,AND(D1310="Pindah",E1310='Buku Akun'!$C$4))),B1310+IF(AND(I1310="Selisih bunga",DAY(B1310)=1),0,0.01)+ROW()/10000000,"")</f>
        <v/>
      </c>
    </row>
    <row r="1311" outlineLevel="1" ht="15" customHeight="1" s="94">
      <c r="A1311" s="123">
        <f>IF(B1311="","",ROW()-15)</f>
        <v/>
      </c>
      <c r="B1311" s="124" t="n"/>
      <c r="C1311" s="123" t="n"/>
      <c r="D1311" s="123" t="n"/>
      <c r="E1311" s="123" t="n"/>
      <c r="F1311" s="125" t="n"/>
      <c r="G1311" s="123" t="n"/>
      <c r="H1311" s="123" t="n"/>
      <c r="I1311" s="123" t="n"/>
      <c r="J1311" s="123" t="n"/>
      <c r="K1311" s="123" t="n"/>
      <c r="L1311" s="123" t="n"/>
      <c r="M1311" s="123">
        <f>IF(AND(B1311&lt;&gt;"",OR($C$4="",ISNUMBER(SEARCH($C$4,C1311&amp;" "&amp;E1311&amp;" "&amp;G1311&amp;" "&amp;H1311&amp;" "&amp;I1311&amp;" "&amp;J1311&amp;" "&amp;K1311&amp;" "&amp;L1311))),OR($C$5="Semua",$C$5="",G1311=$C$5),OR($C$6="Semua",$C$6="",H1311=$C$6,H1311="Pengeluaran "&amp;$C$6,AND($C$6="Uang Kos Mama",H1311="Pengeluaran Uang Kos")),OR($C$7="Semua",$C$7="",I1311=$C$7),OR($C$8="Semua",$C$8="",C1311=$C$8,E1311=$C$8),OR($C$9="Semua",$C$9="",D1311=$C$9),OR($C$10="",B1311&gt;=$C$10),OR($C$11="",B1311&lt;=$C$11),OR($C$12&lt;&gt;"Ya",K1311&lt;&gt;""),OR($C$13="Semua",$C$13="",L1311=$C$13)),"✓","")</f>
        <v/>
      </c>
      <c r="N1311" s="93">
        <f>N(N1310)+IF(M1311="✓",1,0)</f>
        <v/>
      </c>
      <c r="O1311" s="93">
        <f>N(O1310)+IF(AND(B1311&lt;&gt;"",B1311&gt;='Uang Riba'!$H$30,B1311&lt;='Uang Riba'!$I$30,OR(H1311="Dana riba",H1311="Pinjam uang riba",I1311="Pinjam dari uang riba",I1311="Ganti uang riba",I1311="Kelebihan ganti dikembalikan",AND(C1311="Kantong Uang Riba",G1311="Pengeluaran"))),1,0)</f>
        <v/>
      </c>
      <c r="X1311" s="93">
        <f>IF(AND(B1311&lt;&gt;"",B1311&gt;='Buku Akun'!$H$4,B1311&lt;='Buku Akun'!$H$5,OR(C1311='Buku Akun'!$C$4,AND(D1311="Pindah",E1311='Buku Akun'!$C$4))),B1311+IF(AND(I1311="Selisih bunga",DAY(B1311)=1),0,0.01)+ROW()/10000000,"")</f>
        <v/>
      </c>
    </row>
    <row r="1312" outlineLevel="1" ht="15" customHeight="1" s="94">
      <c r="A1312" s="123">
        <f>IF(B1312="","",ROW()-15)</f>
        <v/>
      </c>
      <c r="B1312" s="124" t="n"/>
      <c r="C1312" s="123" t="n"/>
      <c r="D1312" s="123" t="n"/>
      <c r="E1312" s="123" t="n"/>
      <c r="F1312" s="125" t="n"/>
      <c r="G1312" s="123" t="n"/>
      <c r="H1312" s="123" t="n"/>
      <c r="I1312" s="123" t="n"/>
      <c r="J1312" s="123" t="n"/>
      <c r="K1312" s="123" t="n"/>
      <c r="L1312" s="123" t="n"/>
      <c r="M1312" s="123">
        <f>IF(AND(B1312&lt;&gt;"",OR($C$4="",ISNUMBER(SEARCH($C$4,C1312&amp;" "&amp;E1312&amp;" "&amp;G1312&amp;" "&amp;H1312&amp;" "&amp;I1312&amp;" "&amp;J1312&amp;" "&amp;K1312&amp;" "&amp;L1312))),OR($C$5="Semua",$C$5="",G1312=$C$5),OR($C$6="Semua",$C$6="",H1312=$C$6,H1312="Pengeluaran "&amp;$C$6,AND($C$6="Uang Kos Mama",H1312="Pengeluaran Uang Kos")),OR($C$7="Semua",$C$7="",I1312=$C$7),OR($C$8="Semua",$C$8="",C1312=$C$8,E1312=$C$8),OR($C$9="Semua",$C$9="",D1312=$C$9),OR($C$10="",B1312&gt;=$C$10),OR($C$11="",B1312&lt;=$C$11),OR($C$12&lt;&gt;"Ya",K1312&lt;&gt;""),OR($C$13="Semua",$C$13="",L1312=$C$13)),"✓","")</f>
        <v/>
      </c>
      <c r="N1312" s="93">
        <f>N(N1311)+IF(M1312="✓",1,0)</f>
        <v/>
      </c>
      <c r="O1312" s="93">
        <f>N(O1311)+IF(AND(B1312&lt;&gt;"",B1312&gt;='Uang Riba'!$H$30,B1312&lt;='Uang Riba'!$I$30,OR(H1312="Dana riba",H1312="Pinjam uang riba",I1312="Pinjam dari uang riba",I1312="Ganti uang riba",I1312="Kelebihan ganti dikembalikan",AND(C1312="Kantong Uang Riba",G1312="Pengeluaran"))),1,0)</f>
        <v/>
      </c>
      <c r="X1312" s="93">
        <f>IF(AND(B1312&lt;&gt;"",B1312&gt;='Buku Akun'!$H$4,B1312&lt;='Buku Akun'!$H$5,OR(C1312='Buku Akun'!$C$4,AND(D1312="Pindah",E1312='Buku Akun'!$C$4))),B1312+IF(AND(I1312="Selisih bunga",DAY(B1312)=1),0,0.01)+ROW()/10000000,"")</f>
        <v/>
      </c>
    </row>
    <row r="1313" outlineLevel="1" ht="15" customHeight="1" s="94">
      <c r="A1313" s="123">
        <f>IF(B1313="","",ROW()-15)</f>
        <v/>
      </c>
      <c r="B1313" s="124" t="n"/>
      <c r="C1313" s="123" t="n"/>
      <c r="D1313" s="123" t="n"/>
      <c r="E1313" s="123" t="n"/>
      <c r="F1313" s="125" t="n"/>
      <c r="G1313" s="123" t="n"/>
      <c r="H1313" s="123" t="n"/>
      <c r="I1313" s="123" t="n"/>
      <c r="J1313" s="123" t="n"/>
      <c r="K1313" s="123" t="n"/>
      <c r="L1313" s="123" t="n"/>
      <c r="M1313" s="123">
        <f>IF(AND(B1313&lt;&gt;"",OR($C$4="",ISNUMBER(SEARCH($C$4,C1313&amp;" "&amp;E1313&amp;" "&amp;G1313&amp;" "&amp;H1313&amp;" "&amp;I1313&amp;" "&amp;J1313&amp;" "&amp;K1313&amp;" "&amp;L1313))),OR($C$5="Semua",$C$5="",G1313=$C$5),OR($C$6="Semua",$C$6="",H1313=$C$6,H1313="Pengeluaran "&amp;$C$6,AND($C$6="Uang Kos Mama",H1313="Pengeluaran Uang Kos")),OR($C$7="Semua",$C$7="",I1313=$C$7),OR($C$8="Semua",$C$8="",C1313=$C$8,E1313=$C$8),OR($C$9="Semua",$C$9="",D1313=$C$9),OR($C$10="",B1313&gt;=$C$10),OR($C$11="",B1313&lt;=$C$11),OR($C$12&lt;&gt;"Ya",K1313&lt;&gt;""),OR($C$13="Semua",$C$13="",L1313=$C$13)),"✓","")</f>
        <v/>
      </c>
      <c r="N1313" s="93">
        <f>N(N1312)+IF(M1313="✓",1,0)</f>
        <v/>
      </c>
      <c r="O1313" s="93">
        <f>N(O1312)+IF(AND(B1313&lt;&gt;"",B1313&gt;='Uang Riba'!$H$30,B1313&lt;='Uang Riba'!$I$30,OR(H1313="Dana riba",H1313="Pinjam uang riba",I1313="Pinjam dari uang riba",I1313="Ganti uang riba",I1313="Kelebihan ganti dikembalikan",AND(C1313="Kantong Uang Riba",G1313="Pengeluaran"))),1,0)</f>
        <v/>
      </c>
      <c r="X1313" s="93">
        <f>IF(AND(B1313&lt;&gt;"",B1313&gt;='Buku Akun'!$H$4,B1313&lt;='Buku Akun'!$H$5,OR(C1313='Buku Akun'!$C$4,AND(D1313="Pindah",E1313='Buku Akun'!$C$4))),B1313+IF(AND(I1313="Selisih bunga",DAY(B1313)=1),0,0.01)+ROW()/10000000,"")</f>
        <v/>
      </c>
    </row>
    <row r="1314" outlineLevel="1" ht="15" customHeight="1" s="94">
      <c r="A1314" s="123">
        <f>IF(B1314="","",ROW()-15)</f>
        <v/>
      </c>
      <c r="B1314" s="124" t="n"/>
      <c r="C1314" s="123" t="n"/>
      <c r="D1314" s="123" t="n"/>
      <c r="E1314" s="123" t="n"/>
      <c r="F1314" s="125" t="n"/>
      <c r="G1314" s="123" t="n"/>
      <c r="H1314" s="123" t="n"/>
      <c r="I1314" s="123" t="n"/>
      <c r="J1314" s="123" t="n"/>
      <c r="K1314" s="123" t="n"/>
      <c r="L1314" s="123" t="n"/>
      <c r="M1314" s="123">
        <f>IF(AND(B1314&lt;&gt;"",OR($C$4="",ISNUMBER(SEARCH($C$4,C1314&amp;" "&amp;E1314&amp;" "&amp;G1314&amp;" "&amp;H1314&amp;" "&amp;I1314&amp;" "&amp;J1314&amp;" "&amp;K1314&amp;" "&amp;L1314))),OR($C$5="Semua",$C$5="",G1314=$C$5),OR($C$6="Semua",$C$6="",H1314=$C$6,H1314="Pengeluaran "&amp;$C$6,AND($C$6="Uang Kos Mama",H1314="Pengeluaran Uang Kos")),OR($C$7="Semua",$C$7="",I1314=$C$7),OR($C$8="Semua",$C$8="",C1314=$C$8,E1314=$C$8),OR($C$9="Semua",$C$9="",D1314=$C$9),OR($C$10="",B1314&gt;=$C$10),OR($C$11="",B1314&lt;=$C$11),OR($C$12&lt;&gt;"Ya",K1314&lt;&gt;""),OR($C$13="Semua",$C$13="",L1314=$C$13)),"✓","")</f>
        <v/>
      </c>
      <c r="N1314" s="93">
        <f>N(N1313)+IF(M1314="✓",1,0)</f>
        <v/>
      </c>
      <c r="O1314" s="93">
        <f>N(O1313)+IF(AND(B1314&lt;&gt;"",B1314&gt;='Uang Riba'!$H$30,B1314&lt;='Uang Riba'!$I$30,OR(H1314="Dana riba",H1314="Pinjam uang riba",I1314="Pinjam dari uang riba",I1314="Ganti uang riba",I1314="Kelebihan ganti dikembalikan",AND(C1314="Kantong Uang Riba",G1314="Pengeluaran"))),1,0)</f>
        <v/>
      </c>
      <c r="X1314" s="93">
        <f>IF(AND(B1314&lt;&gt;"",B1314&gt;='Buku Akun'!$H$4,B1314&lt;='Buku Akun'!$H$5,OR(C1314='Buku Akun'!$C$4,AND(D1314="Pindah",E1314='Buku Akun'!$C$4))),B1314+IF(AND(I1314="Selisih bunga",DAY(B1314)=1),0,0.01)+ROW()/10000000,"")</f>
        <v/>
      </c>
    </row>
    <row r="1315" outlineLevel="1" ht="15" customHeight="1" s="94">
      <c r="A1315" s="123">
        <f>IF(B1315="","",ROW()-15)</f>
        <v/>
      </c>
      <c r="B1315" s="124" t="n"/>
      <c r="C1315" s="123" t="n"/>
      <c r="D1315" s="123" t="n"/>
      <c r="E1315" s="123" t="n"/>
      <c r="F1315" s="125" t="n"/>
      <c r="G1315" s="123" t="n"/>
      <c r="H1315" s="123" t="n"/>
      <c r="I1315" s="123" t="n"/>
      <c r="J1315" s="123" t="n"/>
      <c r="K1315" s="123" t="n"/>
      <c r="L1315" s="123" t="n"/>
      <c r="M1315" s="123">
        <f>IF(AND(B1315&lt;&gt;"",OR($C$4="",ISNUMBER(SEARCH($C$4,C1315&amp;" "&amp;E1315&amp;" "&amp;G1315&amp;" "&amp;H1315&amp;" "&amp;I1315&amp;" "&amp;J1315&amp;" "&amp;K1315&amp;" "&amp;L1315))),OR($C$5="Semua",$C$5="",G1315=$C$5),OR($C$6="Semua",$C$6="",H1315=$C$6,H1315="Pengeluaran "&amp;$C$6,AND($C$6="Uang Kos Mama",H1315="Pengeluaran Uang Kos")),OR($C$7="Semua",$C$7="",I1315=$C$7),OR($C$8="Semua",$C$8="",C1315=$C$8,E1315=$C$8),OR($C$9="Semua",$C$9="",D1315=$C$9),OR($C$10="",B1315&gt;=$C$10),OR($C$11="",B1315&lt;=$C$11),OR($C$12&lt;&gt;"Ya",K1315&lt;&gt;""),OR($C$13="Semua",$C$13="",L1315=$C$13)),"✓","")</f>
        <v/>
      </c>
      <c r="N1315" s="93">
        <f>N(N1314)+IF(M1315="✓",1,0)</f>
        <v/>
      </c>
      <c r="O1315" s="93">
        <f>N(O1314)+IF(AND(B1315&lt;&gt;"",B1315&gt;='Uang Riba'!$H$30,B1315&lt;='Uang Riba'!$I$30,OR(H1315="Dana riba",H1315="Pinjam uang riba",I1315="Pinjam dari uang riba",I1315="Ganti uang riba",I1315="Kelebihan ganti dikembalikan",AND(C1315="Kantong Uang Riba",G1315="Pengeluaran"))),1,0)</f>
        <v/>
      </c>
      <c r="X1315" s="93">
        <f>IF(AND(B1315&lt;&gt;"",B1315&gt;='Buku Akun'!$H$4,B1315&lt;='Buku Akun'!$H$5,OR(C1315='Buku Akun'!$C$4,AND(D1315="Pindah",E1315='Buku Akun'!$C$4))),B1315+IF(AND(I1315="Selisih bunga",DAY(B1315)=1),0,0.01)+ROW()/10000000,"")</f>
        <v/>
      </c>
    </row>
    <row r="1316" outlineLevel="1" ht="15" customHeight="1" s="94">
      <c r="A1316" s="123">
        <f>IF(B1316="","",ROW()-15)</f>
        <v/>
      </c>
      <c r="B1316" s="124" t="n"/>
      <c r="C1316" s="123" t="n"/>
      <c r="D1316" s="123" t="n"/>
      <c r="E1316" s="123" t="n"/>
      <c r="F1316" s="125" t="n"/>
      <c r="G1316" s="123" t="n"/>
      <c r="H1316" s="123" t="n"/>
      <c r="I1316" s="123" t="n"/>
      <c r="J1316" s="123" t="n"/>
      <c r="K1316" s="123" t="n"/>
      <c r="L1316" s="123" t="n"/>
      <c r="M1316" s="123">
        <f>IF(AND(B1316&lt;&gt;"",OR($C$4="",ISNUMBER(SEARCH($C$4,C1316&amp;" "&amp;E1316&amp;" "&amp;G1316&amp;" "&amp;H1316&amp;" "&amp;I1316&amp;" "&amp;J1316&amp;" "&amp;K1316&amp;" "&amp;L1316))),OR($C$5="Semua",$C$5="",G1316=$C$5),OR($C$6="Semua",$C$6="",H1316=$C$6,H1316="Pengeluaran "&amp;$C$6,AND($C$6="Uang Kos Mama",H1316="Pengeluaran Uang Kos")),OR($C$7="Semua",$C$7="",I1316=$C$7),OR($C$8="Semua",$C$8="",C1316=$C$8,E1316=$C$8),OR($C$9="Semua",$C$9="",D1316=$C$9),OR($C$10="",B1316&gt;=$C$10),OR($C$11="",B1316&lt;=$C$11),OR($C$12&lt;&gt;"Ya",K1316&lt;&gt;""),OR($C$13="Semua",$C$13="",L1316=$C$13)),"✓","")</f>
        <v/>
      </c>
      <c r="N1316" s="93">
        <f>N(N1315)+IF(M1316="✓",1,0)</f>
        <v/>
      </c>
      <c r="O1316" s="93">
        <f>N(O1315)+IF(AND(B1316&lt;&gt;"",B1316&gt;='Uang Riba'!$H$30,B1316&lt;='Uang Riba'!$I$30,OR(H1316="Dana riba",H1316="Pinjam uang riba",I1316="Pinjam dari uang riba",I1316="Ganti uang riba",I1316="Kelebihan ganti dikembalikan",AND(C1316="Kantong Uang Riba",G1316="Pengeluaran"))),1,0)</f>
        <v/>
      </c>
      <c r="X1316" s="93">
        <f>IF(AND(B1316&lt;&gt;"",B1316&gt;='Buku Akun'!$H$4,B1316&lt;='Buku Akun'!$H$5,OR(C1316='Buku Akun'!$C$4,AND(D1316="Pindah",E1316='Buku Akun'!$C$4))),B1316+IF(AND(I1316="Selisih bunga",DAY(B1316)=1),0,0.01)+ROW()/10000000,"")</f>
        <v/>
      </c>
    </row>
    <row r="1317" outlineLevel="1" ht="15" customHeight="1" s="94">
      <c r="A1317" s="123">
        <f>IF(B1317="","",ROW()-15)</f>
        <v/>
      </c>
      <c r="B1317" s="124" t="n"/>
      <c r="C1317" s="123" t="n"/>
      <c r="D1317" s="123" t="n"/>
      <c r="E1317" s="123" t="n"/>
      <c r="F1317" s="125" t="n"/>
      <c r="G1317" s="123" t="n"/>
      <c r="H1317" s="123" t="n"/>
      <c r="I1317" s="123" t="n"/>
      <c r="J1317" s="123" t="n"/>
      <c r="K1317" s="123" t="n"/>
      <c r="L1317" s="123" t="n"/>
      <c r="M1317" s="123">
        <f>IF(AND(B1317&lt;&gt;"",OR($C$4="",ISNUMBER(SEARCH($C$4,C1317&amp;" "&amp;E1317&amp;" "&amp;G1317&amp;" "&amp;H1317&amp;" "&amp;I1317&amp;" "&amp;J1317&amp;" "&amp;K1317&amp;" "&amp;L1317))),OR($C$5="Semua",$C$5="",G1317=$C$5),OR($C$6="Semua",$C$6="",H1317=$C$6,H1317="Pengeluaran "&amp;$C$6,AND($C$6="Uang Kos Mama",H1317="Pengeluaran Uang Kos")),OR($C$7="Semua",$C$7="",I1317=$C$7),OR($C$8="Semua",$C$8="",C1317=$C$8,E1317=$C$8),OR($C$9="Semua",$C$9="",D1317=$C$9),OR($C$10="",B1317&gt;=$C$10),OR($C$11="",B1317&lt;=$C$11),OR($C$12&lt;&gt;"Ya",K1317&lt;&gt;""),OR($C$13="Semua",$C$13="",L1317=$C$13)),"✓","")</f>
        <v/>
      </c>
      <c r="N1317" s="93">
        <f>N(N1316)+IF(M1317="✓",1,0)</f>
        <v/>
      </c>
      <c r="O1317" s="93">
        <f>N(O1316)+IF(AND(B1317&lt;&gt;"",B1317&gt;='Uang Riba'!$H$30,B1317&lt;='Uang Riba'!$I$30,OR(H1317="Dana riba",H1317="Pinjam uang riba",I1317="Pinjam dari uang riba",I1317="Ganti uang riba",I1317="Kelebihan ganti dikembalikan",AND(C1317="Kantong Uang Riba",G1317="Pengeluaran"))),1,0)</f>
        <v/>
      </c>
      <c r="X1317" s="93">
        <f>IF(AND(B1317&lt;&gt;"",B1317&gt;='Buku Akun'!$H$4,B1317&lt;='Buku Akun'!$H$5,OR(C1317='Buku Akun'!$C$4,AND(D1317="Pindah",E1317='Buku Akun'!$C$4))),B1317+IF(AND(I1317="Selisih bunga",DAY(B1317)=1),0,0.01)+ROW()/10000000,"")</f>
        <v/>
      </c>
    </row>
    <row r="1318" outlineLevel="1" ht="15" customHeight="1" s="94">
      <c r="A1318" s="123">
        <f>IF(B1318="","",ROW()-15)</f>
        <v/>
      </c>
      <c r="B1318" s="124" t="n"/>
      <c r="C1318" s="123" t="n"/>
      <c r="D1318" s="123" t="n"/>
      <c r="E1318" s="123" t="n"/>
      <c r="F1318" s="125" t="n"/>
      <c r="G1318" s="123" t="n"/>
      <c r="H1318" s="123" t="n"/>
      <c r="I1318" s="123" t="n"/>
      <c r="J1318" s="123" t="n"/>
      <c r="K1318" s="123" t="n"/>
      <c r="L1318" s="123" t="n"/>
      <c r="M1318" s="123">
        <f>IF(AND(B1318&lt;&gt;"",OR($C$4="",ISNUMBER(SEARCH($C$4,C1318&amp;" "&amp;E1318&amp;" "&amp;G1318&amp;" "&amp;H1318&amp;" "&amp;I1318&amp;" "&amp;J1318&amp;" "&amp;K1318&amp;" "&amp;L1318))),OR($C$5="Semua",$C$5="",G1318=$C$5),OR($C$6="Semua",$C$6="",H1318=$C$6,H1318="Pengeluaran "&amp;$C$6,AND($C$6="Uang Kos Mama",H1318="Pengeluaran Uang Kos")),OR($C$7="Semua",$C$7="",I1318=$C$7),OR($C$8="Semua",$C$8="",C1318=$C$8,E1318=$C$8),OR($C$9="Semua",$C$9="",D1318=$C$9),OR($C$10="",B1318&gt;=$C$10),OR($C$11="",B1318&lt;=$C$11),OR($C$12&lt;&gt;"Ya",K1318&lt;&gt;""),OR($C$13="Semua",$C$13="",L1318=$C$13)),"✓","")</f>
        <v/>
      </c>
      <c r="N1318" s="93">
        <f>N(N1317)+IF(M1318="✓",1,0)</f>
        <v/>
      </c>
      <c r="O1318" s="93">
        <f>N(O1317)+IF(AND(B1318&lt;&gt;"",B1318&gt;='Uang Riba'!$H$30,B1318&lt;='Uang Riba'!$I$30,OR(H1318="Dana riba",H1318="Pinjam uang riba",I1318="Pinjam dari uang riba",I1318="Ganti uang riba",I1318="Kelebihan ganti dikembalikan",AND(C1318="Kantong Uang Riba",G1318="Pengeluaran"))),1,0)</f>
        <v/>
      </c>
      <c r="X1318" s="93">
        <f>IF(AND(B1318&lt;&gt;"",B1318&gt;='Buku Akun'!$H$4,B1318&lt;='Buku Akun'!$H$5,OR(C1318='Buku Akun'!$C$4,AND(D1318="Pindah",E1318='Buku Akun'!$C$4))),B1318+IF(AND(I1318="Selisih bunga",DAY(B1318)=1),0,0.01)+ROW()/10000000,"")</f>
        <v/>
      </c>
    </row>
    <row r="1319" outlineLevel="1" ht="15" customHeight="1" s="94">
      <c r="A1319" s="123">
        <f>IF(B1319="","",ROW()-15)</f>
        <v/>
      </c>
      <c r="B1319" s="124" t="n"/>
      <c r="C1319" s="123" t="n"/>
      <c r="D1319" s="123" t="n"/>
      <c r="E1319" s="123" t="n"/>
      <c r="F1319" s="125" t="n"/>
      <c r="G1319" s="123" t="n"/>
      <c r="H1319" s="123" t="n"/>
      <c r="I1319" s="123" t="n"/>
      <c r="J1319" s="123" t="n"/>
      <c r="K1319" s="123" t="n"/>
      <c r="L1319" s="123" t="n"/>
      <c r="M1319" s="123">
        <f>IF(AND(B1319&lt;&gt;"",OR($C$4="",ISNUMBER(SEARCH($C$4,C1319&amp;" "&amp;E1319&amp;" "&amp;G1319&amp;" "&amp;H1319&amp;" "&amp;I1319&amp;" "&amp;J1319&amp;" "&amp;K1319&amp;" "&amp;L1319))),OR($C$5="Semua",$C$5="",G1319=$C$5),OR($C$6="Semua",$C$6="",H1319=$C$6,H1319="Pengeluaran "&amp;$C$6,AND($C$6="Uang Kos Mama",H1319="Pengeluaran Uang Kos")),OR($C$7="Semua",$C$7="",I1319=$C$7),OR($C$8="Semua",$C$8="",C1319=$C$8,E1319=$C$8),OR($C$9="Semua",$C$9="",D1319=$C$9),OR($C$10="",B1319&gt;=$C$10),OR($C$11="",B1319&lt;=$C$11),OR($C$12&lt;&gt;"Ya",K1319&lt;&gt;""),OR($C$13="Semua",$C$13="",L1319=$C$13)),"✓","")</f>
        <v/>
      </c>
      <c r="N1319" s="93">
        <f>N(N1318)+IF(M1319="✓",1,0)</f>
        <v/>
      </c>
      <c r="O1319" s="93">
        <f>N(O1318)+IF(AND(B1319&lt;&gt;"",B1319&gt;='Uang Riba'!$H$30,B1319&lt;='Uang Riba'!$I$30,OR(H1319="Dana riba",H1319="Pinjam uang riba",I1319="Pinjam dari uang riba",I1319="Ganti uang riba",I1319="Kelebihan ganti dikembalikan",AND(C1319="Kantong Uang Riba",G1319="Pengeluaran"))),1,0)</f>
        <v/>
      </c>
      <c r="X1319" s="93">
        <f>IF(AND(B1319&lt;&gt;"",B1319&gt;='Buku Akun'!$H$4,B1319&lt;='Buku Akun'!$H$5,OR(C1319='Buku Akun'!$C$4,AND(D1319="Pindah",E1319='Buku Akun'!$C$4))),B1319+IF(AND(I1319="Selisih bunga",DAY(B1319)=1),0,0.01)+ROW()/10000000,"")</f>
        <v/>
      </c>
    </row>
    <row r="1320" outlineLevel="1" ht="15" customHeight="1" s="94">
      <c r="A1320" s="123">
        <f>IF(B1320="","",ROW()-15)</f>
        <v/>
      </c>
      <c r="B1320" s="124" t="n"/>
      <c r="C1320" s="123" t="n"/>
      <c r="D1320" s="123" t="n"/>
      <c r="E1320" s="123" t="n"/>
      <c r="F1320" s="125" t="n"/>
      <c r="G1320" s="123" t="n"/>
      <c r="H1320" s="123" t="n"/>
      <c r="I1320" s="123" t="n"/>
      <c r="J1320" s="123" t="n"/>
      <c r="K1320" s="123" t="n"/>
      <c r="L1320" s="123" t="n"/>
      <c r="M1320" s="123">
        <f>IF(AND(B1320&lt;&gt;"",OR($C$4="",ISNUMBER(SEARCH($C$4,C1320&amp;" "&amp;E1320&amp;" "&amp;G1320&amp;" "&amp;H1320&amp;" "&amp;I1320&amp;" "&amp;J1320&amp;" "&amp;K1320&amp;" "&amp;L1320))),OR($C$5="Semua",$C$5="",G1320=$C$5),OR($C$6="Semua",$C$6="",H1320=$C$6,H1320="Pengeluaran "&amp;$C$6,AND($C$6="Uang Kos Mama",H1320="Pengeluaran Uang Kos")),OR($C$7="Semua",$C$7="",I1320=$C$7),OR($C$8="Semua",$C$8="",C1320=$C$8,E1320=$C$8),OR($C$9="Semua",$C$9="",D1320=$C$9),OR($C$10="",B1320&gt;=$C$10),OR($C$11="",B1320&lt;=$C$11),OR($C$12&lt;&gt;"Ya",K1320&lt;&gt;""),OR($C$13="Semua",$C$13="",L1320=$C$13)),"✓","")</f>
        <v/>
      </c>
      <c r="N1320" s="93">
        <f>N(N1319)+IF(M1320="✓",1,0)</f>
        <v/>
      </c>
      <c r="O1320" s="93">
        <f>N(O1319)+IF(AND(B1320&lt;&gt;"",B1320&gt;='Uang Riba'!$H$30,B1320&lt;='Uang Riba'!$I$30,OR(H1320="Dana riba",H1320="Pinjam uang riba",I1320="Pinjam dari uang riba",I1320="Ganti uang riba",I1320="Kelebihan ganti dikembalikan",AND(C1320="Kantong Uang Riba",G1320="Pengeluaran"))),1,0)</f>
        <v/>
      </c>
      <c r="X1320" s="93">
        <f>IF(AND(B1320&lt;&gt;"",B1320&gt;='Buku Akun'!$H$4,B1320&lt;='Buku Akun'!$H$5,OR(C1320='Buku Akun'!$C$4,AND(D1320="Pindah",E1320='Buku Akun'!$C$4))),B1320+IF(AND(I1320="Selisih bunga",DAY(B1320)=1),0,0.01)+ROW()/10000000,"")</f>
        <v/>
      </c>
    </row>
    <row r="1321" outlineLevel="1" ht="15" customHeight="1" s="94">
      <c r="A1321" s="123">
        <f>IF(B1321="","",ROW()-15)</f>
        <v/>
      </c>
      <c r="B1321" s="124" t="n"/>
      <c r="C1321" s="123" t="n"/>
      <c r="D1321" s="123" t="n"/>
      <c r="E1321" s="123" t="n"/>
      <c r="F1321" s="125" t="n"/>
      <c r="G1321" s="123" t="n"/>
      <c r="H1321" s="123" t="n"/>
      <c r="I1321" s="123" t="n"/>
      <c r="J1321" s="123" t="n"/>
      <c r="K1321" s="123" t="n"/>
      <c r="L1321" s="123" t="n"/>
      <c r="M1321" s="123">
        <f>IF(AND(B1321&lt;&gt;"",OR($C$4="",ISNUMBER(SEARCH($C$4,C1321&amp;" "&amp;E1321&amp;" "&amp;G1321&amp;" "&amp;H1321&amp;" "&amp;I1321&amp;" "&amp;J1321&amp;" "&amp;K1321&amp;" "&amp;L1321))),OR($C$5="Semua",$C$5="",G1321=$C$5),OR($C$6="Semua",$C$6="",H1321=$C$6,H1321="Pengeluaran "&amp;$C$6,AND($C$6="Uang Kos Mama",H1321="Pengeluaran Uang Kos")),OR($C$7="Semua",$C$7="",I1321=$C$7),OR($C$8="Semua",$C$8="",C1321=$C$8,E1321=$C$8),OR($C$9="Semua",$C$9="",D1321=$C$9),OR($C$10="",B1321&gt;=$C$10),OR($C$11="",B1321&lt;=$C$11),OR($C$12&lt;&gt;"Ya",K1321&lt;&gt;""),OR($C$13="Semua",$C$13="",L1321=$C$13)),"✓","")</f>
        <v/>
      </c>
      <c r="N1321" s="93">
        <f>N(N1320)+IF(M1321="✓",1,0)</f>
        <v/>
      </c>
      <c r="O1321" s="93">
        <f>N(O1320)+IF(AND(B1321&lt;&gt;"",B1321&gt;='Uang Riba'!$H$30,B1321&lt;='Uang Riba'!$I$30,OR(H1321="Dana riba",H1321="Pinjam uang riba",I1321="Pinjam dari uang riba",I1321="Ganti uang riba",I1321="Kelebihan ganti dikembalikan",AND(C1321="Kantong Uang Riba",G1321="Pengeluaran"))),1,0)</f>
        <v/>
      </c>
      <c r="X1321" s="93">
        <f>IF(AND(B1321&lt;&gt;"",B1321&gt;='Buku Akun'!$H$4,B1321&lt;='Buku Akun'!$H$5,OR(C1321='Buku Akun'!$C$4,AND(D1321="Pindah",E1321='Buku Akun'!$C$4))),B1321+IF(AND(I1321="Selisih bunga",DAY(B1321)=1),0,0.01)+ROW()/10000000,"")</f>
        <v/>
      </c>
    </row>
    <row r="1322" outlineLevel="1" ht="15" customHeight="1" s="94">
      <c r="A1322" s="123">
        <f>IF(B1322="","",ROW()-15)</f>
        <v/>
      </c>
      <c r="B1322" s="124" t="n"/>
      <c r="C1322" s="123" t="n"/>
      <c r="D1322" s="123" t="n"/>
      <c r="E1322" s="123" t="n"/>
      <c r="F1322" s="125" t="n"/>
      <c r="G1322" s="123" t="n"/>
      <c r="H1322" s="123" t="n"/>
      <c r="I1322" s="123" t="n"/>
      <c r="J1322" s="123" t="n"/>
      <c r="K1322" s="123" t="n"/>
      <c r="L1322" s="123" t="n"/>
      <c r="M1322" s="123">
        <f>IF(AND(B1322&lt;&gt;"",OR($C$4="",ISNUMBER(SEARCH($C$4,C1322&amp;" "&amp;E1322&amp;" "&amp;G1322&amp;" "&amp;H1322&amp;" "&amp;I1322&amp;" "&amp;J1322&amp;" "&amp;K1322&amp;" "&amp;L1322))),OR($C$5="Semua",$C$5="",G1322=$C$5),OR($C$6="Semua",$C$6="",H1322=$C$6,H1322="Pengeluaran "&amp;$C$6,AND($C$6="Uang Kos Mama",H1322="Pengeluaran Uang Kos")),OR($C$7="Semua",$C$7="",I1322=$C$7),OR($C$8="Semua",$C$8="",C1322=$C$8,E1322=$C$8),OR($C$9="Semua",$C$9="",D1322=$C$9),OR($C$10="",B1322&gt;=$C$10),OR($C$11="",B1322&lt;=$C$11),OR($C$12&lt;&gt;"Ya",K1322&lt;&gt;""),OR($C$13="Semua",$C$13="",L1322=$C$13)),"✓","")</f>
        <v/>
      </c>
      <c r="N1322" s="93">
        <f>N(N1321)+IF(M1322="✓",1,0)</f>
        <v/>
      </c>
      <c r="O1322" s="93">
        <f>N(O1321)+IF(AND(B1322&lt;&gt;"",B1322&gt;='Uang Riba'!$H$30,B1322&lt;='Uang Riba'!$I$30,OR(H1322="Dana riba",H1322="Pinjam uang riba",I1322="Pinjam dari uang riba",I1322="Ganti uang riba",I1322="Kelebihan ganti dikembalikan",AND(C1322="Kantong Uang Riba",G1322="Pengeluaran"))),1,0)</f>
        <v/>
      </c>
      <c r="X1322" s="93">
        <f>IF(AND(B1322&lt;&gt;"",B1322&gt;='Buku Akun'!$H$4,B1322&lt;='Buku Akun'!$H$5,OR(C1322='Buku Akun'!$C$4,AND(D1322="Pindah",E1322='Buku Akun'!$C$4))),B1322+IF(AND(I1322="Selisih bunga",DAY(B1322)=1),0,0.01)+ROW()/10000000,"")</f>
        <v/>
      </c>
    </row>
    <row r="1323" outlineLevel="1" ht="15" customHeight="1" s="94">
      <c r="A1323" s="123">
        <f>IF(B1323="","",ROW()-15)</f>
        <v/>
      </c>
      <c r="B1323" s="124" t="n"/>
      <c r="C1323" s="123" t="n"/>
      <c r="D1323" s="123" t="n"/>
      <c r="E1323" s="123" t="n"/>
      <c r="F1323" s="125" t="n"/>
      <c r="G1323" s="123" t="n"/>
      <c r="H1323" s="123" t="n"/>
      <c r="I1323" s="123" t="n"/>
      <c r="J1323" s="123" t="n"/>
      <c r="K1323" s="123" t="n"/>
      <c r="L1323" s="123" t="n"/>
      <c r="M1323" s="123">
        <f>IF(AND(B1323&lt;&gt;"",OR($C$4="",ISNUMBER(SEARCH($C$4,C1323&amp;" "&amp;E1323&amp;" "&amp;G1323&amp;" "&amp;H1323&amp;" "&amp;I1323&amp;" "&amp;J1323&amp;" "&amp;K1323&amp;" "&amp;L1323))),OR($C$5="Semua",$C$5="",G1323=$C$5),OR($C$6="Semua",$C$6="",H1323=$C$6,H1323="Pengeluaran "&amp;$C$6,AND($C$6="Uang Kos Mama",H1323="Pengeluaran Uang Kos")),OR($C$7="Semua",$C$7="",I1323=$C$7),OR($C$8="Semua",$C$8="",C1323=$C$8,E1323=$C$8),OR($C$9="Semua",$C$9="",D1323=$C$9),OR($C$10="",B1323&gt;=$C$10),OR($C$11="",B1323&lt;=$C$11),OR($C$12&lt;&gt;"Ya",K1323&lt;&gt;""),OR($C$13="Semua",$C$13="",L1323=$C$13)),"✓","")</f>
        <v/>
      </c>
      <c r="N1323" s="93">
        <f>N(N1322)+IF(M1323="✓",1,0)</f>
        <v/>
      </c>
      <c r="O1323" s="93">
        <f>N(O1322)+IF(AND(B1323&lt;&gt;"",B1323&gt;='Uang Riba'!$H$30,B1323&lt;='Uang Riba'!$I$30,OR(H1323="Dana riba",H1323="Pinjam uang riba",I1323="Pinjam dari uang riba",I1323="Ganti uang riba",I1323="Kelebihan ganti dikembalikan",AND(C1323="Kantong Uang Riba",G1323="Pengeluaran"))),1,0)</f>
        <v/>
      </c>
      <c r="X1323" s="93">
        <f>IF(AND(B1323&lt;&gt;"",B1323&gt;='Buku Akun'!$H$4,B1323&lt;='Buku Akun'!$H$5,OR(C1323='Buku Akun'!$C$4,AND(D1323="Pindah",E1323='Buku Akun'!$C$4))),B1323+IF(AND(I1323="Selisih bunga",DAY(B1323)=1),0,0.01)+ROW()/10000000,"")</f>
        <v/>
      </c>
    </row>
    <row r="1324" outlineLevel="1" ht="15" customHeight="1" s="94">
      <c r="A1324" s="123">
        <f>IF(B1324="","",ROW()-15)</f>
        <v/>
      </c>
      <c r="B1324" s="124" t="n"/>
      <c r="C1324" s="123" t="n"/>
      <c r="D1324" s="123" t="n"/>
      <c r="E1324" s="123" t="n"/>
      <c r="F1324" s="125" t="n"/>
      <c r="G1324" s="123" t="n"/>
      <c r="H1324" s="123" t="n"/>
      <c r="I1324" s="123" t="n"/>
      <c r="J1324" s="123" t="n"/>
      <c r="K1324" s="123" t="n"/>
      <c r="L1324" s="123" t="n"/>
      <c r="M1324" s="123">
        <f>IF(AND(B1324&lt;&gt;"",OR($C$4="",ISNUMBER(SEARCH($C$4,C1324&amp;" "&amp;E1324&amp;" "&amp;G1324&amp;" "&amp;H1324&amp;" "&amp;I1324&amp;" "&amp;J1324&amp;" "&amp;K1324&amp;" "&amp;L1324))),OR($C$5="Semua",$C$5="",G1324=$C$5),OR($C$6="Semua",$C$6="",H1324=$C$6,H1324="Pengeluaran "&amp;$C$6,AND($C$6="Uang Kos Mama",H1324="Pengeluaran Uang Kos")),OR($C$7="Semua",$C$7="",I1324=$C$7),OR($C$8="Semua",$C$8="",C1324=$C$8,E1324=$C$8),OR($C$9="Semua",$C$9="",D1324=$C$9),OR($C$10="",B1324&gt;=$C$10),OR($C$11="",B1324&lt;=$C$11),OR($C$12&lt;&gt;"Ya",K1324&lt;&gt;""),OR($C$13="Semua",$C$13="",L1324=$C$13)),"✓","")</f>
        <v/>
      </c>
      <c r="N1324" s="93">
        <f>N(N1323)+IF(M1324="✓",1,0)</f>
        <v/>
      </c>
      <c r="O1324" s="93">
        <f>N(O1323)+IF(AND(B1324&lt;&gt;"",B1324&gt;='Uang Riba'!$H$30,B1324&lt;='Uang Riba'!$I$30,OR(H1324="Dana riba",H1324="Pinjam uang riba",I1324="Pinjam dari uang riba",I1324="Ganti uang riba",I1324="Kelebihan ganti dikembalikan",AND(C1324="Kantong Uang Riba",G1324="Pengeluaran"))),1,0)</f>
        <v/>
      </c>
      <c r="X1324" s="93">
        <f>IF(AND(B1324&lt;&gt;"",B1324&gt;='Buku Akun'!$H$4,B1324&lt;='Buku Akun'!$H$5,OR(C1324='Buku Akun'!$C$4,AND(D1324="Pindah",E1324='Buku Akun'!$C$4))),B1324+IF(AND(I1324="Selisih bunga",DAY(B1324)=1),0,0.01)+ROW()/10000000,"")</f>
        <v/>
      </c>
    </row>
    <row r="1325" outlineLevel="1" ht="15" customHeight="1" s="94">
      <c r="A1325" s="123">
        <f>IF(B1325="","",ROW()-15)</f>
        <v/>
      </c>
      <c r="B1325" s="124" t="n"/>
      <c r="C1325" s="123" t="n"/>
      <c r="D1325" s="123" t="n"/>
      <c r="E1325" s="123" t="n"/>
      <c r="F1325" s="125" t="n"/>
      <c r="G1325" s="123" t="n"/>
      <c r="H1325" s="123" t="n"/>
      <c r="I1325" s="123" t="n"/>
      <c r="J1325" s="123" t="n"/>
      <c r="K1325" s="123" t="n"/>
      <c r="L1325" s="123" t="n"/>
      <c r="M1325" s="123">
        <f>IF(AND(B1325&lt;&gt;"",OR($C$4="",ISNUMBER(SEARCH($C$4,C1325&amp;" "&amp;E1325&amp;" "&amp;G1325&amp;" "&amp;H1325&amp;" "&amp;I1325&amp;" "&amp;J1325&amp;" "&amp;K1325&amp;" "&amp;L1325))),OR($C$5="Semua",$C$5="",G1325=$C$5),OR($C$6="Semua",$C$6="",H1325=$C$6,H1325="Pengeluaran "&amp;$C$6,AND($C$6="Uang Kos Mama",H1325="Pengeluaran Uang Kos")),OR($C$7="Semua",$C$7="",I1325=$C$7),OR($C$8="Semua",$C$8="",C1325=$C$8,E1325=$C$8),OR($C$9="Semua",$C$9="",D1325=$C$9),OR($C$10="",B1325&gt;=$C$10),OR($C$11="",B1325&lt;=$C$11),OR($C$12&lt;&gt;"Ya",K1325&lt;&gt;""),OR($C$13="Semua",$C$13="",L1325=$C$13)),"✓","")</f>
        <v/>
      </c>
      <c r="N1325" s="93">
        <f>N(N1324)+IF(M1325="✓",1,0)</f>
        <v/>
      </c>
      <c r="O1325" s="93">
        <f>N(O1324)+IF(AND(B1325&lt;&gt;"",B1325&gt;='Uang Riba'!$H$30,B1325&lt;='Uang Riba'!$I$30,OR(H1325="Dana riba",H1325="Pinjam uang riba",I1325="Pinjam dari uang riba",I1325="Ganti uang riba",I1325="Kelebihan ganti dikembalikan",AND(C1325="Kantong Uang Riba",G1325="Pengeluaran"))),1,0)</f>
        <v/>
      </c>
      <c r="X1325" s="93">
        <f>IF(AND(B1325&lt;&gt;"",B1325&gt;='Buku Akun'!$H$4,B1325&lt;='Buku Akun'!$H$5,OR(C1325='Buku Akun'!$C$4,AND(D1325="Pindah",E1325='Buku Akun'!$C$4))),B1325+IF(AND(I1325="Selisih bunga",DAY(B1325)=1),0,0.01)+ROW()/10000000,"")</f>
        <v/>
      </c>
    </row>
    <row r="1326" outlineLevel="1" ht="15" customHeight="1" s="94">
      <c r="A1326" s="123">
        <f>IF(B1326="","",ROW()-15)</f>
        <v/>
      </c>
      <c r="B1326" s="124" t="n"/>
      <c r="C1326" s="123" t="n"/>
      <c r="D1326" s="123" t="n"/>
      <c r="E1326" s="123" t="n"/>
      <c r="F1326" s="125" t="n"/>
      <c r="G1326" s="123" t="n"/>
      <c r="H1326" s="123" t="n"/>
      <c r="I1326" s="123" t="n"/>
      <c r="J1326" s="123" t="n"/>
      <c r="K1326" s="123" t="n"/>
      <c r="L1326" s="123" t="n"/>
      <c r="M1326" s="123">
        <f>IF(AND(B1326&lt;&gt;"",OR($C$4="",ISNUMBER(SEARCH($C$4,C1326&amp;" "&amp;E1326&amp;" "&amp;G1326&amp;" "&amp;H1326&amp;" "&amp;I1326&amp;" "&amp;J1326&amp;" "&amp;K1326&amp;" "&amp;L1326))),OR($C$5="Semua",$C$5="",G1326=$C$5),OR($C$6="Semua",$C$6="",H1326=$C$6,H1326="Pengeluaran "&amp;$C$6,AND($C$6="Uang Kos Mama",H1326="Pengeluaran Uang Kos")),OR($C$7="Semua",$C$7="",I1326=$C$7),OR($C$8="Semua",$C$8="",C1326=$C$8,E1326=$C$8),OR($C$9="Semua",$C$9="",D1326=$C$9),OR($C$10="",B1326&gt;=$C$10),OR($C$11="",B1326&lt;=$C$11),OR($C$12&lt;&gt;"Ya",K1326&lt;&gt;""),OR($C$13="Semua",$C$13="",L1326=$C$13)),"✓","")</f>
        <v/>
      </c>
      <c r="N1326" s="93">
        <f>N(N1325)+IF(M1326="✓",1,0)</f>
        <v/>
      </c>
      <c r="O1326" s="93">
        <f>N(O1325)+IF(AND(B1326&lt;&gt;"",B1326&gt;='Uang Riba'!$H$30,B1326&lt;='Uang Riba'!$I$30,OR(H1326="Dana riba",H1326="Pinjam uang riba",I1326="Pinjam dari uang riba",I1326="Ganti uang riba",I1326="Kelebihan ganti dikembalikan",AND(C1326="Kantong Uang Riba",G1326="Pengeluaran"))),1,0)</f>
        <v/>
      </c>
      <c r="X1326" s="93">
        <f>IF(AND(B1326&lt;&gt;"",B1326&gt;='Buku Akun'!$H$4,B1326&lt;='Buku Akun'!$H$5,OR(C1326='Buku Akun'!$C$4,AND(D1326="Pindah",E1326='Buku Akun'!$C$4))),B1326+IF(AND(I1326="Selisih bunga",DAY(B1326)=1),0,0.01)+ROW()/10000000,"")</f>
        <v/>
      </c>
    </row>
    <row r="1327" outlineLevel="1" ht="15" customHeight="1" s="94">
      <c r="A1327" s="123">
        <f>IF(B1327="","",ROW()-15)</f>
        <v/>
      </c>
      <c r="B1327" s="124" t="n"/>
      <c r="C1327" s="123" t="n"/>
      <c r="D1327" s="123" t="n"/>
      <c r="E1327" s="123" t="n"/>
      <c r="F1327" s="125" t="n"/>
      <c r="G1327" s="123" t="n"/>
      <c r="H1327" s="123" t="n"/>
      <c r="I1327" s="123" t="n"/>
      <c r="J1327" s="123" t="n"/>
      <c r="K1327" s="123" t="n"/>
      <c r="L1327" s="123" t="n"/>
      <c r="M1327" s="123">
        <f>IF(AND(B1327&lt;&gt;"",OR($C$4="",ISNUMBER(SEARCH($C$4,C1327&amp;" "&amp;E1327&amp;" "&amp;G1327&amp;" "&amp;H1327&amp;" "&amp;I1327&amp;" "&amp;J1327&amp;" "&amp;K1327&amp;" "&amp;L1327))),OR($C$5="Semua",$C$5="",G1327=$C$5),OR($C$6="Semua",$C$6="",H1327=$C$6,H1327="Pengeluaran "&amp;$C$6,AND($C$6="Uang Kos Mama",H1327="Pengeluaran Uang Kos")),OR($C$7="Semua",$C$7="",I1327=$C$7),OR($C$8="Semua",$C$8="",C1327=$C$8,E1327=$C$8),OR($C$9="Semua",$C$9="",D1327=$C$9),OR($C$10="",B1327&gt;=$C$10),OR($C$11="",B1327&lt;=$C$11),OR($C$12&lt;&gt;"Ya",K1327&lt;&gt;""),OR($C$13="Semua",$C$13="",L1327=$C$13)),"✓","")</f>
        <v/>
      </c>
      <c r="N1327" s="93">
        <f>N(N1326)+IF(M1327="✓",1,0)</f>
        <v/>
      </c>
      <c r="O1327" s="93">
        <f>N(O1326)+IF(AND(B1327&lt;&gt;"",B1327&gt;='Uang Riba'!$H$30,B1327&lt;='Uang Riba'!$I$30,OR(H1327="Dana riba",H1327="Pinjam uang riba",I1327="Pinjam dari uang riba",I1327="Ganti uang riba",I1327="Kelebihan ganti dikembalikan",AND(C1327="Kantong Uang Riba",G1327="Pengeluaran"))),1,0)</f>
        <v/>
      </c>
      <c r="X1327" s="93">
        <f>IF(AND(B1327&lt;&gt;"",B1327&gt;='Buku Akun'!$H$4,B1327&lt;='Buku Akun'!$H$5,OR(C1327='Buku Akun'!$C$4,AND(D1327="Pindah",E1327='Buku Akun'!$C$4))),B1327+IF(AND(I1327="Selisih bunga",DAY(B1327)=1),0,0.01)+ROW()/10000000,"")</f>
        <v/>
      </c>
    </row>
    <row r="1328" outlineLevel="1" ht="15" customHeight="1" s="94">
      <c r="A1328" s="123">
        <f>IF(B1328="","",ROW()-15)</f>
        <v/>
      </c>
      <c r="B1328" s="124" t="n"/>
      <c r="C1328" s="123" t="n"/>
      <c r="D1328" s="123" t="n"/>
      <c r="E1328" s="123" t="n"/>
      <c r="F1328" s="125" t="n"/>
      <c r="G1328" s="123" t="n"/>
      <c r="H1328" s="123" t="n"/>
      <c r="I1328" s="123" t="n"/>
      <c r="J1328" s="123" t="n"/>
      <c r="K1328" s="123" t="n"/>
      <c r="L1328" s="123" t="n"/>
      <c r="M1328" s="123">
        <f>IF(AND(B1328&lt;&gt;"",OR($C$4="",ISNUMBER(SEARCH($C$4,C1328&amp;" "&amp;E1328&amp;" "&amp;G1328&amp;" "&amp;H1328&amp;" "&amp;I1328&amp;" "&amp;J1328&amp;" "&amp;K1328&amp;" "&amp;L1328))),OR($C$5="Semua",$C$5="",G1328=$C$5),OR($C$6="Semua",$C$6="",H1328=$C$6,H1328="Pengeluaran "&amp;$C$6,AND($C$6="Uang Kos Mama",H1328="Pengeluaran Uang Kos")),OR($C$7="Semua",$C$7="",I1328=$C$7),OR($C$8="Semua",$C$8="",C1328=$C$8,E1328=$C$8),OR($C$9="Semua",$C$9="",D1328=$C$9),OR($C$10="",B1328&gt;=$C$10),OR($C$11="",B1328&lt;=$C$11),OR($C$12&lt;&gt;"Ya",K1328&lt;&gt;""),OR($C$13="Semua",$C$13="",L1328=$C$13)),"✓","")</f>
        <v/>
      </c>
      <c r="N1328" s="93">
        <f>N(N1327)+IF(M1328="✓",1,0)</f>
        <v/>
      </c>
      <c r="O1328" s="93">
        <f>N(O1327)+IF(AND(B1328&lt;&gt;"",B1328&gt;='Uang Riba'!$H$30,B1328&lt;='Uang Riba'!$I$30,OR(H1328="Dana riba",H1328="Pinjam uang riba",I1328="Pinjam dari uang riba",I1328="Ganti uang riba",I1328="Kelebihan ganti dikembalikan",AND(C1328="Kantong Uang Riba",G1328="Pengeluaran"))),1,0)</f>
        <v/>
      </c>
      <c r="X1328" s="93">
        <f>IF(AND(B1328&lt;&gt;"",B1328&gt;='Buku Akun'!$H$4,B1328&lt;='Buku Akun'!$H$5,OR(C1328='Buku Akun'!$C$4,AND(D1328="Pindah",E1328='Buku Akun'!$C$4))),B1328+IF(AND(I1328="Selisih bunga",DAY(B1328)=1),0,0.01)+ROW()/10000000,"")</f>
        <v/>
      </c>
    </row>
    <row r="1329" outlineLevel="1" ht="15" customHeight="1" s="94">
      <c r="A1329" s="123">
        <f>IF(B1329="","",ROW()-15)</f>
        <v/>
      </c>
      <c r="B1329" s="124" t="n"/>
      <c r="C1329" s="123" t="n"/>
      <c r="D1329" s="123" t="n"/>
      <c r="E1329" s="123" t="n"/>
      <c r="F1329" s="125" t="n"/>
      <c r="G1329" s="123" t="n"/>
      <c r="H1329" s="123" t="n"/>
      <c r="I1329" s="123" t="n"/>
      <c r="J1329" s="123" t="n"/>
      <c r="K1329" s="123" t="n"/>
      <c r="L1329" s="123" t="n"/>
      <c r="M1329" s="123">
        <f>IF(AND(B1329&lt;&gt;"",OR($C$4="",ISNUMBER(SEARCH($C$4,C1329&amp;" "&amp;E1329&amp;" "&amp;G1329&amp;" "&amp;H1329&amp;" "&amp;I1329&amp;" "&amp;J1329&amp;" "&amp;K1329&amp;" "&amp;L1329))),OR($C$5="Semua",$C$5="",G1329=$C$5),OR($C$6="Semua",$C$6="",H1329=$C$6,H1329="Pengeluaran "&amp;$C$6,AND($C$6="Uang Kos Mama",H1329="Pengeluaran Uang Kos")),OR($C$7="Semua",$C$7="",I1329=$C$7),OR($C$8="Semua",$C$8="",C1329=$C$8,E1329=$C$8),OR($C$9="Semua",$C$9="",D1329=$C$9),OR($C$10="",B1329&gt;=$C$10),OR($C$11="",B1329&lt;=$C$11),OR($C$12&lt;&gt;"Ya",K1329&lt;&gt;""),OR($C$13="Semua",$C$13="",L1329=$C$13)),"✓","")</f>
        <v/>
      </c>
      <c r="N1329" s="93">
        <f>N(N1328)+IF(M1329="✓",1,0)</f>
        <v/>
      </c>
      <c r="O1329" s="93">
        <f>N(O1328)+IF(AND(B1329&lt;&gt;"",B1329&gt;='Uang Riba'!$H$30,B1329&lt;='Uang Riba'!$I$30,OR(H1329="Dana riba",H1329="Pinjam uang riba",I1329="Pinjam dari uang riba",I1329="Ganti uang riba",I1329="Kelebihan ganti dikembalikan",AND(C1329="Kantong Uang Riba",G1329="Pengeluaran"))),1,0)</f>
        <v/>
      </c>
      <c r="X1329" s="93">
        <f>IF(AND(B1329&lt;&gt;"",B1329&gt;='Buku Akun'!$H$4,B1329&lt;='Buku Akun'!$H$5,OR(C1329='Buku Akun'!$C$4,AND(D1329="Pindah",E1329='Buku Akun'!$C$4))),B1329+IF(AND(I1329="Selisih bunga",DAY(B1329)=1),0,0.01)+ROW()/10000000,"")</f>
        <v/>
      </c>
    </row>
    <row r="1330" outlineLevel="1" ht="15" customHeight="1" s="94">
      <c r="A1330" s="123">
        <f>IF(B1330="","",ROW()-15)</f>
        <v/>
      </c>
      <c r="B1330" s="124" t="n"/>
      <c r="C1330" s="123" t="n"/>
      <c r="D1330" s="123" t="n"/>
      <c r="E1330" s="123" t="n"/>
      <c r="F1330" s="125" t="n"/>
      <c r="G1330" s="123" t="n"/>
      <c r="H1330" s="123" t="n"/>
      <c r="I1330" s="123" t="n"/>
      <c r="J1330" s="123" t="n"/>
      <c r="K1330" s="123" t="n"/>
      <c r="L1330" s="123" t="n"/>
      <c r="M1330" s="123">
        <f>IF(AND(B1330&lt;&gt;"",OR($C$4="",ISNUMBER(SEARCH($C$4,C1330&amp;" "&amp;E1330&amp;" "&amp;G1330&amp;" "&amp;H1330&amp;" "&amp;I1330&amp;" "&amp;J1330&amp;" "&amp;K1330&amp;" "&amp;L1330))),OR($C$5="Semua",$C$5="",G1330=$C$5),OR($C$6="Semua",$C$6="",H1330=$C$6,H1330="Pengeluaran "&amp;$C$6,AND($C$6="Uang Kos Mama",H1330="Pengeluaran Uang Kos")),OR($C$7="Semua",$C$7="",I1330=$C$7),OR($C$8="Semua",$C$8="",C1330=$C$8,E1330=$C$8),OR($C$9="Semua",$C$9="",D1330=$C$9),OR($C$10="",B1330&gt;=$C$10),OR($C$11="",B1330&lt;=$C$11),OR($C$12&lt;&gt;"Ya",K1330&lt;&gt;""),OR($C$13="Semua",$C$13="",L1330=$C$13)),"✓","")</f>
        <v/>
      </c>
      <c r="N1330" s="93">
        <f>N(N1329)+IF(M1330="✓",1,0)</f>
        <v/>
      </c>
      <c r="O1330" s="93">
        <f>N(O1329)+IF(AND(B1330&lt;&gt;"",B1330&gt;='Uang Riba'!$H$30,B1330&lt;='Uang Riba'!$I$30,OR(H1330="Dana riba",H1330="Pinjam uang riba",I1330="Pinjam dari uang riba",I1330="Ganti uang riba",I1330="Kelebihan ganti dikembalikan",AND(C1330="Kantong Uang Riba",G1330="Pengeluaran"))),1,0)</f>
        <v/>
      </c>
      <c r="X1330" s="93">
        <f>IF(AND(B1330&lt;&gt;"",B1330&gt;='Buku Akun'!$H$4,B1330&lt;='Buku Akun'!$H$5,OR(C1330='Buku Akun'!$C$4,AND(D1330="Pindah",E1330='Buku Akun'!$C$4))),B1330+IF(AND(I1330="Selisih bunga",DAY(B1330)=1),0,0.01)+ROW()/10000000,"")</f>
        <v/>
      </c>
    </row>
    <row r="1331" outlineLevel="1" ht="15" customHeight="1" s="94">
      <c r="A1331" s="123">
        <f>IF(B1331="","",ROW()-15)</f>
        <v/>
      </c>
      <c r="B1331" s="124" t="n"/>
      <c r="C1331" s="123" t="n"/>
      <c r="D1331" s="123" t="n"/>
      <c r="E1331" s="123" t="n"/>
      <c r="F1331" s="125" t="n"/>
      <c r="G1331" s="123" t="n"/>
      <c r="H1331" s="123" t="n"/>
      <c r="I1331" s="123" t="n"/>
      <c r="J1331" s="123" t="n"/>
      <c r="K1331" s="123" t="n"/>
      <c r="L1331" s="123" t="n"/>
      <c r="M1331" s="123">
        <f>IF(AND(B1331&lt;&gt;"",OR($C$4="",ISNUMBER(SEARCH($C$4,C1331&amp;" "&amp;E1331&amp;" "&amp;G1331&amp;" "&amp;H1331&amp;" "&amp;I1331&amp;" "&amp;J1331&amp;" "&amp;K1331&amp;" "&amp;L1331))),OR($C$5="Semua",$C$5="",G1331=$C$5),OR($C$6="Semua",$C$6="",H1331=$C$6,H1331="Pengeluaran "&amp;$C$6,AND($C$6="Uang Kos Mama",H1331="Pengeluaran Uang Kos")),OR($C$7="Semua",$C$7="",I1331=$C$7),OR($C$8="Semua",$C$8="",C1331=$C$8,E1331=$C$8),OR($C$9="Semua",$C$9="",D1331=$C$9),OR($C$10="",B1331&gt;=$C$10),OR($C$11="",B1331&lt;=$C$11),OR($C$12&lt;&gt;"Ya",K1331&lt;&gt;""),OR($C$13="Semua",$C$13="",L1331=$C$13)),"✓","")</f>
        <v/>
      </c>
      <c r="N1331" s="93">
        <f>N(N1330)+IF(M1331="✓",1,0)</f>
        <v/>
      </c>
      <c r="O1331" s="93">
        <f>N(O1330)+IF(AND(B1331&lt;&gt;"",B1331&gt;='Uang Riba'!$H$30,B1331&lt;='Uang Riba'!$I$30,OR(H1331="Dana riba",H1331="Pinjam uang riba",I1331="Pinjam dari uang riba",I1331="Ganti uang riba",I1331="Kelebihan ganti dikembalikan",AND(C1331="Kantong Uang Riba",G1331="Pengeluaran"))),1,0)</f>
        <v/>
      </c>
      <c r="X1331" s="93">
        <f>IF(AND(B1331&lt;&gt;"",B1331&gt;='Buku Akun'!$H$4,B1331&lt;='Buku Akun'!$H$5,OR(C1331='Buku Akun'!$C$4,AND(D1331="Pindah",E1331='Buku Akun'!$C$4))),B1331+IF(AND(I1331="Selisih bunga",DAY(B1331)=1),0,0.01)+ROW()/10000000,"")</f>
        <v/>
      </c>
    </row>
    <row r="1332" outlineLevel="1" ht="15" customHeight="1" s="94">
      <c r="A1332" s="123">
        <f>IF(B1332="","",ROW()-15)</f>
        <v/>
      </c>
      <c r="B1332" s="124" t="n"/>
      <c r="C1332" s="123" t="n"/>
      <c r="D1332" s="123" t="n"/>
      <c r="E1332" s="123" t="n"/>
      <c r="F1332" s="125" t="n"/>
      <c r="G1332" s="123" t="n"/>
      <c r="H1332" s="123" t="n"/>
      <c r="I1332" s="123" t="n"/>
      <c r="J1332" s="123" t="n"/>
      <c r="K1332" s="123" t="n"/>
      <c r="L1332" s="123" t="n"/>
      <c r="M1332" s="123">
        <f>IF(AND(B1332&lt;&gt;"",OR($C$4="",ISNUMBER(SEARCH($C$4,C1332&amp;" "&amp;E1332&amp;" "&amp;G1332&amp;" "&amp;H1332&amp;" "&amp;I1332&amp;" "&amp;J1332&amp;" "&amp;K1332&amp;" "&amp;L1332))),OR($C$5="Semua",$C$5="",G1332=$C$5),OR($C$6="Semua",$C$6="",H1332=$C$6,H1332="Pengeluaran "&amp;$C$6,AND($C$6="Uang Kos Mama",H1332="Pengeluaran Uang Kos")),OR($C$7="Semua",$C$7="",I1332=$C$7),OR($C$8="Semua",$C$8="",C1332=$C$8,E1332=$C$8),OR($C$9="Semua",$C$9="",D1332=$C$9),OR($C$10="",B1332&gt;=$C$10),OR($C$11="",B1332&lt;=$C$11),OR($C$12&lt;&gt;"Ya",K1332&lt;&gt;""),OR($C$13="Semua",$C$13="",L1332=$C$13)),"✓","")</f>
        <v/>
      </c>
      <c r="N1332" s="93">
        <f>N(N1331)+IF(M1332="✓",1,0)</f>
        <v/>
      </c>
      <c r="O1332" s="93">
        <f>N(O1331)+IF(AND(B1332&lt;&gt;"",B1332&gt;='Uang Riba'!$H$30,B1332&lt;='Uang Riba'!$I$30,OR(H1332="Dana riba",H1332="Pinjam uang riba",I1332="Pinjam dari uang riba",I1332="Ganti uang riba",I1332="Kelebihan ganti dikembalikan",AND(C1332="Kantong Uang Riba",G1332="Pengeluaran"))),1,0)</f>
        <v/>
      </c>
      <c r="X1332" s="93">
        <f>IF(AND(B1332&lt;&gt;"",B1332&gt;='Buku Akun'!$H$4,B1332&lt;='Buku Akun'!$H$5,OR(C1332='Buku Akun'!$C$4,AND(D1332="Pindah",E1332='Buku Akun'!$C$4))),B1332+IF(AND(I1332="Selisih bunga",DAY(B1332)=1),0,0.01)+ROW()/10000000,"")</f>
        <v/>
      </c>
    </row>
    <row r="1333" outlineLevel="1" ht="15" customHeight="1" s="94">
      <c r="A1333" s="123">
        <f>IF(B1333="","",ROW()-15)</f>
        <v/>
      </c>
      <c r="B1333" s="124" t="n"/>
      <c r="C1333" s="123" t="n"/>
      <c r="D1333" s="123" t="n"/>
      <c r="E1333" s="123" t="n"/>
      <c r="F1333" s="125" t="n"/>
      <c r="G1333" s="123" t="n"/>
      <c r="H1333" s="123" t="n"/>
      <c r="I1333" s="123" t="n"/>
      <c r="J1333" s="123" t="n"/>
      <c r="K1333" s="123" t="n"/>
      <c r="L1333" s="123" t="n"/>
      <c r="M1333" s="123">
        <f>IF(AND(B1333&lt;&gt;"",OR($C$4="",ISNUMBER(SEARCH($C$4,C1333&amp;" "&amp;E1333&amp;" "&amp;G1333&amp;" "&amp;H1333&amp;" "&amp;I1333&amp;" "&amp;J1333&amp;" "&amp;K1333&amp;" "&amp;L1333))),OR($C$5="Semua",$C$5="",G1333=$C$5),OR($C$6="Semua",$C$6="",H1333=$C$6,H1333="Pengeluaran "&amp;$C$6,AND($C$6="Uang Kos Mama",H1333="Pengeluaran Uang Kos")),OR($C$7="Semua",$C$7="",I1333=$C$7),OR($C$8="Semua",$C$8="",C1333=$C$8,E1333=$C$8),OR($C$9="Semua",$C$9="",D1333=$C$9),OR($C$10="",B1333&gt;=$C$10),OR($C$11="",B1333&lt;=$C$11),OR($C$12&lt;&gt;"Ya",K1333&lt;&gt;""),OR($C$13="Semua",$C$13="",L1333=$C$13)),"✓","")</f>
        <v/>
      </c>
      <c r="N1333" s="93">
        <f>N(N1332)+IF(M1333="✓",1,0)</f>
        <v/>
      </c>
      <c r="O1333" s="93">
        <f>N(O1332)+IF(AND(B1333&lt;&gt;"",B1333&gt;='Uang Riba'!$H$30,B1333&lt;='Uang Riba'!$I$30,OR(H1333="Dana riba",H1333="Pinjam uang riba",I1333="Pinjam dari uang riba",I1333="Ganti uang riba",I1333="Kelebihan ganti dikembalikan",AND(C1333="Kantong Uang Riba",G1333="Pengeluaran"))),1,0)</f>
        <v/>
      </c>
      <c r="X1333" s="93">
        <f>IF(AND(B1333&lt;&gt;"",B1333&gt;='Buku Akun'!$H$4,B1333&lt;='Buku Akun'!$H$5,OR(C1333='Buku Akun'!$C$4,AND(D1333="Pindah",E1333='Buku Akun'!$C$4))),B1333+IF(AND(I1333="Selisih bunga",DAY(B1333)=1),0,0.01)+ROW()/10000000,"")</f>
        <v/>
      </c>
    </row>
    <row r="1334" outlineLevel="1" ht="15" customHeight="1" s="94">
      <c r="A1334" s="123">
        <f>IF(B1334="","",ROW()-15)</f>
        <v/>
      </c>
      <c r="B1334" s="124" t="n"/>
      <c r="C1334" s="123" t="n"/>
      <c r="D1334" s="123" t="n"/>
      <c r="E1334" s="123" t="n"/>
      <c r="F1334" s="125" t="n"/>
      <c r="G1334" s="123" t="n"/>
      <c r="H1334" s="123" t="n"/>
      <c r="I1334" s="123" t="n"/>
      <c r="J1334" s="123" t="n"/>
      <c r="K1334" s="123" t="n"/>
      <c r="L1334" s="123" t="n"/>
      <c r="M1334" s="123">
        <f>IF(AND(B1334&lt;&gt;"",OR($C$4="",ISNUMBER(SEARCH($C$4,C1334&amp;" "&amp;E1334&amp;" "&amp;G1334&amp;" "&amp;H1334&amp;" "&amp;I1334&amp;" "&amp;J1334&amp;" "&amp;K1334&amp;" "&amp;L1334))),OR($C$5="Semua",$C$5="",G1334=$C$5),OR($C$6="Semua",$C$6="",H1334=$C$6,H1334="Pengeluaran "&amp;$C$6,AND($C$6="Uang Kos Mama",H1334="Pengeluaran Uang Kos")),OR($C$7="Semua",$C$7="",I1334=$C$7),OR($C$8="Semua",$C$8="",C1334=$C$8,E1334=$C$8),OR($C$9="Semua",$C$9="",D1334=$C$9),OR($C$10="",B1334&gt;=$C$10),OR($C$11="",B1334&lt;=$C$11),OR($C$12&lt;&gt;"Ya",K1334&lt;&gt;""),OR($C$13="Semua",$C$13="",L1334=$C$13)),"✓","")</f>
        <v/>
      </c>
      <c r="N1334" s="93">
        <f>N(N1333)+IF(M1334="✓",1,0)</f>
        <v/>
      </c>
      <c r="O1334" s="93">
        <f>N(O1333)+IF(AND(B1334&lt;&gt;"",B1334&gt;='Uang Riba'!$H$30,B1334&lt;='Uang Riba'!$I$30,OR(H1334="Dana riba",H1334="Pinjam uang riba",I1334="Pinjam dari uang riba",I1334="Ganti uang riba",I1334="Kelebihan ganti dikembalikan",AND(C1334="Kantong Uang Riba",G1334="Pengeluaran"))),1,0)</f>
        <v/>
      </c>
      <c r="X1334" s="93">
        <f>IF(AND(B1334&lt;&gt;"",B1334&gt;='Buku Akun'!$H$4,B1334&lt;='Buku Akun'!$H$5,OR(C1334='Buku Akun'!$C$4,AND(D1334="Pindah",E1334='Buku Akun'!$C$4))),B1334+IF(AND(I1334="Selisih bunga",DAY(B1334)=1),0,0.01)+ROW()/10000000,"")</f>
        <v/>
      </c>
    </row>
    <row r="1335" outlineLevel="1" ht="15" customHeight="1" s="94">
      <c r="A1335" s="123">
        <f>IF(B1335="","",ROW()-15)</f>
        <v/>
      </c>
      <c r="B1335" s="124" t="n"/>
      <c r="C1335" s="123" t="n"/>
      <c r="D1335" s="123" t="n"/>
      <c r="E1335" s="123" t="n"/>
      <c r="F1335" s="125" t="n"/>
      <c r="G1335" s="123" t="n"/>
      <c r="H1335" s="123" t="n"/>
      <c r="I1335" s="123" t="n"/>
      <c r="J1335" s="123" t="n"/>
      <c r="K1335" s="123" t="n"/>
      <c r="L1335" s="123" t="n"/>
      <c r="M1335" s="123">
        <f>IF(AND(B1335&lt;&gt;"",OR($C$4="",ISNUMBER(SEARCH($C$4,C1335&amp;" "&amp;E1335&amp;" "&amp;G1335&amp;" "&amp;H1335&amp;" "&amp;I1335&amp;" "&amp;J1335&amp;" "&amp;K1335&amp;" "&amp;L1335))),OR($C$5="Semua",$C$5="",G1335=$C$5),OR($C$6="Semua",$C$6="",H1335=$C$6,H1335="Pengeluaran "&amp;$C$6,AND($C$6="Uang Kos Mama",H1335="Pengeluaran Uang Kos")),OR($C$7="Semua",$C$7="",I1335=$C$7),OR($C$8="Semua",$C$8="",C1335=$C$8,E1335=$C$8),OR($C$9="Semua",$C$9="",D1335=$C$9),OR($C$10="",B1335&gt;=$C$10),OR($C$11="",B1335&lt;=$C$11),OR($C$12&lt;&gt;"Ya",K1335&lt;&gt;""),OR($C$13="Semua",$C$13="",L1335=$C$13)),"✓","")</f>
        <v/>
      </c>
      <c r="N1335" s="93">
        <f>N(N1334)+IF(M1335="✓",1,0)</f>
        <v/>
      </c>
      <c r="O1335" s="93">
        <f>N(O1334)+IF(AND(B1335&lt;&gt;"",B1335&gt;='Uang Riba'!$H$30,B1335&lt;='Uang Riba'!$I$30,OR(H1335="Dana riba",H1335="Pinjam uang riba",I1335="Pinjam dari uang riba",I1335="Ganti uang riba",I1335="Kelebihan ganti dikembalikan",AND(C1335="Kantong Uang Riba",G1335="Pengeluaran"))),1,0)</f>
        <v/>
      </c>
      <c r="X1335" s="93">
        <f>IF(AND(B1335&lt;&gt;"",B1335&gt;='Buku Akun'!$H$4,B1335&lt;='Buku Akun'!$H$5,OR(C1335='Buku Akun'!$C$4,AND(D1335="Pindah",E1335='Buku Akun'!$C$4))),B1335+IF(AND(I1335="Selisih bunga",DAY(B1335)=1),0,0.01)+ROW()/10000000,"")</f>
        <v/>
      </c>
    </row>
    <row r="1336" outlineLevel="1" ht="15" customHeight="1" s="94">
      <c r="A1336" s="123">
        <f>IF(B1336="","",ROW()-15)</f>
        <v/>
      </c>
      <c r="B1336" s="124" t="n"/>
      <c r="C1336" s="123" t="n"/>
      <c r="D1336" s="123" t="n"/>
      <c r="E1336" s="123" t="n"/>
      <c r="F1336" s="125" t="n"/>
      <c r="G1336" s="123" t="n"/>
      <c r="H1336" s="123" t="n"/>
      <c r="I1336" s="123" t="n"/>
      <c r="J1336" s="123" t="n"/>
      <c r="K1336" s="123" t="n"/>
      <c r="L1336" s="123" t="n"/>
      <c r="M1336" s="123">
        <f>IF(AND(B1336&lt;&gt;"",OR($C$4="",ISNUMBER(SEARCH($C$4,C1336&amp;" "&amp;E1336&amp;" "&amp;G1336&amp;" "&amp;H1336&amp;" "&amp;I1336&amp;" "&amp;J1336&amp;" "&amp;K1336&amp;" "&amp;L1336))),OR($C$5="Semua",$C$5="",G1336=$C$5),OR($C$6="Semua",$C$6="",H1336=$C$6,H1336="Pengeluaran "&amp;$C$6,AND($C$6="Uang Kos Mama",H1336="Pengeluaran Uang Kos")),OR($C$7="Semua",$C$7="",I1336=$C$7),OR($C$8="Semua",$C$8="",C1336=$C$8,E1336=$C$8),OR($C$9="Semua",$C$9="",D1336=$C$9),OR($C$10="",B1336&gt;=$C$10),OR($C$11="",B1336&lt;=$C$11),OR($C$12&lt;&gt;"Ya",K1336&lt;&gt;""),OR($C$13="Semua",$C$13="",L1336=$C$13)),"✓","")</f>
        <v/>
      </c>
      <c r="N1336" s="93">
        <f>N(N1335)+IF(M1336="✓",1,0)</f>
        <v/>
      </c>
      <c r="O1336" s="93">
        <f>N(O1335)+IF(AND(B1336&lt;&gt;"",B1336&gt;='Uang Riba'!$H$30,B1336&lt;='Uang Riba'!$I$30,OR(H1336="Dana riba",H1336="Pinjam uang riba",I1336="Pinjam dari uang riba",I1336="Ganti uang riba",I1336="Kelebihan ganti dikembalikan",AND(C1336="Kantong Uang Riba",G1336="Pengeluaran"))),1,0)</f>
        <v/>
      </c>
      <c r="X1336" s="93">
        <f>IF(AND(B1336&lt;&gt;"",B1336&gt;='Buku Akun'!$H$4,B1336&lt;='Buku Akun'!$H$5,OR(C1336='Buku Akun'!$C$4,AND(D1336="Pindah",E1336='Buku Akun'!$C$4))),B1336+IF(AND(I1336="Selisih bunga",DAY(B1336)=1),0,0.01)+ROW()/10000000,"")</f>
        <v/>
      </c>
    </row>
    <row r="1337" outlineLevel="1" ht="15" customHeight="1" s="94">
      <c r="A1337" s="123">
        <f>IF(B1337="","",ROW()-15)</f>
        <v/>
      </c>
      <c r="B1337" s="124" t="n"/>
      <c r="C1337" s="123" t="n"/>
      <c r="D1337" s="123" t="n"/>
      <c r="E1337" s="123" t="n"/>
      <c r="F1337" s="125" t="n"/>
      <c r="G1337" s="123" t="n"/>
      <c r="H1337" s="123" t="n"/>
      <c r="I1337" s="123" t="n"/>
      <c r="J1337" s="123" t="n"/>
      <c r="K1337" s="123" t="n"/>
      <c r="L1337" s="123" t="n"/>
      <c r="M1337" s="123">
        <f>IF(AND(B1337&lt;&gt;"",OR($C$4="",ISNUMBER(SEARCH($C$4,C1337&amp;" "&amp;E1337&amp;" "&amp;G1337&amp;" "&amp;H1337&amp;" "&amp;I1337&amp;" "&amp;J1337&amp;" "&amp;K1337&amp;" "&amp;L1337))),OR($C$5="Semua",$C$5="",G1337=$C$5),OR($C$6="Semua",$C$6="",H1337=$C$6,H1337="Pengeluaran "&amp;$C$6,AND($C$6="Uang Kos Mama",H1337="Pengeluaran Uang Kos")),OR($C$7="Semua",$C$7="",I1337=$C$7),OR($C$8="Semua",$C$8="",C1337=$C$8,E1337=$C$8),OR($C$9="Semua",$C$9="",D1337=$C$9),OR($C$10="",B1337&gt;=$C$10),OR($C$11="",B1337&lt;=$C$11),OR($C$12&lt;&gt;"Ya",K1337&lt;&gt;""),OR($C$13="Semua",$C$13="",L1337=$C$13)),"✓","")</f>
        <v/>
      </c>
      <c r="N1337" s="93">
        <f>N(N1336)+IF(M1337="✓",1,0)</f>
        <v/>
      </c>
      <c r="O1337" s="93">
        <f>N(O1336)+IF(AND(B1337&lt;&gt;"",B1337&gt;='Uang Riba'!$H$30,B1337&lt;='Uang Riba'!$I$30,OR(H1337="Dana riba",H1337="Pinjam uang riba",I1337="Pinjam dari uang riba",I1337="Ganti uang riba",I1337="Kelebihan ganti dikembalikan",AND(C1337="Kantong Uang Riba",G1337="Pengeluaran"))),1,0)</f>
        <v/>
      </c>
      <c r="X1337" s="93">
        <f>IF(AND(B1337&lt;&gt;"",B1337&gt;='Buku Akun'!$H$4,B1337&lt;='Buku Akun'!$H$5,OR(C1337='Buku Akun'!$C$4,AND(D1337="Pindah",E1337='Buku Akun'!$C$4))),B1337+IF(AND(I1337="Selisih bunga",DAY(B1337)=1),0,0.01)+ROW()/10000000,"")</f>
        <v/>
      </c>
    </row>
    <row r="1338" outlineLevel="1" ht="15" customHeight="1" s="94">
      <c r="A1338" s="123">
        <f>IF(B1338="","",ROW()-15)</f>
        <v/>
      </c>
      <c r="B1338" s="124" t="n"/>
      <c r="C1338" s="123" t="n"/>
      <c r="D1338" s="123" t="n"/>
      <c r="E1338" s="123" t="n"/>
      <c r="F1338" s="125" t="n"/>
      <c r="G1338" s="123" t="n"/>
      <c r="H1338" s="123" t="n"/>
      <c r="I1338" s="123" t="n"/>
      <c r="J1338" s="123" t="n"/>
      <c r="K1338" s="123" t="n"/>
      <c r="L1338" s="123" t="n"/>
      <c r="M1338" s="123">
        <f>IF(AND(B1338&lt;&gt;"",OR($C$4="",ISNUMBER(SEARCH($C$4,C1338&amp;" "&amp;E1338&amp;" "&amp;G1338&amp;" "&amp;H1338&amp;" "&amp;I1338&amp;" "&amp;J1338&amp;" "&amp;K1338&amp;" "&amp;L1338))),OR($C$5="Semua",$C$5="",G1338=$C$5),OR($C$6="Semua",$C$6="",H1338=$C$6,H1338="Pengeluaran "&amp;$C$6,AND($C$6="Uang Kos Mama",H1338="Pengeluaran Uang Kos")),OR($C$7="Semua",$C$7="",I1338=$C$7),OR($C$8="Semua",$C$8="",C1338=$C$8,E1338=$C$8),OR($C$9="Semua",$C$9="",D1338=$C$9),OR($C$10="",B1338&gt;=$C$10),OR($C$11="",B1338&lt;=$C$11),OR($C$12&lt;&gt;"Ya",K1338&lt;&gt;""),OR($C$13="Semua",$C$13="",L1338=$C$13)),"✓","")</f>
        <v/>
      </c>
      <c r="N1338" s="93">
        <f>N(N1337)+IF(M1338="✓",1,0)</f>
        <v/>
      </c>
      <c r="O1338" s="93">
        <f>N(O1337)+IF(AND(B1338&lt;&gt;"",B1338&gt;='Uang Riba'!$H$30,B1338&lt;='Uang Riba'!$I$30,OR(H1338="Dana riba",H1338="Pinjam uang riba",I1338="Pinjam dari uang riba",I1338="Ganti uang riba",I1338="Kelebihan ganti dikembalikan",AND(C1338="Kantong Uang Riba",G1338="Pengeluaran"))),1,0)</f>
        <v/>
      </c>
      <c r="X1338" s="93">
        <f>IF(AND(B1338&lt;&gt;"",B1338&gt;='Buku Akun'!$H$4,B1338&lt;='Buku Akun'!$H$5,OR(C1338='Buku Akun'!$C$4,AND(D1338="Pindah",E1338='Buku Akun'!$C$4))),B1338+IF(AND(I1338="Selisih bunga",DAY(B1338)=1),0,0.01)+ROW()/10000000,"")</f>
        <v/>
      </c>
    </row>
    <row r="1339" outlineLevel="1" ht="15" customHeight="1" s="94">
      <c r="A1339" s="123">
        <f>IF(B1339="","",ROW()-15)</f>
        <v/>
      </c>
      <c r="B1339" s="124" t="n"/>
      <c r="C1339" s="123" t="n"/>
      <c r="D1339" s="123" t="n"/>
      <c r="E1339" s="123" t="n"/>
      <c r="F1339" s="125" t="n"/>
      <c r="G1339" s="123" t="n"/>
      <c r="H1339" s="123" t="n"/>
      <c r="I1339" s="123" t="n"/>
      <c r="J1339" s="123" t="n"/>
      <c r="K1339" s="123" t="n"/>
      <c r="L1339" s="123" t="n"/>
      <c r="M1339" s="123">
        <f>IF(AND(B1339&lt;&gt;"",OR($C$4="",ISNUMBER(SEARCH($C$4,C1339&amp;" "&amp;E1339&amp;" "&amp;G1339&amp;" "&amp;H1339&amp;" "&amp;I1339&amp;" "&amp;J1339&amp;" "&amp;K1339&amp;" "&amp;L1339))),OR($C$5="Semua",$C$5="",G1339=$C$5),OR($C$6="Semua",$C$6="",H1339=$C$6,H1339="Pengeluaran "&amp;$C$6,AND($C$6="Uang Kos Mama",H1339="Pengeluaran Uang Kos")),OR($C$7="Semua",$C$7="",I1339=$C$7),OR($C$8="Semua",$C$8="",C1339=$C$8,E1339=$C$8),OR($C$9="Semua",$C$9="",D1339=$C$9),OR($C$10="",B1339&gt;=$C$10),OR($C$11="",B1339&lt;=$C$11),OR($C$12&lt;&gt;"Ya",K1339&lt;&gt;""),OR($C$13="Semua",$C$13="",L1339=$C$13)),"✓","")</f>
        <v/>
      </c>
      <c r="N1339" s="93">
        <f>N(N1338)+IF(M1339="✓",1,0)</f>
        <v/>
      </c>
      <c r="O1339" s="93">
        <f>N(O1338)+IF(AND(B1339&lt;&gt;"",B1339&gt;='Uang Riba'!$H$30,B1339&lt;='Uang Riba'!$I$30,OR(H1339="Dana riba",H1339="Pinjam uang riba",I1339="Pinjam dari uang riba",I1339="Ganti uang riba",I1339="Kelebihan ganti dikembalikan",AND(C1339="Kantong Uang Riba",G1339="Pengeluaran"))),1,0)</f>
        <v/>
      </c>
      <c r="X1339" s="93">
        <f>IF(AND(B1339&lt;&gt;"",B1339&gt;='Buku Akun'!$H$4,B1339&lt;='Buku Akun'!$H$5,OR(C1339='Buku Akun'!$C$4,AND(D1339="Pindah",E1339='Buku Akun'!$C$4))),B1339+IF(AND(I1339="Selisih bunga",DAY(B1339)=1),0,0.01)+ROW()/10000000,"")</f>
        <v/>
      </c>
    </row>
    <row r="1340" outlineLevel="1" ht="15" customHeight="1" s="94">
      <c r="A1340" s="123">
        <f>IF(B1340="","",ROW()-15)</f>
        <v/>
      </c>
      <c r="B1340" s="124" t="n"/>
      <c r="C1340" s="123" t="n"/>
      <c r="D1340" s="123" t="n"/>
      <c r="E1340" s="123" t="n"/>
      <c r="F1340" s="125" t="n"/>
      <c r="G1340" s="123" t="n"/>
      <c r="H1340" s="123" t="n"/>
      <c r="I1340" s="123" t="n"/>
      <c r="J1340" s="123" t="n"/>
      <c r="K1340" s="123" t="n"/>
      <c r="L1340" s="123" t="n"/>
      <c r="M1340" s="123">
        <f>IF(AND(B1340&lt;&gt;"",OR($C$4="",ISNUMBER(SEARCH($C$4,C1340&amp;" "&amp;E1340&amp;" "&amp;G1340&amp;" "&amp;H1340&amp;" "&amp;I1340&amp;" "&amp;J1340&amp;" "&amp;K1340&amp;" "&amp;L1340))),OR($C$5="Semua",$C$5="",G1340=$C$5),OR($C$6="Semua",$C$6="",H1340=$C$6,H1340="Pengeluaran "&amp;$C$6,AND($C$6="Uang Kos Mama",H1340="Pengeluaran Uang Kos")),OR($C$7="Semua",$C$7="",I1340=$C$7),OR($C$8="Semua",$C$8="",C1340=$C$8,E1340=$C$8),OR($C$9="Semua",$C$9="",D1340=$C$9),OR($C$10="",B1340&gt;=$C$10),OR($C$11="",B1340&lt;=$C$11),OR($C$12&lt;&gt;"Ya",K1340&lt;&gt;""),OR($C$13="Semua",$C$13="",L1340=$C$13)),"✓","")</f>
        <v/>
      </c>
      <c r="N1340" s="93">
        <f>N(N1339)+IF(M1340="✓",1,0)</f>
        <v/>
      </c>
      <c r="O1340" s="93">
        <f>N(O1339)+IF(AND(B1340&lt;&gt;"",B1340&gt;='Uang Riba'!$H$30,B1340&lt;='Uang Riba'!$I$30,OR(H1340="Dana riba",H1340="Pinjam uang riba",I1340="Pinjam dari uang riba",I1340="Ganti uang riba",I1340="Kelebihan ganti dikembalikan",AND(C1340="Kantong Uang Riba",G1340="Pengeluaran"))),1,0)</f>
        <v/>
      </c>
      <c r="X1340" s="93">
        <f>IF(AND(B1340&lt;&gt;"",B1340&gt;='Buku Akun'!$H$4,B1340&lt;='Buku Akun'!$H$5,OR(C1340='Buku Akun'!$C$4,AND(D1340="Pindah",E1340='Buku Akun'!$C$4))),B1340+IF(AND(I1340="Selisih bunga",DAY(B1340)=1),0,0.01)+ROW()/10000000,"")</f>
        <v/>
      </c>
    </row>
    <row r="1341" outlineLevel="1" ht="15" customHeight="1" s="94">
      <c r="A1341" s="123">
        <f>IF(B1341="","",ROW()-15)</f>
        <v/>
      </c>
      <c r="B1341" s="124" t="n"/>
      <c r="C1341" s="123" t="n"/>
      <c r="D1341" s="123" t="n"/>
      <c r="E1341" s="123" t="n"/>
      <c r="F1341" s="125" t="n"/>
      <c r="G1341" s="123" t="n"/>
      <c r="H1341" s="123" t="n"/>
      <c r="I1341" s="123" t="n"/>
      <c r="J1341" s="123" t="n"/>
      <c r="K1341" s="123" t="n"/>
      <c r="L1341" s="123" t="n"/>
      <c r="M1341" s="123">
        <f>IF(AND(B1341&lt;&gt;"",OR($C$4="",ISNUMBER(SEARCH($C$4,C1341&amp;" "&amp;E1341&amp;" "&amp;G1341&amp;" "&amp;H1341&amp;" "&amp;I1341&amp;" "&amp;J1341&amp;" "&amp;K1341&amp;" "&amp;L1341))),OR($C$5="Semua",$C$5="",G1341=$C$5),OR($C$6="Semua",$C$6="",H1341=$C$6,H1341="Pengeluaran "&amp;$C$6,AND($C$6="Uang Kos Mama",H1341="Pengeluaran Uang Kos")),OR($C$7="Semua",$C$7="",I1341=$C$7),OR($C$8="Semua",$C$8="",C1341=$C$8,E1341=$C$8),OR($C$9="Semua",$C$9="",D1341=$C$9),OR($C$10="",B1341&gt;=$C$10),OR($C$11="",B1341&lt;=$C$11),OR($C$12&lt;&gt;"Ya",K1341&lt;&gt;""),OR($C$13="Semua",$C$13="",L1341=$C$13)),"✓","")</f>
        <v/>
      </c>
      <c r="N1341" s="93">
        <f>N(N1340)+IF(M1341="✓",1,0)</f>
        <v/>
      </c>
      <c r="O1341" s="93">
        <f>N(O1340)+IF(AND(B1341&lt;&gt;"",B1341&gt;='Uang Riba'!$H$30,B1341&lt;='Uang Riba'!$I$30,OR(H1341="Dana riba",H1341="Pinjam uang riba",I1341="Pinjam dari uang riba",I1341="Ganti uang riba",I1341="Kelebihan ganti dikembalikan",AND(C1341="Kantong Uang Riba",G1341="Pengeluaran"))),1,0)</f>
        <v/>
      </c>
      <c r="X1341" s="93">
        <f>IF(AND(B1341&lt;&gt;"",B1341&gt;='Buku Akun'!$H$4,B1341&lt;='Buku Akun'!$H$5,OR(C1341='Buku Akun'!$C$4,AND(D1341="Pindah",E1341='Buku Akun'!$C$4))),B1341+IF(AND(I1341="Selisih bunga",DAY(B1341)=1),0,0.01)+ROW()/10000000,"")</f>
        <v/>
      </c>
    </row>
    <row r="1342" outlineLevel="1" ht="15" customHeight="1" s="94">
      <c r="A1342" s="123">
        <f>IF(B1342="","",ROW()-15)</f>
        <v/>
      </c>
      <c r="B1342" s="124" t="n"/>
      <c r="C1342" s="123" t="n"/>
      <c r="D1342" s="123" t="n"/>
      <c r="E1342" s="123" t="n"/>
      <c r="F1342" s="125" t="n"/>
      <c r="G1342" s="123" t="n"/>
      <c r="H1342" s="123" t="n"/>
      <c r="I1342" s="123" t="n"/>
      <c r="J1342" s="123" t="n"/>
      <c r="K1342" s="123" t="n"/>
      <c r="L1342" s="123" t="n"/>
      <c r="M1342" s="123">
        <f>IF(AND(B1342&lt;&gt;"",OR($C$4="",ISNUMBER(SEARCH($C$4,C1342&amp;" "&amp;E1342&amp;" "&amp;G1342&amp;" "&amp;H1342&amp;" "&amp;I1342&amp;" "&amp;J1342&amp;" "&amp;K1342&amp;" "&amp;L1342))),OR($C$5="Semua",$C$5="",G1342=$C$5),OR($C$6="Semua",$C$6="",H1342=$C$6,H1342="Pengeluaran "&amp;$C$6,AND($C$6="Uang Kos Mama",H1342="Pengeluaran Uang Kos")),OR($C$7="Semua",$C$7="",I1342=$C$7),OR($C$8="Semua",$C$8="",C1342=$C$8,E1342=$C$8),OR($C$9="Semua",$C$9="",D1342=$C$9),OR($C$10="",B1342&gt;=$C$10),OR($C$11="",B1342&lt;=$C$11),OR($C$12&lt;&gt;"Ya",K1342&lt;&gt;""),OR($C$13="Semua",$C$13="",L1342=$C$13)),"✓","")</f>
        <v/>
      </c>
      <c r="N1342" s="93">
        <f>N(N1341)+IF(M1342="✓",1,0)</f>
        <v/>
      </c>
      <c r="O1342" s="93">
        <f>N(O1341)+IF(AND(B1342&lt;&gt;"",B1342&gt;='Uang Riba'!$H$30,B1342&lt;='Uang Riba'!$I$30,OR(H1342="Dana riba",H1342="Pinjam uang riba",I1342="Pinjam dari uang riba",I1342="Ganti uang riba",I1342="Kelebihan ganti dikembalikan",AND(C1342="Kantong Uang Riba",G1342="Pengeluaran"))),1,0)</f>
        <v/>
      </c>
      <c r="X1342" s="93">
        <f>IF(AND(B1342&lt;&gt;"",B1342&gt;='Buku Akun'!$H$4,B1342&lt;='Buku Akun'!$H$5,OR(C1342='Buku Akun'!$C$4,AND(D1342="Pindah",E1342='Buku Akun'!$C$4))),B1342+IF(AND(I1342="Selisih bunga",DAY(B1342)=1),0,0.01)+ROW()/10000000,"")</f>
        <v/>
      </c>
    </row>
    <row r="1343" outlineLevel="1" ht="15" customHeight="1" s="94">
      <c r="A1343" s="123">
        <f>IF(B1343="","",ROW()-15)</f>
        <v/>
      </c>
      <c r="B1343" s="124" t="n"/>
      <c r="C1343" s="123" t="n"/>
      <c r="D1343" s="123" t="n"/>
      <c r="E1343" s="123" t="n"/>
      <c r="F1343" s="125" t="n"/>
      <c r="G1343" s="123" t="n"/>
      <c r="H1343" s="123" t="n"/>
      <c r="I1343" s="123" t="n"/>
      <c r="J1343" s="123" t="n"/>
      <c r="K1343" s="123" t="n"/>
      <c r="L1343" s="123" t="n"/>
      <c r="M1343" s="123">
        <f>IF(AND(B1343&lt;&gt;"",OR($C$4="",ISNUMBER(SEARCH($C$4,C1343&amp;" "&amp;E1343&amp;" "&amp;G1343&amp;" "&amp;H1343&amp;" "&amp;I1343&amp;" "&amp;J1343&amp;" "&amp;K1343&amp;" "&amp;L1343))),OR($C$5="Semua",$C$5="",G1343=$C$5),OR($C$6="Semua",$C$6="",H1343=$C$6,H1343="Pengeluaran "&amp;$C$6,AND($C$6="Uang Kos Mama",H1343="Pengeluaran Uang Kos")),OR($C$7="Semua",$C$7="",I1343=$C$7),OR($C$8="Semua",$C$8="",C1343=$C$8,E1343=$C$8),OR($C$9="Semua",$C$9="",D1343=$C$9),OR($C$10="",B1343&gt;=$C$10),OR($C$11="",B1343&lt;=$C$11),OR($C$12&lt;&gt;"Ya",K1343&lt;&gt;""),OR($C$13="Semua",$C$13="",L1343=$C$13)),"✓","")</f>
        <v/>
      </c>
      <c r="N1343" s="93">
        <f>N(N1342)+IF(M1343="✓",1,0)</f>
        <v/>
      </c>
      <c r="O1343" s="93">
        <f>N(O1342)+IF(AND(B1343&lt;&gt;"",B1343&gt;='Uang Riba'!$H$30,B1343&lt;='Uang Riba'!$I$30,OR(H1343="Dana riba",H1343="Pinjam uang riba",I1343="Pinjam dari uang riba",I1343="Ganti uang riba",I1343="Kelebihan ganti dikembalikan",AND(C1343="Kantong Uang Riba",G1343="Pengeluaran"))),1,0)</f>
        <v/>
      </c>
      <c r="X1343" s="93">
        <f>IF(AND(B1343&lt;&gt;"",B1343&gt;='Buku Akun'!$H$4,B1343&lt;='Buku Akun'!$H$5,OR(C1343='Buku Akun'!$C$4,AND(D1343="Pindah",E1343='Buku Akun'!$C$4))),B1343+IF(AND(I1343="Selisih bunga",DAY(B1343)=1),0,0.01)+ROW()/10000000,"")</f>
        <v/>
      </c>
    </row>
    <row r="1344" outlineLevel="1" ht="15" customHeight="1" s="94">
      <c r="A1344" s="123">
        <f>IF(B1344="","",ROW()-15)</f>
        <v/>
      </c>
      <c r="B1344" s="124" t="n"/>
      <c r="C1344" s="123" t="n"/>
      <c r="D1344" s="123" t="n"/>
      <c r="E1344" s="123" t="n"/>
      <c r="F1344" s="125" t="n"/>
      <c r="G1344" s="123" t="n"/>
      <c r="H1344" s="123" t="n"/>
      <c r="I1344" s="123" t="n"/>
      <c r="J1344" s="123" t="n"/>
      <c r="K1344" s="123" t="n"/>
      <c r="L1344" s="123" t="n"/>
      <c r="M1344" s="123">
        <f>IF(AND(B1344&lt;&gt;"",OR($C$4="",ISNUMBER(SEARCH($C$4,C1344&amp;" "&amp;E1344&amp;" "&amp;G1344&amp;" "&amp;H1344&amp;" "&amp;I1344&amp;" "&amp;J1344&amp;" "&amp;K1344&amp;" "&amp;L1344))),OR($C$5="Semua",$C$5="",G1344=$C$5),OR($C$6="Semua",$C$6="",H1344=$C$6,H1344="Pengeluaran "&amp;$C$6,AND($C$6="Uang Kos Mama",H1344="Pengeluaran Uang Kos")),OR($C$7="Semua",$C$7="",I1344=$C$7),OR($C$8="Semua",$C$8="",C1344=$C$8,E1344=$C$8),OR($C$9="Semua",$C$9="",D1344=$C$9),OR($C$10="",B1344&gt;=$C$10),OR($C$11="",B1344&lt;=$C$11),OR($C$12&lt;&gt;"Ya",K1344&lt;&gt;""),OR($C$13="Semua",$C$13="",L1344=$C$13)),"✓","")</f>
        <v/>
      </c>
      <c r="N1344" s="93">
        <f>N(N1343)+IF(M1344="✓",1,0)</f>
        <v/>
      </c>
      <c r="O1344" s="93">
        <f>N(O1343)+IF(AND(B1344&lt;&gt;"",B1344&gt;='Uang Riba'!$H$30,B1344&lt;='Uang Riba'!$I$30,OR(H1344="Dana riba",H1344="Pinjam uang riba",I1344="Pinjam dari uang riba",I1344="Ganti uang riba",I1344="Kelebihan ganti dikembalikan",AND(C1344="Kantong Uang Riba",G1344="Pengeluaran"))),1,0)</f>
        <v/>
      </c>
      <c r="X1344" s="93">
        <f>IF(AND(B1344&lt;&gt;"",B1344&gt;='Buku Akun'!$H$4,B1344&lt;='Buku Akun'!$H$5,OR(C1344='Buku Akun'!$C$4,AND(D1344="Pindah",E1344='Buku Akun'!$C$4))),B1344+IF(AND(I1344="Selisih bunga",DAY(B1344)=1),0,0.01)+ROW()/10000000,"")</f>
        <v/>
      </c>
    </row>
    <row r="1345" outlineLevel="1" ht="15" customHeight="1" s="94">
      <c r="A1345" s="123">
        <f>IF(B1345="","",ROW()-15)</f>
        <v/>
      </c>
      <c r="B1345" s="124" t="n"/>
      <c r="C1345" s="123" t="n"/>
      <c r="D1345" s="123" t="n"/>
      <c r="E1345" s="123" t="n"/>
      <c r="F1345" s="125" t="n"/>
      <c r="G1345" s="123" t="n"/>
      <c r="H1345" s="123" t="n"/>
      <c r="I1345" s="123" t="n"/>
      <c r="J1345" s="123" t="n"/>
      <c r="K1345" s="123" t="n"/>
      <c r="L1345" s="123" t="n"/>
      <c r="M1345" s="123">
        <f>IF(AND(B1345&lt;&gt;"",OR($C$4="",ISNUMBER(SEARCH($C$4,C1345&amp;" "&amp;E1345&amp;" "&amp;G1345&amp;" "&amp;H1345&amp;" "&amp;I1345&amp;" "&amp;J1345&amp;" "&amp;K1345&amp;" "&amp;L1345))),OR($C$5="Semua",$C$5="",G1345=$C$5),OR($C$6="Semua",$C$6="",H1345=$C$6,H1345="Pengeluaran "&amp;$C$6,AND($C$6="Uang Kos Mama",H1345="Pengeluaran Uang Kos")),OR($C$7="Semua",$C$7="",I1345=$C$7),OR($C$8="Semua",$C$8="",C1345=$C$8,E1345=$C$8),OR($C$9="Semua",$C$9="",D1345=$C$9),OR($C$10="",B1345&gt;=$C$10),OR($C$11="",B1345&lt;=$C$11),OR($C$12&lt;&gt;"Ya",K1345&lt;&gt;""),OR($C$13="Semua",$C$13="",L1345=$C$13)),"✓","")</f>
        <v/>
      </c>
      <c r="N1345" s="93">
        <f>N(N1344)+IF(M1345="✓",1,0)</f>
        <v/>
      </c>
      <c r="O1345" s="93">
        <f>N(O1344)+IF(AND(B1345&lt;&gt;"",B1345&gt;='Uang Riba'!$H$30,B1345&lt;='Uang Riba'!$I$30,OR(H1345="Dana riba",H1345="Pinjam uang riba",I1345="Pinjam dari uang riba",I1345="Ganti uang riba",I1345="Kelebihan ganti dikembalikan",AND(C1345="Kantong Uang Riba",G1345="Pengeluaran"))),1,0)</f>
        <v/>
      </c>
      <c r="X1345" s="93">
        <f>IF(AND(B1345&lt;&gt;"",B1345&gt;='Buku Akun'!$H$4,B1345&lt;='Buku Akun'!$H$5,OR(C1345='Buku Akun'!$C$4,AND(D1345="Pindah",E1345='Buku Akun'!$C$4))),B1345+IF(AND(I1345="Selisih bunga",DAY(B1345)=1),0,0.01)+ROW()/10000000,"")</f>
        <v/>
      </c>
    </row>
    <row r="1346" outlineLevel="1" ht="15" customHeight="1" s="94">
      <c r="A1346" s="123">
        <f>IF(B1346="","",ROW()-15)</f>
        <v/>
      </c>
      <c r="B1346" s="124" t="n"/>
      <c r="C1346" s="123" t="n"/>
      <c r="D1346" s="123" t="n"/>
      <c r="E1346" s="123" t="n"/>
      <c r="F1346" s="125" t="n"/>
      <c r="G1346" s="123" t="n"/>
      <c r="H1346" s="123" t="n"/>
      <c r="I1346" s="123" t="n"/>
      <c r="J1346" s="123" t="n"/>
      <c r="K1346" s="123" t="n"/>
      <c r="L1346" s="123" t="n"/>
      <c r="M1346" s="123">
        <f>IF(AND(B1346&lt;&gt;"",OR($C$4="",ISNUMBER(SEARCH($C$4,C1346&amp;" "&amp;E1346&amp;" "&amp;G1346&amp;" "&amp;H1346&amp;" "&amp;I1346&amp;" "&amp;J1346&amp;" "&amp;K1346&amp;" "&amp;L1346))),OR($C$5="Semua",$C$5="",G1346=$C$5),OR($C$6="Semua",$C$6="",H1346=$C$6,H1346="Pengeluaran "&amp;$C$6,AND($C$6="Uang Kos Mama",H1346="Pengeluaran Uang Kos")),OR($C$7="Semua",$C$7="",I1346=$C$7),OR($C$8="Semua",$C$8="",C1346=$C$8,E1346=$C$8),OR($C$9="Semua",$C$9="",D1346=$C$9),OR($C$10="",B1346&gt;=$C$10),OR($C$11="",B1346&lt;=$C$11),OR($C$12&lt;&gt;"Ya",K1346&lt;&gt;""),OR($C$13="Semua",$C$13="",L1346=$C$13)),"✓","")</f>
        <v/>
      </c>
      <c r="N1346" s="93">
        <f>N(N1345)+IF(M1346="✓",1,0)</f>
        <v/>
      </c>
      <c r="O1346" s="93">
        <f>N(O1345)+IF(AND(B1346&lt;&gt;"",B1346&gt;='Uang Riba'!$H$30,B1346&lt;='Uang Riba'!$I$30,OR(H1346="Dana riba",H1346="Pinjam uang riba",I1346="Pinjam dari uang riba",I1346="Ganti uang riba",I1346="Kelebihan ganti dikembalikan",AND(C1346="Kantong Uang Riba",G1346="Pengeluaran"))),1,0)</f>
        <v/>
      </c>
      <c r="X1346" s="93">
        <f>IF(AND(B1346&lt;&gt;"",B1346&gt;='Buku Akun'!$H$4,B1346&lt;='Buku Akun'!$H$5,OR(C1346='Buku Akun'!$C$4,AND(D1346="Pindah",E1346='Buku Akun'!$C$4))),B1346+IF(AND(I1346="Selisih bunga",DAY(B1346)=1),0,0.01)+ROW()/10000000,"")</f>
        <v/>
      </c>
    </row>
    <row r="1347" outlineLevel="1" ht="15" customHeight="1" s="94">
      <c r="A1347" s="123">
        <f>IF(B1347="","",ROW()-15)</f>
        <v/>
      </c>
      <c r="B1347" s="124" t="n"/>
      <c r="C1347" s="123" t="n"/>
      <c r="D1347" s="123" t="n"/>
      <c r="E1347" s="123" t="n"/>
      <c r="F1347" s="125" t="n"/>
      <c r="G1347" s="123" t="n"/>
      <c r="H1347" s="123" t="n"/>
      <c r="I1347" s="123" t="n"/>
      <c r="J1347" s="123" t="n"/>
      <c r="K1347" s="123" t="n"/>
      <c r="L1347" s="123" t="n"/>
      <c r="M1347" s="123">
        <f>IF(AND(B1347&lt;&gt;"",OR($C$4="",ISNUMBER(SEARCH($C$4,C1347&amp;" "&amp;E1347&amp;" "&amp;G1347&amp;" "&amp;H1347&amp;" "&amp;I1347&amp;" "&amp;J1347&amp;" "&amp;K1347&amp;" "&amp;L1347))),OR($C$5="Semua",$C$5="",G1347=$C$5),OR($C$6="Semua",$C$6="",H1347=$C$6,H1347="Pengeluaran "&amp;$C$6,AND($C$6="Uang Kos Mama",H1347="Pengeluaran Uang Kos")),OR($C$7="Semua",$C$7="",I1347=$C$7),OR($C$8="Semua",$C$8="",C1347=$C$8,E1347=$C$8),OR($C$9="Semua",$C$9="",D1347=$C$9),OR($C$10="",B1347&gt;=$C$10),OR($C$11="",B1347&lt;=$C$11),OR($C$12&lt;&gt;"Ya",K1347&lt;&gt;""),OR($C$13="Semua",$C$13="",L1347=$C$13)),"✓","")</f>
        <v/>
      </c>
      <c r="N1347" s="93">
        <f>N(N1346)+IF(M1347="✓",1,0)</f>
        <v/>
      </c>
      <c r="O1347" s="93">
        <f>N(O1346)+IF(AND(B1347&lt;&gt;"",B1347&gt;='Uang Riba'!$H$30,B1347&lt;='Uang Riba'!$I$30,OR(H1347="Dana riba",H1347="Pinjam uang riba",I1347="Pinjam dari uang riba",I1347="Ganti uang riba",I1347="Kelebihan ganti dikembalikan",AND(C1347="Kantong Uang Riba",G1347="Pengeluaran"))),1,0)</f>
        <v/>
      </c>
      <c r="X1347" s="93">
        <f>IF(AND(B1347&lt;&gt;"",B1347&gt;='Buku Akun'!$H$4,B1347&lt;='Buku Akun'!$H$5,OR(C1347='Buku Akun'!$C$4,AND(D1347="Pindah",E1347='Buku Akun'!$C$4))),B1347+IF(AND(I1347="Selisih bunga",DAY(B1347)=1),0,0.01)+ROW()/10000000,"")</f>
        <v/>
      </c>
    </row>
    <row r="1348" outlineLevel="1" ht="15" customHeight="1" s="94">
      <c r="A1348" s="123">
        <f>IF(B1348="","",ROW()-15)</f>
        <v/>
      </c>
      <c r="B1348" s="124" t="n"/>
      <c r="C1348" s="123" t="n"/>
      <c r="D1348" s="123" t="n"/>
      <c r="E1348" s="123" t="n"/>
      <c r="F1348" s="125" t="n"/>
      <c r="G1348" s="123" t="n"/>
      <c r="H1348" s="123" t="n"/>
      <c r="I1348" s="123" t="n"/>
      <c r="J1348" s="123" t="n"/>
      <c r="K1348" s="123" t="n"/>
      <c r="L1348" s="123" t="n"/>
      <c r="M1348" s="123">
        <f>IF(AND(B1348&lt;&gt;"",OR($C$4="",ISNUMBER(SEARCH($C$4,C1348&amp;" "&amp;E1348&amp;" "&amp;G1348&amp;" "&amp;H1348&amp;" "&amp;I1348&amp;" "&amp;J1348&amp;" "&amp;K1348&amp;" "&amp;L1348))),OR($C$5="Semua",$C$5="",G1348=$C$5),OR($C$6="Semua",$C$6="",H1348=$C$6,H1348="Pengeluaran "&amp;$C$6,AND($C$6="Uang Kos Mama",H1348="Pengeluaran Uang Kos")),OR($C$7="Semua",$C$7="",I1348=$C$7),OR($C$8="Semua",$C$8="",C1348=$C$8,E1348=$C$8),OR($C$9="Semua",$C$9="",D1348=$C$9),OR($C$10="",B1348&gt;=$C$10),OR($C$11="",B1348&lt;=$C$11),OR($C$12&lt;&gt;"Ya",K1348&lt;&gt;""),OR($C$13="Semua",$C$13="",L1348=$C$13)),"✓","")</f>
        <v/>
      </c>
      <c r="N1348" s="93">
        <f>N(N1347)+IF(M1348="✓",1,0)</f>
        <v/>
      </c>
      <c r="O1348" s="93">
        <f>N(O1347)+IF(AND(B1348&lt;&gt;"",B1348&gt;='Uang Riba'!$H$30,B1348&lt;='Uang Riba'!$I$30,OR(H1348="Dana riba",H1348="Pinjam uang riba",I1348="Pinjam dari uang riba",I1348="Ganti uang riba",I1348="Kelebihan ganti dikembalikan",AND(C1348="Kantong Uang Riba",G1348="Pengeluaran"))),1,0)</f>
        <v/>
      </c>
      <c r="X1348" s="93">
        <f>IF(AND(B1348&lt;&gt;"",B1348&gt;='Buku Akun'!$H$4,B1348&lt;='Buku Akun'!$H$5,OR(C1348='Buku Akun'!$C$4,AND(D1348="Pindah",E1348='Buku Akun'!$C$4))),B1348+IF(AND(I1348="Selisih bunga",DAY(B1348)=1),0,0.01)+ROW()/10000000,"")</f>
        <v/>
      </c>
    </row>
    <row r="1349" outlineLevel="1" ht="15" customHeight="1" s="94">
      <c r="A1349" s="123">
        <f>IF(B1349="","",ROW()-15)</f>
        <v/>
      </c>
      <c r="B1349" s="124" t="n"/>
      <c r="C1349" s="123" t="n"/>
      <c r="D1349" s="123" t="n"/>
      <c r="E1349" s="123" t="n"/>
      <c r="F1349" s="125" t="n"/>
      <c r="G1349" s="123" t="n"/>
      <c r="H1349" s="123" t="n"/>
      <c r="I1349" s="123" t="n"/>
      <c r="J1349" s="123" t="n"/>
      <c r="K1349" s="123" t="n"/>
      <c r="L1349" s="123" t="n"/>
      <c r="M1349" s="123">
        <f>IF(AND(B1349&lt;&gt;"",OR($C$4="",ISNUMBER(SEARCH($C$4,C1349&amp;" "&amp;E1349&amp;" "&amp;G1349&amp;" "&amp;H1349&amp;" "&amp;I1349&amp;" "&amp;J1349&amp;" "&amp;K1349&amp;" "&amp;L1349))),OR($C$5="Semua",$C$5="",G1349=$C$5),OR($C$6="Semua",$C$6="",H1349=$C$6,H1349="Pengeluaran "&amp;$C$6,AND($C$6="Uang Kos Mama",H1349="Pengeluaran Uang Kos")),OR($C$7="Semua",$C$7="",I1349=$C$7),OR($C$8="Semua",$C$8="",C1349=$C$8,E1349=$C$8),OR($C$9="Semua",$C$9="",D1349=$C$9),OR($C$10="",B1349&gt;=$C$10),OR($C$11="",B1349&lt;=$C$11),OR($C$12&lt;&gt;"Ya",K1349&lt;&gt;""),OR($C$13="Semua",$C$13="",L1349=$C$13)),"✓","")</f>
        <v/>
      </c>
      <c r="N1349" s="93">
        <f>N(N1348)+IF(M1349="✓",1,0)</f>
        <v/>
      </c>
      <c r="O1349" s="93">
        <f>N(O1348)+IF(AND(B1349&lt;&gt;"",B1349&gt;='Uang Riba'!$H$30,B1349&lt;='Uang Riba'!$I$30,OR(H1349="Dana riba",H1349="Pinjam uang riba",I1349="Pinjam dari uang riba",I1349="Ganti uang riba",I1349="Kelebihan ganti dikembalikan",AND(C1349="Kantong Uang Riba",G1349="Pengeluaran"))),1,0)</f>
        <v/>
      </c>
      <c r="X1349" s="93">
        <f>IF(AND(B1349&lt;&gt;"",B1349&gt;='Buku Akun'!$H$4,B1349&lt;='Buku Akun'!$H$5,OR(C1349='Buku Akun'!$C$4,AND(D1349="Pindah",E1349='Buku Akun'!$C$4))),B1349+IF(AND(I1349="Selisih bunga",DAY(B1349)=1),0,0.01)+ROW()/10000000,"")</f>
        <v/>
      </c>
    </row>
    <row r="1350" outlineLevel="1" ht="15" customHeight="1" s="94">
      <c r="A1350" s="123">
        <f>IF(B1350="","",ROW()-15)</f>
        <v/>
      </c>
      <c r="B1350" s="124" t="n"/>
      <c r="C1350" s="123" t="n"/>
      <c r="D1350" s="123" t="n"/>
      <c r="E1350" s="123" t="n"/>
      <c r="F1350" s="125" t="n"/>
      <c r="G1350" s="123" t="n"/>
      <c r="H1350" s="123" t="n"/>
      <c r="I1350" s="123" t="n"/>
      <c r="J1350" s="123" t="n"/>
      <c r="K1350" s="123" t="n"/>
      <c r="L1350" s="123" t="n"/>
      <c r="M1350" s="123">
        <f>IF(AND(B1350&lt;&gt;"",OR($C$4="",ISNUMBER(SEARCH($C$4,C1350&amp;" "&amp;E1350&amp;" "&amp;G1350&amp;" "&amp;H1350&amp;" "&amp;I1350&amp;" "&amp;J1350&amp;" "&amp;K1350&amp;" "&amp;L1350))),OR($C$5="Semua",$C$5="",G1350=$C$5),OR($C$6="Semua",$C$6="",H1350=$C$6,H1350="Pengeluaran "&amp;$C$6,AND($C$6="Uang Kos Mama",H1350="Pengeluaran Uang Kos")),OR($C$7="Semua",$C$7="",I1350=$C$7),OR($C$8="Semua",$C$8="",C1350=$C$8,E1350=$C$8),OR($C$9="Semua",$C$9="",D1350=$C$9),OR($C$10="",B1350&gt;=$C$10),OR($C$11="",B1350&lt;=$C$11),OR($C$12&lt;&gt;"Ya",K1350&lt;&gt;""),OR($C$13="Semua",$C$13="",L1350=$C$13)),"✓","")</f>
        <v/>
      </c>
      <c r="N1350" s="93">
        <f>N(N1349)+IF(M1350="✓",1,0)</f>
        <v/>
      </c>
      <c r="O1350" s="93">
        <f>N(O1349)+IF(AND(B1350&lt;&gt;"",B1350&gt;='Uang Riba'!$H$30,B1350&lt;='Uang Riba'!$I$30,OR(H1350="Dana riba",H1350="Pinjam uang riba",I1350="Pinjam dari uang riba",I1350="Ganti uang riba",I1350="Kelebihan ganti dikembalikan",AND(C1350="Kantong Uang Riba",G1350="Pengeluaran"))),1,0)</f>
        <v/>
      </c>
      <c r="X1350" s="93">
        <f>IF(AND(B1350&lt;&gt;"",B1350&gt;='Buku Akun'!$H$4,B1350&lt;='Buku Akun'!$H$5,OR(C1350='Buku Akun'!$C$4,AND(D1350="Pindah",E1350='Buku Akun'!$C$4))),B1350+IF(AND(I1350="Selisih bunga",DAY(B1350)=1),0,0.01)+ROW()/10000000,"")</f>
        <v/>
      </c>
    </row>
    <row r="1351" outlineLevel="1" ht="15" customHeight="1" s="94">
      <c r="A1351" s="123">
        <f>IF(B1351="","",ROW()-15)</f>
        <v/>
      </c>
      <c r="B1351" s="124" t="n"/>
      <c r="C1351" s="123" t="n"/>
      <c r="D1351" s="123" t="n"/>
      <c r="E1351" s="123" t="n"/>
      <c r="F1351" s="125" t="n"/>
      <c r="G1351" s="123" t="n"/>
      <c r="H1351" s="123" t="n"/>
      <c r="I1351" s="123" t="n"/>
      <c r="J1351" s="123" t="n"/>
      <c r="K1351" s="123" t="n"/>
      <c r="L1351" s="123" t="n"/>
      <c r="M1351" s="123">
        <f>IF(AND(B1351&lt;&gt;"",OR($C$4="",ISNUMBER(SEARCH($C$4,C1351&amp;" "&amp;E1351&amp;" "&amp;G1351&amp;" "&amp;H1351&amp;" "&amp;I1351&amp;" "&amp;J1351&amp;" "&amp;K1351&amp;" "&amp;L1351))),OR($C$5="Semua",$C$5="",G1351=$C$5),OR($C$6="Semua",$C$6="",H1351=$C$6,H1351="Pengeluaran "&amp;$C$6,AND($C$6="Uang Kos Mama",H1351="Pengeluaran Uang Kos")),OR($C$7="Semua",$C$7="",I1351=$C$7),OR($C$8="Semua",$C$8="",C1351=$C$8,E1351=$C$8),OR($C$9="Semua",$C$9="",D1351=$C$9),OR($C$10="",B1351&gt;=$C$10),OR($C$11="",B1351&lt;=$C$11),OR($C$12&lt;&gt;"Ya",K1351&lt;&gt;""),OR($C$13="Semua",$C$13="",L1351=$C$13)),"✓","")</f>
        <v/>
      </c>
      <c r="N1351" s="93">
        <f>N(N1350)+IF(M1351="✓",1,0)</f>
        <v/>
      </c>
      <c r="O1351" s="93">
        <f>N(O1350)+IF(AND(B1351&lt;&gt;"",B1351&gt;='Uang Riba'!$H$30,B1351&lt;='Uang Riba'!$I$30,OR(H1351="Dana riba",H1351="Pinjam uang riba",I1351="Pinjam dari uang riba",I1351="Ganti uang riba",I1351="Kelebihan ganti dikembalikan",AND(C1351="Kantong Uang Riba",G1351="Pengeluaran"))),1,0)</f>
        <v/>
      </c>
      <c r="X1351" s="93">
        <f>IF(AND(B1351&lt;&gt;"",B1351&gt;='Buku Akun'!$H$4,B1351&lt;='Buku Akun'!$H$5,OR(C1351='Buku Akun'!$C$4,AND(D1351="Pindah",E1351='Buku Akun'!$C$4))),B1351+IF(AND(I1351="Selisih bunga",DAY(B1351)=1),0,0.01)+ROW()/10000000,"")</f>
        <v/>
      </c>
    </row>
    <row r="1352" outlineLevel="1" ht="15" customHeight="1" s="94">
      <c r="A1352" s="123">
        <f>IF(B1352="","",ROW()-15)</f>
        <v/>
      </c>
      <c r="B1352" s="124" t="n"/>
      <c r="C1352" s="123" t="n"/>
      <c r="D1352" s="123" t="n"/>
      <c r="E1352" s="123" t="n"/>
      <c r="F1352" s="125" t="n"/>
      <c r="G1352" s="123" t="n"/>
      <c r="H1352" s="123" t="n"/>
      <c r="I1352" s="123" t="n"/>
      <c r="J1352" s="123" t="n"/>
      <c r="K1352" s="123" t="n"/>
      <c r="L1352" s="123" t="n"/>
      <c r="M1352" s="123">
        <f>IF(AND(B1352&lt;&gt;"",OR($C$4="",ISNUMBER(SEARCH($C$4,C1352&amp;" "&amp;E1352&amp;" "&amp;G1352&amp;" "&amp;H1352&amp;" "&amp;I1352&amp;" "&amp;J1352&amp;" "&amp;K1352&amp;" "&amp;L1352))),OR($C$5="Semua",$C$5="",G1352=$C$5),OR($C$6="Semua",$C$6="",H1352=$C$6,H1352="Pengeluaran "&amp;$C$6,AND($C$6="Uang Kos Mama",H1352="Pengeluaran Uang Kos")),OR($C$7="Semua",$C$7="",I1352=$C$7),OR($C$8="Semua",$C$8="",C1352=$C$8,E1352=$C$8),OR($C$9="Semua",$C$9="",D1352=$C$9),OR($C$10="",B1352&gt;=$C$10),OR($C$11="",B1352&lt;=$C$11),OR($C$12&lt;&gt;"Ya",K1352&lt;&gt;""),OR($C$13="Semua",$C$13="",L1352=$C$13)),"✓","")</f>
        <v/>
      </c>
      <c r="N1352" s="93">
        <f>N(N1351)+IF(M1352="✓",1,0)</f>
        <v/>
      </c>
      <c r="O1352" s="93">
        <f>N(O1351)+IF(AND(B1352&lt;&gt;"",B1352&gt;='Uang Riba'!$H$30,B1352&lt;='Uang Riba'!$I$30,OR(H1352="Dana riba",H1352="Pinjam uang riba",I1352="Pinjam dari uang riba",I1352="Ganti uang riba",I1352="Kelebihan ganti dikembalikan",AND(C1352="Kantong Uang Riba",G1352="Pengeluaran"))),1,0)</f>
        <v/>
      </c>
      <c r="X1352" s="93">
        <f>IF(AND(B1352&lt;&gt;"",B1352&gt;='Buku Akun'!$H$4,B1352&lt;='Buku Akun'!$H$5,OR(C1352='Buku Akun'!$C$4,AND(D1352="Pindah",E1352='Buku Akun'!$C$4))),B1352+IF(AND(I1352="Selisih bunga",DAY(B1352)=1),0,0.01)+ROW()/10000000,"")</f>
        <v/>
      </c>
    </row>
    <row r="1353" outlineLevel="1" ht="15" customHeight="1" s="94">
      <c r="A1353" s="123">
        <f>IF(B1353="","",ROW()-15)</f>
        <v/>
      </c>
      <c r="B1353" s="124" t="n"/>
      <c r="C1353" s="123" t="n"/>
      <c r="D1353" s="123" t="n"/>
      <c r="E1353" s="123" t="n"/>
      <c r="F1353" s="125" t="n"/>
      <c r="G1353" s="123" t="n"/>
      <c r="H1353" s="123" t="n"/>
      <c r="I1353" s="123" t="n"/>
      <c r="J1353" s="123" t="n"/>
      <c r="K1353" s="123" t="n"/>
      <c r="L1353" s="123" t="n"/>
      <c r="M1353" s="123">
        <f>IF(AND(B1353&lt;&gt;"",OR($C$4="",ISNUMBER(SEARCH($C$4,C1353&amp;" "&amp;E1353&amp;" "&amp;G1353&amp;" "&amp;H1353&amp;" "&amp;I1353&amp;" "&amp;J1353&amp;" "&amp;K1353&amp;" "&amp;L1353))),OR($C$5="Semua",$C$5="",G1353=$C$5),OR($C$6="Semua",$C$6="",H1353=$C$6,H1353="Pengeluaran "&amp;$C$6,AND($C$6="Uang Kos Mama",H1353="Pengeluaran Uang Kos")),OR($C$7="Semua",$C$7="",I1353=$C$7),OR($C$8="Semua",$C$8="",C1353=$C$8,E1353=$C$8),OR($C$9="Semua",$C$9="",D1353=$C$9),OR($C$10="",B1353&gt;=$C$10),OR($C$11="",B1353&lt;=$C$11),OR($C$12&lt;&gt;"Ya",K1353&lt;&gt;""),OR($C$13="Semua",$C$13="",L1353=$C$13)),"✓","")</f>
        <v/>
      </c>
      <c r="N1353" s="93">
        <f>N(N1352)+IF(M1353="✓",1,0)</f>
        <v/>
      </c>
      <c r="O1353" s="93">
        <f>N(O1352)+IF(AND(B1353&lt;&gt;"",B1353&gt;='Uang Riba'!$H$30,B1353&lt;='Uang Riba'!$I$30,OR(H1353="Dana riba",H1353="Pinjam uang riba",I1353="Pinjam dari uang riba",I1353="Ganti uang riba",I1353="Kelebihan ganti dikembalikan",AND(C1353="Kantong Uang Riba",G1353="Pengeluaran"))),1,0)</f>
        <v/>
      </c>
      <c r="X1353" s="93">
        <f>IF(AND(B1353&lt;&gt;"",B1353&gt;='Buku Akun'!$H$4,B1353&lt;='Buku Akun'!$H$5,OR(C1353='Buku Akun'!$C$4,AND(D1353="Pindah",E1353='Buku Akun'!$C$4))),B1353+IF(AND(I1353="Selisih bunga",DAY(B1353)=1),0,0.01)+ROW()/10000000,"")</f>
        <v/>
      </c>
    </row>
    <row r="1354" outlineLevel="1" ht="15" customHeight="1" s="94">
      <c r="A1354" s="123">
        <f>IF(B1354="","",ROW()-15)</f>
        <v/>
      </c>
      <c r="B1354" s="124" t="n"/>
      <c r="C1354" s="123" t="n"/>
      <c r="D1354" s="123" t="n"/>
      <c r="E1354" s="123" t="n"/>
      <c r="F1354" s="125" t="n"/>
      <c r="G1354" s="123" t="n"/>
      <c r="H1354" s="123" t="n"/>
      <c r="I1354" s="123" t="n"/>
      <c r="J1354" s="123" t="n"/>
      <c r="K1354" s="123" t="n"/>
      <c r="L1354" s="123" t="n"/>
      <c r="M1354" s="123">
        <f>IF(AND(B1354&lt;&gt;"",OR($C$4="",ISNUMBER(SEARCH($C$4,C1354&amp;" "&amp;E1354&amp;" "&amp;G1354&amp;" "&amp;H1354&amp;" "&amp;I1354&amp;" "&amp;J1354&amp;" "&amp;K1354&amp;" "&amp;L1354))),OR($C$5="Semua",$C$5="",G1354=$C$5),OR($C$6="Semua",$C$6="",H1354=$C$6,H1354="Pengeluaran "&amp;$C$6,AND($C$6="Uang Kos Mama",H1354="Pengeluaran Uang Kos")),OR($C$7="Semua",$C$7="",I1354=$C$7),OR($C$8="Semua",$C$8="",C1354=$C$8,E1354=$C$8),OR($C$9="Semua",$C$9="",D1354=$C$9),OR($C$10="",B1354&gt;=$C$10),OR($C$11="",B1354&lt;=$C$11),OR($C$12&lt;&gt;"Ya",K1354&lt;&gt;""),OR($C$13="Semua",$C$13="",L1354=$C$13)),"✓","")</f>
        <v/>
      </c>
      <c r="N1354" s="93">
        <f>N(N1353)+IF(M1354="✓",1,0)</f>
        <v/>
      </c>
      <c r="O1354" s="93">
        <f>N(O1353)+IF(AND(B1354&lt;&gt;"",B1354&gt;='Uang Riba'!$H$30,B1354&lt;='Uang Riba'!$I$30,OR(H1354="Dana riba",H1354="Pinjam uang riba",I1354="Pinjam dari uang riba",I1354="Ganti uang riba",I1354="Kelebihan ganti dikembalikan",AND(C1354="Kantong Uang Riba",G1354="Pengeluaran"))),1,0)</f>
        <v/>
      </c>
      <c r="X1354" s="93">
        <f>IF(AND(B1354&lt;&gt;"",B1354&gt;='Buku Akun'!$H$4,B1354&lt;='Buku Akun'!$H$5,OR(C1354='Buku Akun'!$C$4,AND(D1354="Pindah",E1354='Buku Akun'!$C$4))),B1354+IF(AND(I1354="Selisih bunga",DAY(B1354)=1),0,0.01)+ROW()/10000000,"")</f>
        <v/>
      </c>
    </row>
    <row r="1355" outlineLevel="1" ht="15" customHeight="1" s="94">
      <c r="A1355" s="123">
        <f>IF(B1355="","",ROW()-15)</f>
        <v/>
      </c>
      <c r="B1355" s="124" t="n"/>
      <c r="C1355" s="123" t="n"/>
      <c r="D1355" s="123" t="n"/>
      <c r="E1355" s="123" t="n"/>
      <c r="F1355" s="125" t="n"/>
      <c r="G1355" s="123" t="n"/>
      <c r="H1355" s="123" t="n"/>
      <c r="I1355" s="123" t="n"/>
      <c r="J1355" s="123" t="n"/>
      <c r="K1355" s="123" t="n"/>
      <c r="L1355" s="123" t="n"/>
      <c r="M1355" s="123">
        <f>IF(AND(B1355&lt;&gt;"",OR($C$4="",ISNUMBER(SEARCH($C$4,C1355&amp;" "&amp;E1355&amp;" "&amp;G1355&amp;" "&amp;H1355&amp;" "&amp;I1355&amp;" "&amp;J1355&amp;" "&amp;K1355&amp;" "&amp;L1355))),OR($C$5="Semua",$C$5="",G1355=$C$5),OR($C$6="Semua",$C$6="",H1355=$C$6,H1355="Pengeluaran "&amp;$C$6,AND($C$6="Uang Kos Mama",H1355="Pengeluaran Uang Kos")),OR($C$7="Semua",$C$7="",I1355=$C$7),OR($C$8="Semua",$C$8="",C1355=$C$8,E1355=$C$8),OR($C$9="Semua",$C$9="",D1355=$C$9),OR($C$10="",B1355&gt;=$C$10),OR($C$11="",B1355&lt;=$C$11),OR($C$12&lt;&gt;"Ya",K1355&lt;&gt;""),OR($C$13="Semua",$C$13="",L1355=$C$13)),"✓","")</f>
        <v/>
      </c>
      <c r="N1355" s="93">
        <f>N(N1354)+IF(M1355="✓",1,0)</f>
        <v/>
      </c>
      <c r="O1355" s="93">
        <f>N(O1354)+IF(AND(B1355&lt;&gt;"",B1355&gt;='Uang Riba'!$H$30,B1355&lt;='Uang Riba'!$I$30,OR(H1355="Dana riba",H1355="Pinjam uang riba",I1355="Pinjam dari uang riba",I1355="Ganti uang riba",I1355="Kelebihan ganti dikembalikan",AND(C1355="Kantong Uang Riba",G1355="Pengeluaran"))),1,0)</f>
        <v/>
      </c>
      <c r="X1355" s="93">
        <f>IF(AND(B1355&lt;&gt;"",B1355&gt;='Buku Akun'!$H$4,B1355&lt;='Buku Akun'!$H$5,OR(C1355='Buku Akun'!$C$4,AND(D1355="Pindah",E1355='Buku Akun'!$C$4))),B1355+IF(AND(I1355="Selisih bunga",DAY(B1355)=1),0,0.01)+ROW()/10000000,"")</f>
        <v/>
      </c>
    </row>
    <row r="1356" outlineLevel="1" ht="15" customHeight="1" s="94">
      <c r="A1356" s="123">
        <f>IF(B1356="","",ROW()-15)</f>
        <v/>
      </c>
      <c r="B1356" s="124" t="n"/>
      <c r="C1356" s="123" t="n"/>
      <c r="D1356" s="123" t="n"/>
      <c r="E1356" s="123" t="n"/>
      <c r="F1356" s="125" t="n"/>
      <c r="G1356" s="123" t="n"/>
      <c r="H1356" s="123" t="n"/>
      <c r="I1356" s="123" t="n"/>
      <c r="J1356" s="123" t="n"/>
      <c r="K1356" s="123" t="n"/>
      <c r="L1356" s="123" t="n"/>
      <c r="M1356" s="123">
        <f>IF(AND(B1356&lt;&gt;"",OR($C$4="",ISNUMBER(SEARCH($C$4,C1356&amp;" "&amp;E1356&amp;" "&amp;G1356&amp;" "&amp;H1356&amp;" "&amp;I1356&amp;" "&amp;J1356&amp;" "&amp;K1356&amp;" "&amp;L1356))),OR($C$5="Semua",$C$5="",G1356=$C$5),OR($C$6="Semua",$C$6="",H1356=$C$6,H1356="Pengeluaran "&amp;$C$6,AND($C$6="Uang Kos Mama",H1356="Pengeluaran Uang Kos")),OR($C$7="Semua",$C$7="",I1356=$C$7),OR($C$8="Semua",$C$8="",C1356=$C$8,E1356=$C$8),OR($C$9="Semua",$C$9="",D1356=$C$9),OR($C$10="",B1356&gt;=$C$10),OR($C$11="",B1356&lt;=$C$11),OR($C$12&lt;&gt;"Ya",K1356&lt;&gt;""),OR($C$13="Semua",$C$13="",L1356=$C$13)),"✓","")</f>
        <v/>
      </c>
      <c r="N1356" s="93">
        <f>N(N1355)+IF(M1356="✓",1,0)</f>
        <v/>
      </c>
      <c r="O1356" s="93">
        <f>N(O1355)+IF(AND(B1356&lt;&gt;"",B1356&gt;='Uang Riba'!$H$30,B1356&lt;='Uang Riba'!$I$30,OR(H1356="Dana riba",H1356="Pinjam uang riba",I1356="Pinjam dari uang riba",I1356="Ganti uang riba",I1356="Kelebihan ganti dikembalikan",AND(C1356="Kantong Uang Riba",G1356="Pengeluaran"))),1,0)</f>
        <v/>
      </c>
      <c r="X1356" s="93">
        <f>IF(AND(B1356&lt;&gt;"",B1356&gt;='Buku Akun'!$H$4,B1356&lt;='Buku Akun'!$H$5,OR(C1356='Buku Akun'!$C$4,AND(D1356="Pindah",E1356='Buku Akun'!$C$4))),B1356+IF(AND(I1356="Selisih bunga",DAY(B1356)=1),0,0.01)+ROW()/10000000,"")</f>
        <v/>
      </c>
    </row>
    <row r="1357" outlineLevel="1" ht="15" customHeight="1" s="94">
      <c r="A1357" s="123">
        <f>IF(B1357="","",ROW()-15)</f>
        <v/>
      </c>
      <c r="B1357" s="124" t="n"/>
      <c r="C1357" s="123" t="n"/>
      <c r="D1357" s="123" t="n"/>
      <c r="E1357" s="123" t="n"/>
      <c r="F1357" s="125" t="n"/>
      <c r="G1357" s="123" t="n"/>
      <c r="H1357" s="123" t="n"/>
      <c r="I1357" s="123" t="n"/>
      <c r="J1357" s="123" t="n"/>
      <c r="K1357" s="123" t="n"/>
      <c r="L1357" s="123" t="n"/>
      <c r="M1357" s="123">
        <f>IF(AND(B1357&lt;&gt;"",OR($C$4="",ISNUMBER(SEARCH($C$4,C1357&amp;" "&amp;E1357&amp;" "&amp;G1357&amp;" "&amp;H1357&amp;" "&amp;I1357&amp;" "&amp;J1357&amp;" "&amp;K1357&amp;" "&amp;L1357))),OR($C$5="Semua",$C$5="",G1357=$C$5),OR($C$6="Semua",$C$6="",H1357=$C$6,H1357="Pengeluaran "&amp;$C$6,AND($C$6="Uang Kos Mama",H1357="Pengeluaran Uang Kos")),OR($C$7="Semua",$C$7="",I1357=$C$7),OR($C$8="Semua",$C$8="",C1357=$C$8,E1357=$C$8),OR($C$9="Semua",$C$9="",D1357=$C$9),OR($C$10="",B1357&gt;=$C$10),OR($C$11="",B1357&lt;=$C$11),OR($C$12&lt;&gt;"Ya",K1357&lt;&gt;""),OR($C$13="Semua",$C$13="",L1357=$C$13)),"✓","")</f>
        <v/>
      </c>
      <c r="N1357" s="93">
        <f>N(N1356)+IF(M1357="✓",1,0)</f>
        <v/>
      </c>
      <c r="O1357" s="93">
        <f>N(O1356)+IF(AND(B1357&lt;&gt;"",B1357&gt;='Uang Riba'!$H$30,B1357&lt;='Uang Riba'!$I$30,OR(H1357="Dana riba",H1357="Pinjam uang riba",I1357="Pinjam dari uang riba",I1357="Ganti uang riba",I1357="Kelebihan ganti dikembalikan",AND(C1357="Kantong Uang Riba",G1357="Pengeluaran"))),1,0)</f>
        <v/>
      </c>
      <c r="X1357" s="93">
        <f>IF(AND(B1357&lt;&gt;"",B1357&gt;='Buku Akun'!$H$4,B1357&lt;='Buku Akun'!$H$5,OR(C1357='Buku Akun'!$C$4,AND(D1357="Pindah",E1357='Buku Akun'!$C$4))),B1357+IF(AND(I1357="Selisih bunga",DAY(B1357)=1),0,0.01)+ROW()/10000000,"")</f>
        <v/>
      </c>
    </row>
    <row r="1358" outlineLevel="1" ht="15" customHeight="1" s="94">
      <c r="A1358" s="123">
        <f>IF(B1358="","",ROW()-15)</f>
        <v/>
      </c>
      <c r="B1358" s="124" t="n"/>
      <c r="C1358" s="123" t="n"/>
      <c r="D1358" s="123" t="n"/>
      <c r="E1358" s="123" t="n"/>
      <c r="F1358" s="125" t="n"/>
      <c r="G1358" s="123" t="n"/>
      <c r="H1358" s="123" t="n"/>
      <c r="I1358" s="123" t="n"/>
      <c r="J1358" s="123" t="n"/>
      <c r="K1358" s="123" t="n"/>
      <c r="L1358" s="123" t="n"/>
      <c r="M1358" s="123">
        <f>IF(AND(B1358&lt;&gt;"",OR($C$4="",ISNUMBER(SEARCH($C$4,C1358&amp;" "&amp;E1358&amp;" "&amp;G1358&amp;" "&amp;H1358&amp;" "&amp;I1358&amp;" "&amp;J1358&amp;" "&amp;K1358&amp;" "&amp;L1358))),OR($C$5="Semua",$C$5="",G1358=$C$5),OR($C$6="Semua",$C$6="",H1358=$C$6,H1358="Pengeluaran "&amp;$C$6,AND($C$6="Uang Kos Mama",H1358="Pengeluaran Uang Kos")),OR($C$7="Semua",$C$7="",I1358=$C$7),OR($C$8="Semua",$C$8="",C1358=$C$8,E1358=$C$8),OR($C$9="Semua",$C$9="",D1358=$C$9),OR($C$10="",B1358&gt;=$C$10),OR($C$11="",B1358&lt;=$C$11),OR($C$12&lt;&gt;"Ya",K1358&lt;&gt;""),OR($C$13="Semua",$C$13="",L1358=$C$13)),"✓","")</f>
        <v/>
      </c>
      <c r="N1358" s="93">
        <f>N(N1357)+IF(M1358="✓",1,0)</f>
        <v/>
      </c>
      <c r="O1358" s="93">
        <f>N(O1357)+IF(AND(B1358&lt;&gt;"",B1358&gt;='Uang Riba'!$H$30,B1358&lt;='Uang Riba'!$I$30,OR(H1358="Dana riba",H1358="Pinjam uang riba",I1358="Pinjam dari uang riba",I1358="Ganti uang riba",I1358="Kelebihan ganti dikembalikan",AND(C1358="Kantong Uang Riba",G1358="Pengeluaran"))),1,0)</f>
        <v/>
      </c>
      <c r="X1358" s="93">
        <f>IF(AND(B1358&lt;&gt;"",B1358&gt;='Buku Akun'!$H$4,B1358&lt;='Buku Akun'!$H$5,OR(C1358='Buku Akun'!$C$4,AND(D1358="Pindah",E1358='Buku Akun'!$C$4))),B1358+IF(AND(I1358="Selisih bunga",DAY(B1358)=1),0,0.01)+ROW()/10000000,"")</f>
        <v/>
      </c>
    </row>
    <row r="1359" outlineLevel="1" ht="15" customHeight="1" s="94">
      <c r="A1359" s="123">
        <f>IF(B1359="","",ROW()-15)</f>
        <v/>
      </c>
      <c r="B1359" s="124" t="n"/>
      <c r="C1359" s="123" t="n"/>
      <c r="D1359" s="123" t="n"/>
      <c r="E1359" s="123" t="n"/>
      <c r="F1359" s="125" t="n"/>
      <c r="G1359" s="123" t="n"/>
      <c r="H1359" s="123" t="n"/>
      <c r="I1359" s="123" t="n"/>
      <c r="J1359" s="123" t="n"/>
      <c r="K1359" s="123" t="n"/>
      <c r="L1359" s="123" t="n"/>
      <c r="M1359" s="123">
        <f>IF(AND(B1359&lt;&gt;"",OR($C$4="",ISNUMBER(SEARCH($C$4,C1359&amp;" "&amp;E1359&amp;" "&amp;G1359&amp;" "&amp;H1359&amp;" "&amp;I1359&amp;" "&amp;J1359&amp;" "&amp;K1359&amp;" "&amp;L1359))),OR($C$5="Semua",$C$5="",G1359=$C$5),OR($C$6="Semua",$C$6="",H1359=$C$6,H1359="Pengeluaran "&amp;$C$6,AND($C$6="Uang Kos Mama",H1359="Pengeluaran Uang Kos")),OR($C$7="Semua",$C$7="",I1359=$C$7),OR($C$8="Semua",$C$8="",C1359=$C$8,E1359=$C$8),OR($C$9="Semua",$C$9="",D1359=$C$9),OR($C$10="",B1359&gt;=$C$10),OR($C$11="",B1359&lt;=$C$11),OR($C$12&lt;&gt;"Ya",K1359&lt;&gt;""),OR($C$13="Semua",$C$13="",L1359=$C$13)),"✓","")</f>
        <v/>
      </c>
      <c r="N1359" s="93">
        <f>N(N1358)+IF(M1359="✓",1,0)</f>
        <v/>
      </c>
      <c r="O1359" s="93">
        <f>N(O1358)+IF(AND(B1359&lt;&gt;"",B1359&gt;='Uang Riba'!$H$30,B1359&lt;='Uang Riba'!$I$30,OR(H1359="Dana riba",H1359="Pinjam uang riba",I1359="Pinjam dari uang riba",I1359="Ganti uang riba",I1359="Kelebihan ganti dikembalikan",AND(C1359="Kantong Uang Riba",G1359="Pengeluaran"))),1,0)</f>
        <v/>
      </c>
      <c r="X1359" s="93">
        <f>IF(AND(B1359&lt;&gt;"",B1359&gt;='Buku Akun'!$H$4,B1359&lt;='Buku Akun'!$H$5,OR(C1359='Buku Akun'!$C$4,AND(D1359="Pindah",E1359='Buku Akun'!$C$4))),B1359+IF(AND(I1359="Selisih bunga",DAY(B1359)=1),0,0.01)+ROW()/10000000,"")</f>
        <v/>
      </c>
    </row>
    <row r="1360" outlineLevel="1" ht="15" customHeight="1" s="94">
      <c r="A1360" s="123">
        <f>IF(B1360="","",ROW()-15)</f>
        <v/>
      </c>
      <c r="B1360" s="124" t="n"/>
      <c r="C1360" s="123" t="n"/>
      <c r="D1360" s="123" t="n"/>
      <c r="E1360" s="123" t="n"/>
      <c r="F1360" s="125" t="n"/>
      <c r="G1360" s="123" t="n"/>
      <c r="H1360" s="123" t="n"/>
      <c r="I1360" s="123" t="n"/>
      <c r="J1360" s="123" t="n"/>
      <c r="K1360" s="123" t="n"/>
      <c r="L1360" s="123" t="n"/>
      <c r="M1360" s="123">
        <f>IF(AND(B1360&lt;&gt;"",OR($C$4="",ISNUMBER(SEARCH($C$4,C1360&amp;" "&amp;E1360&amp;" "&amp;G1360&amp;" "&amp;H1360&amp;" "&amp;I1360&amp;" "&amp;J1360&amp;" "&amp;K1360&amp;" "&amp;L1360))),OR($C$5="Semua",$C$5="",G1360=$C$5),OR($C$6="Semua",$C$6="",H1360=$C$6,H1360="Pengeluaran "&amp;$C$6,AND($C$6="Uang Kos Mama",H1360="Pengeluaran Uang Kos")),OR($C$7="Semua",$C$7="",I1360=$C$7),OR($C$8="Semua",$C$8="",C1360=$C$8,E1360=$C$8),OR($C$9="Semua",$C$9="",D1360=$C$9),OR($C$10="",B1360&gt;=$C$10),OR($C$11="",B1360&lt;=$C$11),OR($C$12&lt;&gt;"Ya",K1360&lt;&gt;""),OR($C$13="Semua",$C$13="",L1360=$C$13)),"✓","")</f>
        <v/>
      </c>
      <c r="N1360" s="93">
        <f>N(N1359)+IF(M1360="✓",1,0)</f>
        <v/>
      </c>
      <c r="O1360" s="93">
        <f>N(O1359)+IF(AND(B1360&lt;&gt;"",B1360&gt;='Uang Riba'!$H$30,B1360&lt;='Uang Riba'!$I$30,OR(H1360="Dana riba",H1360="Pinjam uang riba",I1360="Pinjam dari uang riba",I1360="Ganti uang riba",I1360="Kelebihan ganti dikembalikan",AND(C1360="Kantong Uang Riba",G1360="Pengeluaran"))),1,0)</f>
        <v/>
      </c>
      <c r="X1360" s="93">
        <f>IF(AND(B1360&lt;&gt;"",B1360&gt;='Buku Akun'!$H$4,B1360&lt;='Buku Akun'!$H$5,OR(C1360='Buku Akun'!$C$4,AND(D1360="Pindah",E1360='Buku Akun'!$C$4))),B1360+IF(AND(I1360="Selisih bunga",DAY(B1360)=1),0,0.01)+ROW()/10000000,"")</f>
        <v/>
      </c>
    </row>
    <row r="1361" outlineLevel="1" ht="15" customHeight="1" s="94">
      <c r="A1361" s="123">
        <f>IF(B1361="","",ROW()-15)</f>
        <v/>
      </c>
      <c r="B1361" s="124" t="n"/>
      <c r="C1361" s="123" t="n"/>
      <c r="D1361" s="123" t="n"/>
      <c r="E1361" s="123" t="n"/>
      <c r="F1361" s="125" t="n"/>
      <c r="G1361" s="123" t="n"/>
      <c r="H1361" s="123" t="n"/>
      <c r="I1361" s="123" t="n"/>
      <c r="J1361" s="123" t="n"/>
      <c r="K1361" s="123" t="n"/>
      <c r="L1361" s="123" t="n"/>
      <c r="M1361" s="123">
        <f>IF(AND(B1361&lt;&gt;"",OR($C$4="",ISNUMBER(SEARCH($C$4,C1361&amp;" "&amp;E1361&amp;" "&amp;G1361&amp;" "&amp;H1361&amp;" "&amp;I1361&amp;" "&amp;J1361&amp;" "&amp;K1361&amp;" "&amp;L1361))),OR($C$5="Semua",$C$5="",G1361=$C$5),OR($C$6="Semua",$C$6="",H1361=$C$6,H1361="Pengeluaran "&amp;$C$6,AND($C$6="Uang Kos Mama",H1361="Pengeluaran Uang Kos")),OR($C$7="Semua",$C$7="",I1361=$C$7),OR($C$8="Semua",$C$8="",C1361=$C$8,E1361=$C$8),OR($C$9="Semua",$C$9="",D1361=$C$9),OR($C$10="",B1361&gt;=$C$10),OR($C$11="",B1361&lt;=$C$11),OR($C$12&lt;&gt;"Ya",K1361&lt;&gt;""),OR($C$13="Semua",$C$13="",L1361=$C$13)),"✓","")</f>
        <v/>
      </c>
      <c r="N1361" s="93">
        <f>N(N1360)+IF(M1361="✓",1,0)</f>
        <v/>
      </c>
      <c r="O1361" s="93">
        <f>N(O1360)+IF(AND(B1361&lt;&gt;"",B1361&gt;='Uang Riba'!$H$30,B1361&lt;='Uang Riba'!$I$30,OR(H1361="Dana riba",H1361="Pinjam uang riba",I1361="Pinjam dari uang riba",I1361="Ganti uang riba",I1361="Kelebihan ganti dikembalikan",AND(C1361="Kantong Uang Riba",G1361="Pengeluaran"))),1,0)</f>
        <v/>
      </c>
      <c r="X1361" s="93">
        <f>IF(AND(B1361&lt;&gt;"",B1361&gt;='Buku Akun'!$H$4,B1361&lt;='Buku Akun'!$H$5,OR(C1361='Buku Akun'!$C$4,AND(D1361="Pindah",E1361='Buku Akun'!$C$4))),B1361+IF(AND(I1361="Selisih bunga",DAY(B1361)=1),0,0.01)+ROW()/10000000,"")</f>
        <v/>
      </c>
    </row>
    <row r="1362" outlineLevel="1" ht="15" customHeight="1" s="94">
      <c r="A1362" s="123">
        <f>IF(B1362="","",ROW()-15)</f>
        <v/>
      </c>
      <c r="B1362" s="124" t="n"/>
      <c r="C1362" s="123" t="n"/>
      <c r="D1362" s="123" t="n"/>
      <c r="E1362" s="123" t="n"/>
      <c r="F1362" s="125" t="n"/>
      <c r="G1362" s="123" t="n"/>
      <c r="H1362" s="123" t="n"/>
      <c r="I1362" s="123" t="n"/>
      <c r="J1362" s="123" t="n"/>
      <c r="K1362" s="123" t="n"/>
      <c r="L1362" s="123" t="n"/>
      <c r="M1362" s="123">
        <f>IF(AND(B1362&lt;&gt;"",OR($C$4="",ISNUMBER(SEARCH($C$4,C1362&amp;" "&amp;E1362&amp;" "&amp;G1362&amp;" "&amp;H1362&amp;" "&amp;I1362&amp;" "&amp;J1362&amp;" "&amp;K1362&amp;" "&amp;L1362))),OR($C$5="Semua",$C$5="",G1362=$C$5),OR($C$6="Semua",$C$6="",H1362=$C$6,H1362="Pengeluaran "&amp;$C$6,AND($C$6="Uang Kos Mama",H1362="Pengeluaran Uang Kos")),OR($C$7="Semua",$C$7="",I1362=$C$7),OR($C$8="Semua",$C$8="",C1362=$C$8,E1362=$C$8),OR($C$9="Semua",$C$9="",D1362=$C$9),OR($C$10="",B1362&gt;=$C$10),OR($C$11="",B1362&lt;=$C$11),OR($C$12&lt;&gt;"Ya",K1362&lt;&gt;""),OR($C$13="Semua",$C$13="",L1362=$C$13)),"✓","")</f>
        <v/>
      </c>
      <c r="N1362" s="93">
        <f>N(N1361)+IF(M1362="✓",1,0)</f>
        <v/>
      </c>
      <c r="O1362" s="93">
        <f>N(O1361)+IF(AND(B1362&lt;&gt;"",B1362&gt;='Uang Riba'!$H$30,B1362&lt;='Uang Riba'!$I$30,OR(H1362="Dana riba",H1362="Pinjam uang riba",I1362="Pinjam dari uang riba",I1362="Ganti uang riba",I1362="Kelebihan ganti dikembalikan",AND(C1362="Kantong Uang Riba",G1362="Pengeluaran"))),1,0)</f>
        <v/>
      </c>
      <c r="X1362" s="93">
        <f>IF(AND(B1362&lt;&gt;"",B1362&gt;='Buku Akun'!$H$4,B1362&lt;='Buku Akun'!$H$5,OR(C1362='Buku Akun'!$C$4,AND(D1362="Pindah",E1362='Buku Akun'!$C$4))),B1362+IF(AND(I1362="Selisih bunga",DAY(B1362)=1),0,0.01)+ROW()/10000000,"")</f>
        <v/>
      </c>
    </row>
    <row r="1363" outlineLevel="1" ht="15" customHeight="1" s="94">
      <c r="A1363" s="123">
        <f>IF(B1363="","",ROW()-15)</f>
        <v/>
      </c>
      <c r="B1363" s="124" t="n"/>
      <c r="C1363" s="123" t="n"/>
      <c r="D1363" s="123" t="n"/>
      <c r="E1363" s="123" t="n"/>
      <c r="F1363" s="125" t="n"/>
      <c r="G1363" s="123" t="n"/>
      <c r="H1363" s="123" t="n"/>
      <c r="I1363" s="123" t="n"/>
      <c r="J1363" s="123" t="n"/>
      <c r="K1363" s="123" t="n"/>
      <c r="L1363" s="123" t="n"/>
      <c r="M1363" s="123">
        <f>IF(AND(B1363&lt;&gt;"",OR($C$4="",ISNUMBER(SEARCH($C$4,C1363&amp;" "&amp;E1363&amp;" "&amp;G1363&amp;" "&amp;H1363&amp;" "&amp;I1363&amp;" "&amp;J1363&amp;" "&amp;K1363&amp;" "&amp;L1363))),OR($C$5="Semua",$C$5="",G1363=$C$5),OR($C$6="Semua",$C$6="",H1363=$C$6,H1363="Pengeluaran "&amp;$C$6,AND($C$6="Uang Kos Mama",H1363="Pengeluaran Uang Kos")),OR($C$7="Semua",$C$7="",I1363=$C$7),OR($C$8="Semua",$C$8="",C1363=$C$8,E1363=$C$8),OR($C$9="Semua",$C$9="",D1363=$C$9),OR($C$10="",B1363&gt;=$C$10),OR($C$11="",B1363&lt;=$C$11),OR($C$12&lt;&gt;"Ya",K1363&lt;&gt;""),OR($C$13="Semua",$C$13="",L1363=$C$13)),"✓","")</f>
        <v/>
      </c>
      <c r="N1363" s="93">
        <f>N(N1362)+IF(M1363="✓",1,0)</f>
        <v/>
      </c>
      <c r="O1363" s="93">
        <f>N(O1362)+IF(AND(B1363&lt;&gt;"",B1363&gt;='Uang Riba'!$H$30,B1363&lt;='Uang Riba'!$I$30,OR(H1363="Dana riba",H1363="Pinjam uang riba",I1363="Pinjam dari uang riba",I1363="Ganti uang riba",I1363="Kelebihan ganti dikembalikan",AND(C1363="Kantong Uang Riba",G1363="Pengeluaran"))),1,0)</f>
        <v/>
      </c>
      <c r="X1363" s="93">
        <f>IF(AND(B1363&lt;&gt;"",B1363&gt;='Buku Akun'!$H$4,B1363&lt;='Buku Akun'!$H$5,OR(C1363='Buku Akun'!$C$4,AND(D1363="Pindah",E1363='Buku Akun'!$C$4))),B1363+IF(AND(I1363="Selisih bunga",DAY(B1363)=1),0,0.01)+ROW()/10000000,"")</f>
        <v/>
      </c>
    </row>
    <row r="1364" outlineLevel="1" ht="15" customHeight="1" s="94">
      <c r="A1364" s="123">
        <f>IF(B1364="","",ROW()-15)</f>
        <v/>
      </c>
      <c r="B1364" s="124" t="n"/>
      <c r="C1364" s="123" t="n"/>
      <c r="D1364" s="123" t="n"/>
      <c r="E1364" s="123" t="n"/>
      <c r="F1364" s="125" t="n"/>
      <c r="G1364" s="123" t="n"/>
      <c r="H1364" s="123" t="n"/>
      <c r="I1364" s="123" t="n"/>
      <c r="J1364" s="123" t="n"/>
      <c r="K1364" s="123" t="n"/>
      <c r="L1364" s="123" t="n"/>
      <c r="M1364" s="123">
        <f>IF(AND(B1364&lt;&gt;"",OR($C$4="",ISNUMBER(SEARCH($C$4,C1364&amp;" "&amp;E1364&amp;" "&amp;G1364&amp;" "&amp;H1364&amp;" "&amp;I1364&amp;" "&amp;J1364&amp;" "&amp;K1364&amp;" "&amp;L1364))),OR($C$5="Semua",$C$5="",G1364=$C$5),OR($C$6="Semua",$C$6="",H1364=$C$6,H1364="Pengeluaran "&amp;$C$6,AND($C$6="Uang Kos Mama",H1364="Pengeluaran Uang Kos")),OR($C$7="Semua",$C$7="",I1364=$C$7),OR($C$8="Semua",$C$8="",C1364=$C$8,E1364=$C$8),OR($C$9="Semua",$C$9="",D1364=$C$9),OR($C$10="",B1364&gt;=$C$10),OR($C$11="",B1364&lt;=$C$11),OR($C$12&lt;&gt;"Ya",K1364&lt;&gt;""),OR($C$13="Semua",$C$13="",L1364=$C$13)),"✓","")</f>
        <v/>
      </c>
      <c r="N1364" s="93">
        <f>N(N1363)+IF(M1364="✓",1,0)</f>
        <v/>
      </c>
      <c r="O1364" s="93">
        <f>N(O1363)+IF(AND(B1364&lt;&gt;"",B1364&gt;='Uang Riba'!$H$30,B1364&lt;='Uang Riba'!$I$30,OR(H1364="Dana riba",H1364="Pinjam uang riba",I1364="Pinjam dari uang riba",I1364="Ganti uang riba",I1364="Kelebihan ganti dikembalikan",AND(C1364="Kantong Uang Riba",G1364="Pengeluaran"))),1,0)</f>
        <v/>
      </c>
      <c r="X1364" s="93">
        <f>IF(AND(B1364&lt;&gt;"",B1364&gt;='Buku Akun'!$H$4,B1364&lt;='Buku Akun'!$H$5,OR(C1364='Buku Akun'!$C$4,AND(D1364="Pindah",E1364='Buku Akun'!$C$4))),B1364+IF(AND(I1364="Selisih bunga",DAY(B1364)=1),0,0.01)+ROW()/10000000,"")</f>
        <v/>
      </c>
    </row>
    <row r="1365" outlineLevel="1" ht="15" customHeight="1" s="94">
      <c r="A1365" s="123">
        <f>IF(B1365="","",ROW()-15)</f>
        <v/>
      </c>
      <c r="B1365" s="124" t="n"/>
      <c r="C1365" s="123" t="n"/>
      <c r="D1365" s="123" t="n"/>
      <c r="E1365" s="123" t="n"/>
      <c r="F1365" s="125" t="n"/>
      <c r="G1365" s="123" t="n"/>
      <c r="H1365" s="123" t="n"/>
      <c r="I1365" s="123" t="n"/>
      <c r="J1365" s="123" t="n"/>
      <c r="K1365" s="123" t="n"/>
      <c r="L1365" s="123" t="n"/>
      <c r="M1365" s="123">
        <f>IF(AND(B1365&lt;&gt;"",OR($C$4="",ISNUMBER(SEARCH($C$4,C1365&amp;" "&amp;E1365&amp;" "&amp;G1365&amp;" "&amp;H1365&amp;" "&amp;I1365&amp;" "&amp;J1365&amp;" "&amp;K1365&amp;" "&amp;L1365))),OR($C$5="Semua",$C$5="",G1365=$C$5),OR($C$6="Semua",$C$6="",H1365=$C$6,H1365="Pengeluaran "&amp;$C$6,AND($C$6="Uang Kos Mama",H1365="Pengeluaran Uang Kos")),OR($C$7="Semua",$C$7="",I1365=$C$7),OR($C$8="Semua",$C$8="",C1365=$C$8,E1365=$C$8),OR($C$9="Semua",$C$9="",D1365=$C$9),OR($C$10="",B1365&gt;=$C$10),OR($C$11="",B1365&lt;=$C$11),OR($C$12&lt;&gt;"Ya",K1365&lt;&gt;""),OR($C$13="Semua",$C$13="",L1365=$C$13)),"✓","")</f>
        <v/>
      </c>
      <c r="N1365" s="93">
        <f>N(N1364)+IF(M1365="✓",1,0)</f>
        <v/>
      </c>
      <c r="O1365" s="93">
        <f>N(O1364)+IF(AND(B1365&lt;&gt;"",B1365&gt;='Uang Riba'!$H$30,B1365&lt;='Uang Riba'!$I$30,OR(H1365="Dana riba",H1365="Pinjam uang riba",I1365="Pinjam dari uang riba",I1365="Ganti uang riba",I1365="Kelebihan ganti dikembalikan",AND(C1365="Kantong Uang Riba",G1365="Pengeluaran"))),1,0)</f>
        <v/>
      </c>
      <c r="X1365" s="93">
        <f>IF(AND(B1365&lt;&gt;"",B1365&gt;='Buku Akun'!$H$4,B1365&lt;='Buku Akun'!$H$5,OR(C1365='Buku Akun'!$C$4,AND(D1365="Pindah",E1365='Buku Akun'!$C$4))),B1365+IF(AND(I1365="Selisih bunga",DAY(B1365)=1),0,0.01)+ROW()/10000000,"")</f>
        <v/>
      </c>
    </row>
    <row r="1366" outlineLevel="1" ht="15" customHeight="1" s="94">
      <c r="A1366" s="123">
        <f>IF(B1366="","",ROW()-15)</f>
        <v/>
      </c>
      <c r="B1366" s="124" t="n"/>
      <c r="C1366" s="123" t="n"/>
      <c r="D1366" s="123" t="n"/>
      <c r="E1366" s="123" t="n"/>
      <c r="F1366" s="125" t="n"/>
      <c r="G1366" s="123" t="n"/>
      <c r="H1366" s="123" t="n"/>
      <c r="I1366" s="123" t="n"/>
      <c r="J1366" s="123" t="n"/>
      <c r="K1366" s="123" t="n"/>
      <c r="L1366" s="123" t="n"/>
      <c r="M1366" s="123">
        <f>IF(AND(B1366&lt;&gt;"",OR($C$4="",ISNUMBER(SEARCH($C$4,C1366&amp;" "&amp;E1366&amp;" "&amp;G1366&amp;" "&amp;H1366&amp;" "&amp;I1366&amp;" "&amp;J1366&amp;" "&amp;K1366&amp;" "&amp;L1366))),OR($C$5="Semua",$C$5="",G1366=$C$5),OR($C$6="Semua",$C$6="",H1366=$C$6,H1366="Pengeluaran "&amp;$C$6,AND($C$6="Uang Kos Mama",H1366="Pengeluaran Uang Kos")),OR($C$7="Semua",$C$7="",I1366=$C$7),OR($C$8="Semua",$C$8="",C1366=$C$8,E1366=$C$8),OR($C$9="Semua",$C$9="",D1366=$C$9),OR($C$10="",B1366&gt;=$C$10),OR($C$11="",B1366&lt;=$C$11),OR($C$12&lt;&gt;"Ya",K1366&lt;&gt;""),OR($C$13="Semua",$C$13="",L1366=$C$13)),"✓","")</f>
        <v/>
      </c>
      <c r="N1366" s="93">
        <f>N(N1365)+IF(M1366="✓",1,0)</f>
        <v/>
      </c>
      <c r="O1366" s="93">
        <f>N(O1365)+IF(AND(B1366&lt;&gt;"",B1366&gt;='Uang Riba'!$H$30,B1366&lt;='Uang Riba'!$I$30,OR(H1366="Dana riba",H1366="Pinjam uang riba",I1366="Pinjam dari uang riba",I1366="Ganti uang riba",I1366="Kelebihan ganti dikembalikan",AND(C1366="Kantong Uang Riba",G1366="Pengeluaran"))),1,0)</f>
        <v/>
      </c>
      <c r="X1366" s="93">
        <f>IF(AND(B1366&lt;&gt;"",B1366&gt;='Buku Akun'!$H$4,B1366&lt;='Buku Akun'!$H$5,OR(C1366='Buku Akun'!$C$4,AND(D1366="Pindah",E1366='Buku Akun'!$C$4))),B1366+IF(AND(I1366="Selisih bunga",DAY(B1366)=1),0,0.01)+ROW()/10000000,"")</f>
        <v/>
      </c>
    </row>
    <row r="1367" outlineLevel="1" ht="15" customHeight="1" s="94">
      <c r="A1367" s="123">
        <f>IF(B1367="","",ROW()-15)</f>
        <v/>
      </c>
      <c r="B1367" s="124" t="n"/>
      <c r="C1367" s="123" t="n"/>
      <c r="D1367" s="123" t="n"/>
      <c r="E1367" s="123" t="n"/>
      <c r="F1367" s="125" t="n"/>
      <c r="G1367" s="123" t="n"/>
      <c r="H1367" s="123" t="n"/>
      <c r="I1367" s="123" t="n"/>
      <c r="J1367" s="123" t="n"/>
      <c r="K1367" s="123" t="n"/>
      <c r="L1367" s="123" t="n"/>
      <c r="M1367" s="123">
        <f>IF(AND(B1367&lt;&gt;"",OR($C$4="",ISNUMBER(SEARCH($C$4,C1367&amp;" "&amp;E1367&amp;" "&amp;G1367&amp;" "&amp;H1367&amp;" "&amp;I1367&amp;" "&amp;J1367&amp;" "&amp;K1367&amp;" "&amp;L1367))),OR($C$5="Semua",$C$5="",G1367=$C$5),OR($C$6="Semua",$C$6="",H1367=$C$6,H1367="Pengeluaran "&amp;$C$6,AND($C$6="Uang Kos Mama",H1367="Pengeluaran Uang Kos")),OR($C$7="Semua",$C$7="",I1367=$C$7),OR($C$8="Semua",$C$8="",C1367=$C$8,E1367=$C$8),OR($C$9="Semua",$C$9="",D1367=$C$9),OR($C$10="",B1367&gt;=$C$10),OR($C$11="",B1367&lt;=$C$11),OR($C$12&lt;&gt;"Ya",K1367&lt;&gt;""),OR($C$13="Semua",$C$13="",L1367=$C$13)),"✓","")</f>
        <v/>
      </c>
      <c r="N1367" s="93">
        <f>N(N1366)+IF(M1367="✓",1,0)</f>
        <v/>
      </c>
      <c r="O1367" s="93">
        <f>N(O1366)+IF(AND(B1367&lt;&gt;"",B1367&gt;='Uang Riba'!$H$30,B1367&lt;='Uang Riba'!$I$30,OR(H1367="Dana riba",H1367="Pinjam uang riba",I1367="Pinjam dari uang riba",I1367="Ganti uang riba",I1367="Kelebihan ganti dikembalikan",AND(C1367="Kantong Uang Riba",G1367="Pengeluaran"))),1,0)</f>
        <v/>
      </c>
      <c r="X1367" s="93">
        <f>IF(AND(B1367&lt;&gt;"",B1367&gt;='Buku Akun'!$H$4,B1367&lt;='Buku Akun'!$H$5,OR(C1367='Buku Akun'!$C$4,AND(D1367="Pindah",E1367='Buku Akun'!$C$4))),B1367+IF(AND(I1367="Selisih bunga",DAY(B1367)=1),0,0.01)+ROW()/10000000,"")</f>
        <v/>
      </c>
    </row>
    <row r="1368" outlineLevel="1" ht="15" customHeight="1" s="94">
      <c r="A1368" s="123">
        <f>IF(B1368="","",ROW()-15)</f>
        <v/>
      </c>
      <c r="B1368" s="124" t="n"/>
      <c r="C1368" s="123" t="n"/>
      <c r="D1368" s="123" t="n"/>
      <c r="E1368" s="123" t="n"/>
      <c r="F1368" s="125" t="n"/>
      <c r="G1368" s="123" t="n"/>
      <c r="H1368" s="123" t="n"/>
      <c r="I1368" s="123" t="n"/>
      <c r="J1368" s="123" t="n"/>
      <c r="K1368" s="123" t="n"/>
      <c r="L1368" s="123" t="n"/>
      <c r="M1368" s="123">
        <f>IF(AND(B1368&lt;&gt;"",OR($C$4="",ISNUMBER(SEARCH($C$4,C1368&amp;" "&amp;E1368&amp;" "&amp;G1368&amp;" "&amp;H1368&amp;" "&amp;I1368&amp;" "&amp;J1368&amp;" "&amp;K1368&amp;" "&amp;L1368))),OR($C$5="Semua",$C$5="",G1368=$C$5),OR($C$6="Semua",$C$6="",H1368=$C$6,H1368="Pengeluaran "&amp;$C$6,AND($C$6="Uang Kos Mama",H1368="Pengeluaran Uang Kos")),OR($C$7="Semua",$C$7="",I1368=$C$7),OR($C$8="Semua",$C$8="",C1368=$C$8,E1368=$C$8),OR($C$9="Semua",$C$9="",D1368=$C$9),OR($C$10="",B1368&gt;=$C$10),OR($C$11="",B1368&lt;=$C$11),OR($C$12&lt;&gt;"Ya",K1368&lt;&gt;""),OR($C$13="Semua",$C$13="",L1368=$C$13)),"✓","")</f>
        <v/>
      </c>
      <c r="N1368" s="93">
        <f>N(N1367)+IF(M1368="✓",1,0)</f>
        <v/>
      </c>
      <c r="O1368" s="93">
        <f>N(O1367)+IF(AND(B1368&lt;&gt;"",B1368&gt;='Uang Riba'!$H$30,B1368&lt;='Uang Riba'!$I$30,OR(H1368="Dana riba",H1368="Pinjam uang riba",I1368="Pinjam dari uang riba",I1368="Ganti uang riba",I1368="Kelebihan ganti dikembalikan",AND(C1368="Kantong Uang Riba",G1368="Pengeluaran"))),1,0)</f>
        <v/>
      </c>
      <c r="X1368" s="93">
        <f>IF(AND(B1368&lt;&gt;"",B1368&gt;='Buku Akun'!$H$4,B1368&lt;='Buku Akun'!$H$5,OR(C1368='Buku Akun'!$C$4,AND(D1368="Pindah",E1368='Buku Akun'!$C$4))),B1368+IF(AND(I1368="Selisih bunga",DAY(B1368)=1),0,0.01)+ROW()/10000000,"")</f>
        <v/>
      </c>
    </row>
    <row r="1369" outlineLevel="1" ht="15" customHeight="1" s="94">
      <c r="A1369" s="123">
        <f>IF(B1369="","",ROW()-15)</f>
        <v/>
      </c>
      <c r="B1369" s="124" t="n"/>
      <c r="C1369" s="123" t="n"/>
      <c r="D1369" s="123" t="n"/>
      <c r="E1369" s="123" t="n"/>
      <c r="F1369" s="125" t="n"/>
      <c r="G1369" s="123" t="n"/>
      <c r="H1369" s="123" t="n"/>
      <c r="I1369" s="123" t="n"/>
      <c r="J1369" s="123" t="n"/>
      <c r="K1369" s="123" t="n"/>
      <c r="L1369" s="123" t="n"/>
      <c r="M1369" s="123">
        <f>IF(AND(B1369&lt;&gt;"",OR($C$4="",ISNUMBER(SEARCH($C$4,C1369&amp;" "&amp;E1369&amp;" "&amp;G1369&amp;" "&amp;H1369&amp;" "&amp;I1369&amp;" "&amp;J1369&amp;" "&amp;K1369&amp;" "&amp;L1369))),OR($C$5="Semua",$C$5="",G1369=$C$5),OR($C$6="Semua",$C$6="",H1369=$C$6,H1369="Pengeluaran "&amp;$C$6,AND($C$6="Uang Kos Mama",H1369="Pengeluaran Uang Kos")),OR($C$7="Semua",$C$7="",I1369=$C$7),OR($C$8="Semua",$C$8="",C1369=$C$8,E1369=$C$8),OR($C$9="Semua",$C$9="",D1369=$C$9),OR($C$10="",B1369&gt;=$C$10),OR($C$11="",B1369&lt;=$C$11),OR($C$12&lt;&gt;"Ya",K1369&lt;&gt;""),OR($C$13="Semua",$C$13="",L1369=$C$13)),"✓","")</f>
        <v/>
      </c>
      <c r="N1369" s="93">
        <f>N(N1368)+IF(M1369="✓",1,0)</f>
        <v/>
      </c>
      <c r="O1369" s="93">
        <f>N(O1368)+IF(AND(B1369&lt;&gt;"",B1369&gt;='Uang Riba'!$H$30,B1369&lt;='Uang Riba'!$I$30,OR(H1369="Dana riba",H1369="Pinjam uang riba",I1369="Pinjam dari uang riba",I1369="Ganti uang riba",I1369="Kelebihan ganti dikembalikan",AND(C1369="Kantong Uang Riba",G1369="Pengeluaran"))),1,0)</f>
        <v/>
      </c>
      <c r="X1369" s="93">
        <f>IF(AND(B1369&lt;&gt;"",B1369&gt;='Buku Akun'!$H$4,B1369&lt;='Buku Akun'!$H$5,OR(C1369='Buku Akun'!$C$4,AND(D1369="Pindah",E1369='Buku Akun'!$C$4))),B1369+IF(AND(I1369="Selisih bunga",DAY(B1369)=1),0,0.01)+ROW()/10000000,"")</f>
        <v/>
      </c>
    </row>
    <row r="1370" outlineLevel="1" ht="15" customHeight="1" s="94">
      <c r="A1370" s="123">
        <f>IF(B1370="","",ROW()-15)</f>
        <v/>
      </c>
      <c r="B1370" s="124" t="n"/>
      <c r="C1370" s="123" t="n"/>
      <c r="D1370" s="123" t="n"/>
      <c r="E1370" s="123" t="n"/>
      <c r="F1370" s="125" t="n"/>
      <c r="G1370" s="123" t="n"/>
      <c r="H1370" s="123" t="n"/>
      <c r="I1370" s="123" t="n"/>
      <c r="J1370" s="123" t="n"/>
      <c r="K1370" s="123" t="n"/>
      <c r="L1370" s="123" t="n"/>
      <c r="M1370" s="123">
        <f>IF(AND(B1370&lt;&gt;"",OR($C$4="",ISNUMBER(SEARCH($C$4,C1370&amp;" "&amp;E1370&amp;" "&amp;G1370&amp;" "&amp;H1370&amp;" "&amp;I1370&amp;" "&amp;J1370&amp;" "&amp;K1370&amp;" "&amp;L1370))),OR($C$5="Semua",$C$5="",G1370=$C$5),OR($C$6="Semua",$C$6="",H1370=$C$6,H1370="Pengeluaran "&amp;$C$6,AND($C$6="Uang Kos Mama",H1370="Pengeluaran Uang Kos")),OR($C$7="Semua",$C$7="",I1370=$C$7),OR($C$8="Semua",$C$8="",C1370=$C$8,E1370=$C$8),OR($C$9="Semua",$C$9="",D1370=$C$9),OR($C$10="",B1370&gt;=$C$10),OR($C$11="",B1370&lt;=$C$11),OR($C$12&lt;&gt;"Ya",K1370&lt;&gt;""),OR($C$13="Semua",$C$13="",L1370=$C$13)),"✓","")</f>
        <v/>
      </c>
      <c r="N1370" s="93">
        <f>N(N1369)+IF(M1370="✓",1,0)</f>
        <v/>
      </c>
      <c r="O1370" s="93">
        <f>N(O1369)+IF(AND(B1370&lt;&gt;"",B1370&gt;='Uang Riba'!$H$30,B1370&lt;='Uang Riba'!$I$30,OR(H1370="Dana riba",H1370="Pinjam uang riba",I1370="Pinjam dari uang riba",I1370="Ganti uang riba",I1370="Kelebihan ganti dikembalikan",AND(C1370="Kantong Uang Riba",G1370="Pengeluaran"))),1,0)</f>
        <v/>
      </c>
      <c r="X1370" s="93">
        <f>IF(AND(B1370&lt;&gt;"",B1370&gt;='Buku Akun'!$H$4,B1370&lt;='Buku Akun'!$H$5,OR(C1370='Buku Akun'!$C$4,AND(D1370="Pindah",E1370='Buku Akun'!$C$4))),B1370+IF(AND(I1370="Selisih bunga",DAY(B1370)=1),0,0.01)+ROW()/10000000,"")</f>
        <v/>
      </c>
    </row>
    <row r="1371" outlineLevel="1" ht="15" customHeight="1" s="94">
      <c r="A1371" s="123">
        <f>IF(B1371="","",ROW()-15)</f>
        <v/>
      </c>
      <c r="B1371" s="124" t="n"/>
      <c r="C1371" s="123" t="n"/>
      <c r="D1371" s="123" t="n"/>
      <c r="E1371" s="123" t="n"/>
      <c r="F1371" s="125" t="n"/>
      <c r="G1371" s="123" t="n"/>
      <c r="H1371" s="123" t="n"/>
      <c r="I1371" s="123" t="n"/>
      <c r="J1371" s="123" t="n"/>
      <c r="K1371" s="123" t="n"/>
      <c r="L1371" s="123" t="n"/>
      <c r="M1371" s="123">
        <f>IF(AND(B1371&lt;&gt;"",OR($C$4="",ISNUMBER(SEARCH($C$4,C1371&amp;" "&amp;E1371&amp;" "&amp;G1371&amp;" "&amp;H1371&amp;" "&amp;I1371&amp;" "&amp;J1371&amp;" "&amp;K1371&amp;" "&amp;L1371))),OR($C$5="Semua",$C$5="",G1371=$C$5),OR($C$6="Semua",$C$6="",H1371=$C$6,H1371="Pengeluaran "&amp;$C$6,AND($C$6="Uang Kos Mama",H1371="Pengeluaran Uang Kos")),OR($C$7="Semua",$C$7="",I1371=$C$7),OR($C$8="Semua",$C$8="",C1371=$C$8,E1371=$C$8),OR($C$9="Semua",$C$9="",D1371=$C$9),OR($C$10="",B1371&gt;=$C$10),OR($C$11="",B1371&lt;=$C$11),OR($C$12&lt;&gt;"Ya",K1371&lt;&gt;""),OR($C$13="Semua",$C$13="",L1371=$C$13)),"✓","")</f>
        <v/>
      </c>
      <c r="N1371" s="93">
        <f>N(N1370)+IF(M1371="✓",1,0)</f>
        <v/>
      </c>
      <c r="O1371" s="93">
        <f>N(O1370)+IF(AND(B1371&lt;&gt;"",B1371&gt;='Uang Riba'!$H$30,B1371&lt;='Uang Riba'!$I$30,OR(H1371="Dana riba",H1371="Pinjam uang riba",I1371="Pinjam dari uang riba",I1371="Ganti uang riba",I1371="Kelebihan ganti dikembalikan",AND(C1371="Kantong Uang Riba",G1371="Pengeluaran"))),1,0)</f>
        <v/>
      </c>
      <c r="X1371" s="93">
        <f>IF(AND(B1371&lt;&gt;"",B1371&gt;='Buku Akun'!$H$4,B1371&lt;='Buku Akun'!$H$5,OR(C1371='Buku Akun'!$C$4,AND(D1371="Pindah",E1371='Buku Akun'!$C$4))),B1371+IF(AND(I1371="Selisih bunga",DAY(B1371)=1),0,0.01)+ROW()/10000000,"")</f>
        <v/>
      </c>
    </row>
    <row r="1372" outlineLevel="1" ht="15" customHeight="1" s="94">
      <c r="A1372" s="123">
        <f>IF(B1372="","",ROW()-15)</f>
        <v/>
      </c>
      <c r="B1372" s="124" t="n"/>
      <c r="C1372" s="123" t="n"/>
      <c r="D1372" s="123" t="n"/>
      <c r="E1372" s="123" t="n"/>
      <c r="F1372" s="125" t="n"/>
      <c r="G1372" s="123" t="n"/>
      <c r="H1372" s="123" t="n"/>
      <c r="I1372" s="123" t="n"/>
      <c r="J1372" s="123" t="n"/>
      <c r="K1372" s="123" t="n"/>
      <c r="L1372" s="123" t="n"/>
      <c r="M1372" s="123">
        <f>IF(AND(B1372&lt;&gt;"",OR($C$4="",ISNUMBER(SEARCH($C$4,C1372&amp;" "&amp;E1372&amp;" "&amp;G1372&amp;" "&amp;H1372&amp;" "&amp;I1372&amp;" "&amp;J1372&amp;" "&amp;K1372&amp;" "&amp;L1372))),OR($C$5="Semua",$C$5="",G1372=$C$5),OR($C$6="Semua",$C$6="",H1372=$C$6,H1372="Pengeluaran "&amp;$C$6,AND($C$6="Uang Kos Mama",H1372="Pengeluaran Uang Kos")),OR($C$7="Semua",$C$7="",I1372=$C$7),OR($C$8="Semua",$C$8="",C1372=$C$8,E1372=$C$8),OR($C$9="Semua",$C$9="",D1372=$C$9),OR($C$10="",B1372&gt;=$C$10),OR($C$11="",B1372&lt;=$C$11),OR($C$12&lt;&gt;"Ya",K1372&lt;&gt;""),OR($C$13="Semua",$C$13="",L1372=$C$13)),"✓","")</f>
        <v/>
      </c>
      <c r="N1372" s="93">
        <f>N(N1371)+IF(M1372="✓",1,0)</f>
        <v/>
      </c>
      <c r="O1372" s="93">
        <f>N(O1371)+IF(AND(B1372&lt;&gt;"",B1372&gt;='Uang Riba'!$H$30,B1372&lt;='Uang Riba'!$I$30,OR(H1372="Dana riba",H1372="Pinjam uang riba",I1372="Pinjam dari uang riba",I1372="Ganti uang riba",I1372="Kelebihan ganti dikembalikan",AND(C1372="Kantong Uang Riba",G1372="Pengeluaran"))),1,0)</f>
        <v/>
      </c>
      <c r="X1372" s="93">
        <f>IF(AND(B1372&lt;&gt;"",B1372&gt;='Buku Akun'!$H$4,B1372&lt;='Buku Akun'!$H$5,OR(C1372='Buku Akun'!$C$4,AND(D1372="Pindah",E1372='Buku Akun'!$C$4))),B1372+IF(AND(I1372="Selisih bunga",DAY(B1372)=1),0,0.01)+ROW()/10000000,"")</f>
        <v/>
      </c>
    </row>
    <row r="1373" outlineLevel="1" ht="15" customHeight="1" s="94">
      <c r="A1373" s="123">
        <f>IF(B1373="","",ROW()-15)</f>
        <v/>
      </c>
      <c r="B1373" s="124" t="n"/>
      <c r="C1373" s="123" t="n"/>
      <c r="D1373" s="123" t="n"/>
      <c r="E1373" s="123" t="n"/>
      <c r="F1373" s="125" t="n"/>
      <c r="G1373" s="123" t="n"/>
      <c r="H1373" s="123" t="n"/>
      <c r="I1373" s="123" t="n"/>
      <c r="J1373" s="123" t="n"/>
      <c r="K1373" s="123" t="n"/>
      <c r="L1373" s="123" t="n"/>
      <c r="M1373" s="123">
        <f>IF(AND(B1373&lt;&gt;"",OR($C$4="",ISNUMBER(SEARCH($C$4,C1373&amp;" "&amp;E1373&amp;" "&amp;G1373&amp;" "&amp;H1373&amp;" "&amp;I1373&amp;" "&amp;J1373&amp;" "&amp;K1373&amp;" "&amp;L1373))),OR($C$5="Semua",$C$5="",G1373=$C$5),OR($C$6="Semua",$C$6="",H1373=$C$6,H1373="Pengeluaran "&amp;$C$6,AND($C$6="Uang Kos Mama",H1373="Pengeluaran Uang Kos")),OR($C$7="Semua",$C$7="",I1373=$C$7),OR($C$8="Semua",$C$8="",C1373=$C$8,E1373=$C$8),OR($C$9="Semua",$C$9="",D1373=$C$9),OR($C$10="",B1373&gt;=$C$10),OR($C$11="",B1373&lt;=$C$11),OR($C$12&lt;&gt;"Ya",K1373&lt;&gt;""),OR($C$13="Semua",$C$13="",L1373=$C$13)),"✓","")</f>
        <v/>
      </c>
      <c r="N1373" s="93">
        <f>N(N1372)+IF(M1373="✓",1,0)</f>
        <v/>
      </c>
      <c r="O1373" s="93">
        <f>N(O1372)+IF(AND(B1373&lt;&gt;"",B1373&gt;='Uang Riba'!$H$30,B1373&lt;='Uang Riba'!$I$30,OR(H1373="Dana riba",H1373="Pinjam uang riba",I1373="Pinjam dari uang riba",I1373="Ganti uang riba",I1373="Kelebihan ganti dikembalikan",AND(C1373="Kantong Uang Riba",G1373="Pengeluaran"))),1,0)</f>
        <v/>
      </c>
      <c r="X1373" s="93">
        <f>IF(AND(B1373&lt;&gt;"",B1373&gt;='Buku Akun'!$H$4,B1373&lt;='Buku Akun'!$H$5,OR(C1373='Buku Akun'!$C$4,AND(D1373="Pindah",E1373='Buku Akun'!$C$4))),B1373+IF(AND(I1373="Selisih bunga",DAY(B1373)=1),0,0.01)+ROW()/10000000,"")</f>
        <v/>
      </c>
    </row>
    <row r="1374" outlineLevel="1" ht="15" customHeight="1" s="94">
      <c r="A1374" s="123">
        <f>IF(B1374="","",ROW()-15)</f>
        <v/>
      </c>
      <c r="B1374" s="124" t="n"/>
      <c r="C1374" s="123" t="n"/>
      <c r="D1374" s="123" t="n"/>
      <c r="E1374" s="123" t="n"/>
      <c r="F1374" s="125" t="n"/>
      <c r="G1374" s="123" t="n"/>
      <c r="H1374" s="123" t="n"/>
      <c r="I1374" s="123" t="n"/>
      <c r="J1374" s="123" t="n"/>
      <c r="K1374" s="123" t="n"/>
      <c r="L1374" s="123" t="n"/>
      <c r="M1374" s="123">
        <f>IF(AND(B1374&lt;&gt;"",OR($C$4="",ISNUMBER(SEARCH($C$4,C1374&amp;" "&amp;E1374&amp;" "&amp;G1374&amp;" "&amp;H1374&amp;" "&amp;I1374&amp;" "&amp;J1374&amp;" "&amp;K1374&amp;" "&amp;L1374))),OR($C$5="Semua",$C$5="",G1374=$C$5),OR($C$6="Semua",$C$6="",H1374=$C$6,H1374="Pengeluaran "&amp;$C$6,AND($C$6="Uang Kos Mama",H1374="Pengeluaran Uang Kos")),OR($C$7="Semua",$C$7="",I1374=$C$7),OR($C$8="Semua",$C$8="",C1374=$C$8,E1374=$C$8),OR($C$9="Semua",$C$9="",D1374=$C$9),OR($C$10="",B1374&gt;=$C$10),OR($C$11="",B1374&lt;=$C$11),OR($C$12&lt;&gt;"Ya",K1374&lt;&gt;""),OR($C$13="Semua",$C$13="",L1374=$C$13)),"✓","")</f>
        <v/>
      </c>
      <c r="N1374" s="93">
        <f>N(N1373)+IF(M1374="✓",1,0)</f>
        <v/>
      </c>
      <c r="O1374" s="93">
        <f>N(O1373)+IF(AND(B1374&lt;&gt;"",B1374&gt;='Uang Riba'!$H$30,B1374&lt;='Uang Riba'!$I$30,OR(H1374="Dana riba",H1374="Pinjam uang riba",I1374="Pinjam dari uang riba",I1374="Ganti uang riba",I1374="Kelebihan ganti dikembalikan",AND(C1374="Kantong Uang Riba",G1374="Pengeluaran"))),1,0)</f>
        <v/>
      </c>
      <c r="X1374" s="93">
        <f>IF(AND(B1374&lt;&gt;"",B1374&gt;='Buku Akun'!$H$4,B1374&lt;='Buku Akun'!$H$5,OR(C1374='Buku Akun'!$C$4,AND(D1374="Pindah",E1374='Buku Akun'!$C$4))),B1374+IF(AND(I1374="Selisih bunga",DAY(B1374)=1),0,0.01)+ROW()/10000000,"")</f>
        <v/>
      </c>
    </row>
    <row r="1375" outlineLevel="1" ht="15" customHeight="1" s="94">
      <c r="A1375" s="123">
        <f>IF(B1375="","",ROW()-15)</f>
        <v/>
      </c>
      <c r="B1375" s="124" t="n"/>
      <c r="C1375" s="123" t="n"/>
      <c r="D1375" s="123" t="n"/>
      <c r="E1375" s="123" t="n"/>
      <c r="F1375" s="125" t="n"/>
      <c r="G1375" s="123" t="n"/>
      <c r="H1375" s="123" t="n"/>
      <c r="I1375" s="123" t="n"/>
      <c r="J1375" s="123" t="n"/>
      <c r="K1375" s="123" t="n"/>
      <c r="L1375" s="123" t="n"/>
      <c r="M1375" s="123">
        <f>IF(AND(B1375&lt;&gt;"",OR($C$4="",ISNUMBER(SEARCH($C$4,C1375&amp;" "&amp;E1375&amp;" "&amp;G1375&amp;" "&amp;H1375&amp;" "&amp;I1375&amp;" "&amp;J1375&amp;" "&amp;K1375&amp;" "&amp;L1375))),OR($C$5="Semua",$C$5="",G1375=$C$5),OR($C$6="Semua",$C$6="",H1375=$C$6,H1375="Pengeluaran "&amp;$C$6,AND($C$6="Uang Kos Mama",H1375="Pengeluaran Uang Kos")),OR($C$7="Semua",$C$7="",I1375=$C$7),OR($C$8="Semua",$C$8="",C1375=$C$8,E1375=$C$8),OR($C$9="Semua",$C$9="",D1375=$C$9),OR($C$10="",B1375&gt;=$C$10),OR($C$11="",B1375&lt;=$C$11),OR($C$12&lt;&gt;"Ya",K1375&lt;&gt;""),OR($C$13="Semua",$C$13="",L1375=$C$13)),"✓","")</f>
        <v/>
      </c>
      <c r="N1375" s="93">
        <f>N(N1374)+IF(M1375="✓",1,0)</f>
        <v/>
      </c>
      <c r="O1375" s="93">
        <f>N(O1374)+IF(AND(B1375&lt;&gt;"",B1375&gt;='Uang Riba'!$H$30,B1375&lt;='Uang Riba'!$I$30,OR(H1375="Dana riba",H1375="Pinjam uang riba",I1375="Pinjam dari uang riba",I1375="Ganti uang riba",I1375="Kelebihan ganti dikembalikan",AND(C1375="Kantong Uang Riba",G1375="Pengeluaran"))),1,0)</f>
        <v/>
      </c>
      <c r="X1375" s="93">
        <f>IF(AND(B1375&lt;&gt;"",B1375&gt;='Buku Akun'!$H$4,B1375&lt;='Buku Akun'!$H$5,OR(C1375='Buku Akun'!$C$4,AND(D1375="Pindah",E1375='Buku Akun'!$C$4))),B1375+IF(AND(I1375="Selisih bunga",DAY(B1375)=1),0,0.01)+ROW()/10000000,"")</f>
        <v/>
      </c>
    </row>
    <row r="1376" outlineLevel="1" ht="15" customHeight="1" s="94">
      <c r="A1376" s="123">
        <f>IF(B1376="","",ROW()-15)</f>
        <v/>
      </c>
      <c r="B1376" s="124" t="n"/>
      <c r="C1376" s="123" t="n"/>
      <c r="D1376" s="123" t="n"/>
      <c r="E1376" s="123" t="n"/>
      <c r="F1376" s="125" t="n"/>
      <c r="G1376" s="123" t="n"/>
      <c r="H1376" s="123" t="n"/>
      <c r="I1376" s="123" t="n"/>
      <c r="J1376" s="123" t="n"/>
      <c r="K1376" s="123" t="n"/>
      <c r="L1376" s="123" t="n"/>
      <c r="M1376" s="123">
        <f>IF(AND(B1376&lt;&gt;"",OR($C$4="",ISNUMBER(SEARCH($C$4,C1376&amp;" "&amp;E1376&amp;" "&amp;G1376&amp;" "&amp;H1376&amp;" "&amp;I1376&amp;" "&amp;J1376&amp;" "&amp;K1376&amp;" "&amp;L1376))),OR($C$5="Semua",$C$5="",G1376=$C$5),OR($C$6="Semua",$C$6="",H1376=$C$6,H1376="Pengeluaran "&amp;$C$6,AND($C$6="Uang Kos Mama",H1376="Pengeluaran Uang Kos")),OR($C$7="Semua",$C$7="",I1376=$C$7),OR($C$8="Semua",$C$8="",C1376=$C$8,E1376=$C$8),OR($C$9="Semua",$C$9="",D1376=$C$9),OR($C$10="",B1376&gt;=$C$10),OR($C$11="",B1376&lt;=$C$11),OR($C$12&lt;&gt;"Ya",K1376&lt;&gt;""),OR($C$13="Semua",$C$13="",L1376=$C$13)),"✓","")</f>
        <v/>
      </c>
      <c r="N1376" s="93">
        <f>N(N1375)+IF(M1376="✓",1,0)</f>
        <v/>
      </c>
      <c r="O1376" s="93">
        <f>N(O1375)+IF(AND(B1376&lt;&gt;"",B1376&gt;='Uang Riba'!$H$30,B1376&lt;='Uang Riba'!$I$30,OR(H1376="Dana riba",H1376="Pinjam uang riba",I1376="Pinjam dari uang riba",I1376="Ganti uang riba",I1376="Kelebihan ganti dikembalikan",AND(C1376="Kantong Uang Riba",G1376="Pengeluaran"))),1,0)</f>
        <v/>
      </c>
      <c r="X1376" s="93">
        <f>IF(AND(B1376&lt;&gt;"",B1376&gt;='Buku Akun'!$H$4,B1376&lt;='Buku Akun'!$H$5,OR(C1376='Buku Akun'!$C$4,AND(D1376="Pindah",E1376='Buku Akun'!$C$4))),B1376+IF(AND(I1376="Selisih bunga",DAY(B1376)=1),0,0.01)+ROW()/10000000,"")</f>
        <v/>
      </c>
    </row>
    <row r="1377" outlineLevel="1" ht="15" customHeight="1" s="94">
      <c r="A1377" s="123">
        <f>IF(B1377="","",ROW()-15)</f>
        <v/>
      </c>
      <c r="B1377" s="124" t="n"/>
      <c r="C1377" s="123" t="n"/>
      <c r="D1377" s="123" t="n"/>
      <c r="E1377" s="123" t="n"/>
      <c r="F1377" s="125" t="n"/>
      <c r="G1377" s="123" t="n"/>
      <c r="H1377" s="123" t="n"/>
      <c r="I1377" s="123" t="n"/>
      <c r="J1377" s="123" t="n"/>
      <c r="K1377" s="123" t="n"/>
      <c r="L1377" s="123" t="n"/>
      <c r="M1377" s="123">
        <f>IF(AND(B1377&lt;&gt;"",OR($C$4="",ISNUMBER(SEARCH($C$4,C1377&amp;" "&amp;E1377&amp;" "&amp;G1377&amp;" "&amp;H1377&amp;" "&amp;I1377&amp;" "&amp;J1377&amp;" "&amp;K1377&amp;" "&amp;L1377))),OR($C$5="Semua",$C$5="",G1377=$C$5),OR($C$6="Semua",$C$6="",H1377=$C$6,H1377="Pengeluaran "&amp;$C$6,AND($C$6="Uang Kos Mama",H1377="Pengeluaran Uang Kos")),OR($C$7="Semua",$C$7="",I1377=$C$7),OR($C$8="Semua",$C$8="",C1377=$C$8,E1377=$C$8),OR($C$9="Semua",$C$9="",D1377=$C$9),OR($C$10="",B1377&gt;=$C$10),OR($C$11="",B1377&lt;=$C$11),OR($C$12&lt;&gt;"Ya",K1377&lt;&gt;""),OR($C$13="Semua",$C$13="",L1377=$C$13)),"✓","")</f>
        <v/>
      </c>
      <c r="N1377" s="93">
        <f>N(N1376)+IF(M1377="✓",1,0)</f>
        <v/>
      </c>
      <c r="O1377" s="93">
        <f>N(O1376)+IF(AND(B1377&lt;&gt;"",B1377&gt;='Uang Riba'!$H$30,B1377&lt;='Uang Riba'!$I$30,OR(H1377="Dana riba",H1377="Pinjam uang riba",I1377="Pinjam dari uang riba",I1377="Ganti uang riba",I1377="Kelebihan ganti dikembalikan",AND(C1377="Kantong Uang Riba",G1377="Pengeluaran"))),1,0)</f>
        <v/>
      </c>
      <c r="X1377" s="93">
        <f>IF(AND(B1377&lt;&gt;"",B1377&gt;='Buku Akun'!$H$4,B1377&lt;='Buku Akun'!$H$5,OR(C1377='Buku Akun'!$C$4,AND(D1377="Pindah",E1377='Buku Akun'!$C$4))),B1377+IF(AND(I1377="Selisih bunga",DAY(B1377)=1),0,0.01)+ROW()/10000000,"")</f>
        <v/>
      </c>
    </row>
    <row r="1378" outlineLevel="1" ht="15" customHeight="1" s="94">
      <c r="A1378" s="123">
        <f>IF(B1378="","",ROW()-15)</f>
        <v/>
      </c>
      <c r="B1378" s="124" t="n"/>
      <c r="C1378" s="123" t="n"/>
      <c r="D1378" s="123" t="n"/>
      <c r="E1378" s="123" t="n"/>
      <c r="F1378" s="125" t="n"/>
      <c r="G1378" s="123" t="n"/>
      <c r="H1378" s="123" t="n"/>
      <c r="I1378" s="123" t="n"/>
      <c r="J1378" s="123" t="n"/>
      <c r="K1378" s="123" t="n"/>
      <c r="L1378" s="123" t="n"/>
      <c r="M1378" s="123">
        <f>IF(AND(B1378&lt;&gt;"",OR($C$4="",ISNUMBER(SEARCH($C$4,C1378&amp;" "&amp;E1378&amp;" "&amp;G1378&amp;" "&amp;H1378&amp;" "&amp;I1378&amp;" "&amp;J1378&amp;" "&amp;K1378&amp;" "&amp;L1378))),OR($C$5="Semua",$C$5="",G1378=$C$5),OR($C$6="Semua",$C$6="",H1378=$C$6,H1378="Pengeluaran "&amp;$C$6,AND($C$6="Uang Kos Mama",H1378="Pengeluaran Uang Kos")),OR($C$7="Semua",$C$7="",I1378=$C$7),OR($C$8="Semua",$C$8="",C1378=$C$8,E1378=$C$8),OR($C$9="Semua",$C$9="",D1378=$C$9),OR($C$10="",B1378&gt;=$C$10),OR($C$11="",B1378&lt;=$C$11),OR($C$12&lt;&gt;"Ya",K1378&lt;&gt;""),OR($C$13="Semua",$C$13="",L1378=$C$13)),"✓","")</f>
        <v/>
      </c>
      <c r="N1378" s="93">
        <f>N(N1377)+IF(M1378="✓",1,0)</f>
        <v/>
      </c>
      <c r="O1378" s="93">
        <f>N(O1377)+IF(AND(B1378&lt;&gt;"",B1378&gt;='Uang Riba'!$H$30,B1378&lt;='Uang Riba'!$I$30,OR(H1378="Dana riba",H1378="Pinjam uang riba",I1378="Pinjam dari uang riba",I1378="Ganti uang riba",I1378="Kelebihan ganti dikembalikan",AND(C1378="Kantong Uang Riba",G1378="Pengeluaran"))),1,0)</f>
        <v/>
      </c>
      <c r="X1378" s="93">
        <f>IF(AND(B1378&lt;&gt;"",B1378&gt;='Buku Akun'!$H$4,B1378&lt;='Buku Akun'!$H$5,OR(C1378='Buku Akun'!$C$4,AND(D1378="Pindah",E1378='Buku Akun'!$C$4))),B1378+IF(AND(I1378="Selisih bunga",DAY(B1378)=1),0,0.01)+ROW()/10000000,"")</f>
        <v/>
      </c>
    </row>
    <row r="1379" outlineLevel="1" ht="15" customHeight="1" s="94">
      <c r="A1379" s="123">
        <f>IF(B1379="","",ROW()-15)</f>
        <v/>
      </c>
      <c r="B1379" s="124" t="n"/>
      <c r="C1379" s="123" t="n"/>
      <c r="D1379" s="123" t="n"/>
      <c r="E1379" s="123" t="n"/>
      <c r="F1379" s="125" t="n"/>
      <c r="G1379" s="123" t="n"/>
      <c r="H1379" s="123" t="n"/>
      <c r="I1379" s="123" t="n"/>
      <c r="J1379" s="123" t="n"/>
      <c r="K1379" s="123" t="n"/>
      <c r="L1379" s="123" t="n"/>
      <c r="M1379" s="123">
        <f>IF(AND(B1379&lt;&gt;"",OR($C$4="",ISNUMBER(SEARCH($C$4,C1379&amp;" "&amp;E1379&amp;" "&amp;G1379&amp;" "&amp;H1379&amp;" "&amp;I1379&amp;" "&amp;J1379&amp;" "&amp;K1379&amp;" "&amp;L1379))),OR($C$5="Semua",$C$5="",G1379=$C$5),OR($C$6="Semua",$C$6="",H1379=$C$6,H1379="Pengeluaran "&amp;$C$6,AND($C$6="Uang Kos Mama",H1379="Pengeluaran Uang Kos")),OR($C$7="Semua",$C$7="",I1379=$C$7),OR($C$8="Semua",$C$8="",C1379=$C$8,E1379=$C$8),OR($C$9="Semua",$C$9="",D1379=$C$9),OR($C$10="",B1379&gt;=$C$10),OR($C$11="",B1379&lt;=$C$11),OR($C$12&lt;&gt;"Ya",K1379&lt;&gt;""),OR($C$13="Semua",$C$13="",L1379=$C$13)),"✓","")</f>
        <v/>
      </c>
      <c r="N1379" s="93">
        <f>N(N1378)+IF(M1379="✓",1,0)</f>
        <v/>
      </c>
      <c r="O1379" s="93">
        <f>N(O1378)+IF(AND(B1379&lt;&gt;"",B1379&gt;='Uang Riba'!$H$30,B1379&lt;='Uang Riba'!$I$30,OR(H1379="Dana riba",H1379="Pinjam uang riba",I1379="Pinjam dari uang riba",I1379="Ganti uang riba",I1379="Kelebihan ganti dikembalikan",AND(C1379="Kantong Uang Riba",G1379="Pengeluaran"))),1,0)</f>
        <v/>
      </c>
      <c r="X1379" s="93">
        <f>IF(AND(B1379&lt;&gt;"",B1379&gt;='Buku Akun'!$H$4,B1379&lt;='Buku Akun'!$H$5,OR(C1379='Buku Akun'!$C$4,AND(D1379="Pindah",E1379='Buku Akun'!$C$4))),B1379+IF(AND(I1379="Selisih bunga",DAY(B1379)=1),0,0.01)+ROW()/10000000,"")</f>
        <v/>
      </c>
    </row>
    <row r="1380" outlineLevel="1" ht="15" customHeight="1" s="94">
      <c r="A1380" s="123">
        <f>IF(B1380="","",ROW()-15)</f>
        <v/>
      </c>
      <c r="B1380" s="124" t="n"/>
      <c r="C1380" s="123" t="n"/>
      <c r="D1380" s="123" t="n"/>
      <c r="E1380" s="123" t="n"/>
      <c r="F1380" s="125" t="n"/>
      <c r="G1380" s="123" t="n"/>
      <c r="H1380" s="123" t="n"/>
      <c r="I1380" s="123" t="n"/>
      <c r="J1380" s="123" t="n"/>
      <c r="K1380" s="123" t="n"/>
      <c r="L1380" s="123" t="n"/>
      <c r="M1380" s="123">
        <f>IF(AND(B1380&lt;&gt;"",OR($C$4="",ISNUMBER(SEARCH($C$4,C1380&amp;" "&amp;E1380&amp;" "&amp;G1380&amp;" "&amp;H1380&amp;" "&amp;I1380&amp;" "&amp;J1380&amp;" "&amp;K1380&amp;" "&amp;L1380))),OR($C$5="Semua",$C$5="",G1380=$C$5),OR($C$6="Semua",$C$6="",H1380=$C$6,H1380="Pengeluaran "&amp;$C$6,AND($C$6="Uang Kos Mama",H1380="Pengeluaran Uang Kos")),OR($C$7="Semua",$C$7="",I1380=$C$7),OR($C$8="Semua",$C$8="",C1380=$C$8,E1380=$C$8),OR($C$9="Semua",$C$9="",D1380=$C$9),OR($C$10="",B1380&gt;=$C$10),OR($C$11="",B1380&lt;=$C$11),OR($C$12&lt;&gt;"Ya",K1380&lt;&gt;""),OR($C$13="Semua",$C$13="",L1380=$C$13)),"✓","")</f>
        <v/>
      </c>
      <c r="N1380" s="93">
        <f>N(N1379)+IF(M1380="✓",1,0)</f>
        <v/>
      </c>
      <c r="O1380" s="93">
        <f>N(O1379)+IF(AND(B1380&lt;&gt;"",B1380&gt;='Uang Riba'!$H$30,B1380&lt;='Uang Riba'!$I$30,OR(H1380="Dana riba",H1380="Pinjam uang riba",I1380="Pinjam dari uang riba",I1380="Ganti uang riba",I1380="Kelebihan ganti dikembalikan",AND(C1380="Kantong Uang Riba",G1380="Pengeluaran"))),1,0)</f>
        <v/>
      </c>
      <c r="X1380" s="93">
        <f>IF(AND(B1380&lt;&gt;"",B1380&gt;='Buku Akun'!$H$4,B1380&lt;='Buku Akun'!$H$5,OR(C1380='Buku Akun'!$C$4,AND(D1380="Pindah",E1380='Buku Akun'!$C$4))),B1380+IF(AND(I1380="Selisih bunga",DAY(B1380)=1),0,0.01)+ROW()/10000000,"")</f>
        <v/>
      </c>
    </row>
    <row r="1381" outlineLevel="1" ht="15" customHeight="1" s="94">
      <c r="A1381" s="123">
        <f>IF(B1381="","",ROW()-15)</f>
        <v/>
      </c>
      <c r="B1381" s="124" t="n"/>
      <c r="C1381" s="123" t="n"/>
      <c r="D1381" s="123" t="n"/>
      <c r="E1381" s="123" t="n"/>
      <c r="F1381" s="125" t="n"/>
      <c r="G1381" s="123" t="n"/>
      <c r="H1381" s="123" t="n"/>
      <c r="I1381" s="123" t="n"/>
      <c r="J1381" s="123" t="n"/>
      <c r="K1381" s="123" t="n"/>
      <c r="L1381" s="123" t="n"/>
      <c r="M1381" s="123">
        <f>IF(AND(B1381&lt;&gt;"",OR($C$4="",ISNUMBER(SEARCH($C$4,C1381&amp;" "&amp;E1381&amp;" "&amp;G1381&amp;" "&amp;H1381&amp;" "&amp;I1381&amp;" "&amp;J1381&amp;" "&amp;K1381&amp;" "&amp;L1381))),OR($C$5="Semua",$C$5="",G1381=$C$5),OR($C$6="Semua",$C$6="",H1381=$C$6,H1381="Pengeluaran "&amp;$C$6,AND($C$6="Uang Kos Mama",H1381="Pengeluaran Uang Kos")),OR($C$7="Semua",$C$7="",I1381=$C$7),OR($C$8="Semua",$C$8="",C1381=$C$8,E1381=$C$8),OR($C$9="Semua",$C$9="",D1381=$C$9),OR($C$10="",B1381&gt;=$C$10),OR($C$11="",B1381&lt;=$C$11),OR($C$12&lt;&gt;"Ya",K1381&lt;&gt;""),OR($C$13="Semua",$C$13="",L1381=$C$13)),"✓","")</f>
        <v/>
      </c>
      <c r="N1381" s="93">
        <f>N(N1380)+IF(M1381="✓",1,0)</f>
        <v/>
      </c>
      <c r="O1381" s="93">
        <f>N(O1380)+IF(AND(B1381&lt;&gt;"",B1381&gt;='Uang Riba'!$H$30,B1381&lt;='Uang Riba'!$I$30,OR(H1381="Dana riba",H1381="Pinjam uang riba",I1381="Pinjam dari uang riba",I1381="Ganti uang riba",I1381="Kelebihan ganti dikembalikan",AND(C1381="Kantong Uang Riba",G1381="Pengeluaran"))),1,0)</f>
        <v/>
      </c>
      <c r="X1381" s="93">
        <f>IF(AND(B1381&lt;&gt;"",B1381&gt;='Buku Akun'!$H$4,B1381&lt;='Buku Akun'!$H$5,OR(C1381='Buku Akun'!$C$4,AND(D1381="Pindah",E1381='Buku Akun'!$C$4))),B1381+IF(AND(I1381="Selisih bunga",DAY(B1381)=1),0,0.01)+ROW()/10000000,"")</f>
        <v/>
      </c>
    </row>
    <row r="1382" outlineLevel="1" ht="15" customHeight="1" s="94">
      <c r="A1382" s="123">
        <f>IF(B1382="","",ROW()-15)</f>
        <v/>
      </c>
      <c r="B1382" s="124" t="n"/>
      <c r="C1382" s="123" t="n"/>
      <c r="D1382" s="123" t="n"/>
      <c r="E1382" s="123" t="n"/>
      <c r="F1382" s="125" t="n"/>
      <c r="G1382" s="123" t="n"/>
      <c r="H1382" s="123" t="n"/>
      <c r="I1382" s="123" t="n"/>
      <c r="J1382" s="123" t="n"/>
      <c r="K1382" s="123" t="n"/>
      <c r="L1382" s="123" t="n"/>
      <c r="M1382" s="123">
        <f>IF(AND(B1382&lt;&gt;"",OR($C$4="",ISNUMBER(SEARCH($C$4,C1382&amp;" "&amp;E1382&amp;" "&amp;G1382&amp;" "&amp;H1382&amp;" "&amp;I1382&amp;" "&amp;J1382&amp;" "&amp;K1382&amp;" "&amp;L1382))),OR($C$5="Semua",$C$5="",G1382=$C$5),OR($C$6="Semua",$C$6="",H1382=$C$6,H1382="Pengeluaran "&amp;$C$6,AND($C$6="Uang Kos Mama",H1382="Pengeluaran Uang Kos")),OR($C$7="Semua",$C$7="",I1382=$C$7),OR($C$8="Semua",$C$8="",C1382=$C$8,E1382=$C$8),OR($C$9="Semua",$C$9="",D1382=$C$9),OR($C$10="",B1382&gt;=$C$10),OR($C$11="",B1382&lt;=$C$11),OR($C$12&lt;&gt;"Ya",K1382&lt;&gt;""),OR($C$13="Semua",$C$13="",L1382=$C$13)),"✓","")</f>
        <v/>
      </c>
      <c r="N1382" s="93">
        <f>N(N1381)+IF(M1382="✓",1,0)</f>
        <v/>
      </c>
      <c r="O1382" s="93">
        <f>N(O1381)+IF(AND(B1382&lt;&gt;"",B1382&gt;='Uang Riba'!$H$30,B1382&lt;='Uang Riba'!$I$30,OR(H1382="Dana riba",H1382="Pinjam uang riba",I1382="Pinjam dari uang riba",I1382="Ganti uang riba",I1382="Kelebihan ganti dikembalikan",AND(C1382="Kantong Uang Riba",G1382="Pengeluaran"))),1,0)</f>
        <v/>
      </c>
      <c r="X1382" s="93">
        <f>IF(AND(B1382&lt;&gt;"",B1382&gt;='Buku Akun'!$H$4,B1382&lt;='Buku Akun'!$H$5,OR(C1382='Buku Akun'!$C$4,AND(D1382="Pindah",E1382='Buku Akun'!$C$4))),B1382+IF(AND(I1382="Selisih bunga",DAY(B1382)=1),0,0.01)+ROW()/10000000,"")</f>
        <v/>
      </c>
    </row>
    <row r="1383" outlineLevel="1" ht="15" customHeight="1" s="94">
      <c r="A1383" s="123">
        <f>IF(B1383="","",ROW()-15)</f>
        <v/>
      </c>
      <c r="B1383" s="124" t="n"/>
      <c r="C1383" s="123" t="n"/>
      <c r="D1383" s="123" t="n"/>
      <c r="E1383" s="123" t="n"/>
      <c r="F1383" s="125" t="n"/>
      <c r="G1383" s="123" t="n"/>
      <c r="H1383" s="123" t="n"/>
      <c r="I1383" s="123" t="n"/>
      <c r="J1383" s="123" t="n"/>
      <c r="K1383" s="123" t="n"/>
      <c r="L1383" s="123" t="n"/>
      <c r="M1383" s="123">
        <f>IF(AND(B1383&lt;&gt;"",OR($C$4="",ISNUMBER(SEARCH($C$4,C1383&amp;" "&amp;E1383&amp;" "&amp;G1383&amp;" "&amp;H1383&amp;" "&amp;I1383&amp;" "&amp;J1383&amp;" "&amp;K1383&amp;" "&amp;L1383))),OR($C$5="Semua",$C$5="",G1383=$C$5),OR($C$6="Semua",$C$6="",H1383=$C$6,H1383="Pengeluaran "&amp;$C$6,AND($C$6="Uang Kos Mama",H1383="Pengeluaran Uang Kos")),OR($C$7="Semua",$C$7="",I1383=$C$7),OR($C$8="Semua",$C$8="",C1383=$C$8,E1383=$C$8),OR($C$9="Semua",$C$9="",D1383=$C$9),OR($C$10="",B1383&gt;=$C$10),OR($C$11="",B1383&lt;=$C$11),OR($C$12&lt;&gt;"Ya",K1383&lt;&gt;""),OR($C$13="Semua",$C$13="",L1383=$C$13)),"✓","")</f>
        <v/>
      </c>
      <c r="N1383" s="93">
        <f>N(N1382)+IF(M1383="✓",1,0)</f>
        <v/>
      </c>
      <c r="O1383" s="93">
        <f>N(O1382)+IF(AND(B1383&lt;&gt;"",B1383&gt;='Uang Riba'!$H$30,B1383&lt;='Uang Riba'!$I$30,OR(H1383="Dana riba",H1383="Pinjam uang riba",I1383="Pinjam dari uang riba",I1383="Ganti uang riba",I1383="Kelebihan ganti dikembalikan",AND(C1383="Kantong Uang Riba",G1383="Pengeluaran"))),1,0)</f>
        <v/>
      </c>
      <c r="X1383" s="93">
        <f>IF(AND(B1383&lt;&gt;"",B1383&gt;='Buku Akun'!$H$4,B1383&lt;='Buku Akun'!$H$5,OR(C1383='Buku Akun'!$C$4,AND(D1383="Pindah",E1383='Buku Akun'!$C$4))),B1383+IF(AND(I1383="Selisih bunga",DAY(B1383)=1),0,0.01)+ROW()/10000000,"")</f>
        <v/>
      </c>
    </row>
    <row r="1384" outlineLevel="1" ht="15" customHeight="1" s="94">
      <c r="A1384" s="123">
        <f>IF(B1384="","",ROW()-15)</f>
        <v/>
      </c>
      <c r="B1384" s="124" t="n"/>
      <c r="C1384" s="123" t="n"/>
      <c r="D1384" s="123" t="n"/>
      <c r="E1384" s="123" t="n"/>
      <c r="F1384" s="125" t="n"/>
      <c r="G1384" s="123" t="n"/>
      <c r="H1384" s="123" t="n"/>
      <c r="I1384" s="123" t="n"/>
      <c r="J1384" s="123" t="n"/>
      <c r="K1384" s="123" t="n"/>
      <c r="L1384" s="123" t="n"/>
      <c r="M1384" s="123">
        <f>IF(AND(B1384&lt;&gt;"",OR($C$4="",ISNUMBER(SEARCH($C$4,C1384&amp;" "&amp;E1384&amp;" "&amp;G1384&amp;" "&amp;H1384&amp;" "&amp;I1384&amp;" "&amp;J1384&amp;" "&amp;K1384&amp;" "&amp;L1384))),OR($C$5="Semua",$C$5="",G1384=$C$5),OR($C$6="Semua",$C$6="",H1384=$C$6,H1384="Pengeluaran "&amp;$C$6,AND($C$6="Uang Kos Mama",H1384="Pengeluaran Uang Kos")),OR($C$7="Semua",$C$7="",I1384=$C$7),OR($C$8="Semua",$C$8="",C1384=$C$8,E1384=$C$8),OR($C$9="Semua",$C$9="",D1384=$C$9),OR($C$10="",B1384&gt;=$C$10),OR($C$11="",B1384&lt;=$C$11),OR($C$12&lt;&gt;"Ya",K1384&lt;&gt;""),OR($C$13="Semua",$C$13="",L1384=$C$13)),"✓","")</f>
        <v/>
      </c>
      <c r="N1384" s="93">
        <f>N(N1383)+IF(M1384="✓",1,0)</f>
        <v/>
      </c>
      <c r="O1384" s="93">
        <f>N(O1383)+IF(AND(B1384&lt;&gt;"",B1384&gt;='Uang Riba'!$H$30,B1384&lt;='Uang Riba'!$I$30,OR(H1384="Dana riba",H1384="Pinjam uang riba",I1384="Pinjam dari uang riba",I1384="Ganti uang riba",I1384="Kelebihan ganti dikembalikan",AND(C1384="Kantong Uang Riba",G1384="Pengeluaran"))),1,0)</f>
        <v/>
      </c>
      <c r="X1384" s="93">
        <f>IF(AND(B1384&lt;&gt;"",B1384&gt;='Buku Akun'!$H$4,B1384&lt;='Buku Akun'!$H$5,OR(C1384='Buku Akun'!$C$4,AND(D1384="Pindah",E1384='Buku Akun'!$C$4))),B1384+IF(AND(I1384="Selisih bunga",DAY(B1384)=1),0,0.01)+ROW()/10000000,"")</f>
        <v/>
      </c>
    </row>
    <row r="1385" outlineLevel="1" ht="15" customHeight="1" s="94">
      <c r="A1385" s="123">
        <f>IF(B1385="","",ROW()-15)</f>
        <v/>
      </c>
      <c r="B1385" s="124" t="n"/>
      <c r="C1385" s="123" t="n"/>
      <c r="D1385" s="123" t="n"/>
      <c r="E1385" s="123" t="n"/>
      <c r="F1385" s="125" t="n"/>
      <c r="G1385" s="123" t="n"/>
      <c r="H1385" s="123" t="n"/>
      <c r="I1385" s="123" t="n"/>
      <c r="J1385" s="123" t="n"/>
      <c r="K1385" s="123" t="n"/>
      <c r="L1385" s="123" t="n"/>
      <c r="M1385" s="123">
        <f>IF(AND(B1385&lt;&gt;"",OR($C$4="",ISNUMBER(SEARCH($C$4,C1385&amp;" "&amp;E1385&amp;" "&amp;G1385&amp;" "&amp;H1385&amp;" "&amp;I1385&amp;" "&amp;J1385&amp;" "&amp;K1385&amp;" "&amp;L1385))),OR($C$5="Semua",$C$5="",G1385=$C$5),OR($C$6="Semua",$C$6="",H1385=$C$6,H1385="Pengeluaran "&amp;$C$6,AND($C$6="Uang Kos Mama",H1385="Pengeluaran Uang Kos")),OR($C$7="Semua",$C$7="",I1385=$C$7),OR($C$8="Semua",$C$8="",C1385=$C$8,E1385=$C$8),OR($C$9="Semua",$C$9="",D1385=$C$9),OR($C$10="",B1385&gt;=$C$10),OR($C$11="",B1385&lt;=$C$11),OR($C$12&lt;&gt;"Ya",K1385&lt;&gt;""),OR($C$13="Semua",$C$13="",L1385=$C$13)),"✓","")</f>
        <v/>
      </c>
      <c r="N1385" s="93">
        <f>N(N1384)+IF(M1385="✓",1,0)</f>
        <v/>
      </c>
      <c r="O1385" s="93">
        <f>N(O1384)+IF(AND(B1385&lt;&gt;"",B1385&gt;='Uang Riba'!$H$30,B1385&lt;='Uang Riba'!$I$30,OR(H1385="Dana riba",H1385="Pinjam uang riba",I1385="Pinjam dari uang riba",I1385="Ganti uang riba",I1385="Kelebihan ganti dikembalikan",AND(C1385="Kantong Uang Riba",G1385="Pengeluaran"))),1,0)</f>
        <v/>
      </c>
      <c r="X1385" s="93">
        <f>IF(AND(B1385&lt;&gt;"",B1385&gt;='Buku Akun'!$H$4,B1385&lt;='Buku Akun'!$H$5,OR(C1385='Buku Akun'!$C$4,AND(D1385="Pindah",E1385='Buku Akun'!$C$4))),B1385+IF(AND(I1385="Selisih bunga",DAY(B1385)=1),0,0.01)+ROW()/10000000,"")</f>
        <v/>
      </c>
    </row>
    <row r="1386" outlineLevel="1" ht="15" customHeight="1" s="94">
      <c r="A1386" s="123">
        <f>IF(B1386="","",ROW()-15)</f>
        <v/>
      </c>
      <c r="B1386" s="124" t="n"/>
      <c r="C1386" s="123" t="n"/>
      <c r="D1386" s="123" t="n"/>
      <c r="E1386" s="123" t="n"/>
      <c r="F1386" s="125" t="n"/>
      <c r="G1386" s="123" t="n"/>
      <c r="H1386" s="123" t="n"/>
      <c r="I1386" s="123" t="n"/>
      <c r="J1386" s="123" t="n"/>
      <c r="K1386" s="123" t="n"/>
      <c r="L1386" s="123" t="n"/>
      <c r="M1386" s="123">
        <f>IF(AND(B1386&lt;&gt;"",OR($C$4="",ISNUMBER(SEARCH($C$4,C1386&amp;" "&amp;E1386&amp;" "&amp;G1386&amp;" "&amp;H1386&amp;" "&amp;I1386&amp;" "&amp;J1386&amp;" "&amp;K1386&amp;" "&amp;L1386))),OR($C$5="Semua",$C$5="",G1386=$C$5),OR($C$6="Semua",$C$6="",H1386=$C$6,H1386="Pengeluaran "&amp;$C$6,AND($C$6="Uang Kos Mama",H1386="Pengeluaran Uang Kos")),OR($C$7="Semua",$C$7="",I1386=$C$7),OR($C$8="Semua",$C$8="",C1386=$C$8,E1386=$C$8),OR($C$9="Semua",$C$9="",D1386=$C$9),OR($C$10="",B1386&gt;=$C$10),OR($C$11="",B1386&lt;=$C$11),OR($C$12&lt;&gt;"Ya",K1386&lt;&gt;""),OR($C$13="Semua",$C$13="",L1386=$C$13)),"✓","")</f>
        <v/>
      </c>
      <c r="N1386" s="93">
        <f>N(N1385)+IF(M1386="✓",1,0)</f>
        <v/>
      </c>
      <c r="O1386" s="93">
        <f>N(O1385)+IF(AND(B1386&lt;&gt;"",B1386&gt;='Uang Riba'!$H$30,B1386&lt;='Uang Riba'!$I$30,OR(H1386="Dana riba",H1386="Pinjam uang riba",I1386="Pinjam dari uang riba",I1386="Ganti uang riba",I1386="Kelebihan ganti dikembalikan",AND(C1386="Kantong Uang Riba",G1386="Pengeluaran"))),1,0)</f>
        <v/>
      </c>
      <c r="X1386" s="93">
        <f>IF(AND(B1386&lt;&gt;"",B1386&gt;='Buku Akun'!$H$4,B1386&lt;='Buku Akun'!$H$5,OR(C1386='Buku Akun'!$C$4,AND(D1386="Pindah",E1386='Buku Akun'!$C$4))),B1386+IF(AND(I1386="Selisih bunga",DAY(B1386)=1),0,0.01)+ROW()/10000000,"")</f>
        <v/>
      </c>
    </row>
    <row r="1387" outlineLevel="1" ht="15" customHeight="1" s="94">
      <c r="A1387" s="123">
        <f>IF(B1387="","",ROW()-15)</f>
        <v/>
      </c>
      <c r="B1387" s="124" t="n"/>
      <c r="C1387" s="123" t="n"/>
      <c r="D1387" s="123" t="n"/>
      <c r="E1387" s="123" t="n"/>
      <c r="F1387" s="125" t="n"/>
      <c r="G1387" s="123" t="n"/>
      <c r="H1387" s="123" t="n"/>
      <c r="I1387" s="123" t="n"/>
      <c r="J1387" s="123" t="n"/>
      <c r="K1387" s="123" t="n"/>
      <c r="L1387" s="123" t="n"/>
      <c r="M1387" s="123">
        <f>IF(AND(B1387&lt;&gt;"",OR($C$4="",ISNUMBER(SEARCH($C$4,C1387&amp;" "&amp;E1387&amp;" "&amp;G1387&amp;" "&amp;H1387&amp;" "&amp;I1387&amp;" "&amp;J1387&amp;" "&amp;K1387&amp;" "&amp;L1387))),OR($C$5="Semua",$C$5="",G1387=$C$5),OR($C$6="Semua",$C$6="",H1387=$C$6,H1387="Pengeluaran "&amp;$C$6,AND($C$6="Uang Kos Mama",H1387="Pengeluaran Uang Kos")),OR($C$7="Semua",$C$7="",I1387=$C$7),OR($C$8="Semua",$C$8="",C1387=$C$8,E1387=$C$8),OR($C$9="Semua",$C$9="",D1387=$C$9),OR($C$10="",B1387&gt;=$C$10),OR($C$11="",B1387&lt;=$C$11),OR($C$12&lt;&gt;"Ya",K1387&lt;&gt;""),OR($C$13="Semua",$C$13="",L1387=$C$13)),"✓","")</f>
        <v/>
      </c>
      <c r="N1387" s="93">
        <f>N(N1386)+IF(M1387="✓",1,0)</f>
        <v/>
      </c>
      <c r="O1387" s="93">
        <f>N(O1386)+IF(AND(B1387&lt;&gt;"",B1387&gt;='Uang Riba'!$H$30,B1387&lt;='Uang Riba'!$I$30,OR(H1387="Dana riba",H1387="Pinjam uang riba",I1387="Pinjam dari uang riba",I1387="Ganti uang riba",I1387="Kelebihan ganti dikembalikan",AND(C1387="Kantong Uang Riba",G1387="Pengeluaran"))),1,0)</f>
        <v/>
      </c>
      <c r="X1387" s="93">
        <f>IF(AND(B1387&lt;&gt;"",B1387&gt;='Buku Akun'!$H$4,B1387&lt;='Buku Akun'!$H$5,OR(C1387='Buku Akun'!$C$4,AND(D1387="Pindah",E1387='Buku Akun'!$C$4))),B1387+IF(AND(I1387="Selisih bunga",DAY(B1387)=1),0,0.01)+ROW()/10000000,"")</f>
        <v/>
      </c>
    </row>
    <row r="1388" outlineLevel="1" ht="15" customHeight="1" s="94">
      <c r="A1388" s="123">
        <f>IF(B1388="","",ROW()-15)</f>
        <v/>
      </c>
      <c r="B1388" s="124" t="n"/>
      <c r="C1388" s="123" t="n"/>
      <c r="D1388" s="123" t="n"/>
      <c r="E1388" s="123" t="n"/>
      <c r="F1388" s="125" t="n"/>
      <c r="G1388" s="123" t="n"/>
      <c r="H1388" s="123" t="n"/>
      <c r="I1388" s="123" t="n"/>
      <c r="J1388" s="123" t="n"/>
      <c r="K1388" s="123" t="n"/>
      <c r="L1388" s="123" t="n"/>
      <c r="M1388" s="123">
        <f>IF(AND(B1388&lt;&gt;"",OR($C$4="",ISNUMBER(SEARCH($C$4,C1388&amp;" "&amp;E1388&amp;" "&amp;G1388&amp;" "&amp;H1388&amp;" "&amp;I1388&amp;" "&amp;J1388&amp;" "&amp;K1388&amp;" "&amp;L1388))),OR($C$5="Semua",$C$5="",G1388=$C$5),OR($C$6="Semua",$C$6="",H1388=$C$6,H1388="Pengeluaran "&amp;$C$6,AND($C$6="Uang Kos Mama",H1388="Pengeluaran Uang Kos")),OR($C$7="Semua",$C$7="",I1388=$C$7),OR($C$8="Semua",$C$8="",C1388=$C$8,E1388=$C$8),OR($C$9="Semua",$C$9="",D1388=$C$9),OR($C$10="",B1388&gt;=$C$10),OR($C$11="",B1388&lt;=$C$11),OR($C$12&lt;&gt;"Ya",K1388&lt;&gt;""),OR($C$13="Semua",$C$13="",L1388=$C$13)),"✓","")</f>
        <v/>
      </c>
      <c r="N1388" s="93">
        <f>N(N1387)+IF(M1388="✓",1,0)</f>
        <v/>
      </c>
      <c r="O1388" s="93">
        <f>N(O1387)+IF(AND(B1388&lt;&gt;"",B1388&gt;='Uang Riba'!$H$30,B1388&lt;='Uang Riba'!$I$30,OR(H1388="Dana riba",H1388="Pinjam uang riba",I1388="Pinjam dari uang riba",I1388="Ganti uang riba",I1388="Kelebihan ganti dikembalikan",AND(C1388="Kantong Uang Riba",G1388="Pengeluaran"))),1,0)</f>
        <v/>
      </c>
      <c r="X1388" s="93">
        <f>IF(AND(B1388&lt;&gt;"",B1388&gt;='Buku Akun'!$H$4,B1388&lt;='Buku Akun'!$H$5,OR(C1388='Buku Akun'!$C$4,AND(D1388="Pindah",E1388='Buku Akun'!$C$4))),B1388+IF(AND(I1388="Selisih bunga",DAY(B1388)=1),0,0.01)+ROW()/10000000,"")</f>
        <v/>
      </c>
    </row>
    <row r="1389" outlineLevel="1" ht="15" customHeight="1" s="94">
      <c r="A1389" s="123">
        <f>IF(B1389="","",ROW()-15)</f>
        <v/>
      </c>
      <c r="B1389" s="124" t="n"/>
      <c r="C1389" s="123" t="n"/>
      <c r="D1389" s="123" t="n"/>
      <c r="E1389" s="123" t="n"/>
      <c r="F1389" s="125" t="n"/>
      <c r="G1389" s="123" t="n"/>
      <c r="H1389" s="123" t="n"/>
      <c r="I1389" s="123" t="n"/>
      <c r="J1389" s="123" t="n"/>
      <c r="K1389" s="123" t="n"/>
      <c r="L1389" s="123" t="n"/>
      <c r="M1389" s="123">
        <f>IF(AND(B1389&lt;&gt;"",OR($C$4="",ISNUMBER(SEARCH($C$4,C1389&amp;" "&amp;E1389&amp;" "&amp;G1389&amp;" "&amp;H1389&amp;" "&amp;I1389&amp;" "&amp;J1389&amp;" "&amp;K1389&amp;" "&amp;L1389))),OR($C$5="Semua",$C$5="",G1389=$C$5),OR($C$6="Semua",$C$6="",H1389=$C$6,H1389="Pengeluaran "&amp;$C$6,AND($C$6="Uang Kos Mama",H1389="Pengeluaran Uang Kos")),OR($C$7="Semua",$C$7="",I1389=$C$7),OR($C$8="Semua",$C$8="",C1389=$C$8,E1389=$C$8),OR($C$9="Semua",$C$9="",D1389=$C$9),OR($C$10="",B1389&gt;=$C$10),OR($C$11="",B1389&lt;=$C$11),OR($C$12&lt;&gt;"Ya",K1389&lt;&gt;""),OR($C$13="Semua",$C$13="",L1389=$C$13)),"✓","")</f>
        <v/>
      </c>
      <c r="N1389" s="93">
        <f>N(N1388)+IF(M1389="✓",1,0)</f>
        <v/>
      </c>
      <c r="O1389" s="93">
        <f>N(O1388)+IF(AND(B1389&lt;&gt;"",B1389&gt;='Uang Riba'!$H$30,B1389&lt;='Uang Riba'!$I$30,OR(H1389="Dana riba",H1389="Pinjam uang riba",I1389="Pinjam dari uang riba",I1389="Ganti uang riba",I1389="Kelebihan ganti dikembalikan",AND(C1389="Kantong Uang Riba",G1389="Pengeluaran"))),1,0)</f>
        <v/>
      </c>
      <c r="X1389" s="93">
        <f>IF(AND(B1389&lt;&gt;"",B1389&gt;='Buku Akun'!$H$4,B1389&lt;='Buku Akun'!$H$5,OR(C1389='Buku Akun'!$C$4,AND(D1389="Pindah",E1389='Buku Akun'!$C$4))),B1389+IF(AND(I1389="Selisih bunga",DAY(B1389)=1),0,0.01)+ROW()/10000000,"")</f>
        <v/>
      </c>
    </row>
    <row r="1390" outlineLevel="1" ht="15" customHeight="1" s="94">
      <c r="A1390" s="123">
        <f>IF(B1390="","",ROW()-15)</f>
        <v/>
      </c>
      <c r="B1390" s="124" t="n"/>
      <c r="C1390" s="123" t="n"/>
      <c r="D1390" s="123" t="n"/>
      <c r="E1390" s="123" t="n"/>
      <c r="F1390" s="125" t="n"/>
      <c r="G1390" s="123" t="n"/>
      <c r="H1390" s="123" t="n"/>
      <c r="I1390" s="123" t="n"/>
      <c r="J1390" s="123" t="n"/>
      <c r="K1390" s="123" t="n"/>
      <c r="L1390" s="123" t="n"/>
      <c r="M1390" s="123">
        <f>IF(AND(B1390&lt;&gt;"",OR($C$4="",ISNUMBER(SEARCH($C$4,C1390&amp;" "&amp;E1390&amp;" "&amp;G1390&amp;" "&amp;H1390&amp;" "&amp;I1390&amp;" "&amp;J1390&amp;" "&amp;K1390&amp;" "&amp;L1390))),OR($C$5="Semua",$C$5="",G1390=$C$5),OR($C$6="Semua",$C$6="",H1390=$C$6,H1390="Pengeluaran "&amp;$C$6,AND($C$6="Uang Kos Mama",H1390="Pengeluaran Uang Kos")),OR($C$7="Semua",$C$7="",I1390=$C$7),OR($C$8="Semua",$C$8="",C1390=$C$8,E1390=$C$8),OR($C$9="Semua",$C$9="",D1390=$C$9),OR($C$10="",B1390&gt;=$C$10),OR($C$11="",B1390&lt;=$C$11),OR($C$12&lt;&gt;"Ya",K1390&lt;&gt;""),OR($C$13="Semua",$C$13="",L1390=$C$13)),"✓","")</f>
        <v/>
      </c>
      <c r="N1390" s="93">
        <f>N(N1389)+IF(M1390="✓",1,0)</f>
        <v/>
      </c>
      <c r="O1390" s="93">
        <f>N(O1389)+IF(AND(B1390&lt;&gt;"",B1390&gt;='Uang Riba'!$H$30,B1390&lt;='Uang Riba'!$I$30,OR(H1390="Dana riba",H1390="Pinjam uang riba",I1390="Pinjam dari uang riba",I1390="Ganti uang riba",I1390="Kelebihan ganti dikembalikan",AND(C1390="Kantong Uang Riba",G1390="Pengeluaran"))),1,0)</f>
        <v/>
      </c>
      <c r="X1390" s="93">
        <f>IF(AND(B1390&lt;&gt;"",B1390&gt;='Buku Akun'!$H$4,B1390&lt;='Buku Akun'!$H$5,OR(C1390='Buku Akun'!$C$4,AND(D1390="Pindah",E1390='Buku Akun'!$C$4))),B1390+IF(AND(I1390="Selisih bunga",DAY(B1390)=1),0,0.01)+ROW()/10000000,"")</f>
        <v/>
      </c>
    </row>
    <row r="1391" outlineLevel="1" ht="15" customHeight="1" s="94">
      <c r="A1391" s="123">
        <f>IF(B1391="","",ROW()-15)</f>
        <v/>
      </c>
      <c r="B1391" s="124" t="n"/>
      <c r="C1391" s="123" t="n"/>
      <c r="D1391" s="123" t="n"/>
      <c r="E1391" s="123" t="n"/>
      <c r="F1391" s="125" t="n"/>
      <c r="G1391" s="123" t="n"/>
      <c r="H1391" s="123" t="n"/>
      <c r="I1391" s="123" t="n"/>
      <c r="J1391" s="123" t="n"/>
      <c r="K1391" s="123" t="n"/>
      <c r="L1391" s="123" t="n"/>
      <c r="M1391" s="123">
        <f>IF(AND(B1391&lt;&gt;"",OR($C$4="",ISNUMBER(SEARCH($C$4,C1391&amp;" "&amp;E1391&amp;" "&amp;G1391&amp;" "&amp;H1391&amp;" "&amp;I1391&amp;" "&amp;J1391&amp;" "&amp;K1391&amp;" "&amp;L1391))),OR($C$5="Semua",$C$5="",G1391=$C$5),OR($C$6="Semua",$C$6="",H1391=$C$6,H1391="Pengeluaran "&amp;$C$6,AND($C$6="Uang Kos Mama",H1391="Pengeluaran Uang Kos")),OR($C$7="Semua",$C$7="",I1391=$C$7),OR($C$8="Semua",$C$8="",C1391=$C$8,E1391=$C$8),OR($C$9="Semua",$C$9="",D1391=$C$9),OR($C$10="",B1391&gt;=$C$10),OR($C$11="",B1391&lt;=$C$11),OR($C$12&lt;&gt;"Ya",K1391&lt;&gt;""),OR($C$13="Semua",$C$13="",L1391=$C$13)),"✓","")</f>
        <v/>
      </c>
      <c r="N1391" s="93">
        <f>N(N1390)+IF(M1391="✓",1,0)</f>
        <v/>
      </c>
      <c r="O1391" s="93">
        <f>N(O1390)+IF(AND(B1391&lt;&gt;"",B1391&gt;='Uang Riba'!$H$30,B1391&lt;='Uang Riba'!$I$30,OR(H1391="Dana riba",H1391="Pinjam uang riba",I1391="Pinjam dari uang riba",I1391="Ganti uang riba",I1391="Kelebihan ganti dikembalikan",AND(C1391="Kantong Uang Riba",G1391="Pengeluaran"))),1,0)</f>
        <v/>
      </c>
      <c r="X1391" s="93">
        <f>IF(AND(B1391&lt;&gt;"",B1391&gt;='Buku Akun'!$H$4,B1391&lt;='Buku Akun'!$H$5,OR(C1391='Buku Akun'!$C$4,AND(D1391="Pindah",E1391='Buku Akun'!$C$4))),B1391+IF(AND(I1391="Selisih bunga",DAY(B1391)=1),0,0.01)+ROW()/10000000,"")</f>
        <v/>
      </c>
    </row>
    <row r="1392" outlineLevel="1" ht="15" customHeight="1" s="94">
      <c r="A1392" s="123">
        <f>IF(B1392="","",ROW()-15)</f>
        <v/>
      </c>
      <c r="B1392" s="124" t="n"/>
      <c r="C1392" s="123" t="n"/>
      <c r="D1392" s="123" t="n"/>
      <c r="E1392" s="123" t="n"/>
      <c r="F1392" s="125" t="n"/>
      <c r="G1392" s="123" t="n"/>
      <c r="H1392" s="123" t="n"/>
      <c r="I1392" s="123" t="n"/>
      <c r="J1392" s="123" t="n"/>
      <c r="K1392" s="123" t="n"/>
      <c r="L1392" s="123" t="n"/>
      <c r="M1392" s="123">
        <f>IF(AND(B1392&lt;&gt;"",OR($C$4="",ISNUMBER(SEARCH($C$4,C1392&amp;" "&amp;E1392&amp;" "&amp;G1392&amp;" "&amp;H1392&amp;" "&amp;I1392&amp;" "&amp;J1392&amp;" "&amp;K1392&amp;" "&amp;L1392))),OR($C$5="Semua",$C$5="",G1392=$C$5),OR($C$6="Semua",$C$6="",H1392=$C$6,H1392="Pengeluaran "&amp;$C$6,AND($C$6="Uang Kos Mama",H1392="Pengeluaran Uang Kos")),OR($C$7="Semua",$C$7="",I1392=$C$7),OR($C$8="Semua",$C$8="",C1392=$C$8,E1392=$C$8),OR($C$9="Semua",$C$9="",D1392=$C$9),OR($C$10="",B1392&gt;=$C$10),OR($C$11="",B1392&lt;=$C$11),OR($C$12&lt;&gt;"Ya",K1392&lt;&gt;""),OR($C$13="Semua",$C$13="",L1392=$C$13)),"✓","")</f>
        <v/>
      </c>
      <c r="N1392" s="93">
        <f>N(N1391)+IF(M1392="✓",1,0)</f>
        <v/>
      </c>
      <c r="O1392" s="93">
        <f>N(O1391)+IF(AND(B1392&lt;&gt;"",B1392&gt;='Uang Riba'!$H$30,B1392&lt;='Uang Riba'!$I$30,OR(H1392="Dana riba",H1392="Pinjam uang riba",I1392="Pinjam dari uang riba",I1392="Ganti uang riba",I1392="Kelebihan ganti dikembalikan",AND(C1392="Kantong Uang Riba",G1392="Pengeluaran"))),1,0)</f>
        <v/>
      </c>
      <c r="X1392" s="93">
        <f>IF(AND(B1392&lt;&gt;"",B1392&gt;='Buku Akun'!$H$4,B1392&lt;='Buku Akun'!$H$5,OR(C1392='Buku Akun'!$C$4,AND(D1392="Pindah",E1392='Buku Akun'!$C$4))),B1392+IF(AND(I1392="Selisih bunga",DAY(B1392)=1),0,0.01)+ROW()/10000000,"")</f>
        <v/>
      </c>
    </row>
    <row r="1393" outlineLevel="1" ht="15" customHeight="1" s="94">
      <c r="A1393" s="123">
        <f>IF(B1393="","",ROW()-15)</f>
        <v/>
      </c>
      <c r="B1393" s="124" t="n"/>
      <c r="C1393" s="123" t="n"/>
      <c r="D1393" s="123" t="n"/>
      <c r="E1393" s="123" t="n"/>
      <c r="F1393" s="125" t="n"/>
      <c r="G1393" s="123" t="n"/>
      <c r="H1393" s="123" t="n"/>
      <c r="I1393" s="123" t="n"/>
      <c r="J1393" s="123" t="n"/>
      <c r="K1393" s="123" t="n"/>
      <c r="L1393" s="123" t="n"/>
      <c r="M1393" s="123">
        <f>IF(AND(B1393&lt;&gt;"",OR($C$4="",ISNUMBER(SEARCH($C$4,C1393&amp;" "&amp;E1393&amp;" "&amp;G1393&amp;" "&amp;H1393&amp;" "&amp;I1393&amp;" "&amp;J1393&amp;" "&amp;K1393&amp;" "&amp;L1393))),OR($C$5="Semua",$C$5="",G1393=$C$5),OR($C$6="Semua",$C$6="",H1393=$C$6,H1393="Pengeluaran "&amp;$C$6,AND($C$6="Uang Kos Mama",H1393="Pengeluaran Uang Kos")),OR($C$7="Semua",$C$7="",I1393=$C$7),OR($C$8="Semua",$C$8="",C1393=$C$8,E1393=$C$8),OR($C$9="Semua",$C$9="",D1393=$C$9),OR($C$10="",B1393&gt;=$C$10),OR($C$11="",B1393&lt;=$C$11),OR($C$12&lt;&gt;"Ya",K1393&lt;&gt;""),OR($C$13="Semua",$C$13="",L1393=$C$13)),"✓","")</f>
        <v/>
      </c>
      <c r="N1393" s="93">
        <f>N(N1392)+IF(M1393="✓",1,0)</f>
        <v/>
      </c>
      <c r="O1393" s="93">
        <f>N(O1392)+IF(AND(B1393&lt;&gt;"",B1393&gt;='Uang Riba'!$H$30,B1393&lt;='Uang Riba'!$I$30,OR(H1393="Dana riba",H1393="Pinjam uang riba",I1393="Pinjam dari uang riba",I1393="Ganti uang riba",I1393="Kelebihan ganti dikembalikan",AND(C1393="Kantong Uang Riba",G1393="Pengeluaran"))),1,0)</f>
        <v/>
      </c>
      <c r="X1393" s="93">
        <f>IF(AND(B1393&lt;&gt;"",B1393&gt;='Buku Akun'!$H$4,B1393&lt;='Buku Akun'!$H$5,OR(C1393='Buku Akun'!$C$4,AND(D1393="Pindah",E1393='Buku Akun'!$C$4))),B1393+IF(AND(I1393="Selisih bunga",DAY(B1393)=1),0,0.01)+ROW()/10000000,"")</f>
        <v/>
      </c>
    </row>
    <row r="1394" outlineLevel="1" ht="15" customHeight="1" s="94">
      <c r="A1394" s="123">
        <f>IF(B1394="","",ROW()-15)</f>
        <v/>
      </c>
      <c r="B1394" s="124" t="n"/>
      <c r="C1394" s="123" t="n"/>
      <c r="D1394" s="123" t="n"/>
      <c r="E1394" s="123" t="n"/>
      <c r="F1394" s="125" t="n"/>
      <c r="G1394" s="123" t="n"/>
      <c r="H1394" s="123" t="n"/>
      <c r="I1394" s="123" t="n"/>
      <c r="J1394" s="123" t="n"/>
      <c r="K1394" s="123" t="n"/>
      <c r="L1394" s="123" t="n"/>
      <c r="M1394" s="123">
        <f>IF(AND(B1394&lt;&gt;"",OR($C$4="",ISNUMBER(SEARCH($C$4,C1394&amp;" "&amp;E1394&amp;" "&amp;G1394&amp;" "&amp;H1394&amp;" "&amp;I1394&amp;" "&amp;J1394&amp;" "&amp;K1394&amp;" "&amp;L1394))),OR($C$5="Semua",$C$5="",G1394=$C$5),OR($C$6="Semua",$C$6="",H1394=$C$6,H1394="Pengeluaran "&amp;$C$6,AND($C$6="Uang Kos Mama",H1394="Pengeluaran Uang Kos")),OR($C$7="Semua",$C$7="",I1394=$C$7),OR($C$8="Semua",$C$8="",C1394=$C$8,E1394=$C$8),OR($C$9="Semua",$C$9="",D1394=$C$9),OR($C$10="",B1394&gt;=$C$10),OR($C$11="",B1394&lt;=$C$11),OR($C$12&lt;&gt;"Ya",K1394&lt;&gt;""),OR($C$13="Semua",$C$13="",L1394=$C$13)),"✓","")</f>
        <v/>
      </c>
      <c r="N1394" s="93">
        <f>N(N1393)+IF(M1394="✓",1,0)</f>
        <v/>
      </c>
      <c r="O1394" s="93">
        <f>N(O1393)+IF(AND(B1394&lt;&gt;"",B1394&gt;='Uang Riba'!$H$30,B1394&lt;='Uang Riba'!$I$30,OR(H1394="Dana riba",H1394="Pinjam uang riba",I1394="Pinjam dari uang riba",I1394="Ganti uang riba",I1394="Kelebihan ganti dikembalikan",AND(C1394="Kantong Uang Riba",G1394="Pengeluaran"))),1,0)</f>
        <v/>
      </c>
      <c r="X1394" s="93">
        <f>IF(AND(B1394&lt;&gt;"",B1394&gt;='Buku Akun'!$H$4,B1394&lt;='Buku Akun'!$H$5,OR(C1394='Buku Akun'!$C$4,AND(D1394="Pindah",E1394='Buku Akun'!$C$4))),B1394+IF(AND(I1394="Selisih bunga",DAY(B1394)=1),0,0.01)+ROW()/10000000,"")</f>
        <v/>
      </c>
    </row>
    <row r="1395" outlineLevel="1" ht="15" customHeight="1" s="94">
      <c r="A1395" s="123">
        <f>IF(B1395="","",ROW()-15)</f>
        <v/>
      </c>
      <c r="B1395" s="124" t="n"/>
      <c r="C1395" s="123" t="n"/>
      <c r="D1395" s="123" t="n"/>
      <c r="E1395" s="123" t="n"/>
      <c r="F1395" s="125" t="n"/>
      <c r="G1395" s="123" t="n"/>
      <c r="H1395" s="123" t="n"/>
      <c r="I1395" s="123" t="n"/>
      <c r="J1395" s="123" t="n"/>
      <c r="K1395" s="123" t="n"/>
      <c r="L1395" s="123" t="n"/>
      <c r="M1395" s="123">
        <f>IF(AND(B1395&lt;&gt;"",OR($C$4="",ISNUMBER(SEARCH($C$4,C1395&amp;" "&amp;E1395&amp;" "&amp;G1395&amp;" "&amp;H1395&amp;" "&amp;I1395&amp;" "&amp;J1395&amp;" "&amp;K1395&amp;" "&amp;L1395))),OR($C$5="Semua",$C$5="",G1395=$C$5),OR($C$6="Semua",$C$6="",H1395=$C$6,H1395="Pengeluaran "&amp;$C$6,AND($C$6="Uang Kos Mama",H1395="Pengeluaran Uang Kos")),OR($C$7="Semua",$C$7="",I1395=$C$7),OR($C$8="Semua",$C$8="",C1395=$C$8,E1395=$C$8),OR($C$9="Semua",$C$9="",D1395=$C$9),OR($C$10="",B1395&gt;=$C$10),OR($C$11="",B1395&lt;=$C$11),OR($C$12&lt;&gt;"Ya",K1395&lt;&gt;""),OR($C$13="Semua",$C$13="",L1395=$C$13)),"✓","")</f>
        <v/>
      </c>
      <c r="N1395" s="93">
        <f>N(N1394)+IF(M1395="✓",1,0)</f>
        <v/>
      </c>
      <c r="O1395" s="93">
        <f>N(O1394)+IF(AND(B1395&lt;&gt;"",B1395&gt;='Uang Riba'!$H$30,B1395&lt;='Uang Riba'!$I$30,OR(H1395="Dana riba",H1395="Pinjam uang riba",I1395="Pinjam dari uang riba",I1395="Ganti uang riba",I1395="Kelebihan ganti dikembalikan",AND(C1395="Kantong Uang Riba",G1395="Pengeluaran"))),1,0)</f>
        <v/>
      </c>
      <c r="X1395" s="93">
        <f>IF(AND(B1395&lt;&gt;"",B1395&gt;='Buku Akun'!$H$4,B1395&lt;='Buku Akun'!$H$5,OR(C1395='Buku Akun'!$C$4,AND(D1395="Pindah",E1395='Buku Akun'!$C$4))),B1395+IF(AND(I1395="Selisih bunga",DAY(B1395)=1),0,0.01)+ROW()/10000000,"")</f>
        <v/>
      </c>
    </row>
    <row r="1396" outlineLevel="1" ht="15" customHeight="1" s="94">
      <c r="A1396" s="123">
        <f>IF(B1396="","",ROW()-15)</f>
        <v/>
      </c>
      <c r="B1396" s="124" t="n"/>
      <c r="C1396" s="123" t="n"/>
      <c r="D1396" s="123" t="n"/>
      <c r="E1396" s="123" t="n"/>
      <c r="F1396" s="125" t="n"/>
      <c r="G1396" s="123" t="n"/>
      <c r="H1396" s="123" t="n"/>
      <c r="I1396" s="123" t="n"/>
      <c r="J1396" s="123" t="n"/>
      <c r="K1396" s="123" t="n"/>
      <c r="L1396" s="123" t="n"/>
      <c r="M1396" s="123">
        <f>IF(AND(B1396&lt;&gt;"",OR($C$4="",ISNUMBER(SEARCH($C$4,C1396&amp;" "&amp;E1396&amp;" "&amp;G1396&amp;" "&amp;H1396&amp;" "&amp;I1396&amp;" "&amp;J1396&amp;" "&amp;K1396&amp;" "&amp;L1396))),OR($C$5="Semua",$C$5="",G1396=$C$5),OR($C$6="Semua",$C$6="",H1396=$C$6,H1396="Pengeluaran "&amp;$C$6,AND($C$6="Uang Kos Mama",H1396="Pengeluaran Uang Kos")),OR($C$7="Semua",$C$7="",I1396=$C$7),OR($C$8="Semua",$C$8="",C1396=$C$8,E1396=$C$8),OR($C$9="Semua",$C$9="",D1396=$C$9),OR($C$10="",B1396&gt;=$C$10),OR($C$11="",B1396&lt;=$C$11),OR($C$12&lt;&gt;"Ya",K1396&lt;&gt;""),OR($C$13="Semua",$C$13="",L1396=$C$13)),"✓","")</f>
        <v/>
      </c>
      <c r="N1396" s="93">
        <f>N(N1395)+IF(M1396="✓",1,0)</f>
        <v/>
      </c>
      <c r="O1396" s="93">
        <f>N(O1395)+IF(AND(B1396&lt;&gt;"",B1396&gt;='Uang Riba'!$H$30,B1396&lt;='Uang Riba'!$I$30,OR(H1396="Dana riba",H1396="Pinjam uang riba",I1396="Pinjam dari uang riba",I1396="Ganti uang riba",I1396="Kelebihan ganti dikembalikan",AND(C1396="Kantong Uang Riba",G1396="Pengeluaran"))),1,0)</f>
        <v/>
      </c>
      <c r="X1396" s="93">
        <f>IF(AND(B1396&lt;&gt;"",B1396&gt;='Buku Akun'!$H$4,B1396&lt;='Buku Akun'!$H$5,OR(C1396='Buku Akun'!$C$4,AND(D1396="Pindah",E1396='Buku Akun'!$C$4))),B1396+IF(AND(I1396="Selisih bunga",DAY(B1396)=1),0,0.01)+ROW()/10000000,"")</f>
        <v/>
      </c>
    </row>
    <row r="1397" outlineLevel="1" ht="15" customHeight="1" s="94">
      <c r="A1397" s="123">
        <f>IF(B1397="","",ROW()-15)</f>
        <v/>
      </c>
      <c r="B1397" s="124" t="n"/>
      <c r="C1397" s="123" t="n"/>
      <c r="D1397" s="123" t="n"/>
      <c r="E1397" s="123" t="n"/>
      <c r="F1397" s="125" t="n"/>
      <c r="G1397" s="123" t="n"/>
      <c r="H1397" s="123" t="n"/>
      <c r="I1397" s="123" t="n"/>
      <c r="J1397" s="123" t="n"/>
      <c r="K1397" s="123" t="n"/>
      <c r="L1397" s="123" t="n"/>
      <c r="M1397" s="123">
        <f>IF(AND(B1397&lt;&gt;"",OR($C$4="",ISNUMBER(SEARCH($C$4,C1397&amp;" "&amp;E1397&amp;" "&amp;G1397&amp;" "&amp;H1397&amp;" "&amp;I1397&amp;" "&amp;J1397&amp;" "&amp;K1397&amp;" "&amp;L1397))),OR($C$5="Semua",$C$5="",G1397=$C$5),OR($C$6="Semua",$C$6="",H1397=$C$6,H1397="Pengeluaran "&amp;$C$6,AND($C$6="Uang Kos Mama",H1397="Pengeluaran Uang Kos")),OR($C$7="Semua",$C$7="",I1397=$C$7),OR($C$8="Semua",$C$8="",C1397=$C$8,E1397=$C$8),OR($C$9="Semua",$C$9="",D1397=$C$9),OR($C$10="",B1397&gt;=$C$10),OR($C$11="",B1397&lt;=$C$11),OR($C$12&lt;&gt;"Ya",K1397&lt;&gt;""),OR($C$13="Semua",$C$13="",L1397=$C$13)),"✓","")</f>
        <v/>
      </c>
      <c r="N1397" s="93">
        <f>N(N1396)+IF(M1397="✓",1,0)</f>
        <v/>
      </c>
      <c r="O1397" s="93">
        <f>N(O1396)+IF(AND(B1397&lt;&gt;"",B1397&gt;='Uang Riba'!$H$30,B1397&lt;='Uang Riba'!$I$30,OR(H1397="Dana riba",H1397="Pinjam uang riba",I1397="Pinjam dari uang riba",I1397="Ganti uang riba",I1397="Kelebihan ganti dikembalikan",AND(C1397="Kantong Uang Riba",G1397="Pengeluaran"))),1,0)</f>
        <v/>
      </c>
      <c r="X1397" s="93">
        <f>IF(AND(B1397&lt;&gt;"",B1397&gt;='Buku Akun'!$H$4,B1397&lt;='Buku Akun'!$H$5,OR(C1397='Buku Akun'!$C$4,AND(D1397="Pindah",E1397='Buku Akun'!$C$4))),B1397+IF(AND(I1397="Selisih bunga",DAY(B1397)=1),0,0.01)+ROW()/10000000,"")</f>
        <v/>
      </c>
    </row>
    <row r="1398" outlineLevel="1" ht="15" customHeight="1" s="94">
      <c r="A1398" s="123">
        <f>IF(B1398="","",ROW()-15)</f>
        <v/>
      </c>
      <c r="B1398" s="124" t="n"/>
      <c r="C1398" s="123" t="n"/>
      <c r="D1398" s="123" t="n"/>
      <c r="E1398" s="123" t="n"/>
      <c r="F1398" s="125" t="n"/>
      <c r="G1398" s="123" t="n"/>
      <c r="H1398" s="123" t="n"/>
      <c r="I1398" s="123" t="n"/>
      <c r="J1398" s="123" t="n"/>
      <c r="K1398" s="123" t="n"/>
      <c r="L1398" s="123" t="n"/>
      <c r="M1398" s="123">
        <f>IF(AND(B1398&lt;&gt;"",OR($C$4="",ISNUMBER(SEARCH($C$4,C1398&amp;" "&amp;E1398&amp;" "&amp;G1398&amp;" "&amp;H1398&amp;" "&amp;I1398&amp;" "&amp;J1398&amp;" "&amp;K1398&amp;" "&amp;L1398))),OR($C$5="Semua",$C$5="",G1398=$C$5),OR($C$6="Semua",$C$6="",H1398=$C$6,H1398="Pengeluaran "&amp;$C$6,AND($C$6="Uang Kos Mama",H1398="Pengeluaran Uang Kos")),OR($C$7="Semua",$C$7="",I1398=$C$7),OR($C$8="Semua",$C$8="",C1398=$C$8,E1398=$C$8),OR($C$9="Semua",$C$9="",D1398=$C$9),OR($C$10="",B1398&gt;=$C$10),OR($C$11="",B1398&lt;=$C$11),OR($C$12&lt;&gt;"Ya",K1398&lt;&gt;""),OR($C$13="Semua",$C$13="",L1398=$C$13)),"✓","")</f>
        <v/>
      </c>
      <c r="N1398" s="93">
        <f>N(N1397)+IF(M1398="✓",1,0)</f>
        <v/>
      </c>
      <c r="O1398" s="93">
        <f>N(O1397)+IF(AND(B1398&lt;&gt;"",B1398&gt;='Uang Riba'!$H$30,B1398&lt;='Uang Riba'!$I$30,OR(H1398="Dana riba",H1398="Pinjam uang riba",I1398="Pinjam dari uang riba",I1398="Ganti uang riba",I1398="Kelebihan ganti dikembalikan",AND(C1398="Kantong Uang Riba",G1398="Pengeluaran"))),1,0)</f>
        <v/>
      </c>
      <c r="X1398" s="93">
        <f>IF(AND(B1398&lt;&gt;"",B1398&gt;='Buku Akun'!$H$4,B1398&lt;='Buku Akun'!$H$5,OR(C1398='Buku Akun'!$C$4,AND(D1398="Pindah",E1398='Buku Akun'!$C$4))),B1398+IF(AND(I1398="Selisih bunga",DAY(B1398)=1),0,0.01)+ROW()/10000000,"")</f>
        <v/>
      </c>
    </row>
    <row r="1399" outlineLevel="1" ht="15" customHeight="1" s="94">
      <c r="A1399" s="123">
        <f>IF(B1399="","",ROW()-15)</f>
        <v/>
      </c>
      <c r="B1399" s="124" t="n"/>
      <c r="C1399" s="123" t="n"/>
      <c r="D1399" s="123" t="n"/>
      <c r="E1399" s="123" t="n"/>
      <c r="F1399" s="125" t="n"/>
      <c r="G1399" s="123" t="n"/>
      <c r="H1399" s="123" t="n"/>
      <c r="I1399" s="123" t="n"/>
      <c r="J1399" s="123" t="n"/>
      <c r="K1399" s="123" t="n"/>
      <c r="L1399" s="123" t="n"/>
      <c r="M1399" s="123">
        <f>IF(AND(B1399&lt;&gt;"",OR($C$4="",ISNUMBER(SEARCH($C$4,C1399&amp;" "&amp;E1399&amp;" "&amp;G1399&amp;" "&amp;H1399&amp;" "&amp;I1399&amp;" "&amp;J1399&amp;" "&amp;K1399&amp;" "&amp;L1399))),OR($C$5="Semua",$C$5="",G1399=$C$5),OR($C$6="Semua",$C$6="",H1399=$C$6,H1399="Pengeluaran "&amp;$C$6,AND($C$6="Uang Kos Mama",H1399="Pengeluaran Uang Kos")),OR($C$7="Semua",$C$7="",I1399=$C$7),OR($C$8="Semua",$C$8="",C1399=$C$8,E1399=$C$8),OR($C$9="Semua",$C$9="",D1399=$C$9),OR($C$10="",B1399&gt;=$C$10),OR($C$11="",B1399&lt;=$C$11),OR($C$12&lt;&gt;"Ya",K1399&lt;&gt;""),OR($C$13="Semua",$C$13="",L1399=$C$13)),"✓","")</f>
        <v/>
      </c>
      <c r="N1399" s="93">
        <f>N(N1398)+IF(M1399="✓",1,0)</f>
        <v/>
      </c>
      <c r="O1399" s="93">
        <f>N(O1398)+IF(AND(B1399&lt;&gt;"",B1399&gt;='Uang Riba'!$H$30,B1399&lt;='Uang Riba'!$I$30,OR(H1399="Dana riba",H1399="Pinjam uang riba",I1399="Pinjam dari uang riba",I1399="Ganti uang riba",I1399="Kelebihan ganti dikembalikan",AND(C1399="Kantong Uang Riba",G1399="Pengeluaran"))),1,0)</f>
        <v/>
      </c>
      <c r="X1399" s="93">
        <f>IF(AND(B1399&lt;&gt;"",B1399&gt;='Buku Akun'!$H$4,B1399&lt;='Buku Akun'!$H$5,OR(C1399='Buku Akun'!$C$4,AND(D1399="Pindah",E1399='Buku Akun'!$C$4))),B1399+IF(AND(I1399="Selisih bunga",DAY(B1399)=1),0,0.01)+ROW()/10000000,"")</f>
        <v/>
      </c>
    </row>
    <row r="1400" outlineLevel="1" ht="15" customHeight="1" s="94">
      <c r="A1400" s="123">
        <f>IF(B1400="","",ROW()-15)</f>
        <v/>
      </c>
      <c r="B1400" s="124" t="n"/>
      <c r="C1400" s="123" t="n"/>
      <c r="D1400" s="123" t="n"/>
      <c r="E1400" s="123" t="n"/>
      <c r="F1400" s="125" t="n"/>
      <c r="G1400" s="123" t="n"/>
      <c r="H1400" s="123" t="n"/>
      <c r="I1400" s="123" t="n"/>
      <c r="J1400" s="123" t="n"/>
      <c r="K1400" s="123" t="n"/>
      <c r="L1400" s="123" t="n"/>
      <c r="M1400" s="123">
        <f>IF(AND(B1400&lt;&gt;"",OR($C$4="",ISNUMBER(SEARCH($C$4,C1400&amp;" "&amp;E1400&amp;" "&amp;G1400&amp;" "&amp;H1400&amp;" "&amp;I1400&amp;" "&amp;J1400&amp;" "&amp;K1400&amp;" "&amp;L1400))),OR($C$5="Semua",$C$5="",G1400=$C$5),OR($C$6="Semua",$C$6="",H1400=$C$6,H1400="Pengeluaran "&amp;$C$6,AND($C$6="Uang Kos Mama",H1400="Pengeluaran Uang Kos")),OR($C$7="Semua",$C$7="",I1400=$C$7),OR($C$8="Semua",$C$8="",C1400=$C$8,E1400=$C$8),OR($C$9="Semua",$C$9="",D1400=$C$9),OR($C$10="",B1400&gt;=$C$10),OR($C$11="",B1400&lt;=$C$11),OR($C$12&lt;&gt;"Ya",K1400&lt;&gt;""),OR($C$13="Semua",$C$13="",L1400=$C$13)),"✓","")</f>
        <v/>
      </c>
      <c r="N1400" s="93">
        <f>N(N1399)+IF(M1400="✓",1,0)</f>
        <v/>
      </c>
      <c r="O1400" s="93">
        <f>N(O1399)+IF(AND(B1400&lt;&gt;"",B1400&gt;='Uang Riba'!$H$30,B1400&lt;='Uang Riba'!$I$30,OR(H1400="Dana riba",H1400="Pinjam uang riba",I1400="Pinjam dari uang riba",I1400="Ganti uang riba",I1400="Kelebihan ganti dikembalikan",AND(C1400="Kantong Uang Riba",G1400="Pengeluaran"))),1,0)</f>
        <v/>
      </c>
      <c r="X1400" s="93">
        <f>IF(AND(B1400&lt;&gt;"",B1400&gt;='Buku Akun'!$H$4,B1400&lt;='Buku Akun'!$H$5,OR(C1400='Buku Akun'!$C$4,AND(D1400="Pindah",E1400='Buku Akun'!$C$4))),B1400+IF(AND(I1400="Selisih bunga",DAY(B1400)=1),0,0.01)+ROW()/10000000,"")</f>
        <v/>
      </c>
    </row>
    <row r="1401" outlineLevel="1" ht="15" customHeight="1" s="94">
      <c r="A1401" s="123">
        <f>IF(B1401="","",ROW()-15)</f>
        <v/>
      </c>
      <c r="B1401" s="124" t="n"/>
      <c r="C1401" s="123" t="n"/>
      <c r="D1401" s="123" t="n"/>
      <c r="E1401" s="123" t="n"/>
      <c r="F1401" s="125" t="n"/>
      <c r="G1401" s="123" t="n"/>
      <c r="H1401" s="123" t="n"/>
      <c r="I1401" s="123" t="n"/>
      <c r="J1401" s="123" t="n"/>
      <c r="K1401" s="123" t="n"/>
      <c r="L1401" s="123" t="n"/>
      <c r="M1401" s="123">
        <f>IF(AND(B1401&lt;&gt;"",OR($C$4="",ISNUMBER(SEARCH($C$4,C1401&amp;" "&amp;E1401&amp;" "&amp;G1401&amp;" "&amp;H1401&amp;" "&amp;I1401&amp;" "&amp;J1401&amp;" "&amp;K1401&amp;" "&amp;L1401))),OR($C$5="Semua",$C$5="",G1401=$C$5),OR($C$6="Semua",$C$6="",H1401=$C$6,H1401="Pengeluaran "&amp;$C$6,AND($C$6="Uang Kos Mama",H1401="Pengeluaran Uang Kos")),OR($C$7="Semua",$C$7="",I1401=$C$7),OR($C$8="Semua",$C$8="",C1401=$C$8,E1401=$C$8),OR($C$9="Semua",$C$9="",D1401=$C$9),OR($C$10="",B1401&gt;=$C$10),OR($C$11="",B1401&lt;=$C$11),OR($C$12&lt;&gt;"Ya",K1401&lt;&gt;""),OR($C$13="Semua",$C$13="",L1401=$C$13)),"✓","")</f>
        <v/>
      </c>
      <c r="N1401" s="93">
        <f>N(N1400)+IF(M1401="✓",1,0)</f>
        <v/>
      </c>
      <c r="O1401" s="93">
        <f>N(O1400)+IF(AND(B1401&lt;&gt;"",B1401&gt;='Uang Riba'!$H$30,B1401&lt;='Uang Riba'!$I$30,OR(H1401="Dana riba",H1401="Pinjam uang riba",I1401="Pinjam dari uang riba",I1401="Ganti uang riba",I1401="Kelebihan ganti dikembalikan",AND(C1401="Kantong Uang Riba",G1401="Pengeluaran"))),1,0)</f>
        <v/>
      </c>
      <c r="X1401" s="93">
        <f>IF(AND(B1401&lt;&gt;"",B1401&gt;='Buku Akun'!$H$4,B1401&lt;='Buku Akun'!$H$5,OR(C1401='Buku Akun'!$C$4,AND(D1401="Pindah",E1401='Buku Akun'!$C$4))),B1401+IF(AND(I1401="Selisih bunga",DAY(B1401)=1),0,0.01)+ROW()/10000000,"")</f>
        <v/>
      </c>
    </row>
    <row r="1402" outlineLevel="1" ht="15" customHeight="1" s="94">
      <c r="A1402" s="123">
        <f>IF(B1402="","",ROW()-15)</f>
        <v/>
      </c>
      <c r="B1402" s="124" t="n"/>
      <c r="C1402" s="123" t="n"/>
      <c r="D1402" s="123" t="n"/>
      <c r="E1402" s="123" t="n"/>
      <c r="F1402" s="125" t="n"/>
      <c r="G1402" s="123" t="n"/>
      <c r="H1402" s="123" t="n"/>
      <c r="I1402" s="123" t="n"/>
      <c r="J1402" s="123" t="n"/>
      <c r="K1402" s="123" t="n"/>
      <c r="L1402" s="123" t="n"/>
      <c r="M1402" s="123">
        <f>IF(AND(B1402&lt;&gt;"",OR($C$4="",ISNUMBER(SEARCH($C$4,C1402&amp;" "&amp;E1402&amp;" "&amp;G1402&amp;" "&amp;H1402&amp;" "&amp;I1402&amp;" "&amp;J1402&amp;" "&amp;K1402&amp;" "&amp;L1402))),OR($C$5="Semua",$C$5="",G1402=$C$5),OR($C$6="Semua",$C$6="",H1402=$C$6,H1402="Pengeluaran "&amp;$C$6,AND($C$6="Uang Kos Mama",H1402="Pengeluaran Uang Kos")),OR($C$7="Semua",$C$7="",I1402=$C$7),OR($C$8="Semua",$C$8="",C1402=$C$8,E1402=$C$8),OR($C$9="Semua",$C$9="",D1402=$C$9),OR($C$10="",B1402&gt;=$C$10),OR($C$11="",B1402&lt;=$C$11),OR($C$12&lt;&gt;"Ya",K1402&lt;&gt;""),OR($C$13="Semua",$C$13="",L1402=$C$13)),"✓","")</f>
        <v/>
      </c>
      <c r="N1402" s="93">
        <f>N(N1401)+IF(M1402="✓",1,0)</f>
        <v/>
      </c>
      <c r="O1402" s="93">
        <f>N(O1401)+IF(AND(B1402&lt;&gt;"",B1402&gt;='Uang Riba'!$H$30,B1402&lt;='Uang Riba'!$I$30,OR(H1402="Dana riba",H1402="Pinjam uang riba",I1402="Pinjam dari uang riba",I1402="Ganti uang riba",I1402="Kelebihan ganti dikembalikan",AND(C1402="Kantong Uang Riba",G1402="Pengeluaran"))),1,0)</f>
        <v/>
      </c>
      <c r="X1402" s="93">
        <f>IF(AND(B1402&lt;&gt;"",B1402&gt;='Buku Akun'!$H$4,B1402&lt;='Buku Akun'!$H$5,OR(C1402='Buku Akun'!$C$4,AND(D1402="Pindah",E1402='Buku Akun'!$C$4))),B1402+IF(AND(I1402="Selisih bunga",DAY(B1402)=1),0,0.01)+ROW()/10000000,"")</f>
        <v/>
      </c>
    </row>
    <row r="1403" outlineLevel="1" ht="15" customHeight="1" s="94">
      <c r="A1403" s="123">
        <f>IF(B1403="","",ROW()-15)</f>
        <v/>
      </c>
      <c r="B1403" s="124" t="n"/>
      <c r="C1403" s="123" t="n"/>
      <c r="D1403" s="123" t="n"/>
      <c r="E1403" s="123" t="n"/>
      <c r="F1403" s="125" t="n"/>
      <c r="G1403" s="123" t="n"/>
      <c r="H1403" s="123" t="n"/>
      <c r="I1403" s="123" t="n"/>
      <c r="J1403" s="123" t="n"/>
      <c r="K1403" s="123" t="n"/>
      <c r="L1403" s="123" t="n"/>
      <c r="M1403" s="123">
        <f>IF(AND(B1403&lt;&gt;"",OR($C$4="",ISNUMBER(SEARCH($C$4,C1403&amp;" "&amp;E1403&amp;" "&amp;G1403&amp;" "&amp;H1403&amp;" "&amp;I1403&amp;" "&amp;J1403&amp;" "&amp;K1403&amp;" "&amp;L1403))),OR($C$5="Semua",$C$5="",G1403=$C$5),OR($C$6="Semua",$C$6="",H1403=$C$6,H1403="Pengeluaran "&amp;$C$6,AND($C$6="Uang Kos Mama",H1403="Pengeluaran Uang Kos")),OR($C$7="Semua",$C$7="",I1403=$C$7),OR($C$8="Semua",$C$8="",C1403=$C$8,E1403=$C$8),OR($C$9="Semua",$C$9="",D1403=$C$9),OR($C$10="",B1403&gt;=$C$10),OR($C$11="",B1403&lt;=$C$11),OR($C$12&lt;&gt;"Ya",K1403&lt;&gt;""),OR($C$13="Semua",$C$13="",L1403=$C$13)),"✓","")</f>
        <v/>
      </c>
      <c r="N1403" s="93">
        <f>N(N1402)+IF(M1403="✓",1,0)</f>
        <v/>
      </c>
      <c r="O1403" s="93">
        <f>N(O1402)+IF(AND(B1403&lt;&gt;"",B1403&gt;='Uang Riba'!$H$30,B1403&lt;='Uang Riba'!$I$30,OR(H1403="Dana riba",H1403="Pinjam uang riba",I1403="Pinjam dari uang riba",I1403="Ganti uang riba",I1403="Kelebihan ganti dikembalikan",AND(C1403="Kantong Uang Riba",G1403="Pengeluaran"))),1,0)</f>
        <v/>
      </c>
      <c r="X1403" s="93">
        <f>IF(AND(B1403&lt;&gt;"",B1403&gt;='Buku Akun'!$H$4,B1403&lt;='Buku Akun'!$H$5,OR(C1403='Buku Akun'!$C$4,AND(D1403="Pindah",E1403='Buku Akun'!$C$4))),B1403+IF(AND(I1403="Selisih bunga",DAY(B1403)=1),0,0.01)+ROW()/10000000,"")</f>
        <v/>
      </c>
    </row>
    <row r="1404" outlineLevel="1" ht="15" customHeight="1" s="94">
      <c r="A1404" s="123">
        <f>IF(B1404="","",ROW()-15)</f>
        <v/>
      </c>
      <c r="B1404" s="124" t="n"/>
      <c r="C1404" s="123" t="n"/>
      <c r="D1404" s="123" t="n"/>
      <c r="E1404" s="123" t="n"/>
      <c r="F1404" s="125" t="n"/>
      <c r="G1404" s="123" t="n"/>
      <c r="H1404" s="123" t="n"/>
      <c r="I1404" s="123" t="n"/>
      <c r="J1404" s="123" t="n"/>
      <c r="K1404" s="123" t="n"/>
      <c r="L1404" s="123" t="n"/>
      <c r="M1404" s="123">
        <f>IF(AND(B1404&lt;&gt;"",OR($C$4="",ISNUMBER(SEARCH($C$4,C1404&amp;" "&amp;E1404&amp;" "&amp;G1404&amp;" "&amp;H1404&amp;" "&amp;I1404&amp;" "&amp;J1404&amp;" "&amp;K1404&amp;" "&amp;L1404))),OR($C$5="Semua",$C$5="",G1404=$C$5),OR($C$6="Semua",$C$6="",H1404=$C$6,H1404="Pengeluaran "&amp;$C$6,AND($C$6="Uang Kos Mama",H1404="Pengeluaran Uang Kos")),OR($C$7="Semua",$C$7="",I1404=$C$7),OR($C$8="Semua",$C$8="",C1404=$C$8,E1404=$C$8),OR($C$9="Semua",$C$9="",D1404=$C$9),OR($C$10="",B1404&gt;=$C$10),OR($C$11="",B1404&lt;=$C$11),OR($C$12&lt;&gt;"Ya",K1404&lt;&gt;""),OR($C$13="Semua",$C$13="",L1404=$C$13)),"✓","")</f>
        <v/>
      </c>
      <c r="N1404" s="93">
        <f>N(N1403)+IF(M1404="✓",1,0)</f>
        <v/>
      </c>
      <c r="O1404" s="93">
        <f>N(O1403)+IF(AND(B1404&lt;&gt;"",B1404&gt;='Uang Riba'!$H$30,B1404&lt;='Uang Riba'!$I$30,OR(H1404="Dana riba",H1404="Pinjam uang riba",I1404="Pinjam dari uang riba",I1404="Ganti uang riba",I1404="Kelebihan ganti dikembalikan",AND(C1404="Kantong Uang Riba",G1404="Pengeluaran"))),1,0)</f>
        <v/>
      </c>
      <c r="X1404" s="93">
        <f>IF(AND(B1404&lt;&gt;"",B1404&gt;='Buku Akun'!$H$4,B1404&lt;='Buku Akun'!$H$5,OR(C1404='Buku Akun'!$C$4,AND(D1404="Pindah",E1404='Buku Akun'!$C$4))),B1404+IF(AND(I1404="Selisih bunga",DAY(B1404)=1),0,0.01)+ROW()/10000000,"")</f>
        <v/>
      </c>
    </row>
    <row r="1405" outlineLevel="1" ht="15" customHeight="1" s="94">
      <c r="A1405" s="123">
        <f>IF(B1405="","",ROW()-15)</f>
        <v/>
      </c>
      <c r="B1405" s="124" t="n"/>
      <c r="C1405" s="123" t="n"/>
      <c r="D1405" s="123" t="n"/>
      <c r="E1405" s="123" t="n"/>
      <c r="F1405" s="125" t="n"/>
      <c r="G1405" s="123" t="n"/>
      <c r="H1405" s="123" t="n"/>
      <c r="I1405" s="123" t="n"/>
      <c r="J1405" s="123" t="n"/>
      <c r="K1405" s="123" t="n"/>
      <c r="L1405" s="123" t="n"/>
      <c r="M1405" s="123">
        <f>IF(AND(B1405&lt;&gt;"",OR($C$4="",ISNUMBER(SEARCH($C$4,C1405&amp;" "&amp;E1405&amp;" "&amp;G1405&amp;" "&amp;H1405&amp;" "&amp;I1405&amp;" "&amp;J1405&amp;" "&amp;K1405&amp;" "&amp;L1405))),OR($C$5="Semua",$C$5="",G1405=$C$5),OR($C$6="Semua",$C$6="",H1405=$C$6,H1405="Pengeluaran "&amp;$C$6,AND($C$6="Uang Kos Mama",H1405="Pengeluaran Uang Kos")),OR($C$7="Semua",$C$7="",I1405=$C$7),OR($C$8="Semua",$C$8="",C1405=$C$8,E1405=$C$8),OR($C$9="Semua",$C$9="",D1405=$C$9),OR($C$10="",B1405&gt;=$C$10),OR($C$11="",B1405&lt;=$C$11),OR($C$12&lt;&gt;"Ya",K1405&lt;&gt;""),OR($C$13="Semua",$C$13="",L1405=$C$13)),"✓","")</f>
        <v/>
      </c>
      <c r="N1405" s="93">
        <f>N(N1404)+IF(M1405="✓",1,0)</f>
        <v/>
      </c>
      <c r="O1405" s="93">
        <f>N(O1404)+IF(AND(B1405&lt;&gt;"",B1405&gt;='Uang Riba'!$H$30,B1405&lt;='Uang Riba'!$I$30,OR(H1405="Dana riba",H1405="Pinjam uang riba",I1405="Pinjam dari uang riba",I1405="Ganti uang riba",I1405="Kelebihan ganti dikembalikan",AND(C1405="Kantong Uang Riba",G1405="Pengeluaran"))),1,0)</f>
        <v/>
      </c>
      <c r="X1405" s="93">
        <f>IF(AND(B1405&lt;&gt;"",B1405&gt;='Buku Akun'!$H$4,B1405&lt;='Buku Akun'!$H$5,OR(C1405='Buku Akun'!$C$4,AND(D1405="Pindah",E1405='Buku Akun'!$C$4))),B1405+IF(AND(I1405="Selisih bunga",DAY(B1405)=1),0,0.01)+ROW()/10000000,"")</f>
        <v/>
      </c>
    </row>
    <row r="1406" outlineLevel="1" ht="15" customHeight="1" s="94">
      <c r="A1406" s="123">
        <f>IF(B1406="","",ROW()-15)</f>
        <v/>
      </c>
      <c r="B1406" s="124" t="n"/>
      <c r="C1406" s="123" t="n"/>
      <c r="D1406" s="123" t="n"/>
      <c r="E1406" s="123" t="n"/>
      <c r="F1406" s="125" t="n"/>
      <c r="G1406" s="123" t="n"/>
      <c r="H1406" s="123" t="n"/>
      <c r="I1406" s="123" t="n"/>
      <c r="J1406" s="123" t="n"/>
      <c r="K1406" s="123" t="n"/>
      <c r="L1406" s="123" t="n"/>
      <c r="M1406" s="123">
        <f>IF(AND(B1406&lt;&gt;"",OR($C$4="",ISNUMBER(SEARCH($C$4,C1406&amp;" "&amp;E1406&amp;" "&amp;G1406&amp;" "&amp;H1406&amp;" "&amp;I1406&amp;" "&amp;J1406&amp;" "&amp;K1406&amp;" "&amp;L1406))),OR($C$5="Semua",$C$5="",G1406=$C$5),OR($C$6="Semua",$C$6="",H1406=$C$6,H1406="Pengeluaran "&amp;$C$6,AND($C$6="Uang Kos Mama",H1406="Pengeluaran Uang Kos")),OR($C$7="Semua",$C$7="",I1406=$C$7),OR($C$8="Semua",$C$8="",C1406=$C$8,E1406=$C$8),OR($C$9="Semua",$C$9="",D1406=$C$9),OR($C$10="",B1406&gt;=$C$10),OR($C$11="",B1406&lt;=$C$11),OR($C$12&lt;&gt;"Ya",K1406&lt;&gt;""),OR($C$13="Semua",$C$13="",L1406=$C$13)),"✓","")</f>
        <v/>
      </c>
      <c r="N1406" s="93">
        <f>N(N1405)+IF(M1406="✓",1,0)</f>
        <v/>
      </c>
      <c r="O1406" s="93">
        <f>N(O1405)+IF(AND(B1406&lt;&gt;"",B1406&gt;='Uang Riba'!$H$30,B1406&lt;='Uang Riba'!$I$30,OR(H1406="Dana riba",H1406="Pinjam uang riba",I1406="Pinjam dari uang riba",I1406="Ganti uang riba",I1406="Kelebihan ganti dikembalikan",AND(C1406="Kantong Uang Riba",G1406="Pengeluaran"))),1,0)</f>
        <v/>
      </c>
      <c r="X1406" s="93">
        <f>IF(AND(B1406&lt;&gt;"",B1406&gt;='Buku Akun'!$H$4,B1406&lt;='Buku Akun'!$H$5,OR(C1406='Buku Akun'!$C$4,AND(D1406="Pindah",E1406='Buku Akun'!$C$4))),B1406+IF(AND(I1406="Selisih bunga",DAY(B1406)=1),0,0.01)+ROW()/10000000,"")</f>
        <v/>
      </c>
    </row>
    <row r="1407" outlineLevel="1" ht="15" customHeight="1" s="94">
      <c r="A1407" s="123">
        <f>IF(B1407="","",ROW()-15)</f>
        <v/>
      </c>
      <c r="B1407" s="124" t="n"/>
      <c r="C1407" s="123" t="n"/>
      <c r="D1407" s="123" t="n"/>
      <c r="E1407" s="123" t="n"/>
      <c r="F1407" s="125" t="n"/>
      <c r="G1407" s="123" t="n"/>
      <c r="H1407" s="123" t="n"/>
      <c r="I1407" s="123" t="n"/>
      <c r="J1407" s="123" t="n"/>
      <c r="K1407" s="123" t="n"/>
      <c r="L1407" s="123" t="n"/>
      <c r="M1407" s="123">
        <f>IF(AND(B1407&lt;&gt;"",OR($C$4="",ISNUMBER(SEARCH($C$4,C1407&amp;" "&amp;E1407&amp;" "&amp;G1407&amp;" "&amp;H1407&amp;" "&amp;I1407&amp;" "&amp;J1407&amp;" "&amp;K1407&amp;" "&amp;L1407))),OR($C$5="Semua",$C$5="",G1407=$C$5),OR($C$6="Semua",$C$6="",H1407=$C$6,H1407="Pengeluaran "&amp;$C$6,AND($C$6="Uang Kos Mama",H1407="Pengeluaran Uang Kos")),OR($C$7="Semua",$C$7="",I1407=$C$7),OR($C$8="Semua",$C$8="",C1407=$C$8,E1407=$C$8),OR($C$9="Semua",$C$9="",D1407=$C$9),OR($C$10="",B1407&gt;=$C$10),OR($C$11="",B1407&lt;=$C$11),OR($C$12&lt;&gt;"Ya",K1407&lt;&gt;""),OR($C$13="Semua",$C$13="",L1407=$C$13)),"✓","")</f>
        <v/>
      </c>
      <c r="N1407" s="93">
        <f>N(N1406)+IF(M1407="✓",1,0)</f>
        <v/>
      </c>
      <c r="O1407" s="93">
        <f>N(O1406)+IF(AND(B1407&lt;&gt;"",B1407&gt;='Uang Riba'!$H$30,B1407&lt;='Uang Riba'!$I$30,OR(H1407="Dana riba",H1407="Pinjam uang riba",I1407="Pinjam dari uang riba",I1407="Ganti uang riba",I1407="Kelebihan ganti dikembalikan",AND(C1407="Kantong Uang Riba",G1407="Pengeluaran"))),1,0)</f>
        <v/>
      </c>
      <c r="X1407" s="93">
        <f>IF(AND(B1407&lt;&gt;"",B1407&gt;='Buku Akun'!$H$4,B1407&lt;='Buku Akun'!$H$5,OR(C1407='Buku Akun'!$C$4,AND(D1407="Pindah",E1407='Buku Akun'!$C$4))),B1407+IF(AND(I1407="Selisih bunga",DAY(B1407)=1),0,0.01)+ROW()/10000000,"")</f>
        <v/>
      </c>
    </row>
    <row r="1408" outlineLevel="1" ht="15" customHeight="1" s="94">
      <c r="A1408" s="123">
        <f>IF(B1408="","",ROW()-15)</f>
        <v/>
      </c>
      <c r="B1408" s="124" t="n"/>
      <c r="C1408" s="123" t="n"/>
      <c r="D1408" s="123" t="n"/>
      <c r="E1408" s="123" t="n"/>
      <c r="F1408" s="125" t="n"/>
      <c r="G1408" s="123" t="n"/>
      <c r="H1408" s="123" t="n"/>
      <c r="I1408" s="123" t="n"/>
      <c r="J1408" s="123" t="n"/>
      <c r="K1408" s="123" t="n"/>
      <c r="L1408" s="123" t="n"/>
      <c r="M1408" s="123">
        <f>IF(AND(B1408&lt;&gt;"",OR($C$4="",ISNUMBER(SEARCH($C$4,C1408&amp;" "&amp;E1408&amp;" "&amp;G1408&amp;" "&amp;H1408&amp;" "&amp;I1408&amp;" "&amp;J1408&amp;" "&amp;K1408&amp;" "&amp;L1408))),OR($C$5="Semua",$C$5="",G1408=$C$5),OR($C$6="Semua",$C$6="",H1408=$C$6,H1408="Pengeluaran "&amp;$C$6,AND($C$6="Uang Kos Mama",H1408="Pengeluaran Uang Kos")),OR($C$7="Semua",$C$7="",I1408=$C$7),OR($C$8="Semua",$C$8="",C1408=$C$8,E1408=$C$8),OR($C$9="Semua",$C$9="",D1408=$C$9),OR($C$10="",B1408&gt;=$C$10),OR($C$11="",B1408&lt;=$C$11),OR($C$12&lt;&gt;"Ya",K1408&lt;&gt;""),OR($C$13="Semua",$C$13="",L1408=$C$13)),"✓","")</f>
        <v/>
      </c>
      <c r="N1408" s="93">
        <f>N(N1407)+IF(M1408="✓",1,0)</f>
        <v/>
      </c>
      <c r="O1408" s="93">
        <f>N(O1407)+IF(AND(B1408&lt;&gt;"",B1408&gt;='Uang Riba'!$H$30,B1408&lt;='Uang Riba'!$I$30,OR(H1408="Dana riba",H1408="Pinjam uang riba",I1408="Pinjam dari uang riba",I1408="Ganti uang riba",I1408="Kelebihan ganti dikembalikan",AND(C1408="Kantong Uang Riba",G1408="Pengeluaran"))),1,0)</f>
        <v/>
      </c>
      <c r="X1408" s="93">
        <f>IF(AND(B1408&lt;&gt;"",B1408&gt;='Buku Akun'!$H$4,B1408&lt;='Buku Akun'!$H$5,OR(C1408='Buku Akun'!$C$4,AND(D1408="Pindah",E1408='Buku Akun'!$C$4))),B1408+IF(AND(I1408="Selisih bunga",DAY(B1408)=1),0,0.01)+ROW()/10000000,"")</f>
        <v/>
      </c>
    </row>
    <row r="1409" outlineLevel="1" ht="15" customHeight="1" s="94">
      <c r="A1409" s="123">
        <f>IF(B1409="","",ROW()-15)</f>
        <v/>
      </c>
      <c r="B1409" s="124" t="n"/>
      <c r="C1409" s="123" t="n"/>
      <c r="D1409" s="123" t="n"/>
      <c r="E1409" s="123" t="n"/>
      <c r="F1409" s="125" t="n"/>
      <c r="G1409" s="123" t="n"/>
      <c r="H1409" s="123" t="n"/>
      <c r="I1409" s="123" t="n"/>
      <c r="J1409" s="123" t="n"/>
      <c r="K1409" s="123" t="n"/>
      <c r="L1409" s="123" t="n"/>
      <c r="M1409" s="123">
        <f>IF(AND(B1409&lt;&gt;"",OR($C$4="",ISNUMBER(SEARCH($C$4,C1409&amp;" "&amp;E1409&amp;" "&amp;G1409&amp;" "&amp;H1409&amp;" "&amp;I1409&amp;" "&amp;J1409&amp;" "&amp;K1409&amp;" "&amp;L1409))),OR($C$5="Semua",$C$5="",G1409=$C$5),OR($C$6="Semua",$C$6="",H1409=$C$6,H1409="Pengeluaran "&amp;$C$6,AND($C$6="Uang Kos Mama",H1409="Pengeluaran Uang Kos")),OR($C$7="Semua",$C$7="",I1409=$C$7),OR($C$8="Semua",$C$8="",C1409=$C$8,E1409=$C$8),OR($C$9="Semua",$C$9="",D1409=$C$9),OR($C$10="",B1409&gt;=$C$10),OR($C$11="",B1409&lt;=$C$11),OR($C$12&lt;&gt;"Ya",K1409&lt;&gt;""),OR($C$13="Semua",$C$13="",L1409=$C$13)),"✓","")</f>
        <v/>
      </c>
      <c r="N1409" s="93">
        <f>N(N1408)+IF(M1409="✓",1,0)</f>
        <v/>
      </c>
      <c r="O1409" s="93">
        <f>N(O1408)+IF(AND(B1409&lt;&gt;"",B1409&gt;='Uang Riba'!$H$30,B1409&lt;='Uang Riba'!$I$30,OR(H1409="Dana riba",H1409="Pinjam uang riba",I1409="Pinjam dari uang riba",I1409="Ganti uang riba",I1409="Kelebihan ganti dikembalikan",AND(C1409="Kantong Uang Riba",G1409="Pengeluaran"))),1,0)</f>
        <v/>
      </c>
      <c r="X1409" s="93">
        <f>IF(AND(B1409&lt;&gt;"",B1409&gt;='Buku Akun'!$H$4,B1409&lt;='Buku Akun'!$H$5,OR(C1409='Buku Akun'!$C$4,AND(D1409="Pindah",E1409='Buku Akun'!$C$4))),B1409+IF(AND(I1409="Selisih bunga",DAY(B1409)=1),0,0.01)+ROW()/10000000,"")</f>
        <v/>
      </c>
    </row>
    <row r="1410" outlineLevel="1" ht="15" customHeight="1" s="94">
      <c r="A1410" s="123">
        <f>IF(B1410="","",ROW()-15)</f>
        <v/>
      </c>
      <c r="B1410" s="124" t="n"/>
      <c r="C1410" s="123" t="n"/>
      <c r="D1410" s="123" t="n"/>
      <c r="E1410" s="123" t="n"/>
      <c r="F1410" s="125" t="n"/>
      <c r="G1410" s="123" t="n"/>
      <c r="H1410" s="123" t="n"/>
      <c r="I1410" s="123" t="n"/>
      <c r="J1410" s="123" t="n"/>
      <c r="K1410" s="123" t="n"/>
      <c r="L1410" s="123" t="n"/>
      <c r="M1410" s="123">
        <f>IF(AND(B1410&lt;&gt;"",OR($C$4="",ISNUMBER(SEARCH($C$4,C1410&amp;" "&amp;E1410&amp;" "&amp;G1410&amp;" "&amp;H1410&amp;" "&amp;I1410&amp;" "&amp;J1410&amp;" "&amp;K1410&amp;" "&amp;L1410))),OR($C$5="Semua",$C$5="",G1410=$C$5),OR($C$6="Semua",$C$6="",H1410=$C$6,H1410="Pengeluaran "&amp;$C$6,AND($C$6="Uang Kos Mama",H1410="Pengeluaran Uang Kos")),OR($C$7="Semua",$C$7="",I1410=$C$7),OR($C$8="Semua",$C$8="",C1410=$C$8,E1410=$C$8),OR($C$9="Semua",$C$9="",D1410=$C$9),OR($C$10="",B1410&gt;=$C$10),OR($C$11="",B1410&lt;=$C$11),OR($C$12&lt;&gt;"Ya",K1410&lt;&gt;""),OR($C$13="Semua",$C$13="",L1410=$C$13)),"✓","")</f>
        <v/>
      </c>
      <c r="N1410" s="93">
        <f>N(N1409)+IF(M1410="✓",1,0)</f>
        <v/>
      </c>
      <c r="O1410" s="93">
        <f>N(O1409)+IF(AND(B1410&lt;&gt;"",B1410&gt;='Uang Riba'!$H$30,B1410&lt;='Uang Riba'!$I$30,OR(H1410="Dana riba",H1410="Pinjam uang riba",I1410="Pinjam dari uang riba",I1410="Ganti uang riba",I1410="Kelebihan ganti dikembalikan",AND(C1410="Kantong Uang Riba",G1410="Pengeluaran"))),1,0)</f>
        <v/>
      </c>
      <c r="X1410" s="93">
        <f>IF(AND(B1410&lt;&gt;"",B1410&gt;='Buku Akun'!$H$4,B1410&lt;='Buku Akun'!$H$5,OR(C1410='Buku Akun'!$C$4,AND(D1410="Pindah",E1410='Buku Akun'!$C$4))),B1410+IF(AND(I1410="Selisih bunga",DAY(B1410)=1),0,0.01)+ROW()/10000000,"")</f>
        <v/>
      </c>
    </row>
    <row r="1411" outlineLevel="1" ht="15" customHeight="1" s="94">
      <c r="A1411" s="123">
        <f>IF(B1411="","",ROW()-15)</f>
        <v/>
      </c>
      <c r="B1411" s="124" t="n"/>
      <c r="C1411" s="123" t="n"/>
      <c r="D1411" s="123" t="n"/>
      <c r="E1411" s="123" t="n"/>
      <c r="F1411" s="125" t="n"/>
      <c r="G1411" s="123" t="n"/>
      <c r="H1411" s="123" t="n"/>
      <c r="I1411" s="123" t="n"/>
      <c r="J1411" s="123" t="n"/>
      <c r="K1411" s="123" t="n"/>
      <c r="L1411" s="123" t="n"/>
      <c r="M1411" s="123">
        <f>IF(AND(B1411&lt;&gt;"",OR($C$4="",ISNUMBER(SEARCH($C$4,C1411&amp;" "&amp;E1411&amp;" "&amp;G1411&amp;" "&amp;H1411&amp;" "&amp;I1411&amp;" "&amp;J1411&amp;" "&amp;K1411&amp;" "&amp;L1411))),OR($C$5="Semua",$C$5="",G1411=$C$5),OR($C$6="Semua",$C$6="",H1411=$C$6,H1411="Pengeluaran "&amp;$C$6,AND($C$6="Uang Kos Mama",H1411="Pengeluaran Uang Kos")),OR($C$7="Semua",$C$7="",I1411=$C$7),OR($C$8="Semua",$C$8="",C1411=$C$8,E1411=$C$8),OR($C$9="Semua",$C$9="",D1411=$C$9),OR($C$10="",B1411&gt;=$C$10),OR($C$11="",B1411&lt;=$C$11),OR($C$12&lt;&gt;"Ya",K1411&lt;&gt;""),OR($C$13="Semua",$C$13="",L1411=$C$13)),"✓","")</f>
        <v/>
      </c>
      <c r="N1411" s="93">
        <f>N(N1410)+IF(M1411="✓",1,0)</f>
        <v/>
      </c>
      <c r="O1411" s="93">
        <f>N(O1410)+IF(AND(B1411&lt;&gt;"",B1411&gt;='Uang Riba'!$H$30,B1411&lt;='Uang Riba'!$I$30,OR(H1411="Dana riba",H1411="Pinjam uang riba",I1411="Pinjam dari uang riba",I1411="Ganti uang riba",I1411="Kelebihan ganti dikembalikan",AND(C1411="Kantong Uang Riba",G1411="Pengeluaran"))),1,0)</f>
        <v/>
      </c>
      <c r="X1411" s="93">
        <f>IF(AND(B1411&lt;&gt;"",B1411&gt;='Buku Akun'!$H$4,B1411&lt;='Buku Akun'!$H$5,OR(C1411='Buku Akun'!$C$4,AND(D1411="Pindah",E1411='Buku Akun'!$C$4))),B1411+IF(AND(I1411="Selisih bunga",DAY(B1411)=1),0,0.01)+ROW()/10000000,"")</f>
        <v/>
      </c>
    </row>
    <row r="1412" outlineLevel="1" ht="15" customHeight="1" s="94">
      <c r="A1412" s="123">
        <f>IF(B1412="","",ROW()-15)</f>
        <v/>
      </c>
      <c r="B1412" s="124" t="n"/>
      <c r="C1412" s="123" t="n"/>
      <c r="D1412" s="123" t="n"/>
      <c r="E1412" s="123" t="n"/>
      <c r="F1412" s="125" t="n"/>
      <c r="G1412" s="123" t="n"/>
      <c r="H1412" s="123" t="n"/>
      <c r="I1412" s="123" t="n"/>
      <c r="J1412" s="123" t="n"/>
      <c r="K1412" s="123" t="n"/>
      <c r="L1412" s="123" t="n"/>
      <c r="M1412" s="123">
        <f>IF(AND(B1412&lt;&gt;"",OR($C$4="",ISNUMBER(SEARCH($C$4,C1412&amp;" "&amp;E1412&amp;" "&amp;G1412&amp;" "&amp;H1412&amp;" "&amp;I1412&amp;" "&amp;J1412&amp;" "&amp;K1412&amp;" "&amp;L1412))),OR($C$5="Semua",$C$5="",G1412=$C$5),OR($C$6="Semua",$C$6="",H1412=$C$6,H1412="Pengeluaran "&amp;$C$6,AND($C$6="Uang Kos Mama",H1412="Pengeluaran Uang Kos")),OR($C$7="Semua",$C$7="",I1412=$C$7),OR($C$8="Semua",$C$8="",C1412=$C$8,E1412=$C$8),OR($C$9="Semua",$C$9="",D1412=$C$9),OR($C$10="",B1412&gt;=$C$10),OR($C$11="",B1412&lt;=$C$11),OR($C$12&lt;&gt;"Ya",K1412&lt;&gt;""),OR($C$13="Semua",$C$13="",L1412=$C$13)),"✓","")</f>
        <v/>
      </c>
      <c r="N1412" s="93">
        <f>N(N1411)+IF(M1412="✓",1,0)</f>
        <v/>
      </c>
      <c r="O1412" s="93">
        <f>N(O1411)+IF(AND(B1412&lt;&gt;"",B1412&gt;='Uang Riba'!$H$30,B1412&lt;='Uang Riba'!$I$30,OR(H1412="Dana riba",H1412="Pinjam uang riba",I1412="Pinjam dari uang riba",I1412="Ganti uang riba",I1412="Kelebihan ganti dikembalikan",AND(C1412="Kantong Uang Riba",G1412="Pengeluaran"))),1,0)</f>
        <v/>
      </c>
      <c r="X1412" s="93">
        <f>IF(AND(B1412&lt;&gt;"",B1412&gt;='Buku Akun'!$H$4,B1412&lt;='Buku Akun'!$H$5,OR(C1412='Buku Akun'!$C$4,AND(D1412="Pindah",E1412='Buku Akun'!$C$4))),B1412+IF(AND(I1412="Selisih bunga",DAY(B1412)=1),0,0.01)+ROW()/10000000,"")</f>
        <v/>
      </c>
    </row>
    <row r="1413" outlineLevel="1" ht="15" customHeight="1" s="94">
      <c r="A1413" s="123">
        <f>IF(B1413="","",ROW()-15)</f>
        <v/>
      </c>
      <c r="B1413" s="124" t="n"/>
      <c r="C1413" s="123" t="n"/>
      <c r="D1413" s="123" t="n"/>
      <c r="E1413" s="123" t="n"/>
      <c r="F1413" s="125" t="n"/>
      <c r="G1413" s="123" t="n"/>
      <c r="H1413" s="123" t="n"/>
      <c r="I1413" s="123" t="n"/>
      <c r="J1413" s="123" t="n"/>
      <c r="K1413" s="123" t="n"/>
      <c r="L1413" s="123" t="n"/>
      <c r="M1413" s="123">
        <f>IF(AND(B1413&lt;&gt;"",OR($C$4="",ISNUMBER(SEARCH($C$4,C1413&amp;" "&amp;E1413&amp;" "&amp;G1413&amp;" "&amp;H1413&amp;" "&amp;I1413&amp;" "&amp;J1413&amp;" "&amp;K1413&amp;" "&amp;L1413))),OR($C$5="Semua",$C$5="",G1413=$C$5),OR($C$6="Semua",$C$6="",H1413=$C$6,H1413="Pengeluaran "&amp;$C$6,AND($C$6="Uang Kos Mama",H1413="Pengeluaran Uang Kos")),OR($C$7="Semua",$C$7="",I1413=$C$7),OR($C$8="Semua",$C$8="",C1413=$C$8,E1413=$C$8),OR($C$9="Semua",$C$9="",D1413=$C$9),OR($C$10="",B1413&gt;=$C$10),OR($C$11="",B1413&lt;=$C$11),OR($C$12&lt;&gt;"Ya",K1413&lt;&gt;""),OR($C$13="Semua",$C$13="",L1413=$C$13)),"✓","")</f>
        <v/>
      </c>
      <c r="N1413" s="93">
        <f>N(N1412)+IF(M1413="✓",1,0)</f>
        <v/>
      </c>
      <c r="O1413" s="93">
        <f>N(O1412)+IF(AND(B1413&lt;&gt;"",B1413&gt;='Uang Riba'!$H$30,B1413&lt;='Uang Riba'!$I$30,OR(H1413="Dana riba",H1413="Pinjam uang riba",I1413="Pinjam dari uang riba",I1413="Ganti uang riba",I1413="Kelebihan ganti dikembalikan",AND(C1413="Kantong Uang Riba",G1413="Pengeluaran"))),1,0)</f>
        <v/>
      </c>
      <c r="X1413" s="93">
        <f>IF(AND(B1413&lt;&gt;"",B1413&gt;='Buku Akun'!$H$4,B1413&lt;='Buku Akun'!$H$5,OR(C1413='Buku Akun'!$C$4,AND(D1413="Pindah",E1413='Buku Akun'!$C$4))),B1413+IF(AND(I1413="Selisih bunga",DAY(B1413)=1),0,0.01)+ROW()/10000000,"")</f>
        <v/>
      </c>
    </row>
    <row r="1414" outlineLevel="1" ht="15" customHeight="1" s="94">
      <c r="A1414" s="123">
        <f>IF(B1414="","",ROW()-15)</f>
        <v/>
      </c>
      <c r="B1414" s="124" t="n"/>
      <c r="C1414" s="123" t="n"/>
      <c r="D1414" s="123" t="n"/>
      <c r="E1414" s="123" t="n"/>
      <c r="F1414" s="125" t="n"/>
      <c r="G1414" s="123" t="n"/>
      <c r="H1414" s="123" t="n"/>
      <c r="I1414" s="123" t="n"/>
      <c r="J1414" s="123" t="n"/>
      <c r="K1414" s="123" t="n"/>
      <c r="L1414" s="123" t="n"/>
      <c r="M1414" s="123">
        <f>IF(AND(B1414&lt;&gt;"",OR($C$4="",ISNUMBER(SEARCH($C$4,C1414&amp;" "&amp;E1414&amp;" "&amp;G1414&amp;" "&amp;H1414&amp;" "&amp;I1414&amp;" "&amp;J1414&amp;" "&amp;K1414&amp;" "&amp;L1414))),OR($C$5="Semua",$C$5="",G1414=$C$5),OR($C$6="Semua",$C$6="",H1414=$C$6,H1414="Pengeluaran "&amp;$C$6,AND($C$6="Uang Kos Mama",H1414="Pengeluaran Uang Kos")),OR($C$7="Semua",$C$7="",I1414=$C$7),OR($C$8="Semua",$C$8="",C1414=$C$8,E1414=$C$8),OR($C$9="Semua",$C$9="",D1414=$C$9),OR($C$10="",B1414&gt;=$C$10),OR($C$11="",B1414&lt;=$C$11),OR($C$12&lt;&gt;"Ya",K1414&lt;&gt;""),OR($C$13="Semua",$C$13="",L1414=$C$13)),"✓","")</f>
        <v/>
      </c>
      <c r="N1414" s="93">
        <f>N(N1413)+IF(M1414="✓",1,0)</f>
        <v/>
      </c>
      <c r="O1414" s="93">
        <f>N(O1413)+IF(AND(B1414&lt;&gt;"",B1414&gt;='Uang Riba'!$H$30,B1414&lt;='Uang Riba'!$I$30,OR(H1414="Dana riba",H1414="Pinjam uang riba",I1414="Pinjam dari uang riba",I1414="Ganti uang riba",I1414="Kelebihan ganti dikembalikan",AND(C1414="Kantong Uang Riba",G1414="Pengeluaran"))),1,0)</f>
        <v/>
      </c>
      <c r="X1414" s="93">
        <f>IF(AND(B1414&lt;&gt;"",B1414&gt;='Buku Akun'!$H$4,B1414&lt;='Buku Akun'!$H$5,OR(C1414='Buku Akun'!$C$4,AND(D1414="Pindah",E1414='Buku Akun'!$C$4))),B1414+IF(AND(I1414="Selisih bunga",DAY(B1414)=1),0,0.01)+ROW()/10000000,"")</f>
        <v/>
      </c>
    </row>
    <row r="1415" outlineLevel="1" ht="15" customHeight="1" s="94">
      <c r="A1415" s="123">
        <f>IF(B1415="","",ROW()-15)</f>
        <v/>
      </c>
      <c r="B1415" s="124" t="n"/>
      <c r="C1415" s="123" t="n"/>
      <c r="D1415" s="123" t="n"/>
      <c r="E1415" s="123" t="n"/>
      <c r="F1415" s="125" t="n"/>
      <c r="G1415" s="123" t="n"/>
      <c r="H1415" s="123" t="n"/>
      <c r="I1415" s="123" t="n"/>
      <c r="J1415" s="123" t="n"/>
      <c r="K1415" s="123" t="n"/>
      <c r="L1415" s="123" t="n"/>
      <c r="M1415" s="123">
        <f>IF(AND(B1415&lt;&gt;"",OR($C$4="",ISNUMBER(SEARCH($C$4,C1415&amp;" "&amp;E1415&amp;" "&amp;G1415&amp;" "&amp;H1415&amp;" "&amp;I1415&amp;" "&amp;J1415&amp;" "&amp;K1415&amp;" "&amp;L1415))),OR($C$5="Semua",$C$5="",G1415=$C$5),OR($C$6="Semua",$C$6="",H1415=$C$6,H1415="Pengeluaran "&amp;$C$6,AND($C$6="Uang Kos Mama",H1415="Pengeluaran Uang Kos")),OR($C$7="Semua",$C$7="",I1415=$C$7),OR($C$8="Semua",$C$8="",C1415=$C$8,E1415=$C$8),OR($C$9="Semua",$C$9="",D1415=$C$9),OR($C$10="",B1415&gt;=$C$10),OR($C$11="",B1415&lt;=$C$11),OR($C$12&lt;&gt;"Ya",K1415&lt;&gt;""),OR($C$13="Semua",$C$13="",L1415=$C$13)),"✓","")</f>
        <v/>
      </c>
      <c r="N1415" s="93">
        <f>N(N1414)+IF(M1415="✓",1,0)</f>
        <v/>
      </c>
      <c r="O1415" s="93">
        <f>N(O1414)+IF(AND(B1415&lt;&gt;"",B1415&gt;='Uang Riba'!$H$30,B1415&lt;='Uang Riba'!$I$30,OR(H1415="Dana riba",H1415="Pinjam uang riba",I1415="Pinjam dari uang riba",I1415="Ganti uang riba",I1415="Kelebihan ganti dikembalikan",AND(C1415="Kantong Uang Riba",G1415="Pengeluaran"))),1,0)</f>
        <v/>
      </c>
      <c r="X1415" s="93">
        <f>IF(AND(B1415&lt;&gt;"",B1415&gt;='Buku Akun'!$H$4,B1415&lt;='Buku Akun'!$H$5,OR(C1415='Buku Akun'!$C$4,AND(D1415="Pindah",E1415='Buku Akun'!$C$4))),B1415+IF(AND(I1415="Selisih bunga",DAY(B1415)=1),0,0.01)+ROW()/10000000,"")</f>
        <v/>
      </c>
    </row>
    <row r="1416" outlineLevel="1" ht="15" customHeight="1" s="94">
      <c r="A1416" s="123">
        <f>IF(B1416="","",ROW()-15)</f>
        <v/>
      </c>
      <c r="B1416" s="124" t="n"/>
      <c r="C1416" s="123" t="n"/>
      <c r="D1416" s="123" t="n"/>
      <c r="E1416" s="123" t="n"/>
      <c r="F1416" s="125" t="n"/>
      <c r="G1416" s="123" t="n"/>
      <c r="H1416" s="123" t="n"/>
      <c r="I1416" s="123" t="n"/>
      <c r="J1416" s="123" t="n"/>
      <c r="K1416" s="123" t="n"/>
      <c r="L1416" s="123" t="n"/>
      <c r="M1416" s="123">
        <f>IF(AND(B1416&lt;&gt;"",OR($C$4="",ISNUMBER(SEARCH($C$4,C1416&amp;" "&amp;E1416&amp;" "&amp;G1416&amp;" "&amp;H1416&amp;" "&amp;I1416&amp;" "&amp;J1416&amp;" "&amp;K1416&amp;" "&amp;L1416))),OR($C$5="Semua",$C$5="",G1416=$C$5),OR($C$6="Semua",$C$6="",H1416=$C$6,H1416="Pengeluaran "&amp;$C$6,AND($C$6="Uang Kos Mama",H1416="Pengeluaran Uang Kos")),OR($C$7="Semua",$C$7="",I1416=$C$7),OR($C$8="Semua",$C$8="",C1416=$C$8,E1416=$C$8),OR($C$9="Semua",$C$9="",D1416=$C$9),OR($C$10="",B1416&gt;=$C$10),OR($C$11="",B1416&lt;=$C$11),OR($C$12&lt;&gt;"Ya",K1416&lt;&gt;""),OR($C$13="Semua",$C$13="",L1416=$C$13)),"✓","")</f>
        <v/>
      </c>
      <c r="N1416" s="93">
        <f>N(N1415)+IF(M1416="✓",1,0)</f>
        <v/>
      </c>
      <c r="O1416" s="93">
        <f>N(O1415)+IF(AND(B1416&lt;&gt;"",B1416&gt;='Uang Riba'!$H$30,B1416&lt;='Uang Riba'!$I$30,OR(H1416="Dana riba",H1416="Pinjam uang riba",I1416="Pinjam dari uang riba",I1416="Ganti uang riba",I1416="Kelebihan ganti dikembalikan",AND(C1416="Kantong Uang Riba",G1416="Pengeluaran"))),1,0)</f>
        <v/>
      </c>
      <c r="X1416" s="93">
        <f>IF(AND(B1416&lt;&gt;"",B1416&gt;='Buku Akun'!$H$4,B1416&lt;='Buku Akun'!$H$5,OR(C1416='Buku Akun'!$C$4,AND(D1416="Pindah",E1416='Buku Akun'!$C$4))),B1416+IF(AND(I1416="Selisih bunga",DAY(B1416)=1),0,0.01)+ROW()/10000000,"")</f>
        <v/>
      </c>
    </row>
    <row r="1417" outlineLevel="1" ht="15" customHeight="1" s="94">
      <c r="A1417" s="123">
        <f>IF(B1417="","",ROW()-15)</f>
        <v/>
      </c>
      <c r="B1417" s="124" t="n"/>
      <c r="C1417" s="123" t="n"/>
      <c r="D1417" s="123" t="n"/>
      <c r="E1417" s="123" t="n"/>
      <c r="F1417" s="125" t="n"/>
      <c r="G1417" s="123" t="n"/>
      <c r="H1417" s="123" t="n"/>
      <c r="I1417" s="123" t="n"/>
      <c r="J1417" s="123" t="n"/>
      <c r="K1417" s="123" t="n"/>
      <c r="L1417" s="123" t="n"/>
      <c r="M1417" s="123">
        <f>IF(AND(B1417&lt;&gt;"",OR($C$4="",ISNUMBER(SEARCH($C$4,C1417&amp;" "&amp;E1417&amp;" "&amp;G1417&amp;" "&amp;H1417&amp;" "&amp;I1417&amp;" "&amp;J1417&amp;" "&amp;K1417&amp;" "&amp;L1417))),OR($C$5="Semua",$C$5="",G1417=$C$5),OR($C$6="Semua",$C$6="",H1417=$C$6,H1417="Pengeluaran "&amp;$C$6,AND($C$6="Uang Kos Mama",H1417="Pengeluaran Uang Kos")),OR($C$7="Semua",$C$7="",I1417=$C$7),OR($C$8="Semua",$C$8="",C1417=$C$8,E1417=$C$8),OR($C$9="Semua",$C$9="",D1417=$C$9),OR($C$10="",B1417&gt;=$C$10),OR($C$11="",B1417&lt;=$C$11),OR($C$12&lt;&gt;"Ya",K1417&lt;&gt;""),OR($C$13="Semua",$C$13="",L1417=$C$13)),"✓","")</f>
        <v/>
      </c>
      <c r="N1417" s="93">
        <f>N(N1416)+IF(M1417="✓",1,0)</f>
        <v/>
      </c>
      <c r="O1417" s="93">
        <f>N(O1416)+IF(AND(B1417&lt;&gt;"",B1417&gt;='Uang Riba'!$H$30,B1417&lt;='Uang Riba'!$I$30,OR(H1417="Dana riba",H1417="Pinjam uang riba",I1417="Pinjam dari uang riba",I1417="Ganti uang riba",I1417="Kelebihan ganti dikembalikan",AND(C1417="Kantong Uang Riba",G1417="Pengeluaran"))),1,0)</f>
        <v/>
      </c>
      <c r="X1417" s="93">
        <f>IF(AND(B1417&lt;&gt;"",B1417&gt;='Buku Akun'!$H$4,B1417&lt;='Buku Akun'!$H$5,OR(C1417='Buku Akun'!$C$4,AND(D1417="Pindah",E1417='Buku Akun'!$C$4))),B1417+IF(AND(I1417="Selisih bunga",DAY(B1417)=1),0,0.01)+ROW()/10000000,"")</f>
        <v/>
      </c>
    </row>
    <row r="1418" outlineLevel="1" ht="15" customHeight="1" s="94">
      <c r="A1418" s="123">
        <f>IF(B1418="","",ROW()-15)</f>
        <v/>
      </c>
      <c r="B1418" s="124" t="n"/>
      <c r="C1418" s="123" t="n"/>
      <c r="D1418" s="123" t="n"/>
      <c r="E1418" s="123" t="n"/>
      <c r="F1418" s="125" t="n"/>
      <c r="G1418" s="123" t="n"/>
      <c r="H1418" s="123" t="n"/>
      <c r="I1418" s="123" t="n"/>
      <c r="J1418" s="123" t="n"/>
      <c r="K1418" s="123" t="n"/>
      <c r="L1418" s="123" t="n"/>
      <c r="M1418" s="123">
        <f>IF(AND(B1418&lt;&gt;"",OR($C$4="",ISNUMBER(SEARCH($C$4,C1418&amp;" "&amp;E1418&amp;" "&amp;G1418&amp;" "&amp;H1418&amp;" "&amp;I1418&amp;" "&amp;J1418&amp;" "&amp;K1418&amp;" "&amp;L1418))),OR($C$5="Semua",$C$5="",G1418=$C$5),OR($C$6="Semua",$C$6="",H1418=$C$6,H1418="Pengeluaran "&amp;$C$6,AND($C$6="Uang Kos Mama",H1418="Pengeluaran Uang Kos")),OR($C$7="Semua",$C$7="",I1418=$C$7),OR($C$8="Semua",$C$8="",C1418=$C$8,E1418=$C$8),OR($C$9="Semua",$C$9="",D1418=$C$9),OR($C$10="",B1418&gt;=$C$10),OR($C$11="",B1418&lt;=$C$11),OR($C$12&lt;&gt;"Ya",K1418&lt;&gt;""),OR($C$13="Semua",$C$13="",L1418=$C$13)),"✓","")</f>
        <v/>
      </c>
      <c r="N1418" s="93">
        <f>N(N1417)+IF(M1418="✓",1,0)</f>
        <v/>
      </c>
      <c r="O1418" s="93">
        <f>N(O1417)+IF(AND(B1418&lt;&gt;"",B1418&gt;='Uang Riba'!$H$30,B1418&lt;='Uang Riba'!$I$30,OR(H1418="Dana riba",H1418="Pinjam uang riba",I1418="Pinjam dari uang riba",I1418="Ganti uang riba",I1418="Kelebihan ganti dikembalikan",AND(C1418="Kantong Uang Riba",G1418="Pengeluaran"))),1,0)</f>
        <v/>
      </c>
      <c r="X1418" s="93">
        <f>IF(AND(B1418&lt;&gt;"",B1418&gt;='Buku Akun'!$H$4,B1418&lt;='Buku Akun'!$H$5,OR(C1418='Buku Akun'!$C$4,AND(D1418="Pindah",E1418='Buku Akun'!$C$4))),B1418+IF(AND(I1418="Selisih bunga",DAY(B1418)=1),0,0.01)+ROW()/10000000,"")</f>
        <v/>
      </c>
    </row>
    <row r="1419" outlineLevel="1" ht="15" customHeight="1" s="94">
      <c r="A1419" s="123">
        <f>IF(B1419="","",ROW()-15)</f>
        <v/>
      </c>
      <c r="B1419" s="124" t="n"/>
      <c r="C1419" s="123" t="n"/>
      <c r="D1419" s="123" t="n"/>
      <c r="E1419" s="123" t="n"/>
      <c r="F1419" s="125" t="n"/>
      <c r="G1419" s="123" t="n"/>
      <c r="H1419" s="123" t="n"/>
      <c r="I1419" s="123" t="n"/>
      <c r="J1419" s="123" t="n"/>
      <c r="K1419" s="123" t="n"/>
      <c r="L1419" s="123" t="n"/>
      <c r="M1419" s="123">
        <f>IF(AND(B1419&lt;&gt;"",OR($C$4="",ISNUMBER(SEARCH($C$4,C1419&amp;" "&amp;E1419&amp;" "&amp;G1419&amp;" "&amp;H1419&amp;" "&amp;I1419&amp;" "&amp;J1419&amp;" "&amp;K1419&amp;" "&amp;L1419))),OR($C$5="Semua",$C$5="",G1419=$C$5),OR($C$6="Semua",$C$6="",H1419=$C$6,H1419="Pengeluaran "&amp;$C$6,AND($C$6="Uang Kos Mama",H1419="Pengeluaran Uang Kos")),OR($C$7="Semua",$C$7="",I1419=$C$7),OR($C$8="Semua",$C$8="",C1419=$C$8,E1419=$C$8),OR($C$9="Semua",$C$9="",D1419=$C$9),OR($C$10="",B1419&gt;=$C$10),OR($C$11="",B1419&lt;=$C$11),OR($C$12&lt;&gt;"Ya",K1419&lt;&gt;""),OR($C$13="Semua",$C$13="",L1419=$C$13)),"✓","")</f>
        <v/>
      </c>
      <c r="N1419" s="93">
        <f>N(N1418)+IF(M1419="✓",1,0)</f>
        <v/>
      </c>
      <c r="O1419" s="93">
        <f>N(O1418)+IF(AND(B1419&lt;&gt;"",B1419&gt;='Uang Riba'!$H$30,B1419&lt;='Uang Riba'!$I$30,OR(H1419="Dana riba",H1419="Pinjam uang riba",I1419="Pinjam dari uang riba",I1419="Ganti uang riba",I1419="Kelebihan ganti dikembalikan",AND(C1419="Kantong Uang Riba",G1419="Pengeluaran"))),1,0)</f>
        <v/>
      </c>
      <c r="X1419" s="93">
        <f>IF(AND(B1419&lt;&gt;"",B1419&gt;='Buku Akun'!$H$4,B1419&lt;='Buku Akun'!$H$5,OR(C1419='Buku Akun'!$C$4,AND(D1419="Pindah",E1419='Buku Akun'!$C$4))),B1419+IF(AND(I1419="Selisih bunga",DAY(B1419)=1),0,0.01)+ROW()/10000000,"")</f>
        <v/>
      </c>
    </row>
    <row r="1420" outlineLevel="1" ht="15" customHeight="1" s="94">
      <c r="A1420" s="123">
        <f>IF(B1420="","",ROW()-15)</f>
        <v/>
      </c>
      <c r="B1420" s="124" t="n"/>
      <c r="C1420" s="123" t="n"/>
      <c r="D1420" s="123" t="n"/>
      <c r="E1420" s="123" t="n"/>
      <c r="F1420" s="125" t="n"/>
      <c r="G1420" s="123" t="n"/>
      <c r="H1420" s="123" t="n"/>
      <c r="I1420" s="123" t="n"/>
      <c r="J1420" s="123" t="n"/>
      <c r="K1420" s="123" t="n"/>
      <c r="L1420" s="123" t="n"/>
      <c r="M1420" s="123">
        <f>IF(AND(B1420&lt;&gt;"",OR($C$4="",ISNUMBER(SEARCH($C$4,C1420&amp;" "&amp;E1420&amp;" "&amp;G1420&amp;" "&amp;H1420&amp;" "&amp;I1420&amp;" "&amp;J1420&amp;" "&amp;K1420&amp;" "&amp;L1420))),OR($C$5="Semua",$C$5="",G1420=$C$5),OR($C$6="Semua",$C$6="",H1420=$C$6,H1420="Pengeluaran "&amp;$C$6,AND($C$6="Uang Kos Mama",H1420="Pengeluaran Uang Kos")),OR($C$7="Semua",$C$7="",I1420=$C$7),OR($C$8="Semua",$C$8="",C1420=$C$8,E1420=$C$8),OR($C$9="Semua",$C$9="",D1420=$C$9),OR($C$10="",B1420&gt;=$C$10),OR($C$11="",B1420&lt;=$C$11),OR($C$12&lt;&gt;"Ya",K1420&lt;&gt;""),OR($C$13="Semua",$C$13="",L1420=$C$13)),"✓","")</f>
        <v/>
      </c>
      <c r="N1420" s="93">
        <f>N(N1419)+IF(M1420="✓",1,0)</f>
        <v/>
      </c>
      <c r="O1420" s="93">
        <f>N(O1419)+IF(AND(B1420&lt;&gt;"",B1420&gt;='Uang Riba'!$H$30,B1420&lt;='Uang Riba'!$I$30,OR(H1420="Dana riba",H1420="Pinjam uang riba",I1420="Pinjam dari uang riba",I1420="Ganti uang riba",I1420="Kelebihan ganti dikembalikan",AND(C1420="Kantong Uang Riba",G1420="Pengeluaran"))),1,0)</f>
        <v/>
      </c>
      <c r="X1420" s="93">
        <f>IF(AND(B1420&lt;&gt;"",B1420&gt;='Buku Akun'!$H$4,B1420&lt;='Buku Akun'!$H$5,OR(C1420='Buku Akun'!$C$4,AND(D1420="Pindah",E1420='Buku Akun'!$C$4))),B1420+IF(AND(I1420="Selisih bunga",DAY(B1420)=1),0,0.01)+ROW()/10000000,"")</f>
        <v/>
      </c>
    </row>
    <row r="1421" outlineLevel="1" ht="15" customHeight="1" s="94">
      <c r="A1421" s="123">
        <f>IF(B1421="","",ROW()-15)</f>
        <v/>
      </c>
      <c r="B1421" s="124" t="n"/>
      <c r="C1421" s="123" t="n"/>
      <c r="D1421" s="123" t="n"/>
      <c r="E1421" s="123" t="n"/>
      <c r="F1421" s="125" t="n"/>
      <c r="G1421" s="123" t="n"/>
      <c r="H1421" s="123" t="n"/>
      <c r="I1421" s="123" t="n"/>
      <c r="J1421" s="123" t="n"/>
      <c r="K1421" s="123" t="n"/>
      <c r="L1421" s="123" t="n"/>
      <c r="M1421" s="123">
        <f>IF(AND(B1421&lt;&gt;"",OR($C$4="",ISNUMBER(SEARCH($C$4,C1421&amp;" "&amp;E1421&amp;" "&amp;G1421&amp;" "&amp;H1421&amp;" "&amp;I1421&amp;" "&amp;J1421&amp;" "&amp;K1421&amp;" "&amp;L1421))),OR($C$5="Semua",$C$5="",G1421=$C$5),OR($C$6="Semua",$C$6="",H1421=$C$6,H1421="Pengeluaran "&amp;$C$6,AND($C$6="Uang Kos Mama",H1421="Pengeluaran Uang Kos")),OR($C$7="Semua",$C$7="",I1421=$C$7),OR($C$8="Semua",$C$8="",C1421=$C$8,E1421=$C$8),OR($C$9="Semua",$C$9="",D1421=$C$9),OR($C$10="",B1421&gt;=$C$10),OR($C$11="",B1421&lt;=$C$11),OR($C$12&lt;&gt;"Ya",K1421&lt;&gt;""),OR($C$13="Semua",$C$13="",L1421=$C$13)),"✓","")</f>
        <v/>
      </c>
      <c r="N1421" s="93">
        <f>N(N1420)+IF(M1421="✓",1,0)</f>
        <v/>
      </c>
      <c r="O1421" s="93">
        <f>N(O1420)+IF(AND(B1421&lt;&gt;"",B1421&gt;='Uang Riba'!$H$30,B1421&lt;='Uang Riba'!$I$30,OR(H1421="Dana riba",H1421="Pinjam uang riba",I1421="Pinjam dari uang riba",I1421="Ganti uang riba",I1421="Kelebihan ganti dikembalikan",AND(C1421="Kantong Uang Riba",G1421="Pengeluaran"))),1,0)</f>
        <v/>
      </c>
      <c r="X1421" s="93">
        <f>IF(AND(B1421&lt;&gt;"",B1421&gt;='Buku Akun'!$H$4,B1421&lt;='Buku Akun'!$H$5,OR(C1421='Buku Akun'!$C$4,AND(D1421="Pindah",E1421='Buku Akun'!$C$4))),B1421+IF(AND(I1421="Selisih bunga",DAY(B1421)=1),0,0.01)+ROW()/10000000,"")</f>
        <v/>
      </c>
    </row>
    <row r="1422" outlineLevel="1" ht="15" customHeight="1" s="94">
      <c r="A1422" s="123">
        <f>IF(B1422="","",ROW()-15)</f>
        <v/>
      </c>
      <c r="B1422" s="124" t="n"/>
      <c r="C1422" s="123" t="n"/>
      <c r="D1422" s="123" t="n"/>
      <c r="E1422" s="123" t="n"/>
      <c r="F1422" s="125" t="n"/>
      <c r="G1422" s="123" t="n"/>
      <c r="H1422" s="123" t="n"/>
      <c r="I1422" s="123" t="n"/>
      <c r="J1422" s="123" t="n"/>
      <c r="K1422" s="123" t="n"/>
      <c r="L1422" s="123" t="n"/>
      <c r="M1422" s="123">
        <f>IF(AND(B1422&lt;&gt;"",OR($C$4="",ISNUMBER(SEARCH($C$4,C1422&amp;" "&amp;E1422&amp;" "&amp;G1422&amp;" "&amp;H1422&amp;" "&amp;I1422&amp;" "&amp;J1422&amp;" "&amp;K1422&amp;" "&amp;L1422))),OR($C$5="Semua",$C$5="",G1422=$C$5),OR($C$6="Semua",$C$6="",H1422=$C$6,H1422="Pengeluaran "&amp;$C$6,AND($C$6="Uang Kos Mama",H1422="Pengeluaran Uang Kos")),OR($C$7="Semua",$C$7="",I1422=$C$7),OR($C$8="Semua",$C$8="",C1422=$C$8,E1422=$C$8),OR($C$9="Semua",$C$9="",D1422=$C$9),OR($C$10="",B1422&gt;=$C$10),OR($C$11="",B1422&lt;=$C$11),OR($C$12&lt;&gt;"Ya",K1422&lt;&gt;""),OR($C$13="Semua",$C$13="",L1422=$C$13)),"✓","")</f>
        <v/>
      </c>
      <c r="N1422" s="93">
        <f>N(N1421)+IF(M1422="✓",1,0)</f>
        <v/>
      </c>
      <c r="O1422" s="93">
        <f>N(O1421)+IF(AND(B1422&lt;&gt;"",B1422&gt;='Uang Riba'!$H$30,B1422&lt;='Uang Riba'!$I$30,OR(H1422="Dana riba",H1422="Pinjam uang riba",I1422="Pinjam dari uang riba",I1422="Ganti uang riba",I1422="Kelebihan ganti dikembalikan",AND(C1422="Kantong Uang Riba",G1422="Pengeluaran"))),1,0)</f>
        <v/>
      </c>
      <c r="X1422" s="93">
        <f>IF(AND(B1422&lt;&gt;"",B1422&gt;='Buku Akun'!$H$4,B1422&lt;='Buku Akun'!$H$5,OR(C1422='Buku Akun'!$C$4,AND(D1422="Pindah",E1422='Buku Akun'!$C$4))),B1422+IF(AND(I1422="Selisih bunga",DAY(B1422)=1),0,0.01)+ROW()/10000000,"")</f>
        <v/>
      </c>
    </row>
    <row r="1423" outlineLevel="1" ht="15" customHeight="1" s="94">
      <c r="A1423" s="123">
        <f>IF(B1423="","",ROW()-15)</f>
        <v/>
      </c>
      <c r="B1423" s="124" t="n"/>
      <c r="C1423" s="123" t="n"/>
      <c r="D1423" s="123" t="n"/>
      <c r="E1423" s="123" t="n"/>
      <c r="F1423" s="125" t="n"/>
      <c r="G1423" s="123" t="n"/>
      <c r="H1423" s="123" t="n"/>
      <c r="I1423" s="123" t="n"/>
      <c r="J1423" s="123" t="n"/>
      <c r="K1423" s="123" t="n"/>
      <c r="L1423" s="123" t="n"/>
      <c r="M1423" s="123">
        <f>IF(AND(B1423&lt;&gt;"",OR($C$4="",ISNUMBER(SEARCH($C$4,C1423&amp;" "&amp;E1423&amp;" "&amp;G1423&amp;" "&amp;H1423&amp;" "&amp;I1423&amp;" "&amp;J1423&amp;" "&amp;K1423&amp;" "&amp;L1423))),OR($C$5="Semua",$C$5="",G1423=$C$5),OR($C$6="Semua",$C$6="",H1423=$C$6,H1423="Pengeluaran "&amp;$C$6,AND($C$6="Uang Kos Mama",H1423="Pengeluaran Uang Kos")),OR($C$7="Semua",$C$7="",I1423=$C$7),OR($C$8="Semua",$C$8="",C1423=$C$8,E1423=$C$8),OR($C$9="Semua",$C$9="",D1423=$C$9),OR($C$10="",B1423&gt;=$C$10),OR($C$11="",B1423&lt;=$C$11),OR($C$12&lt;&gt;"Ya",K1423&lt;&gt;""),OR($C$13="Semua",$C$13="",L1423=$C$13)),"✓","")</f>
        <v/>
      </c>
      <c r="N1423" s="93">
        <f>N(N1422)+IF(M1423="✓",1,0)</f>
        <v/>
      </c>
      <c r="O1423" s="93">
        <f>N(O1422)+IF(AND(B1423&lt;&gt;"",B1423&gt;='Uang Riba'!$H$30,B1423&lt;='Uang Riba'!$I$30,OR(H1423="Dana riba",H1423="Pinjam uang riba",I1423="Pinjam dari uang riba",I1423="Ganti uang riba",I1423="Kelebihan ganti dikembalikan",AND(C1423="Kantong Uang Riba",G1423="Pengeluaran"))),1,0)</f>
        <v/>
      </c>
      <c r="X1423" s="93">
        <f>IF(AND(B1423&lt;&gt;"",B1423&gt;='Buku Akun'!$H$4,B1423&lt;='Buku Akun'!$H$5,OR(C1423='Buku Akun'!$C$4,AND(D1423="Pindah",E1423='Buku Akun'!$C$4))),B1423+IF(AND(I1423="Selisih bunga",DAY(B1423)=1),0,0.01)+ROW()/10000000,"")</f>
        <v/>
      </c>
    </row>
    <row r="1424" outlineLevel="1" ht="15" customHeight="1" s="94">
      <c r="A1424" s="123">
        <f>IF(B1424="","",ROW()-15)</f>
        <v/>
      </c>
      <c r="B1424" s="124" t="n"/>
      <c r="C1424" s="123" t="n"/>
      <c r="D1424" s="123" t="n"/>
      <c r="E1424" s="123" t="n"/>
      <c r="F1424" s="125" t="n"/>
      <c r="G1424" s="123" t="n"/>
      <c r="H1424" s="123" t="n"/>
      <c r="I1424" s="123" t="n"/>
      <c r="J1424" s="123" t="n"/>
      <c r="K1424" s="123" t="n"/>
      <c r="L1424" s="123" t="n"/>
      <c r="M1424" s="123">
        <f>IF(AND(B1424&lt;&gt;"",OR($C$4="",ISNUMBER(SEARCH($C$4,C1424&amp;" "&amp;E1424&amp;" "&amp;G1424&amp;" "&amp;H1424&amp;" "&amp;I1424&amp;" "&amp;J1424&amp;" "&amp;K1424&amp;" "&amp;L1424))),OR($C$5="Semua",$C$5="",G1424=$C$5),OR($C$6="Semua",$C$6="",H1424=$C$6,H1424="Pengeluaran "&amp;$C$6,AND($C$6="Uang Kos Mama",H1424="Pengeluaran Uang Kos")),OR($C$7="Semua",$C$7="",I1424=$C$7),OR($C$8="Semua",$C$8="",C1424=$C$8,E1424=$C$8),OR($C$9="Semua",$C$9="",D1424=$C$9),OR($C$10="",B1424&gt;=$C$10),OR($C$11="",B1424&lt;=$C$11),OR($C$12&lt;&gt;"Ya",K1424&lt;&gt;""),OR($C$13="Semua",$C$13="",L1424=$C$13)),"✓","")</f>
        <v/>
      </c>
      <c r="N1424" s="93">
        <f>N(N1423)+IF(M1424="✓",1,0)</f>
        <v/>
      </c>
      <c r="O1424" s="93">
        <f>N(O1423)+IF(AND(B1424&lt;&gt;"",B1424&gt;='Uang Riba'!$H$30,B1424&lt;='Uang Riba'!$I$30,OR(H1424="Dana riba",H1424="Pinjam uang riba",I1424="Pinjam dari uang riba",I1424="Ganti uang riba",I1424="Kelebihan ganti dikembalikan",AND(C1424="Kantong Uang Riba",G1424="Pengeluaran"))),1,0)</f>
        <v/>
      </c>
      <c r="X1424" s="93">
        <f>IF(AND(B1424&lt;&gt;"",B1424&gt;='Buku Akun'!$H$4,B1424&lt;='Buku Akun'!$H$5,OR(C1424='Buku Akun'!$C$4,AND(D1424="Pindah",E1424='Buku Akun'!$C$4))),B1424+IF(AND(I1424="Selisih bunga",DAY(B1424)=1),0,0.01)+ROW()/10000000,"")</f>
        <v/>
      </c>
    </row>
    <row r="1425" outlineLevel="1" ht="15" customHeight="1" s="94">
      <c r="A1425" s="123">
        <f>IF(B1425="","",ROW()-15)</f>
        <v/>
      </c>
      <c r="B1425" s="124" t="n"/>
      <c r="C1425" s="123" t="n"/>
      <c r="D1425" s="123" t="n"/>
      <c r="E1425" s="123" t="n"/>
      <c r="F1425" s="125" t="n"/>
      <c r="G1425" s="123" t="n"/>
      <c r="H1425" s="123" t="n"/>
      <c r="I1425" s="123" t="n"/>
      <c r="J1425" s="123" t="n"/>
      <c r="K1425" s="123" t="n"/>
      <c r="L1425" s="123" t="n"/>
      <c r="M1425" s="123">
        <f>IF(AND(B1425&lt;&gt;"",OR($C$4="",ISNUMBER(SEARCH($C$4,C1425&amp;" "&amp;E1425&amp;" "&amp;G1425&amp;" "&amp;H1425&amp;" "&amp;I1425&amp;" "&amp;J1425&amp;" "&amp;K1425&amp;" "&amp;L1425))),OR($C$5="Semua",$C$5="",G1425=$C$5),OR($C$6="Semua",$C$6="",H1425=$C$6,H1425="Pengeluaran "&amp;$C$6,AND($C$6="Uang Kos Mama",H1425="Pengeluaran Uang Kos")),OR($C$7="Semua",$C$7="",I1425=$C$7),OR($C$8="Semua",$C$8="",C1425=$C$8,E1425=$C$8),OR($C$9="Semua",$C$9="",D1425=$C$9),OR($C$10="",B1425&gt;=$C$10),OR($C$11="",B1425&lt;=$C$11),OR($C$12&lt;&gt;"Ya",K1425&lt;&gt;""),OR($C$13="Semua",$C$13="",L1425=$C$13)),"✓","")</f>
        <v/>
      </c>
      <c r="N1425" s="93">
        <f>N(N1424)+IF(M1425="✓",1,0)</f>
        <v/>
      </c>
      <c r="O1425" s="93">
        <f>N(O1424)+IF(AND(B1425&lt;&gt;"",B1425&gt;='Uang Riba'!$H$30,B1425&lt;='Uang Riba'!$I$30,OR(H1425="Dana riba",H1425="Pinjam uang riba",I1425="Pinjam dari uang riba",I1425="Ganti uang riba",I1425="Kelebihan ganti dikembalikan",AND(C1425="Kantong Uang Riba",G1425="Pengeluaran"))),1,0)</f>
        <v/>
      </c>
      <c r="X1425" s="93">
        <f>IF(AND(B1425&lt;&gt;"",B1425&gt;='Buku Akun'!$H$4,B1425&lt;='Buku Akun'!$H$5,OR(C1425='Buku Akun'!$C$4,AND(D1425="Pindah",E1425='Buku Akun'!$C$4))),B1425+IF(AND(I1425="Selisih bunga",DAY(B1425)=1),0,0.01)+ROW()/10000000,"")</f>
        <v/>
      </c>
    </row>
    <row r="1426" outlineLevel="1" ht="15" customHeight="1" s="94">
      <c r="A1426" s="123">
        <f>IF(B1426="","",ROW()-15)</f>
        <v/>
      </c>
      <c r="B1426" s="124" t="n"/>
      <c r="C1426" s="123" t="n"/>
      <c r="D1426" s="123" t="n"/>
      <c r="E1426" s="123" t="n"/>
      <c r="F1426" s="125" t="n"/>
      <c r="G1426" s="123" t="n"/>
      <c r="H1426" s="123" t="n"/>
      <c r="I1426" s="123" t="n"/>
      <c r="J1426" s="123" t="n"/>
      <c r="K1426" s="123" t="n"/>
      <c r="L1426" s="123" t="n"/>
      <c r="M1426" s="123">
        <f>IF(AND(B1426&lt;&gt;"",OR($C$4="",ISNUMBER(SEARCH($C$4,C1426&amp;" "&amp;E1426&amp;" "&amp;G1426&amp;" "&amp;H1426&amp;" "&amp;I1426&amp;" "&amp;J1426&amp;" "&amp;K1426&amp;" "&amp;L1426))),OR($C$5="Semua",$C$5="",G1426=$C$5),OR($C$6="Semua",$C$6="",H1426=$C$6,H1426="Pengeluaran "&amp;$C$6,AND($C$6="Uang Kos Mama",H1426="Pengeluaran Uang Kos")),OR($C$7="Semua",$C$7="",I1426=$C$7),OR($C$8="Semua",$C$8="",C1426=$C$8,E1426=$C$8),OR($C$9="Semua",$C$9="",D1426=$C$9),OR($C$10="",B1426&gt;=$C$10),OR($C$11="",B1426&lt;=$C$11),OR($C$12&lt;&gt;"Ya",K1426&lt;&gt;""),OR($C$13="Semua",$C$13="",L1426=$C$13)),"✓","")</f>
        <v/>
      </c>
      <c r="N1426" s="93">
        <f>N(N1425)+IF(M1426="✓",1,0)</f>
        <v/>
      </c>
      <c r="O1426" s="93">
        <f>N(O1425)+IF(AND(B1426&lt;&gt;"",B1426&gt;='Uang Riba'!$H$30,B1426&lt;='Uang Riba'!$I$30,OR(H1426="Dana riba",H1426="Pinjam uang riba",I1426="Pinjam dari uang riba",I1426="Ganti uang riba",I1426="Kelebihan ganti dikembalikan",AND(C1426="Kantong Uang Riba",G1426="Pengeluaran"))),1,0)</f>
        <v/>
      </c>
      <c r="X1426" s="93">
        <f>IF(AND(B1426&lt;&gt;"",B1426&gt;='Buku Akun'!$H$4,B1426&lt;='Buku Akun'!$H$5,OR(C1426='Buku Akun'!$C$4,AND(D1426="Pindah",E1426='Buku Akun'!$C$4))),B1426+IF(AND(I1426="Selisih bunga",DAY(B1426)=1),0,0.01)+ROW()/10000000,"")</f>
        <v/>
      </c>
    </row>
    <row r="1427" outlineLevel="1" ht="15" customHeight="1" s="94">
      <c r="A1427" s="123">
        <f>IF(B1427="","",ROW()-15)</f>
        <v/>
      </c>
      <c r="B1427" s="124" t="n"/>
      <c r="C1427" s="123" t="n"/>
      <c r="D1427" s="123" t="n"/>
      <c r="E1427" s="123" t="n"/>
      <c r="F1427" s="125" t="n"/>
      <c r="G1427" s="123" t="n"/>
      <c r="H1427" s="123" t="n"/>
      <c r="I1427" s="123" t="n"/>
      <c r="J1427" s="123" t="n"/>
      <c r="K1427" s="123" t="n"/>
      <c r="L1427" s="123" t="n"/>
      <c r="M1427" s="123">
        <f>IF(AND(B1427&lt;&gt;"",OR($C$4="",ISNUMBER(SEARCH($C$4,C1427&amp;" "&amp;E1427&amp;" "&amp;G1427&amp;" "&amp;H1427&amp;" "&amp;I1427&amp;" "&amp;J1427&amp;" "&amp;K1427&amp;" "&amp;L1427))),OR($C$5="Semua",$C$5="",G1427=$C$5),OR($C$6="Semua",$C$6="",H1427=$C$6,H1427="Pengeluaran "&amp;$C$6,AND($C$6="Uang Kos Mama",H1427="Pengeluaran Uang Kos")),OR($C$7="Semua",$C$7="",I1427=$C$7),OR($C$8="Semua",$C$8="",C1427=$C$8,E1427=$C$8),OR($C$9="Semua",$C$9="",D1427=$C$9),OR($C$10="",B1427&gt;=$C$10),OR($C$11="",B1427&lt;=$C$11),OR($C$12&lt;&gt;"Ya",K1427&lt;&gt;""),OR($C$13="Semua",$C$13="",L1427=$C$13)),"✓","")</f>
        <v/>
      </c>
      <c r="N1427" s="93">
        <f>N(N1426)+IF(M1427="✓",1,0)</f>
        <v/>
      </c>
      <c r="O1427" s="93">
        <f>N(O1426)+IF(AND(B1427&lt;&gt;"",B1427&gt;='Uang Riba'!$H$30,B1427&lt;='Uang Riba'!$I$30,OR(H1427="Dana riba",H1427="Pinjam uang riba",I1427="Pinjam dari uang riba",I1427="Ganti uang riba",I1427="Kelebihan ganti dikembalikan",AND(C1427="Kantong Uang Riba",G1427="Pengeluaran"))),1,0)</f>
        <v/>
      </c>
      <c r="X1427" s="93">
        <f>IF(AND(B1427&lt;&gt;"",B1427&gt;='Buku Akun'!$H$4,B1427&lt;='Buku Akun'!$H$5,OR(C1427='Buku Akun'!$C$4,AND(D1427="Pindah",E1427='Buku Akun'!$C$4))),B1427+IF(AND(I1427="Selisih bunga",DAY(B1427)=1),0,0.01)+ROW()/10000000,"")</f>
        <v/>
      </c>
    </row>
    <row r="1428" outlineLevel="1" ht="15" customHeight="1" s="94">
      <c r="A1428" s="123">
        <f>IF(B1428="","",ROW()-15)</f>
        <v/>
      </c>
      <c r="B1428" s="124" t="n"/>
      <c r="C1428" s="123" t="n"/>
      <c r="D1428" s="123" t="n"/>
      <c r="E1428" s="123" t="n"/>
      <c r="F1428" s="125" t="n"/>
      <c r="G1428" s="123" t="n"/>
      <c r="H1428" s="123" t="n"/>
      <c r="I1428" s="123" t="n"/>
      <c r="J1428" s="123" t="n"/>
      <c r="K1428" s="123" t="n"/>
      <c r="L1428" s="123" t="n"/>
      <c r="M1428" s="123">
        <f>IF(AND(B1428&lt;&gt;"",OR($C$4="",ISNUMBER(SEARCH($C$4,C1428&amp;" "&amp;E1428&amp;" "&amp;G1428&amp;" "&amp;H1428&amp;" "&amp;I1428&amp;" "&amp;J1428&amp;" "&amp;K1428&amp;" "&amp;L1428))),OR($C$5="Semua",$C$5="",G1428=$C$5),OR($C$6="Semua",$C$6="",H1428=$C$6,H1428="Pengeluaran "&amp;$C$6,AND($C$6="Uang Kos Mama",H1428="Pengeluaran Uang Kos")),OR($C$7="Semua",$C$7="",I1428=$C$7),OR($C$8="Semua",$C$8="",C1428=$C$8,E1428=$C$8),OR($C$9="Semua",$C$9="",D1428=$C$9),OR($C$10="",B1428&gt;=$C$10),OR($C$11="",B1428&lt;=$C$11),OR($C$12&lt;&gt;"Ya",K1428&lt;&gt;""),OR($C$13="Semua",$C$13="",L1428=$C$13)),"✓","")</f>
        <v/>
      </c>
      <c r="N1428" s="93">
        <f>N(N1427)+IF(M1428="✓",1,0)</f>
        <v/>
      </c>
      <c r="O1428" s="93">
        <f>N(O1427)+IF(AND(B1428&lt;&gt;"",B1428&gt;='Uang Riba'!$H$30,B1428&lt;='Uang Riba'!$I$30,OR(H1428="Dana riba",H1428="Pinjam uang riba",I1428="Pinjam dari uang riba",I1428="Ganti uang riba",I1428="Kelebihan ganti dikembalikan",AND(C1428="Kantong Uang Riba",G1428="Pengeluaran"))),1,0)</f>
        <v/>
      </c>
      <c r="X1428" s="93">
        <f>IF(AND(B1428&lt;&gt;"",B1428&gt;='Buku Akun'!$H$4,B1428&lt;='Buku Akun'!$H$5,OR(C1428='Buku Akun'!$C$4,AND(D1428="Pindah",E1428='Buku Akun'!$C$4))),B1428+IF(AND(I1428="Selisih bunga",DAY(B1428)=1),0,0.01)+ROW()/10000000,"")</f>
        <v/>
      </c>
    </row>
    <row r="1429" outlineLevel="1" ht="15" customHeight="1" s="94">
      <c r="A1429" s="123">
        <f>IF(B1429="","",ROW()-15)</f>
        <v/>
      </c>
      <c r="B1429" s="124" t="n"/>
      <c r="C1429" s="123" t="n"/>
      <c r="D1429" s="123" t="n"/>
      <c r="E1429" s="123" t="n"/>
      <c r="F1429" s="125" t="n"/>
      <c r="G1429" s="123" t="n"/>
      <c r="H1429" s="123" t="n"/>
      <c r="I1429" s="123" t="n"/>
      <c r="J1429" s="123" t="n"/>
      <c r="K1429" s="123" t="n"/>
      <c r="L1429" s="123" t="n"/>
      <c r="M1429" s="123">
        <f>IF(AND(B1429&lt;&gt;"",OR($C$4="",ISNUMBER(SEARCH($C$4,C1429&amp;" "&amp;E1429&amp;" "&amp;G1429&amp;" "&amp;H1429&amp;" "&amp;I1429&amp;" "&amp;J1429&amp;" "&amp;K1429&amp;" "&amp;L1429))),OR($C$5="Semua",$C$5="",G1429=$C$5),OR($C$6="Semua",$C$6="",H1429=$C$6,H1429="Pengeluaran "&amp;$C$6,AND($C$6="Uang Kos Mama",H1429="Pengeluaran Uang Kos")),OR($C$7="Semua",$C$7="",I1429=$C$7),OR($C$8="Semua",$C$8="",C1429=$C$8,E1429=$C$8),OR($C$9="Semua",$C$9="",D1429=$C$9),OR($C$10="",B1429&gt;=$C$10),OR($C$11="",B1429&lt;=$C$11),OR($C$12&lt;&gt;"Ya",K1429&lt;&gt;""),OR($C$13="Semua",$C$13="",L1429=$C$13)),"✓","")</f>
        <v/>
      </c>
      <c r="N1429" s="93">
        <f>N(N1428)+IF(M1429="✓",1,0)</f>
        <v/>
      </c>
      <c r="O1429" s="93">
        <f>N(O1428)+IF(AND(B1429&lt;&gt;"",B1429&gt;='Uang Riba'!$H$30,B1429&lt;='Uang Riba'!$I$30,OR(H1429="Dana riba",H1429="Pinjam uang riba",I1429="Pinjam dari uang riba",I1429="Ganti uang riba",I1429="Kelebihan ganti dikembalikan",AND(C1429="Kantong Uang Riba",G1429="Pengeluaran"))),1,0)</f>
        <v/>
      </c>
      <c r="X1429" s="93">
        <f>IF(AND(B1429&lt;&gt;"",B1429&gt;='Buku Akun'!$H$4,B1429&lt;='Buku Akun'!$H$5,OR(C1429='Buku Akun'!$C$4,AND(D1429="Pindah",E1429='Buku Akun'!$C$4))),B1429+IF(AND(I1429="Selisih bunga",DAY(B1429)=1),0,0.01)+ROW()/10000000,"")</f>
        <v/>
      </c>
    </row>
    <row r="1430" outlineLevel="1" ht="15" customHeight="1" s="94">
      <c r="A1430" s="123">
        <f>IF(B1430="","",ROW()-15)</f>
        <v/>
      </c>
      <c r="B1430" s="124" t="n"/>
      <c r="C1430" s="123" t="n"/>
      <c r="D1430" s="123" t="n"/>
      <c r="E1430" s="123" t="n"/>
      <c r="F1430" s="125" t="n"/>
      <c r="G1430" s="123" t="n"/>
      <c r="H1430" s="123" t="n"/>
      <c r="I1430" s="123" t="n"/>
      <c r="J1430" s="123" t="n"/>
      <c r="K1430" s="123" t="n"/>
      <c r="L1430" s="123" t="n"/>
      <c r="M1430" s="123">
        <f>IF(AND(B1430&lt;&gt;"",OR($C$4="",ISNUMBER(SEARCH($C$4,C1430&amp;" "&amp;E1430&amp;" "&amp;G1430&amp;" "&amp;H1430&amp;" "&amp;I1430&amp;" "&amp;J1430&amp;" "&amp;K1430&amp;" "&amp;L1430))),OR($C$5="Semua",$C$5="",G1430=$C$5),OR($C$6="Semua",$C$6="",H1430=$C$6,H1430="Pengeluaran "&amp;$C$6,AND($C$6="Uang Kos Mama",H1430="Pengeluaran Uang Kos")),OR($C$7="Semua",$C$7="",I1430=$C$7),OR($C$8="Semua",$C$8="",C1430=$C$8,E1430=$C$8),OR($C$9="Semua",$C$9="",D1430=$C$9),OR($C$10="",B1430&gt;=$C$10),OR($C$11="",B1430&lt;=$C$11),OR($C$12&lt;&gt;"Ya",K1430&lt;&gt;""),OR($C$13="Semua",$C$13="",L1430=$C$13)),"✓","")</f>
        <v/>
      </c>
      <c r="N1430" s="93">
        <f>N(N1429)+IF(M1430="✓",1,0)</f>
        <v/>
      </c>
      <c r="O1430" s="93">
        <f>N(O1429)+IF(AND(B1430&lt;&gt;"",B1430&gt;='Uang Riba'!$H$30,B1430&lt;='Uang Riba'!$I$30,OR(H1430="Dana riba",H1430="Pinjam uang riba",I1430="Pinjam dari uang riba",I1430="Ganti uang riba",I1430="Kelebihan ganti dikembalikan",AND(C1430="Kantong Uang Riba",G1430="Pengeluaran"))),1,0)</f>
        <v/>
      </c>
      <c r="X1430" s="93">
        <f>IF(AND(B1430&lt;&gt;"",B1430&gt;='Buku Akun'!$H$4,B1430&lt;='Buku Akun'!$H$5,OR(C1430='Buku Akun'!$C$4,AND(D1430="Pindah",E1430='Buku Akun'!$C$4))),B1430+IF(AND(I1430="Selisih bunga",DAY(B1430)=1),0,0.01)+ROW()/10000000,"")</f>
        <v/>
      </c>
    </row>
    <row r="1431" outlineLevel="1" ht="15" customHeight="1" s="94">
      <c r="A1431" s="123">
        <f>IF(B1431="","",ROW()-15)</f>
        <v/>
      </c>
      <c r="B1431" s="124" t="n"/>
      <c r="C1431" s="123" t="n"/>
      <c r="D1431" s="123" t="n"/>
      <c r="E1431" s="123" t="n"/>
      <c r="F1431" s="125" t="n"/>
      <c r="G1431" s="123" t="n"/>
      <c r="H1431" s="123" t="n"/>
      <c r="I1431" s="123" t="n"/>
      <c r="J1431" s="123" t="n"/>
      <c r="K1431" s="123" t="n"/>
      <c r="L1431" s="123" t="n"/>
      <c r="M1431" s="123">
        <f>IF(AND(B1431&lt;&gt;"",OR($C$4="",ISNUMBER(SEARCH($C$4,C1431&amp;" "&amp;E1431&amp;" "&amp;G1431&amp;" "&amp;H1431&amp;" "&amp;I1431&amp;" "&amp;J1431&amp;" "&amp;K1431&amp;" "&amp;L1431))),OR($C$5="Semua",$C$5="",G1431=$C$5),OR($C$6="Semua",$C$6="",H1431=$C$6,H1431="Pengeluaran "&amp;$C$6,AND($C$6="Uang Kos Mama",H1431="Pengeluaran Uang Kos")),OR($C$7="Semua",$C$7="",I1431=$C$7),OR($C$8="Semua",$C$8="",C1431=$C$8,E1431=$C$8),OR($C$9="Semua",$C$9="",D1431=$C$9),OR($C$10="",B1431&gt;=$C$10),OR($C$11="",B1431&lt;=$C$11),OR($C$12&lt;&gt;"Ya",K1431&lt;&gt;""),OR($C$13="Semua",$C$13="",L1431=$C$13)),"✓","")</f>
        <v/>
      </c>
      <c r="N1431" s="93">
        <f>N(N1430)+IF(M1431="✓",1,0)</f>
        <v/>
      </c>
      <c r="O1431" s="93">
        <f>N(O1430)+IF(AND(B1431&lt;&gt;"",B1431&gt;='Uang Riba'!$H$30,B1431&lt;='Uang Riba'!$I$30,OR(H1431="Dana riba",H1431="Pinjam uang riba",I1431="Pinjam dari uang riba",I1431="Ganti uang riba",I1431="Kelebihan ganti dikembalikan",AND(C1431="Kantong Uang Riba",G1431="Pengeluaran"))),1,0)</f>
        <v/>
      </c>
      <c r="X1431" s="93">
        <f>IF(AND(B1431&lt;&gt;"",B1431&gt;='Buku Akun'!$H$4,B1431&lt;='Buku Akun'!$H$5,OR(C1431='Buku Akun'!$C$4,AND(D1431="Pindah",E1431='Buku Akun'!$C$4))),B1431+IF(AND(I1431="Selisih bunga",DAY(B1431)=1),0,0.01)+ROW()/10000000,"")</f>
        <v/>
      </c>
    </row>
    <row r="1432" outlineLevel="1" ht="15" customHeight="1" s="94">
      <c r="A1432" s="123">
        <f>IF(B1432="","",ROW()-15)</f>
        <v/>
      </c>
      <c r="B1432" s="124" t="n"/>
      <c r="C1432" s="123" t="n"/>
      <c r="D1432" s="123" t="n"/>
      <c r="E1432" s="123" t="n"/>
      <c r="F1432" s="125" t="n"/>
      <c r="G1432" s="123" t="n"/>
      <c r="H1432" s="123" t="n"/>
      <c r="I1432" s="123" t="n"/>
      <c r="J1432" s="123" t="n"/>
      <c r="K1432" s="123" t="n"/>
      <c r="L1432" s="123" t="n"/>
      <c r="M1432" s="123">
        <f>IF(AND(B1432&lt;&gt;"",OR($C$4="",ISNUMBER(SEARCH($C$4,C1432&amp;" "&amp;E1432&amp;" "&amp;G1432&amp;" "&amp;H1432&amp;" "&amp;I1432&amp;" "&amp;J1432&amp;" "&amp;K1432&amp;" "&amp;L1432))),OR($C$5="Semua",$C$5="",G1432=$C$5),OR($C$6="Semua",$C$6="",H1432=$C$6,H1432="Pengeluaran "&amp;$C$6,AND($C$6="Uang Kos Mama",H1432="Pengeluaran Uang Kos")),OR($C$7="Semua",$C$7="",I1432=$C$7),OR($C$8="Semua",$C$8="",C1432=$C$8,E1432=$C$8),OR($C$9="Semua",$C$9="",D1432=$C$9),OR($C$10="",B1432&gt;=$C$10),OR($C$11="",B1432&lt;=$C$11),OR($C$12&lt;&gt;"Ya",K1432&lt;&gt;""),OR($C$13="Semua",$C$13="",L1432=$C$13)),"✓","")</f>
        <v/>
      </c>
      <c r="N1432" s="93">
        <f>N(N1431)+IF(M1432="✓",1,0)</f>
        <v/>
      </c>
      <c r="O1432" s="93">
        <f>N(O1431)+IF(AND(B1432&lt;&gt;"",B1432&gt;='Uang Riba'!$H$30,B1432&lt;='Uang Riba'!$I$30,OR(H1432="Dana riba",H1432="Pinjam uang riba",I1432="Pinjam dari uang riba",I1432="Ganti uang riba",I1432="Kelebihan ganti dikembalikan",AND(C1432="Kantong Uang Riba",G1432="Pengeluaran"))),1,0)</f>
        <v/>
      </c>
      <c r="X1432" s="93">
        <f>IF(AND(B1432&lt;&gt;"",B1432&gt;='Buku Akun'!$H$4,B1432&lt;='Buku Akun'!$H$5,OR(C1432='Buku Akun'!$C$4,AND(D1432="Pindah",E1432='Buku Akun'!$C$4))),B1432+IF(AND(I1432="Selisih bunga",DAY(B1432)=1),0,0.01)+ROW()/10000000,"")</f>
        <v/>
      </c>
    </row>
    <row r="1433" outlineLevel="1" ht="15" customHeight="1" s="94">
      <c r="A1433" s="123">
        <f>IF(B1433="","",ROW()-15)</f>
        <v/>
      </c>
      <c r="B1433" s="124" t="n"/>
      <c r="C1433" s="123" t="n"/>
      <c r="D1433" s="123" t="n"/>
      <c r="E1433" s="123" t="n"/>
      <c r="F1433" s="125" t="n"/>
      <c r="G1433" s="123" t="n"/>
      <c r="H1433" s="123" t="n"/>
      <c r="I1433" s="123" t="n"/>
      <c r="J1433" s="123" t="n"/>
      <c r="K1433" s="123" t="n"/>
      <c r="L1433" s="123" t="n"/>
      <c r="M1433" s="123">
        <f>IF(AND(B1433&lt;&gt;"",OR($C$4="",ISNUMBER(SEARCH($C$4,C1433&amp;" "&amp;E1433&amp;" "&amp;G1433&amp;" "&amp;H1433&amp;" "&amp;I1433&amp;" "&amp;J1433&amp;" "&amp;K1433&amp;" "&amp;L1433))),OR($C$5="Semua",$C$5="",G1433=$C$5),OR($C$6="Semua",$C$6="",H1433=$C$6,H1433="Pengeluaran "&amp;$C$6,AND($C$6="Uang Kos Mama",H1433="Pengeluaran Uang Kos")),OR($C$7="Semua",$C$7="",I1433=$C$7),OR($C$8="Semua",$C$8="",C1433=$C$8,E1433=$C$8),OR($C$9="Semua",$C$9="",D1433=$C$9),OR($C$10="",B1433&gt;=$C$10),OR($C$11="",B1433&lt;=$C$11),OR($C$12&lt;&gt;"Ya",K1433&lt;&gt;""),OR($C$13="Semua",$C$13="",L1433=$C$13)),"✓","")</f>
        <v/>
      </c>
      <c r="N1433" s="93">
        <f>N(N1432)+IF(M1433="✓",1,0)</f>
        <v/>
      </c>
      <c r="O1433" s="93">
        <f>N(O1432)+IF(AND(B1433&lt;&gt;"",B1433&gt;='Uang Riba'!$H$30,B1433&lt;='Uang Riba'!$I$30,OR(H1433="Dana riba",H1433="Pinjam uang riba",I1433="Pinjam dari uang riba",I1433="Ganti uang riba",I1433="Kelebihan ganti dikembalikan",AND(C1433="Kantong Uang Riba",G1433="Pengeluaran"))),1,0)</f>
        <v/>
      </c>
      <c r="X1433" s="93">
        <f>IF(AND(B1433&lt;&gt;"",B1433&gt;='Buku Akun'!$H$4,B1433&lt;='Buku Akun'!$H$5,OR(C1433='Buku Akun'!$C$4,AND(D1433="Pindah",E1433='Buku Akun'!$C$4))),B1433+IF(AND(I1433="Selisih bunga",DAY(B1433)=1),0,0.01)+ROW()/10000000,"")</f>
        <v/>
      </c>
    </row>
    <row r="1434" outlineLevel="1" ht="15" customHeight="1" s="94">
      <c r="A1434" s="123">
        <f>IF(B1434="","",ROW()-15)</f>
        <v/>
      </c>
      <c r="B1434" s="124" t="n"/>
      <c r="C1434" s="123" t="n"/>
      <c r="D1434" s="123" t="n"/>
      <c r="E1434" s="123" t="n"/>
      <c r="F1434" s="125" t="n"/>
      <c r="G1434" s="123" t="n"/>
      <c r="H1434" s="123" t="n"/>
      <c r="I1434" s="123" t="n"/>
      <c r="J1434" s="123" t="n"/>
      <c r="K1434" s="123" t="n"/>
      <c r="L1434" s="123" t="n"/>
      <c r="M1434" s="123">
        <f>IF(AND(B1434&lt;&gt;"",OR($C$4="",ISNUMBER(SEARCH($C$4,C1434&amp;" "&amp;E1434&amp;" "&amp;G1434&amp;" "&amp;H1434&amp;" "&amp;I1434&amp;" "&amp;J1434&amp;" "&amp;K1434&amp;" "&amp;L1434))),OR($C$5="Semua",$C$5="",G1434=$C$5),OR($C$6="Semua",$C$6="",H1434=$C$6,H1434="Pengeluaran "&amp;$C$6,AND($C$6="Uang Kos Mama",H1434="Pengeluaran Uang Kos")),OR($C$7="Semua",$C$7="",I1434=$C$7),OR($C$8="Semua",$C$8="",C1434=$C$8,E1434=$C$8),OR($C$9="Semua",$C$9="",D1434=$C$9),OR($C$10="",B1434&gt;=$C$10),OR($C$11="",B1434&lt;=$C$11),OR($C$12&lt;&gt;"Ya",K1434&lt;&gt;""),OR($C$13="Semua",$C$13="",L1434=$C$13)),"✓","")</f>
        <v/>
      </c>
      <c r="N1434" s="93">
        <f>N(N1433)+IF(M1434="✓",1,0)</f>
        <v/>
      </c>
      <c r="O1434" s="93">
        <f>N(O1433)+IF(AND(B1434&lt;&gt;"",B1434&gt;='Uang Riba'!$H$30,B1434&lt;='Uang Riba'!$I$30,OR(H1434="Dana riba",H1434="Pinjam uang riba",I1434="Pinjam dari uang riba",I1434="Ganti uang riba",I1434="Kelebihan ganti dikembalikan",AND(C1434="Kantong Uang Riba",G1434="Pengeluaran"))),1,0)</f>
        <v/>
      </c>
      <c r="X1434" s="93">
        <f>IF(AND(B1434&lt;&gt;"",B1434&gt;='Buku Akun'!$H$4,B1434&lt;='Buku Akun'!$H$5,OR(C1434='Buku Akun'!$C$4,AND(D1434="Pindah",E1434='Buku Akun'!$C$4))),B1434+IF(AND(I1434="Selisih bunga",DAY(B1434)=1),0,0.01)+ROW()/10000000,"")</f>
        <v/>
      </c>
    </row>
    <row r="1435" outlineLevel="1" ht="15" customHeight="1" s="94">
      <c r="A1435" s="123">
        <f>IF(B1435="","",ROW()-15)</f>
        <v/>
      </c>
      <c r="B1435" s="124" t="n"/>
      <c r="C1435" s="123" t="n"/>
      <c r="D1435" s="123" t="n"/>
      <c r="E1435" s="123" t="n"/>
      <c r="F1435" s="125" t="n"/>
      <c r="G1435" s="123" t="n"/>
      <c r="H1435" s="123" t="n"/>
      <c r="I1435" s="123" t="n"/>
      <c r="J1435" s="123" t="n"/>
      <c r="K1435" s="123" t="n"/>
      <c r="L1435" s="123" t="n"/>
      <c r="M1435" s="123">
        <f>IF(AND(B1435&lt;&gt;"",OR($C$4="",ISNUMBER(SEARCH($C$4,C1435&amp;" "&amp;E1435&amp;" "&amp;G1435&amp;" "&amp;H1435&amp;" "&amp;I1435&amp;" "&amp;J1435&amp;" "&amp;K1435&amp;" "&amp;L1435))),OR($C$5="Semua",$C$5="",G1435=$C$5),OR($C$6="Semua",$C$6="",H1435=$C$6,H1435="Pengeluaran "&amp;$C$6,AND($C$6="Uang Kos Mama",H1435="Pengeluaran Uang Kos")),OR($C$7="Semua",$C$7="",I1435=$C$7),OR($C$8="Semua",$C$8="",C1435=$C$8,E1435=$C$8),OR($C$9="Semua",$C$9="",D1435=$C$9),OR($C$10="",B1435&gt;=$C$10),OR($C$11="",B1435&lt;=$C$11),OR($C$12&lt;&gt;"Ya",K1435&lt;&gt;""),OR($C$13="Semua",$C$13="",L1435=$C$13)),"✓","")</f>
        <v/>
      </c>
      <c r="N1435" s="93">
        <f>N(N1434)+IF(M1435="✓",1,0)</f>
        <v/>
      </c>
      <c r="O1435" s="93">
        <f>N(O1434)+IF(AND(B1435&lt;&gt;"",B1435&gt;='Uang Riba'!$H$30,B1435&lt;='Uang Riba'!$I$30,OR(H1435="Dana riba",H1435="Pinjam uang riba",I1435="Pinjam dari uang riba",I1435="Ganti uang riba",I1435="Kelebihan ganti dikembalikan",AND(C1435="Kantong Uang Riba",G1435="Pengeluaran"))),1,0)</f>
        <v/>
      </c>
      <c r="X1435" s="93">
        <f>IF(AND(B1435&lt;&gt;"",B1435&gt;='Buku Akun'!$H$4,B1435&lt;='Buku Akun'!$H$5,OR(C1435='Buku Akun'!$C$4,AND(D1435="Pindah",E1435='Buku Akun'!$C$4))),B1435+IF(AND(I1435="Selisih bunga",DAY(B1435)=1),0,0.01)+ROW()/10000000,"")</f>
        <v/>
      </c>
    </row>
    <row r="1436" outlineLevel="1" ht="15" customHeight="1" s="94">
      <c r="A1436" s="123">
        <f>IF(B1436="","",ROW()-15)</f>
        <v/>
      </c>
      <c r="B1436" s="124" t="n"/>
      <c r="C1436" s="123" t="n"/>
      <c r="D1436" s="123" t="n"/>
      <c r="E1436" s="123" t="n"/>
      <c r="F1436" s="125" t="n"/>
      <c r="G1436" s="123" t="n"/>
      <c r="H1436" s="123" t="n"/>
      <c r="I1436" s="123" t="n"/>
      <c r="J1436" s="123" t="n"/>
      <c r="K1436" s="123" t="n"/>
      <c r="L1436" s="123" t="n"/>
      <c r="M1436" s="123">
        <f>IF(AND(B1436&lt;&gt;"",OR($C$4="",ISNUMBER(SEARCH($C$4,C1436&amp;" "&amp;E1436&amp;" "&amp;G1436&amp;" "&amp;H1436&amp;" "&amp;I1436&amp;" "&amp;J1436&amp;" "&amp;K1436&amp;" "&amp;L1436))),OR($C$5="Semua",$C$5="",G1436=$C$5),OR($C$6="Semua",$C$6="",H1436=$C$6,H1436="Pengeluaran "&amp;$C$6,AND($C$6="Uang Kos Mama",H1436="Pengeluaran Uang Kos")),OR($C$7="Semua",$C$7="",I1436=$C$7),OR($C$8="Semua",$C$8="",C1436=$C$8,E1436=$C$8),OR($C$9="Semua",$C$9="",D1436=$C$9),OR($C$10="",B1436&gt;=$C$10),OR($C$11="",B1436&lt;=$C$11),OR($C$12&lt;&gt;"Ya",K1436&lt;&gt;""),OR($C$13="Semua",$C$13="",L1436=$C$13)),"✓","")</f>
        <v/>
      </c>
      <c r="N1436" s="93">
        <f>N(N1435)+IF(M1436="✓",1,0)</f>
        <v/>
      </c>
      <c r="O1436" s="93">
        <f>N(O1435)+IF(AND(B1436&lt;&gt;"",B1436&gt;='Uang Riba'!$H$30,B1436&lt;='Uang Riba'!$I$30,OR(H1436="Dana riba",H1436="Pinjam uang riba",I1436="Pinjam dari uang riba",I1436="Ganti uang riba",I1436="Kelebihan ganti dikembalikan",AND(C1436="Kantong Uang Riba",G1436="Pengeluaran"))),1,0)</f>
        <v/>
      </c>
      <c r="X1436" s="93">
        <f>IF(AND(B1436&lt;&gt;"",B1436&gt;='Buku Akun'!$H$4,B1436&lt;='Buku Akun'!$H$5,OR(C1436='Buku Akun'!$C$4,AND(D1436="Pindah",E1436='Buku Akun'!$C$4))),B1436+IF(AND(I1436="Selisih bunga",DAY(B1436)=1),0,0.01)+ROW()/10000000,"")</f>
        <v/>
      </c>
    </row>
    <row r="1437" outlineLevel="1" ht="15" customHeight="1" s="94">
      <c r="A1437" s="123">
        <f>IF(B1437="","",ROW()-15)</f>
        <v/>
      </c>
      <c r="B1437" s="124" t="n"/>
      <c r="C1437" s="123" t="n"/>
      <c r="D1437" s="123" t="n"/>
      <c r="E1437" s="123" t="n"/>
      <c r="F1437" s="125" t="n"/>
      <c r="G1437" s="123" t="n"/>
      <c r="H1437" s="123" t="n"/>
      <c r="I1437" s="123" t="n"/>
      <c r="J1437" s="123" t="n"/>
      <c r="K1437" s="123" t="n"/>
      <c r="L1437" s="123" t="n"/>
      <c r="M1437" s="123">
        <f>IF(AND(B1437&lt;&gt;"",OR($C$4="",ISNUMBER(SEARCH($C$4,C1437&amp;" "&amp;E1437&amp;" "&amp;G1437&amp;" "&amp;H1437&amp;" "&amp;I1437&amp;" "&amp;J1437&amp;" "&amp;K1437&amp;" "&amp;L1437))),OR($C$5="Semua",$C$5="",G1437=$C$5),OR($C$6="Semua",$C$6="",H1437=$C$6,H1437="Pengeluaran "&amp;$C$6,AND($C$6="Uang Kos Mama",H1437="Pengeluaran Uang Kos")),OR($C$7="Semua",$C$7="",I1437=$C$7),OR($C$8="Semua",$C$8="",C1437=$C$8,E1437=$C$8),OR($C$9="Semua",$C$9="",D1437=$C$9),OR($C$10="",B1437&gt;=$C$10),OR($C$11="",B1437&lt;=$C$11),OR($C$12&lt;&gt;"Ya",K1437&lt;&gt;""),OR($C$13="Semua",$C$13="",L1437=$C$13)),"✓","")</f>
        <v/>
      </c>
      <c r="N1437" s="93">
        <f>N(N1436)+IF(M1437="✓",1,0)</f>
        <v/>
      </c>
      <c r="O1437" s="93">
        <f>N(O1436)+IF(AND(B1437&lt;&gt;"",B1437&gt;='Uang Riba'!$H$30,B1437&lt;='Uang Riba'!$I$30,OR(H1437="Dana riba",H1437="Pinjam uang riba",I1437="Pinjam dari uang riba",I1437="Ganti uang riba",I1437="Kelebihan ganti dikembalikan",AND(C1437="Kantong Uang Riba",G1437="Pengeluaran"))),1,0)</f>
        <v/>
      </c>
      <c r="X1437" s="93">
        <f>IF(AND(B1437&lt;&gt;"",B1437&gt;='Buku Akun'!$H$4,B1437&lt;='Buku Akun'!$H$5,OR(C1437='Buku Akun'!$C$4,AND(D1437="Pindah",E1437='Buku Akun'!$C$4))),B1437+IF(AND(I1437="Selisih bunga",DAY(B1437)=1),0,0.01)+ROW()/10000000,"")</f>
        <v/>
      </c>
    </row>
    <row r="1438" outlineLevel="1" ht="15" customHeight="1" s="94">
      <c r="A1438" s="123">
        <f>IF(B1438="","",ROW()-15)</f>
        <v/>
      </c>
      <c r="B1438" s="124" t="n"/>
      <c r="C1438" s="123" t="n"/>
      <c r="D1438" s="123" t="n"/>
      <c r="E1438" s="123" t="n"/>
      <c r="F1438" s="125" t="n"/>
      <c r="G1438" s="123" t="n"/>
      <c r="H1438" s="123" t="n"/>
      <c r="I1438" s="123" t="n"/>
      <c r="J1438" s="123" t="n"/>
      <c r="K1438" s="123" t="n"/>
      <c r="L1438" s="123" t="n"/>
      <c r="M1438" s="123">
        <f>IF(AND(B1438&lt;&gt;"",OR($C$4="",ISNUMBER(SEARCH($C$4,C1438&amp;" "&amp;E1438&amp;" "&amp;G1438&amp;" "&amp;H1438&amp;" "&amp;I1438&amp;" "&amp;J1438&amp;" "&amp;K1438&amp;" "&amp;L1438))),OR($C$5="Semua",$C$5="",G1438=$C$5),OR($C$6="Semua",$C$6="",H1438=$C$6,H1438="Pengeluaran "&amp;$C$6,AND($C$6="Uang Kos Mama",H1438="Pengeluaran Uang Kos")),OR($C$7="Semua",$C$7="",I1438=$C$7),OR($C$8="Semua",$C$8="",C1438=$C$8,E1438=$C$8),OR($C$9="Semua",$C$9="",D1438=$C$9),OR($C$10="",B1438&gt;=$C$10),OR($C$11="",B1438&lt;=$C$11),OR($C$12&lt;&gt;"Ya",K1438&lt;&gt;""),OR($C$13="Semua",$C$13="",L1438=$C$13)),"✓","")</f>
        <v/>
      </c>
      <c r="N1438" s="93">
        <f>N(N1437)+IF(M1438="✓",1,0)</f>
        <v/>
      </c>
      <c r="O1438" s="93">
        <f>N(O1437)+IF(AND(B1438&lt;&gt;"",B1438&gt;='Uang Riba'!$H$30,B1438&lt;='Uang Riba'!$I$30,OR(H1438="Dana riba",H1438="Pinjam uang riba",I1438="Pinjam dari uang riba",I1438="Ganti uang riba",I1438="Kelebihan ganti dikembalikan",AND(C1438="Kantong Uang Riba",G1438="Pengeluaran"))),1,0)</f>
        <v/>
      </c>
      <c r="X1438" s="93">
        <f>IF(AND(B1438&lt;&gt;"",B1438&gt;='Buku Akun'!$H$4,B1438&lt;='Buku Akun'!$H$5,OR(C1438='Buku Akun'!$C$4,AND(D1438="Pindah",E1438='Buku Akun'!$C$4))),B1438+IF(AND(I1438="Selisih bunga",DAY(B1438)=1),0,0.01)+ROW()/10000000,"")</f>
        <v/>
      </c>
    </row>
    <row r="1439" outlineLevel="1" ht="15" customHeight="1" s="94">
      <c r="A1439" s="123">
        <f>IF(B1439="","",ROW()-15)</f>
        <v/>
      </c>
      <c r="B1439" s="124" t="n"/>
      <c r="C1439" s="123" t="n"/>
      <c r="D1439" s="123" t="n"/>
      <c r="E1439" s="123" t="n"/>
      <c r="F1439" s="125" t="n"/>
      <c r="G1439" s="123" t="n"/>
      <c r="H1439" s="123" t="n"/>
      <c r="I1439" s="123" t="n"/>
      <c r="J1439" s="123" t="n"/>
      <c r="K1439" s="123" t="n"/>
      <c r="L1439" s="123" t="n"/>
      <c r="M1439" s="123">
        <f>IF(AND(B1439&lt;&gt;"",OR($C$4="",ISNUMBER(SEARCH($C$4,C1439&amp;" "&amp;E1439&amp;" "&amp;G1439&amp;" "&amp;H1439&amp;" "&amp;I1439&amp;" "&amp;J1439&amp;" "&amp;K1439&amp;" "&amp;L1439))),OR($C$5="Semua",$C$5="",G1439=$C$5),OR($C$6="Semua",$C$6="",H1439=$C$6,H1439="Pengeluaran "&amp;$C$6,AND($C$6="Uang Kos Mama",H1439="Pengeluaran Uang Kos")),OR($C$7="Semua",$C$7="",I1439=$C$7),OR($C$8="Semua",$C$8="",C1439=$C$8,E1439=$C$8),OR($C$9="Semua",$C$9="",D1439=$C$9),OR($C$10="",B1439&gt;=$C$10),OR($C$11="",B1439&lt;=$C$11),OR($C$12&lt;&gt;"Ya",K1439&lt;&gt;""),OR($C$13="Semua",$C$13="",L1439=$C$13)),"✓","")</f>
        <v/>
      </c>
      <c r="N1439" s="93">
        <f>N(N1438)+IF(M1439="✓",1,0)</f>
        <v/>
      </c>
      <c r="O1439" s="93">
        <f>N(O1438)+IF(AND(B1439&lt;&gt;"",B1439&gt;='Uang Riba'!$H$30,B1439&lt;='Uang Riba'!$I$30,OR(H1439="Dana riba",H1439="Pinjam uang riba",I1439="Pinjam dari uang riba",I1439="Ganti uang riba",I1439="Kelebihan ganti dikembalikan",AND(C1439="Kantong Uang Riba",G1439="Pengeluaran"))),1,0)</f>
        <v/>
      </c>
      <c r="X1439" s="93">
        <f>IF(AND(B1439&lt;&gt;"",B1439&gt;='Buku Akun'!$H$4,B1439&lt;='Buku Akun'!$H$5,OR(C1439='Buku Akun'!$C$4,AND(D1439="Pindah",E1439='Buku Akun'!$C$4))),B1439+IF(AND(I1439="Selisih bunga",DAY(B1439)=1),0,0.01)+ROW()/10000000,"")</f>
        <v/>
      </c>
    </row>
    <row r="1440" outlineLevel="1" ht="15" customHeight="1" s="94">
      <c r="A1440" s="123">
        <f>IF(B1440="","",ROW()-15)</f>
        <v/>
      </c>
      <c r="B1440" s="124" t="n"/>
      <c r="C1440" s="123" t="n"/>
      <c r="D1440" s="123" t="n"/>
      <c r="E1440" s="123" t="n"/>
      <c r="F1440" s="125" t="n"/>
      <c r="G1440" s="123" t="n"/>
      <c r="H1440" s="123" t="n"/>
      <c r="I1440" s="123" t="n"/>
      <c r="J1440" s="123" t="n"/>
      <c r="K1440" s="123" t="n"/>
      <c r="L1440" s="123" t="n"/>
      <c r="M1440" s="123">
        <f>IF(AND(B1440&lt;&gt;"",OR($C$4="",ISNUMBER(SEARCH($C$4,C1440&amp;" "&amp;E1440&amp;" "&amp;G1440&amp;" "&amp;H1440&amp;" "&amp;I1440&amp;" "&amp;J1440&amp;" "&amp;K1440&amp;" "&amp;L1440))),OR($C$5="Semua",$C$5="",G1440=$C$5),OR($C$6="Semua",$C$6="",H1440=$C$6,H1440="Pengeluaran "&amp;$C$6,AND($C$6="Uang Kos Mama",H1440="Pengeluaran Uang Kos")),OR($C$7="Semua",$C$7="",I1440=$C$7),OR($C$8="Semua",$C$8="",C1440=$C$8,E1440=$C$8),OR($C$9="Semua",$C$9="",D1440=$C$9),OR($C$10="",B1440&gt;=$C$10),OR($C$11="",B1440&lt;=$C$11),OR($C$12&lt;&gt;"Ya",K1440&lt;&gt;""),OR($C$13="Semua",$C$13="",L1440=$C$13)),"✓","")</f>
        <v/>
      </c>
      <c r="N1440" s="93">
        <f>N(N1439)+IF(M1440="✓",1,0)</f>
        <v/>
      </c>
      <c r="O1440" s="93">
        <f>N(O1439)+IF(AND(B1440&lt;&gt;"",B1440&gt;='Uang Riba'!$H$30,B1440&lt;='Uang Riba'!$I$30,OR(H1440="Dana riba",H1440="Pinjam uang riba",I1440="Pinjam dari uang riba",I1440="Ganti uang riba",I1440="Kelebihan ganti dikembalikan",AND(C1440="Kantong Uang Riba",G1440="Pengeluaran"))),1,0)</f>
        <v/>
      </c>
      <c r="X1440" s="93">
        <f>IF(AND(B1440&lt;&gt;"",B1440&gt;='Buku Akun'!$H$4,B1440&lt;='Buku Akun'!$H$5,OR(C1440='Buku Akun'!$C$4,AND(D1440="Pindah",E1440='Buku Akun'!$C$4))),B1440+IF(AND(I1440="Selisih bunga",DAY(B1440)=1),0,0.01)+ROW()/10000000,"")</f>
        <v/>
      </c>
    </row>
    <row r="1441" outlineLevel="1" ht="15" customHeight="1" s="94">
      <c r="A1441" s="123">
        <f>IF(B1441="","",ROW()-15)</f>
        <v/>
      </c>
      <c r="B1441" s="124" t="n"/>
      <c r="C1441" s="123" t="n"/>
      <c r="D1441" s="123" t="n"/>
      <c r="E1441" s="123" t="n"/>
      <c r="F1441" s="125" t="n"/>
      <c r="G1441" s="123" t="n"/>
      <c r="H1441" s="123" t="n"/>
      <c r="I1441" s="123" t="n"/>
      <c r="J1441" s="123" t="n"/>
      <c r="K1441" s="123" t="n"/>
      <c r="L1441" s="123" t="n"/>
      <c r="M1441" s="123">
        <f>IF(AND(B1441&lt;&gt;"",OR($C$4="",ISNUMBER(SEARCH($C$4,C1441&amp;" "&amp;E1441&amp;" "&amp;G1441&amp;" "&amp;H1441&amp;" "&amp;I1441&amp;" "&amp;J1441&amp;" "&amp;K1441&amp;" "&amp;L1441))),OR($C$5="Semua",$C$5="",G1441=$C$5),OR($C$6="Semua",$C$6="",H1441=$C$6,H1441="Pengeluaran "&amp;$C$6,AND($C$6="Uang Kos Mama",H1441="Pengeluaran Uang Kos")),OR($C$7="Semua",$C$7="",I1441=$C$7),OR($C$8="Semua",$C$8="",C1441=$C$8,E1441=$C$8),OR($C$9="Semua",$C$9="",D1441=$C$9),OR($C$10="",B1441&gt;=$C$10),OR($C$11="",B1441&lt;=$C$11),OR($C$12&lt;&gt;"Ya",K1441&lt;&gt;""),OR($C$13="Semua",$C$13="",L1441=$C$13)),"✓","")</f>
        <v/>
      </c>
      <c r="N1441" s="93">
        <f>N(N1440)+IF(M1441="✓",1,0)</f>
        <v/>
      </c>
      <c r="O1441" s="93">
        <f>N(O1440)+IF(AND(B1441&lt;&gt;"",B1441&gt;='Uang Riba'!$H$30,B1441&lt;='Uang Riba'!$I$30,OR(H1441="Dana riba",H1441="Pinjam uang riba",I1441="Pinjam dari uang riba",I1441="Ganti uang riba",I1441="Kelebihan ganti dikembalikan",AND(C1441="Kantong Uang Riba",G1441="Pengeluaran"))),1,0)</f>
        <v/>
      </c>
      <c r="X1441" s="93">
        <f>IF(AND(B1441&lt;&gt;"",B1441&gt;='Buku Akun'!$H$4,B1441&lt;='Buku Akun'!$H$5,OR(C1441='Buku Akun'!$C$4,AND(D1441="Pindah",E1441='Buku Akun'!$C$4))),B1441+IF(AND(I1441="Selisih bunga",DAY(B1441)=1),0,0.01)+ROW()/10000000,"")</f>
        <v/>
      </c>
    </row>
    <row r="1442" outlineLevel="1" ht="15" customHeight="1" s="94">
      <c r="A1442" s="123">
        <f>IF(B1442="","",ROW()-15)</f>
        <v/>
      </c>
      <c r="B1442" s="124" t="n"/>
      <c r="C1442" s="123" t="n"/>
      <c r="D1442" s="123" t="n"/>
      <c r="E1442" s="123" t="n"/>
      <c r="F1442" s="125" t="n"/>
      <c r="G1442" s="123" t="n"/>
      <c r="H1442" s="123" t="n"/>
      <c r="I1442" s="123" t="n"/>
      <c r="J1442" s="123" t="n"/>
      <c r="K1442" s="123" t="n"/>
      <c r="L1442" s="123" t="n"/>
      <c r="M1442" s="123">
        <f>IF(AND(B1442&lt;&gt;"",OR($C$4="",ISNUMBER(SEARCH($C$4,C1442&amp;" "&amp;E1442&amp;" "&amp;G1442&amp;" "&amp;H1442&amp;" "&amp;I1442&amp;" "&amp;J1442&amp;" "&amp;K1442&amp;" "&amp;L1442))),OR($C$5="Semua",$C$5="",G1442=$C$5),OR($C$6="Semua",$C$6="",H1442=$C$6,H1442="Pengeluaran "&amp;$C$6,AND($C$6="Uang Kos Mama",H1442="Pengeluaran Uang Kos")),OR($C$7="Semua",$C$7="",I1442=$C$7),OR($C$8="Semua",$C$8="",C1442=$C$8,E1442=$C$8),OR($C$9="Semua",$C$9="",D1442=$C$9),OR($C$10="",B1442&gt;=$C$10),OR($C$11="",B1442&lt;=$C$11),OR($C$12&lt;&gt;"Ya",K1442&lt;&gt;""),OR($C$13="Semua",$C$13="",L1442=$C$13)),"✓","")</f>
        <v/>
      </c>
      <c r="N1442" s="93">
        <f>N(N1441)+IF(M1442="✓",1,0)</f>
        <v/>
      </c>
      <c r="O1442" s="93">
        <f>N(O1441)+IF(AND(B1442&lt;&gt;"",B1442&gt;='Uang Riba'!$H$30,B1442&lt;='Uang Riba'!$I$30,OR(H1442="Dana riba",H1442="Pinjam uang riba",I1442="Pinjam dari uang riba",I1442="Ganti uang riba",I1442="Kelebihan ganti dikembalikan",AND(C1442="Kantong Uang Riba",G1442="Pengeluaran"))),1,0)</f>
        <v/>
      </c>
      <c r="X1442" s="93">
        <f>IF(AND(B1442&lt;&gt;"",B1442&gt;='Buku Akun'!$H$4,B1442&lt;='Buku Akun'!$H$5,OR(C1442='Buku Akun'!$C$4,AND(D1442="Pindah",E1442='Buku Akun'!$C$4))),B1442+IF(AND(I1442="Selisih bunga",DAY(B1442)=1),0,0.01)+ROW()/10000000,"")</f>
        <v/>
      </c>
    </row>
    <row r="1443" outlineLevel="1" ht="15" customHeight="1" s="94">
      <c r="A1443" s="123">
        <f>IF(B1443="","",ROW()-15)</f>
        <v/>
      </c>
      <c r="B1443" s="124" t="n"/>
      <c r="C1443" s="123" t="n"/>
      <c r="D1443" s="123" t="n"/>
      <c r="E1443" s="123" t="n"/>
      <c r="F1443" s="125" t="n"/>
      <c r="G1443" s="123" t="n"/>
      <c r="H1443" s="123" t="n"/>
      <c r="I1443" s="123" t="n"/>
      <c r="J1443" s="123" t="n"/>
      <c r="K1443" s="123" t="n"/>
      <c r="L1443" s="123" t="n"/>
      <c r="M1443" s="123">
        <f>IF(AND(B1443&lt;&gt;"",OR($C$4="",ISNUMBER(SEARCH($C$4,C1443&amp;" "&amp;E1443&amp;" "&amp;G1443&amp;" "&amp;H1443&amp;" "&amp;I1443&amp;" "&amp;J1443&amp;" "&amp;K1443&amp;" "&amp;L1443))),OR($C$5="Semua",$C$5="",G1443=$C$5),OR($C$6="Semua",$C$6="",H1443=$C$6,H1443="Pengeluaran "&amp;$C$6,AND($C$6="Uang Kos Mama",H1443="Pengeluaran Uang Kos")),OR($C$7="Semua",$C$7="",I1443=$C$7),OR($C$8="Semua",$C$8="",C1443=$C$8,E1443=$C$8),OR($C$9="Semua",$C$9="",D1443=$C$9),OR($C$10="",B1443&gt;=$C$10),OR($C$11="",B1443&lt;=$C$11),OR($C$12&lt;&gt;"Ya",K1443&lt;&gt;""),OR($C$13="Semua",$C$13="",L1443=$C$13)),"✓","")</f>
        <v/>
      </c>
      <c r="N1443" s="93">
        <f>N(N1442)+IF(M1443="✓",1,0)</f>
        <v/>
      </c>
      <c r="O1443" s="93">
        <f>N(O1442)+IF(AND(B1443&lt;&gt;"",B1443&gt;='Uang Riba'!$H$30,B1443&lt;='Uang Riba'!$I$30,OR(H1443="Dana riba",H1443="Pinjam uang riba",I1443="Pinjam dari uang riba",I1443="Ganti uang riba",I1443="Kelebihan ganti dikembalikan",AND(C1443="Kantong Uang Riba",G1443="Pengeluaran"))),1,0)</f>
        <v/>
      </c>
      <c r="X1443" s="93">
        <f>IF(AND(B1443&lt;&gt;"",B1443&gt;='Buku Akun'!$H$4,B1443&lt;='Buku Akun'!$H$5,OR(C1443='Buku Akun'!$C$4,AND(D1443="Pindah",E1443='Buku Akun'!$C$4))),B1443+IF(AND(I1443="Selisih bunga",DAY(B1443)=1),0,0.01)+ROW()/10000000,"")</f>
        <v/>
      </c>
    </row>
    <row r="1444" outlineLevel="1" ht="15" customHeight="1" s="94">
      <c r="A1444" s="123">
        <f>IF(B1444="","",ROW()-15)</f>
        <v/>
      </c>
      <c r="B1444" s="124" t="n"/>
      <c r="C1444" s="123" t="n"/>
      <c r="D1444" s="123" t="n"/>
      <c r="E1444" s="123" t="n"/>
      <c r="F1444" s="125" t="n"/>
      <c r="G1444" s="123" t="n"/>
      <c r="H1444" s="123" t="n"/>
      <c r="I1444" s="123" t="n"/>
      <c r="J1444" s="123" t="n"/>
      <c r="K1444" s="123" t="n"/>
      <c r="L1444" s="123" t="n"/>
      <c r="M1444" s="123">
        <f>IF(AND(B1444&lt;&gt;"",OR($C$4="",ISNUMBER(SEARCH($C$4,C1444&amp;" "&amp;E1444&amp;" "&amp;G1444&amp;" "&amp;H1444&amp;" "&amp;I1444&amp;" "&amp;J1444&amp;" "&amp;K1444&amp;" "&amp;L1444))),OR($C$5="Semua",$C$5="",G1444=$C$5),OR($C$6="Semua",$C$6="",H1444=$C$6,H1444="Pengeluaran "&amp;$C$6,AND($C$6="Uang Kos Mama",H1444="Pengeluaran Uang Kos")),OR($C$7="Semua",$C$7="",I1444=$C$7),OR($C$8="Semua",$C$8="",C1444=$C$8,E1444=$C$8),OR($C$9="Semua",$C$9="",D1444=$C$9),OR($C$10="",B1444&gt;=$C$10),OR($C$11="",B1444&lt;=$C$11),OR($C$12&lt;&gt;"Ya",K1444&lt;&gt;""),OR($C$13="Semua",$C$13="",L1444=$C$13)),"✓","")</f>
        <v/>
      </c>
      <c r="N1444" s="93">
        <f>N(N1443)+IF(M1444="✓",1,0)</f>
        <v/>
      </c>
      <c r="O1444" s="93">
        <f>N(O1443)+IF(AND(B1444&lt;&gt;"",B1444&gt;='Uang Riba'!$H$30,B1444&lt;='Uang Riba'!$I$30,OR(H1444="Dana riba",H1444="Pinjam uang riba",I1444="Pinjam dari uang riba",I1444="Ganti uang riba",I1444="Kelebihan ganti dikembalikan",AND(C1444="Kantong Uang Riba",G1444="Pengeluaran"))),1,0)</f>
        <v/>
      </c>
      <c r="X1444" s="93">
        <f>IF(AND(B1444&lt;&gt;"",B1444&gt;='Buku Akun'!$H$4,B1444&lt;='Buku Akun'!$H$5,OR(C1444='Buku Akun'!$C$4,AND(D1444="Pindah",E1444='Buku Akun'!$C$4))),B1444+IF(AND(I1444="Selisih bunga",DAY(B1444)=1),0,0.01)+ROW()/10000000,"")</f>
        <v/>
      </c>
    </row>
    <row r="1445" outlineLevel="1" ht="15" customHeight="1" s="94">
      <c r="A1445" s="123">
        <f>IF(B1445="","",ROW()-15)</f>
        <v/>
      </c>
      <c r="B1445" s="124" t="n"/>
      <c r="C1445" s="123" t="n"/>
      <c r="D1445" s="123" t="n"/>
      <c r="E1445" s="123" t="n"/>
      <c r="F1445" s="125" t="n"/>
      <c r="G1445" s="123" t="n"/>
      <c r="H1445" s="123" t="n"/>
      <c r="I1445" s="123" t="n"/>
      <c r="J1445" s="123" t="n"/>
      <c r="K1445" s="123" t="n"/>
      <c r="L1445" s="123" t="n"/>
      <c r="M1445" s="123">
        <f>IF(AND(B1445&lt;&gt;"",OR($C$4="",ISNUMBER(SEARCH($C$4,C1445&amp;" "&amp;E1445&amp;" "&amp;G1445&amp;" "&amp;H1445&amp;" "&amp;I1445&amp;" "&amp;J1445&amp;" "&amp;K1445&amp;" "&amp;L1445))),OR($C$5="Semua",$C$5="",G1445=$C$5),OR($C$6="Semua",$C$6="",H1445=$C$6,H1445="Pengeluaran "&amp;$C$6,AND($C$6="Uang Kos Mama",H1445="Pengeluaran Uang Kos")),OR($C$7="Semua",$C$7="",I1445=$C$7),OR($C$8="Semua",$C$8="",C1445=$C$8,E1445=$C$8),OR($C$9="Semua",$C$9="",D1445=$C$9),OR($C$10="",B1445&gt;=$C$10),OR($C$11="",B1445&lt;=$C$11),OR($C$12&lt;&gt;"Ya",K1445&lt;&gt;""),OR($C$13="Semua",$C$13="",L1445=$C$13)),"✓","")</f>
        <v/>
      </c>
      <c r="N1445" s="93">
        <f>N(N1444)+IF(M1445="✓",1,0)</f>
        <v/>
      </c>
      <c r="O1445" s="93">
        <f>N(O1444)+IF(AND(B1445&lt;&gt;"",B1445&gt;='Uang Riba'!$H$30,B1445&lt;='Uang Riba'!$I$30,OR(H1445="Dana riba",H1445="Pinjam uang riba",I1445="Pinjam dari uang riba",I1445="Ganti uang riba",I1445="Kelebihan ganti dikembalikan",AND(C1445="Kantong Uang Riba",G1445="Pengeluaran"))),1,0)</f>
        <v/>
      </c>
      <c r="X1445" s="93">
        <f>IF(AND(B1445&lt;&gt;"",B1445&gt;='Buku Akun'!$H$4,B1445&lt;='Buku Akun'!$H$5,OR(C1445='Buku Akun'!$C$4,AND(D1445="Pindah",E1445='Buku Akun'!$C$4))),B1445+IF(AND(I1445="Selisih bunga",DAY(B1445)=1),0,0.01)+ROW()/10000000,"")</f>
        <v/>
      </c>
    </row>
    <row r="1446" outlineLevel="1" ht="15" customHeight="1" s="94">
      <c r="A1446" s="123">
        <f>IF(B1446="","",ROW()-15)</f>
        <v/>
      </c>
      <c r="B1446" s="124" t="n"/>
      <c r="C1446" s="123" t="n"/>
      <c r="D1446" s="123" t="n"/>
      <c r="E1446" s="123" t="n"/>
      <c r="F1446" s="125" t="n"/>
      <c r="G1446" s="123" t="n"/>
      <c r="H1446" s="123" t="n"/>
      <c r="I1446" s="123" t="n"/>
      <c r="J1446" s="123" t="n"/>
      <c r="K1446" s="123" t="n"/>
      <c r="L1446" s="123" t="n"/>
      <c r="M1446" s="123">
        <f>IF(AND(B1446&lt;&gt;"",OR($C$4="",ISNUMBER(SEARCH($C$4,C1446&amp;" "&amp;E1446&amp;" "&amp;G1446&amp;" "&amp;H1446&amp;" "&amp;I1446&amp;" "&amp;J1446&amp;" "&amp;K1446&amp;" "&amp;L1446))),OR($C$5="Semua",$C$5="",G1446=$C$5),OR($C$6="Semua",$C$6="",H1446=$C$6,H1446="Pengeluaran "&amp;$C$6,AND($C$6="Uang Kos Mama",H1446="Pengeluaran Uang Kos")),OR($C$7="Semua",$C$7="",I1446=$C$7),OR($C$8="Semua",$C$8="",C1446=$C$8,E1446=$C$8),OR($C$9="Semua",$C$9="",D1446=$C$9),OR($C$10="",B1446&gt;=$C$10),OR($C$11="",B1446&lt;=$C$11),OR($C$12&lt;&gt;"Ya",K1446&lt;&gt;""),OR($C$13="Semua",$C$13="",L1446=$C$13)),"✓","")</f>
        <v/>
      </c>
      <c r="N1446" s="93">
        <f>N(N1445)+IF(M1446="✓",1,0)</f>
        <v/>
      </c>
      <c r="O1446" s="93">
        <f>N(O1445)+IF(AND(B1446&lt;&gt;"",B1446&gt;='Uang Riba'!$H$30,B1446&lt;='Uang Riba'!$I$30,OR(H1446="Dana riba",H1446="Pinjam uang riba",I1446="Pinjam dari uang riba",I1446="Ganti uang riba",I1446="Kelebihan ganti dikembalikan",AND(C1446="Kantong Uang Riba",G1446="Pengeluaran"))),1,0)</f>
        <v/>
      </c>
      <c r="X1446" s="93">
        <f>IF(AND(B1446&lt;&gt;"",B1446&gt;='Buku Akun'!$H$4,B1446&lt;='Buku Akun'!$H$5,OR(C1446='Buku Akun'!$C$4,AND(D1446="Pindah",E1446='Buku Akun'!$C$4))),B1446+IF(AND(I1446="Selisih bunga",DAY(B1446)=1),0,0.01)+ROW()/10000000,"")</f>
        <v/>
      </c>
    </row>
    <row r="1447" outlineLevel="1" ht="15" customHeight="1" s="94">
      <c r="A1447" s="123">
        <f>IF(B1447="","",ROW()-15)</f>
        <v/>
      </c>
      <c r="B1447" s="124" t="n"/>
      <c r="C1447" s="123" t="n"/>
      <c r="D1447" s="123" t="n"/>
      <c r="E1447" s="123" t="n"/>
      <c r="F1447" s="125" t="n"/>
      <c r="G1447" s="123" t="n"/>
      <c r="H1447" s="123" t="n"/>
      <c r="I1447" s="123" t="n"/>
      <c r="J1447" s="123" t="n"/>
      <c r="K1447" s="123" t="n"/>
      <c r="L1447" s="123" t="n"/>
      <c r="M1447" s="123">
        <f>IF(AND(B1447&lt;&gt;"",OR($C$4="",ISNUMBER(SEARCH($C$4,C1447&amp;" "&amp;E1447&amp;" "&amp;G1447&amp;" "&amp;H1447&amp;" "&amp;I1447&amp;" "&amp;J1447&amp;" "&amp;K1447&amp;" "&amp;L1447))),OR($C$5="Semua",$C$5="",G1447=$C$5),OR($C$6="Semua",$C$6="",H1447=$C$6,H1447="Pengeluaran "&amp;$C$6,AND($C$6="Uang Kos Mama",H1447="Pengeluaran Uang Kos")),OR($C$7="Semua",$C$7="",I1447=$C$7),OR($C$8="Semua",$C$8="",C1447=$C$8,E1447=$C$8),OR($C$9="Semua",$C$9="",D1447=$C$9),OR($C$10="",B1447&gt;=$C$10),OR($C$11="",B1447&lt;=$C$11),OR($C$12&lt;&gt;"Ya",K1447&lt;&gt;""),OR($C$13="Semua",$C$13="",L1447=$C$13)),"✓","")</f>
        <v/>
      </c>
      <c r="N1447" s="93">
        <f>N(N1446)+IF(M1447="✓",1,0)</f>
        <v/>
      </c>
      <c r="O1447" s="93">
        <f>N(O1446)+IF(AND(B1447&lt;&gt;"",B1447&gt;='Uang Riba'!$H$30,B1447&lt;='Uang Riba'!$I$30,OR(H1447="Dana riba",H1447="Pinjam uang riba",I1447="Pinjam dari uang riba",I1447="Ganti uang riba",I1447="Kelebihan ganti dikembalikan",AND(C1447="Kantong Uang Riba",G1447="Pengeluaran"))),1,0)</f>
        <v/>
      </c>
      <c r="X1447" s="93">
        <f>IF(AND(B1447&lt;&gt;"",B1447&gt;='Buku Akun'!$H$4,B1447&lt;='Buku Akun'!$H$5,OR(C1447='Buku Akun'!$C$4,AND(D1447="Pindah",E1447='Buku Akun'!$C$4))),B1447+IF(AND(I1447="Selisih bunga",DAY(B1447)=1),0,0.01)+ROW()/10000000,"")</f>
        <v/>
      </c>
    </row>
    <row r="1448" outlineLevel="1" ht="15" customHeight="1" s="94">
      <c r="A1448" s="123">
        <f>IF(B1448="","",ROW()-15)</f>
        <v/>
      </c>
      <c r="B1448" s="124" t="n"/>
      <c r="C1448" s="123" t="n"/>
      <c r="D1448" s="123" t="n"/>
      <c r="E1448" s="123" t="n"/>
      <c r="F1448" s="125" t="n"/>
      <c r="G1448" s="123" t="n"/>
      <c r="H1448" s="123" t="n"/>
      <c r="I1448" s="123" t="n"/>
      <c r="J1448" s="123" t="n"/>
      <c r="K1448" s="123" t="n"/>
      <c r="L1448" s="123" t="n"/>
      <c r="M1448" s="123">
        <f>IF(AND(B1448&lt;&gt;"",OR($C$4="",ISNUMBER(SEARCH($C$4,C1448&amp;" "&amp;E1448&amp;" "&amp;G1448&amp;" "&amp;H1448&amp;" "&amp;I1448&amp;" "&amp;J1448&amp;" "&amp;K1448&amp;" "&amp;L1448))),OR($C$5="Semua",$C$5="",G1448=$C$5),OR($C$6="Semua",$C$6="",H1448=$C$6,H1448="Pengeluaran "&amp;$C$6,AND($C$6="Uang Kos Mama",H1448="Pengeluaran Uang Kos")),OR($C$7="Semua",$C$7="",I1448=$C$7),OR($C$8="Semua",$C$8="",C1448=$C$8,E1448=$C$8),OR($C$9="Semua",$C$9="",D1448=$C$9),OR($C$10="",B1448&gt;=$C$10),OR($C$11="",B1448&lt;=$C$11),OR($C$12&lt;&gt;"Ya",K1448&lt;&gt;""),OR($C$13="Semua",$C$13="",L1448=$C$13)),"✓","")</f>
        <v/>
      </c>
      <c r="N1448" s="93">
        <f>N(N1447)+IF(M1448="✓",1,0)</f>
        <v/>
      </c>
      <c r="O1448" s="93">
        <f>N(O1447)+IF(AND(B1448&lt;&gt;"",B1448&gt;='Uang Riba'!$H$30,B1448&lt;='Uang Riba'!$I$30,OR(H1448="Dana riba",H1448="Pinjam uang riba",I1448="Pinjam dari uang riba",I1448="Ganti uang riba",I1448="Kelebihan ganti dikembalikan",AND(C1448="Kantong Uang Riba",G1448="Pengeluaran"))),1,0)</f>
        <v/>
      </c>
      <c r="X1448" s="93">
        <f>IF(AND(B1448&lt;&gt;"",B1448&gt;='Buku Akun'!$H$4,B1448&lt;='Buku Akun'!$H$5,OR(C1448='Buku Akun'!$C$4,AND(D1448="Pindah",E1448='Buku Akun'!$C$4))),B1448+IF(AND(I1448="Selisih bunga",DAY(B1448)=1),0,0.01)+ROW()/10000000,"")</f>
        <v/>
      </c>
    </row>
    <row r="1449" outlineLevel="1" ht="15" customHeight="1" s="94">
      <c r="A1449" s="123">
        <f>IF(B1449="","",ROW()-15)</f>
        <v/>
      </c>
      <c r="B1449" s="124" t="n"/>
      <c r="C1449" s="123" t="n"/>
      <c r="D1449" s="123" t="n"/>
      <c r="E1449" s="123" t="n"/>
      <c r="F1449" s="125" t="n"/>
      <c r="G1449" s="123" t="n"/>
      <c r="H1449" s="123" t="n"/>
      <c r="I1449" s="123" t="n"/>
      <c r="J1449" s="123" t="n"/>
      <c r="K1449" s="123" t="n"/>
      <c r="L1449" s="123" t="n"/>
      <c r="M1449" s="123">
        <f>IF(AND(B1449&lt;&gt;"",OR($C$4="",ISNUMBER(SEARCH($C$4,C1449&amp;" "&amp;E1449&amp;" "&amp;G1449&amp;" "&amp;H1449&amp;" "&amp;I1449&amp;" "&amp;J1449&amp;" "&amp;K1449&amp;" "&amp;L1449))),OR($C$5="Semua",$C$5="",G1449=$C$5),OR($C$6="Semua",$C$6="",H1449=$C$6,H1449="Pengeluaran "&amp;$C$6,AND($C$6="Uang Kos Mama",H1449="Pengeluaran Uang Kos")),OR($C$7="Semua",$C$7="",I1449=$C$7),OR($C$8="Semua",$C$8="",C1449=$C$8,E1449=$C$8),OR($C$9="Semua",$C$9="",D1449=$C$9),OR($C$10="",B1449&gt;=$C$10),OR($C$11="",B1449&lt;=$C$11),OR($C$12&lt;&gt;"Ya",K1449&lt;&gt;""),OR($C$13="Semua",$C$13="",L1449=$C$13)),"✓","")</f>
        <v/>
      </c>
      <c r="N1449" s="93">
        <f>N(N1448)+IF(M1449="✓",1,0)</f>
        <v/>
      </c>
      <c r="O1449" s="93">
        <f>N(O1448)+IF(AND(B1449&lt;&gt;"",B1449&gt;='Uang Riba'!$H$30,B1449&lt;='Uang Riba'!$I$30,OR(H1449="Dana riba",H1449="Pinjam uang riba",I1449="Pinjam dari uang riba",I1449="Ganti uang riba",I1449="Kelebihan ganti dikembalikan",AND(C1449="Kantong Uang Riba",G1449="Pengeluaran"))),1,0)</f>
        <v/>
      </c>
      <c r="X1449" s="93">
        <f>IF(AND(B1449&lt;&gt;"",B1449&gt;='Buku Akun'!$H$4,B1449&lt;='Buku Akun'!$H$5,OR(C1449='Buku Akun'!$C$4,AND(D1449="Pindah",E1449='Buku Akun'!$C$4))),B1449+IF(AND(I1449="Selisih bunga",DAY(B1449)=1),0,0.01)+ROW()/10000000,"")</f>
        <v/>
      </c>
    </row>
    <row r="1450" outlineLevel="1" ht="15" customHeight="1" s="94">
      <c r="A1450" s="123">
        <f>IF(B1450="","",ROW()-15)</f>
        <v/>
      </c>
      <c r="B1450" s="124" t="n"/>
      <c r="C1450" s="123" t="n"/>
      <c r="D1450" s="123" t="n"/>
      <c r="E1450" s="123" t="n"/>
      <c r="F1450" s="125" t="n"/>
      <c r="G1450" s="123" t="n"/>
      <c r="H1450" s="123" t="n"/>
      <c r="I1450" s="123" t="n"/>
      <c r="J1450" s="123" t="n"/>
      <c r="K1450" s="123" t="n"/>
      <c r="L1450" s="123" t="n"/>
      <c r="M1450" s="123">
        <f>IF(AND(B1450&lt;&gt;"",OR($C$4="",ISNUMBER(SEARCH($C$4,C1450&amp;" "&amp;E1450&amp;" "&amp;G1450&amp;" "&amp;H1450&amp;" "&amp;I1450&amp;" "&amp;J1450&amp;" "&amp;K1450&amp;" "&amp;L1450))),OR($C$5="Semua",$C$5="",G1450=$C$5),OR($C$6="Semua",$C$6="",H1450=$C$6,H1450="Pengeluaran "&amp;$C$6,AND($C$6="Uang Kos Mama",H1450="Pengeluaran Uang Kos")),OR($C$7="Semua",$C$7="",I1450=$C$7),OR($C$8="Semua",$C$8="",C1450=$C$8,E1450=$C$8),OR($C$9="Semua",$C$9="",D1450=$C$9),OR($C$10="",B1450&gt;=$C$10),OR($C$11="",B1450&lt;=$C$11),OR($C$12&lt;&gt;"Ya",K1450&lt;&gt;""),OR($C$13="Semua",$C$13="",L1450=$C$13)),"✓","")</f>
        <v/>
      </c>
      <c r="N1450" s="93">
        <f>N(N1449)+IF(M1450="✓",1,0)</f>
        <v/>
      </c>
      <c r="O1450" s="93">
        <f>N(O1449)+IF(AND(B1450&lt;&gt;"",B1450&gt;='Uang Riba'!$H$30,B1450&lt;='Uang Riba'!$I$30,OR(H1450="Dana riba",H1450="Pinjam uang riba",I1450="Pinjam dari uang riba",I1450="Ganti uang riba",I1450="Kelebihan ganti dikembalikan",AND(C1450="Kantong Uang Riba",G1450="Pengeluaran"))),1,0)</f>
        <v/>
      </c>
      <c r="X1450" s="93">
        <f>IF(AND(B1450&lt;&gt;"",B1450&gt;='Buku Akun'!$H$4,B1450&lt;='Buku Akun'!$H$5,OR(C1450='Buku Akun'!$C$4,AND(D1450="Pindah",E1450='Buku Akun'!$C$4))),B1450+IF(AND(I1450="Selisih bunga",DAY(B1450)=1),0,0.01)+ROW()/10000000,"")</f>
        <v/>
      </c>
    </row>
    <row r="1451" outlineLevel="1" ht="15" customHeight="1" s="94">
      <c r="A1451" s="123">
        <f>IF(B1451="","",ROW()-15)</f>
        <v/>
      </c>
      <c r="B1451" s="124" t="n"/>
      <c r="C1451" s="123" t="n"/>
      <c r="D1451" s="123" t="n"/>
      <c r="E1451" s="123" t="n"/>
      <c r="F1451" s="125" t="n"/>
      <c r="G1451" s="123" t="n"/>
      <c r="H1451" s="123" t="n"/>
      <c r="I1451" s="123" t="n"/>
      <c r="J1451" s="123" t="n"/>
      <c r="K1451" s="123" t="n"/>
      <c r="L1451" s="123" t="n"/>
      <c r="M1451" s="123">
        <f>IF(AND(B1451&lt;&gt;"",OR($C$4="",ISNUMBER(SEARCH($C$4,C1451&amp;" "&amp;E1451&amp;" "&amp;G1451&amp;" "&amp;H1451&amp;" "&amp;I1451&amp;" "&amp;J1451&amp;" "&amp;K1451&amp;" "&amp;L1451))),OR($C$5="Semua",$C$5="",G1451=$C$5),OR($C$6="Semua",$C$6="",H1451=$C$6,H1451="Pengeluaran "&amp;$C$6,AND($C$6="Uang Kos Mama",H1451="Pengeluaran Uang Kos")),OR($C$7="Semua",$C$7="",I1451=$C$7),OR($C$8="Semua",$C$8="",C1451=$C$8,E1451=$C$8),OR($C$9="Semua",$C$9="",D1451=$C$9),OR($C$10="",B1451&gt;=$C$10),OR($C$11="",B1451&lt;=$C$11),OR($C$12&lt;&gt;"Ya",K1451&lt;&gt;""),OR($C$13="Semua",$C$13="",L1451=$C$13)),"✓","")</f>
        <v/>
      </c>
      <c r="N1451" s="93">
        <f>N(N1450)+IF(M1451="✓",1,0)</f>
        <v/>
      </c>
      <c r="O1451" s="93">
        <f>N(O1450)+IF(AND(B1451&lt;&gt;"",B1451&gt;='Uang Riba'!$H$30,B1451&lt;='Uang Riba'!$I$30,OR(H1451="Dana riba",H1451="Pinjam uang riba",I1451="Pinjam dari uang riba",I1451="Ganti uang riba",I1451="Kelebihan ganti dikembalikan",AND(C1451="Kantong Uang Riba",G1451="Pengeluaran"))),1,0)</f>
        <v/>
      </c>
      <c r="X1451" s="93">
        <f>IF(AND(B1451&lt;&gt;"",B1451&gt;='Buku Akun'!$H$4,B1451&lt;='Buku Akun'!$H$5,OR(C1451='Buku Akun'!$C$4,AND(D1451="Pindah",E1451='Buku Akun'!$C$4))),B1451+IF(AND(I1451="Selisih bunga",DAY(B1451)=1),0,0.01)+ROW()/10000000,"")</f>
        <v/>
      </c>
    </row>
    <row r="1452" outlineLevel="1" ht="15" customHeight="1" s="94">
      <c r="A1452" s="123">
        <f>IF(B1452="","",ROW()-15)</f>
        <v/>
      </c>
      <c r="B1452" s="124" t="n"/>
      <c r="C1452" s="123" t="n"/>
      <c r="D1452" s="123" t="n"/>
      <c r="E1452" s="123" t="n"/>
      <c r="F1452" s="125" t="n"/>
      <c r="G1452" s="123" t="n"/>
      <c r="H1452" s="123" t="n"/>
      <c r="I1452" s="123" t="n"/>
      <c r="J1452" s="123" t="n"/>
      <c r="K1452" s="123" t="n"/>
      <c r="L1452" s="123" t="n"/>
      <c r="M1452" s="123">
        <f>IF(AND(B1452&lt;&gt;"",OR($C$4="",ISNUMBER(SEARCH($C$4,C1452&amp;" "&amp;E1452&amp;" "&amp;G1452&amp;" "&amp;H1452&amp;" "&amp;I1452&amp;" "&amp;J1452&amp;" "&amp;K1452&amp;" "&amp;L1452))),OR($C$5="Semua",$C$5="",G1452=$C$5),OR($C$6="Semua",$C$6="",H1452=$C$6,H1452="Pengeluaran "&amp;$C$6,AND($C$6="Uang Kos Mama",H1452="Pengeluaran Uang Kos")),OR($C$7="Semua",$C$7="",I1452=$C$7),OR($C$8="Semua",$C$8="",C1452=$C$8,E1452=$C$8),OR($C$9="Semua",$C$9="",D1452=$C$9),OR($C$10="",B1452&gt;=$C$10),OR($C$11="",B1452&lt;=$C$11),OR($C$12&lt;&gt;"Ya",K1452&lt;&gt;""),OR($C$13="Semua",$C$13="",L1452=$C$13)),"✓","")</f>
        <v/>
      </c>
      <c r="N1452" s="93">
        <f>N(N1451)+IF(M1452="✓",1,0)</f>
        <v/>
      </c>
      <c r="O1452" s="93">
        <f>N(O1451)+IF(AND(B1452&lt;&gt;"",B1452&gt;='Uang Riba'!$H$30,B1452&lt;='Uang Riba'!$I$30,OR(H1452="Dana riba",H1452="Pinjam uang riba",I1452="Pinjam dari uang riba",I1452="Ganti uang riba",I1452="Kelebihan ganti dikembalikan",AND(C1452="Kantong Uang Riba",G1452="Pengeluaran"))),1,0)</f>
        <v/>
      </c>
      <c r="X1452" s="93">
        <f>IF(AND(B1452&lt;&gt;"",B1452&gt;='Buku Akun'!$H$4,B1452&lt;='Buku Akun'!$H$5,OR(C1452='Buku Akun'!$C$4,AND(D1452="Pindah",E1452='Buku Akun'!$C$4))),B1452+IF(AND(I1452="Selisih bunga",DAY(B1452)=1),0,0.01)+ROW()/10000000,"")</f>
        <v/>
      </c>
    </row>
    <row r="1453" outlineLevel="1" ht="15" customHeight="1" s="94">
      <c r="A1453" s="123">
        <f>IF(B1453="","",ROW()-15)</f>
        <v/>
      </c>
      <c r="B1453" s="124" t="n"/>
      <c r="C1453" s="123" t="n"/>
      <c r="D1453" s="123" t="n"/>
      <c r="E1453" s="123" t="n"/>
      <c r="F1453" s="125" t="n"/>
      <c r="G1453" s="123" t="n"/>
      <c r="H1453" s="123" t="n"/>
      <c r="I1453" s="123" t="n"/>
      <c r="J1453" s="123" t="n"/>
      <c r="K1453" s="123" t="n"/>
      <c r="L1453" s="123" t="n"/>
      <c r="M1453" s="123">
        <f>IF(AND(B1453&lt;&gt;"",OR($C$4="",ISNUMBER(SEARCH($C$4,C1453&amp;" "&amp;E1453&amp;" "&amp;G1453&amp;" "&amp;H1453&amp;" "&amp;I1453&amp;" "&amp;J1453&amp;" "&amp;K1453&amp;" "&amp;L1453))),OR($C$5="Semua",$C$5="",G1453=$C$5),OR($C$6="Semua",$C$6="",H1453=$C$6,H1453="Pengeluaran "&amp;$C$6,AND($C$6="Uang Kos Mama",H1453="Pengeluaran Uang Kos")),OR($C$7="Semua",$C$7="",I1453=$C$7),OR($C$8="Semua",$C$8="",C1453=$C$8,E1453=$C$8),OR($C$9="Semua",$C$9="",D1453=$C$9),OR($C$10="",B1453&gt;=$C$10),OR($C$11="",B1453&lt;=$C$11),OR($C$12&lt;&gt;"Ya",K1453&lt;&gt;""),OR($C$13="Semua",$C$13="",L1453=$C$13)),"✓","")</f>
        <v/>
      </c>
      <c r="N1453" s="93">
        <f>N(N1452)+IF(M1453="✓",1,0)</f>
        <v/>
      </c>
      <c r="O1453" s="93">
        <f>N(O1452)+IF(AND(B1453&lt;&gt;"",B1453&gt;='Uang Riba'!$H$30,B1453&lt;='Uang Riba'!$I$30,OR(H1453="Dana riba",H1453="Pinjam uang riba",I1453="Pinjam dari uang riba",I1453="Ganti uang riba",I1453="Kelebihan ganti dikembalikan",AND(C1453="Kantong Uang Riba",G1453="Pengeluaran"))),1,0)</f>
        <v/>
      </c>
      <c r="X1453" s="93">
        <f>IF(AND(B1453&lt;&gt;"",B1453&gt;='Buku Akun'!$H$4,B1453&lt;='Buku Akun'!$H$5,OR(C1453='Buku Akun'!$C$4,AND(D1453="Pindah",E1453='Buku Akun'!$C$4))),B1453+IF(AND(I1453="Selisih bunga",DAY(B1453)=1),0,0.01)+ROW()/10000000,"")</f>
        <v/>
      </c>
    </row>
    <row r="1454" outlineLevel="1" ht="15" customHeight="1" s="94">
      <c r="A1454" s="123">
        <f>IF(B1454="","",ROW()-15)</f>
        <v/>
      </c>
      <c r="B1454" s="124" t="n"/>
      <c r="C1454" s="123" t="n"/>
      <c r="D1454" s="123" t="n"/>
      <c r="E1454" s="123" t="n"/>
      <c r="F1454" s="125" t="n"/>
      <c r="G1454" s="123" t="n"/>
      <c r="H1454" s="123" t="n"/>
      <c r="I1454" s="123" t="n"/>
      <c r="J1454" s="123" t="n"/>
      <c r="K1454" s="123" t="n"/>
      <c r="L1454" s="123" t="n"/>
      <c r="M1454" s="123">
        <f>IF(AND(B1454&lt;&gt;"",OR($C$4="",ISNUMBER(SEARCH($C$4,C1454&amp;" "&amp;E1454&amp;" "&amp;G1454&amp;" "&amp;H1454&amp;" "&amp;I1454&amp;" "&amp;J1454&amp;" "&amp;K1454&amp;" "&amp;L1454))),OR($C$5="Semua",$C$5="",G1454=$C$5),OR($C$6="Semua",$C$6="",H1454=$C$6,H1454="Pengeluaran "&amp;$C$6,AND($C$6="Uang Kos Mama",H1454="Pengeluaran Uang Kos")),OR($C$7="Semua",$C$7="",I1454=$C$7),OR($C$8="Semua",$C$8="",C1454=$C$8,E1454=$C$8),OR($C$9="Semua",$C$9="",D1454=$C$9),OR($C$10="",B1454&gt;=$C$10),OR($C$11="",B1454&lt;=$C$11),OR($C$12&lt;&gt;"Ya",K1454&lt;&gt;""),OR($C$13="Semua",$C$13="",L1454=$C$13)),"✓","")</f>
        <v/>
      </c>
      <c r="N1454" s="93">
        <f>N(N1453)+IF(M1454="✓",1,0)</f>
        <v/>
      </c>
      <c r="O1454" s="93">
        <f>N(O1453)+IF(AND(B1454&lt;&gt;"",B1454&gt;='Uang Riba'!$H$30,B1454&lt;='Uang Riba'!$I$30,OR(H1454="Dana riba",H1454="Pinjam uang riba",I1454="Pinjam dari uang riba",I1454="Ganti uang riba",I1454="Kelebihan ganti dikembalikan",AND(C1454="Kantong Uang Riba",G1454="Pengeluaran"))),1,0)</f>
        <v/>
      </c>
      <c r="X1454" s="93">
        <f>IF(AND(B1454&lt;&gt;"",B1454&gt;='Buku Akun'!$H$4,B1454&lt;='Buku Akun'!$H$5,OR(C1454='Buku Akun'!$C$4,AND(D1454="Pindah",E1454='Buku Akun'!$C$4))),B1454+IF(AND(I1454="Selisih bunga",DAY(B1454)=1),0,0.01)+ROW()/10000000,"")</f>
        <v/>
      </c>
    </row>
    <row r="1455" outlineLevel="1" ht="15" customHeight="1" s="94">
      <c r="A1455" s="123">
        <f>IF(B1455="","",ROW()-15)</f>
        <v/>
      </c>
      <c r="B1455" s="124" t="n"/>
      <c r="C1455" s="123" t="n"/>
      <c r="D1455" s="123" t="n"/>
      <c r="E1455" s="123" t="n"/>
      <c r="F1455" s="125" t="n"/>
      <c r="G1455" s="123" t="n"/>
      <c r="H1455" s="123" t="n"/>
      <c r="I1455" s="123" t="n"/>
      <c r="J1455" s="123" t="n"/>
      <c r="K1455" s="123" t="n"/>
      <c r="L1455" s="123" t="n"/>
      <c r="M1455" s="123">
        <f>IF(AND(B1455&lt;&gt;"",OR($C$4="",ISNUMBER(SEARCH($C$4,C1455&amp;" "&amp;E1455&amp;" "&amp;G1455&amp;" "&amp;H1455&amp;" "&amp;I1455&amp;" "&amp;J1455&amp;" "&amp;K1455&amp;" "&amp;L1455))),OR($C$5="Semua",$C$5="",G1455=$C$5),OR($C$6="Semua",$C$6="",H1455=$C$6,H1455="Pengeluaran "&amp;$C$6,AND($C$6="Uang Kos Mama",H1455="Pengeluaran Uang Kos")),OR($C$7="Semua",$C$7="",I1455=$C$7),OR($C$8="Semua",$C$8="",C1455=$C$8,E1455=$C$8),OR($C$9="Semua",$C$9="",D1455=$C$9),OR($C$10="",B1455&gt;=$C$10),OR($C$11="",B1455&lt;=$C$11),OR($C$12&lt;&gt;"Ya",K1455&lt;&gt;""),OR($C$13="Semua",$C$13="",L1455=$C$13)),"✓","")</f>
        <v/>
      </c>
      <c r="N1455" s="93">
        <f>N(N1454)+IF(M1455="✓",1,0)</f>
        <v/>
      </c>
      <c r="O1455" s="93">
        <f>N(O1454)+IF(AND(B1455&lt;&gt;"",B1455&gt;='Uang Riba'!$H$30,B1455&lt;='Uang Riba'!$I$30,OR(H1455="Dana riba",H1455="Pinjam uang riba",I1455="Pinjam dari uang riba",I1455="Ganti uang riba",I1455="Kelebihan ganti dikembalikan",AND(C1455="Kantong Uang Riba",G1455="Pengeluaran"))),1,0)</f>
        <v/>
      </c>
      <c r="X1455" s="93">
        <f>IF(AND(B1455&lt;&gt;"",B1455&gt;='Buku Akun'!$H$4,B1455&lt;='Buku Akun'!$H$5,OR(C1455='Buku Akun'!$C$4,AND(D1455="Pindah",E1455='Buku Akun'!$C$4))),B1455+IF(AND(I1455="Selisih bunga",DAY(B1455)=1),0,0.01)+ROW()/10000000,"")</f>
        <v/>
      </c>
    </row>
    <row r="1456" outlineLevel="1" ht="15" customHeight="1" s="94">
      <c r="A1456" s="123">
        <f>IF(B1456="","",ROW()-15)</f>
        <v/>
      </c>
      <c r="B1456" s="124" t="n"/>
      <c r="C1456" s="123" t="n"/>
      <c r="D1456" s="123" t="n"/>
      <c r="E1456" s="123" t="n"/>
      <c r="F1456" s="125" t="n"/>
      <c r="G1456" s="123" t="n"/>
      <c r="H1456" s="123" t="n"/>
      <c r="I1456" s="123" t="n"/>
      <c r="J1456" s="123" t="n"/>
      <c r="K1456" s="123" t="n"/>
      <c r="L1456" s="123" t="n"/>
      <c r="M1456" s="123">
        <f>IF(AND(B1456&lt;&gt;"",OR($C$4="",ISNUMBER(SEARCH($C$4,C1456&amp;" "&amp;E1456&amp;" "&amp;G1456&amp;" "&amp;H1456&amp;" "&amp;I1456&amp;" "&amp;J1456&amp;" "&amp;K1456&amp;" "&amp;L1456))),OR($C$5="Semua",$C$5="",G1456=$C$5),OR($C$6="Semua",$C$6="",H1456=$C$6,H1456="Pengeluaran "&amp;$C$6,AND($C$6="Uang Kos Mama",H1456="Pengeluaran Uang Kos")),OR($C$7="Semua",$C$7="",I1456=$C$7),OR($C$8="Semua",$C$8="",C1456=$C$8,E1456=$C$8),OR($C$9="Semua",$C$9="",D1456=$C$9),OR($C$10="",B1456&gt;=$C$10),OR($C$11="",B1456&lt;=$C$11),OR($C$12&lt;&gt;"Ya",K1456&lt;&gt;""),OR($C$13="Semua",$C$13="",L1456=$C$13)),"✓","")</f>
        <v/>
      </c>
      <c r="N1456" s="93">
        <f>N(N1455)+IF(M1456="✓",1,0)</f>
        <v/>
      </c>
      <c r="O1456" s="93">
        <f>N(O1455)+IF(AND(B1456&lt;&gt;"",B1456&gt;='Uang Riba'!$H$30,B1456&lt;='Uang Riba'!$I$30,OR(H1456="Dana riba",H1456="Pinjam uang riba",I1456="Pinjam dari uang riba",I1456="Ganti uang riba",I1456="Kelebihan ganti dikembalikan",AND(C1456="Kantong Uang Riba",G1456="Pengeluaran"))),1,0)</f>
        <v/>
      </c>
      <c r="X1456" s="93">
        <f>IF(AND(B1456&lt;&gt;"",B1456&gt;='Buku Akun'!$H$4,B1456&lt;='Buku Akun'!$H$5,OR(C1456='Buku Akun'!$C$4,AND(D1456="Pindah",E1456='Buku Akun'!$C$4))),B1456+IF(AND(I1456="Selisih bunga",DAY(B1456)=1),0,0.01)+ROW()/10000000,"")</f>
        <v/>
      </c>
    </row>
    <row r="1457" outlineLevel="1" ht="15" customHeight="1" s="94">
      <c r="A1457" s="123">
        <f>IF(B1457="","",ROW()-15)</f>
        <v/>
      </c>
      <c r="B1457" s="124" t="n"/>
      <c r="C1457" s="123" t="n"/>
      <c r="D1457" s="123" t="n"/>
      <c r="E1457" s="123" t="n"/>
      <c r="F1457" s="125" t="n"/>
      <c r="G1457" s="123" t="n"/>
      <c r="H1457" s="123" t="n"/>
      <c r="I1457" s="123" t="n"/>
      <c r="J1457" s="123" t="n"/>
      <c r="K1457" s="123" t="n"/>
      <c r="L1457" s="123" t="n"/>
      <c r="M1457" s="123">
        <f>IF(AND(B1457&lt;&gt;"",OR($C$4="",ISNUMBER(SEARCH($C$4,C1457&amp;" "&amp;E1457&amp;" "&amp;G1457&amp;" "&amp;H1457&amp;" "&amp;I1457&amp;" "&amp;J1457&amp;" "&amp;K1457&amp;" "&amp;L1457))),OR($C$5="Semua",$C$5="",G1457=$C$5),OR($C$6="Semua",$C$6="",H1457=$C$6,H1457="Pengeluaran "&amp;$C$6,AND($C$6="Uang Kos Mama",H1457="Pengeluaran Uang Kos")),OR($C$7="Semua",$C$7="",I1457=$C$7),OR($C$8="Semua",$C$8="",C1457=$C$8,E1457=$C$8),OR($C$9="Semua",$C$9="",D1457=$C$9),OR($C$10="",B1457&gt;=$C$10),OR($C$11="",B1457&lt;=$C$11),OR($C$12&lt;&gt;"Ya",K1457&lt;&gt;""),OR($C$13="Semua",$C$13="",L1457=$C$13)),"✓","")</f>
        <v/>
      </c>
      <c r="N1457" s="93">
        <f>N(N1456)+IF(M1457="✓",1,0)</f>
        <v/>
      </c>
      <c r="O1457" s="93">
        <f>N(O1456)+IF(AND(B1457&lt;&gt;"",B1457&gt;='Uang Riba'!$H$30,B1457&lt;='Uang Riba'!$I$30,OR(H1457="Dana riba",H1457="Pinjam uang riba",I1457="Pinjam dari uang riba",I1457="Ganti uang riba",I1457="Kelebihan ganti dikembalikan",AND(C1457="Kantong Uang Riba",G1457="Pengeluaran"))),1,0)</f>
        <v/>
      </c>
      <c r="X1457" s="93">
        <f>IF(AND(B1457&lt;&gt;"",B1457&gt;='Buku Akun'!$H$4,B1457&lt;='Buku Akun'!$H$5,OR(C1457='Buku Akun'!$C$4,AND(D1457="Pindah",E1457='Buku Akun'!$C$4))),B1457+IF(AND(I1457="Selisih bunga",DAY(B1457)=1),0,0.01)+ROW()/10000000,"")</f>
        <v/>
      </c>
    </row>
    <row r="1458" outlineLevel="1" ht="15" customHeight="1" s="94">
      <c r="A1458" s="123">
        <f>IF(B1458="","",ROW()-15)</f>
        <v/>
      </c>
      <c r="B1458" s="124" t="n"/>
      <c r="C1458" s="123" t="n"/>
      <c r="D1458" s="123" t="n"/>
      <c r="E1458" s="123" t="n"/>
      <c r="F1458" s="125" t="n"/>
      <c r="G1458" s="123" t="n"/>
      <c r="H1458" s="123" t="n"/>
      <c r="I1458" s="123" t="n"/>
      <c r="J1458" s="123" t="n"/>
      <c r="K1458" s="123" t="n"/>
      <c r="L1458" s="123" t="n"/>
      <c r="M1458" s="123">
        <f>IF(AND(B1458&lt;&gt;"",OR($C$4="",ISNUMBER(SEARCH($C$4,C1458&amp;" "&amp;E1458&amp;" "&amp;G1458&amp;" "&amp;H1458&amp;" "&amp;I1458&amp;" "&amp;J1458&amp;" "&amp;K1458&amp;" "&amp;L1458))),OR($C$5="Semua",$C$5="",G1458=$C$5),OR($C$6="Semua",$C$6="",H1458=$C$6,H1458="Pengeluaran "&amp;$C$6,AND($C$6="Uang Kos Mama",H1458="Pengeluaran Uang Kos")),OR($C$7="Semua",$C$7="",I1458=$C$7),OR($C$8="Semua",$C$8="",C1458=$C$8,E1458=$C$8),OR($C$9="Semua",$C$9="",D1458=$C$9),OR($C$10="",B1458&gt;=$C$10),OR($C$11="",B1458&lt;=$C$11),OR($C$12&lt;&gt;"Ya",K1458&lt;&gt;""),OR($C$13="Semua",$C$13="",L1458=$C$13)),"✓","")</f>
        <v/>
      </c>
      <c r="N1458" s="93">
        <f>N(N1457)+IF(M1458="✓",1,0)</f>
        <v/>
      </c>
      <c r="O1458" s="93">
        <f>N(O1457)+IF(AND(B1458&lt;&gt;"",B1458&gt;='Uang Riba'!$H$30,B1458&lt;='Uang Riba'!$I$30,OR(H1458="Dana riba",H1458="Pinjam uang riba",I1458="Pinjam dari uang riba",I1458="Ganti uang riba",I1458="Kelebihan ganti dikembalikan",AND(C1458="Kantong Uang Riba",G1458="Pengeluaran"))),1,0)</f>
        <v/>
      </c>
      <c r="X1458" s="93">
        <f>IF(AND(B1458&lt;&gt;"",B1458&gt;='Buku Akun'!$H$4,B1458&lt;='Buku Akun'!$H$5,OR(C1458='Buku Akun'!$C$4,AND(D1458="Pindah",E1458='Buku Akun'!$C$4))),B1458+IF(AND(I1458="Selisih bunga",DAY(B1458)=1),0,0.01)+ROW()/10000000,"")</f>
        <v/>
      </c>
    </row>
    <row r="1459" outlineLevel="1" ht="15" customHeight="1" s="94">
      <c r="A1459" s="123">
        <f>IF(B1459="","",ROW()-15)</f>
        <v/>
      </c>
      <c r="B1459" s="124" t="n"/>
      <c r="C1459" s="123" t="n"/>
      <c r="D1459" s="123" t="n"/>
      <c r="E1459" s="123" t="n"/>
      <c r="F1459" s="125" t="n"/>
      <c r="G1459" s="123" t="n"/>
      <c r="H1459" s="123" t="n"/>
      <c r="I1459" s="123" t="n"/>
      <c r="J1459" s="123" t="n"/>
      <c r="K1459" s="123" t="n"/>
      <c r="L1459" s="123" t="n"/>
      <c r="M1459" s="123">
        <f>IF(AND(B1459&lt;&gt;"",OR($C$4="",ISNUMBER(SEARCH($C$4,C1459&amp;" "&amp;E1459&amp;" "&amp;G1459&amp;" "&amp;H1459&amp;" "&amp;I1459&amp;" "&amp;J1459&amp;" "&amp;K1459&amp;" "&amp;L1459))),OR($C$5="Semua",$C$5="",G1459=$C$5),OR($C$6="Semua",$C$6="",H1459=$C$6,H1459="Pengeluaran "&amp;$C$6,AND($C$6="Uang Kos Mama",H1459="Pengeluaran Uang Kos")),OR($C$7="Semua",$C$7="",I1459=$C$7),OR($C$8="Semua",$C$8="",C1459=$C$8,E1459=$C$8),OR($C$9="Semua",$C$9="",D1459=$C$9),OR($C$10="",B1459&gt;=$C$10),OR($C$11="",B1459&lt;=$C$11),OR($C$12&lt;&gt;"Ya",K1459&lt;&gt;""),OR($C$13="Semua",$C$13="",L1459=$C$13)),"✓","")</f>
        <v/>
      </c>
      <c r="N1459" s="93">
        <f>N(N1458)+IF(M1459="✓",1,0)</f>
        <v/>
      </c>
      <c r="O1459" s="93">
        <f>N(O1458)+IF(AND(B1459&lt;&gt;"",B1459&gt;='Uang Riba'!$H$30,B1459&lt;='Uang Riba'!$I$30,OR(H1459="Dana riba",H1459="Pinjam uang riba",I1459="Pinjam dari uang riba",I1459="Ganti uang riba",I1459="Kelebihan ganti dikembalikan",AND(C1459="Kantong Uang Riba",G1459="Pengeluaran"))),1,0)</f>
        <v/>
      </c>
      <c r="X1459" s="93">
        <f>IF(AND(B1459&lt;&gt;"",B1459&gt;='Buku Akun'!$H$4,B1459&lt;='Buku Akun'!$H$5,OR(C1459='Buku Akun'!$C$4,AND(D1459="Pindah",E1459='Buku Akun'!$C$4))),B1459+IF(AND(I1459="Selisih bunga",DAY(B1459)=1),0,0.01)+ROW()/10000000,"")</f>
        <v/>
      </c>
    </row>
    <row r="1460" outlineLevel="1" ht="15" customHeight="1" s="94">
      <c r="A1460" s="123">
        <f>IF(B1460="","",ROW()-15)</f>
        <v/>
      </c>
      <c r="B1460" s="124" t="n"/>
      <c r="C1460" s="123" t="n"/>
      <c r="D1460" s="123" t="n"/>
      <c r="E1460" s="123" t="n"/>
      <c r="F1460" s="125" t="n"/>
      <c r="G1460" s="123" t="n"/>
      <c r="H1460" s="123" t="n"/>
      <c r="I1460" s="123" t="n"/>
      <c r="J1460" s="123" t="n"/>
      <c r="K1460" s="123" t="n"/>
      <c r="L1460" s="123" t="n"/>
      <c r="M1460" s="123">
        <f>IF(AND(B1460&lt;&gt;"",OR($C$4="",ISNUMBER(SEARCH($C$4,C1460&amp;" "&amp;E1460&amp;" "&amp;G1460&amp;" "&amp;H1460&amp;" "&amp;I1460&amp;" "&amp;J1460&amp;" "&amp;K1460&amp;" "&amp;L1460))),OR($C$5="Semua",$C$5="",G1460=$C$5),OR($C$6="Semua",$C$6="",H1460=$C$6,H1460="Pengeluaran "&amp;$C$6,AND($C$6="Uang Kos Mama",H1460="Pengeluaran Uang Kos")),OR($C$7="Semua",$C$7="",I1460=$C$7),OR($C$8="Semua",$C$8="",C1460=$C$8,E1460=$C$8),OR($C$9="Semua",$C$9="",D1460=$C$9),OR($C$10="",B1460&gt;=$C$10),OR($C$11="",B1460&lt;=$C$11),OR($C$12&lt;&gt;"Ya",K1460&lt;&gt;""),OR($C$13="Semua",$C$13="",L1460=$C$13)),"✓","")</f>
        <v/>
      </c>
      <c r="N1460" s="93">
        <f>N(N1459)+IF(M1460="✓",1,0)</f>
        <v/>
      </c>
      <c r="O1460" s="93">
        <f>N(O1459)+IF(AND(B1460&lt;&gt;"",B1460&gt;='Uang Riba'!$H$30,B1460&lt;='Uang Riba'!$I$30,OR(H1460="Dana riba",H1460="Pinjam uang riba",I1460="Pinjam dari uang riba",I1460="Ganti uang riba",I1460="Kelebihan ganti dikembalikan",AND(C1460="Kantong Uang Riba",G1460="Pengeluaran"))),1,0)</f>
        <v/>
      </c>
      <c r="X1460" s="93">
        <f>IF(AND(B1460&lt;&gt;"",B1460&gt;='Buku Akun'!$H$4,B1460&lt;='Buku Akun'!$H$5,OR(C1460='Buku Akun'!$C$4,AND(D1460="Pindah",E1460='Buku Akun'!$C$4))),B1460+IF(AND(I1460="Selisih bunga",DAY(B1460)=1),0,0.01)+ROW()/10000000,"")</f>
        <v/>
      </c>
    </row>
    <row r="1461" outlineLevel="1" ht="15" customHeight="1" s="94">
      <c r="A1461" s="123">
        <f>IF(B1461="","",ROW()-15)</f>
        <v/>
      </c>
      <c r="B1461" s="124" t="n"/>
      <c r="C1461" s="123" t="n"/>
      <c r="D1461" s="123" t="n"/>
      <c r="E1461" s="123" t="n"/>
      <c r="F1461" s="125" t="n"/>
      <c r="G1461" s="123" t="n"/>
      <c r="H1461" s="123" t="n"/>
      <c r="I1461" s="123" t="n"/>
      <c r="J1461" s="123" t="n"/>
      <c r="K1461" s="123" t="n"/>
      <c r="L1461" s="123" t="n"/>
      <c r="M1461" s="123">
        <f>IF(AND(B1461&lt;&gt;"",OR($C$4="",ISNUMBER(SEARCH($C$4,C1461&amp;" "&amp;E1461&amp;" "&amp;G1461&amp;" "&amp;H1461&amp;" "&amp;I1461&amp;" "&amp;J1461&amp;" "&amp;K1461&amp;" "&amp;L1461))),OR($C$5="Semua",$C$5="",G1461=$C$5),OR($C$6="Semua",$C$6="",H1461=$C$6,H1461="Pengeluaran "&amp;$C$6,AND($C$6="Uang Kos Mama",H1461="Pengeluaran Uang Kos")),OR($C$7="Semua",$C$7="",I1461=$C$7),OR($C$8="Semua",$C$8="",C1461=$C$8,E1461=$C$8),OR($C$9="Semua",$C$9="",D1461=$C$9),OR($C$10="",B1461&gt;=$C$10),OR($C$11="",B1461&lt;=$C$11),OR($C$12&lt;&gt;"Ya",K1461&lt;&gt;""),OR($C$13="Semua",$C$13="",L1461=$C$13)),"✓","")</f>
        <v/>
      </c>
      <c r="N1461" s="93">
        <f>N(N1460)+IF(M1461="✓",1,0)</f>
        <v/>
      </c>
      <c r="O1461" s="93">
        <f>N(O1460)+IF(AND(B1461&lt;&gt;"",B1461&gt;='Uang Riba'!$H$30,B1461&lt;='Uang Riba'!$I$30,OR(H1461="Dana riba",H1461="Pinjam uang riba",I1461="Pinjam dari uang riba",I1461="Ganti uang riba",I1461="Kelebihan ganti dikembalikan",AND(C1461="Kantong Uang Riba",G1461="Pengeluaran"))),1,0)</f>
        <v/>
      </c>
      <c r="X1461" s="93">
        <f>IF(AND(B1461&lt;&gt;"",B1461&gt;='Buku Akun'!$H$4,B1461&lt;='Buku Akun'!$H$5,OR(C1461='Buku Akun'!$C$4,AND(D1461="Pindah",E1461='Buku Akun'!$C$4))),B1461+IF(AND(I1461="Selisih bunga",DAY(B1461)=1),0,0.01)+ROW()/10000000,"")</f>
        <v/>
      </c>
    </row>
    <row r="1462" outlineLevel="1" ht="15" customHeight="1" s="94">
      <c r="A1462" s="123">
        <f>IF(B1462="","",ROW()-15)</f>
        <v/>
      </c>
      <c r="B1462" s="124" t="n"/>
      <c r="C1462" s="123" t="n"/>
      <c r="D1462" s="123" t="n"/>
      <c r="E1462" s="123" t="n"/>
      <c r="F1462" s="125" t="n"/>
      <c r="G1462" s="123" t="n"/>
      <c r="H1462" s="123" t="n"/>
      <c r="I1462" s="123" t="n"/>
      <c r="J1462" s="123" t="n"/>
      <c r="K1462" s="123" t="n"/>
      <c r="L1462" s="123" t="n"/>
      <c r="M1462" s="123">
        <f>IF(AND(B1462&lt;&gt;"",OR($C$4="",ISNUMBER(SEARCH($C$4,C1462&amp;" "&amp;E1462&amp;" "&amp;G1462&amp;" "&amp;H1462&amp;" "&amp;I1462&amp;" "&amp;J1462&amp;" "&amp;K1462&amp;" "&amp;L1462))),OR($C$5="Semua",$C$5="",G1462=$C$5),OR($C$6="Semua",$C$6="",H1462=$C$6,H1462="Pengeluaran "&amp;$C$6,AND($C$6="Uang Kos Mama",H1462="Pengeluaran Uang Kos")),OR($C$7="Semua",$C$7="",I1462=$C$7),OR($C$8="Semua",$C$8="",C1462=$C$8,E1462=$C$8),OR($C$9="Semua",$C$9="",D1462=$C$9),OR($C$10="",B1462&gt;=$C$10),OR($C$11="",B1462&lt;=$C$11),OR($C$12&lt;&gt;"Ya",K1462&lt;&gt;""),OR($C$13="Semua",$C$13="",L1462=$C$13)),"✓","")</f>
        <v/>
      </c>
      <c r="N1462" s="93">
        <f>N(N1461)+IF(M1462="✓",1,0)</f>
        <v/>
      </c>
      <c r="O1462" s="93">
        <f>N(O1461)+IF(AND(B1462&lt;&gt;"",B1462&gt;='Uang Riba'!$H$30,B1462&lt;='Uang Riba'!$I$30,OR(H1462="Dana riba",H1462="Pinjam uang riba",I1462="Pinjam dari uang riba",I1462="Ganti uang riba",I1462="Kelebihan ganti dikembalikan",AND(C1462="Kantong Uang Riba",G1462="Pengeluaran"))),1,0)</f>
        <v/>
      </c>
      <c r="X1462" s="93">
        <f>IF(AND(B1462&lt;&gt;"",B1462&gt;='Buku Akun'!$H$4,B1462&lt;='Buku Akun'!$H$5,OR(C1462='Buku Akun'!$C$4,AND(D1462="Pindah",E1462='Buku Akun'!$C$4))),B1462+IF(AND(I1462="Selisih bunga",DAY(B1462)=1),0,0.01)+ROW()/10000000,"")</f>
        <v/>
      </c>
    </row>
    <row r="1463" outlineLevel="1" ht="15" customHeight="1" s="94">
      <c r="A1463" s="123">
        <f>IF(B1463="","",ROW()-15)</f>
        <v/>
      </c>
      <c r="B1463" s="124" t="n"/>
      <c r="C1463" s="123" t="n"/>
      <c r="D1463" s="123" t="n"/>
      <c r="E1463" s="123" t="n"/>
      <c r="F1463" s="125" t="n"/>
      <c r="G1463" s="123" t="n"/>
      <c r="H1463" s="123" t="n"/>
      <c r="I1463" s="123" t="n"/>
      <c r="J1463" s="123" t="n"/>
      <c r="K1463" s="123" t="n"/>
      <c r="L1463" s="123" t="n"/>
      <c r="M1463" s="123">
        <f>IF(AND(B1463&lt;&gt;"",OR($C$4="",ISNUMBER(SEARCH($C$4,C1463&amp;" "&amp;E1463&amp;" "&amp;G1463&amp;" "&amp;H1463&amp;" "&amp;I1463&amp;" "&amp;J1463&amp;" "&amp;K1463&amp;" "&amp;L1463))),OR($C$5="Semua",$C$5="",G1463=$C$5),OR($C$6="Semua",$C$6="",H1463=$C$6,H1463="Pengeluaran "&amp;$C$6,AND($C$6="Uang Kos Mama",H1463="Pengeluaran Uang Kos")),OR($C$7="Semua",$C$7="",I1463=$C$7),OR($C$8="Semua",$C$8="",C1463=$C$8,E1463=$C$8),OR($C$9="Semua",$C$9="",D1463=$C$9),OR($C$10="",B1463&gt;=$C$10),OR($C$11="",B1463&lt;=$C$11),OR($C$12&lt;&gt;"Ya",K1463&lt;&gt;""),OR($C$13="Semua",$C$13="",L1463=$C$13)),"✓","")</f>
        <v/>
      </c>
      <c r="N1463" s="93">
        <f>N(N1462)+IF(M1463="✓",1,0)</f>
        <v/>
      </c>
      <c r="O1463" s="93">
        <f>N(O1462)+IF(AND(B1463&lt;&gt;"",B1463&gt;='Uang Riba'!$H$30,B1463&lt;='Uang Riba'!$I$30,OR(H1463="Dana riba",H1463="Pinjam uang riba",I1463="Pinjam dari uang riba",I1463="Ganti uang riba",I1463="Kelebihan ganti dikembalikan",AND(C1463="Kantong Uang Riba",G1463="Pengeluaran"))),1,0)</f>
        <v/>
      </c>
      <c r="X1463" s="93">
        <f>IF(AND(B1463&lt;&gt;"",B1463&gt;='Buku Akun'!$H$4,B1463&lt;='Buku Akun'!$H$5,OR(C1463='Buku Akun'!$C$4,AND(D1463="Pindah",E1463='Buku Akun'!$C$4))),B1463+IF(AND(I1463="Selisih bunga",DAY(B1463)=1),0,0.01)+ROW()/10000000,"")</f>
        <v/>
      </c>
    </row>
    <row r="1464" outlineLevel="1" ht="15" customHeight="1" s="94">
      <c r="A1464" s="123">
        <f>IF(B1464="","",ROW()-15)</f>
        <v/>
      </c>
      <c r="B1464" s="124" t="n"/>
      <c r="C1464" s="123" t="n"/>
      <c r="D1464" s="123" t="n"/>
      <c r="E1464" s="123" t="n"/>
      <c r="F1464" s="125" t="n"/>
      <c r="G1464" s="123" t="n"/>
      <c r="H1464" s="123" t="n"/>
      <c r="I1464" s="123" t="n"/>
      <c r="J1464" s="123" t="n"/>
      <c r="K1464" s="123" t="n"/>
      <c r="L1464" s="123" t="n"/>
      <c r="M1464" s="123">
        <f>IF(AND(B1464&lt;&gt;"",OR($C$4="",ISNUMBER(SEARCH($C$4,C1464&amp;" "&amp;E1464&amp;" "&amp;G1464&amp;" "&amp;H1464&amp;" "&amp;I1464&amp;" "&amp;J1464&amp;" "&amp;K1464&amp;" "&amp;L1464))),OR($C$5="Semua",$C$5="",G1464=$C$5),OR($C$6="Semua",$C$6="",H1464=$C$6,H1464="Pengeluaran "&amp;$C$6,AND($C$6="Uang Kos Mama",H1464="Pengeluaran Uang Kos")),OR($C$7="Semua",$C$7="",I1464=$C$7),OR($C$8="Semua",$C$8="",C1464=$C$8,E1464=$C$8),OR($C$9="Semua",$C$9="",D1464=$C$9),OR($C$10="",B1464&gt;=$C$10),OR($C$11="",B1464&lt;=$C$11),OR($C$12&lt;&gt;"Ya",K1464&lt;&gt;""),OR($C$13="Semua",$C$13="",L1464=$C$13)),"✓","")</f>
        <v/>
      </c>
      <c r="N1464" s="93">
        <f>N(N1463)+IF(M1464="✓",1,0)</f>
        <v/>
      </c>
      <c r="O1464" s="93">
        <f>N(O1463)+IF(AND(B1464&lt;&gt;"",B1464&gt;='Uang Riba'!$H$30,B1464&lt;='Uang Riba'!$I$30,OR(H1464="Dana riba",H1464="Pinjam uang riba",I1464="Pinjam dari uang riba",I1464="Ganti uang riba",I1464="Kelebihan ganti dikembalikan",AND(C1464="Kantong Uang Riba",G1464="Pengeluaran"))),1,0)</f>
        <v/>
      </c>
      <c r="X1464" s="93">
        <f>IF(AND(B1464&lt;&gt;"",B1464&gt;='Buku Akun'!$H$4,B1464&lt;='Buku Akun'!$H$5,OR(C1464='Buku Akun'!$C$4,AND(D1464="Pindah",E1464='Buku Akun'!$C$4))),B1464+IF(AND(I1464="Selisih bunga",DAY(B1464)=1),0,0.01)+ROW()/10000000,"")</f>
        <v/>
      </c>
    </row>
    <row r="1465" outlineLevel="1" ht="15" customHeight="1" s="94">
      <c r="A1465" s="123">
        <f>IF(B1465="","",ROW()-15)</f>
        <v/>
      </c>
      <c r="B1465" s="124" t="n"/>
      <c r="C1465" s="123" t="n"/>
      <c r="D1465" s="123" t="n"/>
      <c r="E1465" s="123" t="n"/>
      <c r="F1465" s="125" t="n"/>
      <c r="G1465" s="123" t="n"/>
      <c r="H1465" s="123" t="n"/>
      <c r="I1465" s="123" t="n"/>
      <c r="J1465" s="123" t="n"/>
      <c r="K1465" s="123" t="n"/>
      <c r="L1465" s="123" t="n"/>
      <c r="M1465" s="123">
        <f>IF(AND(B1465&lt;&gt;"",OR($C$4="",ISNUMBER(SEARCH($C$4,C1465&amp;" "&amp;E1465&amp;" "&amp;G1465&amp;" "&amp;H1465&amp;" "&amp;I1465&amp;" "&amp;J1465&amp;" "&amp;K1465&amp;" "&amp;L1465))),OR($C$5="Semua",$C$5="",G1465=$C$5),OR($C$6="Semua",$C$6="",H1465=$C$6,H1465="Pengeluaran "&amp;$C$6,AND($C$6="Uang Kos Mama",H1465="Pengeluaran Uang Kos")),OR($C$7="Semua",$C$7="",I1465=$C$7),OR($C$8="Semua",$C$8="",C1465=$C$8,E1465=$C$8),OR($C$9="Semua",$C$9="",D1465=$C$9),OR($C$10="",B1465&gt;=$C$10),OR($C$11="",B1465&lt;=$C$11),OR($C$12&lt;&gt;"Ya",K1465&lt;&gt;""),OR($C$13="Semua",$C$13="",L1465=$C$13)),"✓","")</f>
        <v/>
      </c>
      <c r="N1465" s="93">
        <f>N(N1464)+IF(M1465="✓",1,0)</f>
        <v/>
      </c>
      <c r="O1465" s="93">
        <f>N(O1464)+IF(AND(B1465&lt;&gt;"",B1465&gt;='Uang Riba'!$H$30,B1465&lt;='Uang Riba'!$I$30,OR(H1465="Dana riba",H1465="Pinjam uang riba",I1465="Pinjam dari uang riba",I1465="Ganti uang riba",I1465="Kelebihan ganti dikembalikan",AND(C1465="Kantong Uang Riba",G1465="Pengeluaran"))),1,0)</f>
        <v/>
      </c>
      <c r="X1465" s="93">
        <f>IF(AND(B1465&lt;&gt;"",B1465&gt;='Buku Akun'!$H$4,B1465&lt;='Buku Akun'!$H$5,OR(C1465='Buku Akun'!$C$4,AND(D1465="Pindah",E1465='Buku Akun'!$C$4))),B1465+IF(AND(I1465="Selisih bunga",DAY(B1465)=1),0,0.01)+ROW()/10000000,"")</f>
        <v/>
      </c>
    </row>
    <row r="1466" outlineLevel="1" ht="15" customHeight="1" s="94">
      <c r="A1466" s="123">
        <f>IF(B1466="","",ROW()-15)</f>
        <v/>
      </c>
      <c r="B1466" s="124" t="n"/>
      <c r="C1466" s="123" t="n"/>
      <c r="D1466" s="123" t="n"/>
      <c r="E1466" s="123" t="n"/>
      <c r="F1466" s="125" t="n"/>
      <c r="G1466" s="123" t="n"/>
      <c r="H1466" s="123" t="n"/>
      <c r="I1466" s="123" t="n"/>
      <c r="J1466" s="123" t="n"/>
      <c r="K1466" s="123" t="n"/>
      <c r="L1466" s="123" t="n"/>
      <c r="M1466" s="123">
        <f>IF(AND(B1466&lt;&gt;"",OR($C$4="",ISNUMBER(SEARCH($C$4,C1466&amp;" "&amp;E1466&amp;" "&amp;G1466&amp;" "&amp;H1466&amp;" "&amp;I1466&amp;" "&amp;J1466&amp;" "&amp;K1466&amp;" "&amp;L1466))),OR($C$5="Semua",$C$5="",G1466=$C$5),OR($C$6="Semua",$C$6="",H1466=$C$6,H1466="Pengeluaran "&amp;$C$6,AND($C$6="Uang Kos Mama",H1466="Pengeluaran Uang Kos")),OR($C$7="Semua",$C$7="",I1466=$C$7),OR($C$8="Semua",$C$8="",C1466=$C$8,E1466=$C$8),OR($C$9="Semua",$C$9="",D1466=$C$9),OR($C$10="",B1466&gt;=$C$10),OR($C$11="",B1466&lt;=$C$11),OR($C$12&lt;&gt;"Ya",K1466&lt;&gt;""),OR($C$13="Semua",$C$13="",L1466=$C$13)),"✓","")</f>
        <v/>
      </c>
      <c r="N1466" s="93">
        <f>N(N1465)+IF(M1466="✓",1,0)</f>
        <v/>
      </c>
      <c r="O1466" s="93">
        <f>N(O1465)+IF(AND(B1466&lt;&gt;"",B1466&gt;='Uang Riba'!$H$30,B1466&lt;='Uang Riba'!$I$30,OR(H1466="Dana riba",H1466="Pinjam uang riba",I1466="Pinjam dari uang riba",I1466="Ganti uang riba",I1466="Kelebihan ganti dikembalikan",AND(C1466="Kantong Uang Riba",G1466="Pengeluaran"))),1,0)</f>
        <v/>
      </c>
      <c r="X1466" s="93">
        <f>IF(AND(B1466&lt;&gt;"",B1466&gt;='Buku Akun'!$H$4,B1466&lt;='Buku Akun'!$H$5,OR(C1466='Buku Akun'!$C$4,AND(D1466="Pindah",E1466='Buku Akun'!$C$4))),B1466+IF(AND(I1466="Selisih bunga",DAY(B1466)=1),0,0.01)+ROW()/10000000,"")</f>
        <v/>
      </c>
    </row>
    <row r="1467" outlineLevel="1" ht="15" customHeight="1" s="94">
      <c r="A1467" s="123">
        <f>IF(B1467="","",ROW()-15)</f>
        <v/>
      </c>
      <c r="B1467" s="124" t="n"/>
      <c r="C1467" s="123" t="n"/>
      <c r="D1467" s="123" t="n"/>
      <c r="E1467" s="123" t="n"/>
      <c r="F1467" s="125" t="n"/>
      <c r="G1467" s="123" t="n"/>
      <c r="H1467" s="123" t="n"/>
      <c r="I1467" s="123" t="n"/>
      <c r="J1467" s="123" t="n"/>
      <c r="K1467" s="123" t="n"/>
      <c r="L1467" s="123" t="n"/>
      <c r="M1467" s="123">
        <f>IF(AND(B1467&lt;&gt;"",OR($C$4="",ISNUMBER(SEARCH($C$4,C1467&amp;" "&amp;E1467&amp;" "&amp;G1467&amp;" "&amp;H1467&amp;" "&amp;I1467&amp;" "&amp;J1467&amp;" "&amp;K1467&amp;" "&amp;L1467))),OR($C$5="Semua",$C$5="",G1467=$C$5),OR($C$6="Semua",$C$6="",H1467=$C$6,H1467="Pengeluaran "&amp;$C$6,AND($C$6="Uang Kos Mama",H1467="Pengeluaran Uang Kos")),OR($C$7="Semua",$C$7="",I1467=$C$7),OR($C$8="Semua",$C$8="",C1467=$C$8,E1467=$C$8),OR($C$9="Semua",$C$9="",D1467=$C$9),OR($C$10="",B1467&gt;=$C$10),OR($C$11="",B1467&lt;=$C$11),OR($C$12&lt;&gt;"Ya",K1467&lt;&gt;""),OR($C$13="Semua",$C$13="",L1467=$C$13)),"✓","")</f>
        <v/>
      </c>
      <c r="N1467" s="93">
        <f>N(N1466)+IF(M1467="✓",1,0)</f>
        <v/>
      </c>
      <c r="O1467" s="93">
        <f>N(O1466)+IF(AND(B1467&lt;&gt;"",B1467&gt;='Uang Riba'!$H$30,B1467&lt;='Uang Riba'!$I$30,OR(H1467="Dana riba",H1467="Pinjam uang riba",I1467="Pinjam dari uang riba",I1467="Ganti uang riba",I1467="Kelebihan ganti dikembalikan",AND(C1467="Kantong Uang Riba",G1467="Pengeluaran"))),1,0)</f>
        <v/>
      </c>
      <c r="X1467" s="93">
        <f>IF(AND(B1467&lt;&gt;"",B1467&gt;='Buku Akun'!$H$4,B1467&lt;='Buku Akun'!$H$5,OR(C1467='Buku Akun'!$C$4,AND(D1467="Pindah",E1467='Buku Akun'!$C$4))),B1467+IF(AND(I1467="Selisih bunga",DAY(B1467)=1),0,0.01)+ROW()/10000000,"")</f>
        <v/>
      </c>
    </row>
    <row r="1468" outlineLevel="1" ht="15" customHeight="1" s="94">
      <c r="A1468" s="123">
        <f>IF(B1468="","",ROW()-15)</f>
        <v/>
      </c>
      <c r="B1468" s="124" t="n"/>
      <c r="C1468" s="123" t="n"/>
      <c r="D1468" s="123" t="n"/>
      <c r="E1468" s="123" t="n"/>
      <c r="F1468" s="125" t="n"/>
      <c r="G1468" s="123" t="n"/>
      <c r="H1468" s="123" t="n"/>
      <c r="I1468" s="123" t="n"/>
      <c r="J1468" s="123" t="n"/>
      <c r="K1468" s="123" t="n"/>
      <c r="L1468" s="123" t="n"/>
      <c r="M1468" s="123">
        <f>IF(AND(B1468&lt;&gt;"",OR($C$4="",ISNUMBER(SEARCH($C$4,C1468&amp;" "&amp;E1468&amp;" "&amp;G1468&amp;" "&amp;H1468&amp;" "&amp;I1468&amp;" "&amp;J1468&amp;" "&amp;K1468&amp;" "&amp;L1468))),OR($C$5="Semua",$C$5="",G1468=$C$5),OR($C$6="Semua",$C$6="",H1468=$C$6,H1468="Pengeluaran "&amp;$C$6,AND($C$6="Uang Kos Mama",H1468="Pengeluaran Uang Kos")),OR($C$7="Semua",$C$7="",I1468=$C$7),OR($C$8="Semua",$C$8="",C1468=$C$8,E1468=$C$8),OR($C$9="Semua",$C$9="",D1468=$C$9),OR($C$10="",B1468&gt;=$C$10),OR($C$11="",B1468&lt;=$C$11),OR($C$12&lt;&gt;"Ya",K1468&lt;&gt;""),OR($C$13="Semua",$C$13="",L1468=$C$13)),"✓","")</f>
        <v/>
      </c>
      <c r="N1468" s="93">
        <f>N(N1467)+IF(M1468="✓",1,0)</f>
        <v/>
      </c>
      <c r="O1468" s="93">
        <f>N(O1467)+IF(AND(B1468&lt;&gt;"",B1468&gt;='Uang Riba'!$H$30,B1468&lt;='Uang Riba'!$I$30,OR(H1468="Dana riba",H1468="Pinjam uang riba",I1468="Pinjam dari uang riba",I1468="Ganti uang riba",I1468="Kelebihan ganti dikembalikan",AND(C1468="Kantong Uang Riba",G1468="Pengeluaran"))),1,0)</f>
        <v/>
      </c>
      <c r="X1468" s="93">
        <f>IF(AND(B1468&lt;&gt;"",B1468&gt;='Buku Akun'!$H$4,B1468&lt;='Buku Akun'!$H$5,OR(C1468='Buku Akun'!$C$4,AND(D1468="Pindah",E1468='Buku Akun'!$C$4))),B1468+IF(AND(I1468="Selisih bunga",DAY(B1468)=1),0,0.01)+ROW()/10000000,"")</f>
        <v/>
      </c>
    </row>
    <row r="1469" outlineLevel="1" ht="15" customHeight="1" s="94">
      <c r="A1469" s="123">
        <f>IF(B1469="","",ROW()-15)</f>
        <v/>
      </c>
      <c r="B1469" s="124" t="n"/>
      <c r="C1469" s="123" t="n"/>
      <c r="D1469" s="123" t="n"/>
      <c r="E1469" s="123" t="n"/>
      <c r="F1469" s="125" t="n"/>
      <c r="G1469" s="123" t="n"/>
      <c r="H1469" s="123" t="n"/>
      <c r="I1469" s="123" t="n"/>
      <c r="J1469" s="123" t="n"/>
      <c r="K1469" s="123" t="n"/>
      <c r="L1469" s="123" t="n"/>
      <c r="M1469" s="123">
        <f>IF(AND(B1469&lt;&gt;"",OR($C$4="",ISNUMBER(SEARCH($C$4,C1469&amp;" "&amp;E1469&amp;" "&amp;G1469&amp;" "&amp;H1469&amp;" "&amp;I1469&amp;" "&amp;J1469&amp;" "&amp;K1469&amp;" "&amp;L1469))),OR($C$5="Semua",$C$5="",G1469=$C$5),OR($C$6="Semua",$C$6="",H1469=$C$6,H1469="Pengeluaran "&amp;$C$6,AND($C$6="Uang Kos Mama",H1469="Pengeluaran Uang Kos")),OR($C$7="Semua",$C$7="",I1469=$C$7),OR($C$8="Semua",$C$8="",C1469=$C$8,E1469=$C$8),OR($C$9="Semua",$C$9="",D1469=$C$9),OR($C$10="",B1469&gt;=$C$10),OR($C$11="",B1469&lt;=$C$11),OR($C$12&lt;&gt;"Ya",K1469&lt;&gt;""),OR($C$13="Semua",$C$13="",L1469=$C$13)),"✓","")</f>
        <v/>
      </c>
      <c r="N1469" s="93">
        <f>N(N1468)+IF(M1469="✓",1,0)</f>
        <v/>
      </c>
      <c r="O1469" s="93">
        <f>N(O1468)+IF(AND(B1469&lt;&gt;"",B1469&gt;='Uang Riba'!$H$30,B1469&lt;='Uang Riba'!$I$30,OR(H1469="Dana riba",H1469="Pinjam uang riba",I1469="Pinjam dari uang riba",I1469="Ganti uang riba",I1469="Kelebihan ganti dikembalikan",AND(C1469="Kantong Uang Riba",G1469="Pengeluaran"))),1,0)</f>
        <v/>
      </c>
      <c r="X1469" s="93">
        <f>IF(AND(B1469&lt;&gt;"",B1469&gt;='Buku Akun'!$H$4,B1469&lt;='Buku Akun'!$H$5,OR(C1469='Buku Akun'!$C$4,AND(D1469="Pindah",E1469='Buku Akun'!$C$4))),B1469+IF(AND(I1469="Selisih bunga",DAY(B1469)=1),0,0.01)+ROW()/10000000,"")</f>
        <v/>
      </c>
    </row>
    <row r="1470" outlineLevel="1" ht="15" customHeight="1" s="94">
      <c r="A1470" s="123">
        <f>IF(B1470="","",ROW()-15)</f>
        <v/>
      </c>
      <c r="B1470" s="124" t="n"/>
      <c r="C1470" s="123" t="n"/>
      <c r="D1470" s="123" t="n"/>
      <c r="E1470" s="123" t="n"/>
      <c r="F1470" s="125" t="n"/>
      <c r="G1470" s="123" t="n"/>
      <c r="H1470" s="123" t="n"/>
      <c r="I1470" s="123" t="n"/>
      <c r="J1470" s="123" t="n"/>
      <c r="K1470" s="123" t="n"/>
      <c r="L1470" s="123" t="n"/>
      <c r="M1470" s="123">
        <f>IF(AND(B1470&lt;&gt;"",OR($C$4="",ISNUMBER(SEARCH($C$4,C1470&amp;" "&amp;E1470&amp;" "&amp;G1470&amp;" "&amp;H1470&amp;" "&amp;I1470&amp;" "&amp;J1470&amp;" "&amp;K1470&amp;" "&amp;L1470))),OR($C$5="Semua",$C$5="",G1470=$C$5),OR($C$6="Semua",$C$6="",H1470=$C$6,H1470="Pengeluaran "&amp;$C$6,AND($C$6="Uang Kos Mama",H1470="Pengeluaran Uang Kos")),OR($C$7="Semua",$C$7="",I1470=$C$7),OR($C$8="Semua",$C$8="",C1470=$C$8,E1470=$C$8),OR($C$9="Semua",$C$9="",D1470=$C$9),OR($C$10="",B1470&gt;=$C$10),OR($C$11="",B1470&lt;=$C$11),OR($C$12&lt;&gt;"Ya",K1470&lt;&gt;""),OR($C$13="Semua",$C$13="",L1470=$C$13)),"✓","")</f>
        <v/>
      </c>
      <c r="N1470" s="93">
        <f>N(N1469)+IF(M1470="✓",1,0)</f>
        <v/>
      </c>
      <c r="O1470" s="93">
        <f>N(O1469)+IF(AND(B1470&lt;&gt;"",B1470&gt;='Uang Riba'!$H$30,B1470&lt;='Uang Riba'!$I$30,OR(H1470="Dana riba",H1470="Pinjam uang riba",I1470="Pinjam dari uang riba",I1470="Ganti uang riba",I1470="Kelebihan ganti dikembalikan",AND(C1470="Kantong Uang Riba",G1470="Pengeluaran"))),1,0)</f>
        <v/>
      </c>
      <c r="X1470" s="93">
        <f>IF(AND(B1470&lt;&gt;"",B1470&gt;='Buku Akun'!$H$4,B1470&lt;='Buku Akun'!$H$5,OR(C1470='Buku Akun'!$C$4,AND(D1470="Pindah",E1470='Buku Akun'!$C$4))),B1470+IF(AND(I1470="Selisih bunga",DAY(B1470)=1),0,0.01)+ROW()/10000000,"")</f>
        <v/>
      </c>
    </row>
    <row r="1471" outlineLevel="1" ht="15" customHeight="1" s="94">
      <c r="A1471" s="123">
        <f>IF(B1471="","",ROW()-15)</f>
        <v/>
      </c>
      <c r="B1471" s="124" t="n"/>
      <c r="C1471" s="123" t="n"/>
      <c r="D1471" s="123" t="n"/>
      <c r="E1471" s="123" t="n"/>
      <c r="F1471" s="125" t="n"/>
      <c r="G1471" s="123" t="n"/>
      <c r="H1471" s="123" t="n"/>
      <c r="I1471" s="123" t="n"/>
      <c r="J1471" s="123" t="n"/>
      <c r="K1471" s="123" t="n"/>
      <c r="L1471" s="123" t="n"/>
      <c r="M1471" s="123">
        <f>IF(AND(B1471&lt;&gt;"",OR($C$4="",ISNUMBER(SEARCH($C$4,C1471&amp;" "&amp;E1471&amp;" "&amp;G1471&amp;" "&amp;H1471&amp;" "&amp;I1471&amp;" "&amp;J1471&amp;" "&amp;K1471&amp;" "&amp;L1471))),OR($C$5="Semua",$C$5="",G1471=$C$5),OR($C$6="Semua",$C$6="",H1471=$C$6,H1471="Pengeluaran "&amp;$C$6,AND($C$6="Uang Kos Mama",H1471="Pengeluaran Uang Kos")),OR($C$7="Semua",$C$7="",I1471=$C$7),OR($C$8="Semua",$C$8="",C1471=$C$8,E1471=$C$8),OR($C$9="Semua",$C$9="",D1471=$C$9),OR($C$10="",B1471&gt;=$C$10),OR($C$11="",B1471&lt;=$C$11),OR($C$12&lt;&gt;"Ya",K1471&lt;&gt;""),OR($C$13="Semua",$C$13="",L1471=$C$13)),"✓","")</f>
        <v/>
      </c>
      <c r="N1471" s="93">
        <f>N(N1470)+IF(M1471="✓",1,0)</f>
        <v/>
      </c>
      <c r="O1471" s="93">
        <f>N(O1470)+IF(AND(B1471&lt;&gt;"",B1471&gt;='Uang Riba'!$H$30,B1471&lt;='Uang Riba'!$I$30,OR(H1471="Dana riba",H1471="Pinjam uang riba",I1471="Pinjam dari uang riba",I1471="Ganti uang riba",I1471="Kelebihan ganti dikembalikan",AND(C1471="Kantong Uang Riba",G1471="Pengeluaran"))),1,0)</f>
        <v/>
      </c>
      <c r="X1471" s="93">
        <f>IF(AND(B1471&lt;&gt;"",B1471&gt;='Buku Akun'!$H$4,B1471&lt;='Buku Akun'!$H$5,OR(C1471='Buku Akun'!$C$4,AND(D1471="Pindah",E1471='Buku Akun'!$C$4))),B1471+IF(AND(I1471="Selisih bunga",DAY(B1471)=1),0,0.01)+ROW()/10000000,"")</f>
        <v/>
      </c>
    </row>
    <row r="1472" outlineLevel="1" ht="15" customHeight="1" s="94">
      <c r="A1472" s="123">
        <f>IF(B1472="","",ROW()-15)</f>
        <v/>
      </c>
      <c r="B1472" s="124" t="n"/>
      <c r="C1472" s="123" t="n"/>
      <c r="D1472" s="123" t="n"/>
      <c r="E1472" s="123" t="n"/>
      <c r="F1472" s="125" t="n"/>
      <c r="G1472" s="123" t="n"/>
      <c r="H1472" s="123" t="n"/>
      <c r="I1472" s="123" t="n"/>
      <c r="J1472" s="123" t="n"/>
      <c r="K1472" s="123" t="n"/>
      <c r="L1472" s="123" t="n"/>
      <c r="M1472" s="123">
        <f>IF(AND(B1472&lt;&gt;"",OR($C$4="",ISNUMBER(SEARCH($C$4,C1472&amp;" "&amp;E1472&amp;" "&amp;G1472&amp;" "&amp;H1472&amp;" "&amp;I1472&amp;" "&amp;J1472&amp;" "&amp;K1472&amp;" "&amp;L1472))),OR($C$5="Semua",$C$5="",G1472=$C$5),OR($C$6="Semua",$C$6="",H1472=$C$6,H1472="Pengeluaran "&amp;$C$6,AND($C$6="Uang Kos Mama",H1472="Pengeluaran Uang Kos")),OR($C$7="Semua",$C$7="",I1472=$C$7),OR($C$8="Semua",$C$8="",C1472=$C$8,E1472=$C$8),OR($C$9="Semua",$C$9="",D1472=$C$9),OR($C$10="",B1472&gt;=$C$10),OR($C$11="",B1472&lt;=$C$11),OR($C$12&lt;&gt;"Ya",K1472&lt;&gt;""),OR($C$13="Semua",$C$13="",L1472=$C$13)),"✓","")</f>
        <v/>
      </c>
      <c r="N1472" s="93">
        <f>N(N1471)+IF(M1472="✓",1,0)</f>
        <v/>
      </c>
      <c r="O1472" s="93">
        <f>N(O1471)+IF(AND(B1472&lt;&gt;"",B1472&gt;='Uang Riba'!$H$30,B1472&lt;='Uang Riba'!$I$30,OR(H1472="Dana riba",H1472="Pinjam uang riba",I1472="Pinjam dari uang riba",I1472="Ganti uang riba",I1472="Kelebihan ganti dikembalikan",AND(C1472="Kantong Uang Riba",G1472="Pengeluaran"))),1,0)</f>
        <v/>
      </c>
      <c r="X1472" s="93">
        <f>IF(AND(B1472&lt;&gt;"",B1472&gt;='Buku Akun'!$H$4,B1472&lt;='Buku Akun'!$H$5,OR(C1472='Buku Akun'!$C$4,AND(D1472="Pindah",E1472='Buku Akun'!$C$4))),B1472+IF(AND(I1472="Selisih bunga",DAY(B1472)=1),0,0.01)+ROW()/10000000,"")</f>
        <v/>
      </c>
    </row>
    <row r="1473" outlineLevel="1" ht="15" customHeight="1" s="94">
      <c r="A1473" s="123">
        <f>IF(B1473="","",ROW()-15)</f>
        <v/>
      </c>
      <c r="B1473" s="124" t="n"/>
      <c r="C1473" s="123" t="n"/>
      <c r="D1473" s="123" t="n"/>
      <c r="E1473" s="123" t="n"/>
      <c r="F1473" s="125" t="n"/>
      <c r="G1473" s="123" t="n"/>
      <c r="H1473" s="123" t="n"/>
      <c r="I1473" s="123" t="n"/>
      <c r="J1473" s="123" t="n"/>
      <c r="K1473" s="123" t="n"/>
      <c r="L1473" s="123" t="n"/>
      <c r="M1473" s="123">
        <f>IF(AND(B1473&lt;&gt;"",OR($C$4="",ISNUMBER(SEARCH($C$4,C1473&amp;" "&amp;E1473&amp;" "&amp;G1473&amp;" "&amp;H1473&amp;" "&amp;I1473&amp;" "&amp;J1473&amp;" "&amp;K1473&amp;" "&amp;L1473))),OR($C$5="Semua",$C$5="",G1473=$C$5),OR($C$6="Semua",$C$6="",H1473=$C$6,H1473="Pengeluaran "&amp;$C$6,AND($C$6="Uang Kos Mama",H1473="Pengeluaran Uang Kos")),OR($C$7="Semua",$C$7="",I1473=$C$7),OR($C$8="Semua",$C$8="",C1473=$C$8,E1473=$C$8),OR($C$9="Semua",$C$9="",D1473=$C$9),OR($C$10="",B1473&gt;=$C$10),OR($C$11="",B1473&lt;=$C$11),OR($C$12&lt;&gt;"Ya",K1473&lt;&gt;""),OR($C$13="Semua",$C$13="",L1473=$C$13)),"✓","")</f>
        <v/>
      </c>
      <c r="N1473" s="93">
        <f>N(N1472)+IF(M1473="✓",1,0)</f>
        <v/>
      </c>
      <c r="O1473" s="93">
        <f>N(O1472)+IF(AND(B1473&lt;&gt;"",B1473&gt;='Uang Riba'!$H$30,B1473&lt;='Uang Riba'!$I$30,OR(H1473="Dana riba",H1473="Pinjam uang riba",I1473="Pinjam dari uang riba",I1473="Ganti uang riba",I1473="Kelebihan ganti dikembalikan",AND(C1473="Kantong Uang Riba",G1473="Pengeluaran"))),1,0)</f>
        <v/>
      </c>
      <c r="X1473" s="93">
        <f>IF(AND(B1473&lt;&gt;"",B1473&gt;='Buku Akun'!$H$4,B1473&lt;='Buku Akun'!$H$5,OR(C1473='Buku Akun'!$C$4,AND(D1473="Pindah",E1473='Buku Akun'!$C$4))),B1473+IF(AND(I1473="Selisih bunga",DAY(B1473)=1),0,0.01)+ROW()/10000000,"")</f>
        <v/>
      </c>
    </row>
    <row r="1474" outlineLevel="1" ht="15" customHeight="1" s="94">
      <c r="A1474" s="123">
        <f>IF(B1474="","",ROW()-15)</f>
        <v/>
      </c>
      <c r="B1474" s="124" t="n"/>
      <c r="C1474" s="123" t="n"/>
      <c r="D1474" s="123" t="n"/>
      <c r="E1474" s="123" t="n"/>
      <c r="F1474" s="125" t="n"/>
      <c r="G1474" s="123" t="n"/>
      <c r="H1474" s="123" t="n"/>
      <c r="I1474" s="123" t="n"/>
      <c r="J1474" s="123" t="n"/>
      <c r="K1474" s="123" t="n"/>
      <c r="L1474" s="123" t="n"/>
      <c r="M1474" s="123">
        <f>IF(AND(B1474&lt;&gt;"",OR($C$4="",ISNUMBER(SEARCH($C$4,C1474&amp;" "&amp;E1474&amp;" "&amp;G1474&amp;" "&amp;H1474&amp;" "&amp;I1474&amp;" "&amp;J1474&amp;" "&amp;K1474&amp;" "&amp;L1474))),OR($C$5="Semua",$C$5="",G1474=$C$5),OR($C$6="Semua",$C$6="",H1474=$C$6,H1474="Pengeluaran "&amp;$C$6,AND($C$6="Uang Kos Mama",H1474="Pengeluaran Uang Kos")),OR($C$7="Semua",$C$7="",I1474=$C$7),OR($C$8="Semua",$C$8="",C1474=$C$8,E1474=$C$8),OR($C$9="Semua",$C$9="",D1474=$C$9),OR($C$10="",B1474&gt;=$C$10),OR($C$11="",B1474&lt;=$C$11),OR($C$12&lt;&gt;"Ya",K1474&lt;&gt;""),OR($C$13="Semua",$C$13="",L1474=$C$13)),"✓","")</f>
        <v/>
      </c>
      <c r="N1474" s="93">
        <f>N(N1473)+IF(M1474="✓",1,0)</f>
        <v/>
      </c>
      <c r="O1474" s="93">
        <f>N(O1473)+IF(AND(B1474&lt;&gt;"",B1474&gt;='Uang Riba'!$H$30,B1474&lt;='Uang Riba'!$I$30,OR(H1474="Dana riba",H1474="Pinjam uang riba",I1474="Pinjam dari uang riba",I1474="Ganti uang riba",I1474="Kelebihan ganti dikembalikan",AND(C1474="Kantong Uang Riba",G1474="Pengeluaran"))),1,0)</f>
        <v/>
      </c>
      <c r="X1474" s="93">
        <f>IF(AND(B1474&lt;&gt;"",B1474&gt;='Buku Akun'!$H$4,B1474&lt;='Buku Akun'!$H$5,OR(C1474='Buku Akun'!$C$4,AND(D1474="Pindah",E1474='Buku Akun'!$C$4))),B1474+IF(AND(I1474="Selisih bunga",DAY(B1474)=1),0,0.01)+ROW()/10000000,"")</f>
        <v/>
      </c>
    </row>
    <row r="1475" outlineLevel="1" ht="15" customHeight="1" s="94">
      <c r="A1475" s="123">
        <f>IF(B1475="","",ROW()-15)</f>
        <v/>
      </c>
      <c r="B1475" s="124" t="n"/>
      <c r="C1475" s="123" t="n"/>
      <c r="D1475" s="123" t="n"/>
      <c r="E1475" s="123" t="n"/>
      <c r="F1475" s="125" t="n"/>
      <c r="G1475" s="123" t="n"/>
      <c r="H1475" s="123" t="n"/>
      <c r="I1475" s="123" t="n"/>
      <c r="J1475" s="123" t="n"/>
      <c r="K1475" s="123" t="n"/>
      <c r="L1475" s="123" t="n"/>
      <c r="M1475" s="123">
        <f>IF(AND(B1475&lt;&gt;"",OR($C$4="",ISNUMBER(SEARCH($C$4,C1475&amp;" "&amp;E1475&amp;" "&amp;G1475&amp;" "&amp;H1475&amp;" "&amp;I1475&amp;" "&amp;J1475&amp;" "&amp;K1475&amp;" "&amp;L1475))),OR($C$5="Semua",$C$5="",G1475=$C$5),OR($C$6="Semua",$C$6="",H1475=$C$6,H1475="Pengeluaran "&amp;$C$6,AND($C$6="Uang Kos Mama",H1475="Pengeluaran Uang Kos")),OR($C$7="Semua",$C$7="",I1475=$C$7),OR($C$8="Semua",$C$8="",C1475=$C$8,E1475=$C$8),OR($C$9="Semua",$C$9="",D1475=$C$9),OR($C$10="",B1475&gt;=$C$10),OR($C$11="",B1475&lt;=$C$11),OR($C$12&lt;&gt;"Ya",K1475&lt;&gt;""),OR($C$13="Semua",$C$13="",L1475=$C$13)),"✓","")</f>
        <v/>
      </c>
      <c r="N1475" s="93">
        <f>N(N1474)+IF(M1475="✓",1,0)</f>
        <v/>
      </c>
      <c r="O1475" s="93">
        <f>N(O1474)+IF(AND(B1475&lt;&gt;"",B1475&gt;='Uang Riba'!$H$30,B1475&lt;='Uang Riba'!$I$30,OR(H1475="Dana riba",H1475="Pinjam uang riba",I1475="Pinjam dari uang riba",I1475="Ganti uang riba",I1475="Kelebihan ganti dikembalikan",AND(C1475="Kantong Uang Riba",G1475="Pengeluaran"))),1,0)</f>
        <v/>
      </c>
      <c r="X1475" s="93">
        <f>IF(AND(B1475&lt;&gt;"",B1475&gt;='Buku Akun'!$H$4,B1475&lt;='Buku Akun'!$H$5,OR(C1475='Buku Akun'!$C$4,AND(D1475="Pindah",E1475='Buku Akun'!$C$4))),B1475+IF(AND(I1475="Selisih bunga",DAY(B1475)=1),0,0.01)+ROW()/10000000,"")</f>
        <v/>
      </c>
    </row>
    <row r="1476" outlineLevel="1" ht="15" customHeight="1" s="94">
      <c r="A1476" s="123">
        <f>IF(B1476="","",ROW()-15)</f>
        <v/>
      </c>
      <c r="B1476" s="124" t="n"/>
      <c r="C1476" s="123" t="n"/>
      <c r="D1476" s="123" t="n"/>
      <c r="E1476" s="123" t="n"/>
      <c r="F1476" s="125" t="n"/>
      <c r="G1476" s="123" t="n"/>
      <c r="H1476" s="123" t="n"/>
      <c r="I1476" s="123" t="n"/>
      <c r="J1476" s="123" t="n"/>
      <c r="K1476" s="123" t="n"/>
      <c r="L1476" s="123" t="n"/>
      <c r="M1476" s="123">
        <f>IF(AND(B1476&lt;&gt;"",OR($C$4="",ISNUMBER(SEARCH($C$4,C1476&amp;" "&amp;E1476&amp;" "&amp;G1476&amp;" "&amp;H1476&amp;" "&amp;I1476&amp;" "&amp;J1476&amp;" "&amp;K1476&amp;" "&amp;L1476))),OR($C$5="Semua",$C$5="",G1476=$C$5),OR($C$6="Semua",$C$6="",H1476=$C$6,H1476="Pengeluaran "&amp;$C$6,AND($C$6="Uang Kos Mama",H1476="Pengeluaran Uang Kos")),OR($C$7="Semua",$C$7="",I1476=$C$7),OR($C$8="Semua",$C$8="",C1476=$C$8,E1476=$C$8),OR($C$9="Semua",$C$9="",D1476=$C$9),OR($C$10="",B1476&gt;=$C$10),OR($C$11="",B1476&lt;=$C$11),OR($C$12&lt;&gt;"Ya",K1476&lt;&gt;""),OR($C$13="Semua",$C$13="",L1476=$C$13)),"✓","")</f>
        <v/>
      </c>
      <c r="N1476" s="93">
        <f>N(N1475)+IF(M1476="✓",1,0)</f>
        <v/>
      </c>
      <c r="O1476" s="93">
        <f>N(O1475)+IF(AND(B1476&lt;&gt;"",B1476&gt;='Uang Riba'!$H$30,B1476&lt;='Uang Riba'!$I$30,OR(H1476="Dana riba",H1476="Pinjam uang riba",I1476="Pinjam dari uang riba",I1476="Ganti uang riba",I1476="Kelebihan ganti dikembalikan",AND(C1476="Kantong Uang Riba",G1476="Pengeluaran"))),1,0)</f>
        <v/>
      </c>
      <c r="X1476" s="93">
        <f>IF(AND(B1476&lt;&gt;"",B1476&gt;='Buku Akun'!$H$4,B1476&lt;='Buku Akun'!$H$5,OR(C1476='Buku Akun'!$C$4,AND(D1476="Pindah",E1476='Buku Akun'!$C$4))),B1476+IF(AND(I1476="Selisih bunga",DAY(B1476)=1),0,0.01)+ROW()/10000000,"")</f>
        <v/>
      </c>
    </row>
    <row r="1477" outlineLevel="1" ht="15" customHeight="1" s="94">
      <c r="A1477" s="123">
        <f>IF(B1477="","",ROW()-15)</f>
        <v/>
      </c>
      <c r="B1477" s="124" t="n"/>
      <c r="C1477" s="123" t="n"/>
      <c r="D1477" s="123" t="n"/>
      <c r="E1477" s="123" t="n"/>
      <c r="F1477" s="125" t="n"/>
      <c r="G1477" s="123" t="n"/>
      <c r="H1477" s="123" t="n"/>
      <c r="I1477" s="123" t="n"/>
      <c r="J1477" s="123" t="n"/>
      <c r="K1477" s="123" t="n"/>
      <c r="L1477" s="123" t="n"/>
      <c r="M1477" s="123">
        <f>IF(AND(B1477&lt;&gt;"",OR($C$4="",ISNUMBER(SEARCH($C$4,C1477&amp;" "&amp;E1477&amp;" "&amp;G1477&amp;" "&amp;H1477&amp;" "&amp;I1477&amp;" "&amp;J1477&amp;" "&amp;K1477&amp;" "&amp;L1477))),OR($C$5="Semua",$C$5="",G1477=$C$5),OR($C$6="Semua",$C$6="",H1477=$C$6,H1477="Pengeluaran "&amp;$C$6,AND($C$6="Uang Kos Mama",H1477="Pengeluaran Uang Kos")),OR($C$7="Semua",$C$7="",I1477=$C$7),OR($C$8="Semua",$C$8="",C1477=$C$8,E1477=$C$8),OR($C$9="Semua",$C$9="",D1477=$C$9),OR($C$10="",B1477&gt;=$C$10),OR($C$11="",B1477&lt;=$C$11),OR($C$12&lt;&gt;"Ya",K1477&lt;&gt;""),OR($C$13="Semua",$C$13="",L1477=$C$13)),"✓","")</f>
        <v/>
      </c>
      <c r="N1477" s="93">
        <f>N(N1476)+IF(M1477="✓",1,0)</f>
        <v/>
      </c>
      <c r="O1477" s="93">
        <f>N(O1476)+IF(AND(B1477&lt;&gt;"",B1477&gt;='Uang Riba'!$H$30,B1477&lt;='Uang Riba'!$I$30,OR(H1477="Dana riba",H1477="Pinjam uang riba",I1477="Pinjam dari uang riba",I1477="Ganti uang riba",I1477="Kelebihan ganti dikembalikan",AND(C1477="Kantong Uang Riba",G1477="Pengeluaran"))),1,0)</f>
        <v/>
      </c>
      <c r="X1477" s="93">
        <f>IF(AND(B1477&lt;&gt;"",B1477&gt;='Buku Akun'!$H$4,B1477&lt;='Buku Akun'!$H$5,OR(C1477='Buku Akun'!$C$4,AND(D1477="Pindah",E1477='Buku Akun'!$C$4))),B1477+IF(AND(I1477="Selisih bunga",DAY(B1477)=1),0,0.01)+ROW()/10000000,"")</f>
        <v/>
      </c>
    </row>
    <row r="1478" outlineLevel="1" ht="15" customHeight="1" s="94">
      <c r="A1478" s="123">
        <f>IF(B1478="","",ROW()-15)</f>
        <v/>
      </c>
      <c r="B1478" s="124" t="n"/>
      <c r="C1478" s="123" t="n"/>
      <c r="D1478" s="123" t="n"/>
      <c r="E1478" s="123" t="n"/>
      <c r="F1478" s="125" t="n"/>
      <c r="G1478" s="123" t="n"/>
      <c r="H1478" s="123" t="n"/>
      <c r="I1478" s="123" t="n"/>
      <c r="J1478" s="123" t="n"/>
      <c r="K1478" s="123" t="n"/>
      <c r="L1478" s="123" t="n"/>
      <c r="M1478" s="123">
        <f>IF(AND(B1478&lt;&gt;"",OR($C$4="",ISNUMBER(SEARCH($C$4,C1478&amp;" "&amp;E1478&amp;" "&amp;G1478&amp;" "&amp;H1478&amp;" "&amp;I1478&amp;" "&amp;J1478&amp;" "&amp;K1478&amp;" "&amp;L1478))),OR($C$5="Semua",$C$5="",G1478=$C$5),OR($C$6="Semua",$C$6="",H1478=$C$6,H1478="Pengeluaran "&amp;$C$6,AND($C$6="Uang Kos Mama",H1478="Pengeluaran Uang Kos")),OR($C$7="Semua",$C$7="",I1478=$C$7),OR($C$8="Semua",$C$8="",C1478=$C$8,E1478=$C$8),OR($C$9="Semua",$C$9="",D1478=$C$9),OR($C$10="",B1478&gt;=$C$10),OR($C$11="",B1478&lt;=$C$11),OR($C$12&lt;&gt;"Ya",K1478&lt;&gt;""),OR($C$13="Semua",$C$13="",L1478=$C$13)),"✓","")</f>
        <v/>
      </c>
      <c r="N1478" s="93">
        <f>N(N1477)+IF(M1478="✓",1,0)</f>
        <v/>
      </c>
      <c r="O1478" s="93">
        <f>N(O1477)+IF(AND(B1478&lt;&gt;"",B1478&gt;='Uang Riba'!$H$30,B1478&lt;='Uang Riba'!$I$30,OR(H1478="Dana riba",H1478="Pinjam uang riba",I1478="Pinjam dari uang riba",I1478="Ganti uang riba",I1478="Kelebihan ganti dikembalikan",AND(C1478="Kantong Uang Riba",G1478="Pengeluaran"))),1,0)</f>
        <v/>
      </c>
      <c r="X1478" s="93">
        <f>IF(AND(B1478&lt;&gt;"",B1478&gt;='Buku Akun'!$H$4,B1478&lt;='Buku Akun'!$H$5,OR(C1478='Buku Akun'!$C$4,AND(D1478="Pindah",E1478='Buku Akun'!$C$4))),B1478+IF(AND(I1478="Selisih bunga",DAY(B1478)=1),0,0.01)+ROW()/10000000,"")</f>
        <v/>
      </c>
    </row>
    <row r="1479" outlineLevel="1" ht="15" customHeight="1" s="94">
      <c r="A1479" s="123">
        <f>IF(B1479="","",ROW()-15)</f>
        <v/>
      </c>
      <c r="B1479" s="124" t="n"/>
      <c r="C1479" s="123" t="n"/>
      <c r="D1479" s="123" t="n"/>
      <c r="E1479" s="123" t="n"/>
      <c r="F1479" s="125" t="n"/>
      <c r="G1479" s="123" t="n"/>
      <c r="H1479" s="123" t="n"/>
      <c r="I1479" s="123" t="n"/>
      <c r="J1479" s="123" t="n"/>
      <c r="K1479" s="123" t="n"/>
      <c r="L1479" s="123" t="n"/>
      <c r="M1479" s="123">
        <f>IF(AND(B1479&lt;&gt;"",OR($C$4="",ISNUMBER(SEARCH($C$4,C1479&amp;" "&amp;E1479&amp;" "&amp;G1479&amp;" "&amp;H1479&amp;" "&amp;I1479&amp;" "&amp;J1479&amp;" "&amp;K1479&amp;" "&amp;L1479))),OR($C$5="Semua",$C$5="",G1479=$C$5),OR($C$6="Semua",$C$6="",H1479=$C$6,H1479="Pengeluaran "&amp;$C$6,AND($C$6="Uang Kos Mama",H1479="Pengeluaran Uang Kos")),OR($C$7="Semua",$C$7="",I1479=$C$7),OR($C$8="Semua",$C$8="",C1479=$C$8,E1479=$C$8),OR($C$9="Semua",$C$9="",D1479=$C$9),OR($C$10="",B1479&gt;=$C$10),OR($C$11="",B1479&lt;=$C$11),OR($C$12&lt;&gt;"Ya",K1479&lt;&gt;""),OR($C$13="Semua",$C$13="",L1479=$C$13)),"✓","")</f>
        <v/>
      </c>
      <c r="N1479" s="93">
        <f>N(N1478)+IF(M1479="✓",1,0)</f>
        <v/>
      </c>
      <c r="O1479" s="93">
        <f>N(O1478)+IF(AND(B1479&lt;&gt;"",B1479&gt;='Uang Riba'!$H$30,B1479&lt;='Uang Riba'!$I$30,OR(H1479="Dana riba",H1479="Pinjam uang riba",I1479="Pinjam dari uang riba",I1479="Ganti uang riba",I1479="Kelebihan ganti dikembalikan",AND(C1479="Kantong Uang Riba",G1479="Pengeluaran"))),1,0)</f>
        <v/>
      </c>
      <c r="X1479" s="93">
        <f>IF(AND(B1479&lt;&gt;"",B1479&gt;='Buku Akun'!$H$4,B1479&lt;='Buku Akun'!$H$5,OR(C1479='Buku Akun'!$C$4,AND(D1479="Pindah",E1479='Buku Akun'!$C$4))),B1479+IF(AND(I1479="Selisih bunga",DAY(B1479)=1),0,0.01)+ROW()/10000000,"")</f>
        <v/>
      </c>
    </row>
    <row r="1480" outlineLevel="1" ht="15" customHeight="1" s="94">
      <c r="A1480" s="123">
        <f>IF(B1480="","",ROW()-15)</f>
        <v/>
      </c>
      <c r="B1480" s="124" t="n"/>
      <c r="C1480" s="123" t="n"/>
      <c r="D1480" s="123" t="n"/>
      <c r="E1480" s="123" t="n"/>
      <c r="F1480" s="125" t="n"/>
      <c r="G1480" s="123" t="n"/>
      <c r="H1480" s="123" t="n"/>
      <c r="I1480" s="123" t="n"/>
      <c r="J1480" s="123" t="n"/>
      <c r="K1480" s="123" t="n"/>
      <c r="L1480" s="123" t="n"/>
      <c r="M1480" s="123">
        <f>IF(AND(B1480&lt;&gt;"",OR($C$4="",ISNUMBER(SEARCH($C$4,C1480&amp;" "&amp;E1480&amp;" "&amp;G1480&amp;" "&amp;H1480&amp;" "&amp;I1480&amp;" "&amp;J1480&amp;" "&amp;K1480&amp;" "&amp;L1480))),OR($C$5="Semua",$C$5="",G1480=$C$5),OR($C$6="Semua",$C$6="",H1480=$C$6,H1480="Pengeluaran "&amp;$C$6,AND($C$6="Uang Kos Mama",H1480="Pengeluaran Uang Kos")),OR($C$7="Semua",$C$7="",I1480=$C$7),OR($C$8="Semua",$C$8="",C1480=$C$8,E1480=$C$8),OR($C$9="Semua",$C$9="",D1480=$C$9),OR($C$10="",B1480&gt;=$C$10),OR($C$11="",B1480&lt;=$C$11),OR($C$12&lt;&gt;"Ya",K1480&lt;&gt;""),OR($C$13="Semua",$C$13="",L1480=$C$13)),"✓","")</f>
        <v/>
      </c>
      <c r="N1480" s="93">
        <f>N(N1479)+IF(M1480="✓",1,0)</f>
        <v/>
      </c>
      <c r="O1480" s="93">
        <f>N(O1479)+IF(AND(B1480&lt;&gt;"",B1480&gt;='Uang Riba'!$H$30,B1480&lt;='Uang Riba'!$I$30,OR(H1480="Dana riba",H1480="Pinjam uang riba",I1480="Pinjam dari uang riba",I1480="Ganti uang riba",I1480="Kelebihan ganti dikembalikan",AND(C1480="Kantong Uang Riba",G1480="Pengeluaran"))),1,0)</f>
        <v/>
      </c>
      <c r="X1480" s="93">
        <f>IF(AND(B1480&lt;&gt;"",B1480&gt;='Buku Akun'!$H$4,B1480&lt;='Buku Akun'!$H$5,OR(C1480='Buku Akun'!$C$4,AND(D1480="Pindah",E1480='Buku Akun'!$C$4))),B1480+IF(AND(I1480="Selisih bunga",DAY(B1480)=1),0,0.01)+ROW()/10000000,"")</f>
        <v/>
      </c>
    </row>
    <row r="1481" outlineLevel="1" ht="15" customHeight="1" s="94">
      <c r="A1481" s="123">
        <f>IF(B1481="","",ROW()-15)</f>
        <v/>
      </c>
      <c r="B1481" s="124" t="n"/>
      <c r="C1481" s="123" t="n"/>
      <c r="D1481" s="123" t="n"/>
      <c r="E1481" s="123" t="n"/>
      <c r="F1481" s="125" t="n"/>
      <c r="G1481" s="123" t="n"/>
      <c r="H1481" s="123" t="n"/>
      <c r="I1481" s="123" t="n"/>
      <c r="J1481" s="123" t="n"/>
      <c r="K1481" s="123" t="n"/>
      <c r="L1481" s="123" t="n"/>
      <c r="M1481" s="123">
        <f>IF(AND(B1481&lt;&gt;"",OR($C$4="",ISNUMBER(SEARCH($C$4,C1481&amp;" "&amp;E1481&amp;" "&amp;G1481&amp;" "&amp;H1481&amp;" "&amp;I1481&amp;" "&amp;J1481&amp;" "&amp;K1481&amp;" "&amp;L1481))),OR($C$5="Semua",$C$5="",G1481=$C$5),OR($C$6="Semua",$C$6="",H1481=$C$6,H1481="Pengeluaran "&amp;$C$6,AND($C$6="Uang Kos Mama",H1481="Pengeluaran Uang Kos")),OR($C$7="Semua",$C$7="",I1481=$C$7),OR($C$8="Semua",$C$8="",C1481=$C$8,E1481=$C$8),OR($C$9="Semua",$C$9="",D1481=$C$9),OR($C$10="",B1481&gt;=$C$10),OR($C$11="",B1481&lt;=$C$11),OR($C$12&lt;&gt;"Ya",K1481&lt;&gt;""),OR($C$13="Semua",$C$13="",L1481=$C$13)),"✓","")</f>
        <v/>
      </c>
      <c r="N1481" s="93">
        <f>N(N1480)+IF(M1481="✓",1,0)</f>
        <v/>
      </c>
      <c r="O1481" s="93">
        <f>N(O1480)+IF(AND(B1481&lt;&gt;"",B1481&gt;='Uang Riba'!$H$30,B1481&lt;='Uang Riba'!$I$30,OR(H1481="Dana riba",H1481="Pinjam uang riba",I1481="Pinjam dari uang riba",I1481="Ganti uang riba",I1481="Kelebihan ganti dikembalikan",AND(C1481="Kantong Uang Riba",G1481="Pengeluaran"))),1,0)</f>
        <v/>
      </c>
      <c r="X1481" s="93">
        <f>IF(AND(B1481&lt;&gt;"",B1481&gt;='Buku Akun'!$H$4,B1481&lt;='Buku Akun'!$H$5,OR(C1481='Buku Akun'!$C$4,AND(D1481="Pindah",E1481='Buku Akun'!$C$4))),B1481+IF(AND(I1481="Selisih bunga",DAY(B1481)=1),0,0.01)+ROW()/10000000,"")</f>
        <v/>
      </c>
    </row>
    <row r="1482" outlineLevel="1" ht="15" customHeight="1" s="94">
      <c r="A1482" s="123">
        <f>IF(B1482="","",ROW()-15)</f>
        <v/>
      </c>
      <c r="B1482" s="124" t="n"/>
      <c r="C1482" s="123" t="n"/>
      <c r="D1482" s="123" t="n"/>
      <c r="E1482" s="123" t="n"/>
      <c r="F1482" s="125" t="n"/>
      <c r="G1482" s="123" t="n"/>
      <c r="H1482" s="123" t="n"/>
      <c r="I1482" s="123" t="n"/>
      <c r="J1482" s="123" t="n"/>
      <c r="K1482" s="123" t="n"/>
      <c r="L1482" s="123" t="n"/>
      <c r="M1482" s="123">
        <f>IF(AND(B1482&lt;&gt;"",OR($C$4="",ISNUMBER(SEARCH($C$4,C1482&amp;" "&amp;E1482&amp;" "&amp;G1482&amp;" "&amp;H1482&amp;" "&amp;I1482&amp;" "&amp;J1482&amp;" "&amp;K1482&amp;" "&amp;L1482))),OR($C$5="Semua",$C$5="",G1482=$C$5),OR($C$6="Semua",$C$6="",H1482=$C$6,H1482="Pengeluaran "&amp;$C$6,AND($C$6="Uang Kos Mama",H1482="Pengeluaran Uang Kos")),OR($C$7="Semua",$C$7="",I1482=$C$7),OR($C$8="Semua",$C$8="",C1482=$C$8,E1482=$C$8),OR($C$9="Semua",$C$9="",D1482=$C$9),OR($C$10="",B1482&gt;=$C$10),OR($C$11="",B1482&lt;=$C$11),OR($C$12&lt;&gt;"Ya",K1482&lt;&gt;""),OR($C$13="Semua",$C$13="",L1482=$C$13)),"✓","")</f>
        <v/>
      </c>
      <c r="N1482" s="93">
        <f>N(N1481)+IF(M1482="✓",1,0)</f>
        <v/>
      </c>
      <c r="O1482" s="93">
        <f>N(O1481)+IF(AND(B1482&lt;&gt;"",B1482&gt;='Uang Riba'!$H$30,B1482&lt;='Uang Riba'!$I$30,OR(H1482="Dana riba",H1482="Pinjam uang riba",I1482="Pinjam dari uang riba",I1482="Ganti uang riba",I1482="Kelebihan ganti dikembalikan",AND(C1482="Kantong Uang Riba",G1482="Pengeluaran"))),1,0)</f>
        <v/>
      </c>
      <c r="X1482" s="93">
        <f>IF(AND(B1482&lt;&gt;"",B1482&gt;='Buku Akun'!$H$4,B1482&lt;='Buku Akun'!$H$5,OR(C1482='Buku Akun'!$C$4,AND(D1482="Pindah",E1482='Buku Akun'!$C$4))),B1482+IF(AND(I1482="Selisih bunga",DAY(B1482)=1),0,0.01)+ROW()/10000000,"")</f>
        <v/>
      </c>
    </row>
    <row r="1483" outlineLevel="1" ht="15" customHeight="1" s="94">
      <c r="A1483" s="123">
        <f>IF(B1483="","",ROW()-15)</f>
        <v/>
      </c>
      <c r="B1483" s="124" t="n"/>
      <c r="C1483" s="123" t="n"/>
      <c r="D1483" s="123" t="n"/>
      <c r="E1483" s="123" t="n"/>
      <c r="F1483" s="125" t="n"/>
      <c r="G1483" s="123" t="n"/>
      <c r="H1483" s="123" t="n"/>
      <c r="I1483" s="123" t="n"/>
      <c r="J1483" s="123" t="n"/>
      <c r="K1483" s="123" t="n"/>
      <c r="L1483" s="123" t="n"/>
      <c r="M1483" s="123">
        <f>IF(AND(B1483&lt;&gt;"",OR($C$4="",ISNUMBER(SEARCH($C$4,C1483&amp;" "&amp;E1483&amp;" "&amp;G1483&amp;" "&amp;H1483&amp;" "&amp;I1483&amp;" "&amp;J1483&amp;" "&amp;K1483&amp;" "&amp;L1483))),OR($C$5="Semua",$C$5="",G1483=$C$5),OR($C$6="Semua",$C$6="",H1483=$C$6,H1483="Pengeluaran "&amp;$C$6,AND($C$6="Uang Kos Mama",H1483="Pengeluaran Uang Kos")),OR($C$7="Semua",$C$7="",I1483=$C$7),OR($C$8="Semua",$C$8="",C1483=$C$8,E1483=$C$8),OR($C$9="Semua",$C$9="",D1483=$C$9),OR($C$10="",B1483&gt;=$C$10),OR($C$11="",B1483&lt;=$C$11),OR($C$12&lt;&gt;"Ya",K1483&lt;&gt;""),OR($C$13="Semua",$C$13="",L1483=$C$13)),"✓","")</f>
        <v/>
      </c>
      <c r="N1483" s="93">
        <f>N(N1482)+IF(M1483="✓",1,0)</f>
        <v/>
      </c>
      <c r="O1483" s="93">
        <f>N(O1482)+IF(AND(B1483&lt;&gt;"",B1483&gt;='Uang Riba'!$H$30,B1483&lt;='Uang Riba'!$I$30,OR(H1483="Dana riba",H1483="Pinjam uang riba",I1483="Pinjam dari uang riba",I1483="Ganti uang riba",I1483="Kelebihan ganti dikembalikan",AND(C1483="Kantong Uang Riba",G1483="Pengeluaran"))),1,0)</f>
        <v/>
      </c>
      <c r="X1483" s="93">
        <f>IF(AND(B1483&lt;&gt;"",B1483&gt;='Buku Akun'!$H$4,B1483&lt;='Buku Akun'!$H$5,OR(C1483='Buku Akun'!$C$4,AND(D1483="Pindah",E1483='Buku Akun'!$C$4))),B1483+IF(AND(I1483="Selisih bunga",DAY(B1483)=1),0,0.01)+ROW()/10000000,"")</f>
        <v/>
      </c>
    </row>
    <row r="1484" outlineLevel="1" ht="15" customHeight="1" s="94">
      <c r="A1484" s="123">
        <f>IF(B1484="","",ROW()-15)</f>
        <v/>
      </c>
      <c r="B1484" s="124" t="n"/>
      <c r="C1484" s="123" t="n"/>
      <c r="D1484" s="123" t="n"/>
      <c r="E1484" s="123" t="n"/>
      <c r="F1484" s="125" t="n"/>
      <c r="G1484" s="123" t="n"/>
      <c r="H1484" s="123" t="n"/>
      <c r="I1484" s="123" t="n"/>
      <c r="J1484" s="123" t="n"/>
      <c r="K1484" s="123" t="n"/>
      <c r="L1484" s="123" t="n"/>
      <c r="M1484" s="123">
        <f>IF(AND(B1484&lt;&gt;"",OR($C$4="",ISNUMBER(SEARCH($C$4,C1484&amp;" "&amp;E1484&amp;" "&amp;G1484&amp;" "&amp;H1484&amp;" "&amp;I1484&amp;" "&amp;J1484&amp;" "&amp;K1484&amp;" "&amp;L1484))),OR($C$5="Semua",$C$5="",G1484=$C$5),OR($C$6="Semua",$C$6="",H1484=$C$6,H1484="Pengeluaran "&amp;$C$6,AND($C$6="Uang Kos Mama",H1484="Pengeluaran Uang Kos")),OR($C$7="Semua",$C$7="",I1484=$C$7),OR($C$8="Semua",$C$8="",C1484=$C$8,E1484=$C$8),OR($C$9="Semua",$C$9="",D1484=$C$9),OR($C$10="",B1484&gt;=$C$10),OR($C$11="",B1484&lt;=$C$11),OR($C$12&lt;&gt;"Ya",K1484&lt;&gt;""),OR($C$13="Semua",$C$13="",L1484=$C$13)),"✓","")</f>
        <v/>
      </c>
      <c r="N1484" s="93">
        <f>N(N1483)+IF(M1484="✓",1,0)</f>
        <v/>
      </c>
      <c r="O1484" s="93">
        <f>N(O1483)+IF(AND(B1484&lt;&gt;"",B1484&gt;='Uang Riba'!$H$30,B1484&lt;='Uang Riba'!$I$30,OR(H1484="Dana riba",H1484="Pinjam uang riba",I1484="Pinjam dari uang riba",I1484="Ganti uang riba",I1484="Kelebihan ganti dikembalikan",AND(C1484="Kantong Uang Riba",G1484="Pengeluaran"))),1,0)</f>
        <v/>
      </c>
      <c r="X1484" s="93">
        <f>IF(AND(B1484&lt;&gt;"",B1484&gt;='Buku Akun'!$H$4,B1484&lt;='Buku Akun'!$H$5,OR(C1484='Buku Akun'!$C$4,AND(D1484="Pindah",E1484='Buku Akun'!$C$4))),B1484+IF(AND(I1484="Selisih bunga",DAY(B1484)=1),0,0.01)+ROW()/10000000,"")</f>
        <v/>
      </c>
    </row>
    <row r="1485" outlineLevel="1" ht="15" customHeight="1" s="94">
      <c r="A1485" s="123">
        <f>IF(B1485="","",ROW()-15)</f>
        <v/>
      </c>
      <c r="B1485" s="124" t="n"/>
      <c r="C1485" s="123" t="n"/>
      <c r="D1485" s="123" t="n"/>
      <c r="E1485" s="123" t="n"/>
      <c r="F1485" s="125" t="n"/>
      <c r="G1485" s="123" t="n"/>
      <c r="H1485" s="123" t="n"/>
      <c r="I1485" s="123" t="n"/>
      <c r="J1485" s="123" t="n"/>
      <c r="K1485" s="123" t="n"/>
      <c r="L1485" s="123" t="n"/>
      <c r="M1485" s="123">
        <f>IF(AND(B1485&lt;&gt;"",OR($C$4="",ISNUMBER(SEARCH($C$4,C1485&amp;" "&amp;E1485&amp;" "&amp;G1485&amp;" "&amp;H1485&amp;" "&amp;I1485&amp;" "&amp;J1485&amp;" "&amp;K1485&amp;" "&amp;L1485))),OR($C$5="Semua",$C$5="",G1485=$C$5),OR($C$6="Semua",$C$6="",H1485=$C$6,H1485="Pengeluaran "&amp;$C$6,AND($C$6="Uang Kos Mama",H1485="Pengeluaran Uang Kos")),OR($C$7="Semua",$C$7="",I1485=$C$7),OR($C$8="Semua",$C$8="",C1485=$C$8,E1485=$C$8),OR($C$9="Semua",$C$9="",D1485=$C$9),OR($C$10="",B1485&gt;=$C$10),OR($C$11="",B1485&lt;=$C$11),OR($C$12&lt;&gt;"Ya",K1485&lt;&gt;""),OR($C$13="Semua",$C$13="",L1485=$C$13)),"✓","")</f>
        <v/>
      </c>
      <c r="N1485" s="93">
        <f>N(N1484)+IF(M1485="✓",1,0)</f>
        <v/>
      </c>
      <c r="O1485" s="93">
        <f>N(O1484)+IF(AND(B1485&lt;&gt;"",B1485&gt;='Uang Riba'!$H$30,B1485&lt;='Uang Riba'!$I$30,OR(H1485="Dana riba",H1485="Pinjam uang riba",I1485="Pinjam dari uang riba",I1485="Ganti uang riba",I1485="Kelebihan ganti dikembalikan",AND(C1485="Kantong Uang Riba",G1485="Pengeluaran"))),1,0)</f>
        <v/>
      </c>
      <c r="X1485" s="93">
        <f>IF(AND(B1485&lt;&gt;"",B1485&gt;='Buku Akun'!$H$4,B1485&lt;='Buku Akun'!$H$5,OR(C1485='Buku Akun'!$C$4,AND(D1485="Pindah",E1485='Buku Akun'!$C$4))),B1485+IF(AND(I1485="Selisih bunga",DAY(B1485)=1),0,0.01)+ROW()/10000000,"")</f>
        <v/>
      </c>
    </row>
    <row r="1486" outlineLevel="1" ht="15" customHeight="1" s="94">
      <c r="A1486" s="123">
        <f>IF(B1486="","",ROW()-15)</f>
        <v/>
      </c>
      <c r="B1486" s="124" t="n"/>
      <c r="C1486" s="123" t="n"/>
      <c r="D1486" s="123" t="n"/>
      <c r="E1486" s="123" t="n"/>
      <c r="F1486" s="125" t="n"/>
      <c r="G1486" s="123" t="n"/>
      <c r="H1486" s="123" t="n"/>
      <c r="I1486" s="123" t="n"/>
      <c r="J1486" s="123" t="n"/>
      <c r="K1486" s="123" t="n"/>
      <c r="L1486" s="123" t="n"/>
      <c r="M1486" s="123">
        <f>IF(AND(B1486&lt;&gt;"",OR($C$4="",ISNUMBER(SEARCH($C$4,C1486&amp;" "&amp;E1486&amp;" "&amp;G1486&amp;" "&amp;H1486&amp;" "&amp;I1486&amp;" "&amp;J1486&amp;" "&amp;K1486&amp;" "&amp;L1486))),OR($C$5="Semua",$C$5="",G1486=$C$5),OR($C$6="Semua",$C$6="",H1486=$C$6,H1486="Pengeluaran "&amp;$C$6,AND($C$6="Uang Kos Mama",H1486="Pengeluaran Uang Kos")),OR($C$7="Semua",$C$7="",I1486=$C$7),OR($C$8="Semua",$C$8="",C1486=$C$8,E1486=$C$8),OR($C$9="Semua",$C$9="",D1486=$C$9),OR($C$10="",B1486&gt;=$C$10),OR($C$11="",B1486&lt;=$C$11),OR($C$12&lt;&gt;"Ya",K1486&lt;&gt;""),OR($C$13="Semua",$C$13="",L1486=$C$13)),"✓","")</f>
        <v/>
      </c>
      <c r="N1486" s="93">
        <f>N(N1485)+IF(M1486="✓",1,0)</f>
        <v/>
      </c>
      <c r="O1486" s="93">
        <f>N(O1485)+IF(AND(B1486&lt;&gt;"",B1486&gt;='Uang Riba'!$H$30,B1486&lt;='Uang Riba'!$I$30,OR(H1486="Dana riba",H1486="Pinjam uang riba",I1486="Pinjam dari uang riba",I1486="Ganti uang riba",I1486="Kelebihan ganti dikembalikan",AND(C1486="Kantong Uang Riba",G1486="Pengeluaran"))),1,0)</f>
        <v/>
      </c>
      <c r="X1486" s="93">
        <f>IF(AND(B1486&lt;&gt;"",B1486&gt;='Buku Akun'!$H$4,B1486&lt;='Buku Akun'!$H$5,OR(C1486='Buku Akun'!$C$4,AND(D1486="Pindah",E1486='Buku Akun'!$C$4))),B1486+IF(AND(I1486="Selisih bunga",DAY(B1486)=1),0,0.01)+ROW()/10000000,"")</f>
        <v/>
      </c>
    </row>
    <row r="1487" outlineLevel="1" ht="15" customHeight="1" s="94">
      <c r="A1487" s="123">
        <f>IF(B1487="","",ROW()-15)</f>
        <v/>
      </c>
      <c r="B1487" s="124" t="n"/>
      <c r="C1487" s="123" t="n"/>
      <c r="D1487" s="123" t="n"/>
      <c r="E1487" s="123" t="n"/>
      <c r="F1487" s="125" t="n"/>
      <c r="G1487" s="123" t="n"/>
      <c r="H1487" s="123" t="n"/>
      <c r="I1487" s="123" t="n"/>
      <c r="J1487" s="123" t="n"/>
      <c r="K1487" s="123" t="n"/>
      <c r="L1487" s="123" t="n"/>
      <c r="M1487" s="123">
        <f>IF(AND(B1487&lt;&gt;"",OR($C$4="",ISNUMBER(SEARCH($C$4,C1487&amp;" "&amp;E1487&amp;" "&amp;G1487&amp;" "&amp;H1487&amp;" "&amp;I1487&amp;" "&amp;J1487&amp;" "&amp;K1487&amp;" "&amp;L1487))),OR($C$5="Semua",$C$5="",G1487=$C$5),OR($C$6="Semua",$C$6="",H1487=$C$6,H1487="Pengeluaran "&amp;$C$6,AND($C$6="Uang Kos Mama",H1487="Pengeluaran Uang Kos")),OR($C$7="Semua",$C$7="",I1487=$C$7),OR($C$8="Semua",$C$8="",C1487=$C$8,E1487=$C$8),OR($C$9="Semua",$C$9="",D1487=$C$9),OR($C$10="",B1487&gt;=$C$10),OR($C$11="",B1487&lt;=$C$11),OR($C$12&lt;&gt;"Ya",K1487&lt;&gt;""),OR($C$13="Semua",$C$13="",L1487=$C$13)),"✓","")</f>
        <v/>
      </c>
      <c r="N1487" s="93">
        <f>N(N1486)+IF(M1487="✓",1,0)</f>
        <v/>
      </c>
      <c r="O1487" s="93">
        <f>N(O1486)+IF(AND(B1487&lt;&gt;"",B1487&gt;='Uang Riba'!$H$30,B1487&lt;='Uang Riba'!$I$30,OR(H1487="Dana riba",H1487="Pinjam uang riba",I1487="Pinjam dari uang riba",I1487="Ganti uang riba",I1487="Kelebihan ganti dikembalikan",AND(C1487="Kantong Uang Riba",G1487="Pengeluaran"))),1,0)</f>
        <v/>
      </c>
      <c r="X1487" s="93">
        <f>IF(AND(B1487&lt;&gt;"",B1487&gt;='Buku Akun'!$H$4,B1487&lt;='Buku Akun'!$H$5,OR(C1487='Buku Akun'!$C$4,AND(D1487="Pindah",E1487='Buku Akun'!$C$4))),B1487+IF(AND(I1487="Selisih bunga",DAY(B1487)=1),0,0.01)+ROW()/10000000,"")</f>
        <v/>
      </c>
    </row>
    <row r="1488" outlineLevel="1" ht="15" customHeight="1" s="94">
      <c r="A1488" s="123">
        <f>IF(B1488="","",ROW()-15)</f>
        <v/>
      </c>
      <c r="B1488" s="124" t="n"/>
      <c r="C1488" s="123" t="n"/>
      <c r="D1488" s="123" t="n"/>
      <c r="E1488" s="123" t="n"/>
      <c r="F1488" s="125" t="n"/>
      <c r="G1488" s="123" t="n"/>
      <c r="H1488" s="123" t="n"/>
      <c r="I1488" s="123" t="n"/>
      <c r="J1488" s="123" t="n"/>
      <c r="K1488" s="123" t="n"/>
      <c r="L1488" s="123" t="n"/>
      <c r="M1488" s="123">
        <f>IF(AND(B1488&lt;&gt;"",OR($C$4="",ISNUMBER(SEARCH($C$4,C1488&amp;" "&amp;E1488&amp;" "&amp;G1488&amp;" "&amp;H1488&amp;" "&amp;I1488&amp;" "&amp;J1488&amp;" "&amp;K1488&amp;" "&amp;L1488))),OR($C$5="Semua",$C$5="",G1488=$C$5),OR($C$6="Semua",$C$6="",H1488=$C$6,H1488="Pengeluaran "&amp;$C$6,AND($C$6="Uang Kos Mama",H1488="Pengeluaran Uang Kos")),OR($C$7="Semua",$C$7="",I1488=$C$7),OR($C$8="Semua",$C$8="",C1488=$C$8,E1488=$C$8),OR($C$9="Semua",$C$9="",D1488=$C$9),OR($C$10="",B1488&gt;=$C$10),OR($C$11="",B1488&lt;=$C$11),OR($C$12&lt;&gt;"Ya",K1488&lt;&gt;""),OR($C$13="Semua",$C$13="",L1488=$C$13)),"✓","")</f>
        <v/>
      </c>
      <c r="N1488" s="93">
        <f>N(N1487)+IF(M1488="✓",1,0)</f>
        <v/>
      </c>
      <c r="O1488" s="93">
        <f>N(O1487)+IF(AND(B1488&lt;&gt;"",B1488&gt;='Uang Riba'!$H$30,B1488&lt;='Uang Riba'!$I$30,OR(H1488="Dana riba",H1488="Pinjam uang riba",I1488="Pinjam dari uang riba",I1488="Ganti uang riba",I1488="Kelebihan ganti dikembalikan",AND(C1488="Kantong Uang Riba",G1488="Pengeluaran"))),1,0)</f>
        <v/>
      </c>
      <c r="X1488" s="93">
        <f>IF(AND(B1488&lt;&gt;"",B1488&gt;='Buku Akun'!$H$4,B1488&lt;='Buku Akun'!$H$5,OR(C1488='Buku Akun'!$C$4,AND(D1488="Pindah",E1488='Buku Akun'!$C$4))),B1488+IF(AND(I1488="Selisih bunga",DAY(B1488)=1),0,0.01)+ROW()/10000000,"")</f>
        <v/>
      </c>
    </row>
    <row r="1489" outlineLevel="1" ht="15" customHeight="1" s="94">
      <c r="A1489" s="123">
        <f>IF(B1489="","",ROW()-15)</f>
        <v/>
      </c>
      <c r="B1489" s="124" t="n"/>
      <c r="C1489" s="123" t="n"/>
      <c r="D1489" s="123" t="n"/>
      <c r="E1489" s="123" t="n"/>
      <c r="F1489" s="125" t="n"/>
      <c r="G1489" s="123" t="n"/>
      <c r="H1489" s="123" t="n"/>
      <c r="I1489" s="123" t="n"/>
      <c r="J1489" s="123" t="n"/>
      <c r="K1489" s="123" t="n"/>
      <c r="L1489" s="123" t="n"/>
      <c r="M1489" s="123">
        <f>IF(AND(B1489&lt;&gt;"",OR($C$4="",ISNUMBER(SEARCH($C$4,C1489&amp;" "&amp;E1489&amp;" "&amp;G1489&amp;" "&amp;H1489&amp;" "&amp;I1489&amp;" "&amp;J1489&amp;" "&amp;K1489&amp;" "&amp;L1489))),OR($C$5="Semua",$C$5="",G1489=$C$5),OR($C$6="Semua",$C$6="",H1489=$C$6,H1489="Pengeluaran "&amp;$C$6,AND($C$6="Uang Kos Mama",H1489="Pengeluaran Uang Kos")),OR($C$7="Semua",$C$7="",I1489=$C$7),OR($C$8="Semua",$C$8="",C1489=$C$8,E1489=$C$8),OR($C$9="Semua",$C$9="",D1489=$C$9),OR($C$10="",B1489&gt;=$C$10),OR($C$11="",B1489&lt;=$C$11),OR($C$12&lt;&gt;"Ya",K1489&lt;&gt;""),OR($C$13="Semua",$C$13="",L1489=$C$13)),"✓","")</f>
        <v/>
      </c>
      <c r="N1489" s="93">
        <f>N(N1488)+IF(M1489="✓",1,0)</f>
        <v/>
      </c>
      <c r="O1489" s="93">
        <f>N(O1488)+IF(AND(B1489&lt;&gt;"",B1489&gt;='Uang Riba'!$H$30,B1489&lt;='Uang Riba'!$I$30,OR(H1489="Dana riba",H1489="Pinjam uang riba",I1489="Pinjam dari uang riba",I1489="Ganti uang riba",I1489="Kelebihan ganti dikembalikan",AND(C1489="Kantong Uang Riba",G1489="Pengeluaran"))),1,0)</f>
        <v/>
      </c>
      <c r="X1489" s="93">
        <f>IF(AND(B1489&lt;&gt;"",B1489&gt;='Buku Akun'!$H$4,B1489&lt;='Buku Akun'!$H$5,OR(C1489='Buku Akun'!$C$4,AND(D1489="Pindah",E1489='Buku Akun'!$C$4))),B1489+IF(AND(I1489="Selisih bunga",DAY(B1489)=1),0,0.01)+ROW()/10000000,"")</f>
        <v/>
      </c>
    </row>
    <row r="1490" outlineLevel="1" ht="15" customHeight="1" s="94">
      <c r="A1490" s="123">
        <f>IF(B1490="","",ROW()-15)</f>
        <v/>
      </c>
      <c r="B1490" s="124" t="n"/>
      <c r="C1490" s="123" t="n"/>
      <c r="D1490" s="123" t="n"/>
      <c r="E1490" s="123" t="n"/>
      <c r="F1490" s="125" t="n"/>
      <c r="G1490" s="123" t="n"/>
      <c r="H1490" s="123" t="n"/>
      <c r="I1490" s="123" t="n"/>
      <c r="J1490" s="123" t="n"/>
      <c r="K1490" s="123" t="n"/>
      <c r="L1490" s="123" t="n"/>
      <c r="M1490" s="123">
        <f>IF(AND(B1490&lt;&gt;"",OR($C$4="",ISNUMBER(SEARCH($C$4,C1490&amp;" "&amp;E1490&amp;" "&amp;G1490&amp;" "&amp;H1490&amp;" "&amp;I1490&amp;" "&amp;J1490&amp;" "&amp;K1490&amp;" "&amp;L1490))),OR($C$5="Semua",$C$5="",G1490=$C$5),OR($C$6="Semua",$C$6="",H1490=$C$6,H1490="Pengeluaran "&amp;$C$6,AND($C$6="Uang Kos Mama",H1490="Pengeluaran Uang Kos")),OR($C$7="Semua",$C$7="",I1490=$C$7),OR($C$8="Semua",$C$8="",C1490=$C$8,E1490=$C$8),OR($C$9="Semua",$C$9="",D1490=$C$9),OR($C$10="",B1490&gt;=$C$10),OR($C$11="",B1490&lt;=$C$11),OR($C$12&lt;&gt;"Ya",K1490&lt;&gt;""),OR($C$13="Semua",$C$13="",L1490=$C$13)),"✓","")</f>
        <v/>
      </c>
      <c r="N1490" s="93">
        <f>N(N1489)+IF(M1490="✓",1,0)</f>
        <v/>
      </c>
      <c r="O1490" s="93">
        <f>N(O1489)+IF(AND(B1490&lt;&gt;"",B1490&gt;='Uang Riba'!$H$30,B1490&lt;='Uang Riba'!$I$30,OR(H1490="Dana riba",H1490="Pinjam uang riba",I1490="Pinjam dari uang riba",I1490="Ganti uang riba",I1490="Kelebihan ganti dikembalikan",AND(C1490="Kantong Uang Riba",G1490="Pengeluaran"))),1,0)</f>
        <v/>
      </c>
      <c r="X1490" s="93">
        <f>IF(AND(B1490&lt;&gt;"",B1490&gt;='Buku Akun'!$H$4,B1490&lt;='Buku Akun'!$H$5,OR(C1490='Buku Akun'!$C$4,AND(D1490="Pindah",E1490='Buku Akun'!$C$4))),B1490+IF(AND(I1490="Selisih bunga",DAY(B1490)=1),0,0.01)+ROW()/10000000,"")</f>
        <v/>
      </c>
    </row>
    <row r="1491" outlineLevel="1" ht="15" customHeight="1" s="94">
      <c r="A1491" s="123">
        <f>IF(B1491="","",ROW()-15)</f>
        <v/>
      </c>
      <c r="B1491" s="124" t="n"/>
      <c r="C1491" s="123" t="n"/>
      <c r="D1491" s="123" t="n"/>
      <c r="E1491" s="123" t="n"/>
      <c r="F1491" s="125" t="n"/>
      <c r="G1491" s="123" t="n"/>
      <c r="H1491" s="123" t="n"/>
      <c r="I1491" s="123" t="n"/>
      <c r="J1491" s="123" t="n"/>
      <c r="K1491" s="123" t="n"/>
      <c r="L1491" s="123" t="n"/>
      <c r="M1491" s="123">
        <f>IF(AND(B1491&lt;&gt;"",OR($C$4="",ISNUMBER(SEARCH($C$4,C1491&amp;" "&amp;E1491&amp;" "&amp;G1491&amp;" "&amp;H1491&amp;" "&amp;I1491&amp;" "&amp;J1491&amp;" "&amp;K1491&amp;" "&amp;L1491))),OR($C$5="Semua",$C$5="",G1491=$C$5),OR($C$6="Semua",$C$6="",H1491=$C$6,H1491="Pengeluaran "&amp;$C$6,AND($C$6="Uang Kos Mama",H1491="Pengeluaran Uang Kos")),OR($C$7="Semua",$C$7="",I1491=$C$7),OR($C$8="Semua",$C$8="",C1491=$C$8,E1491=$C$8),OR($C$9="Semua",$C$9="",D1491=$C$9),OR($C$10="",B1491&gt;=$C$10),OR($C$11="",B1491&lt;=$C$11),OR($C$12&lt;&gt;"Ya",K1491&lt;&gt;""),OR($C$13="Semua",$C$13="",L1491=$C$13)),"✓","")</f>
        <v/>
      </c>
      <c r="N1491" s="93">
        <f>N(N1490)+IF(M1491="✓",1,0)</f>
        <v/>
      </c>
      <c r="O1491" s="93">
        <f>N(O1490)+IF(AND(B1491&lt;&gt;"",B1491&gt;='Uang Riba'!$H$30,B1491&lt;='Uang Riba'!$I$30,OR(H1491="Dana riba",H1491="Pinjam uang riba",I1491="Pinjam dari uang riba",I1491="Ganti uang riba",I1491="Kelebihan ganti dikembalikan",AND(C1491="Kantong Uang Riba",G1491="Pengeluaran"))),1,0)</f>
        <v/>
      </c>
      <c r="X1491" s="93">
        <f>IF(AND(B1491&lt;&gt;"",B1491&gt;='Buku Akun'!$H$4,B1491&lt;='Buku Akun'!$H$5,OR(C1491='Buku Akun'!$C$4,AND(D1491="Pindah",E1491='Buku Akun'!$C$4))),B1491+IF(AND(I1491="Selisih bunga",DAY(B1491)=1),0,0.01)+ROW()/10000000,"")</f>
        <v/>
      </c>
    </row>
    <row r="1492" outlineLevel="1" ht="15" customHeight="1" s="94">
      <c r="A1492" s="123">
        <f>IF(B1492="","",ROW()-15)</f>
        <v/>
      </c>
      <c r="B1492" s="124" t="n"/>
      <c r="C1492" s="123" t="n"/>
      <c r="D1492" s="123" t="n"/>
      <c r="E1492" s="123" t="n"/>
      <c r="F1492" s="125" t="n"/>
      <c r="G1492" s="123" t="n"/>
      <c r="H1492" s="123" t="n"/>
      <c r="I1492" s="123" t="n"/>
      <c r="J1492" s="123" t="n"/>
      <c r="K1492" s="123" t="n"/>
      <c r="L1492" s="123" t="n"/>
      <c r="M1492" s="123">
        <f>IF(AND(B1492&lt;&gt;"",OR($C$4="",ISNUMBER(SEARCH($C$4,C1492&amp;" "&amp;E1492&amp;" "&amp;G1492&amp;" "&amp;H1492&amp;" "&amp;I1492&amp;" "&amp;J1492&amp;" "&amp;K1492&amp;" "&amp;L1492))),OR($C$5="Semua",$C$5="",G1492=$C$5),OR($C$6="Semua",$C$6="",H1492=$C$6,H1492="Pengeluaran "&amp;$C$6,AND($C$6="Uang Kos Mama",H1492="Pengeluaran Uang Kos")),OR($C$7="Semua",$C$7="",I1492=$C$7),OR($C$8="Semua",$C$8="",C1492=$C$8,E1492=$C$8),OR($C$9="Semua",$C$9="",D1492=$C$9),OR($C$10="",B1492&gt;=$C$10),OR($C$11="",B1492&lt;=$C$11),OR($C$12&lt;&gt;"Ya",K1492&lt;&gt;""),OR($C$13="Semua",$C$13="",L1492=$C$13)),"✓","")</f>
        <v/>
      </c>
      <c r="N1492" s="93">
        <f>N(N1491)+IF(M1492="✓",1,0)</f>
        <v/>
      </c>
      <c r="O1492" s="93">
        <f>N(O1491)+IF(AND(B1492&lt;&gt;"",B1492&gt;='Uang Riba'!$H$30,B1492&lt;='Uang Riba'!$I$30,OR(H1492="Dana riba",H1492="Pinjam uang riba",I1492="Pinjam dari uang riba",I1492="Ganti uang riba",I1492="Kelebihan ganti dikembalikan",AND(C1492="Kantong Uang Riba",G1492="Pengeluaran"))),1,0)</f>
        <v/>
      </c>
      <c r="X1492" s="93">
        <f>IF(AND(B1492&lt;&gt;"",B1492&gt;='Buku Akun'!$H$4,B1492&lt;='Buku Akun'!$H$5,OR(C1492='Buku Akun'!$C$4,AND(D1492="Pindah",E1492='Buku Akun'!$C$4))),B1492+IF(AND(I1492="Selisih bunga",DAY(B1492)=1),0,0.01)+ROW()/10000000,"")</f>
        <v/>
      </c>
    </row>
    <row r="1493" outlineLevel="1" ht="15" customHeight="1" s="94">
      <c r="A1493" s="123">
        <f>IF(B1493="","",ROW()-15)</f>
        <v/>
      </c>
      <c r="B1493" s="124" t="n"/>
      <c r="C1493" s="123" t="n"/>
      <c r="D1493" s="123" t="n"/>
      <c r="E1493" s="123" t="n"/>
      <c r="F1493" s="125" t="n"/>
      <c r="G1493" s="123" t="n"/>
      <c r="H1493" s="123" t="n"/>
      <c r="I1493" s="123" t="n"/>
      <c r="J1493" s="123" t="n"/>
      <c r="K1493" s="123" t="n"/>
      <c r="L1493" s="123" t="n"/>
      <c r="M1493" s="123">
        <f>IF(AND(B1493&lt;&gt;"",OR($C$4="",ISNUMBER(SEARCH($C$4,C1493&amp;" "&amp;E1493&amp;" "&amp;G1493&amp;" "&amp;H1493&amp;" "&amp;I1493&amp;" "&amp;J1493&amp;" "&amp;K1493&amp;" "&amp;L1493))),OR($C$5="Semua",$C$5="",G1493=$C$5),OR($C$6="Semua",$C$6="",H1493=$C$6,H1493="Pengeluaran "&amp;$C$6,AND($C$6="Uang Kos Mama",H1493="Pengeluaran Uang Kos")),OR($C$7="Semua",$C$7="",I1493=$C$7),OR($C$8="Semua",$C$8="",C1493=$C$8,E1493=$C$8),OR($C$9="Semua",$C$9="",D1493=$C$9),OR($C$10="",B1493&gt;=$C$10),OR($C$11="",B1493&lt;=$C$11),OR($C$12&lt;&gt;"Ya",K1493&lt;&gt;""),OR($C$13="Semua",$C$13="",L1493=$C$13)),"✓","")</f>
        <v/>
      </c>
      <c r="N1493" s="93">
        <f>N(N1492)+IF(M1493="✓",1,0)</f>
        <v/>
      </c>
      <c r="O1493" s="93">
        <f>N(O1492)+IF(AND(B1493&lt;&gt;"",B1493&gt;='Uang Riba'!$H$30,B1493&lt;='Uang Riba'!$I$30,OR(H1493="Dana riba",H1493="Pinjam uang riba",I1493="Pinjam dari uang riba",I1493="Ganti uang riba",I1493="Kelebihan ganti dikembalikan",AND(C1493="Kantong Uang Riba",G1493="Pengeluaran"))),1,0)</f>
        <v/>
      </c>
      <c r="X1493" s="93">
        <f>IF(AND(B1493&lt;&gt;"",B1493&gt;='Buku Akun'!$H$4,B1493&lt;='Buku Akun'!$H$5,OR(C1493='Buku Akun'!$C$4,AND(D1493="Pindah",E1493='Buku Akun'!$C$4))),B1493+IF(AND(I1493="Selisih bunga",DAY(B1493)=1),0,0.01)+ROW()/10000000,"")</f>
        <v/>
      </c>
    </row>
    <row r="1494" outlineLevel="1" ht="15" customHeight="1" s="94">
      <c r="A1494" s="123">
        <f>IF(B1494="","",ROW()-15)</f>
        <v/>
      </c>
      <c r="B1494" s="124" t="n"/>
      <c r="C1494" s="123" t="n"/>
      <c r="D1494" s="123" t="n"/>
      <c r="E1494" s="123" t="n"/>
      <c r="F1494" s="125" t="n"/>
      <c r="G1494" s="123" t="n"/>
      <c r="H1494" s="123" t="n"/>
      <c r="I1494" s="123" t="n"/>
      <c r="J1494" s="123" t="n"/>
      <c r="K1494" s="123" t="n"/>
      <c r="L1494" s="123" t="n"/>
      <c r="M1494" s="123">
        <f>IF(AND(B1494&lt;&gt;"",OR($C$4="",ISNUMBER(SEARCH($C$4,C1494&amp;" "&amp;E1494&amp;" "&amp;G1494&amp;" "&amp;H1494&amp;" "&amp;I1494&amp;" "&amp;J1494&amp;" "&amp;K1494&amp;" "&amp;L1494))),OR($C$5="Semua",$C$5="",G1494=$C$5),OR($C$6="Semua",$C$6="",H1494=$C$6,H1494="Pengeluaran "&amp;$C$6,AND($C$6="Uang Kos Mama",H1494="Pengeluaran Uang Kos")),OR($C$7="Semua",$C$7="",I1494=$C$7),OR($C$8="Semua",$C$8="",C1494=$C$8,E1494=$C$8),OR($C$9="Semua",$C$9="",D1494=$C$9),OR($C$10="",B1494&gt;=$C$10),OR($C$11="",B1494&lt;=$C$11),OR($C$12&lt;&gt;"Ya",K1494&lt;&gt;""),OR($C$13="Semua",$C$13="",L1494=$C$13)),"✓","")</f>
        <v/>
      </c>
      <c r="N1494" s="93">
        <f>N(N1493)+IF(M1494="✓",1,0)</f>
        <v/>
      </c>
      <c r="O1494" s="93">
        <f>N(O1493)+IF(AND(B1494&lt;&gt;"",B1494&gt;='Uang Riba'!$H$30,B1494&lt;='Uang Riba'!$I$30,OR(H1494="Dana riba",H1494="Pinjam uang riba",I1494="Pinjam dari uang riba",I1494="Ganti uang riba",I1494="Kelebihan ganti dikembalikan",AND(C1494="Kantong Uang Riba",G1494="Pengeluaran"))),1,0)</f>
        <v/>
      </c>
      <c r="X1494" s="93">
        <f>IF(AND(B1494&lt;&gt;"",B1494&gt;='Buku Akun'!$H$4,B1494&lt;='Buku Akun'!$H$5,OR(C1494='Buku Akun'!$C$4,AND(D1494="Pindah",E1494='Buku Akun'!$C$4))),B1494+IF(AND(I1494="Selisih bunga",DAY(B1494)=1),0,0.01)+ROW()/10000000,"")</f>
        <v/>
      </c>
    </row>
    <row r="1495" outlineLevel="1" ht="15" customHeight="1" s="94">
      <c r="A1495" s="123">
        <f>IF(B1495="","",ROW()-15)</f>
        <v/>
      </c>
      <c r="B1495" s="124" t="n"/>
      <c r="C1495" s="123" t="n"/>
      <c r="D1495" s="123" t="n"/>
      <c r="E1495" s="123" t="n"/>
      <c r="F1495" s="125" t="n"/>
      <c r="G1495" s="123" t="n"/>
      <c r="H1495" s="123" t="n"/>
      <c r="I1495" s="123" t="n"/>
      <c r="J1495" s="123" t="n"/>
      <c r="K1495" s="123" t="n"/>
      <c r="L1495" s="123" t="n"/>
      <c r="M1495" s="123">
        <f>IF(AND(B1495&lt;&gt;"",OR($C$4="",ISNUMBER(SEARCH($C$4,C1495&amp;" "&amp;E1495&amp;" "&amp;G1495&amp;" "&amp;H1495&amp;" "&amp;I1495&amp;" "&amp;J1495&amp;" "&amp;K1495&amp;" "&amp;L1495))),OR($C$5="Semua",$C$5="",G1495=$C$5),OR($C$6="Semua",$C$6="",H1495=$C$6,H1495="Pengeluaran "&amp;$C$6,AND($C$6="Uang Kos Mama",H1495="Pengeluaran Uang Kos")),OR($C$7="Semua",$C$7="",I1495=$C$7),OR($C$8="Semua",$C$8="",C1495=$C$8,E1495=$C$8),OR($C$9="Semua",$C$9="",D1495=$C$9),OR($C$10="",B1495&gt;=$C$10),OR($C$11="",B1495&lt;=$C$11),OR($C$12&lt;&gt;"Ya",K1495&lt;&gt;""),OR($C$13="Semua",$C$13="",L1495=$C$13)),"✓","")</f>
        <v/>
      </c>
      <c r="N1495" s="93">
        <f>N(N1494)+IF(M1495="✓",1,0)</f>
        <v/>
      </c>
      <c r="O1495" s="93">
        <f>N(O1494)+IF(AND(B1495&lt;&gt;"",B1495&gt;='Uang Riba'!$H$30,B1495&lt;='Uang Riba'!$I$30,OR(H1495="Dana riba",H1495="Pinjam uang riba",I1495="Pinjam dari uang riba",I1495="Ganti uang riba",I1495="Kelebihan ganti dikembalikan",AND(C1495="Kantong Uang Riba",G1495="Pengeluaran"))),1,0)</f>
        <v/>
      </c>
      <c r="X1495" s="93">
        <f>IF(AND(B1495&lt;&gt;"",B1495&gt;='Buku Akun'!$H$4,B1495&lt;='Buku Akun'!$H$5,OR(C1495='Buku Akun'!$C$4,AND(D1495="Pindah",E1495='Buku Akun'!$C$4))),B1495+IF(AND(I1495="Selisih bunga",DAY(B1495)=1),0,0.01)+ROW()/10000000,"")</f>
        <v/>
      </c>
    </row>
    <row r="1496" outlineLevel="1" ht="15" customHeight="1" s="94">
      <c r="A1496" s="123">
        <f>IF(B1496="","",ROW()-15)</f>
        <v/>
      </c>
      <c r="B1496" s="124" t="n"/>
      <c r="C1496" s="123" t="n"/>
      <c r="D1496" s="123" t="n"/>
      <c r="E1496" s="123" t="n"/>
      <c r="F1496" s="125" t="n"/>
      <c r="G1496" s="123" t="n"/>
      <c r="H1496" s="123" t="n"/>
      <c r="I1496" s="123" t="n"/>
      <c r="J1496" s="123" t="n"/>
      <c r="K1496" s="123" t="n"/>
      <c r="L1496" s="123" t="n"/>
      <c r="M1496" s="123">
        <f>IF(AND(B1496&lt;&gt;"",OR($C$4="",ISNUMBER(SEARCH($C$4,C1496&amp;" "&amp;E1496&amp;" "&amp;G1496&amp;" "&amp;H1496&amp;" "&amp;I1496&amp;" "&amp;J1496&amp;" "&amp;K1496&amp;" "&amp;L1496))),OR($C$5="Semua",$C$5="",G1496=$C$5),OR($C$6="Semua",$C$6="",H1496=$C$6,H1496="Pengeluaran "&amp;$C$6,AND($C$6="Uang Kos Mama",H1496="Pengeluaran Uang Kos")),OR($C$7="Semua",$C$7="",I1496=$C$7),OR($C$8="Semua",$C$8="",C1496=$C$8,E1496=$C$8),OR($C$9="Semua",$C$9="",D1496=$C$9),OR($C$10="",B1496&gt;=$C$10),OR($C$11="",B1496&lt;=$C$11),OR($C$12&lt;&gt;"Ya",K1496&lt;&gt;""),OR($C$13="Semua",$C$13="",L1496=$C$13)),"✓","")</f>
        <v/>
      </c>
      <c r="N1496" s="93">
        <f>N(N1495)+IF(M1496="✓",1,0)</f>
        <v/>
      </c>
      <c r="O1496" s="93">
        <f>N(O1495)+IF(AND(B1496&lt;&gt;"",B1496&gt;='Uang Riba'!$H$30,B1496&lt;='Uang Riba'!$I$30,OR(H1496="Dana riba",H1496="Pinjam uang riba",I1496="Pinjam dari uang riba",I1496="Ganti uang riba",I1496="Kelebihan ganti dikembalikan",AND(C1496="Kantong Uang Riba",G1496="Pengeluaran"))),1,0)</f>
        <v/>
      </c>
      <c r="X1496" s="93">
        <f>IF(AND(B1496&lt;&gt;"",B1496&gt;='Buku Akun'!$H$4,B1496&lt;='Buku Akun'!$H$5,OR(C1496='Buku Akun'!$C$4,AND(D1496="Pindah",E1496='Buku Akun'!$C$4))),B1496+IF(AND(I1496="Selisih bunga",DAY(B1496)=1),0,0.01)+ROW()/10000000,"")</f>
        <v/>
      </c>
    </row>
    <row r="1497" outlineLevel="1" ht="15" customHeight="1" s="94">
      <c r="A1497" s="123">
        <f>IF(B1497="","",ROW()-15)</f>
        <v/>
      </c>
      <c r="B1497" s="124" t="n"/>
      <c r="C1497" s="123" t="n"/>
      <c r="D1497" s="123" t="n"/>
      <c r="E1497" s="123" t="n"/>
      <c r="F1497" s="125" t="n"/>
      <c r="G1497" s="123" t="n"/>
      <c r="H1497" s="123" t="n"/>
      <c r="I1497" s="123" t="n"/>
      <c r="J1497" s="123" t="n"/>
      <c r="K1497" s="123" t="n"/>
      <c r="L1497" s="123" t="n"/>
      <c r="M1497" s="123">
        <f>IF(AND(B1497&lt;&gt;"",OR($C$4="",ISNUMBER(SEARCH($C$4,C1497&amp;" "&amp;E1497&amp;" "&amp;G1497&amp;" "&amp;H1497&amp;" "&amp;I1497&amp;" "&amp;J1497&amp;" "&amp;K1497&amp;" "&amp;L1497))),OR($C$5="Semua",$C$5="",G1497=$C$5),OR($C$6="Semua",$C$6="",H1497=$C$6,H1497="Pengeluaran "&amp;$C$6,AND($C$6="Uang Kos Mama",H1497="Pengeluaran Uang Kos")),OR($C$7="Semua",$C$7="",I1497=$C$7),OR($C$8="Semua",$C$8="",C1497=$C$8,E1497=$C$8),OR($C$9="Semua",$C$9="",D1497=$C$9),OR($C$10="",B1497&gt;=$C$10),OR($C$11="",B1497&lt;=$C$11),OR($C$12&lt;&gt;"Ya",K1497&lt;&gt;""),OR($C$13="Semua",$C$13="",L1497=$C$13)),"✓","")</f>
        <v/>
      </c>
      <c r="N1497" s="93">
        <f>N(N1496)+IF(M1497="✓",1,0)</f>
        <v/>
      </c>
      <c r="O1497" s="93">
        <f>N(O1496)+IF(AND(B1497&lt;&gt;"",B1497&gt;='Uang Riba'!$H$30,B1497&lt;='Uang Riba'!$I$30,OR(H1497="Dana riba",H1497="Pinjam uang riba",I1497="Pinjam dari uang riba",I1497="Ganti uang riba",I1497="Kelebihan ganti dikembalikan",AND(C1497="Kantong Uang Riba",G1497="Pengeluaran"))),1,0)</f>
        <v/>
      </c>
      <c r="X1497" s="93">
        <f>IF(AND(B1497&lt;&gt;"",B1497&gt;='Buku Akun'!$H$4,B1497&lt;='Buku Akun'!$H$5,OR(C1497='Buku Akun'!$C$4,AND(D1497="Pindah",E1497='Buku Akun'!$C$4))),B1497+IF(AND(I1497="Selisih bunga",DAY(B1497)=1),0,0.01)+ROW()/10000000,"")</f>
        <v/>
      </c>
    </row>
    <row r="1498" outlineLevel="1" ht="15" customHeight="1" s="94">
      <c r="A1498" s="123">
        <f>IF(B1498="","",ROW()-15)</f>
        <v/>
      </c>
      <c r="B1498" s="124" t="n"/>
      <c r="C1498" s="123" t="n"/>
      <c r="D1498" s="123" t="n"/>
      <c r="E1498" s="123" t="n"/>
      <c r="F1498" s="125" t="n"/>
      <c r="G1498" s="123" t="n"/>
      <c r="H1498" s="123" t="n"/>
      <c r="I1498" s="123" t="n"/>
      <c r="J1498" s="123" t="n"/>
      <c r="K1498" s="123" t="n"/>
      <c r="L1498" s="123" t="n"/>
      <c r="M1498" s="123">
        <f>IF(AND(B1498&lt;&gt;"",OR($C$4="",ISNUMBER(SEARCH($C$4,C1498&amp;" "&amp;E1498&amp;" "&amp;G1498&amp;" "&amp;H1498&amp;" "&amp;I1498&amp;" "&amp;J1498&amp;" "&amp;K1498&amp;" "&amp;L1498))),OR($C$5="Semua",$C$5="",G1498=$C$5),OR($C$6="Semua",$C$6="",H1498=$C$6,H1498="Pengeluaran "&amp;$C$6,AND($C$6="Uang Kos Mama",H1498="Pengeluaran Uang Kos")),OR($C$7="Semua",$C$7="",I1498=$C$7),OR($C$8="Semua",$C$8="",C1498=$C$8,E1498=$C$8),OR($C$9="Semua",$C$9="",D1498=$C$9),OR($C$10="",B1498&gt;=$C$10),OR($C$11="",B1498&lt;=$C$11),OR($C$12&lt;&gt;"Ya",K1498&lt;&gt;""),OR($C$13="Semua",$C$13="",L1498=$C$13)),"✓","")</f>
        <v/>
      </c>
      <c r="N1498" s="93">
        <f>N(N1497)+IF(M1498="✓",1,0)</f>
        <v/>
      </c>
      <c r="O1498" s="93">
        <f>N(O1497)+IF(AND(B1498&lt;&gt;"",B1498&gt;='Uang Riba'!$H$30,B1498&lt;='Uang Riba'!$I$30,OR(H1498="Dana riba",H1498="Pinjam uang riba",I1498="Pinjam dari uang riba",I1498="Ganti uang riba",I1498="Kelebihan ganti dikembalikan",AND(C1498="Kantong Uang Riba",G1498="Pengeluaran"))),1,0)</f>
        <v/>
      </c>
      <c r="X1498" s="93">
        <f>IF(AND(B1498&lt;&gt;"",B1498&gt;='Buku Akun'!$H$4,B1498&lt;='Buku Akun'!$H$5,OR(C1498='Buku Akun'!$C$4,AND(D1498="Pindah",E1498='Buku Akun'!$C$4))),B1498+IF(AND(I1498="Selisih bunga",DAY(B1498)=1),0,0.01)+ROW()/10000000,"")</f>
        <v/>
      </c>
    </row>
    <row r="1499" outlineLevel="1" ht="15" customHeight="1" s="94">
      <c r="A1499" s="123">
        <f>IF(B1499="","",ROW()-15)</f>
        <v/>
      </c>
      <c r="B1499" s="124" t="n"/>
      <c r="C1499" s="123" t="n"/>
      <c r="D1499" s="123" t="n"/>
      <c r="E1499" s="123" t="n"/>
      <c r="F1499" s="125" t="n"/>
      <c r="G1499" s="123" t="n"/>
      <c r="H1499" s="123" t="n"/>
      <c r="I1499" s="123" t="n"/>
      <c r="J1499" s="123" t="n"/>
      <c r="K1499" s="123" t="n"/>
      <c r="L1499" s="123" t="n"/>
      <c r="M1499" s="123">
        <f>IF(AND(B1499&lt;&gt;"",OR($C$4="",ISNUMBER(SEARCH($C$4,C1499&amp;" "&amp;E1499&amp;" "&amp;G1499&amp;" "&amp;H1499&amp;" "&amp;I1499&amp;" "&amp;J1499&amp;" "&amp;K1499&amp;" "&amp;L1499))),OR($C$5="Semua",$C$5="",G1499=$C$5),OR($C$6="Semua",$C$6="",H1499=$C$6,H1499="Pengeluaran "&amp;$C$6,AND($C$6="Uang Kos Mama",H1499="Pengeluaran Uang Kos")),OR($C$7="Semua",$C$7="",I1499=$C$7),OR($C$8="Semua",$C$8="",C1499=$C$8,E1499=$C$8),OR($C$9="Semua",$C$9="",D1499=$C$9),OR($C$10="",B1499&gt;=$C$10),OR($C$11="",B1499&lt;=$C$11),OR($C$12&lt;&gt;"Ya",K1499&lt;&gt;""),OR($C$13="Semua",$C$13="",L1499=$C$13)),"✓","")</f>
        <v/>
      </c>
      <c r="N1499" s="93">
        <f>N(N1498)+IF(M1499="✓",1,0)</f>
        <v/>
      </c>
      <c r="O1499" s="93">
        <f>N(O1498)+IF(AND(B1499&lt;&gt;"",B1499&gt;='Uang Riba'!$H$30,B1499&lt;='Uang Riba'!$I$30,OR(H1499="Dana riba",H1499="Pinjam uang riba",I1499="Pinjam dari uang riba",I1499="Ganti uang riba",I1499="Kelebihan ganti dikembalikan",AND(C1499="Kantong Uang Riba",G1499="Pengeluaran"))),1,0)</f>
        <v/>
      </c>
      <c r="X1499" s="93">
        <f>IF(AND(B1499&lt;&gt;"",B1499&gt;='Buku Akun'!$H$4,B1499&lt;='Buku Akun'!$H$5,OR(C1499='Buku Akun'!$C$4,AND(D1499="Pindah",E1499='Buku Akun'!$C$4))),B1499+IF(AND(I1499="Selisih bunga",DAY(B1499)=1),0,0.01)+ROW()/10000000,"")</f>
        <v/>
      </c>
    </row>
    <row r="1500" outlineLevel="1" ht="15" customHeight="1" s="94">
      <c r="A1500" s="123">
        <f>IF(B1500="","",ROW()-15)</f>
        <v/>
      </c>
      <c r="B1500" s="124" t="n"/>
      <c r="C1500" s="123" t="n"/>
      <c r="D1500" s="123" t="n"/>
      <c r="E1500" s="123" t="n"/>
      <c r="F1500" s="125" t="n"/>
      <c r="G1500" s="123" t="n"/>
      <c r="H1500" s="123" t="n"/>
      <c r="I1500" s="123" t="n"/>
      <c r="J1500" s="123" t="n"/>
      <c r="K1500" s="123" t="n"/>
      <c r="L1500" s="123" t="n"/>
      <c r="M1500" s="123">
        <f>IF(AND(B1500&lt;&gt;"",OR($C$4="",ISNUMBER(SEARCH($C$4,C1500&amp;" "&amp;E1500&amp;" "&amp;G1500&amp;" "&amp;H1500&amp;" "&amp;I1500&amp;" "&amp;J1500&amp;" "&amp;K1500&amp;" "&amp;L1500))),OR($C$5="Semua",$C$5="",G1500=$C$5),OR($C$6="Semua",$C$6="",H1500=$C$6,H1500="Pengeluaran "&amp;$C$6,AND($C$6="Uang Kos Mama",H1500="Pengeluaran Uang Kos")),OR($C$7="Semua",$C$7="",I1500=$C$7),OR($C$8="Semua",$C$8="",C1500=$C$8,E1500=$C$8),OR($C$9="Semua",$C$9="",D1500=$C$9),OR($C$10="",B1500&gt;=$C$10),OR($C$11="",B1500&lt;=$C$11),OR($C$12&lt;&gt;"Ya",K1500&lt;&gt;""),OR($C$13="Semua",$C$13="",L1500=$C$13)),"✓","")</f>
        <v/>
      </c>
      <c r="N1500" s="93">
        <f>N(N1499)+IF(M1500="✓",1,0)</f>
        <v/>
      </c>
      <c r="O1500" s="93">
        <f>N(O1499)+IF(AND(B1500&lt;&gt;"",B1500&gt;='Uang Riba'!$H$30,B1500&lt;='Uang Riba'!$I$30,OR(H1500="Dana riba",H1500="Pinjam uang riba",I1500="Pinjam dari uang riba",I1500="Ganti uang riba",I1500="Kelebihan ganti dikembalikan",AND(C1500="Kantong Uang Riba",G1500="Pengeluaran"))),1,0)</f>
        <v/>
      </c>
      <c r="X1500" s="93">
        <f>IF(AND(B1500&lt;&gt;"",B1500&gt;='Buku Akun'!$H$4,B1500&lt;='Buku Akun'!$H$5,OR(C1500='Buku Akun'!$C$4,AND(D1500="Pindah",E1500='Buku Akun'!$C$4))),B1500+IF(AND(I1500="Selisih bunga",DAY(B1500)=1),0,0.01)+ROW()/10000000,"")</f>
        <v/>
      </c>
    </row>
    <row r="1501" outlineLevel="1" ht="15" customHeight="1" s="94">
      <c r="A1501" s="123">
        <f>IF(B1501="","",ROW()-15)</f>
        <v/>
      </c>
      <c r="B1501" s="124" t="n"/>
      <c r="C1501" s="123" t="n"/>
      <c r="D1501" s="123" t="n"/>
      <c r="E1501" s="123" t="n"/>
      <c r="F1501" s="125" t="n"/>
      <c r="G1501" s="123" t="n"/>
      <c r="H1501" s="123" t="n"/>
      <c r="I1501" s="123" t="n"/>
      <c r="J1501" s="123" t="n"/>
      <c r="K1501" s="123" t="n"/>
      <c r="L1501" s="123" t="n"/>
      <c r="M1501" s="123">
        <f>IF(AND(B1501&lt;&gt;"",OR($C$4="",ISNUMBER(SEARCH($C$4,C1501&amp;" "&amp;E1501&amp;" "&amp;G1501&amp;" "&amp;H1501&amp;" "&amp;I1501&amp;" "&amp;J1501&amp;" "&amp;K1501&amp;" "&amp;L1501))),OR($C$5="Semua",$C$5="",G1501=$C$5),OR($C$6="Semua",$C$6="",H1501=$C$6,H1501="Pengeluaran "&amp;$C$6,AND($C$6="Uang Kos Mama",H1501="Pengeluaran Uang Kos")),OR($C$7="Semua",$C$7="",I1501=$C$7),OR($C$8="Semua",$C$8="",C1501=$C$8,E1501=$C$8),OR($C$9="Semua",$C$9="",D1501=$C$9),OR($C$10="",B1501&gt;=$C$10),OR($C$11="",B1501&lt;=$C$11),OR($C$12&lt;&gt;"Ya",K1501&lt;&gt;""),OR($C$13="Semua",$C$13="",L1501=$C$13)),"✓","")</f>
        <v/>
      </c>
      <c r="N1501" s="93">
        <f>N(N1500)+IF(M1501="✓",1,0)</f>
        <v/>
      </c>
      <c r="O1501" s="93">
        <f>N(O1500)+IF(AND(B1501&lt;&gt;"",B1501&gt;='Uang Riba'!$H$30,B1501&lt;='Uang Riba'!$I$30,OR(H1501="Dana riba",H1501="Pinjam uang riba",I1501="Pinjam dari uang riba",I1501="Ganti uang riba",I1501="Kelebihan ganti dikembalikan",AND(C1501="Kantong Uang Riba",G1501="Pengeluaran"))),1,0)</f>
        <v/>
      </c>
      <c r="X1501" s="93">
        <f>IF(AND(B1501&lt;&gt;"",B1501&gt;='Buku Akun'!$H$4,B1501&lt;='Buku Akun'!$H$5,OR(C1501='Buku Akun'!$C$4,AND(D1501="Pindah",E1501='Buku Akun'!$C$4))),B1501+IF(AND(I1501="Selisih bunga",DAY(B1501)=1),0,0.01)+ROW()/10000000,"")</f>
        <v/>
      </c>
    </row>
    <row r="1502" outlineLevel="1" ht="15" customHeight="1" s="94">
      <c r="A1502" s="123">
        <f>IF(B1502="","",ROW()-15)</f>
        <v/>
      </c>
      <c r="B1502" s="124" t="n"/>
      <c r="C1502" s="123" t="n"/>
      <c r="D1502" s="123" t="n"/>
      <c r="E1502" s="123" t="n"/>
      <c r="F1502" s="125" t="n"/>
      <c r="G1502" s="123" t="n"/>
      <c r="H1502" s="123" t="n"/>
      <c r="I1502" s="123" t="n"/>
      <c r="J1502" s="123" t="n"/>
      <c r="K1502" s="123" t="n"/>
      <c r="L1502" s="123" t="n"/>
      <c r="M1502" s="123">
        <f>IF(AND(B1502&lt;&gt;"",OR($C$4="",ISNUMBER(SEARCH($C$4,C1502&amp;" "&amp;E1502&amp;" "&amp;G1502&amp;" "&amp;H1502&amp;" "&amp;I1502&amp;" "&amp;J1502&amp;" "&amp;K1502&amp;" "&amp;L1502))),OR($C$5="Semua",$C$5="",G1502=$C$5),OR($C$6="Semua",$C$6="",H1502=$C$6,H1502="Pengeluaran "&amp;$C$6,AND($C$6="Uang Kos Mama",H1502="Pengeluaran Uang Kos")),OR($C$7="Semua",$C$7="",I1502=$C$7),OR($C$8="Semua",$C$8="",C1502=$C$8,E1502=$C$8),OR($C$9="Semua",$C$9="",D1502=$C$9),OR($C$10="",B1502&gt;=$C$10),OR($C$11="",B1502&lt;=$C$11),OR($C$12&lt;&gt;"Ya",K1502&lt;&gt;""),OR($C$13="Semua",$C$13="",L1502=$C$13)),"✓","")</f>
        <v/>
      </c>
      <c r="N1502" s="93">
        <f>N(N1501)+IF(M1502="✓",1,0)</f>
        <v/>
      </c>
      <c r="O1502" s="93">
        <f>N(O1501)+IF(AND(B1502&lt;&gt;"",B1502&gt;='Uang Riba'!$H$30,B1502&lt;='Uang Riba'!$I$30,OR(H1502="Dana riba",H1502="Pinjam uang riba",I1502="Pinjam dari uang riba",I1502="Ganti uang riba",I1502="Kelebihan ganti dikembalikan",AND(C1502="Kantong Uang Riba",G1502="Pengeluaran"))),1,0)</f>
        <v/>
      </c>
      <c r="X1502" s="93">
        <f>IF(AND(B1502&lt;&gt;"",B1502&gt;='Buku Akun'!$H$4,B1502&lt;='Buku Akun'!$H$5,OR(C1502='Buku Akun'!$C$4,AND(D1502="Pindah",E1502='Buku Akun'!$C$4))),B1502+IF(AND(I1502="Selisih bunga",DAY(B1502)=1),0,0.01)+ROW()/10000000,"")</f>
        <v/>
      </c>
    </row>
    <row r="1503" outlineLevel="1" ht="15" customHeight="1" s="94">
      <c r="A1503" s="123">
        <f>IF(B1503="","",ROW()-15)</f>
        <v/>
      </c>
      <c r="B1503" s="124" t="n"/>
      <c r="C1503" s="123" t="n"/>
      <c r="D1503" s="123" t="n"/>
      <c r="E1503" s="123" t="n"/>
      <c r="F1503" s="125" t="n"/>
      <c r="G1503" s="123" t="n"/>
      <c r="H1503" s="123" t="n"/>
      <c r="I1503" s="123" t="n"/>
      <c r="J1503" s="123" t="n"/>
      <c r="K1503" s="123" t="n"/>
      <c r="L1503" s="123" t="n"/>
      <c r="M1503" s="123">
        <f>IF(AND(B1503&lt;&gt;"",OR($C$4="",ISNUMBER(SEARCH($C$4,C1503&amp;" "&amp;E1503&amp;" "&amp;G1503&amp;" "&amp;H1503&amp;" "&amp;I1503&amp;" "&amp;J1503&amp;" "&amp;K1503&amp;" "&amp;L1503))),OR($C$5="Semua",$C$5="",G1503=$C$5),OR($C$6="Semua",$C$6="",H1503=$C$6,H1503="Pengeluaran "&amp;$C$6,AND($C$6="Uang Kos Mama",H1503="Pengeluaran Uang Kos")),OR($C$7="Semua",$C$7="",I1503=$C$7),OR($C$8="Semua",$C$8="",C1503=$C$8,E1503=$C$8),OR($C$9="Semua",$C$9="",D1503=$C$9),OR($C$10="",B1503&gt;=$C$10),OR($C$11="",B1503&lt;=$C$11),OR($C$12&lt;&gt;"Ya",K1503&lt;&gt;""),OR($C$13="Semua",$C$13="",L1503=$C$13)),"✓","")</f>
        <v/>
      </c>
      <c r="N1503" s="93">
        <f>N(N1502)+IF(M1503="✓",1,0)</f>
        <v/>
      </c>
      <c r="O1503" s="93">
        <f>N(O1502)+IF(AND(B1503&lt;&gt;"",B1503&gt;='Uang Riba'!$H$30,B1503&lt;='Uang Riba'!$I$30,OR(H1503="Dana riba",H1503="Pinjam uang riba",I1503="Pinjam dari uang riba",I1503="Ganti uang riba",I1503="Kelebihan ganti dikembalikan",AND(C1503="Kantong Uang Riba",G1503="Pengeluaran"))),1,0)</f>
        <v/>
      </c>
      <c r="X1503" s="93">
        <f>IF(AND(B1503&lt;&gt;"",B1503&gt;='Buku Akun'!$H$4,B1503&lt;='Buku Akun'!$H$5,OR(C1503='Buku Akun'!$C$4,AND(D1503="Pindah",E1503='Buku Akun'!$C$4))),B1503+IF(AND(I1503="Selisih bunga",DAY(B1503)=1),0,0.01)+ROW()/10000000,"")</f>
        <v/>
      </c>
    </row>
    <row r="1504" outlineLevel="1" ht="15" customHeight="1" s="94">
      <c r="A1504" s="123">
        <f>IF(B1504="","",ROW()-15)</f>
        <v/>
      </c>
      <c r="B1504" s="124" t="n"/>
      <c r="C1504" s="123" t="n"/>
      <c r="D1504" s="123" t="n"/>
      <c r="E1504" s="123" t="n"/>
      <c r="F1504" s="125" t="n"/>
      <c r="G1504" s="123" t="n"/>
      <c r="H1504" s="123" t="n"/>
      <c r="I1504" s="123" t="n"/>
      <c r="J1504" s="123" t="n"/>
      <c r="K1504" s="123" t="n"/>
      <c r="L1504" s="123" t="n"/>
      <c r="M1504" s="123">
        <f>IF(AND(B1504&lt;&gt;"",OR($C$4="",ISNUMBER(SEARCH($C$4,C1504&amp;" "&amp;E1504&amp;" "&amp;G1504&amp;" "&amp;H1504&amp;" "&amp;I1504&amp;" "&amp;J1504&amp;" "&amp;K1504&amp;" "&amp;L1504))),OR($C$5="Semua",$C$5="",G1504=$C$5),OR($C$6="Semua",$C$6="",H1504=$C$6,H1504="Pengeluaran "&amp;$C$6,AND($C$6="Uang Kos Mama",H1504="Pengeluaran Uang Kos")),OR($C$7="Semua",$C$7="",I1504=$C$7),OR($C$8="Semua",$C$8="",C1504=$C$8,E1504=$C$8),OR($C$9="Semua",$C$9="",D1504=$C$9),OR($C$10="",B1504&gt;=$C$10),OR($C$11="",B1504&lt;=$C$11),OR($C$12&lt;&gt;"Ya",K1504&lt;&gt;""),OR($C$13="Semua",$C$13="",L1504=$C$13)),"✓","")</f>
        <v/>
      </c>
      <c r="N1504" s="93">
        <f>N(N1503)+IF(M1504="✓",1,0)</f>
        <v/>
      </c>
      <c r="O1504" s="93">
        <f>N(O1503)+IF(AND(B1504&lt;&gt;"",B1504&gt;='Uang Riba'!$H$30,B1504&lt;='Uang Riba'!$I$30,OR(H1504="Dana riba",H1504="Pinjam uang riba",I1504="Pinjam dari uang riba",I1504="Ganti uang riba",I1504="Kelebihan ganti dikembalikan",AND(C1504="Kantong Uang Riba",G1504="Pengeluaran"))),1,0)</f>
        <v/>
      </c>
      <c r="X1504" s="93">
        <f>IF(AND(B1504&lt;&gt;"",B1504&gt;='Buku Akun'!$H$4,B1504&lt;='Buku Akun'!$H$5,OR(C1504='Buku Akun'!$C$4,AND(D1504="Pindah",E1504='Buku Akun'!$C$4))),B1504+IF(AND(I1504="Selisih bunga",DAY(B1504)=1),0,0.01)+ROW()/10000000,"")</f>
        <v/>
      </c>
    </row>
    <row r="1505" outlineLevel="1" ht="15" customHeight="1" s="94">
      <c r="A1505" s="123">
        <f>IF(B1505="","",ROW()-15)</f>
        <v/>
      </c>
      <c r="B1505" s="124" t="n"/>
      <c r="C1505" s="123" t="n"/>
      <c r="D1505" s="123" t="n"/>
      <c r="E1505" s="123" t="n"/>
      <c r="F1505" s="125" t="n"/>
      <c r="G1505" s="123" t="n"/>
      <c r="H1505" s="123" t="n"/>
      <c r="I1505" s="123" t="n"/>
      <c r="J1505" s="123" t="n"/>
      <c r="K1505" s="123" t="n"/>
      <c r="L1505" s="123" t="n"/>
      <c r="M1505" s="123">
        <f>IF(AND(B1505&lt;&gt;"",OR($C$4="",ISNUMBER(SEARCH($C$4,C1505&amp;" "&amp;E1505&amp;" "&amp;G1505&amp;" "&amp;H1505&amp;" "&amp;I1505&amp;" "&amp;J1505&amp;" "&amp;K1505&amp;" "&amp;L1505))),OR($C$5="Semua",$C$5="",G1505=$C$5),OR($C$6="Semua",$C$6="",H1505=$C$6,H1505="Pengeluaran "&amp;$C$6,AND($C$6="Uang Kos Mama",H1505="Pengeluaran Uang Kos")),OR($C$7="Semua",$C$7="",I1505=$C$7),OR($C$8="Semua",$C$8="",C1505=$C$8,E1505=$C$8),OR($C$9="Semua",$C$9="",D1505=$C$9),OR($C$10="",B1505&gt;=$C$10),OR($C$11="",B1505&lt;=$C$11),OR($C$12&lt;&gt;"Ya",K1505&lt;&gt;""),OR($C$13="Semua",$C$13="",L1505=$C$13)),"✓","")</f>
        <v/>
      </c>
      <c r="N1505" s="93">
        <f>N(N1504)+IF(M1505="✓",1,0)</f>
        <v/>
      </c>
      <c r="O1505" s="93">
        <f>N(O1504)+IF(AND(B1505&lt;&gt;"",B1505&gt;='Uang Riba'!$H$30,B1505&lt;='Uang Riba'!$I$30,OR(H1505="Dana riba",H1505="Pinjam uang riba",I1505="Pinjam dari uang riba",I1505="Ganti uang riba",I1505="Kelebihan ganti dikembalikan",AND(C1505="Kantong Uang Riba",G1505="Pengeluaran"))),1,0)</f>
        <v/>
      </c>
      <c r="X1505" s="93">
        <f>IF(AND(B1505&lt;&gt;"",B1505&gt;='Buku Akun'!$H$4,B1505&lt;='Buku Akun'!$H$5,OR(C1505='Buku Akun'!$C$4,AND(D1505="Pindah",E1505='Buku Akun'!$C$4))),B1505+IF(AND(I1505="Selisih bunga",DAY(B1505)=1),0,0.01)+ROW()/10000000,"")</f>
        <v/>
      </c>
    </row>
    <row r="1506" outlineLevel="1" ht="15" customHeight="1" s="94">
      <c r="A1506" s="123">
        <f>IF(B1506="","",ROW()-15)</f>
        <v/>
      </c>
      <c r="B1506" s="124" t="n"/>
      <c r="C1506" s="123" t="n"/>
      <c r="D1506" s="123" t="n"/>
      <c r="E1506" s="123" t="n"/>
      <c r="F1506" s="125" t="n"/>
      <c r="G1506" s="123" t="n"/>
      <c r="H1506" s="123" t="n"/>
      <c r="I1506" s="123" t="n"/>
      <c r="J1506" s="123" t="n"/>
      <c r="K1506" s="123" t="n"/>
      <c r="L1506" s="123" t="n"/>
      <c r="M1506" s="123">
        <f>IF(AND(B1506&lt;&gt;"",OR($C$4="",ISNUMBER(SEARCH($C$4,C1506&amp;" "&amp;E1506&amp;" "&amp;G1506&amp;" "&amp;H1506&amp;" "&amp;I1506&amp;" "&amp;J1506&amp;" "&amp;K1506&amp;" "&amp;L1506))),OR($C$5="Semua",$C$5="",G1506=$C$5),OR($C$6="Semua",$C$6="",H1506=$C$6,H1506="Pengeluaran "&amp;$C$6,AND($C$6="Uang Kos Mama",H1506="Pengeluaran Uang Kos")),OR($C$7="Semua",$C$7="",I1506=$C$7),OR($C$8="Semua",$C$8="",C1506=$C$8,E1506=$C$8),OR($C$9="Semua",$C$9="",D1506=$C$9),OR($C$10="",B1506&gt;=$C$10),OR($C$11="",B1506&lt;=$C$11),OR($C$12&lt;&gt;"Ya",K1506&lt;&gt;""),OR($C$13="Semua",$C$13="",L1506=$C$13)),"✓","")</f>
        <v/>
      </c>
      <c r="N1506" s="93">
        <f>N(N1505)+IF(M1506="✓",1,0)</f>
        <v/>
      </c>
      <c r="O1506" s="93">
        <f>N(O1505)+IF(AND(B1506&lt;&gt;"",B1506&gt;='Uang Riba'!$H$30,B1506&lt;='Uang Riba'!$I$30,OR(H1506="Dana riba",H1506="Pinjam uang riba",I1506="Pinjam dari uang riba",I1506="Ganti uang riba",I1506="Kelebihan ganti dikembalikan",AND(C1506="Kantong Uang Riba",G1506="Pengeluaran"))),1,0)</f>
        <v/>
      </c>
      <c r="X1506" s="93">
        <f>IF(AND(B1506&lt;&gt;"",B1506&gt;='Buku Akun'!$H$4,B1506&lt;='Buku Akun'!$H$5,OR(C1506='Buku Akun'!$C$4,AND(D1506="Pindah",E1506='Buku Akun'!$C$4))),B1506+IF(AND(I1506="Selisih bunga",DAY(B1506)=1),0,0.01)+ROW()/10000000,"")</f>
        <v/>
      </c>
    </row>
    <row r="1507" outlineLevel="1" ht="15" customHeight="1" s="94">
      <c r="A1507" s="123">
        <f>IF(B1507="","",ROW()-15)</f>
        <v/>
      </c>
      <c r="B1507" s="124" t="n"/>
      <c r="C1507" s="123" t="n"/>
      <c r="D1507" s="123" t="n"/>
      <c r="E1507" s="123" t="n"/>
      <c r="F1507" s="125" t="n"/>
      <c r="G1507" s="123" t="n"/>
      <c r="H1507" s="123" t="n"/>
      <c r="I1507" s="123" t="n"/>
      <c r="J1507" s="123" t="n"/>
      <c r="K1507" s="123" t="n"/>
      <c r="L1507" s="123" t="n"/>
      <c r="M1507" s="123">
        <f>IF(AND(B1507&lt;&gt;"",OR($C$4="",ISNUMBER(SEARCH($C$4,C1507&amp;" "&amp;E1507&amp;" "&amp;G1507&amp;" "&amp;H1507&amp;" "&amp;I1507&amp;" "&amp;J1507&amp;" "&amp;K1507&amp;" "&amp;L1507))),OR($C$5="Semua",$C$5="",G1507=$C$5),OR($C$6="Semua",$C$6="",H1507=$C$6,H1507="Pengeluaran "&amp;$C$6,AND($C$6="Uang Kos Mama",H1507="Pengeluaran Uang Kos")),OR($C$7="Semua",$C$7="",I1507=$C$7),OR($C$8="Semua",$C$8="",C1507=$C$8,E1507=$C$8),OR($C$9="Semua",$C$9="",D1507=$C$9),OR($C$10="",B1507&gt;=$C$10),OR($C$11="",B1507&lt;=$C$11),OR($C$12&lt;&gt;"Ya",K1507&lt;&gt;""),OR($C$13="Semua",$C$13="",L1507=$C$13)),"✓","")</f>
        <v/>
      </c>
      <c r="N1507" s="93">
        <f>N(N1506)+IF(M1507="✓",1,0)</f>
        <v/>
      </c>
      <c r="O1507" s="93">
        <f>N(O1506)+IF(AND(B1507&lt;&gt;"",B1507&gt;='Uang Riba'!$H$30,B1507&lt;='Uang Riba'!$I$30,OR(H1507="Dana riba",H1507="Pinjam uang riba",I1507="Pinjam dari uang riba",I1507="Ganti uang riba",I1507="Kelebihan ganti dikembalikan",AND(C1507="Kantong Uang Riba",G1507="Pengeluaran"))),1,0)</f>
        <v/>
      </c>
      <c r="X1507" s="93">
        <f>IF(AND(B1507&lt;&gt;"",B1507&gt;='Buku Akun'!$H$4,B1507&lt;='Buku Akun'!$H$5,OR(C1507='Buku Akun'!$C$4,AND(D1507="Pindah",E1507='Buku Akun'!$C$4))),B1507+IF(AND(I1507="Selisih bunga",DAY(B1507)=1),0,0.01)+ROW()/10000000,"")</f>
        <v/>
      </c>
    </row>
    <row r="1508" outlineLevel="1" ht="15" customHeight="1" s="94">
      <c r="A1508" s="123">
        <f>IF(B1508="","",ROW()-15)</f>
        <v/>
      </c>
      <c r="B1508" s="124" t="n"/>
      <c r="C1508" s="123" t="n"/>
      <c r="D1508" s="123" t="n"/>
      <c r="E1508" s="123" t="n"/>
      <c r="F1508" s="125" t="n"/>
      <c r="G1508" s="123" t="n"/>
      <c r="H1508" s="123" t="n"/>
      <c r="I1508" s="123" t="n"/>
      <c r="J1508" s="123" t="n"/>
      <c r="K1508" s="123" t="n"/>
      <c r="L1508" s="123" t="n"/>
      <c r="M1508" s="123">
        <f>IF(AND(B1508&lt;&gt;"",OR($C$4="",ISNUMBER(SEARCH($C$4,C1508&amp;" "&amp;E1508&amp;" "&amp;G1508&amp;" "&amp;H1508&amp;" "&amp;I1508&amp;" "&amp;J1508&amp;" "&amp;K1508&amp;" "&amp;L1508))),OR($C$5="Semua",$C$5="",G1508=$C$5),OR($C$6="Semua",$C$6="",H1508=$C$6,H1508="Pengeluaran "&amp;$C$6,AND($C$6="Uang Kos Mama",H1508="Pengeluaran Uang Kos")),OR($C$7="Semua",$C$7="",I1508=$C$7),OR($C$8="Semua",$C$8="",C1508=$C$8,E1508=$C$8),OR($C$9="Semua",$C$9="",D1508=$C$9),OR($C$10="",B1508&gt;=$C$10),OR($C$11="",B1508&lt;=$C$11),OR($C$12&lt;&gt;"Ya",K1508&lt;&gt;""),OR($C$13="Semua",$C$13="",L1508=$C$13)),"✓","")</f>
        <v/>
      </c>
      <c r="N1508" s="93">
        <f>N(N1507)+IF(M1508="✓",1,0)</f>
        <v/>
      </c>
      <c r="O1508" s="93">
        <f>N(O1507)+IF(AND(B1508&lt;&gt;"",B1508&gt;='Uang Riba'!$H$30,B1508&lt;='Uang Riba'!$I$30,OR(H1508="Dana riba",H1508="Pinjam uang riba",I1508="Pinjam dari uang riba",I1508="Ganti uang riba",I1508="Kelebihan ganti dikembalikan",AND(C1508="Kantong Uang Riba",G1508="Pengeluaran"))),1,0)</f>
        <v/>
      </c>
      <c r="X1508" s="93">
        <f>IF(AND(B1508&lt;&gt;"",B1508&gt;='Buku Akun'!$H$4,B1508&lt;='Buku Akun'!$H$5,OR(C1508='Buku Akun'!$C$4,AND(D1508="Pindah",E1508='Buku Akun'!$C$4))),B1508+IF(AND(I1508="Selisih bunga",DAY(B1508)=1),0,0.01)+ROW()/10000000,"")</f>
        <v/>
      </c>
    </row>
    <row r="1509" outlineLevel="1" ht="15" customHeight="1" s="94">
      <c r="A1509" s="123">
        <f>IF(B1509="","",ROW()-15)</f>
        <v/>
      </c>
      <c r="B1509" s="124" t="n"/>
      <c r="C1509" s="123" t="n"/>
      <c r="D1509" s="123" t="n"/>
      <c r="E1509" s="123" t="n"/>
      <c r="F1509" s="125" t="n"/>
      <c r="G1509" s="123" t="n"/>
      <c r="H1509" s="123" t="n"/>
      <c r="I1509" s="123" t="n"/>
      <c r="J1509" s="123" t="n"/>
      <c r="K1509" s="123" t="n"/>
      <c r="L1509" s="123" t="n"/>
      <c r="M1509" s="123">
        <f>IF(AND(B1509&lt;&gt;"",OR($C$4="",ISNUMBER(SEARCH($C$4,C1509&amp;" "&amp;E1509&amp;" "&amp;G1509&amp;" "&amp;H1509&amp;" "&amp;I1509&amp;" "&amp;J1509&amp;" "&amp;K1509&amp;" "&amp;L1509))),OR($C$5="Semua",$C$5="",G1509=$C$5),OR($C$6="Semua",$C$6="",H1509=$C$6,H1509="Pengeluaran "&amp;$C$6,AND($C$6="Uang Kos Mama",H1509="Pengeluaran Uang Kos")),OR($C$7="Semua",$C$7="",I1509=$C$7),OR($C$8="Semua",$C$8="",C1509=$C$8,E1509=$C$8),OR($C$9="Semua",$C$9="",D1509=$C$9),OR($C$10="",B1509&gt;=$C$10),OR($C$11="",B1509&lt;=$C$11),OR($C$12&lt;&gt;"Ya",K1509&lt;&gt;""),OR($C$13="Semua",$C$13="",L1509=$C$13)),"✓","")</f>
        <v/>
      </c>
      <c r="N1509" s="93">
        <f>N(N1508)+IF(M1509="✓",1,0)</f>
        <v/>
      </c>
      <c r="O1509" s="93">
        <f>N(O1508)+IF(AND(B1509&lt;&gt;"",B1509&gt;='Uang Riba'!$H$30,B1509&lt;='Uang Riba'!$I$30,OR(H1509="Dana riba",H1509="Pinjam uang riba",I1509="Pinjam dari uang riba",I1509="Ganti uang riba",I1509="Kelebihan ganti dikembalikan",AND(C1509="Kantong Uang Riba",G1509="Pengeluaran"))),1,0)</f>
        <v/>
      </c>
      <c r="X1509" s="93">
        <f>IF(AND(B1509&lt;&gt;"",B1509&gt;='Buku Akun'!$H$4,B1509&lt;='Buku Akun'!$H$5,OR(C1509='Buku Akun'!$C$4,AND(D1509="Pindah",E1509='Buku Akun'!$C$4))),B1509+IF(AND(I1509="Selisih bunga",DAY(B1509)=1),0,0.01)+ROW()/10000000,"")</f>
        <v/>
      </c>
    </row>
    <row r="1510" outlineLevel="1" ht="15" customHeight="1" s="94">
      <c r="A1510" s="123">
        <f>IF(B1510="","",ROW()-15)</f>
        <v/>
      </c>
      <c r="B1510" s="124" t="n"/>
      <c r="C1510" s="123" t="n"/>
      <c r="D1510" s="123" t="n"/>
      <c r="E1510" s="123" t="n"/>
      <c r="F1510" s="125" t="n"/>
      <c r="G1510" s="123" t="n"/>
      <c r="H1510" s="123" t="n"/>
      <c r="I1510" s="123" t="n"/>
      <c r="J1510" s="123" t="n"/>
      <c r="K1510" s="123" t="n"/>
      <c r="L1510" s="123" t="n"/>
      <c r="M1510" s="123">
        <f>IF(AND(B1510&lt;&gt;"",OR($C$4="",ISNUMBER(SEARCH($C$4,C1510&amp;" "&amp;E1510&amp;" "&amp;G1510&amp;" "&amp;H1510&amp;" "&amp;I1510&amp;" "&amp;J1510&amp;" "&amp;K1510&amp;" "&amp;L1510))),OR($C$5="Semua",$C$5="",G1510=$C$5),OR($C$6="Semua",$C$6="",H1510=$C$6,H1510="Pengeluaran "&amp;$C$6,AND($C$6="Uang Kos Mama",H1510="Pengeluaran Uang Kos")),OR($C$7="Semua",$C$7="",I1510=$C$7),OR($C$8="Semua",$C$8="",C1510=$C$8,E1510=$C$8),OR($C$9="Semua",$C$9="",D1510=$C$9),OR($C$10="",B1510&gt;=$C$10),OR($C$11="",B1510&lt;=$C$11),OR($C$12&lt;&gt;"Ya",K1510&lt;&gt;""),OR($C$13="Semua",$C$13="",L1510=$C$13)),"✓","")</f>
        <v/>
      </c>
      <c r="N1510" s="93">
        <f>N(N1509)+IF(M1510="✓",1,0)</f>
        <v/>
      </c>
      <c r="O1510" s="93">
        <f>N(O1509)+IF(AND(B1510&lt;&gt;"",B1510&gt;='Uang Riba'!$H$30,B1510&lt;='Uang Riba'!$I$30,OR(H1510="Dana riba",H1510="Pinjam uang riba",I1510="Pinjam dari uang riba",I1510="Ganti uang riba",I1510="Kelebihan ganti dikembalikan",AND(C1510="Kantong Uang Riba",G1510="Pengeluaran"))),1,0)</f>
        <v/>
      </c>
      <c r="X1510" s="93">
        <f>IF(AND(B1510&lt;&gt;"",B1510&gt;='Buku Akun'!$H$4,B1510&lt;='Buku Akun'!$H$5,OR(C1510='Buku Akun'!$C$4,AND(D1510="Pindah",E1510='Buku Akun'!$C$4))),B1510+IF(AND(I1510="Selisih bunga",DAY(B1510)=1),0,0.01)+ROW()/10000000,"")</f>
        <v/>
      </c>
    </row>
    <row r="1511" outlineLevel="1" ht="15" customHeight="1" s="94">
      <c r="A1511" s="123">
        <f>IF(B1511="","",ROW()-15)</f>
        <v/>
      </c>
      <c r="B1511" s="124" t="n"/>
      <c r="C1511" s="123" t="n"/>
      <c r="D1511" s="123" t="n"/>
      <c r="E1511" s="123" t="n"/>
      <c r="F1511" s="125" t="n"/>
      <c r="G1511" s="123" t="n"/>
      <c r="H1511" s="123" t="n"/>
      <c r="I1511" s="123" t="n"/>
      <c r="J1511" s="123" t="n"/>
      <c r="K1511" s="123" t="n"/>
      <c r="L1511" s="123" t="n"/>
      <c r="M1511" s="123">
        <f>IF(AND(B1511&lt;&gt;"",OR($C$4="",ISNUMBER(SEARCH($C$4,C1511&amp;" "&amp;E1511&amp;" "&amp;G1511&amp;" "&amp;H1511&amp;" "&amp;I1511&amp;" "&amp;J1511&amp;" "&amp;K1511&amp;" "&amp;L1511))),OR($C$5="Semua",$C$5="",G1511=$C$5),OR($C$6="Semua",$C$6="",H1511=$C$6,H1511="Pengeluaran "&amp;$C$6,AND($C$6="Uang Kos Mama",H1511="Pengeluaran Uang Kos")),OR($C$7="Semua",$C$7="",I1511=$C$7),OR($C$8="Semua",$C$8="",C1511=$C$8,E1511=$C$8),OR($C$9="Semua",$C$9="",D1511=$C$9),OR($C$10="",B1511&gt;=$C$10),OR($C$11="",B1511&lt;=$C$11),OR($C$12&lt;&gt;"Ya",K1511&lt;&gt;""),OR($C$13="Semua",$C$13="",L1511=$C$13)),"✓","")</f>
        <v/>
      </c>
      <c r="N1511" s="93">
        <f>N(N1510)+IF(M1511="✓",1,0)</f>
        <v/>
      </c>
      <c r="O1511" s="93">
        <f>N(O1510)+IF(AND(B1511&lt;&gt;"",B1511&gt;='Uang Riba'!$H$30,B1511&lt;='Uang Riba'!$I$30,OR(H1511="Dana riba",H1511="Pinjam uang riba",I1511="Pinjam dari uang riba",I1511="Ganti uang riba",I1511="Kelebihan ganti dikembalikan",AND(C1511="Kantong Uang Riba",G1511="Pengeluaran"))),1,0)</f>
        <v/>
      </c>
      <c r="X1511" s="93">
        <f>IF(AND(B1511&lt;&gt;"",B1511&gt;='Buku Akun'!$H$4,B1511&lt;='Buku Akun'!$H$5,OR(C1511='Buku Akun'!$C$4,AND(D1511="Pindah",E1511='Buku Akun'!$C$4))),B1511+IF(AND(I1511="Selisih bunga",DAY(B1511)=1),0,0.01)+ROW()/10000000,"")</f>
        <v/>
      </c>
    </row>
    <row r="1512" outlineLevel="1" ht="15" customHeight="1" s="94">
      <c r="A1512" s="123">
        <f>IF(B1512="","",ROW()-15)</f>
        <v/>
      </c>
      <c r="B1512" s="124" t="n"/>
      <c r="C1512" s="123" t="n"/>
      <c r="D1512" s="123" t="n"/>
      <c r="E1512" s="123" t="n"/>
      <c r="F1512" s="125" t="n"/>
      <c r="G1512" s="123" t="n"/>
      <c r="H1512" s="123" t="n"/>
      <c r="I1512" s="123" t="n"/>
      <c r="J1512" s="123" t="n"/>
      <c r="K1512" s="123" t="n"/>
      <c r="L1512" s="123" t="n"/>
      <c r="M1512" s="123">
        <f>IF(AND(B1512&lt;&gt;"",OR($C$4="",ISNUMBER(SEARCH($C$4,C1512&amp;" "&amp;E1512&amp;" "&amp;G1512&amp;" "&amp;H1512&amp;" "&amp;I1512&amp;" "&amp;J1512&amp;" "&amp;K1512&amp;" "&amp;L1512))),OR($C$5="Semua",$C$5="",G1512=$C$5),OR($C$6="Semua",$C$6="",H1512=$C$6,H1512="Pengeluaran "&amp;$C$6,AND($C$6="Uang Kos Mama",H1512="Pengeluaran Uang Kos")),OR($C$7="Semua",$C$7="",I1512=$C$7),OR($C$8="Semua",$C$8="",C1512=$C$8,E1512=$C$8),OR($C$9="Semua",$C$9="",D1512=$C$9),OR($C$10="",B1512&gt;=$C$10),OR($C$11="",B1512&lt;=$C$11),OR($C$12&lt;&gt;"Ya",K1512&lt;&gt;""),OR($C$13="Semua",$C$13="",L1512=$C$13)),"✓","")</f>
        <v/>
      </c>
      <c r="N1512" s="93">
        <f>N(N1511)+IF(M1512="✓",1,0)</f>
        <v/>
      </c>
      <c r="O1512" s="93">
        <f>N(O1511)+IF(AND(B1512&lt;&gt;"",B1512&gt;='Uang Riba'!$H$30,B1512&lt;='Uang Riba'!$I$30,OR(H1512="Dana riba",H1512="Pinjam uang riba",I1512="Pinjam dari uang riba",I1512="Ganti uang riba",I1512="Kelebihan ganti dikembalikan",AND(C1512="Kantong Uang Riba",G1512="Pengeluaran"))),1,0)</f>
        <v/>
      </c>
      <c r="X1512" s="93">
        <f>IF(AND(B1512&lt;&gt;"",B1512&gt;='Buku Akun'!$H$4,B1512&lt;='Buku Akun'!$H$5,OR(C1512='Buku Akun'!$C$4,AND(D1512="Pindah",E1512='Buku Akun'!$C$4))),B1512+IF(AND(I1512="Selisih bunga",DAY(B1512)=1),0,0.01)+ROW()/10000000,"")</f>
        <v/>
      </c>
    </row>
    <row r="1513" outlineLevel="1" ht="15" customHeight="1" s="94">
      <c r="A1513" s="123">
        <f>IF(B1513="","",ROW()-15)</f>
        <v/>
      </c>
      <c r="B1513" s="124" t="n"/>
      <c r="C1513" s="123" t="n"/>
      <c r="D1513" s="123" t="n"/>
      <c r="E1513" s="123" t="n"/>
      <c r="F1513" s="125" t="n"/>
      <c r="G1513" s="123" t="n"/>
      <c r="H1513" s="123" t="n"/>
      <c r="I1513" s="123" t="n"/>
      <c r="J1513" s="123" t="n"/>
      <c r="K1513" s="123" t="n"/>
      <c r="L1513" s="123" t="n"/>
      <c r="M1513" s="123">
        <f>IF(AND(B1513&lt;&gt;"",OR($C$4="",ISNUMBER(SEARCH($C$4,C1513&amp;" "&amp;E1513&amp;" "&amp;G1513&amp;" "&amp;H1513&amp;" "&amp;I1513&amp;" "&amp;J1513&amp;" "&amp;K1513&amp;" "&amp;L1513))),OR($C$5="Semua",$C$5="",G1513=$C$5),OR($C$6="Semua",$C$6="",H1513=$C$6,H1513="Pengeluaran "&amp;$C$6,AND($C$6="Uang Kos Mama",H1513="Pengeluaran Uang Kos")),OR($C$7="Semua",$C$7="",I1513=$C$7),OR($C$8="Semua",$C$8="",C1513=$C$8,E1513=$C$8),OR($C$9="Semua",$C$9="",D1513=$C$9),OR($C$10="",B1513&gt;=$C$10),OR($C$11="",B1513&lt;=$C$11),OR($C$12&lt;&gt;"Ya",K1513&lt;&gt;""),OR($C$13="Semua",$C$13="",L1513=$C$13)),"✓","")</f>
        <v/>
      </c>
      <c r="N1513" s="93">
        <f>N(N1512)+IF(M1513="✓",1,0)</f>
        <v/>
      </c>
      <c r="O1513" s="93">
        <f>N(O1512)+IF(AND(B1513&lt;&gt;"",B1513&gt;='Uang Riba'!$H$30,B1513&lt;='Uang Riba'!$I$30,OR(H1513="Dana riba",H1513="Pinjam uang riba",I1513="Pinjam dari uang riba",I1513="Ganti uang riba",I1513="Kelebihan ganti dikembalikan",AND(C1513="Kantong Uang Riba",G1513="Pengeluaran"))),1,0)</f>
        <v/>
      </c>
      <c r="X1513" s="93">
        <f>IF(AND(B1513&lt;&gt;"",B1513&gt;='Buku Akun'!$H$4,B1513&lt;='Buku Akun'!$H$5,OR(C1513='Buku Akun'!$C$4,AND(D1513="Pindah",E1513='Buku Akun'!$C$4))),B1513+IF(AND(I1513="Selisih bunga",DAY(B1513)=1),0,0.01)+ROW()/10000000,"")</f>
        <v/>
      </c>
    </row>
    <row r="1514" outlineLevel="1" ht="15" customHeight="1" s="94">
      <c r="A1514" s="123">
        <f>IF(B1514="","",ROW()-15)</f>
        <v/>
      </c>
      <c r="B1514" s="124" t="n"/>
      <c r="C1514" s="123" t="n"/>
      <c r="D1514" s="123" t="n"/>
      <c r="E1514" s="123" t="n"/>
      <c r="F1514" s="125" t="n"/>
      <c r="G1514" s="123" t="n"/>
      <c r="H1514" s="123" t="n"/>
      <c r="I1514" s="123" t="n"/>
      <c r="J1514" s="123" t="n"/>
      <c r="K1514" s="123" t="n"/>
      <c r="L1514" s="123" t="n"/>
      <c r="M1514" s="123">
        <f>IF(AND(B1514&lt;&gt;"",OR($C$4="",ISNUMBER(SEARCH($C$4,C1514&amp;" "&amp;E1514&amp;" "&amp;G1514&amp;" "&amp;H1514&amp;" "&amp;I1514&amp;" "&amp;J1514&amp;" "&amp;K1514&amp;" "&amp;L1514))),OR($C$5="Semua",$C$5="",G1514=$C$5),OR($C$6="Semua",$C$6="",H1514=$C$6,H1514="Pengeluaran "&amp;$C$6,AND($C$6="Uang Kos Mama",H1514="Pengeluaran Uang Kos")),OR($C$7="Semua",$C$7="",I1514=$C$7),OR($C$8="Semua",$C$8="",C1514=$C$8,E1514=$C$8),OR($C$9="Semua",$C$9="",D1514=$C$9),OR($C$10="",B1514&gt;=$C$10),OR($C$11="",B1514&lt;=$C$11),OR($C$12&lt;&gt;"Ya",K1514&lt;&gt;""),OR($C$13="Semua",$C$13="",L1514=$C$13)),"✓","")</f>
        <v/>
      </c>
      <c r="N1514" s="93">
        <f>N(N1513)+IF(M1514="✓",1,0)</f>
        <v/>
      </c>
      <c r="O1514" s="93">
        <f>N(O1513)+IF(AND(B1514&lt;&gt;"",B1514&gt;='Uang Riba'!$H$30,B1514&lt;='Uang Riba'!$I$30,OR(H1514="Dana riba",H1514="Pinjam uang riba",I1514="Pinjam dari uang riba",I1514="Ganti uang riba",I1514="Kelebihan ganti dikembalikan",AND(C1514="Kantong Uang Riba",G1514="Pengeluaran"))),1,0)</f>
        <v/>
      </c>
      <c r="X1514" s="93">
        <f>IF(AND(B1514&lt;&gt;"",B1514&gt;='Buku Akun'!$H$4,B1514&lt;='Buku Akun'!$H$5,OR(C1514='Buku Akun'!$C$4,AND(D1514="Pindah",E1514='Buku Akun'!$C$4))),B1514+IF(AND(I1514="Selisih bunga",DAY(B1514)=1),0,0.01)+ROW()/10000000,"")</f>
        <v/>
      </c>
    </row>
    <row r="1515" outlineLevel="1" ht="15" customHeight="1" s="94">
      <c r="A1515" s="123">
        <f>IF(B1515="","",ROW()-15)</f>
        <v/>
      </c>
      <c r="B1515" s="124" t="n"/>
      <c r="C1515" s="123" t="n"/>
      <c r="D1515" s="123" t="n"/>
      <c r="E1515" s="123" t="n"/>
      <c r="F1515" s="125" t="n"/>
      <c r="G1515" s="123" t="n"/>
      <c r="H1515" s="123" t="n"/>
      <c r="I1515" s="123" t="n"/>
      <c r="J1515" s="123" t="n"/>
      <c r="K1515" s="123" t="n"/>
      <c r="L1515" s="123" t="n"/>
      <c r="M1515" s="123">
        <f>IF(AND(B1515&lt;&gt;"",OR($C$4="",ISNUMBER(SEARCH($C$4,C1515&amp;" "&amp;E1515&amp;" "&amp;G1515&amp;" "&amp;H1515&amp;" "&amp;I1515&amp;" "&amp;J1515&amp;" "&amp;K1515&amp;" "&amp;L1515))),OR($C$5="Semua",$C$5="",G1515=$C$5),OR($C$6="Semua",$C$6="",H1515=$C$6,H1515="Pengeluaran "&amp;$C$6,AND($C$6="Uang Kos Mama",H1515="Pengeluaran Uang Kos")),OR($C$7="Semua",$C$7="",I1515=$C$7),OR($C$8="Semua",$C$8="",C1515=$C$8,E1515=$C$8),OR($C$9="Semua",$C$9="",D1515=$C$9),OR($C$10="",B1515&gt;=$C$10),OR($C$11="",B1515&lt;=$C$11),OR($C$12&lt;&gt;"Ya",K1515&lt;&gt;""),OR($C$13="Semua",$C$13="",L1515=$C$13)),"✓","")</f>
        <v/>
      </c>
      <c r="N1515" s="93">
        <f>N(N1514)+IF(M1515="✓",1,0)</f>
        <v/>
      </c>
      <c r="O1515" s="93">
        <f>N(O1514)+IF(AND(B1515&lt;&gt;"",B1515&gt;='Uang Riba'!$H$30,B1515&lt;='Uang Riba'!$I$30,OR(H1515="Dana riba",H1515="Pinjam uang riba",I1515="Pinjam dari uang riba",I1515="Ganti uang riba",I1515="Kelebihan ganti dikembalikan",AND(C1515="Kantong Uang Riba",G1515="Pengeluaran"))),1,0)</f>
        <v/>
      </c>
      <c r="X1515" s="93">
        <f>IF(AND(B1515&lt;&gt;"",B1515&gt;='Buku Akun'!$H$4,B1515&lt;='Buku Akun'!$H$5,OR(C1515='Buku Akun'!$C$4,AND(D1515="Pindah",E1515='Buku Akun'!$C$4))),B1515+IF(AND(I1515="Selisih bunga",DAY(B1515)=1),0,0.01)+ROW()/10000000,"")</f>
        <v/>
      </c>
    </row>
    <row r="1516" outlineLevel="1" ht="15" customHeight="1" s="94">
      <c r="A1516" s="123">
        <f>IF(B1516="","",ROW()-15)</f>
        <v/>
      </c>
      <c r="B1516" s="124" t="n"/>
      <c r="C1516" s="123" t="n"/>
      <c r="D1516" s="123" t="n"/>
      <c r="E1516" s="123" t="n"/>
      <c r="F1516" s="125" t="n"/>
      <c r="G1516" s="123" t="n"/>
      <c r="H1516" s="123" t="n"/>
      <c r="I1516" s="123" t="n"/>
      <c r="J1516" s="123" t="n"/>
      <c r="K1516" s="123" t="n"/>
      <c r="L1516" s="123" t="n"/>
      <c r="M1516" s="123">
        <f>IF(AND(B1516&lt;&gt;"",OR($C$4="",ISNUMBER(SEARCH($C$4,C1516&amp;" "&amp;E1516&amp;" "&amp;G1516&amp;" "&amp;H1516&amp;" "&amp;I1516&amp;" "&amp;J1516&amp;" "&amp;K1516&amp;" "&amp;L1516))),OR($C$5="Semua",$C$5="",G1516=$C$5),OR($C$6="Semua",$C$6="",H1516=$C$6,H1516="Pengeluaran "&amp;$C$6,AND($C$6="Uang Kos Mama",H1516="Pengeluaran Uang Kos")),OR($C$7="Semua",$C$7="",I1516=$C$7),OR($C$8="Semua",$C$8="",C1516=$C$8,E1516=$C$8),OR($C$9="Semua",$C$9="",D1516=$C$9),OR($C$10="",B1516&gt;=$C$10),OR($C$11="",B1516&lt;=$C$11),OR($C$12&lt;&gt;"Ya",K1516&lt;&gt;""),OR($C$13="Semua",$C$13="",L1516=$C$13)),"✓","")</f>
        <v/>
      </c>
      <c r="N1516" s="93">
        <f>N(N1515)+IF(M1516="✓",1,0)</f>
        <v/>
      </c>
      <c r="O1516" s="93">
        <f>N(O1515)+IF(AND(B1516&lt;&gt;"",B1516&gt;='Uang Riba'!$H$30,B1516&lt;='Uang Riba'!$I$30,OR(H1516="Dana riba",H1516="Pinjam uang riba",I1516="Pinjam dari uang riba",I1516="Ganti uang riba",I1516="Kelebihan ganti dikembalikan",AND(C1516="Kantong Uang Riba",G1516="Pengeluaran"))),1,0)</f>
        <v/>
      </c>
      <c r="X1516" s="93">
        <f>IF(AND(B1516&lt;&gt;"",B1516&gt;='Buku Akun'!$H$4,B1516&lt;='Buku Akun'!$H$5,OR(C1516='Buku Akun'!$C$4,AND(D1516="Pindah",E1516='Buku Akun'!$C$4))),B1516+IF(AND(I1516="Selisih bunga",DAY(B1516)=1),0,0.01)+ROW()/10000000,"")</f>
        <v/>
      </c>
    </row>
    <row r="1517" outlineLevel="1" ht="15" customHeight="1" s="94">
      <c r="A1517" s="123">
        <f>IF(B1517="","",ROW()-15)</f>
        <v/>
      </c>
      <c r="B1517" s="124" t="n"/>
      <c r="C1517" s="123" t="n"/>
      <c r="D1517" s="123" t="n"/>
      <c r="E1517" s="123" t="n"/>
      <c r="F1517" s="125" t="n"/>
      <c r="G1517" s="123" t="n"/>
      <c r="H1517" s="123" t="n"/>
      <c r="I1517" s="123" t="n"/>
      <c r="J1517" s="123" t="n"/>
      <c r="K1517" s="123" t="n"/>
      <c r="L1517" s="123" t="n"/>
      <c r="M1517" s="123">
        <f>IF(AND(B1517&lt;&gt;"",OR($C$4="",ISNUMBER(SEARCH($C$4,C1517&amp;" "&amp;E1517&amp;" "&amp;G1517&amp;" "&amp;H1517&amp;" "&amp;I1517&amp;" "&amp;J1517&amp;" "&amp;K1517&amp;" "&amp;L1517))),OR($C$5="Semua",$C$5="",G1517=$C$5),OR($C$6="Semua",$C$6="",H1517=$C$6,H1517="Pengeluaran "&amp;$C$6,AND($C$6="Uang Kos Mama",H1517="Pengeluaran Uang Kos")),OR($C$7="Semua",$C$7="",I1517=$C$7),OR($C$8="Semua",$C$8="",C1517=$C$8,E1517=$C$8),OR($C$9="Semua",$C$9="",D1517=$C$9),OR($C$10="",B1517&gt;=$C$10),OR($C$11="",B1517&lt;=$C$11),OR($C$12&lt;&gt;"Ya",K1517&lt;&gt;""),OR($C$13="Semua",$C$13="",L1517=$C$13)),"✓","")</f>
        <v/>
      </c>
      <c r="N1517" s="93">
        <f>N(N1516)+IF(M1517="✓",1,0)</f>
        <v/>
      </c>
      <c r="O1517" s="93">
        <f>N(O1516)+IF(AND(B1517&lt;&gt;"",B1517&gt;='Uang Riba'!$H$30,B1517&lt;='Uang Riba'!$I$30,OR(H1517="Dana riba",H1517="Pinjam uang riba",I1517="Pinjam dari uang riba",I1517="Ganti uang riba",I1517="Kelebihan ganti dikembalikan",AND(C1517="Kantong Uang Riba",G1517="Pengeluaran"))),1,0)</f>
        <v/>
      </c>
      <c r="X1517" s="93">
        <f>IF(AND(B1517&lt;&gt;"",B1517&gt;='Buku Akun'!$H$4,B1517&lt;='Buku Akun'!$H$5,OR(C1517='Buku Akun'!$C$4,AND(D1517="Pindah",E1517='Buku Akun'!$C$4))),B1517+IF(AND(I1517="Selisih bunga",DAY(B1517)=1),0,0.01)+ROW()/10000000,"")</f>
        <v/>
      </c>
    </row>
    <row r="1518" outlineLevel="1" ht="15" customHeight="1" s="94">
      <c r="A1518" s="123">
        <f>IF(B1518="","",ROW()-15)</f>
        <v/>
      </c>
      <c r="B1518" s="124" t="n"/>
      <c r="C1518" s="123" t="n"/>
      <c r="D1518" s="123" t="n"/>
      <c r="E1518" s="123" t="n"/>
      <c r="F1518" s="125" t="n"/>
      <c r="G1518" s="123" t="n"/>
      <c r="H1518" s="123" t="n"/>
      <c r="I1518" s="123" t="n"/>
      <c r="J1518" s="123" t="n"/>
      <c r="K1518" s="123" t="n"/>
      <c r="L1518" s="123" t="n"/>
      <c r="M1518" s="123">
        <f>IF(AND(B1518&lt;&gt;"",OR($C$4="",ISNUMBER(SEARCH($C$4,C1518&amp;" "&amp;E1518&amp;" "&amp;G1518&amp;" "&amp;H1518&amp;" "&amp;I1518&amp;" "&amp;J1518&amp;" "&amp;K1518&amp;" "&amp;L1518))),OR($C$5="Semua",$C$5="",G1518=$C$5),OR($C$6="Semua",$C$6="",H1518=$C$6,H1518="Pengeluaran "&amp;$C$6,AND($C$6="Uang Kos Mama",H1518="Pengeluaran Uang Kos")),OR($C$7="Semua",$C$7="",I1518=$C$7),OR($C$8="Semua",$C$8="",C1518=$C$8,E1518=$C$8),OR($C$9="Semua",$C$9="",D1518=$C$9),OR($C$10="",B1518&gt;=$C$10),OR($C$11="",B1518&lt;=$C$11),OR($C$12&lt;&gt;"Ya",K1518&lt;&gt;""),OR($C$13="Semua",$C$13="",L1518=$C$13)),"✓","")</f>
        <v/>
      </c>
      <c r="N1518" s="93">
        <f>N(N1517)+IF(M1518="✓",1,0)</f>
        <v/>
      </c>
      <c r="O1518" s="93">
        <f>N(O1517)+IF(AND(B1518&lt;&gt;"",B1518&gt;='Uang Riba'!$H$30,B1518&lt;='Uang Riba'!$I$30,OR(H1518="Dana riba",H1518="Pinjam uang riba",I1518="Pinjam dari uang riba",I1518="Ganti uang riba",I1518="Kelebihan ganti dikembalikan",AND(C1518="Kantong Uang Riba",G1518="Pengeluaran"))),1,0)</f>
        <v/>
      </c>
      <c r="X1518" s="93">
        <f>IF(AND(B1518&lt;&gt;"",B1518&gt;='Buku Akun'!$H$4,B1518&lt;='Buku Akun'!$H$5,OR(C1518='Buku Akun'!$C$4,AND(D1518="Pindah",E1518='Buku Akun'!$C$4))),B1518+IF(AND(I1518="Selisih bunga",DAY(B1518)=1),0,0.01)+ROW()/10000000,"")</f>
        <v/>
      </c>
    </row>
    <row r="1519" outlineLevel="1" ht="15" customHeight="1" s="94">
      <c r="A1519" s="123">
        <f>IF(B1519="","",ROW()-15)</f>
        <v/>
      </c>
      <c r="B1519" s="124" t="n"/>
      <c r="C1519" s="123" t="n"/>
      <c r="D1519" s="123" t="n"/>
      <c r="E1519" s="123" t="n"/>
      <c r="F1519" s="125" t="n"/>
      <c r="G1519" s="123" t="n"/>
      <c r="H1519" s="123" t="n"/>
      <c r="I1519" s="123" t="n"/>
      <c r="J1519" s="123" t="n"/>
      <c r="K1519" s="123" t="n"/>
      <c r="L1519" s="123" t="n"/>
      <c r="M1519" s="123">
        <f>IF(AND(B1519&lt;&gt;"",OR($C$4="",ISNUMBER(SEARCH($C$4,C1519&amp;" "&amp;E1519&amp;" "&amp;G1519&amp;" "&amp;H1519&amp;" "&amp;I1519&amp;" "&amp;J1519&amp;" "&amp;K1519&amp;" "&amp;L1519))),OR($C$5="Semua",$C$5="",G1519=$C$5),OR($C$6="Semua",$C$6="",H1519=$C$6,H1519="Pengeluaran "&amp;$C$6,AND($C$6="Uang Kos Mama",H1519="Pengeluaran Uang Kos")),OR($C$7="Semua",$C$7="",I1519=$C$7),OR($C$8="Semua",$C$8="",C1519=$C$8,E1519=$C$8),OR($C$9="Semua",$C$9="",D1519=$C$9),OR($C$10="",B1519&gt;=$C$10),OR($C$11="",B1519&lt;=$C$11),OR($C$12&lt;&gt;"Ya",K1519&lt;&gt;""),OR($C$13="Semua",$C$13="",L1519=$C$13)),"✓","")</f>
        <v/>
      </c>
      <c r="N1519" s="93">
        <f>N(N1518)+IF(M1519="✓",1,0)</f>
        <v/>
      </c>
      <c r="O1519" s="93">
        <f>N(O1518)+IF(AND(B1519&lt;&gt;"",B1519&gt;='Uang Riba'!$H$30,B1519&lt;='Uang Riba'!$I$30,OR(H1519="Dana riba",H1519="Pinjam uang riba",I1519="Pinjam dari uang riba",I1519="Ganti uang riba",I1519="Kelebihan ganti dikembalikan",AND(C1519="Kantong Uang Riba",G1519="Pengeluaran"))),1,0)</f>
        <v/>
      </c>
      <c r="X1519" s="93">
        <f>IF(AND(B1519&lt;&gt;"",B1519&gt;='Buku Akun'!$H$4,B1519&lt;='Buku Akun'!$H$5,OR(C1519='Buku Akun'!$C$4,AND(D1519="Pindah",E1519='Buku Akun'!$C$4))),B1519+IF(AND(I1519="Selisih bunga",DAY(B1519)=1),0,0.01)+ROW()/10000000,"")</f>
        <v/>
      </c>
    </row>
    <row r="1520" outlineLevel="1" ht="15" customHeight="1" s="94">
      <c r="A1520" s="123">
        <f>IF(B1520="","",ROW()-15)</f>
        <v/>
      </c>
      <c r="B1520" s="124" t="n"/>
      <c r="C1520" s="123" t="n"/>
      <c r="D1520" s="123" t="n"/>
      <c r="E1520" s="123" t="n"/>
      <c r="F1520" s="125" t="n"/>
      <c r="G1520" s="123" t="n"/>
      <c r="H1520" s="123" t="n"/>
      <c r="I1520" s="123" t="n"/>
      <c r="J1520" s="123" t="n"/>
      <c r="K1520" s="123" t="n"/>
      <c r="L1520" s="123" t="n"/>
      <c r="M1520" s="123">
        <f>IF(AND(B1520&lt;&gt;"",OR($C$4="",ISNUMBER(SEARCH($C$4,C1520&amp;" "&amp;E1520&amp;" "&amp;G1520&amp;" "&amp;H1520&amp;" "&amp;I1520&amp;" "&amp;J1520&amp;" "&amp;K1520&amp;" "&amp;L1520))),OR($C$5="Semua",$C$5="",G1520=$C$5),OR($C$6="Semua",$C$6="",H1520=$C$6,H1520="Pengeluaran "&amp;$C$6,AND($C$6="Uang Kos Mama",H1520="Pengeluaran Uang Kos")),OR($C$7="Semua",$C$7="",I1520=$C$7),OR($C$8="Semua",$C$8="",C1520=$C$8,E1520=$C$8),OR($C$9="Semua",$C$9="",D1520=$C$9),OR($C$10="",B1520&gt;=$C$10),OR($C$11="",B1520&lt;=$C$11),OR($C$12&lt;&gt;"Ya",K1520&lt;&gt;""),OR($C$13="Semua",$C$13="",L1520=$C$13)),"✓","")</f>
        <v/>
      </c>
      <c r="N1520" s="93">
        <f>N(N1519)+IF(M1520="✓",1,0)</f>
        <v/>
      </c>
      <c r="O1520" s="93">
        <f>N(O1519)+IF(AND(B1520&lt;&gt;"",B1520&gt;='Uang Riba'!$H$30,B1520&lt;='Uang Riba'!$I$30,OR(H1520="Dana riba",H1520="Pinjam uang riba",I1520="Pinjam dari uang riba",I1520="Ganti uang riba",I1520="Kelebihan ganti dikembalikan",AND(C1520="Kantong Uang Riba",G1520="Pengeluaran"))),1,0)</f>
        <v/>
      </c>
      <c r="X1520" s="93">
        <f>IF(AND(B1520&lt;&gt;"",B1520&gt;='Buku Akun'!$H$4,B1520&lt;='Buku Akun'!$H$5,OR(C1520='Buku Akun'!$C$4,AND(D1520="Pindah",E1520='Buku Akun'!$C$4))),B1520+IF(AND(I1520="Selisih bunga",DAY(B1520)=1),0,0.01)+ROW()/10000000,"")</f>
        <v/>
      </c>
    </row>
    <row r="1521" outlineLevel="1" ht="15" customHeight="1" s="94">
      <c r="A1521" s="123">
        <f>IF(B1521="","",ROW()-15)</f>
        <v/>
      </c>
      <c r="B1521" s="124" t="n"/>
      <c r="C1521" s="123" t="n"/>
      <c r="D1521" s="123" t="n"/>
      <c r="E1521" s="123" t="n"/>
      <c r="F1521" s="125" t="n"/>
      <c r="G1521" s="123" t="n"/>
      <c r="H1521" s="123" t="n"/>
      <c r="I1521" s="123" t="n"/>
      <c r="J1521" s="123" t="n"/>
      <c r="K1521" s="123" t="n"/>
      <c r="L1521" s="123" t="n"/>
      <c r="M1521" s="123">
        <f>IF(AND(B1521&lt;&gt;"",OR($C$4="",ISNUMBER(SEARCH($C$4,C1521&amp;" "&amp;E1521&amp;" "&amp;G1521&amp;" "&amp;H1521&amp;" "&amp;I1521&amp;" "&amp;J1521&amp;" "&amp;K1521&amp;" "&amp;L1521))),OR($C$5="Semua",$C$5="",G1521=$C$5),OR($C$6="Semua",$C$6="",H1521=$C$6,H1521="Pengeluaran "&amp;$C$6,AND($C$6="Uang Kos Mama",H1521="Pengeluaran Uang Kos")),OR($C$7="Semua",$C$7="",I1521=$C$7),OR($C$8="Semua",$C$8="",C1521=$C$8,E1521=$C$8),OR($C$9="Semua",$C$9="",D1521=$C$9),OR($C$10="",B1521&gt;=$C$10),OR($C$11="",B1521&lt;=$C$11),OR($C$12&lt;&gt;"Ya",K1521&lt;&gt;""),OR($C$13="Semua",$C$13="",L1521=$C$13)),"✓","")</f>
        <v/>
      </c>
      <c r="N1521" s="93">
        <f>N(N1520)+IF(M1521="✓",1,0)</f>
        <v/>
      </c>
      <c r="O1521" s="93">
        <f>N(O1520)+IF(AND(B1521&lt;&gt;"",B1521&gt;='Uang Riba'!$H$30,B1521&lt;='Uang Riba'!$I$30,OR(H1521="Dana riba",H1521="Pinjam uang riba",I1521="Pinjam dari uang riba",I1521="Ganti uang riba",I1521="Kelebihan ganti dikembalikan",AND(C1521="Kantong Uang Riba",G1521="Pengeluaran"))),1,0)</f>
        <v/>
      </c>
      <c r="X1521" s="93">
        <f>IF(AND(B1521&lt;&gt;"",B1521&gt;='Buku Akun'!$H$4,B1521&lt;='Buku Akun'!$H$5,OR(C1521='Buku Akun'!$C$4,AND(D1521="Pindah",E1521='Buku Akun'!$C$4))),B1521+IF(AND(I1521="Selisih bunga",DAY(B1521)=1),0,0.01)+ROW()/10000000,"")</f>
        <v/>
      </c>
    </row>
    <row r="1522" outlineLevel="1" ht="15" customHeight="1" s="94">
      <c r="A1522" s="123">
        <f>IF(B1522="","",ROW()-15)</f>
        <v/>
      </c>
      <c r="B1522" s="124" t="n"/>
      <c r="C1522" s="123" t="n"/>
      <c r="D1522" s="123" t="n"/>
      <c r="E1522" s="123" t="n"/>
      <c r="F1522" s="125" t="n"/>
      <c r="G1522" s="123" t="n"/>
      <c r="H1522" s="123" t="n"/>
      <c r="I1522" s="123" t="n"/>
      <c r="J1522" s="123" t="n"/>
      <c r="K1522" s="123" t="n"/>
      <c r="L1522" s="123" t="n"/>
      <c r="M1522" s="123">
        <f>IF(AND(B1522&lt;&gt;"",OR($C$4="",ISNUMBER(SEARCH($C$4,C1522&amp;" "&amp;E1522&amp;" "&amp;G1522&amp;" "&amp;H1522&amp;" "&amp;I1522&amp;" "&amp;J1522&amp;" "&amp;K1522&amp;" "&amp;L1522))),OR($C$5="Semua",$C$5="",G1522=$C$5),OR($C$6="Semua",$C$6="",H1522=$C$6,H1522="Pengeluaran "&amp;$C$6,AND($C$6="Uang Kos Mama",H1522="Pengeluaran Uang Kos")),OR($C$7="Semua",$C$7="",I1522=$C$7),OR($C$8="Semua",$C$8="",C1522=$C$8,E1522=$C$8),OR($C$9="Semua",$C$9="",D1522=$C$9),OR($C$10="",B1522&gt;=$C$10),OR($C$11="",B1522&lt;=$C$11),OR($C$12&lt;&gt;"Ya",K1522&lt;&gt;""),OR($C$13="Semua",$C$13="",L1522=$C$13)),"✓","")</f>
        <v/>
      </c>
      <c r="N1522" s="93">
        <f>N(N1521)+IF(M1522="✓",1,0)</f>
        <v/>
      </c>
      <c r="O1522" s="93">
        <f>N(O1521)+IF(AND(B1522&lt;&gt;"",B1522&gt;='Uang Riba'!$H$30,B1522&lt;='Uang Riba'!$I$30,OR(H1522="Dana riba",H1522="Pinjam uang riba",I1522="Pinjam dari uang riba",I1522="Ganti uang riba",I1522="Kelebihan ganti dikembalikan",AND(C1522="Kantong Uang Riba",G1522="Pengeluaran"))),1,0)</f>
        <v/>
      </c>
      <c r="X1522" s="93">
        <f>IF(AND(B1522&lt;&gt;"",B1522&gt;='Buku Akun'!$H$4,B1522&lt;='Buku Akun'!$H$5,OR(C1522='Buku Akun'!$C$4,AND(D1522="Pindah",E1522='Buku Akun'!$C$4))),B1522+IF(AND(I1522="Selisih bunga",DAY(B1522)=1),0,0.01)+ROW()/10000000,"")</f>
        <v/>
      </c>
    </row>
    <row r="1523" outlineLevel="1" ht="15" customHeight="1" s="94">
      <c r="A1523" s="123">
        <f>IF(B1523="","",ROW()-15)</f>
        <v/>
      </c>
      <c r="B1523" s="124" t="n"/>
      <c r="C1523" s="123" t="n"/>
      <c r="D1523" s="123" t="n"/>
      <c r="E1523" s="123" t="n"/>
      <c r="F1523" s="125" t="n"/>
      <c r="G1523" s="123" t="n"/>
      <c r="H1523" s="123" t="n"/>
      <c r="I1523" s="123" t="n"/>
      <c r="J1523" s="123" t="n"/>
      <c r="K1523" s="123" t="n"/>
      <c r="L1523" s="123" t="n"/>
      <c r="M1523" s="123">
        <f>IF(AND(B1523&lt;&gt;"",OR($C$4="",ISNUMBER(SEARCH($C$4,C1523&amp;" "&amp;E1523&amp;" "&amp;G1523&amp;" "&amp;H1523&amp;" "&amp;I1523&amp;" "&amp;J1523&amp;" "&amp;K1523&amp;" "&amp;L1523))),OR($C$5="Semua",$C$5="",G1523=$C$5),OR($C$6="Semua",$C$6="",H1523=$C$6,H1523="Pengeluaran "&amp;$C$6,AND($C$6="Uang Kos Mama",H1523="Pengeluaran Uang Kos")),OR($C$7="Semua",$C$7="",I1523=$C$7),OR($C$8="Semua",$C$8="",C1523=$C$8,E1523=$C$8),OR($C$9="Semua",$C$9="",D1523=$C$9),OR($C$10="",B1523&gt;=$C$10),OR($C$11="",B1523&lt;=$C$11),OR($C$12&lt;&gt;"Ya",K1523&lt;&gt;""),OR($C$13="Semua",$C$13="",L1523=$C$13)),"✓","")</f>
        <v/>
      </c>
      <c r="N1523" s="93">
        <f>N(N1522)+IF(M1523="✓",1,0)</f>
        <v/>
      </c>
      <c r="O1523" s="93">
        <f>N(O1522)+IF(AND(B1523&lt;&gt;"",B1523&gt;='Uang Riba'!$H$30,B1523&lt;='Uang Riba'!$I$30,OR(H1523="Dana riba",H1523="Pinjam uang riba",I1523="Pinjam dari uang riba",I1523="Ganti uang riba",I1523="Kelebihan ganti dikembalikan",AND(C1523="Kantong Uang Riba",G1523="Pengeluaran"))),1,0)</f>
        <v/>
      </c>
      <c r="X1523" s="93">
        <f>IF(AND(B1523&lt;&gt;"",B1523&gt;='Buku Akun'!$H$4,B1523&lt;='Buku Akun'!$H$5,OR(C1523='Buku Akun'!$C$4,AND(D1523="Pindah",E1523='Buku Akun'!$C$4))),B1523+IF(AND(I1523="Selisih bunga",DAY(B1523)=1),0,0.01)+ROW()/10000000,"")</f>
        <v/>
      </c>
    </row>
    <row r="1524" outlineLevel="1" ht="15" customHeight="1" s="94">
      <c r="A1524" s="123">
        <f>IF(B1524="","",ROW()-15)</f>
        <v/>
      </c>
      <c r="B1524" s="124" t="n"/>
      <c r="C1524" s="123" t="n"/>
      <c r="D1524" s="123" t="n"/>
      <c r="E1524" s="123" t="n"/>
      <c r="F1524" s="125" t="n"/>
      <c r="G1524" s="123" t="n"/>
      <c r="H1524" s="123" t="n"/>
      <c r="I1524" s="123" t="n"/>
      <c r="J1524" s="123" t="n"/>
      <c r="K1524" s="123" t="n"/>
      <c r="L1524" s="123" t="n"/>
      <c r="M1524" s="123">
        <f>IF(AND(B1524&lt;&gt;"",OR($C$4="",ISNUMBER(SEARCH($C$4,C1524&amp;" "&amp;E1524&amp;" "&amp;G1524&amp;" "&amp;H1524&amp;" "&amp;I1524&amp;" "&amp;J1524&amp;" "&amp;K1524&amp;" "&amp;L1524))),OR($C$5="Semua",$C$5="",G1524=$C$5),OR($C$6="Semua",$C$6="",H1524=$C$6,H1524="Pengeluaran "&amp;$C$6,AND($C$6="Uang Kos Mama",H1524="Pengeluaran Uang Kos")),OR($C$7="Semua",$C$7="",I1524=$C$7),OR($C$8="Semua",$C$8="",C1524=$C$8,E1524=$C$8),OR($C$9="Semua",$C$9="",D1524=$C$9),OR($C$10="",B1524&gt;=$C$10),OR($C$11="",B1524&lt;=$C$11),OR($C$12&lt;&gt;"Ya",K1524&lt;&gt;""),OR($C$13="Semua",$C$13="",L1524=$C$13)),"✓","")</f>
        <v/>
      </c>
      <c r="N1524" s="93">
        <f>N(N1523)+IF(M1524="✓",1,0)</f>
        <v/>
      </c>
      <c r="O1524" s="93">
        <f>N(O1523)+IF(AND(B1524&lt;&gt;"",B1524&gt;='Uang Riba'!$H$30,B1524&lt;='Uang Riba'!$I$30,OR(H1524="Dana riba",H1524="Pinjam uang riba",I1524="Pinjam dari uang riba",I1524="Ganti uang riba",I1524="Kelebihan ganti dikembalikan",AND(C1524="Kantong Uang Riba",G1524="Pengeluaran"))),1,0)</f>
        <v/>
      </c>
      <c r="X1524" s="93">
        <f>IF(AND(B1524&lt;&gt;"",B1524&gt;='Buku Akun'!$H$4,B1524&lt;='Buku Akun'!$H$5,OR(C1524='Buku Akun'!$C$4,AND(D1524="Pindah",E1524='Buku Akun'!$C$4))),B1524+IF(AND(I1524="Selisih bunga",DAY(B1524)=1),0,0.01)+ROW()/10000000,"")</f>
        <v/>
      </c>
    </row>
    <row r="1525" outlineLevel="1" ht="15" customHeight="1" s="94">
      <c r="A1525" s="123">
        <f>IF(B1525="","",ROW()-15)</f>
        <v/>
      </c>
      <c r="B1525" s="124" t="n"/>
      <c r="C1525" s="123" t="n"/>
      <c r="D1525" s="123" t="n"/>
      <c r="E1525" s="123" t="n"/>
      <c r="F1525" s="125" t="n"/>
      <c r="G1525" s="123" t="n"/>
      <c r="H1525" s="123" t="n"/>
      <c r="I1525" s="123" t="n"/>
      <c r="J1525" s="123" t="n"/>
      <c r="K1525" s="123" t="n"/>
      <c r="L1525" s="123" t="n"/>
      <c r="M1525" s="123">
        <f>IF(AND(B1525&lt;&gt;"",OR($C$4="",ISNUMBER(SEARCH($C$4,C1525&amp;" "&amp;E1525&amp;" "&amp;G1525&amp;" "&amp;H1525&amp;" "&amp;I1525&amp;" "&amp;J1525&amp;" "&amp;K1525&amp;" "&amp;L1525))),OR($C$5="Semua",$C$5="",G1525=$C$5),OR($C$6="Semua",$C$6="",H1525=$C$6,H1525="Pengeluaran "&amp;$C$6,AND($C$6="Uang Kos Mama",H1525="Pengeluaran Uang Kos")),OR($C$7="Semua",$C$7="",I1525=$C$7),OR($C$8="Semua",$C$8="",C1525=$C$8,E1525=$C$8),OR($C$9="Semua",$C$9="",D1525=$C$9),OR($C$10="",B1525&gt;=$C$10),OR($C$11="",B1525&lt;=$C$11),OR($C$12&lt;&gt;"Ya",K1525&lt;&gt;""),OR($C$13="Semua",$C$13="",L1525=$C$13)),"✓","")</f>
        <v/>
      </c>
      <c r="N1525" s="93">
        <f>N(N1524)+IF(M1525="✓",1,0)</f>
        <v/>
      </c>
      <c r="O1525" s="93">
        <f>N(O1524)+IF(AND(B1525&lt;&gt;"",B1525&gt;='Uang Riba'!$H$30,B1525&lt;='Uang Riba'!$I$30,OR(H1525="Dana riba",H1525="Pinjam uang riba",I1525="Pinjam dari uang riba",I1525="Ganti uang riba",I1525="Kelebihan ganti dikembalikan",AND(C1525="Kantong Uang Riba",G1525="Pengeluaran"))),1,0)</f>
        <v/>
      </c>
      <c r="X1525" s="93">
        <f>IF(AND(B1525&lt;&gt;"",B1525&gt;='Buku Akun'!$H$4,B1525&lt;='Buku Akun'!$H$5,OR(C1525='Buku Akun'!$C$4,AND(D1525="Pindah",E1525='Buku Akun'!$C$4))),B1525+IF(AND(I1525="Selisih bunga",DAY(B1525)=1),0,0.01)+ROW()/10000000,"")</f>
        <v/>
      </c>
    </row>
    <row r="1526" outlineLevel="1" ht="15" customHeight="1" s="94">
      <c r="A1526" s="123">
        <f>IF(B1526="","",ROW()-15)</f>
        <v/>
      </c>
      <c r="B1526" s="124" t="n"/>
      <c r="C1526" s="123" t="n"/>
      <c r="D1526" s="123" t="n"/>
      <c r="E1526" s="123" t="n"/>
      <c r="F1526" s="125" t="n"/>
      <c r="G1526" s="123" t="n"/>
      <c r="H1526" s="123" t="n"/>
      <c r="I1526" s="123" t="n"/>
      <c r="J1526" s="123" t="n"/>
      <c r="K1526" s="123" t="n"/>
      <c r="L1526" s="123" t="n"/>
      <c r="M1526" s="123">
        <f>IF(AND(B1526&lt;&gt;"",OR($C$4="",ISNUMBER(SEARCH($C$4,C1526&amp;" "&amp;E1526&amp;" "&amp;G1526&amp;" "&amp;H1526&amp;" "&amp;I1526&amp;" "&amp;J1526&amp;" "&amp;K1526&amp;" "&amp;L1526))),OR($C$5="Semua",$C$5="",G1526=$C$5),OR($C$6="Semua",$C$6="",H1526=$C$6,H1526="Pengeluaran "&amp;$C$6,AND($C$6="Uang Kos Mama",H1526="Pengeluaran Uang Kos")),OR($C$7="Semua",$C$7="",I1526=$C$7),OR($C$8="Semua",$C$8="",C1526=$C$8,E1526=$C$8),OR($C$9="Semua",$C$9="",D1526=$C$9),OR($C$10="",B1526&gt;=$C$10),OR($C$11="",B1526&lt;=$C$11),OR($C$12&lt;&gt;"Ya",K1526&lt;&gt;""),OR($C$13="Semua",$C$13="",L1526=$C$13)),"✓","")</f>
        <v/>
      </c>
      <c r="N1526" s="93">
        <f>N(N1525)+IF(M1526="✓",1,0)</f>
        <v/>
      </c>
      <c r="O1526" s="93">
        <f>N(O1525)+IF(AND(B1526&lt;&gt;"",B1526&gt;='Uang Riba'!$H$30,B1526&lt;='Uang Riba'!$I$30,OR(H1526="Dana riba",H1526="Pinjam uang riba",I1526="Pinjam dari uang riba",I1526="Ganti uang riba",I1526="Kelebihan ganti dikembalikan",AND(C1526="Kantong Uang Riba",G1526="Pengeluaran"))),1,0)</f>
        <v/>
      </c>
      <c r="X1526" s="93">
        <f>IF(AND(B1526&lt;&gt;"",B1526&gt;='Buku Akun'!$H$4,B1526&lt;='Buku Akun'!$H$5,OR(C1526='Buku Akun'!$C$4,AND(D1526="Pindah",E1526='Buku Akun'!$C$4))),B1526+IF(AND(I1526="Selisih bunga",DAY(B1526)=1),0,0.01)+ROW()/10000000,"")</f>
        <v/>
      </c>
    </row>
    <row r="1527" outlineLevel="1" ht="15" customHeight="1" s="94">
      <c r="A1527" s="123">
        <f>IF(B1527="","",ROW()-15)</f>
        <v/>
      </c>
      <c r="B1527" s="124" t="n"/>
      <c r="C1527" s="123" t="n"/>
      <c r="D1527" s="123" t="n"/>
      <c r="E1527" s="123" t="n"/>
      <c r="F1527" s="125" t="n"/>
      <c r="G1527" s="123" t="n"/>
      <c r="H1527" s="123" t="n"/>
      <c r="I1527" s="123" t="n"/>
      <c r="J1527" s="123" t="n"/>
      <c r="K1527" s="123" t="n"/>
      <c r="L1527" s="123" t="n"/>
      <c r="M1527" s="123">
        <f>IF(AND(B1527&lt;&gt;"",OR($C$4="",ISNUMBER(SEARCH($C$4,C1527&amp;" "&amp;E1527&amp;" "&amp;G1527&amp;" "&amp;H1527&amp;" "&amp;I1527&amp;" "&amp;J1527&amp;" "&amp;K1527&amp;" "&amp;L1527))),OR($C$5="Semua",$C$5="",G1527=$C$5),OR($C$6="Semua",$C$6="",H1527=$C$6,H1527="Pengeluaran "&amp;$C$6,AND($C$6="Uang Kos Mama",H1527="Pengeluaran Uang Kos")),OR($C$7="Semua",$C$7="",I1527=$C$7),OR($C$8="Semua",$C$8="",C1527=$C$8,E1527=$C$8),OR($C$9="Semua",$C$9="",D1527=$C$9),OR($C$10="",B1527&gt;=$C$10),OR($C$11="",B1527&lt;=$C$11),OR($C$12&lt;&gt;"Ya",K1527&lt;&gt;""),OR($C$13="Semua",$C$13="",L1527=$C$13)),"✓","")</f>
        <v/>
      </c>
      <c r="N1527" s="93">
        <f>N(N1526)+IF(M1527="✓",1,0)</f>
        <v/>
      </c>
      <c r="O1527" s="93">
        <f>N(O1526)+IF(AND(B1527&lt;&gt;"",B1527&gt;='Uang Riba'!$H$30,B1527&lt;='Uang Riba'!$I$30,OR(H1527="Dana riba",H1527="Pinjam uang riba",I1527="Pinjam dari uang riba",I1527="Ganti uang riba",I1527="Kelebihan ganti dikembalikan",AND(C1527="Kantong Uang Riba",G1527="Pengeluaran"))),1,0)</f>
        <v/>
      </c>
      <c r="X1527" s="93">
        <f>IF(AND(B1527&lt;&gt;"",B1527&gt;='Buku Akun'!$H$4,B1527&lt;='Buku Akun'!$H$5,OR(C1527='Buku Akun'!$C$4,AND(D1527="Pindah",E1527='Buku Akun'!$C$4))),B1527+IF(AND(I1527="Selisih bunga",DAY(B1527)=1),0,0.01)+ROW()/10000000,"")</f>
        <v/>
      </c>
    </row>
    <row r="1528" outlineLevel="1" ht="15" customHeight="1" s="94">
      <c r="A1528" s="123">
        <f>IF(B1528="","",ROW()-15)</f>
        <v/>
      </c>
      <c r="B1528" s="124" t="n"/>
      <c r="C1528" s="123" t="n"/>
      <c r="D1528" s="123" t="n"/>
      <c r="E1528" s="123" t="n"/>
      <c r="F1528" s="125" t="n"/>
      <c r="G1528" s="123" t="n"/>
      <c r="H1528" s="123" t="n"/>
      <c r="I1528" s="123" t="n"/>
      <c r="J1528" s="123" t="n"/>
      <c r="K1528" s="123" t="n"/>
      <c r="L1528" s="123" t="n"/>
      <c r="M1528" s="123">
        <f>IF(AND(B1528&lt;&gt;"",OR($C$4="",ISNUMBER(SEARCH($C$4,C1528&amp;" "&amp;E1528&amp;" "&amp;G1528&amp;" "&amp;H1528&amp;" "&amp;I1528&amp;" "&amp;J1528&amp;" "&amp;K1528&amp;" "&amp;L1528))),OR($C$5="Semua",$C$5="",G1528=$C$5),OR($C$6="Semua",$C$6="",H1528=$C$6,H1528="Pengeluaran "&amp;$C$6,AND($C$6="Uang Kos Mama",H1528="Pengeluaran Uang Kos")),OR($C$7="Semua",$C$7="",I1528=$C$7),OR($C$8="Semua",$C$8="",C1528=$C$8,E1528=$C$8),OR($C$9="Semua",$C$9="",D1528=$C$9),OR($C$10="",B1528&gt;=$C$10),OR($C$11="",B1528&lt;=$C$11),OR($C$12&lt;&gt;"Ya",K1528&lt;&gt;""),OR($C$13="Semua",$C$13="",L1528=$C$13)),"✓","")</f>
        <v/>
      </c>
      <c r="N1528" s="93">
        <f>N(N1527)+IF(M1528="✓",1,0)</f>
        <v/>
      </c>
      <c r="O1528" s="93">
        <f>N(O1527)+IF(AND(B1528&lt;&gt;"",B1528&gt;='Uang Riba'!$H$30,B1528&lt;='Uang Riba'!$I$30,OR(H1528="Dana riba",H1528="Pinjam uang riba",I1528="Pinjam dari uang riba",I1528="Ganti uang riba",I1528="Kelebihan ganti dikembalikan",AND(C1528="Kantong Uang Riba",G1528="Pengeluaran"))),1,0)</f>
        <v/>
      </c>
      <c r="X1528" s="93">
        <f>IF(AND(B1528&lt;&gt;"",B1528&gt;='Buku Akun'!$H$4,B1528&lt;='Buku Akun'!$H$5,OR(C1528='Buku Akun'!$C$4,AND(D1528="Pindah",E1528='Buku Akun'!$C$4))),B1528+IF(AND(I1528="Selisih bunga",DAY(B1528)=1),0,0.01)+ROW()/10000000,"")</f>
        <v/>
      </c>
    </row>
    <row r="1529" outlineLevel="1" ht="15" customHeight="1" s="94">
      <c r="A1529" s="123">
        <f>IF(B1529="","",ROW()-15)</f>
        <v/>
      </c>
      <c r="B1529" s="124" t="n"/>
      <c r="C1529" s="123" t="n"/>
      <c r="D1529" s="123" t="n"/>
      <c r="E1529" s="123" t="n"/>
      <c r="F1529" s="125" t="n"/>
      <c r="G1529" s="123" t="n"/>
      <c r="H1529" s="123" t="n"/>
      <c r="I1529" s="123" t="n"/>
      <c r="J1529" s="123" t="n"/>
      <c r="K1529" s="123" t="n"/>
      <c r="L1529" s="123" t="n"/>
      <c r="M1529" s="123">
        <f>IF(AND(B1529&lt;&gt;"",OR($C$4="",ISNUMBER(SEARCH($C$4,C1529&amp;" "&amp;E1529&amp;" "&amp;G1529&amp;" "&amp;H1529&amp;" "&amp;I1529&amp;" "&amp;J1529&amp;" "&amp;K1529&amp;" "&amp;L1529))),OR($C$5="Semua",$C$5="",G1529=$C$5),OR($C$6="Semua",$C$6="",H1529=$C$6,H1529="Pengeluaran "&amp;$C$6,AND($C$6="Uang Kos Mama",H1529="Pengeluaran Uang Kos")),OR($C$7="Semua",$C$7="",I1529=$C$7),OR($C$8="Semua",$C$8="",C1529=$C$8,E1529=$C$8),OR($C$9="Semua",$C$9="",D1529=$C$9),OR($C$10="",B1529&gt;=$C$10),OR($C$11="",B1529&lt;=$C$11),OR($C$12&lt;&gt;"Ya",K1529&lt;&gt;""),OR($C$13="Semua",$C$13="",L1529=$C$13)),"✓","")</f>
        <v/>
      </c>
      <c r="N1529" s="93">
        <f>N(N1528)+IF(M1529="✓",1,0)</f>
        <v/>
      </c>
      <c r="O1529" s="93">
        <f>N(O1528)+IF(AND(B1529&lt;&gt;"",B1529&gt;='Uang Riba'!$H$30,B1529&lt;='Uang Riba'!$I$30,OR(H1529="Dana riba",H1529="Pinjam uang riba",I1529="Pinjam dari uang riba",I1529="Ganti uang riba",I1529="Kelebihan ganti dikembalikan",AND(C1529="Kantong Uang Riba",G1529="Pengeluaran"))),1,0)</f>
        <v/>
      </c>
      <c r="X1529" s="93">
        <f>IF(AND(B1529&lt;&gt;"",B1529&gt;='Buku Akun'!$H$4,B1529&lt;='Buku Akun'!$H$5,OR(C1529='Buku Akun'!$C$4,AND(D1529="Pindah",E1529='Buku Akun'!$C$4))),B1529+IF(AND(I1529="Selisih bunga",DAY(B1529)=1),0,0.01)+ROW()/10000000,"")</f>
        <v/>
      </c>
    </row>
    <row r="1530" outlineLevel="1" ht="15" customHeight="1" s="94">
      <c r="A1530" s="123">
        <f>IF(B1530="","",ROW()-15)</f>
        <v/>
      </c>
      <c r="B1530" s="124" t="n"/>
      <c r="C1530" s="123" t="n"/>
      <c r="D1530" s="123" t="n"/>
      <c r="E1530" s="123" t="n"/>
      <c r="F1530" s="125" t="n"/>
      <c r="G1530" s="123" t="n"/>
      <c r="H1530" s="123" t="n"/>
      <c r="I1530" s="123" t="n"/>
      <c r="J1530" s="123" t="n"/>
      <c r="K1530" s="123" t="n"/>
      <c r="L1530" s="123" t="n"/>
      <c r="M1530" s="123">
        <f>IF(AND(B1530&lt;&gt;"",OR($C$4="",ISNUMBER(SEARCH($C$4,C1530&amp;" "&amp;E1530&amp;" "&amp;G1530&amp;" "&amp;H1530&amp;" "&amp;I1530&amp;" "&amp;J1530&amp;" "&amp;K1530&amp;" "&amp;L1530))),OR($C$5="Semua",$C$5="",G1530=$C$5),OR($C$6="Semua",$C$6="",H1530=$C$6,H1530="Pengeluaran "&amp;$C$6,AND($C$6="Uang Kos Mama",H1530="Pengeluaran Uang Kos")),OR($C$7="Semua",$C$7="",I1530=$C$7),OR($C$8="Semua",$C$8="",C1530=$C$8,E1530=$C$8),OR($C$9="Semua",$C$9="",D1530=$C$9),OR($C$10="",B1530&gt;=$C$10),OR($C$11="",B1530&lt;=$C$11),OR($C$12&lt;&gt;"Ya",K1530&lt;&gt;""),OR($C$13="Semua",$C$13="",L1530=$C$13)),"✓","")</f>
        <v/>
      </c>
      <c r="N1530" s="93">
        <f>N(N1529)+IF(M1530="✓",1,0)</f>
        <v/>
      </c>
      <c r="O1530" s="93">
        <f>N(O1529)+IF(AND(B1530&lt;&gt;"",B1530&gt;='Uang Riba'!$H$30,B1530&lt;='Uang Riba'!$I$30,OR(H1530="Dana riba",H1530="Pinjam uang riba",I1530="Pinjam dari uang riba",I1530="Ganti uang riba",I1530="Kelebihan ganti dikembalikan",AND(C1530="Kantong Uang Riba",G1530="Pengeluaran"))),1,0)</f>
        <v/>
      </c>
      <c r="X1530" s="93">
        <f>IF(AND(B1530&lt;&gt;"",B1530&gt;='Buku Akun'!$H$4,B1530&lt;='Buku Akun'!$H$5,OR(C1530='Buku Akun'!$C$4,AND(D1530="Pindah",E1530='Buku Akun'!$C$4))),B1530+IF(AND(I1530="Selisih bunga",DAY(B1530)=1),0,0.01)+ROW()/10000000,"")</f>
        <v/>
      </c>
    </row>
    <row r="1531" outlineLevel="1" ht="15" customHeight="1" s="94">
      <c r="A1531" s="123">
        <f>IF(B1531="","",ROW()-15)</f>
        <v/>
      </c>
      <c r="B1531" s="124" t="n"/>
      <c r="C1531" s="123" t="n"/>
      <c r="D1531" s="123" t="n"/>
      <c r="E1531" s="123" t="n"/>
      <c r="F1531" s="125" t="n"/>
      <c r="G1531" s="123" t="n"/>
      <c r="H1531" s="123" t="n"/>
      <c r="I1531" s="123" t="n"/>
      <c r="J1531" s="123" t="n"/>
      <c r="K1531" s="123" t="n"/>
      <c r="L1531" s="123" t="n"/>
      <c r="M1531" s="123">
        <f>IF(AND(B1531&lt;&gt;"",OR($C$4="",ISNUMBER(SEARCH($C$4,C1531&amp;" "&amp;E1531&amp;" "&amp;G1531&amp;" "&amp;H1531&amp;" "&amp;I1531&amp;" "&amp;J1531&amp;" "&amp;K1531&amp;" "&amp;L1531))),OR($C$5="Semua",$C$5="",G1531=$C$5),OR($C$6="Semua",$C$6="",H1531=$C$6,H1531="Pengeluaran "&amp;$C$6,AND($C$6="Uang Kos Mama",H1531="Pengeluaran Uang Kos")),OR($C$7="Semua",$C$7="",I1531=$C$7),OR($C$8="Semua",$C$8="",C1531=$C$8,E1531=$C$8),OR($C$9="Semua",$C$9="",D1531=$C$9),OR($C$10="",B1531&gt;=$C$10),OR($C$11="",B1531&lt;=$C$11),OR($C$12&lt;&gt;"Ya",K1531&lt;&gt;""),OR($C$13="Semua",$C$13="",L1531=$C$13)),"✓","")</f>
        <v/>
      </c>
      <c r="N1531" s="93">
        <f>N(N1530)+IF(M1531="✓",1,0)</f>
        <v/>
      </c>
      <c r="O1531" s="93">
        <f>N(O1530)+IF(AND(B1531&lt;&gt;"",B1531&gt;='Uang Riba'!$H$30,B1531&lt;='Uang Riba'!$I$30,OR(H1531="Dana riba",H1531="Pinjam uang riba",I1531="Pinjam dari uang riba",I1531="Ganti uang riba",I1531="Kelebihan ganti dikembalikan",AND(C1531="Kantong Uang Riba",G1531="Pengeluaran"))),1,0)</f>
        <v/>
      </c>
      <c r="X1531" s="93">
        <f>IF(AND(B1531&lt;&gt;"",B1531&gt;='Buku Akun'!$H$4,B1531&lt;='Buku Akun'!$H$5,OR(C1531='Buku Akun'!$C$4,AND(D1531="Pindah",E1531='Buku Akun'!$C$4))),B1531+IF(AND(I1531="Selisih bunga",DAY(B1531)=1),0,0.01)+ROW()/10000000,"")</f>
        <v/>
      </c>
    </row>
    <row r="1532" outlineLevel="1" ht="15" customHeight="1" s="94">
      <c r="A1532" s="123">
        <f>IF(B1532="","",ROW()-15)</f>
        <v/>
      </c>
      <c r="B1532" s="124" t="n"/>
      <c r="C1532" s="123" t="n"/>
      <c r="D1532" s="123" t="n"/>
      <c r="E1532" s="123" t="n"/>
      <c r="F1532" s="125" t="n"/>
      <c r="G1532" s="123" t="n"/>
      <c r="H1532" s="123" t="n"/>
      <c r="I1532" s="123" t="n"/>
      <c r="J1532" s="123" t="n"/>
      <c r="K1532" s="123" t="n"/>
      <c r="L1532" s="123" t="n"/>
      <c r="M1532" s="123">
        <f>IF(AND(B1532&lt;&gt;"",OR($C$4="",ISNUMBER(SEARCH($C$4,C1532&amp;" "&amp;E1532&amp;" "&amp;G1532&amp;" "&amp;H1532&amp;" "&amp;I1532&amp;" "&amp;J1532&amp;" "&amp;K1532&amp;" "&amp;L1532))),OR($C$5="Semua",$C$5="",G1532=$C$5),OR($C$6="Semua",$C$6="",H1532=$C$6,H1532="Pengeluaran "&amp;$C$6,AND($C$6="Uang Kos Mama",H1532="Pengeluaran Uang Kos")),OR($C$7="Semua",$C$7="",I1532=$C$7),OR($C$8="Semua",$C$8="",C1532=$C$8,E1532=$C$8),OR($C$9="Semua",$C$9="",D1532=$C$9),OR($C$10="",B1532&gt;=$C$10),OR($C$11="",B1532&lt;=$C$11),OR($C$12&lt;&gt;"Ya",K1532&lt;&gt;""),OR($C$13="Semua",$C$13="",L1532=$C$13)),"✓","")</f>
        <v/>
      </c>
      <c r="N1532" s="93">
        <f>N(N1531)+IF(M1532="✓",1,0)</f>
        <v/>
      </c>
      <c r="O1532" s="93">
        <f>N(O1531)+IF(AND(B1532&lt;&gt;"",B1532&gt;='Uang Riba'!$H$30,B1532&lt;='Uang Riba'!$I$30,OR(H1532="Dana riba",H1532="Pinjam uang riba",I1532="Pinjam dari uang riba",I1532="Ganti uang riba",I1532="Kelebihan ganti dikembalikan",AND(C1532="Kantong Uang Riba",G1532="Pengeluaran"))),1,0)</f>
        <v/>
      </c>
      <c r="X1532" s="93">
        <f>IF(AND(B1532&lt;&gt;"",B1532&gt;='Buku Akun'!$H$4,B1532&lt;='Buku Akun'!$H$5,OR(C1532='Buku Akun'!$C$4,AND(D1532="Pindah",E1532='Buku Akun'!$C$4))),B1532+IF(AND(I1532="Selisih bunga",DAY(B1532)=1),0,0.01)+ROW()/10000000,"")</f>
        <v/>
      </c>
    </row>
    <row r="1533" outlineLevel="1" ht="15" customHeight="1" s="94">
      <c r="A1533" s="123">
        <f>IF(B1533="","",ROW()-15)</f>
        <v/>
      </c>
      <c r="B1533" s="124" t="n"/>
      <c r="C1533" s="123" t="n"/>
      <c r="D1533" s="123" t="n"/>
      <c r="E1533" s="123" t="n"/>
      <c r="F1533" s="125" t="n"/>
      <c r="G1533" s="123" t="n"/>
      <c r="H1533" s="123" t="n"/>
      <c r="I1533" s="123" t="n"/>
      <c r="J1533" s="123" t="n"/>
      <c r="K1533" s="123" t="n"/>
      <c r="L1533" s="123" t="n"/>
      <c r="M1533" s="123">
        <f>IF(AND(B1533&lt;&gt;"",OR($C$4="",ISNUMBER(SEARCH($C$4,C1533&amp;" "&amp;E1533&amp;" "&amp;G1533&amp;" "&amp;H1533&amp;" "&amp;I1533&amp;" "&amp;J1533&amp;" "&amp;K1533&amp;" "&amp;L1533))),OR($C$5="Semua",$C$5="",G1533=$C$5),OR($C$6="Semua",$C$6="",H1533=$C$6,H1533="Pengeluaran "&amp;$C$6,AND($C$6="Uang Kos Mama",H1533="Pengeluaran Uang Kos")),OR($C$7="Semua",$C$7="",I1533=$C$7),OR($C$8="Semua",$C$8="",C1533=$C$8,E1533=$C$8),OR($C$9="Semua",$C$9="",D1533=$C$9),OR($C$10="",B1533&gt;=$C$10),OR($C$11="",B1533&lt;=$C$11),OR($C$12&lt;&gt;"Ya",K1533&lt;&gt;""),OR($C$13="Semua",$C$13="",L1533=$C$13)),"✓","")</f>
        <v/>
      </c>
      <c r="N1533" s="93">
        <f>N(N1532)+IF(M1533="✓",1,0)</f>
        <v/>
      </c>
      <c r="O1533" s="93">
        <f>N(O1532)+IF(AND(B1533&lt;&gt;"",B1533&gt;='Uang Riba'!$H$30,B1533&lt;='Uang Riba'!$I$30,OR(H1533="Dana riba",H1533="Pinjam uang riba",I1533="Pinjam dari uang riba",I1533="Ganti uang riba",I1533="Kelebihan ganti dikembalikan",AND(C1533="Kantong Uang Riba",G1533="Pengeluaran"))),1,0)</f>
        <v/>
      </c>
      <c r="X1533" s="93">
        <f>IF(AND(B1533&lt;&gt;"",B1533&gt;='Buku Akun'!$H$4,B1533&lt;='Buku Akun'!$H$5,OR(C1533='Buku Akun'!$C$4,AND(D1533="Pindah",E1533='Buku Akun'!$C$4))),B1533+IF(AND(I1533="Selisih bunga",DAY(B1533)=1),0,0.01)+ROW()/10000000,"")</f>
        <v/>
      </c>
    </row>
    <row r="1534" outlineLevel="1" ht="15" customHeight="1" s="94">
      <c r="A1534" s="123">
        <f>IF(B1534="","",ROW()-15)</f>
        <v/>
      </c>
      <c r="B1534" s="124" t="n"/>
      <c r="C1534" s="123" t="n"/>
      <c r="D1534" s="123" t="n"/>
      <c r="E1534" s="123" t="n"/>
      <c r="F1534" s="125" t="n"/>
      <c r="G1534" s="123" t="n"/>
      <c r="H1534" s="123" t="n"/>
      <c r="I1534" s="123" t="n"/>
      <c r="J1534" s="123" t="n"/>
      <c r="K1534" s="123" t="n"/>
      <c r="L1534" s="123" t="n"/>
      <c r="M1534" s="123">
        <f>IF(AND(B1534&lt;&gt;"",OR($C$4="",ISNUMBER(SEARCH($C$4,C1534&amp;" "&amp;E1534&amp;" "&amp;G1534&amp;" "&amp;H1534&amp;" "&amp;I1534&amp;" "&amp;J1534&amp;" "&amp;K1534&amp;" "&amp;L1534))),OR($C$5="Semua",$C$5="",G1534=$C$5),OR($C$6="Semua",$C$6="",H1534=$C$6,H1534="Pengeluaran "&amp;$C$6,AND($C$6="Uang Kos Mama",H1534="Pengeluaran Uang Kos")),OR($C$7="Semua",$C$7="",I1534=$C$7),OR($C$8="Semua",$C$8="",C1534=$C$8,E1534=$C$8),OR($C$9="Semua",$C$9="",D1534=$C$9),OR($C$10="",B1534&gt;=$C$10),OR($C$11="",B1534&lt;=$C$11),OR($C$12&lt;&gt;"Ya",K1534&lt;&gt;""),OR($C$13="Semua",$C$13="",L1534=$C$13)),"✓","")</f>
        <v/>
      </c>
      <c r="N1534" s="93">
        <f>N(N1533)+IF(M1534="✓",1,0)</f>
        <v/>
      </c>
      <c r="O1534" s="93">
        <f>N(O1533)+IF(AND(B1534&lt;&gt;"",B1534&gt;='Uang Riba'!$H$30,B1534&lt;='Uang Riba'!$I$30,OR(H1534="Dana riba",H1534="Pinjam uang riba",I1534="Pinjam dari uang riba",I1534="Ganti uang riba",I1534="Kelebihan ganti dikembalikan",AND(C1534="Kantong Uang Riba",G1534="Pengeluaran"))),1,0)</f>
        <v/>
      </c>
      <c r="X1534" s="93">
        <f>IF(AND(B1534&lt;&gt;"",B1534&gt;='Buku Akun'!$H$4,B1534&lt;='Buku Akun'!$H$5,OR(C1534='Buku Akun'!$C$4,AND(D1534="Pindah",E1534='Buku Akun'!$C$4))),B1534+IF(AND(I1534="Selisih bunga",DAY(B1534)=1),0,0.01)+ROW()/10000000,"")</f>
        <v/>
      </c>
    </row>
    <row r="1535" outlineLevel="1" ht="15" customHeight="1" s="94">
      <c r="A1535" s="123">
        <f>IF(B1535="","",ROW()-15)</f>
        <v/>
      </c>
      <c r="B1535" s="124" t="n"/>
      <c r="C1535" s="123" t="n"/>
      <c r="D1535" s="123" t="n"/>
      <c r="E1535" s="123" t="n"/>
      <c r="F1535" s="125" t="n"/>
      <c r="G1535" s="123" t="n"/>
      <c r="H1535" s="123" t="n"/>
      <c r="I1535" s="123" t="n"/>
      <c r="J1535" s="123" t="n"/>
      <c r="K1535" s="123" t="n"/>
      <c r="L1535" s="123" t="n"/>
      <c r="M1535" s="123">
        <f>IF(AND(B1535&lt;&gt;"",OR($C$4="",ISNUMBER(SEARCH($C$4,C1535&amp;" "&amp;E1535&amp;" "&amp;G1535&amp;" "&amp;H1535&amp;" "&amp;I1535&amp;" "&amp;J1535&amp;" "&amp;K1535&amp;" "&amp;L1535))),OR($C$5="Semua",$C$5="",G1535=$C$5),OR($C$6="Semua",$C$6="",H1535=$C$6,H1535="Pengeluaran "&amp;$C$6,AND($C$6="Uang Kos Mama",H1535="Pengeluaran Uang Kos")),OR($C$7="Semua",$C$7="",I1535=$C$7),OR($C$8="Semua",$C$8="",C1535=$C$8,E1535=$C$8),OR($C$9="Semua",$C$9="",D1535=$C$9),OR($C$10="",B1535&gt;=$C$10),OR($C$11="",B1535&lt;=$C$11),OR($C$12&lt;&gt;"Ya",K1535&lt;&gt;""),OR($C$13="Semua",$C$13="",L1535=$C$13)),"✓","")</f>
        <v/>
      </c>
      <c r="N1535" s="93">
        <f>N(N1534)+IF(M1535="✓",1,0)</f>
        <v/>
      </c>
      <c r="O1535" s="93">
        <f>N(O1534)+IF(AND(B1535&lt;&gt;"",B1535&gt;='Uang Riba'!$H$30,B1535&lt;='Uang Riba'!$I$30,OR(H1535="Dana riba",H1535="Pinjam uang riba",I1535="Pinjam dari uang riba",I1535="Ganti uang riba",I1535="Kelebihan ganti dikembalikan",AND(C1535="Kantong Uang Riba",G1535="Pengeluaran"))),1,0)</f>
        <v/>
      </c>
      <c r="X1535" s="93">
        <f>IF(AND(B1535&lt;&gt;"",B1535&gt;='Buku Akun'!$H$4,B1535&lt;='Buku Akun'!$H$5,OR(C1535='Buku Akun'!$C$4,AND(D1535="Pindah",E1535='Buku Akun'!$C$4))),B1535+IF(AND(I1535="Selisih bunga",DAY(B1535)=1),0,0.01)+ROW()/10000000,"")</f>
        <v/>
      </c>
    </row>
    <row r="1536" outlineLevel="1" ht="15" customHeight="1" s="94">
      <c r="A1536" s="123">
        <f>IF(B1536="","",ROW()-15)</f>
        <v/>
      </c>
      <c r="B1536" s="124" t="n"/>
      <c r="C1536" s="123" t="n"/>
      <c r="D1536" s="123" t="n"/>
      <c r="E1536" s="123" t="n"/>
      <c r="F1536" s="125" t="n"/>
      <c r="G1536" s="123" t="n"/>
      <c r="H1536" s="123" t="n"/>
      <c r="I1536" s="123" t="n"/>
      <c r="J1536" s="123" t="n"/>
      <c r="K1536" s="123" t="n"/>
      <c r="L1536" s="123" t="n"/>
      <c r="M1536" s="123">
        <f>IF(AND(B1536&lt;&gt;"",OR($C$4="",ISNUMBER(SEARCH($C$4,C1536&amp;" "&amp;E1536&amp;" "&amp;G1536&amp;" "&amp;H1536&amp;" "&amp;I1536&amp;" "&amp;J1536&amp;" "&amp;K1536&amp;" "&amp;L1536))),OR($C$5="Semua",$C$5="",G1536=$C$5),OR($C$6="Semua",$C$6="",H1536=$C$6,H1536="Pengeluaran "&amp;$C$6,AND($C$6="Uang Kos Mama",H1536="Pengeluaran Uang Kos")),OR($C$7="Semua",$C$7="",I1536=$C$7),OR($C$8="Semua",$C$8="",C1536=$C$8,E1536=$C$8),OR($C$9="Semua",$C$9="",D1536=$C$9),OR($C$10="",B1536&gt;=$C$10),OR($C$11="",B1536&lt;=$C$11),OR($C$12&lt;&gt;"Ya",K1536&lt;&gt;""),OR($C$13="Semua",$C$13="",L1536=$C$13)),"✓","")</f>
        <v/>
      </c>
      <c r="N1536" s="93">
        <f>N(N1535)+IF(M1536="✓",1,0)</f>
        <v/>
      </c>
      <c r="O1536" s="93">
        <f>N(O1535)+IF(AND(B1536&lt;&gt;"",B1536&gt;='Uang Riba'!$H$30,B1536&lt;='Uang Riba'!$I$30,OR(H1536="Dana riba",H1536="Pinjam uang riba",I1536="Pinjam dari uang riba",I1536="Ganti uang riba",I1536="Kelebihan ganti dikembalikan",AND(C1536="Kantong Uang Riba",G1536="Pengeluaran"))),1,0)</f>
        <v/>
      </c>
      <c r="X1536" s="93">
        <f>IF(AND(B1536&lt;&gt;"",B1536&gt;='Buku Akun'!$H$4,B1536&lt;='Buku Akun'!$H$5,OR(C1536='Buku Akun'!$C$4,AND(D1536="Pindah",E1536='Buku Akun'!$C$4))),B1536+IF(AND(I1536="Selisih bunga",DAY(B1536)=1),0,0.01)+ROW()/10000000,"")</f>
        <v/>
      </c>
    </row>
    <row r="1537" outlineLevel="1" ht="15" customHeight="1" s="94">
      <c r="A1537" s="123">
        <f>IF(B1537="","",ROW()-15)</f>
        <v/>
      </c>
      <c r="B1537" s="124" t="n"/>
      <c r="C1537" s="123" t="n"/>
      <c r="D1537" s="123" t="n"/>
      <c r="E1537" s="123" t="n"/>
      <c r="F1537" s="125" t="n"/>
      <c r="G1537" s="123" t="n"/>
      <c r="H1537" s="123" t="n"/>
      <c r="I1537" s="123" t="n"/>
      <c r="J1537" s="123" t="n"/>
      <c r="K1537" s="123" t="n"/>
      <c r="L1537" s="123" t="n"/>
      <c r="M1537" s="123">
        <f>IF(AND(B1537&lt;&gt;"",OR($C$4="",ISNUMBER(SEARCH($C$4,C1537&amp;" "&amp;E1537&amp;" "&amp;G1537&amp;" "&amp;H1537&amp;" "&amp;I1537&amp;" "&amp;J1537&amp;" "&amp;K1537&amp;" "&amp;L1537))),OR($C$5="Semua",$C$5="",G1537=$C$5),OR($C$6="Semua",$C$6="",H1537=$C$6,H1537="Pengeluaran "&amp;$C$6,AND($C$6="Uang Kos Mama",H1537="Pengeluaran Uang Kos")),OR($C$7="Semua",$C$7="",I1537=$C$7),OR($C$8="Semua",$C$8="",C1537=$C$8,E1537=$C$8),OR($C$9="Semua",$C$9="",D1537=$C$9),OR($C$10="",B1537&gt;=$C$10),OR($C$11="",B1537&lt;=$C$11),OR($C$12&lt;&gt;"Ya",K1537&lt;&gt;""),OR($C$13="Semua",$C$13="",L1537=$C$13)),"✓","")</f>
        <v/>
      </c>
      <c r="N1537" s="93">
        <f>N(N1536)+IF(M1537="✓",1,0)</f>
        <v/>
      </c>
      <c r="O1537" s="93">
        <f>N(O1536)+IF(AND(B1537&lt;&gt;"",B1537&gt;='Uang Riba'!$H$30,B1537&lt;='Uang Riba'!$I$30,OR(H1537="Dana riba",H1537="Pinjam uang riba",I1537="Pinjam dari uang riba",I1537="Ganti uang riba",I1537="Kelebihan ganti dikembalikan",AND(C1537="Kantong Uang Riba",G1537="Pengeluaran"))),1,0)</f>
        <v/>
      </c>
      <c r="X1537" s="93">
        <f>IF(AND(B1537&lt;&gt;"",B1537&gt;='Buku Akun'!$H$4,B1537&lt;='Buku Akun'!$H$5,OR(C1537='Buku Akun'!$C$4,AND(D1537="Pindah",E1537='Buku Akun'!$C$4))),B1537+IF(AND(I1537="Selisih bunga",DAY(B1537)=1),0,0.01)+ROW()/10000000,"")</f>
        <v/>
      </c>
    </row>
    <row r="1538" outlineLevel="1" ht="15" customHeight="1" s="94">
      <c r="A1538" s="123">
        <f>IF(B1538="","",ROW()-15)</f>
        <v/>
      </c>
      <c r="B1538" s="124" t="n"/>
      <c r="C1538" s="123" t="n"/>
      <c r="D1538" s="123" t="n"/>
      <c r="E1538" s="123" t="n"/>
      <c r="F1538" s="125" t="n"/>
      <c r="G1538" s="123" t="n"/>
      <c r="H1538" s="123" t="n"/>
      <c r="I1538" s="123" t="n"/>
      <c r="J1538" s="123" t="n"/>
      <c r="K1538" s="123" t="n"/>
      <c r="L1538" s="123" t="n"/>
      <c r="M1538" s="123">
        <f>IF(AND(B1538&lt;&gt;"",OR($C$4="",ISNUMBER(SEARCH($C$4,C1538&amp;" "&amp;E1538&amp;" "&amp;G1538&amp;" "&amp;H1538&amp;" "&amp;I1538&amp;" "&amp;J1538&amp;" "&amp;K1538&amp;" "&amp;L1538))),OR($C$5="Semua",$C$5="",G1538=$C$5),OR($C$6="Semua",$C$6="",H1538=$C$6,H1538="Pengeluaran "&amp;$C$6,AND($C$6="Uang Kos Mama",H1538="Pengeluaran Uang Kos")),OR($C$7="Semua",$C$7="",I1538=$C$7),OR($C$8="Semua",$C$8="",C1538=$C$8,E1538=$C$8),OR($C$9="Semua",$C$9="",D1538=$C$9),OR($C$10="",B1538&gt;=$C$10),OR($C$11="",B1538&lt;=$C$11),OR($C$12&lt;&gt;"Ya",K1538&lt;&gt;""),OR($C$13="Semua",$C$13="",L1538=$C$13)),"✓","")</f>
        <v/>
      </c>
      <c r="N1538" s="93">
        <f>N(N1537)+IF(M1538="✓",1,0)</f>
        <v/>
      </c>
      <c r="O1538" s="93">
        <f>N(O1537)+IF(AND(B1538&lt;&gt;"",B1538&gt;='Uang Riba'!$H$30,B1538&lt;='Uang Riba'!$I$30,OR(H1538="Dana riba",H1538="Pinjam uang riba",I1538="Pinjam dari uang riba",I1538="Ganti uang riba",I1538="Kelebihan ganti dikembalikan",AND(C1538="Kantong Uang Riba",G1538="Pengeluaran"))),1,0)</f>
        <v/>
      </c>
      <c r="X1538" s="93">
        <f>IF(AND(B1538&lt;&gt;"",B1538&gt;='Buku Akun'!$H$4,B1538&lt;='Buku Akun'!$H$5,OR(C1538='Buku Akun'!$C$4,AND(D1538="Pindah",E1538='Buku Akun'!$C$4))),B1538+IF(AND(I1538="Selisih bunga",DAY(B1538)=1),0,0.01)+ROW()/10000000,"")</f>
        <v/>
      </c>
    </row>
    <row r="1539" outlineLevel="1" ht="15" customHeight="1" s="94">
      <c r="A1539" s="123">
        <f>IF(B1539="","",ROW()-15)</f>
        <v/>
      </c>
      <c r="B1539" s="124" t="n"/>
      <c r="C1539" s="123" t="n"/>
      <c r="D1539" s="123" t="n"/>
      <c r="E1539" s="123" t="n"/>
      <c r="F1539" s="125" t="n"/>
      <c r="G1539" s="123" t="n"/>
      <c r="H1539" s="123" t="n"/>
      <c r="I1539" s="123" t="n"/>
      <c r="J1539" s="123" t="n"/>
      <c r="K1539" s="123" t="n"/>
      <c r="L1539" s="123" t="n"/>
      <c r="M1539" s="123">
        <f>IF(AND(B1539&lt;&gt;"",OR($C$4="",ISNUMBER(SEARCH($C$4,C1539&amp;" "&amp;E1539&amp;" "&amp;G1539&amp;" "&amp;H1539&amp;" "&amp;I1539&amp;" "&amp;J1539&amp;" "&amp;K1539&amp;" "&amp;L1539))),OR($C$5="Semua",$C$5="",G1539=$C$5),OR($C$6="Semua",$C$6="",H1539=$C$6,H1539="Pengeluaran "&amp;$C$6,AND($C$6="Uang Kos Mama",H1539="Pengeluaran Uang Kos")),OR($C$7="Semua",$C$7="",I1539=$C$7),OR($C$8="Semua",$C$8="",C1539=$C$8,E1539=$C$8),OR($C$9="Semua",$C$9="",D1539=$C$9),OR($C$10="",B1539&gt;=$C$10),OR($C$11="",B1539&lt;=$C$11),OR($C$12&lt;&gt;"Ya",K1539&lt;&gt;""),OR($C$13="Semua",$C$13="",L1539=$C$13)),"✓","")</f>
        <v/>
      </c>
      <c r="N1539" s="93">
        <f>N(N1538)+IF(M1539="✓",1,0)</f>
        <v/>
      </c>
      <c r="O1539" s="93">
        <f>N(O1538)+IF(AND(B1539&lt;&gt;"",B1539&gt;='Uang Riba'!$H$30,B1539&lt;='Uang Riba'!$I$30,OR(H1539="Dana riba",H1539="Pinjam uang riba",I1539="Pinjam dari uang riba",I1539="Ganti uang riba",I1539="Kelebihan ganti dikembalikan",AND(C1539="Kantong Uang Riba",G1539="Pengeluaran"))),1,0)</f>
        <v/>
      </c>
      <c r="X1539" s="93">
        <f>IF(AND(B1539&lt;&gt;"",B1539&gt;='Buku Akun'!$H$4,B1539&lt;='Buku Akun'!$H$5,OR(C1539='Buku Akun'!$C$4,AND(D1539="Pindah",E1539='Buku Akun'!$C$4))),B1539+IF(AND(I1539="Selisih bunga",DAY(B1539)=1),0,0.01)+ROW()/10000000,"")</f>
        <v/>
      </c>
    </row>
    <row r="1540" outlineLevel="1" ht="15" customHeight="1" s="94">
      <c r="A1540" s="123">
        <f>IF(B1540="","",ROW()-15)</f>
        <v/>
      </c>
      <c r="B1540" s="124" t="n"/>
      <c r="C1540" s="123" t="n"/>
      <c r="D1540" s="123" t="n"/>
      <c r="E1540" s="123" t="n"/>
      <c r="F1540" s="125" t="n"/>
      <c r="G1540" s="123" t="n"/>
      <c r="H1540" s="123" t="n"/>
      <c r="I1540" s="123" t="n"/>
      <c r="J1540" s="123" t="n"/>
      <c r="K1540" s="123" t="n"/>
      <c r="L1540" s="123" t="n"/>
      <c r="M1540" s="123">
        <f>IF(AND(B1540&lt;&gt;"",OR($C$4="",ISNUMBER(SEARCH($C$4,C1540&amp;" "&amp;E1540&amp;" "&amp;G1540&amp;" "&amp;H1540&amp;" "&amp;I1540&amp;" "&amp;J1540&amp;" "&amp;K1540&amp;" "&amp;L1540))),OR($C$5="Semua",$C$5="",G1540=$C$5),OR($C$6="Semua",$C$6="",H1540=$C$6,H1540="Pengeluaran "&amp;$C$6,AND($C$6="Uang Kos Mama",H1540="Pengeluaran Uang Kos")),OR($C$7="Semua",$C$7="",I1540=$C$7),OR($C$8="Semua",$C$8="",C1540=$C$8,E1540=$C$8),OR($C$9="Semua",$C$9="",D1540=$C$9),OR($C$10="",B1540&gt;=$C$10),OR($C$11="",B1540&lt;=$C$11),OR($C$12&lt;&gt;"Ya",K1540&lt;&gt;""),OR($C$13="Semua",$C$13="",L1540=$C$13)),"✓","")</f>
        <v/>
      </c>
      <c r="N1540" s="93">
        <f>N(N1539)+IF(M1540="✓",1,0)</f>
        <v/>
      </c>
      <c r="O1540" s="93">
        <f>N(O1539)+IF(AND(B1540&lt;&gt;"",B1540&gt;='Uang Riba'!$H$30,B1540&lt;='Uang Riba'!$I$30,OR(H1540="Dana riba",H1540="Pinjam uang riba",I1540="Pinjam dari uang riba",I1540="Ganti uang riba",I1540="Kelebihan ganti dikembalikan",AND(C1540="Kantong Uang Riba",G1540="Pengeluaran"))),1,0)</f>
        <v/>
      </c>
      <c r="X1540" s="93">
        <f>IF(AND(B1540&lt;&gt;"",B1540&gt;='Buku Akun'!$H$4,B1540&lt;='Buku Akun'!$H$5,OR(C1540='Buku Akun'!$C$4,AND(D1540="Pindah",E1540='Buku Akun'!$C$4))),B1540+IF(AND(I1540="Selisih bunga",DAY(B1540)=1),0,0.01)+ROW()/10000000,"")</f>
        <v/>
      </c>
    </row>
    <row r="1541" outlineLevel="1" ht="15" customHeight="1" s="94">
      <c r="A1541" s="123">
        <f>IF(B1541="","",ROW()-15)</f>
        <v/>
      </c>
      <c r="B1541" s="124" t="n"/>
      <c r="C1541" s="123" t="n"/>
      <c r="D1541" s="123" t="n"/>
      <c r="E1541" s="123" t="n"/>
      <c r="F1541" s="125" t="n"/>
      <c r="G1541" s="123" t="n"/>
      <c r="H1541" s="123" t="n"/>
      <c r="I1541" s="123" t="n"/>
      <c r="J1541" s="123" t="n"/>
      <c r="K1541" s="123" t="n"/>
      <c r="L1541" s="123" t="n"/>
      <c r="M1541" s="123">
        <f>IF(AND(B1541&lt;&gt;"",OR($C$4="",ISNUMBER(SEARCH($C$4,C1541&amp;" "&amp;E1541&amp;" "&amp;G1541&amp;" "&amp;H1541&amp;" "&amp;I1541&amp;" "&amp;J1541&amp;" "&amp;K1541&amp;" "&amp;L1541))),OR($C$5="Semua",$C$5="",G1541=$C$5),OR($C$6="Semua",$C$6="",H1541=$C$6,H1541="Pengeluaran "&amp;$C$6,AND($C$6="Uang Kos Mama",H1541="Pengeluaran Uang Kos")),OR($C$7="Semua",$C$7="",I1541=$C$7),OR($C$8="Semua",$C$8="",C1541=$C$8,E1541=$C$8),OR($C$9="Semua",$C$9="",D1541=$C$9),OR($C$10="",B1541&gt;=$C$10),OR($C$11="",B1541&lt;=$C$11),OR($C$12&lt;&gt;"Ya",K1541&lt;&gt;""),OR($C$13="Semua",$C$13="",L1541=$C$13)),"✓","")</f>
        <v/>
      </c>
      <c r="N1541" s="93">
        <f>N(N1540)+IF(M1541="✓",1,0)</f>
        <v/>
      </c>
      <c r="O1541" s="93">
        <f>N(O1540)+IF(AND(B1541&lt;&gt;"",B1541&gt;='Uang Riba'!$H$30,B1541&lt;='Uang Riba'!$I$30,OR(H1541="Dana riba",H1541="Pinjam uang riba",I1541="Pinjam dari uang riba",I1541="Ganti uang riba",I1541="Kelebihan ganti dikembalikan",AND(C1541="Kantong Uang Riba",G1541="Pengeluaran"))),1,0)</f>
        <v/>
      </c>
      <c r="X1541" s="93">
        <f>IF(AND(B1541&lt;&gt;"",B1541&gt;='Buku Akun'!$H$4,B1541&lt;='Buku Akun'!$H$5,OR(C1541='Buku Akun'!$C$4,AND(D1541="Pindah",E1541='Buku Akun'!$C$4))),B1541+IF(AND(I1541="Selisih bunga",DAY(B1541)=1),0,0.01)+ROW()/10000000,"")</f>
        <v/>
      </c>
    </row>
    <row r="1542" outlineLevel="1" ht="15" customHeight="1" s="94">
      <c r="A1542" s="123">
        <f>IF(B1542="","",ROW()-15)</f>
        <v/>
      </c>
      <c r="B1542" s="124" t="n"/>
      <c r="C1542" s="123" t="n"/>
      <c r="D1542" s="123" t="n"/>
      <c r="E1542" s="123" t="n"/>
      <c r="F1542" s="125" t="n"/>
      <c r="G1542" s="123" t="n"/>
      <c r="H1542" s="123" t="n"/>
      <c r="I1542" s="123" t="n"/>
      <c r="J1542" s="123" t="n"/>
      <c r="K1542" s="123" t="n"/>
      <c r="L1542" s="123" t="n"/>
      <c r="M1542" s="123">
        <f>IF(AND(B1542&lt;&gt;"",OR($C$4="",ISNUMBER(SEARCH($C$4,C1542&amp;" "&amp;E1542&amp;" "&amp;G1542&amp;" "&amp;H1542&amp;" "&amp;I1542&amp;" "&amp;J1542&amp;" "&amp;K1542&amp;" "&amp;L1542))),OR($C$5="Semua",$C$5="",G1542=$C$5),OR($C$6="Semua",$C$6="",H1542=$C$6,H1542="Pengeluaran "&amp;$C$6,AND($C$6="Uang Kos Mama",H1542="Pengeluaran Uang Kos")),OR($C$7="Semua",$C$7="",I1542=$C$7),OR($C$8="Semua",$C$8="",C1542=$C$8,E1542=$C$8),OR($C$9="Semua",$C$9="",D1542=$C$9),OR($C$10="",B1542&gt;=$C$10),OR($C$11="",B1542&lt;=$C$11),OR($C$12&lt;&gt;"Ya",K1542&lt;&gt;""),OR($C$13="Semua",$C$13="",L1542=$C$13)),"✓","")</f>
        <v/>
      </c>
      <c r="N1542" s="93">
        <f>N(N1541)+IF(M1542="✓",1,0)</f>
        <v/>
      </c>
      <c r="O1542" s="93">
        <f>N(O1541)+IF(AND(B1542&lt;&gt;"",B1542&gt;='Uang Riba'!$H$30,B1542&lt;='Uang Riba'!$I$30,OR(H1542="Dana riba",H1542="Pinjam uang riba",I1542="Pinjam dari uang riba",I1542="Ganti uang riba",I1542="Kelebihan ganti dikembalikan",AND(C1542="Kantong Uang Riba",G1542="Pengeluaran"))),1,0)</f>
        <v/>
      </c>
      <c r="X1542" s="93">
        <f>IF(AND(B1542&lt;&gt;"",B1542&gt;='Buku Akun'!$H$4,B1542&lt;='Buku Akun'!$H$5,OR(C1542='Buku Akun'!$C$4,AND(D1542="Pindah",E1542='Buku Akun'!$C$4))),B1542+IF(AND(I1542="Selisih bunga",DAY(B1542)=1),0,0.01)+ROW()/10000000,"")</f>
        <v/>
      </c>
    </row>
    <row r="1543" outlineLevel="1" ht="15" customHeight="1" s="94">
      <c r="A1543" s="123">
        <f>IF(B1543="","",ROW()-15)</f>
        <v/>
      </c>
      <c r="B1543" s="124" t="n"/>
      <c r="C1543" s="123" t="n"/>
      <c r="D1543" s="123" t="n"/>
      <c r="E1543" s="123" t="n"/>
      <c r="F1543" s="125" t="n"/>
      <c r="G1543" s="123" t="n"/>
      <c r="H1543" s="123" t="n"/>
      <c r="I1543" s="123" t="n"/>
      <c r="J1543" s="123" t="n"/>
      <c r="K1543" s="123" t="n"/>
      <c r="L1543" s="123" t="n"/>
      <c r="M1543" s="123">
        <f>IF(AND(B1543&lt;&gt;"",OR($C$4="",ISNUMBER(SEARCH($C$4,C1543&amp;" "&amp;E1543&amp;" "&amp;G1543&amp;" "&amp;H1543&amp;" "&amp;I1543&amp;" "&amp;J1543&amp;" "&amp;K1543&amp;" "&amp;L1543))),OR($C$5="Semua",$C$5="",G1543=$C$5),OR($C$6="Semua",$C$6="",H1543=$C$6,H1543="Pengeluaran "&amp;$C$6,AND($C$6="Uang Kos Mama",H1543="Pengeluaran Uang Kos")),OR($C$7="Semua",$C$7="",I1543=$C$7),OR($C$8="Semua",$C$8="",C1543=$C$8,E1543=$C$8),OR($C$9="Semua",$C$9="",D1543=$C$9),OR($C$10="",B1543&gt;=$C$10),OR($C$11="",B1543&lt;=$C$11),OR($C$12&lt;&gt;"Ya",K1543&lt;&gt;""),OR($C$13="Semua",$C$13="",L1543=$C$13)),"✓","")</f>
        <v/>
      </c>
      <c r="N1543" s="93">
        <f>N(N1542)+IF(M1543="✓",1,0)</f>
        <v/>
      </c>
      <c r="O1543" s="93">
        <f>N(O1542)+IF(AND(B1543&lt;&gt;"",B1543&gt;='Uang Riba'!$H$30,B1543&lt;='Uang Riba'!$I$30,OR(H1543="Dana riba",H1543="Pinjam uang riba",I1543="Pinjam dari uang riba",I1543="Ganti uang riba",I1543="Kelebihan ganti dikembalikan",AND(C1543="Kantong Uang Riba",G1543="Pengeluaran"))),1,0)</f>
        <v/>
      </c>
      <c r="X1543" s="93">
        <f>IF(AND(B1543&lt;&gt;"",B1543&gt;='Buku Akun'!$H$4,B1543&lt;='Buku Akun'!$H$5,OR(C1543='Buku Akun'!$C$4,AND(D1543="Pindah",E1543='Buku Akun'!$C$4))),B1543+IF(AND(I1543="Selisih bunga",DAY(B1543)=1),0,0.01)+ROW()/10000000,"")</f>
        <v/>
      </c>
    </row>
    <row r="1544" outlineLevel="1" ht="15" customHeight="1" s="94">
      <c r="A1544" s="123">
        <f>IF(B1544="","",ROW()-15)</f>
        <v/>
      </c>
      <c r="B1544" s="124" t="n"/>
      <c r="C1544" s="123" t="n"/>
      <c r="D1544" s="123" t="n"/>
      <c r="E1544" s="123" t="n"/>
      <c r="F1544" s="125" t="n"/>
      <c r="G1544" s="123" t="n"/>
      <c r="H1544" s="123" t="n"/>
      <c r="I1544" s="123" t="n"/>
      <c r="J1544" s="123" t="n"/>
      <c r="K1544" s="123" t="n"/>
      <c r="L1544" s="123" t="n"/>
      <c r="M1544" s="123">
        <f>IF(AND(B1544&lt;&gt;"",OR($C$4="",ISNUMBER(SEARCH($C$4,C1544&amp;" "&amp;E1544&amp;" "&amp;G1544&amp;" "&amp;H1544&amp;" "&amp;I1544&amp;" "&amp;J1544&amp;" "&amp;K1544&amp;" "&amp;L1544))),OR($C$5="Semua",$C$5="",G1544=$C$5),OR($C$6="Semua",$C$6="",H1544=$C$6,H1544="Pengeluaran "&amp;$C$6,AND($C$6="Uang Kos Mama",H1544="Pengeluaran Uang Kos")),OR($C$7="Semua",$C$7="",I1544=$C$7),OR($C$8="Semua",$C$8="",C1544=$C$8,E1544=$C$8),OR($C$9="Semua",$C$9="",D1544=$C$9),OR($C$10="",B1544&gt;=$C$10),OR($C$11="",B1544&lt;=$C$11),OR($C$12&lt;&gt;"Ya",K1544&lt;&gt;""),OR($C$13="Semua",$C$13="",L1544=$C$13)),"✓","")</f>
        <v/>
      </c>
      <c r="N1544" s="93">
        <f>N(N1543)+IF(M1544="✓",1,0)</f>
        <v/>
      </c>
      <c r="O1544" s="93">
        <f>N(O1543)+IF(AND(B1544&lt;&gt;"",B1544&gt;='Uang Riba'!$H$30,B1544&lt;='Uang Riba'!$I$30,OR(H1544="Dana riba",H1544="Pinjam uang riba",I1544="Pinjam dari uang riba",I1544="Ganti uang riba",I1544="Kelebihan ganti dikembalikan",AND(C1544="Kantong Uang Riba",G1544="Pengeluaran"))),1,0)</f>
        <v/>
      </c>
      <c r="X1544" s="93">
        <f>IF(AND(B1544&lt;&gt;"",B1544&gt;='Buku Akun'!$H$4,B1544&lt;='Buku Akun'!$H$5,OR(C1544='Buku Akun'!$C$4,AND(D1544="Pindah",E1544='Buku Akun'!$C$4))),B1544+IF(AND(I1544="Selisih bunga",DAY(B1544)=1),0,0.01)+ROW()/10000000,"")</f>
        <v/>
      </c>
    </row>
    <row r="1545" outlineLevel="1" ht="15" customHeight="1" s="94">
      <c r="A1545" s="123">
        <f>IF(B1545="","",ROW()-15)</f>
        <v/>
      </c>
      <c r="B1545" s="124" t="n"/>
      <c r="C1545" s="123" t="n"/>
      <c r="D1545" s="123" t="n"/>
      <c r="E1545" s="123" t="n"/>
      <c r="F1545" s="125" t="n"/>
      <c r="G1545" s="123" t="n"/>
      <c r="H1545" s="123" t="n"/>
      <c r="I1545" s="123" t="n"/>
      <c r="J1545" s="123" t="n"/>
      <c r="K1545" s="123" t="n"/>
      <c r="L1545" s="123" t="n"/>
      <c r="M1545" s="123">
        <f>IF(AND(B1545&lt;&gt;"",OR($C$4="",ISNUMBER(SEARCH($C$4,C1545&amp;" "&amp;E1545&amp;" "&amp;G1545&amp;" "&amp;H1545&amp;" "&amp;I1545&amp;" "&amp;J1545&amp;" "&amp;K1545&amp;" "&amp;L1545))),OR($C$5="Semua",$C$5="",G1545=$C$5),OR($C$6="Semua",$C$6="",H1545=$C$6,H1545="Pengeluaran "&amp;$C$6,AND($C$6="Uang Kos Mama",H1545="Pengeluaran Uang Kos")),OR($C$7="Semua",$C$7="",I1545=$C$7),OR($C$8="Semua",$C$8="",C1545=$C$8,E1545=$C$8),OR($C$9="Semua",$C$9="",D1545=$C$9),OR($C$10="",B1545&gt;=$C$10),OR($C$11="",B1545&lt;=$C$11),OR($C$12&lt;&gt;"Ya",K1545&lt;&gt;""),OR($C$13="Semua",$C$13="",L1545=$C$13)),"✓","")</f>
        <v/>
      </c>
      <c r="N1545" s="93">
        <f>N(N1544)+IF(M1545="✓",1,0)</f>
        <v/>
      </c>
      <c r="O1545" s="93">
        <f>N(O1544)+IF(AND(B1545&lt;&gt;"",B1545&gt;='Uang Riba'!$H$30,B1545&lt;='Uang Riba'!$I$30,OR(H1545="Dana riba",H1545="Pinjam uang riba",I1545="Pinjam dari uang riba",I1545="Ganti uang riba",I1545="Kelebihan ganti dikembalikan",AND(C1545="Kantong Uang Riba",G1545="Pengeluaran"))),1,0)</f>
        <v/>
      </c>
      <c r="X1545" s="93">
        <f>IF(AND(B1545&lt;&gt;"",B1545&gt;='Buku Akun'!$H$4,B1545&lt;='Buku Akun'!$H$5,OR(C1545='Buku Akun'!$C$4,AND(D1545="Pindah",E1545='Buku Akun'!$C$4))),B1545+IF(AND(I1545="Selisih bunga",DAY(B1545)=1),0,0.01)+ROW()/10000000,"")</f>
        <v/>
      </c>
    </row>
    <row r="1546" outlineLevel="1" ht="15" customHeight="1" s="94">
      <c r="A1546" s="123">
        <f>IF(B1546="","",ROW()-15)</f>
        <v/>
      </c>
      <c r="B1546" s="124" t="n"/>
      <c r="C1546" s="123" t="n"/>
      <c r="D1546" s="123" t="n"/>
      <c r="E1546" s="123" t="n"/>
      <c r="F1546" s="125" t="n"/>
      <c r="G1546" s="123" t="n"/>
      <c r="H1546" s="123" t="n"/>
      <c r="I1546" s="123" t="n"/>
      <c r="J1546" s="123" t="n"/>
      <c r="K1546" s="123" t="n"/>
      <c r="L1546" s="123" t="n"/>
      <c r="M1546" s="123">
        <f>IF(AND(B1546&lt;&gt;"",OR($C$4="",ISNUMBER(SEARCH($C$4,C1546&amp;" "&amp;E1546&amp;" "&amp;G1546&amp;" "&amp;H1546&amp;" "&amp;I1546&amp;" "&amp;J1546&amp;" "&amp;K1546&amp;" "&amp;L1546))),OR($C$5="Semua",$C$5="",G1546=$C$5),OR($C$6="Semua",$C$6="",H1546=$C$6,H1546="Pengeluaran "&amp;$C$6,AND($C$6="Uang Kos Mama",H1546="Pengeluaran Uang Kos")),OR($C$7="Semua",$C$7="",I1546=$C$7),OR($C$8="Semua",$C$8="",C1546=$C$8,E1546=$C$8),OR($C$9="Semua",$C$9="",D1546=$C$9),OR($C$10="",B1546&gt;=$C$10),OR($C$11="",B1546&lt;=$C$11),OR($C$12&lt;&gt;"Ya",K1546&lt;&gt;""),OR($C$13="Semua",$C$13="",L1546=$C$13)),"✓","")</f>
        <v/>
      </c>
      <c r="N1546" s="93">
        <f>N(N1545)+IF(M1546="✓",1,0)</f>
        <v/>
      </c>
      <c r="O1546" s="93">
        <f>N(O1545)+IF(AND(B1546&lt;&gt;"",B1546&gt;='Uang Riba'!$H$30,B1546&lt;='Uang Riba'!$I$30,OR(H1546="Dana riba",H1546="Pinjam uang riba",I1546="Pinjam dari uang riba",I1546="Ganti uang riba",I1546="Kelebihan ganti dikembalikan",AND(C1546="Kantong Uang Riba",G1546="Pengeluaran"))),1,0)</f>
        <v/>
      </c>
      <c r="X1546" s="93">
        <f>IF(AND(B1546&lt;&gt;"",B1546&gt;='Buku Akun'!$H$4,B1546&lt;='Buku Akun'!$H$5,OR(C1546='Buku Akun'!$C$4,AND(D1546="Pindah",E1546='Buku Akun'!$C$4))),B1546+IF(AND(I1546="Selisih bunga",DAY(B1546)=1),0,0.01)+ROW()/10000000,"")</f>
        <v/>
      </c>
    </row>
    <row r="1547" outlineLevel="1" ht="15" customHeight="1" s="94">
      <c r="A1547" s="123">
        <f>IF(B1547="","",ROW()-15)</f>
        <v/>
      </c>
      <c r="B1547" s="124" t="n"/>
      <c r="C1547" s="123" t="n"/>
      <c r="D1547" s="123" t="n"/>
      <c r="E1547" s="123" t="n"/>
      <c r="F1547" s="125" t="n"/>
      <c r="G1547" s="123" t="n"/>
      <c r="H1547" s="123" t="n"/>
      <c r="I1547" s="123" t="n"/>
      <c r="J1547" s="123" t="n"/>
      <c r="K1547" s="123" t="n"/>
      <c r="L1547" s="123" t="n"/>
      <c r="M1547" s="123">
        <f>IF(AND(B1547&lt;&gt;"",OR($C$4="",ISNUMBER(SEARCH($C$4,C1547&amp;" "&amp;E1547&amp;" "&amp;G1547&amp;" "&amp;H1547&amp;" "&amp;I1547&amp;" "&amp;J1547&amp;" "&amp;K1547&amp;" "&amp;L1547))),OR($C$5="Semua",$C$5="",G1547=$C$5),OR($C$6="Semua",$C$6="",H1547=$C$6,H1547="Pengeluaran "&amp;$C$6,AND($C$6="Uang Kos Mama",H1547="Pengeluaran Uang Kos")),OR($C$7="Semua",$C$7="",I1547=$C$7),OR($C$8="Semua",$C$8="",C1547=$C$8,E1547=$C$8),OR($C$9="Semua",$C$9="",D1547=$C$9),OR($C$10="",B1547&gt;=$C$10),OR($C$11="",B1547&lt;=$C$11),OR($C$12&lt;&gt;"Ya",K1547&lt;&gt;""),OR($C$13="Semua",$C$13="",L1547=$C$13)),"✓","")</f>
        <v/>
      </c>
      <c r="N1547" s="93">
        <f>N(N1546)+IF(M1547="✓",1,0)</f>
        <v/>
      </c>
      <c r="O1547" s="93">
        <f>N(O1546)+IF(AND(B1547&lt;&gt;"",B1547&gt;='Uang Riba'!$H$30,B1547&lt;='Uang Riba'!$I$30,OR(H1547="Dana riba",H1547="Pinjam uang riba",I1547="Pinjam dari uang riba",I1547="Ganti uang riba",I1547="Kelebihan ganti dikembalikan",AND(C1547="Kantong Uang Riba",G1547="Pengeluaran"))),1,0)</f>
        <v/>
      </c>
      <c r="X1547" s="93">
        <f>IF(AND(B1547&lt;&gt;"",B1547&gt;='Buku Akun'!$H$4,B1547&lt;='Buku Akun'!$H$5,OR(C1547='Buku Akun'!$C$4,AND(D1547="Pindah",E1547='Buku Akun'!$C$4))),B1547+IF(AND(I1547="Selisih bunga",DAY(B1547)=1),0,0.01)+ROW()/10000000,"")</f>
        <v/>
      </c>
    </row>
    <row r="1548" outlineLevel="1" ht="15" customHeight="1" s="94">
      <c r="A1548" s="123">
        <f>IF(B1548="","",ROW()-15)</f>
        <v/>
      </c>
      <c r="B1548" s="124" t="n"/>
      <c r="C1548" s="123" t="n"/>
      <c r="D1548" s="123" t="n"/>
      <c r="E1548" s="123" t="n"/>
      <c r="F1548" s="125" t="n"/>
      <c r="G1548" s="123" t="n"/>
      <c r="H1548" s="123" t="n"/>
      <c r="I1548" s="123" t="n"/>
      <c r="J1548" s="123" t="n"/>
      <c r="K1548" s="123" t="n"/>
      <c r="L1548" s="123" t="n"/>
      <c r="M1548" s="123">
        <f>IF(AND(B1548&lt;&gt;"",OR($C$4="",ISNUMBER(SEARCH($C$4,C1548&amp;" "&amp;E1548&amp;" "&amp;G1548&amp;" "&amp;H1548&amp;" "&amp;I1548&amp;" "&amp;J1548&amp;" "&amp;K1548&amp;" "&amp;L1548))),OR($C$5="Semua",$C$5="",G1548=$C$5),OR($C$6="Semua",$C$6="",H1548=$C$6,H1548="Pengeluaran "&amp;$C$6,AND($C$6="Uang Kos Mama",H1548="Pengeluaran Uang Kos")),OR($C$7="Semua",$C$7="",I1548=$C$7),OR($C$8="Semua",$C$8="",C1548=$C$8,E1548=$C$8),OR($C$9="Semua",$C$9="",D1548=$C$9),OR($C$10="",B1548&gt;=$C$10),OR($C$11="",B1548&lt;=$C$11),OR($C$12&lt;&gt;"Ya",K1548&lt;&gt;""),OR($C$13="Semua",$C$13="",L1548=$C$13)),"✓","")</f>
        <v/>
      </c>
      <c r="N1548" s="93">
        <f>N(N1547)+IF(M1548="✓",1,0)</f>
        <v/>
      </c>
      <c r="O1548" s="93">
        <f>N(O1547)+IF(AND(B1548&lt;&gt;"",B1548&gt;='Uang Riba'!$H$30,B1548&lt;='Uang Riba'!$I$30,OR(H1548="Dana riba",H1548="Pinjam uang riba",I1548="Pinjam dari uang riba",I1548="Ganti uang riba",I1548="Kelebihan ganti dikembalikan",AND(C1548="Kantong Uang Riba",G1548="Pengeluaran"))),1,0)</f>
        <v/>
      </c>
      <c r="X1548" s="93">
        <f>IF(AND(B1548&lt;&gt;"",B1548&gt;='Buku Akun'!$H$4,B1548&lt;='Buku Akun'!$H$5,OR(C1548='Buku Akun'!$C$4,AND(D1548="Pindah",E1548='Buku Akun'!$C$4))),B1548+IF(AND(I1548="Selisih bunga",DAY(B1548)=1),0,0.01)+ROW()/10000000,"")</f>
        <v/>
      </c>
    </row>
    <row r="1549" outlineLevel="1" ht="15" customHeight="1" s="94">
      <c r="A1549" s="123">
        <f>IF(B1549="","",ROW()-15)</f>
        <v/>
      </c>
      <c r="B1549" s="124" t="n"/>
      <c r="C1549" s="123" t="n"/>
      <c r="D1549" s="123" t="n"/>
      <c r="E1549" s="123" t="n"/>
      <c r="F1549" s="125" t="n"/>
      <c r="G1549" s="123" t="n"/>
      <c r="H1549" s="123" t="n"/>
      <c r="I1549" s="123" t="n"/>
      <c r="J1549" s="123" t="n"/>
      <c r="K1549" s="123" t="n"/>
      <c r="L1549" s="123" t="n"/>
      <c r="M1549" s="123">
        <f>IF(AND(B1549&lt;&gt;"",OR($C$4="",ISNUMBER(SEARCH($C$4,C1549&amp;" "&amp;E1549&amp;" "&amp;G1549&amp;" "&amp;H1549&amp;" "&amp;I1549&amp;" "&amp;J1549&amp;" "&amp;K1549&amp;" "&amp;L1549))),OR($C$5="Semua",$C$5="",G1549=$C$5),OR($C$6="Semua",$C$6="",H1549=$C$6,H1549="Pengeluaran "&amp;$C$6,AND($C$6="Uang Kos Mama",H1549="Pengeluaran Uang Kos")),OR($C$7="Semua",$C$7="",I1549=$C$7),OR($C$8="Semua",$C$8="",C1549=$C$8,E1549=$C$8),OR($C$9="Semua",$C$9="",D1549=$C$9),OR($C$10="",B1549&gt;=$C$10),OR($C$11="",B1549&lt;=$C$11),OR($C$12&lt;&gt;"Ya",K1549&lt;&gt;""),OR($C$13="Semua",$C$13="",L1549=$C$13)),"✓","")</f>
        <v/>
      </c>
      <c r="N1549" s="93">
        <f>N(N1548)+IF(M1549="✓",1,0)</f>
        <v/>
      </c>
      <c r="O1549" s="93">
        <f>N(O1548)+IF(AND(B1549&lt;&gt;"",B1549&gt;='Uang Riba'!$H$30,B1549&lt;='Uang Riba'!$I$30,OR(H1549="Dana riba",H1549="Pinjam uang riba",I1549="Pinjam dari uang riba",I1549="Ganti uang riba",I1549="Kelebihan ganti dikembalikan",AND(C1549="Kantong Uang Riba",G1549="Pengeluaran"))),1,0)</f>
        <v/>
      </c>
      <c r="X1549" s="93">
        <f>IF(AND(B1549&lt;&gt;"",B1549&gt;='Buku Akun'!$H$4,B1549&lt;='Buku Akun'!$H$5,OR(C1549='Buku Akun'!$C$4,AND(D1549="Pindah",E1549='Buku Akun'!$C$4))),B1549+IF(AND(I1549="Selisih bunga",DAY(B1549)=1),0,0.01)+ROW()/10000000,"")</f>
        <v/>
      </c>
    </row>
    <row r="1550" outlineLevel="1" ht="15" customHeight="1" s="94">
      <c r="A1550" s="123">
        <f>IF(B1550="","",ROW()-15)</f>
        <v/>
      </c>
      <c r="B1550" s="124" t="n"/>
      <c r="C1550" s="123" t="n"/>
      <c r="D1550" s="123" t="n"/>
      <c r="E1550" s="123" t="n"/>
      <c r="F1550" s="125" t="n"/>
      <c r="G1550" s="123" t="n"/>
      <c r="H1550" s="123" t="n"/>
      <c r="I1550" s="123" t="n"/>
      <c r="J1550" s="123" t="n"/>
      <c r="K1550" s="123" t="n"/>
      <c r="L1550" s="123" t="n"/>
      <c r="M1550" s="123">
        <f>IF(AND(B1550&lt;&gt;"",OR($C$4="",ISNUMBER(SEARCH($C$4,C1550&amp;" "&amp;E1550&amp;" "&amp;G1550&amp;" "&amp;H1550&amp;" "&amp;I1550&amp;" "&amp;J1550&amp;" "&amp;K1550&amp;" "&amp;L1550))),OR($C$5="Semua",$C$5="",G1550=$C$5),OR($C$6="Semua",$C$6="",H1550=$C$6,H1550="Pengeluaran "&amp;$C$6,AND($C$6="Uang Kos Mama",H1550="Pengeluaran Uang Kos")),OR($C$7="Semua",$C$7="",I1550=$C$7),OR($C$8="Semua",$C$8="",C1550=$C$8,E1550=$C$8),OR($C$9="Semua",$C$9="",D1550=$C$9),OR($C$10="",B1550&gt;=$C$10),OR($C$11="",B1550&lt;=$C$11),OR($C$12&lt;&gt;"Ya",K1550&lt;&gt;""),OR($C$13="Semua",$C$13="",L1550=$C$13)),"✓","")</f>
        <v/>
      </c>
      <c r="N1550" s="93">
        <f>N(N1549)+IF(M1550="✓",1,0)</f>
        <v/>
      </c>
      <c r="O1550" s="93">
        <f>N(O1549)+IF(AND(B1550&lt;&gt;"",B1550&gt;='Uang Riba'!$H$30,B1550&lt;='Uang Riba'!$I$30,OR(H1550="Dana riba",H1550="Pinjam uang riba",I1550="Pinjam dari uang riba",I1550="Ganti uang riba",I1550="Kelebihan ganti dikembalikan",AND(C1550="Kantong Uang Riba",G1550="Pengeluaran"))),1,0)</f>
        <v/>
      </c>
      <c r="X1550" s="93">
        <f>IF(AND(B1550&lt;&gt;"",B1550&gt;='Buku Akun'!$H$4,B1550&lt;='Buku Akun'!$H$5,OR(C1550='Buku Akun'!$C$4,AND(D1550="Pindah",E1550='Buku Akun'!$C$4))),B1550+IF(AND(I1550="Selisih bunga",DAY(B1550)=1),0,0.01)+ROW()/10000000,"")</f>
        <v/>
      </c>
    </row>
    <row r="1551" outlineLevel="1" ht="15" customHeight="1" s="94">
      <c r="A1551" s="123">
        <f>IF(B1551="","",ROW()-15)</f>
        <v/>
      </c>
      <c r="B1551" s="124" t="n"/>
      <c r="C1551" s="123" t="n"/>
      <c r="D1551" s="123" t="n"/>
      <c r="E1551" s="123" t="n"/>
      <c r="F1551" s="125" t="n"/>
      <c r="G1551" s="123" t="n"/>
      <c r="H1551" s="123" t="n"/>
      <c r="I1551" s="123" t="n"/>
      <c r="J1551" s="123" t="n"/>
      <c r="K1551" s="123" t="n"/>
      <c r="L1551" s="123" t="n"/>
      <c r="M1551" s="123">
        <f>IF(AND(B1551&lt;&gt;"",OR($C$4="",ISNUMBER(SEARCH($C$4,C1551&amp;" "&amp;E1551&amp;" "&amp;G1551&amp;" "&amp;H1551&amp;" "&amp;I1551&amp;" "&amp;J1551&amp;" "&amp;K1551&amp;" "&amp;L1551))),OR($C$5="Semua",$C$5="",G1551=$C$5),OR($C$6="Semua",$C$6="",H1551=$C$6,H1551="Pengeluaran "&amp;$C$6,AND($C$6="Uang Kos Mama",H1551="Pengeluaran Uang Kos")),OR($C$7="Semua",$C$7="",I1551=$C$7),OR($C$8="Semua",$C$8="",C1551=$C$8,E1551=$C$8),OR($C$9="Semua",$C$9="",D1551=$C$9),OR($C$10="",B1551&gt;=$C$10),OR($C$11="",B1551&lt;=$C$11),OR($C$12&lt;&gt;"Ya",K1551&lt;&gt;""),OR($C$13="Semua",$C$13="",L1551=$C$13)),"✓","")</f>
        <v/>
      </c>
      <c r="N1551" s="93">
        <f>N(N1550)+IF(M1551="✓",1,0)</f>
        <v/>
      </c>
      <c r="O1551" s="93">
        <f>N(O1550)+IF(AND(B1551&lt;&gt;"",B1551&gt;='Uang Riba'!$H$30,B1551&lt;='Uang Riba'!$I$30,OR(H1551="Dana riba",H1551="Pinjam uang riba",I1551="Pinjam dari uang riba",I1551="Ganti uang riba",I1551="Kelebihan ganti dikembalikan",AND(C1551="Kantong Uang Riba",G1551="Pengeluaran"))),1,0)</f>
        <v/>
      </c>
      <c r="X1551" s="93">
        <f>IF(AND(B1551&lt;&gt;"",B1551&gt;='Buku Akun'!$H$4,B1551&lt;='Buku Akun'!$H$5,OR(C1551='Buku Akun'!$C$4,AND(D1551="Pindah",E1551='Buku Akun'!$C$4))),B1551+IF(AND(I1551="Selisih bunga",DAY(B1551)=1),0,0.01)+ROW()/10000000,"")</f>
        <v/>
      </c>
    </row>
    <row r="1552" outlineLevel="1" ht="15" customHeight="1" s="94">
      <c r="A1552" s="123">
        <f>IF(B1552="","",ROW()-15)</f>
        <v/>
      </c>
      <c r="B1552" s="124" t="n"/>
      <c r="C1552" s="123" t="n"/>
      <c r="D1552" s="123" t="n"/>
      <c r="E1552" s="123" t="n"/>
      <c r="F1552" s="125" t="n"/>
      <c r="G1552" s="123" t="n"/>
      <c r="H1552" s="123" t="n"/>
      <c r="I1552" s="123" t="n"/>
      <c r="J1552" s="123" t="n"/>
      <c r="K1552" s="123" t="n"/>
      <c r="L1552" s="123" t="n"/>
      <c r="M1552" s="123">
        <f>IF(AND(B1552&lt;&gt;"",OR($C$4="",ISNUMBER(SEARCH($C$4,C1552&amp;" "&amp;E1552&amp;" "&amp;G1552&amp;" "&amp;H1552&amp;" "&amp;I1552&amp;" "&amp;J1552&amp;" "&amp;K1552&amp;" "&amp;L1552))),OR($C$5="Semua",$C$5="",G1552=$C$5),OR($C$6="Semua",$C$6="",H1552=$C$6,H1552="Pengeluaran "&amp;$C$6,AND($C$6="Uang Kos Mama",H1552="Pengeluaran Uang Kos")),OR($C$7="Semua",$C$7="",I1552=$C$7),OR($C$8="Semua",$C$8="",C1552=$C$8,E1552=$C$8),OR($C$9="Semua",$C$9="",D1552=$C$9),OR($C$10="",B1552&gt;=$C$10),OR($C$11="",B1552&lt;=$C$11),OR($C$12&lt;&gt;"Ya",K1552&lt;&gt;""),OR($C$13="Semua",$C$13="",L1552=$C$13)),"✓","")</f>
        <v/>
      </c>
      <c r="N1552" s="93">
        <f>N(N1551)+IF(M1552="✓",1,0)</f>
        <v/>
      </c>
      <c r="O1552" s="93">
        <f>N(O1551)+IF(AND(B1552&lt;&gt;"",B1552&gt;='Uang Riba'!$H$30,B1552&lt;='Uang Riba'!$I$30,OR(H1552="Dana riba",H1552="Pinjam uang riba",I1552="Pinjam dari uang riba",I1552="Ganti uang riba",I1552="Kelebihan ganti dikembalikan",AND(C1552="Kantong Uang Riba",G1552="Pengeluaran"))),1,0)</f>
        <v/>
      </c>
      <c r="X1552" s="93">
        <f>IF(AND(B1552&lt;&gt;"",B1552&gt;='Buku Akun'!$H$4,B1552&lt;='Buku Akun'!$H$5,OR(C1552='Buku Akun'!$C$4,AND(D1552="Pindah",E1552='Buku Akun'!$C$4))),B1552+IF(AND(I1552="Selisih bunga",DAY(B1552)=1),0,0.01)+ROW()/10000000,"")</f>
        <v/>
      </c>
    </row>
    <row r="1553" outlineLevel="1" ht="15" customHeight="1" s="94">
      <c r="A1553" s="123">
        <f>IF(B1553="","",ROW()-15)</f>
        <v/>
      </c>
      <c r="B1553" s="124" t="n"/>
      <c r="C1553" s="123" t="n"/>
      <c r="D1553" s="123" t="n"/>
      <c r="E1553" s="123" t="n"/>
      <c r="F1553" s="125" t="n"/>
      <c r="G1553" s="123" t="n"/>
      <c r="H1553" s="123" t="n"/>
      <c r="I1553" s="123" t="n"/>
      <c r="J1553" s="123" t="n"/>
      <c r="K1553" s="123" t="n"/>
      <c r="L1553" s="123" t="n"/>
      <c r="M1553" s="123">
        <f>IF(AND(B1553&lt;&gt;"",OR($C$4="",ISNUMBER(SEARCH($C$4,C1553&amp;" "&amp;E1553&amp;" "&amp;G1553&amp;" "&amp;H1553&amp;" "&amp;I1553&amp;" "&amp;J1553&amp;" "&amp;K1553&amp;" "&amp;L1553))),OR($C$5="Semua",$C$5="",G1553=$C$5),OR($C$6="Semua",$C$6="",H1553=$C$6,H1553="Pengeluaran "&amp;$C$6,AND($C$6="Uang Kos Mama",H1553="Pengeluaran Uang Kos")),OR($C$7="Semua",$C$7="",I1553=$C$7),OR($C$8="Semua",$C$8="",C1553=$C$8,E1553=$C$8),OR($C$9="Semua",$C$9="",D1553=$C$9),OR($C$10="",B1553&gt;=$C$10),OR($C$11="",B1553&lt;=$C$11),OR($C$12&lt;&gt;"Ya",K1553&lt;&gt;""),OR($C$13="Semua",$C$13="",L1553=$C$13)),"✓","")</f>
        <v/>
      </c>
      <c r="N1553" s="93">
        <f>N(N1552)+IF(M1553="✓",1,0)</f>
        <v/>
      </c>
      <c r="O1553" s="93">
        <f>N(O1552)+IF(AND(B1553&lt;&gt;"",B1553&gt;='Uang Riba'!$H$30,B1553&lt;='Uang Riba'!$I$30,OR(H1553="Dana riba",H1553="Pinjam uang riba",I1553="Pinjam dari uang riba",I1553="Ganti uang riba",I1553="Kelebihan ganti dikembalikan",AND(C1553="Kantong Uang Riba",G1553="Pengeluaran"))),1,0)</f>
        <v/>
      </c>
      <c r="X1553" s="93">
        <f>IF(AND(B1553&lt;&gt;"",B1553&gt;='Buku Akun'!$H$4,B1553&lt;='Buku Akun'!$H$5,OR(C1553='Buku Akun'!$C$4,AND(D1553="Pindah",E1553='Buku Akun'!$C$4))),B1553+IF(AND(I1553="Selisih bunga",DAY(B1553)=1),0,0.01)+ROW()/10000000,"")</f>
        <v/>
      </c>
    </row>
    <row r="1554" outlineLevel="1" ht="15" customHeight="1" s="94">
      <c r="A1554" s="123">
        <f>IF(B1554="","",ROW()-15)</f>
        <v/>
      </c>
      <c r="B1554" s="124" t="n"/>
      <c r="C1554" s="123" t="n"/>
      <c r="D1554" s="123" t="n"/>
      <c r="E1554" s="123" t="n"/>
      <c r="F1554" s="125" t="n"/>
      <c r="G1554" s="123" t="n"/>
      <c r="H1554" s="123" t="n"/>
      <c r="I1554" s="123" t="n"/>
      <c r="J1554" s="123" t="n"/>
      <c r="K1554" s="123" t="n"/>
      <c r="L1554" s="123" t="n"/>
      <c r="M1554" s="123">
        <f>IF(AND(B1554&lt;&gt;"",OR($C$4="",ISNUMBER(SEARCH($C$4,C1554&amp;" "&amp;E1554&amp;" "&amp;G1554&amp;" "&amp;H1554&amp;" "&amp;I1554&amp;" "&amp;J1554&amp;" "&amp;K1554&amp;" "&amp;L1554))),OR($C$5="Semua",$C$5="",G1554=$C$5),OR($C$6="Semua",$C$6="",H1554=$C$6,H1554="Pengeluaran "&amp;$C$6,AND($C$6="Uang Kos Mama",H1554="Pengeluaran Uang Kos")),OR($C$7="Semua",$C$7="",I1554=$C$7),OR($C$8="Semua",$C$8="",C1554=$C$8,E1554=$C$8),OR($C$9="Semua",$C$9="",D1554=$C$9),OR($C$10="",B1554&gt;=$C$10),OR($C$11="",B1554&lt;=$C$11),OR($C$12&lt;&gt;"Ya",K1554&lt;&gt;""),OR($C$13="Semua",$C$13="",L1554=$C$13)),"✓","")</f>
        <v/>
      </c>
      <c r="N1554" s="93">
        <f>N(N1553)+IF(M1554="✓",1,0)</f>
        <v/>
      </c>
      <c r="O1554" s="93">
        <f>N(O1553)+IF(AND(B1554&lt;&gt;"",B1554&gt;='Uang Riba'!$H$30,B1554&lt;='Uang Riba'!$I$30,OR(H1554="Dana riba",H1554="Pinjam uang riba",I1554="Pinjam dari uang riba",I1554="Ganti uang riba",I1554="Kelebihan ganti dikembalikan",AND(C1554="Kantong Uang Riba",G1554="Pengeluaran"))),1,0)</f>
        <v/>
      </c>
      <c r="X1554" s="93">
        <f>IF(AND(B1554&lt;&gt;"",B1554&gt;='Buku Akun'!$H$4,B1554&lt;='Buku Akun'!$H$5,OR(C1554='Buku Akun'!$C$4,AND(D1554="Pindah",E1554='Buku Akun'!$C$4))),B1554+IF(AND(I1554="Selisih bunga",DAY(B1554)=1),0,0.01)+ROW()/10000000,"")</f>
        <v/>
      </c>
    </row>
    <row r="1555" outlineLevel="1" ht="15" customHeight="1" s="94">
      <c r="A1555" s="123">
        <f>IF(B1555="","",ROW()-15)</f>
        <v/>
      </c>
      <c r="B1555" s="124" t="n"/>
      <c r="C1555" s="123" t="n"/>
      <c r="D1555" s="123" t="n"/>
      <c r="E1555" s="123" t="n"/>
      <c r="F1555" s="125" t="n"/>
      <c r="G1555" s="123" t="n"/>
      <c r="H1555" s="123" t="n"/>
      <c r="I1555" s="123" t="n"/>
      <c r="J1555" s="123" t="n"/>
      <c r="K1555" s="123" t="n"/>
      <c r="L1555" s="123" t="n"/>
      <c r="M1555" s="123">
        <f>IF(AND(B1555&lt;&gt;"",OR($C$4="",ISNUMBER(SEARCH($C$4,C1555&amp;" "&amp;E1555&amp;" "&amp;G1555&amp;" "&amp;H1555&amp;" "&amp;I1555&amp;" "&amp;J1555&amp;" "&amp;K1555&amp;" "&amp;L1555))),OR($C$5="Semua",$C$5="",G1555=$C$5),OR($C$6="Semua",$C$6="",H1555=$C$6,H1555="Pengeluaran "&amp;$C$6,AND($C$6="Uang Kos Mama",H1555="Pengeluaran Uang Kos")),OR($C$7="Semua",$C$7="",I1555=$C$7),OR($C$8="Semua",$C$8="",C1555=$C$8,E1555=$C$8),OR($C$9="Semua",$C$9="",D1555=$C$9),OR($C$10="",B1555&gt;=$C$10),OR($C$11="",B1555&lt;=$C$11),OR($C$12&lt;&gt;"Ya",K1555&lt;&gt;""),OR($C$13="Semua",$C$13="",L1555=$C$13)),"✓","")</f>
        <v/>
      </c>
      <c r="N1555" s="93">
        <f>N(N1554)+IF(M1555="✓",1,0)</f>
        <v/>
      </c>
      <c r="O1555" s="93">
        <f>N(O1554)+IF(AND(B1555&lt;&gt;"",B1555&gt;='Uang Riba'!$H$30,B1555&lt;='Uang Riba'!$I$30,OR(H1555="Dana riba",H1555="Pinjam uang riba",I1555="Pinjam dari uang riba",I1555="Ganti uang riba",I1555="Kelebihan ganti dikembalikan",AND(C1555="Kantong Uang Riba",G1555="Pengeluaran"))),1,0)</f>
        <v/>
      </c>
      <c r="X1555" s="93">
        <f>IF(AND(B1555&lt;&gt;"",B1555&gt;='Buku Akun'!$H$4,B1555&lt;='Buku Akun'!$H$5,OR(C1555='Buku Akun'!$C$4,AND(D1555="Pindah",E1555='Buku Akun'!$C$4))),B1555+IF(AND(I1555="Selisih bunga",DAY(B1555)=1),0,0.01)+ROW()/10000000,"")</f>
        <v/>
      </c>
    </row>
    <row r="1556" outlineLevel="1" ht="15" customHeight="1" s="94">
      <c r="A1556" s="123">
        <f>IF(B1556="","",ROW()-15)</f>
        <v/>
      </c>
      <c r="B1556" s="124" t="n"/>
      <c r="C1556" s="123" t="n"/>
      <c r="D1556" s="123" t="n"/>
      <c r="E1556" s="123" t="n"/>
      <c r="F1556" s="125" t="n"/>
      <c r="G1556" s="123" t="n"/>
      <c r="H1556" s="123" t="n"/>
      <c r="I1556" s="123" t="n"/>
      <c r="J1556" s="123" t="n"/>
      <c r="K1556" s="123" t="n"/>
      <c r="L1556" s="123" t="n"/>
      <c r="M1556" s="123">
        <f>IF(AND(B1556&lt;&gt;"",OR($C$4="",ISNUMBER(SEARCH($C$4,C1556&amp;" "&amp;E1556&amp;" "&amp;G1556&amp;" "&amp;H1556&amp;" "&amp;I1556&amp;" "&amp;J1556&amp;" "&amp;K1556&amp;" "&amp;L1556))),OR($C$5="Semua",$C$5="",G1556=$C$5),OR($C$6="Semua",$C$6="",H1556=$C$6,H1556="Pengeluaran "&amp;$C$6,AND($C$6="Uang Kos Mama",H1556="Pengeluaran Uang Kos")),OR($C$7="Semua",$C$7="",I1556=$C$7),OR($C$8="Semua",$C$8="",C1556=$C$8,E1556=$C$8),OR($C$9="Semua",$C$9="",D1556=$C$9),OR($C$10="",B1556&gt;=$C$10),OR($C$11="",B1556&lt;=$C$11),OR($C$12&lt;&gt;"Ya",K1556&lt;&gt;""),OR($C$13="Semua",$C$13="",L1556=$C$13)),"✓","")</f>
        <v/>
      </c>
      <c r="N1556" s="93">
        <f>N(N1555)+IF(M1556="✓",1,0)</f>
        <v/>
      </c>
      <c r="O1556" s="93">
        <f>N(O1555)+IF(AND(B1556&lt;&gt;"",B1556&gt;='Uang Riba'!$H$30,B1556&lt;='Uang Riba'!$I$30,OR(H1556="Dana riba",H1556="Pinjam uang riba",I1556="Pinjam dari uang riba",I1556="Ganti uang riba",I1556="Kelebihan ganti dikembalikan",AND(C1556="Kantong Uang Riba",G1556="Pengeluaran"))),1,0)</f>
        <v/>
      </c>
      <c r="X1556" s="93">
        <f>IF(AND(B1556&lt;&gt;"",B1556&gt;='Buku Akun'!$H$4,B1556&lt;='Buku Akun'!$H$5,OR(C1556='Buku Akun'!$C$4,AND(D1556="Pindah",E1556='Buku Akun'!$C$4))),B1556+IF(AND(I1556="Selisih bunga",DAY(B1556)=1),0,0.01)+ROW()/10000000,"")</f>
        <v/>
      </c>
    </row>
    <row r="1557" outlineLevel="1" ht="15" customHeight="1" s="94">
      <c r="A1557" s="123">
        <f>IF(B1557="","",ROW()-15)</f>
        <v/>
      </c>
      <c r="B1557" s="124" t="n"/>
      <c r="C1557" s="123" t="n"/>
      <c r="D1557" s="123" t="n"/>
      <c r="E1557" s="123" t="n"/>
      <c r="F1557" s="125" t="n"/>
      <c r="G1557" s="123" t="n"/>
      <c r="H1557" s="123" t="n"/>
      <c r="I1557" s="123" t="n"/>
      <c r="J1557" s="123" t="n"/>
      <c r="K1557" s="123" t="n"/>
      <c r="L1557" s="123" t="n"/>
      <c r="M1557" s="123">
        <f>IF(AND(B1557&lt;&gt;"",OR($C$4="",ISNUMBER(SEARCH($C$4,C1557&amp;" "&amp;E1557&amp;" "&amp;G1557&amp;" "&amp;H1557&amp;" "&amp;I1557&amp;" "&amp;J1557&amp;" "&amp;K1557&amp;" "&amp;L1557))),OR($C$5="Semua",$C$5="",G1557=$C$5),OR($C$6="Semua",$C$6="",H1557=$C$6,H1557="Pengeluaran "&amp;$C$6,AND($C$6="Uang Kos Mama",H1557="Pengeluaran Uang Kos")),OR($C$7="Semua",$C$7="",I1557=$C$7),OR($C$8="Semua",$C$8="",C1557=$C$8,E1557=$C$8),OR($C$9="Semua",$C$9="",D1557=$C$9),OR($C$10="",B1557&gt;=$C$10),OR($C$11="",B1557&lt;=$C$11),OR($C$12&lt;&gt;"Ya",K1557&lt;&gt;""),OR($C$13="Semua",$C$13="",L1557=$C$13)),"✓","")</f>
        <v/>
      </c>
      <c r="N1557" s="93">
        <f>N(N1556)+IF(M1557="✓",1,0)</f>
        <v/>
      </c>
      <c r="O1557" s="93">
        <f>N(O1556)+IF(AND(B1557&lt;&gt;"",B1557&gt;='Uang Riba'!$H$30,B1557&lt;='Uang Riba'!$I$30,OR(H1557="Dana riba",H1557="Pinjam uang riba",I1557="Pinjam dari uang riba",I1557="Ganti uang riba",I1557="Kelebihan ganti dikembalikan",AND(C1557="Kantong Uang Riba",G1557="Pengeluaran"))),1,0)</f>
        <v/>
      </c>
      <c r="X1557" s="93">
        <f>IF(AND(B1557&lt;&gt;"",B1557&gt;='Buku Akun'!$H$4,B1557&lt;='Buku Akun'!$H$5,OR(C1557='Buku Akun'!$C$4,AND(D1557="Pindah",E1557='Buku Akun'!$C$4))),B1557+IF(AND(I1557="Selisih bunga",DAY(B1557)=1),0,0.01)+ROW()/10000000,"")</f>
        <v/>
      </c>
    </row>
    <row r="1558" outlineLevel="1" ht="15" customHeight="1" s="94">
      <c r="A1558" s="123">
        <f>IF(B1558="","",ROW()-15)</f>
        <v/>
      </c>
      <c r="B1558" s="124" t="n"/>
      <c r="C1558" s="123" t="n"/>
      <c r="D1558" s="123" t="n"/>
      <c r="E1558" s="123" t="n"/>
      <c r="F1558" s="125" t="n"/>
      <c r="G1558" s="123" t="n"/>
      <c r="H1558" s="123" t="n"/>
      <c r="I1558" s="123" t="n"/>
      <c r="J1558" s="123" t="n"/>
      <c r="K1558" s="123" t="n"/>
      <c r="L1558" s="123" t="n"/>
      <c r="M1558" s="123">
        <f>IF(AND(B1558&lt;&gt;"",OR($C$4="",ISNUMBER(SEARCH($C$4,C1558&amp;" "&amp;E1558&amp;" "&amp;G1558&amp;" "&amp;H1558&amp;" "&amp;I1558&amp;" "&amp;J1558&amp;" "&amp;K1558&amp;" "&amp;L1558))),OR($C$5="Semua",$C$5="",G1558=$C$5),OR($C$6="Semua",$C$6="",H1558=$C$6,H1558="Pengeluaran "&amp;$C$6,AND($C$6="Uang Kos Mama",H1558="Pengeluaran Uang Kos")),OR($C$7="Semua",$C$7="",I1558=$C$7),OR($C$8="Semua",$C$8="",C1558=$C$8,E1558=$C$8),OR($C$9="Semua",$C$9="",D1558=$C$9),OR($C$10="",B1558&gt;=$C$10),OR($C$11="",B1558&lt;=$C$11),OR($C$12&lt;&gt;"Ya",K1558&lt;&gt;""),OR($C$13="Semua",$C$13="",L1558=$C$13)),"✓","")</f>
        <v/>
      </c>
      <c r="N1558" s="93">
        <f>N(N1557)+IF(M1558="✓",1,0)</f>
        <v/>
      </c>
      <c r="O1558" s="93">
        <f>N(O1557)+IF(AND(B1558&lt;&gt;"",B1558&gt;='Uang Riba'!$H$30,B1558&lt;='Uang Riba'!$I$30,OR(H1558="Dana riba",H1558="Pinjam uang riba",I1558="Pinjam dari uang riba",I1558="Ganti uang riba",I1558="Kelebihan ganti dikembalikan",AND(C1558="Kantong Uang Riba",G1558="Pengeluaran"))),1,0)</f>
        <v/>
      </c>
      <c r="X1558" s="93">
        <f>IF(AND(B1558&lt;&gt;"",B1558&gt;='Buku Akun'!$H$4,B1558&lt;='Buku Akun'!$H$5,OR(C1558='Buku Akun'!$C$4,AND(D1558="Pindah",E1558='Buku Akun'!$C$4))),B1558+IF(AND(I1558="Selisih bunga",DAY(B1558)=1),0,0.01)+ROW()/10000000,"")</f>
        <v/>
      </c>
    </row>
    <row r="1559" outlineLevel="1" ht="15" customHeight="1" s="94">
      <c r="A1559" s="123">
        <f>IF(B1559="","",ROW()-15)</f>
        <v/>
      </c>
      <c r="B1559" s="124" t="n"/>
      <c r="C1559" s="123" t="n"/>
      <c r="D1559" s="123" t="n"/>
      <c r="E1559" s="123" t="n"/>
      <c r="F1559" s="125" t="n"/>
      <c r="G1559" s="123" t="n"/>
      <c r="H1559" s="123" t="n"/>
      <c r="I1559" s="123" t="n"/>
      <c r="J1559" s="123" t="n"/>
      <c r="K1559" s="123" t="n"/>
      <c r="L1559" s="123" t="n"/>
      <c r="M1559" s="123">
        <f>IF(AND(B1559&lt;&gt;"",OR($C$4="",ISNUMBER(SEARCH($C$4,C1559&amp;" "&amp;E1559&amp;" "&amp;G1559&amp;" "&amp;H1559&amp;" "&amp;I1559&amp;" "&amp;J1559&amp;" "&amp;K1559&amp;" "&amp;L1559))),OR($C$5="Semua",$C$5="",G1559=$C$5),OR($C$6="Semua",$C$6="",H1559=$C$6,H1559="Pengeluaran "&amp;$C$6,AND($C$6="Uang Kos Mama",H1559="Pengeluaran Uang Kos")),OR($C$7="Semua",$C$7="",I1559=$C$7),OR($C$8="Semua",$C$8="",C1559=$C$8,E1559=$C$8),OR($C$9="Semua",$C$9="",D1559=$C$9),OR($C$10="",B1559&gt;=$C$10),OR($C$11="",B1559&lt;=$C$11),OR($C$12&lt;&gt;"Ya",K1559&lt;&gt;""),OR($C$13="Semua",$C$13="",L1559=$C$13)),"✓","")</f>
        <v/>
      </c>
      <c r="N1559" s="93">
        <f>N(N1558)+IF(M1559="✓",1,0)</f>
        <v/>
      </c>
      <c r="O1559" s="93">
        <f>N(O1558)+IF(AND(B1559&lt;&gt;"",B1559&gt;='Uang Riba'!$H$30,B1559&lt;='Uang Riba'!$I$30,OR(H1559="Dana riba",H1559="Pinjam uang riba",I1559="Pinjam dari uang riba",I1559="Ganti uang riba",I1559="Kelebihan ganti dikembalikan",AND(C1559="Kantong Uang Riba",G1559="Pengeluaran"))),1,0)</f>
        <v/>
      </c>
      <c r="X1559" s="93">
        <f>IF(AND(B1559&lt;&gt;"",B1559&gt;='Buku Akun'!$H$4,B1559&lt;='Buku Akun'!$H$5,OR(C1559='Buku Akun'!$C$4,AND(D1559="Pindah",E1559='Buku Akun'!$C$4))),B1559+IF(AND(I1559="Selisih bunga",DAY(B1559)=1),0,0.01)+ROW()/10000000,"")</f>
        <v/>
      </c>
    </row>
    <row r="1560" outlineLevel="1" ht="15" customHeight="1" s="94">
      <c r="A1560" s="123">
        <f>IF(B1560="","",ROW()-15)</f>
        <v/>
      </c>
      <c r="B1560" s="124" t="n"/>
      <c r="C1560" s="123" t="n"/>
      <c r="D1560" s="123" t="n"/>
      <c r="E1560" s="123" t="n"/>
      <c r="F1560" s="125" t="n"/>
      <c r="G1560" s="123" t="n"/>
      <c r="H1560" s="123" t="n"/>
      <c r="I1560" s="123" t="n"/>
      <c r="J1560" s="123" t="n"/>
      <c r="K1560" s="123" t="n"/>
      <c r="L1560" s="123" t="n"/>
      <c r="M1560" s="123">
        <f>IF(AND(B1560&lt;&gt;"",OR($C$4="",ISNUMBER(SEARCH($C$4,C1560&amp;" "&amp;E1560&amp;" "&amp;G1560&amp;" "&amp;H1560&amp;" "&amp;I1560&amp;" "&amp;J1560&amp;" "&amp;K1560&amp;" "&amp;L1560))),OR($C$5="Semua",$C$5="",G1560=$C$5),OR($C$6="Semua",$C$6="",H1560=$C$6,H1560="Pengeluaran "&amp;$C$6,AND($C$6="Uang Kos Mama",H1560="Pengeluaran Uang Kos")),OR($C$7="Semua",$C$7="",I1560=$C$7),OR($C$8="Semua",$C$8="",C1560=$C$8,E1560=$C$8),OR($C$9="Semua",$C$9="",D1560=$C$9),OR($C$10="",B1560&gt;=$C$10),OR($C$11="",B1560&lt;=$C$11),OR($C$12&lt;&gt;"Ya",K1560&lt;&gt;""),OR($C$13="Semua",$C$13="",L1560=$C$13)),"✓","")</f>
        <v/>
      </c>
      <c r="N1560" s="93">
        <f>N(N1559)+IF(M1560="✓",1,0)</f>
        <v/>
      </c>
      <c r="O1560" s="93">
        <f>N(O1559)+IF(AND(B1560&lt;&gt;"",B1560&gt;='Uang Riba'!$H$30,B1560&lt;='Uang Riba'!$I$30,OR(H1560="Dana riba",H1560="Pinjam uang riba",I1560="Pinjam dari uang riba",I1560="Ganti uang riba",I1560="Kelebihan ganti dikembalikan",AND(C1560="Kantong Uang Riba",G1560="Pengeluaran"))),1,0)</f>
        <v/>
      </c>
      <c r="X1560" s="93">
        <f>IF(AND(B1560&lt;&gt;"",B1560&gt;='Buku Akun'!$H$4,B1560&lt;='Buku Akun'!$H$5,OR(C1560='Buku Akun'!$C$4,AND(D1560="Pindah",E1560='Buku Akun'!$C$4))),B1560+IF(AND(I1560="Selisih bunga",DAY(B1560)=1),0,0.01)+ROW()/10000000,"")</f>
        <v/>
      </c>
    </row>
    <row r="1561" outlineLevel="1" ht="15" customHeight="1" s="94">
      <c r="A1561" s="123">
        <f>IF(B1561="","",ROW()-15)</f>
        <v/>
      </c>
      <c r="B1561" s="124" t="n"/>
      <c r="C1561" s="123" t="n"/>
      <c r="D1561" s="123" t="n"/>
      <c r="E1561" s="123" t="n"/>
      <c r="F1561" s="125" t="n"/>
      <c r="G1561" s="123" t="n"/>
      <c r="H1561" s="123" t="n"/>
      <c r="I1561" s="123" t="n"/>
      <c r="J1561" s="123" t="n"/>
      <c r="K1561" s="123" t="n"/>
      <c r="L1561" s="123" t="n"/>
      <c r="M1561" s="123">
        <f>IF(AND(B1561&lt;&gt;"",OR($C$4="",ISNUMBER(SEARCH($C$4,C1561&amp;" "&amp;E1561&amp;" "&amp;G1561&amp;" "&amp;H1561&amp;" "&amp;I1561&amp;" "&amp;J1561&amp;" "&amp;K1561&amp;" "&amp;L1561))),OR($C$5="Semua",$C$5="",G1561=$C$5),OR($C$6="Semua",$C$6="",H1561=$C$6,H1561="Pengeluaran "&amp;$C$6,AND($C$6="Uang Kos Mama",H1561="Pengeluaran Uang Kos")),OR($C$7="Semua",$C$7="",I1561=$C$7),OR($C$8="Semua",$C$8="",C1561=$C$8,E1561=$C$8),OR($C$9="Semua",$C$9="",D1561=$C$9),OR($C$10="",B1561&gt;=$C$10),OR($C$11="",B1561&lt;=$C$11),OR($C$12&lt;&gt;"Ya",K1561&lt;&gt;""),OR($C$13="Semua",$C$13="",L1561=$C$13)),"✓","")</f>
        <v/>
      </c>
      <c r="N1561" s="93">
        <f>N(N1560)+IF(M1561="✓",1,0)</f>
        <v/>
      </c>
      <c r="O1561" s="93">
        <f>N(O1560)+IF(AND(B1561&lt;&gt;"",B1561&gt;='Uang Riba'!$H$30,B1561&lt;='Uang Riba'!$I$30,OR(H1561="Dana riba",H1561="Pinjam uang riba",I1561="Pinjam dari uang riba",I1561="Ganti uang riba",I1561="Kelebihan ganti dikembalikan",AND(C1561="Kantong Uang Riba",G1561="Pengeluaran"))),1,0)</f>
        <v/>
      </c>
      <c r="X1561" s="93">
        <f>IF(AND(B1561&lt;&gt;"",B1561&gt;='Buku Akun'!$H$4,B1561&lt;='Buku Akun'!$H$5,OR(C1561='Buku Akun'!$C$4,AND(D1561="Pindah",E1561='Buku Akun'!$C$4))),B1561+IF(AND(I1561="Selisih bunga",DAY(B1561)=1),0,0.01)+ROW()/10000000,"")</f>
        <v/>
      </c>
    </row>
    <row r="1562" outlineLevel="1" ht="15" customHeight="1" s="94">
      <c r="A1562" s="123">
        <f>IF(B1562="","",ROW()-15)</f>
        <v/>
      </c>
      <c r="B1562" s="124" t="n"/>
      <c r="C1562" s="123" t="n"/>
      <c r="D1562" s="123" t="n"/>
      <c r="E1562" s="123" t="n"/>
      <c r="F1562" s="125" t="n"/>
      <c r="G1562" s="123" t="n"/>
      <c r="H1562" s="123" t="n"/>
      <c r="I1562" s="123" t="n"/>
      <c r="J1562" s="123" t="n"/>
      <c r="K1562" s="123" t="n"/>
      <c r="L1562" s="123" t="n"/>
      <c r="M1562" s="123">
        <f>IF(AND(B1562&lt;&gt;"",OR($C$4="",ISNUMBER(SEARCH($C$4,C1562&amp;" "&amp;E1562&amp;" "&amp;G1562&amp;" "&amp;H1562&amp;" "&amp;I1562&amp;" "&amp;J1562&amp;" "&amp;K1562&amp;" "&amp;L1562))),OR($C$5="Semua",$C$5="",G1562=$C$5),OR($C$6="Semua",$C$6="",H1562=$C$6,H1562="Pengeluaran "&amp;$C$6,AND($C$6="Uang Kos Mama",H1562="Pengeluaran Uang Kos")),OR($C$7="Semua",$C$7="",I1562=$C$7),OR($C$8="Semua",$C$8="",C1562=$C$8,E1562=$C$8),OR($C$9="Semua",$C$9="",D1562=$C$9),OR($C$10="",B1562&gt;=$C$10),OR($C$11="",B1562&lt;=$C$11),OR($C$12&lt;&gt;"Ya",K1562&lt;&gt;""),OR($C$13="Semua",$C$13="",L1562=$C$13)),"✓","")</f>
        <v/>
      </c>
      <c r="N1562" s="93">
        <f>N(N1561)+IF(M1562="✓",1,0)</f>
        <v/>
      </c>
      <c r="O1562" s="93">
        <f>N(O1561)+IF(AND(B1562&lt;&gt;"",B1562&gt;='Uang Riba'!$H$30,B1562&lt;='Uang Riba'!$I$30,OR(H1562="Dana riba",H1562="Pinjam uang riba",I1562="Pinjam dari uang riba",I1562="Ganti uang riba",I1562="Kelebihan ganti dikembalikan",AND(C1562="Kantong Uang Riba",G1562="Pengeluaran"))),1,0)</f>
        <v/>
      </c>
      <c r="X1562" s="93">
        <f>IF(AND(B1562&lt;&gt;"",B1562&gt;='Buku Akun'!$H$4,B1562&lt;='Buku Akun'!$H$5,OR(C1562='Buku Akun'!$C$4,AND(D1562="Pindah",E1562='Buku Akun'!$C$4))),B1562+IF(AND(I1562="Selisih bunga",DAY(B1562)=1),0,0.01)+ROW()/10000000,"")</f>
        <v/>
      </c>
    </row>
    <row r="1563" outlineLevel="1" ht="15" customHeight="1" s="94">
      <c r="A1563" s="123">
        <f>IF(B1563="","",ROW()-15)</f>
        <v/>
      </c>
      <c r="B1563" s="124" t="n"/>
      <c r="C1563" s="123" t="n"/>
      <c r="D1563" s="123" t="n"/>
      <c r="E1563" s="123" t="n"/>
      <c r="F1563" s="125" t="n"/>
      <c r="G1563" s="123" t="n"/>
      <c r="H1563" s="123" t="n"/>
      <c r="I1563" s="123" t="n"/>
      <c r="J1563" s="123" t="n"/>
      <c r="K1563" s="123" t="n"/>
      <c r="L1563" s="123" t="n"/>
      <c r="M1563" s="123">
        <f>IF(AND(B1563&lt;&gt;"",OR($C$4="",ISNUMBER(SEARCH($C$4,C1563&amp;" "&amp;E1563&amp;" "&amp;G1563&amp;" "&amp;H1563&amp;" "&amp;I1563&amp;" "&amp;J1563&amp;" "&amp;K1563&amp;" "&amp;L1563))),OR($C$5="Semua",$C$5="",G1563=$C$5),OR($C$6="Semua",$C$6="",H1563=$C$6,H1563="Pengeluaran "&amp;$C$6,AND($C$6="Uang Kos Mama",H1563="Pengeluaran Uang Kos")),OR($C$7="Semua",$C$7="",I1563=$C$7),OR($C$8="Semua",$C$8="",C1563=$C$8,E1563=$C$8),OR($C$9="Semua",$C$9="",D1563=$C$9),OR($C$10="",B1563&gt;=$C$10),OR($C$11="",B1563&lt;=$C$11),OR($C$12&lt;&gt;"Ya",K1563&lt;&gt;""),OR($C$13="Semua",$C$13="",L1563=$C$13)),"✓","")</f>
        <v/>
      </c>
      <c r="N1563" s="93">
        <f>N(N1562)+IF(M1563="✓",1,0)</f>
        <v/>
      </c>
      <c r="O1563" s="93">
        <f>N(O1562)+IF(AND(B1563&lt;&gt;"",B1563&gt;='Uang Riba'!$H$30,B1563&lt;='Uang Riba'!$I$30,OR(H1563="Dana riba",H1563="Pinjam uang riba",I1563="Pinjam dari uang riba",I1563="Ganti uang riba",I1563="Kelebihan ganti dikembalikan",AND(C1563="Kantong Uang Riba",G1563="Pengeluaran"))),1,0)</f>
        <v/>
      </c>
      <c r="X1563" s="93">
        <f>IF(AND(B1563&lt;&gt;"",B1563&gt;='Buku Akun'!$H$4,B1563&lt;='Buku Akun'!$H$5,OR(C1563='Buku Akun'!$C$4,AND(D1563="Pindah",E1563='Buku Akun'!$C$4))),B1563+IF(AND(I1563="Selisih bunga",DAY(B1563)=1),0,0.01)+ROW()/10000000,"")</f>
        <v/>
      </c>
    </row>
    <row r="1564" outlineLevel="1" ht="15" customHeight="1" s="94">
      <c r="A1564" s="123">
        <f>IF(B1564="","",ROW()-15)</f>
        <v/>
      </c>
      <c r="B1564" s="124" t="n"/>
      <c r="C1564" s="123" t="n"/>
      <c r="D1564" s="123" t="n"/>
      <c r="E1564" s="123" t="n"/>
      <c r="F1564" s="125" t="n"/>
      <c r="G1564" s="123" t="n"/>
      <c r="H1564" s="123" t="n"/>
      <c r="I1564" s="123" t="n"/>
      <c r="J1564" s="123" t="n"/>
      <c r="K1564" s="123" t="n"/>
      <c r="L1564" s="123" t="n"/>
      <c r="M1564" s="123">
        <f>IF(AND(B1564&lt;&gt;"",OR($C$4="",ISNUMBER(SEARCH($C$4,C1564&amp;" "&amp;E1564&amp;" "&amp;G1564&amp;" "&amp;H1564&amp;" "&amp;I1564&amp;" "&amp;J1564&amp;" "&amp;K1564&amp;" "&amp;L1564))),OR($C$5="Semua",$C$5="",G1564=$C$5),OR($C$6="Semua",$C$6="",H1564=$C$6,H1564="Pengeluaran "&amp;$C$6,AND($C$6="Uang Kos Mama",H1564="Pengeluaran Uang Kos")),OR($C$7="Semua",$C$7="",I1564=$C$7),OR($C$8="Semua",$C$8="",C1564=$C$8,E1564=$C$8),OR($C$9="Semua",$C$9="",D1564=$C$9),OR($C$10="",B1564&gt;=$C$10),OR($C$11="",B1564&lt;=$C$11),OR($C$12&lt;&gt;"Ya",K1564&lt;&gt;""),OR($C$13="Semua",$C$13="",L1564=$C$13)),"✓","")</f>
        <v/>
      </c>
      <c r="N1564" s="93">
        <f>N(N1563)+IF(M1564="✓",1,0)</f>
        <v/>
      </c>
      <c r="O1564" s="93">
        <f>N(O1563)+IF(AND(B1564&lt;&gt;"",B1564&gt;='Uang Riba'!$H$30,B1564&lt;='Uang Riba'!$I$30,OR(H1564="Dana riba",H1564="Pinjam uang riba",I1564="Pinjam dari uang riba",I1564="Ganti uang riba",I1564="Kelebihan ganti dikembalikan",AND(C1564="Kantong Uang Riba",G1564="Pengeluaran"))),1,0)</f>
        <v/>
      </c>
      <c r="X1564" s="93">
        <f>IF(AND(B1564&lt;&gt;"",B1564&gt;='Buku Akun'!$H$4,B1564&lt;='Buku Akun'!$H$5,OR(C1564='Buku Akun'!$C$4,AND(D1564="Pindah",E1564='Buku Akun'!$C$4))),B1564+IF(AND(I1564="Selisih bunga",DAY(B1564)=1),0,0.01)+ROW()/10000000,"")</f>
        <v/>
      </c>
    </row>
    <row r="1565" outlineLevel="1" ht="15" customHeight="1" s="94">
      <c r="A1565" s="123">
        <f>IF(B1565="","",ROW()-15)</f>
        <v/>
      </c>
      <c r="B1565" s="124" t="n"/>
      <c r="C1565" s="123" t="n"/>
      <c r="D1565" s="123" t="n"/>
      <c r="E1565" s="123" t="n"/>
      <c r="F1565" s="125" t="n"/>
      <c r="G1565" s="123" t="n"/>
      <c r="H1565" s="123" t="n"/>
      <c r="I1565" s="123" t="n"/>
      <c r="J1565" s="123" t="n"/>
      <c r="K1565" s="123" t="n"/>
      <c r="L1565" s="123" t="n"/>
      <c r="M1565" s="123">
        <f>IF(AND(B1565&lt;&gt;"",OR($C$4="",ISNUMBER(SEARCH($C$4,C1565&amp;" "&amp;E1565&amp;" "&amp;G1565&amp;" "&amp;H1565&amp;" "&amp;I1565&amp;" "&amp;J1565&amp;" "&amp;K1565&amp;" "&amp;L1565))),OR($C$5="Semua",$C$5="",G1565=$C$5),OR($C$6="Semua",$C$6="",H1565=$C$6,H1565="Pengeluaran "&amp;$C$6,AND($C$6="Uang Kos Mama",H1565="Pengeluaran Uang Kos")),OR($C$7="Semua",$C$7="",I1565=$C$7),OR($C$8="Semua",$C$8="",C1565=$C$8,E1565=$C$8),OR($C$9="Semua",$C$9="",D1565=$C$9),OR($C$10="",B1565&gt;=$C$10),OR($C$11="",B1565&lt;=$C$11),OR($C$12&lt;&gt;"Ya",K1565&lt;&gt;""),OR($C$13="Semua",$C$13="",L1565=$C$13)),"✓","")</f>
        <v/>
      </c>
      <c r="N1565" s="93">
        <f>N(N1564)+IF(M1565="✓",1,0)</f>
        <v/>
      </c>
      <c r="O1565" s="93">
        <f>N(O1564)+IF(AND(B1565&lt;&gt;"",B1565&gt;='Uang Riba'!$H$30,B1565&lt;='Uang Riba'!$I$30,OR(H1565="Dana riba",H1565="Pinjam uang riba",I1565="Pinjam dari uang riba",I1565="Ganti uang riba",I1565="Kelebihan ganti dikembalikan",AND(C1565="Kantong Uang Riba",G1565="Pengeluaran"))),1,0)</f>
        <v/>
      </c>
      <c r="X1565" s="93">
        <f>IF(AND(B1565&lt;&gt;"",B1565&gt;='Buku Akun'!$H$4,B1565&lt;='Buku Akun'!$H$5,OR(C1565='Buku Akun'!$C$4,AND(D1565="Pindah",E1565='Buku Akun'!$C$4))),B1565+IF(AND(I1565="Selisih bunga",DAY(B1565)=1),0,0.01)+ROW()/10000000,"")</f>
        <v/>
      </c>
    </row>
    <row r="1566" outlineLevel="1" ht="15" customHeight="1" s="94">
      <c r="A1566" s="123">
        <f>IF(B1566="","",ROW()-15)</f>
        <v/>
      </c>
      <c r="B1566" s="124" t="n"/>
      <c r="C1566" s="123" t="n"/>
      <c r="D1566" s="123" t="n"/>
      <c r="E1566" s="123" t="n"/>
      <c r="F1566" s="125" t="n"/>
      <c r="G1566" s="123" t="n"/>
      <c r="H1566" s="123" t="n"/>
      <c r="I1566" s="123" t="n"/>
      <c r="J1566" s="123" t="n"/>
      <c r="K1566" s="123" t="n"/>
      <c r="L1566" s="123" t="n"/>
      <c r="M1566" s="123">
        <f>IF(AND(B1566&lt;&gt;"",OR($C$4="",ISNUMBER(SEARCH($C$4,C1566&amp;" "&amp;E1566&amp;" "&amp;G1566&amp;" "&amp;H1566&amp;" "&amp;I1566&amp;" "&amp;J1566&amp;" "&amp;K1566&amp;" "&amp;L1566))),OR($C$5="Semua",$C$5="",G1566=$C$5),OR($C$6="Semua",$C$6="",H1566=$C$6,H1566="Pengeluaran "&amp;$C$6,AND($C$6="Uang Kos Mama",H1566="Pengeluaran Uang Kos")),OR($C$7="Semua",$C$7="",I1566=$C$7),OR($C$8="Semua",$C$8="",C1566=$C$8,E1566=$C$8),OR($C$9="Semua",$C$9="",D1566=$C$9),OR($C$10="",B1566&gt;=$C$10),OR($C$11="",B1566&lt;=$C$11),OR($C$12&lt;&gt;"Ya",K1566&lt;&gt;""),OR($C$13="Semua",$C$13="",L1566=$C$13)),"✓","")</f>
        <v/>
      </c>
      <c r="N1566" s="93">
        <f>N(N1565)+IF(M1566="✓",1,0)</f>
        <v/>
      </c>
      <c r="O1566" s="93">
        <f>N(O1565)+IF(AND(B1566&lt;&gt;"",B1566&gt;='Uang Riba'!$H$30,B1566&lt;='Uang Riba'!$I$30,OR(H1566="Dana riba",H1566="Pinjam uang riba",I1566="Pinjam dari uang riba",I1566="Ganti uang riba",I1566="Kelebihan ganti dikembalikan",AND(C1566="Kantong Uang Riba",G1566="Pengeluaran"))),1,0)</f>
        <v/>
      </c>
      <c r="X1566" s="93">
        <f>IF(AND(B1566&lt;&gt;"",B1566&gt;='Buku Akun'!$H$4,B1566&lt;='Buku Akun'!$H$5,OR(C1566='Buku Akun'!$C$4,AND(D1566="Pindah",E1566='Buku Akun'!$C$4))),B1566+IF(AND(I1566="Selisih bunga",DAY(B1566)=1),0,0.01)+ROW()/10000000,"")</f>
        <v/>
      </c>
    </row>
    <row r="1567" outlineLevel="1" ht="15" customHeight="1" s="94">
      <c r="A1567" s="123">
        <f>IF(B1567="","",ROW()-15)</f>
        <v/>
      </c>
      <c r="B1567" s="124" t="n"/>
      <c r="C1567" s="123" t="n"/>
      <c r="D1567" s="123" t="n"/>
      <c r="E1567" s="123" t="n"/>
      <c r="F1567" s="125" t="n"/>
      <c r="G1567" s="123" t="n"/>
      <c r="H1567" s="123" t="n"/>
      <c r="I1567" s="123" t="n"/>
      <c r="J1567" s="123" t="n"/>
      <c r="K1567" s="123" t="n"/>
      <c r="L1567" s="123" t="n"/>
      <c r="M1567" s="123">
        <f>IF(AND(B1567&lt;&gt;"",OR($C$4="",ISNUMBER(SEARCH($C$4,C1567&amp;" "&amp;E1567&amp;" "&amp;G1567&amp;" "&amp;H1567&amp;" "&amp;I1567&amp;" "&amp;J1567&amp;" "&amp;K1567&amp;" "&amp;L1567))),OR($C$5="Semua",$C$5="",G1567=$C$5),OR($C$6="Semua",$C$6="",H1567=$C$6,H1567="Pengeluaran "&amp;$C$6,AND($C$6="Uang Kos Mama",H1567="Pengeluaran Uang Kos")),OR($C$7="Semua",$C$7="",I1567=$C$7),OR($C$8="Semua",$C$8="",C1567=$C$8,E1567=$C$8),OR($C$9="Semua",$C$9="",D1567=$C$9),OR($C$10="",B1567&gt;=$C$10),OR($C$11="",B1567&lt;=$C$11),OR($C$12&lt;&gt;"Ya",K1567&lt;&gt;""),OR($C$13="Semua",$C$13="",L1567=$C$13)),"✓","")</f>
        <v/>
      </c>
      <c r="N1567" s="93">
        <f>N(N1566)+IF(M1567="✓",1,0)</f>
        <v/>
      </c>
      <c r="O1567" s="93">
        <f>N(O1566)+IF(AND(B1567&lt;&gt;"",B1567&gt;='Uang Riba'!$H$30,B1567&lt;='Uang Riba'!$I$30,OR(H1567="Dana riba",H1567="Pinjam uang riba",I1567="Pinjam dari uang riba",I1567="Ganti uang riba",I1567="Kelebihan ganti dikembalikan",AND(C1567="Kantong Uang Riba",G1567="Pengeluaran"))),1,0)</f>
        <v/>
      </c>
      <c r="X1567" s="93">
        <f>IF(AND(B1567&lt;&gt;"",B1567&gt;='Buku Akun'!$H$4,B1567&lt;='Buku Akun'!$H$5,OR(C1567='Buku Akun'!$C$4,AND(D1567="Pindah",E1567='Buku Akun'!$C$4))),B1567+IF(AND(I1567="Selisih bunga",DAY(B1567)=1),0,0.01)+ROW()/10000000,"")</f>
        <v/>
      </c>
    </row>
    <row r="1568" outlineLevel="1" ht="15" customHeight="1" s="94">
      <c r="A1568" s="123">
        <f>IF(B1568="","",ROW()-15)</f>
        <v/>
      </c>
      <c r="B1568" s="124" t="n"/>
      <c r="C1568" s="123" t="n"/>
      <c r="D1568" s="123" t="n"/>
      <c r="E1568" s="123" t="n"/>
      <c r="F1568" s="125" t="n"/>
      <c r="G1568" s="123" t="n"/>
      <c r="H1568" s="123" t="n"/>
      <c r="I1568" s="123" t="n"/>
      <c r="J1568" s="123" t="n"/>
      <c r="K1568" s="123" t="n"/>
      <c r="L1568" s="123" t="n"/>
      <c r="M1568" s="123">
        <f>IF(AND(B1568&lt;&gt;"",OR($C$4="",ISNUMBER(SEARCH($C$4,C1568&amp;" "&amp;E1568&amp;" "&amp;G1568&amp;" "&amp;H1568&amp;" "&amp;I1568&amp;" "&amp;J1568&amp;" "&amp;K1568&amp;" "&amp;L1568))),OR($C$5="Semua",$C$5="",G1568=$C$5),OR($C$6="Semua",$C$6="",H1568=$C$6,H1568="Pengeluaran "&amp;$C$6,AND($C$6="Uang Kos Mama",H1568="Pengeluaran Uang Kos")),OR($C$7="Semua",$C$7="",I1568=$C$7),OR($C$8="Semua",$C$8="",C1568=$C$8,E1568=$C$8),OR($C$9="Semua",$C$9="",D1568=$C$9),OR($C$10="",B1568&gt;=$C$10),OR($C$11="",B1568&lt;=$C$11),OR($C$12&lt;&gt;"Ya",K1568&lt;&gt;""),OR($C$13="Semua",$C$13="",L1568=$C$13)),"✓","")</f>
        <v/>
      </c>
      <c r="N1568" s="93">
        <f>N(N1567)+IF(M1568="✓",1,0)</f>
        <v/>
      </c>
      <c r="O1568" s="93">
        <f>N(O1567)+IF(AND(B1568&lt;&gt;"",B1568&gt;='Uang Riba'!$H$30,B1568&lt;='Uang Riba'!$I$30,OR(H1568="Dana riba",H1568="Pinjam uang riba",I1568="Pinjam dari uang riba",I1568="Ganti uang riba",I1568="Kelebihan ganti dikembalikan",AND(C1568="Kantong Uang Riba",G1568="Pengeluaran"))),1,0)</f>
        <v/>
      </c>
      <c r="X1568" s="93">
        <f>IF(AND(B1568&lt;&gt;"",B1568&gt;='Buku Akun'!$H$4,B1568&lt;='Buku Akun'!$H$5,OR(C1568='Buku Akun'!$C$4,AND(D1568="Pindah",E1568='Buku Akun'!$C$4))),B1568+IF(AND(I1568="Selisih bunga",DAY(B1568)=1),0,0.01)+ROW()/10000000,"")</f>
        <v/>
      </c>
    </row>
    <row r="1569" outlineLevel="1" ht="15" customHeight="1" s="94">
      <c r="A1569" s="123">
        <f>IF(B1569="","",ROW()-15)</f>
        <v/>
      </c>
      <c r="B1569" s="124" t="n"/>
      <c r="C1569" s="123" t="n"/>
      <c r="D1569" s="123" t="n"/>
      <c r="E1569" s="123" t="n"/>
      <c r="F1569" s="125" t="n"/>
      <c r="G1569" s="123" t="n"/>
      <c r="H1569" s="123" t="n"/>
      <c r="I1569" s="123" t="n"/>
      <c r="J1569" s="123" t="n"/>
      <c r="K1569" s="123" t="n"/>
      <c r="L1569" s="123" t="n"/>
      <c r="M1569" s="123">
        <f>IF(AND(B1569&lt;&gt;"",OR($C$4="",ISNUMBER(SEARCH($C$4,C1569&amp;" "&amp;E1569&amp;" "&amp;G1569&amp;" "&amp;H1569&amp;" "&amp;I1569&amp;" "&amp;J1569&amp;" "&amp;K1569&amp;" "&amp;L1569))),OR($C$5="Semua",$C$5="",G1569=$C$5),OR($C$6="Semua",$C$6="",H1569=$C$6,H1569="Pengeluaran "&amp;$C$6,AND($C$6="Uang Kos Mama",H1569="Pengeluaran Uang Kos")),OR($C$7="Semua",$C$7="",I1569=$C$7),OR($C$8="Semua",$C$8="",C1569=$C$8,E1569=$C$8),OR($C$9="Semua",$C$9="",D1569=$C$9),OR($C$10="",B1569&gt;=$C$10),OR($C$11="",B1569&lt;=$C$11),OR($C$12&lt;&gt;"Ya",K1569&lt;&gt;""),OR($C$13="Semua",$C$13="",L1569=$C$13)),"✓","")</f>
        <v/>
      </c>
      <c r="N1569" s="93">
        <f>N(N1568)+IF(M1569="✓",1,0)</f>
        <v/>
      </c>
      <c r="O1569" s="93">
        <f>N(O1568)+IF(AND(B1569&lt;&gt;"",B1569&gt;='Uang Riba'!$H$30,B1569&lt;='Uang Riba'!$I$30,OR(H1569="Dana riba",H1569="Pinjam uang riba",I1569="Pinjam dari uang riba",I1569="Ganti uang riba",I1569="Kelebihan ganti dikembalikan",AND(C1569="Kantong Uang Riba",G1569="Pengeluaran"))),1,0)</f>
        <v/>
      </c>
      <c r="X1569" s="93">
        <f>IF(AND(B1569&lt;&gt;"",B1569&gt;='Buku Akun'!$H$4,B1569&lt;='Buku Akun'!$H$5,OR(C1569='Buku Akun'!$C$4,AND(D1569="Pindah",E1569='Buku Akun'!$C$4))),B1569+IF(AND(I1569="Selisih bunga",DAY(B1569)=1),0,0.01)+ROW()/10000000,"")</f>
        <v/>
      </c>
    </row>
    <row r="1570" outlineLevel="1" ht="15" customHeight="1" s="94">
      <c r="A1570" s="123">
        <f>IF(B1570="","",ROW()-15)</f>
        <v/>
      </c>
      <c r="B1570" s="124" t="n"/>
      <c r="C1570" s="123" t="n"/>
      <c r="D1570" s="123" t="n"/>
      <c r="E1570" s="123" t="n"/>
      <c r="F1570" s="125" t="n"/>
      <c r="G1570" s="123" t="n"/>
      <c r="H1570" s="123" t="n"/>
      <c r="I1570" s="123" t="n"/>
      <c r="J1570" s="123" t="n"/>
      <c r="K1570" s="123" t="n"/>
      <c r="L1570" s="123" t="n"/>
      <c r="M1570" s="123">
        <f>IF(AND(B1570&lt;&gt;"",OR($C$4="",ISNUMBER(SEARCH($C$4,C1570&amp;" "&amp;E1570&amp;" "&amp;G1570&amp;" "&amp;H1570&amp;" "&amp;I1570&amp;" "&amp;J1570&amp;" "&amp;K1570&amp;" "&amp;L1570))),OR($C$5="Semua",$C$5="",G1570=$C$5),OR($C$6="Semua",$C$6="",H1570=$C$6,H1570="Pengeluaran "&amp;$C$6,AND($C$6="Uang Kos Mama",H1570="Pengeluaran Uang Kos")),OR($C$7="Semua",$C$7="",I1570=$C$7),OR($C$8="Semua",$C$8="",C1570=$C$8,E1570=$C$8),OR($C$9="Semua",$C$9="",D1570=$C$9),OR($C$10="",B1570&gt;=$C$10),OR($C$11="",B1570&lt;=$C$11),OR($C$12&lt;&gt;"Ya",K1570&lt;&gt;""),OR($C$13="Semua",$C$13="",L1570=$C$13)),"✓","")</f>
        <v/>
      </c>
      <c r="N1570" s="93">
        <f>N(N1569)+IF(M1570="✓",1,0)</f>
        <v/>
      </c>
      <c r="O1570" s="93">
        <f>N(O1569)+IF(AND(B1570&lt;&gt;"",B1570&gt;='Uang Riba'!$H$30,B1570&lt;='Uang Riba'!$I$30,OR(H1570="Dana riba",H1570="Pinjam uang riba",I1570="Pinjam dari uang riba",I1570="Ganti uang riba",I1570="Kelebihan ganti dikembalikan",AND(C1570="Kantong Uang Riba",G1570="Pengeluaran"))),1,0)</f>
        <v/>
      </c>
      <c r="X1570" s="93">
        <f>IF(AND(B1570&lt;&gt;"",B1570&gt;='Buku Akun'!$H$4,B1570&lt;='Buku Akun'!$H$5,OR(C1570='Buku Akun'!$C$4,AND(D1570="Pindah",E1570='Buku Akun'!$C$4))),B1570+IF(AND(I1570="Selisih bunga",DAY(B1570)=1),0,0.01)+ROW()/10000000,"")</f>
        <v/>
      </c>
    </row>
    <row r="1571" outlineLevel="1" ht="15" customHeight="1" s="94">
      <c r="A1571" s="123">
        <f>IF(B1571="","",ROW()-15)</f>
        <v/>
      </c>
      <c r="B1571" s="124" t="n"/>
      <c r="C1571" s="123" t="n"/>
      <c r="D1571" s="123" t="n"/>
      <c r="E1571" s="123" t="n"/>
      <c r="F1571" s="125" t="n"/>
      <c r="G1571" s="123" t="n"/>
      <c r="H1571" s="123" t="n"/>
      <c r="I1571" s="123" t="n"/>
      <c r="J1571" s="123" t="n"/>
      <c r="K1571" s="123" t="n"/>
      <c r="L1571" s="123" t="n"/>
      <c r="M1571" s="123">
        <f>IF(AND(B1571&lt;&gt;"",OR($C$4="",ISNUMBER(SEARCH($C$4,C1571&amp;" "&amp;E1571&amp;" "&amp;G1571&amp;" "&amp;H1571&amp;" "&amp;I1571&amp;" "&amp;J1571&amp;" "&amp;K1571&amp;" "&amp;L1571))),OR($C$5="Semua",$C$5="",G1571=$C$5),OR($C$6="Semua",$C$6="",H1571=$C$6,H1571="Pengeluaran "&amp;$C$6,AND($C$6="Uang Kos Mama",H1571="Pengeluaran Uang Kos")),OR($C$7="Semua",$C$7="",I1571=$C$7),OR($C$8="Semua",$C$8="",C1571=$C$8,E1571=$C$8),OR($C$9="Semua",$C$9="",D1571=$C$9),OR($C$10="",B1571&gt;=$C$10),OR($C$11="",B1571&lt;=$C$11),OR($C$12&lt;&gt;"Ya",K1571&lt;&gt;""),OR($C$13="Semua",$C$13="",L1571=$C$13)),"✓","")</f>
        <v/>
      </c>
      <c r="N1571" s="93">
        <f>N(N1570)+IF(M1571="✓",1,0)</f>
        <v/>
      </c>
      <c r="O1571" s="93">
        <f>N(O1570)+IF(AND(B1571&lt;&gt;"",B1571&gt;='Uang Riba'!$H$30,B1571&lt;='Uang Riba'!$I$30,OR(H1571="Dana riba",H1571="Pinjam uang riba",I1571="Pinjam dari uang riba",I1571="Ganti uang riba",I1571="Kelebihan ganti dikembalikan",AND(C1571="Kantong Uang Riba",G1571="Pengeluaran"))),1,0)</f>
        <v/>
      </c>
      <c r="X1571" s="93">
        <f>IF(AND(B1571&lt;&gt;"",B1571&gt;='Buku Akun'!$H$4,B1571&lt;='Buku Akun'!$H$5,OR(C1571='Buku Akun'!$C$4,AND(D1571="Pindah",E1571='Buku Akun'!$C$4))),B1571+IF(AND(I1571="Selisih bunga",DAY(B1571)=1),0,0.01)+ROW()/10000000,"")</f>
        <v/>
      </c>
    </row>
    <row r="1572" outlineLevel="1" ht="15" customHeight="1" s="94">
      <c r="A1572" s="123">
        <f>IF(B1572="","",ROW()-15)</f>
        <v/>
      </c>
      <c r="B1572" s="124" t="n"/>
      <c r="C1572" s="123" t="n"/>
      <c r="D1572" s="123" t="n"/>
      <c r="E1572" s="123" t="n"/>
      <c r="F1572" s="125" t="n"/>
      <c r="G1572" s="123" t="n"/>
      <c r="H1572" s="123" t="n"/>
      <c r="I1572" s="123" t="n"/>
      <c r="J1572" s="123" t="n"/>
      <c r="K1572" s="123" t="n"/>
      <c r="L1572" s="123" t="n"/>
      <c r="M1572" s="123">
        <f>IF(AND(B1572&lt;&gt;"",OR($C$4="",ISNUMBER(SEARCH($C$4,C1572&amp;" "&amp;E1572&amp;" "&amp;G1572&amp;" "&amp;H1572&amp;" "&amp;I1572&amp;" "&amp;J1572&amp;" "&amp;K1572&amp;" "&amp;L1572))),OR($C$5="Semua",$C$5="",G1572=$C$5),OR($C$6="Semua",$C$6="",H1572=$C$6,H1572="Pengeluaran "&amp;$C$6,AND($C$6="Uang Kos Mama",H1572="Pengeluaran Uang Kos")),OR($C$7="Semua",$C$7="",I1572=$C$7),OR($C$8="Semua",$C$8="",C1572=$C$8,E1572=$C$8),OR($C$9="Semua",$C$9="",D1572=$C$9),OR($C$10="",B1572&gt;=$C$10),OR($C$11="",B1572&lt;=$C$11),OR($C$12&lt;&gt;"Ya",K1572&lt;&gt;""),OR($C$13="Semua",$C$13="",L1572=$C$13)),"✓","")</f>
        <v/>
      </c>
      <c r="N1572" s="93">
        <f>N(N1571)+IF(M1572="✓",1,0)</f>
        <v/>
      </c>
      <c r="O1572" s="93">
        <f>N(O1571)+IF(AND(B1572&lt;&gt;"",B1572&gt;='Uang Riba'!$H$30,B1572&lt;='Uang Riba'!$I$30,OR(H1572="Dana riba",H1572="Pinjam uang riba",I1572="Pinjam dari uang riba",I1572="Ganti uang riba",I1572="Kelebihan ganti dikembalikan",AND(C1572="Kantong Uang Riba",G1572="Pengeluaran"))),1,0)</f>
        <v/>
      </c>
      <c r="X1572" s="93">
        <f>IF(AND(B1572&lt;&gt;"",B1572&gt;='Buku Akun'!$H$4,B1572&lt;='Buku Akun'!$H$5,OR(C1572='Buku Akun'!$C$4,AND(D1572="Pindah",E1572='Buku Akun'!$C$4))),B1572+IF(AND(I1572="Selisih bunga",DAY(B1572)=1),0,0.01)+ROW()/10000000,"")</f>
        <v/>
      </c>
    </row>
    <row r="1573" outlineLevel="1" ht="15" customHeight="1" s="94">
      <c r="A1573" s="123">
        <f>IF(B1573="","",ROW()-15)</f>
        <v/>
      </c>
      <c r="B1573" s="124" t="n"/>
      <c r="C1573" s="123" t="n"/>
      <c r="D1573" s="123" t="n"/>
      <c r="E1573" s="123" t="n"/>
      <c r="F1573" s="125" t="n"/>
      <c r="G1573" s="123" t="n"/>
      <c r="H1573" s="123" t="n"/>
      <c r="I1573" s="123" t="n"/>
      <c r="J1573" s="123" t="n"/>
      <c r="K1573" s="123" t="n"/>
      <c r="L1573" s="123" t="n"/>
      <c r="M1573" s="123">
        <f>IF(AND(B1573&lt;&gt;"",OR($C$4="",ISNUMBER(SEARCH($C$4,C1573&amp;" "&amp;E1573&amp;" "&amp;G1573&amp;" "&amp;H1573&amp;" "&amp;I1573&amp;" "&amp;J1573&amp;" "&amp;K1573&amp;" "&amp;L1573))),OR($C$5="Semua",$C$5="",G1573=$C$5),OR($C$6="Semua",$C$6="",H1573=$C$6,H1573="Pengeluaran "&amp;$C$6,AND($C$6="Uang Kos Mama",H1573="Pengeluaran Uang Kos")),OR($C$7="Semua",$C$7="",I1573=$C$7),OR($C$8="Semua",$C$8="",C1573=$C$8,E1573=$C$8),OR($C$9="Semua",$C$9="",D1573=$C$9),OR($C$10="",B1573&gt;=$C$10),OR($C$11="",B1573&lt;=$C$11),OR($C$12&lt;&gt;"Ya",K1573&lt;&gt;""),OR($C$13="Semua",$C$13="",L1573=$C$13)),"✓","")</f>
        <v/>
      </c>
      <c r="N1573" s="93">
        <f>N(N1572)+IF(M1573="✓",1,0)</f>
        <v/>
      </c>
      <c r="O1573" s="93">
        <f>N(O1572)+IF(AND(B1573&lt;&gt;"",B1573&gt;='Uang Riba'!$H$30,B1573&lt;='Uang Riba'!$I$30,OR(H1573="Dana riba",H1573="Pinjam uang riba",I1573="Pinjam dari uang riba",I1573="Ganti uang riba",I1573="Kelebihan ganti dikembalikan",AND(C1573="Kantong Uang Riba",G1573="Pengeluaran"))),1,0)</f>
        <v/>
      </c>
      <c r="X1573" s="93">
        <f>IF(AND(B1573&lt;&gt;"",B1573&gt;='Buku Akun'!$H$4,B1573&lt;='Buku Akun'!$H$5,OR(C1573='Buku Akun'!$C$4,AND(D1573="Pindah",E1573='Buku Akun'!$C$4))),B1573+IF(AND(I1573="Selisih bunga",DAY(B1573)=1),0,0.01)+ROW()/10000000,"")</f>
        <v/>
      </c>
    </row>
    <row r="1574" outlineLevel="1" ht="15" customHeight="1" s="94">
      <c r="A1574" s="123">
        <f>IF(B1574="","",ROW()-15)</f>
        <v/>
      </c>
      <c r="B1574" s="124" t="n"/>
      <c r="C1574" s="123" t="n"/>
      <c r="D1574" s="123" t="n"/>
      <c r="E1574" s="123" t="n"/>
      <c r="F1574" s="125" t="n"/>
      <c r="G1574" s="123" t="n"/>
      <c r="H1574" s="123" t="n"/>
      <c r="I1574" s="123" t="n"/>
      <c r="J1574" s="123" t="n"/>
      <c r="K1574" s="123" t="n"/>
      <c r="L1574" s="123" t="n"/>
      <c r="M1574" s="123">
        <f>IF(AND(B1574&lt;&gt;"",OR($C$4="",ISNUMBER(SEARCH($C$4,C1574&amp;" "&amp;E1574&amp;" "&amp;G1574&amp;" "&amp;H1574&amp;" "&amp;I1574&amp;" "&amp;J1574&amp;" "&amp;K1574&amp;" "&amp;L1574))),OR($C$5="Semua",$C$5="",G1574=$C$5),OR($C$6="Semua",$C$6="",H1574=$C$6,H1574="Pengeluaran "&amp;$C$6,AND($C$6="Uang Kos Mama",H1574="Pengeluaran Uang Kos")),OR($C$7="Semua",$C$7="",I1574=$C$7),OR($C$8="Semua",$C$8="",C1574=$C$8,E1574=$C$8),OR($C$9="Semua",$C$9="",D1574=$C$9),OR($C$10="",B1574&gt;=$C$10),OR($C$11="",B1574&lt;=$C$11),OR($C$12&lt;&gt;"Ya",K1574&lt;&gt;""),OR($C$13="Semua",$C$13="",L1574=$C$13)),"✓","")</f>
        <v/>
      </c>
      <c r="N1574" s="93">
        <f>N(N1573)+IF(M1574="✓",1,0)</f>
        <v/>
      </c>
      <c r="O1574" s="93">
        <f>N(O1573)+IF(AND(B1574&lt;&gt;"",B1574&gt;='Uang Riba'!$H$30,B1574&lt;='Uang Riba'!$I$30,OR(H1574="Dana riba",H1574="Pinjam uang riba",I1574="Pinjam dari uang riba",I1574="Ganti uang riba",I1574="Kelebihan ganti dikembalikan",AND(C1574="Kantong Uang Riba",G1574="Pengeluaran"))),1,0)</f>
        <v/>
      </c>
      <c r="X1574" s="93">
        <f>IF(AND(B1574&lt;&gt;"",B1574&gt;='Buku Akun'!$H$4,B1574&lt;='Buku Akun'!$H$5,OR(C1574='Buku Akun'!$C$4,AND(D1574="Pindah",E1574='Buku Akun'!$C$4))),B1574+IF(AND(I1574="Selisih bunga",DAY(B1574)=1),0,0.01)+ROW()/10000000,"")</f>
        <v/>
      </c>
    </row>
    <row r="1575" outlineLevel="1" ht="15" customHeight="1" s="94">
      <c r="A1575" s="123">
        <f>IF(B1575="","",ROW()-15)</f>
        <v/>
      </c>
      <c r="B1575" s="124" t="n"/>
      <c r="C1575" s="123" t="n"/>
      <c r="D1575" s="123" t="n"/>
      <c r="E1575" s="123" t="n"/>
      <c r="F1575" s="125" t="n"/>
      <c r="G1575" s="123" t="n"/>
      <c r="H1575" s="123" t="n"/>
      <c r="I1575" s="123" t="n"/>
      <c r="J1575" s="123" t="n"/>
      <c r="K1575" s="123" t="n"/>
      <c r="L1575" s="123" t="n"/>
      <c r="M1575" s="123">
        <f>IF(AND(B1575&lt;&gt;"",OR($C$4="",ISNUMBER(SEARCH($C$4,C1575&amp;" "&amp;E1575&amp;" "&amp;G1575&amp;" "&amp;H1575&amp;" "&amp;I1575&amp;" "&amp;J1575&amp;" "&amp;K1575&amp;" "&amp;L1575))),OR($C$5="Semua",$C$5="",G1575=$C$5),OR($C$6="Semua",$C$6="",H1575=$C$6,H1575="Pengeluaran "&amp;$C$6,AND($C$6="Uang Kos Mama",H1575="Pengeluaran Uang Kos")),OR($C$7="Semua",$C$7="",I1575=$C$7),OR($C$8="Semua",$C$8="",C1575=$C$8,E1575=$C$8),OR($C$9="Semua",$C$9="",D1575=$C$9),OR($C$10="",B1575&gt;=$C$10),OR($C$11="",B1575&lt;=$C$11),OR($C$12&lt;&gt;"Ya",K1575&lt;&gt;""),OR($C$13="Semua",$C$13="",L1575=$C$13)),"✓","")</f>
        <v/>
      </c>
      <c r="N1575" s="93">
        <f>N(N1574)+IF(M1575="✓",1,0)</f>
        <v/>
      </c>
      <c r="O1575" s="93">
        <f>N(O1574)+IF(AND(B1575&lt;&gt;"",B1575&gt;='Uang Riba'!$H$30,B1575&lt;='Uang Riba'!$I$30,OR(H1575="Dana riba",H1575="Pinjam uang riba",I1575="Pinjam dari uang riba",I1575="Ganti uang riba",I1575="Kelebihan ganti dikembalikan",AND(C1575="Kantong Uang Riba",G1575="Pengeluaran"))),1,0)</f>
        <v/>
      </c>
      <c r="X1575" s="93">
        <f>IF(AND(B1575&lt;&gt;"",B1575&gt;='Buku Akun'!$H$4,B1575&lt;='Buku Akun'!$H$5,OR(C1575='Buku Akun'!$C$4,AND(D1575="Pindah",E1575='Buku Akun'!$C$4))),B1575+IF(AND(I1575="Selisih bunga",DAY(B1575)=1),0,0.01)+ROW()/10000000,"")</f>
        <v/>
      </c>
    </row>
    <row r="1576" outlineLevel="1" ht="15" customHeight="1" s="94">
      <c r="A1576" s="123">
        <f>IF(B1576="","",ROW()-15)</f>
        <v/>
      </c>
      <c r="B1576" s="124" t="n"/>
      <c r="C1576" s="123" t="n"/>
      <c r="D1576" s="123" t="n"/>
      <c r="E1576" s="123" t="n"/>
      <c r="F1576" s="125" t="n"/>
      <c r="G1576" s="123" t="n"/>
      <c r="H1576" s="123" t="n"/>
      <c r="I1576" s="123" t="n"/>
      <c r="J1576" s="123" t="n"/>
      <c r="K1576" s="123" t="n"/>
      <c r="L1576" s="123" t="n"/>
      <c r="M1576" s="123">
        <f>IF(AND(B1576&lt;&gt;"",OR($C$4="",ISNUMBER(SEARCH($C$4,C1576&amp;" "&amp;E1576&amp;" "&amp;G1576&amp;" "&amp;H1576&amp;" "&amp;I1576&amp;" "&amp;J1576&amp;" "&amp;K1576&amp;" "&amp;L1576))),OR($C$5="Semua",$C$5="",G1576=$C$5),OR($C$6="Semua",$C$6="",H1576=$C$6,H1576="Pengeluaran "&amp;$C$6,AND($C$6="Uang Kos Mama",H1576="Pengeluaran Uang Kos")),OR($C$7="Semua",$C$7="",I1576=$C$7),OR($C$8="Semua",$C$8="",C1576=$C$8,E1576=$C$8),OR($C$9="Semua",$C$9="",D1576=$C$9),OR($C$10="",B1576&gt;=$C$10),OR($C$11="",B1576&lt;=$C$11),OR($C$12&lt;&gt;"Ya",K1576&lt;&gt;""),OR($C$13="Semua",$C$13="",L1576=$C$13)),"✓","")</f>
        <v/>
      </c>
      <c r="N1576" s="93">
        <f>N(N1575)+IF(M1576="✓",1,0)</f>
        <v/>
      </c>
      <c r="O1576" s="93">
        <f>N(O1575)+IF(AND(B1576&lt;&gt;"",B1576&gt;='Uang Riba'!$H$30,B1576&lt;='Uang Riba'!$I$30,OR(H1576="Dana riba",H1576="Pinjam uang riba",I1576="Pinjam dari uang riba",I1576="Ganti uang riba",I1576="Kelebihan ganti dikembalikan",AND(C1576="Kantong Uang Riba",G1576="Pengeluaran"))),1,0)</f>
        <v/>
      </c>
      <c r="X1576" s="93">
        <f>IF(AND(B1576&lt;&gt;"",B1576&gt;='Buku Akun'!$H$4,B1576&lt;='Buku Akun'!$H$5,OR(C1576='Buku Akun'!$C$4,AND(D1576="Pindah",E1576='Buku Akun'!$C$4))),B1576+IF(AND(I1576="Selisih bunga",DAY(B1576)=1),0,0.01)+ROW()/10000000,"")</f>
        <v/>
      </c>
    </row>
    <row r="1577" outlineLevel="1" ht="15" customHeight="1" s="94">
      <c r="A1577" s="123">
        <f>IF(B1577="","",ROW()-15)</f>
        <v/>
      </c>
      <c r="B1577" s="124" t="n"/>
      <c r="C1577" s="123" t="n"/>
      <c r="D1577" s="123" t="n"/>
      <c r="E1577" s="123" t="n"/>
      <c r="F1577" s="125" t="n"/>
      <c r="G1577" s="123" t="n"/>
      <c r="H1577" s="123" t="n"/>
      <c r="I1577" s="123" t="n"/>
      <c r="J1577" s="123" t="n"/>
      <c r="K1577" s="123" t="n"/>
      <c r="L1577" s="123" t="n"/>
      <c r="M1577" s="123">
        <f>IF(AND(B1577&lt;&gt;"",OR($C$4="",ISNUMBER(SEARCH($C$4,C1577&amp;" "&amp;E1577&amp;" "&amp;G1577&amp;" "&amp;H1577&amp;" "&amp;I1577&amp;" "&amp;J1577&amp;" "&amp;K1577&amp;" "&amp;L1577))),OR($C$5="Semua",$C$5="",G1577=$C$5),OR($C$6="Semua",$C$6="",H1577=$C$6,H1577="Pengeluaran "&amp;$C$6,AND($C$6="Uang Kos Mama",H1577="Pengeluaran Uang Kos")),OR($C$7="Semua",$C$7="",I1577=$C$7),OR($C$8="Semua",$C$8="",C1577=$C$8,E1577=$C$8),OR($C$9="Semua",$C$9="",D1577=$C$9),OR($C$10="",B1577&gt;=$C$10),OR($C$11="",B1577&lt;=$C$11),OR($C$12&lt;&gt;"Ya",K1577&lt;&gt;""),OR($C$13="Semua",$C$13="",L1577=$C$13)),"✓","")</f>
        <v/>
      </c>
      <c r="N1577" s="93">
        <f>N(N1576)+IF(M1577="✓",1,0)</f>
        <v/>
      </c>
      <c r="O1577" s="93">
        <f>N(O1576)+IF(AND(B1577&lt;&gt;"",B1577&gt;='Uang Riba'!$H$30,B1577&lt;='Uang Riba'!$I$30,OR(H1577="Dana riba",H1577="Pinjam uang riba",I1577="Pinjam dari uang riba",I1577="Ganti uang riba",I1577="Kelebihan ganti dikembalikan",AND(C1577="Kantong Uang Riba",G1577="Pengeluaran"))),1,0)</f>
        <v/>
      </c>
      <c r="X1577" s="93">
        <f>IF(AND(B1577&lt;&gt;"",B1577&gt;='Buku Akun'!$H$4,B1577&lt;='Buku Akun'!$H$5,OR(C1577='Buku Akun'!$C$4,AND(D1577="Pindah",E1577='Buku Akun'!$C$4))),B1577+IF(AND(I1577="Selisih bunga",DAY(B1577)=1),0,0.01)+ROW()/10000000,"")</f>
        <v/>
      </c>
    </row>
    <row r="1578" outlineLevel="1" ht="15" customHeight="1" s="94">
      <c r="A1578" s="123">
        <f>IF(B1578="","",ROW()-15)</f>
        <v/>
      </c>
      <c r="B1578" s="124" t="n"/>
      <c r="C1578" s="123" t="n"/>
      <c r="D1578" s="123" t="n"/>
      <c r="E1578" s="123" t="n"/>
      <c r="F1578" s="125" t="n"/>
      <c r="G1578" s="123" t="n"/>
      <c r="H1578" s="123" t="n"/>
      <c r="I1578" s="123" t="n"/>
      <c r="J1578" s="123" t="n"/>
      <c r="K1578" s="123" t="n"/>
      <c r="L1578" s="123" t="n"/>
      <c r="M1578" s="123">
        <f>IF(AND(B1578&lt;&gt;"",OR($C$4="",ISNUMBER(SEARCH($C$4,C1578&amp;" "&amp;E1578&amp;" "&amp;G1578&amp;" "&amp;H1578&amp;" "&amp;I1578&amp;" "&amp;J1578&amp;" "&amp;K1578&amp;" "&amp;L1578))),OR($C$5="Semua",$C$5="",G1578=$C$5),OR($C$6="Semua",$C$6="",H1578=$C$6,H1578="Pengeluaran "&amp;$C$6,AND($C$6="Uang Kos Mama",H1578="Pengeluaran Uang Kos")),OR($C$7="Semua",$C$7="",I1578=$C$7),OR($C$8="Semua",$C$8="",C1578=$C$8,E1578=$C$8),OR($C$9="Semua",$C$9="",D1578=$C$9),OR($C$10="",B1578&gt;=$C$10),OR($C$11="",B1578&lt;=$C$11),OR($C$12&lt;&gt;"Ya",K1578&lt;&gt;""),OR($C$13="Semua",$C$13="",L1578=$C$13)),"✓","")</f>
        <v/>
      </c>
      <c r="N1578" s="93">
        <f>N(N1577)+IF(M1578="✓",1,0)</f>
        <v/>
      </c>
      <c r="O1578" s="93">
        <f>N(O1577)+IF(AND(B1578&lt;&gt;"",B1578&gt;='Uang Riba'!$H$30,B1578&lt;='Uang Riba'!$I$30,OR(H1578="Dana riba",H1578="Pinjam uang riba",I1578="Pinjam dari uang riba",I1578="Ganti uang riba",I1578="Kelebihan ganti dikembalikan",AND(C1578="Kantong Uang Riba",G1578="Pengeluaran"))),1,0)</f>
        <v/>
      </c>
      <c r="X1578" s="93">
        <f>IF(AND(B1578&lt;&gt;"",B1578&gt;='Buku Akun'!$H$4,B1578&lt;='Buku Akun'!$H$5,OR(C1578='Buku Akun'!$C$4,AND(D1578="Pindah",E1578='Buku Akun'!$C$4))),B1578+IF(AND(I1578="Selisih bunga",DAY(B1578)=1),0,0.01)+ROW()/10000000,"")</f>
        <v/>
      </c>
    </row>
    <row r="1579" outlineLevel="1" ht="15" customHeight="1" s="94">
      <c r="A1579" s="123">
        <f>IF(B1579="","",ROW()-15)</f>
        <v/>
      </c>
      <c r="B1579" s="124" t="n"/>
      <c r="C1579" s="123" t="n"/>
      <c r="D1579" s="123" t="n"/>
      <c r="E1579" s="123" t="n"/>
      <c r="F1579" s="125" t="n"/>
      <c r="G1579" s="123" t="n"/>
      <c r="H1579" s="123" t="n"/>
      <c r="I1579" s="123" t="n"/>
      <c r="J1579" s="123" t="n"/>
      <c r="K1579" s="123" t="n"/>
      <c r="L1579" s="123" t="n"/>
      <c r="M1579" s="123">
        <f>IF(AND(B1579&lt;&gt;"",OR($C$4="",ISNUMBER(SEARCH($C$4,C1579&amp;" "&amp;E1579&amp;" "&amp;G1579&amp;" "&amp;H1579&amp;" "&amp;I1579&amp;" "&amp;J1579&amp;" "&amp;K1579&amp;" "&amp;L1579))),OR($C$5="Semua",$C$5="",G1579=$C$5),OR($C$6="Semua",$C$6="",H1579=$C$6,H1579="Pengeluaran "&amp;$C$6,AND($C$6="Uang Kos Mama",H1579="Pengeluaran Uang Kos")),OR($C$7="Semua",$C$7="",I1579=$C$7),OR($C$8="Semua",$C$8="",C1579=$C$8,E1579=$C$8),OR($C$9="Semua",$C$9="",D1579=$C$9),OR($C$10="",B1579&gt;=$C$10),OR($C$11="",B1579&lt;=$C$11),OR($C$12&lt;&gt;"Ya",K1579&lt;&gt;""),OR($C$13="Semua",$C$13="",L1579=$C$13)),"✓","")</f>
        <v/>
      </c>
      <c r="N1579" s="93">
        <f>N(N1578)+IF(M1579="✓",1,0)</f>
        <v/>
      </c>
      <c r="O1579" s="93">
        <f>N(O1578)+IF(AND(B1579&lt;&gt;"",B1579&gt;='Uang Riba'!$H$30,B1579&lt;='Uang Riba'!$I$30,OR(H1579="Dana riba",H1579="Pinjam uang riba",I1579="Pinjam dari uang riba",I1579="Ganti uang riba",I1579="Kelebihan ganti dikembalikan",AND(C1579="Kantong Uang Riba",G1579="Pengeluaran"))),1,0)</f>
        <v/>
      </c>
      <c r="X1579" s="93">
        <f>IF(AND(B1579&lt;&gt;"",B1579&gt;='Buku Akun'!$H$4,B1579&lt;='Buku Akun'!$H$5,OR(C1579='Buku Akun'!$C$4,AND(D1579="Pindah",E1579='Buku Akun'!$C$4))),B1579+IF(AND(I1579="Selisih bunga",DAY(B1579)=1),0,0.01)+ROW()/10000000,"")</f>
        <v/>
      </c>
    </row>
    <row r="1580" outlineLevel="1" ht="15" customHeight="1" s="94">
      <c r="A1580" s="123">
        <f>IF(B1580="","",ROW()-15)</f>
        <v/>
      </c>
      <c r="B1580" s="124" t="n"/>
      <c r="C1580" s="123" t="n"/>
      <c r="D1580" s="123" t="n"/>
      <c r="E1580" s="123" t="n"/>
      <c r="F1580" s="125" t="n"/>
      <c r="G1580" s="123" t="n"/>
      <c r="H1580" s="123" t="n"/>
      <c r="I1580" s="123" t="n"/>
      <c r="J1580" s="123" t="n"/>
      <c r="K1580" s="123" t="n"/>
      <c r="L1580" s="123" t="n"/>
      <c r="M1580" s="123">
        <f>IF(AND(B1580&lt;&gt;"",OR($C$4="",ISNUMBER(SEARCH($C$4,C1580&amp;" "&amp;E1580&amp;" "&amp;G1580&amp;" "&amp;H1580&amp;" "&amp;I1580&amp;" "&amp;J1580&amp;" "&amp;K1580&amp;" "&amp;L1580))),OR($C$5="Semua",$C$5="",G1580=$C$5),OR($C$6="Semua",$C$6="",H1580=$C$6,H1580="Pengeluaran "&amp;$C$6,AND($C$6="Uang Kos Mama",H1580="Pengeluaran Uang Kos")),OR($C$7="Semua",$C$7="",I1580=$C$7),OR($C$8="Semua",$C$8="",C1580=$C$8,E1580=$C$8),OR($C$9="Semua",$C$9="",D1580=$C$9),OR($C$10="",B1580&gt;=$C$10),OR($C$11="",B1580&lt;=$C$11),OR($C$12&lt;&gt;"Ya",K1580&lt;&gt;""),OR($C$13="Semua",$C$13="",L1580=$C$13)),"✓","")</f>
        <v/>
      </c>
      <c r="N1580" s="93">
        <f>N(N1579)+IF(M1580="✓",1,0)</f>
        <v/>
      </c>
      <c r="O1580" s="93">
        <f>N(O1579)+IF(AND(B1580&lt;&gt;"",B1580&gt;='Uang Riba'!$H$30,B1580&lt;='Uang Riba'!$I$30,OR(H1580="Dana riba",H1580="Pinjam uang riba",I1580="Pinjam dari uang riba",I1580="Ganti uang riba",I1580="Kelebihan ganti dikembalikan",AND(C1580="Kantong Uang Riba",G1580="Pengeluaran"))),1,0)</f>
        <v/>
      </c>
      <c r="X1580" s="93">
        <f>IF(AND(B1580&lt;&gt;"",B1580&gt;='Buku Akun'!$H$4,B1580&lt;='Buku Akun'!$H$5,OR(C1580='Buku Akun'!$C$4,AND(D1580="Pindah",E1580='Buku Akun'!$C$4))),B1580+IF(AND(I1580="Selisih bunga",DAY(B1580)=1),0,0.01)+ROW()/10000000,"")</f>
        <v/>
      </c>
    </row>
    <row r="1581" outlineLevel="1" ht="15" customHeight="1" s="94">
      <c r="A1581" s="123">
        <f>IF(B1581="","",ROW()-15)</f>
        <v/>
      </c>
      <c r="B1581" s="124" t="n"/>
      <c r="C1581" s="123" t="n"/>
      <c r="D1581" s="123" t="n"/>
      <c r="E1581" s="123" t="n"/>
      <c r="F1581" s="125" t="n"/>
      <c r="G1581" s="123" t="n"/>
      <c r="H1581" s="123" t="n"/>
      <c r="I1581" s="123" t="n"/>
      <c r="J1581" s="123" t="n"/>
      <c r="K1581" s="123" t="n"/>
      <c r="L1581" s="123" t="n"/>
      <c r="M1581" s="123">
        <f>IF(AND(B1581&lt;&gt;"",OR($C$4="",ISNUMBER(SEARCH($C$4,C1581&amp;" "&amp;E1581&amp;" "&amp;G1581&amp;" "&amp;H1581&amp;" "&amp;I1581&amp;" "&amp;J1581&amp;" "&amp;K1581&amp;" "&amp;L1581))),OR($C$5="Semua",$C$5="",G1581=$C$5),OR($C$6="Semua",$C$6="",H1581=$C$6,H1581="Pengeluaran "&amp;$C$6,AND($C$6="Uang Kos Mama",H1581="Pengeluaran Uang Kos")),OR($C$7="Semua",$C$7="",I1581=$C$7),OR($C$8="Semua",$C$8="",C1581=$C$8,E1581=$C$8),OR($C$9="Semua",$C$9="",D1581=$C$9),OR($C$10="",B1581&gt;=$C$10),OR($C$11="",B1581&lt;=$C$11),OR($C$12&lt;&gt;"Ya",K1581&lt;&gt;""),OR($C$13="Semua",$C$13="",L1581=$C$13)),"✓","")</f>
        <v/>
      </c>
      <c r="N1581" s="93">
        <f>N(N1580)+IF(M1581="✓",1,0)</f>
        <v/>
      </c>
      <c r="O1581" s="93">
        <f>N(O1580)+IF(AND(B1581&lt;&gt;"",B1581&gt;='Uang Riba'!$H$30,B1581&lt;='Uang Riba'!$I$30,OR(H1581="Dana riba",H1581="Pinjam uang riba",I1581="Pinjam dari uang riba",I1581="Ganti uang riba",I1581="Kelebihan ganti dikembalikan",AND(C1581="Kantong Uang Riba",G1581="Pengeluaran"))),1,0)</f>
        <v/>
      </c>
      <c r="X1581" s="93">
        <f>IF(AND(B1581&lt;&gt;"",B1581&gt;='Buku Akun'!$H$4,B1581&lt;='Buku Akun'!$H$5,OR(C1581='Buku Akun'!$C$4,AND(D1581="Pindah",E1581='Buku Akun'!$C$4))),B1581+IF(AND(I1581="Selisih bunga",DAY(B1581)=1),0,0.01)+ROW()/10000000,"")</f>
        <v/>
      </c>
    </row>
    <row r="1582" outlineLevel="1" ht="15" customHeight="1" s="94">
      <c r="A1582" s="123">
        <f>IF(B1582="","",ROW()-15)</f>
        <v/>
      </c>
      <c r="B1582" s="124" t="n"/>
      <c r="C1582" s="123" t="n"/>
      <c r="D1582" s="123" t="n"/>
      <c r="E1582" s="123" t="n"/>
      <c r="F1582" s="125" t="n"/>
      <c r="G1582" s="123" t="n"/>
      <c r="H1582" s="123" t="n"/>
      <c r="I1582" s="123" t="n"/>
      <c r="J1582" s="123" t="n"/>
      <c r="K1582" s="123" t="n"/>
      <c r="L1582" s="123" t="n"/>
      <c r="M1582" s="123">
        <f>IF(AND(B1582&lt;&gt;"",OR($C$4="",ISNUMBER(SEARCH($C$4,C1582&amp;" "&amp;E1582&amp;" "&amp;G1582&amp;" "&amp;H1582&amp;" "&amp;I1582&amp;" "&amp;J1582&amp;" "&amp;K1582&amp;" "&amp;L1582))),OR($C$5="Semua",$C$5="",G1582=$C$5),OR($C$6="Semua",$C$6="",H1582=$C$6,H1582="Pengeluaran "&amp;$C$6,AND($C$6="Uang Kos Mama",H1582="Pengeluaran Uang Kos")),OR($C$7="Semua",$C$7="",I1582=$C$7),OR($C$8="Semua",$C$8="",C1582=$C$8,E1582=$C$8),OR($C$9="Semua",$C$9="",D1582=$C$9),OR($C$10="",B1582&gt;=$C$10),OR($C$11="",B1582&lt;=$C$11),OR($C$12&lt;&gt;"Ya",K1582&lt;&gt;""),OR($C$13="Semua",$C$13="",L1582=$C$13)),"✓","")</f>
        <v/>
      </c>
      <c r="N1582" s="93">
        <f>N(N1581)+IF(M1582="✓",1,0)</f>
        <v/>
      </c>
      <c r="O1582" s="93">
        <f>N(O1581)+IF(AND(B1582&lt;&gt;"",B1582&gt;='Uang Riba'!$H$30,B1582&lt;='Uang Riba'!$I$30,OR(H1582="Dana riba",H1582="Pinjam uang riba",I1582="Pinjam dari uang riba",I1582="Ganti uang riba",I1582="Kelebihan ganti dikembalikan",AND(C1582="Kantong Uang Riba",G1582="Pengeluaran"))),1,0)</f>
        <v/>
      </c>
      <c r="X1582" s="93">
        <f>IF(AND(B1582&lt;&gt;"",B1582&gt;='Buku Akun'!$H$4,B1582&lt;='Buku Akun'!$H$5,OR(C1582='Buku Akun'!$C$4,AND(D1582="Pindah",E1582='Buku Akun'!$C$4))),B1582+IF(AND(I1582="Selisih bunga",DAY(B1582)=1),0,0.01)+ROW()/10000000,"")</f>
        <v/>
      </c>
    </row>
    <row r="1583" outlineLevel="1" ht="15" customHeight="1" s="94">
      <c r="A1583" s="123">
        <f>IF(B1583="","",ROW()-15)</f>
        <v/>
      </c>
      <c r="B1583" s="124" t="n"/>
      <c r="C1583" s="123" t="n"/>
      <c r="D1583" s="123" t="n"/>
      <c r="E1583" s="123" t="n"/>
      <c r="F1583" s="125" t="n"/>
      <c r="G1583" s="123" t="n"/>
      <c r="H1583" s="123" t="n"/>
      <c r="I1583" s="123" t="n"/>
      <c r="J1583" s="123" t="n"/>
      <c r="K1583" s="123" t="n"/>
      <c r="L1583" s="123" t="n"/>
      <c r="M1583" s="123">
        <f>IF(AND(B1583&lt;&gt;"",OR($C$4="",ISNUMBER(SEARCH($C$4,C1583&amp;" "&amp;E1583&amp;" "&amp;G1583&amp;" "&amp;H1583&amp;" "&amp;I1583&amp;" "&amp;J1583&amp;" "&amp;K1583&amp;" "&amp;L1583))),OR($C$5="Semua",$C$5="",G1583=$C$5),OR($C$6="Semua",$C$6="",H1583=$C$6,H1583="Pengeluaran "&amp;$C$6,AND($C$6="Uang Kos Mama",H1583="Pengeluaran Uang Kos")),OR($C$7="Semua",$C$7="",I1583=$C$7),OR($C$8="Semua",$C$8="",C1583=$C$8,E1583=$C$8),OR($C$9="Semua",$C$9="",D1583=$C$9),OR($C$10="",B1583&gt;=$C$10),OR($C$11="",B1583&lt;=$C$11),OR($C$12&lt;&gt;"Ya",K1583&lt;&gt;""),OR($C$13="Semua",$C$13="",L1583=$C$13)),"✓","")</f>
        <v/>
      </c>
      <c r="N1583" s="93">
        <f>N(N1582)+IF(M1583="✓",1,0)</f>
        <v/>
      </c>
      <c r="O1583" s="93">
        <f>N(O1582)+IF(AND(B1583&lt;&gt;"",B1583&gt;='Uang Riba'!$H$30,B1583&lt;='Uang Riba'!$I$30,OR(H1583="Dana riba",H1583="Pinjam uang riba",I1583="Pinjam dari uang riba",I1583="Ganti uang riba",I1583="Kelebihan ganti dikembalikan",AND(C1583="Kantong Uang Riba",G1583="Pengeluaran"))),1,0)</f>
        <v/>
      </c>
      <c r="X1583" s="93">
        <f>IF(AND(B1583&lt;&gt;"",B1583&gt;='Buku Akun'!$H$4,B1583&lt;='Buku Akun'!$H$5,OR(C1583='Buku Akun'!$C$4,AND(D1583="Pindah",E1583='Buku Akun'!$C$4))),B1583+IF(AND(I1583="Selisih bunga",DAY(B1583)=1),0,0.01)+ROW()/10000000,"")</f>
        <v/>
      </c>
    </row>
    <row r="1584" outlineLevel="1" ht="15" customHeight="1" s="94">
      <c r="A1584" s="123">
        <f>IF(B1584="","",ROW()-15)</f>
        <v/>
      </c>
      <c r="B1584" s="124" t="n"/>
      <c r="C1584" s="123" t="n"/>
      <c r="D1584" s="123" t="n"/>
      <c r="E1584" s="123" t="n"/>
      <c r="F1584" s="125" t="n"/>
      <c r="G1584" s="123" t="n"/>
      <c r="H1584" s="123" t="n"/>
      <c r="I1584" s="123" t="n"/>
      <c r="J1584" s="123" t="n"/>
      <c r="K1584" s="123" t="n"/>
      <c r="L1584" s="123" t="n"/>
      <c r="M1584" s="123">
        <f>IF(AND(B1584&lt;&gt;"",OR($C$4="",ISNUMBER(SEARCH($C$4,C1584&amp;" "&amp;E1584&amp;" "&amp;G1584&amp;" "&amp;H1584&amp;" "&amp;I1584&amp;" "&amp;J1584&amp;" "&amp;K1584&amp;" "&amp;L1584))),OR($C$5="Semua",$C$5="",G1584=$C$5),OR($C$6="Semua",$C$6="",H1584=$C$6,H1584="Pengeluaran "&amp;$C$6,AND($C$6="Uang Kos Mama",H1584="Pengeluaran Uang Kos")),OR($C$7="Semua",$C$7="",I1584=$C$7),OR($C$8="Semua",$C$8="",C1584=$C$8,E1584=$C$8),OR($C$9="Semua",$C$9="",D1584=$C$9),OR($C$10="",B1584&gt;=$C$10),OR($C$11="",B1584&lt;=$C$11),OR($C$12&lt;&gt;"Ya",K1584&lt;&gt;""),OR($C$13="Semua",$C$13="",L1584=$C$13)),"✓","")</f>
        <v/>
      </c>
      <c r="N1584" s="93">
        <f>N(N1583)+IF(M1584="✓",1,0)</f>
        <v/>
      </c>
      <c r="O1584" s="93">
        <f>N(O1583)+IF(AND(B1584&lt;&gt;"",B1584&gt;='Uang Riba'!$H$30,B1584&lt;='Uang Riba'!$I$30,OR(H1584="Dana riba",H1584="Pinjam uang riba",I1584="Pinjam dari uang riba",I1584="Ganti uang riba",I1584="Kelebihan ganti dikembalikan",AND(C1584="Kantong Uang Riba",G1584="Pengeluaran"))),1,0)</f>
        <v/>
      </c>
      <c r="X1584" s="93">
        <f>IF(AND(B1584&lt;&gt;"",B1584&gt;='Buku Akun'!$H$4,B1584&lt;='Buku Akun'!$H$5,OR(C1584='Buku Akun'!$C$4,AND(D1584="Pindah",E1584='Buku Akun'!$C$4))),B1584+IF(AND(I1584="Selisih bunga",DAY(B1584)=1),0,0.01)+ROW()/10000000,"")</f>
        <v/>
      </c>
    </row>
    <row r="1585" outlineLevel="1" ht="15" customHeight="1" s="94">
      <c r="A1585" s="123">
        <f>IF(B1585="","",ROW()-15)</f>
        <v/>
      </c>
      <c r="B1585" s="124" t="n"/>
      <c r="C1585" s="123" t="n"/>
      <c r="D1585" s="123" t="n"/>
      <c r="E1585" s="123" t="n"/>
      <c r="F1585" s="125" t="n"/>
      <c r="G1585" s="123" t="n"/>
      <c r="H1585" s="123" t="n"/>
      <c r="I1585" s="123" t="n"/>
      <c r="J1585" s="123" t="n"/>
      <c r="K1585" s="123" t="n"/>
      <c r="L1585" s="123" t="n"/>
      <c r="M1585" s="123">
        <f>IF(AND(B1585&lt;&gt;"",OR($C$4="",ISNUMBER(SEARCH($C$4,C1585&amp;" "&amp;E1585&amp;" "&amp;G1585&amp;" "&amp;H1585&amp;" "&amp;I1585&amp;" "&amp;J1585&amp;" "&amp;K1585&amp;" "&amp;L1585))),OR($C$5="Semua",$C$5="",G1585=$C$5),OR($C$6="Semua",$C$6="",H1585=$C$6,H1585="Pengeluaran "&amp;$C$6,AND($C$6="Uang Kos Mama",H1585="Pengeluaran Uang Kos")),OR($C$7="Semua",$C$7="",I1585=$C$7),OR($C$8="Semua",$C$8="",C1585=$C$8,E1585=$C$8),OR($C$9="Semua",$C$9="",D1585=$C$9),OR($C$10="",B1585&gt;=$C$10),OR($C$11="",B1585&lt;=$C$11),OR($C$12&lt;&gt;"Ya",K1585&lt;&gt;""),OR($C$13="Semua",$C$13="",L1585=$C$13)),"✓","")</f>
        <v/>
      </c>
      <c r="N1585" s="93">
        <f>N(N1584)+IF(M1585="✓",1,0)</f>
        <v/>
      </c>
      <c r="O1585" s="93">
        <f>N(O1584)+IF(AND(B1585&lt;&gt;"",B1585&gt;='Uang Riba'!$H$30,B1585&lt;='Uang Riba'!$I$30,OR(H1585="Dana riba",H1585="Pinjam uang riba",I1585="Pinjam dari uang riba",I1585="Ganti uang riba",I1585="Kelebihan ganti dikembalikan",AND(C1585="Kantong Uang Riba",G1585="Pengeluaran"))),1,0)</f>
        <v/>
      </c>
      <c r="X1585" s="93">
        <f>IF(AND(B1585&lt;&gt;"",B1585&gt;='Buku Akun'!$H$4,B1585&lt;='Buku Akun'!$H$5,OR(C1585='Buku Akun'!$C$4,AND(D1585="Pindah",E1585='Buku Akun'!$C$4))),B1585+IF(AND(I1585="Selisih bunga",DAY(B1585)=1),0,0.01)+ROW()/10000000,"")</f>
        <v/>
      </c>
    </row>
    <row r="1586" outlineLevel="1" ht="15" customHeight="1" s="94">
      <c r="A1586" s="123">
        <f>IF(B1586="","",ROW()-15)</f>
        <v/>
      </c>
      <c r="B1586" s="124" t="n"/>
      <c r="C1586" s="123" t="n"/>
      <c r="D1586" s="123" t="n"/>
      <c r="E1586" s="123" t="n"/>
      <c r="F1586" s="125" t="n"/>
      <c r="G1586" s="123" t="n"/>
      <c r="H1586" s="123" t="n"/>
      <c r="I1586" s="123" t="n"/>
      <c r="J1586" s="123" t="n"/>
      <c r="K1586" s="123" t="n"/>
      <c r="L1586" s="123" t="n"/>
      <c r="M1586" s="123">
        <f>IF(AND(B1586&lt;&gt;"",OR($C$4="",ISNUMBER(SEARCH($C$4,C1586&amp;" "&amp;E1586&amp;" "&amp;G1586&amp;" "&amp;H1586&amp;" "&amp;I1586&amp;" "&amp;J1586&amp;" "&amp;K1586&amp;" "&amp;L1586))),OR($C$5="Semua",$C$5="",G1586=$C$5),OR($C$6="Semua",$C$6="",H1586=$C$6,H1586="Pengeluaran "&amp;$C$6,AND($C$6="Uang Kos Mama",H1586="Pengeluaran Uang Kos")),OR($C$7="Semua",$C$7="",I1586=$C$7),OR($C$8="Semua",$C$8="",C1586=$C$8,E1586=$C$8),OR($C$9="Semua",$C$9="",D1586=$C$9),OR($C$10="",B1586&gt;=$C$10),OR($C$11="",B1586&lt;=$C$11),OR($C$12&lt;&gt;"Ya",K1586&lt;&gt;""),OR($C$13="Semua",$C$13="",L1586=$C$13)),"✓","")</f>
        <v/>
      </c>
      <c r="N1586" s="93">
        <f>N(N1585)+IF(M1586="✓",1,0)</f>
        <v/>
      </c>
      <c r="O1586" s="93">
        <f>N(O1585)+IF(AND(B1586&lt;&gt;"",B1586&gt;='Uang Riba'!$H$30,B1586&lt;='Uang Riba'!$I$30,OR(H1586="Dana riba",H1586="Pinjam uang riba",I1586="Pinjam dari uang riba",I1586="Ganti uang riba",I1586="Kelebihan ganti dikembalikan",AND(C1586="Kantong Uang Riba",G1586="Pengeluaran"))),1,0)</f>
        <v/>
      </c>
      <c r="X1586" s="93">
        <f>IF(AND(B1586&lt;&gt;"",B1586&gt;='Buku Akun'!$H$4,B1586&lt;='Buku Akun'!$H$5,OR(C1586='Buku Akun'!$C$4,AND(D1586="Pindah",E1586='Buku Akun'!$C$4))),B1586+IF(AND(I1586="Selisih bunga",DAY(B1586)=1),0,0.01)+ROW()/10000000,"")</f>
        <v/>
      </c>
    </row>
    <row r="1587" outlineLevel="1" ht="15" customHeight="1" s="94">
      <c r="A1587" s="123">
        <f>IF(B1587="","",ROW()-15)</f>
        <v/>
      </c>
      <c r="B1587" s="124" t="n"/>
      <c r="C1587" s="123" t="n"/>
      <c r="D1587" s="123" t="n"/>
      <c r="E1587" s="123" t="n"/>
      <c r="F1587" s="125" t="n"/>
      <c r="G1587" s="123" t="n"/>
      <c r="H1587" s="123" t="n"/>
      <c r="I1587" s="123" t="n"/>
      <c r="J1587" s="123" t="n"/>
      <c r="K1587" s="123" t="n"/>
      <c r="L1587" s="123" t="n"/>
      <c r="M1587" s="123">
        <f>IF(AND(B1587&lt;&gt;"",OR($C$4="",ISNUMBER(SEARCH($C$4,C1587&amp;" "&amp;E1587&amp;" "&amp;G1587&amp;" "&amp;H1587&amp;" "&amp;I1587&amp;" "&amp;J1587&amp;" "&amp;K1587&amp;" "&amp;L1587))),OR($C$5="Semua",$C$5="",G1587=$C$5),OR($C$6="Semua",$C$6="",H1587=$C$6,H1587="Pengeluaran "&amp;$C$6,AND($C$6="Uang Kos Mama",H1587="Pengeluaran Uang Kos")),OR($C$7="Semua",$C$7="",I1587=$C$7),OR($C$8="Semua",$C$8="",C1587=$C$8,E1587=$C$8),OR($C$9="Semua",$C$9="",D1587=$C$9),OR($C$10="",B1587&gt;=$C$10),OR($C$11="",B1587&lt;=$C$11),OR($C$12&lt;&gt;"Ya",K1587&lt;&gt;""),OR($C$13="Semua",$C$13="",L1587=$C$13)),"✓","")</f>
        <v/>
      </c>
      <c r="N1587" s="93">
        <f>N(N1586)+IF(M1587="✓",1,0)</f>
        <v/>
      </c>
      <c r="O1587" s="93">
        <f>N(O1586)+IF(AND(B1587&lt;&gt;"",B1587&gt;='Uang Riba'!$H$30,B1587&lt;='Uang Riba'!$I$30,OR(H1587="Dana riba",H1587="Pinjam uang riba",I1587="Pinjam dari uang riba",I1587="Ganti uang riba",I1587="Kelebihan ganti dikembalikan",AND(C1587="Kantong Uang Riba",G1587="Pengeluaran"))),1,0)</f>
        <v/>
      </c>
      <c r="X1587" s="93">
        <f>IF(AND(B1587&lt;&gt;"",B1587&gt;='Buku Akun'!$H$4,B1587&lt;='Buku Akun'!$H$5,OR(C1587='Buku Akun'!$C$4,AND(D1587="Pindah",E1587='Buku Akun'!$C$4))),B1587+IF(AND(I1587="Selisih bunga",DAY(B1587)=1),0,0.01)+ROW()/10000000,"")</f>
        <v/>
      </c>
    </row>
    <row r="1588" outlineLevel="1" ht="15" customHeight="1" s="94">
      <c r="A1588" s="123">
        <f>IF(B1588="","",ROW()-15)</f>
        <v/>
      </c>
      <c r="B1588" s="124" t="n"/>
      <c r="C1588" s="123" t="n"/>
      <c r="D1588" s="123" t="n"/>
      <c r="E1588" s="123" t="n"/>
      <c r="F1588" s="125" t="n"/>
      <c r="G1588" s="123" t="n"/>
      <c r="H1588" s="123" t="n"/>
      <c r="I1588" s="123" t="n"/>
      <c r="J1588" s="123" t="n"/>
      <c r="K1588" s="123" t="n"/>
      <c r="L1588" s="123" t="n"/>
      <c r="M1588" s="123">
        <f>IF(AND(B1588&lt;&gt;"",OR($C$4="",ISNUMBER(SEARCH($C$4,C1588&amp;" "&amp;E1588&amp;" "&amp;G1588&amp;" "&amp;H1588&amp;" "&amp;I1588&amp;" "&amp;J1588&amp;" "&amp;K1588&amp;" "&amp;L1588))),OR($C$5="Semua",$C$5="",G1588=$C$5),OR($C$6="Semua",$C$6="",H1588=$C$6,H1588="Pengeluaran "&amp;$C$6,AND($C$6="Uang Kos Mama",H1588="Pengeluaran Uang Kos")),OR($C$7="Semua",$C$7="",I1588=$C$7),OR($C$8="Semua",$C$8="",C1588=$C$8,E1588=$C$8),OR($C$9="Semua",$C$9="",D1588=$C$9),OR($C$10="",B1588&gt;=$C$10),OR($C$11="",B1588&lt;=$C$11),OR($C$12&lt;&gt;"Ya",K1588&lt;&gt;""),OR($C$13="Semua",$C$13="",L1588=$C$13)),"✓","")</f>
        <v/>
      </c>
      <c r="N1588" s="93">
        <f>N(N1587)+IF(M1588="✓",1,0)</f>
        <v/>
      </c>
      <c r="O1588" s="93">
        <f>N(O1587)+IF(AND(B1588&lt;&gt;"",B1588&gt;='Uang Riba'!$H$30,B1588&lt;='Uang Riba'!$I$30,OR(H1588="Dana riba",H1588="Pinjam uang riba",I1588="Pinjam dari uang riba",I1588="Ganti uang riba",I1588="Kelebihan ganti dikembalikan",AND(C1588="Kantong Uang Riba",G1588="Pengeluaran"))),1,0)</f>
        <v/>
      </c>
      <c r="X1588" s="93">
        <f>IF(AND(B1588&lt;&gt;"",B1588&gt;='Buku Akun'!$H$4,B1588&lt;='Buku Akun'!$H$5,OR(C1588='Buku Akun'!$C$4,AND(D1588="Pindah",E1588='Buku Akun'!$C$4))),B1588+IF(AND(I1588="Selisih bunga",DAY(B1588)=1),0,0.01)+ROW()/10000000,"")</f>
        <v/>
      </c>
    </row>
    <row r="1589" outlineLevel="1" ht="15" customHeight="1" s="94">
      <c r="A1589" s="123">
        <f>IF(B1589="","",ROW()-15)</f>
        <v/>
      </c>
      <c r="B1589" s="124" t="n"/>
      <c r="C1589" s="123" t="n"/>
      <c r="D1589" s="123" t="n"/>
      <c r="E1589" s="123" t="n"/>
      <c r="F1589" s="125" t="n"/>
      <c r="G1589" s="123" t="n"/>
      <c r="H1589" s="123" t="n"/>
      <c r="I1589" s="123" t="n"/>
      <c r="J1589" s="123" t="n"/>
      <c r="K1589" s="123" t="n"/>
      <c r="L1589" s="123" t="n"/>
      <c r="M1589" s="123">
        <f>IF(AND(B1589&lt;&gt;"",OR($C$4="",ISNUMBER(SEARCH($C$4,C1589&amp;" "&amp;E1589&amp;" "&amp;G1589&amp;" "&amp;H1589&amp;" "&amp;I1589&amp;" "&amp;J1589&amp;" "&amp;K1589&amp;" "&amp;L1589))),OR($C$5="Semua",$C$5="",G1589=$C$5),OR($C$6="Semua",$C$6="",H1589=$C$6,H1589="Pengeluaran "&amp;$C$6,AND($C$6="Uang Kos Mama",H1589="Pengeluaran Uang Kos")),OR($C$7="Semua",$C$7="",I1589=$C$7),OR($C$8="Semua",$C$8="",C1589=$C$8,E1589=$C$8),OR($C$9="Semua",$C$9="",D1589=$C$9),OR($C$10="",B1589&gt;=$C$10),OR($C$11="",B1589&lt;=$C$11),OR($C$12&lt;&gt;"Ya",K1589&lt;&gt;""),OR($C$13="Semua",$C$13="",L1589=$C$13)),"✓","")</f>
        <v/>
      </c>
      <c r="N1589" s="93">
        <f>N(N1588)+IF(M1589="✓",1,0)</f>
        <v/>
      </c>
      <c r="O1589" s="93">
        <f>N(O1588)+IF(AND(B1589&lt;&gt;"",B1589&gt;='Uang Riba'!$H$30,B1589&lt;='Uang Riba'!$I$30,OR(H1589="Dana riba",H1589="Pinjam uang riba",I1589="Pinjam dari uang riba",I1589="Ganti uang riba",I1589="Kelebihan ganti dikembalikan",AND(C1589="Kantong Uang Riba",G1589="Pengeluaran"))),1,0)</f>
        <v/>
      </c>
      <c r="X1589" s="93">
        <f>IF(AND(B1589&lt;&gt;"",B1589&gt;='Buku Akun'!$H$4,B1589&lt;='Buku Akun'!$H$5,OR(C1589='Buku Akun'!$C$4,AND(D1589="Pindah",E1589='Buku Akun'!$C$4))),B1589+IF(AND(I1589="Selisih bunga",DAY(B1589)=1),0,0.01)+ROW()/10000000,"")</f>
        <v/>
      </c>
    </row>
    <row r="1590" outlineLevel="1" ht="15" customHeight="1" s="94">
      <c r="A1590" s="123">
        <f>IF(B1590="","",ROW()-15)</f>
        <v/>
      </c>
      <c r="B1590" s="124" t="n"/>
      <c r="C1590" s="123" t="n"/>
      <c r="D1590" s="123" t="n"/>
      <c r="E1590" s="123" t="n"/>
      <c r="F1590" s="125" t="n"/>
      <c r="G1590" s="123" t="n"/>
      <c r="H1590" s="123" t="n"/>
      <c r="I1590" s="123" t="n"/>
      <c r="J1590" s="123" t="n"/>
      <c r="K1590" s="123" t="n"/>
      <c r="L1590" s="123" t="n"/>
      <c r="M1590" s="123">
        <f>IF(AND(B1590&lt;&gt;"",OR($C$4="",ISNUMBER(SEARCH($C$4,C1590&amp;" "&amp;E1590&amp;" "&amp;G1590&amp;" "&amp;H1590&amp;" "&amp;I1590&amp;" "&amp;J1590&amp;" "&amp;K1590&amp;" "&amp;L1590))),OR($C$5="Semua",$C$5="",G1590=$C$5),OR($C$6="Semua",$C$6="",H1590=$C$6,H1590="Pengeluaran "&amp;$C$6,AND($C$6="Uang Kos Mama",H1590="Pengeluaran Uang Kos")),OR($C$7="Semua",$C$7="",I1590=$C$7),OR($C$8="Semua",$C$8="",C1590=$C$8,E1590=$C$8),OR($C$9="Semua",$C$9="",D1590=$C$9),OR($C$10="",B1590&gt;=$C$10),OR($C$11="",B1590&lt;=$C$11),OR($C$12&lt;&gt;"Ya",K1590&lt;&gt;""),OR($C$13="Semua",$C$13="",L1590=$C$13)),"✓","")</f>
        <v/>
      </c>
      <c r="N1590" s="93">
        <f>N(N1589)+IF(M1590="✓",1,0)</f>
        <v/>
      </c>
      <c r="O1590" s="93">
        <f>N(O1589)+IF(AND(B1590&lt;&gt;"",B1590&gt;='Uang Riba'!$H$30,B1590&lt;='Uang Riba'!$I$30,OR(H1590="Dana riba",H1590="Pinjam uang riba",I1590="Pinjam dari uang riba",I1590="Ganti uang riba",I1590="Kelebihan ganti dikembalikan",AND(C1590="Kantong Uang Riba",G1590="Pengeluaran"))),1,0)</f>
        <v/>
      </c>
      <c r="X1590" s="93">
        <f>IF(AND(B1590&lt;&gt;"",B1590&gt;='Buku Akun'!$H$4,B1590&lt;='Buku Akun'!$H$5,OR(C1590='Buku Akun'!$C$4,AND(D1590="Pindah",E1590='Buku Akun'!$C$4))),B1590+IF(AND(I1590="Selisih bunga",DAY(B1590)=1),0,0.01)+ROW()/10000000,"")</f>
        <v/>
      </c>
    </row>
    <row r="1591" outlineLevel="1" ht="15" customHeight="1" s="94">
      <c r="A1591" s="123">
        <f>IF(B1591="","",ROW()-15)</f>
        <v/>
      </c>
      <c r="B1591" s="124" t="n"/>
      <c r="C1591" s="123" t="n"/>
      <c r="D1591" s="123" t="n"/>
      <c r="E1591" s="123" t="n"/>
      <c r="F1591" s="125" t="n"/>
      <c r="G1591" s="123" t="n"/>
      <c r="H1591" s="123" t="n"/>
      <c r="I1591" s="123" t="n"/>
      <c r="J1591" s="123" t="n"/>
      <c r="K1591" s="123" t="n"/>
      <c r="L1591" s="123" t="n"/>
      <c r="M1591" s="123">
        <f>IF(AND(B1591&lt;&gt;"",OR($C$4="",ISNUMBER(SEARCH($C$4,C1591&amp;" "&amp;E1591&amp;" "&amp;G1591&amp;" "&amp;H1591&amp;" "&amp;I1591&amp;" "&amp;J1591&amp;" "&amp;K1591&amp;" "&amp;L1591))),OR($C$5="Semua",$C$5="",G1591=$C$5),OR($C$6="Semua",$C$6="",H1591=$C$6,H1591="Pengeluaran "&amp;$C$6,AND($C$6="Uang Kos Mama",H1591="Pengeluaran Uang Kos")),OR($C$7="Semua",$C$7="",I1591=$C$7),OR($C$8="Semua",$C$8="",C1591=$C$8,E1591=$C$8),OR($C$9="Semua",$C$9="",D1591=$C$9),OR($C$10="",B1591&gt;=$C$10),OR($C$11="",B1591&lt;=$C$11),OR($C$12&lt;&gt;"Ya",K1591&lt;&gt;""),OR($C$13="Semua",$C$13="",L1591=$C$13)),"✓","")</f>
        <v/>
      </c>
      <c r="N1591" s="93">
        <f>N(N1590)+IF(M1591="✓",1,0)</f>
        <v/>
      </c>
      <c r="O1591" s="93">
        <f>N(O1590)+IF(AND(B1591&lt;&gt;"",B1591&gt;='Uang Riba'!$H$30,B1591&lt;='Uang Riba'!$I$30,OR(H1591="Dana riba",H1591="Pinjam uang riba",I1591="Pinjam dari uang riba",I1591="Ganti uang riba",I1591="Kelebihan ganti dikembalikan",AND(C1591="Kantong Uang Riba",G1591="Pengeluaran"))),1,0)</f>
        <v/>
      </c>
      <c r="X1591" s="93">
        <f>IF(AND(B1591&lt;&gt;"",B1591&gt;='Buku Akun'!$H$4,B1591&lt;='Buku Akun'!$H$5,OR(C1591='Buku Akun'!$C$4,AND(D1591="Pindah",E1591='Buku Akun'!$C$4))),B1591+IF(AND(I1591="Selisih bunga",DAY(B1591)=1),0,0.01)+ROW()/10000000,"")</f>
        <v/>
      </c>
    </row>
    <row r="1592" outlineLevel="1" ht="15" customHeight="1" s="94">
      <c r="A1592" s="123">
        <f>IF(B1592="","",ROW()-15)</f>
        <v/>
      </c>
      <c r="B1592" s="124" t="n"/>
      <c r="C1592" s="123" t="n"/>
      <c r="D1592" s="123" t="n"/>
      <c r="E1592" s="123" t="n"/>
      <c r="F1592" s="125" t="n"/>
      <c r="G1592" s="123" t="n"/>
      <c r="H1592" s="123" t="n"/>
      <c r="I1592" s="123" t="n"/>
      <c r="J1592" s="123" t="n"/>
      <c r="K1592" s="123" t="n"/>
      <c r="L1592" s="123" t="n"/>
      <c r="M1592" s="123">
        <f>IF(AND(B1592&lt;&gt;"",OR($C$4="",ISNUMBER(SEARCH($C$4,C1592&amp;" "&amp;E1592&amp;" "&amp;G1592&amp;" "&amp;H1592&amp;" "&amp;I1592&amp;" "&amp;J1592&amp;" "&amp;K1592&amp;" "&amp;L1592))),OR($C$5="Semua",$C$5="",G1592=$C$5),OR($C$6="Semua",$C$6="",H1592=$C$6,H1592="Pengeluaran "&amp;$C$6,AND($C$6="Uang Kos Mama",H1592="Pengeluaran Uang Kos")),OR($C$7="Semua",$C$7="",I1592=$C$7),OR($C$8="Semua",$C$8="",C1592=$C$8,E1592=$C$8),OR($C$9="Semua",$C$9="",D1592=$C$9),OR($C$10="",B1592&gt;=$C$10),OR($C$11="",B1592&lt;=$C$11),OR($C$12&lt;&gt;"Ya",K1592&lt;&gt;""),OR($C$13="Semua",$C$13="",L1592=$C$13)),"✓","")</f>
        <v/>
      </c>
      <c r="N1592" s="93">
        <f>N(N1591)+IF(M1592="✓",1,0)</f>
        <v/>
      </c>
      <c r="O1592" s="93">
        <f>N(O1591)+IF(AND(B1592&lt;&gt;"",B1592&gt;='Uang Riba'!$H$30,B1592&lt;='Uang Riba'!$I$30,OR(H1592="Dana riba",H1592="Pinjam uang riba",I1592="Pinjam dari uang riba",I1592="Ganti uang riba",I1592="Kelebihan ganti dikembalikan",AND(C1592="Kantong Uang Riba",G1592="Pengeluaran"))),1,0)</f>
        <v/>
      </c>
      <c r="X1592" s="93">
        <f>IF(AND(B1592&lt;&gt;"",B1592&gt;='Buku Akun'!$H$4,B1592&lt;='Buku Akun'!$H$5,OR(C1592='Buku Akun'!$C$4,AND(D1592="Pindah",E1592='Buku Akun'!$C$4))),B1592+IF(AND(I1592="Selisih bunga",DAY(B1592)=1),0,0.01)+ROW()/10000000,"")</f>
        <v/>
      </c>
    </row>
    <row r="1593" outlineLevel="1" ht="15" customHeight="1" s="94">
      <c r="A1593" s="123">
        <f>IF(B1593="","",ROW()-15)</f>
        <v/>
      </c>
      <c r="B1593" s="124" t="n"/>
      <c r="C1593" s="123" t="n"/>
      <c r="D1593" s="123" t="n"/>
      <c r="E1593" s="123" t="n"/>
      <c r="F1593" s="125" t="n"/>
      <c r="G1593" s="123" t="n"/>
      <c r="H1593" s="123" t="n"/>
      <c r="I1593" s="123" t="n"/>
      <c r="J1593" s="123" t="n"/>
      <c r="K1593" s="123" t="n"/>
      <c r="L1593" s="123" t="n"/>
      <c r="M1593" s="123">
        <f>IF(AND(B1593&lt;&gt;"",OR($C$4="",ISNUMBER(SEARCH($C$4,C1593&amp;" "&amp;E1593&amp;" "&amp;G1593&amp;" "&amp;H1593&amp;" "&amp;I1593&amp;" "&amp;J1593&amp;" "&amp;K1593&amp;" "&amp;L1593))),OR($C$5="Semua",$C$5="",G1593=$C$5),OR($C$6="Semua",$C$6="",H1593=$C$6,H1593="Pengeluaran "&amp;$C$6,AND($C$6="Uang Kos Mama",H1593="Pengeluaran Uang Kos")),OR($C$7="Semua",$C$7="",I1593=$C$7),OR($C$8="Semua",$C$8="",C1593=$C$8,E1593=$C$8),OR($C$9="Semua",$C$9="",D1593=$C$9),OR($C$10="",B1593&gt;=$C$10),OR($C$11="",B1593&lt;=$C$11),OR($C$12&lt;&gt;"Ya",K1593&lt;&gt;""),OR($C$13="Semua",$C$13="",L1593=$C$13)),"✓","")</f>
        <v/>
      </c>
      <c r="N1593" s="93">
        <f>N(N1592)+IF(M1593="✓",1,0)</f>
        <v/>
      </c>
      <c r="O1593" s="93">
        <f>N(O1592)+IF(AND(B1593&lt;&gt;"",B1593&gt;='Uang Riba'!$H$30,B1593&lt;='Uang Riba'!$I$30,OR(H1593="Dana riba",H1593="Pinjam uang riba",I1593="Pinjam dari uang riba",I1593="Ganti uang riba",I1593="Kelebihan ganti dikembalikan",AND(C1593="Kantong Uang Riba",G1593="Pengeluaran"))),1,0)</f>
        <v/>
      </c>
      <c r="X1593" s="93">
        <f>IF(AND(B1593&lt;&gt;"",B1593&gt;='Buku Akun'!$H$4,B1593&lt;='Buku Akun'!$H$5,OR(C1593='Buku Akun'!$C$4,AND(D1593="Pindah",E1593='Buku Akun'!$C$4))),B1593+IF(AND(I1593="Selisih bunga",DAY(B1593)=1),0,0.01)+ROW()/10000000,"")</f>
        <v/>
      </c>
    </row>
    <row r="1594" outlineLevel="1" ht="15" customHeight="1" s="94">
      <c r="A1594" s="123">
        <f>IF(B1594="","",ROW()-15)</f>
        <v/>
      </c>
      <c r="B1594" s="124" t="n"/>
      <c r="C1594" s="123" t="n"/>
      <c r="D1594" s="123" t="n"/>
      <c r="E1594" s="123" t="n"/>
      <c r="F1594" s="125" t="n"/>
      <c r="G1594" s="123" t="n"/>
      <c r="H1594" s="123" t="n"/>
      <c r="I1594" s="123" t="n"/>
      <c r="J1594" s="123" t="n"/>
      <c r="K1594" s="123" t="n"/>
      <c r="L1594" s="123" t="n"/>
      <c r="M1594" s="123">
        <f>IF(AND(B1594&lt;&gt;"",OR($C$4="",ISNUMBER(SEARCH($C$4,C1594&amp;" "&amp;E1594&amp;" "&amp;G1594&amp;" "&amp;H1594&amp;" "&amp;I1594&amp;" "&amp;J1594&amp;" "&amp;K1594&amp;" "&amp;L1594))),OR($C$5="Semua",$C$5="",G1594=$C$5),OR($C$6="Semua",$C$6="",H1594=$C$6,H1594="Pengeluaran "&amp;$C$6,AND($C$6="Uang Kos Mama",H1594="Pengeluaran Uang Kos")),OR($C$7="Semua",$C$7="",I1594=$C$7),OR($C$8="Semua",$C$8="",C1594=$C$8,E1594=$C$8),OR($C$9="Semua",$C$9="",D1594=$C$9),OR($C$10="",B1594&gt;=$C$10),OR($C$11="",B1594&lt;=$C$11),OR($C$12&lt;&gt;"Ya",K1594&lt;&gt;""),OR($C$13="Semua",$C$13="",L1594=$C$13)),"✓","")</f>
        <v/>
      </c>
      <c r="N1594" s="93">
        <f>N(N1593)+IF(M1594="✓",1,0)</f>
        <v/>
      </c>
      <c r="O1594" s="93">
        <f>N(O1593)+IF(AND(B1594&lt;&gt;"",B1594&gt;='Uang Riba'!$H$30,B1594&lt;='Uang Riba'!$I$30,OR(H1594="Dana riba",H1594="Pinjam uang riba",I1594="Pinjam dari uang riba",I1594="Ganti uang riba",I1594="Kelebihan ganti dikembalikan",AND(C1594="Kantong Uang Riba",G1594="Pengeluaran"))),1,0)</f>
        <v/>
      </c>
      <c r="X1594" s="93">
        <f>IF(AND(B1594&lt;&gt;"",B1594&gt;='Buku Akun'!$H$4,B1594&lt;='Buku Akun'!$H$5,OR(C1594='Buku Akun'!$C$4,AND(D1594="Pindah",E1594='Buku Akun'!$C$4))),B1594+IF(AND(I1594="Selisih bunga",DAY(B1594)=1),0,0.01)+ROW()/10000000,"")</f>
        <v/>
      </c>
    </row>
    <row r="1595" outlineLevel="1" ht="15" customHeight="1" s="94">
      <c r="A1595" s="123">
        <f>IF(B1595="","",ROW()-15)</f>
        <v/>
      </c>
      <c r="B1595" s="124" t="n"/>
      <c r="C1595" s="123" t="n"/>
      <c r="D1595" s="123" t="n"/>
      <c r="E1595" s="123" t="n"/>
      <c r="F1595" s="125" t="n"/>
      <c r="G1595" s="123" t="n"/>
      <c r="H1595" s="123" t="n"/>
      <c r="I1595" s="123" t="n"/>
      <c r="J1595" s="123" t="n"/>
      <c r="K1595" s="123" t="n"/>
      <c r="L1595" s="123" t="n"/>
      <c r="M1595" s="123">
        <f>IF(AND(B1595&lt;&gt;"",OR($C$4="",ISNUMBER(SEARCH($C$4,C1595&amp;" "&amp;E1595&amp;" "&amp;G1595&amp;" "&amp;H1595&amp;" "&amp;I1595&amp;" "&amp;J1595&amp;" "&amp;K1595&amp;" "&amp;L1595))),OR($C$5="Semua",$C$5="",G1595=$C$5),OR($C$6="Semua",$C$6="",H1595=$C$6,H1595="Pengeluaran "&amp;$C$6,AND($C$6="Uang Kos Mama",H1595="Pengeluaran Uang Kos")),OR($C$7="Semua",$C$7="",I1595=$C$7),OR($C$8="Semua",$C$8="",C1595=$C$8,E1595=$C$8),OR($C$9="Semua",$C$9="",D1595=$C$9),OR($C$10="",B1595&gt;=$C$10),OR($C$11="",B1595&lt;=$C$11),OR($C$12&lt;&gt;"Ya",K1595&lt;&gt;""),OR($C$13="Semua",$C$13="",L1595=$C$13)),"✓","")</f>
        <v/>
      </c>
      <c r="N1595" s="93">
        <f>N(N1594)+IF(M1595="✓",1,0)</f>
        <v/>
      </c>
      <c r="O1595" s="93">
        <f>N(O1594)+IF(AND(B1595&lt;&gt;"",B1595&gt;='Uang Riba'!$H$30,B1595&lt;='Uang Riba'!$I$30,OR(H1595="Dana riba",H1595="Pinjam uang riba",I1595="Pinjam dari uang riba",I1595="Ganti uang riba",I1595="Kelebihan ganti dikembalikan",AND(C1595="Kantong Uang Riba",G1595="Pengeluaran"))),1,0)</f>
        <v/>
      </c>
      <c r="X1595" s="93">
        <f>IF(AND(B1595&lt;&gt;"",B1595&gt;='Buku Akun'!$H$4,B1595&lt;='Buku Akun'!$H$5,OR(C1595='Buku Akun'!$C$4,AND(D1595="Pindah",E1595='Buku Akun'!$C$4))),B1595+IF(AND(I1595="Selisih bunga",DAY(B1595)=1),0,0.01)+ROW()/10000000,"")</f>
        <v/>
      </c>
    </row>
    <row r="1596" outlineLevel="1" ht="15" customHeight="1" s="94">
      <c r="A1596" s="123">
        <f>IF(B1596="","",ROW()-15)</f>
        <v/>
      </c>
      <c r="B1596" s="124" t="n"/>
      <c r="C1596" s="123" t="n"/>
      <c r="D1596" s="123" t="n"/>
      <c r="E1596" s="123" t="n"/>
      <c r="F1596" s="125" t="n"/>
      <c r="G1596" s="123" t="n"/>
      <c r="H1596" s="123" t="n"/>
      <c r="I1596" s="123" t="n"/>
      <c r="J1596" s="123" t="n"/>
      <c r="K1596" s="123" t="n"/>
      <c r="L1596" s="123" t="n"/>
      <c r="M1596" s="123">
        <f>IF(AND(B1596&lt;&gt;"",OR($C$4="",ISNUMBER(SEARCH($C$4,C1596&amp;" "&amp;E1596&amp;" "&amp;G1596&amp;" "&amp;H1596&amp;" "&amp;I1596&amp;" "&amp;J1596&amp;" "&amp;K1596&amp;" "&amp;L1596))),OR($C$5="Semua",$C$5="",G1596=$C$5),OR($C$6="Semua",$C$6="",H1596=$C$6,H1596="Pengeluaran "&amp;$C$6,AND($C$6="Uang Kos Mama",H1596="Pengeluaran Uang Kos")),OR($C$7="Semua",$C$7="",I1596=$C$7),OR($C$8="Semua",$C$8="",C1596=$C$8,E1596=$C$8),OR($C$9="Semua",$C$9="",D1596=$C$9),OR($C$10="",B1596&gt;=$C$10),OR($C$11="",B1596&lt;=$C$11),OR($C$12&lt;&gt;"Ya",K1596&lt;&gt;""),OR($C$13="Semua",$C$13="",L1596=$C$13)),"✓","")</f>
        <v/>
      </c>
      <c r="N1596" s="93">
        <f>N(N1595)+IF(M1596="✓",1,0)</f>
        <v/>
      </c>
      <c r="O1596" s="93">
        <f>N(O1595)+IF(AND(B1596&lt;&gt;"",B1596&gt;='Uang Riba'!$H$30,B1596&lt;='Uang Riba'!$I$30,OR(H1596="Dana riba",H1596="Pinjam uang riba",I1596="Pinjam dari uang riba",I1596="Ganti uang riba",I1596="Kelebihan ganti dikembalikan",AND(C1596="Kantong Uang Riba",G1596="Pengeluaran"))),1,0)</f>
        <v/>
      </c>
      <c r="X1596" s="93">
        <f>IF(AND(B1596&lt;&gt;"",B1596&gt;='Buku Akun'!$H$4,B1596&lt;='Buku Akun'!$H$5,OR(C1596='Buku Akun'!$C$4,AND(D1596="Pindah",E1596='Buku Akun'!$C$4))),B1596+IF(AND(I1596="Selisih bunga",DAY(B1596)=1),0,0.01)+ROW()/10000000,"")</f>
        <v/>
      </c>
    </row>
    <row r="1597" outlineLevel="1" ht="15" customHeight="1" s="94">
      <c r="A1597" s="123">
        <f>IF(B1597="","",ROW()-15)</f>
        <v/>
      </c>
      <c r="B1597" s="124" t="n"/>
      <c r="C1597" s="123" t="n"/>
      <c r="D1597" s="123" t="n"/>
      <c r="E1597" s="123" t="n"/>
      <c r="F1597" s="125" t="n"/>
      <c r="G1597" s="123" t="n"/>
      <c r="H1597" s="123" t="n"/>
      <c r="I1597" s="123" t="n"/>
      <c r="J1597" s="123" t="n"/>
      <c r="K1597" s="123" t="n"/>
      <c r="L1597" s="123" t="n"/>
      <c r="M1597" s="123">
        <f>IF(AND(B1597&lt;&gt;"",OR($C$4="",ISNUMBER(SEARCH($C$4,C1597&amp;" "&amp;E1597&amp;" "&amp;G1597&amp;" "&amp;H1597&amp;" "&amp;I1597&amp;" "&amp;J1597&amp;" "&amp;K1597&amp;" "&amp;L1597))),OR($C$5="Semua",$C$5="",G1597=$C$5),OR($C$6="Semua",$C$6="",H1597=$C$6,H1597="Pengeluaran "&amp;$C$6,AND($C$6="Uang Kos Mama",H1597="Pengeluaran Uang Kos")),OR($C$7="Semua",$C$7="",I1597=$C$7),OR($C$8="Semua",$C$8="",C1597=$C$8,E1597=$C$8),OR($C$9="Semua",$C$9="",D1597=$C$9),OR($C$10="",B1597&gt;=$C$10),OR($C$11="",B1597&lt;=$C$11),OR($C$12&lt;&gt;"Ya",K1597&lt;&gt;""),OR($C$13="Semua",$C$13="",L1597=$C$13)),"✓","")</f>
        <v/>
      </c>
      <c r="N1597" s="93">
        <f>N(N1596)+IF(M1597="✓",1,0)</f>
        <v/>
      </c>
      <c r="O1597" s="93">
        <f>N(O1596)+IF(AND(B1597&lt;&gt;"",B1597&gt;='Uang Riba'!$H$30,B1597&lt;='Uang Riba'!$I$30,OR(H1597="Dana riba",H1597="Pinjam uang riba",I1597="Pinjam dari uang riba",I1597="Ganti uang riba",I1597="Kelebihan ganti dikembalikan",AND(C1597="Kantong Uang Riba",G1597="Pengeluaran"))),1,0)</f>
        <v/>
      </c>
      <c r="X1597" s="93">
        <f>IF(AND(B1597&lt;&gt;"",B1597&gt;='Buku Akun'!$H$4,B1597&lt;='Buku Akun'!$H$5,OR(C1597='Buku Akun'!$C$4,AND(D1597="Pindah",E1597='Buku Akun'!$C$4))),B1597+IF(AND(I1597="Selisih bunga",DAY(B1597)=1),0,0.01)+ROW()/10000000,"")</f>
        <v/>
      </c>
    </row>
    <row r="1598" outlineLevel="1" ht="15" customHeight="1" s="94">
      <c r="A1598" s="123">
        <f>IF(B1598="","",ROW()-15)</f>
        <v/>
      </c>
      <c r="B1598" s="124" t="n"/>
      <c r="C1598" s="123" t="n"/>
      <c r="D1598" s="123" t="n"/>
      <c r="E1598" s="123" t="n"/>
      <c r="F1598" s="125" t="n"/>
      <c r="G1598" s="123" t="n"/>
      <c r="H1598" s="123" t="n"/>
      <c r="I1598" s="123" t="n"/>
      <c r="J1598" s="123" t="n"/>
      <c r="K1598" s="123" t="n"/>
      <c r="L1598" s="123" t="n"/>
      <c r="M1598" s="123">
        <f>IF(AND(B1598&lt;&gt;"",OR($C$4="",ISNUMBER(SEARCH($C$4,C1598&amp;" "&amp;E1598&amp;" "&amp;G1598&amp;" "&amp;H1598&amp;" "&amp;I1598&amp;" "&amp;J1598&amp;" "&amp;K1598&amp;" "&amp;L1598))),OR($C$5="Semua",$C$5="",G1598=$C$5),OR($C$6="Semua",$C$6="",H1598=$C$6,H1598="Pengeluaran "&amp;$C$6,AND($C$6="Uang Kos Mama",H1598="Pengeluaran Uang Kos")),OR($C$7="Semua",$C$7="",I1598=$C$7),OR($C$8="Semua",$C$8="",C1598=$C$8,E1598=$C$8),OR($C$9="Semua",$C$9="",D1598=$C$9),OR($C$10="",B1598&gt;=$C$10),OR($C$11="",B1598&lt;=$C$11),OR($C$12&lt;&gt;"Ya",K1598&lt;&gt;""),OR($C$13="Semua",$C$13="",L1598=$C$13)),"✓","")</f>
        <v/>
      </c>
      <c r="N1598" s="93">
        <f>N(N1597)+IF(M1598="✓",1,0)</f>
        <v/>
      </c>
      <c r="O1598" s="93">
        <f>N(O1597)+IF(AND(B1598&lt;&gt;"",B1598&gt;='Uang Riba'!$H$30,B1598&lt;='Uang Riba'!$I$30,OR(H1598="Dana riba",H1598="Pinjam uang riba",I1598="Pinjam dari uang riba",I1598="Ganti uang riba",I1598="Kelebihan ganti dikembalikan",AND(C1598="Kantong Uang Riba",G1598="Pengeluaran"))),1,0)</f>
        <v/>
      </c>
      <c r="X1598" s="93">
        <f>IF(AND(B1598&lt;&gt;"",B1598&gt;='Buku Akun'!$H$4,B1598&lt;='Buku Akun'!$H$5,OR(C1598='Buku Akun'!$C$4,AND(D1598="Pindah",E1598='Buku Akun'!$C$4))),B1598+IF(AND(I1598="Selisih bunga",DAY(B1598)=1),0,0.01)+ROW()/10000000,"")</f>
        <v/>
      </c>
    </row>
    <row r="1599" outlineLevel="1" ht="15" customHeight="1" s="94">
      <c r="A1599" s="123">
        <f>IF(B1599="","",ROW()-15)</f>
        <v/>
      </c>
      <c r="B1599" s="124" t="n"/>
      <c r="C1599" s="123" t="n"/>
      <c r="D1599" s="123" t="n"/>
      <c r="E1599" s="123" t="n"/>
      <c r="F1599" s="125" t="n"/>
      <c r="G1599" s="123" t="n"/>
      <c r="H1599" s="123" t="n"/>
      <c r="I1599" s="123" t="n"/>
      <c r="J1599" s="123" t="n"/>
      <c r="K1599" s="123" t="n"/>
      <c r="L1599" s="123" t="n"/>
      <c r="M1599" s="123">
        <f>IF(AND(B1599&lt;&gt;"",OR($C$4="",ISNUMBER(SEARCH($C$4,C1599&amp;" "&amp;E1599&amp;" "&amp;G1599&amp;" "&amp;H1599&amp;" "&amp;I1599&amp;" "&amp;J1599&amp;" "&amp;K1599&amp;" "&amp;L1599))),OR($C$5="Semua",$C$5="",G1599=$C$5),OR($C$6="Semua",$C$6="",H1599=$C$6,H1599="Pengeluaran "&amp;$C$6,AND($C$6="Uang Kos Mama",H1599="Pengeluaran Uang Kos")),OR($C$7="Semua",$C$7="",I1599=$C$7),OR($C$8="Semua",$C$8="",C1599=$C$8,E1599=$C$8),OR($C$9="Semua",$C$9="",D1599=$C$9),OR($C$10="",B1599&gt;=$C$10),OR($C$11="",B1599&lt;=$C$11),OR($C$12&lt;&gt;"Ya",K1599&lt;&gt;""),OR($C$13="Semua",$C$13="",L1599=$C$13)),"✓","")</f>
        <v/>
      </c>
      <c r="N1599" s="93">
        <f>N(N1598)+IF(M1599="✓",1,0)</f>
        <v/>
      </c>
      <c r="O1599" s="93">
        <f>N(O1598)+IF(AND(B1599&lt;&gt;"",B1599&gt;='Uang Riba'!$H$30,B1599&lt;='Uang Riba'!$I$30,OR(H1599="Dana riba",H1599="Pinjam uang riba",I1599="Pinjam dari uang riba",I1599="Ganti uang riba",I1599="Kelebihan ganti dikembalikan",AND(C1599="Kantong Uang Riba",G1599="Pengeluaran"))),1,0)</f>
        <v/>
      </c>
      <c r="X1599" s="93">
        <f>IF(AND(B1599&lt;&gt;"",B1599&gt;='Buku Akun'!$H$4,B1599&lt;='Buku Akun'!$H$5,OR(C1599='Buku Akun'!$C$4,AND(D1599="Pindah",E1599='Buku Akun'!$C$4))),B1599+IF(AND(I1599="Selisih bunga",DAY(B1599)=1),0,0.01)+ROW()/10000000,"")</f>
        <v/>
      </c>
    </row>
    <row r="1600" outlineLevel="1" ht="15" customHeight="1" s="94">
      <c r="A1600" s="123">
        <f>IF(B1600="","",ROW()-15)</f>
        <v/>
      </c>
      <c r="B1600" s="124" t="n"/>
      <c r="C1600" s="123" t="n"/>
      <c r="D1600" s="123" t="n"/>
      <c r="E1600" s="123" t="n"/>
      <c r="F1600" s="125" t="n"/>
      <c r="G1600" s="123" t="n"/>
      <c r="H1600" s="123" t="n"/>
      <c r="I1600" s="123" t="n"/>
      <c r="J1600" s="123" t="n"/>
      <c r="K1600" s="123" t="n"/>
      <c r="L1600" s="123" t="n"/>
      <c r="M1600" s="123">
        <f>IF(AND(B1600&lt;&gt;"",OR($C$4="",ISNUMBER(SEARCH($C$4,C1600&amp;" "&amp;E1600&amp;" "&amp;G1600&amp;" "&amp;H1600&amp;" "&amp;I1600&amp;" "&amp;J1600&amp;" "&amp;K1600&amp;" "&amp;L1600))),OR($C$5="Semua",$C$5="",G1600=$C$5),OR($C$6="Semua",$C$6="",H1600=$C$6,H1600="Pengeluaran "&amp;$C$6,AND($C$6="Uang Kos Mama",H1600="Pengeluaran Uang Kos")),OR($C$7="Semua",$C$7="",I1600=$C$7),OR($C$8="Semua",$C$8="",C1600=$C$8,E1600=$C$8),OR($C$9="Semua",$C$9="",D1600=$C$9),OR($C$10="",B1600&gt;=$C$10),OR($C$11="",B1600&lt;=$C$11),OR($C$12&lt;&gt;"Ya",K1600&lt;&gt;""),OR($C$13="Semua",$C$13="",L1600=$C$13)),"✓","")</f>
        <v/>
      </c>
      <c r="N1600" s="93">
        <f>N(N1599)+IF(M1600="✓",1,0)</f>
        <v/>
      </c>
      <c r="O1600" s="93">
        <f>N(O1599)+IF(AND(B1600&lt;&gt;"",B1600&gt;='Uang Riba'!$H$30,B1600&lt;='Uang Riba'!$I$30,OR(H1600="Dana riba",H1600="Pinjam uang riba",I1600="Pinjam dari uang riba",I1600="Ganti uang riba",I1600="Kelebihan ganti dikembalikan",AND(C1600="Kantong Uang Riba",G1600="Pengeluaran"))),1,0)</f>
        <v/>
      </c>
      <c r="X1600" s="93">
        <f>IF(AND(B1600&lt;&gt;"",B1600&gt;='Buku Akun'!$H$4,B1600&lt;='Buku Akun'!$H$5,OR(C1600='Buku Akun'!$C$4,AND(D1600="Pindah",E1600='Buku Akun'!$C$4))),B1600+IF(AND(I1600="Selisih bunga",DAY(B1600)=1),0,0.01)+ROW()/10000000,"")</f>
        <v/>
      </c>
    </row>
    <row r="1601" outlineLevel="1" ht="15" customHeight="1" s="94">
      <c r="A1601" s="123">
        <f>IF(B1601="","",ROW()-15)</f>
        <v/>
      </c>
      <c r="B1601" s="124" t="n"/>
      <c r="C1601" s="123" t="n"/>
      <c r="D1601" s="123" t="n"/>
      <c r="E1601" s="123" t="n"/>
      <c r="F1601" s="125" t="n"/>
      <c r="G1601" s="123" t="n"/>
      <c r="H1601" s="123" t="n"/>
      <c r="I1601" s="123" t="n"/>
      <c r="J1601" s="123" t="n"/>
      <c r="K1601" s="123" t="n"/>
      <c r="L1601" s="123" t="n"/>
      <c r="M1601" s="123">
        <f>IF(AND(B1601&lt;&gt;"",OR($C$4="",ISNUMBER(SEARCH($C$4,C1601&amp;" "&amp;E1601&amp;" "&amp;G1601&amp;" "&amp;H1601&amp;" "&amp;I1601&amp;" "&amp;J1601&amp;" "&amp;K1601&amp;" "&amp;L1601))),OR($C$5="Semua",$C$5="",G1601=$C$5),OR($C$6="Semua",$C$6="",H1601=$C$6,H1601="Pengeluaran "&amp;$C$6,AND($C$6="Uang Kos Mama",H1601="Pengeluaran Uang Kos")),OR($C$7="Semua",$C$7="",I1601=$C$7),OR($C$8="Semua",$C$8="",C1601=$C$8,E1601=$C$8),OR($C$9="Semua",$C$9="",D1601=$C$9),OR($C$10="",B1601&gt;=$C$10),OR($C$11="",B1601&lt;=$C$11),OR($C$12&lt;&gt;"Ya",K1601&lt;&gt;""),OR($C$13="Semua",$C$13="",L1601=$C$13)),"✓","")</f>
        <v/>
      </c>
      <c r="N1601" s="93">
        <f>N(N1600)+IF(M1601="✓",1,0)</f>
        <v/>
      </c>
      <c r="O1601" s="93">
        <f>N(O1600)+IF(AND(B1601&lt;&gt;"",B1601&gt;='Uang Riba'!$H$30,B1601&lt;='Uang Riba'!$I$30,OR(H1601="Dana riba",H1601="Pinjam uang riba",I1601="Pinjam dari uang riba",I1601="Ganti uang riba",I1601="Kelebihan ganti dikembalikan",AND(C1601="Kantong Uang Riba",G1601="Pengeluaran"))),1,0)</f>
        <v/>
      </c>
      <c r="X1601" s="93">
        <f>IF(AND(B1601&lt;&gt;"",B1601&gt;='Buku Akun'!$H$4,B1601&lt;='Buku Akun'!$H$5,OR(C1601='Buku Akun'!$C$4,AND(D1601="Pindah",E1601='Buku Akun'!$C$4))),B1601+IF(AND(I1601="Selisih bunga",DAY(B1601)=1),0,0.01)+ROW()/10000000,"")</f>
        <v/>
      </c>
    </row>
    <row r="1602" outlineLevel="1" ht="15" customHeight="1" s="94">
      <c r="A1602" s="123">
        <f>IF(B1602="","",ROW()-15)</f>
        <v/>
      </c>
      <c r="B1602" s="124" t="n"/>
      <c r="C1602" s="123" t="n"/>
      <c r="D1602" s="123" t="n"/>
      <c r="E1602" s="123" t="n"/>
      <c r="F1602" s="125" t="n"/>
      <c r="G1602" s="123" t="n"/>
      <c r="H1602" s="123" t="n"/>
      <c r="I1602" s="123" t="n"/>
      <c r="J1602" s="123" t="n"/>
      <c r="K1602" s="123" t="n"/>
      <c r="L1602" s="123" t="n"/>
      <c r="M1602" s="123">
        <f>IF(AND(B1602&lt;&gt;"",OR($C$4="",ISNUMBER(SEARCH($C$4,C1602&amp;" "&amp;E1602&amp;" "&amp;G1602&amp;" "&amp;H1602&amp;" "&amp;I1602&amp;" "&amp;J1602&amp;" "&amp;K1602&amp;" "&amp;L1602))),OR($C$5="Semua",$C$5="",G1602=$C$5),OR($C$6="Semua",$C$6="",H1602=$C$6,H1602="Pengeluaran "&amp;$C$6,AND($C$6="Uang Kos Mama",H1602="Pengeluaran Uang Kos")),OR($C$7="Semua",$C$7="",I1602=$C$7),OR($C$8="Semua",$C$8="",C1602=$C$8,E1602=$C$8),OR($C$9="Semua",$C$9="",D1602=$C$9),OR($C$10="",B1602&gt;=$C$10),OR($C$11="",B1602&lt;=$C$11),OR($C$12&lt;&gt;"Ya",K1602&lt;&gt;""),OR($C$13="Semua",$C$13="",L1602=$C$13)),"✓","")</f>
        <v/>
      </c>
      <c r="N1602" s="93">
        <f>N(N1601)+IF(M1602="✓",1,0)</f>
        <v/>
      </c>
      <c r="O1602" s="93">
        <f>N(O1601)+IF(AND(B1602&lt;&gt;"",B1602&gt;='Uang Riba'!$H$30,B1602&lt;='Uang Riba'!$I$30,OR(H1602="Dana riba",H1602="Pinjam uang riba",I1602="Pinjam dari uang riba",I1602="Ganti uang riba",I1602="Kelebihan ganti dikembalikan",AND(C1602="Kantong Uang Riba",G1602="Pengeluaran"))),1,0)</f>
        <v/>
      </c>
      <c r="X1602" s="93">
        <f>IF(AND(B1602&lt;&gt;"",B1602&gt;='Buku Akun'!$H$4,B1602&lt;='Buku Akun'!$H$5,OR(C1602='Buku Akun'!$C$4,AND(D1602="Pindah",E1602='Buku Akun'!$C$4))),B1602+IF(AND(I1602="Selisih bunga",DAY(B1602)=1),0,0.01)+ROW()/10000000,"")</f>
        <v/>
      </c>
    </row>
    <row r="1603" outlineLevel="1" ht="15" customHeight="1" s="94">
      <c r="A1603" s="123">
        <f>IF(B1603="","",ROW()-15)</f>
        <v/>
      </c>
      <c r="B1603" s="124" t="n"/>
      <c r="C1603" s="123" t="n"/>
      <c r="D1603" s="123" t="n"/>
      <c r="E1603" s="123" t="n"/>
      <c r="F1603" s="125" t="n"/>
      <c r="G1603" s="123" t="n"/>
      <c r="H1603" s="123" t="n"/>
      <c r="I1603" s="123" t="n"/>
      <c r="J1603" s="123" t="n"/>
      <c r="K1603" s="123" t="n"/>
      <c r="L1603" s="123" t="n"/>
      <c r="M1603" s="123">
        <f>IF(AND(B1603&lt;&gt;"",OR($C$4="",ISNUMBER(SEARCH($C$4,C1603&amp;" "&amp;E1603&amp;" "&amp;G1603&amp;" "&amp;H1603&amp;" "&amp;I1603&amp;" "&amp;J1603&amp;" "&amp;K1603&amp;" "&amp;L1603))),OR($C$5="Semua",$C$5="",G1603=$C$5),OR($C$6="Semua",$C$6="",H1603=$C$6,H1603="Pengeluaran "&amp;$C$6,AND($C$6="Uang Kos Mama",H1603="Pengeluaran Uang Kos")),OR($C$7="Semua",$C$7="",I1603=$C$7),OR($C$8="Semua",$C$8="",C1603=$C$8,E1603=$C$8),OR($C$9="Semua",$C$9="",D1603=$C$9),OR($C$10="",B1603&gt;=$C$10),OR($C$11="",B1603&lt;=$C$11),OR($C$12&lt;&gt;"Ya",K1603&lt;&gt;""),OR($C$13="Semua",$C$13="",L1603=$C$13)),"✓","")</f>
        <v/>
      </c>
      <c r="N1603" s="93">
        <f>N(N1602)+IF(M1603="✓",1,0)</f>
        <v/>
      </c>
      <c r="O1603" s="93">
        <f>N(O1602)+IF(AND(B1603&lt;&gt;"",B1603&gt;='Uang Riba'!$H$30,B1603&lt;='Uang Riba'!$I$30,OR(H1603="Dana riba",H1603="Pinjam uang riba",I1603="Pinjam dari uang riba",I1603="Ganti uang riba",I1603="Kelebihan ganti dikembalikan",AND(C1603="Kantong Uang Riba",G1603="Pengeluaran"))),1,0)</f>
        <v/>
      </c>
      <c r="X1603" s="93">
        <f>IF(AND(B1603&lt;&gt;"",B1603&gt;='Buku Akun'!$H$4,B1603&lt;='Buku Akun'!$H$5,OR(C1603='Buku Akun'!$C$4,AND(D1603="Pindah",E1603='Buku Akun'!$C$4))),B1603+IF(AND(I1603="Selisih bunga",DAY(B1603)=1),0,0.01)+ROW()/10000000,"")</f>
        <v/>
      </c>
    </row>
    <row r="1604" outlineLevel="1" ht="15" customHeight="1" s="94">
      <c r="A1604" s="123">
        <f>IF(B1604="","",ROW()-15)</f>
        <v/>
      </c>
      <c r="B1604" s="124" t="n"/>
      <c r="C1604" s="123" t="n"/>
      <c r="D1604" s="123" t="n"/>
      <c r="E1604" s="123" t="n"/>
      <c r="F1604" s="125" t="n"/>
      <c r="G1604" s="123" t="n"/>
      <c r="H1604" s="123" t="n"/>
      <c r="I1604" s="123" t="n"/>
      <c r="J1604" s="123" t="n"/>
      <c r="K1604" s="123" t="n"/>
      <c r="L1604" s="123" t="n"/>
      <c r="M1604" s="123">
        <f>IF(AND(B1604&lt;&gt;"",OR($C$4="",ISNUMBER(SEARCH($C$4,C1604&amp;" "&amp;E1604&amp;" "&amp;G1604&amp;" "&amp;H1604&amp;" "&amp;I1604&amp;" "&amp;J1604&amp;" "&amp;K1604&amp;" "&amp;L1604))),OR($C$5="Semua",$C$5="",G1604=$C$5),OR($C$6="Semua",$C$6="",H1604=$C$6,H1604="Pengeluaran "&amp;$C$6,AND($C$6="Uang Kos Mama",H1604="Pengeluaran Uang Kos")),OR($C$7="Semua",$C$7="",I1604=$C$7),OR($C$8="Semua",$C$8="",C1604=$C$8,E1604=$C$8),OR($C$9="Semua",$C$9="",D1604=$C$9),OR($C$10="",B1604&gt;=$C$10),OR($C$11="",B1604&lt;=$C$11),OR($C$12&lt;&gt;"Ya",K1604&lt;&gt;""),OR($C$13="Semua",$C$13="",L1604=$C$13)),"✓","")</f>
        <v/>
      </c>
      <c r="N1604" s="93">
        <f>N(N1603)+IF(M1604="✓",1,0)</f>
        <v/>
      </c>
      <c r="O1604" s="93">
        <f>N(O1603)+IF(AND(B1604&lt;&gt;"",B1604&gt;='Uang Riba'!$H$30,B1604&lt;='Uang Riba'!$I$30,OR(H1604="Dana riba",H1604="Pinjam uang riba",I1604="Pinjam dari uang riba",I1604="Ganti uang riba",I1604="Kelebihan ganti dikembalikan",AND(C1604="Kantong Uang Riba",G1604="Pengeluaran"))),1,0)</f>
        <v/>
      </c>
      <c r="X1604" s="93">
        <f>IF(AND(B1604&lt;&gt;"",B1604&gt;='Buku Akun'!$H$4,B1604&lt;='Buku Akun'!$H$5,OR(C1604='Buku Akun'!$C$4,AND(D1604="Pindah",E1604='Buku Akun'!$C$4))),B1604+IF(AND(I1604="Selisih bunga",DAY(B1604)=1),0,0.01)+ROW()/10000000,"")</f>
        <v/>
      </c>
    </row>
    <row r="1605" outlineLevel="1" ht="15" customHeight="1" s="94">
      <c r="A1605" s="123">
        <f>IF(B1605="","",ROW()-15)</f>
        <v/>
      </c>
      <c r="B1605" s="124" t="n"/>
      <c r="C1605" s="123" t="n"/>
      <c r="D1605" s="123" t="n"/>
      <c r="E1605" s="123" t="n"/>
      <c r="F1605" s="125" t="n"/>
      <c r="G1605" s="123" t="n"/>
      <c r="H1605" s="123" t="n"/>
      <c r="I1605" s="123" t="n"/>
      <c r="J1605" s="123" t="n"/>
      <c r="K1605" s="123" t="n"/>
      <c r="L1605" s="123" t="n"/>
      <c r="M1605" s="123">
        <f>IF(AND(B1605&lt;&gt;"",OR($C$4="",ISNUMBER(SEARCH($C$4,C1605&amp;" "&amp;E1605&amp;" "&amp;G1605&amp;" "&amp;H1605&amp;" "&amp;I1605&amp;" "&amp;J1605&amp;" "&amp;K1605&amp;" "&amp;L1605))),OR($C$5="Semua",$C$5="",G1605=$C$5),OR($C$6="Semua",$C$6="",H1605=$C$6,H1605="Pengeluaran "&amp;$C$6,AND($C$6="Uang Kos Mama",H1605="Pengeluaran Uang Kos")),OR($C$7="Semua",$C$7="",I1605=$C$7),OR($C$8="Semua",$C$8="",C1605=$C$8,E1605=$C$8),OR($C$9="Semua",$C$9="",D1605=$C$9),OR($C$10="",B1605&gt;=$C$10),OR($C$11="",B1605&lt;=$C$11),OR($C$12&lt;&gt;"Ya",K1605&lt;&gt;""),OR($C$13="Semua",$C$13="",L1605=$C$13)),"✓","")</f>
        <v/>
      </c>
      <c r="N1605" s="93">
        <f>N(N1604)+IF(M1605="✓",1,0)</f>
        <v/>
      </c>
      <c r="O1605" s="93">
        <f>N(O1604)+IF(AND(B1605&lt;&gt;"",B1605&gt;='Uang Riba'!$H$30,B1605&lt;='Uang Riba'!$I$30,OR(H1605="Dana riba",H1605="Pinjam uang riba",I1605="Pinjam dari uang riba",I1605="Ganti uang riba",I1605="Kelebihan ganti dikembalikan",AND(C1605="Kantong Uang Riba",G1605="Pengeluaran"))),1,0)</f>
        <v/>
      </c>
      <c r="X1605" s="93">
        <f>IF(AND(B1605&lt;&gt;"",B1605&gt;='Buku Akun'!$H$4,B1605&lt;='Buku Akun'!$H$5,OR(C1605='Buku Akun'!$C$4,AND(D1605="Pindah",E1605='Buku Akun'!$C$4))),B1605+IF(AND(I1605="Selisih bunga",DAY(B1605)=1),0,0.01)+ROW()/10000000,"")</f>
        <v/>
      </c>
    </row>
    <row r="1606" outlineLevel="1" ht="15" customHeight="1" s="94">
      <c r="A1606" s="123">
        <f>IF(B1606="","",ROW()-15)</f>
        <v/>
      </c>
      <c r="B1606" s="124" t="n"/>
      <c r="C1606" s="123" t="n"/>
      <c r="D1606" s="123" t="n"/>
      <c r="E1606" s="123" t="n"/>
      <c r="F1606" s="125" t="n"/>
      <c r="G1606" s="123" t="n"/>
      <c r="H1606" s="123" t="n"/>
      <c r="I1606" s="123" t="n"/>
      <c r="J1606" s="123" t="n"/>
      <c r="K1606" s="123" t="n"/>
      <c r="L1606" s="123" t="n"/>
      <c r="M1606" s="123">
        <f>IF(AND(B1606&lt;&gt;"",OR($C$4="",ISNUMBER(SEARCH($C$4,C1606&amp;" "&amp;E1606&amp;" "&amp;G1606&amp;" "&amp;H1606&amp;" "&amp;I1606&amp;" "&amp;J1606&amp;" "&amp;K1606&amp;" "&amp;L1606))),OR($C$5="Semua",$C$5="",G1606=$C$5),OR($C$6="Semua",$C$6="",H1606=$C$6,H1606="Pengeluaran "&amp;$C$6,AND($C$6="Uang Kos Mama",H1606="Pengeluaran Uang Kos")),OR($C$7="Semua",$C$7="",I1606=$C$7),OR($C$8="Semua",$C$8="",C1606=$C$8,E1606=$C$8),OR($C$9="Semua",$C$9="",D1606=$C$9),OR($C$10="",B1606&gt;=$C$10),OR($C$11="",B1606&lt;=$C$11),OR($C$12&lt;&gt;"Ya",K1606&lt;&gt;""),OR($C$13="Semua",$C$13="",L1606=$C$13)),"✓","")</f>
        <v/>
      </c>
      <c r="N1606" s="93">
        <f>N(N1605)+IF(M1606="✓",1,0)</f>
        <v/>
      </c>
      <c r="O1606" s="93">
        <f>N(O1605)+IF(AND(B1606&lt;&gt;"",B1606&gt;='Uang Riba'!$H$30,B1606&lt;='Uang Riba'!$I$30,OR(H1606="Dana riba",H1606="Pinjam uang riba",I1606="Pinjam dari uang riba",I1606="Ganti uang riba",I1606="Kelebihan ganti dikembalikan",AND(C1606="Kantong Uang Riba",G1606="Pengeluaran"))),1,0)</f>
        <v/>
      </c>
      <c r="X1606" s="93">
        <f>IF(AND(B1606&lt;&gt;"",B1606&gt;='Buku Akun'!$H$4,B1606&lt;='Buku Akun'!$H$5,OR(C1606='Buku Akun'!$C$4,AND(D1606="Pindah",E1606='Buku Akun'!$C$4))),B1606+IF(AND(I1606="Selisih bunga",DAY(B1606)=1),0,0.01)+ROW()/10000000,"")</f>
        <v/>
      </c>
    </row>
    <row r="1607" outlineLevel="1" ht="15" customHeight="1" s="94">
      <c r="A1607" s="123">
        <f>IF(B1607="","",ROW()-15)</f>
        <v/>
      </c>
      <c r="B1607" s="124" t="n"/>
      <c r="C1607" s="123" t="n"/>
      <c r="D1607" s="123" t="n"/>
      <c r="E1607" s="123" t="n"/>
      <c r="F1607" s="125" t="n"/>
      <c r="G1607" s="123" t="n"/>
      <c r="H1607" s="123" t="n"/>
      <c r="I1607" s="123" t="n"/>
      <c r="J1607" s="123" t="n"/>
      <c r="K1607" s="123" t="n"/>
      <c r="L1607" s="123" t="n"/>
      <c r="M1607" s="123">
        <f>IF(AND(B1607&lt;&gt;"",OR($C$4="",ISNUMBER(SEARCH($C$4,C1607&amp;" "&amp;E1607&amp;" "&amp;G1607&amp;" "&amp;H1607&amp;" "&amp;I1607&amp;" "&amp;J1607&amp;" "&amp;K1607&amp;" "&amp;L1607))),OR($C$5="Semua",$C$5="",G1607=$C$5),OR($C$6="Semua",$C$6="",H1607=$C$6,H1607="Pengeluaran "&amp;$C$6,AND($C$6="Uang Kos Mama",H1607="Pengeluaran Uang Kos")),OR($C$7="Semua",$C$7="",I1607=$C$7),OR($C$8="Semua",$C$8="",C1607=$C$8,E1607=$C$8),OR($C$9="Semua",$C$9="",D1607=$C$9),OR($C$10="",B1607&gt;=$C$10),OR($C$11="",B1607&lt;=$C$11),OR($C$12&lt;&gt;"Ya",K1607&lt;&gt;""),OR($C$13="Semua",$C$13="",L1607=$C$13)),"✓","")</f>
        <v/>
      </c>
      <c r="N1607" s="93">
        <f>N(N1606)+IF(M1607="✓",1,0)</f>
        <v/>
      </c>
      <c r="O1607" s="93">
        <f>N(O1606)+IF(AND(B1607&lt;&gt;"",B1607&gt;='Uang Riba'!$H$30,B1607&lt;='Uang Riba'!$I$30,OR(H1607="Dana riba",H1607="Pinjam uang riba",I1607="Pinjam dari uang riba",I1607="Ganti uang riba",I1607="Kelebihan ganti dikembalikan",AND(C1607="Kantong Uang Riba",G1607="Pengeluaran"))),1,0)</f>
        <v/>
      </c>
      <c r="X1607" s="93">
        <f>IF(AND(B1607&lt;&gt;"",B1607&gt;='Buku Akun'!$H$4,B1607&lt;='Buku Akun'!$H$5,OR(C1607='Buku Akun'!$C$4,AND(D1607="Pindah",E1607='Buku Akun'!$C$4))),B1607+IF(AND(I1607="Selisih bunga",DAY(B1607)=1),0,0.01)+ROW()/10000000,"")</f>
        <v/>
      </c>
    </row>
    <row r="1608" outlineLevel="1" ht="15" customHeight="1" s="94">
      <c r="A1608" s="123">
        <f>IF(B1608="","",ROW()-15)</f>
        <v/>
      </c>
      <c r="B1608" s="124" t="n"/>
      <c r="C1608" s="123" t="n"/>
      <c r="D1608" s="123" t="n"/>
      <c r="E1608" s="123" t="n"/>
      <c r="F1608" s="125" t="n"/>
      <c r="G1608" s="123" t="n"/>
      <c r="H1608" s="123" t="n"/>
      <c r="I1608" s="123" t="n"/>
      <c r="J1608" s="123" t="n"/>
      <c r="K1608" s="123" t="n"/>
      <c r="L1608" s="123" t="n"/>
      <c r="M1608" s="123">
        <f>IF(AND(B1608&lt;&gt;"",OR($C$4="",ISNUMBER(SEARCH($C$4,C1608&amp;" "&amp;E1608&amp;" "&amp;G1608&amp;" "&amp;H1608&amp;" "&amp;I1608&amp;" "&amp;J1608&amp;" "&amp;K1608&amp;" "&amp;L1608))),OR($C$5="Semua",$C$5="",G1608=$C$5),OR($C$6="Semua",$C$6="",H1608=$C$6,H1608="Pengeluaran "&amp;$C$6,AND($C$6="Uang Kos Mama",H1608="Pengeluaran Uang Kos")),OR($C$7="Semua",$C$7="",I1608=$C$7),OR($C$8="Semua",$C$8="",C1608=$C$8,E1608=$C$8),OR($C$9="Semua",$C$9="",D1608=$C$9),OR($C$10="",B1608&gt;=$C$10),OR($C$11="",B1608&lt;=$C$11),OR($C$12&lt;&gt;"Ya",K1608&lt;&gt;""),OR($C$13="Semua",$C$13="",L1608=$C$13)),"✓","")</f>
        <v/>
      </c>
      <c r="N1608" s="93">
        <f>N(N1607)+IF(M1608="✓",1,0)</f>
        <v/>
      </c>
      <c r="O1608" s="93">
        <f>N(O1607)+IF(AND(B1608&lt;&gt;"",B1608&gt;='Uang Riba'!$H$30,B1608&lt;='Uang Riba'!$I$30,OR(H1608="Dana riba",H1608="Pinjam uang riba",I1608="Pinjam dari uang riba",I1608="Ganti uang riba",I1608="Kelebihan ganti dikembalikan",AND(C1608="Kantong Uang Riba",G1608="Pengeluaran"))),1,0)</f>
        <v/>
      </c>
      <c r="X1608" s="93">
        <f>IF(AND(B1608&lt;&gt;"",B1608&gt;='Buku Akun'!$H$4,B1608&lt;='Buku Akun'!$H$5,OR(C1608='Buku Akun'!$C$4,AND(D1608="Pindah",E1608='Buku Akun'!$C$4))),B1608+IF(AND(I1608="Selisih bunga",DAY(B1608)=1),0,0.01)+ROW()/10000000,"")</f>
        <v/>
      </c>
    </row>
    <row r="1609" outlineLevel="1" ht="15" customHeight="1" s="94">
      <c r="A1609" s="123">
        <f>IF(B1609="","",ROW()-15)</f>
        <v/>
      </c>
      <c r="B1609" s="124" t="n"/>
      <c r="C1609" s="123" t="n"/>
      <c r="D1609" s="123" t="n"/>
      <c r="E1609" s="123" t="n"/>
      <c r="F1609" s="125" t="n"/>
      <c r="G1609" s="123" t="n"/>
      <c r="H1609" s="123" t="n"/>
      <c r="I1609" s="123" t="n"/>
      <c r="J1609" s="123" t="n"/>
      <c r="K1609" s="123" t="n"/>
      <c r="L1609" s="123" t="n"/>
      <c r="M1609" s="123">
        <f>IF(AND(B1609&lt;&gt;"",OR($C$4="",ISNUMBER(SEARCH($C$4,C1609&amp;" "&amp;E1609&amp;" "&amp;G1609&amp;" "&amp;H1609&amp;" "&amp;I1609&amp;" "&amp;J1609&amp;" "&amp;K1609&amp;" "&amp;L1609))),OR($C$5="Semua",$C$5="",G1609=$C$5),OR($C$6="Semua",$C$6="",H1609=$C$6,H1609="Pengeluaran "&amp;$C$6,AND($C$6="Uang Kos Mama",H1609="Pengeluaran Uang Kos")),OR($C$7="Semua",$C$7="",I1609=$C$7),OR($C$8="Semua",$C$8="",C1609=$C$8,E1609=$C$8),OR($C$9="Semua",$C$9="",D1609=$C$9),OR($C$10="",B1609&gt;=$C$10),OR($C$11="",B1609&lt;=$C$11),OR($C$12&lt;&gt;"Ya",K1609&lt;&gt;""),OR($C$13="Semua",$C$13="",L1609=$C$13)),"✓","")</f>
        <v/>
      </c>
      <c r="N1609" s="93">
        <f>N(N1608)+IF(M1609="✓",1,0)</f>
        <v/>
      </c>
      <c r="O1609" s="93">
        <f>N(O1608)+IF(AND(B1609&lt;&gt;"",B1609&gt;='Uang Riba'!$H$30,B1609&lt;='Uang Riba'!$I$30,OR(H1609="Dana riba",H1609="Pinjam uang riba",I1609="Pinjam dari uang riba",I1609="Ganti uang riba",I1609="Kelebihan ganti dikembalikan",AND(C1609="Kantong Uang Riba",G1609="Pengeluaran"))),1,0)</f>
        <v/>
      </c>
      <c r="X1609" s="93">
        <f>IF(AND(B1609&lt;&gt;"",B1609&gt;='Buku Akun'!$H$4,B1609&lt;='Buku Akun'!$H$5,OR(C1609='Buku Akun'!$C$4,AND(D1609="Pindah",E1609='Buku Akun'!$C$4))),B1609+IF(AND(I1609="Selisih bunga",DAY(B1609)=1),0,0.01)+ROW()/10000000,"")</f>
        <v/>
      </c>
    </row>
    <row r="1610" outlineLevel="1" ht="15" customHeight="1" s="94">
      <c r="A1610" s="123">
        <f>IF(B1610="","",ROW()-15)</f>
        <v/>
      </c>
      <c r="B1610" s="124" t="n"/>
      <c r="C1610" s="123" t="n"/>
      <c r="D1610" s="123" t="n"/>
      <c r="E1610" s="123" t="n"/>
      <c r="F1610" s="125" t="n"/>
      <c r="G1610" s="123" t="n"/>
      <c r="H1610" s="123" t="n"/>
      <c r="I1610" s="123" t="n"/>
      <c r="J1610" s="123" t="n"/>
      <c r="K1610" s="123" t="n"/>
      <c r="L1610" s="123" t="n"/>
      <c r="M1610" s="123">
        <f>IF(AND(B1610&lt;&gt;"",OR($C$4="",ISNUMBER(SEARCH($C$4,C1610&amp;" "&amp;E1610&amp;" "&amp;G1610&amp;" "&amp;H1610&amp;" "&amp;I1610&amp;" "&amp;J1610&amp;" "&amp;K1610&amp;" "&amp;L1610))),OR($C$5="Semua",$C$5="",G1610=$C$5),OR($C$6="Semua",$C$6="",H1610=$C$6,H1610="Pengeluaran "&amp;$C$6,AND($C$6="Uang Kos Mama",H1610="Pengeluaran Uang Kos")),OR($C$7="Semua",$C$7="",I1610=$C$7),OR($C$8="Semua",$C$8="",C1610=$C$8,E1610=$C$8),OR($C$9="Semua",$C$9="",D1610=$C$9),OR($C$10="",B1610&gt;=$C$10),OR($C$11="",B1610&lt;=$C$11),OR($C$12&lt;&gt;"Ya",K1610&lt;&gt;""),OR($C$13="Semua",$C$13="",L1610=$C$13)),"✓","")</f>
        <v/>
      </c>
      <c r="N1610" s="93">
        <f>N(N1609)+IF(M1610="✓",1,0)</f>
        <v/>
      </c>
      <c r="O1610" s="93">
        <f>N(O1609)+IF(AND(B1610&lt;&gt;"",B1610&gt;='Uang Riba'!$H$30,B1610&lt;='Uang Riba'!$I$30,OR(H1610="Dana riba",H1610="Pinjam uang riba",I1610="Pinjam dari uang riba",I1610="Ganti uang riba",I1610="Kelebihan ganti dikembalikan",AND(C1610="Kantong Uang Riba",G1610="Pengeluaran"))),1,0)</f>
        <v/>
      </c>
      <c r="X1610" s="93">
        <f>IF(AND(B1610&lt;&gt;"",B1610&gt;='Buku Akun'!$H$4,B1610&lt;='Buku Akun'!$H$5,OR(C1610='Buku Akun'!$C$4,AND(D1610="Pindah",E1610='Buku Akun'!$C$4))),B1610+IF(AND(I1610="Selisih bunga",DAY(B1610)=1),0,0.01)+ROW()/10000000,"")</f>
        <v/>
      </c>
    </row>
    <row r="1611" outlineLevel="1" ht="15" customHeight="1" s="94">
      <c r="A1611" s="123">
        <f>IF(B1611="","",ROW()-15)</f>
        <v/>
      </c>
      <c r="B1611" s="124" t="n"/>
      <c r="C1611" s="123" t="n"/>
      <c r="D1611" s="123" t="n"/>
      <c r="E1611" s="123" t="n"/>
      <c r="F1611" s="125" t="n"/>
      <c r="G1611" s="123" t="n"/>
      <c r="H1611" s="123" t="n"/>
      <c r="I1611" s="123" t="n"/>
      <c r="J1611" s="123" t="n"/>
      <c r="K1611" s="123" t="n"/>
      <c r="L1611" s="123" t="n"/>
      <c r="M1611" s="123">
        <f>IF(AND(B1611&lt;&gt;"",OR($C$4="",ISNUMBER(SEARCH($C$4,C1611&amp;" "&amp;E1611&amp;" "&amp;G1611&amp;" "&amp;H1611&amp;" "&amp;I1611&amp;" "&amp;J1611&amp;" "&amp;K1611&amp;" "&amp;L1611))),OR($C$5="Semua",$C$5="",G1611=$C$5),OR($C$6="Semua",$C$6="",H1611=$C$6,H1611="Pengeluaran "&amp;$C$6,AND($C$6="Uang Kos Mama",H1611="Pengeluaran Uang Kos")),OR($C$7="Semua",$C$7="",I1611=$C$7),OR($C$8="Semua",$C$8="",C1611=$C$8,E1611=$C$8),OR($C$9="Semua",$C$9="",D1611=$C$9),OR($C$10="",B1611&gt;=$C$10),OR($C$11="",B1611&lt;=$C$11),OR($C$12&lt;&gt;"Ya",K1611&lt;&gt;""),OR($C$13="Semua",$C$13="",L1611=$C$13)),"✓","")</f>
        <v/>
      </c>
      <c r="N1611" s="93">
        <f>N(N1610)+IF(M1611="✓",1,0)</f>
        <v/>
      </c>
      <c r="O1611" s="93">
        <f>N(O1610)+IF(AND(B1611&lt;&gt;"",B1611&gt;='Uang Riba'!$H$30,B1611&lt;='Uang Riba'!$I$30,OR(H1611="Dana riba",H1611="Pinjam uang riba",I1611="Pinjam dari uang riba",I1611="Ganti uang riba",I1611="Kelebihan ganti dikembalikan",AND(C1611="Kantong Uang Riba",G1611="Pengeluaran"))),1,0)</f>
        <v/>
      </c>
      <c r="X1611" s="93">
        <f>IF(AND(B1611&lt;&gt;"",B1611&gt;='Buku Akun'!$H$4,B1611&lt;='Buku Akun'!$H$5,OR(C1611='Buku Akun'!$C$4,AND(D1611="Pindah",E1611='Buku Akun'!$C$4))),B1611+IF(AND(I1611="Selisih bunga",DAY(B1611)=1),0,0.01)+ROW()/10000000,"")</f>
        <v/>
      </c>
    </row>
    <row r="1612" outlineLevel="1" ht="15" customHeight="1" s="94">
      <c r="A1612" s="123">
        <f>IF(B1612="","",ROW()-15)</f>
        <v/>
      </c>
      <c r="B1612" s="124" t="n"/>
      <c r="C1612" s="123" t="n"/>
      <c r="D1612" s="123" t="n"/>
      <c r="E1612" s="123" t="n"/>
      <c r="F1612" s="125" t="n"/>
      <c r="G1612" s="123" t="n"/>
      <c r="H1612" s="123" t="n"/>
      <c r="I1612" s="123" t="n"/>
      <c r="J1612" s="123" t="n"/>
      <c r="K1612" s="123" t="n"/>
      <c r="L1612" s="123" t="n"/>
      <c r="M1612" s="123">
        <f>IF(AND(B1612&lt;&gt;"",OR($C$4="",ISNUMBER(SEARCH($C$4,C1612&amp;" "&amp;E1612&amp;" "&amp;G1612&amp;" "&amp;H1612&amp;" "&amp;I1612&amp;" "&amp;J1612&amp;" "&amp;K1612&amp;" "&amp;L1612))),OR($C$5="Semua",$C$5="",G1612=$C$5),OR($C$6="Semua",$C$6="",H1612=$C$6,H1612="Pengeluaran "&amp;$C$6,AND($C$6="Uang Kos Mama",H1612="Pengeluaran Uang Kos")),OR($C$7="Semua",$C$7="",I1612=$C$7),OR($C$8="Semua",$C$8="",C1612=$C$8,E1612=$C$8),OR($C$9="Semua",$C$9="",D1612=$C$9),OR($C$10="",B1612&gt;=$C$10),OR($C$11="",B1612&lt;=$C$11),OR($C$12&lt;&gt;"Ya",K1612&lt;&gt;""),OR($C$13="Semua",$C$13="",L1612=$C$13)),"✓","")</f>
        <v/>
      </c>
      <c r="N1612" s="93">
        <f>N(N1611)+IF(M1612="✓",1,0)</f>
        <v/>
      </c>
      <c r="O1612" s="93">
        <f>N(O1611)+IF(AND(B1612&lt;&gt;"",B1612&gt;='Uang Riba'!$H$30,B1612&lt;='Uang Riba'!$I$30,OR(H1612="Dana riba",H1612="Pinjam uang riba",I1612="Pinjam dari uang riba",I1612="Ganti uang riba",I1612="Kelebihan ganti dikembalikan",AND(C1612="Kantong Uang Riba",G1612="Pengeluaran"))),1,0)</f>
        <v/>
      </c>
      <c r="X1612" s="93">
        <f>IF(AND(B1612&lt;&gt;"",B1612&gt;='Buku Akun'!$H$4,B1612&lt;='Buku Akun'!$H$5,OR(C1612='Buku Akun'!$C$4,AND(D1612="Pindah",E1612='Buku Akun'!$C$4))),B1612+IF(AND(I1612="Selisih bunga",DAY(B1612)=1),0,0.01)+ROW()/10000000,"")</f>
        <v/>
      </c>
    </row>
    <row r="1613" outlineLevel="1" ht="15" customHeight="1" s="94">
      <c r="A1613" s="123">
        <f>IF(B1613="","",ROW()-15)</f>
        <v/>
      </c>
      <c r="B1613" s="124" t="n"/>
      <c r="C1613" s="123" t="n"/>
      <c r="D1613" s="123" t="n"/>
      <c r="E1613" s="123" t="n"/>
      <c r="F1613" s="125" t="n"/>
      <c r="G1613" s="123" t="n"/>
      <c r="H1613" s="123" t="n"/>
      <c r="I1613" s="123" t="n"/>
      <c r="J1613" s="123" t="n"/>
      <c r="K1613" s="123" t="n"/>
      <c r="L1613" s="123" t="n"/>
      <c r="M1613" s="123">
        <f>IF(AND(B1613&lt;&gt;"",OR($C$4="",ISNUMBER(SEARCH($C$4,C1613&amp;" "&amp;E1613&amp;" "&amp;G1613&amp;" "&amp;H1613&amp;" "&amp;I1613&amp;" "&amp;J1613&amp;" "&amp;K1613&amp;" "&amp;L1613))),OR($C$5="Semua",$C$5="",G1613=$C$5),OR($C$6="Semua",$C$6="",H1613=$C$6,H1613="Pengeluaran "&amp;$C$6,AND($C$6="Uang Kos Mama",H1613="Pengeluaran Uang Kos")),OR($C$7="Semua",$C$7="",I1613=$C$7),OR($C$8="Semua",$C$8="",C1613=$C$8,E1613=$C$8),OR($C$9="Semua",$C$9="",D1613=$C$9),OR($C$10="",B1613&gt;=$C$10),OR($C$11="",B1613&lt;=$C$11),OR($C$12&lt;&gt;"Ya",K1613&lt;&gt;""),OR($C$13="Semua",$C$13="",L1613=$C$13)),"✓","")</f>
        <v/>
      </c>
      <c r="N1613" s="93">
        <f>N(N1612)+IF(M1613="✓",1,0)</f>
        <v/>
      </c>
      <c r="O1613" s="93">
        <f>N(O1612)+IF(AND(B1613&lt;&gt;"",B1613&gt;='Uang Riba'!$H$30,B1613&lt;='Uang Riba'!$I$30,OR(H1613="Dana riba",H1613="Pinjam uang riba",I1613="Pinjam dari uang riba",I1613="Ganti uang riba",I1613="Kelebihan ganti dikembalikan",AND(C1613="Kantong Uang Riba",G1613="Pengeluaran"))),1,0)</f>
        <v/>
      </c>
      <c r="X1613" s="93">
        <f>IF(AND(B1613&lt;&gt;"",B1613&gt;='Buku Akun'!$H$4,B1613&lt;='Buku Akun'!$H$5,OR(C1613='Buku Akun'!$C$4,AND(D1613="Pindah",E1613='Buku Akun'!$C$4))),B1613+IF(AND(I1613="Selisih bunga",DAY(B1613)=1),0,0.01)+ROW()/10000000,"")</f>
        <v/>
      </c>
    </row>
    <row r="1614" outlineLevel="1" ht="15" customHeight="1" s="94">
      <c r="A1614" s="123">
        <f>IF(B1614="","",ROW()-15)</f>
        <v/>
      </c>
      <c r="B1614" s="124" t="n"/>
      <c r="C1614" s="123" t="n"/>
      <c r="D1614" s="123" t="n"/>
      <c r="E1614" s="123" t="n"/>
      <c r="F1614" s="125" t="n"/>
      <c r="G1614" s="123" t="n"/>
      <c r="H1614" s="123" t="n"/>
      <c r="I1614" s="123" t="n"/>
      <c r="J1614" s="123" t="n"/>
      <c r="K1614" s="123" t="n"/>
      <c r="L1614" s="123" t="n"/>
      <c r="M1614" s="123">
        <f>IF(AND(B1614&lt;&gt;"",OR($C$4="",ISNUMBER(SEARCH($C$4,C1614&amp;" "&amp;E1614&amp;" "&amp;G1614&amp;" "&amp;H1614&amp;" "&amp;I1614&amp;" "&amp;J1614&amp;" "&amp;K1614&amp;" "&amp;L1614))),OR($C$5="Semua",$C$5="",G1614=$C$5),OR($C$6="Semua",$C$6="",H1614=$C$6,H1614="Pengeluaran "&amp;$C$6,AND($C$6="Uang Kos Mama",H1614="Pengeluaran Uang Kos")),OR($C$7="Semua",$C$7="",I1614=$C$7),OR($C$8="Semua",$C$8="",C1614=$C$8,E1614=$C$8),OR($C$9="Semua",$C$9="",D1614=$C$9),OR($C$10="",B1614&gt;=$C$10),OR($C$11="",B1614&lt;=$C$11),OR($C$12&lt;&gt;"Ya",K1614&lt;&gt;""),OR($C$13="Semua",$C$13="",L1614=$C$13)),"✓","")</f>
        <v/>
      </c>
      <c r="N1614" s="93">
        <f>N(N1613)+IF(M1614="✓",1,0)</f>
        <v/>
      </c>
      <c r="O1614" s="93">
        <f>N(O1613)+IF(AND(B1614&lt;&gt;"",B1614&gt;='Uang Riba'!$H$30,B1614&lt;='Uang Riba'!$I$30,OR(H1614="Dana riba",H1614="Pinjam uang riba",I1614="Pinjam dari uang riba",I1614="Ganti uang riba",I1614="Kelebihan ganti dikembalikan",AND(C1614="Kantong Uang Riba",G1614="Pengeluaran"))),1,0)</f>
        <v/>
      </c>
      <c r="X1614" s="93">
        <f>IF(AND(B1614&lt;&gt;"",B1614&gt;='Buku Akun'!$H$4,B1614&lt;='Buku Akun'!$H$5,OR(C1614='Buku Akun'!$C$4,AND(D1614="Pindah",E1614='Buku Akun'!$C$4))),B1614+IF(AND(I1614="Selisih bunga",DAY(B1614)=1),0,0.01)+ROW()/10000000,"")</f>
        <v/>
      </c>
    </row>
    <row r="1615" outlineLevel="1" ht="15" customHeight="1" s="94">
      <c r="A1615" s="123">
        <f>IF(B1615="","",ROW()-15)</f>
        <v/>
      </c>
      <c r="B1615" s="124" t="n"/>
      <c r="C1615" s="123" t="n"/>
      <c r="D1615" s="123" t="n"/>
      <c r="E1615" s="123" t="n"/>
      <c r="F1615" s="125" t="n"/>
      <c r="G1615" s="123" t="n"/>
      <c r="H1615" s="123" t="n"/>
      <c r="I1615" s="123" t="n"/>
      <c r="J1615" s="123" t="n"/>
      <c r="K1615" s="123" t="n"/>
      <c r="L1615" s="123" t="n"/>
      <c r="M1615" s="123">
        <f>IF(AND(B1615&lt;&gt;"",OR($C$4="",ISNUMBER(SEARCH($C$4,C1615&amp;" "&amp;E1615&amp;" "&amp;G1615&amp;" "&amp;H1615&amp;" "&amp;I1615&amp;" "&amp;J1615&amp;" "&amp;K1615&amp;" "&amp;L1615))),OR($C$5="Semua",$C$5="",G1615=$C$5),OR($C$6="Semua",$C$6="",H1615=$C$6,H1615="Pengeluaran "&amp;$C$6,AND($C$6="Uang Kos Mama",H1615="Pengeluaran Uang Kos")),OR($C$7="Semua",$C$7="",I1615=$C$7),OR($C$8="Semua",$C$8="",C1615=$C$8,E1615=$C$8),OR($C$9="Semua",$C$9="",D1615=$C$9),OR($C$10="",B1615&gt;=$C$10),OR($C$11="",B1615&lt;=$C$11),OR($C$12&lt;&gt;"Ya",K1615&lt;&gt;""),OR($C$13="Semua",$C$13="",L1615=$C$13)),"✓","")</f>
        <v/>
      </c>
      <c r="N1615" s="93">
        <f>N(N1614)+IF(M1615="✓",1,0)</f>
        <v/>
      </c>
      <c r="O1615" s="93">
        <f>N(O1614)+IF(AND(B1615&lt;&gt;"",B1615&gt;='Uang Riba'!$H$30,B1615&lt;='Uang Riba'!$I$30,OR(H1615="Dana riba",H1615="Pinjam uang riba",I1615="Pinjam dari uang riba",I1615="Ganti uang riba",I1615="Kelebihan ganti dikembalikan",AND(C1615="Kantong Uang Riba",G1615="Pengeluaran"))),1,0)</f>
        <v/>
      </c>
      <c r="X1615" s="93">
        <f>IF(AND(B1615&lt;&gt;"",B1615&gt;='Buku Akun'!$H$4,B1615&lt;='Buku Akun'!$H$5,OR(C1615='Buku Akun'!$C$4,AND(D1615="Pindah",E1615='Buku Akun'!$C$4))),B1615+IF(AND(I1615="Selisih bunga",DAY(B1615)=1),0,0.01)+ROW()/10000000,"")</f>
        <v/>
      </c>
    </row>
    <row r="1616" outlineLevel="1" ht="15" customHeight="1" s="94">
      <c r="A1616" s="123">
        <f>IF(B1616="","",ROW()-15)</f>
        <v/>
      </c>
      <c r="B1616" s="124" t="n"/>
      <c r="C1616" s="123" t="n"/>
      <c r="D1616" s="123" t="n"/>
      <c r="E1616" s="123" t="n"/>
      <c r="F1616" s="125" t="n"/>
      <c r="G1616" s="123" t="n"/>
      <c r="H1616" s="123" t="n"/>
      <c r="I1616" s="123" t="n"/>
      <c r="J1616" s="123" t="n"/>
      <c r="K1616" s="123" t="n"/>
      <c r="L1616" s="123" t="n"/>
      <c r="M1616" s="123">
        <f>IF(AND(B1616&lt;&gt;"",OR($C$4="",ISNUMBER(SEARCH($C$4,C1616&amp;" "&amp;E1616&amp;" "&amp;G1616&amp;" "&amp;H1616&amp;" "&amp;I1616&amp;" "&amp;J1616&amp;" "&amp;K1616&amp;" "&amp;L1616))),OR($C$5="Semua",$C$5="",G1616=$C$5),OR($C$6="Semua",$C$6="",H1616=$C$6,H1616="Pengeluaran "&amp;$C$6,AND($C$6="Uang Kos Mama",H1616="Pengeluaran Uang Kos")),OR($C$7="Semua",$C$7="",I1616=$C$7),OR($C$8="Semua",$C$8="",C1616=$C$8,E1616=$C$8),OR($C$9="Semua",$C$9="",D1616=$C$9),OR($C$10="",B1616&gt;=$C$10),OR($C$11="",B1616&lt;=$C$11),OR($C$12&lt;&gt;"Ya",K1616&lt;&gt;""),OR($C$13="Semua",$C$13="",L1616=$C$13)),"✓","")</f>
        <v/>
      </c>
      <c r="N1616" s="93">
        <f>N(N1615)+IF(M1616="✓",1,0)</f>
        <v/>
      </c>
      <c r="O1616" s="93">
        <f>N(O1615)+IF(AND(B1616&lt;&gt;"",B1616&gt;='Uang Riba'!$H$30,B1616&lt;='Uang Riba'!$I$30,OR(H1616="Dana riba",H1616="Pinjam uang riba",I1616="Pinjam dari uang riba",I1616="Ganti uang riba",I1616="Kelebihan ganti dikembalikan",AND(C1616="Kantong Uang Riba",G1616="Pengeluaran"))),1,0)</f>
        <v/>
      </c>
      <c r="X1616" s="93">
        <f>IF(AND(B1616&lt;&gt;"",B1616&gt;='Buku Akun'!$H$4,B1616&lt;='Buku Akun'!$H$5,OR(C1616='Buku Akun'!$C$4,AND(D1616="Pindah",E1616='Buku Akun'!$C$4))),B1616+IF(AND(I1616="Selisih bunga",DAY(B1616)=1),0,0.01)+ROW()/10000000,"")</f>
        <v/>
      </c>
    </row>
    <row r="1617" outlineLevel="1" ht="15" customHeight="1" s="94">
      <c r="A1617" s="123">
        <f>IF(B1617="","",ROW()-15)</f>
        <v/>
      </c>
      <c r="B1617" s="124" t="n"/>
      <c r="C1617" s="123" t="n"/>
      <c r="D1617" s="123" t="n"/>
      <c r="E1617" s="123" t="n"/>
      <c r="F1617" s="125" t="n"/>
      <c r="G1617" s="123" t="n"/>
      <c r="H1617" s="123" t="n"/>
      <c r="I1617" s="123" t="n"/>
      <c r="J1617" s="123" t="n"/>
      <c r="K1617" s="123" t="n"/>
      <c r="L1617" s="123" t="n"/>
      <c r="M1617" s="123">
        <f>IF(AND(B1617&lt;&gt;"",OR($C$4="",ISNUMBER(SEARCH($C$4,C1617&amp;" "&amp;E1617&amp;" "&amp;G1617&amp;" "&amp;H1617&amp;" "&amp;I1617&amp;" "&amp;J1617&amp;" "&amp;K1617&amp;" "&amp;L1617))),OR($C$5="Semua",$C$5="",G1617=$C$5),OR($C$6="Semua",$C$6="",H1617=$C$6,H1617="Pengeluaran "&amp;$C$6,AND($C$6="Uang Kos Mama",H1617="Pengeluaran Uang Kos")),OR($C$7="Semua",$C$7="",I1617=$C$7),OR($C$8="Semua",$C$8="",C1617=$C$8,E1617=$C$8),OR($C$9="Semua",$C$9="",D1617=$C$9),OR($C$10="",B1617&gt;=$C$10),OR($C$11="",B1617&lt;=$C$11),OR($C$12&lt;&gt;"Ya",K1617&lt;&gt;""),OR($C$13="Semua",$C$13="",L1617=$C$13)),"✓","")</f>
        <v/>
      </c>
      <c r="N1617" s="93">
        <f>N(N1616)+IF(M1617="✓",1,0)</f>
        <v/>
      </c>
      <c r="O1617" s="93">
        <f>N(O1616)+IF(AND(B1617&lt;&gt;"",B1617&gt;='Uang Riba'!$H$30,B1617&lt;='Uang Riba'!$I$30,OR(H1617="Dana riba",H1617="Pinjam uang riba",I1617="Pinjam dari uang riba",I1617="Ganti uang riba",I1617="Kelebihan ganti dikembalikan",AND(C1617="Kantong Uang Riba",G1617="Pengeluaran"))),1,0)</f>
        <v/>
      </c>
      <c r="X1617" s="93">
        <f>IF(AND(B1617&lt;&gt;"",B1617&gt;='Buku Akun'!$H$4,B1617&lt;='Buku Akun'!$H$5,OR(C1617='Buku Akun'!$C$4,AND(D1617="Pindah",E1617='Buku Akun'!$C$4))),B1617+IF(AND(I1617="Selisih bunga",DAY(B1617)=1),0,0.01)+ROW()/10000000,"")</f>
        <v/>
      </c>
    </row>
    <row r="1618" outlineLevel="1" ht="15" customHeight="1" s="94">
      <c r="A1618" s="123">
        <f>IF(B1618="","",ROW()-15)</f>
        <v/>
      </c>
      <c r="B1618" s="124" t="n"/>
      <c r="C1618" s="123" t="n"/>
      <c r="D1618" s="123" t="n"/>
      <c r="E1618" s="123" t="n"/>
      <c r="F1618" s="125" t="n"/>
      <c r="G1618" s="123" t="n"/>
      <c r="H1618" s="123" t="n"/>
      <c r="I1618" s="123" t="n"/>
      <c r="J1618" s="123" t="n"/>
      <c r="K1618" s="123" t="n"/>
      <c r="L1618" s="123" t="n"/>
      <c r="M1618" s="123">
        <f>IF(AND(B1618&lt;&gt;"",OR($C$4="",ISNUMBER(SEARCH($C$4,C1618&amp;" "&amp;E1618&amp;" "&amp;G1618&amp;" "&amp;H1618&amp;" "&amp;I1618&amp;" "&amp;J1618&amp;" "&amp;K1618&amp;" "&amp;L1618))),OR($C$5="Semua",$C$5="",G1618=$C$5),OR($C$6="Semua",$C$6="",H1618=$C$6,H1618="Pengeluaran "&amp;$C$6,AND($C$6="Uang Kos Mama",H1618="Pengeluaran Uang Kos")),OR($C$7="Semua",$C$7="",I1618=$C$7),OR($C$8="Semua",$C$8="",C1618=$C$8,E1618=$C$8),OR($C$9="Semua",$C$9="",D1618=$C$9),OR($C$10="",B1618&gt;=$C$10),OR($C$11="",B1618&lt;=$C$11),OR($C$12&lt;&gt;"Ya",K1618&lt;&gt;""),OR($C$13="Semua",$C$13="",L1618=$C$13)),"✓","")</f>
        <v/>
      </c>
      <c r="N1618" s="93">
        <f>N(N1617)+IF(M1618="✓",1,0)</f>
        <v/>
      </c>
      <c r="O1618" s="93">
        <f>N(O1617)+IF(AND(B1618&lt;&gt;"",B1618&gt;='Uang Riba'!$H$30,B1618&lt;='Uang Riba'!$I$30,OR(H1618="Dana riba",H1618="Pinjam uang riba",I1618="Pinjam dari uang riba",I1618="Ganti uang riba",I1618="Kelebihan ganti dikembalikan",AND(C1618="Kantong Uang Riba",G1618="Pengeluaran"))),1,0)</f>
        <v/>
      </c>
      <c r="X1618" s="93">
        <f>IF(AND(B1618&lt;&gt;"",B1618&gt;='Buku Akun'!$H$4,B1618&lt;='Buku Akun'!$H$5,OR(C1618='Buku Akun'!$C$4,AND(D1618="Pindah",E1618='Buku Akun'!$C$4))),B1618+IF(AND(I1618="Selisih bunga",DAY(B1618)=1),0,0.01)+ROW()/10000000,"")</f>
        <v/>
      </c>
    </row>
    <row r="1619" outlineLevel="1" ht="15" customHeight="1" s="94">
      <c r="A1619" s="123">
        <f>IF(B1619="","",ROW()-15)</f>
        <v/>
      </c>
      <c r="B1619" s="124" t="n"/>
      <c r="C1619" s="123" t="n"/>
      <c r="D1619" s="123" t="n"/>
      <c r="E1619" s="123" t="n"/>
      <c r="F1619" s="125" t="n"/>
      <c r="G1619" s="123" t="n"/>
      <c r="H1619" s="123" t="n"/>
      <c r="I1619" s="123" t="n"/>
      <c r="J1619" s="123" t="n"/>
      <c r="K1619" s="123" t="n"/>
      <c r="L1619" s="123" t="n"/>
      <c r="M1619" s="123">
        <f>IF(AND(B1619&lt;&gt;"",OR($C$4="",ISNUMBER(SEARCH($C$4,C1619&amp;" "&amp;E1619&amp;" "&amp;G1619&amp;" "&amp;H1619&amp;" "&amp;I1619&amp;" "&amp;J1619&amp;" "&amp;K1619&amp;" "&amp;L1619))),OR($C$5="Semua",$C$5="",G1619=$C$5),OR($C$6="Semua",$C$6="",H1619=$C$6,H1619="Pengeluaran "&amp;$C$6,AND($C$6="Uang Kos Mama",H1619="Pengeluaran Uang Kos")),OR($C$7="Semua",$C$7="",I1619=$C$7),OR($C$8="Semua",$C$8="",C1619=$C$8,E1619=$C$8),OR($C$9="Semua",$C$9="",D1619=$C$9),OR($C$10="",B1619&gt;=$C$10),OR($C$11="",B1619&lt;=$C$11),OR($C$12&lt;&gt;"Ya",K1619&lt;&gt;""),OR($C$13="Semua",$C$13="",L1619=$C$13)),"✓","")</f>
        <v/>
      </c>
      <c r="N1619" s="93">
        <f>N(N1618)+IF(M1619="✓",1,0)</f>
        <v/>
      </c>
      <c r="O1619" s="93">
        <f>N(O1618)+IF(AND(B1619&lt;&gt;"",B1619&gt;='Uang Riba'!$H$30,B1619&lt;='Uang Riba'!$I$30,OR(H1619="Dana riba",H1619="Pinjam uang riba",I1619="Pinjam dari uang riba",I1619="Ganti uang riba",I1619="Kelebihan ganti dikembalikan",AND(C1619="Kantong Uang Riba",G1619="Pengeluaran"))),1,0)</f>
        <v/>
      </c>
      <c r="X1619" s="93">
        <f>IF(AND(B1619&lt;&gt;"",B1619&gt;='Buku Akun'!$H$4,B1619&lt;='Buku Akun'!$H$5,OR(C1619='Buku Akun'!$C$4,AND(D1619="Pindah",E1619='Buku Akun'!$C$4))),B1619+IF(AND(I1619="Selisih bunga",DAY(B1619)=1),0,0.01)+ROW()/10000000,"")</f>
        <v/>
      </c>
    </row>
    <row r="1620" outlineLevel="1" ht="15" customHeight="1" s="94">
      <c r="A1620" s="123">
        <f>IF(B1620="","",ROW()-15)</f>
        <v/>
      </c>
      <c r="B1620" s="124" t="n"/>
      <c r="C1620" s="123" t="n"/>
      <c r="D1620" s="123" t="n"/>
      <c r="E1620" s="123" t="n"/>
      <c r="F1620" s="125" t="n"/>
      <c r="G1620" s="123" t="n"/>
      <c r="H1620" s="123" t="n"/>
      <c r="I1620" s="123" t="n"/>
      <c r="J1620" s="123" t="n"/>
      <c r="K1620" s="123" t="n"/>
      <c r="L1620" s="123" t="n"/>
      <c r="M1620" s="123">
        <f>IF(AND(B1620&lt;&gt;"",OR($C$4="",ISNUMBER(SEARCH($C$4,C1620&amp;" "&amp;E1620&amp;" "&amp;G1620&amp;" "&amp;H1620&amp;" "&amp;I1620&amp;" "&amp;J1620&amp;" "&amp;K1620&amp;" "&amp;L1620))),OR($C$5="Semua",$C$5="",G1620=$C$5),OR($C$6="Semua",$C$6="",H1620=$C$6,H1620="Pengeluaran "&amp;$C$6,AND($C$6="Uang Kos Mama",H1620="Pengeluaran Uang Kos")),OR($C$7="Semua",$C$7="",I1620=$C$7),OR($C$8="Semua",$C$8="",C1620=$C$8,E1620=$C$8),OR($C$9="Semua",$C$9="",D1620=$C$9),OR($C$10="",B1620&gt;=$C$10),OR($C$11="",B1620&lt;=$C$11),OR($C$12&lt;&gt;"Ya",K1620&lt;&gt;""),OR($C$13="Semua",$C$13="",L1620=$C$13)),"✓","")</f>
        <v/>
      </c>
      <c r="N1620" s="93">
        <f>N(N1619)+IF(M1620="✓",1,0)</f>
        <v/>
      </c>
      <c r="O1620" s="93">
        <f>N(O1619)+IF(AND(B1620&lt;&gt;"",B1620&gt;='Uang Riba'!$H$30,B1620&lt;='Uang Riba'!$I$30,OR(H1620="Dana riba",H1620="Pinjam uang riba",I1620="Pinjam dari uang riba",I1620="Ganti uang riba",I1620="Kelebihan ganti dikembalikan",AND(C1620="Kantong Uang Riba",G1620="Pengeluaran"))),1,0)</f>
        <v/>
      </c>
      <c r="X1620" s="93">
        <f>IF(AND(B1620&lt;&gt;"",B1620&gt;='Buku Akun'!$H$4,B1620&lt;='Buku Akun'!$H$5,OR(C1620='Buku Akun'!$C$4,AND(D1620="Pindah",E1620='Buku Akun'!$C$4))),B1620+IF(AND(I1620="Selisih bunga",DAY(B1620)=1),0,0.01)+ROW()/10000000,"")</f>
        <v/>
      </c>
    </row>
    <row r="1621" outlineLevel="1" ht="15" customHeight="1" s="94">
      <c r="A1621" s="123">
        <f>IF(B1621="","",ROW()-15)</f>
        <v/>
      </c>
      <c r="B1621" s="124" t="n"/>
      <c r="C1621" s="123" t="n"/>
      <c r="D1621" s="123" t="n"/>
      <c r="E1621" s="123" t="n"/>
      <c r="F1621" s="125" t="n"/>
      <c r="G1621" s="123" t="n"/>
      <c r="H1621" s="123" t="n"/>
      <c r="I1621" s="123" t="n"/>
      <c r="J1621" s="123" t="n"/>
      <c r="K1621" s="123" t="n"/>
      <c r="L1621" s="123" t="n"/>
      <c r="M1621" s="123">
        <f>IF(AND(B1621&lt;&gt;"",OR($C$4="",ISNUMBER(SEARCH($C$4,C1621&amp;" "&amp;E1621&amp;" "&amp;G1621&amp;" "&amp;H1621&amp;" "&amp;I1621&amp;" "&amp;J1621&amp;" "&amp;K1621&amp;" "&amp;L1621))),OR($C$5="Semua",$C$5="",G1621=$C$5),OR($C$6="Semua",$C$6="",H1621=$C$6,H1621="Pengeluaran "&amp;$C$6,AND($C$6="Uang Kos Mama",H1621="Pengeluaran Uang Kos")),OR($C$7="Semua",$C$7="",I1621=$C$7),OR($C$8="Semua",$C$8="",C1621=$C$8,E1621=$C$8),OR($C$9="Semua",$C$9="",D1621=$C$9),OR($C$10="",B1621&gt;=$C$10),OR($C$11="",B1621&lt;=$C$11),OR($C$12&lt;&gt;"Ya",K1621&lt;&gt;""),OR($C$13="Semua",$C$13="",L1621=$C$13)),"✓","")</f>
        <v/>
      </c>
      <c r="N1621" s="93">
        <f>N(N1620)+IF(M1621="✓",1,0)</f>
        <v/>
      </c>
      <c r="O1621" s="93">
        <f>N(O1620)+IF(AND(B1621&lt;&gt;"",B1621&gt;='Uang Riba'!$H$30,B1621&lt;='Uang Riba'!$I$30,OR(H1621="Dana riba",H1621="Pinjam uang riba",I1621="Pinjam dari uang riba",I1621="Ganti uang riba",I1621="Kelebihan ganti dikembalikan",AND(C1621="Kantong Uang Riba",G1621="Pengeluaran"))),1,0)</f>
        <v/>
      </c>
      <c r="X1621" s="93">
        <f>IF(AND(B1621&lt;&gt;"",B1621&gt;='Buku Akun'!$H$4,B1621&lt;='Buku Akun'!$H$5,OR(C1621='Buku Akun'!$C$4,AND(D1621="Pindah",E1621='Buku Akun'!$C$4))),B1621+IF(AND(I1621="Selisih bunga",DAY(B1621)=1),0,0.01)+ROW()/10000000,"")</f>
        <v/>
      </c>
    </row>
    <row r="1622" outlineLevel="1" ht="15" customHeight="1" s="94">
      <c r="A1622" s="123">
        <f>IF(B1622="","",ROW()-15)</f>
        <v/>
      </c>
      <c r="B1622" s="124" t="n"/>
      <c r="C1622" s="123" t="n"/>
      <c r="D1622" s="123" t="n"/>
      <c r="E1622" s="123" t="n"/>
      <c r="F1622" s="125" t="n"/>
      <c r="G1622" s="123" t="n"/>
      <c r="H1622" s="123" t="n"/>
      <c r="I1622" s="123" t="n"/>
      <c r="J1622" s="123" t="n"/>
      <c r="K1622" s="123" t="n"/>
      <c r="L1622" s="123" t="n"/>
      <c r="M1622" s="123">
        <f>IF(AND(B1622&lt;&gt;"",OR($C$4="",ISNUMBER(SEARCH($C$4,C1622&amp;" "&amp;E1622&amp;" "&amp;G1622&amp;" "&amp;H1622&amp;" "&amp;I1622&amp;" "&amp;J1622&amp;" "&amp;K1622&amp;" "&amp;L1622))),OR($C$5="Semua",$C$5="",G1622=$C$5),OR($C$6="Semua",$C$6="",H1622=$C$6,H1622="Pengeluaran "&amp;$C$6,AND($C$6="Uang Kos Mama",H1622="Pengeluaran Uang Kos")),OR($C$7="Semua",$C$7="",I1622=$C$7),OR($C$8="Semua",$C$8="",C1622=$C$8,E1622=$C$8),OR($C$9="Semua",$C$9="",D1622=$C$9),OR($C$10="",B1622&gt;=$C$10),OR($C$11="",B1622&lt;=$C$11),OR($C$12&lt;&gt;"Ya",K1622&lt;&gt;""),OR($C$13="Semua",$C$13="",L1622=$C$13)),"✓","")</f>
        <v/>
      </c>
      <c r="N1622" s="93">
        <f>N(N1621)+IF(M1622="✓",1,0)</f>
        <v/>
      </c>
      <c r="O1622" s="93">
        <f>N(O1621)+IF(AND(B1622&lt;&gt;"",B1622&gt;='Uang Riba'!$H$30,B1622&lt;='Uang Riba'!$I$30,OR(H1622="Dana riba",H1622="Pinjam uang riba",I1622="Pinjam dari uang riba",I1622="Ganti uang riba",I1622="Kelebihan ganti dikembalikan",AND(C1622="Kantong Uang Riba",G1622="Pengeluaran"))),1,0)</f>
        <v/>
      </c>
      <c r="X1622" s="93">
        <f>IF(AND(B1622&lt;&gt;"",B1622&gt;='Buku Akun'!$H$4,B1622&lt;='Buku Akun'!$H$5,OR(C1622='Buku Akun'!$C$4,AND(D1622="Pindah",E1622='Buku Akun'!$C$4))),B1622+IF(AND(I1622="Selisih bunga",DAY(B1622)=1),0,0.01)+ROW()/10000000,"")</f>
        <v/>
      </c>
    </row>
    <row r="1623" outlineLevel="1" ht="15" customHeight="1" s="94">
      <c r="A1623" s="123">
        <f>IF(B1623="","",ROW()-15)</f>
        <v/>
      </c>
      <c r="B1623" s="124" t="n"/>
      <c r="C1623" s="123" t="n"/>
      <c r="D1623" s="123" t="n"/>
      <c r="E1623" s="123" t="n"/>
      <c r="F1623" s="125" t="n"/>
      <c r="G1623" s="123" t="n"/>
      <c r="H1623" s="123" t="n"/>
      <c r="I1623" s="123" t="n"/>
      <c r="J1623" s="123" t="n"/>
      <c r="K1623" s="123" t="n"/>
      <c r="L1623" s="123" t="n"/>
      <c r="M1623" s="123">
        <f>IF(AND(B1623&lt;&gt;"",OR($C$4="",ISNUMBER(SEARCH($C$4,C1623&amp;" "&amp;E1623&amp;" "&amp;G1623&amp;" "&amp;H1623&amp;" "&amp;I1623&amp;" "&amp;J1623&amp;" "&amp;K1623&amp;" "&amp;L1623))),OR($C$5="Semua",$C$5="",G1623=$C$5),OR($C$6="Semua",$C$6="",H1623=$C$6,H1623="Pengeluaran "&amp;$C$6,AND($C$6="Uang Kos Mama",H1623="Pengeluaran Uang Kos")),OR($C$7="Semua",$C$7="",I1623=$C$7),OR($C$8="Semua",$C$8="",C1623=$C$8,E1623=$C$8),OR($C$9="Semua",$C$9="",D1623=$C$9),OR($C$10="",B1623&gt;=$C$10),OR($C$11="",B1623&lt;=$C$11),OR($C$12&lt;&gt;"Ya",K1623&lt;&gt;""),OR($C$13="Semua",$C$13="",L1623=$C$13)),"✓","")</f>
        <v/>
      </c>
      <c r="N1623" s="93">
        <f>N(N1622)+IF(M1623="✓",1,0)</f>
        <v/>
      </c>
      <c r="O1623" s="93">
        <f>N(O1622)+IF(AND(B1623&lt;&gt;"",B1623&gt;='Uang Riba'!$H$30,B1623&lt;='Uang Riba'!$I$30,OR(H1623="Dana riba",H1623="Pinjam uang riba",I1623="Pinjam dari uang riba",I1623="Ganti uang riba",I1623="Kelebihan ganti dikembalikan",AND(C1623="Kantong Uang Riba",G1623="Pengeluaran"))),1,0)</f>
        <v/>
      </c>
      <c r="X1623" s="93">
        <f>IF(AND(B1623&lt;&gt;"",B1623&gt;='Buku Akun'!$H$4,B1623&lt;='Buku Akun'!$H$5,OR(C1623='Buku Akun'!$C$4,AND(D1623="Pindah",E1623='Buku Akun'!$C$4))),B1623+IF(AND(I1623="Selisih bunga",DAY(B1623)=1),0,0.01)+ROW()/10000000,"")</f>
        <v/>
      </c>
    </row>
    <row r="1624" outlineLevel="1" ht="15" customHeight="1" s="94">
      <c r="A1624" s="123">
        <f>IF(B1624="","",ROW()-15)</f>
        <v/>
      </c>
      <c r="B1624" s="124" t="n"/>
      <c r="C1624" s="123" t="n"/>
      <c r="D1624" s="123" t="n"/>
      <c r="E1624" s="123" t="n"/>
      <c r="F1624" s="125" t="n"/>
      <c r="G1624" s="123" t="n"/>
      <c r="H1624" s="123" t="n"/>
      <c r="I1624" s="123" t="n"/>
      <c r="J1624" s="123" t="n"/>
      <c r="K1624" s="123" t="n"/>
      <c r="L1624" s="123" t="n"/>
      <c r="M1624" s="123">
        <f>IF(AND(B1624&lt;&gt;"",OR($C$4="",ISNUMBER(SEARCH($C$4,C1624&amp;" "&amp;E1624&amp;" "&amp;G1624&amp;" "&amp;H1624&amp;" "&amp;I1624&amp;" "&amp;J1624&amp;" "&amp;K1624&amp;" "&amp;L1624))),OR($C$5="Semua",$C$5="",G1624=$C$5),OR($C$6="Semua",$C$6="",H1624=$C$6,H1624="Pengeluaran "&amp;$C$6,AND($C$6="Uang Kos Mama",H1624="Pengeluaran Uang Kos")),OR($C$7="Semua",$C$7="",I1624=$C$7),OR($C$8="Semua",$C$8="",C1624=$C$8,E1624=$C$8),OR($C$9="Semua",$C$9="",D1624=$C$9),OR($C$10="",B1624&gt;=$C$10),OR($C$11="",B1624&lt;=$C$11),OR($C$12&lt;&gt;"Ya",K1624&lt;&gt;""),OR($C$13="Semua",$C$13="",L1624=$C$13)),"✓","")</f>
        <v/>
      </c>
      <c r="N1624" s="93">
        <f>N(N1623)+IF(M1624="✓",1,0)</f>
        <v/>
      </c>
      <c r="O1624" s="93">
        <f>N(O1623)+IF(AND(B1624&lt;&gt;"",B1624&gt;='Uang Riba'!$H$30,B1624&lt;='Uang Riba'!$I$30,OR(H1624="Dana riba",H1624="Pinjam uang riba",I1624="Pinjam dari uang riba",I1624="Ganti uang riba",I1624="Kelebihan ganti dikembalikan",AND(C1624="Kantong Uang Riba",G1624="Pengeluaran"))),1,0)</f>
        <v/>
      </c>
      <c r="X1624" s="93">
        <f>IF(AND(B1624&lt;&gt;"",B1624&gt;='Buku Akun'!$H$4,B1624&lt;='Buku Akun'!$H$5,OR(C1624='Buku Akun'!$C$4,AND(D1624="Pindah",E1624='Buku Akun'!$C$4))),B1624+IF(AND(I1624="Selisih bunga",DAY(B1624)=1),0,0.01)+ROW()/10000000,"")</f>
        <v/>
      </c>
    </row>
    <row r="1625" outlineLevel="1" ht="15" customHeight="1" s="94">
      <c r="A1625" s="123">
        <f>IF(B1625="","",ROW()-15)</f>
        <v/>
      </c>
      <c r="B1625" s="124" t="n"/>
      <c r="C1625" s="123" t="n"/>
      <c r="D1625" s="123" t="n"/>
      <c r="E1625" s="123" t="n"/>
      <c r="F1625" s="125" t="n"/>
      <c r="G1625" s="123" t="n"/>
      <c r="H1625" s="123" t="n"/>
      <c r="I1625" s="123" t="n"/>
      <c r="J1625" s="123" t="n"/>
      <c r="K1625" s="123" t="n"/>
      <c r="L1625" s="123" t="n"/>
      <c r="M1625" s="123">
        <f>IF(AND(B1625&lt;&gt;"",OR($C$4="",ISNUMBER(SEARCH($C$4,C1625&amp;" "&amp;E1625&amp;" "&amp;G1625&amp;" "&amp;H1625&amp;" "&amp;I1625&amp;" "&amp;J1625&amp;" "&amp;K1625&amp;" "&amp;L1625))),OR($C$5="Semua",$C$5="",G1625=$C$5),OR($C$6="Semua",$C$6="",H1625=$C$6,H1625="Pengeluaran "&amp;$C$6,AND($C$6="Uang Kos Mama",H1625="Pengeluaran Uang Kos")),OR($C$7="Semua",$C$7="",I1625=$C$7),OR($C$8="Semua",$C$8="",C1625=$C$8,E1625=$C$8),OR($C$9="Semua",$C$9="",D1625=$C$9),OR($C$10="",B1625&gt;=$C$10),OR($C$11="",B1625&lt;=$C$11),OR($C$12&lt;&gt;"Ya",K1625&lt;&gt;""),OR($C$13="Semua",$C$13="",L1625=$C$13)),"✓","")</f>
        <v/>
      </c>
      <c r="N1625" s="93">
        <f>N(N1624)+IF(M1625="✓",1,0)</f>
        <v/>
      </c>
      <c r="O1625" s="93">
        <f>N(O1624)+IF(AND(B1625&lt;&gt;"",B1625&gt;='Uang Riba'!$H$30,B1625&lt;='Uang Riba'!$I$30,OR(H1625="Dana riba",H1625="Pinjam uang riba",I1625="Pinjam dari uang riba",I1625="Ganti uang riba",I1625="Kelebihan ganti dikembalikan",AND(C1625="Kantong Uang Riba",G1625="Pengeluaran"))),1,0)</f>
        <v/>
      </c>
      <c r="X1625" s="93">
        <f>IF(AND(B1625&lt;&gt;"",B1625&gt;='Buku Akun'!$H$4,B1625&lt;='Buku Akun'!$H$5,OR(C1625='Buku Akun'!$C$4,AND(D1625="Pindah",E1625='Buku Akun'!$C$4))),B1625+IF(AND(I1625="Selisih bunga",DAY(B1625)=1),0,0.01)+ROW()/10000000,"")</f>
        <v/>
      </c>
    </row>
    <row r="1626" outlineLevel="1" ht="15" customHeight="1" s="94">
      <c r="A1626" s="123">
        <f>IF(B1626="","",ROW()-15)</f>
        <v/>
      </c>
      <c r="B1626" s="124" t="n"/>
      <c r="C1626" s="123" t="n"/>
      <c r="D1626" s="123" t="n"/>
      <c r="E1626" s="123" t="n"/>
      <c r="F1626" s="125" t="n"/>
      <c r="G1626" s="123" t="n"/>
      <c r="H1626" s="123" t="n"/>
      <c r="I1626" s="123" t="n"/>
      <c r="J1626" s="123" t="n"/>
      <c r="K1626" s="123" t="n"/>
      <c r="L1626" s="123" t="n"/>
      <c r="M1626" s="123">
        <f>IF(AND(B1626&lt;&gt;"",OR($C$4="",ISNUMBER(SEARCH($C$4,C1626&amp;" "&amp;E1626&amp;" "&amp;G1626&amp;" "&amp;H1626&amp;" "&amp;I1626&amp;" "&amp;J1626&amp;" "&amp;K1626&amp;" "&amp;L1626))),OR($C$5="Semua",$C$5="",G1626=$C$5),OR($C$6="Semua",$C$6="",H1626=$C$6,H1626="Pengeluaran "&amp;$C$6,AND($C$6="Uang Kos Mama",H1626="Pengeluaran Uang Kos")),OR($C$7="Semua",$C$7="",I1626=$C$7),OR($C$8="Semua",$C$8="",C1626=$C$8,E1626=$C$8),OR($C$9="Semua",$C$9="",D1626=$C$9),OR($C$10="",B1626&gt;=$C$10),OR($C$11="",B1626&lt;=$C$11),OR($C$12&lt;&gt;"Ya",K1626&lt;&gt;""),OR($C$13="Semua",$C$13="",L1626=$C$13)),"✓","")</f>
        <v/>
      </c>
      <c r="N1626" s="93">
        <f>N(N1625)+IF(M1626="✓",1,0)</f>
        <v/>
      </c>
      <c r="O1626" s="93">
        <f>N(O1625)+IF(AND(B1626&lt;&gt;"",B1626&gt;='Uang Riba'!$H$30,B1626&lt;='Uang Riba'!$I$30,OR(H1626="Dana riba",H1626="Pinjam uang riba",I1626="Pinjam dari uang riba",I1626="Ganti uang riba",I1626="Kelebihan ganti dikembalikan",AND(C1626="Kantong Uang Riba",G1626="Pengeluaran"))),1,0)</f>
        <v/>
      </c>
      <c r="X1626" s="93">
        <f>IF(AND(B1626&lt;&gt;"",B1626&gt;='Buku Akun'!$H$4,B1626&lt;='Buku Akun'!$H$5,OR(C1626='Buku Akun'!$C$4,AND(D1626="Pindah",E1626='Buku Akun'!$C$4))),B1626+IF(AND(I1626="Selisih bunga",DAY(B1626)=1),0,0.01)+ROW()/10000000,"")</f>
        <v/>
      </c>
    </row>
    <row r="1627" outlineLevel="1" ht="15" customHeight="1" s="94">
      <c r="A1627" s="123">
        <f>IF(B1627="","",ROW()-15)</f>
        <v/>
      </c>
      <c r="B1627" s="124" t="n"/>
      <c r="C1627" s="123" t="n"/>
      <c r="D1627" s="123" t="n"/>
      <c r="E1627" s="123" t="n"/>
      <c r="F1627" s="125" t="n"/>
      <c r="G1627" s="123" t="n"/>
      <c r="H1627" s="123" t="n"/>
      <c r="I1627" s="123" t="n"/>
      <c r="J1627" s="123" t="n"/>
      <c r="K1627" s="123" t="n"/>
      <c r="L1627" s="123" t="n"/>
      <c r="M1627" s="123">
        <f>IF(AND(B1627&lt;&gt;"",OR($C$4="",ISNUMBER(SEARCH($C$4,C1627&amp;" "&amp;E1627&amp;" "&amp;G1627&amp;" "&amp;H1627&amp;" "&amp;I1627&amp;" "&amp;J1627&amp;" "&amp;K1627&amp;" "&amp;L1627))),OR($C$5="Semua",$C$5="",G1627=$C$5),OR($C$6="Semua",$C$6="",H1627=$C$6,H1627="Pengeluaran "&amp;$C$6,AND($C$6="Uang Kos Mama",H1627="Pengeluaran Uang Kos")),OR($C$7="Semua",$C$7="",I1627=$C$7),OR($C$8="Semua",$C$8="",C1627=$C$8,E1627=$C$8),OR($C$9="Semua",$C$9="",D1627=$C$9),OR($C$10="",B1627&gt;=$C$10),OR($C$11="",B1627&lt;=$C$11),OR($C$12&lt;&gt;"Ya",K1627&lt;&gt;""),OR($C$13="Semua",$C$13="",L1627=$C$13)),"✓","")</f>
        <v/>
      </c>
      <c r="N1627" s="93">
        <f>N(N1626)+IF(M1627="✓",1,0)</f>
        <v/>
      </c>
      <c r="O1627" s="93">
        <f>N(O1626)+IF(AND(B1627&lt;&gt;"",B1627&gt;='Uang Riba'!$H$30,B1627&lt;='Uang Riba'!$I$30,OR(H1627="Dana riba",H1627="Pinjam uang riba",I1627="Pinjam dari uang riba",I1627="Ganti uang riba",I1627="Kelebihan ganti dikembalikan",AND(C1627="Kantong Uang Riba",G1627="Pengeluaran"))),1,0)</f>
        <v/>
      </c>
      <c r="X1627" s="93">
        <f>IF(AND(B1627&lt;&gt;"",B1627&gt;='Buku Akun'!$H$4,B1627&lt;='Buku Akun'!$H$5,OR(C1627='Buku Akun'!$C$4,AND(D1627="Pindah",E1627='Buku Akun'!$C$4))),B1627+IF(AND(I1627="Selisih bunga",DAY(B1627)=1),0,0.01)+ROW()/10000000,"")</f>
        <v/>
      </c>
    </row>
    <row r="1628" outlineLevel="1" ht="15" customHeight="1" s="94">
      <c r="A1628" s="123">
        <f>IF(B1628="","",ROW()-15)</f>
        <v/>
      </c>
      <c r="B1628" s="124" t="n"/>
      <c r="C1628" s="123" t="n"/>
      <c r="D1628" s="123" t="n"/>
      <c r="E1628" s="123" t="n"/>
      <c r="F1628" s="125" t="n"/>
      <c r="G1628" s="123" t="n"/>
      <c r="H1628" s="123" t="n"/>
      <c r="I1628" s="123" t="n"/>
      <c r="J1628" s="123" t="n"/>
      <c r="K1628" s="123" t="n"/>
      <c r="L1628" s="123" t="n"/>
      <c r="M1628" s="123">
        <f>IF(AND(B1628&lt;&gt;"",OR($C$4="",ISNUMBER(SEARCH($C$4,C1628&amp;" "&amp;E1628&amp;" "&amp;G1628&amp;" "&amp;H1628&amp;" "&amp;I1628&amp;" "&amp;J1628&amp;" "&amp;K1628&amp;" "&amp;L1628))),OR($C$5="Semua",$C$5="",G1628=$C$5),OR($C$6="Semua",$C$6="",H1628=$C$6,H1628="Pengeluaran "&amp;$C$6,AND($C$6="Uang Kos Mama",H1628="Pengeluaran Uang Kos")),OR($C$7="Semua",$C$7="",I1628=$C$7),OR($C$8="Semua",$C$8="",C1628=$C$8,E1628=$C$8),OR($C$9="Semua",$C$9="",D1628=$C$9),OR($C$10="",B1628&gt;=$C$10),OR($C$11="",B1628&lt;=$C$11),OR($C$12&lt;&gt;"Ya",K1628&lt;&gt;""),OR($C$13="Semua",$C$13="",L1628=$C$13)),"✓","")</f>
        <v/>
      </c>
      <c r="N1628" s="93">
        <f>N(N1627)+IF(M1628="✓",1,0)</f>
        <v/>
      </c>
      <c r="O1628" s="93">
        <f>N(O1627)+IF(AND(B1628&lt;&gt;"",B1628&gt;='Uang Riba'!$H$30,B1628&lt;='Uang Riba'!$I$30,OR(H1628="Dana riba",H1628="Pinjam uang riba",I1628="Pinjam dari uang riba",I1628="Ganti uang riba",I1628="Kelebihan ganti dikembalikan",AND(C1628="Kantong Uang Riba",G1628="Pengeluaran"))),1,0)</f>
        <v/>
      </c>
      <c r="X1628" s="93">
        <f>IF(AND(B1628&lt;&gt;"",B1628&gt;='Buku Akun'!$H$4,B1628&lt;='Buku Akun'!$H$5,OR(C1628='Buku Akun'!$C$4,AND(D1628="Pindah",E1628='Buku Akun'!$C$4))),B1628+IF(AND(I1628="Selisih bunga",DAY(B1628)=1),0,0.01)+ROW()/10000000,"")</f>
        <v/>
      </c>
    </row>
    <row r="1629" outlineLevel="1" ht="15" customHeight="1" s="94">
      <c r="A1629" s="123">
        <f>IF(B1629="","",ROW()-15)</f>
        <v/>
      </c>
      <c r="B1629" s="124" t="n"/>
      <c r="C1629" s="123" t="n"/>
      <c r="D1629" s="123" t="n"/>
      <c r="E1629" s="123" t="n"/>
      <c r="F1629" s="125" t="n"/>
      <c r="G1629" s="123" t="n"/>
      <c r="H1629" s="123" t="n"/>
      <c r="I1629" s="123" t="n"/>
      <c r="J1629" s="123" t="n"/>
      <c r="K1629" s="123" t="n"/>
      <c r="L1629" s="123" t="n"/>
      <c r="M1629" s="123">
        <f>IF(AND(B1629&lt;&gt;"",OR($C$4="",ISNUMBER(SEARCH($C$4,C1629&amp;" "&amp;E1629&amp;" "&amp;G1629&amp;" "&amp;H1629&amp;" "&amp;I1629&amp;" "&amp;J1629&amp;" "&amp;K1629&amp;" "&amp;L1629))),OR($C$5="Semua",$C$5="",G1629=$C$5),OR($C$6="Semua",$C$6="",H1629=$C$6,H1629="Pengeluaran "&amp;$C$6,AND($C$6="Uang Kos Mama",H1629="Pengeluaran Uang Kos")),OR($C$7="Semua",$C$7="",I1629=$C$7),OR($C$8="Semua",$C$8="",C1629=$C$8,E1629=$C$8),OR($C$9="Semua",$C$9="",D1629=$C$9),OR($C$10="",B1629&gt;=$C$10),OR($C$11="",B1629&lt;=$C$11),OR($C$12&lt;&gt;"Ya",K1629&lt;&gt;""),OR($C$13="Semua",$C$13="",L1629=$C$13)),"✓","")</f>
        <v/>
      </c>
      <c r="N1629" s="93">
        <f>N(N1628)+IF(M1629="✓",1,0)</f>
        <v/>
      </c>
      <c r="O1629" s="93">
        <f>N(O1628)+IF(AND(B1629&lt;&gt;"",B1629&gt;='Uang Riba'!$H$30,B1629&lt;='Uang Riba'!$I$30,OR(H1629="Dana riba",H1629="Pinjam uang riba",I1629="Pinjam dari uang riba",I1629="Ganti uang riba",I1629="Kelebihan ganti dikembalikan",AND(C1629="Kantong Uang Riba",G1629="Pengeluaran"))),1,0)</f>
        <v/>
      </c>
      <c r="X1629" s="93">
        <f>IF(AND(B1629&lt;&gt;"",B1629&gt;='Buku Akun'!$H$4,B1629&lt;='Buku Akun'!$H$5,OR(C1629='Buku Akun'!$C$4,AND(D1629="Pindah",E1629='Buku Akun'!$C$4))),B1629+IF(AND(I1629="Selisih bunga",DAY(B1629)=1),0,0.01)+ROW()/10000000,"")</f>
        <v/>
      </c>
    </row>
    <row r="1630" outlineLevel="1" ht="15" customHeight="1" s="94">
      <c r="A1630" s="123">
        <f>IF(B1630="","",ROW()-15)</f>
        <v/>
      </c>
      <c r="B1630" s="124" t="n"/>
      <c r="C1630" s="123" t="n"/>
      <c r="D1630" s="123" t="n"/>
      <c r="E1630" s="123" t="n"/>
      <c r="F1630" s="125" t="n"/>
      <c r="G1630" s="123" t="n"/>
      <c r="H1630" s="123" t="n"/>
      <c r="I1630" s="123" t="n"/>
      <c r="J1630" s="123" t="n"/>
      <c r="K1630" s="123" t="n"/>
      <c r="L1630" s="123" t="n"/>
      <c r="M1630" s="123">
        <f>IF(AND(B1630&lt;&gt;"",OR($C$4="",ISNUMBER(SEARCH($C$4,C1630&amp;" "&amp;E1630&amp;" "&amp;G1630&amp;" "&amp;H1630&amp;" "&amp;I1630&amp;" "&amp;J1630&amp;" "&amp;K1630&amp;" "&amp;L1630))),OR($C$5="Semua",$C$5="",G1630=$C$5),OR($C$6="Semua",$C$6="",H1630=$C$6,H1630="Pengeluaran "&amp;$C$6,AND($C$6="Uang Kos Mama",H1630="Pengeluaran Uang Kos")),OR($C$7="Semua",$C$7="",I1630=$C$7),OR($C$8="Semua",$C$8="",C1630=$C$8,E1630=$C$8),OR($C$9="Semua",$C$9="",D1630=$C$9),OR($C$10="",B1630&gt;=$C$10),OR($C$11="",B1630&lt;=$C$11),OR($C$12&lt;&gt;"Ya",K1630&lt;&gt;""),OR($C$13="Semua",$C$13="",L1630=$C$13)),"✓","")</f>
        <v/>
      </c>
      <c r="N1630" s="93">
        <f>N(N1629)+IF(M1630="✓",1,0)</f>
        <v/>
      </c>
      <c r="O1630" s="93">
        <f>N(O1629)+IF(AND(B1630&lt;&gt;"",B1630&gt;='Uang Riba'!$H$30,B1630&lt;='Uang Riba'!$I$30,OR(H1630="Dana riba",H1630="Pinjam uang riba",I1630="Pinjam dari uang riba",I1630="Ganti uang riba",I1630="Kelebihan ganti dikembalikan",AND(C1630="Kantong Uang Riba",G1630="Pengeluaran"))),1,0)</f>
        <v/>
      </c>
      <c r="X1630" s="93">
        <f>IF(AND(B1630&lt;&gt;"",B1630&gt;='Buku Akun'!$H$4,B1630&lt;='Buku Akun'!$H$5,OR(C1630='Buku Akun'!$C$4,AND(D1630="Pindah",E1630='Buku Akun'!$C$4))),B1630+IF(AND(I1630="Selisih bunga",DAY(B1630)=1),0,0.01)+ROW()/10000000,"")</f>
        <v/>
      </c>
    </row>
    <row r="1631" outlineLevel="1" ht="15" customHeight="1" s="94">
      <c r="A1631" s="123">
        <f>IF(B1631="","",ROW()-15)</f>
        <v/>
      </c>
      <c r="B1631" s="124" t="n"/>
      <c r="C1631" s="123" t="n"/>
      <c r="D1631" s="123" t="n"/>
      <c r="E1631" s="123" t="n"/>
      <c r="F1631" s="125" t="n"/>
      <c r="G1631" s="123" t="n"/>
      <c r="H1631" s="123" t="n"/>
      <c r="I1631" s="123" t="n"/>
      <c r="J1631" s="123" t="n"/>
      <c r="K1631" s="123" t="n"/>
      <c r="L1631" s="123" t="n"/>
      <c r="M1631" s="123">
        <f>IF(AND(B1631&lt;&gt;"",OR($C$4="",ISNUMBER(SEARCH($C$4,C1631&amp;" "&amp;E1631&amp;" "&amp;G1631&amp;" "&amp;H1631&amp;" "&amp;I1631&amp;" "&amp;J1631&amp;" "&amp;K1631&amp;" "&amp;L1631))),OR($C$5="Semua",$C$5="",G1631=$C$5),OR($C$6="Semua",$C$6="",H1631=$C$6,H1631="Pengeluaran "&amp;$C$6,AND($C$6="Uang Kos Mama",H1631="Pengeluaran Uang Kos")),OR($C$7="Semua",$C$7="",I1631=$C$7),OR($C$8="Semua",$C$8="",C1631=$C$8,E1631=$C$8),OR($C$9="Semua",$C$9="",D1631=$C$9),OR($C$10="",B1631&gt;=$C$10),OR($C$11="",B1631&lt;=$C$11),OR($C$12&lt;&gt;"Ya",K1631&lt;&gt;""),OR($C$13="Semua",$C$13="",L1631=$C$13)),"✓","")</f>
        <v/>
      </c>
      <c r="N1631" s="93">
        <f>N(N1630)+IF(M1631="✓",1,0)</f>
        <v/>
      </c>
      <c r="O1631" s="93">
        <f>N(O1630)+IF(AND(B1631&lt;&gt;"",B1631&gt;='Uang Riba'!$H$30,B1631&lt;='Uang Riba'!$I$30,OR(H1631="Dana riba",H1631="Pinjam uang riba",I1631="Pinjam dari uang riba",I1631="Ganti uang riba",I1631="Kelebihan ganti dikembalikan",AND(C1631="Kantong Uang Riba",G1631="Pengeluaran"))),1,0)</f>
        <v/>
      </c>
      <c r="X1631" s="93">
        <f>IF(AND(B1631&lt;&gt;"",B1631&gt;='Buku Akun'!$H$4,B1631&lt;='Buku Akun'!$H$5,OR(C1631='Buku Akun'!$C$4,AND(D1631="Pindah",E1631='Buku Akun'!$C$4))),B1631+IF(AND(I1631="Selisih bunga",DAY(B1631)=1),0,0.01)+ROW()/10000000,"")</f>
        <v/>
      </c>
    </row>
    <row r="1632" outlineLevel="1" ht="15" customHeight="1" s="94">
      <c r="A1632" s="123">
        <f>IF(B1632="","",ROW()-15)</f>
        <v/>
      </c>
      <c r="B1632" s="124" t="n"/>
      <c r="C1632" s="123" t="n"/>
      <c r="D1632" s="123" t="n"/>
      <c r="E1632" s="123" t="n"/>
      <c r="F1632" s="125" t="n"/>
      <c r="G1632" s="123" t="n"/>
      <c r="H1632" s="123" t="n"/>
      <c r="I1632" s="123" t="n"/>
      <c r="J1632" s="123" t="n"/>
      <c r="K1632" s="123" t="n"/>
      <c r="L1632" s="123" t="n"/>
      <c r="M1632" s="123">
        <f>IF(AND(B1632&lt;&gt;"",OR($C$4="",ISNUMBER(SEARCH($C$4,C1632&amp;" "&amp;E1632&amp;" "&amp;G1632&amp;" "&amp;H1632&amp;" "&amp;I1632&amp;" "&amp;J1632&amp;" "&amp;K1632&amp;" "&amp;L1632))),OR($C$5="Semua",$C$5="",G1632=$C$5),OR($C$6="Semua",$C$6="",H1632=$C$6,H1632="Pengeluaran "&amp;$C$6,AND($C$6="Uang Kos Mama",H1632="Pengeluaran Uang Kos")),OR($C$7="Semua",$C$7="",I1632=$C$7),OR($C$8="Semua",$C$8="",C1632=$C$8,E1632=$C$8),OR($C$9="Semua",$C$9="",D1632=$C$9),OR($C$10="",B1632&gt;=$C$10),OR($C$11="",B1632&lt;=$C$11),OR($C$12&lt;&gt;"Ya",K1632&lt;&gt;""),OR($C$13="Semua",$C$13="",L1632=$C$13)),"✓","")</f>
        <v/>
      </c>
      <c r="N1632" s="93">
        <f>N(N1631)+IF(M1632="✓",1,0)</f>
        <v/>
      </c>
      <c r="O1632" s="93">
        <f>N(O1631)+IF(AND(B1632&lt;&gt;"",B1632&gt;='Uang Riba'!$H$30,B1632&lt;='Uang Riba'!$I$30,OR(H1632="Dana riba",H1632="Pinjam uang riba",I1632="Pinjam dari uang riba",I1632="Ganti uang riba",I1632="Kelebihan ganti dikembalikan",AND(C1632="Kantong Uang Riba",G1632="Pengeluaran"))),1,0)</f>
        <v/>
      </c>
      <c r="X1632" s="93">
        <f>IF(AND(B1632&lt;&gt;"",B1632&gt;='Buku Akun'!$H$4,B1632&lt;='Buku Akun'!$H$5,OR(C1632='Buku Akun'!$C$4,AND(D1632="Pindah",E1632='Buku Akun'!$C$4))),B1632+IF(AND(I1632="Selisih bunga",DAY(B1632)=1),0,0.01)+ROW()/10000000,"")</f>
        <v/>
      </c>
    </row>
    <row r="1633" outlineLevel="1" ht="15" customHeight="1" s="94">
      <c r="A1633" s="123">
        <f>IF(B1633="","",ROW()-15)</f>
        <v/>
      </c>
      <c r="B1633" s="124" t="n"/>
      <c r="C1633" s="123" t="n"/>
      <c r="D1633" s="123" t="n"/>
      <c r="E1633" s="123" t="n"/>
      <c r="F1633" s="125" t="n"/>
      <c r="G1633" s="123" t="n"/>
      <c r="H1633" s="123" t="n"/>
      <c r="I1633" s="123" t="n"/>
      <c r="J1633" s="123" t="n"/>
      <c r="K1633" s="123" t="n"/>
      <c r="L1633" s="123" t="n"/>
      <c r="M1633" s="123">
        <f>IF(AND(B1633&lt;&gt;"",OR($C$4="",ISNUMBER(SEARCH($C$4,C1633&amp;" "&amp;E1633&amp;" "&amp;G1633&amp;" "&amp;H1633&amp;" "&amp;I1633&amp;" "&amp;J1633&amp;" "&amp;K1633&amp;" "&amp;L1633))),OR($C$5="Semua",$C$5="",G1633=$C$5),OR($C$6="Semua",$C$6="",H1633=$C$6,H1633="Pengeluaran "&amp;$C$6,AND($C$6="Uang Kos Mama",H1633="Pengeluaran Uang Kos")),OR($C$7="Semua",$C$7="",I1633=$C$7),OR($C$8="Semua",$C$8="",C1633=$C$8,E1633=$C$8),OR($C$9="Semua",$C$9="",D1633=$C$9),OR($C$10="",B1633&gt;=$C$10),OR($C$11="",B1633&lt;=$C$11),OR($C$12&lt;&gt;"Ya",K1633&lt;&gt;""),OR($C$13="Semua",$C$13="",L1633=$C$13)),"✓","")</f>
        <v/>
      </c>
      <c r="N1633" s="93">
        <f>N(N1632)+IF(M1633="✓",1,0)</f>
        <v/>
      </c>
      <c r="O1633" s="93">
        <f>N(O1632)+IF(AND(B1633&lt;&gt;"",B1633&gt;='Uang Riba'!$H$30,B1633&lt;='Uang Riba'!$I$30,OR(H1633="Dana riba",H1633="Pinjam uang riba",I1633="Pinjam dari uang riba",I1633="Ganti uang riba",I1633="Kelebihan ganti dikembalikan",AND(C1633="Kantong Uang Riba",G1633="Pengeluaran"))),1,0)</f>
        <v/>
      </c>
      <c r="X1633" s="93">
        <f>IF(AND(B1633&lt;&gt;"",B1633&gt;='Buku Akun'!$H$4,B1633&lt;='Buku Akun'!$H$5,OR(C1633='Buku Akun'!$C$4,AND(D1633="Pindah",E1633='Buku Akun'!$C$4))),B1633+IF(AND(I1633="Selisih bunga",DAY(B1633)=1),0,0.01)+ROW()/10000000,"")</f>
        <v/>
      </c>
    </row>
    <row r="1634" outlineLevel="1" ht="15" customHeight="1" s="94">
      <c r="A1634" s="123">
        <f>IF(B1634="","",ROW()-15)</f>
        <v/>
      </c>
      <c r="B1634" s="124" t="n"/>
      <c r="C1634" s="123" t="n"/>
      <c r="D1634" s="123" t="n"/>
      <c r="E1634" s="123" t="n"/>
      <c r="F1634" s="125" t="n"/>
      <c r="G1634" s="123" t="n"/>
      <c r="H1634" s="123" t="n"/>
      <c r="I1634" s="123" t="n"/>
      <c r="J1634" s="123" t="n"/>
      <c r="K1634" s="123" t="n"/>
      <c r="L1634" s="123" t="n"/>
      <c r="M1634" s="123">
        <f>IF(AND(B1634&lt;&gt;"",OR($C$4="",ISNUMBER(SEARCH($C$4,C1634&amp;" "&amp;E1634&amp;" "&amp;G1634&amp;" "&amp;H1634&amp;" "&amp;I1634&amp;" "&amp;J1634&amp;" "&amp;K1634&amp;" "&amp;L1634))),OR($C$5="Semua",$C$5="",G1634=$C$5),OR($C$6="Semua",$C$6="",H1634=$C$6,H1634="Pengeluaran "&amp;$C$6,AND($C$6="Uang Kos Mama",H1634="Pengeluaran Uang Kos")),OR($C$7="Semua",$C$7="",I1634=$C$7),OR($C$8="Semua",$C$8="",C1634=$C$8,E1634=$C$8),OR($C$9="Semua",$C$9="",D1634=$C$9),OR($C$10="",B1634&gt;=$C$10),OR($C$11="",B1634&lt;=$C$11),OR($C$12&lt;&gt;"Ya",K1634&lt;&gt;""),OR($C$13="Semua",$C$13="",L1634=$C$13)),"✓","")</f>
        <v/>
      </c>
      <c r="N1634" s="93">
        <f>N(N1633)+IF(M1634="✓",1,0)</f>
        <v/>
      </c>
      <c r="O1634" s="93">
        <f>N(O1633)+IF(AND(B1634&lt;&gt;"",B1634&gt;='Uang Riba'!$H$30,B1634&lt;='Uang Riba'!$I$30,OR(H1634="Dana riba",H1634="Pinjam uang riba",I1634="Pinjam dari uang riba",I1634="Ganti uang riba",I1634="Kelebihan ganti dikembalikan",AND(C1634="Kantong Uang Riba",G1634="Pengeluaran"))),1,0)</f>
        <v/>
      </c>
      <c r="X1634" s="93">
        <f>IF(AND(B1634&lt;&gt;"",B1634&gt;='Buku Akun'!$H$4,B1634&lt;='Buku Akun'!$H$5,OR(C1634='Buku Akun'!$C$4,AND(D1634="Pindah",E1634='Buku Akun'!$C$4))),B1634+IF(AND(I1634="Selisih bunga",DAY(B1634)=1),0,0.01)+ROW()/10000000,"")</f>
        <v/>
      </c>
    </row>
    <row r="1635" outlineLevel="1" ht="15" customHeight="1" s="94">
      <c r="A1635" s="123">
        <f>IF(B1635="","",ROW()-15)</f>
        <v/>
      </c>
      <c r="B1635" s="124" t="n"/>
      <c r="C1635" s="123" t="n"/>
      <c r="D1635" s="123" t="n"/>
      <c r="E1635" s="123" t="n"/>
      <c r="F1635" s="125" t="n"/>
      <c r="G1635" s="123" t="n"/>
      <c r="H1635" s="123" t="n"/>
      <c r="I1635" s="123" t="n"/>
      <c r="J1635" s="123" t="n"/>
      <c r="K1635" s="123" t="n"/>
      <c r="L1635" s="123" t="n"/>
      <c r="M1635" s="123">
        <f>IF(AND(B1635&lt;&gt;"",OR($C$4="",ISNUMBER(SEARCH($C$4,C1635&amp;" "&amp;E1635&amp;" "&amp;G1635&amp;" "&amp;H1635&amp;" "&amp;I1635&amp;" "&amp;J1635&amp;" "&amp;K1635&amp;" "&amp;L1635))),OR($C$5="Semua",$C$5="",G1635=$C$5),OR($C$6="Semua",$C$6="",H1635=$C$6,H1635="Pengeluaran "&amp;$C$6,AND($C$6="Uang Kos Mama",H1635="Pengeluaran Uang Kos")),OR($C$7="Semua",$C$7="",I1635=$C$7),OR($C$8="Semua",$C$8="",C1635=$C$8,E1635=$C$8),OR($C$9="Semua",$C$9="",D1635=$C$9),OR($C$10="",B1635&gt;=$C$10),OR($C$11="",B1635&lt;=$C$11),OR($C$12&lt;&gt;"Ya",K1635&lt;&gt;""),OR($C$13="Semua",$C$13="",L1635=$C$13)),"✓","")</f>
        <v/>
      </c>
      <c r="N1635" s="93">
        <f>N(N1634)+IF(M1635="✓",1,0)</f>
        <v/>
      </c>
      <c r="O1635" s="93">
        <f>N(O1634)+IF(AND(B1635&lt;&gt;"",B1635&gt;='Uang Riba'!$H$30,B1635&lt;='Uang Riba'!$I$30,OR(H1635="Dana riba",H1635="Pinjam uang riba",I1635="Pinjam dari uang riba",I1635="Ganti uang riba",I1635="Kelebihan ganti dikembalikan",AND(C1635="Kantong Uang Riba",G1635="Pengeluaran"))),1,0)</f>
        <v/>
      </c>
      <c r="X1635" s="93">
        <f>IF(AND(B1635&lt;&gt;"",B1635&gt;='Buku Akun'!$H$4,B1635&lt;='Buku Akun'!$H$5,OR(C1635='Buku Akun'!$C$4,AND(D1635="Pindah",E1635='Buku Akun'!$C$4))),B1635+IF(AND(I1635="Selisih bunga",DAY(B1635)=1),0,0.01)+ROW()/10000000,"")</f>
        <v/>
      </c>
    </row>
    <row r="1636" outlineLevel="1" ht="15" customHeight="1" s="94">
      <c r="A1636" s="123">
        <f>IF(B1636="","",ROW()-15)</f>
        <v/>
      </c>
      <c r="B1636" s="124" t="n"/>
      <c r="C1636" s="123" t="n"/>
      <c r="D1636" s="123" t="n"/>
      <c r="E1636" s="123" t="n"/>
      <c r="F1636" s="125" t="n"/>
      <c r="G1636" s="123" t="n"/>
      <c r="H1636" s="123" t="n"/>
      <c r="I1636" s="123" t="n"/>
      <c r="J1636" s="123" t="n"/>
      <c r="K1636" s="123" t="n"/>
      <c r="L1636" s="123" t="n"/>
      <c r="M1636" s="123">
        <f>IF(AND(B1636&lt;&gt;"",OR($C$4="",ISNUMBER(SEARCH($C$4,C1636&amp;" "&amp;E1636&amp;" "&amp;G1636&amp;" "&amp;H1636&amp;" "&amp;I1636&amp;" "&amp;J1636&amp;" "&amp;K1636&amp;" "&amp;L1636))),OR($C$5="Semua",$C$5="",G1636=$C$5),OR($C$6="Semua",$C$6="",H1636=$C$6,H1636="Pengeluaran "&amp;$C$6,AND($C$6="Uang Kos Mama",H1636="Pengeluaran Uang Kos")),OR($C$7="Semua",$C$7="",I1636=$C$7),OR($C$8="Semua",$C$8="",C1636=$C$8,E1636=$C$8),OR($C$9="Semua",$C$9="",D1636=$C$9),OR($C$10="",B1636&gt;=$C$10),OR($C$11="",B1636&lt;=$C$11),OR($C$12&lt;&gt;"Ya",K1636&lt;&gt;""),OR($C$13="Semua",$C$13="",L1636=$C$13)),"✓","")</f>
        <v/>
      </c>
      <c r="N1636" s="93">
        <f>N(N1635)+IF(M1636="✓",1,0)</f>
        <v/>
      </c>
      <c r="O1636" s="93">
        <f>N(O1635)+IF(AND(B1636&lt;&gt;"",B1636&gt;='Uang Riba'!$H$30,B1636&lt;='Uang Riba'!$I$30,OR(H1636="Dana riba",H1636="Pinjam uang riba",I1636="Pinjam dari uang riba",I1636="Ganti uang riba",I1636="Kelebihan ganti dikembalikan",AND(C1636="Kantong Uang Riba",G1636="Pengeluaran"))),1,0)</f>
        <v/>
      </c>
      <c r="X1636" s="93">
        <f>IF(AND(B1636&lt;&gt;"",B1636&gt;='Buku Akun'!$H$4,B1636&lt;='Buku Akun'!$H$5,OR(C1636='Buku Akun'!$C$4,AND(D1636="Pindah",E1636='Buku Akun'!$C$4))),B1636+IF(AND(I1636="Selisih bunga",DAY(B1636)=1),0,0.01)+ROW()/10000000,"")</f>
        <v/>
      </c>
    </row>
    <row r="1637" outlineLevel="1" ht="15" customHeight="1" s="94">
      <c r="A1637" s="123">
        <f>IF(B1637="","",ROW()-15)</f>
        <v/>
      </c>
      <c r="B1637" s="124" t="n"/>
      <c r="C1637" s="123" t="n"/>
      <c r="D1637" s="123" t="n"/>
      <c r="E1637" s="123" t="n"/>
      <c r="F1637" s="125" t="n"/>
      <c r="G1637" s="123" t="n"/>
      <c r="H1637" s="123" t="n"/>
      <c r="I1637" s="123" t="n"/>
      <c r="J1637" s="123" t="n"/>
      <c r="K1637" s="123" t="n"/>
      <c r="L1637" s="123" t="n"/>
      <c r="M1637" s="123">
        <f>IF(AND(B1637&lt;&gt;"",OR($C$4="",ISNUMBER(SEARCH($C$4,C1637&amp;" "&amp;E1637&amp;" "&amp;G1637&amp;" "&amp;H1637&amp;" "&amp;I1637&amp;" "&amp;J1637&amp;" "&amp;K1637&amp;" "&amp;L1637))),OR($C$5="Semua",$C$5="",G1637=$C$5),OR($C$6="Semua",$C$6="",H1637=$C$6,H1637="Pengeluaran "&amp;$C$6,AND($C$6="Uang Kos Mama",H1637="Pengeluaran Uang Kos")),OR($C$7="Semua",$C$7="",I1637=$C$7),OR($C$8="Semua",$C$8="",C1637=$C$8,E1637=$C$8),OR($C$9="Semua",$C$9="",D1637=$C$9),OR($C$10="",B1637&gt;=$C$10),OR($C$11="",B1637&lt;=$C$11),OR($C$12&lt;&gt;"Ya",K1637&lt;&gt;""),OR($C$13="Semua",$C$13="",L1637=$C$13)),"✓","")</f>
        <v/>
      </c>
      <c r="N1637" s="93">
        <f>N(N1636)+IF(M1637="✓",1,0)</f>
        <v/>
      </c>
      <c r="O1637" s="93">
        <f>N(O1636)+IF(AND(B1637&lt;&gt;"",B1637&gt;='Uang Riba'!$H$30,B1637&lt;='Uang Riba'!$I$30,OR(H1637="Dana riba",H1637="Pinjam uang riba",I1637="Pinjam dari uang riba",I1637="Ganti uang riba",I1637="Kelebihan ganti dikembalikan",AND(C1637="Kantong Uang Riba",G1637="Pengeluaran"))),1,0)</f>
        <v/>
      </c>
      <c r="X1637" s="93">
        <f>IF(AND(B1637&lt;&gt;"",B1637&gt;='Buku Akun'!$H$4,B1637&lt;='Buku Akun'!$H$5,OR(C1637='Buku Akun'!$C$4,AND(D1637="Pindah",E1637='Buku Akun'!$C$4))),B1637+IF(AND(I1637="Selisih bunga",DAY(B1637)=1),0,0.01)+ROW()/10000000,"")</f>
        <v/>
      </c>
    </row>
    <row r="1638" outlineLevel="1" ht="15" customHeight="1" s="94">
      <c r="A1638" s="123">
        <f>IF(B1638="","",ROW()-15)</f>
        <v/>
      </c>
      <c r="B1638" s="124" t="n"/>
      <c r="C1638" s="123" t="n"/>
      <c r="D1638" s="123" t="n"/>
      <c r="E1638" s="123" t="n"/>
      <c r="F1638" s="125" t="n"/>
      <c r="G1638" s="123" t="n"/>
      <c r="H1638" s="123" t="n"/>
      <c r="I1638" s="123" t="n"/>
      <c r="J1638" s="123" t="n"/>
      <c r="K1638" s="123" t="n"/>
      <c r="L1638" s="123" t="n"/>
      <c r="M1638" s="123">
        <f>IF(AND(B1638&lt;&gt;"",OR($C$4="",ISNUMBER(SEARCH($C$4,C1638&amp;" "&amp;E1638&amp;" "&amp;G1638&amp;" "&amp;H1638&amp;" "&amp;I1638&amp;" "&amp;J1638&amp;" "&amp;K1638&amp;" "&amp;L1638))),OR($C$5="Semua",$C$5="",G1638=$C$5),OR($C$6="Semua",$C$6="",H1638=$C$6,H1638="Pengeluaran "&amp;$C$6,AND($C$6="Uang Kos Mama",H1638="Pengeluaran Uang Kos")),OR($C$7="Semua",$C$7="",I1638=$C$7),OR($C$8="Semua",$C$8="",C1638=$C$8,E1638=$C$8),OR($C$9="Semua",$C$9="",D1638=$C$9),OR($C$10="",B1638&gt;=$C$10),OR($C$11="",B1638&lt;=$C$11),OR($C$12&lt;&gt;"Ya",K1638&lt;&gt;""),OR($C$13="Semua",$C$13="",L1638=$C$13)),"✓","")</f>
        <v/>
      </c>
      <c r="N1638" s="93">
        <f>N(N1637)+IF(M1638="✓",1,0)</f>
        <v/>
      </c>
      <c r="O1638" s="93">
        <f>N(O1637)+IF(AND(B1638&lt;&gt;"",B1638&gt;='Uang Riba'!$H$30,B1638&lt;='Uang Riba'!$I$30,OR(H1638="Dana riba",H1638="Pinjam uang riba",I1638="Pinjam dari uang riba",I1638="Ganti uang riba",I1638="Kelebihan ganti dikembalikan",AND(C1638="Kantong Uang Riba",G1638="Pengeluaran"))),1,0)</f>
        <v/>
      </c>
      <c r="X1638" s="93">
        <f>IF(AND(B1638&lt;&gt;"",B1638&gt;='Buku Akun'!$H$4,B1638&lt;='Buku Akun'!$H$5,OR(C1638='Buku Akun'!$C$4,AND(D1638="Pindah",E1638='Buku Akun'!$C$4))),B1638+IF(AND(I1638="Selisih bunga",DAY(B1638)=1),0,0.01)+ROW()/10000000,"")</f>
        <v/>
      </c>
    </row>
    <row r="1639" outlineLevel="1" ht="15" customHeight="1" s="94">
      <c r="A1639" s="123">
        <f>IF(B1639="","",ROW()-15)</f>
        <v/>
      </c>
      <c r="B1639" s="124" t="n"/>
      <c r="C1639" s="123" t="n"/>
      <c r="D1639" s="123" t="n"/>
      <c r="E1639" s="123" t="n"/>
      <c r="F1639" s="125" t="n"/>
      <c r="G1639" s="123" t="n"/>
      <c r="H1639" s="123" t="n"/>
      <c r="I1639" s="123" t="n"/>
      <c r="J1639" s="123" t="n"/>
      <c r="K1639" s="123" t="n"/>
      <c r="L1639" s="123" t="n"/>
      <c r="M1639" s="123">
        <f>IF(AND(B1639&lt;&gt;"",OR($C$4="",ISNUMBER(SEARCH($C$4,C1639&amp;" "&amp;E1639&amp;" "&amp;G1639&amp;" "&amp;H1639&amp;" "&amp;I1639&amp;" "&amp;J1639&amp;" "&amp;K1639&amp;" "&amp;L1639))),OR($C$5="Semua",$C$5="",G1639=$C$5),OR($C$6="Semua",$C$6="",H1639=$C$6,H1639="Pengeluaran "&amp;$C$6,AND($C$6="Uang Kos Mama",H1639="Pengeluaran Uang Kos")),OR($C$7="Semua",$C$7="",I1639=$C$7),OR($C$8="Semua",$C$8="",C1639=$C$8,E1639=$C$8),OR($C$9="Semua",$C$9="",D1639=$C$9),OR($C$10="",B1639&gt;=$C$10),OR($C$11="",B1639&lt;=$C$11),OR($C$12&lt;&gt;"Ya",K1639&lt;&gt;""),OR($C$13="Semua",$C$13="",L1639=$C$13)),"✓","")</f>
        <v/>
      </c>
      <c r="N1639" s="93">
        <f>N(N1638)+IF(M1639="✓",1,0)</f>
        <v/>
      </c>
      <c r="O1639" s="93">
        <f>N(O1638)+IF(AND(B1639&lt;&gt;"",B1639&gt;='Uang Riba'!$H$30,B1639&lt;='Uang Riba'!$I$30,OR(H1639="Dana riba",H1639="Pinjam uang riba",I1639="Pinjam dari uang riba",I1639="Ganti uang riba",I1639="Kelebihan ganti dikembalikan",AND(C1639="Kantong Uang Riba",G1639="Pengeluaran"))),1,0)</f>
        <v/>
      </c>
      <c r="X1639" s="93">
        <f>IF(AND(B1639&lt;&gt;"",B1639&gt;='Buku Akun'!$H$4,B1639&lt;='Buku Akun'!$H$5,OR(C1639='Buku Akun'!$C$4,AND(D1639="Pindah",E1639='Buku Akun'!$C$4))),B1639+IF(AND(I1639="Selisih bunga",DAY(B1639)=1),0,0.01)+ROW()/10000000,"")</f>
        <v/>
      </c>
    </row>
    <row r="1640" outlineLevel="1" ht="15" customHeight="1" s="94">
      <c r="A1640" s="123">
        <f>IF(B1640="","",ROW()-15)</f>
        <v/>
      </c>
      <c r="B1640" s="124" t="n"/>
      <c r="C1640" s="123" t="n"/>
      <c r="D1640" s="123" t="n"/>
      <c r="E1640" s="123" t="n"/>
      <c r="F1640" s="125" t="n"/>
      <c r="G1640" s="123" t="n"/>
      <c r="H1640" s="123" t="n"/>
      <c r="I1640" s="123" t="n"/>
      <c r="J1640" s="123" t="n"/>
      <c r="K1640" s="123" t="n"/>
      <c r="L1640" s="123" t="n"/>
      <c r="M1640" s="123">
        <f>IF(AND(B1640&lt;&gt;"",OR($C$4="",ISNUMBER(SEARCH($C$4,C1640&amp;" "&amp;E1640&amp;" "&amp;G1640&amp;" "&amp;H1640&amp;" "&amp;I1640&amp;" "&amp;J1640&amp;" "&amp;K1640&amp;" "&amp;L1640))),OR($C$5="Semua",$C$5="",G1640=$C$5),OR($C$6="Semua",$C$6="",H1640=$C$6,H1640="Pengeluaran "&amp;$C$6,AND($C$6="Uang Kos Mama",H1640="Pengeluaran Uang Kos")),OR($C$7="Semua",$C$7="",I1640=$C$7),OR($C$8="Semua",$C$8="",C1640=$C$8,E1640=$C$8),OR($C$9="Semua",$C$9="",D1640=$C$9),OR($C$10="",B1640&gt;=$C$10),OR($C$11="",B1640&lt;=$C$11),OR($C$12&lt;&gt;"Ya",K1640&lt;&gt;""),OR($C$13="Semua",$C$13="",L1640=$C$13)),"✓","")</f>
        <v/>
      </c>
      <c r="N1640" s="93">
        <f>N(N1639)+IF(M1640="✓",1,0)</f>
        <v/>
      </c>
      <c r="O1640" s="93">
        <f>N(O1639)+IF(AND(B1640&lt;&gt;"",B1640&gt;='Uang Riba'!$H$30,B1640&lt;='Uang Riba'!$I$30,OR(H1640="Dana riba",H1640="Pinjam uang riba",I1640="Pinjam dari uang riba",I1640="Ganti uang riba",I1640="Kelebihan ganti dikembalikan",AND(C1640="Kantong Uang Riba",G1640="Pengeluaran"))),1,0)</f>
        <v/>
      </c>
      <c r="X1640" s="93">
        <f>IF(AND(B1640&lt;&gt;"",B1640&gt;='Buku Akun'!$H$4,B1640&lt;='Buku Akun'!$H$5,OR(C1640='Buku Akun'!$C$4,AND(D1640="Pindah",E1640='Buku Akun'!$C$4))),B1640+IF(AND(I1640="Selisih bunga",DAY(B1640)=1),0,0.01)+ROW()/10000000,"")</f>
        <v/>
      </c>
    </row>
    <row r="1641" outlineLevel="1" ht="15" customHeight="1" s="94">
      <c r="A1641" s="123">
        <f>IF(B1641="","",ROW()-15)</f>
        <v/>
      </c>
      <c r="B1641" s="124" t="n"/>
      <c r="C1641" s="123" t="n"/>
      <c r="D1641" s="123" t="n"/>
      <c r="E1641" s="123" t="n"/>
      <c r="F1641" s="125" t="n"/>
      <c r="G1641" s="123" t="n"/>
      <c r="H1641" s="123" t="n"/>
      <c r="I1641" s="123" t="n"/>
      <c r="J1641" s="123" t="n"/>
      <c r="K1641" s="123" t="n"/>
      <c r="L1641" s="123" t="n"/>
      <c r="M1641" s="123">
        <f>IF(AND(B1641&lt;&gt;"",OR($C$4="",ISNUMBER(SEARCH($C$4,C1641&amp;" "&amp;E1641&amp;" "&amp;G1641&amp;" "&amp;H1641&amp;" "&amp;I1641&amp;" "&amp;J1641&amp;" "&amp;K1641&amp;" "&amp;L1641))),OR($C$5="Semua",$C$5="",G1641=$C$5),OR($C$6="Semua",$C$6="",H1641=$C$6,H1641="Pengeluaran "&amp;$C$6,AND($C$6="Uang Kos Mama",H1641="Pengeluaran Uang Kos")),OR($C$7="Semua",$C$7="",I1641=$C$7),OR($C$8="Semua",$C$8="",C1641=$C$8,E1641=$C$8),OR($C$9="Semua",$C$9="",D1641=$C$9),OR($C$10="",B1641&gt;=$C$10),OR($C$11="",B1641&lt;=$C$11),OR($C$12&lt;&gt;"Ya",K1641&lt;&gt;""),OR($C$13="Semua",$C$13="",L1641=$C$13)),"✓","")</f>
        <v/>
      </c>
      <c r="N1641" s="93">
        <f>N(N1640)+IF(M1641="✓",1,0)</f>
        <v/>
      </c>
      <c r="O1641" s="93">
        <f>N(O1640)+IF(AND(B1641&lt;&gt;"",B1641&gt;='Uang Riba'!$H$30,B1641&lt;='Uang Riba'!$I$30,OR(H1641="Dana riba",H1641="Pinjam uang riba",I1641="Pinjam dari uang riba",I1641="Ganti uang riba",I1641="Kelebihan ganti dikembalikan",AND(C1641="Kantong Uang Riba",G1641="Pengeluaran"))),1,0)</f>
        <v/>
      </c>
      <c r="X1641" s="93">
        <f>IF(AND(B1641&lt;&gt;"",B1641&gt;='Buku Akun'!$H$4,B1641&lt;='Buku Akun'!$H$5,OR(C1641='Buku Akun'!$C$4,AND(D1641="Pindah",E1641='Buku Akun'!$C$4))),B1641+IF(AND(I1641="Selisih bunga",DAY(B1641)=1),0,0.01)+ROW()/10000000,"")</f>
        <v/>
      </c>
    </row>
    <row r="1642" outlineLevel="1" ht="15" customHeight="1" s="94">
      <c r="A1642" s="123">
        <f>IF(B1642="","",ROW()-15)</f>
        <v/>
      </c>
      <c r="B1642" s="124" t="n"/>
      <c r="C1642" s="123" t="n"/>
      <c r="D1642" s="123" t="n"/>
      <c r="E1642" s="123" t="n"/>
      <c r="F1642" s="125" t="n"/>
      <c r="G1642" s="123" t="n"/>
      <c r="H1642" s="123" t="n"/>
      <c r="I1642" s="123" t="n"/>
      <c r="J1642" s="123" t="n"/>
      <c r="K1642" s="123" t="n"/>
      <c r="L1642" s="123" t="n"/>
      <c r="M1642" s="123">
        <f>IF(AND(B1642&lt;&gt;"",OR($C$4="",ISNUMBER(SEARCH($C$4,C1642&amp;" "&amp;E1642&amp;" "&amp;G1642&amp;" "&amp;H1642&amp;" "&amp;I1642&amp;" "&amp;J1642&amp;" "&amp;K1642&amp;" "&amp;L1642))),OR($C$5="Semua",$C$5="",G1642=$C$5),OR($C$6="Semua",$C$6="",H1642=$C$6,H1642="Pengeluaran "&amp;$C$6,AND($C$6="Uang Kos Mama",H1642="Pengeluaran Uang Kos")),OR($C$7="Semua",$C$7="",I1642=$C$7),OR($C$8="Semua",$C$8="",C1642=$C$8,E1642=$C$8),OR($C$9="Semua",$C$9="",D1642=$C$9),OR($C$10="",B1642&gt;=$C$10),OR($C$11="",B1642&lt;=$C$11),OR($C$12&lt;&gt;"Ya",K1642&lt;&gt;""),OR($C$13="Semua",$C$13="",L1642=$C$13)),"✓","")</f>
        <v/>
      </c>
      <c r="N1642" s="93">
        <f>N(N1641)+IF(M1642="✓",1,0)</f>
        <v/>
      </c>
      <c r="O1642" s="93">
        <f>N(O1641)+IF(AND(B1642&lt;&gt;"",B1642&gt;='Uang Riba'!$H$30,B1642&lt;='Uang Riba'!$I$30,OR(H1642="Dana riba",H1642="Pinjam uang riba",I1642="Pinjam dari uang riba",I1642="Ganti uang riba",I1642="Kelebihan ganti dikembalikan",AND(C1642="Kantong Uang Riba",G1642="Pengeluaran"))),1,0)</f>
        <v/>
      </c>
      <c r="X1642" s="93">
        <f>IF(AND(B1642&lt;&gt;"",B1642&gt;='Buku Akun'!$H$4,B1642&lt;='Buku Akun'!$H$5,OR(C1642='Buku Akun'!$C$4,AND(D1642="Pindah",E1642='Buku Akun'!$C$4))),B1642+IF(AND(I1642="Selisih bunga",DAY(B1642)=1),0,0.01)+ROW()/10000000,"")</f>
        <v/>
      </c>
    </row>
    <row r="1643" outlineLevel="1" ht="15" customHeight="1" s="94">
      <c r="A1643" s="123">
        <f>IF(B1643="","",ROW()-15)</f>
        <v/>
      </c>
      <c r="B1643" s="124" t="n"/>
      <c r="C1643" s="123" t="n"/>
      <c r="D1643" s="123" t="n"/>
      <c r="E1643" s="123" t="n"/>
      <c r="F1643" s="125" t="n"/>
      <c r="G1643" s="123" t="n"/>
      <c r="H1643" s="123" t="n"/>
      <c r="I1643" s="123" t="n"/>
      <c r="J1643" s="123" t="n"/>
      <c r="K1643" s="123" t="n"/>
      <c r="L1643" s="123" t="n"/>
      <c r="M1643" s="123">
        <f>IF(AND(B1643&lt;&gt;"",OR($C$4="",ISNUMBER(SEARCH($C$4,C1643&amp;" "&amp;E1643&amp;" "&amp;G1643&amp;" "&amp;H1643&amp;" "&amp;I1643&amp;" "&amp;J1643&amp;" "&amp;K1643&amp;" "&amp;L1643))),OR($C$5="Semua",$C$5="",G1643=$C$5),OR($C$6="Semua",$C$6="",H1643=$C$6,H1643="Pengeluaran "&amp;$C$6,AND($C$6="Uang Kos Mama",H1643="Pengeluaran Uang Kos")),OR($C$7="Semua",$C$7="",I1643=$C$7),OR($C$8="Semua",$C$8="",C1643=$C$8,E1643=$C$8),OR($C$9="Semua",$C$9="",D1643=$C$9),OR($C$10="",B1643&gt;=$C$10),OR($C$11="",B1643&lt;=$C$11),OR($C$12&lt;&gt;"Ya",K1643&lt;&gt;""),OR($C$13="Semua",$C$13="",L1643=$C$13)),"✓","")</f>
        <v/>
      </c>
      <c r="N1643" s="93">
        <f>N(N1642)+IF(M1643="✓",1,0)</f>
        <v/>
      </c>
      <c r="O1643" s="93">
        <f>N(O1642)+IF(AND(B1643&lt;&gt;"",B1643&gt;='Uang Riba'!$H$30,B1643&lt;='Uang Riba'!$I$30,OR(H1643="Dana riba",H1643="Pinjam uang riba",I1643="Pinjam dari uang riba",I1643="Ganti uang riba",I1643="Kelebihan ganti dikembalikan",AND(C1643="Kantong Uang Riba",G1643="Pengeluaran"))),1,0)</f>
        <v/>
      </c>
      <c r="X1643" s="93">
        <f>IF(AND(B1643&lt;&gt;"",B1643&gt;='Buku Akun'!$H$4,B1643&lt;='Buku Akun'!$H$5,OR(C1643='Buku Akun'!$C$4,AND(D1643="Pindah",E1643='Buku Akun'!$C$4))),B1643+IF(AND(I1643="Selisih bunga",DAY(B1643)=1),0,0.01)+ROW()/10000000,"")</f>
        <v/>
      </c>
    </row>
    <row r="1644" outlineLevel="1" ht="15" customHeight="1" s="94">
      <c r="A1644" s="123">
        <f>IF(B1644="","",ROW()-15)</f>
        <v/>
      </c>
      <c r="B1644" s="124" t="n"/>
      <c r="C1644" s="123" t="n"/>
      <c r="D1644" s="123" t="n"/>
      <c r="E1644" s="123" t="n"/>
      <c r="F1644" s="125" t="n"/>
      <c r="G1644" s="123" t="n"/>
      <c r="H1644" s="123" t="n"/>
      <c r="I1644" s="123" t="n"/>
      <c r="J1644" s="123" t="n"/>
      <c r="K1644" s="123" t="n"/>
      <c r="L1644" s="123" t="n"/>
      <c r="M1644" s="123">
        <f>IF(AND(B1644&lt;&gt;"",OR($C$4="",ISNUMBER(SEARCH($C$4,C1644&amp;" "&amp;E1644&amp;" "&amp;G1644&amp;" "&amp;H1644&amp;" "&amp;I1644&amp;" "&amp;J1644&amp;" "&amp;K1644&amp;" "&amp;L1644))),OR($C$5="Semua",$C$5="",G1644=$C$5),OR($C$6="Semua",$C$6="",H1644=$C$6,H1644="Pengeluaran "&amp;$C$6,AND($C$6="Uang Kos Mama",H1644="Pengeluaran Uang Kos")),OR($C$7="Semua",$C$7="",I1644=$C$7),OR($C$8="Semua",$C$8="",C1644=$C$8,E1644=$C$8),OR($C$9="Semua",$C$9="",D1644=$C$9),OR($C$10="",B1644&gt;=$C$10),OR($C$11="",B1644&lt;=$C$11),OR($C$12&lt;&gt;"Ya",K1644&lt;&gt;""),OR($C$13="Semua",$C$13="",L1644=$C$13)),"✓","")</f>
        <v/>
      </c>
      <c r="N1644" s="93">
        <f>N(N1643)+IF(M1644="✓",1,0)</f>
        <v/>
      </c>
      <c r="O1644" s="93">
        <f>N(O1643)+IF(AND(B1644&lt;&gt;"",B1644&gt;='Uang Riba'!$H$30,B1644&lt;='Uang Riba'!$I$30,OR(H1644="Dana riba",H1644="Pinjam uang riba",I1644="Pinjam dari uang riba",I1644="Ganti uang riba",I1644="Kelebihan ganti dikembalikan",AND(C1644="Kantong Uang Riba",G1644="Pengeluaran"))),1,0)</f>
        <v/>
      </c>
      <c r="X1644" s="93">
        <f>IF(AND(B1644&lt;&gt;"",B1644&gt;='Buku Akun'!$H$4,B1644&lt;='Buku Akun'!$H$5,OR(C1644='Buku Akun'!$C$4,AND(D1644="Pindah",E1644='Buku Akun'!$C$4))),B1644+IF(AND(I1644="Selisih bunga",DAY(B1644)=1),0,0.01)+ROW()/10000000,"")</f>
        <v/>
      </c>
    </row>
    <row r="1645" outlineLevel="1" ht="15" customHeight="1" s="94">
      <c r="A1645" s="123">
        <f>IF(B1645="","",ROW()-15)</f>
        <v/>
      </c>
      <c r="B1645" s="124" t="n"/>
      <c r="C1645" s="123" t="n"/>
      <c r="D1645" s="123" t="n"/>
      <c r="E1645" s="123" t="n"/>
      <c r="F1645" s="125" t="n"/>
      <c r="G1645" s="123" t="n"/>
      <c r="H1645" s="123" t="n"/>
      <c r="I1645" s="123" t="n"/>
      <c r="J1645" s="123" t="n"/>
      <c r="K1645" s="123" t="n"/>
      <c r="L1645" s="123" t="n"/>
      <c r="M1645" s="123">
        <f>IF(AND(B1645&lt;&gt;"",OR($C$4="",ISNUMBER(SEARCH($C$4,C1645&amp;" "&amp;E1645&amp;" "&amp;G1645&amp;" "&amp;H1645&amp;" "&amp;I1645&amp;" "&amp;J1645&amp;" "&amp;K1645&amp;" "&amp;L1645))),OR($C$5="Semua",$C$5="",G1645=$C$5),OR($C$6="Semua",$C$6="",H1645=$C$6,H1645="Pengeluaran "&amp;$C$6,AND($C$6="Uang Kos Mama",H1645="Pengeluaran Uang Kos")),OR($C$7="Semua",$C$7="",I1645=$C$7),OR($C$8="Semua",$C$8="",C1645=$C$8,E1645=$C$8),OR($C$9="Semua",$C$9="",D1645=$C$9),OR($C$10="",B1645&gt;=$C$10),OR($C$11="",B1645&lt;=$C$11),OR($C$12&lt;&gt;"Ya",K1645&lt;&gt;""),OR($C$13="Semua",$C$13="",L1645=$C$13)),"✓","")</f>
        <v/>
      </c>
      <c r="N1645" s="93">
        <f>N(N1644)+IF(M1645="✓",1,0)</f>
        <v/>
      </c>
      <c r="O1645" s="93">
        <f>N(O1644)+IF(AND(B1645&lt;&gt;"",B1645&gt;='Uang Riba'!$H$30,B1645&lt;='Uang Riba'!$I$30,OR(H1645="Dana riba",H1645="Pinjam uang riba",I1645="Pinjam dari uang riba",I1645="Ganti uang riba",I1645="Kelebihan ganti dikembalikan",AND(C1645="Kantong Uang Riba",G1645="Pengeluaran"))),1,0)</f>
        <v/>
      </c>
      <c r="X1645" s="93">
        <f>IF(AND(B1645&lt;&gt;"",B1645&gt;='Buku Akun'!$H$4,B1645&lt;='Buku Akun'!$H$5,OR(C1645='Buku Akun'!$C$4,AND(D1645="Pindah",E1645='Buku Akun'!$C$4))),B1645+IF(AND(I1645="Selisih bunga",DAY(B1645)=1),0,0.01)+ROW()/10000000,"")</f>
        <v/>
      </c>
    </row>
    <row r="1646" outlineLevel="1" ht="15" customHeight="1" s="94">
      <c r="A1646" s="123">
        <f>IF(B1646="","",ROW()-15)</f>
        <v/>
      </c>
      <c r="B1646" s="124" t="n"/>
      <c r="C1646" s="123" t="n"/>
      <c r="D1646" s="123" t="n"/>
      <c r="E1646" s="123" t="n"/>
      <c r="F1646" s="125" t="n"/>
      <c r="G1646" s="123" t="n"/>
      <c r="H1646" s="123" t="n"/>
      <c r="I1646" s="123" t="n"/>
      <c r="J1646" s="123" t="n"/>
      <c r="K1646" s="123" t="n"/>
      <c r="L1646" s="123" t="n"/>
      <c r="M1646" s="123">
        <f>IF(AND(B1646&lt;&gt;"",OR($C$4="",ISNUMBER(SEARCH($C$4,C1646&amp;" "&amp;E1646&amp;" "&amp;G1646&amp;" "&amp;H1646&amp;" "&amp;I1646&amp;" "&amp;J1646&amp;" "&amp;K1646&amp;" "&amp;L1646))),OR($C$5="Semua",$C$5="",G1646=$C$5),OR($C$6="Semua",$C$6="",H1646=$C$6,H1646="Pengeluaran "&amp;$C$6,AND($C$6="Uang Kos Mama",H1646="Pengeluaran Uang Kos")),OR($C$7="Semua",$C$7="",I1646=$C$7),OR($C$8="Semua",$C$8="",C1646=$C$8,E1646=$C$8),OR($C$9="Semua",$C$9="",D1646=$C$9),OR($C$10="",B1646&gt;=$C$10),OR($C$11="",B1646&lt;=$C$11),OR($C$12&lt;&gt;"Ya",K1646&lt;&gt;""),OR($C$13="Semua",$C$13="",L1646=$C$13)),"✓","")</f>
        <v/>
      </c>
      <c r="N1646" s="93">
        <f>N(N1645)+IF(M1646="✓",1,0)</f>
        <v/>
      </c>
      <c r="O1646" s="93">
        <f>N(O1645)+IF(AND(B1646&lt;&gt;"",B1646&gt;='Uang Riba'!$H$30,B1646&lt;='Uang Riba'!$I$30,OR(H1646="Dana riba",H1646="Pinjam uang riba",I1646="Pinjam dari uang riba",I1646="Ganti uang riba",I1646="Kelebihan ganti dikembalikan",AND(C1646="Kantong Uang Riba",G1646="Pengeluaran"))),1,0)</f>
        <v/>
      </c>
      <c r="X1646" s="93">
        <f>IF(AND(B1646&lt;&gt;"",B1646&gt;='Buku Akun'!$H$4,B1646&lt;='Buku Akun'!$H$5,OR(C1646='Buku Akun'!$C$4,AND(D1646="Pindah",E1646='Buku Akun'!$C$4))),B1646+IF(AND(I1646="Selisih bunga",DAY(B1646)=1),0,0.01)+ROW()/10000000,"")</f>
        <v/>
      </c>
    </row>
    <row r="1647" outlineLevel="1" ht="15" customHeight="1" s="94">
      <c r="A1647" s="123">
        <f>IF(B1647="","",ROW()-15)</f>
        <v/>
      </c>
      <c r="B1647" s="124" t="n"/>
      <c r="C1647" s="123" t="n"/>
      <c r="D1647" s="123" t="n"/>
      <c r="E1647" s="123" t="n"/>
      <c r="F1647" s="125" t="n"/>
      <c r="G1647" s="123" t="n"/>
      <c r="H1647" s="123" t="n"/>
      <c r="I1647" s="123" t="n"/>
      <c r="J1647" s="123" t="n"/>
      <c r="K1647" s="123" t="n"/>
      <c r="L1647" s="123" t="n"/>
      <c r="M1647" s="123">
        <f>IF(AND(B1647&lt;&gt;"",OR($C$4="",ISNUMBER(SEARCH($C$4,C1647&amp;" "&amp;E1647&amp;" "&amp;G1647&amp;" "&amp;H1647&amp;" "&amp;I1647&amp;" "&amp;J1647&amp;" "&amp;K1647&amp;" "&amp;L1647))),OR($C$5="Semua",$C$5="",G1647=$C$5),OR($C$6="Semua",$C$6="",H1647=$C$6,H1647="Pengeluaran "&amp;$C$6,AND($C$6="Uang Kos Mama",H1647="Pengeluaran Uang Kos")),OR($C$7="Semua",$C$7="",I1647=$C$7),OR($C$8="Semua",$C$8="",C1647=$C$8,E1647=$C$8),OR($C$9="Semua",$C$9="",D1647=$C$9),OR($C$10="",B1647&gt;=$C$10),OR($C$11="",B1647&lt;=$C$11),OR($C$12&lt;&gt;"Ya",K1647&lt;&gt;""),OR($C$13="Semua",$C$13="",L1647=$C$13)),"✓","")</f>
        <v/>
      </c>
      <c r="N1647" s="93">
        <f>N(N1646)+IF(M1647="✓",1,0)</f>
        <v/>
      </c>
      <c r="O1647" s="93">
        <f>N(O1646)+IF(AND(B1647&lt;&gt;"",B1647&gt;='Uang Riba'!$H$30,B1647&lt;='Uang Riba'!$I$30,OR(H1647="Dana riba",H1647="Pinjam uang riba",I1647="Pinjam dari uang riba",I1647="Ganti uang riba",I1647="Kelebihan ganti dikembalikan",AND(C1647="Kantong Uang Riba",G1647="Pengeluaran"))),1,0)</f>
        <v/>
      </c>
      <c r="X1647" s="93">
        <f>IF(AND(B1647&lt;&gt;"",B1647&gt;='Buku Akun'!$H$4,B1647&lt;='Buku Akun'!$H$5,OR(C1647='Buku Akun'!$C$4,AND(D1647="Pindah",E1647='Buku Akun'!$C$4))),B1647+IF(AND(I1647="Selisih bunga",DAY(B1647)=1),0,0.01)+ROW()/10000000,"")</f>
        <v/>
      </c>
    </row>
    <row r="1648" outlineLevel="1" ht="15" customHeight="1" s="94">
      <c r="A1648" s="123">
        <f>IF(B1648="","",ROW()-15)</f>
        <v/>
      </c>
      <c r="B1648" s="124" t="n"/>
      <c r="C1648" s="123" t="n"/>
      <c r="D1648" s="123" t="n"/>
      <c r="E1648" s="123" t="n"/>
      <c r="F1648" s="125" t="n"/>
      <c r="G1648" s="123" t="n"/>
      <c r="H1648" s="123" t="n"/>
      <c r="I1648" s="123" t="n"/>
      <c r="J1648" s="123" t="n"/>
      <c r="K1648" s="123" t="n"/>
      <c r="L1648" s="123" t="n"/>
      <c r="M1648" s="123">
        <f>IF(AND(B1648&lt;&gt;"",OR($C$4="",ISNUMBER(SEARCH($C$4,C1648&amp;" "&amp;E1648&amp;" "&amp;G1648&amp;" "&amp;H1648&amp;" "&amp;I1648&amp;" "&amp;J1648&amp;" "&amp;K1648&amp;" "&amp;L1648))),OR($C$5="Semua",$C$5="",G1648=$C$5),OR($C$6="Semua",$C$6="",H1648=$C$6,H1648="Pengeluaran "&amp;$C$6,AND($C$6="Uang Kos Mama",H1648="Pengeluaran Uang Kos")),OR($C$7="Semua",$C$7="",I1648=$C$7),OR($C$8="Semua",$C$8="",C1648=$C$8,E1648=$C$8),OR($C$9="Semua",$C$9="",D1648=$C$9),OR($C$10="",B1648&gt;=$C$10),OR($C$11="",B1648&lt;=$C$11),OR($C$12&lt;&gt;"Ya",K1648&lt;&gt;""),OR($C$13="Semua",$C$13="",L1648=$C$13)),"✓","")</f>
        <v/>
      </c>
      <c r="N1648" s="93">
        <f>N(N1647)+IF(M1648="✓",1,0)</f>
        <v/>
      </c>
      <c r="O1648" s="93">
        <f>N(O1647)+IF(AND(B1648&lt;&gt;"",B1648&gt;='Uang Riba'!$H$30,B1648&lt;='Uang Riba'!$I$30,OR(H1648="Dana riba",H1648="Pinjam uang riba",I1648="Pinjam dari uang riba",I1648="Ganti uang riba",I1648="Kelebihan ganti dikembalikan",AND(C1648="Kantong Uang Riba",G1648="Pengeluaran"))),1,0)</f>
        <v/>
      </c>
      <c r="X1648" s="93">
        <f>IF(AND(B1648&lt;&gt;"",B1648&gt;='Buku Akun'!$H$4,B1648&lt;='Buku Akun'!$H$5,OR(C1648='Buku Akun'!$C$4,AND(D1648="Pindah",E1648='Buku Akun'!$C$4))),B1648+IF(AND(I1648="Selisih bunga",DAY(B1648)=1),0,0.01)+ROW()/10000000,"")</f>
        <v/>
      </c>
    </row>
    <row r="1649" outlineLevel="1" ht="15" customHeight="1" s="94">
      <c r="A1649" s="123">
        <f>IF(B1649="","",ROW()-15)</f>
        <v/>
      </c>
      <c r="B1649" s="124" t="n"/>
      <c r="C1649" s="123" t="n"/>
      <c r="D1649" s="123" t="n"/>
      <c r="E1649" s="123" t="n"/>
      <c r="F1649" s="125" t="n"/>
      <c r="G1649" s="123" t="n"/>
      <c r="H1649" s="123" t="n"/>
      <c r="I1649" s="123" t="n"/>
      <c r="J1649" s="123" t="n"/>
      <c r="K1649" s="123" t="n"/>
      <c r="L1649" s="123" t="n"/>
      <c r="M1649" s="123">
        <f>IF(AND(B1649&lt;&gt;"",OR($C$4="",ISNUMBER(SEARCH($C$4,C1649&amp;" "&amp;E1649&amp;" "&amp;G1649&amp;" "&amp;H1649&amp;" "&amp;I1649&amp;" "&amp;J1649&amp;" "&amp;K1649&amp;" "&amp;L1649))),OR($C$5="Semua",$C$5="",G1649=$C$5),OR($C$6="Semua",$C$6="",H1649=$C$6,H1649="Pengeluaran "&amp;$C$6,AND($C$6="Uang Kos Mama",H1649="Pengeluaran Uang Kos")),OR($C$7="Semua",$C$7="",I1649=$C$7),OR($C$8="Semua",$C$8="",C1649=$C$8,E1649=$C$8),OR($C$9="Semua",$C$9="",D1649=$C$9),OR($C$10="",B1649&gt;=$C$10),OR($C$11="",B1649&lt;=$C$11),OR($C$12&lt;&gt;"Ya",K1649&lt;&gt;""),OR($C$13="Semua",$C$13="",L1649=$C$13)),"✓","")</f>
        <v/>
      </c>
      <c r="N1649" s="93">
        <f>N(N1648)+IF(M1649="✓",1,0)</f>
        <v/>
      </c>
      <c r="O1649" s="93">
        <f>N(O1648)+IF(AND(B1649&lt;&gt;"",B1649&gt;='Uang Riba'!$H$30,B1649&lt;='Uang Riba'!$I$30,OR(H1649="Dana riba",H1649="Pinjam uang riba",I1649="Pinjam dari uang riba",I1649="Ganti uang riba",I1649="Kelebihan ganti dikembalikan",AND(C1649="Kantong Uang Riba",G1649="Pengeluaran"))),1,0)</f>
        <v/>
      </c>
      <c r="X1649" s="93">
        <f>IF(AND(B1649&lt;&gt;"",B1649&gt;='Buku Akun'!$H$4,B1649&lt;='Buku Akun'!$H$5,OR(C1649='Buku Akun'!$C$4,AND(D1649="Pindah",E1649='Buku Akun'!$C$4))),B1649+IF(AND(I1649="Selisih bunga",DAY(B1649)=1),0,0.01)+ROW()/10000000,"")</f>
        <v/>
      </c>
    </row>
    <row r="1650" outlineLevel="1" ht="15" customHeight="1" s="94">
      <c r="A1650" s="123">
        <f>IF(B1650="","",ROW()-15)</f>
        <v/>
      </c>
      <c r="B1650" s="124" t="n"/>
      <c r="C1650" s="123" t="n"/>
      <c r="D1650" s="123" t="n"/>
      <c r="E1650" s="123" t="n"/>
      <c r="F1650" s="125" t="n"/>
      <c r="G1650" s="123" t="n"/>
      <c r="H1650" s="123" t="n"/>
      <c r="I1650" s="123" t="n"/>
      <c r="J1650" s="123" t="n"/>
      <c r="K1650" s="123" t="n"/>
      <c r="L1650" s="123" t="n"/>
      <c r="M1650" s="123">
        <f>IF(AND(B1650&lt;&gt;"",OR($C$4="",ISNUMBER(SEARCH($C$4,C1650&amp;" "&amp;E1650&amp;" "&amp;G1650&amp;" "&amp;H1650&amp;" "&amp;I1650&amp;" "&amp;J1650&amp;" "&amp;K1650&amp;" "&amp;L1650))),OR($C$5="Semua",$C$5="",G1650=$C$5),OR($C$6="Semua",$C$6="",H1650=$C$6,H1650="Pengeluaran "&amp;$C$6,AND($C$6="Uang Kos Mama",H1650="Pengeluaran Uang Kos")),OR($C$7="Semua",$C$7="",I1650=$C$7),OR($C$8="Semua",$C$8="",C1650=$C$8,E1650=$C$8),OR($C$9="Semua",$C$9="",D1650=$C$9),OR($C$10="",B1650&gt;=$C$10),OR($C$11="",B1650&lt;=$C$11),OR($C$12&lt;&gt;"Ya",K1650&lt;&gt;""),OR($C$13="Semua",$C$13="",L1650=$C$13)),"✓","")</f>
        <v/>
      </c>
      <c r="N1650" s="93">
        <f>N(N1649)+IF(M1650="✓",1,0)</f>
        <v/>
      </c>
      <c r="O1650" s="93">
        <f>N(O1649)+IF(AND(B1650&lt;&gt;"",B1650&gt;='Uang Riba'!$H$30,B1650&lt;='Uang Riba'!$I$30,OR(H1650="Dana riba",H1650="Pinjam uang riba",I1650="Pinjam dari uang riba",I1650="Ganti uang riba",I1650="Kelebihan ganti dikembalikan",AND(C1650="Kantong Uang Riba",G1650="Pengeluaran"))),1,0)</f>
        <v/>
      </c>
      <c r="X1650" s="93">
        <f>IF(AND(B1650&lt;&gt;"",B1650&gt;='Buku Akun'!$H$4,B1650&lt;='Buku Akun'!$H$5,OR(C1650='Buku Akun'!$C$4,AND(D1650="Pindah",E1650='Buku Akun'!$C$4))),B1650+IF(AND(I1650="Selisih bunga",DAY(B1650)=1),0,0.01)+ROW()/10000000,"")</f>
        <v/>
      </c>
    </row>
    <row r="1651" outlineLevel="1" ht="15" customHeight="1" s="94">
      <c r="A1651" s="123">
        <f>IF(B1651="","",ROW()-15)</f>
        <v/>
      </c>
      <c r="B1651" s="124" t="n"/>
      <c r="C1651" s="123" t="n"/>
      <c r="D1651" s="123" t="n"/>
      <c r="E1651" s="123" t="n"/>
      <c r="F1651" s="125" t="n"/>
      <c r="G1651" s="123" t="n"/>
      <c r="H1651" s="123" t="n"/>
      <c r="I1651" s="123" t="n"/>
      <c r="J1651" s="123" t="n"/>
      <c r="K1651" s="123" t="n"/>
      <c r="L1651" s="123" t="n"/>
      <c r="M1651" s="123">
        <f>IF(AND(B1651&lt;&gt;"",OR($C$4="",ISNUMBER(SEARCH($C$4,C1651&amp;" "&amp;E1651&amp;" "&amp;G1651&amp;" "&amp;H1651&amp;" "&amp;I1651&amp;" "&amp;J1651&amp;" "&amp;K1651&amp;" "&amp;L1651))),OR($C$5="Semua",$C$5="",G1651=$C$5),OR($C$6="Semua",$C$6="",H1651=$C$6,H1651="Pengeluaran "&amp;$C$6,AND($C$6="Uang Kos Mama",H1651="Pengeluaran Uang Kos")),OR($C$7="Semua",$C$7="",I1651=$C$7),OR($C$8="Semua",$C$8="",C1651=$C$8,E1651=$C$8),OR($C$9="Semua",$C$9="",D1651=$C$9),OR($C$10="",B1651&gt;=$C$10),OR($C$11="",B1651&lt;=$C$11),OR($C$12&lt;&gt;"Ya",K1651&lt;&gt;""),OR($C$13="Semua",$C$13="",L1651=$C$13)),"✓","")</f>
        <v/>
      </c>
      <c r="N1651" s="93">
        <f>N(N1650)+IF(M1651="✓",1,0)</f>
        <v/>
      </c>
      <c r="O1651" s="93">
        <f>N(O1650)+IF(AND(B1651&lt;&gt;"",B1651&gt;='Uang Riba'!$H$30,B1651&lt;='Uang Riba'!$I$30,OR(H1651="Dana riba",H1651="Pinjam uang riba",I1651="Pinjam dari uang riba",I1651="Ganti uang riba",I1651="Kelebihan ganti dikembalikan",AND(C1651="Kantong Uang Riba",G1651="Pengeluaran"))),1,0)</f>
        <v/>
      </c>
      <c r="X1651" s="93">
        <f>IF(AND(B1651&lt;&gt;"",B1651&gt;='Buku Akun'!$H$4,B1651&lt;='Buku Akun'!$H$5,OR(C1651='Buku Akun'!$C$4,AND(D1651="Pindah",E1651='Buku Akun'!$C$4))),B1651+IF(AND(I1651="Selisih bunga",DAY(B1651)=1),0,0.01)+ROW()/10000000,"")</f>
        <v/>
      </c>
    </row>
    <row r="1652" outlineLevel="1" ht="15" customHeight="1" s="94">
      <c r="A1652" s="123">
        <f>IF(B1652="","",ROW()-15)</f>
        <v/>
      </c>
      <c r="B1652" s="124" t="n"/>
      <c r="C1652" s="123" t="n"/>
      <c r="D1652" s="123" t="n"/>
      <c r="E1652" s="123" t="n"/>
      <c r="F1652" s="125" t="n"/>
      <c r="G1652" s="123" t="n"/>
      <c r="H1652" s="123" t="n"/>
      <c r="I1652" s="123" t="n"/>
      <c r="J1652" s="123" t="n"/>
      <c r="K1652" s="123" t="n"/>
      <c r="L1652" s="123" t="n"/>
      <c r="M1652" s="123">
        <f>IF(AND(B1652&lt;&gt;"",OR($C$4="",ISNUMBER(SEARCH($C$4,C1652&amp;" "&amp;E1652&amp;" "&amp;G1652&amp;" "&amp;H1652&amp;" "&amp;I1652&amp;" "&amp;J1652&amp;" "&amp;K1652&amp;" "&amp;L1652))),OR($C$5="Semua",$C$5="",G1652=$C$5),OR($C$6="Semua",$C$6="",H1652=$C$6,H1652="Pengeluaran "&amp;$C$6,AND($C$6="Uang Kos Mama",H1652="Pengeluaran Uang Kos")),OR($C$7="Semua",$C$7="",I1652=$C$7),OR($C$8="Semua",$C$8="",C1652=$C$8,E1652=$C$8),OR($C$9="Semua",$C$9="",D1652=$C$9),OR($C$10="",B1652&gt;=$C$10),OR($C$11="",B1652&lt;=$C$11),OR($C$12&lt;&gt;"Ya",K1652&lt;&gt;""),OR($C$13="Semua",$C$13="",L1652=$C$13)),"✓","")</f>
        <v/>
      </c>
      <c r="N1652" s="93">
        <f>N(N1651)+IF(M1652="✓",1,0)</f>
        <v/>
      </c>
      <c r="O1652" s="93">
        <f>N(O1651)+IF(AND(B1652&lt;&gt;"",B1652&gt;='Uang Riba'!$H$30,B1652&lt;='Uang Riba'!$I$30,OR(H1652="Dana riba",H1652="Pinjam uang riba",I1652="Pinjam dari uang riba",I1652="Ganti uang riba",I1652="Kelebihan ganti dikembalikan",AND(C1652="Kantong Uang Riba",G1652="Pengeluaran"))),1,0)</f>
        <v/>
      </c>
      <c r="X1652" s="93">
        <f>IF(AND(B1652&lt;&gt;"",B1652&gt;='Buku Akun'!$H$4,B1652&lt;='Buku Akun'!$H$5,OR(C1652='Buku Akun'!$C$4,AND(D1652="Pindah",E1652='Buku Akun'!$C$4))),B1652+IF(AND(I1652="Selisih bunga",DAY(B1652)=1),0,0.01)+ROW()/10000000,"")</f>
        <v/>
      </c>
    </row>
    <row r="1653" outlineLevel="1" ht="15" customHeight="1" s="94">
      <c r="A1653" s="123">
        <f>IF(B1653="","",ROW()-15)</f>
        <v/>
      </c>
      <c r="B1653" s="124" t="n"/>
      <c r="C1653" s="123" t="n"/>
      <c r="D1653" s="123" t="n"/>
      <c r="E1653" s="123" t="n"/>
      <c r="F1653" s="125" t="n"/>
      <c r="G1653" s="123" t="n"/>
      <c r="H1653" s="123" t="n"/>
      <c r="I1653" s="123" t="n"/>
      <c r="J1653" s="123" t="n"/>
      <c r="K1653" s="123" t="n"/>
      <c r="L1653" s="123" t="n"/>
      <c r="M1653" s="123">
        <f>IF(AND(B1653&lt;&gt;"",OR($C$4="",ISNUMBER(SEARCH($C$4,C1653&amp;" "&amp;E1653&amp;" "&amp;G1653&amp;" "&amp;H1653&amp;" "&amp;I1653&amp;" "&amp;J1653&amp;" "&amp;K1653&amp;" "&amp;L1653))),OR($C$5="Semua",$C$5="",G1653=$C$5),OR($C$6="Semua",$C$6="",H1653=$C$6,H1653="Pengeluaran "&amp;$C$6,AND($C$6="Uang Kos Mama",H1653="Pengeluaran Uang Kos")),OR($C$7="Semua",$C$7="",I1653=$C$7),OR($C$8="Semua",$C$8="",C1653=$C$8,E1653=$C$8),OR($C$9="Semua",$C$9="",D1653=$C$9),OR($C$10="",B1653&gt;=$C$10),OR($C$11="",B1653&lt;=$C$11),OR($C$12&lt;&gt;"Ya",K1653&lt;&gt;""),OR($C$13="Semua",$C$13="",L1653=$C$13)),"✓","")</f>
        <v/>
      </c>
      <c r="N1653" s="93">
        <f>N(N1652)+IF(M1653="✓",1,0)</f>
        <v/>
      </c>
      <c r="O1653" s="93">
        <f>N(O1652)+IF(AND(B1653&lt;&gt;"",B1653&gt;='Uang Riba'!$H$30,B1653&lt;='Uang Riba'!$I$30,OR(H1653="Dana riba",H1653="Pinjam uang riba",I1653="Pinjam dari uang riba",I1653="Ganti uang riba",I1653="Kelebihan ganti dikembalikan",AND(C1653="Kantong Uang Riba",G1653="Pengeluaran"))),1,0)</f>
        <v/>
      </c>
      <c r="X1653" s="93">
        <f>IF(AND(B1653&lt;&gt;"",B1653&gt;='Buku Akun'!$H$4,B1653&lt;='Buku Akun'!$H$5,OR(C1653='Buku Akun'!$C$4,AND(D1653="Pindah",E1653='Buku Akun'!$C$4))),B1653+IF(AND(I1653="Selisih bunga",DAY(B1653)=1),0,0.01)+ROW()/10000000,"")</f>
        <v/>
      </c>
    </row>
    <row r="1654" outlineLevel="1" ht="15" customHeight="1" s="94">
      <c r="A1654" s="123">
        <f>IF(B1654="","",ROW()-15)</f>
        <v/>
      </c>
      <c r="B1654" s="124" t="n"/>
      <c r="C1654" s="123" t="n"/>
      <c r="D1654" s="123" t="n"/>
      <c r="E1654" s="123" t="n"/>
      <c r="F1654" s="125" t="n"/>
      <c r="G1654" s="123" t="n"/>
      <c r="H1654" s="123" t="n"/>
      <c r="I1654" s="123" t="n"/>
      <c r="J1654" s="123" t="n"/>
      <c r="K1654" s="123" t="n"/>
      <c r="L1654" s="123" t="n"/>
      <c r="M1654" s="123">
        <f>IF(AND(B1654&lt;&gt;"",OR($C$4="",ISNUMBER(SEARCH($C$4,C1654&amp;" "&amp;E1654&amp;" "&amp;G1654&amp;" "&amp;H1654&amp;" "&amp;I1654&amp;" "&amp;J1654&amp;" "&amp;K1654&amp;" "&amp;L1654))),OR($C$5="Semua",$C$5="",G1654=$C$5),OR($C$6="Semua",$C$6="",H1654=$C$6,H1654="Pengeluaran "&amp;$C$6,AND($C$6="Uang Kos Mama",H1654="Pengeluaran Uang Kos")),OR($C$7="Semua",$C$7="",I1654=$C$7),OR($C$8="Semua",$C$8="",C1654=$C$8,E1654=$C$8),OR($C$9="Semua",$C$9="",D1654=$C$9),OR($C$10="",B1654&gt;=$C$10),OR($C$11="",B1654&lt;=$C$11),OR($C$12&lt;&gt;"Ya",K1654&lt;&gt;""),OR($C$13="Semua",$C$13="",L1654=$C$13)),"✓","")</f>
        <v/>
      </c>
      <c r="N1654" s="93">
        <f>N(N1653)+IF(M1654="✓",1,0)</f>
        <v/>
      </c>
      <c r="O1654" s="93">
        <f>N(O1653)+IF(AND(B1654&lt;&gt;"",B1654&gt;='Uang Riba'!$H$30,B1654&lt;='Uang Riba'!$I$30,OR(H1654="Dana riba",H1654="Pinjam uang riba",I1654="Pinjam dari uang riba",I1654="Ganti uang riba",I1654="Kelebihan ganti dikembalikan",AND(C1654="Kantong Uang Riba",G1654="Pengeluaran"))),1,0)</f>
        <v/>
      </c>
      <c r="X1654" s="93">
        <f>IF(AND(B1654&lt;&gt;"",B1654&gt;='Buku Akun'!$H$4,B1654&lt;='Buku Akun'!$H$5,OR(C1654='Buku Akun'!$C$4,AND(D1654="Pindah",E1654='Buku Akun'!$C$4))),B1654+IF(AND(I1654="Selisih bunga",DAY(B1654)=1),0,0.01)+ROW()/10000000,"")</f>
        <v/>
      </c>
    </row>
    <row r="1655" outlineLevel="1" ht="15" customHeight="1" s="94">
      <c r="A1655" s="123">
        <f>IF(B1655="","",ROW()-15)</f>
        <v/>
      </c>
      <c r="B1655" s="124" t="n"/>
      <c r="C1655" s="123" t="n"/>
      <c r="D1655" s="123" t="n"/>
      <c r="E1655" s="123" t="n"/>
      <c r="F1655" s="125" t="n"/>
      <c r="G1655" s="123" t="n"/>
      <c r="H1655" s="123" t="n"/>
      <c r="I1655" s="123" t="n"/>
      <c r="J1655" s="123" t="n"/>
      <c r="K1655" s="123" t="n"/>
      <c r="L1655" s="123" t="n"/>
      <c r="M1655" s="123">
        <f>IF(AND(B1655&lt;&gt;"",OR($C$4="",ISNUMBER(SEARCH($C$4,C1655&amp;" "&amp;E1655&amp;" "&amp;G1655&amp;" "&amp;H1655&amp;" "&amp;I1655&amp;" "&amp;J1655&amp;" "&amp;K1655&amp;" "&amp;L1655))),OR($C$5="Semua",$C$5="",G1655=$C$5),OR($C$6="Semua",$C$6="",H1655=$C$6,H1655="Pengeluaran "&amp;$C$6,AND($C$6="Uang Kos Mama",H1655="Pengeluaran Uang Kos")),OR($C$7="Semua",$C$7="",I1655=$C$7),OR($C$8="Semua",$C$8="",C1655=$C$8,E1655=$C$8),OR($C$9="Semua",$C$9="",D1655=$C$9),OR($C$10="",B1655&gt;=$C$10),OR($C$11="",B1655&lt;=$C$11),OR($C$12&lt;&gt;"Ya",K1655&lt;&gt;""),OR($C$13="Semua",$C$13="",L1655=$C$13)),"✓","")</f>
        <v/>
      </c>
      <c r="N1655" s="93">
        <f>N(N1654)+IF(M1655="✓",1,0)</f>
        <v/>
      </c>
      <c r="O1655" s="93">
        <f>N(O1654)+IF(AND(B1655&lt;&gt;"",B1655&gt;='Uang Riba'!$H$30,B1655&lt;='Uang Riba'!$I$30,OR(H1655="Dana riba",H1655="Pinjam uang riba",I1655="Pinjam dari uang riba",I1655="Ganti uang riba",I1655="Kelebihan ganti dikembalikan",AND(C1655="Kantong Uang Riba",G1655="Pengeluaran"))),1,0)</f>
        <v/>
      </c>
      <c r="X1655" s="93">
        <f>IF(AND(B1655&lt;&gt;"",B1655&gt;='Buku Akun'!$H$4,B1655&lt;='Buku Akun'!$H$5,OR(C1655='Buku Akun'!$C$4,AND(D1655="Pindah",E1655='Buku Akun'!$C$4))),B1655+IF(AND(I1655="Selisih bunga",DAY(B1655)=1),0,0.01)+ROW()/10000000,"")</f>
        <v/>
      </c>
    </row>
    <row r="1656" outlineLevel="1" ht="15" customHeight="1" s="94">
      <c r="A1656" s="123">
        <f>IF(B1656="","",ROW()-15)</f>
        <v/>
      </c>
      <c r="B1656" s="124" t="n"/>
      <c r="C1656" s="123" t="n"/>
      <c r="D1656" s="123" t="n"/>
      <c r="E1656" s="123" t="n"/>
      <c r="F1656" s="125" t="n"/>
      <c r="G1656" s="123" t="n"/>
      <c r="H1656" s="123" t="n"/>
      <c r="I1656" s="123" t="n"/>
      <c r="J1656" s="123" t="n"/>
      <c r="K1656" s="123" t="n"/>
      <c r="L1656" s="123" t="n"/>
      <c r="M1656" s="123">
        <f>IF(AND(B1656&lt;&gt;"",OR($C$4="",ISNUMBER(SEARCH($C$4,C1656&amp;" "&amp;E1656&amp;" "&amp;G1656&amp;" "&amp;H1656&amp;" "&amp;I1656&amp;" "&amp;J1656&amp;" "&amp;K1656&amp;" "&amp;L1656))),OR($C$5="Semua",$C$5="",G1656=$C$5),OR($C$6="Semua",$C$6="",H1656=$C$6,H1656="Pengeluaran "&amp;$C$6,AND($C$6="Uang Kos Mama",H1656="Pengeluaran Uang Kos")),OR($C$7="Semua",$C$7="",I1656=$C$7),OR($C$8="Semua",$C$8="",C1656=$C$8,E1656=$C$8),OR($C$9="Semua",$C$9="",D1656=$C$9),OR($C$10="",B1656&gt;=$C$10),OR($C$11="",B1656&lt;=$C$11),OR($C$12&lt;&gt;"Ya",K1656&lt;&gt;""),OR($C$13="Semua",$C$13="",L1656=$C$13)),"✓","")</f>
        <v/>
      </c>
      <c r="N1656" s="93">
        <f>N(N1655)+IF(M1656="✓",1,0)</f>
        <v/>
      </c>
      <c r="O1656" s="93">
        <f>N(O1655)+IF(AND(B1656&lt;&gt;"",B1656&gt;='Uang Riba'!$H$30,B1656&lt;='Uang Riba'!$I$30,OR(H1656="Dana riba",H1656="Pinjam uang riba",I1656="Pinjam dari uang riba",I1656="Ganti uang riba",I1656="Kelebihan ganti dikembalikan",AND(C1656="Kantong Uang Riba",G1656="Pengeluaran"))),1,0)</f>
        <v/>
      </c>
      <c r="X1656" s="93">
        <f>IF(AND(B1656&lt;&gt;"",B1656&gt;='Buku Akun'!$H$4,B1656&lt;='Buku Akun'!$H$5,OR(C1656='Buku Akun'!$C$4,AND(D1656="Pindah",E1656='Buku Akun'!$C$4))),B1656+IF(AND(I1656="Selisih bunga",DAY(B1656)=1),0,0.01)+ROW()/10000000,"")</f>
        <v/>
      </c>
    </row>
    <row r="1657" outlineLevel="1" ht="15" customHeight="1" s="94">
      <c r="A1657" s="123">
        <f>IF(B1657="","",ROW()-15)</f>
        <v/>
      </c>
      <c r="B1657" s="124" t="n"/>
      <c r="C1657" s="123" t="n"/>
      <c r="D1657" s="123" t="n"/>
      <c r="E1657" s="123" t="n"/>
      <c r="F1657" s="125" t="n"/>
      <c r="G1657" s="123" t="n"/>
      <c r="H1657" s="123" t="n"/>
      <c r="I1657" s="123" t="n"/>
      <c r="J1657" s="123" t="n"/>
      <c r="K1657" s="123" t="n"/>
      <c r="L1657" s="123" t="n"/>
      <c r="M1657" s="123">
        <f>IF(AND(B1657&lt;&gt;"",OR($C$4="",ISNUMBER(SEARCH($C$4,C1657&amp;" "&amp;E1657&amp;" "&amp;G1657&amp;" "&amp;H1657&amp;" "&amp;I1657&amp;" "&amp;J1657&amp;" "&amp;K1657&amp;" "&amp;L1657))),OR($C$5="Semua",$C$5="",G1657=$C$5),OR($C$6="Semua",$C$6="",H1657=$C$6,H1657="Pengeluaran "&amp;$C$6,AND($C$6="Uang Kos Mama",H1657="Pengeluaran Uang Kos")),OR($C$7="Semua",$C$7="",I1657=$C$7),OR($C$8="Semua",$C$8="",C1657=$C$8,E1657=$C$8),OR($C$9="Semua",$C$9="",D1657=$C$9),OR($C$10="",B1657&gt;=$C$10),OR($C$11="",B1657&lt;=$C$11),OR($C$12&lt;&gt;"Ya",K1657&lt;&gt;""),OR($C$13="Semua",$C$13="",L1657=$C$13)),"✓","")</f>
        <v/>
      </c>
      <c r="N1657" s="93">
        <f>N(N1656)+IF(M1657="✓",1,0)</f>
        <v/>
      </c>
      <c r="O1657" s="93">
        <f>N(O1656)+IF(AND(B1657&lt;&gt;"",B1657&gt;='Uang Riba'!$H$30,B1657&lt;='Uang Riba'!$I$30,OR(H1657="Dana riba",H1657="Pinjam uang riba",I1657="Pinjam dari uang riba",I1657="Ganti uang riba",I1657="Kelebihan ganti dikembalikan",AND(C1657="Kantong Uang Riba",G1657="Pengeluaran"))),1,0)</f>
        <v/>
      </c>
      <c r="X1657" s="93">
        <f>IF(AND(B1657&lt;&gt;"",B1657&gt;='Buku Akun'!$H$4,B1657&lt;='Buku Akun'!$H$5,OR(C1657='Buku Akun'!$C$4,AND(D1657="Pindah",E1657='Buku Akun'!$C$4))),B1657+IF(AND(I1657="Selisih bunga",DAY(B1657)=1),0,0.01)+ROW()/10000000,"")</f>
        <v/>
      </c>
    </row>
    <row r="1658" outlineLevel="1" ht="15" customHeight="1" s="94">
      <c r="A1658" s="123">
        <f>IF(B1658="","",ROW()-15)</f>
        <v/>
      </c>
      <c r="B1658" s="124" t="n"/>
      <c r="C1658" s="123" t="n"/>
      <c r="D1658" s="123" t="n"/>
      <c r="E1658" s="123" t="n"/>
      <c r="F1658" s="125" t="n"/>
      <c r="G1658" s="123" t="n"/>
      <c r="H1658" s="123" t="n"/>
      <c r="I1658" s="123" t="n"/>
      <c r="J1658" s="123" t="n"/>
      <c r="K1658" s="123" t="n"/>
      <c r="L1658" s="123" t="n"/>
      <c r="M1658" s="123">
        <f>IF(AND(B1658&lt;&gt;"",OR($C$4="",ISNUMBER(SEARCH($C$4,C1658&amp;" "&amp;E1658&amp;" "&amp;G1658&amp;" "&amp;H1658&amp;" "&amp;I1658&amp;" "&amp;J1658&amp;" "&amp;K1658&amp;" "&amp;L1658))),OR($C$5="Semua",$C$5="",G1658=$C$5),OR($C$6="Semua",$C$6="",H1658=$C$6,H1658="Pengeluaran "&amp;$C$6,AND($C$6="Uang Kos Mama",H1658="Pengeluaran Uang Kos")),OR($C$7="Semua",$C$7="",I1658=$C$7),OR($C$8="Semua",$C$8="",C1658=$C$8,E1658=$C$8),OR($C$9="Semua",$C$9="",D1658=$C$9),OR($C$10="",B1658&gt;=$C$10),OR($C$11="",B1658&lt;=$C$11),OR($C$12&lt;&gt;"Ya",K1658&lt;&gt;""),OR($C$13="Semua",$C$13="",L1658=$C$13)),"✓","")</f>
        <v/>
      </c>
      <c r="N1658" s="93">
        <f>N(N1657)+IF(M1658="✓",1,0)</f>
        <v/>
      </c>
      <c r="O1658" s="93">
        <f>N(O1657)+IF(AND(B1658&lt;&gt;"",B1658&gt;='Uang Riba'!$H$30,B1658&lt;='Uang Riba'!$I$30,OR(H1658="Dana riba",H1658="Pinjam uang riba",I1658="Pinjam dari uang riba",I1658="Ganti uang riba",I1658="Kelebihan ganti dikembalikan",AND(C1658="Kantong Uang Riba",G1658="Pengeluaran"))),1,0)</f>
        <v/>
      </c>
      <c r="X1658" s="93">
        <f>IF(AND(B1658&lt;&gt;"",B1658&gt;='Buku Akun'!$H$4,B1658&lt;='Buku Akun'!$H$5,OR(C1658='Buku Akun'!$C$4,AND(D1658="Pindah",E1658='Buku Akun'!$C$4))),B1658+IF(AND(I1658="Selisih bunga",DAY(B1658)=1),0,0.01)+ROW()/10000000,"")</f>
        <v/>
      </c>
    </row>
    <row r="1659" outlineLevel="1" ht="15" customHeight="1" s="94">
      <c r="A1659" s="123">
        <f>IF(B1659="","",ROW()-15)</f>
        <v/>
      </c>
      <c r="B1659" s="124" t="n"/>
      <c r="C1659" s="123" t="n"/>
      <c r="D1659" s="123" t="n"/>
      <c r="E1659" s="123" t="n"/>
      <c r="F1659" s="125" t="n"/>
      <c r="G1659" s="123" t="n"/>
      <c r="H1659" s="123" t="n"/>
      <c r="I1659" s="123" t="n"/>
      <c r="J1659" s="123" t="n"/>
      <c r="K1659" s="123" t="n"/>
      <c r="L1659" s="123" t="n"/>
      <c r="M1659" s="123">
        <f>IF(AND(B1659&lt;&gt;"",OR($C$4="",ISNUMBER(SEARCH($C$4,C1659&amp;" "&amp;E1659&amp;" "&amp;G1659&amp;" "&amp;H1659&amp;" "&amp;I1659&amp;" "&amp;J1659&amp;" "&amp;K1659&amp;" "&amp;L1659))),OR($C$5="Semua",$C$5="",G1659=$C$5),OR($C$6="Semua",$C$6="",H1659=$C$6,H1659="Pengeluaran "&amp;$C$6,AND($C$6="Uang Kos Mama",H1659="Pengeluaran Uang Kos")),OR($C$7="Semua",$C$7="",I1659=$C$7),OR($C$8="Semua",$C$8="",C1659=$C$8,E1659=$C$8),OR($C$9="Semua",$C$9="",D1659=$C$9),OR($C$10="",B1659&gt;=$C$10),OR($C$11="",B1659&lt;=$C$11),OR($C$12&lt;&gt;"Ya",K1659&lt;&gt;""),OR($C$13="Semua",$C$13="",L1659=$C$13)),"✓","")</f>
        <v/>
      </c>
      <c r="N1659" s="93">
        <f>N(N1658)+IF(M1659="✓",1,0)</f>
        <v/>
      </c>
      <c r="O1659" s="93">
        <f>N(O1658)+IF(AND(B1659&lt;&gt;"",B1659&gt;='Uang Riba'!$H$30,B1659&lt;='Uang Riba'!$I$30,OR(H1659="Dana riba",H1659="Pinjam uang riba",I1659="Pinjam dari uang riba",I1659="Ganti uang riba",I1659="Kelebihan ganti dikembalikan",AND(C1659="Kantong Uang Riba",G1659="Pengeluaran"))),1,0)</f>
        <v/>
      </c>
      <c r="X1659" s="93">
        <f>IF(AND(B1659&lt;&gt;"",B1659&gt;='Buku Akun'!$H$4,B1659&lt;='Buku Akun'!$H$5,OR(C1659='Buku Akun'!$C$4,AND(D1659="Pindah",E1659='Buku Akun'!$C$4))),B1659+IF(AND(I1659="Selisih bunga",DAY(B1659)=1),0,0.01)+ROW()/10000000,"")</f>
        <v/>
      </c>
    </row>
    <row r="1660" outlineLevel="1" ht="15" customHeight="1" s="94">
      <c r="A1660" s="123">
        <f>IF(B1660="","",ROW()-15)</f>
        <v/>
      </c>
      <c r="B1660" s="124" t="n"/>
      <c r="C1660" s="123" t="n"/>
      <c r="D1660" s="123" t="n"/>
      <c r="E1660" s="123" t="n"/>
      <c r="F1660" s="125" t="n"/>
      <c r="G1660" s="123" t="n"/>
      <c r="H1660" s="123" t="n"/>
      <c r="I1660" s="123" t="n"/>
      <c r="J1660" s="123" t="n"/>
      <c r="K1660" s="123" t="n"/>
      <c r="L1660" s="123" t="n"/>
      <c r="M1660" s="123">
        <f>IF(AND(B1660&lt;&gt;"",OR($C$4="",ISNUMBER(SEARCH($C$4,C1660&amp;" "&amp;E1660&amp;" "&amp;G1660&amp;" "&amp;H1660&amp;" "&amp;I1660&amp;" "&amp;J1660&amp;" "&amp;K1660&amp;" "&amp;L1660))),OR($C$5="Semua",$C$5="",G1660=$C$5),OR($C$6="Semua",$C$6="",H1660=$C$6,H1660="Pengeluaran "&amp;$C$6,AND($C$6="Uang Kos Mama",H1660="Pengeluaran Uang Kos")),OR($C$7="Semua",$C$7="",I1660=$C$7),OR($C$8="Semua",$C$8="",C1660=$C$8,E1660=$C$8),OR($C$9="Semua",$C$9="",D1660=$C$9),OR($C$10="",B1660&gt;=$C$10),OR($C$11="",B1660&lt;=$C$11),OR($C$12&lt;&gt;"Ya",K1660&lt;&gt;""),OR($C$13="Semua",$C$13="",L1660=$C$13)),"✓","")</f>
        <v/>
      </c>
      <c r="N1660" s="93">
        <f>N(N1659)+IF(M1660="✓",1,0)</f>
        <v/>
      </c>
      <c r="O1660" s="93">
        <f>N(O1659)+IF(AND(B1660&lt;&gt;"",B1660&gt;='Uang Riba'!$H$30,B1660&lt;='Uang Riba'!$I$30,OR(H1660="Dana riba",H1660="Pinjam uang riba",I1660="Pinjam dari uang riba",I1660="Ganti uang riba",I1660="Kelebihan ganti dikembalikan",AND(C1660="Kantong Uang Riba",G1660="Pengeluaran"))),1,0)</f>
        <v/>
      </c>
      <c r="X1660" s="93">
        <f>IF(AND(B1660&lt;&gt;"",B1660&gt;='Buku Akun'!$H$4,B1660&lt;='Buku Akun'!$H$5,OR(C1660='Buku Akun'!$C$4,AND(D1660="Pindah",E1660='Buku Akun'!$C$4))),B1660+IF(AND(I1660="Selisih bunga",DAY(B1660)=1),0,0.01)+ROW()/10000000,"")</f>
        <v/>
      </c>
    </row>
    <row r="1661" outlineLevel="1" ht="15" customHeight="1" s="94">
      <c r="A1661" s="123">
        <f>IF(B1661="","",ROW()-15)</f>
        <v/>
      </c>
      <c r="B1661" s="124" t="n"/>
      <c r="C1661" s="123" t="n"/>
      <c r="D1661" s="123" t="n"/>
      <c r="E1661" s="123" t="n"/>
      <c r="F1661" s="125" t="n"/>
      <c r="G1661" s="123" t="n"/>
      <c r="H1661" s="123" t="n"/>
      <c r="I1661" s="123" t="n"/>
      <c r="J1661" s="123" t="n"/>
      <c r="K1661" s="123" t="n"/>
      <c r="L1661" s="123" t="n"/>
      <c r="M1661" s="123">
        <f>IF(AND(B1661&lt;&gt;"",OR($C$4="",ISNUMBER(SEARCH($C$4,C1661&amp;" "&amp;E1661&amp;" "&amp;G1661&amp;" "&amp;H1661&amp;" "&amp;I1661&amp;" "&amp;J1661&amp;" "&amp;K1661&amp;" "&amp;L1661))),OR($C$5="Semua",$C$5="",G1661=$C$5),OR($C$6="Semua",$C$6="",H1661=$C$6,H1661="Pengeluaran "&amp;$C$6,AND($C$6="Uang Kos Mama",H1661="Pengeluaran Uang Kos")),OR($C$7="Semua",$C$7="",I1661=$C$7),OR($C$8="Semua",$C$8="",C1661=$C$8,E1661=$C$8),OR($C$9="Semua",$C$9="",D1661=$C$9),OR($C$10="",B1661&gt;=$C$10),OR($C$11="",B1661&lt;=$C$11),OR($C$12&lt;&gt;"Ya",K1661&lt;&gt;""),OR($C$13="Semua",$C$13="",L1661=$C$13)),"✓","")</f>
        <v/>
      </c>
      <c r="N1661" s="93">
        <f>N(N1660)+IF(M1661="✓",1,0)</f>
        <v/>
      </c>
      <c r="O1661" s="93">
        <f>N(O1660)+IF(AND(B1661&lt;&gt;"",B1661&gt;='Uang Riba'!$H$30,B1661&lt;='Uang Riba'!$I$30,OR(H1661="Dana riba",H1661="Pinjam uang riba",I1661="Pinjam dari uang riba",I1661="Ganti uang riba",I1661="Kelebihan ganti dikembalikan",AND(C1661="Kantong Uang Riba",G1661="Pengeluaran"))),1,0)</f>
        <v/>
      </c>
      <c r="X1661" s="93">
        <f>IF(AND(B1661&lt;&gt;"",B1661&gt;='Buku Akun'!$H$4,B1661&lt;='Buku Akun'!$H$5,OR(C1661='Buku Akun'!$C$4,AND(D1661="Pindah",E1661='Buku Akun'!$C$4))),B1661+IF(AND(I1661="Selisih bunga",DAY(B1661)=1),0,0.01)+ROW()/10000000,"")</f>
        <v/>
      </c>
    </row>
    <row r="1662" outlineLevel="1" ht="15" customHeight="1" s="94">
      <c r="A1662" s="123">
        <f>IF(B1662="","",ROW()-15)</f>
        <v/>
      </c>
      <c r="B1662" s="124" t="n"/>
      <c r="C1662" s="123" t="n"/>
      <c r="D1662" s="123" t="n"/>
      <c r="E1662" s="123" t="n"/>
      <c r="F1662" s="125" t="n"/>
      <c r="G1662" s="123" t="n"/>
      <c r="H1662" s="123" t="n"/>
      <c r="I1662" s="123" t="n"/>
      <c r="J1662" s="123" t="n"/>
      <c r="K1662" s="123" t="n"/>
      <c r="L1662" s="123" t="n"/>
      <c r="M1662" s="123">
        <f>IF(AND(B1662&lt;&gt;"",OR($C$4="",ISNUMBER(SEARCH($C$4,C1662&amp;" "&amp;E1662&amp;" "&amp;G1662&amp;" "&amp;H1662&amp;" "&amp;I1662&amp;" "&amp;J1662&amp;" "&amp;K1662&amp;" "&amp;L1662))),OR($C$5="Semua",$C$5="",G1662=$C$5),OR($C$6="Semua",$C$6="",H1662=$C$6,H1662="Pengeluaran "&amp;$C$6,AND($C$6="Uang Kos Mama",H1662="Pengeluaran Uang Kos")),OR($C$7="Semua",$C$7="",I1662=$C$7),OR($C$8="Semua",$C$8="",C1662=$C$8,E1662=$C$8),OR($C$9="Semua",$C$9="",D1662=$C$9),OR($C$10="",B1662&gt;=$C$10),OR($C$11="",B1662&lt;=$C$11),OR($C$12&lt;&gt;"Ya",K1662&lt;&gt;""),OR($C$13="Semua",$C$13="",L1662=$C$13)),"✓","")</f>
        <v/>
      </c>
      <c r="N1662" s="93">
        <f>N(N1661)+IF(M1662="✓",1,0)</f>
        <v/>
      </c>
      <c r="O1662" s="93">
        <f>N(O1661)+IF(AND(B1662&lt;&gt;"",B1662&gt;='Uang Riba'!$H$30,B1662&lt;='Uang Riba'!$I$30,OR(H1662="Dana riba",H1662="Pinjam uang riba",I1662="Pinjam dari uang riba",I1662="Ganti uang riba",I1662="Kelebihan ganti dikembalikan",AND(C1662="Kantong Uang Riba",G1662="Pengeluaran"))),1,0)</f>
        <v/>
      </c>
      <c r="X1662" s="93">
        <f>IF(AND(B1662&lt;&gt;"",B1662&gt;='Buku Akun'!$H$4,B1662&lt;='Buku Akun'!$H$5,OR(C1662='Buku Akun'!$C$4,AND(D1662="Pindah",E1662='Buku Akun'!$C$4))),B1662+IF(AND(I1662="Selisih bunga",DAY(B1662)=1),0,0.01)+ROW()/10000000,"")</f>
        <v/>
      </c>
    </row>
    <row r="1663" outlineLevel="1" ht="15" customHeight="1" s="94">
      <c r="A1663" s="123">
        <f>IF(B1663="","",ROW()-15)</f>
        <v/>
      </c>
      <c r="B1663" s="124" t="n"/>
      <c r="C1663" s="123" t="n"/>
      <c r="D1663" s="123" t="n"/>
      <c r="E1663" s="123" t="n"/>
      <c r="F1663" s="125" t="n"/>
      <c r="G1663" s="123" t="n"/>
      <c r="H1663" s="123" t="n"/>
      <c r="I1663" s="123" t="n"/>
      <c r="J1663" s="123" t="n"/>
      <c r="K1663" s="123" t="n"/>
      <c r="L1663" s="123" t="n"/>
      <c r="M1663" s="123">
        <f>IF(AND(B1663&lt;&gt;"",OR($C$4="",ISNUMBER(SEARCH($C$4,C1663&amp;" "&amp;E1663&amp;" "&amp;G1663&amp;" "&amp;H1663&amp;" "&amp;I1663&amp;" "&amp;J1663&amp;" "&amp;K1663&amp;" "&amp;L1663))),OR($C$5="Semua",$C$5="",G1663=$C$5),OR($C$6="Semua",$C$6="",H1663=$C$6,H1663="Pengeluaran "&amp;$C$6,AND($C$6="Uang Kos Mama",H1663="Pengeluaran Uang Kos")),OR($C$7="Semua",$C$7="",I1663=$C$7),OR($C$8="Semua",$C$8="",C1663=$C$8,E1663=$C$8),OR($C$9="Semua",$C$9="",D1663=$C$9),OR($C$10="",B1663&gt;=$C$10),OR($C$11="",B1663&lt;=$C$11),OR($C$12&lt;&gt;"Ya",K1663&lt;&gt;""),OR($C$13="Semua",$C$13="",L1663=$C$13)),"✓","")</f>
        <v/>
      </c>
      <c r="N1663" s="93">
        <f>N(N1662)+IF(M1663="✓",1,0)</f>
        <v/>
      </c>
      <c r="O1663" s="93">
        <f>N(O1662)+IF(AND(B1663&lt;&gt;"",B1663&gt;='Uang Riba'!$H$30,B1663&lt;='Uang Riba'!$I$30,OR(H1663="Dana riba",H1663="Pinjam uang riba",I1663="Pinjam dari uang riba",I1663="Ganti uang riba",I1663="Kelebihan ganti dikembalikan",AND(C1663="Kantong Uang Riba",G1663="Pengeluaran"))),1,0)</f>
        <v/>
      </c>
      <c r="X1663" s="93">
        <f>IF(AND(B1663&lt;&gt;"",B1663&gt;='Buku Akun'!$H$4,B1663&lt;='Buku Akun'!$H$5,OR(C1663='Buku Akun'!$C$4,AND(D1663="Pindah",E1663='Buku Akun'!$C$4))),B1663+IF(AND(I1663="Selisih bunga",DAY(B1663)=1),0,0.01)+ROW()/10000000,"")</f>
        <v/>
      </c>
    </row>
    <row r="1664" outlineLevel="1" ht="15" customHeight="1" s="94">
      <c r="A1664" s="123">
        <f>IF(B1664="","",ROW()-15)</f>
        <v/>
      </c>
      <c r="B1664" s="124" t="n"/>
      <c r="C1664" s="123" t="n"/>
      <c r="D1664" s="123" t="n"/>
      <c r="E1664" s="123" t="n"/>
      <c r="F1664" s="125" t="n"/>
      <c r="G1664" s="123" t="n"/>
      <c r="H1664" s="123" t="n"/>
      <c r="I1664" s="123" t="n"/>
      <c r="J1664" s="123" t="n"/>
      <c r="K1664" s="123" t="n"/>
      <c r="L1664" s="123" t="n"/>
      <c r="M1664" s="123">
        <f>IF(AND(B1664&lt;&gt;"",OR($C$4="",ISNUMBER(SEARCH($C$4,C1664&amp;" "&amp;E1664&amp;" "&amp;G1664&amp;" "&amp;H1664&amp;" "&amp;I1664&amp;" "&amp;J1664&amp;" "&amp;K1664&amp;" "&amp;L1664))),OR($C$5="Semua",$C$5="",G1664=$C$5),OR($C$6="Semua",$C$6="",H1664=$C$6,H1664="Pengeluaran "&amp;$C$6,AND($C$6="Uang Kos Mama",H1664="Pengeluaran Uang Kos")),OR($C$7="Semua",$C$7="",I1664=$C$7),OR($C$8="Semua",$C$8="",C1664=$C$8,E1664=$C$8),OR($C$9="Semua",$C$9="",D1664=$C$9),OR($C$10="",B1664&gt;=$C$10),OR($C$11="",B1664&lt;=$C$11),OR($C$12&lt;&gt;"Ya",K1664&lt;&gt;""),OR($C$13="Semua",$C$13="",L1664=$C$13)),"✓","")</f>
        <v/>
      </c>
      <c r="N1664" s="93">
        <f>N(N1663)+IF(M1664="✓",1,0)</f>
        <v/>
      </c>
      <c r="O1664" s="93">
        <f>N(O1663)+IF(AND(B1664&lt;&gt;"",B1664&gt;='Uang Riba'!$H$30,B1664&lt;='Uang Riba'!$I$30,OR(H1664="Dana riba",H1664="Pinjam uang riba",I1664="Pinjam dari uang riba",I1664="Ganti uang riba",I1664="Kelebihan ganti dikembalikan",AND(C1664="Kantong Uang Riba",G1664="Pengeluaran"))),1,0)</f>
        <v/>
      </c>
      <c r="X1664" s="93">
        <f>IF(AND(B1664&lt;&gt;"",B1664&gt;='Buku Akun'!$H$4,B1664&lt;='Buku Akun'!$H$5,OR(C1664='Buku Akun'!$C$4,AND(D1664="Pindah",E1664='Buku Akun'!$C$4))),B1664+IF(AND(I1664="Selisih bunga",DAY(B1664)=1),0,0.01)+ROW()/10000000,"")</f>
        <v/>
      </c>
    </row>
    <row r="1665" outlineLevel="1" ht="15" customHeight="1" s="94">
      <c r="A1665" s="123">
        <f>IF(B1665="","",ROW()-15)</f>
        <v/>
      </c>
      <c r="B1665" s="124" t="n"/>
      <c r="C1665" s="123" t="n"/>
      <c r="D1665" s="123" t="n"/>
      <c r="E1665" s="123" t="n"/>
      <c r="F1665" s="125" t="n"/>
      <c r="G1665" s="123" t="n"/>
      <c r="H1665" s="123" t="n"/>
      <c r="I1665" s="123" t="n"/>
      <c r="J1665" s="123" t="n"/>
      <c r="K1665" s="123" t="n"/>
      <c r="L1665" s="123" t="n"/>
      <c r="M1665" s="123">
        <f>IF(AND(B1665&lt;&gt;"",OR($C$4="",ISNUMBER(SEARCH($C$4,C1665&amp;" "&amp;E1665&amp;" "&amp;G1665&amp;" "&amp;H1665&amp;" "&amp;I1665&amp;" "&amp;J1665&amp;" "&amp;K1665&amp;" "&amp;L1665))),OR($C$5="Semua",$C$5="",G1665=$C$5),OR($C$6="Semua",$C$6="",H1665=$C$6,H1665="Pengeluaran "&amp;$C$6,AND($C$6="Uang Kos Mama",H1665="Pengeluaran Uang Kos")),OR($C$7="Semua",$C$7="",I1665=$C$7),OR($C$8="Semua",$C$8="",C1665=$C$8,E1665=$C$8),OR($C$9="Semua",$C$9="",D1665=$C$9),OR($C$10="",B1665&gt;=$C$10),OR($C$11="",B1665&lt;=$C$11),OR($C$12&lt;&gt;"Ya",K1665&lt;&gt;""),OR($C$13="Semua",$C$13="",L1665=$C$13)),"✓","")</f>
        <v/>
      </c>
      <c r="N1665" s="93">
        <f>N(N1664)+IF(M1665="✓",1,0)</f>
        <v/>
      </c>
      <c r="O1665" s="93">
        <f>N(O1664)+IF(AND(B1665&lt;&gt;"",B1665&gt;='Uang Riba'!$H$30,B1665&lt;='Uang Riba'!$I$30,OR(H1665="Dana riba",H1665="Pinjam uang riba",I1665="Pinjam dari uang riba",I1665="Ganti uang riba",I1665="Kelebihan ganti dikembalikan",AND(C1665="Kantong Uang Riba",G1665="Pengeluaran"))),1,0)</f>
        <v/>
      </c>
      <c r="X1665" s="93">
        <f>IF(AND(B1665&lt;&gt;"",B1665&gt;='Buku Akun'!$H$4,B1665&lt;='Buku Akun'!$H$5,OR(C1665='Buku Akun'!$C$4,AND(D1665="Pindah",E1665='Buku Akun'!$C$4))),B1665+IF(AND(I1665="Selisih bunga",DAY(B1665)=1),0,0.01)+ROW()/10000000,"")</f>
        <v/>
      </c>
    </row>
    <row r="1666" outlineLevel="1" ht="15" customHeight="1" s="94">
      <c r="A1666" s="123">
        <f>IF(B1666="","",ROW()-15)</f>
        <v/>
      </c>
      <c r="B1666" s="124" t="n"/>
      <c r="C1666" s="123" t="n"/>
      <c r="D1666" s="123" t="n"/>
      <c r="E1666" s="123" t="n"/>
      <c r="F1666" s="125" t="n"/>
      <c r="G1666" s="123" t="n"/>
      <c r="H1666" s="123" t="n"/>
      <c r="I1666" s="123" t="n"/>
      <c r="J1666" s="123" t="n"/>
      <c r="K1666" s="123" t="n"/>
      <c r="L1666" s="123" t="n"/>
      <c r="M1666" s="123">
        <f>IF(AND(B1666&lt;&gt;"",OR($C$4="",ISNUMBER(SEARCH($C$4,C1666&amp;" "&amp;E1666&amp;" "&amp;G1666&amp;" "&amp;H1666&amp;" "&amp;I1666&amp;" "&amp;J1666&amp;" "&amp;K1666&amp;" "&amp;L1666))),OR($C$5="Semua",$C$5="",G1666=$C$5),OR($C$6="Semua",$C$6="",H1666=$C$6,H1666="Pengeluaran "&amp;$C$6,AND($C$6="Uang Kos Mama",H1666="Pengeluaran Uang Kos")),OR($C$7="Semua",$C$7="",I1666=$C$7),OR($C$8="Semua",$C$8="",C1666=$C$8,E1666=$C$8),OR($C$9="Semua",$C$9="",D1666=$C$9),OR($C$10="",B1666&gt;=$C$10),OR($C$11="",B1666&lt;=$C$11),OR($C$12&lt;&gt;"Ya",K1666&lt;&gt;""),OR($C$13="Semua",$C$13="",L1666=$C$13)),"✓","")</f>
        <v/>
      </c>
      <c r="N1666" s="93">
        <f>N(N1665)+IF(M1666="✓",1,0)</f>
        <v/>
      </c>
      <c r="O1666" s="93">
        <f>N(O1665)+IF(AND(B1666&lt;&gt;"",B1666&gt;='Uang Riba'!$H$30,B1666&lt;='Uang Riba'!$I$30,OR(H1666="Dana riba",H1666="Pinjam uang riba",I1666="Pinjam dari uang riba",I1666="Ganti uang riba",I1666="Kelebihan ganti dikembalikan",AND(C1666="Kantong Uang Riba",G1666="Pengeluaran"))),1,0)</f>
        <v/>
      </c>
      <c r="X1666" s="93">
        <f>IF(AND(B1666&lt;&gt;"",B1666&gt;='Buku Akun'!$H$4,B1666&lt;='Buku Akun'!$H$5,OR(C1666='Buku Akun'!$C$4,AND(D1666="Pindah",E1666='Buku Akun'!$C$4))),B1666+IF(AND(I1666="Selisih bunga",DAY(B1666)=1),0,0.01)+ROW()/10000000,"")</f>
        <v/>
      </c>
    </row>
    <row r="1667" outlineLevel="1" ht="15" customHeight="1" s="94">
      <c r="A1667" s="123">
        <f>IF(B1667="","",ROW()-15)</f>
        <v/>
      </c>
      <c r="B1667" s="124" t="n"/>
      <c r="C1667" s="123" t="n"/>
      <c r="D1667" s="123" t="n"/>
      <c r="E1667" s="123" t="n"/>
      <c r="F1667" s="125" t="n"/>
      <c r="G1667" s="123" t="n"/>
      <c r="H1667" s="123" t="n"/>
      <c r="I1667" s="123" t="n"/>
      <c r="J1667" s="123" t="n"/>
      <c r="K1667" s="123" t="n"/>
      <c r="L1667" s="123" t="n"/>
      <c r="M1667" s="123">
        <f>IF(AND(B1667&lt;&gt;"",OR($C$4="",ISNUMBER(SEARCH($C$4,C1667&amp;" "&amp;E1667&amp;" "&amp;G1667&amp;" "&amp;H1667&amp;" "&amp;I1667&amp;" "&amp;J1667&amp;" "&amp;K1667&amp;" "&amp;L1667))),OR($C$5="Semua",$C$5="",G1667=$C$5),OR($C$6="Semua",$C$6="",H1667=$C$6,H1667="Pengeluaran "&amp;$C$6,AND($C$6="Uang Kos Mama",H1667="Pengeluaran Uang Kos")),OR($C$7="Semua",$C$7="",I1667=$C$7),OR($C$8="Semua",$C$8="",C1667=$C$8,E1667=$C$8),OR($C$9="Semua",$C$9="",D1667=$C$9),OR($C$10="",B1667&gt;=$C$10),OR($C$11="",B1667&lt;=$C$11),OR($C$12&lt;&gt;"Ya",K1667&lt;&gt;""),OR($C$13="Semua",$C$13="",L1667=$C$13)),"✓","")</f>
        <v/>
      </c>
      <c r="N1667" s="93">
        <f>N(N1666)+IF(M1667="✓",1,0)</f>
        <v/>
      </c>
      <c r="O1667" s="93">
        <f>N(O1666)+IF(AND(B1667&lt;&gt;"",B1667&gt;='Uang Riba'!$H$30,B1667&lt;='Uang Riba'!$I$30,OR(H1667="Dana riba",H1667="Pinjam uang riba",I1667="Pinjam dari uang riba",I1667="Ganti uang riba",I1667="Kelebihan ganti dikembalikan",AND(C1667="Kantong Uang Riba",G1667="Pengeluaran"))),1,0)</f>
        <v/>
      </c>
      <c r="X1667" s="93">
        <f>IF(AND(B1667&lt;&gt;"",B1667&gt;='Buku Akun'!$H$4,B1667&lt;='Buku Akun'!$H$5,OR(C1667='Buku Akun'!$C$4,AND(D1667="Pindah",E1667='Buku Akun'!$C$4))),B1667+IF(AND(I1667="Selisih bunga",DAY(B1667)=1),0,0.01)+ROW()/10000000,"")</f>
        <v/>
      </c>
    </row>
    <row r="1668" outlineLevel="1" ht="15" customHeight="1" s="94">
      <c r="A1668" s="123">
        <f>IF(B1668="","",ROW()-15)</f>
        <v/>
      </c>
      <c r="B1668" s="124" t="n"/>
      <c r="C1668" s="123" t="n"/>
      <c r="D1668" s="123" t="n"/>
      <c r="E1668" s="123" t="n"/>
      <c r="F1668" s="125" t="n"/>
      <c r="G1668" s="123" t="n"/>
      <c r="H1668" s="123" t="n"/>
      <c r="I1668" s="123" t="n"/>
      <c r="J1668" s="123" t="n"/>
      <c r="K1668" s="123" t="n"/>
      <c r="L1668" s="123" t="n"/>
      <c r="M1668" s="123">
        <f>IF(AND(B1668&lt;&gt;"",OR($C$4="",ISNUMBER(SEARCH($C$4,C1668&amp;" "&amp;E1668&amp;" "&amp;G1668&amp;" "&amp;H1668&amp;" "&amp;I1668&amp;" "&amp;J1668&amp;" "&amp;K1668&amp;" "&amp;L1668))),OR($C$5="Semua",$C$5="",G1668=$C$5),OR($C$6="Semua",$C$6="",H1668=$C$6,H1668="Pengeluaran "&amp;$C$6,AND($C$6="Uang Kos Mama",H1668="Pengeluaran Uang Kos")),OR($C$7="Semua",$C$7="",I1668=$C$7),OR($C$8="Semua",$C$8="",C1668=$C$8,E1668=$C$8),OR($C$9="Semua",$C$9="",D1668=$C$9),OR($C$10="",B1668&gt;=$C$10),OR($C$11="",B1668&lt;=$C$11),OR($C$12&lt;&gt;"Ya",K1668&lt;&gt;""),OR($C$13="Semua",$C$13="",L1668=$C$13)),"✓","")</f>
        <v/>
      </c>
      <c r="N1668" s="93">
        <f>N(N1667)+IF(M1668="✓",1,0)</f>
        <v/>
      </c>
      <c r="O1668" s="93">
        <f>N(O1667)+IF(AND(B1668&lt;&gt;"",B1668&gt;='Uang Riba'!$H$30,B1668&lt;='Uang Riba'!$I$30,OR(H1668="Dana riba",H1668="Pinjam uang riba",I1668="Pinjam dari uang riba",I1668="Ganti uang riba",I1668="Kelebihan ganti dikembalikan",AND(C1668="Kantong Uang Riba",G1668="Pengeluaran"))),1,0)</f>
        <v/>
      </c>
      <c r="X1668" s="93">
        <f>IF(AND(B1668&lt;&gt;"",B1668&gt;='Buku Akun'!$H$4,B1668&lt;='Buku Akun'!$H$5,OR(C1668='Buku Akun'!$C$4,AND(D1668="Pindah",E1668='Buku Akun'!$C$4))),B1668+IF(AND(I1668="Selisih bunga",DAY(B1668)=1),0,0.01)+ROW()/10000000,"")</f>
        <v/>
      </c>
    </row>
    <row r="1669" outlineLevel="1" ht="15" customHeight="1" s="94">
      <c r="A1669" s="123">
        <f>IF(B1669="","",ROW()-15)</f>
        <v/>
      </c>
      <c r="B1669" s="124" t="n"/>
      <c r="C1669" s="123" t="n"/>
      <c r="D1669" s="123" t="n"/>
      <c r="E1669" s="123" t="n"/>
      <c r="F1669" s="125" t="n"/>
      <c r="G1669" s="123" t="n"/>
      <c r="H1669" s="123" t="n"/>
      <c r="I1669" s="123" t="n"/>
      <c r="J1669" s="123" t="n"/>
      <c r="K1669" s="123" t="n"/>
      <c r="L1669" s="123" t="n"/>
      <c r="M1669" s="123">
        <f>IF(AND(B1669&lt;&gt;"",OR($C$4="",ISNUMBER(SEARCH($C$4,C1669&amp;" "&amp;E1669&amp;" "&amp;G1669&amp;" "&amp;H1669&amp;" "&amp;I1669&amp;" "&amp;J1669&amp;" "&amp;K1669&amp;" "&amp;L1669))),OR($C$5="Semua",$C$5="",G1669=$C$5),OR($C$6="Semua",$C$6="",H1669=$C$6,H1669="Pengeluaran "&amp;$C$6,AND($C$6="Uang Kos Mama",H1669="Pengeluaran Uang Kos")),OR($C$7="Semua",$C$7="",I1669=$C$7),OR($C$8="Semua",$C$8="",C1669=$C$8,E1669=$C$8),OR($C$9="Semua",$C$9="",D1669=$C$9),OR($C$10="",B1669&gt;=$C$10),OR($C$11="",B1669&lt;=$C$11),OR($C$12&lt;&gt;"Ya",K1669&lt;&gt;""),OR($C$13="Semua",$C$13="",L1669=$C$13)),"✓","")</f>
        <v/>
      </c>
      <c r="N1669" s="93">
        <f>N(N1668)+IF(M1669="✓",1,0)</f>
        <v/>
      </c>
      <c r="O1669" s="93">
        <f>N(O1668)+IF(AND(B1669&lt;&gt;"",B1669&gt;='Uang Riba'!$H$30,B1669&lt;='Uang Riba'!$I$30,OR(H1669="Dana riba",H1669="Pinjam uang riba",I1669="Pinjam dari uang riba",I1669="Ganti uang riba",I1669="Kelebihan ganti dikembalikan",AND(C1669="Kantong Uang Riba",G1669="Pengeluaran"))),1,0)</f>
        <v/>
      </c>
      <c r="X1669" s="93">
        <f>IF(AND(B1669&lt;&gt;"",B1669&gt;='Buku Akun'!$H$4,B1669&lt;='Buku Akun'!$H$5,OR(C1669='Buku Akun'!$C$4,AND(D1669="Pindah",E1669='Buku Akun'!$C$4))),B1669+IF(AND(I1669="Selisih bunga",DAY(B1669)=1),0,0.01)+ROW()/10000000,"")</f>
        <v/>
      </c>
    </row>
    <row r="1670" outlineLevel="1" ht="15" customHeight="1" s="94">
      <c r="A1670" s="123">
        <f>IF(B1670="","",ROW()-15)</f>
        <v/>
      </c>
      <c r="B1670" s="124" t="n"/>
      <c r="C1670" s="123" t="n"/>
      <c r="D1670" s="123" t="n"/>
      <c r="E1670" s="123" t="n"/>
      <c r="F1670" s="125" t="n"/>
      <c r="G1670" s="123" t="n"/>
      <c r="H1670" s="123" t="n"/>
      <c r="I1670" s="123" t="n"/>
      <c r="J1670" s="123" t="n"/>
      <c r="K1670" s="123" t="n"/>
      <c r="L1670" s="123" t="n"/>
      <c r="M1670" s="123">
        <f>IF(AND(B1670&lt;&gt;"",OR($C$4="",ISNUMBER(SEARCH($C$4,C1670&amp;" "&amp;E1670&amp;" "&amp;G1670&amp;" "&amp;H1670&amp;" "&amp;I1670&amp;" "&amp;J1670&amp;" "&amp;K1670&amp;" "&amp;L1670))),OR($C$5="Semua",$C$5="",G1670=$C$5),OR($C$6="Semua",$C$6="",H1670=$C$6,H1670="Pengeluaran "&amp;$C$6,AND($C$6="Uang Kos Mama",H1670="Pengeluaran Uang Kos")),OR($C$7="Semua",$C$7="",I1670=$C$7),OR($C$8="Semua",$C$8="",C1670=$C$8,E1670=$C$8),OR($C$9="Semua",$C$9="",D1670=$C$9),OR($C$10="",B1670&gt;=$C$10),OR($C$11="",B1670&lt;=$C$11),OR($C$12&lt;&gt;"Ya",K1670&lt;&gt;""),OR($C$13="Semua",$C$13="",L1670=$C$13)),"✓","")</f>
        <v/>
      </c>
      <c r="N1670" s="93">
        <f>N(N1669)+IF(M1670="✓",1,0)</f>
        <v/>
      </c>
      <c r="O1670" s="93">
        <f>N(O1669)+IF(AND(B1670&lt;&gt;"",B1670&gt;='Uang Riba'!$H$30,B1670&lt;='Uang Riba'!$I$30,OR(H1670="Dana riba",H1670="Pinjam uang riba",I1670="Pinjam dari uang riba",I1670="Ganti uang riba",I1670="Kelebihan ganti dikembalikan",AND(C1670="Kantong Uang Riba",G1670="Pengeluaran"))),1,0)</f>
        <v/>
      </c>
      <c r="X1670" s="93">
        <f>IF(AND(B1670&lt;&gt;"",B1670&gt;='Buku Akun'!$H$4,B1670&lt;='Buku Akun'!$H$5,OR(C1670='Buku Akun'!$C$4,AND(D1670="Pindah",E1670='Buku Akun'!$C$4))),B1670+IF(AND(I1670="Selisih bunga",DAY(B1670)=1),0,0.01)+ROW()/10000000,"")</f>
        <v/>
      </c>
    </row>
    <row r="1671" outlineLevel="1" ht="15" customHeight="1" s="94">
      <c r="A1671" s="123">
        <f>IF(B1671="","",ROW()-15)</f>
        <v/>
      </c>
      <c r="B1671" s="124" t="n"/>
      <c r="C1671" s="123" t="n"/>
      <c r="D1671" s="123" t="n"/>
      <c r="E1671" s="123" t="n"/>
      <c r="F1671" s="125" t="n"/>
      <c r="G1671" s="123" t="n"/>
      <c r="H1671" s="123" t="n"/>
      <c r="I1671" s="123" t="n"/>
      <c r="J1671" s="123" t="n"/>
      <c r="K1671" s="123" t="n"/>
      <c r="L1671" s="123" t="n"/>
      <c r="M1671" s="123">
        <f>IF(AND(B1671&lt;&gt;"",OR($C$4="",ISNUMBER(SEARCH($C$4,C1671&amp;" "&amp;E1671&amp;" "&amp;G1671&amp;" "&amp;H1671&amp;" "&amp;I1671&amp;" "&amp;J1671&amp;" "&amp;K1671&amp;" "&amp;L1671))),OR($C$5="Semua",$C$5="",G1671=$C$5),OR($C$6="Semua",$C$6="",H1671=$C$6,H1671="Pengeluaran "&amp;$C$6,AND($C$6="Uang Kos Mama",H1671="Pengeluaran Uang Kos")),OR($C$7="Semua",$C$7="",I1671=$C$7),OR($C$8="Semua",$C$8="",C1671=$C$8,E1671=$C$8),OR($C$9="Semua",$C$9="",D1671=$C$9),OR($C$10="",B1671&gt;=$C$10),OR($C$11="",B1671&lt;=$C$11),OR($C$12&lt;&gt;"Ya",K1671&lt;&gt;""),OR($C$13="Semua",$C$13="",L1671=$C$13)),"✓","")</f>
        <v/>
      </c>
      <c r="N1671" s="93">
        <f>N(N1670)+IF(M1671="✓",1,0)</f>
        <v/>
      </c>
      <c r="O1671" s="93">
        <f>N(O1670)+IF(AND(B1671&lt;&gt;"",B1671&gt;='Uang Riba'!$H$30,B1671&lt;='Uang Riba'!$I$30,OR(H1671="Dana riba",H1671="Pinjam uang riba",I1671="Pinjam dari uang riba",I1671="Ganti uang riba",I1671="Kelebihan ganti dikembalikan",AND(C1671="Kantong Uang Riba",G1671="Pengeluaran"))),1,0)</f>
        <v/>
      </c>
      <c r="X1671" s="93">
        <f>IF(AND(B1671&lt;&gt;"",B1671&gt;='Buku Akun'!$H$4,B1671&lt;='Buku Akun'!$H$5,OR(C1671='Buku Akun'!$C$4,AND(D1671="Pindah",E1671='Buku Akun'!$C$4))),B1671+IF(AND(I1671="Selisih bunga",DAY(B1671)=1),0,0.01)+ROW()/10000000,"")</f>
        <v/>
      </c>
    </row>
    <row r="1672" outlineLevel="1" ht="15" customHeight="1" s="94">
      <c r="A1672" s="123">
        <f>IF(B1672="","",ROW()-15)</f>
        <v/>
      </c>
      <c r="B1672" s="124" t="n"/>
      <c r="C1672" s="123" t="n"/>
      <c r="D1672" s="123" t="n"/>
      <c r="E1672" s="123" t="n"/>
      <c r="F1672" s="125" t="n"/>
      <c r="G1672" s="123" t="n"/>
      <c r="H1672" s="123" t="n"/>
      <c r="I1672" s="123" t="n"/>
      <c r="J1672" s="123" t="n"/>
      <c r="K1672" s="123" t="n"/>
      <c r="L1672" s="123" t="n"/>
      <c r="M1672" s="123">
        <f>IF(AND(B1672&lt;&gt;"",OR($C$4="",ISNUMBER(SEARCH($C$4,C1672&amp;" "&amp;E1672&amp;" "&amp;G1672&amp;" "&amp;H1672&amp;" "&amp;I1672&amp;" "&amp;J1672&amp;" "&amp;K1672&amp;" "&amp;L1672))),OR($C$5="Semua",$C$5="",G1672=$C$5),OR($C$6="Semua",$C$6="",H1672=$C$6,H1672="Pengeluaran "&amp;$C$6,AND($C$6="Uang Kos Mama",H1672="Pengeluaran Uang Kos")),OR($C$7="Semua",$C$7="",I1672=$C$7),OR($C$8="Semua",$C$8="",C1672=$C$8,E1672=$C$8),OR($C$9="Semua",$C$9="",D1672=$C$9),OR($C$10="",B1672&gt;=$C$10),OR($C$11="",B1672&lt;=$C$11),OR($C$12&lt;&gt;"Ya",K1672&lt;&gt;""),OR($C$13="Semua",$C$13="",L1672=$C$13)),"✓","")</f>
        <v/>
      </c>
      <c r="N1672" s="93">
        <f>N(N1671)+IF(M1672="✓",1,0)</f>
        <v/>
      </c>
      <c r="O1672" s="93">
        <f>N(O1671)+IF(AND(B1672&lt;&gt;"",B1672&gt;='Uang Riba'!$H$30,B1672&lt;='Uang Riba'!$I$30,OR(H1672="Dana riba",H1672="Pinjam uang riba",I1672="Pinjam dari uang riba",I1672="Ganti uang riba",I1672="Kelebihan ganti dikembalikan",AND(C1672="Kantong Uang Riba",G1672="Pengeluaran"))),1,0)</f>
        <v/>
      </c>
      <c r="X1672" s="93">
        <f>IF(AND(B1672&lt;&gt;"",B1672&gt;='Buku Akun'!$H$4,B1672&lt;='Buku Akun'!$H$5,OR(C1672='Buku Akun'!$C$4,AND(D1672="Pindah",E1672='Buku Akun'!$C$4))),B1672+IF(AND(I1672="Selisih bunga",DAY(B1672)=1),0,0.01)+ROW()/10000000,"")</f>
        <v/>
      </c>
    </row>
    <row r="1673" outlineLevel="1" ht="15" customHeight="1" s="94">
      <c r="A1673" s="123">
        <f>IF(B1673="","",ROW()-15)</f>
        <v/>
      </c>
      <c r="B1673" s="124" t="n"/>
      <c r="C1673" s="123" t="n"/>
      <c r="D1673" s="123" t="n"/>
      <c r="E1673" s="123" t="n"/>
      <c r="F1673" s="125" t="n"/>
      <c r="G1673" s="123" t="n"/>
      <c r="H1673" s="123" t="n"/>
      <c r="I1673" s="123" t="n"/>
      <c r="J1673" s="123" t="n"/>
      <c r="K1673" s="123" t="n"/>
      <c r="L1673" s="123" t="n"/>
      <c r="M1673" s="123">
        <f>IF(AND(B1673&lt;&gt;"",OR($C$4="",ISNUMBER(SEARCH($C$4,C1673&amp;" "&amp;E1673&amp;" "&amp;G1673&amp;" "&amp;H1673&amp;" "&amp;I1673&amp;" "&amp;J1673&amp;" "&amp;K1673&amp;" "&amp;L1673))),OR($C$5="Semua",$C$5="",G1673=$C$5),OR($C$6="Semua",$C$6="",H1673=$C$6,H1673="Pengeluaran "&amp;$C$6,AND($C$6="Uang Kos Mama",H1673="Pengeluaran Uang Kos")),OR($C$7="Semua",$C$7="",I1673=$C$7),OR($C$8="Semua",$C$8="",C1673=$C$8,E1673=$C$8),OR($C$9="Semua",$C$9="",D1673=$C$9),OR($C$10="",B1673&gt;=$C$10),OR($C$11="",B1673&lt;=$C$11),OR($C$12&lt;&gt;"Ya",K1673&lt;&gt;""),OR($C$13="Semua",$C$13="",L1673=$C$13)),"✓","")</f>
        <v/>
      </c>
      <c r="N1673" s="93">
        <f>N(N1672)+IF(M1673="✓",1,0)</f>
        <v/>
      </c>
      <c r="O1673" s="93">
        <f>N(O1672)+IF(AND(B1673&lt;&gt;"",B1673&gt;='Uang Riba'!$H$30,B1673&lt;='Uang Riba'!$I$30,OR(H1673="Dana riba",H1673="Pinjam uang riba",I1673="Pinjam dari uang riba",I1673="Ganti uang riba",I1673="Kelebihan ganti dikembalikan",AND(C1673="Kantong Uang Riba",G1673="Pengeluaran"))),1,0)</f>
        <v/>
      </c>
      <c r="X1673" s="93">
        <f>IF(AND(B1673&lt;&gt;"",B1673&gt;='Buku Akun'!$H$4,B1673&lt;='Buku Akun'!$H$5,OR(C1673='Buku Akun'!$C$4,AND(D1673="Pindah",E1673='Buku Akun'!$C$4))),B1673+IF(AND(I1673="Selisih bunga",DAY(B1673)=1),0,0.01)+ROW()/10000000,"")</f>
        <v/>
      </c>
    </row>
    <row r="1674" outlineLevel="1" ht="15" customHeight="1" s="94">
      <c r="A1674" s="123">
        <f>IF(B1674="","",ROW()-15)</f>
        <v/>
      </c>
      <c r="B1674" s="124" t="n"/>
      <c r="C1674" s="123" t="n"/>
      <c r="D1674" s="123" t="n"/>
      <c r="E1674" s="123" t="n"/>
      <c r="F1674" s="125" t="n"/>
      <c r="G1674" s="123" t="n"/>
      <c r="H1674" s="123" t="n"/>
      <c r="I1674" s="123" t="n"/>
      <c r="J1674" s="123" t="n"/>
      <c r="K1674" s="123" t="n"/>
      <c r="L1674" s="123" t="n"/>
      <c r="M1674" s="123">
        <f>IF(AND(B1674&lt;&gt;"",OR($C$4="",ISNUMBER(SEARCH($C$4,C1674&amp;" "&amp;E1674&amp;" "&amp;G1674&amp;" "&amp;H1674&amp;" "&amp;I1674&amp;" "&amp;J1674&amp;" "&amp;K1674&amp;" "&amp;L1674))),OR($C$5="Semua",$C$5="",G1674=$C$5),OR($C$6="Semua",$C$6="",H1674=$C$6,H1674="Pengeluaran "&amp;$C$6,AND($C$6="Uang Kos Mama",H1674="Pengeluaran Uang Kos")),OR($C$7="Semua",$C$7="",I1674=$C$7),OR($C$8="Semua",$C$8="",C1674=$C$8,E1674=$C$8),OR($C$9="Semua",$C$9="",D1674=$C$9),OR($C$10="",B1674&gt;=$C$10),OR($C$11="",B1674&lt;=$C$11),OR($C$12&lt;&gt;"Ya",K1674&lt;&gt;""),OR($C$13="Semua",$C$13="",L1674=$C$13)),"✓","")</f>
        <v/>
      </c>
      <c r="N1674" s="93">
        <f>N(N1673)+IF(M1674="✓",1,0)</f>
        <v/>
      </c>
      <c r="O1674" s="93">
        <f>N(O1673)+IF(AND(B1674&lt;&gt;"",B1674&gt;='Uang Riba'!$H$30,B1674&lt;='Uang Riba'!$I$30,OR(H1674="Dana riba",H1674="Pinjam uang riba",I1674="Pinjam dari uang riba",I1674="Ganti uang riba",I1674="Kelebihan ganti dikembalikan",AND(C1674="Kantong Uang Riba",G1674="Pengeluaran"))),1,0)</f>
        <v/>
      </c>
      <c r="X1674" s="93">
        <f>IF(AND(B1674&lt;&gt;"",B1674&gt;='Buku Akun'!$H$4,B1674&lt;='Buku Akun'!$H$5,OR(C1674='Buku Akun'!$C$4,AND(D1674="Pindah",E1674='Buku Akun'!$C$4))),B1674+IF(AND(I1674="Selisih bunga",DAY(B1674)=1),0,0.01)+ROW()/10000000,"")</f>
        <v/>
      </c>
    </row>
    <row r="1675" outlineLevel="1" ht="15" customHeight="1" s="94">
      <c r="A1675" s="123">
        <f>IF(B1675="","",ROW()-15)</f>
        <v/>
      </c>
      <c r="B1675" s="124" t="n"/>
      <c r="C1675" s="123" t="n"/>
      <c r="D1675" s="123" t="n"/>
      <c r="E1675" s="123" t="n"/>
      <c r="F1675" s="125" t="n"/>
      <c r="G1675" s="123" t="n"/>
      <c r="H1675" s="123" t="n"/>
      <c r="I1675" s="123" t="n"/>
      <c r="J1675" s="123" t="n"/>
      <c r="K1675" s="123" t="n"/>
      <c r="L1675" s="123" t="n"/>
      <c r="M1675" s="123">
        <f>IF(AND(B1675&lt;&gt;"",OR($C$4="",ISNUMBER(SEARCH($C$4,C1675&amp;" "&amp;E1675&amp;" "&amp;G1675&amp;" "&amp;H1675&amp;" "&amp;I1675&amp;" "&amp;J1675&amp;" "&amp;K1675&amp;" "&amp;L1675))),OR($C$5="Semua",$C$5="",G1675=$C$5),OR($C$6="Semua",$C$6="",H1675=$C$6,H1675="Pengeluaran "&amp;$C$6,AND($C$6="Uang Kos Mama",H1675="Pengeluaran Uang Kos")),OR($C$7="Semua",$C$7="",I1675=$C$7),OR($C$8="Semua",$C$8="",C1675=$C$8,E1675=$C$8),OR($C$9="Semua",$C$9="",D1675=$C$9),OR($C$10="",B1675&gt;=$C$10),OR($C$11="",B1675&lt;=$C$11),OR($C$12&lt;&gt;"Ya",K1675&lt;&gt;""),OR($C$13="Semua",$C$13="",L1675=$C$13)),"✓","")</f>
        <v/>
      </c>
      <c r="N1675" s="93">
        <f>N(N1674)+IF(M1675="✓",1,0)</f>
        <v/>
      </c>
      <c r="O1675" s="93">
        <f>N(O1674)+IF(AND(B1675&lt;&gt;"",B1675&gt;='Uang Riba'!$H$30,B1675&lt;='Uang Riba'!$I$30,OR(H1675="Dana riba",H1675="Pinjam uang riba",I1675="Pinjam dari uang riba",I1675="Ganti uang riba",I1675="Kelebihan ganti dikembalikan",AND(C1675="Kantong Uang Riba",G1675="Pengeluaran"))),1,0)</f>
        <v/>
      </c>
      <c r="X1675" s="93">
        <f>IF(AND(B1675&lt;&gt;"",B1675&gt;='Buku Akun'!$H$4,B1675&lt;='Buku Akun'!$H$5,OR(C1675='Buku Akun'!$C$4,AND(D1675="Pindah",E1675='Buku Akun'!$C$4))),B1675+IF(AND(I1675="Selisih bunga",DAY(B1675)=1),0,0.01)+ROW()/10000000,"")</f>
        <v/>
      </c>
    </row>
    <row r="1676" outlineLevel="1" ht="15" customHeight="1" s="94">
      <c r="A1676" s="123">
        <f>IF(B1676="","",ROW()-15)</f>
        <v/>
      </c>
      <c r="B1676" s="124" t="n"/>
      <c r="C1676" s="123" t="n"/>
      <c r="D1676" s="123" t="n"/>
      <c r="E1676" s="123" t="n"/>
      <c r="F1676" s="125" t="n"/>
      <c r="G1676" s="123" t="n"/>
      <c r="H1676" s="123" t="n"/>
      <c r="I1676" s="123" t="n"/>
      <c r="J1676" s="123" t="n"/>
      <c r="K1676" s="123" t="n"/>
      <c r="L1676" s="123" t="n"/>
      <c r="M1676" s="123">
        <f>IF(AND(B1676&lt;&gt;"",OR($C$4="",ISNUMBER(SEARCH($C$4,C1676&amp;" "&amp;E1676&amp;" "&amp;G1676&amp;" "&amp;H1676&amp;" "&amp;I1676&amp;" "&amp;J1676&amp;" "&amp;K1676&amp;" "&amp;L1676))),OR($C$5="Semua",$C$5="",G1676=$C$5),OR($C$6="Semua",$C$6="",H1676=$C$6,H1676="Pengeluaran "&amp;$C$6,AND($C$6="Uang Kos Mama",H1676="Pengeluaran Uang Kos")),OR($C$7="Semua",$C$7="",I1676=$C$7),OR($C$8="Semua",$C$8="",C1676=$C$8,E1676=$C$8),OR($C$9="Semua",$C$9="",D1676=$C$9),OR($C$10="",B1676&gt;=$C$10),OR($C$11="",B1676&lt;=$C$11),OR($C$12&lt;&gt;"Ya",K1676&lt;&gt;""),OR($C$13="Semua",$C$13="",L1676=$C$13)),"✓","")</f>
        <v/>
      </c>
      <c r="N1676" s="93">
        <f>N(N1675)+IF(M1676="✓",1,0)</f>
        <v/>
      </c>
      <c r="O1676" s="93">
        <f>N(O1675)+IF(AND(B1676&lt;&gt;"",B1676&gt;='Uang Riba'!$H$30,B1676&lt;='Uang Riba'!$I$30,OR(H1676="Dana riba",H1676="Pinjam uang riba",I1676="Pinjam dari uang riba",I1676="Ganti uang riba",I1676="Kelebihan ganti dikembalikan",AND(C1676="Kantong Uang Riba",G1676="Pengeluaran"))),1,0)</f>
        <v/>
      </c>
      <c r="X1676" s="93">
        <f>IF(AND(B1676&lt;&gt;"",B1676&gt;='Buku Akun'!$H$4,B1676&lt;='Buku Akun'!$H$5,OR(C1676='Buku Akun'!$C$4,AND(D1676="Pindah",E1676='Buku Akun'!$C$4))),B1676+IF(AND(I1676="Selisih bunga",DAY(B1676)=1),0,0.01)+ROW()/10000000,"")</f>
        <v/>
      </c>
    </row>
    <row r="1677" outlineLevel="1" ht="15" customHeight="1" s="94">
      <c r="A1677" s="123">
        <f>IF(B1677="","",ROW()-15)</f>
        <v/>
      </c>
      <c r="B1677" s="124" t="n"/>
      <c r="C1677" s="123" t="n"/>
      <c r="D1677" s="123" t="n"/>
      <c r="E1677" s="123" t="n"/>
      <c r="F1677" s="125" t="n"/>
      <c r="G1677" s="123" t="n"/>
      <c r="H1677" s="123" t="n"/>
      <c r="I1677" s="123" t="n"/>
      <c r="J1677" s="123" t="n"/>
      <c r="K1677" s="123" t="n"/>
      <c r="L1677" s="123" t="n"/>
      <c r="M1677" s="123">
        <f>IF(AND(B1677&lt;&gt;"",OR($C$4="",ISNUMBER(SEARCH($C$4,C1677&amp;" "&amp;E1677&amp;" "&amp;G1677&amp;" "&amp;H1677&amp;" "&amp;I1677&amp;" "&amp;J1677&amp;" "&amp;K1677&amp;" "&amp;L1677))),OR($C$5="Semua",$C$5="",G1677=$C$5),OR($C$6="Semua",$C$6="",H1677=$C$6,H1677="Pengeluaran "&amp;$C$6,AND($C$6="Uang Kos Mama",H1677="Pengeluaran Uang Kos")),OR($C$7="Semua",$C$7="",I1677=$C$7),OR($C$8="Semua",$C$8="",C1677=$C$8,E1677=$C$8),OR($C$9="Semua",$C$9="",D1677=$C$9),OR($C$10="",B1677&gt;=$C$10),OR($C$11="",B1677&lt;=$C$11),OR($C$12&lt;&gt;"Ya",K1677&lt;&gt;""),OR($C$13="Semua",$C$13="",L1677=$C$13)),"✓","")</f>
        <v/>
      </c>
      <c r="N1677" s="93">
        <f>N(N1676)+IF(M1677="✓",1,0)</f>
        <v/>
      </c>
      <c r="O1677" s="93">
        <f>N(O1676)+IF(AND(B1677&lt;&gt;"",B1677&gt;='Uang Riba'!$H$30,B1677&lt;='Uang Riba'!$I$30,OR(H1677="Dana riba",H1677="Pinjam uang riba",I1677="Pinjam dari uang riba",I1677="Ganti uang riba",I1677="Kelebihan ganti dikembalikan",AND(C1677="Kantong Uang Riba",G1677="Pengeluaran"))),1,0)</f>
        <v/>
      </c>
      <c r="X1677" s="93">
        <f>IF(AND(B1677&lt;&gt;"",B1677&gt;='Buku Akun'!$H$4,B1677&lt;='Buku Akun'!$H$5,OR(C1677='Buku Akun'!$C$4,AND(D1677="Pindah",E1677='Buku Akun'!$C$4))),B1677+IF(AND(I1677="Selisih bunga",DAY(B1677)=1),0,0.01)+ROW()/10000000,"")</f>
        <v/>
      </c>
    </row>
    <row r="1678" outlineLevel="1" ht="15" customHeight="1" s="94">
      <c r="A1678" s="123">
        <f>IF(B1678="","",ROW()-15)</f>
        <v/>
      </c>
      <c r="B1678" s="124" t="n"/>
      <c r="C1678" s="123" t="n"/>
      <c r="D1678" s="123" t="n"/>
      <c r="E1678" s="123" t="n"/>
      <c r="F1678" s="125" t="n"/>
      <c r="G1678" s="123" t="n"/>
      <c r="H1678" s="123" t="n"/>
      <c r="I1678" s="123" t="n"/>
      <c r="J1678" s="123" t="n"/>
      <c r="K1678" s="123" t="n"/>
      <c r="L1678" s="123" t="n"/>
      <c r="M1678" s="123">
        <f>IF(AND(B1678&lt;&gt;"",OR($C$4="",ISNUMBER(SEARCH($C$4,C1678&amp;" "&amp;E1678&amp;" "&amp;G1678&amp;" "&amp;H1678&amp;" "&amp;I1678&amp;" "&amp;J1678&amp;" "&amp;K1678&amp;" "&amp;L1678))),OR($C$5="Semua",$C$5="",G1678=$C$5),OR($C$6="Semua",$C$6="",H1678=$C$6,H1678="Pengeluaran "&amp;$C$6,AND($C$6="Uang Kos Mama",H1678="Pengeluaran Uang Kos")),OR($C$7="Semua",$C$7="",I1678=$C$7),OR($C$8="Semua",$C$8="",C1678=$C$8,E1678=$C$8),OR($C$9="Semua",$C$9="",D1678=$C$9),OR($C$10="",B1678&gt;=$C$10),OR($C$11="",B1678&lt;=$C$11),OR($C$12&lt;&gt;"Ya",K1678&lt;&gt;""),OR($C$13="Semua",$C$13="",L1678=$C$13)),"✓","")</f>
        <v/>
      </c>
      <c r="N1678" s="93">
        <f>N(N1677)+IF(M1678="✓",1,0)</f>
        <v/>
      </c>
      <c r="O1678" s="93">
        <f>N(O1677)+IF(AND(B1678&lt;&gt;"",B1678&gt;='Uang Riba'!$H$30,B1678&lt;='Uang Riba'!$I$30,OR(H1678="Dana riba",H1678="Pinjam uang riba",I1678="Pinjam dari uang riba",I1678="Ganti uang riba",I1678="Kelebihan ganti dikembalikan",AND(C1678="Kantong Uang Riba",G1678="Pengeluaran"))),1,0)</f>
        <v/>
      </c>
      <c r="X1678" s="93">
        <f>IF(AND(B1678&lt;&gt;"",B1678&gt;='Buku Akun'!$H$4,B1678&lt;='Buku Akun'!$H$5,OR(C1678='Buku Akun'!$C$4,AND(D1678="Pindah",E1678='Buku Akun'!$C$4))),B1678+IF(AND(I1678="Selisih bunga",DAY(B1678)=1),0,0.01)+ROW()/10000000,"")</f>
        <v/>
      </c>
    </row>
    <row r="1679" outlineLevel="1" ht="15" customHeight="1" s="94">
      <c r="A1679" s="123">
        <f>IF(B1679="","",ROW()-15)</f>
        <v/>
      </c>
      <c r="B1679" s="124" t="n"/>
      <c r="C1679" s="123" t="n"/>
      <c r="D1679" s="123" t="n"/>
      <c r="E1679" s="123" t="n"/>
      <c r="F1679" s="125" t="n"/>
      <c r="G1679" s="123" t="n"/>
      <c r="H1679" s="123" t="n"/>
      <c r="I1679" s="123" t="n"/>
      <c r="J1679" s="123" t="n"/>
      <c r="K1679" s="123" t="n"/>
      <c r="L1679" s="123" t="n"/>
      <c r="M1679" s="123">
        <f>IF(AND(B1679&lt;&gt;"",OR($C$4="",ISNUMBER(SEARCH($C$4,C1679&amp;" "&amp;E1679&amp;" "&amp;G1679&amp;" "&amp;H1679&amp;" "&amp;I1679&amp;" "&amp;J1679&amp;" "&amp;K1679&amp;" "&amp;L1679))),OR($C$5="Semua",$C$5="",G1679=$C$5),OR($C$6="Semua",$C$6="",H1679=$C$6,H1679="Pengeluaran "&amp;$C$6,AND($C$6="Uang Kos Mama",H1679="Pengeluaran Uang Kos")),OR($C$7="Semua",$C$7="",I1679=$C$7),OR($C$8="Semua",$C$8="",C1679=$C$8,E1679=$C$8),OR($C$9="Semua",$C$9="",D1679=$C$9),OR($C$10="",B1679&gt;=$C$10),OR($C$11="",B1679&lt;=$C$11),OR($C$12&lt;&gt;"Ya",K1679&lt;&gt;""),OR($C$13="Semua",$C$13="",L1679=$C$13)),"✓","")</f>
        <v/>
      </c>
      <c r="N1679" s="93">
        <f>N(N1678)+IF(M1679="✓",1,0)</f>
        <v/>
      </c>
      <c r="O1679" s="93">
        <f>N(O1678)+IF(AND(B1679&lt;&gt;"",B1679&gt;='Uang Riba'!$H$30,B1679&lt;='Uang Riba'!$I$30,OR(H1679="Dana riba",H1679="Pinjam uang riba",I1679="Pinjam dari uang riba",I1679="Ganti uang riba",I1679="Kelebihan ganti dikembalikan",AND(C1679="Kantong Uang Riba",G1679="Pengeluaran"))),1,0)</f>
        <v/>
      </c>
      <c r="X1679" s="93">
        <f>IF(AND(B1679&lt;&gt;"",B1679&gt;='Buku Akun'!$H$4,B1679&lt;='Buku Akun'!$H$5,OR(C1679='Buku Akun'!$C$4,AND(D1679="Pindah",E1679='Buku Akun'!$C$4))),B1679+IF(AND(I1679="Selisih bunga",DAY(B1679)=1),0,0.01)+ROW()/10000000,"")</f>
        <v/>
      </c>
    </row>
    <row r="1680" outlineLevel="1" ht="15" customHeight="1" s="94">
      <c r="A1680" s="123">
        <f>IF(B1680="","",ROW()-15)</f>
        <v/>
      </c>
      <c r="B1680" s="124" t="n"/>
      <c r="C1680" s="123" t="n"/>
      <c r="D1680" s="123" t="n"/>
      <c r="E1680" s="123" t="n"/>
      <c r="F1680" s="125" t="n"/>
      <c r="G1680" s="123" t="n"/>
      <c r="H1680" s="123" t="n"/>
      <c r="I1680" s="123" t="n"/>
      <c r="J1680" s="123" t="n"/>
      <c r="K1680" s="123" t="n"/>
      <c r="L1680" s="123" t="n"/>
      <c r="M1680" s="123">
        <f>IF(AND(B1680&lt;&gt;"",OR($C$4="",ISNUMBER(SEARCH($C$4,C1680&amp;" "&amp;E1680&amp;" "&amp;G1680&amp;" "&amp;H1680&amp;" "&amp;I1680&amp;" "&amp;J1680&amp;" "&amp;K1680&amp;" "&amp;L1680))),OR($C$5="Semua",$C$5="",G1680=$C$5),OR($C$6="Semua",$C$6="",H1680=$C$6,H1680="Pengeluaran "&amp;$C$6,AND($C$6="Uang Kos Mama",H1680="Pengeluaran Uang Kos")),OR($C$7="Semua",$C$7="",I1680=$C$7),OR($C$8="Semua",$C$8="",C1680=$C$8,E1680=$C$8),OR($C$9="Semua",$C$9="",D1680=$C$9),OR($C$10="",B1680&gt;=$C$10),OR($C$11="",B1680&lt;=$C$11),OR($C$12&lt;&gt;"Ya",K1680&lt;&gt;""),OR($C$13="Semua",$C$13="",L1680=$C$13)),"✓","")</f>
        <v/>
      </c>
      <c r="N1680" s="93">
        <f>N(N1679)+IF(M1680="✓",1,0)</f>
        <v/>
      </c>
      <c r="O1680" s="93">
        <f>N(O1679)+IF(AND(B1680&lt;&gt;"",B1680&gt;='Uang Riba'!$H$30,B1680&lt;='Uang Riba'!$I$30,OR(H1680="Dana riba",H1680="Pinjam uang riba",I1680="Pinjam dari uang riba",I1680="Ganti uang riba",I1680="Kelebihan ganti dikembalikan",AND(C1680="Kantong Uang Riba",G1680="Pengeluaran"))),1,0)</f>
        <v/>
      </c>
      <c r="X1680" s="93">
        <f>IF(AND(B1680&lt;&gt;"",B1680&gt;='Buku Akun'!$H$4,B1680&lt;='Buku Akun'!$H$5,OR(C1680='Buku Akun'!$C$4,AND(D1680="Pindah",E1680='Buku Akun'!$C$4))),B1680+IF(AND(I1680="Selisih bunga",DAY(B1680)=1),0,0.01)+ROW()/10000000,"")</f>
        <v/>
      </c>
    </row>
    <row r="1681" outlineLevel="1" ht="15" customHeight="1" s="94">
      <c r="A1681" s="123">
        <f>IF(B1681="","",ROW()-15)</f>
        <v/>
      </c>
      <c r="B1681" s="124" t="n"/>
      <c r="C1681" s="123" t="n"/>
      <c r="D1681" s="123" t="n"/>
      <c r="E1681" s="123" t="n"/>
      <c r="F1681" s="125" t="n"/>
      <c r="G1681" s="123" t="n"/>
      <c r="H1681" s="123" t="n"/>
      <c r="I1681" s="123" t="n"/>
      <c r="J1681" s="123" t="n"/>
      <c r="K1681" s="123" t="n"/>
      <c r="L1681" s="123" t="n"/>
      <c r="M1681" s="123">
        <f>IF(AND(B1681&lt;&gt;"",OR($C$4="",ISNUMBER(SEARCH($C$4,C1681&amp;" "&amp;E1681&amp;" "&amp;G1681&amp;" "&amp;H1681&amp;" "&amp;I1681&amp;" "&amp;J1681&amp;" "&amp;K1681&amp;" "&amp;L1681))),OR($C$5="Semua",$C$5="",G1681=$C$5),OR($C$6="Semua",$C$6="",H1681=$C$6,H1681="Pengeluaran "&amp;$C$6,AND($C$6="Uang Kos Mama",H1681="Pengeluaran Uang Kos")),OR($C$7="Semua",$C$7="",I1681=$C$7),OR($C$8="Semua",$C$8="",C1681=$C$8,E1681=$C$8),OR($C$9="Semua",$C$9="",D1681=$C$9),OR($C$10="",B1681&gt;=$C$10),OR($C$11="",B1681&lt;=$C$11),OR($C$12&lt;&gt;"Ya",K1681&lt;&gt;""),OR($C$13="Semua",$C$13="",L1681=$C$13)),"✓","")</f>
        <v/>
      </c>
      <c r="N1681" s="93">
        <f>N(N1680)+IF(M1681="✓",1,0)</f>
        <v/>
      </c>
      <c r="O1681" s="93">
        <f>N(O1680)+IF(AND(B1681&lt;&gt;"",B1681&gt;='Uang Riba'!$H$30,B1681&lt;='Uang Riba'!$I$30,OR(H1681="Dana riba",H1681="Pinjam uang riba",I1681="Pinjam dari uang riba",I1681="Ganti uang riba",I1681="Kelebihan ganti dikembalikan",AND(C1681="Kantong Uang Riba",G1681="Pengeluaran"))),1,0)</f>
        <v/>
      </c>
      <c r="X1681" s="93">
        <f>IF(AND(B1681&lt;&gt;"",B1681&gt;='Buku Akun'!$H$4,B1681&lt;='Buku Akun'!$H$5,OR(C1681='Buku Akun'!$C$4,AND(D1681="Pindah",E1681='Buku Akun'!$C$4))),B1681+IF(AND(I1681="Selisih bunga",DAY(B1681)=1),0,0.01)+ROW()/10000000,"")</f>
        <v/>
      </c>
    </row>
    <row r="1682" outlineLevel="1" ht="15" customHeight="1" s="94">
      <c r="A1682" s="123">
        <f>IF(B1682="","",ROW()-15)</f>
        <v/>
      </c>
      <c r="B1682" s="124" t="n"/>
      <c r="C1682" s="123" t="n"/>
      <c r="D1682" s="123" t="n"/>
      <c r="E1682" s="123" t="n"/>
      <c r="F1682" s="125" t="n"/>
      <c r="G1682" s="123" t="n"/>
      <c r="H1682" s="123" t="n"/>
      <c r="I1682" s="123" t="n"/>
      <c r="J1682" s="123" t="n"/>
      <c r="K1682" s="123" t="n"/>
      <c r="L1682" s="123" t="n"/>
      <c r="M1682" s="123">
        <f>IF(AND(B1682&lt;&gt;"",OR($C$4="",ISNUMBER(SEARCH($C$4,C1682&amp;" "&amp;E1682&amp;" "&amp;G1682&amp;" "&amp;H1682&amp;" "&amp;I1682&amp;" "&amp;J1682&amp;" "&amp;K1682&amp;" "&amp;L1682))),OR($C$5="Semua",$C$5="",G1682=$C$5),OR($C$6="Semua",$C$6="",H1682=$C$6,H1682="Pengeluaran "&amp;$C$6,AND($C$6="Uang Kos Mama",H1682="Pengeluaran Uang Kos")),OR($C$7="Semua",$C$7="",I1682=$C$7),OR($C$8="Semua",$C$8="",C1682=$C$8,E1682=$C$8),OR($C$9="Semua",$C$9="",D1682=$C$9),OR($C$10="",B1682&gt;=$C$10),OR($C$11="",B1682&lt;=$C$11),OR($C$12&lt;&gt;"Ya",K1682&lt;&gt;""),OR($C$13="Semua",$C$13="",L1682=$C$13)),"✓","")</f>
        <v/>
      </c>
      <c r="N1682" s="93">
        <f>N(N1681)+IF(M1682="✓",1,0)</f>
        <v/>
      </c>
      <c r="O1682" s="93">
        <f>N(O1681)+IF(AND(B1682&lt;&gt;"",B1682&gt;='Uang Riba'!$H$30,B1682&lt;='Uang Riba'!$I$30,OR(H1682="Dana riba",H1682="Pinjam uang riba",I1682="Pinjam dari uang riba",I1682="Ganti uang riba",I1682="Kelebihan ganti dikembalikan",AND(C1682="Kantong Uang Riba",G1682="Pengeluaran"))),1,0)</f>
        <v/>
      </c>
      <c r="X1682" s="93">
        <f>IF(AND(B1682&lt;&gt;"",B1682&gt;='Buku Akun'!$H$4,B1682&lt;='Buku Akun'!$H$5,OR(C1682='Buku Akun'!$C$4,AND(D1682="Pindah",E1682='Buku Akun'!$C$4))),B1682+IF(AND(I1682="Selisih bunga",DAY(B1682)=1),0,0.01)+ROW()/10000000,"")</f>
        <v/>
      </c>
    </row>
    <row r="1683" outlineLevel="1" ht="15" customHeight="1" s="94">
      <c r="A1683" s="123">
        <f>IF(B1683="","",ROW()-15)</f>
        <v/>
      </c>
      <c r="B1683" s="124" t="n"/>
      <c r="C1683" s="123" t="n"/>
      <c r="D1683" s="123" t="n"/>
      <c r="E1683" s="123" t="n"/>
      <c r="F1683" s="125" t="n"/>
      <c r="G1683" s="123" t="n"/>
      <c r="H1683" s="123" t="n"/>
      <c r="I1683" s="123" t="n"/>
      <c r="J1683" s="123" t="n"/>
      <c r="K1683" s="123" t="n"/>
      <c r="L1683" s="123" t="n"/>
      <c r="M1683" s="123">
        <f>IF(AND(B1683&lt;&gt;"",OR($C$4="",ISNUMBER(SEARCH($C$4,C1683&amp;" "&amp;E1683&amp;" "&amp;G1683&amp;" "&amp;H1683&amp;" "&amp;I1683&amp;" "&amp;J1683&amp;" "&amp;K1683&amp;" "&amp;L1683))),OR($C$5="Semua",$C$5="",G1683=$C$5),OR($C$6="Semua",$C$6="",H1683=$C$6,H1683="Pengeluaran "&amp;$C$6,AND($C$6="Uang Kos Mama",H1683="Pengeluaran Uang Kos")),OR($C$7="Semua",$C$7="",I1683=$C$7),OR($C$8="Semua",$C$8="",C1683=$C$8,E1683=$C$8),OR($C$9="Semua",$C$9="",D1683=$C$9),OR($C$10="",B1683&gt;=$C$10),OR($C$11="",B1683&lt;=$C$11),OR($C$12&lt;&gt;"Ya",K1683&lt;&gt;""),OR($C$13="Semua",$C$13="",L1683=$C$13)),"✓","")</f>
        <v/>
      </c>
      <c r="N1683" s="93">
        <f>N(N1682)+IF(M1683="✓",1,0)</f>
        <v/>
      </c>
      <c r="O1683" s="93">
        <f>N(O1682)+IF(AND(B1683&lt;&gt;"",B1683&gt;='Uang Riba'!$H$30,B1683&lt;='Uang Riba'!$I$30,OR(H1683="Dana riba",H1683="Pinjam uang riba",I1683="Pinjam dari uang riba",I1683="Ganti uang riba",I1683="Kelebihan ganti dikembalikan",AND(C1683="Kantong Uang Riba",G1683="Pengeluaran"))),1,0)</f>
        <v/>
      </c>
      <c r="X1683" s="93">
        <f>IF(AND(B1683&lt;&gt;"",B1683&gt;='Buku Akun'!$H$4,B1683&lt;='Buku Akun'!$H$5,OR(C1683='Buku Akun'!$C$4,AND(D1683="Pindah",E1683='Buku Akun'!$C$4))),B1683+IF(AND(I1683="Selisih bunga",DAY(B1683)=1),0,0.01)+ROW()/10000000,"")</f>
        <v/>
      </c>
    </row>
    <row r="1684" outlineLevel="1" ht="15" customHeight="1" s="94">
      <c r="A1684" s="123">
        <f>IF(B1684="","",ROW()-15)</f>
        <v/>
      </c>
      <c r="B1684" s="124" t="n"/>
      <c r="C1684" s="123" t="n"/>
      <c r="D1684" s="123" t="n"/>
      <c r="E1684" s="123" t="n"/>
      <c r="F1684" s="125" t="n"/>
      <c r="G1684" s="123" t="n"/>
      <c r="H1684" s="123" t="n"/>
      <c r="I1684" s="123" t="n"/>
      <c r="J1684" s="123" t="n"/>
      <c r="K1684" s="123" t="n"/>
      <c r="L1684" s="123" t="n"/>
      <c r="M1684" s="123">
        <f>IF(AND(B1684&lt;&gt;"",OR($C$4="",ISNUMBER(SEARCH($C$4,C1684&amp;" "&amp;E1684&amp;" "&amp;G1684&amp;" "&amp;H1684&amp;" "&amp;I1684&amp;" "&amp;J1684&amp;" "&amp;K1684&amp;" "&amp;L1684))),OR($C$5="Semua",$C$5="",G1684=$C$5),OR($C$6="Semua",$C$6="",H1684=$C$6,H1684="Pengeluaran "&amp;$C$6,AND($C$6="Uang Kos Mama",H1684="Pengeluaran Uang Kos")),OR($C$7="Semua",$C$7="",I1684=$C$7),OR($C$8="Semua",$C$8="",C1684=$C$8,E1684=$C$8),OR($C$9="Semua",$C$9="",D1684=$C$9),OR($C$10="",B1684&gt;=$C$10),OR($C$11="",B1684&lt;=$C$11),OR($C$12&lt;&gt;"Ya",K1684&lt;&gt;""),OR($C$13="Semua",$C$13="",L1684=$C$13)),"✓","")</f>
        <v/>
      </c>
      <c r="N1684" s="93">
        <f>N(N1683)+IF(M1684="✓",1,0)</f>
        <v/>
      </c>
      <c r="O1684" s="93">
        <f>N(O1683)+IF(AND(B1684&lt;&gt;"",B1684&gt;='Uang Riba'!$H$30,B1684&lt;='Uang Riba'!$I$30,OR(H1684="Dana riba",H1684="Pinjam uang riba",I1684="Pinjam dari uang riba",I1684="Ganti uang riba",I1684="Kelebihan ganti dikembalikan",AND(C1684="Kantong Uang Riba",G1684="Pengeluaran"))),1,0)</f>
        <v/>
      </c>
      <c r="X1684" s="93">
        <f>IF(AND(B1684&lt;&gt;"",B1684&gt;='Buku Akun'!$H$4,B1684&lt;='Buku Akun'!$H$5,OR(C1684='Buku Akun'!$C$4,AND(D1684="Pindah",E1684='Buku Akun'!$C$4))),B1684+IF(AND(I1684="Selisih bunga",DAY(B1684)=1),0,0.01)+ROW()/10000000,"")</f>
        <v/>
      </c>
    </row>
    <row r="1685" outlineLevel="1" ht="15" customHeight="1" s="94">
      <c r="A1685" s="123">
        <f>IF(B1685="","",ROW()-15)</f>
        <v/>
      </c>
      <c r="B1685" s="124" t="n"/>
      <c r="C1685" s="123" t="n"/>
      <c r="D1685" s="123" t="n"/>
      <c r="E1685" s="123" t="n"/>
      <c r="F1685" s="125" t="n"/>
      <c r="G1685" s="123" t="n"/>
      <c r="H1685" s="123" t="n"/>
      <c r="I1685" s="123" t="n"/>
      <c r="J1685" s="123" t="n"/>
      <c r="K1685" s="123" t="n"/>
      <c r="L1685" s="123" t="n"/>
      <c r="M1685" s="123">
        <f>IF(AND(B1685&lt;&gt;"",OR($C$4="",ISNUMBER(SEARCH($C$4,C1685&amp;" "&amp;E1685&amp;" "&amp;G1685&amp;" "&amp;H1685&amp;" "&amp;I1685&amp;" "&amp;J1685&amp;" "&amp;K1685&amp;" "&amp;L1685))),OR($C$5="Semua",$C$5="",G1685=$C$5),OR($C$6="Semua",$C$6="",H1685=$C$6,H1685="Pengeluaran "&amp;$C$6,AND($C$6="Uang Kos Mama",H1685="Pengeluaran Uang Kos")),OR($C$7="Semua",$C$7="",I1685=$C$7),OR($C$8="Semua",$C$8="",C1685=$C$8,E1685=$C$8),OR($C$9="Semua",$C$9="",D1685=$C$9),OR($C$10="",B1685&gt;=$C$10),OR($C$11="",B1685&lt;=$C$11),OR($C$12&lt;&gt;"Ya",K1685&lt;&gt;""),OR($C$13="Semua",$C$13="",L1685=$C$13)),"✓","")</f>
        <v/>
      </c>
      <c r="N1685" s="93">
        <f>N(N1684)+IF(M1685="✓",1,0)</f>
        <v/>
      </c>
      <c r="O1685" s="93">
        <f>N(O1684)+IF(AND(B1685&lt;&gt;"",B1685&gt;='Uang Riba'!$H$30,B1685&lt;='Uang Riba'!$I$30,OR(H1685="Dana riba",H1685="Pinjam uang riba",I1685="Pinjam dari uang riba",I1685="Ganti uang riba",I1685="Kelebihan ganti dikembalikan",AND(C1685="Kantong Uang Riba",G1685="Pengeluaran"))),1,0)</f>
        <v/>
      </c>
      <c r="X1685" s="93">
        <f>IF(AND(B1685&lt;&gt;"",B1685&gt;='Buku Akun'!$H$4,B1685&lt;='Buku Akun'!$H$5,OR(C1685='Buku Akun'!$C$4,AND(D1685="Pindah",E1685='Buku Akun'!$C$4))),B1685+IF(AND(I1685="Selisih bunga",DAY(B1685)=1),0,0.01)+ROW()/10000000,"")</f>
        <v/>
      </c>
    </row>
    <row r="1686" outlineLevel="1" ht="15" customHeight="1" s="94">
      <c r="A1686" s="123">
        <f>IF(B1686="","",ROW()-15)</f>
        <v/>
      </c>
      <c r="B1686" s="124" t="n"/>
      <c r="C1686" s="123" t="n"/>
      <c r="D1686" s="123" t="n"/>
      <c r="E1686" s="123" t="n"/>
      <c r="F1686" s="125" t="n"/>
      <c r="G1686" s="123" t="n"/>
      <c r="H1686" s="123" t="n"/>
      <c r="I1686" s="123" t="n"/>
      <c r="J1686" s="123" t="n"/>
      <c r="K1686" s="123" t="n"/>
      <c r="L1686" s="123" t="n"/>
      <c r="M1686" s="123">
        <f>IF(AND(B1686&lt;&gt;"",OR($C$4="",ISNUMBER(SEARCH($C$4,C1686&amp;" "&amp;E1686&amp;" "&amp;G1686&amp;" "&amp;H1686&amp;" "&amp;I1686&amp;" "&amp;J1686&amp;" "&amp;K1686&amp;" "&amp;L1686))),OR($C$5="Semua",$C$5="",G1686=$C$5),OR($C$6="Semua",$C$6="",H1686=$C$6,H1686="Pengeluaran "&amp;$C$6,AND($C$6="Uang Kos Mama",H1686="Pengeluaran Uang Kos")),OR($C$7="Semua",$C$7="",I1686=$C$7),OR($C$8="Semua",$C$8="",C1686=$C$8,E1686=$C$8),OR($C$9="Semua",$C$9="",D1686=$C$9),OR($C$10="",B1686&gt;=$C$10),OR($C$11="",B1686&lt;=$C$11),OR($C$12&lt;&gt;"Ya",K1686&lt;&gt;""),OR($C$13="Semua",$C$13="",L1686=$C$13)),"✓","")</f>
        <v/>
      </c>
      <c r="N1686" s="93">
        <f>N(N1685)+IF(M1686="✓",1,0)</f>
        <v/>
      </c>
      <c r="O1686" s="93">
        <f>N(O1685)+IF(AND(B1686&lt;&gt;"",B1686&gt;='Uang Riba'!$H$30,B1686&lt;='Uang Riba'!$I$30,OR(H1686="Dana riba",H1686="Pinjam uang riba",I1686="Pinjam dari uang riba",I1686="Ganti uang riba",I1686="Kelebihan ganti dikembalikan",AND(C1686="Kantong Uang Riba",G1686="Pengeluaran"))),1,0)</f>
        <v/>
      </c>
      <c r="X1686" s="93">
        <f>IF(AND(B1686&lt;&gt;"",B1686&gt;='Buku Akun'!$H$4,B1686&lt;='Buku Akun'!$H$5,OR(C1686='Buku Akun'!$C$4,AND(D1686="Pindah",E1686='Buku Akun'!$C$4))),B1686+IF(AND(I1686="Selisih bunga",DAY(B1686)=1),0,0.01)+ROW()/10000000,"")</f>
        <v/>
      </c>
    </row>
    <row r="1687" outlineLevel="1" ht="15" customHeight="1" s="94">
      <c r="A1687" s="123">
        <f>IF(B1687="","",ROW()-15)</f>
        <v/>
      </c>
      <c r="B1687" s="124" t="n"/>
      <c r="C1687" s="123" t="n"/>
      <c r="D1687" s="123" t="n"/>
      <c r="E1687" s="123" t="n"/>
      <c r="F1687" s="125" t="n"/>
      <c r="G1687" s="123" t="n"/>
      <c r="H1687" s="123" t="n"/>
      <c r="I1687" s="123" t="n"/>
      <c r="J1687" s="123" t="n"/>
      <c r="K1687" s="123" t="n"/>
      <c r="L1687" s="123" t="n"/>
      <c r="M1687" s="123">
        <f>IF(AND(B1687&lt;&gt;"",OR($C$4="",ISNUMBER(SEARCH($C$4,C1687&amp;" "&amp;E1687&amp;" "&amp;G1687&amp;" "&amp;H1687&amp;" "&amp;I1687&amp;" "&amp;J1687&amp;" "&amp;K1687&amp;" "&amp;L1687))),OR($C$5="Semua",$C$5="",G1687=$C$5),OR($C$6="Semua",$C$6="",H1687=$C$6,H1687="Pengeluaran "&amp;$C$6,AND($C$6="Uang Kos Mama",H1687="Pengeluaran Uang Kos")),OR($C$7="Semua",$C$7="",I1687=$C$7),OR($C$8="Semua",$C$8="",C1687=$C$8,E1687=$C$8),OR($C$9="Semua",$C$9="",D1687=$C$9),OR($C$10="",B1687&gt;=$C$10),OR($C$11="",B1687&lt;=$C$11),OR($C$12&lt;&gt;"Ya",K1687&lt;&gt;""),OR($C$13="Semua",$C$13="",L1687=$C$13)),"✓","")</f>
        <v/>
      </c>
      <c r="N1687" s="93">
        <f>N(N1686)+IF(M1687="✓",1,0)</f>
        <v/>
      </c>
      <c r="O1687" s="93">
        <f>N(O1686)+IF(AND(B1687&lt;&gt;"",B1687&gt;='Uang Riba'!$H$30,B1687&lt;='Uang Riba'!$I$30,OR(H1687="Dana riba",H1687="Pinjam uang riba",I1687="Pinjam dari uang riba",I1687="Ganti uang riba",I1687="Kelebihan ganti dikembalikan",AND(C1687="Kantong Uang Riba",G1687="Pengeluaran"))),1,0)</f>
        <v/>
      </c>
      <c r="X1687" s="93">
        <f>IF(AND(B1687&lt;&gt;"",B1687&gt;='Buku Akun'!$H$4,B1687&lt;='Buku Akun'!$H$5,OR(C1687='Buku Akun'!$C$4,AND(D1687="Pindah",E1687='Buku Akun'!$C$4))),B1687+IF(AND(I1687="Selisih bunga",DAY(B1687)=1),0,0.01)+ROW()/10000000,"")</f>
        <v/>
      </c>
    </row>
    <row r="1688" outlineLevel="1" ht="15" customHeight="1" s="94">
      <c r="A1688" s="123">
        <f>IF(B1688="","",ROW()-15)</f>
        <v/>
      </c>
      <c r="B1688" s="124" t="n"/>
      <c r="C1688" s="123" t="n"/>
      <c r="D1688" s="123" t="n"/>
      <c r="E1688" s="123" t="n"/>
      <c r="F1688" s="125" t="n"/>
      <c r="G1688" s="123" t="n"/>
      <c r="H1688" s="123" t="n"/>
      <c r="I1688" s="123" t="n"/>
      <c r="J1688" s="123" t="n"/>
      <c r="K1688" s="123" t="n"/>
      <c r="L1688" s="123" t="n"/>
      <c r="M1688" s="123">
        <f>IF(AND(B1688&lt;&gt;"",OR($C$4="",ISNUMBER(SEARCH($C$4,C1688&amp;" "&amp;E1688&amp;" "&amp;G1688&amp;" "&amp;H1688&amp;" "&amp;I1688&amp;" "&amp;J1688&amp;" "&amp;K1688&amp;" "&amp;L1688))),OR($C$5="Semua",$C$5="",G1688=$C$5),OR($C$6="Semua",$C$6="",H1688=$C$6,H1688="Pengeluaran "&amp;$C$6,AND($C$6="Uang Kos Mama",H1688="Pengeluaran Uang Kos")),OR($C$7="Semua",$C$7="",I1688=$C$7),OR($C$8="Semua",$C$8="",C1688=$C$8,E1688=$C$8),OR($C$9="Semua",$C$9="",D1688=$C$9),OR($C$10="",B1688&gt;=$C$10),OR($C$11="",B1688&lt;=$C$11),OR($C$12&lt;&gt;"Ya",K1688&lt;&gt;""),OR($C$13="Semua",$C$13="",L1688=$C$13)),"✓","")</f>
        <v/>
      </c>
      <c r="N1688" s="93">
        <f>N(N1687)+IF(M1688="✓",1,0)</f>
        <v/>
      </c>
      <c r="O1688" s="93">
        <f>N(O1687)+IF(AND(B1688&lt;&gt;"",B1688&gt;='Uang Riba'!$H$30,B1688&lt;='Uang Riba'!$I$30,OR(H1688="Dana riba",H1688="Pinjam uang riba",I1688="Pinjam dari uang riba",I1688="Ganti uang riba",I1688="Kelebihan ganti dikembalikan",AND(C1688="Kantong Uang Riba",G1688="Pengeluaran"))),1,0)</f>
        <v/>
      </c>
      <c r="X1688" s="93">
        <f>IF(AND(B1688&lt;&gt;"",B1688&gt;='Buku Akun'!$H$4,B1688&lt;='Buku Akun'!$H$5,OR(C1688='Buku Akun'!$C$4,AND(D1688="Pindah",E1688='Buku Akun'!$C$4))),B1688+IF(AND(I1688="Selisih bunga",DAY(B1688)=1),0,0.01)+ROW()/10000000,"")</f>
        <v/>
      </c>
    </row>
    <row r="1689" outlineLevel="1" ht="15" customHeight="1" s="94">
      <c r="A1689" s="123">
        <f>IF(B1689="","",ROW()-15)</f>
        <v/>
      </c>
      <c r="B1689" s="124" t="n"/>
      <c r="C1689" s="123" t="n"/>
      <c r="D1689" s="123" t="n"/>
      <c r="E1689" s="123" t="n"/>
      <c r="F1689" s="125" t="n"/>
      <c r="G1689" s="123" t="n"/>
      <c r="H1689" s="123" t="n"/>
      <c r="I1689" s="123" t="n"/>
      <c r="J1689" s="123" t="n"/>
      <c r="K1689" s="123" t="n"/>
      <c r="L1689" s="123" t="n"/>
      <c r="M1689" s="123">
        <f>IF(AND(B1689&lt;&gt;"",OR($C$4="",ISNUMBER(SEARCH($C$4,C1689&amp;" "&amp;E1689&amp;" "&amp;G1689&amp;" "&amp;H1689&amp;" "&amp;I1689&amp;" "&amp;J1689&amp;" "&amp;K1689&amp;" "&amp;L1689))),OR($C$5="Semua",$C$5="",G1689=$C$5),OR($C$6="Semua",$C$6="",H1689=$C$6,H1689="Pengeluaran "&amp;$C$6,AND($C$6="Uang Kos Mama",H1689="Pengeluaran Uang Kos")),OR($C$7="Semua",$C$7="",I1689=$C$7),OR($C$8="Semua",$C$8="",C1689=$C$8,E1689=$C$8),OR($C$9="Semua",$C$9="",D1689=$C$9),OR($C$10="",B1689&gt;=$C$10),OR($C$11="",B1689&lt;=$C$11),OR($C$12&lt;&gt;"Ya",K1689&lt;&gt;""),OR($C$13="Semua",$C$13="",L1689=$C$13)),"✓","")</f>
        <v/>
      </c>
      <c r="N1689" s="93">
        <f>N(N1688)+IF(M1689="✓",1,0)</f>
        <v/>
      </c>
      <c r="O1689" s="93">
        <f>N(O1688)+IF(AND(B1689&lt;&gt;"",B1689&gt;='Uang Riba'!$H$30,B1689&lt;='Uang Riba'!$I$30,OR(H1689="Dana riba",H1689="Pinjam uang riba",I1689="Pinjam dari uang riba",I1689="Ganti uang riba",I1689="Kelebihan ganti dikembalikan",AND(C1689="Kantong Uang Riba",G1689="Pengeluaran"))),1,0)</f>
        <v/>
      </c>
      <c r="X1689" s="93">
        <f>IF(AND(B1689&lt;&gt;"",B1689&gt;='Buku Akun'!$H$4,B1689&lt;='Buku Akun'!$H$5,OR(C1689='Buku Akun'!$C$4,AND(D1689="Pindah",E1689='Buku Akun'!$C$4))),B1689+IF(AND(I1689="Selisih bunga",DAY(B1689)=1),0,0.01)+ROW()/10000000,"")</f>
        <v/>
      </c>
    </row>
    <row r="1690" outlineLevel="1" ht="15" customHeight="1" s="94">
      <c r="A1690" s="123">
        <f>IF(B1690="","",ROW()-15)</f>
        <v/>
      </c>
      <c r="B1690" s="124" t="n"/>
      <c r="C1690" s="123" t="n"/>
      <c r="D1690" s="123" t="n"/>
      <c r="E1690" s="123" t="n"/>
      <c r="F1690" s="125" t="n"/>
      <c r="G1690" s="123" t="n"/>
      <c r="H1690" s="123" t="n"/>
      <c r="I1690" s="123" t="n"/>
      <c r="J1690" s="123" t="n"/>
      <c r="K1690" s="123" t="n"/>
      <c r="L1690" s="123" t="n"/>
      <c r="M1690" s="123">
        <f>IF(AND(B1690&lt;&gt;"",OR($C$4="",ISNUMBER(SEARCH($C$4,C1690&amp;" "&amp;E1690&amp;" "&amp;G1690&amp;" "&amp;H1690&amp;" "&amp;I1690&amp;" "&amp;J1690&amp;" "&amp;K1690&amp;" "&amp;L1690))),OR($C$5="Semua",$C$5="",G1690=$C$5),OR($C$6="Semua",$C$6="",H1690=$C$6,H1690="Pengeluaran "&amp;$C$6,AND($C$6="Uang Kos Mama",H1690="Pengeluaran Uang Kos")),OR($C$7="Semua",$C$7="",I1690=$C$7),OR($C$8="Semua",$C$8="",C1690=$C$8,E1690=$C$8),OR($C$9="Semua",$C$9="",D1690=$C$9),OR($C$10="",B1690&gt;=$C$10),OR($C$11="",B1690&lt;=$C$11),OR($C$12&lt;&gt;"Ya",K1690&lt;&gt;""),OR($C$13="Semua",$C$13="",L1690=$C$13)),"✓","")</f>
        <v/>
      </c>
      <c r="N1690" s="93">
        <f>N(N1689)+IF(M1690="✓",1,0)</f>
        <v/>
      </c>
      <c r="O1690" s="93">
        <f>N(O1689)+IF(AND(B1690&lt;&gt;"",B1690&gt;='Uang Riba'!$H$30,B1690&lt;='Uang Riba'!$I$30,OR(H1690="Dana riba",H1690="Pinjam uang riba",I1690="Pinjam dari uang riba",I1690="Ganti uang riba",I1690="Kelebihan ganti dikembalikan",AND(C1690="Kantong Uang Riba",G1690="Pengeluaran"))),1,0)</f>
        <v/>
      </c>
      <c r="X1690" s="93">
        <f>IF(AND(B1690&lt;&gt;"",B1690&gt;='Buku Akun'!$H$4,B1690&lt;='Buku Akun'!$H$5,OR(C1690='Buku Akun'!$C$4,AND(D1690="Pindah",E1690='Buku Akun'!$C$4))),B1690+IF(AND(I1690="Selisih bunga",DAY(B1690)=1),0,0.01)+ROW()/10000000,"")</f>
        <v/>
      </c>
    </row>
    <row r="1691" outlineLevel="1" ht="15" customHeight="1" s="94">
      <c r="A1691" s="123">
        <f>IF(B1691="","",ROW()-15)</f>
        <v/>
      </c>
      <c r="B1691" s="124" t="n"/>
      <c r="C1691" s="123" t="n"/>
      <c r="D1691" s="123" t="n"/>
      <c r="E1691" s="123" t="n"/>
      <c r="F1691" s="125" t="n"/>
      <c r="G1691" s="123" t="n"/>
      <c r="H1691" s="123" t="n"/>
      <c r="I1691" s="123" t="n"/>
      <c r="J1691" s="123" t="n"/>
      <c r="K1691" s="123" t="n"/>
      <c r="L1691" s="123" t="n"/>
      <c r="M1691" s="123">
        <f>IF(AND(B1691&lt;&gt;"",OR($C$4="",ISNUMBER(SEARCH($C$4,C1691&amp;" "&amp;E1691&amp;" "&amp;G1691&amp;" "&amp;H1691&amp;" "&amp;I1691&amp;" "&amp;J1691&amp;" "&amp;K1691&amp;" "&amp;L1691))),OR($C$5="Semua",$C$5="",G1691=$C$5),OR($C$6="Semua",$C$6="",H1691=$C$6,H1691="Pengeluaran "&amp;$C$6,AND($C$6="Uang Kos Mama",H1691="Pengeluaran Uang Kos")),OR($C$7="Semua",$C$7="",I1691=$C$7),OR($C$8="Semua",$C$8="",C1691=$C$8,E1691=$C$8),OR($C$9="Semua",$C$9="",D1691=$C$9),OR($C$10="",B1691&gt;=$C$10),OR($C$11="",B1691&lt;=$C$11),OR($C$12&lt;&gt;"Ya",K1691&lt;&gt;""),OR($C$13="Semua",$C$13="",L1691=$C$13)),"✓","")</f>
        <v/>
      </c>
      <c r="N1691" s="93">
        <f>N(N1690)+IF(M1691="✓",1,0)</f>
        <v/>
      </c>
      <c r="O1691" s="93">
        <f>N(O1690)+IF(AND(B1691&lt;&gt;"",B1691&gt;='Uang Riba'!$H$30,B1691&lt;='Uang Riba'!$I$30,OR(H1691="Dana riba",H1691="Pinjam uang riba",I1691="Pinjam dari uang riba",I1691="Ganti uang riba",I1691="Kelebihan ganti dikembalikan",AND(C1691="Kantong Uang Riba",G1691="Pengeluaran"))),1,0)</f>
        <v/>
      </c>
      <c r="X1691" s="93">
        <f>IF(AND(B1691&lt;&gt;"",B1691&gt;='Buku Akun'!$H$4,B1691&lt;='Buku Akun'!$H$5,OR(C1691='Buku Akun'!$C$4,AND(D1691="Pindah",E1691='Buku Akun'!$C$4))),B1691+IF(AND(I1691="Selisih bunga",DAY(B1691)=1),0,0.01)+ROW()/10000000,"")</f>
        <v/>
      </c>
    </row>
    <row r="1692" outlineLevel="1" ht="15" customHeight="1" s="94">
      <c r="A1692" s="123">
        <f>IF(B1692="","",ROW()-15)</f>
        <v/>
      </c>
      <c r="B1692" s="124" t="n"/>
      <c r="C1692" s="123" t="n"/>
      <c r="D1692" s="123" t="n"/>
      <c r="E1692" s="123" t="n"/>
      <c r="F1692" s="125" t="n"/>
      <c r="G1692" s="123" t="n"/>
      <c r="H1692" s="123" t="n"/>
      <c r="I1692" s="123" t="n"/>
      <c r="J1692" s="123" t="n"/>
      <c r="K1692" s="123" t="n"/>
      <c r="L1692" s="123" t="n"/>
      <c r="M1692" s="123">
        <f>IF(AND(B1692&lt;&gt;"",OR($C$4="",ISNUMBER(SEARCH($C$4,C1692&amp;" "&amp;E1692&amp;" "&amp;G1692&amp;" "&amp;H1692&amp;" "&amp;I1692&amp;" "&amp;J1692&amp;" "&amp;K1692&amp;" "&amp;L1692))),OR($C$5="Semua",$C$5="",G1692=$C$5),OR($C$6="Semua",$C$6="",H1692=$C$6,H1692="Pengeluaran "&amp;$C$6,AND($C$6="Uang Kos Mama",H1692="Pengeluaran Uang Kos")),OR($C$7="Semua",$C$7="",I1692=$C$7),OR($C$8="Semua",$C$8="",C1692=$C$8,E1692=$C$8),OR($C$9="Semua",$C$9="",D1692=$C$9),OR($C$10="",B1692&gt;=$C$10),OR($C$11="",B1692&lt;=$C$11),OR($C$12&lt;&gt;"Ya",K1692&lt;&gt;""),OR($C$13="Semua",$C$13="",L1692=$C$13)),"✓","")</f>
        <v/>
      </c>
      <c r="N1692" s="93">
        <f>N(N1691)+IF(M1692="✓",1,0)</f>
        <v/>
      </c>
      <c r="O1692" s="93">
        <f>N(O1691)+IF(AND(B1692&lt;&gt;"",B1692&gt;='Uang Riba'!$H$30,B1692&lt;='Uang Riba'!$I$30,OR(H1692="Dana riba",H1692="Pinjam uang riba",I1692="Pinjam dari uang riba",I1692="Ganti uang riba",I1692="Kelebihan ganti dikembalikan",AND(C1692="Kantong Uang Riba",G1692="Pengeluaran"))),1,0)</f>
        <v/>
      </c>
      <c r="X1692" s="93">
        <f>IF(AND(B1692&lt;&gt;"",B1692&gt;='Buku Akun'!$H$4,B1692&lt;='Buku Akun'!$H$5,OR(C1692='Buku Akun'!$C$4,AND(D1692="Pindah",E1692='Buku Akun'!$C$4))),B1692+IF(AND(I1692="Selisih bunga",DAY(B1692)=1),0,0.01)+ROW()/10000000,"")</f>
        <v/>
      </c>
    </row>
    <row r="1693" outlineLevel="1" ht="15" customHeight="1" s="94">
      <c r="A1693" s="123">
        <f>IF(B1693="","",ROW()-15)</f>
        <v/>
      </c>
      <c r="B1693" s="124" t="n"/>
      <c r="C1693" s="123" t="n"/>
      <c r="D1693" s="123" t="n"/>
      <c r="E1693" s="123" t="n"/>
      <c r="F1693" s="125" t="n"/>
      <c r="G1693" s="123" t="n"/>
      <c r="H1693" s="123" t="n"/>
      <c r="I1693" s="123" t="n"/>
      <c r="J1693" s="123" t="n"/>
      <c r="K1693" s="123" t="n"/>
      <c r="L1693" s="123" t="n"/>
      <c r="M1693" s="123">
        <f>IF(AND(B1693&lt;&gt;"",OR($C$4="",ISNUMBER(SEARCH($C$4,C1693&amp;" "&amp;E1693&amp;" "&amp;G1693&amp;" "&amp;H1693&amp;" "&amp;I1693&amp;" "&amp;J1693&amp;" "&amp;K1693&amp;" "&amp;L1693))),OR($C$5="Semua",$C$5="",G1693=$C$5),OR($C$6="Semua",$C$6="",H1693=$C$6,H1693="Pengeluaran "&amp;$C$6,AND($C$6="Uang Kos Mama",H1693="Pengeluaran Uang Kos")),OR($C$7="Semua",$C$7="",I1693=$C$7),OR($C$8="Semua",$C$8="",C1693=$C$8,E1693=$C$8),OR($C$9="Semua",$C$9="",D1693=$C$9),OR($C$10="",B1693&gt;=$C$10),OR($C$11="",B1693&lt;=$C$11),OR($C$12&lt;&gt;"Ya",K1693&lt;&gt;""),OR($C$13="Semua",$C$13="",L1693=$C$13)),"✓","")</f>
        <v/>
      </c>
      <c r="N1693" s="93">
        <f>N(N1692)+IF(M1693="✓",1,0)</f>
        <v/>
      </c>
      <c r="O1693" s="93">
        <f>N(O1692)+IF(AND(B1693&lt;&gt;"",B1693&gt;='Uang Riba'!$H$30,B1693&lt;='Uang Riba'!$I$30,OR(H1693="Dana riba",H1693="Pinjam uang riba",I1693="Pinjam dari uang riba",I1693="Ganti uang riba",I1693="Kelebihan ganti dikembalikan",AND(C1693="Kantong Uang Riba",G1693="Pengeluaran"))),1,0)</f>
        <v/>
      </c>
      <c r="X1693" s="93">
        <f>IF(AND(B1693&lt;&gt;"",B1693&gt;='Buku Akun'!$H$4,B1693&lt;='Buku Akun'!$H$5,OR(C1693='Buku Akun'!$C$4,AND(D1693="Pindah",E1693='Buku Akun'!$C$4))),B1693+IF(AND(I1693="Selisih bunga",DAY(B1693)=1),0,0.01)+ROW()/10000000,"")</f>
        <v/>
      </c>
    </row>
    <row r="1694" outlineLevel="1" ht="15" customHeight="1" s="94">
      <c r="A1694" s="123">
        <f>IF(B1694="","",ROW()-15)</f>
        <v/>
      </c>
      <c r="B1694" s="124" t="n"/>
      <c r="C1694" s="123" t="n"/>
      <c r="D1694" s="123" t="n"/>
      <c r="E1694" s="123" t="n"/>
      <c r="F1694" s="125" t="n"/>
      <c r="G1694" s="123" t="n"/>
      <c r="H1694" s="123" t="n"/>
      <c r="I1694" s="123" t="n"/>
      <c r="J1694" s="123" t="n"/>
      <c r="K1694" s="123" t="n"/>
      <c r="L1694" s="123" t="n"/>
      <c r="M1694" s="123">
        <f>IF(AND(B1694&lt;&gt;"",OR($C$4="",ISNUMBER(SEARCH($C$4,C1694&amp;" "&amp;E1694&amp;" "&amp;G1694&amp;" "&amp;H1694&amp;" "&amp;I1694&amp;" "&amp;J1694&amp;" "&amp;K1694&amp;" "&amp;L1694))),OR($C$5="Semua",$C$5="",G1694=$C$5),OR($C$6="Semua",$C$6="",H1694=$C$6,H1694="Pengeluaran "&amp;$C$6,AND($C$6="Uang Kos Mama",H1694="Pengeluaran Uang Kos")),OR($C$7="Semua",$C$7="",I1694=$C$7),OR($C$8="Semua",$C$8="",C1694=$C$8,E1694=$C$8),OR($C$9="Semua",$C$9="",D1694=$C$9),OR($C$10="",B1694&gt;=$C$10),OR($C$11="",B1694&lt;=$C$11),OR($C$12&lt;&gt;"Ya",K1694&lt;&gt;""),OR($C$13="Semua",$C$13="",L1694=$C$13)),"✓","")</f>
        <v/>
      </c>
      <c r="N1694" s="93">
        <f>N(N1693)+IF(M1694="✓",1,0)</f>
        <v/>
      </c>
      <c r="O1694" s="93">
        <f>N(O1693)+IF(AND(B1694&lt;&gt;"",B1694&gt;='Uang Riba'!$H$30,B1694&lt;='Uang Riba'!$I$30,OR(H1694="Dana riba",H1694="Pinjam uang riba",I1694="Pinjam dari uang riba",I1694="Ganti uang riba",I1694="Kelebihan ganti dikembalikan",AND(C1694="Kantong Uang Riba",G1694="Pengeluaran"))),1,0)</f>
        <v/>
      </c>
      <c r="X1694" s="93">
        <f>IF(AND(B1694&lt;&gt;"",B1694&gt;='Buku Akun'!$H$4,B1694&lt;='Buku Akun'!$H$5,OR(C1694='Buku Akun'!$C$4,AND(D1694="Pindah",E1694='Buku Akun'!$C$4))),B1694+IF(AND(I1694="Selisih bunga",DAY(B1694)=1),0,0.01)+ROW()/10000000,"")</f>
        <v/>
      </c>
    </row>
    <row r="1695" outlineLevel="1" ht="15" customHeight="1" s="94">
      <c r="A1695" s="123">
        <f>IF(B1695="","",ROW()-15)</f>
        <v/>
      </c>
      <c r="B1695" s="124" t="n"/>
      <c r="C1695" s="123" t="n"/>
      <c r="D1695" s="123" t="n"/>
      <c r="E1695" s="123" t="n"/>
      <c r="F1695" s="125" t="n"/>
      <c r="G1695" s="123" t="n"/>
      <c r="H1695" s="123" t="n"/>
      <c r="I1695" s="123" t="n"/>
      <c r="J1695" s="123" t="n"/>
      <c r="K1695" s="123" t="n"/>
      <c r="L1695" s="123" t="n"/>
      <c r="M1695" s="123">
        <f>IF(AND(B1695&lt;&gt;"",OR($C$4="",ISNUMBER(SEARCH($C$4,C1695&amp;" "&amp;E1695&amp;" "&amp;G1695&amp;" "&amp;H1695&amp;" "&amp;I1695&amp;" "&amp;J1695&amp;" "&amp;K1695&amp;" "&amp;L1695))),OR($C$5="Semua",$C$5="",G1695=$C$5),OR($C$6="Semua",$C$6="",H1695=$C$6,H1695="Pengeluaran "&amp;$C$6,AND($C$6="Uang Kos Mama",H1695="Pengeluaran Uang Kos")),OR($C$7="Semua",$C$7="",I1695=$C$7),OR($C$8="Semua",$C$8="",C1695=$C$8,E1695=$C$8),OR($C$9="Semua",$C$9="",D1695=$C$9),OR($C$10="",B1695&gt;=$C$10),OR($C$11="",B1695&lt;=$C$11),OR($C$12&lt;&gt;"Ya",K1695&lt;&gt;""),OR($C$13="Semua",$C$13="",L1695=$C$13)),"✓","")</f>
        <v/>
      </c>
      <c r="N1695" s="93">
        <f>N(N1694)+IF(M1695="✓",1,0)</f>
        <v/>
      </c>
      <c r="O1695" s="93">
        <f>N(O1694)+IF(AND(B1695&lt;&gt;"",B1695&gt;='Uang Riba'!$H$30,B1695&lt;='Uang Riba'!$I$30,OR(H1695="Dana riba",H1695="Pinjam uang riba",I1695="Pinjam dari uang riba",I1695="Ganti uang riba",I1695="Kelebihan ganti dikembalikan",AND(C1695="Kantong Uang Riba",G1695="Pengeluaran"))),1,0)</f>
        <v/>
      </c>
      <c r="X1695" s="93">
        <f>IF(AND(B1695&lt;&gt;"",B1695&gt;='Buku Akun'!$H$4,B1695&lt;='Buku Akun'!$H$5,OR(C1695='Buku Akun'!$C$4,AND(D1695="Pindah",E1695='Buku Akun'!$C$4))),B1695+IF(AND(I1695="Selisih bunga",DAY(B1695)=1),0,0.01)+ROW()/10000000,"")</f>
        <v/>
      </c>
    </row>
    <row r="1696" outlineLevel="1" ht="15" customHeight="1" s="94">
      <c r="A1696" s="123">
        <f>IF(B1696="","",ROW()-15)</f>
        <v/>
      </c>
      <c r="B1696" s="124" t="n"/>
      <c r="C1696" s="123" t="n"/>
      <c r="D1696" s="123" t="n"/>
      <c r="E1696" s="123" t="n"/>
      <c r="F1696" s="125" t="n"/>
      <c r="G1696" s="123" t="n"/>
      <c r="H1696" s="123" t="n"/>
      <c r="I1696" s="123" t="n"/>
      <c r="J1696" s="123" t="n"/>
      <c r="K1696" s="123" t="n"/>
      <c r="L1696" s="123" t="n"/>
      <c r="M1696" s="123">
        <f>IF(AND(B1696&lt;&gt;"",OR($C$4="",ISNUMBER(SEARCH($C$4,C1696&amp;" "&amp;E1696&amp;" "&amp;G1696&amp;" "&amp;H1696&amp;" "&amp;I1696&amp;" "&amp;J1696&amp;" "&amp;K1696&amp;" "&amp;L1696))),OR($C$5="Semua",$C$5="",G1696=$C$5),OR($C$6="Semua",$C$6="",H1696=$C$6,H1696="Pengeluaran "&amp;$C$6,AND($C$6="Uang Kos Mama",H1696="Pengeluaran Uang Kos")),OR($C$7="Semua",$C$7="",I1696=$C$7),OR($C$8="Semua",$C$8="",C1696=$C$8,E1696=$C$8),OR($C$9="Semua",$C$9="",D1696=$C$9),OR($C$10="",B1696&gt;=$C$10),OR($C$11="",B1696&lt;=$C$11),OR($C$12&lt;&gt;"Ya",K1696&lt;&gt;""),OR($C$13="Semua",$C$13="",L1696=$C$13)),"✓","")</f>
        <v/>
      </c>
      <c r="N1696" s="93">
        <f>N(N1695)+IF(M1696="✓",1,0)</f>
        <v/>
      </c>
      <c r="O1696" s="93">
        <f>N(O1695)+IF(AND(B1696&lt;&gt;"",B1696&gt;='Uang Riba'!$H$30,B1696&lt;='Uang Riba'!$I$30,OR(H1696="Dana riba",H1696="Pinjam uang riba",I1696="Pinjam dari uang riba",I1696="Ganti uang riba",I1696="Kelebihan ganti dikembalikan",AND(C1696="Kantong Uang Riba",G1696="Pengeluaran"))),1,0)</f>
        <v/>
      </c>
      <c r="X1696" s="93">
        <f>IF(AND(B1696&lt;&gt;"",B1696&gt;='Buku Akun'!$H$4,B1696&lt;='Buku Akun'!$H$5,OR(C1696='Buku Akun'!$C$4,AND(D1696="Pindah",E1696='Buku Akun'!$C$4))),B1696+IF(AND(I1696="Selisih bunga",DAY(B1696)=1),0,0.01)+ROW()/10000000,"")</f>
        <v/>
      </c>
    </row>
    <row r="1697" outlineLevel="1" ht="15" customHeight="1" s="94">
      <c r="A1697" s="123">
        <f>IF(B1697="","",ROW()-15)</f>
        <v/>
      </c>
      <c r="B1697" s="124" t="n"/>
      <c r="C1697" s="123" t="n"/>
      <c r="D1697" s="123" t="n"/>
      <c r="E1697" s="123" t="n"/>
      <c r="F1697" s="125" t="n"/>
      <c r="G1697" s="123" t="n"/>
      <c r="H1697" s="123" t="n"/>
      <c r="I1697" s="123" t="n"/>
      <c r="J1697" s="123" t="n"/>
      <c r="K1697" s="123" t="n"/>
      <c r="L1697" s="123" t="n"/>
      <c r="M1697" s="123">
        <f>IF(AND(B1697&lt;&gt;"",OR($C$4="",ISNUMBER(SEARCH($C$4,C1697&amp;" "&amp;E1697&amp;" "&amp;G1697&amp;" "&amp;H1697&amp;" "&amp;I1697&amp;" "&amp;J1697&amp;" "&amp;K1697&amp;" "&amp;L1697))),OR($C$5="Semua",$C$5="",G1697=$C$5),OR($C$6="Semua",$C$6="",H1697=$C$6,H1697="Pengeluaran "&amp;$C$6,AND($C$6="Uang Kos Mama",H1697="Pengeluaran Uang Kos")),OR($C$7="Semua",$C$7="",I1697=$C$7),OR($C$8="Semua",$C$8="",C1697=$C$8,E1697=$C$8),OR($C$9="Semua",$C$9="",D1697=$C$9),OR($C$10="",B1697&gt;=$C$10),OR($C$11="",B1697&lt;=$C$11),OR($C$12&lt;&gt;"Ya",K1697&lt;&gt;""),OR($C$13="Semua",$C$13="",L1697=$C$13)),"✓","")</f>
        <v/>
      </c>
      <c r="N1697" s="93">
        <f>N(N1696)+IF(M1697="✓",1,0)</f>
        <v/>
      </c>
      <c r="O1697" s="93">
        <f>N(O1696)+IF(AND(B1697&lt;&gt;"",B1697&gt;='Uang Riba'!$H$30,B1697&lt;='Uang Riba'!$I$30,OR(H1697="Dana riba",H1697="Pinjam uang riba",I1697="Pinjam dari uang riba",I1697="Ganti uang riba",I1697="Kelebihan ganti dikembalikan",AND(C1697="Kantong Uang Riba",G1697="Pengeluaran"))),1,0)</f>
        <v/>
      </c>
      <c r="X1697" s="93">
        <f>IF(AND(B1697&lt;&gt;"",B1697&gt;='Buku Akun'!$H$4,B1697&lt;='Buku Akun'!$H$5,OR(C1697='Buku Akun'!$C$4,AND(D1697="Pindah",E1697='Buku Akun'!$C$4))),B1697+IF(AND(I1697="Selisih bunga",DAY(B1697)=1),0,0.01)+ROW()/10000000,"")</f>
        <v/>
      </c>
    </row>
    <row r="1698" outlineLevel="1" ht="15" customHeight="1" s="94">
      <c r="A1698" s="123">
        <f>IF(B1698="","",ROW()-15)</f>
        <v/>
      </c>
      <c r="B1698" s="124" t="n"/>
      <c r="C1698" s="123" t="n"/>
      <c r="D1698" s="123" t="n"/>
      <c r="E1698" s="123" t="n"/>
      <c r="F1698" s="125" t="n"/>
      <c r="G1698" s="123" t="n"/>
      <c r="H1698" s="123" t="n"/>
      <c r="I1698" s="123" t="n"/>
      <c r="J1698" s="123" t="n"/>
      <c r="K1698" s="123" t="n"/>
      <c r="L1698" s="123" t="n"/>
      <c r="M1698" s="123">
        <f>IF(AND(B1698&lt;&gt;"",OR($C$4="",ISNUMBER(SEARCH($C$4,C1698&amp;" "&amp;E1698&amp;" "&amp;G1698&amp;" "&amp;H1698&amp;" "&amp;I1698&amp;" "&amp;J1698&amp;" "&amp;K1698&amp;" "&amp;L1698))),OR($C$5="Semua",$C$5="",G1698=$C$5),OR($C$6="Semua",$C$6="",H1698=$C$6,H1698="Pengeluaran "&amp;$C$6,AND($C$6="Uang Kos Mama",H1698="Pengeluaran Uang Kos")),OR($C$7="Semua",$C$7="",I1698=$C$7),OR($C$8="Semua",$C$8="",C1698=$C$8,E1698=$C$8),OR($C$9="Semua",$C$9="",D1698=$C$9),OR($C$10="",B1698&gt;=$C$10),OR($C$11="",B1698&lt;=$C$11),OR($C$12&lt;&gt;"Ya",K1698&lt;&gt;""),OR($C$13="Semua",$C$13="",L1698=$C$13)),"✓","")</f>
        <v/>
      </c>
      <c r="N1698" s="93">
        <f>N(N1697)+IF(M1698="✓",1,0)</f>
        <v/>
      </c>
      <c r="O1698" s="93">
        <f>N(O1697)+IF(AND(B1698&lt;&gt;"",B1698&gt;='Uang Riba'!$H$30,B1698&lt;='Uang Riba'!$I$30,OR(H1698="Dana riba",H1698="Pinjam uang riba",I1698="Pinjam dari uang riba",I1698="Ganti uang riba",I1698="Kelebihan ganti dikembalikan",AND(C1698="Kantong Uang Riba",G1698="Pengeluaran"))),1,0)</f>
        <v/>
      </c>
      <c r="X1698" s="93">
        <f>IF(AND(B1698&lt;&gt;"",B1698&gt;='Buku Akun'!$H$4,B1698&lt;='Buku Akun'!$H$5,OR(C1698='Buku Akun'!$C$4,AND(D1698="Pindah",E1698='Buku Akun'!$C$4))),B1698+IF(AND(I1698="Selisih bunga",DAY(B1698)=1),0,0.01)+ROW()/10000000,"")</f>
        <v/>
      </c>
    </row>
    <row r="1699" outlineLevel="1" ht="15" customHeight="1" s="94">
      <c r="A1699" s="123">
        <f>IF(B1699="","",ROW()-15)</f>
        <v/>
      </c>
      <c r="B1699" s="124" t="n"/>
      <c r="C1699" s="123" t="n"/>
      <c r="D1699" s="123" t="n"/>
      <c r="E1699" s="123" t="n"/>
      <c r="F1699" s="125" t="n"/>
      <c r="G1699" s="123" t="n"/>
      <c r="H1699" s="123" t="n"/>
      <c r="I1699" s="123" t="n"/>
      <c r="J1699" s="123" t="n"/>
      <c r="K1699" s="123" t="n"/>
      <c r="L1699" s="123" t="n"/>
      <c r="M1699" s="123">
        <f>IF(AND(B1699&lt;&gt;"",OR($C$4="",ISNUMBER(SEARCH($C$4,C1699&amp;" "&amp;E1699&amp;" "&amp;G1699&amp;" "&amp;H1699&amp;" "&amp;I1699&amp;" "&amp;J1699&amp;" "&amp;K1699&amp;" "&amp;L1699))),OR($C$5="Semua",$C$5="",G1699=$C$5),OR($C$6="Semua",$C$6="",H1699=$C$6,H1699="Pengeluaran "&amp;$C$6,AND($C$6="Uang Kos Mama",H1699="Pengeluaran Uang Kos")),OR($C$7="Semua",$C$7="",I1699=$C$7),OR($C$8="Semua",$C$8="",C1699=$C$8,E1699=$C$8),OR($C$9="Semua",$C$9="",D1699=$C$9),OR($C$10="",B1699&gt;=$C$10),OR($C$11="",B1699&lt;=$C$11),OR($C$12&lt;&gt;"Ya",K1699&lt;&gt;""),OR($C$13="Semua",$C$13="",L1699=$C$13)),"✓","")</f>
        <v/>
      </c>
      <c r="N1699" s="93">
        <f>N(N1698)+IF(M1699="✓",1,0)</f>
        <v/>
      </c>
      <c r="O1699" s="93">
        <f>N(O1698)+IF(AND(B1699&lt;&gt;"",B1699&gt;='Uang Riba'!$H$30,B1699&lt;='Uang Riba'!$I$30,OR(H1699="Dana riba",H1699="Pinjam uang riba",I1699="Pinjam dari uang riba",I1699="Ganti uang riba",I1699="Kelebihan ganti dikembalikan",AND(C1699="Kantong Uang Riba",G1699="Pengeluaran"))),1,0)</f>
        <v/>
      </c>
      <c r="X1699" s="93">
        <f>IF(AND(B1699&lt;&gt;"",B1699&gt;='Buku Akun'!$H$4,B1699&lt;='Buku Akun'!$H$5,OR(C1699='Buku Akun'!$C$4,AND(D1699="Pindah",E1699='Buku Akun'!$C$4))),B1699+IF(AND(I1699="Selisih bunga",DAY(B1699)=1),0,0.01)+ROW()/10000000,"")</f>
        <v/>
      </c>
    </row>
    <row r="1700" outlineLevel="1" ht="15" customHeight="1" s="94">
      <c r="A1700" s="123">
        <f>IF(B1700="","",ROW()-15)</f>
        <v/>
      </c>
      <c r="B1700" s="124" t="n"/>
      <c r="C1700" s="123" t="n"/>
      <c r="D1700" s="123" t="n"/>
      <c r="E1700" s="123" t="n"/>
      <c r="F1700" s="125" t="n"/>
      <c r="G1700" s="123" t="n"/>
      <c r="H1700" s="123" t="n"/>
      <c r="I1700" s="123" t="n"/>
      <c r="J1700" s="123" t="n"/>
      <c r="K1700" s="123" t="n"/>
      <c r="L1700" s="123" t="n"/>
      <c r="M1700" s="123">
        <f>IF(AND(B1700&lt;&gt;"",OR($C$4="",ISNUMBER(SEARCH($C$4,C1700&amp;" "&amp;E1700&amp;" "&amp;G1700&amp;" "&amp;H1700&amp;" "&amp;I1700&amp;" "&amp;J1700&amp;" "&amp;K1700&amp;" "&amp;L1700))),OR($C$5="Semua",$C$5="",G1700=$C$5),OR($C$6="Semua",$C$6="",H1700=$C$6,H1700="Pengeluaran "&amp;$C$6,AND($C$6="Uang Kos Mama",H1700="Pengeluaran Uang Kos")),OR($C$7="Semua",$C$7="",I1700=$C$7),OR($C$8="Semua",$C$8="",C1700=$C$8,E1700=$C$8),OR($C$9="Semua",$C$9="",D1700=$C$9),OR($C$10="",B1700&gt;=$C$10),OR($C$11="",B1700&lt;=$C$11),OR($C$12&lt;&gt;"Ya",K1700&lt;&gt;""),OR($C$13="Semua",$C$13="",L1700=$C$13)),"✓","")</f>
        <v/>
      </c>
      <c r="N1700" s="93">
        <f>N(N1699)+IF(M1700="✓",1,0)</f>
        <v/>
      </c>
      <c r="O1700" s="93">
        <f>N(O1699)+IF(AND(B1700&lt;&gt;"",B1700&gt;='Uang Riba'!$H$30,B1700&lt;='Uang Riba'!$I$30,OR(H1700="Dana riba",H1700="Pinjam uang riba",I1700="Pinjam dari uang riba",I1700="Ganti uang riba",I1700="Kelebihan ganti dikembalikan",AND(C1700="Kantong Uang Riba",G1700="Pengeluaran"))),1,0)</f>
        <v/>
      </c>
      <c r="X1700" s="93">
        <f>IF(AND(B1700&lt;&gt;"",B1700&gt;='Buku Akun'!$H$4,B1700&lt;='Buku Akun'!$H$5,OR(C1700='Buku Akun'!$C$4,AND(D1700="Pindah",E1700='Buku Akun'!$C$4))),B1700+IF(AND(I1700="Selisih bunga",DAY(B1700)=1),0,0.01)+ROW()/10000000,"")</f>
        <v/>
      </c>
    </row>
    <row r="1701" outlineLevel="1" ht="15" customHeight="1" s="94">
      <c r="A1701" s="123">
        <f>IF(B1701="","",ROW()-15)</f>
        <v/>
      </c>
      <c r="B1701" s="124" t="n"/>
      <c r="C1701" s="123" t="n"/>
      <c r="D1701" s="123" t="n"/>
      <c r="E1701" s="123" t="n"/>
      <c r="F1701" s="125" t="n"/>
      <c r="G1701" s="123" t="n"/>
      <c r="H1701" s="123" t="n"/>
      <c r="I1701" s="123" t="n"/>
      <c r="J1701" s="123" t="n"/>
      <c r="K1701" s="123" t="n"/>
      <c r="L1701" s="123" t="n"/>
      <c r="M1701" s="123">
        <f>IF(AND(B1701&lt;&gt;"",OR($C$4="",ISNUMBER(SEARCH($C$4,C1701&amp;" "&amp;E1701&amp;" "&amp;G1701&amp;" "&amp;H1701&amp;" "&amp;I1701&amp;" "&amp;J1701&amp;" "&amp;K1701&amp;" "&amp;L1701))),OR($C$5="Semua",$C$5="",G1701=$C$5),OR($C$6="Semua",$C$6="",H1701=$C$6,H1701="Pengeluaran "&amp;$C$6,AND($C$6="Uang Kos Mama",H1701="Pengeluaran Uang Kos")),OR($C$7="Semua",$C$7="",I1701=$C$7),OR($C$8="Semua",$C$8="",C1701=$C$8,E1701=$C$8),OR($C$9="Semua",$C$9="",D1701=$C$9),OR($C$10="",B1701&gt;=$C$10),OR($C$11="",B1701&lt;=$C$11),OR($C$12&lt;&gt;"Ya",K1701&lt;&gt;""),OR($C$13="Semua",$C$13="",L1701=$C$13)),"✓","")</f>
        <v/>
      </c>
      <c r="N1701" s="93">
        <f>N(N1700)+IF(M1701="✓",1,0)</f>
        <v/>
      </c>
      <c r="O1701" s="93">
        <f>N(O1700)+IF(AND(B1701&lt;&gt;"",B1701&gt;='Uang Riba'!$H$30,B1701&lt;='Uang Riba'!$I$30,OR(H1701="Dana riba",H1701="Pinjam uang riba",I1701="Pinjam dari uang riba",I1701="Ganti uang riba",I1701="Kelebihan ganti dikembalikan",AND(C1701="Kantong Uang Riba",G1701="Pengeluaran"))),1,0)</f>
        <v/>
      </c>
      <c r="X1701" s="93">
        <f>IF(AND(B1701&lt;&gt;"",B1701&gt;='Buku Akun'!$H$4,B1701&lt;='Buku Akun'!$H$5,OR(C1701='Buku Akun'!$C$4,AND(D1701="Pindah",E1701='Buku Akun'!$C$4))),B1701+IF(AND(I1701="Selisih bunga",DAY(B1701)=1),0,0.01)+ROW()/10000000,"")</f>
        <v/>
      </c>
    </row>
    <row r="1702" outlineLevel="1" ht="15" customHeight="1" s="94">
      <c r="A1702" s="123">
        <f>IF(B1702="","",ROW()-15)</f>
        <v/>
      </c>
      <c r="B1702" s="124" t="n"/>
      <c r="C1702" s="123" t="n"/>
      <c r="D1702" s="123" t="n"/>
      <c r="E1702" s="123" t="n"/>
      <c r="F1702" s="125" t="n"/>
      <c r="G1702" s="123" t="n"/>
      <c r="H1702" s="123" t="n"/>
      <c r="I1702" s="123" t="n"/>
      <c r="J1702" s="123" t="n"/>
      <c r="K1702" s="123" t="n"/>
      <c r="L1702" s="123" t="n"/>
      <c r="M1702" s="123">
        <f>IF(AND(B1702&lt;&gt;"",OR($C$4="",ISNUMBER(SEARCH($C$4,C1702&amp;" "&amp;E1702&amp;" "&amp;G1702&amp;" "&amp;H1702&amp;" "&amp;I1702&amp;" "&amp;J1702&amp;" "&amp;K1702&amp;" "&amp;L1702))),OR($C$5="Semua",$C$5="",G1702=$C$5),OR($C$6="Semua",$C$6="",H1702=$C$6,H1702="Pengeluaran "&amp;$C$6,AND($C$6="Uang Kos Mama",H1702="Pengeluaran Uang Kos")),OR($C$7="Semua",$C$7="",I1702=$C$7),OR($C$8="Semua",$C$8="",C1702=$C$8,E1702=$C$8),OR($C$9="Semua",$C$9="",D1702=$C$9),OR($C$10="",B1702&gt;=$C$10),OR($C$11="",B1702&lt;=$C$11),OR($C$12&lt;&gt;"Ya",K1702&lt;&gt;""),OR($C$13="Semua",$C$13="",L1702=$C$13)),"✓","")</f>
        <v/>
      </c>
      <c r="N1702" s="93">
        <f>N(N1701)+IF(M1702="✓",1,0)</f>
        <v/>
      </c>
      <c r="O1702" s="93">
        <f>N(O1701)+IF(AND(B1702&lt;&gt;"",B1702&gt;='Uang Riba'!$H$30,B1702&lt;='Uang Riba'!$I$30,OR(H1702="Dana riba",H1702="Pinjam uang riba",I1702="Pinjam dari uang riba",I1702="Ganti uang riba",I1702="Kelebihan ganti dikembalikan",AND(C1702="Kantong Uang Riba",G1702="Pengeluaran"))),1,0)</f>
        <v/>
      </c>
      <c r="X1702" s="93">
        <f>IF(AND(B1702&lt;&gt;"",B1702&gt;='Buku Akun'!$H$4,B1702&lt;='Buku Akun'!$H$5,OR(C1702='Buku Akun'!$C$4,AND(D1702="Pindah",E1702='Buku Akun'!$C$4))),B1702+IF(AND(I1702="Selisih bunga",DAY(B1702)=1),0,0.01)+ROW()/10000000,"")</f>
        <v/>
      </c>
    </row>
    <row r="1703" outlineLevel="1" ht="15" customHeight="1" s="94">
      <c r="A1703" s="123">
        <f>IF(B1703="","",ROW()-15)</f>
        <v/>
      </c>
      <c r="B1703" s="124" t="n"/>
      <c r="C1703" s="123" t="n"/>
      <c r="D1703" s="123" t="n"/>
      <c r="E1703" s="123" t="n"/>
      <c r="F1703" s="125" t="n"/>
      <c r="G1703" s="123" t="n"/>
      <c r="H1703" s="123" t="n"/>
      <c r="I1703" s="123" t="n"/>
      <c r="J1703" s="123" t="n"/>
      <c r="K1703" s="123" t="n"/>
      <c r="L1703" s="123" t="n"/>
      <c r="M1703" s="123">
        <f>IF(AND(B1703&lt;&gt;"",OR($C$4="",ISNUMBER(SEARCH($C$4,C1703&amp;" "&amp;E1703&amp;" "&amp;G1703&amp;" "&amp;H1703&amp;" "&amp;I1703&amp;" "&amp;J1703&amp;" "&amp;K1703&amp;" "&amp;L1703))),OR($C$5="Semua",$C$5="",G1703=$C$5),OR($C$6="Semua",$C$6="",H1703=$C$6,H1703="Pengeluaran "&amp;$C$6,AND($C$6="Uang Kos Mama",H1703="Pengeluaran Uang Kos")),OR($C$7="Semua",$C$7="",I1703=$C$7),OR($C$8="Semua",$C$8="",C1703=$C$8,E1703=$C$8),OR($C$9="Semua",$C$9="",D1703=$C$9),OR($C$10="",B1703&gt;=$C$10),OR($C$11="",B1703&lt;=$C$11),OR($C$12&lt;&gt;"Ya",K1703&lt;&gt;""),OR($C$13="Semua",$C$13="",L1703=$C$13)),"✓","")</f>
        <v/>
      </c>
      <c r="N1703" s="93">
        <f>N(N1702)+IF(M1703="✓",1,0)</f>
        <v/>
      </c>
      <c r="O1703" s="93">
        <f>N(O1702)+IF(AND(B1703&lt;&gt;"",B1703&gt;='Uang Riba'!$H$30,B1703&lt;='Uang Riba'!$I$30,OR(H1703="Dana riba",H1703="Pinjam uang riba",I1703="Pinjam dari uang riba",I1703="Ganti uang riba",I1703="Kelebihan ganti dikembalikan",AND(C1703="Kantong Uang Riba",G1703="Pengeluaran"))),1,0)</f>
        <v/>
      </c>
      <c r="X1703" s="93">
        <f>IF(AND(B1703&lt;&gt;"",B1703&gt;='Buku Akun'!$H$4,B1703&lt;='Buku Akun'!$H$5,OR(C1703='Buku Akun'!$C$4,AND(D1703="Pindah",E1703='Buku Akun'!$C$4))),B1703+IF(AND(I1703="Selisih bunga",DAY(B1703)=1),0,0.01)+ROW()/10000000,"")</f>
        <v/>
      </c>
    </row>
    <row r="1704" outlineLevel="1" ht="15" customHeight="1" s="94">
      <c r="A1704" s="123">
        <f>IF(B1704="","",ROW()-15)</f>
        <v/>
      </c>
      <c r="B1704" s="124" t="n"/>
      <c r="C1704" s="123" t="n"/>
      <c r="D1704" s="123" t="n"/>
      <c r="E1704" s="123" t="n"/>
      <c r="F1704" s="125" t="n"/>
      <c r="G1704" s="123" t="n"/>
      <c r="H1704" s="123" t="n"/>
      <c r="I1704" s="123" t="n"/>
      <c r="J1704" s="123" t="n"/>
      <c r="K1704" s="123" t="n"/>
      <c r="L1704" s="123" t="n"/>
      <c r="M1704" s="123">
        <f>IF(AND(B1704&lt;&gt;"",OR($C$4="",ISNUMBER(SEARCH($C$4,C1704&amp;" "&amp;E1704&amp;" "&amp;G1704&amp;" "&amp;H1704&amp;" "&amp;I1704&amp;" "&amp;J1704&amp;" "&amp;K1704&amp;" "&amp;L1704))),OR($C$5="Semua",$C$5="",G1704=$C$5),OR($C$6="Semua",$C$6="",H1704=$C$6,H1704="Pengeluaran "&amp;$C$6,AND($C$6="Uang Kos Mama",H1704="Pengeluaran Uang Kos")),OR($C$7="Semua",$C$7="",I1704=$C$7),OR($C$8="Semua",$C$8="",C1704=$C$8,E1704=$C$8),OR($C$9="Semua",$C$9="",D1704=$C$9),OR($C$10="",B1704&gt;=$C$10),OR($C$11="",B1704&lt;=$C$11),OR($C$12&lt;&gt;"Ya",K1704&lt;&gt;""),OR($C$13="Semua",$C$13="",L1704=$C$13)),"✓","")</f>
        <v/>
      </c>
      <c r="N1704" s="93">
        <f>N(N1703)+IF(M1704="✓",1,0)</f>
        <v/>
      </c>
      <c r="O1704" s="93">
        <f>N(O1703)+IF(AND(B1704&lt;&gt;"",B1704&gt;='Uang Riba'!$H$30,B1704&lt;='Uang Riba'!$I$30,OR(H1704="Dana riba",H1704="Pinjam uang riba",I1704="Pinjam dari uang riba",I1704="Ganti uang riba",I1704="Kelebihan ganti dikembalikan",AND(C1704="Kantong Uang Riba",G1704="Pengeluaran"))),1,0)</f>
        <v/>
      </c>
      <c r="X1704" s="93">
        <f>IF(AND(B1704&lt;&gt;"",B1704&gt;='Buku Akun'!$H$4,B1704&lt;='Buku Akun'!$H$5,OR(C1704='Buku Akun'!$C$4,AND(D1704="Pindah",E1704='Buku Akun'!$C$4))),B1704+IF(AND(I1704="Selisih bunga",DAY(B1704)=1),0,0.01)+ROW()/10000000,"")</f>
        <v/>
      </c>
    </row>
    <row r="1705" outlineLevel="1" ht="15" customHeight="1" s="94">
      <c r="A1705" s="123">
        <f>IF(B1705="","",ROW()-15)</f>
        <v/>
      </c>
      <c r="B1705" s="124" t="n"/>
      <c r="C1705" s="123" t="n"/>
      <c r="D1705" s="123" t="n"/>
      <c r="E1705" s="123" t="n"/>
      <c r="F1705" s="125" t="n"/>
      <c r="G1705" s="123" t="n"/>
      <c r="H1705" s="123" t="n"/>
      <c r="I1705" s="123" t="n"/>
      <c r="J1705" s="123" t="n"/>
      <c r="K1705" s="123" t="n"/>
      <c r="L1705" s="123" t="n"/>
      <c r="M1705" s="123">
        <f>IF(AND(B1705&lt;&gt;"",OR($C$4="",ISNUMBER(SEARCH($C$4,C1705&amp;" "&amp;E1705&amp;" "&amp;G1705&amp;" "&amp;H1705&amp;" "&amp;I1705&amp;" "&amp;J1705&amp;" "&amp;K1705&amp;" "&amp;L1705))),OR($C$5="Semua",$C$5="",G1705=$C$5),OR($C$6="Semua",$C$6="",H1705=$C$6,H1705="Pengeluaran "&amp;$C$6,AND($C$6="Uang Kos Mama",H1705="Pengeluaran Uang Kos")),OR($C$7="Semua",$C$7="",I1705=$C$7),OR($C$8="Semua",$C$8="",C1705=$C$8,E1705=$C$8),OR($C$9="Semua",$C$9="",D1705=$C$9),OR($C$10="",B1705&gt;=$C$10),OR($C$11="",B1705&lt;=$C$11),OR($C$12&lt;&gt;"Ya",K1705&lt;&gt;""),OR($C$13="Semua",$C$13="",L1705=$C$13)),"✓","")</f>
        <v/>
      </c>
      <c r="N1705" s="93">
        <f>N(N1704)+IF(M1705="✓",1,0)</f>
        <v/>
      </c>
      <c r="O1705" s="93">
        <f>N(O1704)+IF(AND(B1705&lt;&gt;"",B1705&gt;='Uang Riba'!$H$30,B1705&lt;='Uang Riba'!$I$30,OR(H1705="Dana riba",H1705="Pinjam uang riba",I1705="Pinjam dari uang riba",I1705="Ganti uang riba",I1705="Kelebihan ganti dikembalikan",AND(C1705="Kantong Uang Riba",G1705="Pengeluaran"))),1,0)</f>
        <v/>
      </c>
      <c r="X1705" s="93">
        <f>IF(AND(B1705&lt;&gt;"",B1705&gt;='Buku Akun'!$H$4,B1705&lt;='Buku Akun'!$H$5,OR(C1705='Buku Akun'!$C$4,AND(D1705="Pindah",E1705='Buku Akun'!$C$4))),B1705+IF(AND(I1705="Selisih bunga",DAY(B1705)=1),0,0.01)+ROW()/10000000,"")</f>
        <v/>
      </c>
    </row>
    <row r="1706" outlineLevel="1" ht="15" customHeight="1" s="94">
      <c r="A1706" s="123">
        <f>IF(B1706="","",ROW()-15)</f>
        <v/>
      </c>
      <c r="B1706" s="124" t="n"/>
      <c r="C1706" s="123" t="n"/>
      <c r="D1706" s="123" t="n"/>
      <c r="E1706" s="123" t="n"/>
      <c r="F1706" s="125" t="n"/>
      <c r="G1706" s="123" t="n"/>
      <c r="H1706" s="123" t="n"/>
      <c r="I1706" s="123" t="n"/>
      <c r="J1706" s="123" t="n"/>
      <c r="K1706" s="123" t="n"/>
      <c r="L1706" s="123" t="n"/>
      <c r="M1706" s="123">
        <f>IF(AND(B1706&lt;&gt;"",OR($C$4="",ISNUMBER(SEARCH($C$4,C1706&amp;" "&amp;E1706&amp;" "&amp;G1706&amp;" "&amp;H1706&amp;" "&amp;I1706&amp;" "&amp;J1706&amp;" "&amp;K1706&amp;" "&amp;L1706))),OR($C$5="Semua",$C$5="",G1706=$C$5),OR($C$6="Semua",$C$6="",H1706=$C$6,H1706="Pengeluaran "&amp;$C$6,AND($C$6="Uang Kos Mama",H1706="Pengeluaran Uang Kos")),OR($C$7="Semua",$C$7="",I1706=$C$7),OR($C$8="Semua",$C$8="",C1706=$C$8,E1706=$C$8),OR($C$9="Semua",$C$9="",D1706=$C$9),OR($C$10="",B1706&gt;=$C$10),OR($C$11="",B1706&lt;=$C$11),OR($C$12&lt;&gt;"Ya",K1706&lt;&gt;""),OR($C$13="Semua",$C$13="",L1706=$C$13)),"✓","")</f>
        <v/>
      </c>
      <c r="N1706" s="93">
        <f>N(N1705)+IF(M1706="✓",1,0)</f>
        <v/>
      </c>
      <c r="O1706" s="93">
        <f>N(O1705)+IF(AND(B1706&lt;&gt;"",B1706&gt;='Uang Riba'!$H$30,B1706&lt;='Uang Riba'!$I$30,OR(H1706="Dana riba",H1706="Pinjam uang riba",I1706="Pinjam dari uang riba",I1706="Ganti uang riba",I1706="Kelebihan ganti dikembalikan",AND(C1706="Kantong Uang Riba",G1706="Pengeluaran"))),1,0)</f>
        <v/>
      </c>
      <c r="X1706" s="93">
        <f>IF(AND(B1706&lt;&gt;"",B1706&gt;='Buku Akun'!$H$4,B1706&lt;='Buku Akun'!$H$5,OR(C1706='Buku Akun'!$C$4,AND(D1706="Pindah",E1706='Buku Akun'!$C$4))),B1706+IF(AND(I1706="Selisih bunga",DAY(B1706)=1),0,0.01)+ROW()/10000000,"")</f>
        <v/>
      </c>
    </row>
    <row r="1707" outlineLevel="1" ht="15" customHeight="1" s="94">
      <c r="A1707" s="123">
        <f>IF(B1707="","",ROW()-15)</f>
        <v/>
      </c>
      <c r="B1707" s="124" t="n"/>
      <c r="C1707" s="123" t="n"/>
      <c r="D1707" s="123" t="n"/>
      <c r="E1707" s="123" t="n"/>
      <c r="F1707" s="125" t="n"/>
      <c r="G1707" s="123" t="n"/>
      <c r="H1707" s="123" t="n"/>
      <c r="I1707" s="123" t="n"/>
      <c r="J1707" s="123" t="n"/>
      <c r="K1707" s="123" t="n"/>
      <c r="L1707" s="123" t="n"/>
      <c r="M1707" s="123">
        <f>IF(AND(B1707&lt;&gt;"",OR($C$4="",ISNUMBER(SEARCH($C$4,C1707&amp;" "&amp;E1707&amp;" "&amp;G1707&amp;" "&amp;H1707&amp;" "&amp;I1707&amp;" "&amp;J1707&amp;" "&amp;K1707&amp;" "&amp;L1707))),OR($C$5="Semua",$C$5="",G1707=$C$5),OR($C$6="Semua",$C$6="",H1707=$C$6,H1707="Pengeluaran "&amp;$C$6,AND($C$6="Uang Kos Mama",H1707="Pengeluaran Uang Kos")),OR($C$7="Semua",$C$7="",I1707=$C$7),OR($C$8="Semua",$C$8="",C1707=$C$8,E1707=$C$8),OR($C$9="Semua",$C$9="",D1707=$C$9),OR($C$10="",B1707&gt;=$C$10),OR($C$11="",B1707&lt;=$C$11),OR($C$12&lt;&gt;"Ya",K1707&lt;&gt;""),OR($C$13="Semua",$C$13="",L1707=$C$13)),"✓","")</f>
        <v/>
      </c>
      <c r="N1707" s="93">
        <f>N(N1706)+IF(M1707="✓",1,0)</f>
        <v/>
      </c>
      <c r="O1707" s="93">
        <f>N(O1706)+IF(AND(B1707&lt;&gt;"",B1707&gt;='Uang Riba'!$H$30,B1707&lt;='Uang Riba'!$I$30,OR(H1707="Dana riba",H1707="Pinjam uang riba",I1707="Pinjam dari uang riba",I1707="Ganti uang riba",I1707="Kelebihan ganti dikembalikan",AND(C1707="Kantong Uang Riba",G1707="Pengeluaran"))),1,0)</f>
        <v/>
      </c>
      <c r="X1707" s="93">
        <f>IF(AND(B1707&lt;&gt;"",B1707&gt;='Buku Akun'!$H$4,B1707&lt;='Buku Akun'!$H$5,OR(C1707='Buku Akun'!$C$4,AND(D1707="Pindah",E1707='Buku Akun'!$C$4))),B1707+IF(AND(I1707="Selisih bunga",DAY(B1707)=1),0,0.01)+ROW()/10000000,"")</f>
        <v/>
      </c>
    </row>
    <row r="1708" outlineLevel="1" ht="15" customHeight="1" s="94">
      <c r="A1708" s="123">
        <f>IF(B1708="","",ROW()-15)</f>
        <v/>
      </c>
      <c r="B1708" s="124" t="n"/>
      <c r="C1708" s="123" t="n"/>
      <c r="D1708" s="123" t="n"/>
      <c r="E1708" s="123" t="n"/>
      <c r="F1708" s="125" t="n"/>
      <c r="G1708" s="123" t="n"/>
      <c r="H1708" s="123" t="n"/>
      <c r="I1708" s="123" t="n"/>
      <c r="J1708" s="123" t="n"/>
      <c r="K1708" s="123" t="n"/>
      <c r="L1708" s="123" t="n"/>
      <c r="M1708" s="123">
        <f>IF(AND(B1708&lt;&gt;"",OR($C$4="",ISNUMBER(SEARCH($C$4,C1708&amp;" "&amp;E1708&amp;" "&amp;G1708&amp;" "&amp;H1708&amp;" "&amp;I1708&amp;" "&amp;J1708&amp;" "&amp;K1708&amp;" "&amp;L1708))),OR($C$5="Semua",$C$5="",G1708=$C$5),OR($C$6="Semua",$C$6="",H1708=$C$6,H1708="Pengeluaran "&amp;$C$6,AND($C$6="Uang Kos Mama",H1708="Pengeluaran Uang Kos")),OR($C$7="Semua",$C$7="",I1708=$C$7),OR($C$8="Semua",$C$8="",C1708=$C$8,E1708=$C$8),OR($C$9="Semua",$C$9="",D1708=$C$9),OR($C$10="",B1708&gt;=$C$10),OR($C$11="",B1708&lt;=$C$11),OR($C$12&lt;&gt;"Ya",K1708&lt;&gt;""),OR($C$13="Semua",$C$13="",L1708=$C$13)),"✓","")</f>
        <v/>
      </c>
      <c r="N1708" s="93">
        <f>N(N1707)+IF(M1708="✓",1,0)</f>
        <v/>
      </c>
      <c r="O1708" s="93">
        <f>N(O1707)+IF(AND(B1708&lt;&gt;"",B1708&gt;='Uang Riba'!$H$30,B1708&lt;='Uang Riba'!$I$30,OR(H1708="Dana riba",H1708="Pinjam uang riba",I1708="Pinjam dari uang riba",I1708="Ganti uang riba",I1708="Kelebihan ganti dikembalikan",AND(C1708="Kantong Uang Riba",G1708="Pengeluaran"))),1,0)</f>
        <v/>
      </c>
      <c r="X1708" s="93">
        <f>IF(AND(B1708&lt;&gt;"",B1708&gt;='Buku Akun'!$H$4,B1708&lt;='Buku Akun'!$H$5,OR(C1708='Buku Akun'!$C$4,AND(D1708="Pindah",E1708='Buku Akun'!$C$4))),B1708+IF(AND(I1708="Selisih bunga",DAY(B1708)=1),0,0.01)+ROW()/10000000,"")</f>
        <v/>
      </c>
    </row>
    <row r="1709" outlineLevel="1" ht="15" customHeight="1" s="94">
      <c r="A1709" s="123">
        <f>IF(B1709="","",ROW()-15)</f>
        <v/>
      </c>
      <c r="B1709" s="124" t="n"/>
      <c r="C1709" s="123" t="n"/>
      <c r="D1709" s="123" t="n"/>
      <c r="E1709" s="123" t="n"/>
      <c r="F1709" s="125" t="n"/>
      <c r="G1709" s="123" t="n"/>
      <c r="H1709" s="123" t="n"/>
      <c r="I1709" s="123" t="n"/>
      <c r="J1709" s="123" t="n"/>
      <c r="K1709" s="123" t="n"/>
      <c r="L1709" s="123" t="n"/>
      <c r="M1709" s="123">
        <f>IF(AND(B1709&lt;&gt;"",OR($C$4="",ISNUMBER(SEARCH($C$4,C1709&amp;" "&amp;E1709&amp;" "&amp;G1709&amp;" "&amp;H1709&amp;" "&amp;I1709&amp;" "&amp;J1709&amp;" "&amp;K1709&amp;" "&amp;L1709))),OR($C$5="Semua",$C$5="",G1709=$C$5),OR($C$6="Semua",$C$6="",H1709=$C$6,H1709="Pengeluaran "&amp;$C$6,AND($C$6="Uang Kos Mama",H1709="Pengeluaran Uang Kos")),OR($C$7="Semua",$C$7="",I1709=$C$7),OR($C$8="Semua",$C$8="",C1709=$C$8,E1709=$C$8),OR($C$9="Semua",$C$9="",D1709=$C$9),OR($C$10="",B1709&gt;=$C$10),OR($C$11="",B1709&lt;=$C$11),OR($C$12&lt;&gt;"Ya",K1709&lt;&gt;""),OR($C$13="Semua",$C$13="",L1709=$C$13)),"✓","")</f>
        <v/>
      </c>
      <c r="N1709" s="93">
        <f>N(N1708)+IF(M1709="✓",1,0)</f>
        <v/>
      </c>
      <c r="O1709" s="93">
        <f>N(O1708)+IF(AND(B1709&lt;&gt;"",B1709&gt;='Uang Riba'!$H$30,B1709&lt;='Uang Riba'!$I$30,OR(H1709="Dana riba",H1709="Pinjam uang riba",I1709="Pinjam dari uang riba",I1709="Ganti uang riba",I1709="Kelebihan ganti dikembalikan",AND(C1709="Kantong Uang Riba",G1709="Pengeluaran"))),1,0)</f>
        <v/>
      </c>
      <c r="X1709" s="93">
        <f>IF(AND(B1709&lt;&gt;"",B1709&gt;='Buku Akun'!$H$4,B1709&lt;='Buku Akun'!$H$5,OR(C1709='Buku Akun'!$C$4,AND(D1709="Pindah",E1709='Buku Akun'!$C$4))),B1709+IF(AND(I1709="Selisih bunga",DAY(B1709)=1),0,0.01)+ROW()/10000000,"")</f>
        <v/>
      </c>
    </row>
    <row r="1710" outlineLevel="1" ht="15" customHeight="1" s="94">
      <c r="A1710" s="123">
        <f>IF(B1710="","",ROW()-15)</f>
        <v/>
      </c>
      <c r="B1710" s="124" t="n"/>
      <c r="C1710" s="123" t="n"/>
      <c r="D1710" s="123" t="n"/>
      <c r="E1710" s="123" t="n"/>
      <c r="F1710" s="125" t="n"/>
      <c r="G1710" s="123" t="n"/>
      <c r="H1710" s="123" t="n"/>
      <c r="I1710" s="123" t="n"/>
      <c r="J1710" s="123" t="n"/>
      <c r="K1710" s="123" t="n"/>
      <c r="L1710" s="123" t="n"/>
      <c r="M1710" s="123">
        <f>IF(AND(B1710&lt;&gt;"",OR($C$4="",ISNUMBER(SEARCH($C$4,C1710&amp;" "&amp;E1710&amp;" "&amp;G1710&amp;" "&amp;H1710&amp;" "&amp;I1710&amp;" "&amp;J1710&amp;" "&amp;K1710&amp;" "&amp;L1710))),OR($C$5="Semua",$C$5="",G1710=$C$5),OR($C$6="Semua",$C$6="",H1710=$C$6,H1710="Pengeluaran "&amp;$C$6,AND($C$6="Uang Kos Mama",H1710="Pengeluaran Uang Kos")),OR($C$7="Semua",$C$7="",I1710=$C$7),OR($C$8="Semua",$C$8="",C1710=$C$8,E1710=$C$8),OR($C$9="Semua",$C$9="",D1710=$C$9),OR($C$10="",B1710&gt;=$C$10),OR($C$11="",B1710&lt;=$C$11),OR($C$12&lt;&gt;"Ya",K1710&lt;&gt;""),OR($C$13="Semua",$C$13="",L1710=$C$13)),"✓","")</f>
        <v/>
      </c>
      <c r="N1710" s="93">
        <f>N(N1709)+IF(M1710="✓",1,0)</f>
        <v/>
      </c>
      <c r="O1710" s="93">
        <f>N(O1709)+IF(AND(B1710&lt;&gt;"",B1710&gt;='Uang Riba'!$H$30,B1710&lt;='Uang Riba'!$I$30,OR(H1710="Dana riba",H1710="Pinjam uang riba",I1710="Pinjam dari uang riba",I1710="Ganti uang riba",I1710="Kelebihan ganti dikembalikan",AND(C1710="Kantong Uang Riba",G1710="Pengeluaran"))),1,0)</f>
        <v/>
      </c>
      <c r="X1710" s="93">
        <f>IF(AND(B1710&lt;&gt;"",B1710&gt;='Buku Akun'!$H$4,B1710&lt;='Buku Akun'!$H$5,OR(C1710='Buku Akun'!$C$4,AND(D1710="Pindah",E1710='Buku Akun'!$C$4))),B1710+IF(AND(I1710="Selisih bunga",DAY(B1710)=1),0,0.01)+ROW()/10000000,"")</f>
        <v/>
      </c>
    </row>
    <row r="1711" outlineLevel="1" ht="15" customHeight="1" s="94">
      <c r="A1711" s="123">
        <f>IF(B1711="","",ROW()-15)</f>
        <v/>
      </c>
      <c r="B1711" s="124" t="n"/>
      <c r="C1711" s="123" t="n"/>
      <c r="D1711" s="123" t="n"/>
      <c r="E1711" s="123" t="n"/>
      <c r="F1711" s="125" t="n"/>
      <c r="G1711" s="123" t="n"/>
      <c r="H1711" s="123" t="n"/>
      <c r="I1711" s="123" t="n"/>
      <c r="J1711" s="123" t="n"/>
      <c r="K1711" s="123" t="n"/>
      <c r="L1711" s="123" t="n"/>
      <c r="M1711" s="123">
        <f>IF(AND(B1711&lt;&gt;"",OR($C$4="",ISNUMBER(SEARCH($C$4,C1711&amp;" "&amp;E1711&amp;" "&amp;G1711&amp;" "&amp;H1711&amp;" "&amp;I1711&amp;" "&amp;J1711&amp;" "&amp;K1711&amp;" "&amp;L1711))),OR($C$5="Semua",$C$5="",G1711=$C$5),OR($C$6="Semua",$C$6="",H1711=$C$6,H1711="Pengeluaran "&amp;$C$6,AND($C$6="Uang Kos Mama",H1711="Pengeluaran Uang Kos")),OR($C$7="Semua",$C$7="",I1711=$C$7),OR($C$8="Semua",$C$8="",C1711=$C$8,E1711=$C$8),OR($C$9="Semua",$C$9="",D1711=$C$9),OR($C$10="",B1711&gt;=$C$10),OR($C$11="",B1711&lt;=$C$11),OR($C$12&lt;&gt;"Ya",K1711&lt;&gt;""),OR($C$13="Semua",$C$13="",L1711=$C$13)),"✓","")</f>
        <v/>
      </c>
      <c r="N1711" s="93">
        <f>N(N1710)+IF(M1711="✓",1,0)</f>
        <v/>
      </c>
      <c r="O1711" s="93">
        <f>N(O1710)+IF(AND(B1711&lt;&gt;"",B1711&gt;='Uang Riba'!$H$30,B1711&lt;='Uang Riba'!$I$30,OR(H1711="Dana riba",H1711="Pinjam uang riba",I1711="Pinjam dari uang riba",I1711="Ganti uang riba",I1711="Kelebihan ganti dikembalikan",AND(C1711="Kantong Uang Riba",G1711="Pengeluaran"))),1,0)</f>
        <v/>
      </c>
      <c r="X1711" s="93">
        <f>IF(AND(B1711&lt;&gt;"",B1711&gt;='Buku Akun'!$H$4,B1711&lt;='Buku Akun'!$H$5,OR(C1711='Buku Akun'!$C$4,AND(D1711="Pindah",E1711='Buku Akun'!$C$4))),B1711+IF(AND(I1711="Selisih bunga",DAY(B1711)=1),0,0.01)+ROW()/10000000,"")</f>
        <v/>
      </c>
    </row>
    <row r="1712" outlineLevel="1" ht="15" customHeight="1" s="94">
      <c r="A1712" s="123">
        <f>IF(B1712="","",ROW()-15)</f>
        <v/>
      </c>
      <c r="B1712" s="124" t="n"/>
      <c r="C1712" s="123" t="n"/>
      <c r="D1712" s="123" t="n"/>
      <c r="E1712" s="123" t="n"/>
      <c r="F1712" s="125" t="n"/>
      <c r="G1712" s="123" t="n"/>
      <c r="H1712" s="123" t="n"/>
      <c r="I1712" s="123" t="n"/>
      <c r="J1712" s="123" t="n"/>
      <c r="K1712" s="123" t="n"/>
      <c r="L1712" s="123" t="n"/>
      <c r="M1712" s="123">
        <f>IF(AND(B1712&lt;&gt;"",OR($C$4="",ISNUMBER(SEARCH($C$4,C1712&amp;" "&amp;E1712&amp;" "&amp;G1712&amp;" "&amp;H1712&amp;" "&amp;I1712&amp;" "&amp;J1712&amp;" "&amp;K1712&amp;" "&amp;L1712))),OR($C$5="Semua",$C$5="",G1712=$C$5),OR($C$6="Semua",$C$6="",H1712=$C$6,H1712="Pengeluaran "&amp;$C$6,AND($C$6="Uang Kos Mama",H1712="Pengeluaran Uang Kos")),OR($C$7="Semua",$C$7="",I1712=$C$7),OR($C$8="Semua",$C$8="",C1712=$C$8,E1712=$C$8),OR($C$9="Semua",$C$9="",D1712=$C$9),OR($C$10="",B1712&gt;=$C$10),OR($C$11="",B1712&lt;=$C$11),OR($C$12&lt;&gt;"Ya",K1712&lt;&gt;""),OR($C$13="Semua",$C$13="",L1712=$C$13)),"✓","")</f>
        <v/>
      </c>
      <c r="N1712" s="93">
        <f>N(N1711)+IF(M1712="✓",1,0)</f>
        <v/>
      </c>
      <c r="O1712" s="93">
        <f>N(O1711)+IF(AND(B1712&lt;&gt;"",B1712&gt;='Uang Riba'!$H$30,B1712&lt;='Uang Riba'!$I$30,OR(H1712="Dana riba",H1712="Pinjam uang riba",I1712="Pinjam dari uang riba",I1712="Ganti uang riba",I1712="Kelebihan ganti dikembalikan",AND(C1712="Kantong Uang Riba",G1712="Pengeluaran"))),1,0)</f>
        <v/>
      </c>
      <c r="X1712" s="93">
        <f>IF(AND(B1712&lt;&gt;"",B1712&gt;='Buku Akun'!$H$4,B1712&lt;='Buku Akun'!$H$5,OR(C1712='Buku Akun'!$C$4,AND(D1712="Pindah",E1712='Buku Akun'!$C$4))),B1712+IF(AND(I1712="Selisih bunga",DAY(B1712)=1),0,0.01)+ROW()/10000000,"")</f>
        <v/>
      </c>
    </row>
    <row r="1713" outlineLevel="1" ht="15" customHeight="1" s="94">
      <c r="A1713" s="123">
        <f>IF(B1713="","",ROW()-15)</f>
        <v/>
      </c>
      <c r="B1713" s="124" t="n"/>
      <c r="C1713" s="123" t="n"/>
      <c r="D1713" s="123" t="n"/>
      <c r="E1713" s="123" t="n"/>
      <c r="F1713" s="125" t="n"/>
      <c r="G1713" s="123" t="n"/>
      <c r="H1713" s="123" t="n"/>
      <c r="I1713" s="123" t="n"/>
      <c r="J1713" s="123" t="n"/>
      <c r="K1713" s="123" t="n"/>
      <c r="L1713" s="123" t="n"/>
      <c r="M1713" s="123">
        <f>IF(AND(B1713&lt;&gt;"",OR($C$4="",ISNUMBER(SEARCH($C$4,C1713&amp;" "&amp;E1713&amp;" "&amp;G1713&amp;" "&amp;H1713&amp;" "&amp;I1713&amp;" "&amp;J1713&amp;" "&amp;K1713&amp;" "&amp;L1713))),OR($C$5="Semua",$C$5="",G1713=$C$5),OR($C$6="Semua",$C$6="",H1713=$C$6,H1713="Pengeluaran "&amp;$C$6,AND($C$6="Uang Kos Mama",H1713="Pengeluaran Uang Kos")),OR($C$7="Semua",$C$7="",I1713=$C$7),OR($C$8="Semua",$C$8="",C1713=$C$8,E1713=$C$8),OR($C$9="Semua",$C$9="",D1713=$C$9),OR($C$10="",B1713&gt;=$C$10),OR($C$11="",B1713&lt;=$C$11),OR($C$12&lt;&gt;"Ya",K1713&lt;&gt;""),OR($C$13="Semua",$C$13="",L1713=$C$13)),"✓","")</f>
        <v/>
      </c>
      <c r="N1713" s="93">
        <f>N(N1712)+IF(M1713="✓",1,0)</f>
        <v/>
      </c>
      <c r="O1713" s="93">
        <f>N(O1712)+IF(AND(B1713&lt;&gt;"",B1713&gt;='Uang Riba'!$H$30,B1713&lt;='Uang Riba'!$I$30,OR(H1713="Dana riba",H1713="Pinjam uang riba",I1713="Pinjam dari uang riba",I1713="Ganti uang riba",I1713="Kelebihan ganti dikembalikan",AND(C1713="Kantong Uang Riba",G1713="Pengeluaran"))),1,0)</f>
        <v/>
      </c>
      <c r="X1713" s="93">
        <f>IF(AND(B1713&lt;&gt;"",B1713&gt;='Buku Akun'!$H$4,B1713&lt;='Buku Akun'!$H$5,OR(C1713='Buku Akun'!$C$4,AND(D1713="Pindah",E1713='Buku Akun'!$C$4))),B1713+IF(AND(I1713="Selisih bunga",DAY(B1713)=1),0,0.01)+ROW()/10000000,"")</f>
        <v/>
      </c>
    </row>
    <row r="1714" outlineLevel="1" ht="15" customHeight="1" s="94">
      <c r="A1714" s="123">
        <f>IF(B1714="","",ROW()-15)</f>
        <v/>
      </c>
      <c r="B1714" s="124" t="n"/>
      <c r="C1714" s="123" t="n"/>
      <c r="D1714" s="123" t="n"/>
      <c r="E1714" s="123" t="n"/>
      <c r="F1714" s="125" t="n"/>
      <c r="G1714" s="123" t="n"/>
      <c r="H1714" s="123" t="n"/>
      <c r="I1714" s="123" t="n"/>
      <c r="J1714" s="123" t="n"/>
      <c r="K1714" s="123" t="n"/>
      <c r="L1714" s="123" t="n"/>
      <c r="M1714" s="123">
        <f>IF(AND(B1714&lt;&gt;"",OR($C$4="",ISNUMBER(SEARCH($C$4,C1714&amp;" "&amp;E1714&amp;" "&amp;G1714&amp;" "&amp;H1714&amp;" "&amp;I1714&amp;" "&amp;J1714&amp;" "&amp;K1714&amp;" "&amp;L1714))),OR($C$5="Semua",$C$5="",G1714=$C$5),OR($C$6="Semua",$C$6="",H1714=$C$6,H1714="Pengeluaran "&amp;$C$6,AND($C$6="Uang Kos Mama",H1714="Pengeluaran Uang Kos")),OR($C$7="Semua",$C$7="",I1714=$C$7),OR($C$8="Semua",$C$8="",C1714=$C$8,E1714=$C$8),OR($C$9="Semua",$C$9="",D1714=$C$9),OR($C$10="",B1714&gt;=$C$10),OR($C$11="",B1714&lt;=$C$11),OR($C$12&lt;&gt;"Ya",K1714&lt;&gt;""),OR($C$13="Semua",$C$13="",L1714=$C$13)),"✓","")</f>
        <v/>
      </c>
      <c r="N1714" s="93">
        <f>N(N1713)+IF(M1714="✓",1,0)</f>
        <v/>
      </c>
      <c r="O1714" s="93">
        <f>N(O1713)+IF(AND(B1714&lt;&gt;"",B1714&gt;='Uang Riba'!$H$30,B1714&lt;='Uang Riba'!$I$30,OR(H1714="Dana riba",H1714="Pinjam uang riba",I1714="Pinjam dari uang riba",I1714="Ganti uang riba",I1714="Kelebihan ganti dikembalikan",AND(C1714="Kantong Uang Riba",G1714="Pengeluaran"))),1,0)</f>
        <v/>
      </c>
      <c r="X1714" s="93">
        <f>IF(AND(B1714&lt;&gt;"",B1714&gt;='Buku Akun'!$H$4,B1714&lt;='Buku Akun'!$H$5,OR(C1714='Buku Akun'!$C$4,AND(D1714="Pindah",E1714='Buku Akun'!$C$4))),B1714+IF(AND(I1714="Selisih bunga",DAY(B1714)=1),0,0.01)+ROW()/10000000,"")</f>
        <v/>
      </c>
    </row>
    <row r="1715" outlineLevel="1" ht="15" customHeight="1" s="94">
      <c r="A1715" s="123">
        <f>IF(B1715="","",ROW()-15)</f>
        <v/>
      </c>
      <c r="B1715" s="124" t="n"/>
      <c r="C1715" s="123" t="n"/>
      <c r="D1715" s="123" t="n"/>
      <c r="E1715" s="123" t="n"/>
      <c r="F1715" s="125" t="n"/>
      <c r="G1715" s="123" t="n"/>
      <c r="H1715" s="123" t="n"/>
      <c r="I1715" s="123" t="n"/>
      <c r="J1715" s="123" t="n"/>
      <c r="K1715" s="123" t="n"/>
      <c r="L1715" s="123" t="n"/>
      <c r="M1715" s="123">
        <f>IF(AND(B1715&lt;&gt;"",OR($C$4="",ISNUMBER(SEARCH($C$4,C1715&amp;" "&amp;E1715&amp;" "&amp;G1715&amp;" "&amp;H1715&amp;" "&amp;I1715&amp;" "&amp;J1715&amp;" "&amp;K1715&amp;" "&amp;L1715))),OR($C$5="Semua",$C$5="",G1715=$C$5),OR($C$6="Semua",$C$6="",H1715=$C$6,H1715="Pengeluaran "&amp;$C$6,AND($C$6="Uang Kos Mama",H1715="Pengeluaran Uang Kos")),OR($C$7="Semua",$C$7="",I1715=$C$7),OR($C$8="Semua",$C$8="",C1715=$C$8,E1715=$C$8),OR($C$9="Semua",$C$9="",D1715=$C$9),OR($C$10="",B1715&gt;=$C$10),OR($C$11="",B1715&lt;=$C$11),OR($C$12&lt;&gt;"Ya",K1715&lt;&gt;""),OR($C$13="Semua",$C$13="",L1715=$C$13)),"✓","")</f>
        <v/>
      </c>
      <c r="N1715" s="93">
        <f>N(N1714)+IF(M1715="✓",1,0)</f>
        <v/>
      </c>
      <c r="O1715" s="93">
        <f>N(O1714)+IF(AND(B1715&lt;&gt;"",B1715&gt;='Uang Riba'!$H$30,B1715&lt;='Uang Riba'!$I$30,OR(H1715="Dana riba",H1715="Pinjam uang riba",I1715="Pinjam dari uang riba",I1715="Ganti uang riba",I1715="Kelebihan ganti dikembalikan",AND(C1715="Kantong Uang Riba",G1715="Pengeluaran"))),1,0)</f>
        <v/>
      </c>
      <c r="X1715" s="93">
        <f>IF(AND(B1715&lt;&gt;"",B1715&gt;='Buku Akun'!$H$4,B1715&lt;='Buku Akun'!$H$5,OR(C1715='Buku Akun'!$C$4,AND(D1715="Pindah",E1715='Buku Akun'!$C$4))),B1715+IF(AND(I1715="Selisih bunga",DAY(B1715)=1),0,0.01)+ROW()/10000000,"")</f>
        <v/>
      </c>
    </row>
    <row r="1716" outlineLevel="1" ht="15" customHeight="1" s="94">
      <c r="A1716" s="123">
        <f>IF(B1716="","",ROW()-15)</f>
        <v/>
      </c>
      <c r="B1716" s="124" t="n"/>
      <c r="C1716" s="123" t="n"/>
      <c r="D1716" s="123" t="n"/>
      <c r="E1716" s="123" t="n"/>
      <c r="F1716" s="125" t="n"/>
      <c r="G1716" s="123" t="n"/>
      <c r="H1716" s="123" t="n"/>
      <c r="I1716" s="123" t="n"/>
      <c r="J1716" s="123" t="n"/>
      <c r="K1716" s="123" t="n"/>
      <c r="L1716" s="123" t="n"/>
      <c r="M1716" s="123">
        <f>IF(AND(B1716&lt;&gt;"",OR($C$4="",ISNUMBER(SEARCH($C$4,C1716&amp;" "&amp;E1716&amp;" "&amp;G1716&amp;" "&amp;H1716&amp;" "&amp;I1716&amp;" "&amp;J1716&amp;" "&amp;K1716&amp;" "&amp;L1716))),OR($C$5="Semua",$C$5="",G1716=$C$5),OR($C$6="Semua",$C$6="",H1716=$C$6,H1716="Pengeluaran "&amp;$C$6,AND($C$6="Uang Kos Mama",H1716="Pengeluaran Uang Kos")),OR($C$7="Semua",$C$7="",I1716=$C$7),OR($C$8="Semua",$C$8="",C1716=$C$8,E1716=$C$8),OR($C$9="Semua",$C$9="",D1716=$C$9),OR($C$10="",B1716&gt;=$C$10),OR($C$11="",B1716&lt;=$C$11),OR($C$12&lt;&gt;"Ya",K1716&lt;&gt;""),OR($C$13="Semua",$C$13="",L1716=$C$13)),"✓","")</f>
        <v/>
      </c>
      <c r="N1716" s="93">
        <f>N(N1715)+IF(M1716="✓",1,0)</f>
        <v/>
      </c>
      <c r="O1716" s="93">
        <f>N(O1715)+IF(AND(B1716&lt;&gt;"",B1716&gt;='Uang Riba'!$H$30,B1716&lt;='Uang Riba'!$I$30,OR(H1716="Dana riba",H1716="Pinjam uang riba",I1716="Pinjam dari uang riba",I1716="Ganti uang riba",I1716="Kelebihan ganti dikembalikan",AND(C1716="Kantong Uang Riba",G1716="Pengeluaran"))),1,0)</f>
        <v/>
      </c>
      <c r="X1716" s="93">
        <f>IF(AND(B1716&lt;&gt;"",B1716&gt;='Buku Akun'!$H$4,B1716&lt;='Buku Akun'!$H$5,OR(C1716='Buku Akun'!$C$4,AND(D1716="Pindah",E1716='Buku Akun'!$C$4))),B1716+IF(AND(I1716="Selisih bunga",DAY(B1716)=1),0,0.01)+ROW()/10000000,"")</f>
        <v/>
      </c>
    </row>
    <row r="1717" outlineLevel="1" ht="15" customHeight="1" s="94">
      <c r="A1717" s="123">
        <f>IF(B1717="","",ROW()-15)</f>
        <v/>
      </c>
      <c r="B1717" s="124" t="n"/>
      <c r="C1717" s="123" t="n"/>
      <c r="D1717" s="123" t="n"/>
      <c r="E1717" s="123" t="n"/>
      <c r="F1717" s="125" t="n"/>
      <c r="G1717" s="123" t="n"/>
      <c r="H1717" s="123" t="n"/>
      <c r="I1717" s="123" t="n"/>
      <c r="J1717" s="123" t="n"/>
      <c r="K1717" s="123" t="n"/>
      <c r="L1717" s="123" t="n"/>
      <c r="M1717" s="123">
        <f>IF(AND(B1717&lt;&gt;"",OR($C$4="",ISNUMBER(SEARCH($C$4,C1717&amp;" "&amp;E1717&amp;" "&amp;G1717&amp;" "&amp;H1717&amp;" "&amp;I1717&amp;" "&amp;J1717&amp;" "&amp;K1717&amp;" "&amp;L1717))),OR($C$5="Semua",$C$5="",G1717=$C$5),OR($C$6="Semua",$C$6="",H1717=$C$6,H1717="Pengeluaran "&amp;$C$6,AND($C$6="Uang Kos Mama",H1717="Pengeluaran Uang Kos")),OR($C$7="Semua",$C$7="",I1717=$C$7),OR($C$8="Semua",$C$8="",C1717=$C$8,E1717=$C$8),OR($C$9="Semua",$C$9="",D1717=$C$9),OR($C$10="",B1717&gt;=$C$10),OR($C$11="",B1717&lt;=$C$11),OR($C$12&lt;&gt;"Ya",K1717&lt;&gt;""),OR($C$13="Semua",$C$13="",L1717=$C$13)),"✓","")</f>
        <v/>
      </c>
      <c r="N1717" s="93">
        <f>N(N1716)+IF(M1717="✓",1,0)</f>
        <v/>
      </c>
      <c r="O1717" s="93">
        <f>N(O1716)+IF(AND(B1717&lt;&gt;"",B1717&gt;='Uang Riba'!$H$30,B1717&lt;='Uang Riba'!$I$30,OR(H1717="Dana riba",H1717="Pinjam uang riba",I1717="Pinjam dari uang riba",I1717="Ganti uang riba",I1717="Kelebihan ganti dikembalikan",AND(C1717="Kantong Uang Riba",G1717="Pengeluaran"))),1,0)</f>
        <v/>
      </c>
      <c r="X1717" s="93">
        <f>IF(AND(B1717&lt;&gt;"",B1717&gt;='Buku Akun'!$H$4,B1717&lt;='Buku Akun'!$H$5,OR(C1717='Buku Akun'!$C$4,AND(D1717="Pindah",E1717='Buku Akun'!$C$4))),B1717+IF(AND(I1717="Selisih bunga",DAY(B1717)=1),0,0.01)+ROW()/10000000,"")</f>
        <v/>
      </c>
    </row>
    <row r="1718" outlineLevel="1" ht="15" customHeight="1" s="94">
      <c r="A1718" s="123">
        <f>IF(B1718="","",ROW()-15)</f>
        <v/>
      </c>
      <c r="B1718" s="124" t="n"/>
      <c r="C1718" s="123" t="n"/>
      <c r="D1718" s="123" t="n"/>
      <c r="E1718" s="123" t="n"/>
      <c r="F1718" s="125" t="n"/>
      <c r="G1718" s="123" t="n"/>
      <c r="H1718" s="123" t="n"/>
      <c r="I1718" s="123" t="n"/>
      <c r="J1718" s="123" t="n"/>
      <c r="K1718" s="123" t="n"/>
      <c r="L1718" s="123" t="n"/>
      <c r="M1718" s="123">
        <f>IF(AND(B1718&lt;&gt;"",OR($C$4="",ISNUMBER(SEARCH($C$4,C1718&amp;" "&amp;E1718&amp;" "&amp;G1718&amp;" "&amp;H1718&amp;" "&amp;I1718&amp;" "&amp;J1718&amp;" "&amp;K1718&amp;" "&amp;L1718))),OR($C$5="Semua",$C$5="",G1718=$C$5),OR($C$6="Semua",$C$6="",H1718=$C$6,H1718="Pengeluaran "&amp;$C$6,AND($C$6="Uang Kos Mama",H1718="Pengeluaran Uang Kos")),OR($C$7="Semua",$C$7="",I1718=$C$7),OR($C$8="Semua",$C$8="",C1718=$C$8,E1718=$C$8),OR($C$9="Semua",$C$9="",D1718=$C$9),OR($C$10="",B1718&gt;=$C$10),OR($C$11="",B1718&lt;=$C$11),OR($C$12&lt;&gt;"Ya",K1718&lt;&gt;""),OR($C$13="Semua",$C$13="",L1718=$C$13)),"✓","")</f>
        <v/>
      </c>
      <c r="N1718" s="93">
        <f>N(N1717)+IF(M1718="✓",1,0)</f>
        <v/>
      </c>
      <c r="O1718" s="93">
        <f>N(O1717)+IF(AND(B1718&lt;&gt;"",B1718&gt;='Uang Riba'!$H$30,B1718&lt;='Uang Riba'!$I$30,OR(H1718="Dana riba",H1718="Pinjam uang riba",I1718="Pinjam dari uang riba",I1718="Ganti uang riba",I1718="Kelebihan ganti dikembalikan",AND(C1718="Kantong Uang Riba",G1718="Pengeluaran"))),1,0)</f>
        <v/>
      </c>
      <c r="X1718" s="93">
        <f>IF(AND(B1718&lt;&gt;"",B1718&gt;='Buku Akun'!$H$4,B1718&lt;='Buku Akun'!$H$5,OR(C1718='Buku Akun'!$C$4,AND(D1718="Pindah",E1718='Buku Akun'!$C$4))),B1718+IF(AND(I1718="Selisih bunga",DAY(B1718)=1),0,0.01)+ROW()/10000000,"")</f>
        <v/>
      </c>
    </row>
    <row r="1719" outlineLevel="1" ht="15" customHeight="1" s="94">
      <c r="A1719" s="123">
        <f>IF(B1719="","",ROW()-15)</f>
        <v/>
      </c>
      <c r="B1719" s="124" t="n"/>
      <c r="C1719" s="123" t="n"/>
      <c r="D1719" s="123" t="n"/>
      <c r="E1719" s="123" t="n"/>
      <c r="F1719" s="125" t="n"/>
      <c r="G1719" s="123" t="n"/>
      <c r="H1719" s="123" t="n"/>
      <c r="I1719" s="123" t="n"/>
      <c r="J1719" s="123" t="n"/>
      <c r="K1719" s="123" t="n"/>
      <c r="L1719" s="123" t="n"/>
      <c r="M1719" s="123">
        <f>IF(AND(B1719&lt;&gt;"",OR($C$4="",ISNUMBER(SEARCH($C$4,C1719&amp;" "&amp;E1719&amp;" "&amp;G1719&amp;" "&amp;H1719&amp;" "&amp;I1719&amp;" "&amp;J1719&amp;" "&amp;K1719&amp;" "&amp;L1719))),OR($C$5="Semua",$C$5="",G1719=$C$5),OR($C$6="Semua",$C$6="",H1719=$C$6,H1719="Pengeluaran "&amp;$C$6,AND($C$6="Uang Kos Mama",H1719="Pengeluaran Uang Kos")),OR($C$7="Semua",$C$7="",I1719=$C$7),OR($C$8="Semua",$C$8="",C1719=$C$8,E1719=$C$8),OR($C$9="Semua",$C$9="",D1719=$C$9),OR($C$10="",B1719&gt;=$C$10),OR($C$11="",B1719&lt;=$C$11),OR($C$12&lt;&gt;"Ya",K1719&lt;&gt;""),OR($C$13="Semua",$C$13="",L1719=$C$13)),"✓","")</f>
        <v/>
      </c>
      <c r="N1719" s="93">
        <f>N(N1718)+IF(M1719="✓",1,0)</f>
        <v/>
      </c>
      <c r="O1719" s="93">
        <f>N(O1718)+IF(AND(B1719&lt;&gt;"",B1719&gt;='Uang Riba'!$H$30,B1719&lt;='Uang Riba'!$I$30,OR(H1719="Dana riba",H1719="Pinjam uang riba",I1719="Pinjam dari uang riba",I1719="Ganti uang riba",I1719="Kelebihan ganti dikembalikan",AND(C1719="Kantong Uang Riba",G1719="Pengeluaran"))),1,0)</f>
        <v/>
      </c>
      <c r="X1719" s="93">
        <f>IF(AND(B1719&lt;&gt;"",B1719&gt;='Buku Akun'!$H$4,B1719&lt;='Buku Akun'!$H$5,OR(C1719='Buku Akun'!$C$4,AND(D1719="Pindah",E1719='Buku Akun'!$C$4))),B1719+IF(AND(I1719="Selisih bunga",DAY(B1719)=1),0,0.01)+ROW()/10000000,"")</f>
        <v/>
      </c>
    </row>
    <row r="1720" outlineLevel="1" ht="15" customHeight="1" s="94">
      <c r="A1720" s="123">
        <f>IF(B1720="","",ROW()-15)</f>
        <v/>
      </c>
      <c r="B1720" s="124" t="n"/>
      <c r="C1720" s="123" t="n"/>
      <c r="D1720" s="123" t="n"/>
      <c r="E1720" s="123" t="n"/>
      <c r="F1720" s="125" t="n"/>
      <c r="G1720" s="123" t="n"/>
      <c r="H1720" s="123" t="n"/>
      <c r="I1720" s="123" t="n"/>
      <c r="J1720" s="123" t="n"/>
      <c r="K1720" s="123" t="n"/>
      <c r="L1720" s="123" t="n"/>
      <c r="M1720" s="123">
        <f>IF(AND(B1720&lt;&gt;"",OR($C$4="",ISNUMBER(SEARCH($C$4,C1720&amp;" "&amp;E1720&amp;" "&amp;G1720&amp;" "&amp;H1720&amp;" "&amp;I1720&amp;" "&amp;J1720&amp;" "&amp;K1720&amp;" "&amp;L1720))),OR($C$5="Semua",$C$5="",G1720=$C$5),OR($C$6="Semua",$C$6="",H1720=$C$6,H1720="Pengeluaran "&amp;$C$6,AND($C$6="Uang Kos Mama",H1720="Pengeluaran Uang Kos")),OR($C$7="Semua",$C$7="",I1720=$C$7),OR($C$8="Semua",$C$8="",C1720=$C$8,E1720=$C$8),OR($C$9="Semua",$C$9="",D1720=$C$9),OR($C$10="",B1720&gt;=$C$10),OR($C$11="",B1720&lt;=$C$11),OR($C$12&lt;&gt;"Ya",K1720&lt;&gt;""),OR($C$13="Semua",$C$13="",L1720=$C$13)),"✓","")</f>
        <v/>
      </c>
      <c r="N1720" s="93">
        <f>N(N1719)+IF(M1720="✓",1,0)</f>
        <v/>
      </c>
      <c r="O1720" s="93">
        <f>N(O1719)+IF(AND(B1720&lt;&gt;"",B1720&gt;='Uang Riba'!$H$30,B1720&lt;='Uang Riba'!$I$30,OR(H1720="Dana riba",H1720="Pinjam uang riba",I1720="Pinjam dari uang riba",I1720="Ganti uang riba",I1720="Kelebihan ganti dikembalikan",AND(C1720="Kantong Uang Riba",G1720="Pengeluaran"))),1,0)</f>
        <v/>
      </c>
      <c r="X1720" s="93">
        <f>IF(AND(B1720&lt;&gt;"",B1720&gt;='Buku Akun'!$H$4,B1720&lt;='Buku Akun'!$H$5,OR(C1720='Buku Akun'!$C$4,AND(D1720="Pindah",E1720='Buku Akun'!$C$4))),B1720+IF(AND(I1720="Selisih bunga",DAY(B1720)=1),0,0.01)+ROW()/10000000,"")</f>
        <v/>
      </c>
    </row>
    <row r="1721" outlineLevel="1" ht="15" customHeight="1" s="94">
      <c r="A1721" s="123">
        <f>IF(B1721="","",ROW()-15)</f>
        <v/>
      </c>
      <c r="B1721" s="124" t="n"/>
      <c r="C1721" s="123" t="n"/>
      <c r="D1721" s="123" t="n"/>
      <c r="E1721" s="123" t="n"/>
      <c r="F1721" s="125" t="n"/>
      <c r="G1721" s="123" t="n"/>
      <c r="H1721" s="123" t="n"/>
      <c r="I1721" s="123" t="n"/>
      <c r="J1721" s="123" t="n"/>
      <c r="K1721" s="123" t="n"/>
      <c r="L1721" s="123" t="n"/>
      <c r="M1721" s="123">
        <f>IF(AND(B1721&lt;&gt;"",OR($C$4="",ISNUMBER(SEARCH($C$4,C1721&amp;" "&amp;E1721&amp;" "&amp;G1721&amp;" "&amp;H1721&amp;" "&amp;I1721&amp;" "&amp;J1721&amp;" "&amp;K1721&amp;" "&amp;L1721))),OR($C$5="Semua",$C$5="",G1721=$C$5),OR($C$6="Semua",$C$6="",H1721=$C$6,H1721="Pengeluaran "&amp;$C$6,AND($C$6="Uang Kos Mama",H1721="Pengeluaran Uang Kos")),OR($C$7="Semua",$C$7="",I1721=$C$7),OR($C$8="Semua",$C$8="",C1721=$C$8,E1721=$C$8),OR($C$9="Semua",$C$9="",D1721=$C$9),OR($C$10="",B1721&gt;=$C$10),OR($C$11="",B1721&lt;=$C$11),OR($C$12&lt;&gt;"Ya",K1721&lt;&gt;""),OR($C$13="Semua",$C$13="",L1721=$C$13)),"✓","")</f>
        <v/>
      </c>
      <c r="N1721" s="93">
        <f>N(N1720)+IF(M1721="✓",1,0)</f>
        <v/>
      </c>
      <c r="O1721" s="93">
        <f>N(O1720)+IF(AND(B1721&lt;&gt;"",B1721&gt;='Uang Riba'!$H$30,B1721&lt;='Uang Riba'!$I$30,OR(H1721="Dana riba",H1721="Pinjam uang riba",I1721="Pinjam dari uang riba",I1721="Ganti uang riba",I1721="Kelebihan ganti dikembalikan",AND(C1721="Kantong Uang Riba",G1721="Pengeluaran"))),1,0)</f>
        <v/>
      </c>
      <c r="X1721" s="93">
        <f>IF(AND(B1721&lt;&gt;"",B1721&gt;='Buku Akun'!$H$4,B1721&lt;='Buku Akun'!$H$5,OR(C1721='Buku Akun'!$C$4,AND(D1721="Pindah",E1721='Buku Akun'!$C$4))),B1721+IF(AND(I1721="Selisih bunga",DAY(B1721)=1),0,0.01)+ROW()/10000000,"")</f>
        <v/>
      </c>
    </row>
    <row r="1722" outlineLevel="1" ht="15" customHeight="1" s="94">
      <c r="A1722" s="123">
        <f>IF(B1722="","",ROW()-15)</f>
        <v/>
      </c>
      <c r="B1722" s="124" t="n"/>
      <c r="C1722" s="123" t="n"/>
      <c r="D1722" s="123" t="n"/>
      <c r="E1722" s="123" t="n"/>
      <c r="F1722" s="125" t="n"/>
      <c r="G1722" s="123" t="n"/>
      <c r="H1722" s="123" t="n"/>
      <c r="I1722" s="123" t="n"/>
      <c r="J1722" s="123" t="n"/>
      <c r="K1722" s="123" t="n"/>
      <c r="L1722" s="123" t="n"/>
      <c r="M1722" s="123">
        <f>IF(AND(B1722&lt;&gt;"",OR($C$4="",ISNUMBER(SEARCH($C$4,C1722&amp;" "&amp;E1722&amp;" "&amp;G1722&amp;" "&amp;H1722&amp;" "&amp;I1722&amp;" "&amp;J1722&amp;" "&amp;K1722&amp;" "&amp;L1722))),OR($C$5="Semua",$C$5="",G1722=$C$5),OR($C$6="Semua",$C$6="",H1722=$C$6,H1722="Pengeluaran "&amp;$C$6,AND($C$6="Uang Kos Mama",H1722="Pengeluaran Uang Kos")),OR($C$7="Semua",$C$7="",I1722=$C$7),OR($C$8="Semua",$C$8="",C1722=$C$8,E1722=$C$8),OR($C$9="Semua",$C$9="",D1722=$C$9),OR($C$10="",B1722&gt;=$C$10),OR($C$11="",B1722&lt;=$C$11),OR($C$12&lt;&gt;"Ya",K1722&lt;&gt;""),OR($C$13="Semua",$C$13="",L1722=$C$13)),"✓","")</f>
        <v/>
      </c>
      <c r="N1722" s="93">
        <f>N(N1721)+IF(M1722="✓",1,0)</f>
        <v/>
      </c>
      <c r="O1722" s="93">
        <f>N(O1721)+IF(AND(B1722&lt;&gt;"",B1722&gt;='Uang Riba'!$H$30,B1722&lt;='Uang Riba'!$I$30,OR(H1722="Dana riba",H1722="Pinjam uang riba",I1722="Pinjam dari uang riba",I1722="Ganti uang riba",I1722="Kelebihan ganti dikembalikan",AND(C1722="Kantong Uang Riba",G1722="Pengeluaran"))),1,0)</f>
        <v/>
      </c>
      <c r="X1722" s="93">
        <f>IF(AND(B1722&lt;&gt;"",B1722&gt;='Buku Akun'!$H$4,B1722&lt;='Buku Akun'!$H$5,OR(C1722='Buku Akun'!$C$4,AND(D1722="Pindah",E1722='Buku Akun'!$C$4))),B1722+IF(AND(I1722="Selisih bunga",DAY(B1722)=1),0,0.01)+ROW()/10000000,"")</f>
        <v/>
      </c>
    </row>
    <row r="1723" outlineLevel="1" ht="15" customHeight="1" s="94">
      <c r="A1723" s="123">
        <f>IF(B1723="","",ROW()-15)</f>
        <v/>
      </c>
      <c r="B1723" s="124" t="n"/>
      <c r="C1723" s="123" t="n"/>
      <c r="D1723" s="123" t="n"/>
      <c r="E1723" s="123" t="n"/>
      <c r="F1723" s="125" t="n"/>
      <c r="G1723" s="123" t="n"/>
      <c r="H1723" s="123" t="n"/>
      <c r="I1723" s="123" t="n"/>
      <c r="J1723" s="123" t="n"/>
      <c r="K1723" s="123" t="n"/>
      <c r="L1723" s="123" t="n"/>
      <c r="M1723" s="123">
        <f>IF(AND(B1723&lt;&gt;"",OR($C$4="",ISNUMBER(SEARCH($C$4,C1723&amp;" "&amp;E1723&amp;" "&amp;G1723&amp;" "&amp;H1723&amp;" "&amp;I1723&amp;" "&amp;J1723&amp;" "&amp;K1723&amp;" "&amp;L1723))),OR($C$5="Semua",$C$5="",G1723=$C$5),OR($C$6="Semua",$C$6="",H1723=$C$6,H1723="Pengeluaran "&amp;$C$6,AND($C$6="Uang Kos Mama",H1723="Pengeluaran Uang Kos")),OR($C$7="Semua",$C$7="",I1723=$C$7),OR($C$8="Semua",$C$8="",C1723=$C$8,E1723=$C$8),OR($C$9="Semua",$C$9="",D1723=$C$9),OR($C$10="",B1723&gt;=$C$10),OR($C$11="",B1723&lt;=$C$11),OR($C$12&lt;&gt;"Ya",K1723&lt;&gt;""),OR($C$13="Semua",$C$13="",L1723=$C$13)),"✓","")</f>
        <v/>
      </c>
      <c r="N1723" s="93">
        <f>N(N1722)+IF(M1723="✓",1,0)</f>
        <v/>
      </c>
      <c r="O1723" s="93">
        <f>N(O1722)+IF(AND(B1723&lt;&gt;"",B1723&gt;='Uang Riba'!$H$30,B1723&lt;='Uang Riba'!$I$30,OR(H1723="Dana riba",H1723="Pinjam uang riba",I1723="Pinjam dari uang riba",I1723="Ganti uang riba",I1723="Kelebihan ganti dikembalikan",AND(C1723="Kantong Uang Riba",G1723="Pengeluaran"))),1,0)</f>
        <v/>
      </c>
      <c r="X1723" s="93">
        <f>IF(AND(B1723&lt;&gt;"",B1723&gt;='Buku Akun'!$H$4,B1723&lt;='Buku Akun'!$H$5,OR(C1723='Buku Akun'!$C$4,AND(D1723="Pindah",E1723='Buku Akun'!$C$4))),B1723+IF(AND(I1723="Selisih bunga",DAY(B1723)=1),0,0.01)+ROW()/10000000,"")</f>
        <v/>
      </c>
    </row>
    <row r="1724" outlineLevel="1" ht="15" customHeight="1" s="94">
      <c r="A1724" s="123">
        <f>IF(B1724="","",ROW()-15)</f>
        <v/>
      </c>
      <c r="B1724" s="124" t="n"/>
      <c r="C1724" s="123" t="n"/>
      <c r="D1724" s="123" t="n"/>
      <c r="E1724" s="123" t="n"/>
      <c r="F1724" s="125" t="n"/>
      <c r="G1724" s="123" t="n"/>
      <c r="H1724" s="123" t="n"/>
      <c r="I1724" s="123" t="n"/>
      <c r="J1724" s="123" t="n"/>
      <c r="K1724" s="123" t="n"/>
      <c r="L1724" s="123" t="n"/>
      <c r="M1724" s="123">
        <f>IF(AND(B1724&lt;&gt;"",OR($C$4="",ISNUMBER(SEARCH($C$4,C1724&amp;" "&amp;E1724&amp;" "&amp;G1724&amp;" "&amp;H1724&amp;" "&amp;I1724&amp;" "&amp;J1724&amp;" "&amp;K1724&amp;" "&amp;L1724))),OR($C$5="Semua",$C$5="",G1724=$C$5),OR($C$6="Semua",$C$6="",H1724=$C$6,H1724="Pengeluaran "&amp;$C$6,AND($C$6="Uang Kos Mama",H1724="Pengeluaran Uang Kos")),OR($C$7="Semua",$C$7="",I1724=$C$7),OR($C$8="Semua",$C$8="",C1724=$C$8,E1724=$C$8),OR($C$9="Semua",$C$9="",D1724=$C$9),OR($C$10="",B1724&gt;=$C$10),OR($C$11="",B1724&lt;=$C$11),OR($C$12&lt;&gt;"Ya",K1724&lt;&gt;""),OR($C$13="Semua",$C$13="",L1724=$C$13)),"✓","")</f>
        <v/>
      </c>
      <c r="N1724" s="93">
        <f>N(N1723)+IF(M1724="✓",1,0)</f>
        <v/>
      </c>
      <c r="O1724" s="93">
        <f>N(O1723)+IF(AND(B1724&lt;&gt;"",B1724&gt;='Uang Riba'!$H$30,B1724&lt;='Uang Riba'!$I$30,OR(H1724="Dana riba",H1724="Pinjam uang riba",I1724="Pinjam dari uang riba",I1724="Ganti uang riba",I1724="Kelebihan ganti dikembalikan",AND(C1724="Kantong Uang Riba",G1724="Pengeluaran"))),1,0)</f>
        <v/>
      </c>
      <c r="X1724" s="93">
        <f>IF(AND(B1724&lt;&gt;"",B1724&gt;='Buku Akun'!$H$4,B1724&lt;='Buku Akun'!$H$5,OR(C1724='Buku Akun'!$C$4,AND(D1724="Pindah",E1724='Buku Akun'!$C$4))),B1724+IF(AND(I1724="Selisih bunga",DAY(B1724)=1),0,0.01)+ROW()/10000000,"")</f>
        <v/>
      </c>
    </row>
    <row r="1725" outlineLevel="1" ht="15" customHeight="1" s="94">
      <c r="A1725" s="123">
        <f>IF(B1725="","",ROW()-15)</f>
        <v/>
      </c>
      <c r="B1725" s="124" t="n"/>
      <c r="C1725" s="123" t="n"/>
      <c r="D1725" s="123" t="n"/>
      <c r="E1725" s="123" t="n"/>
      <c r="F1725" s="125" t="n"/>
      <c r="G1725" s="123" t="n"/>
      <c r="H1725" s="123" t="n"/>
      <c r="I1725" s="123" t="n"/>
      <c r="J1725" s="123" t="n"/>
      <c r="K1725" s="123" t="n"/>
      <c r="L1725" s="123" t="n"/>
      <c r="M1725" s="123">
        <f>IF(AND(B1725&lt;&gt;"",OR($C$4="",ISNUMBER(SEARCH($C$4,C1725&amp;" "&amp;E1725&amp;" "&amp;G1725&amp;" "&amp;H1725&amp;" "&amp;I1725&amp;" "&amp;J1725&amp;" "&amp;K1725&amp;" "&amp;L1725))),OR($C$5="Semua",$C$5="",G1725=$C$5),OR($C$6="Semua",$C$6="",H1725=$C$6,H1725="Pengeluaran "&amp;$C$6,AND($C$6="Uang Kos Mama",H1725="Pengeluaran Uang Kos")),OR($C$7="Semua",$C$7="",I1725=$C$7),OR($C$8="Semua",$C$8="",C1725=$C$8,E1725=$C$8),OR($C$9="Semua",$C$9="",D1725=$C$9),OR($C$10="",B1725&gt;=$C$10),OR($C$11="",B1725&lt;=$C$11),OR($C$12&lt;&gt;"Ya",K1725&lt;&gt;""),OR($C$13="Semua",$C$13="",L1725=$C$13)),"✓","")</f>
        <v/>
      </c>
      <c r="N1725" s="93">
        <f>N(N1724)+IF(M1725="✓",1,0)</f>
        <v/>
      </c>
      <c r="O1725" s="93">
        <f>N(O1724)+IF(AND(B1725&lt;&gt;"",B1725&gt;='Uang Riba'!$H$30,B1725&lt;='Uang Riba'!$I$30,OR(H1725="Dana riba",H1725="Pinjam uang riba",I1725="Pinjam dari uang riba",I1725="Ganti uang riba",I1725="Kelebihan ganti dikembalikan",AND(C1725="Kantong Uang Riba",G1725="Pengeluaran"))),1,0)</f>
        <v/>
      </c>
      <c r="X1725" s="93">
        <f>IF(AND(B1725&lt;&gt;"",B1725&gt;='Buku Akun'!$H$4,B1725&lt;='Buku Akun'!$H$5,OR(C1725='Buku Akun'!$C$4,AND(D1725="Pindah",E1725='Buku Akun'!$C$4))),B1725+IF(AND(I1725="Selisih bunga",DAY(B1725)=1),0,0.01)+ROW()/10000000,"")</f>
        <v/>
      </c>
    </row>
    <row r="1726" outlineLevel="1" ht="15" customHeight="1" s="94">
      <c r="A1726" s="123">
        <f>IF(B1726="","",ROW()-15)</f>
        <v/>
      </c>
      <c r="B1726" s="124" t="n"/>
      <c r="C1726" s="123" t="n"/>
      <c r="D1726" s="123" t="n"/>
      <c r="E1726" s="123" t="n"/>
      <c r="F1726" s="125" t="n"/>
      <c r="G1726" s="123" t="n"/>
      <c r="H1726" s="123" t="n"/>
      <c r="I1726" s="123" t="n"/>
      <c r="J1726" s="123" t="n"/>
      <c r="K1726" s="123" t="n"/>
      <c r="L1726" s="123" t="n"/>
      <c r="M1726" s="123">
        <f>IF(AND(B1726&lt;&gt;"",OR($C$4="",ISNUMBER(SEARCH($C$4,C1726&amp;" "&amp;E1726&amp;" "&amp;G1726&amp;" "&amp;H1726&amp;" "&amp;I1726&amp;" "&amp;J1726&amp;" "&amp;K1726&amp;" "&amp;L1726))),OR($C$5="Semua",$C$5="",G1726=$C$5),OR($C$6="Semua",$C$6="",H1726=$C$6,H1726="Pengeluaran "&amp;$C$6,AND($C$6="Uang Kos Mama",H1726="Pengeluaran Uang Kos")),OR($C$7="Semua",$C$7="",I1726=$C$7),OR($C$8="Semua",$C$8="",C1726=$C$8,E1726=$C$8),OR($C$9="Semua",$C$9="",D1726=$C$9),OR($C$10="",B1726&gt;=$C$10),OR($C$11="",B1726&lt;=$C$11),OR($C$12&lt;&gt;"Ya",K1726&lt;&gt;""),OR($C$13="Semua",$C$13="",L1726=$C$13)),"✓","")</f>
        <v/>
      </c>
      <c r="N1726" s="93">
        <f>N(N1725)+IF(M1726="✓",1,0)</f>
        <v/>
      </c>
      <c r="O1726" s="93">
        <f>N(O1725)+IF(AND(B1726&lt;&gt;"",B1726&gt;='Uang Riba'!$H$30,B1726&lt;='Uang Riba'!$I$30,OR(H1726="Dana riba",H1726="Pinjam uang riba",I1726="Pinjam dari uang riba",I1726="Ganti uang riba",I1726="Kelebihan ganti dikembalikan",AND(C1726="Kantong Uang Riba",G1726="Pengeluaran"))),1,0)</f>
        <v/>
      </c>
      <c r="X1726" s="93">
        <f>IF(AND(B1726&lt;&gt;"",B1726&gt;='Buku Akun'!$H$4,B1726&lt;='Buku Akun'!$H$5,OR(C1726='Buku Akun'!$C$4,AND(D1726="Pindah",E1726='Buku Akun'!$C$4))),B1726+IF(AND(I1726="Selisih bunga",DAY(B1726)=1),0,0.01)+ROW()/10000000,"")</f>
        <v/>
      </c>
    </row>
    <row r="1727" outlineLevel="1" ht="15" customHeight="1" s="94">
      <c r="A1727" s="123">
        <f>IF(B1727="","",ROW()-15)</f>
        <v/>
      </c>
      <c r="B1727" s="124" t="n"/>
      <c r="C1727" s="123" t="n"/>
      <c r="D1727" s="123" t="n"/>
      <c r="E1727" s="123" t="n"/>
      <c r="F1727" s="125" t="n"/>
      <c r="G1727" s="123" t="n"/>
      <c r="H1727" s="123" t="n"/>
      <c r="I1727" s="123" t="n"/>
      <c r="J1727" s="123" t="n"/>
      <c r="K1727" s="123" t="n"/>
      <c r="L1727" s="123" t="n"/>
      <c r="M1727" s="123">
        <f>IF(AND(B1727&lt;&gt;"",OR($C$4="",ISNUMBER(SEARCH($C$4,C1727&amp;" "&amp;E1727&amp;" "&amp;G1727&amp;" "&amp;H1727&amp;" "&amp;I1727&amp;" "&amp;J1727&amp;" "&amp;K1727&amp;" "&amp;L1727))),OR($C$5="Semua",$C$5="",G1727=$C$5),OR($C$6="Semua",$C$6="",H1727=$C$6,H1727="Pengeluaran "&amp;$C$6,AND($C$6="Uang Kos Mama",H1727="Pengeluaran Uang Kos")),OR($C$7="Semua",$C$7="",I1727=$C$7),OR($C$8="Semua",$C$8="",C1727=$C$8,E1727=$C$8),OR($C$9="Semua",$C$9="",D1727=$C$9),OR($C$10="",B1727&gt;=$C$10),OR($C$11="",B1727&lt;=$C$11),OR($C$12&lt;&gt;"Ya",K1727&lt;&gt;""),OR($C$13="Semua",$C$13="",L1727=$C$13)),"✓","")</f>
        <v/>
      </c>
      <c r="N1727" s="93">
        <f>N(N1726)+IF(M1727="✓",1,0)</f>
        <v/>
      </c>
      <c r="O1727" s="93">
        <f>N(O1726)+IF(AND(B1727&lt;&gt;"",B1727&gt;='Uang Riba'!$H$30,B1727&lt;='Uang Riba'!$I$30,OR(H1727="Dana riba",H1727="Pinjam uang riba",I1727="Pinjam dari uang riba",I1727="Ganti uang riba",I1727="Kelebihan ganti dikembalikan",AND(C1727="Kantong Uang Riba",G1727="Pengeluaran"))),1,0)</f>
        <v/>
      </c>
      <c r="X1727" s="93">
        <f>IF(AND(B1727&lt;&gt;"",B1727&gt;='Buku Akun'!$H$4,B1727&lt;='Buku Akun'!$H$5,OR(C1727='Buku Akun'!$C$4,AND(D1727="Pindah",E1727='Buku Akun'!$C$4))),B1727+IF(AND(I1727="Selisih bunga",DAY(B1727)=1),0,0.01)+ROW()/10000000,"")</f>
        <v/>
      </c>
    </row>
    <row r="1728" outlineLevel="1" ht="15" customHeight="1" s="94">
      <c r="A1728" s="123">
        <f>IF(B1728="","",ROW()-15)</f>
        <v/>
      </c>
      <c r="B1728" s="124" t="n"/>
      <c r="C1728" s="123" t="n"/>
      <c r="D1728" s="123" t="n"/>
      <c r="E1728" s="123" t="n"/>
      <c r="F1728" s="125" t="n"/>
      <c r="G1728" s="123" t="n"/>
      <c r="H1728" s="123" t="n"/>
      <c r="I1728" s="123" t="n"/>
      <c r="J1728" s="123" t="n"/>
      <c r="K1728" s="123" t="n"/>
      <c r="L1728" s="123" t="n"/>
      <c r="M1728" s="123">
        <f>IF(AND(B1728&lt;&gt;"",OR($C$4="",ISNUMBER(SEARCH($C$4,C1728&amp;" "&amp;E1728&amp;" "&amp;G1728&amp;" "&amp;H1728&amp;" "&amp;I1728&amp;" "&amp;J1728&amp;" "&amp;K1728&amp;" "&amp;L1728))),OR($C$5="Semua",$C$5="",G1728=$C$5),OR($C$6="Semua",$C$6="",H1728=$C$6,H1728="Pengeluaran "&amp;$C$6,AND($C$6="Uang Kos Mama",H1728="Pengeluaran Uang Kos")),OR($C$7="Semua",$C$7="",I1728=$C$7),OR($C$8="Semua",$C$8="",C1728=$C$8,E1728=$C$8),OR($C$9="Semua",$C$9="",D1728=$C$9),OR($C$10="",B1728&gt;=$C$10),OR($C$11="",B1728&lt;=$C$11),OR($C$12&lt;&gt;"Ya",K1728&lt;&gt;""),OR($C$13="Semua",$C$13="",L1728=$C$13)),"✓","")</f>
        <v/>
      </c>
      <c r="N1728" s="93">
        <f>N(N1727)+IF(M1728="✓",1,0)</f>
        <v/>
      </c>
      <c r="O1728" s="93">
        <f>N(O1727)+IF(AND(B1728&lt;&gt;"",B1728&gt;='Uang Riba'!$H$30,B1728&lt;='Uang Riba'!$I$30,OR(H1728="Dana riba",H1728="Pinjam uang riba",I1728="Pinjam dari uang riba",I1728="Ganti uang riba",I1728="Kelebihan ganti dikembalikan",AND(C1728="Kantong Uang Riba",G1728="Pengeluaran"))),1,0)</f>
        <v/>
      </c>
      <c r="X1728" s="93">
        <f>IF(AND(B1728&lt;&gt;"",B1728&gt;='Buku Akun'!$H$4,B1728&lt;='Buku Akun'!$H$5,OR(C1728='Buku Akun'!$C$4,AND(D1728="Pindah",E1728='Buku Akun'!$C$4))),B1728+IF(AND(I1728="Selisih bunga",DAY(B1728)=1),0,0.01)+ROW()/10000000,"")</f>
        <v/>
      </c>
    </row>
    <row r="1729" outlineLevel="1" ht="15" customHeight="1" s="94">
      <c r="A1729" s="123">
        <f>IF(B1729="","",ROW()-15)</f>
        <v/>
      </c>
      <c r="B1729" s="124" t="n"/>
      <c r="C1729" s="123" t="n"/>
      <c r="D1729" s="123" t="n"/>
      <c r="E1729" s="123" t="n"/>
      <c r="F1729" s="125" t="n"/>
      <c r="G1729" s="123" t="n"/>
      <c r="H1729" s="123" t="n"/>
      <c r="I1729" s="123" t="n"/>
      <c r="J1729" s="123" t="n"/>
      <c r="K1729" s="123" t="n"/>
      <c r="L1729" s="123" t="n"/>
      <c r="M1729" s="123">
        <f>IF(AND(B1729&lt;&gt;"",OR($C$4="",ISNUMBER(SEARCH($C$4,C1729&amp;" "&amp;E1729&amp;" "&amp;G1729&amp;" "&amp;H1729&amp;" "&amp;I1729&amp;" "&amp;J1729&amp;" "&amp;K1729&amp;" "&amp;L1729))),OR($C$5="Semua",$C$5="",G1729=$C$5),OR($C$6="Semua",$C$6="",H1729=$C$6,H1729="Pengeluaran "&amp;$C$6,AND($C$6="Uang Kos Mama",H1729="Pengeluaran Uang Kos")),OR($C$7="Semua",$C$7="",I1729=$C$7),OR($C$8="Semua",$C$8="",C1729=$C$8,E1729=$C$8),OR($C$9="Semua",$C$9="",D1729=$C$9),OR($C$10="",B1729&gt;=$C$10),OR($C$11="",B1729&lt;=$C$11),OR($C$12&lt;&gt;"Ya",K1729&lt;&gt;""),OR($C$13="Semua",$C$13="",L1729=$C$13)),"✓","")</f>
        <v/>
      </c>
      <c r="N1729" s="93">
        <f>N(N1728)+IF(M1729="✓",1,0)</f>
        <v/>
      </c>
      <c r="O1729" s="93">
        <f>N(O1728)+IF(AND(B1729&lt;&gt;"",B1729&gt;='Uang Riba'!$H$30,B1729&lt;='Uang Riba'!$I$30,OR(H1729="Dana riba",H1729="Pinjam uang riba",I1729="Pinjam dari uang riba",I1729="Ganti uang riba",I1729="Kelebihan ganti dikembalikan",AND(C1729="Kantong Uang Riba",G1729="Pengeluaran"))),1,0)</f>
        <v/>
      </c>
      <c r="X1729" s="93">
        <f>IF(AND(B1729&lt;&gt;"",B1729&gt;='Buku Akun'!$H$4,B1729&lt;='Buku Akun'!$H$5,OR(C1729='Buku Akun'!$C$4,AND(D1729="Pindah",E1729='Buku Akun'!$C$4))),B1729+IF(AND(I1729="Selisih bunga",DAY(B1729)=1),0,0.01)+ROW()/10000000,"")</f>
        <v/>
      </c>
    </row>
    <row r="1730" outlineLevel="1" ht="15" customHeight="1" s="94">
      <c r="A1730" s="123">
        <f>IF(B1730="","",ROW()-15)</f>
        <v/>
      </c>
      <c r="B1730" s="124" t="n"/>
      <c r="C1730" s="123" t="n"/>
      <c r="D1730" s="123" t="n"/>
      <c r="E1730" s="123" t="n"/>
      <c r="F1730" s="125" t="n"/>
      <c r="G1730" s="123" t="n"/>
      <c r="H1730" s="123" t="n"/>
      <c r="I1730" s="123" t="n"/>
      <c r="J1730" s="123" t="n"/>
      <c r="K1730" s="123" t="n"/>
      <c r="L1730" s="123" t="n"/>
      <c r="M1730" s="123">
        <f>IF(AND(B1730&lt;&gt;"",OR($C$4="",ISNUMBER(SEARCH($C$4,C1730&amp;" "&amp;E1730&amp;" "&amp;G1730&amp;" "&amp;H1730&amp;" "&amp;I1730&amp;" "&amp;J1730&amp;" "&amp;K1730&amp;" "&amp;L1730))),OR($C$5="Semua",$C$5="",G1730=$C$5),OR($C$6="Semua",$C$6="",H1730=$C$6,H1730="Pengeluaran "&amp;$C$6,AND($C$6="Uang Kos Mama",H1730="Pengeluaran Uang Kos")),OR($C$7="Semua",$C$7="",I1730=$C$7),OR($C$8="Semua",$C$8="",C1730=$C$8,E1730=$C$8),OR($C$9="Semua",$C$9="",D1730=$C$9),OR($C$10="",B1730&gt;=$C$10),OR($C$11="",B1730&lt;=$C$11),OR($C$12&lt;&gt;"Ya",K1730&lt;&gt;""),OR($C$13="Semua",$C$13="",L1730=$C$13)),"✓","")</f>
        <v/>
      </c>
      <c r="N1730" s="93">
        <f>N(N1729)+IF(M1730="✓",1,0)</f>
        <v/>
      </c>
      <c r="O1730" s="93">
        <f>N(O1729)+IF(AND(B1730&lt;&gt;"",B1730&gt;='Uang Riba'!$H$30,B1730&lt;='Uang Riba'!$I$30,OR(H1730="Dana riba",H1730="Pinjam uang riba",I1730="Pinjam dari uang riba",I1730="Ganti uang riba",I1730="Kelebihan ganti dikembalikan",AND(C1730="Kantong Uang Riba",G1730="Pengeluaran"))),1,0)</f>
        <v/>
      </c>
      <c r="X1730" s="93">
        <f>IF(AND(B1730&lt;&gt;"",B1730&gt;='Buku Akun'!$H$4,B1730&lt;='Buku Akun'!$H$5,OR(C1730='Buku Akun'!$C$4,AND(D1730="Pindah",E1730='Buku Akun'!$C$4))),B1730+IF(AND(I1730="Selisih bunga",DAY(B1730)=1),0,0.01)+ROW()/10000000,"")</f>
        <v/>
      </c>
    </row>
    <row r="1731" outlineLevel="1" ht="15" customHeight="1" s="94">
      <c r="A1731" s="123">
        <f>IF(B1731="","",ROW()-15)</f>
        <v/>
      </c>
      <c r="B1731" s="124" t="n"/>
      <c r="C1731" s="123" t="n"/>
      <c r="D1731" s="123" t="n"/>
      <c r="E1731" s="123" t="n"/>
      <c r="F1731" s="125" t="n"/>
      <c r="G1731" s="123" t="n"/>
      <c r="H1731" s="123" t="n"/>
      <c r="I1731" s="123" t="n"/>
      <c r="J1731" s="123" t="n"/>
      <c r="K1731" s="123" t="n"/>
      <c r="L1731" s="123" t="n"/>
      <c r="M1731" s="123">
        <f>IF(AND(B1731&lt;&gt;"",OR($C$4="",ISNUMBER(SEARCH($C$4,C1731&amp;" "&amp;E1731&amp;" "&amp;G1731&amp;" "&amp;H1731&amp;" "&amp;I1731&amp;" "&amp;J1731&amp;" "&amp;K1731&amp;" "&amp;L1731))),OR($C$5="Semua",$C$5="",G1731=$C$5),OR($C$6="Semua",$C$6="",H1731=$C$6,H1731="Pengeluaran "&amp;$C$6,AND($C$6="Uang Kos Mama",H1731="Pengeluaran Uang Kos")),OR($C$7="Semua",$C$7="",I1731=$C$7),OR($C$8="Semua",$C$8="",C1731=$C$8,E1731=$C$8),OR($C$9="Semua",$C$9="",D1731=$C$9),OR($C$10="",B1731&gt;=$C$10),OR($C$11="",B1731&lt;=$C$11),OR($C$12&lt;&gt;"Ya",K1731&lt;&gt;""),OR($C$13="Semua",$C$13="",L1731=$C$13)),"✓","")</f>
        <v/>
      </c>
      <c r="N1731" s="93">
        <f>N(N1730)+IF(M1731="✓",1,0)</f>
        <v/>
      </c>
      <c r="O1731" s="93">
        <f>N(O1730)+IF(AND(B1731&lt;&gt;"",B1731&gt;='Uang Riba'!$H$30,B1731&lt;='Uang Riba'!$I$30,OR(H1731="Dana riba",H1731="Pinjam uang riba",I1731="Pinjam dari uang riba",I1731="Ganti uang riba",I1731="Kelebihan ganti dikembalikan",AND(C1731="Kantong Uang Riba",G1731="Pengeluaran"))),1,0)</f>
        <v/>
      </c>
      <c r="X1731" s="93">
        <f>IF(AND(B1731&lt;&gt;"",B1731&gt;='Buku Akun'!$H$4,B1731&lt;='Buku Akun'!$H$5,OR(C1731='Buku Akun'!$C$4,AND(D1731="Pindah",E1731='Buku Akun'!$C$4))),B1731+IF(AND(I1731="Selisih bunga",DAY(B1731)=1),0,0.01)+ROW()/10000000,"")</f>
        <v/>
      </c>
    </row>
    <row r="1732" outlineLevel="1" ht="15" customHeight="1" s="94">
      <c r="A1732" s="123">
        <f>IF(B1732="","",ROW()-15)</f>
        <v/>
      </c>
      <c r="B1732" s="124" t="n"/>
      <c r="C1732" s="123" t="n"/>
      <c r="D1732" s="123" t="n"/>
      <c r="E1732" s="123" t="n"/>
      <c r="F1732" s="125" t="n"/>
      <c r="G1732" s="123" t="n"/>
      <c r="H1732" s="123" t="n"/>
      <c r="I1732" s="123" t="n"/>
      <c r="J1732" s="123" t="n"/>
      <c r="K1732" s="123" t="n"/>
      <c r="L1732" s="123" t="n"/>
      <c r="M1732" s="123">
        <f>IF(AND(B1732&lt;&gt;"",OR($C$4="",ISNUMBER(SEARCH($C$4,C1732&amp;" "&amp;E1732&amp;" "&amp;G1732&amp;" "&amp;H1732&amp;" "&amp;I1732&amp;" "&amp;J1732&amp;" "&amp;K1732&amp;" "&amp;L1732))),OR($C$5="Semua",$C$5="",G1732=$C$5),OR($C$6="Semua",$C$6="",H1732=$C$6,H1732="Pengeluaran "&amp;$C$6,AND($C$6="Uang Kos Mama",H1732="Pengeluaran Uang Kos")),OR($C$7="Semua",$C$7="",I1732=$C$7),OR($C$8="Semua",$C$8="",C1732=$C$8,E1732=$C$8),OR($C$9="Semua",$C$9="",D1732=$C$9),OR($C$10="",B1732&gt;=$C$10),OR($C$11="",B1732&lt;=$C$11),OR($C$12&lt;&gt;"Ya",K1732&lt;&gt;""),OR($C$13="Semua",$C$13="",L1732=$C$13)),"✓","")</f>
        <v/>
      </c>
      <c r="N1732" s="93">
        <f>N(N1731)+IF(M1732="✓",1,0)</f>
        <v/>
      </c>
      <c r="O1732" s="93">
        <f>N(O1731)+IF(AND(B1732&lt;&gt;"",B1732&gt;='Uang Riba'!$H$30,B1732&lt;='Uang Riba'!$I$30,OR(H1732="Dana riba",H1732="Pinjam uang riba",I1732="Pinjam dari uang riba",I1732="Ganti uang riba",I1732="Kelebihan ganti dikembalikan",AND(C1732="Kantong Uang Riba",G1732="Pengeluaran"))),1,0)</f>
        <v/>
      </c>
      <c r="X1732" s="93">
        <f>IF(AND(B1732&lt;&gt;"",B1732&gt;='Buku Akun'!$H$4,B1732&lt;='Buku Akun'!$H$5,OR(C1732='Buku Akun'!$C$4,AND(D1732="Pindah",E1732='Buku Akun'!$C$4))),B1732+IF(AND(I1732="Selisih bunga",DAY(B1732)=1),0,0.01)+ROW()/10000000,"")</f>
        <v/>
      </c>
    </row>
    <row r="1733" outlineLevel="1" ht="15" customHeight="1" s="94">
      <c r="A1733" s="123">
        <f>IF(B1733="","",ROW()-15)</f>
        <v/>
      </c>
      <c r="B1733" s="124" t="n"/>
      <c r="C1733" s="123" t="n"/>
      <c r="D1733" s="123" t="n"/>
      <c r="E1733" s="123" t="n"/>
      <c r="F1733" s="125" t="n"/>
      <c r="G1733" s="123" t="n"/>
      <c r="H1733" s="123" t="n"/>
      <c r="I1733" s="123" t="n"/>
      <c r="J1733" s="123" t="n"/>
      <c r="K1733" s="123" t="n"/>
      <c r="L1733" s="123" t="n"/>
      <c r="M1733" s="123">
        <f>IF(AND(B1733&lt;&gt;"",OR($C$4="",ISNUMBER(SEARCH($C$4,C1733&amp;" "&amp;E1733&amp;" "&amp;G1733&amp;" "&amp;H1733&amp;" "&amp;I1733&amp;" "&amp;J1733&amp;" "&amp;K1733&amp;" "&amp;L1733))),OR($C$5="Semua",$C$5="",G1733=$C$5),OR($C$6="Semua",$C$6="",H1733=$C$6,H1733="Pengeluaran "&amp;$C$6,AND($C$6="Uang Kos Mama",H1733="Pengeluaran Uang Kos")),OR($C$7="Semua",$C$7="",I1733=$C$7),OR($C$8="Semua",$C$8="",C1733=$C$8,E1733=$C$8),OR($C$9="Semua",$C$9="",D1733=$C$9),OR($C$10="",B1733&gt;=$C$10),OR($C$11="",B1733&lt;=$C$11),OR($C$12&lt;&gt;"Ya",K1733&lt;&gt;""),OR($C$13="Semua",$C$13="",L1733=$C$13)),"✓","")</f>
        <v/>
      </c>
      <c r="N1733" s="93">
        <f>N(N1732)+IF(M1733="✓",1,0)</f>
        <v/>
      </c>
      <c r="O1733" s="93">
        <f>N(O1732)+IF(AND(B1733&lt;&gt;"",B1733&gt;='Uang Riba'!$H$30,B1733&lt;='Uang Riba'!$I$30,OR(H1733="Dana riba",H1733="Pinjam uang riba",I1733="Pinjam dari uang riba",I1733="Ganti uang riba",I1733="Kelebihan ganti dikembalikan",AND(C1733="Kantong Uang Riba",G1733="Pengeluaran"))),1,0)</f>
        <v/>
      </c>
      <c r="X1733" s="93">
        <f>IF(AND(B1733&lt;&gt;"",B1733&gt;='Buku Akun'!$H$4,B1733&lt;='Buku Akun'!$H$5,OR(C1733='Buku Akun'!$C$4,AND(D1733="Pindah",E1733='Buku Akun'!$C$4))),B1733+IF(AND(I1733="Selisih bunga",DAY(B1733)=1),0,0.01)+ROW()/10000000,"")</f>
        <v/>
      </c>
    </row>
    <row r="1734" outlineLevel="1" ht="15" customHeight="1" s="94">
      <c r="A1734" s="123">
        <f>IF(B1734="","",ROW()-15)</f>
        <v/>
      </c>
      <c r="B1734" s="124" t="n"/>
      <c r="C1734" s="123" t="n"/>
      <c r="D1734" s="123" t="n"/>
      <c r="E1734" s="123" t="n"/>
      <c r="F1734" s="125" t="n"/>
      <c r="G1734" s="123" t="n"/>
      <c r="H1734" s="123" t="n"/>
      <c r="I1734" s="123" t="n"/>
      <c r="J1734" s="123" t="n"/>
      <c r="K1734" s="123" t="n"/>
      <c r="L1734" s="123" t="n"/>
      <c r="M1734" s="123">
        <f>IF(AND(B1734&lt;&gt;"",OR($C$4="",ISNUMBER(SEARCH($C$4,C1734&amp;" "&amp;E1734&amp;" "&amp;G1734&amp;" "&amp;H1734&amp;" "&amp;I1734&amp;" "&amp;J1734&amp;" "&amp;K1734&amp;" "&amp;L1734))),OR($C$5="Semua",$C$5="",G1734=$C$5),OR($C$6="Semua",$C$6="",H1734=$C$6,H1734="Pengeluaran "&amp;$C$6,AND($C$6="Uang Kos Mama",H1734="Pengeluaran Uang Kos")),OR($C$7="Semua",$C$7="",I1734=$C$7),OR($C$8="Semua",$C$8="",C1734=$C$8,E1734=$C$8),OR($C$9="Semua",$C$9="",D1734=$C$9),OR($C$10="",B1734&gt;=$C$10),OR($C$11="",B1734&lt;=$C$11),OR($C$12&lt;&gt;"Ya",K1734&lt;&gt;""),OR($C$13="Semua",$C$13="",L1734=$C$13)),"✓","")</f>
        <v/>
      </c>
      <c r="N1734" s="93">
        <f>N(N1733)+IF(M1734="✓",1,0)</f>
        <v/>
      </c>
      <c r="O1734" s="93">
        <f>N(O1733)+IF(AND(B1734&lt;&gt;"",B1734&gt;='Uang Riba'!$H$30,B1734&lt;='Uang Riba'!$I$30,OR(H1734="Dana riba",H1734="Pinjam uang riba",I1734="Pinjam dari uang riba",I1734="Ganti uang riba",I1734="Kelebihan ganti dikembalikan",AND(C1734="Kantong Uang Riba",G1734="Pengeluaran"))),1,0)</f>
        <v/>
      </c>
      <c r="X1734" s="93">
        <f>IF(AND(B1734&lt;&gt;"",B1734&gt;='Buku Akun'!$H$4,B1734&lt;='Buku Akun'!$H$5,OR(C1734='Buku Akun'!$C$4,AND(D1734="Pindah",E1734='Buku Akun'!$C$4))),B1734+IF(AND(I1734="Selisih bunga",DAY(B1734)=1),0,0.01)+ROW()/10000000,"")</f>
        <v/>
      </c>
    </row>
    <row r="1735" outlineLevel="1" ht="15" customHeight="1" s="94">
      <c r="A1735" s="123">
        <f>IF(B1735="","",ROW()-15)</f>
        <v/>
      </c>
      <c r="B1735" s="124" t="n"/>
      <c r="C1735" s="123" t="n"/>
      <c r="D1735" s="123" t="n"/>
      <c r="E1735" s="123" t="n"/>
      <c r="F1735" s="125" t="n"/>
      <c r="G1735" s="123" t="n"/>
      <c r="H1735" s="123" t="n"/>
      <c r="I1735" s="123" t="n"/>
      <c r="J1735" s="123" t="n"/>
      <c r="K1735" s="123" t="n"/>
      <c r="L1735" s="123" t="n"/>
      <c r="M1735" s="123">
        <f>IF(AND(B1735&lt;&gt;"",OR($C$4="",ISNUMBER(SEARCH($C$4,C1735&amp;" "&amp;E1735&amp;" "&amp;G1735&amp;" "&amp;H1735&amp;" "&amp;I1735&amp;" "&amp;J1735&amp;" "&amp;K1735&amp;" "&amp;L1735))),OR($C$5="Semua",$C$5="",G1735=$C$5),OR($C$6="Semua",$C$6="",H1735=$C$6,H1735="Pengeluaran "&amp;$C$6,AND($C$6="Uang Kos Mama",H1735="Pengeluaran Uang Kos")),OR($C$7="Semua",$C$7="",I1735=$C$7),OR($C$8="Semua",$C$8="",C1735=$C$8,E1735=$C$8),OR($C$9="Semua",$C$9="",D1735=$C$9),OR($C$10="",B1735&gt;=$C$10),OR($C$11="",B1735&lt;=$C$11),OR($C$12&lt;&gt;"Ya",K1735&lt;&gt;""),OR($C$13="Semua",$C$13="",L1735=$C$13)),"✓","")</f>
        <v/>
      </c>
      <c r="N1735" s="93">
        <f>N(N1734)+IF(M1735="✓",1,0)</f>
        <v/>
      </c>
      <c r="O1735" s="93">
        <f>N(O1734)+IF(AND(B1735&lt;&gt;"",B1735&gt;='Uang Riba'!$H$30,B1735&lt;='Uang Riba'!$I$30,OR(H1735="Dana riba",H1735="Pinjam uang riba",I1735="Pinjam dari uang riba",I1735="Ganti uang riba",I1735="Kelebihan ganti dikembalikan",AND(C1735="Kantong Uang Riba",G1735="Pengeluaran"))),1,0)</f>
        <v/>
      </c>
      <c r="X1735" s="93">
        <f>IF(AND(B1735&lt;&gt;"",B1735&gt;='Buku Akun'!$H$4,B1735&lt;='Buku Akun'!$H$5,OR(C1735='Buku Akun'!$C$4,AND(D1735="Pindah",E1735='Buku Akun'!$C$4))),B1735+IF(AND(I1735="Selisih bunga",DAY(B1735)=1),0,0.01)+ROW()/10000000,"")</f>
        <v/>
      </c>
    </row>
    <row r="1736" outlineLevel="1" ht="15" customHeight="1" s="94">
      <c r="A1736" s="123">
        <f>IF(B1736="","",ROW()-15)</f>
        <v/>
      </c>
      <c r="B1736" s="124" t="n"/>
      <c r="C1736" s="123" t="n"/>
      <c r="D1736" s="123" t="n"/>
      <c r="E1736" s="123" t="n"/>
      <c r="F1736" s="125" t="n"/>
      <c r="G1736" s="123" t="n"/>
      <c r="H1736" s="123" t="n"/>
      <c r="I1736" s="123" t="n"/>
      <c r="J1736" s="123" t="n"/>
      <c r="K1736" s="123" t="n"/>
      <c r="L1736" s="123" t="n"/>
      <c r="M1736" s="123">
        <f>IF(AND(B1736&lt;&gt;"",OR($C$4="",ISNUMBER(SEARCH($C$4,C1736&amp;" "&amp;E1736&amp;" "&amp;G1736&amp;" "&amp;H1736&amp;" "&amp;I1736&amp;" "&amp;J1736&amp;" "&amp;K1736&amp;" "&amp;L1736))),OR($C$5="Semua",$C$5="",G1736=$C$5),OR($C$6="Semua",$C$6="",H1736=$C$6,H1736="Pengeluaran "&amp;$C$6,AND($C$6="Uang Kos Mama",H1736="Pengeluaran Uang Kos")),OR($C$7="Semua",$C$7="",I1736=$C$7),OR($C$8="Semua",$C$8="",C1736=$C$8,E1736=$C$8),OR($C$9="Semua",$C$9="",D1736=$C$9),OR($C$10="",B1736&gt;=$C$10),OR($C$11="",B1736&lt;=$C$11),OR($C$12&lt;&gt;"Ya",K1736&lt;&gt;""),OR($C$13="Semua",$C$13="",L1736=$C$13)),"✓","")</f>
        <v/>
      </c>
      <c r="N1736" s="93">
        <f>N(N1735)+IF(M1736="✓",1,0)</f>
        <v/>
      </c>
      <c r="O1736" s="93">
        <f>N(O1735)+IF(AND(B1736&lt;&gt;"",B1736&gt;='Uang Riba'!$H$30,B1736&lt;='Uang Riba'!$I$30,OR(H1736="Dana riba",H1736="Pinjam uang riba",I1736="Pinjam dari uang riba",I1736="Ganti uang riba",I1736="Kelebihan ganti dikembalikan",AND(C1736="Kantong Uang Riba",G1736="Pengeluaran"))),1,0)</f>
        <v/>
      </c>
      <c r="X1736" s="93">
        <f>IF(AND(B1736&lt;&gt;"",B1736&gt;='Buku Akun'!$H$4,B1736&lt;='Buku Akun'!$H$5,OR(C1736='Buku Akun'!$C$4,AND(D1736="Pindah",E1736='Buku Akun'!$C$4))),B1736+IF(AND(I1736="Selisih bunga",DAY(B1736)=1),0,0.01)+ROW()/10000000,"")</f>
        <v/>
      </c>
    </row>
    <row r="1737" outlineLevel="1" ht="15" customHeight="1" s="94">
      <c r="A1737" s="123">
        <f>IF(B1737="","",ROW()-15)</f>
        <v/>
      </c>
      <c r="B1737" s="124" t="n"/>
      <c r="C1737" s="123" t="n"/>
      <c r="D1737" s="123" t="n"/>
      <c r="E1737" s="123" t="n"/>
      <c r="F1737" s="125" t="n"/>
      <c r="G1737" s="123" t="n"/>
      <c r="H1737" s="123" t="n"/>
      <c r="I1737" s="123" t="n"/>
      <c r="J1737" s="123" t="n"/>
      <c r="K1737" s="123" t="n"/>
      <c r="L1737" s="123" t="n"/>
      <c r="M1737" s="123">
        <f>IF(AND(B1737&lt;&gt;"",OR($C$4="",ISNUMBER(SEARCH($C$4,C1737&amp;" "&amp;E1737&amp;" "&amp;G1737&amp;" "&amp;H1737&amp;" "&amp;I1737&amp;" "&amp;J1737&amp;" "&amp;K1737&amp;" "&amp;L1737))),OR($C$5="Semua",$C$5="",G1737=$C$5),OR($C$6="Semua",$C$6="",H1737=$C$6,H1737="Pengeluaran "&amp;$C$6,AND($C$6="Uang Kos Mama",H1737="Pengeluaran Uang Kos")),OR($C$7="Semua",$C$7="",I1737=$C$7),OR($C$8="Semua",$C$8="",C1737=$C$8,E1737=$C$8),OR($C$9="Semua",$C$9="",D1737=$C$9),OR($C$10="",B1737&gt;=$C$10),OR($C$11="",B1737&lt;=$C$11),OR($C$12&lt;&gt;"Ya",K1737&lt;&gt;""),OR($C$13="Semua",$C$13="",L1737=$C$13)),"✓","")</f>
        <v/>
      </c>
      <c r="N1737" s="93">
        <f>N(N1736)+IF(M1737="✓",1,0)</f>
        <v/>
      </c>
      <c r="O1737" s="93">
        <f>N(O1736)+IF(AND(B1737&lt;&gt;"",B1737&gt;='Uang Riba'!$H$30,B1737&lt;='Uang Riba'!$I$30,OR(H1737="Dana riba",H1737="Pinjam uang riba",I1737="Pinjam dari uang riba",I1737="Ganti uang riba",I1737="Kelebihan ganti dikembalikan",AND(C1737="Kantong Uang Riba",G1737="Pengeluaran"))),1,0)</f>
        <v/>
      </c>
      <c r="X1737" s="93">
        <f>IF(AND(B1737&lt;&gt;"",B1737&gt;='Buku Akun'!$H$4,B1737&lt;='Buku Akun'!$H$5,OR(C1737='Buku Akun'!$C$4,AND(D1737="Pindah",E1737='Buku Akun'!$C$4))),B1737+IF(AND(I1737="Selisih bunga",DAY(B1737)=1),0,0.01)+ROW()/10000000,"")</f>
        <v/>
      </c>
    </row>
    <row r="1738" outlineLevel="1" ht="15" customHeight="1" s="94">
      <c r="A1738" s="123">
        <f>IF(B1738="","",ROW()-15)</f>
        <v/>
      </c>
      <c r="B1738" s="124" t="n"/>
      <c r="C1738" s="123" t="n"/>
      <c r="D1738" s="123" t="n"/>
      <c r="E1738" s="123" t="n"/>
      <c r="F1738" s="125" t="n"/>
      <c r="G1738" s="123" t="n"/>
      <c r="H1738" s="123" t="n"/>
      <c r="I1738" s="123" t="n"/>
      <c r="J1738" s="123" t="n"/>
      <c r="K1738" s="123" t="n"/>
      <c r="L1738" s="123" t="n"/>
      <c r="M1738" s="123">
        <f>IF(AND(B1738&lt;&gt;"",OR($C$4="",ISNUMBER(SEARCH($C$4,C1738&amp;" "&amp;E1738&amp;" "&amp;G1738&amp;" "&amp;H1738&amp;" "&amp;I1738&amp;" "&amp;J1738&amp;" "&amp;K1738&amp;" "&amp;L1738))),OR($C$5="Semua",$C$5="",G1738=$C$5),OR($C$6="Semua",$C$6="",H1738=$C$6,H1738="Pengeluaran "&amp;$C$6,AND($C$6="Uang Kos Mama",H1738="Pengeluaran Uang Kos")),OR($C$7="Semua",$C$7="",I1738=$C$7),OR($C$8="Semua",$C$8="",C1738=$C$8,E1738=$C$8),OR($C$9="Semua",$C$9="",D1738=$C$9),OR($C$10="",B1738&gt;=$C$10),OR($C$11="",B1738&lt;=$C$11),OR($C$12&lt;&gt;"Ya",K1738&lt;&gt;""),OR($C$13="Semua",$C$13="",L1738=$C$13)),"✓","")</f>
        <v/>
      </c>
      <c r="N1738" s="93">
        <f>N(N1737)+IF(M1738="✓",1,0)</f>
        <v/>
      </c>
      <c r="O1738" s="93">
        <f>N(O1737)+IF(AND(B1738&lt;&gt;"",B1738&gt;='Uang Riba'!$H$30,B1738&lt;='Uang Riba'!$I$30,OR(H1738="Dana riba",H1738="Pinjam uang riba",I1738="Pinjam dari uang riba",I1738="Ganti uang riba",I1738="Kelebihan ganti dikembalikan",AND(C1738="Kantong Uang Riba",G1738="Pengeluaran"))),1,0)</f>
        <v/>
      </c>
      <c r="X1738" s="93">
        <f>IF(AND(B1738&lt;&gt;"",B1738&gt;='Buku Akun'!$H$4,B1738&lt;='Buku Akun'!$H$5,OR(C1738='Buku Akun'!$C$4,AND(D1738="Pindah",E1738='Buku Akun'!$C$4))),B1738+IF(AND(I1738="Selisih bunga",DAY(B1738)=1),0,0.01)+ROW()/10000000,"")</f>
        <v/>
      </c>
    </row>
    <row r="1739" outlineLevel="1" ht="15" customHeight="1" s="94">
      <c r="A1739" s="123">
        <f>IF(B1739="","",ROW()-15)</f>
        <v/>
      </c>
      <c r="B1739" s="124" t="n"/>
      <c r="C1739" s="123" t="n"/>
      <c r="D1739" s="123" t="n"/>
      <c r="E1739" s="123" t="n"/>
      <c r="F1739" s="125" t="n"/>
      <c r="G1739" s="123" t="n"/>
      <c r="H1739" s="123" t="n"/>
      <c r="I1739" s="123" t="n"/>
      <c r="J1739" s="123" t="n"/>
      <c r="K1739" s="123" t="n"/>
      <c r="L1739" s="123" t="n"/>
      <c r="M1739" s="123">
        <f>IF(AND(B1739&lt;&gt;"",OR($C$4="",ISNUMBER(SEARCH($C$4,C1739&amp;" "&amp;E1739&amp;" "&amp;G1739&amp;" "&amp;H1739&amp;" "&amp;I1739&amp;" "&amp;J1739&amp;" "&amp;K1739&amp;" "&amp;L1739))),OR($C$5="Semua",$C$5="",G1739=$C$5),OR($C$6="Semua",$C$6="",H1739=$C$6,H1739="Pengeluaran "&amp;$C$6,AND($C$6="Uang Kos Mama",H1739="Pengeluaran Uang Kos")),OR($C$7="Semua",$C$7="",I1739=$C$7),OR($C$8="Semua",$C$8="",C1739=$C$8,E1739=$C$8),OR($C$9="Semua",$C$9="",D1739=$C$9),OR($C$10="",B1739&gt;=$C$10),OR($C$11="",B1739&lt;=$C$11),OR($C$12&lt;&gt;"Ya",K1739&lt;&gt;""),OR($C$13="Semua",$C$13="",L1739=$C$13)),"✓","")</f>
        <v/>
      </c>
      <c r="N1739" s="93">
        <f>N(N1738)+IF(M1739="✓",1,0)</f>
        <v/>
      </c>
      <c r="O1739" s="93">
        <f>N(O1738)+IF(AND(B1739&lt;&gt;"",B1739&gt;='Uang Riba'!$H$30,B1739&lt;='Uang Riba'!$I$30,OR(H1739="Dana riba",H1739="Pinjam uang riba",I1739="Pinjam dari uang riba",I1739="Ganti uang riba",I1739="Kelebihan ganti dikembalikan",AND(C1739="Kantong Uang Riba",G1739="Pengeluaran"))),1,0)</f>
        <v/>
      </c>
      <c r="X1739" s="93">
        <f>IF(AND(B1739&lt;&gt;"",B1739&gt;='Buku Akun'!$H$4,B1739&lt;='Buku Akun'!$H$5,OR(C1739='Buku Akun'!$C$4,AND(D1739="Pindah",E1739='Buku Akun'!$C$4))),B1739+IF(AND(I1739="Selisih bunga",DAY(B1739)=1),0,0.01)+ROW()/10000000,"")</f>
        <v/>
      </c>
    </row>
    <row r="1740" outlineLevel="1" ht="15" customHeight="1" s="94">
      <c r="A1740" s="123">
        <f>IF(B1740="","",ROW()-15)</f>
        <v/>
      </c>
      <c r="B1740" s="124" t="n"/>
      <c r="C1740" s="123" t="n"/>
      <c r="D1740" s="123" t="n"/>
      <c r="E1740" s="123" t="n"/>
      <c r="F1740" s="125" t="n"/>
      <c r="G1740" s="123" t="n"/>
      <c r="H1740" s="123" t="n"/>
      <c r="I1740" s="123" t="n"/>
      <c r="J1740" s="123" t="n"/>
      <c r="K1740" s="123" t="n"/>
      <c r="L1740" s="123" t="n"/>
      <c r="M1740" s="123">
        <f>IF(AND(B1740&lt;&gt;"",OR($C$4="",ISNUMBER(SEARCH($C$4,C1740&amp;" "&amp;E1740&amp;" "&amp;G1740&amp;" "&amp;H1740&amp;" "&amp;I1740&amp;" "&amp;J1740&amp;" "&amp;K1740&amp;" "&amp;L1740))),OR($C$5="Semua",$C$5="",G1740=$C$5),OR($C$6="Semua",$C$6="",H1740=$C$6,H1740="Pengeluaran "&amp;$C$6,AND($C$6="Uang Kos Mama",H1740="Pengeluaran Uang Kos")),OR($C$7="Semua",$C$7="",I1740=$C$7),OR($C$8="Semua",$C$8="",C1740=$C$8,E1740=$C$8),OR($C$9="Semua",$C$9="",D1740=$C$9),OR($C$10="",B1740&gt;=$C$10),OR($C$11="",B1740&lt;=$C$11),OR($C$12&lt;&gt;"Ya",K1740&lt;&gt;""),OR($C$13="Semua",$C$13="",L1740=$C$13)),"✓","")</f>
        <v/>
      </c>
      <c r="N1740" s="93">
        <f>N(N1739)+IF(M1740="✓",1,0)</f>
        <v/>
      </c>
      <c r="O1740" s="93">
        <f>N(O1739)+IF(AND(B1740&lt;&gt;"",B1740&gt;='Uang Riba'!$H$30,B1740&lt;='Uang Riba'!$I$30,OR(H1740="Dana riba",H1740="Pinjam uang riba",I1740="Pinjam dari uang riba",I1740="Ganti uang riba",I1740="Kelebihan ganti dikembalikan",AND(C1740="Kantong Uang Riba",G1740="Pengeluaran"))),1,0)</f>
        <v/>
      </c>
      <c r="X1740" s="93">
        <f>IF(AND(B1740&lt;&gt;"",B1740&gt;='Buku Akun'!$H$4,B1740&lt;='Buku Akun'!$H$5,OR(C1740='Buku Akun'!$C$4,AND(D1740="Pindah",E1740='Buku Akun'!$C$4))),B1740+IF(AND(I1740="Selisih bunga",DAY(B1740)=1),0,0.01)+ROW()/10000000,"")</f>
        <v/>
      </c>
    </row>
    <row r="1741" outlineLevel="1" ht="15" customHeight="1" s="94">
      <c r="A1741" s="123">
        <f>IF(B1741="","",ROW()-15)</f>
        <v/>
      </c>
      <c r="B1741" s="124" t="n"/>
      <c r="C1741" s="123" t="n"/>
      <c r="D1741" s="123" t="n"/>
      <c r="E1741" s="123" t="n"/>
      <c r="F1741" s="125" t="n"/>
      <c r="G1741" s="123" t="n"/>
      <c r="H1741" s="123" t="n"/>
      <c r="I1741" s="123" t="n"/>
      <c r="J1741" s="123" t="n"/>
      <c r="K1741" s="123" t="n"/>
      <c r="L1741" s="123" t="n"/>
      <c r="M1741" s="123">
        <f>IF(AND(B1741&lt;&gt;"",OR($C$4="",ISNUMBER(SEARCH($C$4,C1741&amp;" "&amp;E1741&amp;" "&amp;G1741&amp;" "&amp;H1741&amp;" "&amp;I1741&amp;" "&amp;J1741&amp;" "&amp;K1741&amp;" "&amp;L1741))),OR($C$5="Semua",$C$5="",G1741=$C$5),OR($C$6="Semua",$C$6="",H1741=$C$6,H1741="Pengeluaran "&amp;$C$6,AND($C$6="Uang Kos Mama",H1741="Pengeluaran Uang Kos")),OR($C$7="Semua",$C$7="",I1741=$C$7),OR($C$8="Semua",$C$8="",C1741=$C$8,E1741=$C$8),OR($C$9="Semua",$C$9="",D1741=$C$9),OR($C$10="",B1741&gt;=$C$10),OR($C$11="",B1741&lt;=$C$11),OR($C$12&lt;&gt;"Ya",K1741&lt;&gt;""),OR($C$13="Semua",$C$13="",L1741=$C$13)),"✓","")</f>
        <v/>
      </c>
      <c r="N1741" s="93">
        <f>N(N1740)+IF(M1741="✓",1,0)</f>
        <v/>
      </c>
      <c r="O1741" s="93">
        <f>N(O1740)+IF(AND(B1741&lt;&gt;"",B1741&gt;='Uang Riba'!$H$30,B1741&lt;='Uang Riba'!$I$30,OR(H1741="Dana riba",H1741="Pinjam uang riba",I1741="Pinjam dari uang riba",I1741="Ganti uang riba",I1741="Kelebihan ganti dikembalikan",AND(C1741="Kantong Uang Riba",G1741="Pengeluaran"))),1,0)</f>
        <v/>
      </c>
      <c r="X1741" s="93">
        <f>IF(AND(B1741&lt;&gt;"",B1741&gt;='Buku Akun'!$H$4,B1741&lt;='Buku Akun'!$H$5,OR(C1741='Buku Akun'!$C$4,AND(D1741="Pindah",E1741='Buku Akun'!$C$4))),B1741+IF(AND(I1741="Selisih bunga",DAY(B1741)=1),0,0.01)+ROW()/10000000,"")</f>
        <v/>
      </c>
    </row>
    <row r="1742" outlineLevel="1" ht="15" customHeight="1" s="94">
      <c r="A1742" s="123">
        <f>IF(B1742="","",ROW()-15)</f>
        <v/>
      </c>
      <c r="B1742" s="124" t="n"/>
      <c r="C1742" s="123" t="n"/>
      <c r="D1742" s="123" t="n"/>
      <c r="E1742" s="123" t="n"/>
      <c r="F1742" s="125" t="n"/>
      <c r="G1742" s="123" t="n"/>
      <c r="H1742" s="123" t="n"/>
      <c r="I1742" s="123" t="n"/>
      <c r="J1742" s="123" t="n"/>
      <c r="K1742" s="123" t="n"/>
      <c r="L1742" s="123" t="n"/>
      <c r="M1742" s="123">
        <f>IF(AND(B1742&lt;&gt;"",OR($C$4="",ISNUMBER(SEARCH($C$4,C1742&amp;" "&amp;E1742&amp;" "&amp;G1742&amp;" "&amp;H1742&amp;" "&amp;I1742&amp;" "&amp;J1742&amp;" "&amp;K1742&amp;" "&amp;L1742))),OR($C$5="Semua",$C$5="",G1742=$C$5),OR($C$6="Semua",$C$6="",H1742=$C$6,H1742="Pengeluaran "&amp;$C$6,AND($C$6="Uang Kos Mama",H1742="Pengeluaran Uang Kos")),OR($C$7="Semua",$C$7="",I1742=$C$7),OR($C$8="Semua",$C$8="",C1742=$C$8,E1742=$C$8),OR($C$9="Semua",$C$9="",D1742=$C$9),OR($C$10="",B1742&gt;=$C$10),OR($C$11="",B1742&lt;=$C$11),OR($C$12&lt;&gt;"Ya",K1742&lt;&gt;""),OR($C$13="Semua",$C$13="",L1742=$C$13)),"✓","")</f>
        <v/>
      </c>
      <c r="N1742" s="93">
        <f>N(N1741)+IF(M1742="✓",1,0)</f>
        <v/>
      </c>
      <c r="O1742" s="93">
        <f>N(O1741)+IF(AND(B1742&lt;&gt;"",B1742&gt;='Uang Riba'!$H$30,B1742&lt;='Uang Riba'!$I$30,OR(H1742="Dana riba",H1742="Pinjam uang riba",I1742="Pinjam dari uang riba",I1742="Ganti uang riba",I1742="Kelebihan ganti dikembalikan",AND(C1742="Kantong Uang Riba",G1742="Pengeluaran"))),1,0)</f>
        <v/>
      </c>
      <c r="X1742" s="93">
        <f>IF(AND(B1742&lt;&gt;"",B1742&gt;='Buku Akun'!$H$4,B1742&lt;='Buku Akun'!$H$5,OR(C1742='Buku Akun'!$C$4,AND(D1742="Pindah",E1742='Buku Akun'!$C$4))),B1742+IF(AND(I1742="Selisih bunga",DAY(B1742)=1),0,0.01)+ROW()/10000000,"")</f>
        <v/>
      </c>
    </row>
    <row r="1743" outlineLevel="1" ht="15" customHeight="1" s="94">
      <c r="A1743" s="123">
        <f>IF(B1743="","",ROW()-15)</f>
        <v/>
      </c>
      <c r="B1743" s="124" t="n"/>
      <c r="C1743" s="123" t="n"/>
      <c r="D1743" s="123" t="n"/>
      <c r="E1743" s="123" t="n"/>
      <c r="F1743" s="125" t="n"/>
      <c r="G1743" s="123" t="n"/>
      <c r="H1743" s="123" t="n"/>
      <c r="I1743" s="123" t="n"/>
      <c r="J1743" s="123" t="n"/>
      <c r="K1743" s="123" t="n"/>
      <c r="L1743" s="123" t="n"/>
      <c r="M1743" s="123">
        <f>IF(AND(B1743&lt;&gt;"",OR($C$4="",ISNUMBER(SEARCH($C$4,C1743&amp;" "&amp;E1743&amp;" "&amp;G1743&amp;" "&amp;H1743&amp;" "&amp;I1743&amp;" "&amp;J1743&amp;" "&amp;K1743&amp;" "&amp;L1743))),OR($C$5="Semua",$C$5="",G1743=$C$5),OR($C$6="Semua",$C$6="",H1743=$C$6,H1743="Pengeluaran "&amp;$C$6,AND($C$6="Uang Kos Mama",H1743="Pengeluaran Uang Kos")),OR($C$7="Semua",$C$7="",I1743=$C$7),OR($C$8="Semua",$C$8="",C1743=$C$8,E1743=$C$8),OR($C$9="Semua",$C$9="",D1743=$C$9),OR($C$10="",B1743&gt;=$C$10),OR($C$11="",B1743&lt;=$C$11),OR($C$12&lt;&gt;"Ya",K1743&lt;&gt;""),OR($C$13="Semua",$C$13="",L1743=$C$13)),"✓","")</f>
        <v/>
      </c>
      <c r="N1743" s="93">
        <f>N(N1742)+IF(M1743="✓",1,0)</f>
        <v/>
      </c>
      <c r="O1743" s="93">
        <f>N(O1742)+IF(AND(B1743&lt;&gt;"",B1743&gt;='Uang Riba'!$H$30,B1743&lt;='Uang Riba'!$I$30,OR(H1743="Dana riba",H1743="Pinjam uang riba",I1743="Pinjam dari uang riba",I1743="Ganti uang riba",I1743="Kelebihan ganti dikembalikan",AND(C1743="Kantong Uang Riba",G1743="Pengeluaran"))),1,0)</f>
        <v/>
      </c>
      <c r="X1743" s="93">
        <f>IF(AND(B1743&lt;&gt;"",B1743&gt;='Buku Akun'!$H$4,B1743&lt;='Buku Akun'!$H$5,OR(C1743='Buku Akun'!$C$4,AND(D1743="Pindah",E1743='Buku Akun'!$C$4))),B1743+IF(AND(I1743="Selisih bunga",DAY(B1743)=1),0,0.01)+ROW()/10000000,"")</f>
        <v/>
      </c>
    </row>
    <row r="1744" outlineLevel="1" ht="15" customHeight="1" s="94">
      <c r="A1744" s="123">
        <f>IF(B1744="","",ROW()-15)</f>
        <v/>
      </c>
      <c r="B1744" s="124" t="n"/>
      <c r="C1744" s="123" t="n"/>
      <c r="D1744" s="123" t="n"/>
      <c r="E1744" s="123" t="n"/>
      <c r="F1744" s="125" t="n"/>
      <c r="G1744" s="123" t="n"/>
      <c r="H1744" s="123" t="n"/>
      <c r="I1744" s="123" t="n"/>
      <c r="J1744" s="123" t="n"/>
      <c r="K1744" s="123" t="n"/>
      <c r="L1744" s="123" t="n"/>
      <c r="M1744" s="123">
        <f>IF(AND(B1744&lt;&gt;"",OR($C$4="",ISNUMBER(SEARCH($C$4,C1744&amp;" "&amp;E1744&amp;" "&amp;G1744&amp;" "&amp;H1744&amp;" "&amp;I1744&amp;" "&amp;J1744&amp;" "&amp;K1744&amp;" "&amp;L1744))),OR($C$5="Semua",$C$5="",G1744=$C$5),OR($C$6="Semua",$C$6="",H1744=$C$6,H1744="Pengeluaran "&amp;$C$6,AND($C$6="Uang Kos Mama",H1744="Pengeluaran Uang Kos")),OR($C$7="Semua",$C$7="",I1744=$C$7),OR($C$8="Semua",$C$8="",C1744=$C$8,E1744=$C$8),OR($C$9="Semua",$C$9="",D1744=$C$9),OR($C$10="",B1744&gt;=$C$10),OR($C$11="",B1744&lt;=$C$11),OR($C$12&lt;&gt;"Ya",K1744&lt;&gt;""),OR($C$13="Semua",$C$13="",L1744=$C$13)),"✓","")</f>
        <v/>
      </c>
      <c r="N1744" s="93">
        <f>N(N1743)+IF(M1744="✓",1,0)</f>
        <v/>
      </c>
      <c r="O1744" s="93">
        <f>N(O1743)+IF(AND(B1744&lt;&gt;"",B1744&gt;='Uang Riba'!$H$30,B1744&lt;='Uang Riba'!$I$30,OR(H1744="Dana riba",H1744="Pinjam uang riba",I1744="Pinjam dari uang riba",I1744="Ganti uang riba",I1744="Kelebihan ganti dikembalikan",AND(C1744="Kantong Uang Riba",G1744="Pengeluaran"))),1,0)</f>
        <v/>
      </c>
      <c r="X1744" s="93">
        <f>IF(AND(B1744&lt;&gt;"",B1744&gt;='Buku Akun'!$H$4,B1744&lt;='Buku Akun'!$H$5,OR(C1744='Buku Akun'!$C$4,AND(D1744="Pindah",E1744='Buku Akun'!$C$4))),B1744+IF(AND(I1744="Selisih bunga",DAY(B1744)=1),0,0.01)+ROW()/10000000,"")</f>
        <v/>
      </c>
    </row>
    <row r="1745" outlineLevel="1" ht="15" customHeight="1" s="94">
      <c r="A1745" s="123">
        <f>IF(B1745="","",ROW()-15)</f>
        <v/>
      </c>
      <c r="B1745" s="124" t="n"/>
      <c r="C1745" s="123" t="n"/>
      <c r="D1745" s="123" t="n"/>
      <c r="E1745" s="123" t="n"/>
      <c r="F1745" s="125" t="n"/>
      <c r="G1745" s="123" t="n"/>
      <c r="H1745" s="123" t="n"/>
      <c r="I1745" s="123" t="n"/>
      <c r="J1745" s="123" t="n"/>
      <c r="K1745" s="123" t="n"/>
      <c r="L1745" s="123" t="n"/>
      <c r="M1745" s="123">
        <f>IF(AND(B1745&lt;&gt;"",OR($C$4="",ISNUMBER(SEARCH($C$4,C1745&amp;" "&amp;E1745&amp;" "&amp;G1745&amp;" "&amp;H1745&amp;" "&amp;I1745&amp;" "&amp;J1745&amp;" "&amp;K1745&amp;" "&amp;L1745))),OR($C$5="Semua",$C$5="",G1745=$C$5),OR($C$6="Semua",$C$6="",H1745=$C$6,H1745="Pengeluaran "&amp;$C$6,AND($C$6="Uang Kos Mama",H1745="Pengeluaran Uang Kos")),OR($C$7="Semua",$C$7="",I1745=$C$7),OR($C$8="Semua",$C$8="",C1745=$C$8,E1745=$C$8),OR($C$9="Semua",$C$9="",D1745=$C$9),OR($C$10="",B1745&gt;=$C$10),OR($C$11="",B1745&lt;=$C$11),OR($C$12&lt;&gt;"Ya",K1745&lt;&gt;""),OR($C$13="Semua",$C$13="",L1745=$C$13)),"✓","")</f>
        <v/>
      </c>
      <c r="N1745" s="93">
        <f>N(N1744)+IF(M1745="✓",1,0)</f>
        <v/>
      </c>
      <c r="O1745" s="93">
        <f>N(O1744)+IF(AND(B1745&lt;&gt;"",B1745&gt;='Uang Riba'!$H$30,B1745&lt;='Uang Riba'!$I$30,OR(H1745="Dana riba",H1745="Pinjam uang riba",I1745="Pinjam dari uang riba",I1745="Ganti uang riba",I1745="Kelebihan ganti dikembalikan",AND(C1745="Kantong Uang Riba",G1745="Pengeluaran"))),1,0)</f>
        <v/>
      </c>
      <c r="X1745" s="93">
        <f>IF(AND(B1745&lt;&gt;"",B1745&gt;='Buku Akun'!$H$4,B1745&lt;='Buku Akun'!$H$5,OR(C1745='Buku Akun'!$C$4,AND(D1745="Pindah",E1745='Buku Akun'!$C$4))),B1745+IF(AND(I1745="Selisih bunga",DAY(B1745)=1),0,0.01)+ROW()/10000000,"")</f>
        <v/>
      </c>
    </row>
    <row r="1746" outlineLevel="1" ht="15" customHeight="1" s="94">
      <c r="A1746" s="123">
        <f>IF(B1746="","",ROW()-15)</f>
        <v/>
      </c>
      <c r="B1746" s="124" t="n"/>
      <c r="C1746" s="123" t="n"/>
      <c r="D1746" s="123" t="n"/>
      <c r="E1746" s="123" t="n"/>
      <c r="F1746" s="125" t="n"/>
      <c r="G1746" s="123" t="n"/>
      <c r="H1746" s="123" t="n"/>
      <c r="I1746" s="123" t="n"/>
      <c r="J1746" s="123" t="n"/>
      <c r="K1746" s="123" t="n"/>
      <c r="L1746" s="123" t="n"/>
      <c r="M1746" s="123">
        <f>IF(AND(B1746&lt;&gt;"",OR($C$4="",ISNUMBER(SEARCH($C$4,C1746&amp;" "&amp;E1746&amp;" "&amp;G1746&amp;" "&amp;H1746&amp;" "&amp;I1746&amp;" "&amp;J1746&amp;" "&amp;K1746&amp;" "&amp;L1746))),OR($C$5="Semua",$C$5="",G1746=$C$5),OR($C$6="Semua",$C$6="",H1746=$C$6,H1746="Pengeluaran "&amp;$C$6,AND($C$6="Uang Kos Mama",H1746="Pengeluaran Uang Kos")),OR($C$7="Semua",$C$7="",I1746=$C$7),OR($C$8="Semua",$C$8="",C1746=$C$8,E1746=$C$8),OR($C$9="Semua",$C$9="",D1746=$C$9),OR($C$10="",B1746&gt;=$C$10),OR($C$11="",B1746&lt;=$C$11),OR($C$12&lt;&gt;"Ya",K1746&lt;&gt;""),OR($C$13="Semua",$C$13="",L1746=$C$13)),"✓","")</f>
        <v/>
      </c>
      <c r="N1746" s="93">
        <f>N(N1745)+IF(M1746="✓",1,0)</f>
        <v/>
      </c>
      <c r="O1746" s="93">
        <f>N(O1745)+IF(AND(B1746&lt;&gt;"",B1746&gt;='Uang Riba'!$H$30,B1746&lt;='Uang Riba'!$I$30,OR(H1746="Dana riba",H1746="Pinjam uang riba",I1746="Pinjam dari uang riba",I1746="Ganti uang riba",I1746="Kelebihan ganti dikembalikan",AND(C1746="Kantong Uang Riba",G1746="Pengeluaran"))),1,0)</f>
        <v/>
      </c>
      <c r="X1746" s="93">
        <f>IF(AND(B1746&lt;&gt;"",B1746&gt;='Buku Akun'!$H$4,B1746&lt;='Buku Akun'!$H$5,OR(C1746='Buku Akun'!$C$4,AND(D1746="Pindah",E1746='Buku Akun'!$C$4))),B1746+IF(AND(I1746="Selisih bunga",DAY(B1746)=1),0,0.01)+ROW()/10000000,"")</f>
        <v/>
      </c>
    </row>
    <row r="1747" outlineLevel="1" ht="15" customHeight="1" s="94">
      <c r="A1747" s="123">
        <f>IF(B1747="","",ROW()-15)</f>
        <v/>
      </c>
      <c r="B1747" s="124" t="n"/>
      <c r="C1747" s="123" t="n"/>
      <c r="D1747" s="123" t="n"/>
      <c r="E1747" s="123" t="n"/>
      <c r="F1747" s="125" t="n"/>
      <c r="G1747" s="123" t="n"/>
      <c r="H1747" s="123" t="n"/>
      <c r="I1747" s="123" t="n"/>
      <c r="J1747" s="123" t="n"/>
      <c r="K1747" s="123" t="n"/>
      <c r="L1747" s="123" t="n"/>
      <c r="M1747" s="123">
        <f>IF(AND(B1747&lt;&gt;"",OR($C$4="",ISNUMBER(SEARCH($C$4,C1747&amp;" "&amp;E1747&amp;" "&amp;G1747&amp;" "&amp;H1747&amp;" "&amp;I1747&amp;" "&amp;J1747&amp;" "&amp;K1747&amp;" "&amp;L1747))),OR($C$5="Semua",$C$5="",G1747=$C$5),OR($C$6="Semua",$C$6="",H1747=$C$6,H1747="Pengeluaran "&amp;$C$6,AND($C$6="Uang Kos Mama",H1747="Pengeluaran Uang Kos")),OR($C$7="Semua",$C$7="",I1747=$C$7),OR($C$8="Semua",$C$8="",C1747=$C$8,E1747=$C$8),OR($C$9="Semua",$C$9="",D1747=$C$9),OR($C$10="",B1747&gt;=$C$10),OR($C$11="",B1747&lt;=$C$11),OR($C$12&lt;&gt;"Ya",K1747&lt;&gt;""),OR($C$13="Semua",$C$13="",L1747=$C$13)),"✓","")</f>
        <v/>
      </c>
      <c r="N1747" s="93">
        <f>N(N1746)+IF(M1747="✓",1,0)</f>
        <v/>
      </c>
      <c r="O1747" s="93">
        <f>N(O1746)+IF(AND(B1747&lt;&gt;"",B1747&gt;='Uang Riba'!$H$30,B1747&lt;='Uang Riba'!$I$30,OR(H1747="Dana riba",H1747="Pinjam uang riba",I1747="Pinjam dari uang riba",I1747="Ganti uang riba",I1747="Kelebihan ganti dikembalikan",AND(C1747="Kantong Uang Riba",G1747="Pengeluaran"))),1,0)</f>
        <v/>
      </c>
      <c r="X1747" s="93">
        <f>IF(AND(B1747&lt;&gt;"",B1747&gt;='Buku Akun'!$H$4,B1747&lt;='Buku Akun'!$H$5,OR(C1747='Buku Akun'!$C$4,AND(D1747="Pindah",E1747='Buku Akun'!$C$4))),B1747+IF(AND(I1747="Selisih bunga",DAY(B1747)=1),0,0.01)+ROW()/10000000,"")</f>
        <v/>
      </c>
    </row>
    <row r="1748" outlineLevel="1" ht="15" customHeight="1" s="94">
      <c r="A1748" s="123">
        <f>IF(B1748="","",ROW()-15)</f>
        <v/>
      </c>
      <c r="B1748" s="124" t="n"/>
      <c r="C1748" s="123" t="n"/>
      <c r="D1748" s="123" t="n"/>
      <c r="E1748" s="123" t="n"/>
      <c r="F1748" s="125" t="n"/>
      <c r="G1748" s="123" t="n"/>
      <c r="H1748" s="123" t="n"/>
      <c r="I1748" s="123" t="n"/>
      <c r="J1748" s="123" t="n"/>
      <c r="K1748" s="123" t="n"/>
      <c r="L1748" s="123" t="n"/>
      <c r="M1748" s="123">
        <f>IF(AND(B1748&lt;&gt;"",OR($C$4="",ISNUMBER(SEARCH($C$4,C1748&amp;" "&amp;E1748&amp;" "&amp;G1748&amp;" "&amp;H1748&amp;" "&amp;I1748&amp;" "&amp;J1748&amp;" "&amp;K1748&amp;" "&amp;L1748))),OR($C$5="Semua",$C$5="",G1748=$C$5),OR($C$6="Semua",$C$6="",H1748=$C$6,H1748="Pengeluaran "&amp;$C$6,AND($C$6="Uang Kos Mama",H1748="Pengeluaran Uang Kos")),OR($C$7="Semua",$C$7="",I1748=$C$7),OR($C$8="Semua",$C$8="",C1748=$C$8,E1748=$C$8),OR($C$9="Semua",$C$9="",D1748=$C$9),OR($C$10="",B1748&gt;=$C$10),OR($C$11="",B1748&lt;=$C$11),OR($C$12&lt;&gt;"Ya",K1748&lt;&gt;""),OR($C$13="Semua",$C$13="",L1748=$C$13)),"✓","")</f>
        <v/>
      </c>
      <c r="N1748" s="93">
        <f>N(N1747)+IF(M1748="✓",1,0)</f>
        <v/>
      </c>
      <c r="O1748" s="93">
        <f>N(O1747)+IF(AND(B1748&lt;&gt;"",B1748&gt;='Uang Riba'!$H$30,B1748&lt;='Uang Riba'!$I$30,OR(H1748="Dana riba",H1748="Pinjam uang riba",I1748="Pinjam dari uang riba",I1748="Ganti uang riba",I1748="Kelebihan ganti dikembalikan",AND(C1748="Kantong Uang Riba",G1748="Pengeluaran"))),1,0)</f>
        <v/>
      </c>
      <c r="X1748" s="93">
        <f>IF(AND(B1748&lt;&gt;"",B1748&gt;='Buku Akun'!$H$4,B1748&lt;='Buku Akun'!$H$5,OR(C1748='Buku Akun'!$C$4,AND(D1748="Pindah",E1748='Buku Akun'!$C$4))),B1748+IF(AND(I1748="Selisih bunga",DAY(B1748)=1),0,0.01)+ROW()/10000000,"")</f>
        <v/>
      </c>
    </row>
    <row r="1749" outlineLevel="1" ht="15" customHeight="1" s="94">
      <c r="A1749" s="123">
        <f>IF(B1749="","",ROW()-15)</f>
        <v/>
      </c>
      <c r="B1749" s="124" t="n"/>
      <c r="C1749" s="123" t="n"/>
      <c r="D1749" s="123" t="n"/>
      <c r="E1749" s="123" t="n"/>
      <c r="F1749" s="125" t="n"/>
      <c r="G1749" s="123" t="n"/>
      <c r="H1749" s="123" t="n"/>
      <c r="I1749" s="123" t="n"/>
      <c r="J1749" s="123" t="n"/>
      <c r="K1749" s="123" t="n"/>
      <c r="L1749" s="123" t="n"/>
      <c r="M1749" s="123">
        <f>IF(AND(B1749&lt;&gt;"",OR($C$4="",ISNUMBER(SEARCH($C$4,C1749&amp;" "&amp;E1749&amp;" "&amp;G1749&amp;" "&amp;H1749&amp;" "&amp;I1749&amp;" "&amp;J1749&amp;" "&amp;K1749&amp;" "&amp;L1749))),OR($C$5="Semua",$C$5="",G1749=$C$5),OR($C$6="Semua",$C$6="",H1749=$C$6,H1749="Pengeluaran "&amp;$C$6,AND($C$6="Uang Kos Mama",H1749="Pengeluaran Uang Kos")),OR($C$7="Semua",$C$7="",I1749=$C$7),OR($C$8="Semua",$C$8="",C1749=$C$8,E1749=$C$8),OR($C$9="Semua",$C$9="",D1749=$C$9),OR($C$10="",B1749&gt;=$C$10),OR($C$11="",B1749&lt;=$C$11),OR($C$12&lt;&gt;"Ya",K1749&lt;&gt;""),OR($C$13="Semua",$C$13="",L1749=$C$13)),"✓","")</f>
        <v/>
      </c>
      <c r="N1749" s="93">
        <f>N(N1748)+IF(M1749="✓",1,0)</f>
        <v/>
      </c>
      <c r="O1749" s="93">
        <f>N(O1748)+IF(AND(B1749&lt;&gt;"",B1749&gt;='Uang Riba'!$H$30,B1749&lt;='Uang Riba'!$I$30,OR(H1749="Dana riba",H1749="Pinjam uang riba",I1749="Pinjam dari uang riba",I1749="Ganti uang riba",I1749="Kelebihan ganti dikembalikan",AND(C1749="Kantong Uang Riba",G1749="Pengeluaran"))),1,0)</f>
        <v/>
      </c>
      <c r="X1749" s="93">
        <f>IF(AND(B1749&lt;&gt;"",B1749&gt;='Buku Akun'!$H$4,B1749&lt;='Buku Akun'!$H$5,OR(C1749='Buku Akun'!$C$4,AND(D1749="Pindah",E1749='Buku Akun'!$C$4))),B1749+IF(AND(I1749="Selisih bunga",DAY(B1749)=1),0,0.01)+ROW()/10000000,"")</f>
        <v/>
      </c>
    </row>
    <row r="1750" outlineLevel="1" ht="15" customHeight="1" s="94">
      <c r="A1750" s="123">
        <f>IF(B1750="","",ROW()-15)</f>
        <v/>
      </c>
      <c r="B1750" s="124" t="n"/>
      <c r="C1750" s="123" t="n"/>
      <c r="D1750" s="123" t="n"/>
      <c r="E1750" s="123" t="n"/>
      <c r="F1750" s="125" t="n"/>
      <c r="G1750" s="123" t="n"/>
      <c r="H1750" s="123" t="n"/>
      <c r="I1750" s="123" t="n"/>
      <c r="J1750" s="123" t="n"/>
      <c r="K1750" s="123" t="n"/>
      <c r="L1750" s="123" t="n"/>
      <c r="M1750" s="123">
        <f>IF(AND(B1750&lt;&gt;"",OR($C$4="",ISNUMBER(SEARCH($C$4,C1750&amp;" "&amp;E1750&amp;" "&amp;G1750&amp;" "&amp;H1750&amp;" "&amp;I1750&amp;" "&amp;J1750&amp;" "&amp;K1750&amp;" "&amp;L1750))),OR($C$5="Semua",$C$5="",G1750=$C$5),OR($C$6="Semua",$C$6="",H1750=$C$6,H1750="Pengeluaran "&amp;$C$6,AND($C$6="Uang Kos Mama",H1750="Pengeluaran Uang Kos")),OR($C$7="Semua",$C$7="",I1750=$C$7),OR($C$8="Semua",$C$8="",C1750=$C$8,E1750=$C$8),OR($C$9="Semua",$C$9="",D1750=$C$9),OR($C$10="",B1750&gt;=$C$10),OR($C$11="",B1750&lt;=$C$11),OR($C$12&lt;&gt;"Ya",K1750&lt;&gt;""),OR($C$13="Semua",$C$13="",L1750=$C$13)),"✓","")</f>
        <v/>
      </c>
      <c r="N1750" s="93">
        <f>N(N1749)+IF(M1750="✓",1,0)</f>
        <v/>
      </c>
      <c r="O1750" s="93">
        <f>N(O1749)+IF(AND(B1750&lt;&gt;"",B1750&gt;='Uang Riba'!$H$30,B1750&lt;='Uang Riba'!$I$30,OR(H1750="Dana riba",H1750="Pinjam uang riba",I1750="Pinjam dari uang riba",I1750="Ganti uang riba",I1750="Kelebihan ganti dikembalikan",AND(C1750="Kantong Uang Riba",G1750="Pengeluaran"))),1,0)</f>
        <v/>
      </c>
      <c r="X1750" s="93">
        <f>IF(AND(B1750&lt;&gt;"",B1750&gt;='Buku Akun'!$H$4,B1750&lt;='Buku Akun'!$H$5,OR(C1750='Buku Akun'!$C$4,AND(D1750="Pindah",E1750='Buku Akun'!$C$4))),B1750+IF(AND(I1750="Selisih bunga",DAY(B1750)=1),0,0.01)+ROW()/10000000,"")</f>
        <v/>
      </c>
    </row>
    <row r="1751" outlineLevel="1" ht="15" customHeight="1" s="94">
      <c r="A1751" s="123">
        <f>IF(B1751="","",ROW()-15)</f>
        <v/>
      </c>
      <c r="B1751" s="124" t="n"/>
      <c r="C1751" s="123" t="n"/>
      <c r="D1751" s="123" t="n"/>
      <c r="E1751" s="123" t="n"/>
      <c r="F1751" s="125" t="n"/>
      <c r="G1751" s="123" t="n"/>
      <c r="H1751" s="123" t="n"/>
      <c r="I1751" s="123" t="n"/>
      <c r="J1751" s="123" t="n"/>
      <c r="K1751" s="123" t="n"/>
      <c r="L1751" s="123" t="n"/>
      <c r="M1751" s="123">
        <f>IF(AND(B1751&lt;&gt;"",OR($C$4="",ISNUMBER(SEARCH($C$4,C1751&amp;" "&amp;E1751&amp;" "&amp;G1751&amp;" "&amp;H1751&amp;" "&amp;I1751&amp;" "&amp;J1751&amp;" "&amp;K1751&amp;" "&amp;L1751))),OR($C$5="Semua",$C$5="",G1751=$C$5),OR($C$6="Semua",$C$6="",H1751=$C$6,H1751="Pengeluaran "&amp;$C$6,AND($C$6="Uang Kos Mama",H1751="Pengeluaran Uang Kos")),OR($C$7="Semua",$C$7="",I1751=$C$7),OR($C$8="Semua",$C$8="",C1751=$C$8,E1751=$C$8),OR($C$9="Semua",$C$9="",D1751=$C$9),OR($C$10="",B1751&gt;=$C$10),OR($C$11="",B1751&lt;=$C$11),OR($C$12&lt;&gt;"Ya",K1751&lt;&gt;""),OR($C$13="Semua",$C$13="",L1751=$C$13)),"✓","")</f>
        <v/>
      </c>
      <c r="N1751" s="93">
        <f>N(N1750)+IF(M1751="✓",1,0)</f>
        <v/>
      </c>
      <c r="O1751" s="93">
        <f>N(O1750)+IF(AND(B1751&lt;&gt;"",B1751&gt;='Uang Riba'!$H$30,B1751&lt;='Uang Riba'!$I$30,OR(H1751="Dana riba",H1751="Pinjam uang riba",I1751="Pinjam dari uang riba",I1751="Ganti uang riba",I1751="Kelebihan ganti dikembalikan",AND(C1751="Kantong Uang Riba",G1751="Pengeluaran"))),1,0)</f>
        <v/>
      </c>
      <c r="X1751" s="93">
        <f>IF(AND(B1751&lt;&gt;"",B1751&gt;='Buku Akun'!$H$4,B1751&lt;='Buku Akun'!$H$5,OR(C1751='Buku Akun'!$C$4,AND(D1751="Pindah",E1751='Buku Akun'!$C$4))),B1751+IF(AND(I1751="Selisih bunga",DAY(B1751)=1),0,0.01)+ROW()/10000000,"")</f>
        <v/>
      </c>
    </row>
    <row r="1752" outlineLevel="1" ht="15" customHeight="1" s="94">
      <c r="A1752" s="123">
        <f>IF(B1752="","",ROW()-15)</f>
        <v/>
      </c>
      <c r="B1752" s="124" t="n"/>
      <c r="C1752" s="123" t="n"/>
      <c r="D1752" s="123" t="n"/>
      <c r="E1752" s="123" t="n"/>
      <c r="F1752" s="125" t="n"/>
      <c r="G1752" s="123" t="n"/>
      <c r="H1752" s="123" t="n"/>
      <c r="I1752" s="123" t="n"/>
      <c r="J1752" s="123" t="n"/>
      <c r="K1752" s="123" t="n"/>
      <c r="L1752" s="123" t="n"/>
      <c r="M1752" s="123">
        <f>IF(AND(B1752&lt;&gt;"",OR($C$4="",ISNUMBER(SEARCH($C$4,C1752&amp;" "&amp;E1752&amp;" "&amp;G1752&amp;" "&amp;H1752&amp;" "&amp;I1752&amp;" "&amp;J1752&amp;" "&amp;K1752&amp;" "&amp;L1752))),OR($C$5="Semua",$C$5="",G1752=$C$5),OR($C$6="Semua",$C$6="",H1752=$C$6,H1752="Pengeluaran "&amp;$C$6,AND($C$6="Uang Kos Mama",H1752="Pengeluaran Uang Kos")),OR($C$7="Semua",$C$7="",I1752=$C$7),OR($C$8="Semua",$C$8="",C1752=$C$8,E1752=$C$8),OR($C$9="Semua",$C$9="",D1752=$C$9),OR($C$10="",B1752&gt;=$C$10),OR($C$11="",B1752&lt;=$C$11),OR($C$12&lt;&gt;"Ya",K1752&lt;&gt;""),OR($C$13="Semua",$C$13="",L1752=$C$13)),"✓","")</f>
        <v/>
      </c>
      <c r="N1752" s="93">
        <f>N(N1751)+IF(M1752="✓",1,0)</f>
        <v/>
      </c>
      <c r="O1752" s="93">
        <f>N(O1751)+IF(AND(B1752&lt;&gt;"",B1752&gt;='Uang Riba'!$H$30,B1752&lt;='Uang Riba'!$I$30,OR(H1752="Dana riba",H1752="Pinjam uang riba",I1752="Pinjam dari uang riba",I1752="Ganti uang riba",I1752="Kelebihan ganti dikembalikan",AND(C1752="Kantong Uang Riba",G1752="Pengeluaran"))),1,0)</f>
        <v/>
      </c>
      <c r="X1752" s="93">
        <f>IF(AND(B1752&lt;&gt;"",B1752&gt;='Buku Akun'!$H$4,B1752&lt;='Buku Akun'!$H$5,OR(C1752='Buku Akun'!$C$4,AND(D1752="Pindah",E1752='Buku Akun'!$C$4))),B1752+IF(AND(I1752="Selisih bunga",DAY(B1752)=1),0,0.01)+ROW()/10000000,"")</f>
        <v/>
      </c>
    </row>
    <row r="1753" outlineLevel="1" ht="15" customHeight="1" s="94">
      <c r="A1753" s="123">
        <f>IF(B1753="","",ROW()-15)</f>
        <v/>
      </c>
      <c r="B1753" s="124" t="n"/>
      <c r="C1753" s="123" t="n"/>
      <c r="D1753" s="123" t="n"/>
      <c r="E1753" s="123" t="n"/>
      <c r="F1753" s="125" t="n"/>
      <c r="G1753" s="123" t="n"/>
      <c r="H1753" s="123" t="n"/>
      <c r="I1753" s="123" t="n"/>
      <c r="J1753" s="123" t="n"/>
      <c r="K1753" s="123" t="n"/>
      <c r="L1753" s="123" t="n"/>
      <c r="M1753" s="123">
        <f>IF(AND(B1753&lt;&gt;"",OR($C$4="",ISNUMBER(SEARCH($C$4,C1753&amp;" "&amp;E1753&amp;" "&amp;G1753&amp;" "&amp;H1753&amp;" "&amp;I1753&amp;" "&amp;J1753&amp;" "&amp;K1753&amp;" "&amp;L1753))),OR($C$5="Semua",$C$5="",G1753=$C$5),OR($C$6="Semua",$C$6="",H1753=$C$6,H1753="Pengeluaran "&amp;$C$6,AND($C$6="Uang Kos Mama",H1753="Pengeluaran Uang Kos")),OR($C$7="Semua",$C$7="",I1753=$C$7),OR($C$8="Semua",$C$8="",C1753=$C$8,E1753=$C$8),OR($C$9="Semua",$C$9="",D1753=$C$9),OR($C$10="",B1753&gt;=$C$10),OR($C$11="",B1753&lt;=$C$11),OR($C$12&lt;&gt;"Ya",K1753&lt;&gt;""),OR($C$13="Semua",$C$13="",L1753=$C$13)),"✓","")</f>
        <v/>
      </c>
      <c r="N1753" s="93">
        <f>N(N1752)+IF(M1753="✓",1,0)</f>
        <v/>
      </c>
      <c r="O1753" s="93">
        <f>N(O1752)+IF(AND(B1753&lt;&gt;"",B1753&gt;='Uang Riba'!$H$30,B1753&lt;='Uang Riba'!$I$30,OR(H1753="Dana riba",H1753="Pinjam uang riba",I1753="Pinjam dari uang riba",I1753="Ganti uang riba",I1753="Kelebihan ganti dikembalikan",AND(C1753="Kantong Uang Riba",G1753="Pengeluaran"))),1,0)</f>
        <v/>
      </c>
      <c r="X1753" s="93">
        <f>IF(AND(B1753&lt;&gt;"",B1753&gt;='Buku Akun'!$H$4,B1753&lt;='Buku Akun'!$H$5,OR(C1753='Buku Akun'!$C$4,AND(D1753="Pindah",E1753='Buku Akun'!$C$4))),B1753+IF(AND(I1753="Selisih bunga",DAY(B1753)=1),0,0.01)+ROW()/10000000,"")</f>
        <v/>
      </c>
    </row>
    <row r="1754" outlineLevel="1" ht="15" customHeight="1" s="94">
      <c r="A1754" s="123">
        <f>IF(B1754="","",ROW()-15)</f>
        <v/>
      </c>
      <c r="B1754" s="124" t="n"/>
      <c r="C1754" s="123" t="n"/>
      <c r="D1754" s="123" t="n"/>
      <c r="E1754" s="123" t="n"/>
      <c r="F1754" s="125" t="n"/>
      <c r="G1754" s="123" t="n"/>
      <c r="H1754" s="123" t="n"/>
      <c r="I1754" s="123" t="n"/>
      <c r="J1754" s="123" t="n"/>
      <c r="K1754" s="123" t="n"/>
      <c r="L1754" s="123" t="n"/>
      <c r="M1754" s="123">
        <f>IF(AND(B1754&lt;&gt;"",OR($C$4="",ISNUMBER(SEARCH($C$4,C1754&amp;" "&amp;E1754&amp;" "&amp;G1754&amp;" "&amp;H1754&amp;" "&amp;I1754&amp;" "&amp;J1754&amp;" "&amp;K1754&amp;" "&amp;L1754))),OR($C$5="Semua",$C$5="",G1754=$C$5),OR($C$6="Semua",$C$6="",H1754=$C$6,H1754="Pengeluaran "&amp;$C$6,AND($C$6="Uang Kos Mama",H1754="Pengeluaran Uang Kos")),OR($C$7="Semua",$C$7="",I1754=$C$7),OR($C$8="Semua",$C$8="",C1754=$C$8,E1754=$C$8),OR($C$9="Semua",$C$9="",D1754=$C$9),OR($C$10="",B1754&gt;=$C$10),OR($C$11="",B1754&lt;=$C$11),OR($C$12&lt;&gt;"Ya",K1754&lt;&gt;""),OR($C$13="Semua",$C$13="",L1754=$C$13)),"✓","")</f>
        <v/>
      </c>
      <c r="N1754" s="93">
        <f>N(N1753)+IF(M1754="✓",1,0)</f>
        <v/>
      </c>
      <c r="O1754" s="93">
        <f>N(O1753)+IF(AND(B1754&lt;&gt;"",B1754&gt;='Uang Riba'!$H$30,B1754&lt;='Uang Riba'!$I$30,OR(H1754="Dana riba",H1754="Pinjam uang riba",I1754="Pinjam dari uang riba",I1754="Ganti uang riba",I1754="Kelebihan ganti dikembalikan",AND(C1754="Kantong Uang Riba",G1754="Pengeluaran"))),1,0)</f>
        <v/>
      </c>
      <c r="X1754" s="93">
        <f>IF(AND(B1754&lt;&gt;"",B1754&gt;='Buku Akun'!$H$4,B1754&lt;='Buku Akun'!$H$5,OR(C1754='Buku Akun'!$C$4,AND(D1754="Pindah",E1754='Buku Akun'!$C$4))),B1754+IF(AND(I1754="Selisih bunga",DAY(B1754)=1),0,0.01)+ROW()/10000000,"")</f>
        <v/>
      </c>
    </row>
    <row r="1755" outlineLevel="1" ht="15" customHeight="1" s="94">
      <c r="A1755" s="123">
        <f>IF(B1755="","",ROW()-15)</f>
        <v/>
      </c>
      <c r="B1755" s="124" t="n"/>
      <c r="C1755" s="123" t="n"/>
      <c r="D1755" s="123" t="n"/>
      <c r="E1755" s="123" t="n"/>
      <c r="F1755" s="125" t="n"/>
      <c r="G1755" s="123" t="n"/>
      <c r="H1755" s="123" t="n"/>
      <c r="I1755" s="123" t="n"/>
      <c r="J1755" s="123" t="n"/>
      <c r="K1755" s="123" t="n"/>
      <c r="L1755" s="123" t="n"/>
      <c r="M1755" s="123">
        <f>IF(AND(B1755&lt;&gt;"",OR($C$4="",ISNUMBER(SEARCH($C$4,C1755&amp;" "&amp;E1755&amp;" "&amp;G1755&amp;" "&amp;H1755&amp;" "&amp;I1755&amp;" "&amp;J1755&amp;" "&amp;K1755&amp;" "&amp;L1755))),OR($C$5="Semua",$C$5="",G1755=$C$5),OR($C$6="Semua",$C$6="",H1755=$C$6,H1755="Pengeluaran "&amp;$C$6,AND($C$6="Uang Kos Mama",H1755="Pengeluaran Uang Kos")),OR($C$7="Semua",$C$7="",I1755=$C$7),OR($C$8="Semua",$C$8="",C1755=$C$8,E1755=$C$8),OR($C$9="Semua",$C$9="",D1755=$C$9),OR($C$10="",B1755&gt;=$C$10),OR($C$11="",B1755&lt;=$C$11),OR($C$12&lt;&gt;"Ya",K1755&lt;&gt;""),OR($C$13="Semua",$C$13="",L1755=$C$13)),"✓","")</f>
        <v/>
      </c>
      <c r="N1755" s="93">
        <f>N(N1754)+IF(M1755="✓",1,0)</f>
        <v/>
      </c>
      <c r="O1755" s="93">
        <f>N(O1754)+IF(AND(B1755&lt;&gt;"",B1755&gt;='Uang Riba'!$H$30,B1755&lt;='Uang Riba'!$I$30,OR(H1755="Dana riba",H1755="Pinjam uang riba",I1755="Pinjam dari uang riba",I1755="Ganti uang riba",I1755="Kelebihan ganti dikembalikan",AND(C1755="Kantong Uang Riba",G1755="Pengeluaran"))),1,0)</f>
        <v/>
      </c>
      <c r="X1755" s="93">
        <f>IF(AND(B1755&lt;&gt;"",B1755&gt;='Buku Akun'!$H$4,B1755&lt;='Buku Akun'!$H$5,OR(C1755='Buku Akun'!$C$4,AND(D1755="Pindah",E1755='Buku Akun'!$C$4))),B1755+IF(AND(I1755="Selisih bunga",DAY(B1755)=1),0,0.01)+ROW()/10000000,"")</f>
        <v/>
      </c>
    </row>
    <row r="1756" outlineLevel="1" ht="15" customHeight="1" s="94">
      <c r="A1756" s="123">
        <f>IF(B1756="","",ROW()-15)</f>
        <v/>
      </c>
      <c r="B1756" s="124" t="n"/>
      <c r="C1756" s="123" t="n"/>
      <c r="D1756" s="123" t="n"/>
      <c r="E1756" s="123" t="n"/>
      <c r="F1756" s="125" t="n"/>
      <c r="G1756" s="123" t="n"/>
      <c r="H1756" s="123" t="n"/>
      <c r="I1756" s="123" t="n"/>
      <c r="J1756" s="123" t="n"/>
      <c r="K1756" s="123" t="n"/>
      <c r="L1756" s="123" t="n"/>
      <c r="M1756" s="123">
        <f>IF(AND(B1756&lt;&gt;"",OR($C$4="",ISNUMBER(SEARCH($C$4,C1756&amp;" "&amp;E1756&amp;" "&amp;G1756&amp;" "&amp;H1756&amp;" "&amp;I1756&amp;" "&amp;J1756&amp;" "&amp;K1756&amp;" "&amp;L1756))),OR($C$5="Semua",$C$5="",G1756=$C$5),OR($C$6="Semua",$C$6="",H1756=$C$6,H1756="Pengeluaran "&amp;$C$6,AND($C$6="Uang Kos Mama",H1756="Pengeluaran Uang Kos")),OR($C$7="Semua",$C$7="",I1756=$C$7),OR($C$8="Semua",$C$8="",C1756=$C$8,E1756=$C$8),OR($C$9="Semua",$C$9="",D1756=$C$9),OR($C$10="",B1756&gt;=$C$10),OR($C$11="",B1756&lt;=$C$11),OR($C$12&lt;&gt;"Ya",K1756&lt;&gt;""),OR($C$13="Semua",$C$13="",L1756=$C$13)),"✓","")</f>
        <v/>
      </c>
      <c r="N1756" s="93">
        <f>N(N1755)+IF(M1756="✓",1,0)</f>
        <v/>
      </c>
      <c r="O1756" s="93">
        <f>N(O1755)+IF(AND(B1756&lt;&gt;"",B1756&gt;='Uang Riba'!$H$30,B1756&lt;='Uang Riba'!$I$30,OR(H1756="Dana riba",H1756="Pinjam uang riba",I1756="Pinjam dari uang riba",I1756="Ganti uang riba",I1756="Kelebihan ganti dikembalikan",AND(C1756="Kantong Uang Riba",G1756="Pengeluaran"))),1,0)</f>
        <v/>
      </c>
      <c r="X1756" s="93">
        <f>IF(AND(B1756&lt;&gt;"",B1756&gt;='Buku Akun'!$H$4,B1756&lt;='Buku Akun'!$H$5,OR(C1756='Buku Akun'!$C$4,AND(D1756="Pindah",E1756='Buku Akun'!$C$4))),B1756+IF(AND(I1756="Selisih bunga",DAY(B1756)=1),0,0.01)+ROW()/10000000,"")</f>
        <v/>
      </c>
    </row>
    <row r="1757" outlineLevel="1" ht="15" customHeight="1" s="94">
      <c r="A1757" s="123">
        <f>IF(B1757="","",ROW()-15)</f>
        <v/>
      </c>
      <c r="B1757" s="124" t="n"/>
      <c r="C1757" s="123" t="n"/>
      <c r="D1757" s="123" t="n"/>
      <c r="E1757" s="123" t="n"/>
      <c r="F1757" s="125" t="n"/>
      <c r="G1757" s="123" t="n"/>
      <c r="H1757" s="123" t="n"/>
      <c r="I1757" s="123" t="n"/>
      <c r="J1757" s="123" t="n"/>
      <c r="K1757" s="123" t="n"/>
      <c r="L1757" s="123" t="n"/>
      <c r="M1757" s="123">
        <f>IF(AND(B1757&lt;&gt;"",OR($C$4="",ISNUMBER(SEARCH($C$4,C1757&amp;" "&amp;E1757&amp;" "&amp;G1757&amp;" "&amp;H1757&amp;" "&amp;I1757&amp;" "&amp;J1757&amp;" "&amp;K1757&amp;" "&amp;L1757))),OR($C$5="Semua",$C$5="",G1757=$C$5),OR($C$6="Semua",$C$6="",H1757=$C$6,H1757="Pengeluaran "&amp;$C$6,AND($C$6="Uang Kos Mama",H1757="Pengeluaran Uang Kos")),OR($C$7="Semua",$C$7="",I1757=$C$7),OR($C$8="Semua",$C$8="",C1757=$C$8,E1757=$C$8),OR($C$9="Semua",$C$9="",D1757=$C$9),OR($C$10="",B1757&gt;=$C$10),OR($C$11="",B1757&lt;=$C$11),OR($C$12&lt;&gt;"Ya",K1757&lt;&gt;""),OR($C$13="Semua",$C$13="",L1757=$C$13)),"✓","")</f>
        <v/>
      </c>
      <c r="N1757" s="93">
        <f>N(N1756)+IF(M1757="✓",1,0)</f>
        <v/>
      </c>
      <c r="O1757" s="93">
        <f>N(O1756)+IF(AND(B1757&lt;&gt;"",B1757&gt;='Uang Riba'!$H$30,B1757&lt;='Uang Riba'!$I$30,OR(H1757="Dana riba",H1757="Pinjam uang riba",I1757="Pinjam dari uang riba",I1757="Ganti uang riba",I1757="Kelebihan ganti dikembalikan",AND(C1757="Kantong Uang Riba",G1757="Pengeluaran"))),1,0)</f>
        <v/>
      </c>
      <c r="X1757" s="93">
        <f>IF(AND(B1757&lt;&gt;"",B1757&gt;='Buku Akun'!$H$4,B1757&lt;='Buku Akun'!$H$5,OR(C1757='Buku Akun'!$C$4,AND(D1757="Pindah",E1757='Buku Akun'!$C$4))),B1757+IF(AND(I1757="Selisih bunga",DAY(B1757)=1),0,0.01)+ROW()/10000000,"")</f>
        <v/>
      </c>
    </row>
    <row r="1758" outlineLevel="1" ht="15" customHeight="1" s="94">
      <c r="A1758" s="123">
        <f>IF(B1758="","",ROW()-15)</f>
        <v/>
      </c>
      <c r="B1758" s="124" t="n"/>
      <c r="C1758" s="123" t="n"/>
      <c r="D1758" s="123" t="n"/>
      <c r="E1758" s="123" t="n"/>
      <c r="F1758" s="125" t="n"/>
      <c r="G1758" s="123" t="n"/>
      <c r="H1758" s="123" t="n"/>
      <c r="I1758" s="123" t="n"/>
      <c r="J1758" s="123" t="n"/>
      <c r="K1758" s="123" t="n"/>
      <c r="L1758" s="123" t="n"/>
      <c r="M1758" s="123">
        <f>IF(AND(B1758&lt;&gt;"",OR($C$4="",ISNUMBER(SEARCH($C$4,C1758&amp;" "&amp;E1758&amp;" "&amp;G1758&amp;" "&amp;H1758&amp;" "&amp;I1758&amp;" "&amp;J1758&amp;" "&amp;K1758&amp;" "&amp;L1758))),OR($C$5="Semua",$C$5="",G1758=$C$5),OR($C$6="Semua",$C$6="",H1758=$C$6,H1758="Pengeluaran "&amp;$C$6,AND($C$6="Uang Kos Mama",H1758="Pengeluaran Uang Kos")),OR($C$7="Semua",$C$7="",I1758=$C$7),OR($C$8="Semua",$C$8="",C1758=$C$8,E1758=$C$8),OR($C$9="Semua",$C$9="",D1758=$C$9),OR($C$10="",B1758&gt;=$C$10),OR($C$11="",B1758&lt;=$C$11),OR($C$12&lt;&gt;"Ya",K1758&lt;&gt;""),OR($C$13="Semua",$C$13="",L1758=$C$13)),"✓","")</f>
        <v/>
      </c>
      <c r="N1758" s="93">
        <f>N(N1757)+IF(M1758="✓",1,0)</f>
        <v/>
      </c>
      <c r="O1758" s="93">
        <f>N(O1757)+IF(AND(B1758&lt;&gt;"",B1758&gt;='Uang Riba'!$H$30,B1758&lt;='Uang Riba'!$I$30,OR(H1758="Dana riba",H1758="Pinjam uang riba",I1758="Pinjam dari uang riba",I1758="Ganti uang riba",I1758="Kelebihan ganti dikembalikan",AND(C1758="Kantong Uang Riba",G1758="Pengeluaran"))),1,0)</f>
        <v/>
      </c>
      <c r="X1758" s="93">
        <f>IF(AND(B1758&lt;&gt;"",B1758&gt;='Buku Akun'!$H$4,B1758&lt;='Buku Akun'!$H$5,OR(C1758='Buku Akun'!$C$4,AND(D1758="Pindah",E1758='Buku Akun'!$C$4))),B1758+IF(AND(I1758="Selisih bunga",DAY(B1758)=1),0,0.01)+ROW()/10000000,"")</f>
        <v/>
      </c>
    </row>
    <row r="1759" outlineLevel="1" ht="15" customHeight="1" s="94">
      <c r="A1759" s="123">
        <f>IF(B1759="","",ROW()-15)</f>
        <v/>
      </c>
      <c r="B1759" s="124" t="n"/>
      <c r="C1759" s="123" t="n"/>
      <c r="D1759" s="123" t="n"/>
      <c r="E1759" s="123" t="n"/>
      <c r="F1759" s="125" t="n"/>
      <c r="G1759" s="123" t="n"/>
      <c r="H1759" s="123" t="n"/>
      <c r="I1759" s="123" t="n"/>
      <c r="J1759" s="123" t="n"/>
      <c r="K1759" s="123" t="n"/>
      <c r="L1759" s="123" t="n"/>
      <c r="M1759" s="123">
        <f>IF(AND(B1759&lt;&gt;"",OR($C$4="",ISNUMBER(SEARCH($C$4,C1759&amp;" "&amp;E1759&amp;" "&amp;G1759&amp;" "&amp;H1759&amp;" "&amp;I1759&amp;" "&amp;J1759&amp;" "&amp;K1759&amp;" "&amp;L1759))),OR($C$5="Semua",$C$5="",G1759=$C$5),OR($C$6="Semua",$C$6="",H1759=$C$6,H1759="Pengeluaran "&amp;$C$6,AND($C$6="Uang Kos Mama",H1759="Pengeluaran Uang Kos")),OR($C$7="Semua",$C$7="",I1759=$C$7),OR($C$8="Semua",$C$8="",C1759=$C$8,E1759=$C$8),OR($C$9="Semua",$C$9="",D1759=$C$9),OR($C$10="",B1759&gt;=$C$10),OR($C$11="",B1759&lt;=$C$11),OR($C$12&lt;&gt;"Ya",K1759&lt;&gt;""),OR($C$13="Semua",$C$13="",L1759=$C$13)),"✓","")</f>
        <v/>
      </c>
      <c r="N1759" s="93">
        <f>N(N1758)+IF(M1759="✓",1,0)</f>
        <v/>
      </c>
      <c r="O1759" s="93">
        <f>N(O1758)+IF(AND(B1759&lt;&gt;"",B1759&gt;='Uang Riba'!$H$30,B1759&lt;='Uang Riba'!$I$30,OR(H1759="Dana riba",H1759="Pinjam uang riba",I1759="Pinjam dari uang riba",I1759="Ganti uang riba",I1759="Kelebihan ganti dikembalikan",AND(C1759="Kantong Uang Riba",G1759="Pengeluaran"))),1,0)</f>
        <v/>
      </c>
      <c r="X1759" s="93">
        <f>IF(AND(B1759&lt;&gt;"",B1759&gt;='Buku Akun'!$H$4,B1759&lt;='Buku Akun'!$H$5,OR(C1759='Buku Akun'!$C$4,AND(D1759="Pindah",E1759='Buku Akun'!$C$4))),B1759+IF(AND(I1759="Selisih bunga",DAY(B1759)=1),0,0.01)+ROW()/10000000,"")</f>
        <v/>
      </c>
    </row>
    <row r="1760" outlineLevel="1" ht="15" customHeight="1" s="94">
      <c r="A1760" s="123">
        <f>IF(B1760="","",ROW()-15)</f>
        <v/>
      </c>
      <c r="B1760" s="124" t="n"/>
      <c r="C1760" s="123" t="n"/>
      <c r="D1760" s="123" t="n"/>
      <c r="E1760" s="123" t="n"/>
      <c r="F1760" s="125" t="n"/>
      <c r="G1760" s="123" t="n"/>
      <c r="H1760" s="123" t="n"/>
      <c r="I1760" s="123" t="n"/>
      <c r="J1760" s="123" t="n"/>
      <c r="K1760" s="123" t="n"/>
      <c r="L1760" s="123" t="n"/>
      <c r="M1760" s="123">
        <f>IF(AND(B1760&lt;&gt;"",OR($C$4="",ISNUMBER(SEARCH($C$4,C1760&amp;" "&amp;E1760&amp;" "&amp;G1760&amp;" "&amp;H1760&amp;" "&amp;I1760&amp;" "&amp;J1760&amp;" "&amp;K1760&amp;" "&amp;L1760))),OR($C$5="Semua",$C$5="",G1760=$C$5),OR($C$6="Semua",$C$6="",H1760=$C$6,H1760="Pengeluaran "&amp;$C$6,AND($C$6="Uang Kos Mama",H1760="Pengeluaran Uang Kos")),OR($C$7="Semua",$C$7="",I1760=$C$7),OR($C$8="Semua",$C$8="",C1760=$C$8,E1760=$C$8),OR($C$9="Semua",$C$9="",D1760=$C$9),OR($C$10="",B1760&gt;=$C$10),OR($C$11="",B1760&lt;=$C$11),OR($C$12&lt;&gt;"Ya",K1760&lt;&gt;""),OR($C$13="Semua",$C$13="",L1760=$C$13)),"✓","")</f>
        <v/>
      </c>
      <c r="N1760" s="93">
        <f>N(N1759)+IF(M1760="✓",1,0)</f>
        <v/>
      </c>
      <c r="O1760" s="93">
        <f>N(O1759)+IF(AND(B1760&lt;&gt;"",B1760&gt;='Uang Riba'!$H$30,B1760&lt;='Uang Riba'!$I$30,OR(H1760="Dana riba",H1760="Pinjam uang riba",I1760="Pinjam dari uang riba",I1760="Ganti uang riba",I1760="Kelebihan ganti dikembalikan",AND(C1760="Kantong Uang Riba",G1760="Pengeluaran"))),1,0)</f>
        <v/>
      </c>
      <c r="X1760" s="93">
        <f>IF(AND(B1760&lt;&gt;"",B1760&gt;='Buku Akun'!$H$4,B1760&lt;='Buku Akun'!$H$5,OR(C1760='Buku Akun'!$C$4,AND(D1760="Pindah",E1760='Buku Akun'!$C$4))),B1760+IF(AND(I1760="Selisih bunga",DAY(B1760)=1),0,0.01)+ROW()/10000000,"")</f>
        <v/>
      </c>
    </row>
    <row r="1761" outlineLevel="1" ht="15" customHeight="1" s="94">
      <c r="A1761" s="123">
        <f>IF(B1761="","",ROW()-15)</f>
        <v/>
      </c>
      <c r="B1761" s="124" t="n"/>
      <c r="C1761" s="123" t="n"/>
      <c r="D1761" s="123" t="n"/>
      <c r="E1761" s="123" t="n"/>
      <c r="F1761" s="125" t="n"/>
      <c r="G1761" s="123" t="n"/>
      <c r="H1761" s="123" t="n"/>
      <c r="I1761" s="123" t="n"/>
      <c r="J1761" s="123" t="n"/>
      <c r="K1761" s="123" t="n"/>
      <c r="L1761" s="123" t="n"/>
      <c r="M1761" s="123">
        <f>IF(AND(B1761&lt;&gt;"",OR($C$4="",ISNUMBER(SEARCH($C$4,C1761&amp;" "&amp;E1761&amp;" "&amp;G1761&amp;" "&amp;H1761&amp;" "&amp;I1761&amp;" "&amp;J1761&amp;" "&amp;K1761&amp;" "&amp;L1761))),OR($C$5="Semua",$C$5="",G1761=$C$5),OR($C$6="Semua",$C$6="",H1761=$C$6,H1761="Pengeluaran "&amp;$C$6,AND($C$6="Uang Kos Mama",H1761="Pengeluaran Uang Kos")),OR($C$7="Semua",$C$7="",I1761=$C$7),OR($C$8="Semua",$C$8="",C1761=$C$8,E1761=$C$8),OR($C$9="Semua",$C$9="",D1761=$C$9),OR($C$10="",B1761&gt;=$C$10),OR($C$11="",B1761&lt;=$C$11),OR($C$12&lt;&gt;"Ya",K1761&lt;&gt;""),OR($C$13="Semua",$C$13="",L1761=$C$13)),"✓","")</f>
        <v/>
      </c>
      <c r="N1761" s="93">
        <f>N(N1760)+IF(M1761="✓",1,0)</f>
        <v/>
      </c>
      <c r="O1761" s="93">
        <f>N(O1760)+IF(AND(B1761&lt;&gt;"",B1761&gt;='Uang Riba'!$H$30,B1761&lt;='Uang Riba'!$I$30,OR(H1761="Dana riba",H1761="Pinjam uang riba",I1761="Pinjam dari uang riba",I1761="Ganti uang riba",I1761="Kelebihan ganti dikembalikan",AND(C1761="Kantong Uang Riba",G1761="Pengeluaran"))),1,0)</f>
        <v/>
      </c>
      <c r="X1761" s="93">
        <f>IF(AND(B1761&lt;&gt;"",B1761&gt;='Buku Akun'!$H$4,B1761&lt;='Buku Akun'!$H$5,OR(C1761='Buku Akun'!$C$4,AND(D1761="Pindah",E1761='Buku Akun'!$C$4))),B1761+IF(AND(I1761="Selisih bunga",DAY(B1761)=1),0,0.01)+ROW()/10000000,"")</f>
        <v/>
      </c>
    </row>
    <row r="1762" outlineLevel="1" ht="15" customHeight="1" s="94">
      <c r="A1762" s="123">
        <f>IF(B1762="","",ROW()-15)</f>
        <v/>
      </c>
      <c r="B1762" s="124" t="n"/>
      <c r="C1762" s="123" t="n"/>
      <c r="D1762" s="123" t="n"/>
      <c r="E1762" s="123" t="n"/>
      <c r="F1762" s="125" t="n"/>
      <c r="G1762" s="123" t="n"/>
      <c r="H1762" s="123" t="n"/>
      <c r="I1762" s="123" t="n"/>
      <c r="J1762" s="123" t="n"/>
      <c r="K1762" s="123" t="n"/>
      <c r="L1762" s="123" t="n"/>
      <c r="M1762" s="123">
        <f>IF(AND(B1762&lt;&gt;"",OR($C$4="",ISNUMBER(SEARCH($C$4,C1762&amp;" "&amp;E1762&amp;" "&amp;G1762&amp;" "&amp;H1762&amp;" "&amp;I1762&amp;" "&amp;J1762&amp;" "&amp;K1762&amp;" "&amp;L1762))),OR($C$5="Semua",$C$5="",G1762=$C$5),OR($C$6="Semua",$C$6="",H1762=$C$6,H1762="Pengeluaran "&amp;$C$6,AND($C$6="Uang Kos Mama",H1762="Pengeluaran Uang Kos")),OR($C$7="Semua",$C$7="",I1762=$C$7),OR($C$8="Semua",$C$8="",C1762=$C$8,E1762=$C$8),OR($C$9="Semua",$C$9="",D1762=$C$9),OR($C$10="",B1762&gt;=$C$10),OR($C$11="",B1762&lt;=$C$11),OR($C$12&lt;&gt;"Ya",K1762&lt;&gt;""),OR($C$13="Semua",$C$13="",L1762=$C$13)),"✓","")</f>
        <v/>
      </c>
      <c r="N1762" s="93">
        <f>N(N1761)+IF(M1762="✓",1,0)</f>
        <v/>
      </c>
      <c r="O1762" s="93">
        <f>N(O1761)+IF(AND(B1762&lt;&gt;"",B1762&gt;='Uang Riba'!$H$30,B1762&lt;='Uang Riba'!$I$30,OR(H1762="Dana riba",H1762="Pinjam uang riba",I1762="Pinjam dari uang riba",I1762="Ganti uang riba",I1762="Kelebihan ganti dikembalikan",AND(C1762="Kantong Uang Riba",G1762="Pengeluaran"))),1,0)</f>
        <v/>
      </c>
      <c r="X1762" s="93">
        <f>IF(AND(B1762&lt;&gt;"",B1762&gt;='Buku Akun'!$H$4,B1762&lt;='Buku Akun'!$H$5,OR(C1762='Buku Akun'!$C$4,AND(D1762="Pindah",E1762='Buku Akun'!$C$4))),B1762+IF(AND(I1762="Selisih bunga",DAY(B1762)=1),0,0.01)+ROW()/10000000,"")</f>
        <v/>
      </c>
    </row>
    <row r="1763" outlineLevel="1" ht="15" customHeight="1" s="94">
      <c r="A1763" s="123">
        <f>IF(B1763="","",ROW()-15)</f>
        <v/>
      </c>
      <c r="B1763" s="124" t="n"/>
      <c r="C1763" s="123" t="n"/>
      <c r="D1763" s="123" t="n"/>
      <c r="E1763" s="123" t="n"/>
      <c r="F1763" s="125" t="n"/>
      <c r="G1763" s="123" t="n"/>
      <c r="H1763" s="123" t="n"/>
      <c r="I1763" s="123" t="n"/>
      <c r="J1763" s="123" t="n"/>
      <c r="K1763" s="123" t="n"/>
      <c r="L1763" s="123" t="n"/>
      <c r="M1763" s="123">
        <f>IF(AND(B1763&lt;&gt;"",OR($C$4="",ISNUMBER(SEARCH($C$4,C1763&amp;" "&amp;E1763&amp;" "&amp;G1763&amp;" "&amp;H1763&amp;" "&amp;I1763&amp;" "&amp;J1763&amp;" "&amp;K1763&amp;" "&amp;L1763))),OR($C$5="Semua",$C$5="",G1763=$C$5),OR($C$6="Semua",$C$6="",H1763=$C$6,H1763="Pengeluaran "&amp;$C$6,AND($C$6="Uang Kos Mama",H1763="Pengeluaran Uang Kos")),OR($C$7="Semua",$C$7="",I1763=$C$7),OR($C$8="Semua",$C$8="",C1763=$C$8,E1763=$C$8),OR($C$9="Semua",$C$9="",D1763=$C$9),OR($C$10="",B1763&gt;=$C$10),OR($C$11="",B1763&lt;=$C$11),OR($C$12&lt;&gt;"Ya",K1763&lt;&gt;""),OR($C$13="Semua",$C$13="",L1763=$C$13)),"✓","")</f>
        <v/>
      </c>
      <c r="N1763" s="93">
        <f>N(N1762)+IF(M1763="✓",1,0)</f>
        <v/>
      </c>
      <c r="O1763" s="93">
        <f>N(O1762)+IF(AND(B1763&lt;&gt;"",B1763&gt;='Uang Riba'!$H$30,B1763&lt;='Uang Riba'!$I$30,OR(H1763="Dana riba",H1763="Pinjam uang riba",I1763="Pinjam dari uang riba",I1763="Ganti uang riba",I1763="Kelebihan ganti dikembalikan",AND(C1763="Kantong Uang Riba",G1763="Pengeluaran"))),1,0)</f>
        <v/>
      </c>
      <c r="X1763" s="93">
        <f>IF(AND(B1763&lt;&gt;"",B1763&gt;='Buku Akun'!$H$4,B1763&lt;='Buku Akun'!$H$5,OR(C1763='Buku Akun'!$C$4,AND(D1763="Pindah",E1763='Buku Akun'!$C$4))),B1763+IF(AND(I1763="Selisih bunga",DAY(B1763)=1),0,0.01)+ROW()/10000000,"")</f>
        <v/>
      </c>
    </row>
    <row r="1764" outlineLevel="1" ht="15" customHeight="1" s="94">
      <c r="A1764" s="123">
        <f>IF(B1764="","",ROW()-15)</f>
        <v/>
      </c>
      <c r="B1764" s="124" t="n"/>
      <c r="C1764" s="123" t="n"/>
      <c r="D1764" s="123" t="n"/>
      <c r="E1764" s="123" t="n"/>
      <c r="F1764" s="125" t="n"/>
      <c r="G1764" s="123" t="n"/>
      <c r="H1764" s="123" t="n"/>
      <c r="I1764" s="123" t="n"/>
      <c r="J1764" s="123" t="n"/>
      <c r="K1764" s="123" t="n"/>
      <c r="L1764" s="123" t="n"/>
      <c r="M1764" s="123">
        <f>IF(AND(B1764&lt;&gt;"",OR($C$4="",ISNUMBER(SEARCH($C$4,C1764&amp;" "&amp;E1764&amp;" "&amp;G1764&amp;" "&amp;H1764&amp;" "&amp;I1764&amp;" "&amp;J1764&amp;" "&amp;K1764&amp;" "&amp;L1764))),OR($C$5="Semua",$C$5="",G1764=$C$5),OR($C$6="Semua",$C$6="",H1764=$C$6,H1764="Pengeluaran "&amp;$C$6,AND($C$6="Uang Kos Mama",H1764="Pengeluaran Uang Kos")),OR($C$7="Semua",$C$7="",I1764=$C$7),OR($C$8="Semua",$C$8="",C1764=$C$8,E1764=$C$8),OR($C$9="Semua",$C$9="",D1764=$C$9),OR($C$10="",B1764&gt;=$C$10),OR($C$11="",B1764&lt;=$C$11),OR($C$12&lt;&gt;"Ya",K1764&lt;&gt;""),OR($C$13="Semua",$C$13="",L1764=$C$13)),"✓","")</f>
        <v/>
      </c>
      <c r="N1764" s="93">
        <f>N(N1763)+IF(M1764="✓",1,0)</f>
        <v/>
      </c>
      <c r="O1764" s="93">
        <f>N(O1763)+IF(AND(B1764&lt;&gt;"",B1764&gt;='Uang Riba'!$H$30,B1764&lt;='Uang Riba'!$I$30,OR(H1764="Dana riba",H1764="Pinjam uang riba",I1764="Pinjam dari uang riba",I1764="Ganti uang riba",I1764="Kelebihan ganti dikembalikan",AND(C1764="Kantong Uang Riba",G1764="Pengeluaran"))),1,0)</f>
        <v/>
      </c>
      <c r="X1764" s="93">
        <f>IF(AND(B1764&lt;&gt;"",B1764&gt;='Buku Akun'!$H$4,B1764&lt;='Buku Akun'!$H$5,OR(C1764='Buku Akun'!$C$4,AND(D1764="Pindah",E1764='Buku Akun'!$C$4))),B1764+IF(AND(I1764="Selisih bunga",DAY(B1764)=1),0,0.01)+ROW()/10000000,"")</f>
        <v/>
      </c>
    </row>
    <row r="1765" outlineLevel="1" ht="15" customHeight="1" s="94">
      <c r="A1765" s="123">
        <f>IF(B1765="","",ROW()-15)</f>
        <v/>
      </c>
      <c r="B1765" s="124" t="n"/>
      <c r="C1765" s="123" t="n"/>
      <c r="D1765" s="123" t="n"/>
      <c r="E1765" s="123" t="n"/>
      <c r="F1765" s="125" t="n"/>
      <c r="G1765" s="123" t="n"/>
      <c r="H1765" s="123" t="n"/>
      <c r="I1765" s="123" t="n"/>
      <c r="J1765" s="123" t="n"/>
      <c r="K1765" s="123" t="n"/>
      <c r="L1765" s="123" t="n"/>
      <c r="M1765" s="123">
        <f>IF(AND(B1765&lt;&gt;"",OR($C$4="",ISNUMBER(SEARCH($C$4,C1765&amp;" "&amp;E1765&amp;" "&amp;G1765&amp;" "&amp;H1765&amp;" "&amp;I1765&amp;" "&amp;J1765&amp;" "&amp;K1765&amp;" "&amp;L1765))),OR($C$5="Semua",$C$5="",G1765=$C$5),OR($C$6="Semua",$C$6="",H1765=$C$6,H1765="Pengeluaran "&amp;$C$6,AND($C$6="Uang Kos Mama",H1765="Pengeluaran Uang Kos")),OR($C$7="Semua",$C$7="",I1765=$C$7),OR($C$8="Semua",$C$8="",C1765=$C$8,E1765=$C$8),OR($C$9="Semua",$C$9="",D1765=$C$9),OR($C$10="",B1765&gt;=$C$10),OR($C$11="",B1765&lt;=$C$11),OR($C$12&lt;&gt;"Ya",K1765&lt;&gt;""),OR($C$13="Semua",$C$13="",L1765=$C$13)),"✓","")</f>
        <v/>
      </c>
      <c r="N1765" s="93">
        <f>N(N1764)+IF(M1765="✓",1,0)</f>
        <v/>
      </c>
      <c r="O1765" s="93">
        <f>N(O1764)+IF(AND(B1765&lt;&gt;"",B1765&gt;='Uang Riba'!$H$30,B1765&lt;='Uang Riba'!$I$30,OR(H1765="Dana riba",H1765="Pinjam uang riba",I1765="Pinjam dari uang riba",I1765="Ganti uang riba",I1765="Kelebihan ganti dikembalikan",AND(C1765="Kantong Uang Riba",G1765="Pengeluaran"))),1,0)</f>
        <v/>
      </c>
      <c r="X1765" s="93">
        <f>IF(AND(B1765&lt;&gt;"",B1765&gt;='Buku Akun'!$H$4,B1765&lt;='Buku Akun'!$H$5,OR(C1765='Buku Akun'!$C$4,AND(D1765="Pindah",E1765='Buku Akun'!$C$4))),B1765+IF(AND(I1765="Selisih bunga",DAY(B1765)=1),0,0.01)+ROW()/10000000,"")</f>
        <v/>
      </c>
    </row>
    <row r="1766" outlineLevel="1" ht="15" customHeight="1" s="94">
      <c r="A1766" s="123">
        <f>IF(B1766="","",ROW()-15)</f>
        <v/>
      </c>
      <c r="B1766" s="124" t="n"/>
      <c r="C1766" s="123" t="n"/>
      <c r="D1766" s="123" t="n"/>
      <c r="E1766" s="123" t="n"/>
      <c r="F1766" s="125" t="n"/>
      <c r="G1766" s="123" t="n"/>
      <c r="H1766" s="123" t="n"/>
      <c r="I1766" s="123" t="n"/>
      <c r="J1766" s="123" t="n"/>
      <c r="K1766" s="123" t="n"/>
      <c r="L1766" s="123" t="n"/>
      <c r="M1766" s="123">
        <f>IF(AND(B1766&lt;&gt;"",OR($C$4="",ISNUMBER(SEARCH($C$4,C1766&amp;" "&amp;E1766&amp;" "&amp;G1766&amp;" "&amp;H1766&amp;" "&amp;I1766&amp;" "&amp;J1766&amp;" "&amp;K1766&amp;" "&amp;L1766))),OR($C$5="Semua",$C$5="",G1766=$C$5),OR($C$6="Semua",$C$6="",H1766=$C$6,H1766="Pengeluaran "&amp;$C$6,AND($C$6="Uang Kos Mama",H1766="Pengeluaran Uang Kos")),OR($C$7="Semua",$C$7="",I1766=$C$7),OR($C$8="Semua",$C$8="",C1766=$C$8,E1766=$C$8),OR($C$9="Semua",$C$9="",D1766=$C$9),OR($C$10="",B1766&gt;=$C$10),OR($C$11="",B1766&lt;=$C$11),OR($C$12&lt;&gt;"Ya",K1766&lt;&gt;""),OR($C$13="Semua",$C$13="",L1766=$C$13)),"✓","")</f>
        <v/>
      </c>
      <c r="N1766" s="93">
        <f>N(N1765)+IF(M1766="✓",1,0)</f>
        <v/>
      </c>
      <c r="O1766" s="93">
        <f>N(O1765)+IF(AND(B1766&lt;&gt;"",B1766&gt;='Uang Riba'!$H$30,B1766&lt;='Uang Riba'!$I$30,OR(H1766="Dana riba",H1766="Pinjam uang riba",I1766="Pinjam dari uang riba",I1766="Ganti uang riba",I1766="Kelebihan ganti dikembalikan",AND(C1766="Kantong Uang Riba",G1766="Pengeluaran"))),1,0)</f>
        <v/>
      </c>
      <c r="X1766" s="93">
        <f>IF(AND(B1766&lt;&gt;"",B1766&gt;='Buku Akun'!$H$4,B1766&lt;='Buku Akun'!$H$5,OR(C1766='Buku Akun'!$C$4,AND(D1766="Pindah",E1766='Buku Akun'!$C$4))),B1766+IF(AND(I1766="Selisih bunga",DAY(B1766)=1),0,0.01)+ROW()/10000000,"")</f>
        <v/>
      </c>
    </row>
    <row r="1767" outlineLevel="1" ht="15" customHeight="1" s="94">
      <c r="A1767" s="123">
        <f>IF(B1767="","",ROW()-15)</f>
        <v/>
      </c>
      <c r="B1767" s="124" t="n"/>
      <c r="C1767" s="123" t="n"/>
      <c r="D1767" s="123" t="n"/>
      <c r="E1767" s="123" t="n"/>
      <c r="F1767" s="125" t="n"/>
      <c r="G1767" s="123" t="n"/>
      <c r="H1767" s="123" t="n"/>
      <c r="I1767" s="123" t="n"/>
      <c r="J1767" s="123" t="n"/>
      <c r="K1767" s="123" t="n"/>
      <c r="L1767" s="123" t="n"/>
      <c r="M1767" s="123">
        <f>IF(AND(B1767&lt;&gt;"",OR($C$4="",ISNUMBER(SEARCH($C$4,C1767&amp;" "&amp;E1767&amp;" "&amp;G1767&amp;" "&amp;H1767&amp;" "&amp;I1767&amp;" "&amp;J1767&amp;" "&amp;K1767&amp;" "&amp;L1767))),OR($C$5="Semua",$C$5="",G1767=$C$5),OR($C$6="Semua",$C$6="",H1767=$C$6,H1767="Pengeluaran "&amp;$C$6,AND($C$6="Uang Kos Mama",H1767="Pengeluaran Uang Kos")),OR($C$7="Semua",$C$7="",I1767=$C$7),OR($C$8="Semua",$C$8="",C1767=$C$8,E1767=$C$8),OR($C$9="Semua",$C$9="",D1767=$C$9),OR($C$10="",B1767&gt;=$C$10),OR($C$11="",B1767&lt;=$C$11),OR($C$12&lt;&gt;"Ya",K1767&lt;&gt;""),OR($C$13="Semua",$C$13="",L1767=$C$13)),"✓","")</f>
        <v/>
      </c>
      <c r="N1767" s="93">
        <f>N(N1766)+IF(M1767="✓",1,0)</f>
        <v/>
      </c>
      <c r="O1767" s="93">
        <f>N(O1766)+IF(AND(B1767&lt;&gt;"",B1767&gt;='Uang Riba'!$H$30,B1767&lt;='Uang Riba'!$I$30,OR(H1767="Dana riba",H1767="Pinjam uang riba",I1767="Pinjam dari uang riba",I1767="Ganti uang riba",I1767="Kelebihan ganti dikembalikan",AND(C1767="Kantong Uang Riba",G1767="Pengeluaran"))),1,0)</f>
        <v/>
      </c>
      <c r="X1767" s="93">
        <f>IF(AND(B1767&lt;&gt;"",B1767&gt;='Buku Akun'!$H$4,B1767&lt;='Buku Akun'!$H$5,OR(C1767='Buku Akun'!$C$4,AND(D1767="Pindah",E1767='Buku Akun'!$C$4))),B1767+IF(AND(I1767="Selisih bunga",DAY(B1767)=1),0,0.01)+ROW()/10000000,"")</f>
        <v/>
      </c>
    </row>
    <row r="1768" outlineLevel="1" ht="15" customHeight="1" s="94">
      <c r="A1768" s="123">
        <f>IF(B1768="","",ROW()-15)</f>
        <v/>
      </c>
      <c r="B1768" s="124" t="n"/>
      <c r="C1768" s="123" t="n"/>
      <c r="D1768" s="123" t="n"/>
      <c r="E1768" s="123" t="n"/>
      <c r="F1768" s="125" t="n"/>
      <c r="G1768" s="123" t="n"/>
      <c r="H1768" s="123" t="n"/>
      <c r="I1768" s="123" t="n"/>
      <c r="J1768" s="123" t="n"/>
      <c r="K1768" s="123" t="n"/>
      <c r="L1768" s="123" t="n"/>
      <c r="M1768" s="123">
        <f>IF(AND(B1768&lt;&gt;"",OR($C$4="",ISNUMBER(SEARCH($C$4,C1768&amp;" "&amp;E1768&amp;" "&amp;G1768&amp;" "&amp;H1768&amp;" "&amp;I1768&amp;" "&amp;J1768&amp;" "&amp;K1768&amp;" "&amp;L1768))),OR($C$5="Semua",$C$5="",G1768=$C$5),OR($C$6="Semua",$C$6="",H1768=$C$6,H1768="Pengeluaran "&amp;$C$6,AND($C$6="Uang Kos Mama",H1768="Pengeluaran Uang Kos")),OR($C$7="Semua",$C$7="",I1768=$C$7),OR($C$8="Semua",$C$8="",C1768=$C$8,E1768=$C$8),OR($C$9="Semua",$C$9="",D1768=$C$9),OR($C$10="",B1768&gt;=$C$10),OR($C$11="",B1768&lt;=$C$11),OR($C$12&lt;&gt;"Ya",K1768&lt;&gt;""),OR($C$13="Semua",$C$13="",L1768=$C$13)),"✓","")</f>
        <v/>
      </c>
      <c r="N1768" s="93">
        <f>N(N1767)+IF(M1768="✓",1,0)</f>
        <v/>
      </c>
      <c r="O1768" s="93">
        <f>N(O1767)+IF(AND(B1768&lt;&gt;"",B1768&gt;='Uang Riba'!$H$30,B1768&lt;='Uang Riba'!$I$30,OR(H1768="Dana riba",H1768="Pinjam uang riba",I1768="Pinjam dari uang riba",I1768="Ganti uang riba",I1768="Kelebihan ganti dikembalikan",AND(C1768="Kantong Uang Riba",G1768="Pengeluaran"))),1,0)</f>
        <v/>
      </c>
      <c r="X1768" s="93">
        <f>IF(AND(B1768&lt;&gt;"",B1768&gt;='Buku Akun'!$H$4,B1768&lt;='Buku Akun'!$H$5,OR(C1768='Buku Akun'!$C$4,AND(D1768="Pindah",E1768='Buku Akun'!$C$4))),B1768+IF(AND(I1768="Selisih bunga",DAY(B1768)=1),0,0.01)+ROW()/10000000,"")</f>
        <v/>
      </c>
    </row>
    <row r="1769" outlineLevel="1" ht="15" customHeight="1" s="94">
      <c r="A1769" s="123">
        <f>IF(B1769="","",ROW()-15)</f>
        <v/>
      </c>
      <c r="B1769" s="124" t="n"/>
      <c r="C1769" s="123" t="n"/>
      <c r="D1769" s="123" t="n"/>
      <c r="E1769" s="123" t="n"/>
      <c r="F1769" s="125" t="n"/>
      <c r="G1769" s="123" t="n"/>
      <c r="H1769" s="123" t="n"/>
      <c r="I1769" s="123" t="n"/>
      <c r="J1769" s="123" t="n"/>
      <c r="K1769" s="123" t="n"/>
      <c r="L1769" s="123" t="n"/>
      <c r="M1769" s="123">
        <f>IF(AND(B1769&lt;&gt;"",OR($C$4="",ISNUMBER(SEARCH($C$4,C1769&amp;" "&amp;E1769&amp;" "&amp;G1769&amp;" "&amp;H1769&amp;" "&amp;I1769&amp;" "&amp;J1769&amp;" "&amp;K1769&amp;" "&amp;L1769))),OR($C$5="Semua",$C$5="",G1769=$C$5),OR($C$6="Semua",$C$6="",H1769=$C$6,H1769="Pengeluaran "&amp;$C$6,AND($C$6="Uang Kos Mama",H1769="Pengeluaran Uang Kos")),OR($C$7="Semua",$C$7="",I1769=$C$7),OR($C$8="Semua",$C$8="",C1769=$C$8,E1769=$C$8),OR($C$9="Semua",$C$9="",D1769=$C$9),OR($C$10="",B1769&gt;=$C$10),OR($C$11="",B1769&lt;=$C$11),OR($C$12&lt;&gt;"Ya",K1769&lt;&gt;""),OR($C$13="Semua",$C$13="",L1769=$C$13)),"✓","")</f>
        <v/>
      </c>
      <c r="N1769" s="93">
        <f>N(N1768)+IF(M1769="✓",1,0)</f>
        <v/>
      </c>
      <c r="O1769" s="93">
        <f>N(O1768)+IF(AND(B1769&lt;&gt;"",B1769&gt;='Uang Riba'!$H$30,B1769&lt;='Uang Riba'!$I$30,OR(H1769="Dana riba",H1769="Pinjam uang riba",I1769="Pinjam dari uang riba",I1769="Ganti uang riba",I1769="Kelebihan ganti dikembalikan",AND(C1769="Kantong Uang Riba",G1769="Pengeluaran"))),1,0)</f>
        <v/>
      </c>
      <c r="X1769" s="93">
        <f>IF(AND(B1769&lt;&gt;"",B1769&gt;='Buku Akun'!$H$4,B1769&lt;='Buku Akun'!$H$5,OR(C1769='Buku Akun'!$C$4,AND(D1769="Pindah",E1769='Buku Akun'!$C$4))),B1769+IF(AND(I1769="Selisih bunga",DAY(B1769)=1),0,0.01)+ROW()/10000000,"")</f>
        <v/>
      </c>
    </row>
    <row r="1770" outlineLevel="1" ht="15" customHeight="1" s="94">
      <c r="A1770" s="123">
        <f>IF(B1770="","",ROW()-15)</f>
        <v/>
      </c>
      <c r="B1770" s="124" t="n"/>
      <c r="C1770" s="123" t="n"/>
      <c r="D1770" s="123" t="n"/>
      <c r="E1770" s="123" t="n"/>
      <c r="F1770" s="125" t="n"/>
      <c r="G1770" s="123" t="n"/>
      <c r="H1770" s="123" t="n"/>
      <c r="I1770" s="123" t="n"/>
      <c r="J1770" s="123" t="n"/>
      <c r="K1770" s="123" t="n"/>
      <c r="L1770" s="123" t="n"/>
      <c r="M1770" s="123">
        <f>IF(AND(B1770&lt;&gt;"",OR($C$4="",ISNUMBER(SEARCH($C$4,C1770&amp;" "&amp;E1770&amp;" "&amp;G1770&amp;" "&amp;H1770&amp;" "&amp;I1770&amp;" "&amp;J1770&amp;" "&amp;K1770&amp;" "&amp;L1770))),OR($C$5="Semua",$C$5="",G1770=$C$5),OR($C$6="Semua",$C$6="",H1770=$C$6,H1770="Pengeluaran "&amp;$C$6,AND($C$6="Uang Kos Mama",H1770="Pengeluaran Uang Kos")),OR($C$7="Semua",$C$7="",I1770=$C$7),OR($C$8="Semua",$C$8="",C1770=$C$8,E1770=$C$8),OR($C$9="Semua",$C$9="",D1770=$C$9),OR($C$10="",B1770&gt;=$C$10),OR($C$11="",B1770&lt;=$C$11),OR($C$12&lt;&gt;"Ya",K1770&lt;&gt;""),OR($C$13="Semua",$C$13="",L1770=$C$13)),"✓","")</f>
        <v/>
      </c>
      <c r="N1770" s="93">
        <f>N(N1769)+IF(M1770="✓",1,0)</f>
        <v/>
      </c>
      <c r="O1770" s="93">
        <f>N(O1769)+IF(AND(B1770&lt;&gt;"",B1770&gt;='Uang Riba'!$H$30,B1770&lt;='Uang Riba'!$I$30,OR(H1770="Dana riba",H1770="Pinjam uang riba",I1770="Pinjam dari uang riba",I1770="Ganti uang riba",I1770="Kelebihan ganti dikembalikan",AND(C1770="Kantong Uang Riba",G1770="Pengeluaran"))),1,0)</f>
        <v/>
      </c>
      <c r="X1770" s="93">
        <f>IF(AND(B1770&lt;&gt;"",B1770&gt;='Buku Akun'!$H$4,B1770&lt;='Buku Akun'!$H$5,OR(C1770='Buku Akun'!$C$4,AND(D1770="Pindah",E1770='Buku Akun'!$C$4))),B1770+IF(AND(I1770="Selisih bunga",DAY(B1770)=1),0,0.01)+ROW()/10000000,"")</f>
        <v/>
      </c>
    </row>
    <row r="1771" outlineLevel="1" ht="15" customHeight="1" s="94">
      <c r="A1771" s="123">
        <f>IF(B1771="","",ROW()-15)</f>
        <v/>
      </c>
      <c r="B1771" s="124" t="n"/>
      <c r="C1771" s="123" t="n"/>
      <c r="D1771" s="123" t="n"/>
      <c r="E1771" s="123" t="n"/>
      <c r="F1771" s="125" t="n"/>
      <c r="G1771" s="123" t="n"/>
      <c r="H1771" s="123" t="n"/>
      <c r="I1771" s="123" t="n"/>
      <c r="J1771" s="123" t="n"/>
      <c r="K1771" s="123" t="n"/>
      <c r="L1771" s="123" t="n"/>
      <c r="M1771" s="123">
        <f>IF(AND(B1771&lt;&gt;"",OR($C$4="",ISNUMBER(SEARCH($C$4,C1771&amp;" "&amp;E1771&amp;" "&amp;G1771&amp;" "&amp;H1771&amp;" "&amp;I1771&amp;" "&amp;J1771&amp;" "&amp;K1771&amp;" "&amp;L1771))),OR($C$5="Semua",$C$5="",G1771=$C$5),OR($C$6="Semua",$C$6="",H1771=$C$6,H1771="Pengeluaran "&amp;$C$6,AND($C$6="Uang Kos Mama",H1771="Pengeluaran Uang Kos")),OR($C$7="Semua",$C$7="",I1771=$C$7),OR($C$8="Semua",$C$8="",C1771=$C$8,E1771=$C$8),OR($C$9="Semua",$C$9="",D1771=$C$9),OR($C$10="",B1771&gt;=$C$10),OR($C$11="",B1771&lt;=$C$11),OR($C$12&lt;&gt;"Ya",K1771&lt;&gt;""),OR($C$13="Semua",$C$13="",L1771=$C$13)),"✓","")</f>
        <v/>
      </c>
      <c r="N1771" s="93">
        <f>N(N1770)+IF(M1771="✓",1,0)</f>
        <v/>
      </c>
      <c r="O1771" s="93">
        <f>N(O1770)+IF(AND(B1771&lt;&gt;"",B1771&gt;='Uang Riba'!$H$30,B1771&lt;='Uang Riba'!$I$30,OR(H1771="Dana riba",H1771="Pinjam uang riba",I1771="Pinjam dari uang riba",I1771="Ganti uang riba",I1771="Kelebihan ganti dikembalikan",AND(C1771="Kantong Uang Riba",G1771="Pengeluaran"))),1,0)</f>
        <v/>
      </c>
      <c r="X1771" s="93">
        <f>IF(AND(B1771&lt;&gt;"",B1771&gt;='Buku Akun'!$H$4,B1771&lt;='Buku Akun'!$H$5,OR(C1771='Buku Akun'!$C$4,AND(D1771="Pindah",E1771='Buku Akun'!$C$4))),B1771+IF(AND(I1771="Selisih bunga",DAY(B1771)=1),0,0.01)+ROW()/10000000,"")</f>
        <v/>
      </c>
    </row>
    <row r="1772" outlineLevel="1" ht="15" customHeight="1" s="94">
      <c r="A1772" s="123">
        <f>IF(B1772="","",ROW()-15)</f>
        <v/>
      </c>
      <c r="B1772" s="124" t="n"/>
      <c r="C1772" s="123" t="n"/>
      <c r="D1772" s="123" t="n"/>
      <c r="E1772" s="123" t="n"/>
      <c r="F1772" s="125" t="n"/>
      <c r="G1772" s="123" t="n"/>
      <c r="H1772" s="123" t="n"/>
      <c r="I1772" s="123" t="n"/>
      <c r="J1772" s="123" t="n"/>
      <c r="K1772" s="123" t="n"/>
      <c r="L1772" s="123" t="n"/>
      <c r="M1772" s="123">
        <f>IF(AND(B1772&lt;&gt;"",OR($C$4="",ISNUMBER(SEARCH($C$4,C1772&amp;" "&amp;E1772&amp;" "&amp;G1772&amp;" "&amp;H1772&amp;" "&amp;I1772&amp;" "&amp;J1772&amp;" "&amp;K1772&amp;" "&amp;L1772))),OR($C$5="Semua",$C$5="",G1772=$C$5),OR($C$6="Semua",$C$6="",H1772=$C$6,H1772="Pengeluaran "&amp;$C$6,AND($C$6="Uang Kos Mama",H1772="Pengeluaran Uang Kos")),OR($C$7="Semua",$C$7="",I1772=$C$7),OR($C$8="Semua",$C$8="",C1772=$C$8,E1772=$C$8),OR($C$9="Semua",$C$9="",D1772=$C$9),OR($C$10="",B1772&gt;=$C$10),OR($C$11="",B1772&lt;=$C$11),OR($C$12&lt;&gt;"Ya",K1772&lt;&gt;""),OR($C$13="Semua",$C$13="",L1772=$C$13)),"✓","")</f>
        <v/>
      </c>
      <c r="N1772" s="93">
        <f>N(N1771)+IF(M1772="✓",1,0)</f>
        <v/>
      </c>
      <c r="O1772" s="93">
        <f>N(O1771)+IF(AND(B1772&lt;&gt;"",B1772&gt;='Uang Riba'!$H$30,B1772&lt;='Uang Riba'!$I$30,OR(H1772="Dana riba",H1772="Pinjam uang riba",I1772="Pinjam dari uang riba",I1772="Ganti uang riba",I1772="Kelebihan ganti dikembalikan",AND(C1772="Kantong Uang Riba",G1772="Pengeluaran"))),1,0)</f>
        <v/>
      </c>
      <c r="X1772" s="93">
        <f>IF(AND(B1772&lt;&gt;"",B1772&gt;='Buku Akun'!$H$4,B1772&lt;='Buku Akun'!$H$5,OR(C1772='Buku Akun'!$C$4,AND(D1772="Pindah",E1772='Buku Akun'!$C$4))),B1772+IF(AND(I1772="Selisih bunga",DAY(B1772)=1),0,0.01)+ROW()/10000000,"")</f>
        <v/>
      </c>
    </row>
    <row r="1773" outlineLevel="1" ht="15" customHeight="1" s="94">
      <c r="A1773" s="123">
        <f>IF(B1773="","",ROW()-15)</f>
        <v/>
      </c>
      <c r="B1773" s="124" t="n"/>
      <c r="C1773" s="123" t="n"/>
      <c r="D1773" s="123" t="n"/>
      <c r="E1773" s="123" t="n"/>
      <c r="F1773" s="125" t="n"/>
      <c r="G1773" s="123" t="n"/>
      <c r="H1773" s="123" t="n"/>
      <c r="I1773" s="123" t="n"/>
      <c r="J1773" s="123" t="n"/>
      <c r="K1773" s="123" t="n"/>
      <c r="L1773" s="123" t="n"/>
      <c r="M1773" s="123">
        <f>IF(AND(B1773&lt;&gt;"",OR($C$4="",ISNUMBER(SEARCH($C$4,C1773&amp;" "&amp;E1773&amp;" "&amp;G1773&amp;" "&amp;H1773&amp;" "&amp;I1773&amp;" "&amp;J1773&amp;" "&amp;K1773&amp;" "&amp;L1773))),OR($C$5="Semua",$C$5="",G1773=$C$5),OR($C$6="Semua",$C$6="",H1773=$C$6,H1773="Pengeluaran "&amp;$C$6,AND($C$6="Uang Kos Mama",H1773="Pengeluaran Uang Kos")),OR($C$7="Semua",$C$7="",I1773=$C$7),OR($C$8="Semua",$C$8="",C1773=$C$8,E1773=$C$8),OR($C$9="Semua",$C$9="",D1773=$C$9),OR($C$10="",B1773&gt;=$C$10),OR($C$11="",B1773&lt;=$C$11),OR($C$12&lt;&gt;"Ya",K1773&lt;&gt;""),OR($C$13="Semua",$C$13="",L1773=$C$13)),"✓","")</f>
        <v/>
      </c>
      <c r="N1773" s="93">
        <f>N(N1772)+IF(M1773="✓",1,0)</f>
        <v/>
      </c>
      <c r="O1773" s="93">
        <f>N(O1772)+IF(AND(B1773&lt;&gt;"",B1773&gt;='Uang Riba'!$H$30,B1773&lt;='Uang Riba'!$I$30,OR(H1773="Dana riba",H1773="Pinjam uang riba",I1773="Pinjam dari uang riba",I1773="Ganti uang riba",I1773="Kelebihan ganti dikembalikan",AND(C1773="Kantong Uang Riba",G1773="Pengeluaran"))),1,0)</f>
        <v/>
      </c>
      <c r="X1773" s="93">
        <f>IF(AND(B1773&lt;&gt;"",B1773&gt;='Buku Akun'!$H$4,B1773&lt;='Buku Akun'!$H$5,OR(C1773='Buku Akun'!$C$4,AND(D1773="Pindah",E1773='Buku Akun'!$C$4))),B1773+IF(AND(I1773="Selisih bunga",DAY(B1773)=1),0,0.01)+ROW()/10000000,"")</f>
        <v/>
      </c>
    </row>
    <row r="1774" outlineLevel="1" ht="15" customHeight="1" s="94">
      <c r="A1774" s="123">
        <f>IF(B1774="","",ROW()-15)</f>
        <v/>
      </c>
      <c r="B1774" s="124" t="n"/>
      <c r="C1774" s="123" t="n"/>
      <c r="D1774" s="123" t="n"/>
      <c r="E1774" s="123" t="n"/>
      <c r="F1774" s="125" t="n"/>
      <c r="G1774" s="123" t="n"/>
      <c r="H1774" s="123" t="n"/>
      <c r="I1774" s="123" t="n"/>
      <c r="J1774" s="123" t="n"/>
      <c r="K1774" s="123" t="n"/>
      <c r="L1774" s="123" t="n"/>
      <c r="M1774" s="123">
        <f>IF(AND(B1774&lt;&gt;"",OR($C$4="",ISNUMBER(SEARCH($C$4,C1774&amp;" "&amp;E1774&amp;" "&amp;G1774&amp;" "&amp;H1774&amp;" "&amp;I1774&amp;" "&amp;J1774&amp;" "&amp;K1774&amp;" "&amp;L1774))),OR($C$5="Semua",$C$5="",G1774=$C$5),OR($C$6="Semua",$C$6="",H1774=$C$6,H1774="Pengeluaran "&amp;$C$6,AND($C$6="Uang Kos Mama",H1774="Pengeluaran Uang Kos")),OR($C$7="Semua",$C$7="",I1774=$C$7),OR($C$8="Semua",$C$8="",C1774=$C$8,E1774=$C$8),OR($C$9="Semua",$C$9="",D1774=$C$9),OR($C$10="",B1774&gt;=$C$10),OR($C$11="",B1774&lt;=$C$11),OR($C$12&lt;&gt;"Ya",K1774&lt;&gt;""),OR($C$13="Semua",$C$13="",L1774=$C$13)),"✓","")</f>
        <v/>
      </c>
      <c r="N1774" s="93">
        <f>N(N1773)+IF(M1774="✓",1,0)</f>
        <v/>
      </c>
      <c r="O1774" s="93">
        <f>N(O1773)+IF(AND(B1774&lt;&gt;"",B1774&gt;='Uang Riba'!$H$30,B1774&lt;='Uang Riba'!$I$30,OR(H1774="Dana riba",H1774="Pinjam uang riba",I1774="Pinjam dari uang riba",I1774="Ganti uang riba",I1774="Kelebihan ganti dikembalikan",AND(C1774="Kantong Uang Riba",G1774="Pengeluaran"))),1,0)</f>
        <v/>
      </c>
      <c r="X1774" s="93">
        <f>IF(AND(B1774&lt;&gt;"",B1774&gt;='Buku Akun'!$H$4,B1774&lt;='Buku Akun'!$H$5,OR(C1774='Buku Akun'!$C$4,AND(D1774="Pindah",E1774='Buku Akun'!$C$4))),B1774+IF(AND(I1774="Selisih bunga",DAY(B1774)=1),0,0.01)+ROW()/10000000,"")</f>
        <v/>
      </c>
    </row>
    <row r="1775" outlineLevel="1" ht="15" customHeight="1" s="94">
      <c r="A1775" s="123">
        <f>IF(B1775="","",ROW()-15)</f>
        <v/>
      </c>
      <c r="B1775" s="124" t="n"/>
      <c r="C1775" s="123" t="n"/>
      <c r="D1775" s="123" t="n"/>
      <c r="E1775" s="123" t="n"/>
      <c r="F1775" s="125" t="n"/>
      <c r="G1775" s="123" t="n"/>
      <c r="H1775" s="123" t="n"/>
      <c r="I1775" s="123" t="n"/>
      <c r="J1775" s="123" t="n"/>
      <c r="K1775" s="123" t="n"/>
      <c r="L1775" s="123" t="n"/>
      <c r="M1775" s="123">
        <f>IF(AND(B1775&lt;&gt;"",OR($C$4="",ISNUMBER(SEARCH($C$4,C1775&amp;" "&amp;E1775&amp;" "&amp;G1775&amp;" "&amp;H1775&amp;" "&amp;I1775&amp;" "&amp;J1775&amp;" "&amp;K1775&amp;" "&amp;L1775))),OR($C$5="Semua",$C$5="",G1775=$C$5),OR($C$6="Semua",$C$6="",H1775=$C$6,H1775="Pengeluaran "&amp;$C$6,AND($C$6="Uang Kos Mama",H1775="Pengeluaran Uang Kos")),OR($C$7="Semua",$C$7="",I1775=$C$7),OR($C$8="Semua",$C$8="",C1775=$C$8,E1775=$C$8),OR($C$9="Semua",$C$9="",D1775=$C$9),OR($C$10="",B1775&gt;=$C$10),OR($C$11="",B1775&lt;=$C$11),OR($C$12&lt;&gt;"Ya",K1775&lt;&gt;""),OR($C$13="Semua",$C$13="",L1775=$C$13)),"✓","")</f>
        <v/>
      </c>
      <c r="N1775" s="93">
        <f>N(N1774)+IF(M1775="✓",1,0)</f>
        <v/>
      </c>
      <c r="O1775" s="93">
        <f>N(O1774)+IF(AND(B1775&lt;&gt;"",B1775&gt;='Uang Riba'!$H$30,B1775&lt;='Uang Riba'!$I$30,OR(H1775="Dana riba",H1775="Pinjam uang riba",I1775="Pinjam dari uang riba",I1775="Ganti uang riba",I1775="Kelebihan ganti dikembalikan",AND(C1775="Kantong Uang Riba",G1775="Pengeluaran"))),1,0)</f>
        <v/>
      </c>
      <c r="X1775" s="93">
        <f>IF(AND(B1775&lt;&gt;"",B1775&gt;='Buku Akun'!$H$4,B1775&lt;='Buku Akun'!$H$5,OR(C1775='Buku Akun'!$C$4,AND(D1775="Pindah",E1775='Buku Akun'!$C$4))),B1775+IF(AND(I1775="Selisih bunga",DAY(B1775)=1),0,0.01)+ROW()/10000000,"")</f>
        <v/>
      </c>
    </row>
    <row r="1776" outlineLevel="1" ht="15" customHeight="1" s="94">
      <c r="A1776" s="123">
        <f>IF(B1776="","",ROW()-15)</f>
        <v/>
      </c>
      <c r="B1776" s="124" t="n"/>
      <c r="C1776" s="123" t="n"/>
      <c r="D1776" s="123" t="n"/>
      <c r="E1776" s="123" t="n"/>
      <c r="F1776" s="125" t="n"/>
      <c r="G1776" s="123" t="n"/>
      <c r="H1776" s="123" t="n"/>
      <c r="I1776" s="123" t="n"/>
      <c r="J1776" s="123" t="n"/>
      <c r="K1776" s="123" t="n"/>
      <c r="L1776" s="123" t="n"/>
      <c r="M1776" s="123">
        <f>IF(AND(B1776&lt;&gt;"",OR($C$4="",ISNUMBER(SEARCH($C$4,C1776&amp;" "&amp;E1776&amp;" "&amp;G1776&amp;" "&amp;H1776&amp;" "&amp;I1776&amp;" "&amp;J1776&amp;" "&amp;K1776&amp;" "&amp;L1776))),OR($C$5="Semua",$C$5="",G1776=$C$5),OR($C$6="Semua",$C$6="",H1776=$C$6,H1776="Pengeluaran "&amp;$C$6,AND($C$6="Uang Kos Mama",H1776="Pengeluaran Uang Kos")),OR($C$7="Semua",$C$7="",I1776=$C$7),OR($C$8="Semua",$C$8="",C1776=$C$8,E1776=$C$8),OR($C$9="Semua",$C$9="",D1776=$C$9),OR($C$10="",B1776&gt;=$C$10),OR($C$11="",B1776&lt;=$C$11),OR($C$12&lt;&gt;"Ya",K1776&lt;&gt;""),OR($C$13="Semua",$C$13="",L1776=$C$13)),"✓","")</f>
        <v/>
      </c>
      <c r="N1776" s="93">
        <f>N(N1775)+IF(M1776="✓",1,0)</f>
        <v/>
      </c>
      <c r="O1776" s="93">
        <f>N(O1775)+IF(AND(B1776&lt;&gt;"",B1776&gt;='Uang Riba'!$H$30,B1776&lt;='Uang Riba'!$I$30,OR(H1776="Dana riba",H1776="Pinjam uang riba",I1776="Pinjam dari uang riba",I1776="Ganti uang riba",I1776="Kelebihan ganti dikembalikan",AND(C1776="Kantong Uang Riba",G1776="Pengeluaran"))),1,0)</f>
        <v/>
      </c>
      <c r="X1776" s="93">
        <f>IF(AND(B1776&lt;&gt;"",B1776&gt;='Buku Akun'!$H$4,B1776&lt;='Buku Akun'!$H$5,OR(C1776='Buku Akun'!$C$4,AND(D1776="Pindah",E1776='Buku Akun'!$C$4))),B1776+IF(AND(I1776="Selisih bunga",DAY(B1776)=1),0,0.01)+ROW()/10000000,"")</f>
        <v/>
      </c>
    </row>
    <row r="1777" outlineLevel="1" ht="15" customHeight="1" s="94">
      <c r="A1777" s="123">
        <f>IF(B1777="","",ROW()-15)</f>
        <v/>
      </c>
      <c r="B1777" s="124" t="n"/>
      <c r="C1777" s="123" t="n"/>
      <c r="D1777" s="123" t="n"/>
      <c r="E1777" s="123" t="n"/>
      <c r="F1777" s="125" t="n"/>
      <c r="G1777" s="123" t="n"/>
      <c r="H1777" s="123" t="n"/>
      <c r="I1777" s="123" t="n"/>
      <c r="J1777" s="123" t="n"/>
      <c r="K1777" s="123" t="n"/>
      <c r="L1777" s="123" t="n"/>
      <c r="M1777" s="123">
        <f>IF(AND(B1777&lt;&gt;"",OR($C$4="",ISNUMBER(SEARCH($C$4,C1777&amp;" "&amp;E1777&amp;" "&amp;G1777&amp;" "&amp;H1777&amp;" "&amp;I1777&amp;" "&amp;J1777&amp;" "&amp;K1777&amp;" "&amp;L1777))),OR($C$5="Semua",$C$5="",G1777=$C$5),OR($C$6="Semua",$C$6="",H1777=$C$6,H1777="Pengeluaran "&amp;$C$6,AND($C$6="Uang Kos Mama",H1777="Pengeluaran Uang Kos")),OR($C$7="Semua",$C$7="",I1777=$C$7),OR($C$8="Semua",$C$8="",C1777=$C$8,E1777=$C$8),OR($C$9="Semua",$C$9="",D1777=$C$9),OR($C$10="",B1777&gt;=$C$10),OR($C$11="",B1777&lt;=$C$11),OR($C$12&lt;&gt;"Ya",K1777&lt;&gt;""),OR($C$13="Semua",$C$13="",L1777=$C$13)),"✓","")</f>
        <v/>
      </c>
      <c r="N1777" s="93">
        <f>N(N1776)+IF(M1777="✓",1,0)</f>
        <v/>
      </c>
      <c r="O1777" s="93">
        <f>N(O1776)+IF(AND(B1777&lt;&gt;"",B1777&gt;='Uang Riba'!$H$30,B1777&lt;='Uang Riba'!$I$30,OR(H1777="Dana riba",H1777="Pinjam uang riba",I1777="Pinjam dari uang riba",I1777="Ganti uang riba",I1777="Kelebihan ganti dikembalikan",AND(C1777="Kantong Uang Riba",G1777="Pengeluaran"))),1,0)</f>
        <v/>
      </c>
      <c r="X1777" s="93">
        <f>IF(AND(B1777&lt;&gt;"",B1777&gt;='Buku Akun'!$H$4,B1777&lt;='Buku Akun'!$H$5,OR(C1777='Buku Akun'!$C$4,AND(D1777="Pindah",E1777='Buku Akun'!$C$4))),B1777+IF(AND(I1777="Selisih bunga",DAY(B1777)=1),0,0.01)+ROW()/10000000,"")</f>
        <v/>
      </c>
    </row>
    <row r="1778" outlineLevel="1" ht="15" customHeight="1" s="94">
      <c r="A1778" s="123">
        <f>IF(B1778="","",ROW()-15)</f>
        <v/>
      </c>
      <c r="B1778" s="124" t="n"/>
      <c r="C1778" s="123" t="n"/>
      <c r="D1778" s="123" t="n"/>
      <c r="E1778" s="123" t="n"/>
      <c r="F1778" s="125" t="n"/>
      <c r="G1778" s="123" t="n"/>
      <c r="H1778" s="123" t="n"/>
      <c r="I1778" s="123" t="n"/>
      <c r="J1778" s="123" t="n"/>
      <c r="K1778" s="123" t="n"/>
      <c r="L1778" s="123" t="n"/>
      <c r="M1778" s="123">
        <f>IF(AND(B1778&lt;&gt;"",OR($C$4="",ISNUMBER(SEARCH($C$4,C1778&amp;" "&amp;E1778&amp;" "&amp;G1778&amp;" "&amp;H1778&amp;" "&amp;I1778&amp;" "&amp;J1778&amp;" "&amp;K1778&amp;" "&amp;L1778))),OR($C$5="Semua",$C$5="",G1778=$C$5),OR($C$6="Semua",$C$6="",H1778=$C$6,H1778="Pengeluaran "&amp;$C$6,AND($C$6="Uang Kos Mama",H1778="Pengeluaran Uang Kos")),OR($C$7="Semua",$C$7="",I1778=$C$7),OR($C$8="Semua",$C$8="",C1778=$C$8,E1778=$C$8),OR($C$9="Semua",$C$9="",D1778=$C$9),OR($C$10="",B1778&gt;=$C$10),OR($C$11="",B1778&lt;=$C$11),OR($C$12&lt;&gt;"Ya",K1778&lt;&gt;""),OR($C$13="Semua",$C$13="",L1778=$C$13)),"✓","")</f>
        <v/>
      </c>
      <c r="N1778" s="93">
        <f>N(N1777)+IF(M1778="✓",1,0)</f>
        <v/>
      </c>
      <c r="O1778" s="93">
        <f>N(O1777)+IF(AND(B1778&lt;&gt;"",B1778&gt;='Uang Riba'!$H$30,B1778&lt;='Uang Riba'!$I$30,OR(H1778="Dana riba",H1778="Pinjam uang riba",I1778="Pinjam dari uang riba",I1778="Ganti uang riba",I1778="Kelebihan ganti dikembalikan",AND(C1778="Kantong Uang Riba",G1778="Pengeluaran"))),1,0)</f>
        <v/>
      </c>
      <c r="X1778" s="93">
        <f>IF(AND(B1778&lt;&gt;"",B1778&gt;='Buku Akun'!$H$4,B1778&lt;='Buku Akun'!$H$5,OR(C1778='Buku Akun'!$C$4,AND(D1778="Pindah",E1778='Buku Akun'!$C$4))),B1778+IF(AND(I1778="Selisih bunga",DAY(B1778)=1),0,0.01)+ROW()/10000000,"")</f>
        <v/>
      </c>
    </row>
    <row r="1779" outlineLevel="1" ht="15" customHeight="1" s="94">
      <c r="A1779" s="123">
        <f>IF(B1779="","",ROW()-15)</f>
        <v/>
      </c>
      <c r="B1779" s="124" t="n"/>
      <c r="C1779" s="123" t="n"/>
      <c r="D1779" s="123" t="n"/>
      <c r="E1779" s="123" t="n"/>
      <c r="F1779" s="125" t="n"/>
      <c r="G1779" s="123" t="n"/>
      <c r="H1779" s="123" t="n"/>
      <c r="I1779" s="123" t="n"/>
      <c r="J1779" s="123" t="n"/>
      <c r="K1779" s="123" t="n"/>
      <c r="L1779" s="123" t="n"/>
      <c r="M1779" s="123">
        <f>IF(AND(B1779&lt;&gt;"",OR($C$4="",ISNUMBER(SEARCH($C$4,C1779&amp;" "&amp;E1779&amp;" "&amp;G1779&amp;" "&amp;H1779&amp;" "&amp;I1779&amp;" "&amp;J1779&amp;" "&amp;K1779&amp;" "&amp;L1779))),OR($C$5="Semua",$C$5="",G1779=$C$5),OR($C$6="Semua",$C$6="",H1779=$C$6,H1779="Pengeluaran "&amp;$C$6,AND($C$6="Uang Kos Mama",H1779="Pengeluaran Uang Kos")),OR($C$7="Semua",$C$7="",I1779=$C$7),OR($C$8="Semua",$C$8="",C1779=$C$8,E1779=$C$8),OR($C$9="Semua",$C$9="",D1779=$C$9),OR($C$10="",B1779&gt;=$C$10),OR($C$11="",B1779&lt;=$C$11),OR($C$12&lt;&gt;"Ya",K1779&lt;&gt;""),OR($C$13="Semua",$C$13="",L1779=$C$13)),"✓","")</f>
        <v/>
      </c>
      <c r="N1779" s="93">
        <f>N(N1778)+IF(M1779="✓",1,0)</f>
        <v/>
      </c>
      <c r="O1779" s="93">
        <f>N(O1778)+IF(AND(B1779&lt;&gt;"",B1779&gt;='Uang Riba'!$H$30,B1779&lt;='Uang Riba'!$I$30,OR(H1779="Dana riba",H1779="Pinjam uang riba",I1779="Pinjam dari uang riba",I1779="Ganti uang riba",I1779="Kelebihan ganti dikembalikan",AND(C1779="Kantong Uang Riba",G1779="Pengeluaran"))),1,0)</f>
        <v/>
      </c>
      <c r="X1779" s="93">
        <f>IF(AND(B1779&lt;&gt;"",B1779&gt;='Buku Akun'!$H$4,B1779&lt;='Buku Akun'!$H$5,OR(C1779='Buku Akun'!$C$4,AND(D1779="Pindah",E1779='Buku Akun'!$C$4))),B1779+IF(AND(I1779="Selisih bunga",DAY(B1779)=1),0,0.01)+ROW()/10000000,"")</f>
        <v/>
      </c>
    </row>
    <row r="1780" outlineLevel="1" ht="15" customHeight="1" s="94">
      <c r="A1780" s="123">
        <f>IF(B1780="","",ROW()-15)</f>
        <v/>
      </c>
      <c r="B1780" s="124" t="n"/>
      <c r="C1780" s="123" t="n"/>
      <c r="D1780" s="123" t="n"/>
      <c r="E1780" s="123" t="n"/>
      <c r="F1780" s="125" t="n"/>
      <c r="G1780" s="123" t="n"/>
      <c r="H1780" s="123" t="n"/>
      <c r="I1780" s="123" t="n"/>
      <c r="J1780" s="123" t="n"/>
      <c r="K1780" s="123" t="n"/>
      <c r="L1780" s="123" t="n"/>
      <c r="M1780" s="123">
        <f>IF(AND(B1780&lt;&gt;"",OR($C$4="",ISNUMBER(SEARCH($C$4,C1780&amp;" "&amp;E1780&amp;" "&amp;G1780&amp;" "&amp;H1780&amp;" "&amp;I1780&amp;" "&amp;J1780&amp;" "&amp;K1780&amp;" "&amp;L1780))),OR($C$5="Semua",$C$5="",G1780=$C$5),OR($C$6="Semua",$C$6="",H1780=$C$6,H1780="Pengeluaran "&amp;$C$6,AND($C$6="Uang Kos Mama",H1780="Pengeluaran Uang Kos")),OR($C$7="Semua",$C$7="",I1780=$C$7),OR($C$8="Semua",$C$8="",C1780=$C$8,E1780=$C$8),OR($C$9="Semua",$C$9="",D1780=$C$9),OR($C$10="",B1780&gt;=$C$10),OR($C$11="",B1780&lt;=$C$11),OR($C$12&lt;&gt;"Ya",K1780&lt;&gt;""),OR($C$13="Semua",$C$13="",L1780=$C$13)),"✓","")</f>
        <v/>
      </c>
      <c r="N1780" s="93">
        <f>N(N1779)+IF(M1780="✓",1,0)</f>
        <v/>
      </c>
      <c r="O1780" s="93">
        <f>N(O1779)+IF(AND(B1780&lt;&gt;"",B1780&gt;='Uang Riba'!$H$30,B1780&lt;='Uang Riba'!$I$30,OR(H1780="Dana riba",H1780="Pinjam uang riba",I1780="Pinjam dari uang riba",I1780="Ganti uang riba",I1780="Kelebihan ganti dikembalikan",AND(C1780="Kantong Uang Riba",G1780="Pengeluaran"))),1,0)</f>
        <v/>
      </c>
      <c r="X1780" s="93">
        <f>IF(AND(B1780&lt;&gt;"",B1780&gt;='Buku Akun'!$H$4,B1780&lt;='Buku Akun'!$H$5,OR(C1780='Buku Akun'!$C$4,AND(D1780="Pindah",E1780='Buku Akun'!$C$4))),B1780+IF(AND(I1780="Selisih bunga",DAY(B1780)=1),0,0.01)+ROW()/10000000,"")</f>
        <v/>
      </c>
    </row>
    <row r="1781" outlineLevel="1" ht="15" customHeight="1" s="94">
      <c r="A1781" s="123">
        <f>IF(B1781="","",ROW()-15)</f>
        <v/>
      </c>
      <c r="B1781" s="124" t="n"/>
      <c r="C1781" s="123" t="n"/>
      <c r="D1781" s="123" t="n"/>
      <c r="E1781" s="123" t="n"/>
      <c r="F1781" s="125" t="n"/>
      <c r="G1781" s="123" t="n"/>
      <c r="H1781" s="123" t="n"/>
      <c r="I1781" s="123" t="n"/>
      <c r="J1781" s="123" t="n"/>
      <c r="K1781" s="123" t="n"/>
      <c r="L1781" s="123" t="n"/>
      <c r="M1781" s="123">
        <f>IF(AND(B1781&lt;&gt;"",OR($C$4="",ISNUMBER(SEARCH($C$4,C1781&amp;" "&amp;E1781&amp;" "&amp;G1781&amp;" "&amp;H1781&amp;" "&amp;I1781&amp;" "&amp;J1781&amp;" "&amp;K1781&amp;" "&amp;L1781))),OR($C$5="Semua",$C$5="",G1781=$C$5),OR($C$6="Semua",$C$6="",H1781=$C$6,H1781="Pengeluaran "&amp;$C$6,AND($C$6="Uang Kos Mama",H1781="Pengeluaran Uang Kos")),OR($C$7="Semua",$C$7="",I1781=$C$7),OR($C$8="Semua",$C$8="",C1781=$C$8,E1781=$C$8),OR($C$9="Semua",$C$9="",D1781=$C$9),OR($C$10="",B1781&gt;=$C$10),OR($C$11="",B1781&lt;=$C$11),OR($C$12&lt;&gt;"Ya",K1781&lt;&gt;""),OR($C$13="Semua",$C$13="",L1781=$C$13)),"✓","")</f>
        <v/>
      </c>
      <c r="N1781" s="93">
        <f>N(N1780)+IF(M1781="✓",1,0)</f>
        <v/>
      </c>
      <c r="O1781" s="93">
        <f>N(O1780)+IF(AND(B1781&lt;&gt;"",B1781&gt;='Uang Riba'!$H$30,B1781&lt;='Uang Riba'!$I$30,OR(H1781="Dana riba",H1781="Pinjam uang riba",I1781="Pinjam dari uang riba",I1781="Ganti uang riba",I1781="Kelebihan ganti dikembalikan",AND(C1781="Kantong Uang Riba",G1781="Pengeluaran"))),1,0)</f>
        <v/>
      </c>
      <c r="X1781" s="93">
        <f>IF(AND(B1781&lt;&gt;"",B1781&gt;='Buku Akun'!$H$4,B1781&lt;='Buku Akun'!$H$5,OR(C1781='Buku Akun'!$C$4,AND(D1781="Pindah",E1781='Buku Akun'!$C$4))),B1781+IF(AND(I1781="Selisih bunga",DAY(B1781)=1),0,0.01)+ROW()/10000000,"")</f>
        <v/>
      </c>
    </row>
    <row r="1782" outlineLevel="1" ht="15" customHeight="1" s="94">
      <c r="A1782" s="123">
        <f>IF(B1782="","",ROW()-15)</f>
        <v/>
      </c>
      <c r="B1782" s="124" t="n"/>
      <c r="C1782" s="123" t="n"/>
      <c r="D1782" s="123" t="n"/>
      <c r="E1782" s="123" t="n"/>
      <c r="F1782" s="125" t="n"/>
      <c r="G1782" s="123" t="n"/>
      <c r="H1782" s="123" t="n"/>
      <c r="I1782" s="123" t="n"/>
      <c r="J1782" s="123" t="n"/>
      <c r="K1782" s="123" t="n"/>
      <c r="L1782" s="123" t="n"/>
      <c r="M1782" s="123">
        <f>IF(AND(B1782&lt;&gt;"",OR($C$4="",ISNUMBER(SEARCH($C$4,C1782&amp;" "&amp;E1782&amp;" "&amp;G1782&amp;" "&amp;H1782&amp;" "&amp;I1782&amp;" "&amp;J1782&amp;" "&amp;K1782&amp;" "&amp;L1782))),OR($C$5="Semua",$C$5="",G1782=$C$5),OR($C$6="Semua",$C$6="",H1782=$C$6,H1782="Pengeluaran "&amp;$C$6,AND($C$6="Uang Kos Mama",H1782="Pengeluaran Uang Kos")),OR($C$7="Semua",$C$7="",I1782=$C$7),OR($C$8="Semua",$C$8="",C1782=$C$8,E1782=$C$8),OR($C$9="Semua",$C$9="",D1782=$C$9),OR($C$10="",B1782&gt;=$C$10),OR($C$11="",B1782&lt;=$C$11),OR($C$12&lt;&gt;"Ya",K1782&lt;&gt;""),OR($C$13="Semua",$C$13="",L1782=$C$13)),"✓","")</f>
        <v/>
      </c>
      <c r="N1782" s="93">
        <f>N(N1781)+IF(M1782="✓",1,0)</f>
        <v/>
      </c>
      <c r="O1782" s="93">
        <f>N(O1781)+IF(AND(B1782&lt;&gt;"",B1782&gt;='Uang Riba'!$H$30,B1782&lt;='Uang Riba'!$I$30,OR(H1782="Dana riba",H1782="Pinjam uang riba",I1782="Pinjam dari uang riba",I1782="Ganti uang riba",I1782="Kelebihan ganti dikembalikan",AND(C1782="Kantong Uang Riba",G1782="Pengeluaran"))),1,0)</f>
        <v/>
      </c>
      <c r="X1782" s="93">
        <f>IF(AND(B1782&lt;&gt;"",B1782&gt;='Buku Akun'!$H$4,B1782&lt;='Buku Akun'!$H$5,OR(C1782='Buku Akun'!$C$4,AND(D1782="Pindah",E1782='Buku Akun'!$C$4))),B1782+IF(AND(I1782="Selisih bunga",DAY(B1782)=1),0,0.01)+ROW()/10000000,"")</f>
        <v/>
      </c>
    </row>
    <row r="1783" outlineLevel="1" ht="15" customHeight="1" s="94">
      <c r="A1783" s="123">
        <f>IF(B1783="","",ROW()-15)</f>
        <v/>
      </c>
      <c r="B1783" s="124" t="n"/>
      <c r="C1783" s="123" t="n"/>
      <c r="D1783" s="123" t="n"/>
      <c r="E1783" s="123" t="n"/>
      <c r="F1783" s="125" t="n"/>
      <c r="G1783" s="123" t="n"/>
      <c r="H1783" s="123" t="n"/>
      <c r="I1783" s="123" t="n"/>
      <c r="J1783" s="123" t="n"/>
      <c r="K1783" s="123" t="n"/>
      <c r="L1783" s="123" t="n"/>
      <c r="M1783" s="123">
        <f>IF(AND(B1783&lt;&gt;"",OR($C$4="",ISNUMBER(SEARCH($C$4,C1783&amp;" "&amp;E1783&amp;" "&amp;G1783&amp;" "&amp;H1783&amp;" "&amp;I1783&amp;" "&amp;J1783&amp;" "&amp;K1783&amp;" "&amp;L1783))),OR($C$5="Semua",$C$5="",G1783=$C$5),OR($C$6="Semua",$C$6="",H1783=$C$6,H1783="Pengeluaran "&amp;$C$6,AND($C$6="Uang Kos Mama",H1783="Pengeluaran Uang Kos")),OR($C$7="Semua",$C$7="",I1783=$C$7),OR($C$8="Semua",$C$8="",C1783=$C$8,E1783=$C$8),OR($C$9="Semua",$C$9="",D1783=$C$9),OR($C$10="",B1783&gt;=$C$10),OR($C$11="",B1783&lt;=$C$11),OR($C$12&lt;&gt;"Ya",K1783&lt;&gt;""),OR($C$13="Semua",$C$13="",L1783=$C$13)),"✓","")</f>
        <v/>
      </c>
      <c r="N1783" s="93">
        <f>N(N1782)+IF(M1783="✓",1,0)</f>
        <v/>
      </c>
      <c r="O1783" s="93">
        <f>N(O1782)+IF(AND(B1783&lt;&gt;"",B1783&gt;='Uang Riba'!$H$30,B1783&lt;='Uang Riba'!$I$30,OR(H1783="Dana riba",H1783="Pinjam uang riba",I1783="Pinjam dari uang riba",I1783="Ganti uang riba",I1783="Kelebihan ganti dikembalikan",AND(C1783="Kantong Uang Riba",G1783="Pengeluaran"))),1,0)</f>
        <v/>
      </c>
      <c r="X1783" s="93">
        <f>IF(AND(B1783&lt;&gt;"",B1783&gt;='Buku Akun'!$H$4,B1783&lt;='Buku Akun'!$H$5,OR(C1783='Buku Akun'!$C$4,AND(D1783="Pindah",E1783='Buku Akun'!$C$4))),B1783+IF(AND(I1783="Selisih bunga",DAY(B1783)=1),0,0.01)+ROW()/10000000,"")</f>
        <v/>
      </c>
    </row>
    <row r="1784" outlineLevel="1" ht="15" customHeight="1" s="94">
      <c r="A1784" s="123">
        <f>IF(B1784="","",ROW()-15)</f>
        <v/>
      </c>
      <c r="B1784" s="124" t="n"/>
      <c r="C1784" s="123" t="n"/>
      <c r="D1784" s="123" t="n"/>
      <c r="E1784" s="123" t="n"/>
      <c r="F1784" s="125" t="n"/>
      <c r="G1784" s="123" t="n"/>
      <c r="H1784" s="123" t="n"/>
      <c r="I1784" s="123" t="n"/>
      <c r="J1784" s="123" t="n"/>
      <c r="K1784" s="123" t="n"/>
      <c r="L1784" s="123" t="n"/>
      <c r="M1784" s="123">
        <f>IF(AND(B1784&lt;&gt;"",OR($C$4="",ISNUMBER(SEARCH($C$4,C1784&amp;" "&amp;E1784&amp;" "&amp;G1784&amp;" "&amp;H1784&amp;" "&amp;I1784&amp;" "&amp;J1784&amp;" "&amp;K1784&amp;" "&amp;L1784))),OR($C$5="Semua",$C$5="",G1784=$C$5),OR($C$6="Semua",$C$6="",H1784=$C$6,H1784="Pengeluaran "&amp;$C$6,AND($C$6="Uang Kos Mama",H1784="Pengeluaran Uang Kos")),OR($C$7="Semua",$C$7="",I1784=$C$7),OR($C$8="Semua",$C$8="",C1784=$C$8,E1784=$C$8),OR($C$9="Semua",$C$9="",D1784=$C$9),OR($C$10="",B1784&gt;=$C$10),OR($C$11="",B1784&lt;=$C$11),OR($C$12&lt;&gt;"Ya",K1784&lt;&gt;""),OR($C$13="Semua",$C$13="",L1784=$C$13)),"✓","")</f>
        <v/>
      </c>
      <c r="N1784" s="93">
        <f>N(N1783)+IF(M1784="✓",1,0)</f>
        <v/>
      </c>
      <c r="O1784" s="93">
        <f>N(O1783)+IF(AND(B1784&lt;&gt;"",B1784&gt;='Uang Riba'!$H$30,B1784&lt;='Uang Riba'!$I$30,OR(H1784="Dana riba",H1784="Pinjam uang riba",I1784="Pinjam dari uang riba",I1784="Ganti uang riba",I1784="Kelebihan ganti dikembalikan",AND(C1784="Kantong Uang Riba",G1784="Pengeluaran"))),1,0)</f>
        <v/>
      </c>
      <c r="X1784" s="93">
        <f>IF(AND(B1784&lt;&gt;"",B1784&gt;='Buku Akun'!$H$4,B1784&lt;='Buku Akun'!$H$5,OR(C1784='Buku Akun'!$C$4,AND(D1784="Pindah",E1784='Buku Akun'!$C$4))),B1784+IF(AND(I1784="Selisih bunga",DAY(B1784)=1),0,0.01)+ROW()/10000000,"")</f>
        <v/>
      </c>
    </row>
    <row r="1785" outlineLevel="1" ht="15" customHeight="1" s="94">
      <c r="A1785" s="123">
        <f>IF(B1785="","",ROW()-15)</f>
        <v/>
      </c>
      <c r="B1785" s="124" t="n"/>
      <c r="C1785" s="123" t="n"/>
      <c r="D1785" s="123" t="n"/>
      <c r="E1785" s="123" t="n"/>
      <c r="F1785" s="125" t="n"/>
      <c r="G1785" s="123" t="n"/>
      <c r="H1785" s="123" t="n"/>
      <c r="I1785" s="123" t="n"/>
      <c r="J1785" s="123" t="n"/>
      <c r="K1785" s="123" t="n"/>
      <c r="L1785" s="123" t="n"/>
      <c r="M1785" s="123">
        <f>IF(AND(B1785&lt;&gt;"",OR($C$4="",ISNUMBER(SEARCH($C$4,C1785&amp;" "&amp;E1785&amp;" "&amp;G1785&amp;" "&amp;H1785&amp;" "&amp;I1785&amp;" "&amp;J1785&amp;" "&amp;K1785&amp;" "&amp;L1785))),OR($C$5="Semua",$C$5="",G1785=$C$5),OR($C$6="Semua",$C$6="",H1785=$C$6,H1785="Pengeluaran "&amp;$C$6,AND($C$6="Uang Kos Mama",H1785="Pengeluaran Uang Kos")),OR($C$7="Semua",$C$7="",I1785=$C$7),OR($C$8="Semua",$C$8="",C1785=$C$8,E1785=$C$8),OR($C$9="Semua",$C$9="",D1785=$C$9),OR($C$10="",B1785&gt;=$C$10),OR($C$11="",B1785&lt;=$C$11),OR($C$12&lt;&gt;"Ya",K1785&lt;&gt;""),OR($C$13="Semua",$C$13="",L1785=$C$13)),"✓","")</f>
        <v/>
      </c>
      <c r="N1785" s="93">
        <f>N(N1784)+IF(M1785="✓",1,0)</f>
        <v/>
      </c>
      <c r="O1785" s="93">
        <f>N(O1784)+IF(AND(B1785&lt;&gt;"",B1785&gt;='Uang Riba'!$H$30,B1785&lt;='Uang Riba'!$I$30,OR(H1785="Dana riba",H1785="Pinjam uang riba",I1785="Pinjam dari uang riba",I1785="Ganti uang riba",I1785="Kelebihan ganti dikembalikan",AND(C1785="Kantong Uang Riba",G1785="Pengeluaran"))),1,0)</f>
        <v/>
      </c>
      <c r="X1785" s="93">
        <f>IF(AND(B1785&lt;&gt;"",B1785&gt;='Buku Akun'!$H$4,B1785&lt;='Buku Akun'!$H$5,OR(C1785='Buku Akun'!$C$4,AND(D1785="Pindah",E1785='Buku Akun'!$C$4))),B1785+IF(AND(I1785="Selisih bunga",DAY(B1785)=1),0,0.01)+ROW()/10000000,"")</f>
        <v/>
      </c>
    </row>
    <row r="1786" outlineLevel="1" ht="15" customHeight="1" s="94">
      <c r="A1786" s="123">
        <f>IF(B1786="","",ROW()-15)</f>
        <v/>
      </c>
      <c r="B1786" s="124" t="n"/>
      <c r="C1786" s="123" t="n"/>
      <c r="D1786" s="123" t="n"/>
      <c r="E1786" s="123" t="n"/>
      <c r="F1786" s="125" t="n"/>
      <c r="G1786" s="123" t="n"/>
      <c r="H1786" s="123" t="n"/>
      <c r="I1786" s="123" t="n"/>
      <c r="J1786" s="123" t="n"/>
      <c r="K1786" s="123" t="n"/>
      <c r="L1786" s="123" t="n"/>
      <c r="M1786" s="123">
        <f>IF(AND(B1786&lt;&gt;"",OR($C$4="",ISNUMBER(SEARCH($C$4,C1786&amp;" "&amp;E1786&amp;" "&amp;G1786&amp;" "&amp;H1786&amp;" "&amp;I1786&amp;" "&amp;J1786&amp;" "&amp;K1786&amp;" "&amp;L1786))),OR($C$5="Semua",$C$5="",G1786=$C$5),OR($C$6="Semua",$C$6="",H1786=$C$6,H1786="Pengeluaran "&amp;$C$6,AND($C$6="Uang Kos Mama",H1786="Pengeluaran Uang Kos")),OR($C$7="Semua",$C$7="",I1786=$C$7),OR($C$8="Semua",$C$8="",C1786=$C$8,E1786=$C$8),OR($C$9="Semua",$C$9="",D1786=$C$9),OR($C$10="",B1786&gt;=$C$10),OR($C$11="",B1786&lt;=$C$11),OR($C$12&lt;&gt;"Ya",K1786&lt;&gt;""),OR($C$13="Semua",$C$13="",L1786=$C$13)),"✓","")</f>
        <v/>
      </c>
      <c r="N1786" s="93">
        <f>N(N1785)+IF(M1786="✓",1,0)</f>
        <v/>
      </c>
      <c r="O1786" s="93">
        <f>N(O1785)+IF(AND(B1786&lt;&gt;"",B1786&gt;='Uang Riba'!$H$30,B1786&lt;='Uang Riba'!$I$30,OR(H1786="Dana riba",H1786="Pinjam uang riba",I1786="Pinjam dari uang riba",I1786="Ganti uang riba",I1786="Kelebihan ganti dikembalikan",AND(C1786="Kantong Uang Riba",G1786="Pengeluaran"))),1,0)</f>
        <v/>
      </c>
      <c r="X1786" s="93">
        <f>IF(AND(B1786&lt;&gt;"",B1786&gt;='Buku Akun'!$H$4,B1786&lt;='Buku Akun'!$H$5,OR(C1786='Buku Akun'!$C$4,AND(D1786="Pindah",E1786='Buku Akun'!$C$4))),B1786+IF(AND(I1786="Selisih bunga",DAY(B1786)=1),0,0.01)+ROW()/10000000,"")</f>
        <v/>
      </c>
    </row>
    <row r="1787" outlineLevel="1" ht="15" customHeight="1" s="94">
      <c r="A1787" s="123">
        <f>IF(B1787="","",ROW()-15)</f>
        <v/>
      </c>
      <c r="B1787" s="124" t="n"/>
      <c r="C1787" s="123" t="n"/>
      <c r="D1787" s="123" t="n"/>
      <c r="E1787" s="123" t="n"/>
      <c r="F1787" s="125" t="n"/>
      <c r="G1787" s="123" t="n"/>
      <c r="H1787" s="123" t="n"/>
      <c r="I1787" s="123" t="n"/>
      <c r="J1787" s="123" t="n"/>
      <c r="K1787" s="123" t="n"/>
      <c r="L1787" s="123" t="n"/>
      <c r="M1787" s="123">
        <f>IF(AND(B1787&lt;&gt;"",OR($C$4="",ISNUMBER(SEARCH($C$4,C1787&amp;" "&amp;E1787&amp;" "&amp;G1787&amp;" "&amp;H1787&amp;" "&amp;I1787&amp;" "&amp;J1787&amp;" "&amp;K1787&amp;" "&amp;L1787))),OR($C$5="Semua",$C$5="",G1787=$C$5),OR($C$6="Semua",$C$6="",H1787=$C$6,H1787="Pengeluaran "&amp;$C$6,AND($C$6="Uang Kos Mama",H1787="Pengeluaran Uang Kos")),OR($C$7="Semua",$C$7="",I1787=$C$7),OR($C$8="Semua",$C$8="",C1787=$C$8,E1787=$C$8),OR($C$9="Semua",$C$9="",D1787=$C$9),OR($C$10="",B1787&gt;=$C$10),OR($C$11="",B1787&lt;=$C$11),OR($C$12&lt;&gt;"Ya",K1787&lt;&gt;""),OR($C$13="Semua",$C$13="",L1787=$C$13)),"✓","")</f>
        <v/>
      </c>
      <c r="N1787" s="93">
        <f>N(N1786)+IF(M1787="✓",1,0)</f>
        <v/>
      </c>
      <c r="O1787" s="93">
        <f>N(O1786)+IF(AND(B1787&lt;&gt;"",B1787&gt;='Uang Riba'!$H$30,B1787&lt;='Uang Riba'!$I$30,OR(H1787="Dana riba",H1787="Pinjam uang riba",I1787="Pinjam dari uang riba",I1787="Ganti uang riba",I1787="Kelebihan ganti dikembalikan",AND(C1787="Kantong Uang Riba",G1787="Pengeluaran"))),1,0)</f>
        <v/>
      </c>
      <c r="X1787" s="93">
        <f>IF(AND(B1787&lt;&gt;"",B1787&gt;='Buku Akun'!$H$4,B1787&lt;='Buku Akun'!$H$5,OR(C1787='Buku Akun'!$C$4,AND(D1787="Pindah",E1787='Buku Akun'!$C$4))),B1787+IF(AND(I1787="Selisih bunga",DAY(B1787)=1),0,0.01)+ROW()/10000000,"")</f>
        <v/>
      </c>
    </row>
    <row r="1788" outlineLevel="1" ht="15" customHeight="1" s="94">
      <c r="A1788" s="123">
        <f>IF(B1788="","",ROW()-15)</f>
        <v/>
      </c>
      <c r="B1788" s="124" t="n"/>
      <c r="C1788" s="123" t="n"/>
      <c r="D1788" s="123" t="n"/>
      <c r="E1788" s="123" t="n"/>
      <c r="F1788" s="125" t="n"/>
      <c r="G1788" s="123" t="n"/>
      <c r="H1788" s="123" t="n"/>
      <c r="I1788" s="123" t="n"/>
      <c r="J1788" s="123" t="n"/>
      <c r="K1788" s="123" t="n"/>
      <c r="L1788" s="123" t="n"/>
      <c r="M1788" s="123">
        <f>IF(AND(B1788&lt;&gt;"",OR($C$4="",ISNUMBER(SEARCH($C$4,C1788&amp;" "&amp;E1788&amp;" "&amp;G1788&amp;" "&amp;H1788&amp;" "&amp;I1788&amp;" "&amp;J1788&amp;" "&amp;K1788&amp;" "&amp;L1788))),OR($C$5="Semua",$C$5="",G1788=$C$5),OR($C$6="Semua",$C$6="",H1788=$C$6,H1788="Pengeluaran "&amp;$C$6,AND($C$6="Uang Kos Mama",H1788="Pengeluaran Uang Kos")),OR($C$7="Semua",$C$7="",I1788=$C$7),OR($C$8="Semua",$C$8="",C1788=$C$8,E1788=$C$8),OR($C$9="Semua",$C$9="",D1788=$C$9),OR($C$10="",B1788&gt;=$C$10),OR($C$11="",B1788&lt;=$C$11),OR($C$12&lt;&gt;"Ya",K1788&lt;&gt;""),OR($C$13="Semua",$C$13="",L1788=$C$13)),"✓","")</f>
        <v/>
      </c>
      <c r="N1788" s="93">
        <f>N(N1787)+IF(M1788="✓",1,0)</f>
        <v/>
      </c>
      <c r="O1788" s="93">
        <f>N(O1787)+IF(AND(B1788&lt;&gt;"",B1788&gt;='Uang Riba'!$H$30,B1788&lt;='Uang Riba'!$I$30,OR(H1788="Dana riba",H1788="Pinjam uang riba",I1788="Pinjam dari uang riba",I1788="Ganti uang riba",I1788="Kelebihan ganti dikembalikan",AND(C1788="Kantong Uang Riba",G1788="Pengeluaran"))),1,0)</f>
        <v/>
      </c>
      <c r="X1788" s="93">
        <f>IF(AND(B1788&lt;&gt;"",B1788&gt;='Buku Akun'!$H$4,B1788&lt;='Buku Akun'!$H$5,OR(C1788='Buku Akun'!$C$4,AND(D1788="Pindah",E1788='Buku Akun'!$C$4))),B1788+IF(AND(I1788="Selisih bunga",DAY(B1788)=1),0,0.01)+ROW()/10000000,"")</f>
        <v/>
      </c>
    </row>
    <row r="1789" outlineLevel="1" ht="15" customHeight="1" s="94">
      <c r="A1789" s="123">
        <f>IF(B1789="","",ROW()-15)</f>
        <v/>
      </c>
      <c r="B1789" s="124" t="n"/>
      <c r="C1789" s="123" t="n"/>
      <c r="D1789" s="123" t="n"/>
      <c r="E1789" s="123" t="n"/>
      <c r="F1789" s="125" t="n"/>
      <c r="G1789" s="123" t="n"/>
      <c r="H1789" s="123" t="n"/>
      <c r="I1789" s="123" t="n"/>
      <c r="J1789" s="123" t="n"/>
      <c r="K1789" s="123" t="n"/>
      <c r="L1789" s="123" t="n"/>
      <c r="M1789" s="123">
        <f>IF(AND(B1789&lt;&gt;"",OR($C$4="",ISNUMBER(SEARCH($C$4,C1789&amp;" "&amp;E1789&amp;" "&amp;G1789&amp;" "&amp;H1789&amp;" "&amp;I1789&amp;" "&amp;J1789&amp;" "&amp;K1789&amp;" "&amp;L1789))),OR($C$5="Semua",$C$5="",G1789=$C$5),OR($C$6="Semua",$C$6="",H1789=$C$6,H1789="Pengeluaran "&amp;$C$6,AND($C$6="Uang Kos Mama",H1789="Pengeluaran Uang Kos")),OR($C$7="Semua",$C$7="",I1789=$C$7),OR($C$8="Semua",$C$8="",C1789=$C$8,E1789=$C$8),OR($C$9="Semua",$C$9="",D1789=$C$9),OR($C$10="",B1789&gt;=$C$10),OR($C$11="",B1789&lt;=$C$11),OR($C$12&lt;&gt;"Ya",K1789&lt;&gt;""),OR($C$13="Semua",$C$13="",L1789=$C$13)),"✓","")</f>
        <v/>
      </c>
      <c r="N1789" s="93">
        <f>N(N1788)+IF(M1789="✓",1,0)</f>
        <v/>
      </c>
      <c r="O1789" s="93">
        <f>N(O1788)+IF(AND(B1789&lt;&gt;"",B1789&gt;='Uang Riba'!$H$30,B1789&lt;='Uang Riba'!$I$30,OR(H1789="Dana riba",H1789="Pinjam uang riba",I1789="Pinjam dari uang riba",I1789="Ganti uang riba",I1789="Kelebihan ganti dikembalikan",AND(C1789="Kantong Uang Riba",G1789="Pengeluaran"))),1,0)</f>
        <v/>
      </c>
      <c r="X1789" s="93">
        <f>IF(AND(B1789&lt;&gt;"",B1789&gt;='Buku Akun'!$H$4,B1789&lt;='Buku Akun'!$H$5,OR(C1789='Buku Akun'!$C$4,AND(D1789="Pindah",E1789='Buku Akun'!$C$4))),B1789+IF(AND(I1789="Selisih bunga",DAY(B1789)=1),0,0.01)+ROW()/10000000,"")</f>
        <v/>
      </c>
    </row>
    <row r="1790" outlineLevel="1" ht="15" customHeight="1" s="94">
      <c r="A1790" s="123">
        <f>IF(B1790="","",ROW()-15)</f>
        <v/>
      </c>
      <c r="B1790" s="124" t="n"/>
      <c r="C1790" s="123" t="n"/>
      <c r="D1790" s="123" t="n"/>
      <c r="E1790" s="123" t="n"/>
      <c r="F1790" s="125" t="n"/>
      <c r="G1790" s="123" t="n"/>
      <c r="H1790" s="123" t="n"/>
      <c r="I1790" s="123" t="n"/>
      <c r="J1790" s="123" t="n"/>
      <c r="K1790" s="123" t="n"/>
      <c r="L1790" s="123" t="n"/>
      <c r="M1790" s="123">
        <f>IF(AND(B1790&lt;&gt;"",OR($C$4="",ISNUMBER(SEARCH($C$4,C1790&amp;" "&amp;E1790&amp;" "&amp;G1790&amp;" "&amp;H1790&amp;" "&amp;I1790&amp;" "&amp;J1790&amp;" "&amp;K1790&amp;" "&amp;L1790))),OR($C$5="Semua",$C$5="",G1790=$C$5),OR($C$6="Semua",$C$6="",H1790=$C$6,H1790="Pengeluaran "&amp;$C$6,AND($C$6="Uang Kos Mama",H1790="Pengeluaran Uang Kos")),OR($C$7="Semua",$C$7="",I1790=$C$7),OR($C$8="Semua",$C$8="",C1790=$C$8,E1790=$C$8),OR($C$9="Semua",$C$9="",D1790=$C$9),OR($C$10="",B1790&gt;=$C$10),OR($C$11="",B1790&lt;=$C$11),OR($C$12&lt;&gt;"Ya",K1790&lt;&gt;""),OR($C$13="Semua",$C$13="",L1790=$C$13)),"✓","")</f>
        <v/>
      </c>
      <c r="N1790" s="93">
        <f>N(N1789)+IF(M1790="✓",1,0)</f>
        <v/>
      </c>
      <c r="O1790" s="93">
        <f>N(O1789)+IF(AND(B1790&lt;&gt;"",B1790&gt;='Uang Riba'!$H$30,B1790&lt;='Uang Riba'!$I$30,OR(H1790="Dana riba",H1790="Pinjam uang riba",I1790="Pinjam dari uang riba",I1790="Ganti uang riba",I1790="Kelebihan ganti dikembalikan",AND(C1790="Kantong Uang Riba",G1790="Pengeluaran"))),1,0)</f>
        <v/>
      </c>
      <c r="X1790" s="93">
        <f>IF(AND(B1790&lt;&gt;"",B1790&gt;='Buku Akun'!$H$4,B1790&lt;='Buku Akun'!$H$5,OR(C1790='Buku Akun'!$C$4,AND(D1790="Pindah",E1790='Buku Akun'!$C$4))),B1790+IF(AND(I1790="Selisih bunga",DAY(B1790)=1),0,0.01)+ROW()/10000000,"")</f>
        <v/>
      </c>
    </row>
    <row r="1791" outlineLevel="1" ht="15" customHeight="1" s="94">
      <c r="A1791" s="123">
        <f>IF(B1791="","",ROW()-15)</f>
        <v/>
      </c>
      <c r="B1791" s="124" t="n"/>
      <c r="C1791" s="123" t="n"/>
      <c r="D1791" s="123" t="n"/>
      <c r="E1791" s="123" t="n"/>
      <c r="F1791" s="125" t="n"/>
      <c r="G1791" s="123" t="n"/>
      <c r="H1791" s="123" t="n"/>
      <c r="I1791" s="123" t="n"/>
      <c r="J1791" s="123" t="n"/>
      <c r="K1791" s="123" t="n"/>
      <c r="L1791" s="123" t="n"/>
      <c r="M1791" s="123">
        <f>IF(AND(B1791&lt;&gt;"",OR($C$4="",ISNUMBER(SEARCH($C$4,C1791&amp;" "&amp;E1791&amp;" "&amp;G1791&amp;" "&amp;H1791&amp;" "&amp;I1791&amp;" "&amp;J1791&amp;" "&amp;K1791&amp;" "&amp;L1791))),OR($C$5="Semua",$C$5="",G1791=$C$5),OR($C$6="Semua",$C$6="",H1791=$C$6,H1791="Pengeluaran "&amp;$C$6,AND($C$6="Uang Kos Mama",H1791="Pengeluaran Uang Kos")),OR($C$7="Semua",$C$7="",I1791=$C$7),OR($C$8="Semua",$C$8="",C1791=$C$8,E1791=$C$8),OR($C$9="Semua",$C$9="",D1791=$C$9),OR($C$10="",B1791&gt;=$C$10),OR($C$11="",B1791&lt;=$C$11),OR($C$12&lt;&gt;"Ya",K1791&lt;&gt;""),OR($C$13="Semua",$C$13="",L1791=$C$13)),"✓","")</f>
        <v/>
      </c>
      <c r="N1791" s="93">
        <f>N(N1790)+IF(M1791="✓",1,0)</f>
        <v/>
      </c>
      <c r="O1791" s="93">
        <f>N(O1790)+IF(AND(B1791&lt;&gt;"",B1791&gt;='Uang Riba'!$H$30,B1791&lt;='Uang Riba'!$I$30,OR(H1791="Dana riba",H1791="Pinjam uang riba",I1791="Pinjam dari uang riba",I1791="Ganti uang riba",I1791="Kelebihan ganti dikembalikan",AND(C1791="Kantong Uang Riba",G1791="Pengeluaran"))),1,0)</f>
        <v/>
      </c>
      <c r="X1791" s="93">
        <f>IF(AND(B1791&lt;&gt;"",B1791&gt;='Buku Akun'!$H$4,B1791&lt;='Buku Akun'!$H$5,OR(C1791='Buku Akun'!$C$4,AND(D1791="Pindah",E1791='Buku Akun'!$C$4))),B1791+IF(AND(I1791="Selisih bunga",DAY(B1791)=1),0,0.01)+ROW()/10000000,"")</f>
        <v/>
      </c>
    </row>
    <row r="1792" outlineLevel="1" ht="15" customHeight="1" s="94">
      <c r="A1792" s="123">
        <f>IF(B1792="","",ROW()-15)</f>
        <v/>
      </c>
      <c r="B1792" s="124" t="n"/>
      <c r="C1792" s="123" t="n"/>
      <c r="D1792" s="123" t="n"/>
      <c r="E1792" s="123" t="n"/>
      <c r="F1792" s="125" t="n"/>
      <c r="G1792" s="123" t="n"/>
      <c r="H1792" s="123" t="n"/>
      <c r="I1792" s="123" t="n"/>
      <c r="J1792" s="123" t="n"/>
      <c r="K1792" s="123" t="n"/>
      <c r="L1792" s="123" t="n"/>
      <c r="M1792" s="123">
        <f>IF(AND(B1792&lt;&gt;"",OR($C$4="",ISNUMBER(SEARCH($C$4,C1792&amp;" "&amp;E1792&amp;" "&amp;G1792&amp;" "&amp;H1792&amp;" "&amp;I1792&amp;" "&amp;J1792&amp;" "&amp;K1792&amp;" "&amp;L1792))),OR($C$5="Semua",$C$5="",G1792=$C$5),OR($C$6="Semua",$C$6="",H1792=$C$6,H1792="Pengeluaran "&amp;$C$6,AND($C$6="Uang Kos Mama",H1792="Pengeluaran Uang Kos")),OR($C$7="Semua",$C$7="",I1792=$C$7),OR($C$8="Semua",$C$8="",C1792=$C$8,E1792=$C$8),OR($C$9="Semua",$C$9="",D1792=$C$9),OR($C$10="",B1792&gt;=$C$10),OR($C$11="",B1792&lt;=$C$11),OR($C$12&lt;&gt;"Ya",K1792&lt;&gt;""),OR($C$13="Semua",$C$13="",L1792=$C$13)),"✓","")</f>
        <v/>
      </c>
      <c r="N1792" s="93">
        <f>N(N1791)+IF(M1792="✓",1,0)</f>
        <v/>
      </c>
      <c r="O1792" s="93">
        <f>N(O1791)+IF(AND(B1792&lt;&gt;"",B1792&gt;='Uang Riba'!$H$30,B1792&lt;='Uang Riba'!$I$30,OR(H1792="Dana riba",H1792="Pinjam uang riba",I1792="Pinjam dari uang riba",I1792="Ganti uang riba",I1792="Kelebihan ganti dikembalikan",AND(C1792="Kantong Uang Riba",G1792="Pengeluaran"))),1,0)</f>
        <v/>
      </c>
      <c r="X1792" s="93">
        <f>IF(AND(B1792&lt;&gt;"",B1792&gt;='Buku Akun'!$H$4,B1792&lt;='Buku Akun'!$H$5,OR(C1792='Buku Akun'!$C$4,AND(D1792="Pindah",E1792='Buku Akun'!$C$4))),B1792+IF(AND(I1792="Selisih bunga",DAY(B1792)=1),0,0.01)+ROW()/10000000,"")</f>
        <v/>
      </c>
    </row>
    <row r="1793" outlineLevel="1" ht="15" customHeight="1" s="94">
      <c r="A1793" s="123">
        <f>IF(B1793="","",ROW()-15)</f>
        <v/>
      </c>
      <c r="B1793" s="124" t="n"/>
      <c r="C1793" s="123" t="n"/>
      <c r="D1793" s="123" t="n"/>
      <c r="E1793" s="123" t="n"/>
      <c r="F1793" s="125" t="n"/>
      <c r="G1793" s="123" t="n"/>
      <c r="H1793" s="123" t="n"/>
      <c r="I1793" s="123" t="n"/>
      <c r="J1793" s="123" t="n"/>
      <c r="K1793" s="123" t="n"/>
      <c r="L1793" s="123" t="n"/>
      <c r="M1793" s="123">
        <f>IF(AND(B1793&lt;&gt;"",OR($C$4="",ISNUMBER(SEARCH($C$4,C1793&amp;" "&amp;E1793&amp;" "&amp;G1793&amp;" "&amp;H1793&amp;" "&amp;I1793&amp;" "&amp;J1793&amp;" "&amp;K1793&amp;" "&amp;L1793))),OR($C$5="Semua",$C$5="",G1793=$C$5),OR($C$6="Semua",$C$6="",H1793=$C$6,H1793="Pengeluaran "&amp;$C$6,AND($C$6="Uang Kos Mama",H1793="Pengeluaran Uang Kos")),OR($C$7="Semua",$C$7="",I1793=$C$7),OR($C$8="Semua",$C$8="",C1793=$C$8,E1793=$C$8),OR($C$9="Semua",$C$9="",D1793=$C$9),OR($C$10="",B1793&gt;=$C$10),OR($C$11="",B1793&lt;=$C$11),OR($C$12&lt;&gt;"Ya",K1793&lt;&gt;""),OR($C$13="Semua",$C$13="",L1793=$C$13)),"✓","")</f>
        <v/>
      </c>
      <c r="N1793" s="93">
        <f>N(N1792)+IF(M1793="✓",1,0)</f>
        <v/>
      </c>
      <c r="O1793" s="93">
        <f>N(O1792)+IF(AND(B1793&lt;&gt;"",B1793&gt;='Uang Riba'!$H$30,B1793&lt;='Uang Riba'!$I$30,OR(H1793="Dana riba",H1793="Pinjam uang riba",I1793="Pinjam dari uang riba",I1793="Ganti uang riba",I1793="Kelebihan ganti dikembalikan",AND(C1793="Kantong Uang Riba",G1793="Pengeluaran"))),1,0)</f>
        <v/>
      </c>
      <c r="X1793" s="93">
        <f>IF(AND(B1793&lt;&gt;"",B1793&gt;='Buku Akun'!$H$4,B1793&lt;='Buku Akun'!$H$5,OR(C1793='Buku Akun'!$C$4,AND(D1793="Pindah",E1793='Buku Akun'!$C$4))),B1793+IF(AND(I1793="Selisih bunga",DAY(B1793)=1),0,0.01)+ROW()/10000000,"")</f>
        <v/>
      </c>
    </row>
    <row r="1794" outlineLevel="1" ht="15" customHeight="1" s="94">
      <c r="A1794" s="123">
        <f>IF(B1794="","",ROW()-15)</f>
        <v/>
      </c>
      <c r="B1794" s="124" t="n"/>
      <c r="C1794" s="123" t="n"/>
      <c r="D1794" s="123" t="n"/>
      <c r="E1794" s="123" t="n"/>
      <c r="F1794" s="125" t="n"/>
      <c r="G1794" s="123" t="n"/>
      <c r="H1794" s="123" t="n"/>
      <c r="I1794" s="123" t="n"/>
      <c r="J1794" s="123" t="n"/>
      <c r="K1794" s="123" t="n"/>
      <c r="L1794" s="123" t="n"/>
      <c r="M1794" s="123">
        <f>IF(AND(B1794&lt;&gt;"",OR($C$4="",ISNUMBER(SEARCH($C$4,C1794&amp;" "&amp;E1794&amp;" "&amp;G1794&amp;" "&amp;H1794&amp;" "&amp;I1794&amp;" "&amp;J1794&amp;" "&amp;K1794&amp;" "&amp;L1794))),OR($C$5="Semua",$C$5="",G1794=$C$5),OR($C$6="Semua",$C$6="",H1794=$C$6,H1794="Pengeluaran "&amp;$C$6,AND($C$6="Uang Kos Mama",H1794="Pengeluaran Uang Kos")),OR($C$7="Semua",$C$7="",I1794=$C$7),OR($C$8="Semua",$C$8="",C1794=$C$8,E1794=$C$8),OR($C$9="Semua",$C$9="",D1794=$C$9),OR($C$10="",B1794&gt;=$C$10),OR($C$11="",B1794&lt;=$C$11),OR($C$12&lt;&gt;"Ya",K1794&lt;&gt;""),OR($C$13="Semua",$C$13="",L1794=$C$13)),"✓","")</f>
        <v/>
      </c>
      <c r="N1794" s="93">
        <f>N(N1793)+IF(M1794="✓",1,0)</f>
        <v/>
      </c>
      <c r="O1794" s="93">
        <f>N(O1793)+IF(AND(B1794&lt;&gt;"",B1794&gt;='Uang Riba'!$H$30,B1794&lt;='Uang Riba'!$I$30,OR(H1794="Dana riba",H1794="Pinjam uang riba",I1794="Pinjam dari uang riba",I1794="Ganti uang riba",I1794="Kelebihan ganti dikembalikan",AND(C1794="Kantong Uang Riba",G1794="Pengeluaran"))),1,0)</f>
        <v/>
      </c>
      <c r="X1794" s="93">
        <f>IF(AND(B1794&lt;&gt;"",B1794&gt;='Buku Akun'!$H$4,B1794&lt;='Buku Akun'!$H$5,OR(C1794='Buku Akun'!$C$4,AND(D1794="Pindah",E1794='Buku Akun'!$C$4))),B1794+IF(AND(I1794="Selisih bunga",DAY(B1794)=1),0,0.01)+ROW()/10000000,"")</f>
        <v/>
      </c>
    </row>
    <row r="1795" outlineLevel="1" ht="15" customHeight="1" s="94">
      <c r="A1795" s="123">
        <f>IF(B1795="","",ROW()-15)</f>
        <v/>
      </c>
      <c r="B1795" s="124" t="n"/>
      <c r="C1795" s="123" t="n"/>
      <c r="D1795" s="123" t="n"/>
      <c r="E1795" s="123" t="n"/>
      <c r="F1795" s="125" t="n"/>
      <c r="G1795" s="123" t="n"/>
      <c r="H1795" s="123" t="n"/>
      <c r="I1795" s="123" t="n"/>
      <c r="J1795" s="123" t="n"/>
      <c r="K1795" s="123" t="n"/>
      <c r="L1795" s="123" t="n"/>
      <c r="M1795" s="123">
        <f>IF(AND(B1795&lt;&gt;"",OR($C$4="",ISNUMBER(SEARCH($C$4,C1795&amp;" "&amp;E1795&amp;" "&amp;G1795&amp;" "&amp;H1795&amp;" "&amp;I1795&amp;" "&amp;J1795&amp;" "&amp;K1795&amp;" "&amp;L1795))),OR($C$5="Semua",$C$5="",G1795=$C$5),OR($C$6="Semua",$C$6="",H1795=$C$6,H1795="Pengeluaran "&amp;$C$6,AND($C$6="Uang Kos Mama",H1795="Pengeluaran Uang Kos")),OR($C$7="Semua",$C$7="",I1795=$C$7),OR($C$8="Semua",$C$8="",C1795=$C$8,E1795=$C$8),OR($C$9="Semua",$C$9="",D1795=$C$9),OR($C$10="",B1795&gt;=$C$10),OR($C$11="",B1795&lt;=$C$11),OR($C$12&lt;&gt;"Ya",K1795&lt;&gt;""),OR($C$13="Semua",$C$13="",L1795=$C$13)),"✓","")</f>
        <v/>
      </c>
      <c r="N1795" s="93">
        <f>N(N1794)+IF(M1795="✓",1,0)</f>
        <v/>
      </c>
      <c r="O1795" s="93">
        <f>N(O1794)+IF(AND(B1795&lt;&gt;"",B1795&gt;='Uang Riba'!$H$30,B1795&lt;='Uang Riba'!$I$30,OR(H1795="Dana riba",H1795="Pinjam uang riba",I1795="Pinjam dari uang riba",I1795="Ganti uang riba",I1795="Kelebihan ganti dikembalikan",AND(C1795="Kantong Uang Riba",G1795="Pengeluaran"))),1,0)</f>
        <v/>
      </c>
      <c r="X1795" s="93">
        <f>IF(AND(B1795&lt;&gt;"",B1795&gt;='Buku Akun'!$H$4,B1795&lt;='Buku Akun'!$H$5,OR(C1795='Buku Akun'!$C$4,AND(D1795="Pindah",E1795='Buku Akun'!$C$4))),B1795+IF(AND(I1795="Selisih bunga",DAY(B1795)=1),0,0.01)+ROW()/10000000,"")</f>
        <v/>
      </c>
    </row>
    <row r="1796" outlineLevel="1" ht="15" customHeight="1" s="94">
      <c r="A1796" s="123">
        <f>IF(B1796="","",ROW()-15)</f>
        <v/>
      </c>
      <c r="B1796" s="124" t="n"/>
      <c r="C1796" s="123" t="n"/>
      <c r="D1796" s="123" t="n"/>
      <c r="E1796" s="123" t="n"/>
      <c r="F1796" s="125" t="n"/>
      <c r="G1796" s="123" t="n"/>
      <c r="H1796" s="123" t="n"/>
      <c r="I1796" s="123" t="n"/>
      <c r="J1796" s="123" t="n"/>
      <c r="K1796" s="123" t="n"/>
      <c r="L1796" s="123" t="n"/>
      <c r="M1796" s="123">
        <f>IF(AND(B1796&lt;&gt;"",OR($C$4="",ISNUMBER(SEARCH($C$4,C1796&amp;" "&amp;E1796&amp;" "&amp;G1796&amp;" "&amp;H1796&amp;" "&amp;I1796&amp;" "&amp;J1796&amp;" "&amp;K1796&amp;" "&amp;L1796))),OR($C$5="Semua",$C$5="",G1796=$C$5),OR($C$6="Semua",$C$6="",H1796=$C$6,H1796="Pengeluaran "&amp;$C$6,AND($C$6="Uang Kos Mama",H1796="Pengeluaran Uang Kos")),OR($C$7="Semua",$C$7="",I1796=$C$7),OR($C$8="Semua",$C$8="",C1796=$C$8,E1796=$C$8),OR($C$9="Semua",$C$9="",D1796=$C$9),OR($C$10="",B1796&gt;=$C$10),OR($C$11="",B1796&lt;=$C$11),OR($C$12&lt;&gt;"Ya",K1796&lt;&gt;""),OR($C$13="Semua",$C$13="",L1796=$C$13)),"✓","")</f>
        <v/>
      </c>
      <c r="N1796" s="93">
        <f>N(N1795)+IF(M1796="✓",1,0)</f>
        <v/>
      </c>
      <c r="O1796" s="93">
        <f>N(O1795)+IF(AND(B1796&lt;&gt;"",B1796&gt;='Uang Riba'!$H$30,B1796&lt;='Uang Riba'!$I$30,OR(H1796="Dana riba",H1796="Pinjam uang riba",I1796="Pinjam dari uang riba",I1796="Ganti uang riba",I1796="Kelebihan ganti dikembalikan",AND(C1796="Kantong Uang Riba",G1796="Pengeluaran"))),1,0)</f>
        <v/>
      </c>
      <c r="X1796" s="93">
        <f>IF(AND(B1796&lt;&gt;"",B1796&gt;='Buku Akun'!$H$4,B1796&lt;='Buku Akun'!$H$5,OR(C1796='Buku Akun'!$C$4,AND(D1796="Pindah",E1796='Buku Akun'!$C$4))),B1796+IF(AND(I1796="Selisih bunga",DAY(B1796)=1),0,0.01)+ROW()/10000000,"")</f>
        <v/>
      </c>
    </row>
    <row r="1797" outlineLevel="1" ht="15" customHeight="1" s="94">
      <c r="A1797" s="123">
        <f>IF(B1797="","",ROW()-15)</f>
        <v/>
      </c>
      <c r="B1797" s="124" t="n"/>
      <c r="C1797" s="123" t="n"/>
      <c r="D1797" s="123" t="n"/>
      <c r="E1797" s="123" t="n"/>
      <c r="F1797" s="125" t="n"/>
      <c r="G1797" s="123" t="n"/>
      <c r="H1797" s="123" t="n"/>
      <c r="I1797" s="123" t="n"/>
      <c r="J1797" s="123" t="n"/>
      <c r="K1797" s="123" t="n"/>
      <c r="L1797" s="123" t="n"/>
      <c r="M1797" s="123">
        <f>IF(AND(B1797&lt;&gt;"",OR($C$4="",ISNUMBER(SEARCH($C$4,C1797&amp;" "&amp;E1797&amp;" "&amp;G1797&amp;" "&amp;H1797&amp;" "&amp;I1797&amp;" "&amp;J1797&amp;" "&amp;K1797&amp;" "&amp;L1797))),OR($C$5="Semua",$C$5="",G1797=$C$5),OR($C$6="Semua",$C$6="",H1797=$C$6,H1797="Pengeluaran "&amp;$C$6,AND($C$6="Uang Kos Mama",H1797="Pengeluaran Uang Kos")),OR($C$7="Semua",$C$7="",I1797=$C$7),OR($C$8="Semua",$C$8="",C1797=$C$8,E1797=$C$8),OR($C$9="Semua",$C$9="",D1797=$C$9),OR($C$10="",B1797&gt;=$C$10),OR($C$11="",B1797&lt;=$C$11),OR($C$12&lt;&gt;"Ya",K1797&lt;&gt;""),OR($C$13="Semua",$C$13="",L1797=$C$13)),"✓","")</f>
        <v/>
      </c>
      <c r="N1797" s="93">
        <f>N(N1796)+IF(M1797="✓",1,0)</f>
        <v/>
      </c>
      <c r="O1797" s="93">
        <f>N(O1796)+IF(AND(B1797&lt;&gt;"",B1797&gt;='Uang Riba'!$H$30,B1797&lt;='Uang Riba'!$I$30,OR(H1797="Dana riba",H1797="Pinjam uang riba",I1797="Pinjam dari uang riba",I1797="Ganti uang riba",I1797="Kelebihan ganti dikembalikan",AND(C1797="Kantong Uang Riba",G1797="Pengeluaran"))),1,0)</f>
        <v/>
      </c>
      <c r="X1797" s="93">
        <f>IF(AND(B1797&lt;&gt;"",B1797&gt;='Buku Akun'!$H$4,B1797&lt;='Buku Akun'!$H$5,OR(C1797='Buku Akun'!$C$4,AND(D1797="Pindah",E1797='Buku Akun'!$C$4))),B1797+IF(AND(I1797="Selisih bunga",DAY(B1797)=1),0,0.01)+ROW()/10000000,"")</f>
        <v/>
      </c>
    </row>
    <row r="1798" outlineLevel="1" ht="15" customHeight="1" s="94">
      <c r="A1798" s="123">
        <f>IF(B1798="","",ROW()-15)</f>
        <v/>
      </c>
      <c r="B1798" s="124" t="n"/>
      <c r="C1798" s="123" t="n"/>
      <c r="D1798" s="123" t="n"/>
      <c r="E1798" s="123" t="n"/>
      <c r="F1798" s="125" t="n"/>
      <c r="G1798" s="123" t="n"/>
      <c r="H1798" s="123" t="n"/>
      <c r="I1798" s="123" t="n"/>
      <c r="J1798" s="123" t="n"/>
      <c r="K1798" s="123" t="n"/>
      <c r="L1798" s="123" t="n"/>
      <c r="M1798" s="123">
        <f>IF(AND(B1798&lt;&gt;"",OR($C$4="",ISNUMBER(SEARCH($C$4,C1798&amp;" "&amp;E1798&amp;" "&amp;G1798&amp;" "&amp;H1798&amp;" "&amp;I1798&amp;" "&amp;J1798&amp;" "&amp;K1798&amp;" "&amp;L1798))),OR($C$5="Semua",$C$5="",G1798=$C$5),OR($C$6="Semua",$C$6="",H1798=$C$6,H1798="Pengeluaran "&amp;$C$6,AND($C$6="Uang Kos Mama",H1798="Pengeluaran Uang Kos")),OR($C$7="Semua",$C$7="",I1798=$C$7),OR($C$8="Semua",$C$8="",C1798=$C$8,E1798=$C$8),OR($C$9="Semua",$C$9="",D1798=$C$9),OR($C$10="",B1798&gt;=$C$10),OR($C$11="",B1798&lt;=$C$11),OR($C$12&lt;&gt;"Ya",K1798&lt;&gt;""),OR($C$13="Semua",$C$13="",L1798=$C$13)),"✓","")</f>
        <v/>
      </c>
      <c r="N1798" s="93">
        <f>N(N1797)+IF(M1798="✓",1,0)</f>
        <v/>
      </c>
      <c r="O1798" s="93">
        <f>N(O1797)+IF(AND(B1798&lt;&gt;"",B1798&gt;='Uang Riba'!$H$30,B1798&lt;='Uang Riba'!$I$30,OR(H1798="Dana riba",H1798="Pinjam uang riba",I1798="Pinjam dari uang riba",I1798="Ganti uang riba",I1798="Kelebihan ganti dikembalikan",AND(C1798="Kantong Uang Riba",G1798="Pengeluaran"))),1,0)</f>
        <v/>
      </c>
      <c r="X1798" s="93">
        <f>IF(AND(B1798&lt;&gt;"",B1798&gt;='Buku Akun'!$H$4,B1798&lt;='Buku Akun'!$H$5,OR(C1798='Buku Akun'!$C$4,AND(D1798="Pindah",E1798='Buku Akun'!$C$4))),B1798+IF(AND(I1798="Selisih bunga",DAY(B1798)=1),0,0.01)+ROW()/10000000,"")</f>
        <v/>
      </c>
    </row>
    <row r="1799" outlineLevel="1" ht="15" customHeight="1" s="94">
      <c r="A1799" s="123">
        <f>IF(B1799="","",ROW()-15)</f>
        <v/>
      </c>
      <c r="B1799" s="124" t="n"/>
      <c r="C1799" s="123" t="n"/>
      <c r="D1799" s="123" t="n"/>
      <c r="E1799" s="123" t="n"/>
      <c r="F1799" s="125" t="n"/>
      <c r="G1799" s="123" t="n"/>
      <c r="H1799" s="123" t="n"/>
      <c r="I1799" s="123" t="n"/>
      <c r="J1799" s="123" t="n"/>
      <c r="K1799" s="123" t="n"/>
      <c r="L1799" s="123" t="n"/>
      <c r="M1799" s="123">
        <f>IF(AND(B1799&lt;&gt;"",OR($C$4="",ISNUMBER(SEARCH($C$4,C1799&amp;" "&amp;E1799&amp;" "&amp;G1799&amp;" "&amp;H1799&amp;" "&amp;I1799&amp;" "&amp;J1799&amp;" "&amp;K1799&amp;" "&amp;L1799))),OR($C$5="Semua",$C$5="",G1799=$C$5),OR($C$6="Semua",$C$6="",H1799=$C$6,H1799="Pengeluaran "&amp;$C$6,AND($C$6="Uang Kos Mama",H1799="Pengeluaran Uang Kos")),OR($C$7="Semua",$C$7="",I1799=$C$7),OR($C$8="Semua",$C$8="",C1799=$C$8,E1799=$C$8),OR($C$9="Semua",$C$9="",D1799=$C$9),OR($C$10="",B1799&gt;=$C$10),OR($C$11="",B1799&lt;=$C$11),OR($C$12&lt;&gt;"Ya",K1799&lt;&gt;""),OR($C$13="Semua",$C$13="",L1799=$C$13)),"✓","")</f>
        <v/>
      </c>
      <c r="N1799" s="93">
        <f>N(N1798)+IF(M1799="✓",1,0)</f>
        <v/>
      </c>
      <c r="O1799" s="93">
        <f>N(O1798)+IF(AND(B1799&lt;&gt;"",B1799&gt;='Uang Riba'!$H$30,B1799&lt;='Uang Riba'!$I$30,OR(H1799="Dana riba",H1799="Pinjam uang riba",I1799="Pinjam dari uang riba",I1799="Ganti uang riba",I1799="Kelebihan ganti dikembalikan",AND(C1799="Kantong Uang Riba",G1799="Pengeluaran"))),1,0)</f>
        <v/>
      </c>
      <c r="X1799" s="93">
        <f>IF(AND(B1799&lt;&gt;"",B1799&gt;='Buku Akun'!$H$4,B1799&lt;='Buku Akun'!$H$5,OR(C1799='Buku Akun'!$C$4,AND(D1799="Pindah",E1799='Buku Akun'!$C$4))),B1799+IF(AND(I1799="Selisih bunga",DAY(B1799)=1),0,0.01)+ROW()/10000000,"")</f>
        <v/>
      </c>
    </row>
    <row r="1800" outlineLevel="1" ht="15" customHeight="1" s="94">
      <c r="A1800" s="123">
        <f>IF(B1800="","",ROW()-15)</f>
        <v/>
      </c>
      <c r="B1800" s="124" t="n"/>
      <c r="C1800" s="123" t="n"/>
      <c r="D1800" s="123" t="n"/>
      <c r="E1800" s="123" t="n"/>
      <c r="F1800" s="125" t="n"/>
      <c r="G1800" s="123" t="n"/>
      <c r="H1800" s="123" t="n"/>
      <c r="I1800" s="123" t="n"/>
      <c r="J1800" s="123" t="n"/>
      <c r="K1800" s="123" t="n"/>
      <c r="L1800" s="123" t="n"/>
      <c r="M1800" s="123">
        <f>IF(AND(B1800&lt;&gt;"",OR($C$4="",ISNUMBER(SEARCH($C$4,C1800&amp;" "&amp;E1800&amp;" "&amp;G1800&amp;" "&amp;H1800&amp;" "&amp;I1800&amp;" "&amp;J1800&amp;" "&amp;K1800&amp;" "&amp;L1800))),OR($C$5="Semua",$C$5="",G1800=$C$5),OR($C$6="Semua",$C$6="",H1800=$C$6,H1800="Pengeluaran "&amp;$C$6,AND($C$6="Uang Kos Mama",H1800="Pengeluaran Uang Kos")),OR($C$7="Semua",$C$7="",I1800=$C$7),OR($C$8="Semua",$C$8="",C1800=$C$8,E1800=$C$8),OR($C$9="Semua",$C$9="",D1800=$C$9),OR($C$10="",B1800&gt;=$C$10),OR($C$11="",B1800&lt;=$C$11),OR($C$12&lt;&gt;"Ya",K1800&lt;&gt;""),OR($C$13="Semua",$C$13="",L1800=$C$13)),"✓","")</f>
        <v/>
      </c>
      <c r="N1800" s="93">
        <f>N(N1799)+IF(M1800="✓",1,0)</f>
        <v/>
      </c>
      <c r="O1800" s="93">
        <f>N(O1799)+IF(AND(B1800&lt;&gt;"",B1800&gt;='Uang Riba'!$H$30,B1800&lt;='Uang Riba'!$I$30,OR(H1800="Dana riba",H1800="Pinjam uang riba",I1800="Pinjam dari uang riba",I1800="Ganti uang riba",I1800="Kelebihan ganti dikembalikan",AND(C1800="Kantong Uang Riba",G1800="Pengeluaran"))),1,0)</f>
        <v/>
      </c>
      <c r="X1800" s="93">
        <f>IF(AND(B1800&lt;&gt;"",B1800&gt;='Buku Akun'!$H$4,B1800&lt;='Buku Akun'!$H$5,OR(C1800='Buku Akun'!$C$4,AND(D1800="Pindah",E1800='Buku Akun'!$C$4))),B1800+IF(AND(I1800="Selisih bunga",DAY(B1800)=1),0,0.01)+ROW()/10000000,"")</f>
        <v/>
      </c>
    </row>
    <row r="1801" outlineLevel="1" ht="15" customHeight="1" s="94">
      <c r="A1801" s="123">
        <f>IF(B1801="","",ROW()-15)</f>
        <v/>
      </c>
      <c r="B1801" s="124" t="n"/>
      <c r="C1801" s="123" t="n"/>
      <c r="D1801" s="123" t="n"/>
      <c r="E1801" s="123" t="n"/>
      <c r="F1801" s="125" t="n"/>
      <c r="G1801" s="123" t="n"/>
      <c r="H1801" s="123" t="n"/>
      <c r="I1801" s="123" t="n"/>
      <c r="J1801" s="123" t="n"/>
      <c r="K1801" s="123" t="n"/>
      <c r="L1801" s="123" t="n"/>
      <c r="M1801" s="123">
        <f>IF(AND(B1801&lt;&gt;"",OR($C$4="",ISNUMBER(SEARCH($C$4,C1801&amp;" "&amp;E1801&amp;" "&amp;G1801&amp;" "&amp;H1801&amp;" "&amp;I1801&amp;" "&amp;J1801&amp;" "&amp;K1801&amp;" "&amp;L1801))),OR($C$5="Semua",$C$5="",G1801=$C$5),OR($C$6="Semua",$C$6="",H1801=$C$6,H1801="Pengeluaran "&amp;$C$6,AND($C$6="Uang Kos Mama",H1801="Pengeluaran Uang Kos")),OR($C$7="Semua",$C$7="",I1801=$C$7),OR($C$8="Semua",$C$8="",C1801=$C$8,E1801=$C$8),OR($C$9="Semua",$C$9="",D1801=$C$9),OR($C$10="",B1801&gt;=$C$10),OR($C$11="",B1801&lt;=$C$11),OR($C$12&lt;&gt;"Ya",K1801&lt;&gt;""),OR($C$13="Semua",$C$13="",L1801=$C$13)),"✓","")</f>
        <v/>
      </c>
      <c r="N1801" s="93">
        <f>N(N1800)+IF(M1801="✓",1,0)</f>
        <v/>
      </c>
      <c r="O1801" s="93">
        <f>N(O1800)+IF(AND(B1801&lt;&gt;"",B1801&gt;='Uang Riba'!$H$30,B1801&lt;='Uang Riba'!$I$30,OR(H1801="Dana riba",H1801="Pinjam uang riba",I1801="Pinjam dari uang riba",I1801="Ganti uang riba",I1801="Kelebihan ganti dikembalikan",AND(C1801="Kantong Uang Riba",G1801="Pengeluaran"))),1,0)</f>
        <v/>
      </c>
      <c r="X1801" s="93">
        <f>IF(AND(B1801&lt;&gt;"",B1801&gt;='Buku Akun'!$H$4,B1801&lt;='Buku Akun'!$H$5,OR(C1801='Buku Akun'!$C$4,AND(D1801="Pindah",E1801='Buku Akun'!$C$4))),B1801+IF(AND(I1801="Selisih bunga",DAY(B1801)=1),0,0.01)+ROW()/10000000,"")</f>
        <v/>
      </c>
    </row>
    <row r="1802" outlineLevel="1" ht="15" customHeight="1" s="94">
      <c r="A1802" s="123">
        <f>IF(B1802="","",ROW()-15)</f>
        <v/>
      </c>
      <c r="B1802" s="124" t="n"/>
      <c r="C1802" s="123" t="n"/>
      <c r="D1802" s="123" t="n"/>
      <c r="E1802" s="123" t="n"/>
      <c r="F1802" s="125" t="n"/>
      <c r="G1802" s="123" t="n"/>
      <c r="H1802" s="123" t="n"/>
      <c r="I1802" s="123" t="n"/>
      <c r="J1802" s="123" t="n"/>
      <c r="K1802" s="123" t="n"/>
      <c r="L1802" s="123" t="n"/>
      <c r="M1802" s="123">
        <f>IF(AND(B1802&lt;&gt;"",OR($C$4="",ISNUMBER(SEARCH($C$4,C1802&amp;" "&amp;E1802&amp;" "&amp;G1802&amp;" "&amp;H1802&amp;" "&amp;I1802&amp;" "&amp;J1802&amp;" "&amp;K1802&amp;" "&amp;L1802))),OR($C$5="Semua",$C$5="",G1802=$C$5),OR($C$6="Semua",$C$6="",H1802=$C$6,H1802="Pengeluaran "&amp;$C$6,AND($C$6="Uang Kos Mama",H1802="Pengeluaran Uang Kos")),OR($C$7="Semua",$C$7="",I1802=$C$7),OR($C$8="Semua",$C$8="",C1802=$C$8,E1802=$C$8),OR($C$9="Semua",$C$9="",D1802=$C$9),OR($C$10="",B1802&gt;=$C$10),OR($C$11="",B1802&lt;=$C$11),OR($C$12&lt;&gt;"Ya",K1802&lt;&gt;""),OR($C$13="Semua",$C$13="",L1802=$C$13)),"✓","")</f>
        <v/>
      </c>
      <c r="N1802" s="93">
        <f>N(N1801)+IF(M1802="✓",1,0)</f>
        <v/>
      </c>
      <c r="O1802" s="93">
        <f>N(O1801)+IF(AND(B1802&lt;&gt;"",B1802&gt;='Uang Riba'!$H$30,B1802&lt;='Uang Riba'!$I$30,OR(H1802="Dana riba",H1802="Pinjam uang riba",I1802="Pinjam dari uang riba",I1802="Ganti uang riba",I1802="Kelebihan ganti dikembalikan",AND(C1802="Kantong Uang Riba",G1802="Pengeluaran"))),1,0)</f>
        <v/>
      </c>
      <c r="X1802" s="93">
        <f>IF(AND(B1802&lt;&gt;"",B1802&gt;='Buku Akun'!$H$4,B1802&lt;='Buku Akun'!$H$5,OR(C1802='Buku Akun'!$C$4,AND(D1802="Pindah",E1802='Buku Akun'!$C$4))),B1802+IF(AND(I1802="Selisih bunga",DAY(B1802)=1),0,0.01)+ROW()/10000000,"")</f>
        <v/>
      </c>
    </row>
    <row r="1803" outlineLevel="1" ht="15" customHeight="1" s="94">
      <c r="A1803" s="123">
        <f>IF(B1803="","",ROW()-15)</f>
        <v/>
      </c>
      <c r="B1803" s="124" t="n"/>
      <c r="C1803" s="123" t="n"/>
      <c r="D1803" s="123" t="n"/>
      <c r="E1803" s="123" t="n"/>
      <c r="F1803" s="125" t="n"/>
      <c r="G1803" s="123" t="n"/>
      <c r="H1803" s="123" t="n"/>
      <c r="I1803" s="123" t="n"/>
      <c r="J1803" s="123" t="n"/>
      <c r="K1803" s="123" t="n"/>
      <c r="L1803" s="123" t="n"/>
      <c r="M1803" s="123">
        <f>IF(AND(B1803&lt;&gt;"",OR($C$4="",ISNUMBER(SEARCH($C$4,C1803&amp;" "&amp;E1803&amp;" "&amp;G1803&amp;" "&amp;H1803&amp;" "&amp;I1803&amp;" "&amp;J1803&amp;" "&amp;K1803&amp;" "&amp;L1803))),OR($C$5="Semua",$C$5="",G1803=$C$5),OR($C$6="Semua",$C$6="",H1803=$C$6,H1803="Pengeluaran "&amp;$C$6,AND($C$6="Uang Kos Mama",H1803="Pengeluaran Uang Kos")),OR($C$7="Semua",$C$7="",I1803=$C$7),OR($C$8="Semua",$C$8="",C1803=$C$8,E1803=$C$8),OR($C$9="Semua",$C$9="",D1803=$C$9),OR($C$10="",B1803&gt;=$C$10),OR($C$11="",B1803&lt;=$C$11),OR($C$12&lt;&gt;"Ya",K1803&lt;&gt;""),OR($C$13="Semua",$C$13="",L1803=$C$13)),"✓","")</f>
        <v/>
      </c>
      <c r="N1803" s="93">
        <f>N(N1802)+IF(M1803="✓",1,0)</f>
        <v/>
      </c>
      <c r="O1803" s="93">
        <f>N(O1802)+IF(AND(B1803&lt;&gt;"",B1803&gt;='Uang Riba'!$H$30,B1803&lt;='Uang Riba'!$I$30,OR(H1803="Dana riba",H1803="Pinjam uang riba",I1803="Pinjam dari uang riba",I1803="Ganti uang riba",I1803="Kelebihan ganti dikembalikan",AND(C1803="Kantong Uang Riba",G1803="Pengeluaran"))),1,0)</f>
        <v/>
      </c>
      <c r="X1803" s="93">
        <f>IF(AND(B1803&lt;&gt;"",B1803&gt;='Buku Akun'!$H$4,B1803&lt;='Buku Akun'!$H$5,OR(C1803='Buku Akun'!$C$4,AND(D1803="Pindah",E1803='Buku Akun'!$C$4))),B1803+IF(AND(I1803="Selisih bunga",DAY(B1803)=1),0,0.01)+ROW()/10000000,"")</f>
        <v/>
      </c>
    </row>
    <row r="1804" outlineLevel="1" ht="15" customHeight="1" s="94">
      <c r="A1804" s="123">
        <f>IF(B1804="","",ROW()-15)</f>
        <v/>
      </c>
      <c r="B1804" s="124" t="n"/>
      <c r="C1804" s="123" t="n"/>
      <c r="D1804" s="123" t="n"/>
      <c r="E1804" s="123" t="n"/>
      <c r="F1804" s="125" t="n"/>
      <c r="G1804" s="123" t="n"/>
      <c r="H1804" s="123" t="n"/>
      <c r="I1804" s="123" t="n"/>
      <c r="J1804" s="123" t="n"/>
      <c r="K1804" s="123" t="n"/>
      <c r="L1804" s="123" t="n"/>
      <c r="M1804" s="123">
        <f>IF(AND(B1804&lt;&gt;"",OR($C$4="",ISNUMBER(SEARCH($C$4,C1804&amp;" "&amp;E1804&amp;" "&amp;G1804&amp;" "&amp;H1804&amp;" "&amp;I1804&amp;" "&amp;J1804&amp;" "&amp;K1804&amp;" "&amp;L1804))),OR($C$5="Semua",$C$5="",G1804=$C$5),OR($C$6="Semua",$C$6="",H1804=$C$6,H1804="Pengeluaran "&amp;$C$6,AND($C$6="Uang Kos Mama",H1804="Pengeluaran Uang Kos")),OR($C$7="Semua",$C$7="",I1804=$C$7),OR($C$8="Semua",$C$8="",C1804=$C$8,E1804=$C$8),OR($C$9="Semua",$C$9="",D1804=$C$9),OR($C$10="",B1804&gt;=$C$10),OR($C$11="",B1804&lt;=$C$11),OR($C$12&lt;&gt;"Ya",K1804&lt;&gt;""),OR($C$13="Semua",$C$13="",L1804=$C$13)),"✓","")</f>
        <v/>
      </c>
      <c r="N1804" s="93">
        <f>N(N1803)+IF(M1804="✓",1,0)</f>
        <v/>
      </c>
      <c r="O1804" s="93">
        <f>N(O1803)+IF(AND(B1804&lt;&gt;"",B1804&gt;='Uang Riba'!$H$30,B1804&lt;='Uang Riba'!$I$30,OR(H1804="Dana riba",H1804="Pinjam uang riba",I1804="Pinjam dari uang riba",I1804="Ganti uang riba",I1804="Kelebihan ganti dikembalikan",AND(C1804="Kantong Uang Riba",G1804="Pengeluaran"))),1,0)</f>
        <v/>
      </c>
      <c r="X1804" s="93">
        <f>IF(AND(B1804&lt;&gt;"",B1804&gt;='Buku Akun'!$H$4,B1804&lt;='Buku Akun'!$H$5,OR(C1804='Buku Akun'!$C$4,AND(D1804="Pindah",E1804='Buku Akun'!$C$4))),B1804+IF(AND(I1804="Selisih bunga",DAY(B1804)=1),0,0.01)+ROW()/10000000,"")</f>
        <v/>
      </c>
    </row>
    <row r="1805" outlineLevel="1" ht="15" customHeight="1" s="94">
      <c r="A1805" s="123">
        <f>IF(B1805="","",ROW()-15)</f>
        <v/>
      </c>
      <c r="B1805" s="124" t="n"/>
      <c r="C1805" s="123" t="n"/>
      <c r="D1805" s="123" t="n"/>
      <c r="E1805" s="123" t="n"/>
      <c r="F1805" s="125" t="n"/>
      <c r="G1805" s="123" t="n"/>
      <c r="H1805" s="123" t="n"/>
      <c r="I1805" s="123" t="n"/>
      <c r="J1805" s="123" t="n"/>
      <c r="K1805" s="123" t="n"/>
      <c r="L1805" s="123" t="n"/>
      <c r="M1805" s="123">
        <f>IF(AND(B1805&lt;&gt;"",OR($C$4="",ISNUMBER(SEARCH($C$4,C1805&amp;" "&amp;E1805&amp;" "&amp;G1805&amp;" "&amp;H1805&amp;" "&amp;I1805&amp;" "&amp;J1805&amp;" "&amp;K1805&amp;" "&amp;L1805))),OR($C$5="Semua",$C$5="",G1805=$C$5),OR($C$6="Semua",$C$6="",H1805=$C$6,H1805="Pengeluaran "&amp;$C$6,AND($C$6="Uang Kos Mama",H1805="Pengeluaran Uang Kos")),OR($C$7="Semua",$C$7="",I1805=$C$7),OR($C$8="Semua",$C$8="",C1805=$C$8,E1805=$C$8),OR($C$9="Semua",$C$9="",D1805=$C$9),OR($C$10="",B1805&gt;=$C$10),OR($C$11="",B1805&lt;=$C$11),OR($C$12&lt;&gt;"Ya",K1805&lt;&gt;""),OR($C$13="Semua",$C$13="",L1805=$C$13)),"✓","")</f>
        <v/>
      </c>
      <c r="N1805" s="93">
        <f>N(N1804)+IF(M1805="✓",1,0)</f>
        <v/>
      </c>
      <c r="O1805" s="93">
        <f>N(O1804)+IF(AND(B1805&lt;&gt;"",B1805&gt;='Uang Riba'!$H$30,B1805&lt;='Uang Riba'!$I$30,OR(H1805="Dana riba",H1805="Pinjam uang riba",I1805="Pinjam dari uang riba",I1805="Ganti uang riba",I1805="Kelebihan ganti dikembalikan",AND(C1805="Kantong Uang Riba",G1805="Pengeluaran"))),1,0)</f>
        <v/>
      </c>
      <c r="X1805" s="93">
        <f>IF(AND(B1805&lt;&gt;"",B1805&gt;='Buku Akun'!$H$4,B1805&lt;='Buku Akun'!$H$5,OR(C1805='Buku Akun'!$C$4,AND(D1805="Pindah",E1805='Buku Akun'!$C$4))),B1805+IF(AND(I1805="Selisih bunga",DAY(B1805)=1),0,0.01)+ROW()/10000000,"")</f>
        <v/>
      </c>
    </row>
    <row r="1806" outlineLevel="1" ht="15" customHeight="1" s="94">
      <c r="A1806" s="123">
        <f>IF(B1806="","",ROW()-15)</f>
        <v/>
      </c>
      <c r="B1806" s="124" t="n"/>
      <c r="C1806" s="123" t="n"/>
      <c r="D1806" s="123" t="n"/>
      <c r="E1806" s="123" t="n"/>
      <c r="F1806" s="125" t="n"/>
      <c r="G1806" s="123" t="n"/>
      <c r="H1806" s="123" t="n"/>
      <c r="I1806" s="123" t="n"/>
      <c r="J1806" s="123" t="n"/>
      <c r="K1806" s="123" t="n"/>
      <c r="L1806" s="123" t="n"/>
      <c r="M1806" s="123">
        <f>IF(AND(B1806&lt;&gt;"",OR($C$4="",ISNUMBER(SEARCH($C$4,C1806&amp;" "&amp;E1806&amp;" "&amp;G1806&amp;" "&amp;H1806&amp;" "&amp;I1806&amp;" "&amp;J1806&amp;" "&amp;K1806&amp;" "&amp;L1806))),OR($C$5="Semua",$C$5="",G1806=$C$5),OR($C$6="Semua",$C$6="",H1806=$C$6,H1806="Pengeluaran "&amp;$C$6,AND($C$6="Uang Kos Mama",H1806="Pengeluaran Uang Kos")),OR($C$7="Semua",$C$7="",I1806=$C$7),OR($C$8="Semua",$C$8="",C1806=$C$8,E1806=$C$8),OR($C$9="Semua",$C$9="",D1806=$C$9),OR($C$10="",B1806&gt;=$C$10),OR($C$11="",B1806&lt;=$C$11),OR($C$12&lt;&gt;"Ya",K1806&lt;&gt;""),OR($C$13="Semua",$C$13="",L1806=$C$13)),"✓","")</f>
        <v/>
      </c>
      <c r="N1806" s="93">
        <f>N(N1805)+IF(M1806="✓",1,0)</f>
        <v/>
      </c>
      <c r="O1806" s="93">
        <f>N(O1805)+IF(AND(B1806&lt;&gt;"",B1806&gt;='Uang Riba'!$H$30,B1806&lt;='Uang Riba'!$I$30,OR(H1806="Dana riba",H1806="Pinjam uang riba",I1806="Pinjam dari uang riba",I1806="Ganti uang riba",I1806="Kelebihan ganti dikembalikan",AND(C1806="Kantong Uang Riba",G1806="Pengeluaran"))),1,0)</f>
        <v/>
      </c>
      <c r="X1806" s="93">
        <f>IF(AND(B1806&lt;&gt;"",B1806&gt;='Buku Akun'!$H$4,B1806&lt;='Buku Akun'!$H$5,OR(C1806='Buku Akun'!$C$4,AND(D1806="Pindah",E1806='Buku Akun'!$C$4))),B1806+IF(AND(I1806="Selisih bunga",DAY(B1806)=1),0,0.01)+ROW()/10000000,"")</f>
        <v/>
      </c>
    </row>
    <row r="1807" outlineLevel="1" ht="15" customHeight="1" s="94">
      <c r="A1807" s="123">
        <f>IF(B1807="","",ROW()-15)</f>
        <v/>
      </c>
      <c r="B1807" s="124" t="n"/>
      <c r="C1807" s="123" t="n"/>
      <c r="D1807" s="123" t="n"/>
      <c r="E1807" s="123" t="n"/>
      <c r="F1807" s="125" t="n"/>
      <c r="G1807" s="123" t="n"/>
      <c r="H1807" s="123" t="n"/>
      <c r="I1807" s="123" t="n"/>
      <c r="J1807" s="123" t="n"/>
      <c r="K1807" s="123" t="n"/>
      <c r="L1807" s="123" t="n"/>
      <c r="M1807" s="123">
        <f>IF(AND(B1807&lt;&gt;"",OR($C$4="",ISNUMBER(SEARCH($C$4,C1807&amp;" "&amp;E1807&amp;" "&amp;G1807&amp;" "&amp;H1807&amp;" "&amp;I1807&amp;" "&amp;J1807&amp;" "&amp;K1807&amp;" "&amp;L1807))),OR($C$5="Semua",$C$5="",G1807=$C$5),OR($C$6="Semua",$C$6="",H1807=$C$6,H1807="Pengeluaran "&amp;$C$6,AND($C$6="Uang Kos Mama",H1807="Pengeluaran Uang Kos")),OR($C$7="Semua",$C$7="",I1807=$C$7),OR($C$8="Semua",$C$8="",C1807=$C$8,E1807=$C$8),OR($C$9="Semua",$C$9="",D1807=$C$9),OR($C$10="",B1807&gt;=$C$10),OR($C$11="",B1807&lt;=$C$11),OR($C$12&lt;&gt;"Ya",K1807&lt;&gt;""),OR($C$13="Semua",$C$13="",L1807=$C$13)),"✓","")</f>
        <v/>
      </c>
      <c r="N1807" s="93">
        <f>N(N1806)+IF(M1807="✓",1,0)</f>
        <v/>
      </c>
      <c r="O1807" s="93">
        <f>N(O1806)+IF(AND(B1807&lt;&gt;"",B1807&gt;='Uang Riba'!$H$30,B1807&lt;='Uang Riba'!$I$30,OR(H1807="Dana riba",H1807="Pinjam uang riba",I1807="Pinjam dari uang riba",I1807="Ganti uang riba",I1807="Kelebihan ganti dikembalikan",AND(C1807="Kantong Uang Riba",G1807="Pengeluaran"))),1,0)</f>
        <v/>
      </c>
      <c r="X1807" s="93">
        <f>IF(AND(B1807&lt;&gt;"",B1807&gt;='Buku Akun'!$H$4,B1807&lt;='Buku Akun'!$H$5,OR(C1807='Buku Akun'!$C$4,AND(D1807="Pindah",E1807='Buku Akun'!$C$4))),B1807+IF(AND(I1807="Selisih bunga",DAY(B1807)=1),0,0.01)+ROW()/10000000,"")</f>
        <v/>
      </c>
    </row>
    <row r="1808" outlineLevel="1" ht="15" customHeight="1" s="94">
      <c r="A1808" s="123">
        <f>IF(B1808="","",ROW()-15)</f>
        <v/>
      </c>
      <c r="B1808" s="124" t="n"/>
      <c r="C1808" s="123" t="n"/>
      <c r="D1808" s="123" t="n"/>
      <c r="E1808" s="123" t="n"/>
      <c r="F1808" s="125" t="n"/>
      <c r="G1808" s="123" t="n"/>
      <c r="H1808" s="123" t="n"/>
      <c r="I1808" s="123" t="n"/>
      <c r="J1808" s="123" t="n"/>
      <c r="K1808" s="123" t="n"/>
      <c r="L1808" s="123" t="n"/>
      <c r="M1808" s="123">
        <f>IF(AND(B1808&lt;&gt;"",OR($C$4="",ISNUMBER(SEARCH($C$4,C1808&amp;" "&amp;E1808&amp;" "&amp;G1808&amp;" "&amp;H1808&amp;" "&amp;I1808&amp;" "&amp;J1808&amp;" "&amp;K1808&amp;" "&amp;L1808))),OR($C$5="Semua",$C$5="",G1808=$C$5),OR($C$6="Semua",$C$6="",H1808=$C$6,H1808="Pengeluaran "&amp;$C$6,AND($C$6="Uang Kos Mama",H1808="Pengeluaran Uang Kos")),OR($C$7="Semua",$C$7="",I1808=$C$7),OR($C$8="Semua",$C$8="",C1808=$C$8,E1808=$C$8),OR($C$9="Semua",$C$9="",D1808=$C$9),OR($C$10="",B1808&gt;=$C$10),OR($C$11="",B1808&lt;=$C$11),OR($C$12&lt;&gt;"Ya",K1808&lt;&gt;""),OR($C$13="Semua",$C$13="",L1808=$C$13)),"✓","")</f>
        <v/>
      </c>
      <c r="N1808" s="93">
        <f>N(N1807)+IF(M1808="✓",1,0)</f>
        <v/>
      </c>
      <c r="O1808" s="93">
        <f>N(O1807)+IF(AND(B1808&lt;&gt;"",B1808&gt;='Uang Riba'!$H$30,B1808&lt;='Uang Riba'!$I$30,OR(H1808="Dana riba",H1808="Pinjam uang riba",I1808="Pinjam dari uang riba",I1808="Ganti uang riba",I1808="Kelebihan ganti dikembalikan",AND(C1808="Kantong Uang Riba",G1808="Pengeluaran"))),1,0)</f>
        <v/>
      </c>
      <c r="X1808" s="93">
        <f>IF(AND(B1808&lt;&gt;"",B1808&gt;='Buku Akun'!$H$4,B1808&lt;='Buku Akun'!$H$5,OR(C1808='Buku Akun'!$C$4,AND(D1808="Pindah",E1808='Buku Akun'!$C$4))),B1808+IF(AND(I1808="Selisih bunga",DAY(B1808)=1),0,0.01)+ROW()/10000000,"")</f>
        <v/>
      </c>
    </row>
    <row r="1809" outlineLevel="1" ht="15" customHeight="1" s="94">
      <c r="A1809" s="123">
        <f>IF(B1809="","",ROW()-15)</f>
        <v/>
      </c>
      <c r="B1809" s="124" t="n"/>
      <c r="C1809" s="123" t="n"/>
      <c r="D1809" s="123" t="n"/>
      <c r="E1809" s="123" t="n"/>
      <c r="F1809" s="125" t="n"/>
      <c r="G1809" s="123" t="n"/>
      <c r="H1809" s="123" t="n"/>
      <c r="I1809" s="123" t="n"/>
      <c r="J1809" s="123" t="n"/>
      <c r="K1809" s="123" t="n"/>
      <c r="L1809" s="123" t="n"/>
      <c r="M1809" s="123">
        <f>IF(AND(B1809&lt;&gt;"",OR($C$4="",ISNUMBER(SEARCH($C$4,C1809&amp;" "&amp;E1809&amp;" "&amp;G1809&amp;" "&amp;H1809&amp;" "&amp;I1809&amp;" "&amp;J1809&amp;" "&amp;K1809&amp;" "&amp;L1809))),OR($C$5="Semua",$C$5="",G1809=$C$5),OR($C$6="Semua",$C$6="",H1809=$C$6,H1809="Pengeluaran "&amp;$C$6,AND($C$6="Uang Kos Mama",H1809="Pengeluaran Uang Kos")),OR($C$7="Semua",$C$7="",I1809=$C$7),OR($C$8="Semua",$C$8="",C1809=$C$8,E1809=$C$8),OR($C$9="Semua",$C$9="",D1809=$C$9),OR($C$10="",B1809&gt;=$C$10),OR($C$11="",B1809&lt;=$C$11),OR($C$12&lt;&gt;"Ya",K1809&lt;&gt;""),OR($C$13="Semua",$C$13="",L1809=$C$13)),"✓","")</f>
        <v/>
      </c>
      <c r="N1809" s="93">
        <f>N(N1808)+IF(M1809="✓",1,0)</f>
        <v/>
      </c>
      <c r="O1809" s="93">
        <f>N(O1808)+IF(AND(B1809&lt;&gt;"",B1809&gt;='Uang Riba'!$H$30,B1809&lt;='Uang Riba'!$I$30,OR(H1809="Dana riba",H1809="Pinjam uang riba",I1809="Pinjam dari uang riba",I1809="Ganti uang riba",I1809="Kelebihan ganti dikembalikan",AND(C1809="Kantong Uang Riba",G1809="Pengeluaran"))),1,0)</f>
        <v/>
      </c>
      <c r="X1809" s="93">
        <f>IF(AND(B1809&lt;&gt;"",B1809&gt;='Buku Akun'!$H$4,B1809&lt;='Buku Akun'!$H$5,OR(C1809='Buku Akun'!$C$4,AND(D1809="Pindah",E1809='Buku Akun'!$C$4))),B1809+IF(AND(I1809="Selisih bunga",DAY(B1809)=1),0,0.01)+ROW()/10000000,"")</f>
        <v/>
      </c>
    </row>
    <row r="1810" outlineLevel="1" ht="15" customHeight="1" s="94">
      <c r="A1810" s="123">
        <f>IF(B1810="","",ROW()-15)</f>
        <v/>
      </c>
      <c r="B1810" s="124" t="n"/>
      <c r="C1810" s="123" t="n"/>
      <c r="D1810" s="123" t="n"/>
      <c r="E1810" s="123" t="n"/>
      <c r="F1810" s="125" t="n"/>
      <c r="G1810" s="123" t="n"/>
      <c r="H1810" s="123" t="n"/>
      <c r="I1810" s="123" t="n"/>
      <c r="J1810" s="123" t="n"/>
      <c r="K1810" s="123" t="n"/>
      <c r="L1810" s="123" t="n"/>
      <c r="M1810" s="123">
        <f>IF(AND(B1810&lt;&gt;"",OR($C$4="",ISNUMBER(SEARCH($C$4,C1810&amp;" "&amp;E1810&amp;" "&amp;G1810&amp;" "&amp;H1810&amp;" "&amp;I1810&amp;" "&amp;J1810&amp;" "&amp;K1810&amp;" "&amp;L1810))),OR($C$5="Semua",$C$5="",G1810=$C$5),OR($C$6="Semua",$C$6="",H1810=$C$6,H1810="Pengeluaran "&amp;$C$6,AND($C$6="Uang Kos Mama",H1810="Pengeluaran Uang Kos")),OR($C$7="Semua",$C$7="",I1810=$C$7),OR($C$8="Semua",$C$8="",C1810=$C$8,E1810=$C$8),OR($C$9="Semua",$C$9="",D1810=$C$9),OR($C$10="",B1810&gt;=$C$10),OR($C$11="",B1810&lt;=$C$11),OR($C$12&lt;&gt;"Ya",K1810&lt;&gt;""),OR($C$13="Semua",$C$13="",L1810=$C$13)),"✓","")</f>
        <v/>
      </c>
      <c r="N1810" s="93">
        <f>N(N1809)+IF(M1810="✓",1,0)</f>
        <v/>
      </c>
      <c r="O1810" s="93">
        <f>N(O1809)+IF(AND(B1810&lt;&gt;"",B1810&gt;='Uang Riba'!$H$30,B1810&lt;='Uang Riba'!$I$30,OR(H1810="Dana riba",H1810="Pinjam uang riba",I1810="Pinjam dari uang riba",I1810="Ganti uang riba",I1810="Kelebihan ganti dikembalikan",AND(C1810="Kantong Uang Riba",G1810="Pengeluaran"))),1,0)</f>
        <v/>
      </c>
      <c r="X1810" s="93">
        <f>IF(AND(B1810&lt;&gt;"",B1810&gt;='Buku Akun'!$H$4,B1810&lt;='Buku Akun'!$H$5,OR(C1810='Buku Akun'!$C$4,AND(D1810="Pindah",E1810='Buku Akun'!$C$4))),B1810+IF(AND(I1810="Selisih bunga",DAY(B1810)=1),0,0.01)+ROW()/10000000,"")</f>
        <v/>
      </c>
    </row>
    <row r="1811" outlineLevel="1" ht="15" customHeight="1" s="94">
      <c r="A1811" s="123">
        <f>IF(B1811="","",ROW()-15)</f>
        <v/>
      </c>
      <c r="B1811" s="124" t="n"/>
      <c r="C1811" s="123" t="n"/>
      <c r="D1811" s="123" t="n"/>
      <c r="E1811" s="123" t="n"/>
      <c r="F1811" s="125" t="n"/>
      <c r="G1811" s="123" t="n"/>
      <c r="H1811" s="123" t="n"/>
      <c r="I1811" s="123" t="n"/>
      <c r="J1811" s="123" t="n"/>
      <c r="K1811" s="123" t="n"/>
      <c r="L1811" s="123" t="n"/>
      <c r="M1811" s="123">
        <f>IF(AND(B1811&lt;&gt;"",OR($C$4="",ISNUMBER(SEARCH($C$4,C1811&amp;" "&amp;E1811&amp;" "&amp;G1811&amp;" "&amp;H1811&amp;" "&amp;I1811&amp;" "&amp;J1811&amp;" "&amp;K1811&amp;" "&amp;L1811))),OR($C$5="Semua",$C$5="",G1811=$C$5),OR($C$6="Semua",$C$6="",H1811=$C$6,H1811="Pengeluaran "&amp;$C$6,AND($C$6="Uang Kos Mama",H1811="Pengeluaran Uang Kos")),OR($C$7="Semua",$C$7="",I1811=$C$7),OR($C$8="Semua",$C$8="",C1811=$C$8,E1811=$C$8),OR($C$9="Semua",$C$9="",D1811=$C$9),OR($C$10="",B1811&gt;=$C$10),OR($C$11="",B1811&lt;=$C$11),OR($C$12&lt;&gt;"Ya",K1811&lt;&gt;""),OR($C$13="Semua",$C$13="",L1811=$C$13)),"✓","")</f>
        <v/>
      </c>
      <c r="N1811" s="93">
        <f>N(N1810)+IF(M1811="✓",1,0)</f>
        <v/>
      </c>
      <c r="O1811" s="93">
        <f>N(O1810)+IF(AND(B1811&lt;&gt;"",B1811&gt;='Uang Riba'!$H$30,B1811&lt;='Uang Riba'!$I$30,OR(H1811="Dana riba",H1811="Pinjam uang riba",I1811="Pinjam dari uang riba",I1811="Ganti uang riba",I1811="Kelebihan ganti dikembalikan",AND(C1811="Kantong Uang Riba",G1811="Pengeluaran"))),1,0)</f>
        <v/>
      </c>
      <c r="X1811" s="93">
        <f>IF(AND(B1811&lt;&gt;"",B1811&gt;='Buku Akun'!$H$4,B1811&lt;='Buku Akun'!$H$5,OR(C1811='Buku Akun'!$C$4,AND(D1811="Pindah",E1811='Buku Akun'!$C$4))),B1811+IF(AND(I1811="Selisih bunga",DAY(B1811)=1),0,0.01)+ROW()/10000000,"")</f>
        <v/>
      </c>
    </row>
    <row r="1812" outlineLevel="1" ht="15" customHeight="1" s="94">
      <c r="A1812" s="123">
        <f>IF(B1812="","",ROW()-15)</f>
        <v/>
      </c>
      <c r="B1812" s="124" t="n"/>
      <c r="C1812" s="123" t="n"/>
      <c r="D1812" s="123" t="n"/>
      <c r="E1812" s="123" t="n"/>
      <c r="F1812" s="125" t="n"/>
      <c r="G1812" s="123" t="n"/>
      <c r="H1812" s="123" t="n"/>
      <c r="I1812" s="123" t="n"/>
      <c r="J1812" s="123" t="n"/>
      <c r="K1812" s="123" t="n"/>
      <c r="L1812" s="123" t="n"/>
      <c r="M1812" s="123">
        <f>IF(AND(B1812&lt;&gt;"",OR($C$4="",ISNUMBER(SEARCH($C$4,C1812&amp;" "&amp;E1812&amp;" "&amp;G1812&amp;" "&amp;H1812&amp;" "&amp;I1812&amp;" "&amp;J1812&amp;" "&amp;K1812&amp;" "&amp;L1812))),OR($C$5="Semua",$C$5="",G1812=$C$5),OR($C$6="Semua",$C$6="",H1812=$C$6,H1812="Pengeluaran "&amp;$C$6,AND($C$6="Uang Kos Mama",H1812="Pengeluaran Uang Kos")),OR($C$7="Semua",$C$7="",I1812=$C$7),OR($C$8="Semua",$C$8="",C1812=$C$8,E1812=$C$8),OR($C$9="Semua",$C$9="",D1812=$C$9),OR($C$10="",B1812&gt;=$C$10),OR($C$11="",B1812&lt;=$C$11),OR($C$12&lt;&gt;"Ya",K1812&lt;&gt;""),OR($C$13="Semua",$C$13="",L1812=$C$13)),"✓","")</f>
        <v/>
      </c>
      <c r="N1812" s="93">
        <f>N(N1811)+IF(M1812="✓",1,0)</f>
        <v/>
      </c>
      <c r="O1812" s="93">
        <f>N(O1811)+IF(AND(B1812&lt;&gt;"",B1812&gt;='Uang Riba'!$H$30,B1812&lt;='Uang Riba'!$I$30,OR(H1812="Dana riba",H1812="Pinjam uang riba",I1812="Pinjam dari uang riba",I1812="Ganti uang riba",I1812="Kelebihan ganti dikembalikan",AND(C1812="Kantong Uang Riba",G1812="Pengeluaran"))),1,0)</f>
        <v/>
      </c>
      <c r="X1812" s="93">
        <f>IF(AND(B1812&lt;&gt;"",B1812&gt;='Buku Akun'!$H$4,B1812&lt;='Buku Akun'!$H$5,OR(C1812='Buku Akun'!$C$4,AND(D1812="Pindah",E1812='Buku Akun'!$C$4))),B1812+IF(AND(I1812="Selisih bunga",DAY(B1812)=1),0,0.01)+ROW()/10000000,"")</f>
        <v/>
      </c>
    </row>
    <row r="1813" outlineLevel="1" ht="15" customHeight="1" s="94">
      <c r="A1813" s="123">
        <f>IF(B1813="","",ROW()-15)</f>
        <v/>
      </c>
      <c r="B1813" s="124" t="n"/>
      <c r="C1813" s="123" t="n"/>
      <c r="D1813" s="123" t="n"/>
      <c r="E1813" s="123" t="n"/>
      <c r="F1813" s="125" t="n"/>
      <c r="G1813" s="123" t="n"/>
      <c r="H1813" s="123" t="n"/>
      <c r="I1813" s="123" t="n"/>
      <c r="J1813" s="123" t="n"/>
      <c r="K1813" s="123" t="n"/>
      <c r="L1813" s="123" t="n"/>
      <c r="M1813" s="123">
        <f>IF(AND(B1813&lt;&gt;"",OR($C$4="",ISNUMBER(SEARCH($C$4,C1813&amp;" "&amp;E1813&amp;" "&amp;G1813&amp;" "&amp;H1813&amp;" "&amp;I1813&amp;" "&amp;J1813&amp;" "&amp;K1813&amp;" "&amp;L1813))),OR($C$5="Semua",$C$5="",G1813=$C$5),OR($C$6="Semua",$C$6="",H1813=$C$6,H1813="Pengeluaran "&amp;$C$6,AND($C$6="Uang Kos Mama",H1813="Pengeluaran Uang Kos")),OR($C$7="Semua",$C$7="",I1813=$C$7),OR($C$8="Semua",$C$8="",C1813=$C$8,E1813=$C$8),OR($C$9="Semua",$C$9="",D1813=$C$9),OR($C$10="",B1813&gt;=$C$10),OR($C$11="",B1813&lt;=$C$11),OR($C$12&lt;&gt;"Ya",K1813&lt;&gt;""),OR($C$13="Semua",$C$13="",L1813=$C$13)),"✓","")</f>
        <v/>
      </c>
      <c r="N1813" s="93">
        <f>N(N1812)+IF(M1813="✓",1,0)</f>
        <v/>
      </c>
      <c r="O1813" s="93">
        <f>N(O1812)+IF(AND(B1813&lt;&gt;"",B1813&gt;='Uang Riba'!$H$30,B1813&lt;='Uang Riba'!$I$30,OR(H1813="Dana riba",H1813="Pinjam uang riba",I1813="Pinjam dari uang riba",I1813="Ganti uang riba",I1813="Kelebihan ganti dikembalikan",AND(C1813="Kantong Uang Riba",G1813="Pengeluaran"))),1,0)</f>
        <v/>
      </c>
      <c r="X1813" s="93">
        <f>IF(AND(B1813&lt;&gt;"",B1813&gt;='Buku Akun'!$H$4,B1813&lt;='Buku Akun'!$H$5,OR(C1813='Buku Akun'!$C$4,AND(D1813="Pindah",E1813='Buku Akun'!$C$4))),B1813+IF(AND(I1813="Selisih bunga",DAY(B1813)=1),0,0.01)+ROW()/10000000,"")</f>
        <v/>
      </c>
    </row>
    <row r="1814" outlineLevel="1" ht="15" customHeight="1" s="94">
      <c r="A1814" s="123">
        <f>IF(B1814="","",ROW()-15)</f>
        <v/>
      </c>
      <c r="B1814" s="124" t="n"/>
      <c r="C1814" s="123" t="n"/>
      <c r="D1814" s="123" t="n"/>
      <c r="E1814" s="123" t="n"/>
      <c r="F1814" s="125" t="n"/>
      <c r="G1814" s="123" t="n"/>
      <c r="H1814" s="123" t="n"/>
      <c r="I1814" s="123" t="n"/>
      <c r="J1814" s="123" t="n"/>
      <c r="K1814" s="123" t="n"/>
      <c r="L1814" s="123" t="n"/>
      <c r="M1814" s="123">
        <f>IF(AND(B1814&lt;&gt;"",OR($C$4="",ISNUMBER(SEARCH($C$4,C1814&amp;" "&amp;E1814&amp;" "&amp;G1814&amp;" "&amp;H1814&amp;" "&amp;I1814&amp;" "&amp;J1814&amp;" "&amp;K1814&amp;" "&amp;L1814))),OR($C$5="Semua",$C$5="",G1814=$C$5),OR($C$6="Semua",$C$6="",H1814=$C$6,H1814="Pengeluaran "&amp;$C$6,AND($C$6="Uang Kos Mama",H1814="Pengeluaran Uang Kos")),OR($C$7="Semua",$C$7="",I1814=$C$7),OR($C$8="Semua",$C$8="",C1814=$C$8,E1814=$C$8),OR($C$9="Semua",$C$9="",D1814=$C$9),OR($C$10="",B1814&gt;=$C$10),OR($C$11="",B1814&lt;=$C$11),OR($C$12&lt;&gt;"Ya",K1814&lt;&gt;""),OR($C$13="Semua",$C$13="",L1814=$C$13)),"✓","")</f>
        <v/>
      </c>
      <c r="N1814" s="93">
        <f>N(N1813)+IF(M1814="✓",1,0)</f>
        <v/>
      </c>
      <c r="O1814" s="93">
        <f>N(O1813)+IF(AND(B1814&lt;&gt;"",B1814&gt;='Uang Riba'!$H$30,B1814&lt;='Uang Riba'!$I$30,OR(H1814="Dana riba",H1814="Pinjam uang riba",I1814="Pinjam dari uang riba",I1814="Ganti uang riba",I1814="Kelebihan ganti dikembalikan",AND(C1814="Kantong Uang Riba",G1814="Pengeluaran"))),1,0)</f>
        <v/>
      </c>
      <c r="X1814" s="93">
        <f>IF(AND(B1814&lt;&gt;"",B1814&gt;='Buku Akun'!$H$4,B1814&lt;='Buku Akun'!$H$5,OR(C1814='Buku Akun'!$C$4,AND(D1814="Pindah",E1814='Buku Akun'!$C$4))),B1814+IF(AND(I1814="Selisih bunga",DAY(B1814)=1),0,0.01)+ROW()/10000000,"")</f>
        <v/>
      </c>
    </row>
    <row r="1815" outlineLevel="1" ht="15" customHeight="1" s="94">
      <c r="A1815" s="123">
        <f>IF(B1815="","",ROW()-15)</f>
        <v/>
      </c>
      <c r="B1815" s="124" t="n"/>
      <c r="C1815" s="123" t="n"/>
      <c r="D1815" s="123" t="n"/>
      <c r="E1815" s="123" t="n"/>
      <c r="F1815" s="125" t="n"/>
      <c r="G1815" s="123" t="n"/>
      <c r="H1815" s="123" t="n"/>
      <c r="I1815" s="123" t="n"/>
      <c r="J1815" s="123" t="n"/>
      <c r="K1815" s="123" t="n"/>
      <c r="L1815" s="123" t="n"/>
      <c r="M1815" s="123">
        <f>IF(AND(B1815&lt;&gt;"",OR($C$4="",ISNUMBER(SEARCH($C$4,C1815&amp;" "&amp;E1815&amp;" "&amp;G1815&amp;" "&amp;H1815&amp;" "&amp;I1815&amp;" "&amp;J1815&amp;" "&amp;K1815&amp;" "&amp;L1815))),OR($C$5="Semua",$C$5="",G1815=$C$5),OR($C$6="Semua",$C$6="",H1815=$C$6,H1815="Pengeluaran "&amp;$C$6,AND($C$6="Uang Kos Mama",H1815="Pengeluaran Uang Kos")),OR($C$7="Semua",$C$7="",I1815=$C$7),OR($C$8="Semua",$C$8="",C1815=$C$8,E1815=$C$8),OR($C$9="Semua",$C$9="",D1815=$C$9),OR($C$10="",B1815&gt;=$C$10),OR($C$11="",B1815&lt;=$C$11),OR($C$12&lt;&gt;"Ya",K1815&lt;&gt;""),OR($C$13="Semua",$C$13="",L1815=$C$13)),"✓","")</f>
        <v/>
      </c>
      <c r="N1815" s="93">
        <f>N(N1814)+IF(M1815="✓",1,0)</f>
        <v/>
      </c>
      <c r="O1815" s="93">
        <f>N(O1814)+IF(AND(B1815&lt;&gt;"",B1815&gt;='Uang Riba'!$H$30,B1815&lt;='Uang Riba'!$I$30,OR(H1815="Dana riba",H1815="Pinjam uang riba",I1815="Pinjam dari uang riba",I1815="Ganti uang riba",I1815="Kelebihan ganti dikembalikan",AND(C1815="Kantong Uang Riba",G1815="Pengeluaran"))),1,0)</f>
        <v/>
      </c>
      <c r="X1815" s="93">
        <f>IF(AND(B1815&lt;&gt;"",B1815&gt;='Buku Akun'!$H$4,B1815&lt;='Buku Akun'!$H$5,OR(C1815='Buku Akun'!$C$4,AND(D1815="Pindah",E1815='Buku Akun'!$C$4))),B1815+IF(AND(I1815="Selisih bunga",DAY(B1815)=1),0,0.01)+ROW()/10000000,"")</f>
        <v/>
      </c>
    </row>
    <row r="1816" outlineLevel="1" ht="15" customHeight="1" s="94">
      <c r="A1816" s="123">
        <f>IF(B1816="","",ROW()-15)</f>
        <v/>
      </c>
      <c r="B1816" s="124" t="n"/>
      <c r="C1816" s="123" t="n"/>
      <c r="D1816" s="123" t="n"/>
      <c r="E1816" s="123" t="n"/>
      <c r="F1816" s="125" t="n"/>
      <c r="G1816" s="123" t="n"/>
      <c r="H1816" s="123" t="n"/>
      <c r="I1816" s="123" t="n"/>
      <c r="J1816" s="123" t="n"/>
      <c r="K1816" s="123" t="n"/>
      <c r="L1816" s="123" t="n"/>
      <c r="M1816" s="123">
        <f>IF(AND(B1816&lt;&gt;"",OR($C$4="",ISNUMBER(SEARCH($C$4,C1816&amp;" "&amp;E1816&amp;" "&amp;G1816&amp;" "&amp;H1816&amp;" "&amp;I1816&amp;" "&amp;J1816&amp;" "&amp;K1816&amp;" "&amp;L1816))),OR($C$5="Semua",$C$5="",G1816=$C$5),OR($C$6="Semua",$C$6="",H1816=$C$6,H1816="Pengeluaran "&amp;$C$6,AND($C$6="Uang Kos Mama",H1816="Pengeluaran Uang Kos")),OR($C$7="Semua",$C$7="",I1816=$C$7),OR($C$8="Semua",$C$8="",C1816=$C$8,E1816=$C$8),OR($C$9="Semua",$C$9="",D1816=$C$9),OR($C$10="",B1816&gt;=$C$10),OR($C$11="",B1816&lt;=$C$11),OR($C$12&lt;&gt;"Ya",K1816&lt;&gt;""),OR($C$13="Semua",$C$13="",L1816=$C$13)),"✓","")</f>
        <v/>
      </c>
      <c r="N1816" s="93">
        <f>N(N1815)+IF(M1816="✓",1,0)</f>
        <v/>
      </c>
      <c r="O1816" s="93">
        <f>N(O1815)+IF(AND(B1816&lt;&gt;"",B1816&gt;='Uang Riba'!$H$30,B1816&lt;='Uang Riba'!$I$30,OR(H1816="Dana riba",H1816="Pinjam uang riba",I1816="Pinjam dari uang riba",I1816="Ganti uang riba",I1816="Kelebihan ganti dikembalikan",AND(C1816="Kantong Uang Riba",G1816="Pengeluaran"))),1,0)</f>
        <v/>
      </c>
      <c r="X1816" s="93">
        <f>IF(AND(B1816&lt;&gt;"",B1816&gt;='Buku Akun'!$H$4,B1816&lt;='Buku Akun'!$H$5,OR(C1816='Buku Akun'!$C$4,AND(D1816="Pindah",E1816='Buku Akun'!$C$4))),B1816+IF(AND(I1816="Selisih bunga",DAY(B1816)=1),0,0.01)+ROW()/10000000,"")</f>
        <v/>
      </c>
    </row>
    <row r="1817" outlineLevel="1" ht="15" customHeight="1" s="94">
      <c r="A1817" s="123">
        <f>IF(B1817="","",ROW()-15)</f>
        <v/>
      </c>
      <c r="B1817" s="124" t="n"/>
      <c r="C1817" s="123" t="n"/>
      <c r="D1817" s="123" t="n"/>
      <c r="E1817" s="123" t="n"/>
      <c r="F1817" s="125" t="n"/>
      <c r="G1817" s="123" t="n"/>
      <c r="H1817" s="123" t="n"/>
      <c r="I1817" s="123" t="n"/>
      <c r="J1817" s="123" t="n"/>
      <c r="K1817" s="123" t="n"/>
      <c r="L1817" s="123" t="n"/>
      <c r="M1817" s="123">
        <f>IF(AND(B1817&lt;&gt;"",OR($C$4="",ISNUMBER(SEARCH($C$4,C1817&amp;" "&amp;E1817&amp;" "&amp;G1817&amp;" "&amp;H1817&amp;" "&amp;I1817&amp;" "&amp;J1817&amp;" "&amp;K1817&amp;" "&amp;L1817))),OR($C$5="Semua",$C$5="",G1817=$C$5),OR($C$6="Semua",$C$6="",H1817=$C$6,H1817="Pengeluaran "&amp;$C$6,AND($C$6="Uang Kos Mama",H1817="Pengeluaran Uang Kos")),OR($C$7="Semua",$C$7="",I1817=$C$7),OR($C$8="Semua",$C$8="",C1817=$C$8,E1817=$C$8),OR($C$9="Semua",$C$9="",D1817=$C$9),OR($C$10="",B1817&gt;=$C$10),OR($C$11="",B1817&lt;=$C$11),OR($C$12&lt;&gt;"Ya",K1817&lt;&gt;""),OR($C$13="Semua",$C$13="",L1817=$C$13)),"✓","")</f>
        <v/>
      </c>
      <c r="N1817" s="93">
        <f>N(N1816)+IF(M1817="✓",1,0)</f>
        <v/>
      </c>
      <c r="O1817" s="93">
        <f>N(O1816)+IF(AND(B1817&lt;&gt;"",B1817&gt;='Uang Riba'!$H$30,B1817&lt;='Uang Riba'!$I$30,OR(H1817="Dana riba",H1817="Pinjam uang riba",I1817="Pinjam dari uang riba",I1817="Ganti uang riba",I1817="Kelebihan ganti dikembalikan",AND(C1817="Kantong Uang Riba",G1817="Pengeluaran"))),1,0)</f>
        <v/>
      </c>
      <c r="X1817" s="93">
        <f>IF(AND(B1817&lt;&gt;"",B1817&gt;='Buku Akun'!$H$4,B1817&lt;='Buku Akun'!$H$5,OR(C1817='Buku Akun'!$C$4,AND(D1817="Pindah",E1817='Buku Akun'!$C$4))),B1817+IF(AND(I1817="Selisih bunga",DAY(B1817)=1),0,0.01)+ROW()/10000000,"")</f>
        <v/>
      </c>
    </row>
    <row r="1818" outlineLevel="1" ht="15" customHeight="1" s="94">
      <c r="A1818" s="123">
        <f>IF(B1818="","",ROW()-15)</f>
        <v/>
      </c>
      <c r="B1818" s="124" t="n"/>
      <c r="C1818" s="123" t="n"/>
      <c r="D1818" s="123" t="n"/>
      <c r="E1818" s="123" t="n"/>
      <c r="F1818" s="125" t="n"/>
      <c r="G1818" s="123" t="n"/>
      <c r="H1818" s="123" t="n"/>
      <c r="I1818" s="123" t="n"/>
      <c r="J1818" s="123" t="n"/>
      <c r="K1818" s="123" t="n"/>
      <c r="L1818" s="123" t="n"/>
      <c r="M1818" s="123">
        <f>IF(AND(B1818&lt;&gt;"",OR($C$4="",ISNUMBER(SEARCH($C$4,C1818&amp;" "&amp;E1818&amp;" "&amp;G1818&amp;" "&amp;H1818&amp;" "&amp;I1818&amp;" "&amp;J1818&amp;" "&amp;K1818&amp;" "&amp;L1818))),OR($C$5="Semua",$C$5="",G1818=$C$5),OR($C$6="Semua",$C$6="",H1818=$C$6,H1818="Pengeluaran "&amp;$C$6,AND($C$6="Uang Kos Mama",H1818="Pengeluaran Uang Kos")),OR($C$7="Semua",$C$7="",I1818=$C$7),OR($C$8="Semua",$C$8="",C1818=$C$8,E1818=$C$8),OR($C$9="Semua",$C$9="",D1818=$C$9),OR($C$10="",B1818&gt;=$C$10),OR($C$11="",B1818&lt;=$C$11),OR($C$12&lt;&gt;"Ya",K1818&lt;&gt;""),OR($C$13="Semua",$C$13="",L1818=$C$13)),"✓","")</f>
        <v/>
      </c>
      <c r="N1818" s="93">
        <f>N(N1817)+IF(M1818="✓",1,0)</f>
        <v/>
      </c>
      <c r="O1818" s="93">
        <f>N(O1817)+IF(AND(B1818&lt;&gt;"",B1818&gt;='Uang Riba'!$H$30,B1818&lt;='Uang Riba'!$I$30,OR(H1818="Dana riba",H1818="Pinjam uang riba",I1818="Pinjam dari uang riba",I1818="Ganti uang riba",I1818="Kelebihan ganti dikembalikan",AND(C1818="Kantong Uang Riba",G1818="Pengeluaran"))),1,0)</f>
        <v/>
      </c>
      <c r="X1818" s="93">
        <f>IF(AND(B1818&lt;&gt;"",B1818&gt;='Buku Akun'!$H$4,B1818&lt;='Buku Akun'!$H$5,OR(C1818='Buku Akun'!$C$4,AND(D1818="Pindah",E1818='Buku Akun'!$C$4))),B1818+IF(AND(I1818="Selisih bunga",DAY(B1818)=1),0,0.01)+ROW()/10000000,"")</f>
        <v/>
      </c>
    </row>
    <row r="1819" outlineLevel="1" ht="15" customHeight="1" s="94">
      <c r="A1819" s="123">
        <f>IF(B1819="","",ROW()-15)</f>
        <v/>
      </c>
      <c r="B1819" s="124" t="n"/>
      <c r="C1819" s="123" t="n"/>
      <c r="D1819" s="123" t="n"/>
      <c r="E1819" s="123" t="n"/>
      <c r="F1819" s="125" t="n"/>
      <c r="G1819" s="123" t="n"/>
      <c r="H1819" s="123" t="n"/>
      <c r="I1819" s="123" t="n"/>
      <c r="J1819" s="123" t="n"/>
      <c r="K1819" s="123" t="n"/>
      <c r="L1819" s="123" t="n"/>
      <c r="M1819" s="123">
        <f>IF(AND(B1819&lt;&gt;"",OR($C$4="",ISNUMBER(SEARCH($C$4,C1819&amp;" "&amp;E1819&amp;" "&amp;G1819&amp;" "&amp;H1819&amp;" "&amp;I1819&amp;" "&amp;J1819&amp;" "&amp;K1819&amp;" "&amp;L1819))),OR($C$5="Semua",$C$5="",G1819=$C$5),OR($C$6="Semua",$C$6="",H1819=$C$6,H1819="Pengeluaran "&amp;$C$6,AND($C$6="Uang Kos Mama",H1819="Pengeluaran Uang Kos")),OR($C$7="Semua",$C$7="",I1819=$C$7),OR($C$8="Semua",$C$8="",C1819=$C$8,E1819=$C$8),OR($C$9="Semua",$C$9="",D1819=$C$9),OR($C$10="",B1819&gt;=$C$10),OR($C$11="",B1819&lt;=$C$11),OR($C$12&lt;&gt;"Ya",K1819&lt;&gt;""),OR($C$13="Semua",$C$13="",L1819=$C$13)),"✓","")</f>
        <v/>
      </c>
      <c r="N1819" s="93">
        <f>N(N1818)+IF(M1819="✓",1,0)</f>
        <v/>
      </c>
      <c r="O1819" s="93">
        <f>N(O1818)+IF(AND(B1819&lt;&gt;"",B1819&gt;='Uang Riba'!$H$30,B1819&lt;='Uang Riba'!$I$30,OR(H1819="Dana riba",H1819="Pinjam uang riba",I1819="Pinjam dari uang riba",I1819="Ganti uang riba",I1819="Kelebihan ganti dikembalikan",AND(C1819="Kantong Uang Riba",G1819="Pengeluaran"))),1,0)</f>
        <v/>
      </c>
      <c r="X1819" s="93">
        <f>IF(AND(B1819&lt;&gt;"",B1819&gt;='Buku Akun'!$H$4,B1819&lt;='Buku Akun'!$H$5,OR(C1819='Buku Akun'!$C$4,AND(D1819="Pindah",E1819='Buku Akun'!$C$4))),B1819+IF(AND(I1819="Selisih bunga",DAY(B1819)=1),0,0.01)+ROW()/10000000,"")</f>
        <v/>
      </c>
    </row>
    <row r="1820" outlineLevel="1" ht="15" customHeight="1" s="94">
      <c r="A1820" s="123">
        <f>IF(B1820="","",ROW()-15)</f>
        <v/>
      </c>
      <c r="B1820" s="124" t="n"/>
      <c r="C1820" s="123" t="n"/>
      <c r="D1820" s="123" t="n"/>
      <c r="E1820" s="123" t="n"/>
      <c r="F1820" s="125" t="n"/>
      <c r="G1820" s="123" t="n"/>
      <c r="H1820" s="123" t="n"/>
      <c r="I1820" s="123" t="n"/>
      <c r="J1820" s="123" t="n"/>
      <c r="K1820" s="123" t="n"/>
      <c r="L1820" s="123" t="n"/>
      <c r="M1820" s="123">
        <f>IF(AND(B1820&lt;&gt;"",OR($C$4="",ISNUMBER(SEARCH($C$4,C1820&amp;" "&amp;E1820&amp;" "&amp;G1820&amp;" "&amp;H1820&amp;" "&amp;I1820&amp;" "&amp;J1820&amp;" "&amp;K1820&amp;" "&amp;L1820))),OR($C$5="Semua",$C$5="",G1820=$C$5),OR($C$6="Semua",$C$6="",H1820=$C$6,H1820="Pengeluaran "&amp;$C$6,AND($C$6="Uang Kos Mama",H1820="Pengeluaran Uang Kos")),OR($C$7="Semua",$C$7="",I1820=$C$7),OR($C$8="Semua",$C$8="",C1820=$C$8,E1820=$C$8),OR($C$9="Semua",$C$9="",D1820=$C$9),OR($C$10="",B1820&gt;=$C$10),OR($C$11="",B1820&lt;=$C$11),OR($C$12&lt;&gt;"Ya",K1820&lt;&gt;""),OR($C$13="Semua",$C$13="",L1820=$C$13)),"✓","")</f>
        <v/>
      </c>
      <c r="N1820" s="93">
        <f>N(N1819)+IF(M1820="✓",1,0)</f>
        <v/>
      </c>
      <c r="O1820" s="93">
        <f>N(O1819)+IF(AND(B1820&lt;&gt;"",B1820&gt;='Uang Riba'!$H$30,B1820&lt;='Uang Riba'!$I$30,OR(H1820="Dana riba",H1820="Pinjam uang riba",I1820="Pinjam dari uang riba",I1820="Ganti uang riba",I1820="Kelebihan ganti dikembalikan",AND(C1820="Kantong Uang Riba",G1820="Pengeluaran"))),1,0)</f>
        <v/>
      </c>
      <c r="X1820" s="93">
        <f>IF(AND(B1820&lt;&gt;"",B1820&gt;='Buku Akun'!$H$4,B1820&lt;='Buku Akun'!$H$5,OR(C1820='Buku Akun'!$C$4,AND(D1820="Pindah",E1820='Buku Akun'!$C$4))),B1820+IF(AND(I1820="Selisih bunga",DAY(B1820)=1),0,0.01)+ROW()/10000000,"")</f>
        <v/>
      </c>
    </row>
    <row r="1821" outlineLevel="1" ht="15" customHeight="1" s="94">
      <c r="A1821" s="123">
        <f>IF(B1821="","",ROW()-15)</f>
        <v/>
      </c>
      <c r="B1821" s="124" t="n"/>
      <c r="C1821" s="123" t="n"/>
      <c r="D1821" s="123" t="n"/>
      <c r="E1821" s="123" t="n"/>
      <c r="F1821" s="125" t="n"/>
      <c r="G1821" s="123" t="n"/>
      <c r="H1821" s="123" t="n"/>
      <c r="I1821" s="123" t="n"/>
      <c r="J1821" s="123" t="n"/>
      <c r="K1821" s="123" t="n"/>
      <c r="L1821" s="123" t="n"/>
      <c r="M1821" s="123">
        <f>IF(AND(B1821&lt;&gt;"",OR($C$4="",ISNUMBER(SEARCH($C$4,C1821&amp;" "&amp;E1821&amp;" "&amp;G1821&amp;" "&amp;H1821&amp;" "&amp;I1821&amp;" "&amp;J1821&amp;" "&amp;K1821&amp;" "&amp;L1821))),OR($C$5="Semua",$C$5="",G1821=$C$5),OR($C$6="Semua",$C$6="",H1821=$C$6,H1821="Pengeluaran "&amp;$C$6,AND($C$6="Uang Kos Mama",H1821="Pengeluaran Uang Kos")),OR($C$7="Semua",$C$7="",I1821=$C$7),OR($C$8="Semua",$C$8="",C1821=$C$8,E1821=$C$8),OR($C$9="Semua",$C$9="",D1821=$C$9),OR($C$10="",B1821&gt;=$C$10),OR($C$11="",B1821&lt;=$C$11),OR($C$12&lt;&gt;"Ya",K1821&lt;&gt;""),OR($C$13="Semua",$C$13="",L1821=$C$13)),"✓","")</f>
        <v/>
      </c>
      <c r="N1821" s="93">
        <f>N(N1820)+IF(M1821="✓",1,0)</f>
        <v/>
      </c>
      <c r="O1821" s="93">
        <f>N(O1820)+IF(AND(B1821&lt;&gt;"",B1821&gt;='Uang Riba'!$H$30,B1821&lt;='Uang Riba'!$I$30,OR(H1821="Dana riba",H1821="Pinjam uang riba",I1821="Pinjam dari uang riba",I1821="Ganti uang riba",I1821="Kelebihan ganti dikembalikan",AND(C1821="Kantong Uang Riba",G1821="Pengeluaran"))),1,0)</f>
        <v/>
      </c>
      <c r="X1821" s="93">
        <f>IF(AND(B1821&lt;&gt;"",B1821&gt;='Buku Akun'!$H$4,B1821&lt;='Buku Akun'!$H$5,OR(C1821='Buku Akun'!$C$4,AND(D1821="Pindah",E1821='Buku Akun'!$C$4))),B1821+IF(AND(I1821="Selisih bunga",DAY(B1821)=1),0,0.01)+ROW()/10000000,"")</f>
        <v/>
      </c>
    </row>
    <row r="1822" outlineLevel="1" ht="15" customHeight="1" s="94">
      <c r="A1822" s="123">
        <f>IF(B1822="","",ROW()-15)</f>
        <v/>
      </c>
      <c r="B1822" s="124" t="n"/>
      <c r="C1822" s="123" t="n"/>
      <c r="D1822" s="123" t="n"/>
      <c r="E1822" s="123" t="n"/>
      <c r="F1822" s="125" t="n"/>
      <c r="G1822" s="123" t="n"/>
      <c r="H1822" s="123" t="n"/>
      <c r="I1822" s="123" t="n"/>
      <c r="J1822" s="123" t="n"/>
      <c r="K1822" s="123" t="n"/>
      <c r="L1822" s="123" t="n"/>
      <c r="M1822" s="123">
        <f>IF(AND(B1822&lt;&gt;"",OR($C$4="",ISNUMBER(SEARCH($C$4,C1822&amp;" "&amp;E1822&amp;" "&amp;G1822&amp;" "&amp;H1822&amp;" "&amp;I1822&amp;" "&amp;J1822&amp;" "&amp;K1822&amp;" "&amp;L1822))),OR($C$5="Semua",$C$5="",G1822=$C$5),OR($C$6="Semua",$C$6="",H1822=$C$6,H1822="Pengeluaran "&amp;$C$6,AND($C$6="Uang Kos Mama",H1822="Pengeluaran Uang Kos")),OR($C$7="Semua",$C$7="",I1822=$C$7),OR($C$8="Semua",$C$8="",C1822=$C$8,E1822=$C$8),OR($C$9="Semua",$C$9="",D1822=$C$9),OR($C$10="",B1822&gt;=$C$10),OR($C$11="",B1822&lt;=$C$11),OR($C$12&lt;&gt;"Ya",K1822&lt;&gt;""),OR($C$13="Semua",$C$13="",L1822=$C$13)),"✓","")</f>
        <v/>
      </c>
      <c r="N1822" s="93">
        <f>N(N1821)+IF(M1822="✓",1,0)</f>
        <v/>
      </c>
      <c r="O1822" s="93">
        <f>N(O1821)+IF(AND(B1822&lt;&gt;"",B1822&gt;='Uang Riba'!$H$30,B1822&lt;='Uang Riba'!$I$30,OR(H1822="Dana riba",H1822="Pinjam uang riba",I1822="Pinjam dari uang riba",I1822="Ganti uang riba",I1822="Kelebihan ganti dikembalikan",AND(C1822="Kantong Uang Riba",G1822="Pengeluaran"))),1,0)</f>
        <v/>
      </c>
      <c r="X1822" s="93">
        <f>IF(AND(B1822&lt;&gt;"",B1822&gt;='Buku Akun'!$H$4,B1822&lt;='Buku Akun'!$H$5,OR(C1822='Buku Akun'!$C$4,AND(D1822="Pindah",E1822='Buku Akun'!$C$4))),B1822+IF(AND(I1822="Selisih bunga",DAY(B1822)=1),0,0.01)+ROW()/10000000,"")</f>
        <v/>
      </c>
    </row>
    <row r="1823" outlineLevel="1" ht="15" customHeight="1" s="94">
      <c r="A1823" s="123">
        <f>IF(B1823="","",ROW()-15)</f>
        <v/>
      </c>
      <c r="B1823" s="124" t="n"/>
      <c r="C1823" s="123" t="n"/>
      <c r="D1823" s="123" t="n"/>
      <c r="E1823" s="123" t="n"/>
      <c r="F1823" s="125" t="n"/>
      <c r="G1823" s="123" t="n"/>
      <c r="H1823" s="123" t="n"/>
      <c r="I1823" s="123" t="n"/>
      <c r="J1823" s="123" t="n"/>
      <c r="K1823" s="123" t="n"/>
      <c r="L1823" s="123" t="n"/>
      <c r="M1823" s="123">
        <f>IF(AND(B1823&lt;&gt;"",OR($C$4="",ISNUMBER(SEARCH($C$4,C1823&amp;" "&amp;E1823&amp;" "&amp;G1823&amp;" "&amp;H1823&amp;" "&amp;I1823&amp;" "&amp;J1823&amp;" "&amp;K1823&amp;" "&amp;L1823))),OR($C$5="Semua",$C$5="",G1823=$C$5),OR($C$6="Semua",$C$6="",H1823=$C$6,H1823="Pengeluaran "&amp;$C$6,AND($C$6="Uang Kos Mama",H1823="Pengeluaran Uang Kos")),OR($C$7="Semua",$C$7="",I1823=$C$7),OR($C$8="Semua",$C$8="",C1823=$C$8,E1823=$C$8),OR($C$9="Semua",$C$9="",D1823=$C$9),OR($C$10="",B1823&gt;=$C$10),OR($C$11="",B1823&lt;=$C$11),OR($C$12&lt;&gt;"Ya",K1823&lt;&gt;""),OR($C$13="Semua",$C$13="",L1823=$C$13)),"✓","")</f>
        <v/>
      </c>
      <c r="N1823" s="93">
        <f>N(N1822)+IF(M1823="✓",1,0)</f>
        <v/>
      </c>
      <c r="O1823" s="93">
        <f>N(O1822)+IF(AND(B1823&lt;&gt;"",B1823&gt;='Uang Riba'!$H$30,B1823&lt;='Uang Riba'!$I$30,OR(H1823="Dana riba",H1823="Pinjam uang riba",I1823="Pinjam dari uang riba",I1823="Ganti uang riba",I1823="Kelebihan ganti dikembalikan",AND(C1823="Kantong Uang Riba",G1823="Pengeluaran"))),1,0)</f>
        <v/>
      </c>
      <c r="X1823" s="93">
        <f>IF(AND(B1823&lt;&gt;"",B1823&gt;='Buku Akun'!$H$4,B1823&lt;='Buku Akun'!$H$5,OR(C1823='Buku Akun'!$C$4,AND(D1823="Pindah",E1823='Buku Akun'!$C$4))),B1823+IF(AND(I1823="Selisih bunga",DAY(B1823)=1),0,0.01)+ROW()/10000000,"")</f>
        <v/>
      </c>
    </row>
    <row r="1824" outlineLevel="1" ht="15" customHeight="1" s="94">
      <c r="A1824" s="123">
        <f>IF(B1824="","",ROW()-15)</f>
        <v/>
      </c>
      <c r="B1824" s="124" t="n"/>
      <c r="C1824" s="123" t="n"/>
      <c r="D1824" s="123" t="n"/>
      <c r="E1824" s="123" t="n"/>
      <c r="F1824" s="125" t="n"/>
      <c r="G1824" s="123" t="n"/>
      <c r="H1824" s="123" t="n"/>
      <c r="I1824" s="123" t="n"/>
      <c r="J1824" s="123" t="n"/>
      <c r="K1824" s="123" t="n"/>
      <c r="L1824" s="123" t="n"/>
      <c r="M1824" s="123">
        <f>IF(AND(B1824&lt;&gt;"",OR($C$4="",ISNUMBER(SEARCH($C$4,C1824&amp;" "&amp;E1824&amp;" "&amp;G1824&amp;" "&amp;H1824&amp;" "&amp;I1824&amp;" "&amp;J1824&amp;" "&amp;K1824&amp;" "&amp;L1824))),OR($C$5="Semua",$C$5="",G1824=$C$5),OR($C$6="Semua",$C$6="",H1824=$C$6,H1824="Pengeluaran "&amp;$C$6,AND($C$6="Uang Kos Mama",H1824="Pengeluaran Uang Kos")),OR($C$7="Semua",$C$7="",I1824=$C$7),OR($C$8="Semua",$C$8="",C1824=$C$8,E1824=$C$8),OR($C$9="Semua",$C$9="",D1824=$C$9),OR($C$10="",B1824&gt;=$C$10),OR($C$11="",B1824&lt;=$C$11),OR($C$12&lt;&gt;"Ya",K1824&lt;&gt;""),OR($C$13="Semua",$C$13="",L1824=$C$13)),"✓","")</f>
        <v/>
      </c>
      <c r="N1824" s="93">
        <f>N(N1823)+IF(M1824="✓",1,0)</f>
        <v/>
      </c>
      <c r="O1824" s="93">
        <f>N(O1823)+IF(AND(B1824&lt;&gt;"",B1824&gt;='Uang Riba'!$H$30,B1824&lt;='Uang Riba'!$I$30,OR(H1824="Dana riba",H1824="Pinjam uang riba",I1824="Pinjam dari uang riba",I1824="Ganti uang riba",I1824="Kelebihan ganti dikembalikan",AND(C1824="Kantong Uang Riba",G1824="Pengeluaran"))),1,0)</f>
        <v/>
      </c>
      <c r="X1824" s="93">
        <f>IF(AND(B1824&lt;&gt;"",B1824&gt;='Buku Akun'!$H$4,B1824&lt;='Buku Akun'!$H$5,OR(C1824='Buku Akun'!$C$4,AND(D1824="Pindah",E1824='Buku Akun'!$C$4))),B1824+IF(AND(I1824="Selisih bunga",DAY(B1824)=1),0,0.01)+ROW()/10000000,"")</f>
        <v/>
      </c>
    </row>
    <row r="1825" outlineLevel="1" ht="15" customHeight="1" s="94">
      <c r="A1825" s="123">
        <f>IF(B1825="","",ROW()-15)</f>
        <v/>
      </c>
      <c r="B1825" s="124" t="n"/>
      <c r="C1825" s="123" t="n"/>
      <c r="D1825" s="123" t="n"/>
      <c r="E1825" s="123" t="n"/>
      <c r="F1825" s="125" t="n"/>
      <c r="G1825" s="123" t="n"/>
      <c r="H1825" s="123" t="n"/>
      <c r="I1825" s="123" t="n"/>
      <c r="J1825" s="123" t="n"/>
      <c r="K1825" s="123" t="n"/>
      <c r="L1825" s="123" t="n"/>
      <c r="M1825" s="123">
        <f>IF(AND(B1825&lt;&gt;"",OR($C$4="",ISNUMBER(SEARCH($C$4,C1825&amp;" "&amp;E1825&amp;" "&amp;G1825&amp;" "&amp;H1825&amp;" "&amp;I1825&amp;" "&amp;J1825&amp;" "&amp;K1825&amp;" "&amp;L1825))),OR($C$5="Semua",$C$5="",G1825=$C$5),OR($C$6="Semua",$C$6="",H1825=$C$6,H1825="Pengeluaran "&amp;$C$6,AND($C$6="Uang Kos Mama",H1825="Pengeluaran Uang Kos")),OR($C$7="Semua",$C$7="",I1825=$C$7),OR($C$8="Semua",$C$8="",C1825=$C$8,E1825=$C$8),OR($C$9="Semua",$C$9="",D1825=$C$9),OR($C$10="",B1825&gt;=$C$10),OR($C$11="",B1825&lt;=$C$11),OR($C$12&lt;&gt;"Ya",K1825&lt;&gt;""),OR($C$13="Semua",$C$13="",L1825=$C$13)),"✓","")</f>
        <v/>
      </c>
      <c r="N1825" s="93">
        <f>N(N1824)+IF(M1825="✓",1,0)</f>
        <v/>
      </c>
      <c r="O1825" s="93">
        <f>N(O1824)+IF(AND(B1825&lt;&gt;"",B1825&gt;='Uang Riba'!$H$30,B1825&lt;='Uang Riba'!$I$30,OR(H1825="Dana riba",H1825="Pinjam uang riba",I1825="Pinjam dari uang riba",I1825="Ganti uang riba",I1825="Kelebihan ganti dikembalikan",AND(C1825="Kantong Uang Riba",G1825="Pengeluaran"))),1,0)</f>
        <v/>
      </c>
      <c r="X1825" s="93">
        <f>IF(AND(B1825&lt;&gt;"",B1825&gt;='Buku Akun'!$H$4,B1825&lt;='Buku Akun'!$H$5,OR(C1825='Buku Akun'!$C$4,AND(D1825="Pindah",E1825='Buku Akun'!$C$4))),B1825+IF(AND(I1825="Selisih bunga",DAY(B1825)=1),0,0.01)+ROW()/10000000,"")</f>
        <v/>
      </c>
    </row>
    <row r="1826" outlineLevel="1" ht="15" customHeight="1" s="94">
      <c r="A1826" s="123">
        <f>IF(B1826="","",ROW()-15)</f>
        <v/>
      </c>
      <c r="B1826" s="124" t="n"/>
      <c r="C1826" s="123" t="n"/>
      <c r="D1826" s="123" t="n"/>
      <c r="E1826" s="123" t="n"/>
      <c r="F1826" s="125" t="n"/>
      <c r="G1826" s="123" t="n"/>
      <c r="H1826" s="123" t="n"/>
      <c r="I1826" s="123" t="n"/>
      <c r="J1826" s="123" t="n"/>
      <c r="K1826" s="123" t="n"/>
      <c r="L1826" s="123" t="n"/>
      <c r="M1826" s="123">
        <f>IF(AND(B1826&lt;&gt;"",OR($C$4="",ISNUMBER(SEARCH($C$4,C1826&amp;" "&amp;E1826&amp;" "&amp;G1826&amp;" "&amp;H1826&amp;" "&amp;I1826&amp;" "&amp;J1826&amp;" "&amp;K1826&amp;" "&amp;L1826))),OR($C$5="Semua",$C$5="",G1826=$C$5),OR($C$6="Semua",$C$6="",H1826=$C$6,H1826="Pengeluaran "&amp;$C$6,AND($C$6="Uang Kos Mama",H1826="Pengeluaran Uang Kos")),OR($C$7="Semua",$C$7="",I1826=$C$7),OR($C$8="Semua",$C$8="",C1826=$C$8,E1826=$C$8),OR($C$9="Semua",$C$9="",D1826=$C$9),OR($C$10="",B1826&gt;=$C$10),OR($C$11="",B1826&lt;=$C$11),OR($C$12&lt;&gt;"Ya",K1826&lt;&gt;""),OR($C$13="Semua",$C$13="",L1826=$C$13)),"✓","")</f>
        <v/>
      </c>
      <c r="N1826" s="93">
        <f>N(N1825)+IF(M1826="✓",1,0)</f>
        <v/>
      </c>
      <c r="O1826" s="93">
        <f>N(O1825)+IF(AND(B1826&lt;&gt;"",B1826&gt;='Uang Riba'!$H$30,B1826&lt;='Uang Riba'!$I$30,OR(H1826="Dana riba",H1826="Pinjam uang riba",I1826="Pinjam dari uang riba",I1826="Ganti uang riba",I1826="Kelebihan ganti dikembalikan",AND(C1826="Kantong Uang Riba",G1826="Pengeluaran"))),1,0)</f>
        <v/>
      </c>
      <c r="X1826" s="93">
        <f>IF(AND(B1826&lt;&gt;"",B1826&gt;='Buku Akun'!$H$4,B1826&lt;='Buku Akun'!$H$5,OR(C1826='Buku Akun'!$C$4,AND(D1826="Pindah",E1826='Buku Akun'!$C$4))),B1826+IF(AND(I1826="Selisih bunga",DAY(B1826)=1),0,0.01)+ROW()/10000000,"")</f>
        <v/>
      </c>
    </row>
    <row r="1827" outlineLevel="1" ht="15" customHeight="1" s="94">
      <c r="A1827" s="123">
        <f>IF(B1827="","",ROW()-15)</f>
        <v/>
      </c>
      <c r="B1827" s="124" t="n"/>
      <c r="C1827" s="123" t="n"/>
      <c r="D1827" s="123" t="n"/>
      <c r="E1827" s="123" t="n"/>
      <c r="F1827" s="125" t="n"/>
      <c r="G1827" s="123" t="n"/>
      <c r="H1827" s="123" t="n"/>
      <c r="I1827" s="123" t="n"/>
      <c r="J1827" s="123" t="n"/>
      <c r="K1827" s="123" t="n"/>
      <c r="L1827" s="123" t="n"/>
      <c r="M1827" s="123">
        <f>IF(AND(B1827&lt;&gt;"",OR($C$4="",ISNUMBER(SEARCH($C$4,C1827&amp;" "&amp;E1827&amp;" "&amp;G1827&amp;" "&amp;H1827&amp;" "&amp;I1827&amp;" "&amp;J1827&amp;" "&amp;K1827&amp;" "&amp;L1827))),OR($C$5="Semua",$C$5="",G1827=$C$5),OR($C$6="Semua",$C$6="",H1827=$C$6,H1827="Pengeluaran "&amp;$C$6,AND($C$6="Uang Kos Mama",H1827="Pengeluaran Uang Kos")),OR($C$7="Semua",$C$7="",I1827=$C$7),OR($C$8="Semua",$C$8="",C1827=$C$8,E1827=$C$8),OR($C$9="Semua",$C$9="",D1827=$C$9),OR($C$10="",B1827&gt;=$C$10),OR($C$11="",B1827&lt;=$C$11),OR($C$12&lt;&gt;"Ya",K1827&lt;&gt;""),OR($C$13="Semua",$C$13="",L1827=$C$13)),"✓","")</f>
        <v/>
      </c>
      <c r="N1827" s="93">
        <f>N(N1826)+IF(M1827="✓",1,0)</f>
        <v/>
      </c>
      <c r="O1827" s="93">
        <f>N(O1826)+IF(AND(B1827&lt;&gt;"",B1827&gt;='Uang Riba'!$H$30,B1827&lt;='Uang Riba'!$I$30,OR(H1827="Dana riba",H1827="Pinjam uang riba",I1827="Pinjam dari uang riba",I1827="Ganti uang riba",I1827="Kelebihan ganti dikembalikan",AND(C1827="Kantong Uang Riba",G1827="Pengeluaran"))),1,0)</f>
        <v/>
      </c>
      <c r="X1827" s="93">
        <f>IF(AND(B1827&lt;&gt;"",B1827&gt;='Buku Akun'!$H$4,B1827&lt;='Buku Akun'!$H$5,OR(C1827='Buku Akun'!$C$4,AND(D1827="Pindah",E1827='Buku Akun'!$C$4))),B1827+IF(AND(I1827="Selisih bunga",DAY(B1827)=1),0,0.01)+ROW()/10000000,"")</f>
        <v/>
      </c>
    </row>
    <row r="1828" outlineLevel="1" ht="15" customHeight="1" s="94">
      <c r="A1828" s="123">
        <f>IF(B1828="","",ROW()-15)</f>
        <v/>
      </c>
      <c r="B1828" s="124" t="n"/>
      <c r="C1828" s="123" t="n"/>
      <c r="D1828" s="123" t="n"/>
      <c r="E1828" s="123" t="n"/>
      <c r="F1828" s="125" t="n"/>
      <c r="G1828" s="123" t="n"/>
      <c r="H1828" s="123" t="n"/>
      <c r="I1828" s="123" t="n"/>
      <c r="J1828" s="123" t="n"/>
      <c r="K1828" s="123" t="n"/>
      <c r="L1828" s="123" t="n"/>
      <c r="M1828" s="123">
        <f>IF(AND(B1828&lt;&gt;"",OR($C$4="",ISNUMBER(SEARCH($C$4,C1828&amp;" "&amp;E1828&amp;" "&amp;G1828&amp;" "&amp;H1828&amp;" "&amp;I1828&amp;" "&amp;J1828&amp;" "&amp;K1828&amp;" "&amp;L1828))),OR($C$5="Semua",$C$5="",G1828=$C$5),OR($C$6="Semua",$C$6="",H1828=$C$6,H1828="Pengeluaran "&amp;$C$6,AND($C$6="Uang Kos Mama",H1828="Pengeluaran Uang Kos")),OR($C$7="Semua",$C$7="",I1828=$C$7),OR($C$8="Semua",$C$8="",C1828=$C$8,E1828=$C$8),OR($C$9="Semua",$C$9="",D1828=$C$9),OR($C$10="",B1828&gt;=$C$10),OR($C$11="",B1828&lt;=$C$11),OR($C$12&lt;&gt;"Ya",K1828&lt;&gt;""),OR($C$13="Semua",$C$13="",L1828=$C$13)),"✓","")</f>
        <v/>
      </c>
      <c r="N1828" s="93">
        <f>N(N1827)+IF(M1828="✓",1,0)</f>
        <v/>
      </c>
      <c r="O1828" s="93">
        <f>N(O1827)+IF(AND(B1828&lt;&gt;"",B1828&gt;='Uang Riba'!$H$30,B1828&lt;='Uang Riba'!$I$30,OR(H1828="Dana riba",H1828="Pinjam uang riba",I1828="Pinjam dari uang riba",I1828="Ganti uang riba",I1828="Kelebihan ganti dikembalikan",AND(C1828="Kantong Uang Riba",G1828="Pengeluaran"))),1,0)</f>
        <v/>
      </c>
      <c r="X1828" s="93">
        <f>IF(AND(B1828&lt;&gt;"",B1828&gt;='Buku Akun'!$H$4,B1828&lt;='Buku Akun'!$H$5,OR(C1828='Buku Akun'!$C$4,AND(D1828="Pindah",E1828='Buku Akun'!$C$4))),B1828+IF(AND(I1828="Selisih bunga",DAY(B1828)=1),0,0.01)+ROW()/10000000,"")</f>
        <v/>
      </c>
    </row>
    <row r="1829" outlineLevel="1" ht="15" customHeight="1" s="94">
      <c r="A1829" s="123">
        <f>IF(B1829="","",ROW()-15)</f>
        <v/>
      </c>
      <c r="B1829" s="124" t="n"/>
      <c r="C1829" s="123" t="n"/>
      <c r="D1829" s="123" t="n"/>
      <c r="E1829" s="123" t="n"/>
      <c r="F1829" s="125" t="n"/>
      <c r="G1829" s="123" t="n"/>
      <c r="H1829" s="123" t="n"/>
      <c r="I1829" s="123" t="n"/>
      <c r="J1829" s="123" t="n"/>
      <c r="K1829" s="123" t="n"/>
      <c r="L1829" s="123" t="n"/>
      <c r="M1829" s="123">
        <f>IF(AND(B1829&lt;&gt;"",OR($C$4="",ISNUMBER(SEARCH($C$4,C1829&amp;" "&amp;E1829&amp;" "&amp;G1829&amp;" "&amp;H1829&amp;" "&amp;I1829&amp;" "&amp;J1829&amp;" "&amp;K1829&amp;" "&amp;L1829))),OR($C$5="Semua",$C$5="",G1829=$C$5),OR($C$6="Semua",$C$6="",H1829=$C$6,H1829="Pengeluaran "&amp;$C$6,AND($C$6="Uang Kos Mama",H1829="Pengeluaran Uang Kos")),OR($C$7="Semua",$C$7="",I1829=$C$7),OR($C$8="Semua",$C$8="",C1829=$C$8,E1829=$C$8),OR($C$9="Semua",$C$9="",D1829=$C$9),OR($C$10="",B1829&gt;=$C$10),OR($C$11="",B1829&lt;=$C$11),OR($C$12&lt;&gt;"Ya",K1829&lt;&gt;""),OR($C$13="Semua",$C$13="",L1829=$C$13)),"✓","")</f>
        <v/>
      </c>
      <c r="N1829" s="93">
        <f>N(N1828)+IF(M1829="✓",1,0)</f>
        <v/>
      </c>
      <c r="O1829" s="93">
        <f>N(O1828)+IF(AND(B1829&lt;&gt;"",B1829&gt;='Uang Riba'!$H$30,B1829&lt;='Uang Riba'!$I$30,OR(H1829="Dana riba",H1829="Pinjam uang riba",I1829="Pinjam dari uang riba",I1829="Ganti uang riba",I1829="Kelebihan ganti dikembalikan",AND(C1829="Kantong Uang Riba",G1829="Pengeluaran"))),1,0)</f>
        <v/>
      </c>
      <c r="X1829" s="93">
        <f>IF(AND(B1829&lt;&gt;"",B1829&gt;='Buku Akun'!$H$4,B1829&lt;='Buku Akun'!$H$5,OR(C1829='Buku Akun'!$C$4,AND(D1829="Pindah",E1829='Buku Akun'!$C$4))),B1829+IF(AND(I1829="Selisih bunga",DAY(B1829)=1),0,0.01)+ROW()/10000000,"")</f>
        <v/>
      </c>
    </row>
    <row r="1830" outlineLevel="1" ht="15" customHeight="1" s="94">
      <c r="A1830" s="123">
        <f>IF(B1830="","",ROW()-15)</f>
        <v/>
      </c>
      <c r="B1830" s="124" t="n"/>
      <c r="C1830" s="123" t="n"/>
      <c r="D1830" s="123" t="n"/>
      <c r="E1830" s="123" t="n"/>
      <c r="F1830" s="125" t="n"/>
      <c r="G1830" s="123" t="n"/>
      <c r="H1830" s="123" t="n"/>
      <c r="I1830" s="123" t="n"/>
      <c r="J1830" s="123" t="n"/>
      <c r="K1830" s="123" t="n"/>
      <c r="L1830" s="123" t="n"/>
      <c r="M1830" s="123">
        <f>IF(AND(B1830&lt;&gt;"",OR($C$4="",ISNUMBER(SEARCH($C$4,C1830&amp;" "&amp;E1830&amp;" "&amp;G1830&amp;" "&amp;H1830&amp;" "&amp;I1830&amp;" "&amp;J1830&amp;" "&amp;K1830&amp;" "&amp;L1830))),OR($C$5="Semua",$C$5="",G1830=$C$5),OR($C$6="Semua",$C$6="",H1830=$C$6,H1830="Pengeluaran "&amp;$C$6,AND($C$6="Uang Kos Mama",H1830="Pengeluaran Uang Kos")),OR($C$7="Semua",$C$7="",I1830=$C$7),OR($C$8="Semua",$C$8="",C1830=$C$8,E1830=$C$8),OR($C$9="Semua",$C$9="",D1830=$C$9),OR($C$10="",B1830&gt;=$C$10),OR($C$11="",B1830&lt;=$C$11),OR($C$12&lt;&gt;"Ya",K1830&lt;&gt;""),OR($C$13="Semua",$C$13="",L1830=$C$13)),"✓","")</f>
        <v/>
      </c>
      <c r="N1830" s="93">
        <f>N(N1829)+IF(M1830="✓",1,0)</f>
        <v/>
      </c>
      <c r="O1830" s="93">
        <f>N(O1829)+IF(AND(B1830&lt;&gt;"",B1830&gt;='Uang Riba'!$H$30,B1830&lt;='Uang Riba'!$I$30,OR(H1830="Dana riba",H1830="Pinjam uang riba",I1830="Pinjam dari uang riba",I1830="Ganti uang riba",I1830="Kelebihan ganti dikembalikan",AND(C1830="Kantong Uang Riba",G1830="Pengeluaran"))),1,0)</f>
        <v/>
      </c>
      <c r="X1830" s="93">
        <f>IF(AND(B1830&lt;&gt;"",B1830&gt;='Buku Akun'!$H$4,B1830&lt;='Buku Akun'!$H$5,OR(C1830='Buku Akun'!$C$4,AND(D1830="Pindah",E1830='Buku Akun'!$C$4))),B1830+IF(AND(I1830="Selisih bunga",DAY(B1830)=1),0,0.01)+ROW()/10000000,"")</f>
        <v/>
      </c>
    </row>
    <row r="1831" outlineLevel="1" ht="15" customHeight="1" s="94">
      <c r="A1831" s="123">
        <f>IF(B1831="","",ROW()-15)</f>
        <v/>
      </c>
      <c r="B1831" s="124" t="n"/>
      <c r="C1831" s="123" t="n"/>
      <c r="D1831" s="123" t="n"/>
      <c r="E1831" s="123" t="n"/>
      <c r="F1831" s="125" t="n"/>
      <c r="G1831" s="123" t="n"/>
      <c r="H1831" s="123" t="n"/>
      <c r="I1831" s="123" t="n"/>
      <c r="J1831" s="123" t="n"/>
      <c r="K1831" s="123" t="n"/>
      <c r="L1831" s="123" t="n"/>
      <c r="M1831" s="123">
        <f>IF(AND(B1831&lt;&gt;"",OR($C$4="",ISNUMBER(SEARCH($C$4,C1831&amp;" "&amp;E1831&amp;" "&amp;G1831&amp;" "&amp;H1831&amp;" "&amp;I1831&amp;" "&amp;J1831&amp;" "&amp;K1831&amp;" "&amp;L1831))),OR($C$5="Semua",$C$5="",G1831=$C$5),OR($C$6="Semua",$C$6="",H1831=$C$6,H1831="Pengeluaran "&amp;$C$6,AND($C$6="Uang Kos Mama",H1831="Pengeluaran Uang Kos")),OR($C$7="Semua",$C$7="",I1831=$C$7),OR($C$8="Semua",$C$8="",C1831=$C$8,E1831=$C$8),OR($C$9="Semua",$C$9="",D1831=$C$9),OR($C$10="",B1831&gt;=$C$10),OR($C$11="",B1831&lt;=$C$11),OR($C$12&lt;&gt;"Ya",K1831&lt;&gt;""),OR($C$13="Semua",$C$13="",L1831=$C$13)),"✓","")</f>
        <v/>
      </c>
      <c r="N1831" s="93">
        <f>N(N1830)+IF(M1831="✓",1,0)</f>
        <v/>
      </c>
      <c r="O1831" s="93">
        <f>N(O1830)+IF(AND(B1831&lt;&gt;"",B1831&gt;='Uang Riba'!$H$30,B1831&lt;='Uang Riba'!$I$30,OR(H1831="Dana riba",H1831="Pinjam uang riba",I1831="Pinjam dari uang riba",I1831="Ganti uang riba",I1831="Kelebihan ganti dikembalikan",AND(C1831="Kantong Uang Riba",G1831="Pengeluaran"))),1,0)</f>
        <v/>
      </c>
      <c r="X1831" s="93">
        <f>IF(AND(B1831&lt;&gt;"",B1831&gt;='Buku Akun'!$H$4,B1831&lt;='Buku Akun'!$H$5,OR(C1831='Buku Akun'!$C$4,AND(D1831="Pindah",E1831='Buku Akun'!$C$4))),B1831+IF(AND(I1831="Selisih bunga",DAY(B1831)=1),0,0.01)+ROW()/10000000,"")</f>
        <v/>
      </c>
    </row>
    <row r="1832" outlineLevel="1" ht="15" customHeight="1" s="94">
      <c r="A1832" s="123">
        <f>IF(B1832="","",ROW()-15)</f>
        <v/>
      </c>
      <c r="B1832" s="124" t="n"/>
      <c r="C1832" s="123" t="n"/>
      <c r="D1832" s="123" t="n"/>
      <c r="E1832" s="123" t="n"/>
      <c r="F1832" s="125" t="n"/>
      <c r="G1832" s="123" t="n"/>
      <c r="H1832" s="123" t="n"/>
      <c r="I1832" s="123" t="n"/>
      <c r="J1832" s="123" t="n"/>
      <c r="K1832" s="123" t="n"/>
      <c r="L1832" s="123" t="n"/>
      <c r="M1832" s="123">
        <f>IF(AND(B1832&lt;&gt;"",OR($C$4="",ISNUMBER(SEARCH($C$4,C1832&amp;" "&amp;E1832&amp;" "&amp;G1832&amp;" "&amp;H1832&amp;" "&amp;I1832&amp;" "&amp;J1832&amp;" "&amp;K1832&amp;" "&amp;L1832))),OR($C$5="Semua",$C$5="",G1832=$C$5),OR($C$6="Semua",$C$6="",H1832=$C$6,H1832="Pengeluaran "&amp;$C$6,AND($C$6="Uang Kos Mama",H1832="Pengeluaran Uang Kos")),OR($C$7="Semua",$C$7="",I1832=$C$7),OR($C$8="Semua",$C$8="",C1832=$C$8,E1832=$C$8),OR($C$9="Semua",$C$9="",D1832=$C$9),OR($C$10="",B1832&gt;=$C$10),OR($C$11="",B1832&lt;=$C$11),OR($C$12&lt;&gt;"Ya",K1832&lt;&gt;""),OR($C$13="Semua",$C$13="",L1832=$C$13)),"✓","")</f>
        <v/>
      </c>
      <c r="N1832" s="93">
        <f>N(N1831)+IF(M1832="✓",1,0)</f>
        <v/>
      </c>
      <c r="O1832" s="93">
        <f>N(O1831)+IF(AND(B1832&lt;&gt;"",B1832&gt;='Uang Riba'!$H$30,B1832&lt;='Uang Riba'!$I$30,OR(H1832="Dana riba",H1832="Pinjam uang riba",I1832="Pinjam dari uang riba",I1832="Ganti uang riba",I1832="Kelebihan ganti dikembalikan",AND(C1832="Kantong Uang Riba",G1832="Pengeluaran"))),1,0)</f>
        <v/>
      </c>
      <c r="X1832" s="93">
        <f>IF(AND(B1832&lt;&gt;"",B1832&gt;='Buku Akun'!$H$4,B1832&lt;='Buku Akun'!$H$5,OR(C1832='Buku Akun'!$C$4,AND(D1832="Pindah",E1832='Buku Akun'!$C$4))),B1832+IF(AND(I1832="Selisih bunga",DAY(B1832)=1),0,0.01)+ROW()/10000000,"")</f>
        <v/>
      </c>
    </row>
    <row r="1833" outlineLevel="1" ht="15" customHeight="1" s="94">
      <c r="A1833" s="123">
        <f>IF(B1833="","",ROW()-15)</f>
        <v/>
      </c>
      <c r="B1833" s="124" t="n"/>
      <c r="C1833" s="123" t="n"/>
      <c r="D1833" s="123" t="n"/>
      <c r="E1833" s="123" t="n"/>
      <c r="F1833" s="125" t="n"/>
      <c r="G1833" s="123" t="n"/>
      <c r="H1833" s="123" t="n"/>
      <c r="I1833" s="123" t="n"/>
      <c r="J1833" s="123" t="n"/>
      <c r="K1833" s="123" t="n"/>
      <c r="L1833" s="123" t="n"/>
      <c r="M1833" s="123">
        <f>IF(AND(B1833&lt;&gt;"",OR($C$4="",ISNUMBER(SEARCH($C$4,C1833&amp;" "&amp;E1833&amp;" "&amp;G1833&amp;" "&amp;H1833&amp;" "&amp;I1833&amp;" "&amp;J1833&amp;" "&amp;K1833&amp;" "&amp;L1833))),OR($C$5="Semua",$C$5="",G1833=$C$5),OR($C$6="Semua",$C$6="",H1833=$C$6,H1833="Pengeluaran "&amp;$C$6,AND($C$6="Uang Kos Mama",H1833="Pengeluaran Uang Kos")),OR($C$7="Semua",$C$7="",I1833=$C$7),OR($C$8="Semua",$C$8="",C1833=$C$8,E1833=$C$8),OR($C$9="Semua",$C$9="",D1833=$C$9),OR($C$10="",B1833&gt;=$C$10),OR($C$11="",B1833&lt;=$C$11),OR($C$12&lt;&gt;"Ya",K1833&lt;&gt;""),OR($C$13="Semua",$C$13="",L1833=$C$13)),"✓","")</f>
        <v/>
      </c>
      <c r="N1833" s="93">
        <f>N(N1832)+IF(M1833="✓",1,0)</f>
        <v/>
      </c>
      <c r="O1833" s="93">
        <f>N(O1832)+IF(AND(B1833&lt;&gt;"",B1833&gt;='Uang Riba'!$H$30,B1833&lt;='Uang Riba'!$I$30,OR(H1833="Dana riba",H1833="Pinjam uang riba",I1833="Pinjam dari uang riba",I1833="Ganti uang riba",I1833="Kelebihan ganti dikembalikan",AND(C1833="Kantong Uang Riba",G1833="Pengeluaran"))),1,0)</f>
        <v/>
      </c>
      <c r="X1833" s="93">
        <f>IF(AND(B1833&lt;&gt;"",B1833&gt;='Buku Akun'!$H$4,B1833&lt;='Buku Akun'!$H$5,OR(C1833='Buku Akun'!$C$4,AND(D1833="Pindah",E1833='Buku Akun'!$C$4))),B1833+IF(AND(I1833="Selisih bunga",DAY(B1833)=1),0,0.01)+ROW()/10000000,"")</f>
        <v/>
      </c>
    </row>
    <row r="1834" outlineLevel="1" ht="15" customHeight="1" s="94">
      <c r="A1834" s="123">
        <f>IF(B1834="","",ROW()-15)</f>
        <v/>
      </c>
      <c r="B1834" s="124" t="n"/>
      <c r="C1834" s="123" t="n"/>
      <c r="D1834" s="123" t="n"/>
      <c r="E1834" s="123" t="n"/>
      <c r="F1834" s="125" t="n"/>
      <c r="G1834" s="123" t="n"/>
      <c r="H1834" s="123" t="n"/>
      <c r="I1834" s="123" t="n"/>
      <c r="J1834" s="123" t="n"/>
      <c r="K1834" s="123" t="n"/>
      <c r="L1834" s="123" t="n"/>
      <c r="M1834" s="123">
        <f>IF(AND(B1834&lt;&gt;"",OR($C$4="",ISNUMBER(SEARCH($C$4,C1834&amp;" "&amp;E1834&amp;" "&amp;G1834&amp;" "&amp;H1834&amp;" "&amp;I1834&amp;" "&amp;J1834&amp;" "&amp;K1834&amp;" "&amp;L1834))),OR($C$5="Semua",$C$5="",G1834=$C$5),OR($C$6="Semua",$C$6="",H1834=$C$6,H1834="Pengeluaran "&amp;$C$6,AND($C$6="Uang Kos Mama",H1834="Pengeluaran Uang Kos")),OR($C$7="Semua",$C$7="",I1834=$C$7),OR($C$8="Semua",$C$8="",C1834=$C$8,E1834=$C$8),OR($C$9="Semua",$C$9="",D1834=$C$9),OR($C$10="",B1834&gt;=$C$10),OR($C$11="",B1834&lt;=$C$11),OR($C$12&lt;&gt;"Ya",K1834&lt;&gt;""),OR($C$13="Semua",$C$13="",L1834=$C$13)),"✓","")</f>
        <v/>
      </c>
      <c r="N1834" s="93">
        <f>N(N1833)+IF(M1834="✓",1,0)</f>
        <v/>
      </c>
      <c r="O1834" s="93">
        <f>N(O1833)+IF(AND(B1834&lt;&gt;"",B1834&gt;='Uang Riba'!$H$30,B1834&lt;='Uang Riba'!$I$30,OR(H1834="Dana riba",H1834="Pinjam uang riba",I1834="Pinjam dari uang riba",I1834="Ganti uang riba",I1834="Kelebihan ganti dikembalikan",AND(C1834="Kantong Uang Riba",G1834="Pengeluaran"))),1,0)</f>
        <v/>
      </c>
      <c r="X1834" s="93">
        <f>IF(AND(B1834&lt;&gt;"",B1834&gt;='Buku Akun'!$H$4,B1834&lt;='Buku Akun'!$H$5,OR(C1834='Buku Akun'!$C$4,AND(D1834="Pindah",E1834='Buku Akun'!$C$4))),B1834+IF(AND(I1834="Selisih bunga",DAY(B1834)=1),0,0.01)+ROW()/10000000,"")</f>
        <v/>
      </c>
    </row>
    <row r="1835" outlineLevel="1" ht="15" customHeight="1" s="94">
      <c r="A1835" s="123">
        <f>IF(B1835="","",ROW()-15)</f>
        <v/>
      </c>
      <c r="B1835" s="124" t="n"/>
      <c r="C1835" s="123" t="n"/>
      <c r="D1835" s="123" t="n"/>
      <c r="E1835" s="123" t="n"/>
      <c r="F1835" s="125" t="n"/>
      <c r="G1835" s="123" t="n"/>
      <c r="H1835" s="123" t="n"/>
      <c r="I1835" s="123" t="n"/>
      <c r="J1835" s="123" t="n"/>
      <c r="K1835" s="123" t="n"/>
      <c r="L1835" s="123" t="n"/>
      <c r="M1835" s="123">
        <f>IF(AND(B1835&lt;&gt;"",OR($C$4="",ISNUMBER(SEARCH($C$4,C1835&amp;" "&amp;E1835&amp;" "&amp;G1835&amp;" "&amp;H1835&amp;" "&amp;I1835&amp;" "&amp;J1835&amp;" "&amp;K1835&amp;" "&amp;L1835))),OR($C$5="Semua",$C$5="",G1835=$C$5),OR($C$6="Semua",$C$6="",H1835=$C$6,H1835="Pengeluaran "&amp;$C$6,AND($C$6="Uang Kos Mama",H1835="Pengeluaran Uang Kos")),OR($C$7="Semua",$C$7="",I1835=$C$7),OR($C$8="Semua",$C$8="",C1835=$C$8,E1835=$C$8),OR($C$9="Semua",$C$9="",D1835=$C$9),OR($C$10="",B1835&gt;=$C$10),OR($C$11="",B1835&lt;=$C$11),OR($C$12&lt;&gt;"Ya",K1835&lt;&gt;""),OR($C$13="Semua",$C$13="",L1835=$C$13)),"✓","")</f>
        <v/>
      </c>
      <c r="N1835" s="93">
        <f>N(N1834)+IF(M1835="✓",1,0)</f>
        <v/>
      </c>
      <c r="O1835" s="93">
        <f>N(O1834)+IF(AND(B1835&lt;&gt;"",B1835&gt;='Uang Riba'!$H$30,B1835&lt;='Uang Riba'!$I$30,OR(H1835="Dana riba",H1835="Pinjam uang riba",I1835="Pinjam dari uang riba",I1835="Ganti uang riba",I1835="Kelebihan ganti dikembalikan",AND(C1835="Kantong Uang Riba",G1835="Pengeluaran"))),1,0)</f>
        <v/>
      </c>
      <c r="X1835" s="93">
        <f>IF(AND(B1835&lt;&gt;"",B1835&gt;='Buku Akun'!$H$4,B1835&lt;='Buku Akun'!$H$5,OR(C1835='Buku Akun'!$C$4,AND(D1835="Pindah",E1835='Buku Akun'!$C$4))),B1835+IF(AND(I1835="Selisih bunga",DAY(B1835)=1),0,0.01)+ROW()/10000000,"")</f>
        <v/>
      </c>
    </row>
    <row r="1836" outlineLevel="1" ht="15" customHeight="1" s="94">
      <c r="A1836" s="123">
        <f>IF(B1836="","",ROW()-15)</f>
        <v/>
      </c>
      <c r="B1836" s="124" t="n"/>
      <c r="C1836" s="123" t="n"/>
      <c r="D1836" s="123" t="n"/>
      <c r="E1836" s="123" t="n"/>
      <c r="F1836" s="125" t="n"/>
      <c r="G1836" s="123" t="n"/>
      <c r="H1836" s="123" t="n"/>
      <c r="I1836" s="123" t="n"/>
      <c r="J1836" s="123" t="n"/>
      <c r="K1836" s="123" t="n"/>
      <c r="L1836" s="123" t="n"/>
      <c r="M1836" s="123">
        <f>IF(AND(B1836&lt;&gt;"",OR($C$4="",ISNUMBER(SEARCH($C$4,C1836&amp;" "&amp;E1836&amp;" "&amp;G1836&amp;" "&amp;H1836&amp;" "&amp;I1836&amp;" "&amp;J1836&amp;" "&amp;K1836&amp;" "&amp;L1836))),OR($C$5="Semua",$C$5="",G1836=$C$5),OR($C$6="Semua",$C$6="",H1836=$C$6,H1836="Pengeluaran "&amp;$C$6,AND($C$6="Uang Kos Mama",H1836="Pengeluaran Uang Kos")),OR($C$7="Semua",$C$7="",I1836=$C$7),OR($C$8="Semua",$C$8="",C1836=$C$8,E1836=$C$8),OR($C$9="Semua",$C$9="",D1836=$C$9),OR($C$10="",B1836&gt;=$C$10),OR($C$11="",B1836&lt;=$C$11),OR($C$12&lt;&gt;"Ya",K1836&lt;&gt;""),OR($C$13="Semua",$C$13="",L1836=$C$13)),"✓","")</f>
        <v/>
      </c>
      <c r="N1836" s="93">
        <f>N(N1835)+IF(M1836="✓",1,0)</f>
        <v/>
      </c>
      <c r="O1836" s="93">
        <f>N(O1835)+IF(AND(B1836&lt;&gt;"",B1836&gt;='Uang Riba'!$H$30,B1836&lt;='Uang Riba'!$I$30,OR(H1836="Dana riba",H1836="Pinjam uang riba",I1836="Pinjam dari uang riba",I1836="Ganti uang riba",I1836="Kelebihan ganti dikembalikan",AND(C1836="Kantong Uang Riba",G1836="Pengeluaran"))),1,0)</f>
        <v/>
      </c>
      <c r="X1836" s="93">
        <f>IF(AND(B1836&lt;&gt;"",B1836&gt;='Buku Akun'!$H$4,B1836&lt;='Buku Akun'!$H$5,OR(C1836='Buku Akun'!$C$4,AND(D1836="Pindah",E1836='Buku Akun'!$C$4))),B1836+IF(AND(I1836="Selisih bunga",DAY(B1836)=1),0,0.01)+ROW()/10000000,"")</f>
        <v/>
      </c>
    </row>
    <row r="1837" outlineLevel="1" ht="15" customHeight="1" s="94">
      <c r="A1837" s="123">
        <f>IF(B1837="","",ROW()-15)</f>
        <v/>
      </c>
      <c r="B1837" s="124" t="n"/>
      <c r="C1837" s="123" t="n"/>
      <c r="D1837" s="123" t="n"/>
      <c r="E1837" s="123" t="n"/>
      <c r="F1837" s="125" t="n"/>
      <c r="G1837" s="123" t="n"/>
      <c r="H1837" s="123" t="n"/>
      <c r="I1837" s="123" t="n"/>
      <c r="J1837" s="123" t="n"/>
      <c r="K1837" s="123" t="n"/>
      <c r="L1837" s="123" t="n"/>
      <c r="M1837" s="123">
        <f>IF(AND(B1837&lt;&gt;"",OR($C$4="",ISNUMBER(SEARCH($C$4,C1837&amp;" "&amp;E1837&amp;" "&amp;G1837&amp;" "&amp;H1837&amp;" "&amp;I1837&amp;" "&amp;J1837&amp;" "&amp;K1837&amp;" "&amp;L1837))),OR($C$5="Semua",$C$5="",G1837=$C$5),OR($C$6="Semua",$C$6="",H1837=$C$6,H1837="Pengeluaran "&amp;$C$6,AND($C$6="Uang Kos Mama",H1837="Pengeluaran Uang Kos")),OR($C$7="Semua",$C$7="",I1837=$C$7),OR($C$8="Semua",$C$8="",C1837=$C$8,E1837=$C$8),OR($C$9="Semua",$C$9="",D1837=$C$9),OR($C$10="",B1837&gt;=$C$10),OR($C$11="",B1837&lt;=$C$11),OR($C$12&lt;&gt;"Ya",K1837&lt;&gt;""),OR($C$13="Semua",$C$13="",L1837=$C$13)),"✓","")</f>
        <v/>
      </c>
      <c r="N1837" s="93">
        <f>N(N1836)+IF(M1837="✓",1,0)</f>
        <v/>
      </c>
      <c r="O1837" s="93">
        <f>N(O1836)+IF(AND(B1837&lt;&gt;"",B1837&gt;='Uang Riba'!$H$30,B1837&lt;='Uang Riba'!$I$30,OR(H1837="Dana riba",H1837="Pinjam uang riba",I1837="Pinjam dari uang riba",I1837="Ganti uang riba",I1837="Kelebihan ganti dikembalikan",AND(C1837="Kantong Uang Riba",G1837="Pengeluaran"))),1,0)</f>
        <v/>
      </c>
      <c r="X1837" s="93">
        <f>IF(AND(B1837&lt;&gt;"",B1837&gt;='Buku Akun'!$H$4,B1837&lt;='Buku Akun'!$H$5,OR(C1837='Buku Akun'!$C$4,AND(D1837="Pindah",E1837='Buku Akun'!$C$4))),B1837+IF(AND(I1837="Selisih bunga",DAY(B1837)=1),0,0.01)+ROW()/10000000,"")</f>
        <v/>
      </c>
    </row>
    <row r="1838" outlineLevel="1" ht="15" customHeight="1" s="94">
      <c r="A1838" s="123">
        <f>IF(B1838="","",ROW()-15)</f>
        <v/>
      </c>
      <c r="B1838" s="124" t="n"/>
      <c r="C1838" s="123" t="n"/>
      <c r="D1838" s="123" t="n"/>
      <c r="E1838" s="123" t="n"/>
      <c r="F1838" s="125" t="n"/>
      <c r="G1838" s="123" t="n"/>
      <c r="H1838" s="123" t="n"/>
      <c r="I1838" s="123" t="n"/>
      <c r="J1838" s="123" t="n"/>
      <c r="K1838" s="123" t="n"/>
      <c r="L1838" s="123" t="n"/>
      <c r="M1838" s="123">
        <f>IF(AND(B1838&lt;&gt;"",OR($C$4="",ISNUMBER(SEARCH($C$4,C1838&amp;" "&amp;E1838&amp;" "&amp;G1838&amp;" "&amp;H1838&amp;" "&amp;I1838&amp;" "&amp;J1838&amp;" "&amp;K1838&amp;" "&amp;L1838))),OR($C$5="Semua",$C$5="",G1838=$C$5),OR($C$6="Semua",$C$6="",H1838=$C$6,H1838="Pengeluaran "&amp;$C$6,AND($C$6="Uang Kos Mama",H1838="Pengeluaran Uang Kos")),OR($C$7="Semua",$C$7="",I1838=$C$7),OR($C$8="Semua",$C$8="",C1838=$C$8,E1838=$C$8),OR($C$9="Semua",$C$9="",D1838=$C$9),OR($C$10="",B1838&gt;=$C$10),OR($C$11="",B1838&lt;=$C$11),OR($C$12&lt;&gt;"Ya",K1838&lt;&gt;""),OR($C$13="Semua",$C$13="",L1838=$C$13)),"✓","")</f>
        <v/>
      </c>
      <c r="N1838" s="93">
        <f>N(N1837)+IF(M1838="✓",1,0)</f>
        <v/>
      </c>
      <c r="O1838" s="93">
        <f>N(O1837)+IF(AND(B1838&lt;&gt;"",B1838&gt;='Uang Riba'!$H$30,B1838&lt;='Uang Riba'!$I$30,OR(H1838="Dana riba",H1838="Pinjam uang riba",I1838="Pinjam dari uang riba",I1838="Ganti uang riba",I1838="Kelebihan ganti dikembalikan",AND(C1838="Kantong Uang Riba",G1838="Pengeluaran"))),1,0)</f>
        <v/>
      </c>
      <c r="X1838" s="93">
        <f>IF(AND(B1838&lt;&gt;"",B1838&gt;='Buku Akun'!$H$4,B1838&lt;='Buku Akun'!$H$5,OR(C1838='Buku Akun'!$C$4,AND(D1838="Pindah",E1838='Buku Akun'!$C$4))),B1838+IF(AND(I1838="Selisih bunga",DAY(B1838)=1),0,0.01)+ROW()/10000000,"")</f>
        <v/>
      </c>
    </row>
    <row r="1839" outlineLevel="1" ht="15" customHeight="1" s="94">
      <c r="A1839" s="123">
        <f>IF(B1839="","",ROW()-15)</f>
        <v/>
      </c>
      <c r="B1839" s="124" t="n"/>
      <c r="C1839" s="123" t="n"/>
      <c r="D1839" s="123" t="n"/>
      <c r="E1839" s="123" t="n"/>
      <c r="F1839" s="125" t="n"/>
      <c r="G1839" s="123" t="n"/>
      <c r="H1839" s="123" t="n"/>
      <c r="I1839" s="123" t="n"/>
      <c r="J1839" s="123" t="n"/>
      <c r="K1839" s="123" t="n"/>
      <c r="L1839" s="123" t="n"/>
      <c r="M1839" s="123">
        <f>IF(AND(B1839&lt;&gt;"",OR($C$4="",ISNUMBER(SEARCH($C$4,C1839&amp;" "&amp;E1839&amp;" "&amp;G1839&amp;" "&amp;H1839&amp;" "&amp;I1839&amp;" "&amp;J1839&amp;" "&amp;K1839&amp;" "&amp;L1839))),OR($C$5="Semua",$C$5="",G1839=$C$5),OR($C$6="Semua",$C$6="",H1839=$C$6,H1839="Pengeluaran "&amp;$C$6,AND($C$6="Uang Kos Mama",H1839="Pengeluaran Uang Kos")),OR($C$7="Semua",$C$7="",I1839=$C$7),OR($C$8="Semua",$C$8="",C1839=$C$8,E1839=$C$8),OR($C$9="Semua",$C$9="",D1839=$C$9),OR($C$10="",B1839&gt;=$C$10),OR($C$11="",B1839&lt;=$C$11),OR($C$12&lt;&gt;"Ya",K1839&lt;&gt;""),OR($C$13="Semua",$C$13="",L1839=$C$13)),"✓","")</f>
        <v/>
      </c>
      <c r="N1839" s="93">
        <f>N(N1838)+IF(M1839="✓",1,0)</f>
        <v/>
      </c>
      <c r="O1839" s="93">
        <f>N(O1838)+IF(AND(B1839&lt;&gt;"",B1839&gt;='Uang Riba'!$H$30,B1839&lt;='Uang Riba'!$I$30,OR(H1839="Dana riba",H1839="Pinjam uang riba",I1839="Pinjam dari uang riba",I1839="Ganti uang riba",I1839="Kelebihan ganti dikembalikan",AND(C1839="Kantong Uang Riba",G1839="Pengeluaran"))),1,0)</f>
        <v/>
      </c>
      <c r="X1839" s="93">
        <f>IF(AND(B1839&lt;&gt;"",B1839&gt;='Buku Akun'!$H$4,B1839&lt;='Buku Akun'!$H$5,OR(C1839='Buku Akun'!$C$4,AND(D1839="Pindah",E1839='Buku Akun'!$C$4))),B1839+IF(AND(I1839="Selisih bunga",DAY(B1839)=1),0,0.01)+ROW()/10000000,"")</f>
        <v/>
      </c>
    </row>
    <row r="1840" outlineLevel="1" ht="15" customHeight="1" s="94">
      <c r="A1840" s="123">
        <f>IF(B1840="","",ROW()-15)</f>
        <v/>
      </c>
      <c r="B1840" s="124" t="n"/>
      <c r="C1840" s="123" t="n"/>
      <c r="D1840" s="123" t="n"/>
      <c r="E1840" s="123" t="n"/>
      <c r="F1840" s="125" t="n"/>
      <c r="G1840" s="123" t="n"/>
      <c r="H1840" s="123" t="n"/>
      <c r="I1840" s="123" t="n"/>
      <c r="J1840" s="123" t="n"/>
      <c r="K1840" s="123" t="n"/>
      <c r="L1840" s="123" t="n"/>
      <c r="M1840" s="123">
        <f>IF(AND(B1840&lt;&gt;"",OR($C$4="",ISNUMBER(SEARCH($C$4,C1840&amp;" "&amp;E1840&amp;" "&amp;G1840&amp;" "&amp;H1840&amp;" "&amp;I1840&amp;" "&amp;J1840&amp;" "&amp;K1840&amp;" "&amp;L1840))),OR($C$5="Semua",$C$5="",G1840=$C$5),OR($C$6="Semua",$C$6="",H1840=$C$6,H1840="Pengeluaran "&amp;$C$6,AND($C$6="Uang Kos Mama",H1840="Pengeluaran Uang Kos")),OR($C$7="Semua",$C$7="",I1840=$C$7),OR($C$8="Semua",$C$8="",C1840=$C$8,E1840=$C$8),OR($C$9="Semua",$C$9="",D1840=$C$9),OR($C$10="",B1840&gt;=$C$10),OR($C$11="",B1840&lt;=$C$11),OR($C$12&lt;&gt;"Ya",K1840&lt;&gt;""),OR($C$13="Semua",$C$13="",L1840=$C$13)),"✓","")</f>
        <v/>
      </c>
      <c r="N1840" s="93">
        <f>N(N1839)+IF(M1840="✓",1,0)</f>
        <v/>
      </c>
      <c r="O1840" s="93">
        <f>N(O1839)+IF(AND(B1840&lt;&gt;"",B1840&gt;='Uang Riba'!$H$30,B1840&lt;='Uang Riba'!$I$30,OR(H1840="Dana riba",H1840="Pinjam uang riba",I1840="Pinjam dari uang riba",I1840="Ganti uang riba",I1840="Kelebihan ganti dikembalikan",AND(C1840="Kantong Uang Riba",G1840="Pengeluaran"))),1,0)</f>
        <v/>
      </c>
      <c r="X1840" s="93">
        <f>IF(AND(B1840&lt;&gt;"",B1840&gt;='Buku Akun'!$H$4,B1840&lt;='Buku Akun'!$H$5,OR(C1840='Buku Akun'!$C$4,AND(D1840="Pindah",E1840='Buku Akun'!$C$4))),B1840+IF(AND(I1840="Selisih bunga",DAY(B1840)=1),0,0.01)+ROW()/10000000,"")</f>
        <v/>
      </c>
    </row>
    <row r="1841" outlineLevel="1" ht="15" customHeight="1" s="94">
      <c r="A1841" s="123">
        <f>IF(B1841="","",ROW()-15)</f>
        <v/>
      </c>
      <c r="B1841" s="124" t="n"/>
      <c r="C1841" s="123" t="n"/>
      <c r="D1841" s="123" t="n"/>
      <c r="E1841" s="123" t="n"/>
      <c r="F1841" s="125" t="n"/>
      <c r="G1841" s="123" t="n"/>
      <c r="H1841" s="123" t="n"/>
      <c r="I1841" s="123" t="n"/>
      <c r="J1841" s="123" t="n"/>
      <c r="K1841" s="123" t="n"/>
      <c r="L1841" s="123" t="n"/>
      <c r="M1841" s="123">
        <f>IF(AND(B1841&lt;&gt;"",OR($C$4="",ISNUMBER(SEARCH($C$4,C1841&amp;" "&amp;E1841&amp;" "&amp;G1841&amp;" "&amp;H1841&amp;" "&amp;I1841&amp;" "&amp;J1841&amp;" "&amp;K1841&amp;" "&amp;L1841))),OR($C$5="Semua",$C$5="",G1841=$C$5),OR($C$6="Semua",$C$6="",H1841=$C$6,H1841="Pengeluaran "&amp;$C$6,AND($C$6="Uang Kos Mama",H1841="Pengeluaran Uang Kos")),OR($C$7="Semua",$C$7="",I1841=$C$7),OR($C$8="Semua",$C$8="",C1841=$C$8,E1841=$C$8),OR($C$9="Semua",$C$9="",D1841=$C$9),OR($C$10="",B1841&gt;=$C$10),OR($C$11="",B1841&lt;=$C$11),OR($C$12&lt;&gt;"Ya",K1841&lt;&gt;""),OR($C$13="Semua",$C$13="",L1841=$C$13)),"✓","")</f>
        <v/>
      </c>
      <c r="N1841" s="93">
        <f>N(N1840)+IF(M1841="✓",1,0)</f>
        <v/>
      </c>
      <c r="O1841" s="93">
        <f>N(O1840)+IF(AND(B1841&lt;&gt;"",B1841&gt;='Uang Riba'!$H$30,B1841&lt;='Uang Riba'!$I$30,OR(H1841="Dana riba",H1841="Pinjam uang riba",I1841="Pinjam dari uang riba",I1841="Ganti uang riba",I1841="Kelebihan ganti dikembalikan",AND(C1841="Kantong Uang Riba",G1841="Pengeluaran"))),1,0)</f>
        <v/>
      </c>
      <c r="X1841" s="93">
        <f>IF(AND(B1841&lt;&gt;"",B1841&gt;='Buku Akun'!$H$4,B1841&lt;='Buku Akun'!$H$5,OR(C1841='Buku Akun'!$C$4,AND(D1841="Pindah",E1841='Buku Akun'!$C$4))),B1841+IF(AND(I1841="Selisih bunga",DAY(B1841)=1),0,0.01)+ROW()/10000000,"")</f>
        <v/>
      </c>
    </row>
    <row r="1842" outlineLevel="1" ht="15" customHeight="1" s="94">
      <c r="A1842" s="123">
        <f>IF(B1842="","",ROW()-15)</f>
        <v/>
      </c>
      <c r="B1842" s="124" t="n"/>
      <c r="C1842" s="123" t="n"/>
      <c r="D1842" s="123" t="n"/>
      <c r="E1842" s="123" t="n"/>
      <c r="F1842" s="125" t="n"/>
      <c r="G1842" s="123" t="n"/>
      <c r="H1842" s="123" t="n"/>
      <c r="I1842" s="123" t="n"/>
      <c r="J1842" s="123" t="n"/>
      <c r="K1842" s="123" t="n"/>
      <c r="L1842" s="123" t="n"/>
      <c r="M1842" s="123">
        <f>IF(AND(B1842&lt;&gt;"",OR($C$4="",ISNUMBER(SEARCH($C$4,C1842&amp;" "&amp;E1842&amp;" "&amp;G1842&amp;" "&amp;H1842&amp;" "&amp;I1842&amp;" "&amp;J1842&amp;" "&amp;K1842&amp;" "&amp;L1842))),OR($C$5="Semua",$C$5="",G1842=$C$5),OR($C$6="Semua",$C$6="",H1842=$C$6,H1842="Pengeluaran "&amp;$C$6,AND($C$6="Uang Kos Mama",H1842="Pengeluaran Uang Kos")),OR($C$7="Semua",$C$7="",I1842=$C$7),OR($C$8="Semua",$C$8="",C1842=$C$8,E1842=$C$8),OR($C$9="Semua",$C$9="",D1842=$C$9),OR($C$10="",B1842&gt;=$C$10),OR($C$11="",B1842&lt;=$C$11),OR($C$12&lt;&gt;"Ya",K1842&lt;&gt;""),OR($C$13="Semua",$C$13="",L1842=$C$13)),"✓","")</f>
        <v/>
      </c>
      <c r="N1842" s="93">
        <f>N(N1841)+IF(M1842="✓",1,0)</f>
        <v/>
      </c>
      <c r="O1842" s="93">
        <f>N(O1841)+IF(AND(B1842&lt;&gt;"",B1842&gt;='Uang Riba'!$H$30,B1842&lt;='Uang Riba'!$I$30,OR(H1842="Dana riba",H1842="Pinjam uang riba",I1842="Pinjam dari uang riba",I1842="Ganti uang riba",I1842="Kelebihan ganti dikembalikan",AND(C1842="Kantong Uang Riba",G1842="Pengeluaran"))),1,0)</f>
        <v/>
      </c>
      <c r="X1842" s="93">
        <f>IF(AND(B1842&lt;&gt;"",B1842&gt;='Buku Akun'!$H$4,B1842&lt;='Buku Akun'!$H$5,OR(C1842='Buku Akun'!$C$4,AND(D1842="Pindah",E1842='Buku Akun'!$C$4))),B1842+IF(AND(I1842="Selisih bunga",DAY(B1842)=1),0,0.01)+ROW()/10000000,"")</f>
        <v/>
      </c>
    </row>
    <row r="1843" outlineLevel="1" ht="15" customHeight="1" s="94">
      <c r="A1843" s="123">
        <f>IF(B1843="","",ROW()-15)</f>
        <v/>
      </c>
      <c r="B1843" s="124" t="n"/>
      <c r="C1843" s="123" t="n"/>
      <c r="D1843" s="123" t="n"/>
      <c r="E1843" s="123" t="n"/>
      <c r="F1843" s="125" t="n"/>
      <c r="G1843" s="123" t="n"/>
      <c r="H1843" s="123" t="n"/>
      <c r="I1843" s="123" t="n"/>
      <c r="J1843" s="123" t="n"/>
      <c r="K1843" s="123" t="n"/>
      <c r="L1843" s="123" t="n"/>
      <c r="M1843" s="123">
        <f>IF(AND(B1843&lt;&gt;"",OR($C$4="",ISNUMBER(SEARCH($C$4,C1843&amp;" "&amp;E1843&amp;" "&amp;G1843&amp;" "&amp;H1843&amp;" "&amp;I1843&amp;" "&amp;J1843&amp;" "&amp;K1843&amp;" "&amp;L1843))),OR($C$5="Semua",$C$5="",G1843=$C$5),OR($C$6="Semua",$C$6="",H1843=$C$6,H1843="Pengeluaran "&amp;$C$6,AND($C$6="Uang Kos Mama",H1843="Pengeluaran Uang Kos")),OR($C$7="Semua",$C$7="",I1843=$C$7),OR($C$8="Semua",$C$8="",C1843=$C$8,E1843=$C$8),OR($C$9="Semua",$C$9="",D1843=$C$9),OR($C$10="",B1843&gt;=$C$10),OR($C$11="",B1843&lt;=$C$11),OR($C$12&lt;&gt;"Ya",K1843&lt;&gt;""),OR($C$13="Semua",$C$13="",L1843=$C$13)),"✓","")</f>
        <v/>
      </c>
      <c r="N1843" s="93">
        <f>N(N1842)+IF(M1843="✓",1,0)</f>
        <v/>
      </c>
      <c r="O1843" s="93">
        <f>N(O1842)+IF(AND(B1843&lt;&gt;"",B1843&gt;='Uang Riba'!$H$30,B1843&lt;='Uang Riba'!$I$30,OR(H1843="Dana riba",H1843="Pinjam uang riba",I1843="Pinjam dari uang riba",I1843="Ganti uang riba",I1843="Kelebihan ganti dikembalikan",AND(C1843="Kantong Uang Riba",G1843="Pengeluaran"))),1,0)</f>
        <v/>
      </c>
      <c r="X1843" s="93">
        <f>IF(AND(B1843&lt;&gt;"",B1843&gt;='Buku Akun'!$H$4,B1843&lt;='Buku Akun'!$H$5,OR(C1843='Buku Akun'!$C$4,AND(D1843="Pindah",E1843='Buku Akun'!$C$4))),B1843+IF(AND(I1843="Selisih bunga",DAY(B1843)=1),0,0.01)+ROW()/10000000,"")</f>
        <v/>
      </c>
    </row>
    <row r="1844" outlineLevel="1" ht="15" customHeight="1" s="94">
      <c r="A1844" s="123">
        <f>IF(B1844="","",ROW()-15)</f>
        <v/>
      </c>
      <c r="B1844" s="124" t="n"/>
      <c r="C1844" s="123" t="n"/>
      <c r="D1844" s="123" t="n"/>
      <c r="E1844" s="123" t="n"/>
      <c r="F1844" s="125" t="n"/>
      <c r="G1844" s="123" t="n"/>
      <c r="H1844" s="123" t="n"/>
      <c r="I1844" s="123" t="n"/>
      <c r="J1844" s="123" t="n"/>
      <c r="K1844" s="123" t="n"/>
      <c r="L1844" s="123" t="n"/>
      <c r="M1844" s="123">
        <f>IF(AND(B1844&lt;&gt;"",OR($C$4="",ISNUMBER(SEARCH($C$4,C1844&amp;" "&amp;E1844&amp;" "&amp;G1844&amp;" "&amp;H1844&amp;" "&amp;I1844&amp;" "&amp;J1844&amp;" "&amp;K1844&amp;" "&amp;L1844))),OR($C$5="Semua",$C$5="",G1844=$C$5),OR($C$6="Semua",$C$6="",H1844=$C$6,H1844="Pengeluaran "&amp;$C$6,AND($C$6="Uang Kos Mama",H1844="Pengeluaran Uang Kos")),OR($C$7="Semua",$C$7="",I1844=$C$7),OR($C$8="Semua",$C$8="",C1844=$C$8,E1844=$C$8),OR($C$9="Semua",$C$9="",D1844=$C$9),OR($C$10="",B1844&gt;=$C$10),OR($C$11="",B1844&lt;=$C$11),OR($C$12&lt;&gt;"Ya",K1844&lt;&gt;""),OR($C$13="Semua",$C$13="",L1844=$C$13)),"✓","")</f>
        <v/>
      </c>
      <c r="N1844" s="93">
        <f>N(N1843)+IF(M1844="✓",1,0)</f>
        <v/>
      </c>
      <c r="O1844" s="93">
        <f>N(O1843)+IF(AND(B1844&lt;&gt;"",B1844&gt;='Uang Riba'!$H$30,B1844&lt;='Uang Riba'!$I$30,OR(H1844="Dana riba",H1844="Pinjam uang riba",I1844="Pinjam dari uang riba",I1844="Ganti uang riba",I1844="Kelebihan ganti dikembalikan",AND(C1844="Kantong Uang Riba",G1844="Pengeluaran"))),1,0)</f>
        <v/>
      </c>
      <c r="X1844" s="93">
        <f>IF(AND(B1844&lt;&gt;"",B1844&gt;='Buku Akun'!$H$4,B1844&lt;='Buku Akun'!$H$5,OR(C1844='Buku Akun'!$C$4,AND(D1844="Pindah",E1844='Buku Akun'!$C$4))),B1844+IF(AND(I1844="Selisih bunga",DAY(B1844)=1),0,0.01)+ROW()/10000000,"")</f>
        <v/>
      </c>
    </row>
    <row r="1845" outlineLevel="1" ht="15" customHeight="1" s="94">
      <c r="A1845" s="123">
        <f>IF(B1845="","",ROW()-15)</f>
        <v/>
      </c>
      <c r="B1845" s="124" t="n"/>
      <c r="C1845" s="123" t="n"/>
      <c r="D1845" s="123" t="n"/>
      <c r="E1845" s="123" t="n"/>
      <c r="F1845" s="125" t="n"/>
      <c r="G1845" s="123" t="n"/>
      <c r="H1845" s="123" t="n"/>
      <c r="I1845" s="123" t="n"/>
      <c r="J1845" s="123" t="n"/>
      <c r="K1845" s="123" t="n"/>
      <c r="L1845" s="123" t="n"/>
      <c r="M1845" s="123">
        <f>IF(AND(B1845&lt;&gt;"",OR($C$4="",ISNUMBER(SEARCH($C$4,C1845&amp;" "&amp;E1845&amp;" "&amp;G1845&amp;" "&amp;H1845&amp;" "&amp;I1845&amp;" "&amp;J1845&amp;" "&amp;K1845&amp;" "&amp;L1845))),OR($C$5="Semua",$C$5="",G1845=$C$5),OR($C$6="Semua",$C$6="",H1845=$C$6,H1845="Pengeluaran "&amp;$C$6,AND($C$6="Uang Kos Mama",H1845="Pengeluaran Uang Kos")),OR($C$7="Semua",$C$7="",I1845=$C$7),OR($C$8="Semua",$C$8="",C1845=$C$8,E1845=$C$8),OR($C$9="Semua",$C$9="",D1845=$C$9),OR($C$10="",B1845&gt;=$C$10),OR($C$11="",B1845&lt;=$C$11),OR($C$12&lt;&gt;"Ya",K1845&lt;&gt;""),OR($C$13="Semua",$C$13="",L1845=$C$13)),"✓","")</f>
        <v/>
      </c>
      <c r="N1845" s="93">
        <f>N(N1844)+IF(M1845="✓",1,0)</f>
        <v/>
      </c>
      <c r="O1845" s="93">
        <f>N(O1844)+IF(AND(B1845&lt;&gt;"",B1845&gt;='Uang Riba'!$H$30,B1845&lt;='Uang Riba'!$I$30,OR(H1845="Dana riba",H1845="Pinjam uang riba",I1845="Pinjam dari uang riba",I1845="Ganti uang riba",I1845="Kelebihan ganti dikembalikan",AND(C1845="Kantong Uang Riba",G1845="Pengeluaran"))),1,0)</f>
        <v/>
      </c>
      <c r="X1845" s="93">
        <f>IF(AND(B1845&lt;&gt;"",B1845&gt;='Buku Akun'!$H$4,B1845&lt;='Buku Akun'!$H$5,OR(C1845='Buku Akun'!$C$4,AND(D1845="Pindah",E1845='Buku Akun'!$C$4))),B1845+IF(AND(I1845="Selisih bunga",DAY(B1845)=1),0,0.01)+ROW()/10000000,"")</f>
        <v/>
      </c>
    </row>
    <row r="1846" outlineLevel="1" ht="15" customHeight="1" s="94">
      <c r="A1846" s="123">
        <f>IF(B1846="","",ROW()-15)</f>
        <v/>
      </c>
      <c r="B1846" s="124" t="n"/>
      <c r="C1846" s="123" t="n"/>
      <c r="D1846" s="123" t="n"/>
      <c r="E1846" s="123" t="n"/>
      <c r="F1846" s="125" t="n"/>
      <c r="G1846" s="123" t="n"/>
      <c r="H1846" s="123" t="n"/>
      <c r="I1846" s="123" t="n"/>
      <c r="J1846" s="123" t="n"/>
      <c r="K1846" s="123" t="n"/>
      <c r="L1846" s="123" t="n"/>
      <c r="M1846" s="123">
        <f>IF(AND(B1846&lt;&gt;"",OR($C$4="",ISNUMBER(SEARCH($C$4,C1846&amp;" "&amp;E1846&amp;" "&amp;G1846&amp;" "&amp;H1846&amp;" "&amp;I1846&amp;" "&amp;J1846&amp;" "&amp;K1846&amp;" "&amp;L1846))),OR($C$5="Semua",$C$5="",G1846=$C$5),OR($C$6="Semua",$C$6="",H1846=$C$6,H1846="Pengeluaran "&amp;$C$6,AND($C$6="Uang Kos Mama",H1846="Pengeluaran Uang Kos")),OR($C$7="Semua",$C$7="",I1846=$C$7),OR($C$8="Semua",$C$8="",C1846=$C$8,E1846=$C$8),OR($C$9="Semua",$C$9="",D1846=$C$9),OR($C$10="",B1846&gt;=$C$10),OR($C$11="",B1846&lt;=$C$11),OR($C$12&lt;&gt;"Ya",K1846&lt;&gt;""),OR($C$13="Semua",$C$13="",L1846=$C$13)),"✓","")</f>
        <v/>
      </c>
      <c r="N1846" s="93">
        <f>N(N1845)+IF(M1846="✓",1,0)</f>
        <v/>
      </c>
      <c r="O1846" s="93">
        <f>N(O1845)+IF(AND(B1846&lt;&gt;"",B1846&gt;='Uang Riba'!$H$30,B1846&lt;='Uang Riba'!$I$30,OR(H1846="Dana riba",H1846="Pinjam uang riba",I1846="Pinjam dari uang riba",I1846="Ganti uang riba",I1846="Kelebihan ganti dikembalikan",AND(C1846="Kantong Uang Riba",G1846="Pengeluaran"))),1,0)</f>
        <v/>
      </c>
      <c r="X1846" s="93">
        <f>IF(AND(B1846&lt;&gt;"",B1846&gt;='Buku Akun'!$H$4,B1846&lt;='Buku Akun'!$H$5,OR(C1846='Buku Akun'!$C$4,AND(D1846="Pindah",E1846='Buku Akun'!$C$4))),B1846+IF(AND(I1846="Selisih bunga",DAY(B1846)=1),0,0.01)+ROW()/10000000,"")</f>
        <v/>
      </c>
    </row>
    <row r="1847" outlineLevel="1" ht="15" customHeight="1" s="94">
      <c r="A1847" s="123">
        <f>IF(B1847="","",ROW()-15)</f>
        <v/>
      </c>
      <c r="B1847" s="124" t="n"/>
      <c r="C1847" s="123" t="n"/>
      <c r="D1847" s="123" t="n"/>
      <c r="E1847" s="123" t="n"/>
      <c r="F1847" s="125" t="n"/>
      <c r="G1847" s="123" t="n"/>
      <c r="H1847" s="123" t="n"/>
      <c r="I1847" s="123" t="n"/>
      <c r="J1847" s="123" t="n"/>
      <c r="K1847" s="123" t="n"/>
      <c r="L1847" s="123" t="n"/>
      <c r="M1847" s="123">
        <f>IF(AND(B1847&lt;&gt;"",OR($C$4="",ISNUMBER(SEARCH($C$4,C1847&amp;" "&amp;E1847&amp;" "&amp;G1847&amp;" "&amp;H1847&amp;" "&amp;I1847&amp;" "&amp;J1847&amp;" "&amp;K1847&amp;" "&amp;L1847))),OR($C$5="Semua",$C$5="",G1847=$C$5),OR($C$6="Semua",$C$6="",H1847=$C$6,H1847="Pengeluaran "&amp;$C$6,AND($C$6="Uang Kos Mama",H1847="Pengeluaran Uang Kos")),OR($C$7="Semua",$C$7="",I1847=$C$7),OR($C$8="Semua",$C$8="",C1847=$C$8,E1847=$C$8),OR($C$9="Semua",$C$9="",D1847=$C$9),OR($C$10="",B1847&gt;=$C$10),OR($C$11="",B1847&lt;=$C$11),OR($C$12&lt;&gt;"Ya",K1847&lt;&gt;""),OR($C$13="Semua",$C$13="",L1847=$C$13)),"✓","")</f>
        <v/>
      </c>
      <c r="N1847" s="93">
        <f>N(N1846)+IF(M1847="✓",1,0)</f>
        <v/>
      </c>
      <c r="O1847" s="93">
        <f>N(O1846)+IF(AND(B1847&lt;&gt;"",B1847&gt;='Uang Riba'!$H$30,B1847&lt;='Uang Riba'!$I$30,OR(H1847="Dana riba",H1847="Pinjam uang riba",I1847="Pinjam dari uang riba",I1847="Ganti uang riba",I1847="Kelebihan ganti dikembalikan",AND(C1847="Kantong Uang Riba",G1847="Pengeluaran"))),1,0)</f>
        <v/>
      </c>
      <c r="X1847" s="93">
        <f>IF(AND(B1847&lt;&gt;"",B1847&gt;='Buku Akun'!$H$4,B1847&lt;='Buku Akun'!$H$5,OR(C1847='Buku Akun'!$C$4,AND(D1847="Pindah",E1847='Buku Akun'!$C$4))),B1847+IF(AND(I1847="Selisih bunga",DAY(B1847)=1),0,0.01)+ROW()/10000000,"")</f>
        <v/>
      </c>
    </row>
    <row r="1848" outlineLevel="1" ht="15" customHeight="1" s="94">
      <c r="A1848" s="123">
        <f>IF(B1848="","",ROW()-15)</f>
        <v/>
      </c>
      <c r="B1848" s="124" t="n"/>
      <c r="C1848" s="123" t="n"/>
      <c r="D1848" s="123" t="n"/>
      <c r="E1848" s="123" t="n"/>
      <c r="F1848" s="125" t="n"/>
      <c r="G1848" s="123" t="n"/>
      <c r="H1848" s="123" t="n"/>
      <c r="I1848" s="123" t="n"/>
      <c r="J1848" s="123" t="n"/>
      <c r="K1848" s="123" t="n"/>
      <c r="L1848" s="123" t="n"/>
      <c r="M1848" s="123">
        <f>IF(AND(B1848&lt;&gt;"",OR($C$4="",ISNUMBER(SEARCH($C$4,C1848&amp;" "&amp;E1848&amp;" "&amp;G1848&amp;" "&amp;H1848&amp;" "&amp;I1848&amp;" "&amp;J1848&amp;" "&amp;K1848&amp;" "&amp;L1848))),OR($C$5="Semua",$C$5="",G1848=$C$5),OR($C$6="Semua",$C$6="",H1848=$C$6,H1848="Pengeluaran "&amp;$C$6,AND($C$6="Uang Kos Mama",H1848="Pengeluaran Uang Kos")),OR($C$7="Semua",$C$7="",I1848=$C$7),OR($C$8="Semua",$C$8="",C1848=$C$8,E1848=$C$8),OR($C$9="Semua",$C$9="",D1848=$C$9),OR($C$10="",B1848&gt;=$C$10),OR($C$11="",B1848&lt;=$C$11),OR($C$12&lt;&gt;"Ya",K1848&lt;&gt;""),OR($C$13="Semua",$C$13="",L1848=$C$13)),"✓","")</f>
        <v/>
      </c>
      <c r="N1848" s="93">
        <f>N(N1847)+IF(M1848="✓",1,0)</f>
        <v/>
      </c>
      <c r="O1848" s="93">
        <f>N(O1847)+IF(AND(B1848&lt;&gt;"",B1848&gt;='Uang Riba'!$H$30,B1848&lt;='Uang Riba'!$I$30,OR(H1848="Dana riba",H1848="Pinjam uang riba",I1848="Pinjam dari uang riba",I1848="Ganti uang riba",I1848="Kelebihan ganti dikembalikan",AND(C1848="Kantong Uang Riba",G1848="Pengeluaran"))),1,0)</f>
        <v/>
      </c>
      <c r="X1848" s="93">
        <f>IF(AND(B1848&lt;&gt;"",B1848&gt;='Buku Akun'!$H$4,B1848&lt;='Buku Akun'!$H$5,OR(C1848='Buku Akun'!$C$4,AND(D1848="Pindah",E1848='Buku Akun'!$C$4))),B1848+IF(AND(I1848="Selisih bunga",DAY(B1848)=1),0,0.01)+ROW()/10000000,"")</f>
        <v/>
      </c>
    </row>
    <row r="1849" outlineLevel="1" ht="15" customHeight="1" s="94">
      <c r="A1849" s="123">
        <f>IF(B1849="","",ROW()-15)</f>
        <v/>
      </c>
      <c r="B1849" s="124" t="n"/>
      <c r="C1849" s="123" t="n"/>
      <c r="D1849" s="123" t="n"/>
      <c r="E1849" s="123" t="n"/>
      <c r="F1849" s="125" t="n"/>
      <c r="G1849" s="123" t="n"/>
      <c r="H1849" s="123" t="n"/>
      <c r="I1849" s="123" t="n"/>
      <c r="J1849" s="123" t="n"/>
      <c r="K1849" s="123" t="n"/>
      <c r="L1849" s="123" t="n"/>
      <c r="M1849" s="123">
        <f>IF(AND(B1849&lt;&gt;"",OR($C$4="",ISNUMBER(SEARCH($C$4,C1849&amp;" "&amp;E1849&amp;" "&amp;G1849&amp;" "&amp;H1849&amp;" "&amp;I1849&amp;" "&amp;J1849&amp;" "&amp;K1849&amp;" "&amp;L1849))),OR($C$5="Semua",$C$5="",G1849=$C$5),OR($C$6="Semua",$C$6="",H1849=$C$6,H1849="Pengeluaran "&amp;$C$6,AND($C$6="Uang Kos Mama",H1849="Pengeluaran Uang Kos")),OR($C$7="Semua",$C$7="",I1849=$C$7),OR($C$8="Semua",$C$8="",C1849=$C$8,E1849=$C$8),OR($C$9="Semua",$C$9="",D1849=$C$9),OR($C$10="",B1849&gt;=$C$10),OR($C$11="",B1849&lt;=$C$11),OR($C$12&lt;&gt;"Ya",K1849&lt;&gt;""),OR($C$13="Semua",$C$13="",L1849=$C$13)),"✓","")</f>
        <v/>
      </c>
      <c r="N1849" s="93">
        <f>N(N1848)+IF(M1849="✓",1,0)</f>
        <v/>
      </c>
      <c r="O1849" s="93">
        <f>N(O1848)+IF(AND(B1849&lt;&gt;"",B1849&gt;='Uang Riba'!$H$30,B1849&lt;='Uang Riba'!$I$30,OR(H1849="Dana riba",H1849="Pinjam uang riba",I1849="Pinjam dari uang riba",I1849="Ganti uang riba",I1849="Kelebihan ganti dikembalikan",AND(C1849="Kantong Uang Riba",G1849="Pengeluaran"))),1,0)</f>
        <v/>
      </c>
      <c r="X1849" s="93">
        <f>IF(AND(B1849&lt;&gt;"",B1849&gt;='Buku Akun'!$H$4,B1849&lt;='Buku Akun'!$H$5,OR(C1849='Buku Akun'!$C$4,AND(D1849="Pindah",E1849='Buku Akun'!$C$4))),B1849+IF(AND(I1849="Selisih bunga",DAY(B1849)=1),0,0.01)+ROW()/10000000,"")</f>
        <v/>
      </c>
    </row>
    <row r="1850" outlineLevel="1" ht="15" customHeight="1" s="94">
      <c r="A1850" s="123">
        <f>IF(B1850="","",ROW()-15)</f>
        <v/>
      </c>
      <c r="B1850" s="124" t="n"/>
      <c r="C1850" s="123" t="n"/>
      <c r="D1850" s="123" t="n"/>
      <c r="E1850" s="123" t="n"/>
      <c r="F1850" s="125" t="n"/>
      <c r="G1850" s="123" t="n"/>
      <c r="H1850" s="123" t="n"/>
      <c r="I1850" s="123" t="n"/>
      <c r="J1850" s="123" t="n"/>
      <c r="K1850" s="123" t="n"/>
      <c r="L1850" s="123" t="n"/>
      <c r="M1850" s="123">
        <f>IF(AND(B1850&lt;&gt;"",OR($C$4="",ISNUMBER(SEARCH($C$4,C1850&amp;" "&amp;E1850&amp;" "&amp;G1850&amp;" "&amp;H1850&amp;" "&amp;I1850&amp;" "&amp;J1850&amp;" "&amp;K1850&amp;" "&amp;L1850))),OR($C$5="Semua",$C$5="",G1850=$C$5),OR($C$6="Semua",$C$6="",H1850=$C$6,H1850="Pengeluaran "&amp;$C$6,AND($C$6="Uang Kos Mama",H1850="Pengeluaran Uang Kos")),OR($C$7="Semua",$C$7="",I1850=$C$7),OR($C$8="Semua",$C$8="",C1850=$C$8,E1850=$C$8),OR($C$9="Semua",$C$9="",D1850=$C$9),OR($C$10="",B1850&gt;=$C$10),OR($C$11="",B1850&lt;=$C$11),OR($C$12&lt;&gt;"Ya",K1850&lt;&gt;""),OR($C$13="Semua",$C$13="",L1850=$C$13)),"✓","")</f>
        <v/>
      </c>
      <c r="N1850" s="93">
        <f>N(N1849)+IF(M1850="✓",1,0)</f>
        <v/>
      </c>
      <c r="O1850" s="93">
        <f>N(O1849)+IF(AND(B1850&lt;&gt;"",B1850&gt;='Uang Riba'!$H$30,B1850&lt;='Uang Riba'!$I$30,OR(H1850="Dana riba",H1850="Pinjam uang riba",I1850="Pinjam dari uang riba",I1850="Ganti uang riba",I1850="Kelebihan ganti dikembalikan",AND(C1850="Kantong Uang Riba",G1850="Pengeluaran"))),1,0)</f>
        <v/>
      </c>
      <c r="X1850" s="93">
        <f>IF(AND(B1850&lt;&gt;"",B1850&gt;='Buku Akun'!$H$4,B1850&lt;='Buku Akun'!$H$5,OR(C1850='Buku Akun'!$C$4,AND(D1850="Pindah",E1850='Buku Akun'!$C$4))),B1850+IF(AND(I1850="Selisih bunga",DAY(B1850)=1),0,0.01)+ROW()/10000000,"")</f>
        <v/>
      </c>
    </row>
    <row r="1851" outlineLevel="1" ht="15" customHeight="1" s="94">
      <c r="A1851" s="123">
        <f>IF(B1851="","",ROW()-15)</f>
        <v/>
      </c>
      <c r="B1851" s="124" t="n"/>
      <c r="C1851" s="123" t="n"/>
      <c r="D1851" s="123" t="n"/>
      <c r="E1851" s="123" t="n"/>
      <c r="F1851" s="125" t="n"/>
      <c r="G1851" s="123" t="n"/>
      <c r="H1851" s="123" t="n"/>
      <c r="I1851" s="123" t="n"/>
      <c r="J1851" s="123" t="n"/>
      <c r="K1851" s="123" t="n"/>
      <c r="L1851" s="123" t="n"/>
      <c r="M1851" s="123">
        <f>IF(AND(B1851&lt;&gt;"",OR($C$4="",ISNUMBER(SEARCH($C$4,C1851&amp;" "&amp;E1851&amp;" "&amp;G1851&amp;" "&amp;H1851&amp;" "&amp;I1851&amp;" "&amp;J1851&amp;" "&amp;K1851&amp;" "&amp;L1851))),OR($C$5="Semua",$C$5="",G1851=$C$5),OR($C$6="Semua",$C$6="",H1851=$C$6,H1851="Pengeluaran "&amp;$C$6,AND($C$6="Uang Kos Mama",H1851="Pengeluaran Uang Kos")),OR($C$7="Semua",$C$7="",I1851=$C$7),OR($C$8="Semua",$C$8="",C1851=$C$8,E1851=$C$8),OR($C$9="Semua",$C$9="",D1851=$C$9),OR($C$10="",B1851&gt;=$C$10),OR($C$11="",B1851&lt;=$C$11),OR($C$12&lt;&gt;"Ya",K1851&lt;&gt;""),OR($C$13="Semua",$C$13="",L1851=$C$13)),"✓","")</f>
        <v/>
      </c>
      <c r="N1851" s="93">
        <f>N(N1850)+IF(M1851="✓",1,0)</f>
        <v/>
      </c>
      <c r="O1851" s="93">
        <f>N(O1850)+IF(AND(B1851&lt;&gt;"",B1851&gt;='Uang Riba'!$H$30,B1851&lt;='Uang Riba'!$I$30,OR(H1851="Dana riba",H1851="Pinjam uang riba",I1851="Pinjam dari uang riba",I1851="Ganti uang riba",I1851="Kelebihan ganti dikembalikan",AND(C1851="Kantong Uang Riba",G1851="Pengeluaran"))),1,0)</f>
        <v/>
      </c>
      <c r="X1851" s="93">
        <f>IF(AND(B1851&lt;&gt;"",B1851&gt;='Buku Akun'!$H$4,B1851&lt;='Buku Akun'!$H$5,OR(C1851='Buku Akun'!$C$4,AND(D1851="Pindah",E1851='Buku Akun'!$C$4))),B1851+IF(AND(I1851="Selisih bunga",DAY(B1851)=1),0,0.01)+ROW()/10000000,"")</f>
        <v/>
      </c>
    </row>
    <row r="1852" outlineLevel="1" ht="15" customHeight="1" s="94">
      <c r="A1852" s="123">
        <f>IF(B1852="","",ROW()-15)</f>
        <v/>
      </c>
      <c r="B1852" s="124" t="n"/>
      <c r="C1852" s="123" t="n"/>
      <c r="D1852" s="123" t="n"/>
      <c r="E1852" s="123" t="n"/>
      <c r="F1852" s="125" t="n"/>
      <c r="G1852" s="123" t="n"/>
      <c r="H1852" s="123" t="n"/>
      <c r="I1852" s="123" t="n"/>
      <c r="J1852" s="123" t="n"/>
      <c r="K1852" s="123" t="n"/>
      <c r="L1852" s="123" t="n"/>
      <c r="M1852" s="123">
        <f>IF(AND(B1852&lt;&gt;"",OR($C$4="",ISNUMBER(SEARCH($C$4,C1852&amp;" "&amp;E1852&amp;" "&amp;G1852&amp;" "&amp;H1852&amp;" "&amp;I1852&amp;" "&amp;J1852&amp;" "&amp;K1852&amp;" "&amp;L1852))),OR($C$5="Semua",$C$5="",G1852=$C$5),OR($C$6="Semua",$C$6="",H1852=$C$6,H1852="Pengeluaran "&amp;$C$6,AND($C$6="Uang Kos Mama",H1852="Pengeluaran Uang Kos")),OR($C$7="Semua",$C$7="",I1852=$C$7),OR($C$8="Semua",$C$8="",C1852=$C$8,E1852=$C$8),OR($C$9="Semua",$C$9="",D1852=$C$9),OR($C$10="",B1852&gt;=$C$10),OR($C$11="",B1852&lt;=$C$11),OR($C$12&lt;&gt;"Ya",K1852&lt;&gt;""),OR($C$13="Semua",$C$13="",L1852=$C$13)),"✓","")</f>
        <v/>
      </c>
      <c r="N1852" s="93">
        <f>N(N1851)+IF(M1852="✓",1,0)</f>
        <v/>
      </c>
      <c r="O1852" s="93">
        <f>N(O1851)+IF(AND(B1852&lt;&gt;"",B1852&gt;='Uang Riba'!$H$30,B1852&lt;='Uang Riba'!$I$30,OR(H1852="Dana riba",H1852="Pinjam uang riba",I1852="Pinjam dari uang riba",I1852="Ganti uang riba",I1852="Kelebihan ganti dikembalikan",AND(C1852="Kantong Uang Riba",G1852="Pengeluaran"))),1,0)</f>
        <v/>
      </c>
      <c r="X1852" s="93">
        <f>IF(AND(B1852&lt;&gt;"",B1852&gt;='Buku Akun'!$H$4,B1852&lt;='Buku Akun'!$H$5,OR(C1852='Buku Akun'!$C$4,AND(D1852="Pindah",E1852='Buku Akun'!$C$4))),B1852+IF(AND(I1852="Selisih bunga",DAY(B1852)=1),0,0.01)+ROW()/10000000,"")</f>
        <v/>
      </c>
    </row>
    <row r="1853" outlineLevel="1" ht="15" customHeight="1" s="94">
      <c r="A1853" s="123">
        <f>IF(B1853="","",ROW()-15)</f>
        <v/>
      </c>
      <c r="B1853" s="124" t="n"/>
      <c r="C1853" s="123" t="n"/>
      <c r="D1853" s="123" t="n"/>
      <c r="E1853" s="123" t="n"/>
      <c r="F1853" s="125" t="n"/>
      <c r="G1853" s="123" t="n"/>
      <c r="H1853" s="123" t="n"/>
      <c r="I1853" s="123" t="n"/>
      <c r="J1853" s="123" t="n"/>
      <c r="K1853" s="123" t="n"/>
      <c r="L1853" s="123" t="n"/>
      <c r="M1853" s="123">
        <f>IF(AND(B1853&lt;&gt;"",OR($C$4="",ISNUMBER(SEARCH($C$4,C1853&amp;" "&amp;E1853&amp;" "&amp;G1853&amp;" "&amp;H1853&amp;" "&amp;I1853&amp;" "&amp;J1853&amp;" "&amp;K1853&amp;" "&amp;L1853))),OR($C$5="Semua",$C$5="",G1853=$C$5),OR($C$6="Semua",$C$6="",H1853=$C$6,H1853="Pengeluaran "&amp;$C$6,AND($C$6="Uang Kos Mama",H1853="Pengeluaran Uang Kos")),OR($C$7="Semua",$C$7="",I1853=$C$7),OR($C$8="Semua",$C$8="",C1853=$C$8,E1853=$C$8),OR($C$9="Semua",$C$9="",D1853=$C$9),OR($C$10="",B1853&gt;=$C$10),OR($C$11="",B1853&lt;=$C$11),OR($C$12&lt;&gt;"Ya",K1853&lt;&gt;""),OR($C$13="Semua",$C$13="",L1853=$C$13)),"✓","")</f>
        <v/>
      </c>
      <c r="N1853" s="93">
        <f>N(N1852)+IF(M1853="✓",1,0)</f>
        <v/>
      </c>
      <c r="O1853" s="93">
        <f>N(O1852)+IF(AND(B1853&lt;&gt;"",B1853&gt;='Uang Riba'!$H$30,B1853&lt;='Uang Riba'!$I$30,OR(H1853="Dana riba",H1853="Pinjam uang riba",I1853="Pinjam dari uang riba",I1853="Ganti uang riba",I1853="Kelebihan ganti dikembalikan",AND(C1853="Kantong Uang Riba",G1853="Pengeluaran"))),1,0)</f>
        <v/>
      </c>
      <c r="X1853" s="93">
        <f>IF(AND(B1853&lt;&gt;"",B1853&gt;='Buku Akun'!$H$4,B1853&lt;='Buku Akun'!$H$5,OR(C1853='Buku Akun'!$C$4,AND(D1853="Pindah",E1853='Buku Akun'!$C$4))),B1853+IF(AND(I1853="Selisih bunga",DAY(B1853)=1),0,0.01)+ROW()/10000000,"")</f>
        <v/>
      </c>
    </row>
    <row r="1854" outlineLevel="1" ht="15" customHeight="1" s="94">
      <c r="A1854" s="123">
        <f>IF(B1854="","",ROW()-15)</f>
        <v/>
      </c>
      <c r="B1854" s="124" t="n"/>
      <c r="C1854" s="123" t="n"/>
      <c r="D1854" s="123" t="n"/>
      <c r="E1854" s="123" t="n"/>
      <c r="F1854" s="125" t="n"/>
      <c r="G1854" s="123" t="n"/>
      <c r="H1854" s="123" t="n"/>
      <c r="I1854" s="123" t="n"/>
      <c r="J1854" s="123" t="n"/>
      <c r="K1854" s="123" t="n"/>
      <c r="L1854" s="123" t="n"/>
      <c r="M1854" s="123">
        <f>IF(AND(B1854&lt;&gt;"",OR($C$4="",ISNUMBER(SEARCH($C$4,C1854&amp;" "&amp;E1854&amp;" "&amp;G1854&amp;" "&amp;H1854&amp;" "&amp;I1854&amp;" "&amp;J1854&amp;" "&amp;K1854&amp;" "&amp;L1854))),OR($C$5="Semua",$C$5="",G1854=$C$5),OR($C$6="Semua",$C$6="",H1854=$C$6,H1854="Pengeluaran "&amp;$C$6,AND($C$6="Uang Kos Mama",H1854="Pengeluaran Uang Kos")),OR($C$7="Semua",$C$7="",I1854=$C$7),OR($C$8="Semua",$C$8="",C1854=$C$8,E1854=$C$8),OR($C$9="Semua",$C$9="",D1854=$C$9),OR($C$10="",B1854&gt;=$C$10),OR($C$11="",B1854&lt;=$C$11),OR($C$12&lt;&gt;"Ya",K1854&lt;&gt;""),OR($C$13="Semua",$C$13="",L1854=$C$13)),"✓","")</f>
        <v/>
      </c>
      <c r="N1854" s="93">
        <f>N(N1853)+IF(M1854="✓",1,0)</f>
        <v/>
      </c>
      <c r="O1854" s="93">
        <f>N(O1853)+IF(AND(B1854&lt;&gt;"",B1854&gt;='Uang Riba'!$H$30,B1854&lt;='Uang Riba'!$I$30,OR(H1854="Dana riba",H1854="Pinjam uang riba",I1854="Pinjam dari uang riba",I1854="Ganti uang riba",I1854="Kelebihan ganti dikembalikan",AND(C1854="Kantong Uang Riba",G1854="Pengeluaran"))),1,0)</f>
        <v/>
      </c>
      <c r="X1854" s="93">
        <f>IF(AND(B1854&lt;&gt;"",B1854&gt;='Buku Akun'!$H$4,B1854&lt;='Buku Akun'!$H$5,OR(C1854='Buku Akun'!$C$4,AND(D1854="Pindah",E1854='Buku Akun'!$C$4))),B1854+IF(AND(I1854="Selisih bunga",DAY(B1854)=1),0,0.01)+ROW()/10000000,"")</f>
        <v/>
      </c>
    </row>
    <row r="1855" outlineLevel="1" ht="15" customHeight="1" s="94">
      <c r="A1855" s="123">
        <f>IF(B1855="","",ROW()-15)</f>
        <v/>
      </c>
      <c r="B1855" s="124" t="n"/>
      <c r="C1855" s="123" t="n"/>
      <c r="D1855" s="123" t="n"/>
      <c r="E1855" s="123" t="n"/>
      <c r="F1855" s="125" t="n"/>
      <c r="G1855" s="123" t="n"/>
      <c r="H1855" s="123" t="n"/>
      <c r="I1855" s="123" t="n"/>
      <c r="J1855" s="123" t="n"/>
      <c r="K1855" s="123" t="n"/>
      <c r="L1855" s="123" t="n"/>
      <c r="M1855" s="123">
        <f>IF(AND(B1855&lt;&gt;"",OR($C$4="",ISNUMBER(SEARCH($C$4,C1855&amp;" "&amp;E1855&amp;" "&amp;G1855&amp;" "&amp;H1855&amp;" "&amp;I1855&amp;" "&amp;J1855&amp;" "&amp;K1855&amp;" "&amp;L1855))),OR($C$5="Semua",$C$5="",G1855=$C$5),OR($C$6="Semua",$C$6="",H1855=$C$6,H1855="Pengeluaran "&amp;$C$6,AND($C$6="Uang Kos Mama",H1855="Pengeluaran Uang Kos")),OR($C$7="Semua",$C$7="",I1855=$C$7),OR($C$8="Semua",$C$8="",C1855=$C$8,E1855=$C$8),OR($C$9="Semua",$C$9="",D1855=$C$9),OR($C$10="",B1855&gt;=$C$10),OR($C$11="",B1855&lt;=$C$11),OR($C$12&lt;&gt;"Ya",K1855&lt;&gt;""),OR($C$13="Semua",$C$13="",L1855=$C$13)),"✓","")</f>
        <v/>
      </c>
      <c r="N1855" s="93">
        <f>N(N1854)+IF(M1855="✓",1,0)</f>
        <v/>
      </c>
      <c r="O1855" s="93">
        <f>N(O1854)+IF(AND(B1855&lt;&gt;"",B1855&gt;='Uang Riba'!$H$30,B1855&lt;='Uang Riba'!$I$30,OR(H1855="Dana riba",H1855="Pinjam uang riba",I1855="Pinjam dari uang riba",I1855="Ganti uang riba",I1855="Kelebihan ganti dikembalikan",AND(C1855="Kantong Uang Riba",G1855="Pengeluaran"))),1,0)</f>
        <v/>
      </c>
      <c r="X1855" s="93">
        <f>IF(AND(B1855&lt;&gt;"",B1855&gt;='Buku Akun'!$H$4,B1855&lt;='Buku Akun'!$H$5,OR(C1855='Buku Akun'!$C$4,AND(D1855="Pindah",E1855='Buku Akun'!$C$4))),B1855+IF(AND(I1855="Selisih bunga",DAY(B1855)=1),0,0.01)+ROW()/10000000,"")</f>
        <v/>
      </c>
    </row>
    <row r="1856" outlineLevel="1" ht="15" customHeight="1" s="94">
      <c r="A1856" s="123">
        <f>IF(B1856="","",ROW()-15)</f>
        <v/>
      </c>
      <c r="B1856" s="124" t="n"/>
      <c r="C1856" s="123" t="n"/>
      <c r="D1856" s="123" t="n"/>
      <c r="E1856" s="123" t="n"/>
      <c r="F1856" s="125" t="n"/>
      <c r="G1856" s="123" t="n"/>
      <c r="H1856" s="123" t="n"/>
      <c r="I1856" s="123" t="n"/>
      <c r="J1856" s="123" t="n"/>
      <c r="K1856" s="123" t="n"/>
      <c r="L1856" s="123" t="n"/>
      <c r="M1856" s="123">
        <f>IF(AND(B1856&lt;&gt;"",OR($C$4="",ISNUMBER(SEARCH($C$4,C1856&amp;" "&amp;E1856&amp;" "&amp;G1856&amp;" "&amp;H1856&amp;" "&amp;I1856&amp;" "&amp;J1856&amp;" "&amp;K1856&amp;" "&amp;L1856))),OR($C$5="Semua",$C$5="",G1856=$C$5),OR($C$6="Semua",$C$6="",H1856=$C$6,H1856="Pengeluaran "&amp;$C$6,AND($C$6="Uang Kos Mama",H1856="Pengeluaran Uang Kos")),OR($C$7="Semua",$C$7="",I1856=$C$7),OR($C$8="Semua",$C$8="",C1856=$C$8,E1856=$C$8),OR($C$9="Semua",$C$9="",D1856=$C$9),OR($C$10="",B1856&gt;=$C$10),OR($C$11="",B1856&lt;=$C$11),OR($C$12&lt;&gt;"Ya",K1856&lt;&gt;""),OR($C$13="Semua",$C$13="",L1856=$C$13)),"✓","")</f>
        <v/>
      </c>
      <c r="N1856" s="93">
        <f>N(N1855)+IF(M1856="✓",1,0)</f>
        <v/>
      </c>
      <c r="O1856" s="93">
        <f>N(O1855)+IF(AND(B1856&lt;&gt;"",B1856&gt;='Uang Riba'!$H$30,B1856&lt;='Uang Riba'!$I$30,OR(H1856="Dana riba",H1856="Pinjam uang riba",I1856="Pinjam dari uang riba",I1856="Ganti uang riba",I1856="Kelebihan ganti dikembalikan",AND(C1856="Kantong Uang Riba",G1856="Pengeluaran"))),1,0)</f>
        <v/>
      </c>
      <c r="X1856" s="93">
        <f>IF(AND(B1856&lt;&gt;"",B1856&gt;='Buku Akun'!$H$4,B1856&lt;='Buku Akun'!$H$5,OR(C1856='Buku Akun'!$C$4,AND(D1856="Pindah",E1856='Buku Akun'!$C$4))),B1856+IF(AND(I1856="Selisih bunga",DAY(B1856)=1),0,0.01)+ROW()/10000000,"")</f>
        <v/>
      </c>
    </row>
    <row r="1857" outlineLevel="1" ht="15" customHeight="1" s="94">
      <c r="A1857" s="123">
        <f>IF(B1857="","",ROW()-15)</f>
        <v/>
      </c>
      <c r="B1857" s="124" t="n"/>
      <c r="C1857" s="123" t="n"/>
      <c r="D1857" s="123" t="n"/>
      <c r="E1857" s="123" t="n"/>
      <c r="F1857" s="125" t="n"/>
      <c r="G1857" s="123" t="n"/>
      <c r="H1857" s="123" t="n"/>
      <c r="I1857" s="123" t="n"/>
      <c r="J1857" s="123" t="n"/>
      <c r="K1857" s="123" t="n"/>
      <c r="L1857" s="123" t="n"/>
      <c r="M1857" s="123">
        <f>IF(AND(B1857&lt;&gt;"",OR($C$4="",ISNUMBER(SEARCH($C$4,C1857&amp;" "&amp;E1857&amp;" "&amp;G1857&amp;" "&amp;H1857&amp;" "&amp;I1857&amp;" "&amp;J1857&amp;" "&amp;K1857&amp;" "&amp;L1857))),OR($C$5="Semua",$C$5="",G1857=$C$5),OR($C$6="Semua",$C$6="",H1857=$C$6,H1857="Pengeluaran "&amp;$C$6,AND($C$6="Uang Kos Mama",H1857="Pengeluaran Uang Kos")),OR($C$7="Semua",$C$7="",I1857=$C$7),OR($C$8="Semua",$C$8="",C1857=$C$8,E1857=$C$8),OR($C$9="Semua",$C$9="",D1857=$C$9),OR($C$10="",B1857&gt;=$C$10),OR($C$11="",B1857&lt;=$C$11),OR($C$12&lt;&gt;"Ya",K1857&lt;&gt;""),OR($C$13="Semua",$C$13="",L1857=$C$13)),"✓","")</f>
        <v/>
      </c>
      <c r="N1857" s="93">
        <f>N(N1856)+IF(M1857="✓",1,0)</f>
        <v/>
      </c>
      <c r="O1857" s="93">
        <f>N(O1856)+IF(AND(B1857&lt;&gt;"",B1857&gt;='Uang Riba'!$H$30,B1857&lt;='Uang Riba'!$I$30,OR(H1857="Dana riba",H1857="Pinjam uang riba",I1857="Pinjam dari uang riba",I1857="Ganti uang riba",I1857="Kelebihan ganti dikembalikan",AND(C1857="Kantong Uang Riba",G1857="Pengeluaran"))),1,0)</f>
        <v/>
      </c>
      <c r="X1857" s="93">
        <f>IF(AND(B1857&lt;&gt;"",B1857&gt;='Buku Akun'!$H$4,B1857&lt;='Buku Akun'!$H$5,OR(C1857='Buku Akun'!$C$4,AND(D1857="Pindah",E1857='Buku Akun'!$C$4))),B1857+IF(AND(I1857="Selisih bunga",DAY(B1857)=1),0,0.01)+ROW()/10000000,"")</f>
        <v/>
      </c>
    </row>
    <row r="1858" outlineLevel="1" ht="15" customHeight="1" s="94">
      <c r="A1858" s="123">
        <f>IF(B1858="","",ROW()-15)</f>
        <v/>
      </c>
      <c r="B1858" s="124" t="n"/>
      <c r="C1858" s="123" t="n"/>
      <c r="D1858" s="123" t="n"/>
      <c r="E1858" s="123" t="n"/>
      <c r="F1858" s="125" t="n"/>
      <c r="G1858" s="123" t="n"/>
      <c r="H1858" s="123" t="n"/>
      <c r="I1858" s="123" t="n"/>
      <c r="J1858" s="123" t="n"/>
      <c r="K1858" s="123" t="n"/>
      <c r="L1858" s="123" t="n"/>
      <c r="M1858" s="123">
        <f>IF(AND(B1858&lt;&gt;"",OR($C$4="",ISNUMBER(SEARCH($C$4,C1858&amp;" "&amp;E1858&amp;" "&amp;G1858&amp;" "&amp;H1858&amp;" "&amp;I1858&amp;" "&amp;J1858&amp;" "&amp;K1858&amp;" "&amp;L1858))),OR($C$5="Semua",$C$5="",G1858=$C$5),OR($C$6="Semua",$C$6="",H1858=$C$6,H1858="Pengeluaran "&amp;$C$6,AND($C$6="Uang Kos Mama",H1858="Pengeluaran Uang Kos")),OR($C$7="Semua",$C$7="",I1858=$C$7),OR($C$8="Semua",$C$8="",C1858=$C$8,E1858=$C$8),OR($C$9="Semua",$C$9="",D1858=$C$9),OR($C$10="",B1858&gt;=$C$10),OR($C$11="",B1858&lt;=$C$11),OR($C$12&lt;&gt;"Ya",K1858&lt;&gt;""),OR($C$13="Semua",$C$13="",L1858=$C$13)),"✓","")</f>
        <v/>
      </c>
      <c r="N1858" s="93">
        <f>N(N1857)+IF(M1858="✓",1,0)</f>
        <v/>
      </c>
      <c r="O1858" s="93">
        <f>N(O1857)+IF(AND(B1858&lt;&gt;"",B1858&gt;='Uang Riba'!$H$30,B1858&lt;='Uang Riba'!$I$30,OR(H1858="Dana riba",H1858="Pinjam uang riba",I1858="Pinjam dari uang riba",I1858="Ganti uang riba",I1858="Kelebihan ganti dikembalikan",AND(C1858="Kantong Uang Riba",G1858="Pengeluaran"))),1,0)</f>
        <v/>
      </c>
      <c r="X1858" s="93">
        <f>IF(AND(B1858&lt;&gt;"",B1858&gt;='Buku Akun'!$H$4,B1858&lt;='Buku Akun'!$H$5,OR(C1858='Buku Akun'!$C$4,AND(D1858="Pindah",E1858='Buku Akun'!$C$4))),B1858+IF(AND(I1858="Selisih bunga",DAY(B1858)=1),0,0.01)+ROW()/10000000,"")</f>
        <v/>
      </c>
    </row>
    <row r="1859" outlineLevel="1" ht="15" customHeight="1" s="94">
      <c r="A1859" s="123">
        <f>IF(B1859="","",ROW()-15)</f>
        <v/>
      </c>
      <c r="B1859" s="124" t="n"/>
      <c r="C1859" s="123" t="n"/>
      <c r="D1859" s="123" t="n"/>
      <c r="E1859" s="123" t="n"/>
      <c r="F1859" s="125" t="n"/>
      <c r="G1859" s="123" t="n"/>
      <c r="H1859" s="123" t="n"/>
      <c r="I1859" s="123" t="n"/>
      <c r="J1859" s="123" t="n"/>
      <c r="K1859" s="123" t="n"/>
      <c r="L1859" s="123" t="n"/>
      <c r="M1859" s="123">
        <f>IF(AND(B1859&lt;&gt;"",OR($C$4="",ISNUMBER(SEARCH($C$4,C1859&amp;" "&amp;E1859&amp;" "&amp;G1859&amp;" "&amp;H1859&amp;" "&amp;I1859&amp;" "&amp;J1859&amp;" "&amp;K1859&amp;" "&amp;L1859))),OR($C$5="Semua",$C$5="",G1859=$C$5),OR($C$6="Semua",$C$6="",H1859=$C$6,H1859="Pengeluaran "&amp;$C$6,AND($C$6="Uang Kos Mama",H1859="Pengeluaran Uang Kos")),OR($C$7="Semua",$C$7="",I1859=$C$7),OR($C$8="Semua",$C$8="",C1859=$C$8,E1859=$C$8),OR($C$9="Semua",$C$9="",D1859=$C$9),OR($C$10="",B1859&gt;=$C$10),OR($C$11="",B1859&lt;=$C$11),OR($C$12&lt;&gt;"Ya",K1859&lt;&gt;""),OR($C$13="Semua",$C$13="",L1859=$C$13)),"✓","")</f>
        <v/>
      </c>
      <c r="N1859" s="93">
        <f>N(N1858)+IF(M1859="✓",1,0)</f>
        <v/>
      </c>
      <c r="O1859" s="93">
        <f>N(O1858)+IF(AND(B1859&lt;&gt;"",B1859&gt;='Uang Riba'!$H$30,B1859&lt;='Uang Riba'!$I$30,OR(H1859="Dana riba",H1859="Pinjam uang riba",I1859="Pinjam dari uang riba",I1859="Ganti uang riba",I1859="Kelebihan ganti dikembalikan",AND(C1859="Kantong Uang Riba",G1859="Pengeluaran"))),1,0)</f>
        <v/>
      </c>
      <c r="X1859" s="93">
        <f>IF(AND(B1859&lt;&gt;"",B1859&gt;='Buku Akun'!$H$4,B1859&lt;='Buku Akun'!$H$5,OR(C1859='Buku Akun'!$C$4,AND(D1859="Pindah",E1859='Buku Akun'!$C$4))),B1859+IF(AND(I1859="Selisih bunga",DAY(B1859)=1),0,0.01)+ROW()/10000000,"")</f>
        <v/>
      </c>
    </row>
    <row r="1860" outlineLevel="1" ht="15" customHeight="1" s="94">
      <c r="A1860" s="123">
        <f>IF(B1860="","",ROW()-15)</f>
        <v/>
      </c>
      <c r="B1860" s="124" t="n"/>
      <c r="C1860" s="123" t="n"/>
      <c r="D1860" s="123" t="n"/>
      <c r="E1860" s="123" t="n"/>
      <c r="F1860" s="125" t="n"/>
      <c r="G1860" s="123" t="n"/>
      <c r="H1860" s="123" t="n"/>
      <c r="I1860" s="123" t="n"/>
      <c r="J1860" s="123" t="n"/>
      <c r="K1860" s="123" t="n"/>
      <c r="L1860" s="123" t="n"/>
      <c r="M1860" s="123">
        <f>IF(AND(B1860&lt;&gt;"",OR($C$4="",ISNUMBER(SEARCH($C$4,C1860&amp;" "&amp;E1860&amp;" "&amp;G1860&amp;" "&amp;H1860&amp;" "&amp;I1860&amp;" "&amp;J1860&amp;" "&amp;K1860&amp;" "&amp;L1860))),OR($C$5="Semua",$C$5="",G1860=$C$5),OR($C$6="Semua",$C$6="",H1860=$C$6,H1860="Pengeluaran "&amp;$C$6,AND($C$6="Uang Kos Mama",H1860="Pengeluaran Uang Kos")),OR($C$7="Semua",$C$7="",I1860=$C$7),OR($C$8="Semua",$C$8="",C1860=$C$8,E1860=$C$8),OR($C$9="Semua",$C$9="",D1860=$C$9),OR($C$10="",B1860&gt;=$C$10),OR($C$11="",B1860&lt;=$C$11),OR($C$12&lt;&gt;"Ya",K1860&lt;&gt;""),OR($C$13="Semua",$C$13="",L1860=$C$13)),"✓","")</f>
        <v/>
      </c>
      <c r="N1860" s="93">
        <f>N(N1859)+IF(M1860="✓",1,0)</f>
        <v/>
      </c>
      <c r="O1860" s="93">
        <f>N(O1859)+IF(AND(B1860&lt;&gt;"",B1860&gt;='Uang Riba'!$H$30,B1860&lt;='Uang Riba'!$I$30,OR(H1860="Dana riba",H1860="Pinjam uang riba",I1860="Pinjam dari uang riba",I1860="Ganti uang riba",I1860="Kelebihan ganti dikembalikan",AND(C1860="Kantong Uang Riba",G1860="Pengeluaran"))),1,0)</f>
        <v/>
      </c>
      <c r="X1860" s="93">
        <f>IF(AND(B1860&lt;&gt;"",B1860&gt;='Buku Akun'!$H$4,B1860&lt;='Buku Akun'!$H$5,OR(C1860='Buku Akun'!$C$4,AND(D1860="Pindah",E1860='Buku Akun'!$C$4))),B1860+IF(AND(I1860="Selisih bunga",DAY(B1860)=1),0,0.01)+ROW()/10000000,"")</f>
        <v/>
      </c>
    </row>
    <row r="1861" outlineLevel="1" ht="15" customHeight="1" s="94">
      <c r="A1861" s="123">
        <f>IF(B1861="","",ROW()-15)</f>
        <v/>
      </c>
      <c r="B1861" s="124" t="n"/>
      <c r="C1861" s="123" t="n"/>
      <c r="D1861" s="123" t="n"/>
      <c r="E1861" s="123" t="n"/>
      <c r="F1861" s="125" t="n"/>
      <c r="G1861" s="123" t="n"/>
      <c r="H1861" s="123" t="n"/>
      <c r="I1861" s="123" t="n"/>
      <c r="J1861" s="123" t="n"/>
      <c r="K1861" s="123" t="n"/>
      <c r="L1861" s="123" t="n"/>
      <c r="M1861" s="123">
        <f>IF(AND(B1861&lt;&gt;"",OR($C$4="",ISNUMBER(SEARCH($C$4,C1861&amp;" "&amp;E1861&amp;" "&amp;G1861&amp;" "&amp;H1861&amp;" "&amp;I1861&amp;" "&amp;J1861&amp;" "&amp;K1861&amp;" "&amp;L1861))),OR($C$5="Semua",$C$5="",G1861=$C$5),OR($C$6="Semua",$C$6="",H1861=$C$6,H1861="Pengeluaran "&amp;$C$6,AND($C$6="Uang Kos Mama",H1861="Pengeluaran Uang Kos")),OR($C$7="Semua",$C$7="",I1861=$C$7),OR($C$8="Semua",$C$8="",C1861=$C$8,E1861=$C$8),OR($C$9="Semua",$C$9="",D1861=$C$9),OR($C$10="",B1861&gt;=$C$10),OR($C$11="",B1861&lt;=$C$11),OR($C$12&lt;&gt;"Ya",K1861&lt;&gt;""),OR($C$13="Semua",$C$13="",L1861=$C$13)),"✓","")</f>
        <v/>
      </c>
      <c r="N1861" s="93">
        <f>N(N1860)+IF(M1861="✓",1,0)</f>
        <v/>
      </c>
      <c r="O1861" s="93">
        <f>N(O1860)+IF(AND(B1861&lt;&gt;"",B1861&gt;='Uang Riba'!$H$30,B1861&lt;='Uang Riba'!$I$30,OR(H1861="Dana riba",H1861="Pinjam uang riba",I1861="Pinjam dari uang riba",I1861="Ganti uang riba",I1861="Kelebihan ganti dikembalikan",AND(C1861="Kantong Uang Riba",G1861="Pengeluaran"))),1,0)</f>
        <v/>
      </c>
      <c r="X1861" s="93">
        <f>IF(AND(B1861&lt;&gt;"",B1861&gt;='Buku Akun'!$H$4,B1861&lt;='Buku Akun'!$H$5,OR(C1861='Buku Akun'!$C$4,AND(D1861="Pindah",E1861='Buku Akun'!$C$4))),B1861+IF(AND(I1861="Selisih bunga",DAY(B1861)=1),0,0.01)+ROW()/10000000,"")</f>
        <v/>
      </c>
    </row>
    <row r="1862" outlineLevel="1" ht="15" customHeight="1" s="94">
      <c r="A1862" s="123">
        <f>IF(B1862="","",ROW()-15)</f>
        <v/>
      </c>
      <c r="B1862" s="124" t="n"/>
      <c r="C1862" s="123" t="n"/>
      <c r="D1862" s="123" t="n"/>
      <c r="E1862" s="123" t="n"/>
      <c r="F1862" s="125" t="n"/>
      <c r="G1862" s="123" t="n"/>
      <c r="H1862" s="123" t="n"/>
      <c r="I1862" s="123" t="n"/>
      <c r="J1862" s="123" t="n"/>
      <c r="K1862" s="123" t="n"/>
      <c r="L1862" s="123" t="n"/>
      <c r="M1862" s="123">
        <f>IF(AND(B1862&lt;&gt;"",OR($C$4="",ISNUMBER(SEARCH($C$4,C1862&amp;" "&amp;E1862&amp;" "&amp;G1862&amp;" "&amp;H1862&amp;" "&amp;I1862&amp;" "&amp;J1862&amp;" "&amp;K1862&amp;" "&amp;L1862))),OR($C$5="Semua",$C$5="",G1862=$C$5),OR($C$6="Semua",$C$6="",H1862=$C$6,H1862="Pengeluaran "&amp;$C$6,AND($C$6="Uang Kos Mama",H1862="Pengeluaran Uang Kos")),OR($C$7="Semua",$C$7="",I1862=$C$7),OR($C$8="Semua",$C$8="",C1862=$C$8,E1862=$C$8),OR($C$9="Semua",$C$9="",D1862=$C$9),OR($C$10="",B1862&gt;=$C$10),OR($C$11="",B1862&lt;=$C$11),OR($C$12&lt;&gt;"Ya",K1862&lt;&gt;""),OR($C$13="Semua",$C$13="",L1862=$C$13)),"✓","")</f>
        <v/>
      </c>
      <c r="N1862" s="93">
        <f>N(N1861)+IF(M1862="✓",1,0)</f>
        <v/>
      </c>
      <c r="O1862" s="93">
        <f>N(O1861)+IF(AND(B1862&lt;&gt;"",B1862&gt;='Uang Riba'!$H$30,B1862&lt;='Uang Riba'!$I$30,OR(H1862="Dana riba",H1862="Pinjam uang riba",I1862="Pinjam dari uang riba",I1862="Ganti uang riba",I1862="Kelebihan ganti dikembalikan",AND(C1862="Kantong Uang Riba",G1862="Pengeluaran"))),1,0)</f>
        <v/>
      </c>
      <c r="X1862" s="93">
        <f>IF(AND(B1862&lt;&gt;"",B1862&gt;='Buku Akun'!$H$4,B1862&lt;='Buku Akun'!$H$5,OR(C1862='Buku Akun'!$C$4,AND(D1862="Pindah",E1862='Buku Akun'!$C$4))),B1862+IF(AND(I1862="Selisih bunga",DAY(B1862)=1),0,0.01)+ROW()/10000000,"")</f>
        <v/>
      </c>
    </row>
    <row r="1863" outlineLevel="1" ht="15" customHeight="1" s="94">
      <c r="A1863" s="123">
        <f>IF(B1863="","",ROW()-15)</f>
        <v/>
      </c>
      <c r="B1863" s="124" t="n"/>
      <c r="C1863" s="123" t="n"/>
      <c r="D1863" s="123" t="n"/>
      <c r="E1863" s="123" t="n"/>
      <c r="F1863" s="125" t="n"/>
      <c r="G1863" s="123" t="n"/>
      <c r="H1863" s="123" t="n"/>
      <c r="I1863" s="123" t="n"/>
      <c r="J1863" s="123" t="n"/>
      <c r="K1863" s="123" t="n"/>
      <c r="L1863" s="123" t="n"/>
      <c r="M1863" s="123">
        <f>IF(AND(B1863&lt;&gt;"",OR($C$4="",ISNUMBER(SEARCH($C$4,C1863&amp;" "&amp;E1863&amp;" "&amp;G1863&amp;" "&amp;H1863&amp;" "&amp;I1863&amp;" "&amp;J1863&amp;" "&amp;K1863&amp;" "&amp;L1863))),OR($C$5="Semua",$C$5="",G1863=$C$5),OR($C$6="Semua",$C$6="",H1863=$C$6,H1863="Pengeluaran "&amp;$C$6,AND($C$6="Uang Kos Mama",H1863="Pengeluaran Uang Kos")),OR($C$7="Semua",$C$7="",I1863=$C$7),OR($C$8="Semua",$C$8="",C1863=$C$8,E1863=$C$8),OR($C$9="Semua",$C$9="",D1863=$C$9),OR($C$10="",B1863&gt;=$C$10),OR($C$11="",B1863&lt;=$C$11),OR($C$12&lt;&gt;"Ya",K1863&lt;&gt;""),OR($C$13="Semua",$C$13="",L1863=$C$13)),"✓","")</f>
        <v/>
      </c>
      <c r="N1863" s="93">
        <f>N(N1862)+IF(M1863="✓",1,0)</f>
        <v/>
      </c>
      <c r="O1863" s="93">
        <f>N(O1862)+IF(AND(B1863&lt;&gt;"",B1863&gt;='Uang Riba'!$H$30,B1863&lt;='Uang Riba'!$I$30,OR(H1863="Dana riba",H1863="Pinjam uang riba",I1863="Pinjam dari uang riba",I1863="Ganti uang riba",I1863="Kelebihan ganti dikembalikan",AND(C1863="Kantong Uang Riba",G1863="Pengeluaran"))),1,0)</f>
        <v/>
      </c>
      <c r="X1863" s="93">
        <f>IF(AND(B1863&lt;&gt;"",B1863&gt;='Buku Akun'!$H$4,B1863&lt;='Buku Akun'!$H$5,OR(C1863='Buku Akun'!$C$4,AND(D1863="Pindah",E1863='Buku Akun'!$C$4))),B1863+IF(AND(I1863="Selisih bunga",DAY(B1863)=1),0,0.01)+ROW()/10000000,"")</f>
        <v/>
      </c>
    </row>
    <row r="1864" outlineLevel="1" ht="15" customHeight="1" s="94">
      <c r="A1864" s="123">
        <f>IF(B1864="","",ROW()-15)</f>
        <v/>
      </c>
      <c r="B1864" s="124" t="n"/>
      <c r="C1864" s="123" t="n"/>
      <c r="D1864" s="123" t="n"/>
      <c r="E1864" s="123" t="n"/>
      <c r="F1864" s="125" t="n"/>
      <c r="G1864" s="123" t="n"/>
      <c r="H1864" s="123" t="n"/>
      <c r="I1864" s="123" t="n"/>
      <c r="J1864" s="123" t="n"/>
      <c r="K1864" s="123" t="n"/>
      <c r="L1864" s="123" t="n"/>
      <c r="M1864" s="123">
        <f>IF(AND(B1864&lt;&gt;"",OR($C$4="",ISNUMBER(SEARCH($C$4,C1864&amp;" "&amp;E1864&amp;" "&amp;G1864&amp;" "&amp;H1864&amp;" "&amp;I1864&amp;" "&amp;J1864&amp;" "&amp;K1864&amp;" "&amp;L1864))),OR($C$5="Semua",$C$5="",G1864=$C$5),OR($C$6="Semua",$C$6="",H1864=$C$6,H1864="Pengeluaran "&amp;$C$6,AND($C$6="Uang Kos Mama",H1864="Pengeluaran Uang Kos")),OR($C$7="Semua",$C$7="",I1864=$C$7),OR($C$8="Semua",$C$8="",C1864=$C$8,E1864=$C$8),OR($C$9="Semua",$C$9="",D1864=$C$9),OR($C$10="",B1864&gt;=$C$10),OR($C$11="",B1864&lt;=$C$11),OR($C$12&lt;&gt;"Ya",K1864&lt;&gt;""),OR($C$13="Semua",$C$13="",L1864=$C$13)),"✓","")</f>
        <v/>
      </c>
      <c r="N1864" s="93">
        <f>N(N1863)+IF(M1864="✓",1,0)</f>
        <v/>
      </c>
      <c r="O1864" s="93">
        <f>N(O1863)+IF(AND(B1864&lt;&gt;"",B1864&gt;='Uang Riba'!$H$30,B1864&lt;='Uang Riba'!$I$30,OR(H1864="Dana riba",H1864="Pinjam uang riba",I1864="Pinjam dari uang riba",I1864="Ganti uang riba",I1864="Kelebihan ganti dikembalikan",AND(C1864="Kantong Uang Riba",G1864="Pengeluaran"))),1,0)</f>
        <v/>
      </c>
      <c r="X1864" s="93">
        <f>IF(AND(B1864&lt;&gt;"",B1864&gt;='Buku Akun'!$H$4,B1864&lt;='Buku Akun'!$H$5,OR(C1864='Buku Akun'!$C$4,AND(D1864="Pindah",E1864='Buku Akun'!$C$4))),B1864+IF(AND(I1864="Selisih bunga",DAY(B1864)=1),0,0.01)+ROW()/10000000,"")</f>
        <v/>
      </c>
    </row>
    <row r="1865" outlineLevel="1" ht="15" customHeight="1" s="94">
      <c r="A1865" s="123">
        <f>IF(B1865="","",ROW()-15)</f>
        <v/>
      </c>
      <c r="B1865" s="124" t="n"/>
      <c r="C1865" s="123" t="n"/>
      <c r="D1865" s="123" t="n"/>
      <c r="E1865" s="123" t="n"/>
      <c r="F1865" s="125" t="n"/>
      <c r="G1865" s="123" t="n"/>
      <c r="H1865" s="123" t="n"/>
      <c r="I1865" s="123" t="n"/>
      <c r="J1865" s="123" t="n"/>
      <c r="K1865" s="123" t="n"/>
      <c r="L1865" s="123" t="n"/>
      <c r="M1865" s="123">
        <f>IF(AND(B1865&lt;&gt;"",OR($C$4="",ISNUMBER(SEARCH($C$4,C1865&amp;" "&amp;E1865&amp;" "&amp;G1865&amp;" "&amp;H1865&amp;" "&amp;I1865&amp;" "&amp;J1865&amp;" "&amp;K1865&amp;" "&amp;L1865))),OR($C$5="Semua",$C$5="",G1865=$C$5),OR($C$6="Semua",$C$6="",H1865=$C$6,H1865="Pengeluaran "&amp;$C$6,AND($C$6="Uang Kos Mama",H1865="Pengeluaran Uang Kos")),OR($C$7="Semua",$C$7="",I1865=$C$7),OR($C$8="Semua",$C$8="",C1865=$C$8,E1865=$C$8),OR($C$9="Semua",$C$9="",D1865=$C$9),OR($C$10="",B1865&gt;=$C$10),OR($C$11="",B1865&lt;=$C$11),OR($C$12&lt;&gt;"Ya",K1865&lt;&gt;""),OR($C$13="Semua",$C$13="",L1865=$C$13)),"✓","")</f>
        <v/>
      </c>
      <c r="N1865" s="93">
        <f>N(N1864)+IF(M1865="✓",1,0)</f>
        <v/>
      </c>
      <c r="O1865" s="93">
        <f>N(O1864)+IF(AND(B1865&lt;&gt;"",B1865&gt;='Uang Riba'!$H$30,B1865&lt;='Uang Riba'!$I$30,OR(H1865="Dana riba",H1865="Pinjam uang riba",I1865="Pinjam dari uang riba",I1865="Ganti uang riba",I1865="Kelebihan ganti dikembalikan",AND(C1865="Kantong Uang Riba",G1865="Pengeluaran"))),1,0)</f>
        <v/>
      </c>
      <c r="X1865" s="93">
        <f>IF(AND(B1865&lt;&gt;"",B1865&gt;='Buku Akun'!$H$4,B1865&lt;='Buku Akun'!$H$5,OR(C1865='Buku Akun'!$C$4,AND(D1865="Pindah",E1865='Buku Akun'!$C$4))),B1865+IF(AND(I1865="Selisih bunga",DAY(B1865)=1),0,0.01)+ROW()/10000000,"")</f>
        <v/>
      </c>
    </row>
    <row r="1866" outlineLevel="1" ht="15" customHeight="1" s="94">
      <c r="A1866" s="123">
        <f>IF(B1866="","",ROW()-15)</f>
        <v/>
      </c>
      <c r="B1866" s="124" t="n"/>
      <c r="C1866" s="123" t="n"/>
      <c r="D1866" s="123" t="n"/>
      <c r="E1866" s="123" t="n"/>
      <c r="F1866" s="125" t="n"/>
      <c r="G1866" s="123" t="n"/>
      <c r="H1866" s="123" t="n"/>
      <c r="I1866" s="123" t="n"/>
      <c r="J1866" s="123" t="n"/>
      <c r="K1866" s="123" t="n"/>
      <c r="L1866" s="123" t="n"/>
      <c r="M1866" s="123">
        <f>IF(AND(B1866&lt;&gt;"",OR($C$4="",ISNUMBER(SEARCH($C$4,C1866&amp;" "&amp;E1866&amp;" "&amp;G1866&amp;" "&amp;H1866&amp;" "&amp;I1866&amp;" "&amp;J1866&amp;" "&amp;K1866&amp;" "&amp;L1866))),OR($C$5="Semua",$C$5="",G1866=$C$5),OR($C$6="Semua",$C$6="",H1866=$C$6,H1866="Pengeluaran "&amp;$C$6,AND($C$6="Uang Kos Mama",H1866="Pengeluaran Uang Kos")),OR($C$7="Semua",$C$7="",I1866=$C$7),OR($C$8="Semua",$C$8="",C1866=$C$8,E1866=$C$8),OR($C$9="Semua",$C$9="",D1866=$C$9),OR($C$10="",B1866&gt;=$C$10),OR($C$11="",B1866&lt;=$C$11),OR($C$12&lt;&gt;"Ya",K1866&lt;&gt;""),OR($C$13="Semua",$C$13="",L1866=$C$13)),"✓","")</f>
        <v/>
      </c>
      <c r="N1866" s="93">
        <f>N(N1865)+IF(M1866="✓",1,0)</f>
        <v/>
      </c>
      <c r="O1866" s="93">
        <f>N(O1865)+IF(AND(B1866&lt;&gt;"",B1866&gt;='Uang Riba'!$H$30,B1866&lt;='Uang Riba'!$I$30,OR(H1866="Dana riba",H1866="Pinjam uang riba",I1866="Pinjam dari uang riba",I1866="Ganti uang riba",I1866="Kelebihan ganti dikembalikan",AND(C1866="Kantong Uang Riba",G1866="Pengeluaran"))),1,0)</f>
        <v/>
      </c>
      <c r="X1866" s="93">
        <f>IF(AND(B1866&lt;&gt;"",B1866&gt;='Buku Akun'!$H$4,B1866&lt;='Buku Akun'!$H$5,OR(C1866='Buku Akun'!$C$4,AND(D1866="Pindah",E1866='Buku Akun'!$C$4))),B1866+IF(AND(I1866="Selisih bunga",DAY(B1866)=1),0,0.01)+ROW()/10000000,"")</f>
        <v/>
      </c>
    </row>
    <row r="1867" outlineLevel="1" ht="15" customHeight="1" s="94">
      <c r="A1867" s="123">
        <f>IF(B1867="","",ROW()-15)</f>
        <v/>
      </c>
      <c r="B1867" s="124" t="n"/>
      <c r="C1867" s="123" t="n"/>
      <c r="D1867" s="123" t="n"/>
      <c r="E1867" s="123" t="n"/>
      <c r="F1867" s="125" t="n"/>
      <c r="G1867" s="123" t="n"/>
      <c r="H1867" s="123" t="n"/>
      <c r="I1867" s="123" t="n"/>
      <c r="J1867" s="123" t="n"/>
      <c r="K1867" s="123" t="n"/>
      <c r="L1867" s="123" t="n"/>
      <c r="M1867" s="123">
        <f>IF(AND(B1867&lt;&gt;"",OR($C$4="",ISNUMBER(SEARCH($C$4,C1867&amp;" "&amp;E1867&amp;" "&amp;G1867&amp;" "&amp;H1867&amp;" "&amp;I1867&amp;" "&amp;J1867&amp;" "&amp;K1867&amp;" "&amp;L1867))),OR($C$5="Semua",$C$5="",G1867=$C$5),OR($C$6="Semua",$C$6="",H1867=$C$6,H1867="Pengeluaran "&amp;$C$6,AND($C$6="Uang Kos Mama",H1867="Pengeluaran Uang Kos")),OR($C$7="Semua",$C$7="",I1867=$C$7),OR($C$8="Semua",$C$8="",C1867=$C$8,E1867=$C$8),OR($C$9="Semua",$C$9="",D1867=$C$9),OR($C$10="",B1867&gt;=$C$10),OR($C$11="",B1867&lt;=$C$11),OR($C$12&lt;&gt;"Ya",K1867&lt;&gt;""),OR($C$13="Semua",$C$13="",L1867=$C$13)),"✓","")</f>
        <v/>
      </c>
      <c r="N1867" s="93">
        <f>N(N1866)+IF(M1867="✓",1,0)</f>
        <v/>
      </c>
      <c r="O1867" s="93">
        <f>N(O1866)+IF(AND(B1867&lt;&gt;"",B1867&gt;='Uang Riba'!$H$30,B1867&lt;='Uang Riba'!$I$30,OR(H1867="Dana riba",H1867="Pinjam uang riba",I1867="Pinjam dari uang riba",I1867="Ganti uang riba",I1867="Kelebihan ganti dikembalikan",AND(C1867="Kantong Uang Riba",G1867="Pengeluaran"))),1,0)</f>
        <v/>
      </c>
      <c r="X1867" s="93">
        <f>IF(AND(B1867&lt;&gt;"",B1867&gt;='Buku Akun'!$H$4,B1867&lt;='Buku Akun'!$H$5,OR(C1867='Buku Akun'!$C$4,AND(D1867="Pindah",E1867='Buku Akun'!$C$4))),B1867+IF(AND(I1867="Selisih bunga",DAY(B1867)=1),0,0.01)+ROW()/10000000,"")</f>
        <v/>
      </c>
    </row>
    <row r="1868" outlineLevel="1" ht="15" customHeight="1" s="94">
      <c r="A1868" s="123">
        <f>IF(B1868="","",ROW()-15)</f>
        <v/>
      </c>
      <c r="B1868" s="124" t="n"/>
      <c r="C1868" s="123" t="n"/>
      <c r="D1868" s="123" t="n"/>
      <c r="E1868" s="123" t="n"/>
      <c r="F1868" s="125" t="n"/>
      <c r="G1868" s="123" t="n"/>
      <c r="H1868" s="123" t="n"/>
      <c r="I1868" s="123" t="n"/>
      <c r="J1868" s="123" t="n"/>
      <c r="K1868" s="123" t="n"/>
      <c r="L1868" s="123" t="n"/>
      <c r="M1868" s="123">
        <f>IF(AND(B1868&lt;&gt;"",OR($C$4="",ISNUMBER(SEARCH($C$4,C1868&amp;" "&amp;E1868&amp;" "&amp;G1868&amp;" "&amp;H1868&amp;" "&amp;I1868&amp;" "&amp;J1868&amp;" "&amp;K1868&amp;" "&amp;L1868))),OR($C$5="Semua",$C$5="",G1868=$C$5),OR($C$6="Semua",$C$6="",H1868=$C$6,H1868="Pengeluaran "&amp;$C$6,AND($C$6="Uang Kos Mama",H1868="Pengeluaran Uang Kos")),OR($C$7="Semua",$C$7="",I1868=$C$7),OR($C$8="Semua",$C$8="",C1868=$C$8,E1868=$C$8),OR($C$9="Semua",$C$9="",D1868=$C$9),OR($C$10="",B1868&gt;=$C$10),OR($C$11="",B1868&lt;=$C$11),OR($C$12&lt;&gt;"Ya",K1868&lt;&gt;""),OR($C$13="Semua",$C$13="",L1868=$C$13)),"✓","")</f>
        <v/>
      </c>
      <c r="N1868" s="93">
        <f>N(N1867)+IF(M1868="✓",1,0)</f>
        <v/>
      </c>
      <c r="O1868" s="93">
        <f>N(O1867)+IF(AND(B1868&lt;&gt;"",B1868&gt;='Uang Riba'!$H$30,B1868&lt;='Uang Riba'!$I$30,OR(H1868="Dana riba",H1868="Pinjam uang riba",I1868="Pinjam dari uang riba",I1868="Ganti uang riba",I1868="Kelebihan ganti dikembalikan",AND(C1868="Kantong Uang Riba",G1868="Pengeluaran"))),1,0)</f>
        <v/>
      </c>
      <c r="X1868" s="93">
        <f>IF(AND(B1868&lt;&gt;"",B1868&gt;='Buku Akun'!$H$4,B1868&lt;='Buku Akun'!$H$5,OR(C1868='Buku Akun'!$C$4,AND(D1868="Pindah",E1868='Buku Akun'!$C$4))),B1868+IF(AND(I1868="Selisih bunga",DAY(B1868)=1),0,0.01)+ROW()/10000000,"")</f>
        <v/>
      </c>
    </row>
    <row r="1869" outlineLevel="1" ht="15" customHeight="1" s="94">
      <c r="A1869" s="123">
        <f>IF(B1869="","",ROW()-15)</f>
        <v/>
      </c>
      <c r="B1869" s="124" t="n"/>
      <c r="C1869" s="123" t="n"/>
      <c r="D1869" s="123" t="n"/>
      <c r="E1869" s="123" t="n"/>
      <c r="F1869" s="125" t="n"/>
      <c r="G1869" s="123" t="n"/>
      <c r="H1869" s="123" t="n"/>
      <c r="I1869" s="123" t="n"/>
      <c r="J1869" s="123" t="n"/>
      <c r="K1869" s="123" t="n"/>
      <c r="L1869" s="123" t="n"/>
      <c r="M1869" s="123">
        <f>IF(AND(B1869&lt;&gt;"",OR($C$4="",ISNUMBER(SEARCH($C$4,C1869&amp;" "&amp;E1869&amp;" "&amp;G1869&amp;" "&amp;H1869&amp;" "&amp;I1869&amp;" "&amp;J1869&amp;" "&amp;K1869&amp;" "&amp;L1869))),OR($C$5="Semua",$C$5="",G1869=$C$5),OR($C$6="Semua",$C$6="",H1869=$C$6,H1869="Pengeluaran "&amp;$C$6,AND($C$6="Uang Kos Mama",H1869="Pengeluaran Uang Kos")),OR($C$7="Semua",$C$7="",I1869=$C$7),OR($C$8="Semua",$C$8="",C1869=$C$8,E1869=$C$8),OR($C$9="Semua",$C$9="",D1869=$C$9),OR($C$10="",B1869&gt;=$C$10),OR($C$11="",B1869&lt;=$C$11),OR($C$12&lt;&gt;"Ya",K1869&lt;&gt;""),OR($C$13="Semua",$C$13="",L1869=$C$13)),"✓","")</f>
        <v/>
      </c>
      <c r="N1869" s="93">
        <f>N(N1868)+IF(M1869="✓",1,0)</f>
        <v/>
      </c>
      <c r="O1869" s="93">
        <f>N(O1868)+IF(AND(B1869&lt;&gt;"",B1869&gt;='Uang Riba'!$H$30,B1869&lt;='Uang Riba'!$I$30,OR(H1869="Dana riba",H1869="Pinjam uang riba",I1869="Pinjam dari uang riba",I1869="Ganti uang riba",I1869="Kelebihan ganti dikembalikan",AND(C1869="Kantong Uang Riba",G1869="Pengeluaran"))),1,0)</f>
        <v/>
      </c>
      <c r="X1869" s="93">
        <f>IF(AND(B1869&lt;&gt;"",B1869&gt;='Buku Akun'!$H$4,B1869&lt;='Buku Akun'!$H$5,OR(C1869='Buku Akun'!$C$4,AND(D1869="Pindah",E1869='Buku Akun'!$C$4))),B1869+IF(AND(I1869="Selisih bunga",DAY(B1869)=1),0,0.01)+ROW()/10000000,"")</f>
        <v/>
      </c>
    </row>
    <row r="1870" outlineLevel="1" ht="15" customHeight="1" s="94">
      <c r="A1870" s="123">
        <f>IF(B1870="","",ROW()-15)</f>
        <v/>
      </c>
      <c r="B1870" s="124" t="n"/>
      <c r="C1870" s="123" t="n"/>
      <c r="D1870" s="123" t="n"/>
      <c r="E1870" s="123" t="n"/>
      <c r="F1870" s="125" t="n"/>
      <c r="G1870" s="123" t="n"/>
      <c r="H1870" s="123" t="n"/>
      <c r="I1870" s="123" t="n"/>
      <c r="J1870" s="123" t="n"/>
      <c r="K1870" s="123" t="n"/>
      <c r="L1870" s="123" t="n"/>
      <c r="M1870" s="123">
        <f>IF(AND(B1870&lt;&gt;"",OR($C$4="",ISNUMBER(SEARCH($C$4,C1870&amp;" "&amp;E1870&amp;" "&amp;G1870&amp;" "&amp;H1870&amp;" "&amp;I1870&amp;" "&amp;J1870&amp;" "&amp;K1870&amp;" "&amp;L1870))),OR($C$5="Semua",$C$5="",G1870=$C$5),OR($C$6="Semua",$C$6="",H1870=$C$6,H1870="Pengeluaran "&amp;$C$6,AND($C$6="Uang Kos Mama",H1870="Pengeluaran Uang Kos")),OR($C$7="Semua",$C$7="",I1870=$C$7),OR($C$8="Semua",$C$8="",C1870=$C$8,E1870=$C$8),OR($C$9="Semua",$C$9="",D1870=$C$9),OR($C$10="",B1870&gt;=$C$10),OR($C$11="",B1870&lt;=$C$11),OR($C$12&lt;&gt;"Ya",K1870&lt;&gt;""),OR($C$13="Semua",$C$13="",L1870=$C$13)),"✓","")</f>
        <v/>
      </c>
      <c r="N1870" s="93">
        <f>N(N1869)+IF(M1870="✓",1,0)</f>
        <v/>
      </c>
      <c r="O1870" s="93">
        <f>N(O1869)+IF(AND(B1870&lt;&gt;"",B1870&gt;='Uang Riba'!$H$30,B1870&lt;='Uang Riba'!$I$30,OR(H1870="Dana riba",H1870="Pinjam uang riba",I1870="Pinjam dari uang riba",I1870="Ganti uang riba",I1870="Kelebihan ganti dikembalikan",AND(C1870="Kantong Uang Riba",G1870="Pengeluaran"))),1,0)</f>
        <v/>
      </c>
      <c r="X1870" s="93">
        <f>IF(AND(B1870&lt;&gt;"",B1870&gt;='Buku Akun'!$H$4,B1870&lt;='Buku Akun'!$H$5,OR(C1870='Buku Akun'!$C$4,AND(D1870="Pindah",E1870='Buku Akun'!$C$4))),B1870+IF(AND(I1870="Selisih bunga",DAY(B1870)=1),0,0.01)+ROW()/10000000,"")</f>
        <v/>
      </c>
    </row>
    <row r="1871" outlineLevel="1" ht="15" customHeight="1" s="94">
      <c r="A1871" s="123">
        <f>IF(B1871="","",ROW()-15)</f>
        <v/>
      </c>
      <c r="B1871" s="124" t="n"/>
      <c r="C1871" s="123" t="n"/>
      <c r="D1871" s="123" t="n"/>
      <c r="E1871" s="123" t="n"/>
      <c r="F1871" s="125" t="n"/>
      <c r="G1871" s="123" t="n"/>
      <c r="H1871" s="123" t="n"/>
      <c r="I1871" s="123" t="n"/>
      <c r="J1871" s="123" t="n"/>
      <c r="K1871" s="123" t="n"/>
      <c r="L1871" s="123" t="n"/>
      <c r="M1871" s="123">
        <f>IF(AND(B1871&lt;&gt;"",OR($C$4="",ISNUMBER(SEARCH($C$4,C1871&amp;" "&amp;E1871&amp;" "&amp;G1871&amp;" "&amp;H1871&amp;" "&amp;I1871&amp;" "&amp;J1871&amp;" "&amp;K1871&amp;" "&amp;L1871))),OR($C$5="Semua",$C$5="",G1871=$C$5),OR($C$6="Semua",$C$6="",H1871=$C$6,H1871="Pengeluaran "&amp;$C$6,AND($C$6="Uang Kos Mama",H1871="Pengeluaran Uang Kos")),OR($C$7="Semua",$C$7="",I1871=$C$7),OR($C$8="Semua",$C$8="",C1871=$C$8,E1871=$C$8),OR($C$9="Semua",$C$9="",D1871=$C$9),OR($C$10="",B1871&gt;=$C$10),OR($C$11="",B1871&lt;=$C$11),OR($C$12&lt;&gt;"Ya",K1871&lt;&gt;""),OR($C$13="Semua",$C$13="",L1871=$C$13)),"✓","")</f>
        <v/>
      </c>
      <c r="N1871" s="93">
        <f>N(N1870)+IF(M1871="✓",1,0)</f>
        <v/>
      </c>
      <c r="O1871" s="93">
        <f>N(O1870)+IF(AND(B1871&lt;&gt;"",B1871&gt;='Uang Riba'!$H$30,B1871&lt;='Uang Riba'!$I$30,OR(H1871="Dana riba",H1871="Pinjam uang riba",I1871="Pinjam dari uang riba",I1871="Ganti uang riba",I1871="Kelebihan ganti dikembalikan",AND(C1871="Kantong Uang Riba",G1871="Pengeluaran"))),1,0)</f>
        <v/>
      </c>
      <c r="X1871" s="93">
        <f>IF(AND(B1871&lt;&gt;"",B1871&gt;='Buku Akun'!$H$4,B1871&lt;='Buku Akun'!$H$5,OR(C1871='Buku Akun'!$C$4,AND(D1871="Pindah",E1871='Buku Akun'!$C$4))),B1871+IF(AND(I1871="Selisih bunga",DAY(B1871)=1),0,0.01)+ROW()/10000000,"")</f>
        <v/>
      </c>
    </row>
    <row r="1872" outlineLevel="1" ht="15" customHeight="1" s="94">
      <c r="A1872" s="123">
        <f>IF(B1872="","",ROW()-15)</f>
        <v/>
      </c>
      <c r="B1872" s="124" t="n"/>
      <c r="C1872" s="123" t="n"/>
      <c r="D1872" s="123" t="n"/>
      <c r="E1872" s="123" t="n"/>
      <c r="F1872" s="125" t="n"/>
      <c r="G1872" s="123" t="n"/>
      <c r="H1872" s="123" t="n"/>
      <c r="I1872" s="123" t="n"/>
      <c r="J1872" s="123" t="n"/>
      <c r="K1872" s="123" t="n"/>
      <c r="L1872" s="123" t="n"/>
      <c r="M1872" s="123">
        <f>IF(AND(B1872&lt;&gt;"",OR($C$4="",ISNUMBER(SEARCH($C$4,C1872&amp;" "&amp;E1872&amp;" "&amp;G1872&amp;" "&amp;H1872&amp;" "&amp;I1872&amp;" "&amp;J1872&amp;" "&amp;K1872&amp;" "&amp;L1872))),OR($C$5="Semua",$C$5="",G1872=$C$5),OR($C$6="Semua",$C$6="",H1872=$C$6,H1872="Pengeluaran "&amp;$C$6,AND($C$6="Uang Kos Mama",H1872="Pengeluaran Uang Kos")),OR($C$7="Semua",$C$7="",I1872=$C$7),OR($C$8="Semua",$C$8="",C1872=$C$8,E1872=$C$8),OR($C$9="Semua",$C$9="",D1872=$C$9),OR($C$10="",B1872&gt;=$C$10),OR($C$11="",B1872&lt;=$C$11),OR($C$12&lt;&gt;"Ya",K1872&lt;&gt;""),OR($C$13="Semua",$C$13="",L1872=$C$13)),"✓","")</f>
        <v/>
      </c>
      <c r="N1872" s="93">
        <f>N(N1871)+IF(M1872="✓",1,0)</f>
        <v/>
      </c>
      <c r="O1872" s="93">
        <f>N(O1871)+IF(AND(B1872&lt;&gt;"",B1872&gt;='Uang Riba'!$H$30,B1872&lt;='Uang Riba'!$I$30,OR(H1872="Dana riba",H1872="Pinjam uang riba",I1872="Pinjam dari uang riba",I1872="Ganti uang riba",I1872="Kelebihan ganti dikembalikan",AND(C1872="Kantong Uang Riba",G1872="Pengeluaran"))),1,0)</f>
        <v/>
      </c>
      <c r="X1872" s="93">
        <f>IF(AND(B1872&lt;&gt;"",B1872&gt;='Buku Akun'!$H$4,B1872&lt;='Buku Akun'!$H$5,OR(C1872='Buku Akun'!$C$4,AND(D1872="Pindah",E1872='Buku Akun'!$C$4))),B1872+IF(AND(I1872="Selisih bunga",DAY(B1872)=1),0,0.01)+ROW()/10000000,"")</f>
        <v/>
      </c>
    </row>
    <row r="1873" outlineLevel="1" ht="15" customHeight="1" s="94">
      <c r="A1873" s="123">
        <f>IF(B1873="","",ROW()-15)</f>
        <v/>
      </c>
      <c r="B1873" s="124" t="n"/>
      <c r="C1873" s="123" t="n"/>
      <c r="D1873" s="123" t="n"/>
      <c r="E1873" s="123" t="n"/>
      <c r="F1873" s="125" t="n"/>
      <c r="G1873" s="123" t="n"/>
      <c r="H1873" s="123" t="n"/>
      <c r="I1873" s="123" t="n"/>
      <c r="J1873" s="123" t="n"/>
      <c r="K1873" s="123" t="n"/>
      <c r="L1873" s="123" t="n"/>
      <c r="M1873" s="123">
        <f>IF(AND(B1873&lt;&gt;"",OR($C$4="",ISNUMBER(SEARCH($C$4,C1873&amp;" "&amp;E1873&amp;" "&amp;G1873&amp;" "&amp;H1873&amp;" "&amp;I1873&amp;" "&amp;J1873&amp;" "&amp;K1873&amp;" "&amp;L1873))),OR($C$5="Semua",$C$5="",G1873=$C$5),OR($C$6="Semua",$C$6="",H1873=$C$6,H1873="Pengeluaran "&amp;$C$6,AND($C$6="Uang Kos Mama",H1873="Pengeluaran Uang Kos")),OR($C$7="Semua",$C$7="",I1873=$C$7),OR($C$8="Semua",$C$8="",C1873=$C$8,E1873=$C$8),OR($C$9="Semua",$C$9="",D1873=$C$9),OR($C$10="",B1873&gt;=$C$10),OR($C$11="",B1873&lt;=$C$11),OR($C$12&lt;&gt;"Ya",K1873&lt;&gt;""),OR($C$13="Semua",$C$13="",L1873=$C$13)),"✓","")</f>
        <v/>
      </c>
      <c r="N1873" s="93">
        <f>N(N1872)+IF(M1873="✓",1,0)</f>
        <v/>
      </c>
      <c r="O1873" s="93">
        <f>N(O1872)+IF(AND(B1873&lt;&gt;"",B1873&gt;='Uang Riba'!$H$30,B1873&lt;='Uang Riba'!$I$30,OR(H1873="Dana riba",H1873="Pinjam uang riba",I1873="Pinjam dari uang riba",I1873="Ganti uang riba",I1873="Kelebihan ganti dikembalikan",AND(C1873="Kantong Uang Riba",G1873="Pengeluaran"))),1,0)</f>
        <v/>
      </c>
      <c r="X1873" s="93">
        <f>IF(AND(B1873&lt;&gt;"",B1873&gt;='Buku Akun'!$H$4,B1873&lt;='Buku Akun'!$H$5,OR(C1873='Buku Akun'!$C$4,AND(D1873="Pindah",E1873='Buku Akun'!$C$4))),B1873+IF(AND(I1873="Selisih bunga",DAY(B1873)=1),0,0.01)+ROW()/10000000,"")</f>
        <v/>
      </c>
    </row>
    <row r="1874" outlineLevel="1" ht="15" customHeight="1" s="94">
      <c r="A1874" s="123">
        <f>IF(B1874="","",ROW()-15)</f>
        <v/>
      </c>
      <c r="B1874" s="124" t="n"/>
      <c r="C1874" s="123" t="n"/>
      <c r="D1874" s="123" t="n"/>
      <c r="E1874" s="123" t="n"/>
      <c r="F1874" s="125" t="n"/>
      <c r="G1874" s="123" t="n"/>
      <c r="H1874" s="123" t="n"/>
      <c r="I1874" s="123" t="n"/>
      <c r="J1874" s="123" t="n"/>
      <c r="K1874" s="123" t="n"/>
      <c r="L1874" s="123" t="n"/>
      <c r="M1874" s="123">
        <f>IF(AND(B1874&lt;&gt;"",OR($C$4="",ISNUMBER(SEARCH($C$4,C1874&amp;" "&amp;E1874&amp;" "&amp;G1874&amp;" "&amp;H1874&amp;" "&amp;I1874&amp;" "&amp;J1874&amp;" "&amp;K1874&amp;" "&amp;L1874))),OR($C$5="Semua",$C$5="",G1874=$C$5),OR($C$6="Semua",$C$6="",H1874=$C$6,H1874="Pengeluaran "&amp;$C$6,AND($C$6="Uang Kos Mama",H1874="Pengeluaran Uang Kos")),OR($C$7="Semua",$C$7="",I1874=$C$7),OR($C$8="Semua",$C$8="",C1874=$C$8,E1874=$C$8),OR($C$9="Semua",$C$9="",D1874=$C$9),OR($C$10="",B1874&gt;=$C$10),OR($C$11="",B1874&lt;=$C$11),OR($C$12&lt;&gt;"Ya",K1874&lt;&gt;""),OR($C$13="Semua",$C$13="",L1874=$C$13)),"✓","")</f>
        <v/>
      </c>
      <c r="N1874" s="93">
        <f>N(N1873)+IF(M1874="✓",1,0)</f>
        <v/>
      </c>
      <c r="O1874" s="93">
        <f>N(O1873)+IF(AND(B1874&lt;&gt;"",B1874&gt;='Uang Riba'!$H$30,B1874&lt;='Uang Riba'!$I$30,OR(H1874="Dana riba",H1874="Pinjam uang riba",I1874="Pinjam dari uang riba",I1874="Ganti uang riba",I1874="Kelebihan ganti dikembalikan",AND(C1874="Kantong Uang Riba",G1874="Pengeluaran"))),1,0)</f>
        <v/>
      </c>
      <c r="X1874" s="93">
        <f>IF(AND(B1874&lt;&gt;"",B1874&gt;='Buku Akun'!$H$4,B1874&lt;='Buku Akun'!$H$5,OR(C1874='Buku Akun'!$C$4,AND(D1874="Pindah",E1874='Buku Akun'!$C$4))),B1874+IF(AND(I1874="Selisih bunga",DAY(B1874)=1),0,0.01)+ROW()/10000000,"")</f>
        <v/>
      </c>
    </row>
    <row r="1875" outlineLevel="1" ht="15" customHeight="1" s="94">
      <c r="A1875" s="123">
        <f>IF(B1875="","",ROW()-15)</f>
        <v/>
      </c>
      <c r="B1875" s="124" t="n"/>
      <c r="C1875" s="123" t="n"/>
      <c r="D1875" s="123" t="n"/>
      <c r="E1875" s="123" t="n"/>
      <c r="F1875" s="125" t="n"/>
      <c r="G1875" s="123" t="n"/>
      <c r="H1875" s="123" t="n"/>
      <c r="I1875" s="123" t="n"/>
      <c r="J1875" s="123" t="n"/>
      <c r="K1875" s="123" t="n"/>
      <c r="L1875" s="123" t="n"/>
      <c r="M1875" s="123">
        <f>IF(AND(B1875&lt;&gt;"",OR($C$4="",ISNUMBER(SEARCH($C$4,C1875&amp;" "&amp;E1875&amp;" "&amp;G1875&amp;" "&amp;H1875&amp;" "&amp;I1875&amp;" "&amp;J1875&amp;" "&amp;K1875&amp;" "&amp;L1875))),OR($C$5="Semua",$C$5="",G1875=$C$5),OR($C$6="Semua",$C$6="",H1875=$C$6,H1875="Pengeluaran "&amp;$C$6,AND($C$6="Uang Kos Mama",H1875="Pengeluaran Uang Kos")),OR($C$7="Semua",$C$7="",I1875=$C$7),OR($C$8="Semua",$C$8="",C1875=$C$8,E1875=$C$8),OR($C$9="Semua",$C$9="",D1875=$C$9),OR($C$10="",B1875&gt;=$C$10),OR($C$11="",B1875&lt;=$C$11),OR($C$12&lt;&gt;"Ya",K1875&lt;&gt;""),OR($C$13="Semua",$C$13="",L1875=$C$13)),"✓","")</f>
        <v/>
      </c>
      <c r="N1875" s="93">
        <f>N(N1874)+IF(M1875="✓",1,0)</f>
        <v/>
      </c>
      <c r="O1875" s="93">
        <f>N(O1874)+IF(AND(B1875&lt;&gt;"",B1875&gt;='Uang Riba'!$H$30,B1875&lt;='Uang Riba'!$I$30,OR(H1875="Dana riba",H1875="Pinjam uang riba",I1875="Pinjam dari uang riba",I1875="Ganti uang riba",I1875="Kelebihan ganti dikembalikan",AND(C1875="Kantong Uang Riba",G1875="Pengeluaran"))),1,0)</f>
        <v/>
      </c>
      <c r="X1875" s="93">
        <f>IF(AND(B1875&lt;&gt;"",B1875&gt;='Buku Akun'!$H$4,B1875&lt;='Buku Akun'!$H$5,OR(C1875='Buku Akun'!$C$4,AND(D1875="Pindah",E1875='Buku Akun'!$C$4))),B1875+IF(AND(I1875="Selisih bunga",DAY(B1875)=1),0,0.01)+ROW()/10000000,"")</f>
        <v/>
      </c>
    </row>
    <row r="1876" outlineLevel="1" ht="15" customHeight="1" s="94">
      <c r="A1876" s="123">
        <f>IF(B1876="","",ROW()-15)</f>
        <v/>
      </c>
      <c r="B1876" s="124" t="n"/>
      <c r="C1876" s="123" t="n"/>
      <c r="D1876" s="123" t="n"/>
      <c r="E1876" s="123" t="n"/>
      <c r="F1876" s="125" t="n"/>
      <c r="G1876" s="123" t="n"/>
      <c r="H1876" s="123" t="n"/>
      <c r="I1876" s="123" t="n"/>
      <c r="J1876" s="123" t="n"/>
      <c r="K1876" s="123" t="n"/>
      <c r="L1876" s="123" t="n"/>
      <c r="M1876" s="123">
        <f>IF(AND(B1876&lt;&gt;"",OR($C$4="",ISNUMBER(SEARCH($C$4,C1876&amp;" "&amp;E1876&amp;" "&amp;G1876&amp;" "&amp;H1876&amp;" "&amp;I1876&amp;" "&amp;J1876&amp;" "&amp;K1876&amp;" "&amp;L1876))),OR($C$5="Semua",$C$5="",G1876=$C$5),OR($C$6="Semua",$C$6="",H1876=$C$6,H1876="Pengeluaran "&amp;$C$6,AND($C$6="Uang Kos Mama",H1876="Pengeluaran Uang Kos")),OR($C$7="Semua",$C$7="",I1876=$C$7),OR($C$8="Semua",$C$8="",C1876=$C$8,E1876=$C$8),OR($C$9="Semua",$C$9="",D1876=$C$9),OR($C$10="",B1876&gt;=$C$10),OR($C$11="",B1876&lt;=$C$11),OR($C$12&lt;&gt;"Ya",K1876&lt;&gt;""),OR($C$13="Semua",$C$13="",L1876=$C$13)),"✓","")</f>
        <v/>
      </c>
      <c r="N1876" s="93">
        <f>N(N1875)+IF(M1876="✓",1,0)</f>
        <v/>
      </c>
      <c r="O1876" s="93">
        <f>N(O1875)+IF(AND(B1876&lt;&gt;"",B1876&gt;='Uang Riba'!$H$30,B1876&lt;='Uang Riba'!$I$30,OR(H1876="Dana riba",H1876="Pinjam uang riba",I1876="Pinjam dari uang riba",I1876="Ganti uang riba",I1876="Kelebihan ganti dikembalikan",AND(C1876="Kantong Uang Riba",G1876="Pengeluaran"))),1,0)</f>
        <v/>
      </c>
      <c r="X1876" s="93">
        <f>IF(AND(B1876&lt;&gt;"",B1876&gt;='Buku Akun'!$H$4,B1876&lt;='Buku Akun'!$H$5,OR(C1876='Buku Akun'!$C$4,AND(D1876="Pindah",E1876='Buku Akun'!$C$4))),B1876+IF(AND(I1876="Selisih bunga",DAY(B1876)=1),0,0.01)+ROW()/10000000,"")</f>
        <v/>
      </c>
    </row>
    <row r="1877" outlineLevel="1" ht="15" customHeight="1" s="94">
      <c r="A1877" s="123">
        <f>IF(B1877="","",ROW()-15)</f>
        <v/>
      </c>
      <c r="B1877" s="124" t="n"/>
      <c r="C1877" s="123" t="n"/>
      <c r="D1877" s="123" t="n"/>
      <c r="E1877" s="123" t="n"/>
      <c r="F1877" s="125" t="n"/>
      <c r="G1877" s="123" t="n"/>
      <c r="H1877" s="123" t="n"/>
      <c r="I1877" s="123" t="n"/>
      <c r="J1877" s="123" t="n"/>
      <c r="K1877" s="123" t="n"/>
      <c r="L1877" s="123" t="n"/>
      <c r="M1877" s="123">
        <f>IF(AND(B1877&lt;&gt;"",OR($C$4="",ISNUMBER(SEARCH($C$4,C1877&amp;" "&amp;E1877&amp;" "&amp;G1877&amp;" "&amp;H1877&amp;" "&amp;I1877&amp;" "&amp;J1877&amp;" "&amp;K1877&amp;" "&amp;L1877))),OR($C$5="Semua",$C$5="",G1877=$C$5),OR($C$6="Semua",$C$6="",H1877=$C$6,H1877="Pengeluaran "&amp;$C$6,AND($C$6="Uang Kos Mama",H1877="Pengeluaran Uang Kos")),OR($C$7="Semua",$C$7="",I1877=$C$7),OR($C$8="Semua",$C$8="",C1877=$C$8,E1877=$C$8),OR($C$9="Semua",$C$9="",D1877=$C$9),OR($C$10="",B1877&gt;=$C$10),OR($C$11="",B1877&lt;=$C$11),OR($C$12&lt;&gt;"Ya",K1877&lt;&gt;""),OR($C$13="Semua",$C$13="",L1877=$C$13)),"✓","")</f>
        <v/>
      </c>
      <c r="N1877" s="93">
        <f>N(N1876)+IF(M1877="✓",1,0)</f>
        <v/>
      </c>
      <c r="O1877" s="93">
        <f>N(O1876)+IF(AND(B1877&lt;&gt;"",B1877&gt;='Uang Riba'!$H$30,B1877&lt;='Uang Riba'!$I$30,OR(H1877="Dana riba",H1877="Pinjam uang riba",I1877="Pinjam dari uang riba",I1877="Ganti uang riba",I1877="Kelebihan ganti dikembalikan",AND(C1877="Kantong Uang Riba",G1877="Pengeluaran"))),1,0)</f>
        <v/>
      </c>
      <c r="X1877" s="93">
        <f>IF(AND(B1877&lt;&gt;"",B1877&gt;='Buku Akun'!$H$4,B1877&lt;='Buku Akun'!$H$5,OR(C1877='Buku Akun'!$C$4,AND(D1877="Pindah",E1877='Buku Akun'!$C$4))),B1877+IF(AND(I1877="Selisih bunga",DAY(B1877)=1),0,0.01)+ROW()/10000000,"")</f>
        <v/>
      </c>
    </row>
    <row r="1878" outlineLevel="1" ht="15" customHeight="1" s="94">
      <c r="A1878" s="123">
        <f>IF(B1878="","",ROW()-15)</f>
        <v/>
      </c>
      <c r="B1878" s="124" t="n"/>
      <c r="C1878" s="123" t="n"/>
      <c r="D1878" s="123" t="n"/>
      <c r="E1878" s="123" t="n"/>
      <c r="F1878" s="125" t="n"/>
      <c r="G1878" s="123" t="n"/>
      <c r="H1878" s="123" t="n"/>
      <c r="I1878" s="123" t="n"/>
      <c r="J1878" s="123" t="n"/>
      <c r="K1878" s="123" t="n"/>
      <c r="L1878" s="123" t="n"/>
      <c r="M1878" s="123">
        <f>IF(AND(B1878&lt;&gt;"",OR($C$4="",ISNUMBER(SEARCH($C$4,C1878&amp;" "&amp;E1878&amp;" "&amp;G1878&amp;" "&amp;H1878&amp;" "&amp;I1878&amp;" "&amp;J1878&amp;" "&amp;K1878&amp;" "&amp;L1878))),OR($C$5="Semua",$C$5="",G1878=$C$5),OR($C$6="Semua",$C$6="",H1878=$C$6,H1878="Pengeluaran "&amp;$C$6,AND($C$6="Uang Kos Mama",H1878="Pengeluaran Uang Kos")),OR($C$7="Semua",$C$7="",I1878=$C$7),OR($C$8="Semua",$C$8="",C1878=$C$8,E1878=$C$8),OR($C$9="Semua",$C$9="",D1878=$C$9),OR($C$10="",B1878&gt;=$C$10),OR($C$11="",B1878&lt;=$C$11),OR($C$12&lt;&gt;"Ya",K1878&lt;&gt;""),OR($C$13="Semua",$C$13="",L1878=$C$13)),"✓","")</f>
        <v/>
      </c>
      <c r="N1878" s="93">
        <f>N(N1877)+IF(M1878="✓",1,0)</f>
        <v/>
      </c>
      <c r="O1878" s="93">
        <f>N(O1877)+IF(AND(B1878&lt;&gt;"",B1878&gt;='Uang Riba'!$H$30,B1878&lt;='Uang Riba'!$I$30,OR(H1878="Dana riba",H1878="Pinjam uang riba",I1878="Pinjam dari uang riba",I1878="Ganti uang riba",I1878="Kelebihan ganti dikembalikan",AND(C1878="Kantong Uang Riba",G1878="Pengeluaran"))),1,0)</f>
        <v/>
      </c>
      <c r="X1878" s="93">
        <f>IF(AND(B1878&lt;&gt;"",B1878&gt;='Buku Akun'!$H$4,B1878&lt;='Buku Akun'!$H$5,OR(C1878='Buku Akun'!$C$4,AND(D1878="Pindah",E1878='Buku Akun'!$C$4))),B1878+IF(AND(I1878="Selisih bunga",DAY(B1878)=1),0,0.01)+ROW()/10000000,"")</f>
        <v/>
      </c>
    </row>
    <row r="1879" outlineLevel="1" ht="15" customHeight="1" s="94">
      <c r="A1879" s="123">
        <f>IF(B1879="","",ROW()-15)</f>
        <v/>
      </c>
      <c r="B1879" s="124" t="n"/>
      <c r="C1879" s="123" t="n"/>
      <c r="D1879" s="123" t="n"/>
      <c r="E1879" s="123" t="n"/>
      <c r="F1879" s="125" t="n"/>
      <c r="G1879" s="123" t="n"/>
      <c r="H1879" s="123" t="n"/>
      <c r="I1879" s="123" t="n"/>
      <c r="J1879" s="123" t="n"/>
      <c r="K1879" s="123" t="n"/>
      <c r="L1879" s="123" t="n"/>
      <c r="M1879" s="123">
        <f>IF(AND(B1879&lt;&gt;"",OR($C$4="",ISNUMBER(SEARCH($C$4,C1879&amp;" "&amp;E1879&amp;" "&amp;G1879&amp;" "&amp;H1879&amp;" "&amp;I1879&amp;" "&amp;J1879&amp;" "&amp;K1879&amp;" "&amp;L1879))),OR($C$5="Semua",$C$5="",G1879=$C$5),OR($C$6="Semua",$C$6="",H1879=$C$6,H1879="Pengeluaran "&amp;$C$6,AND($C$6="Uang Kos Mama",H1879="Pengeluaran Uang Kos")),OR($C$7="Semua",$C$7="",I1879=$C$7),OR($C$8="Semua",$C$8="",C1879=$C$8,E1879=$C$8),OR($C$9="Semua",$C$9="",D1879=$C$9),OR($C$10="",B1879&gt;=$C$10),OR($C$11="",B1879&lt;=$C$11),OR($C$12&lt;&gt;"Ya",K1879&lt;&gt;""),OR($C$13="Semua",$C$13="",L1879=$C$13)),"✓","")</f>
        <v/>
      </c>
      <c r="N1879" s="93">
        <f>N(N1878)+IF(M1879="✓",1,0)</f>
        <v/>
      </c>
      <c r="O1879" s="93">
        <f>N(O1878)+IF(AND(B1879&lt;&gt;"",B1879&gt;='Uang Riba'!$H$30,B1879&lt;='Uang Riba'!$I$30,OR(H1879="Dana riba",H1879="Pinjam uang riba",I1879="Pinjam dari uang riba",I1879="Ganti uang riba",I1879="Kelebihan ganti dikembalikan",AND(C1879="Kantong Uang Riba",G1879="Pengeluaran"))),1,0)</f>
        <v/>
      </c>
      <c r="X1879" s="93">
        <f>IF(AND(B1879&lt;&gt;"",B1879&gt;='Buku Akun'!$H$4,B1879&lt;='Buku Akun'!$H$5,OR(C1879='Buku Akun'!$C$4,AND(D1879="Pindah",E1879='Buku Akun'!$C$4))),B1879+IF(AND(I1879="Selisih bunga",DAY(B1879)=1),0,0.01)+ROW()/10000000,"")</f>
        <v/>
      </c>
    </row>
    <row r="1880" outlineLevel="1" ht="15" customHeight="1" s="94">
      <c r="A1880" s="123">
        <f>IF(B1880="","",ROW()-15)</f>
        <v/>
      </c>
      <c r="B1880" s="124" t="n"/>
      <c r="C1880" s="123" t="n"/>
      <c r="D1880" s="123" t="n"/>
      <c r="E1880" s="123" t="n"/>
      <c r="F1880" s="125" t="n"/>
      <c r="G1880" s="123" t="n"/>
      <c r="H1880" s="123" t="n"/>
      <c r="I1880" s="123" t="n"/>
      <c r="J1880" s="123" t="n"/>
      <c r="K1880" s="123" t="n"/>
      <c r="L1880" s="123" t="n"/>
      <c r="M1880" s="123">
        <f>IF(AND(B1880&lt;&gt;"",OR($C$4="",ISNUMBER(SEARCH($C$4,C1880&amp;" "&amp;E1880&amp;" "&amp;G1880&amp;" "&amp;H1880&amp;" "&amp;I1880&amp;" "&amp;J1880&amp;" "&amp;K1880&amp;" "&amp;L1880))),OR($C$5="Semua",$C$5="",G1880=$C$5),OR($C$6="Semua",$C$6="",H1880=$C$6,H1880="Pengeluaran "&amp;$C$6,AND($C$6="Uang Kos Mama",H1880="Pengeluaran Uang Kos")),OR($C$7="Semua",$C$7="",I1880=$C$7),OR($C$8="Semua",$C$8="",C1880=$C$8,E1880=$C$8),OR($C$9="Semua",$C$9="",D1880=$C$9),OR($C$10="",B1880&gt;=$C$10),OR($C$11="",B1880&lt;=$C$11),OR($C$12&lt;&gt;"Ya",K1880&lt;&gt;""),OR($C$13="Semua",$C$13="",L1880=$C$13)),"✓","")</f>
        <v/>
      </c>
      <c r="N1880" s="93">
        <f>N(N1879)+IF(M1880="✓",1,0)</f>
        <v/>
      </c>
      <c r="O1880" s="93">
        <f>N(O1879)+IF(AND(B1880&lt;&gt;"",B1880&gt;='Uang Riba'!$H$30,B1880&lt;='Uang Riba'!$I$30,OR(H1880="Dana riba",H1880="Pinjam uang riba",I1880="Pinjam dari uang riba",I1880="Ganti uang riba",I1880="Kelebihan ganti dikembalikan",AND(C1880="Kantong Uang Riba",G1880="Pengeluaran"))),1,0)</f>
        <v/>
      </c>
      <c r="X1880" s="93">
        <f>IF(AND(B1880&lt;&gt;"",B1880&gt;='Buku Akun'!$H$4,B1880&lt;='Buku Akun'!$H$5,OR(C1880='Buku Akun'!$C$4,AND(D1880="Pindah",E1880='Buku Akun'!$C$4))),B1880+IF(AND(I1880="Selisih bunga",DAY(B1880)=1),0,0.01)+ROW()/10000000,"")</f>
        <v/>
      </c>
    </row>
    <row r="1881" outlineLevel="1" ht="15" customHeight="1" s="94">
      <c r="A1881" s="123">
        <f>IF(B1881="","",ROW()-15)</f>
        <v/>
      </c>
      <c r="B1881" s="124" t="n"/>
      <c r="C1881" s="123" t="n"/>
      <c r="D1881" s="123" t="n"/>
      <c r="E1881" s="123" t="n"/>
      <c r="F1881" s="125" t="n"/>
      <c r="G1881" s="123" t="n"/>
      <c r="H1881" s="123" t="n"/>
      <c r="I1881" s="123" t="n"/>
      <c r="J1881" s="123" t="n"/>
      <c r="K1881" s="123" t="n"/>
      <c r="L1881" s="123" t="n"/>
      <c r="M1881" s="123">
        <f>IF(AND(B1881&lt;&gt;"",OR($C$4="",ISNUMBER(SEARCH($C$4,C1881&amp;" "&amp;E1881&amp;" "&amp;G1881&amp;" "&amp;H1881&amp;" "&amp;I1881&amp;" "&amp;J1881&amp;" "&amp;K1881&amp;" "&amp;L1881))),OR($C$5="Semua",$C$5="",G1881=$C$5),OR($C$6="Semua",$C$6="",H1881=$C$6,H1881="Pengeluaran "&amp;$C$6,AND($C$6="Uang Kos Mama",H1881="Pengeluaran Uang Kos")),OR($C$7="Semua",$C$7="",I1881=$C$7),OR($C$8="Semua",$C$8="",C1881=$C$8,E1881=$C$8),OR($C$9="Semua",$C$9="",D1881=$C$9),OR($C$10="",B1881&gt;=$C$10),OR($C$11="",B1881&lt;=$C$11),OR($C$12&lt;&gt;"Ya",K1881&lt;&gt;""),OR($C$13="Semua",$C$13="",L1881=$C$13)),"✓","")</f>
        <v/>
      </c>
      <c r="N1881" s="93">
        <f>N(N1880)+IF(M1881="✓",1,0)</f>
        <v/>
      </c>
      <c r="O1881" s="93">
        <f>N(O1880)+IF(AND(B1881&lt;&gt;"",B1881&gt;='Uang Riba'!$H$30,B1881&lt;='Uang Riba'!$I$30,OR(H1881="Dana riba",H1881="Pinjam uang riba",I1881="Pinjam dari uang riba",I1881="Ganti uang riba",I1881="Kelebihan ganti dikembalikan",AND(C1881="Kantong Uang Riba",G1881="Pengeluaran"))),1,0)</f>
        <v/>
      </c>
      <c r="X1881" s="93">
        <f>IF(AND(B1881&lt;&gt;"",B1881&gt;='Buku Akun'!$H$4,B1881&lt;='Buku Akun'!$H$5,OR(C1881='Buku Akun'!$C$4,AND(D1881="Pindah",E1881='Buku Akun'!$C$4))),B1881+IF(AND(I1881="Selisih bunga",DAY(B1881)=1),0,0.01)+ROW()/10000000,"")</f>
        <v/>
      </c>
    </row>
    <row r="1882" outlineLevel="1" ht="15" customHeight="1" s="94">
      <c r="A1882" s="123">
        <f>IF(B1882="","",ROW()-15)</f>
        <v/>
      </c>
      <c r="B1882" s="124" t="n"/>
      <c r="C1882" s="123" t="n"/>
      <c r="D1882" s="123" t="n"/>
      <c r="E1882" s="123" t="n"/>
      <c r="F1882" s="125" t="n"/>
      <c r="G1882" s="123" t="n"/>
      <c r="H1882" s="123" t="n"/>
      <c r="I1882" s="123" t="n"/>
      <c r="J1882" s="123" t="n"/>
      <c r="K1882" s="123" t="n"/>
      <c r="L1882" s="123" t="n"/>
      <c r="M1882" s="123">
        <f>IF(AND(B1882&lt;&gt;"",OR($C$4="",ISNUMBER(SEARCH($C$4,C1882&amp;" "&amp;E1882&amp;" "&amp;G1882&amp;" "&amp;H1882&amp;" "&amp;I1882&amp;" "&amp;J1882&amp;" "&amp;K1882&amp;" "&amp;L1882))),OR($C$5="Semua",$C$5="",G1882=$C$5),OR($C$6="Semua",$C$6="",H1882=$C$6,H1882="Pengeluaran "&amp;$C$6,AND($C$6="Uang Kos Mama",H1882="Pengeluaran Uang Kos")),OR($C$7="Semua",$C$7="",I1882=$C$7),OR($C$8="Semua",$C$8="",C1882=$C$8,E1882=$C$8),OR($C$9="Semua",$C$9="",D1882=$C$9),OR($C$10="",B1882&gt;=$C$10),OR($C$11="",B1882&lt;=$C$11),OR($C$12&lt;&gt;"Ya",K1882&lt;&gt;""),OR($C$13="Semua",$C$13="",L1882=$C$13)),"✓","")</f>
        <v/>
      </c>
      <c r="N1882" s="93">
        <f>N(N1881)+IF(M1882="✓",1,0)</f>
        <v/>
      </c>
      <c r="O1882" s="93">
        <f>N(O1881)+IF(AND(B1882&lt;&gt;"",B1882&gt;='Uang Riba'!$H$30,B1882&lt;='Uang Riba'!$I$30,OR(H1882="Dana riba",H1882="Pinjam uang riba",I1882="Pinjam dari uang riba",I1882="Ganti uang riba",I1882="Kelebihan ganti dikembalikan",AND(C1882="Kantong Uang Riba",G1882="Pengeluaran"))),1,0)</f>
        <v/>
      </c>
      <c r="X1882" s="93">
        <f>IF(AND(B1882&lt;&gt;"",B1882&gt;='Buku Akun'!$H$4,B1882&lt;='Buku Akun'!$H$5,OR(C1882='Buku Akun'!$C$4,AND(D1882="Pindah",E1882='Buku Akun'!$C$4))),B1882+IF(AND(I1882="Selisih bunga",DAY(B1882)=1),0,0.01)+ROW()/10000000,"")</f>
        <v/>
      </c>
    </row>
    <row r="1883" outlineLevel="1" ht="15" customHeight="1" s="94">
      <c r="A1883" s="123">
        <f>IF(B1883="","",ROW()-15)</f>
        <v/>
      </c>
      <c r="B1883" s="124" t="n"/>
      <c r="C1883" s="123" t="n"/>
      <c r="D1883" s="123" t="n"/>
      <c r="E1883" s="123" t="n"/>
      <c r="F1883" s="125" t="n"/>
      <c r="G1883" s="123" t="n"/>
      <c r="H1883" s="123" t="n"/>
      <c r="I1883" s="123" t="n"/>
      <c r="J1883" s="123" t="n"/>
      <c r="K1883" s="123" t="n"/>
      <c r="L1883" s="123" t="n"/>
      <c r="M1883" s="123">
        <f>IF(AND(B1883&lt;&gt;"",OR($C$4="",ISNUMBER(SEARCH($C$4,C1883&amp;" "&amp;E1883&amp;" "&amp;G1883&amp;" "&amp;H1883&amp;" "&amp;I1883&amp;" "&amp;J1883&amp;" "&amp;K1883&amp;" "&amp;L1883))),OR($C$5="Semua",$C$5="",G1883=$C$5),OR($C$6="Semua",$C$6="",H1883=$C$6,H1883="Pengeluaran "&amp;$C$6,AND($C$6="Uang Kos Mama",H1883="Pengeluaran Uang Kos")),OR($C$7="Semua",$C$7="",I1883=$C$7),OR($C$8="Semua",$C$8="",C1883=$C$8,E1883=$C$8),OR($C$9="Semua",$C$9="",D1883=$C$9),OR($C$10="",B1883&gt;=$C$10),OR($C$11="",B1883&lt;=$C$11),OR($C$12&lt;&gt;"Ya",K1883&lt;&gt;""),OR($C$13="Semua",$C$13="",L1883=$C$13)),"✓","")</f>
        <v/>
      </c>
      <c r="N1883" s="93">
        <f>N(N1882)+IF(M1883="✓",1,0)</f>
        <v/>
      </c>
      <c r="O1883" s="93">
        <f>N(O1882)+IF(AND(B1883&lt;&gt;"",B1883&gt;='Uang Riba'!$H$30,B1883&lt;='Uang Riba'!$I$30,OR(H1883="Dana riba",H1883="Pinjam uang riba",I1883="Pinjam dari uang riba",I1883="Ganti uang riba",I1883="Kelebihan ganti dikembalikan",AND(C1883="Kantong Uang Riba",G1883="Pengeluaran"))),1,0)</f>
        <v/>
      </c>
      <c r="X1883" s="93">
        <f>IF(AND(B1883&lt;&gt;"",B1883&gt;='Buku Akun'!$H$4,B1883&lt;='Buku Akun'!$H$5,OR(C1883='Buku Akun'!$C$4,AND(D1883="Pindah",E1883='Buku Akun'!$C$4))),B1883+IF(AND(I1883="Selisih bunga",DAY(B1883)=1),0,0.01)+ROW()/10000000,"")</f>
        <v/>
      </c>
    </row>
    <row r="1884" outlineLevel="1" ht="15" customHeight="1" s="94">
      <c r="A1884" s="123">
        <f>IF(B1884="","",ROW()-15)</f>
        <v/>
      </c>
      <c r="B1884" s="124" t="n"/>
      <c r="C1884" s="123" t="n"/>
      <c r="D1884" s="123" t="n"/>
      <c r="E1884" s="123" t="n"/>
      <c r="F1884" s="125" t="n"/>
      <c r="G1884" s="123" t="n"/>
      <c r="H1884" s="123" t="n"/>
      <c r="I1884" s="123" t="n"/>
      <c r="J1884" s="123" t="n"/>
      <c r="K1884" s="123" t="n"/>
      <c r="L1884" s="123" t="n"/>
      <c r="M1884" s="123">
        <f>IF(AND(B1884&lt;&gt;"",OR($C$4="",ISNUMBER(SEARCH($C$4,C1884&amp;" "&amp;E1884&amp;" "&amp;G1884&amp;" "&amp;H1884&amp;" "&amp;I1884&amp;" "&amp;J1884&amp;" "&amp;K1884&amp;" "&amp;L1884))),OR($C$5="Semua",$C$5="",G1884=$C$5),OR($C$6="Semua",$C$6="",H1884=$C$6,H1884="Pengeluaran "&amp;$C$6,AND($C$6="Uang Kos Mama",H1884="Pengeluaran Uang Kos")),OR($C$7="Semua",$C$7="",I1884=$C$7),OR($C$8="Semua",$C$8="",C1884=$C$8,E1884=$C$8),OR($C$9="Semua",$C$9="",D1884=$C$9),OR($C$10="",B1884&gt;=$C$10),OR($C$11="",B1884&lt;=$C$11),OR($C$12&lt;&gt;"Ya",K1884&lt;&gt;""),OR($C$13="Semua",$C$13="",L1884=$C$13)),"✓","")</f>
        <v/>
      </c>
      <c r="N1884" s="93">
        <f>N(N1883)+IF(M1884="✓",1,0)</f>
        <v/>
      </c>
      <c r="O1884" s="93">
        <f>N(O1883)+IF(AND(B1884&lt;&gt;"",B1884&gt;='Uang Riba'!$H$30,B1884&lt;='Uang Riba'!$I$30,OR(H1884="Dana riba",H1884="Pinjam uang riba",I1884="Pinjam dari uang riba",I1884="Ganti uang riba",I1884="Kelebihan ganti dikembalikan",AND(C1884="Kantong Uang Riba",G1884="Pengeluaran"))),1,0)</f>
        <v/>
      </c>
      <c r="X1884" s="93">
        <f>IF(AND(B1884&lt;&gt;"",B1884&gt;='Buku Akun'!$H$4,B1884&lt;='Buku Akun'!$H$5,OR(C1884='Buku Akun'!$C$4,AND(D1884="Pindah",E1884='Buku Akun'!$C$4))),B1884+IF(AND(I1884="Selisih bunga",DAY(B1884)=1),0,0.01)+ROW()/10000000,"")</f>
        <v/>
      </c>
    </row>
    <row r="1885" outlineLevel="1" ht="15" customHeight="1" s="94">
      <c r="A1885" s="123">
        <f>IF(B1885="","",ROW()-15)</f>
        <v/>
      </c>
      <c r="B1885" s="124" t="n"/>
      <c r="C1885" s="123" t="n"/>
      <c r="D1885" s="123" t="n"/>
      <c r="E1885" s="123" t="n"/>
      <c r="F1885" s="125" t="n"/>
      <c r="G1885" s="123" t="n"/>
      <c r="H1885" s="123" t="n"/>
      <c r="I1885" s="123" t="n"/>
      <c r="J1885" s="123" t="n"/>
      <c r="K1885" s="123" t="n"/>
      <c r="L1885" s="123" t="n"/>
      <c r="M1885" s="123">
        <f>IF(AND(B1885&lt;&gt;"",OR($C$4="",ISNUMBER(SEARCH($C$4,C1885&amp;" "&amp;E1885&amp;" "&amp;G1885&amp;" "&amp;H1885&amp;" "&amp;I1885&amp;" "&amp;J1885&amp;" "&amp;K1885&amp;" "&amp;L1885))),OR($C$5="Semua",$C$5="",G1885=$C$5),OR($C$6="Semua",$C$6="",H1885=$C$6,H1885="Pengeluaran "&amp;$C$6,AND($C$6="Uang Kos Mama",H1885="Pengeluaran Uang Kos")),OR($C$7="Semua",$C$7="",I1885=$C$7),OR($C$8="Semua",$C$8="",C1885=$C$8,E1885=$C$8),OR($C$9="Semua",$C$9="",D1885=$C$9),OR($C$10="",B1885&gt;=$C$10),OR($C$11="",B1885&lt;=$C$11),OR($C$12&lt;&gt;"Ya",K1885&lt;&gt;""),OR($C$13="Semua",$C$13="",L1885=$C$13)),"✓","")</f>
        <v/>
      </c>
      <c r="N1885" s="93">
        <f>N(N1884)+IF(M1885="✓",1,0)</f>
        <v/>
      </c>
      <c r="O1885" s="93">
        <f>N(O1884)+IF(AND(B1885&lt;&gt;"",B1885&gt;='Uang Riba'!$H$30,B1885&lt;='Uang Riba'!$I$30,OR(H1885="Dana riba",H1885="Pinjam uang riba",I1885="Pinjam dari uang riba",I1885="Ganti uang riba",I1885="Kelebihan ganti dikembalikan",AND(C1885="Kantong Uang Riba",G1885="Pengeluaran"))),1,0)</f>
        <v/>
      </c>
      <c r="X1885" s="93">
        <f>IF(AND(B1885&lt;&gt;"",B1885&gt;='Buku Akun'!$H$4,B1885&lt;='Buku Akun'!$H$5,OR(C1885='Buku Akun'!$C$4,AND(D1885="Pindah",E1885='Buku Akun'!$C$4))),B1885+IF(AND(I1885="Selisih bunga",DAY(B1885)=1),0,0.01)+ROW()/10000000,"")</f>
        <v/>
      </c>
    </row>
    <row r="1886" outlineLevel="1" ht="15" customHeight="1" s="94">
      <c r="A1886" s="123">
        <f>IF(B1886="","",ROW()-15)</f>
        <v/>
      </c>
      <c r="B1886" s="124" t="n"/>
      <c r="C1886" s="123" t="n"/>
      <c r="D1886" s="123" t="n"/>
      <c r="E1886" s="123" t="n"/>
      <c r="F1886" s="125" t="n"/>
      <c r="G1886" s="123" t="n"/>
      <c r="H1886" s="123" t="n"/>
      <c r="I1886" s="123" t="n"/>
      <c r="J1886" s="123" t="n"/>
      <c r="K1886" s="123" t="n"/>
      <c r="L1886" s="123" t="n"/>
      <c r="M1886" s="123">
        <f>IF(AND(B1886&lt;&gt;"",OR($C$4="",ISNUMBER(SEARCH($C$4,C1886&amp;" "&amp;E1886&amp;" "&amp;G1886&amp;" "&amp;H1886&amp;" "&amp;I1886&amp;" "&amp;J1886&amp;" "&amp;K1886&amp;" "&amp;L1886))),OR($C$5="Semua",$C$5="",G1886=$C$5),OR($C$6="Semua",$C$6="",H1886=$C$6,H1886="Pengeluaran "&amp;$C$6,AND($C$6="Uang Kos Mama",H1886="Pengeluaran Uang Kos")),OR($C$7="Semua",$C$7="",I1886=$C$7),OR($C$8="Semua",$C$8="",C1886=$C$8,E1886=$C$8),OR($C$9="Semua",$C$9="",D1886=$C$9),OR($C$10="",B1886&gt;=$C$10),OR($C$11="",B1886&lt;=$C$11),OR($C$12&lt;&gt;"Ya",K1886&lt;&gt;""),OR($C$13="Semua",$C$13="",L1886=$C$13)),"✓","")</f>
        <v/>
      </c>
      <c r="N1886" s="93">
        <f>N(N1885)+IF(M1886="✓",1,0)</f>
        <v/>
      </c>
      <c r="O1886" s="93">
        <f>N(O1885)+IF(AND(B1886&lt;&gt;"",B1886&gt;='Uang Riba'!$H$30,B1886&lt;='Uang Riba'!$I$30,OR(H1886="Dana riba",H1886="Pinjam uang riba",I1886="Pinjam dari uang riba",I1886="Ganti uang riba",I1886="Kelebihan ganti dikembalikan",AND(C1886="Kantong Uang Riba",G1886="Pengeluaran"))),1,0)</f>
        <v/>
      </c>
      <c r="X1886" s="93">
        <f>IF(AND(B1886&lt;&gt;"",B1886&gt;='Buku Akun'!$H$4,B1886&lt;='Buku Akun'!$H$5,OR(C1886='Buku Akun'!$C$4,AND(D1886="Pindah",E1886='Buku Akun'!$C$4))),B1886+IF(AND(I1886="Selisih bunga",DAY(B1886)=1),0,0.01)+ROW()/10000000,"")</f>
        <v/>
      </c>
    </row>
    <row r="1887" outlineLevel="1" ht="15" customHeight="1" s="94">
      <c r="A1887" s="123">
        <f>IF(B1887="","",ROW()-15)</f>
        <v/>
      </c>
      <c r="B1887" s="124" t="n"/>
      <c r="C1887" s="123" t="n"/>
      <c r="D1887" s="123" t="n"/>
      <c r="E1887" s="123" t="n"/>
      <c r="F1887" s="125" t="n"/>
      <c r="G1887" s="123" t="n"/>
      <c r="H1887" s="123" t="n"/>
      <c r="I1887" s="123" t="n"/>
      <c r="J1887" s="123" t="n"/>
      <c r="K1887" s="123" t="n"/>
      <c r="L1887" s="123" t="n"/>
      <c r="M1887" s="123">
        <f>IF(AND(B1887&lt;&gt;"",OR($C$4="",ISNUMBER(SEARCH($C$4,C1887&amp;" "&amp;E1887&amp;" "&amp;G1887&amp;" "&amp;H1887&amp;" "&amp;I1887&amp;" "&amp;J1887&amp;" "&amp;K1887&amp;" "&amp;L1887))),OR($C$5="Semua",$C$5="",G1887=$C$5),OR($C$6="Semua",$C$6="",H1887=$C$6,H1887="Pengeluaran "&amp;$C$6,AND($C$6="Uang Kos Mama",H1887="Pengeluaran Uang Kos")),OR($C$7="Semua",$C$7="",I1887=$C$7),OR($C$8="Semua",$C$8="",C1887=$C$8,E1887=$C$8),OR($C$9="Semua",$C$9="",D1887=$C$9),OR($C$10="",B1887&gt;=$C$10),OR($C$11="",B1887&lt;=$C$11),OR($C$12&lt;&gt;"Ya",K1887&lt;&gt;""),OR($C$13="Semua",$C$13="",L1887=$C$13)),"✓","")</f>
        <v/>
      </c>
      <c r="N1887" s="93">
        <f>N(N1886)+IF(M1887="✓",1,0)</f>
        <v/>
      </c>
      <c r="O1887" s="93">
        <f>N(O1886)+IF(AND(B1887&lt;&gt;"",B1887&gt;='Uang Riba'!$H$30,B1887&lt;='Uang Riba'!$I$30,OR(H1887="Dana riba",H1887="Pinjam uang riba",I1887="Pinjam dari uang riba",I1887="Ganti uang riba",I1887="Kelebihan ganti dikembalikan",AND(C1887="Kantong Uang Riba",G1887="Pengeluaran"))),1,0)</f>
        <v/>
      </c>
      <c r="X1887" s="93">
        <f>IF(AND(B1887&lt;&gt;"",B1887&gt;='Buku Akun'!$H$4,B1887&lt;='Buku Akun'!$H$5,OR(C1887='Buku Akun'!$C$4,AND(D1887="Pindah",E1887='Buku Akun'!$C$4))),B1887+IF(AND(I1887="Selisih bunga",DAY(B1887)=1),0,0.01)+ROW()/10000000,"")</f>
        <v/>
      </c>
    </row>
    <row r="1888" outlineLevel="1" ht="15" customHeight="1" s="94">
      <c r="A1888" s="123">
        <f>IF(B1888="","",ROW()-15)</f>
        <v/>
      </c>
      <c r="B1888" s="124" t="n"/>
      <c r="C1888" s="123" t="n"/>
      <c r="D1888" s="123" t="n"/>
      <c r="E1888" s="123" t="n"/>
      <c r="F1888" s="125" t="n"/>
      <c r="G1888" s="123" t="n"/>
      <c r="H1888" s="123" t="n"/>
      <c r="I1888" s="123" t="n"/>
      <c r="J1888" s="123" t="n"/>
      <c r="K1888" s="123" t="n"/>
      <c r="L1888" s="123" t="n"/>
      <c r="M1888" s="123">
        <f>IF(AND(B1888&lt;&gt;"",OR($C$4="",ISNUMBER(SEARCH($C$4,C1888&amp;" "&amp;E1888&amp;" "&amp;G1888&amp;" "&amp;H1888&amp;" "&amp;I1888&amp;" "&amp;J1888&amp;" "&amp;K1888&amp;" "&amp;L1888))),OR($C$5="Semua",$C$5="",G1888=$C$5),OR($C$6="Semua",$C$6="",H1888=$C$6,H1888="Pengeluaran "&amp;$C$6,AND($C$6="Uang Kos Mama",H1888="Pengeluaran Uang Kos")),OR($C$7="Semua",$C$7="",I1888=$C$7),OR($C$8="Semua",$C$8="",C1888=$C$8,E1888=$C$8),OR($C$9="Semua",$C$9="",D1888=$C$9),OR($C$10="",B1888&gt;=$C$10),OR($C$11="",B1888&lt;=$C$11),OR($C$12&lt;&gt;"Ya",K1888&lt;&gt;""),OR($C$13="Semua",$C$13="",L1888=$C$13)),"✓","")</f>
        <v/>
      </c>
      <c r="N1888" s="93">
        <f>N(N1887)+IF(M1888="✓",1,0)</f>
        <v/>
      </c>
      <c r="O1888" s="93">
        <f>N(O1887)+IF(AND(B1888&lt;&gt;"",B1888&gt;='Uang Riba'!$H$30,B1888&lt;='Uang Riba'!$I$30,OR(H1888="Dana riba",H1888="Pinjam uang riba",I1888="Pinjam dari uang riba",I1888="Ganti uang riba",I1888="Kelebihan ganti dikembalikan",AND(C1888="Kantong Uang Riba",G1888="Pengeluaran"))),1,0)</f>
        <v/>
      </c>
      <c r="X1888" s="93">
        <f>IF(AND(B1888&lt;&gt;"",B1888&gt;='Buku Akun'!$H$4,B1888&lt;='Buku Akun'!$H$5,OR(C1888='Buku Akun'!$C$4,AND(D1888="Pindah",E1888='Buku Akun'!$C$4))),B1888+IF(AND(I1888="Selisih bunga",DAY(B1888)=1),0,0.01)+ROW()/10000000,"")</f>
        <v/>
      </c>
    </row>
    <row r="1889" outlineLevel="1" ht="15" customHeight="1" s="94">
      <c r="A1889" s="123">
        <f>IF(B1889="","",ROW()-15)</f>
        <v/>
      </c>
      <c r="B1889" s="124" t="n"/>
      <c r="C1889" s="123" t="n"/>
      <c r="D1889" s="123" t="n"/>
      <c r="E1889" s="123" t="n"/>
      <c r="F1889" s="125" t="n"/>
      <c r="G1889" s="123" t="n"/>
      <c r="H1889" s="123" t="n"/>
      <c r="I1889" s="123" t="n"/>
      <c r="J1889" s="123" t="n"/>
      <c r="K1889" s="123" t="n"/>
      <c r="L1889" s="123" t="n"/>
      <c r="M1889" s="123">
        <f>IF(AND(B1889&lt;&gt;"",OR($C$4="",ISNUMBER(SEARCH($C$4,C1889&amp;" "&amp;E1889&amp;" "&amp;G1889&amp;" "&amp;H1889&amp;" "&amp;I1889&amp;" "&amp;J1889&amp;" "&amp;K1889&amp;" "&amp;L1889))),OR($C$5="Semua",$C$5="",G1889=$C$5),OR($C$6="Semua",$C$6="",H1889=$C$6,H1889="Pengeluaran "&amp;$C$6,AND($C$6="Uang Kos Mama",H1889="Pengeluaran Uang Kos")),OR($C$7="Semua",$C$7="",I1889=$C$7),OR($C$8="Semua",$C$8="",C1889=$C$8,E1889=$C$8),OR($C$9="Semua",$C$9="",D1889=$C$9),OR($C$10="",B1889&gt;=$C$10),OR($C$11="",B1889&lt;=$C$11),OR($C$12&lt;&gt;"Ya",K1889&lt;&gt;""),OR($C$13="Semua",$C$13="",L1889=$C$13)),"✓","")</f>
        <v/>
      </c>
      <c r="N1889" s="93">
        <f>N(N1888)+IF(M1889="✓",1,0)</f>
        <v/>
      </c>
      <c r="O1889" s="93">
        <f>N(O1888)+IF(AND(B1889&lt;&gt;"",B1889&gt;='Uang Riba'!$H$30,B1889&lt;='Uang Riba'!$I$30,OR(H1889="Dana riba",H1889="Pinjam uang riba",I1889="Pinjam dari uang riba",I1889="Ganti uang riba",I1889="Kelebihan ganti dikembalikan",AND(C1889="Kantong Uang Riba",G1889="Pengeluaran"))),1,0)</f>
        <v/>
      </c>
      <c r="X1889" s="93">
        <f>IF(AND(B1889&lt;&gt;"",B1889&gt;='Buku Akun'!$H$4,B1889&lt;='Buku Akun'!$H$5,OR(C1889='Buku Akun'!$C$4,AND(D1889="Pindah",E1889='Buku Akun'!$C$4))),B1889+IF(AND(I1889="Selisih bunga",DAY(B1889)=1),0,0.01)+ROW()/10000000,"")</f>
        <v/>
      </c>
    </row>
    <row r="1890" outlineLevel="1" ht="15" customHeight="1" s="94">
      <c r="A1890" s="123">
        <f>IF(B1890="","",ROW()-15)</f>
        <v/>
      </c>
      <c r="B1890" s="124" t="n"/>
      <c r="C1890" s="123" t="n"/>
      <c r="D1890" s="123" t="n"/>
      <c r="E1890" s="123" t="n"/>
      <c r="F1890" s="125" t="n"/>
      <c r="G1890" s="123" t="n"/>
      <c r="H1890" s="123" t="n"/>
      <c r="I1890" s="123" t="n"/>
      <c r="J1890" s="123" t="n"/>
      <c r="K1890" s="123" t="n"/>
      <c r="L1890" s="123" t="n"/>
      <c r="M1890" s="123">
        <f>IF(AND(B1890&lt;&gt;"",OR($C$4="",ISNUMBER(SEARCH($C$4,C1890&amp;" "&amp;E1890&amp;" "&amp;G1890&amp;" "&amp;H1890&amp;" "&amp;I1890&amp;" "&amp;J1890&amp;" "&amp;K1890&amp;" "&amp;L1890))),OR($C$5="Semua",$C$5="",G1890=$C$5),OR($C$6="Semua",$C$6="",H1890=$C$6,H1890="Pengeluaran "&amp;$C$6,AND($C$6="Uang Kos Mama",H1890="Pengeluaran Uang Kos")),OR($C$7="Semua",$C$7="",I1890=$C$7),OR($C$8="Semua",$C$8="",C1890=$C$8,E1890=$C$8),OR($C$9="Semua",$C$9="",D1890=$C$9),OR($C$10="",B1890&gt;=$C$10),OR($C$11="",B1890&lt;=$C$11),OR($C$12&lt;&gt;"Ya",K1890&lt;&gt;""),OR($C$13="Semua",$C$13="",L1890=$C$13)),"✓","")</f>
        <v/>
      </c>
      <c r="N1890" s="93">
        <f>N(N1889)+IF(M1890="✓",1,0)</f>
        <v/>
      </c>
      <c r="O1890" s="93">
        <f>N(O1889)+IF(AND(B1890&lt;&gt;"",B1890&gt;='Uang Riba'!$H$30,B1890&lt;='Uang Riba'!$I$30,OR(H1890="Dana riba",H1890="Pinjam uang riba",I1890="Pinjam dari uang riba",I1890="Ganti uang riba",I1890="Kelebihan ganti dikembalikan",AND(C1890="Kantong Uang Riba",G1890="Pengeluaran"))),1,0)</f>
        <v/>
      </c>
      <c r="X1890" s="93">
        <f>IF(AND(B1890&lt;&gt;"",B1890&gt;='Buku Akun'!$H$4,B1890&lt;='Buku Akun'!$H$5,OR(C1890='Buku Akun'!$C$4,AND(D1890="Pindah",E1890='Buku Akun'!$C$4))),B1890+IF(AND(I1890="Selisih bunga",DAY(B1890)=1),0,0.01)+ROW()/10000000,"")</f>
        <v/>
      </c>
    </row>
    <row r="1891" outlineLevel="1" ht="15" customHeight="1" s="94">
      <c r="A1891" s="123">
        <f>IF(B1891="","",ROW()-15)</f>
        <v/>
      </c>
      <c r="B1891" s="124" t="n"/>
      <c r="C1891" s="123" t="n"/>
      <c r="D1891" s="123" t="n"/>
      <c r="E1891" s="123" t="n"/>
      <c r="F1891" s="125" t="n"/>
      <c r="G1891" s="123" t="n"/>
      <c r="H1891" s="123" t="n"/>
      <c r="I1891" s="123" t="n"/>
      <c r="J1891" s="123" t="n"/>
      <c r="K1891" s="123" t="n"/>
      <c r="L1891" s="123" t="n"/>
      <c r="M1891" s="123">
        <f>IF(AND(B1891&lt;&gt;"",OR($C$4="",ISNUMBER(SEARCH($C$4,C1891&amp;" "&amp;E1891&amp;" "&amp;G1891&amp;" "&amp;H1891&amp;" "&amp;I1891&amp;" "&amp;J1891&amp;" "&amp;K1891&amp;" "&amp;L1891))),OR($C$5="Semua",$C$5="",G1891=$C$5),OR($C$6="Semua",$C$6="",H1891=$C$6,H1891="Pengeluaran "&amp;$C$6,AND($C$6="Uang Kos Mama",H1891="Pengeluaran Uang Kos")),OR($C$7="Semua",$C$7="",I1891=$C$7),OR($C$8="Semua",$C$8="",C1891=$C$8,E1891=$C$8),OR($C$9="Semua",$C$9="",D1891=$C$9),OR($C$10="",B1891&gt;=$C$10),OR($C$11="",B1891&lt;=$C$11),OR($C$12&lt;&gt;"Ya",K1891&lt;&gt;""),OR($C$13="Semua",$C$13="",L1891=$C$13)),"✓","")</f>
        <v/>
      </c>
      <c r="N1891" s="93">
        <f>N(N1890)+IF(M1891="✓",1,0)</f>
        <v/>
      </c>
      <c r="O1891" s="93">
        <f>N(O1890)+IF(AND(B1891&lt;&gt;"",B1891&gt;='Uang Riba'!$H$30,B1891&lt;='Uang Riba'!$I$30,OR(H1891="Dana riba",H1891="Pinjam uang riba",I1891="Pinjam dari uang riba",I1891="Ganti uang riba",I1891="Kelebihan ganti dikembalikan",AND(C1891="Kantong Uang Riba",G1891="Pengeluaran"))),1,0)</f>
        <v/>
      </c>
      <c r="X1891" s="93">
        <f>IF(AND(B1891&lt;&gt;"",B1891&gt;='Buku Akun'!$H$4,B1891&lt;='Buku Akun'!$H$5,OR(C1891='Buku Akun'!$C$4,AND(D1891="Pindah",E1891='Buku Akun'!$C$4))),B1891+IF(AND(I1891="Selisih bunga",DAY(B1891)=1),0,0.01)+ROW()/10000000,"")</f>
        <v/>
      </c>
    </row>
    <row r="1892" outlineLevel="1" ht="15" customHeight="1" s="94">
      <c r="A1892" s="123">
        <f>IF(B1892="","",ROW()-15)</f>
        <v/>
      </c>
      <c r="B1892" s="124" t="n"/>
      <c r="C1892" s="123" t="n"/>
      <c r="D1892" s="123" t="n"/>
      <c r="E1892" s="123" t="n"/>
      <c r="F1892" s="125" t="n"/>
      <c r="G1892" s="123" t="n"/>
      <c r="H1892" s="123" t="n"/>
      <c r="I1892" s="123" t="n"/>
      <c r="J1892" s="123" t="n"/>
      <c r="K1892" s="123" t="n"/>
      <c r="L1892" s="123" t="n"/>
      <c r="M1892" s="123">
        <f>IF(AND(B1892&lt;&gt;"",OR($C$4="",ISNUMBER(SEARCH($C$4,C1892&amp;" "&amp;E1892&amp;" "&amp;G1892&amp;" "&amp;H1892&amp;" "&amp;I1892&amp;" "&amp;J1892&amp;" "&amp;K1892&amp;" "&amp;L1892))),OR($C$5="Semua",$C$5="",G1892=$C$5),OR($C$6="Semua",$C$6="",H1892=$C$6,H1892="Pengeluaran "&amp;$C$6,AND($C$6="Uang Kos Mama",H1892="Pengeluaran Uang Kos")),OR($C$7="Semua",$C$7="",I1892=$C$7),OR($C$8="Semua",$C$8="",C1892=$C$8,E1892=$C$8),OR($C$9="Semua",$C$9="",D1892=$C$9),OR($C$10="",B1892&gt;=$C$10),OR($C$11="",B1892&lt;=$C$11),OR($C$12&lt;&gt;"Ya",K1892&lt;&gt;""),OR($C$13="Semua",$C$13="",L1892=$C$13)),"✓","")</f>
        <v/>
      </c>
      <c r="N1892" s="93">
        <f>N(N1891)+IF(M1892="✓",1,0)</f>
        <v/>
      </c>
      <c r="O1892" s="93">
        <f>N(O1891)+IF(AND(B1892&lt;&gt;"",B1892&gt;='Uang Riba'!$H$30,B1892&lt;='Uang Riba'!$I$30,OR(H1892="Dana riba",H1892="Pinjam uang riba",I1892="Pinjam dari uang riba",I1892="Ganti uang riba",I1892="Kelebihan ganti dikembalikan",AND(C1892="Kantong Uang Riba",G1892="Pengeluaran"))),1,0)</f>
        <v/>
      </c>
      <c r="X1892" s="93">
        <f>IF(AND(B1892&lt;&gt;"",B1892&gt;='Buku Akun'!$H$4,B1892&lt;='Buku Akun'!$H$5,OR(C1892='Buku Akun'!$C$4,AND(D1892="Pindah",E1892='Buku Akun'!$C$4))),B1892+IF(AND(I1892="Selisih bunga",DAY(B1892)=1),0,0.01)+ROW()/10000000,"")</f>
        <v/>
      </c>
    </row>
    <row r="1893" outlineLevel="1" ht="15" customHeight="1" s="94">
      <c r="A1893" s="123">
        <f>IF(B1893="","",ROW()-15)</f>
        <v/>
      </c>
      <c r="B1893" s="124" t="n"/>
      <c r="C1893" s="123" t="n"/>
      <c r="D1893" s="123" t="n"/>
      <c r="E1893" s="123" t="n"/>
      <c r="F1893" s="125" t="n"/>
      <c r="G1893" s="123" t="n"/>
      <c r="H1893" s="123" t="n"/>
      <c r="I1893" s="123" t="n"/>
      <c r="J1893" s="123" t="n"/>
      <c r="K1893" s="123" t="n"/>
      <c r="L1893" s="123" t="n"/>
      <c r="M1893" s="123">
        <f>IF(AND(B1893&lt;&gt;"",OR($C$4="",ISNUMBER(SEARCH($C$4,C1893&amp;" "&amp;E1893&amp;" "&amp;G1893&amp;" "&amp;H1893&amp;" "&amp;I1893&amp;" "&amp;J1893&amp;" "&amp;K1893&amp;" "&amp;L1893))),OR($C$5="Semua",$C$5="",G1893=$C$5),OR($C$6="Semua",$C$6="",H1893=$C$6,H1893="Pengeluaran "&amp;$C$6,AND($C$6="Uang Kos Mama",H1893="Pengeluaran Uang Kos")),OR($C$7="Semua",$C$7="",I1893=$C$7),OR($C$8="Semua",$C$8="",C1893=$C$8,E1893=$C$8),OR($C$9="Semua",$C$9="",D1893=$C$9),OR($C$10="",B1893&gt;=$C$10),OR($C$11="",B1893&lt;=$C$11),OR($C$12&lt;&gt;"Ya",K1893&lt;&gt;""),OR($C$13="Semua",$C$13="",L1893=$C$13)),"✓","")</f>
        <v/>
      </c>
      <c r="N1893" s="93">
        <f>N(N1892)+IF(M1893="✓",1,0)</f>
        <v/>
      </c>
      <c r="O1893" s="93">
        <f>N(O1892)+IF(AND(B1893&lt;&gt;"",B1893&gt;='Uang Riba'!$H$30,B1893&lt;='Uang Riba'!$I$30,OR(H1893="Dana riba",H1893="Pinjam uang riba",I1893="Pinjam dari uang riba",I1893="Ganti uang riba",I1893="Kelebihan ganti dikembalikan",AND(C1893="Kantong Uang Riba",G1893="Pengeluaran"))),1,0)</f>
        <v/>
      </c>
      <c r="X1893" s="93">
        <f>IF(AND(B1893&lt;&gt;"",B1893&gt;='Buku Akun'!$H$4,B1893&lt;='Buku Akun'!$H$5,OR(C1893='Buku Akun'!$C$4,AND(D1893="Pindah",E1893='Buku Akun'!$C$4))),B1893+IF(AND(I1893="Selisih bunga",DAY(B1893)=1),0,0.01)+ROW()/10000000,"")</f>
        <v/>
      </c>
    </row>
    <row r="1894" outlineLevel="1" ht="15" customHeight="1" s="94">
      <c r="A1894" s="123">
        <f>IF(B1894="","",ROW()-15)</f>
        <v/>
      </c>
      <c r="B1894" s="124" t="n"/>
      <c r="C1894" s="123" t="n"/>
      <c r="D1894" s="123" t="n"/>
      <c r="E1894" s="123" t="n"/>
      <c r="F1894" s="125" t="n"/>
      <c r="G1894" s="123" t="n"/>
      <c r="H1894" s="123" t="n"/>
      <c r="I1894" s="123" t="n"/>
      <c r="J1894" s="123" t="n"/>
      <c r="K1894" s="123" t="n"/>
      <c r="L1894" s="123" t="n"/>
      <c r="M1894" s="123">
        <f>IF(AND(B1894&lt;&gt;"",OR($C$4="",ISNUMBER(SEARCH($C$4,C1894&amp;" "&amp;E1894&amp;" "&amp;G1894&amp;" "&amp;H1894&amp;" "&amp;I1894&amp;" "&amp;J1894&amp;" "&amp;K1894&amp;" "&amp;L1894))),OR($C$5="Semua",$C$5="",G1894=$C$5),OR($C$6="Semua",$C$6="",H1894=$C$6,H1894="Pengeluaran "&amp;$C$6,AND($C$6="Uang Kos Mama",H1894="Pengeluaran Uang Kos")),OR($C$7="Semua",$C$7="",I1894=$C$7),OR($C$8="Semua",$C$8="",C1894=$C$8,E1894=$C$8),OR($C$9="Semua",$C$9="",D1894=$C$9),OR($C$10="",B1894&gt;=$C$10),OR($C$11="",B1894&lt;=$C$11),OR($C$12&lt;&gt;"Ya",K1894&lt;&gt;""),OR($C$13="Semua",$C$13="",L1894=$C$13)),"✓","")</f>
        <v/>
      </c>
      <c r="N1894" s="93">
        <f>N(N1893)+IF(M1894="✓",1,0)</f>
        <v/>
      </c>
      <c r="O1894" s="93">
        <f>N(O1893)+IF(AND(B1894&lt;&gt;"",B1894&gt;='Uang Riba'!$H$30,B1894&lt;='Uang Riba'!$I$30,OR(H1894="Dana riba",H1894="Pinjam uang riba",I1894="Pinjam dari uang riba",I1894="Ganti uang riba",I1894="Kelebihan ganti dikembalikan",AND(C1894="Kantong Uang Riba",G1894="Pengeluaran"))),1,0)</f>
        <v/>
      </c>
      <c r="X1894" s="93">
        <f>IF(AND(B1894&lt;&gt;"",B1894&gt;='Buku Akun'!$H$4,B1894&lt;='Buku Akun'!$H$5,OR(C1894='Buku Akun'!$C$4,AND(D1894="Pindah",E1894='Buku Akun'!$C$4))),B1894+IF(AND(I1894="Selisih bunga",DAY(B1894)=1),0,0.01)+ROW()/10000000,"")</f>
        <v/>
      </c>
    </row>
    <row r="1895" outlineLevel="1" ht="15" customHeight="1" s="94">
      <c r="A1895" s="123">
        <f>IF(B1895="","",ROW()-15)</f>
        <v/>
      </c>
      <c r="B1895" s="124" t="n"/>
      <c r="C1895" s="123" t="n"/>
      <c r="D1895" s="123" t="n"/>
      <c r="E1895" s="123" t="n"/>
      <c r="F1895" s="125" t="n"/>
      <c r="G1895" s="123" t="n"/>
      <c r="H1895" s="123" t="n"/>
      <c r="I1895" s="123" t="n"/>
      <c r="J1895" s="123" t="n"/>
      <c r="K1895" s="123" t="n"/>
      <c r="L1895" s="123" t="n"/>
      <c r="M1895" s="123">
        <f>IF(AND(B1895&lt;&gt;"",OR($C$4="",ISNUMBER(SEARCH($C$4,C1895&amp;" "&amp;E1895&amp;" "&amp;G1895&amp;" "&amp;H1895&amp;" "&amp;I1895&amp;" "&amp;J1895&amp;" "&amp;K1895&amp;" "&amp;L1895))),OR($C$5="Semua",$C$5="",G1895=$C$5),OR($C$6="Semua",$C$6="",H1895=$C$6,H1895="Pengeluaran "&amp;$C$6,AND($C$6="Uang Kos Mama",H1895="Pengeluaran Uang Kos")),OR($C$7="Semua",$C$7="",I1895=$C$7),OR($C$8="Semua",$C$8="",C1895=$C$8,E1895=$C$8),OR($C$9="Semua",$C$9="",D1895=$C$9),OR($C$10="",B1895&gt;=$C$10),OR($C$11="",B1895&lt;=$C$11),OR($C$12&lt;&gt;"Ya",K1895&lt;&gt;""),OR($C$13="Semua",$C$13="",L1895=$C$13)),"✓","")</f>
        <v/>
      </c>
      <c r="N1895" s="93">
        <f>N(N1894)+IF(M1895="✓",1,0)</f>
        <v/>
      </c>
      <c r="O1895" s="93">
        <f>N(O1894)+IF(AND(B1895&lt;&gt;"",B1895&gt;='Uang Riba'!$H$30,B1895&lt;='Uang Riba'!$I$30,OR(H1895="Dana riba",H1895="Pinjam uang riba",I1895="Pinjam dari uang riba",I1895="Ganti uang riba",I1895="Kelebihan ganti dikembalikan",AND(C1895="Kantong Uang Riba",G1895="Pengeluaran"))),1,0)</f>
        <v/>
      </c>
      <c r="X1895" s="93">
        <f>IF(AND(B1895&lt;&gt;"",B1895&gt;='Buku Akun'!$H$4,B1895&lt;='Buku Akun'!$H$5,OR(C1895='Buku Akun'!$C$4,AND(D1895="Pindah",E1895='Buku Akun'!$C$4))),B1895+IF(AND(I1895="Selisih bunga",DAY(B1895)=1),0,0.01)+ROW()/10000000,"")</f>
        <v/>
      </c>
    </row>
    <row r="1896" outlineLevel="1" ht="15" customHeight="1" s="94">
      <c r="A1896" s="123">
        <f>IF(B1896="","",ROW()-15)</f>
        <v/>
      </c>
      <c r="B1896" s="124" t="n"/>
      <c r="C1896" s="123" t="n"/>
      <c r="D1896" s="123" t="n"/>
      <c r="E1896" s="123" t="n"/>
      <c r="F1896" s="125" t="n"/>
      <c r="G1896" s="123" t="n"/>
      <c r="H1896" s="123" t="n"/>
      <c r="I1896" s="123" t="n"/>
      <c r="J1896" s="123" t="n"/>
      <c r="K1896" s="123" t="n"/>
      <c r="L1896" s="123" t="n"/>
      <c r="M1896" s="123">
        <f>IF(AND(B1896&lt;&gt;"",OR($C$4="",ISNUMBER(SEARCH($C$4,C1896&amp;" "&amp;E1896&amp;" "&amp;G1896&amp;" "&amp;H1896&amp;" "&amp;I1896&amp;" "&amp;J1896&amp;" "&amp;K1896&amp;" "&amp;L1896))),OR($C$5="Semua",$C$5="",G1896=$C$5),OR($C$6="Semua",$C$6="",H1896=$C$6,H1896="Pengeluaran "&amp;$C$6,AND($C$6="Uang Kos Mama",H1896="Pengeluaran Uang Kos")),OR($C$7="Semua",$C$7="",I1896=$C$7),OR($C$8="Semua",$C$8="",C1896=$C$8,E1896=$C$8),OR($C$9="Semua",$C$9="",D1896=$C$9),OR($C$10="",B1896&gt;=$C$10),OR($C$11="",B1896&lt;=$C$11),OR($C$12&lt;&gt;"Ya",K1896&lt;&gt;""),OR($C$13="Semua",$C$13="",L1896=$C$13)),"✓","")</f>
        <v/>
      </c>
      <c r="N1896" s="93">
        <f>N(N1895)+IF(M1896="✓",1,0)</f>
        <v/>
      </c>
      <c r="O1896" s="93">
        <f>N(O1895)+IF(AND(B1896&lt;&gt;"",B1896&gt;='Uang Riba'!$H$30,B1896&lt;='Uang Riba'!$I$30,OR(H1896="Dana riba",H1896="Pinjam uang riba",I1896="Pinjam dari uang riba",I1896="Ganti uang riba",I1896="Kelebihan ganti dikembalikan",AND(C1896="Kantong Uang Riba",G1896="Pengeluaran"))),1,0)</f>
        <v/>
      </c>
      <c r="X1896" s="93">
        <f>IF(AND(B1896&lt;&gt;"",B1896&gt;='Buku Akun'!$H$4,B1896&lt;='Buku Akun'!$H$5,OR(C1896='Buku Akun'!$C$4,AND(D1896="Pindah",E1896='Buku Akun'!$C$4))),B1896+IF(AND(I1896="Selisih bunga",DAY(B1896)=1),0,0.01)+ROW()/10000000,"")</f>
        <v/>
      </c>
    </row>
    <row r="1897" outlineLevel="1" ht="15" customHeight="1" s="94">
      <c r="A1897" s="123">
        <f>IF(B1897="","",ROW()-15)</f>
        <v/>
      </c>
      <c r="B1897" s="124" t="n"/>
      <c r="C1897" s="123" t="n"/>
      <c r="D1897" s="123" t="n"/>
      <c r="E1897" s="123" t="n"/>
      <c r="F1897" s="125" t="n"/>
      <c r="G1897" s="123" t="n"/>
      <c r="H1897" s="123" t="n"/>
      <c r="I1897" s="123" t="n"/>
      <c r="J1897" s="123" t="n"/>
      <c r="K1897" s="123" t="n"/>
      <c r="L1897" s="123" t="n"/>
      <c r="M1897" s="123">
        <f>IF(AND(B1897&lt;&gt;"",OR($C$4="",ISNUMBER(SEARCH($C$4,C1897&amp;" "&amp;E1897&amp;" "&amp;G1897&amp;" "&amp;H1897&amp;" "&amp;I1897&amp;" "&amp;J1897&amp;" "&amp;K1897&amp;" "&amp;L1897))),OR($C$5="Semua",$C$5="",G1897=$C$5),OR($C$6="Semua",$C$6="",H1897=$C$6,H1897="Pengeluaran "&amp;$C$6,AND($C$6="Uang Kos Mama",H1897="Pengeluaran Uang Kos")),OR($C$7="Semua",$C$7="",I1897=$C$7),OR($C$8="Semua",$C$8="",C1897=$C$8,E1897=$C$8),OR($C$9="Semua",$C$9="",D1897=$C$9),OR($C$10="",B1897&gt;=$C$10),OR($C$11="",B1897&lt;=$C$11),OR($C$12&lt;&gt;"Ya",K1897&lt;&gt;""),OR($C$13="Semua",$C$13="",L1897=$C$13)),"✓","")</f>
        <v/>
      </c>
      <c r="N1897" s="93">
        <f>N(N1896)+IF(M1897="✓",1,0)</f>
        <v/>
      </c>
      <c r="O1897" s="93">
        <f>N(O1896)+IF(AND(B1897&lt;&gt;"",B1897&gt;='Uang Riba'!$H$30,B1897&lt;='Uang Riba'!$I$30,OR(H1897="Dana riba",H1897="Pinjam uang riba",I1897="Pinjam dari uang riba",I1897="Ganti uang riba",I1897="Kelebihan ganti dikembalikan",AND(C1897="Kantong Uang Riba",G1897="Pengeluaran"))),1,0)</f>
        <v/>
      </c>
      <c r="X1897" s="93">
        <f>IF(AND(B1897&lt;&gt;"",B1897&gt;='Buku Akun'!$H$4,B1897&lt;='Buku Akun'!$H$5,OR(C1897='Buku Akun'!$C$4,AND(D1897="Pindah",E1897='Buku Akun'!$C$4))),B1897+IF(AND(I1897="Selisih bunga",DAY(B1897)=1),0,0.01)+ROW()/10000000,"")</f>
        <v/>
      </c>
    </row>
    <row r="1898" outlineLevel="1" ht="15" customHeight="1" s="94">
      <c r="A1898" s="123">
        <f>IF(B1898="","",ROW()-15)</f>
        <v/>
      </c>
      <c r="B1898" s="124" t="n"/>
      <c r="C1898" s="123" t="n"/>
      <c r="D1898" s="123" t="n"/>
      <c r="E1898" s="123" t="n"/>
      <c r="F1898" s="125" t="n"/>
      <c r="G1898" s="123" t="n"/>
      <c r="H1898" s="123" t="n"/>
      <c r="I1898" s="123" t="n"/>
      <c r="J1898" s="123" t="n"/>
      <c r="K1898" s="123" t="n"/>
      <c r="L1898" s="123" t="n"/>
      <c r="M1898" s="123">
        <f>IF(AND(B1898&lt;&gt;"",OR($C$4="",ISNUMBER(SEARCH($C$4,C1898&amp;" "&amp;E1898&amp;" "&amp;G1898&amp;" "&amp;H1898&amp;" "&amp;I1898&amp;" "&amp;J1898&amp;" "&amp;K1898&amp;" "&amp;L1898))),OR($C$5="Semua",$C$5="",G1898=$C$5),OR($C$6="Semua",$C$6="",H1898=$C$6,H1898="Pengeluaran "&amp;$C$6,AND($C$6="Uang Kos Mama",H1898="Pengeluaran Uang Kos")),OR($C$7="Semua",$C$7="",I1898=$C$7),OR($C$8="Semua",$C$8="",C1898=$C$8,E1898=$C$8),OR($C$9="Semua",$C$9="",D1898=$C$9),OR($C$10="",B1898&gt;=$C$10),OR($C$11="",B1898&lt;=$C$11),OR($C$12&lt;&gt;"Ya",K1898&lt;&gt;""),OR($C$13="Semua",$C$13="",L1898=$C$13)),"✓","")</f>
        <v/>
      </c>
      <c r="N1898" s="93">
        <f>N(N1897)+IF(M1898="✓",1,0)</f>
        <v/>
      </c>
      <c r="O1898" s="93">
        <f>N(O1897)+IF(AND(B1898&lt;&gt;"",B1898&gt;='Uang Riba'!$H$30,B1898&lt;='Uang Riba'!$I$30,OR(H1898="Dana riba",H1898="Pinjam uang riba",I1898="Pinjam dari uang riba",I1898="Ganti uang riba",I1898="Kelebihan ganti dikembalikan",AND(C1898="Kantong Uang Riba",G1898="Pengeluaran"))),1,0)</f>
        <v/>
      </c>
      <c r="X1898" s="93">
        <f>IF(AND(B1898&lt;&gt;"",B1898&gt;='Buku Akun'!$H$4,B1898&lt;='Buku Akun'!$H$5,OR(C1898='Buku Akun'!$C$4,AND(D1898="Pindah",E1898='Buku Akun'!$C$4))),B1898+IF(AND(I1898="Selisih bunga",DAY(B1898)=1),0,0.01)+ROW()/10000000,"")</f>
        <v/>
      </c>
    </row>
    <row r="1899" outlineLevel="1" ht="15" customHeight="1" s="94">
      <c r="A1899" s="123">
        <f>IF(B1899="","",ROW()-15)</f>
        <v/>
      </c>
      <c r="B1899" s="124" t="n"/>
      <c r="C1899" s="123" t="n"/>
      <c r="D1899" s="123" t="n"/>
      <c r="E1899" s="123" t="n"/>
      <c r="F1899" s="125" t="n"/>
      <c r="G1899" s="123" t="n"/>
      <c r="H1899" s="123" t="n"/>
      <c r="I1899" s="123" t="n"/>
      <c r="J1899" s="123" t="n"/>
      <c r="K1899" s="123" t="n"/>
      <c r="L1899" s="123" t="n"/>
      <c r="M1899" s="123">
        <f>IF(AND(B1899&lt;&gt;"",OR($C$4="",ISNUMBER(SEARCH($C$4,C1899&amp;" "&amp;E1899&amp;" "&amp;G1899&amp;" "&amp;H1899&amp;" "&amp;I1899&amp;" "&amp;J1899&amp;" "&amp;K1899&amp;" "&amp;L1899))),OR($C$5="Semua",$C$5="",G1899=$C$5),OR($C$6="Semua",$C$6="",H1899=$C$6,H1899="Pengeluaran "&amp;$C$6,AND($C$6="Uang Kos Mama",H1899="Pengeluaran Uang Kos")),OR($C$7="Semua",$C$7="",I1899=$C$7),OR($C$8="Semua",$C$8="",C1899=$C$8,E1899=$C$8),OR($C$9="Semua",$C$9="",D1899=$C$9),OR($C$10="",B1899&gt;=$C$10),OR($C$11="",B1899&lt;=$C$11),OR($C$12&lt;&gt;"Ya",K1899&lt;&gt;""),OR($C$13="Semua",$C$13="",L1899=$C$13)),"✓","")</f>
        <v/>
      </c>
      <c r="N1899" s="93">
        <f>N(N1898)+IF(M1899="✓",1,0)</f>
        <v/>
      </c>
      <c r="O1899" s="93">
        <f>N(O1898)+IF(AND(B1899&lt;&gt;"",B1899&gt;='Uang Riba'!$H$30,B1899&lt;='Uang Riba'!$I$30,OR(H1899="Dana riba",H1899="Pinjam uang riba",I1899="Pinjam dari uang riba",I1899="Ganti uang riba",I1899="Kelebihan ganti dikembalikan",AND(C1899="Kantong Uang Riba",G1899="Pengeluaran"))),1,0)</f>
        <v/>
      </c>
      <c r="X1899" s="93">
        <f>IF(AND(B1899&lt;&gt;"",B1899&gt;='Buku Akun'!$H$4,B1899&lt;='Buku Akun'!$H$5,OR(C1899='Buku Akun'!$C$4,AND(D1899="Pindah",E1899='Buku Akun'!$C$4))),B1899+IF(AND(I1899="Selisih bunga",DAY(B1899)=1),0,0.01)+ROW()/10000000,"")</f>
        <v/>
      </c>
    </row>
    <row r="1900" outlineLevel="1" ht="15" customHeight="1" s="94">
      <c r="A1900" s="123">
        <f>IF(B1900="","",ROW()-15)</f>
        <v/>
      </c>
      <c r="B1900" s="124" t="n"/>
      <c r="C1900" s="123" t="n"/>
      <c r="D1900" s="123" t="n"/>
      <c r="E1900" s="123" t="n"/>
      <c r="F1900" s="125" t="n"/>
      <c r="G1900" s="123" t="n"/>
      <c r="H1900" s="123" t="n"/>
      <c r="I1900" s="123" t="n"/>
      <c r="J1900" s="123" t="n"/>
      <c r="K1900" s="123" t="n"/>
      <c r="L1900" s="123" t="n"/>
      <c r="M1900" s="123">
        <f>IF(AND(B1900&lt;&gt;"",OR($C$4="",ISNUMBER(SEARCH($C$4,C1900&amp;" "&amp;E1900&amp;" "&amp;G1900&amp;" "&amp;H1900&amp;" "&amp;I1900&amp;" "&amp;J1900&amp;" "&amp;K1900&amp;" "&amp;L1900))),OR($C$5="Semua",$C$5="",G1900=$C$5),OR($C$6="Semua",$C$6="",H1900=$C$6,H1900="Pengeluaran "&amp;$C$6,AND($C$6="Uang Kos Mama",H1900="Pengeluaran Uang Kos")),OR($C$7="Semua",$C$7="",I1900=$C$7),OR($C$8="Semua",$C$8="",C1900=$C$8,E1900=$C$8),OR($C$9="Semua",$C$9="",D1900=$C$9),OR($C$10="",B1900&gt;=$C$10),OR($C$11="",B1900&lt;=$C$11),OR($C$12&lt;&gt;"Ya",K1900&lt;&gt;""),OR($C$13="Semua",$C$13="",L1900=$C$13)),"✓","")</f>
        <v/>
      </c>
      <c r="N1900" s="93">
        <f>N(N1899)+IF(M1900="✓",1,0)</f>
        <v/>
      </c>
      <c r="O1900" s="93">
        <f>N(O1899)+IF(AND(B1900&lt;&gt;"",B1900&gt;='Uang Riba'!$H$30,B1900&lt;='Uang Riba'!$I$30,OR(H1900="Dana riba",H1900="Pinjam uang riba",I1900="Pinjam dari uang riba",I1900="Ganti uang riba",I1900="Kelebihan ganti dikembalikan",AND(C1900="Kantong Uang Riba",G1900="Pengeluaran"))),1,0)</f>
        <v/>
      </c>
      <c r="X1900" s="93">
        <f>IF(AND(B1900&lt;&gt;"",B1900&gt;='Buku Akun'!$H$4,B1900&lt;='Buku Akun'!$H$5,OR(C1900='Buku Akun'!$C$4,AND(D1900="Pindah",E1900='Buku Akun'!$C$4))),B1900+IF(AND(I1900="Selisih bunga",DAY(B1900)=1),0,0.01)+ROW()/10000000,"")</f>
        <v/>
      </c>
    </row>
    <row r="1901" outlineLevel="1" ht="15" customHeight="1" s="94">
      <c r="A1901" s="123">
        <f>IF(B1901="","",ROW()-15)</f>
        <v/>
      </c>
      <c r="B1901" s="124" t="n"/>
      <c r="C1901" s="123" t="n"/>
      <c r="D1901" s="123" t="n"/>
      <c r="E1901" s="123" t="n"/>
      <c r="F1901" s="125" t="n"/>
      <c r="G1901" s="123" t="n"/>
      <c r="H1901" s="123" t="n"/>
      <c r="I1901" s="123" t="n"/>
      <c r="J1901" s="123" t="n"/>
      <c r="K1901" s="123" t="n"/>
      <c r="L1901" s="123" t="n"/>
      <c r="M1901" s="123">
        <f>IF(AND(B1901&lt;&gt;"",OR($C$4="",ISNUMBER(SEARCH($C$4,C1901&amp;" "&amp;E1901&amp;" "&amp;G1901&amp;" "&amp;H1901&amp;" "&amp;I1901&amp;" "&amp;J1901&amp;" "&amp;K1901&amp;" "&amp;L1901))),OR($C$5="Semua",$C$5="",G1901=$C$5),OR($C$6="Semua",$C$6="",H1901=$C$6,H1901="Pengeluaran "&amp;$C$6,AND($C$6="Uang Kos Mama",H1901="Pengeluaran Uang Kos")),OR($C$7="Semua",$C$7="",I1901=$C$7),OR($C$8="Semua",$C$8="",C1901=$C$8,E1901=$C$8),OR($C$9="Semua",$C$9="",D1901=$C$9),OR($C$10="",B1901&gt;=$C$10),OR($C$11="",B1901&lt;=$C$11),OR($C$12&lt;&gt;"Ya",K1901&lt;&gt;""),OR($C$13="Semua",$C$13="",L1901=$C$13)),"✓","")</f>
        <v/>
      </c>
      <c r="N1901" s="93">
        <f>N(N1900)+IF(M1901="✓",1,0)</f>
        <v/>
      </c>
      <c r="O1901" s="93">
        <f>N(O1900)+IF(AND(B1901&lt;&gt;"",B1901&gt;='Uang Riba'!$H$30,B1901&lt;='Uang Riba'!$I$30,OR(H1901="Dana riba",H1901="Pinjam uang riba",I1901="Pinjam dari uang riba",I1901="Ganti uang riba",I1901="Kelebihan ganti dikembalikan",AND(C1901="Kantong Uang Riba",G1901="Pengeluaran"))),1,0)</f>
        <v/>
      </c>
      <c r="X1901" s="93">
        <f>IF(AND(B1901&lt;&gt;"",B1901&gt;='Buku Akun'!$H$4,B1901&lt;='Buku Akun'!$H$5,OR(C1901='Buku Akun'!$C$4,AND(D1901="Pindah",E1901='Buku Akun'!$C$4))),B1901+IF(AND(I1901="Selisih bunga",DAY(B1901)=1),0,0.01)+ROW()/10000000,"")</f>
        <v/>
      </c>
    </row>
    <row r="1902" outlineLevel="1" ht="15" customHeight="1" s="94">
      <c r="A1902" s="123">
        <f>IF(B1902="","",ROW()-15)</f>
        <v/>
      </c>
      <c r="B1902" s="124" t="n"/>
      <c r="C1902" s="123" t="n"/>
      <c r="D1902" s="123" t="n"/>
      <c r="E1902" s="123" t="n"/>
      <c r="F1902" s="125" t="n"/>
      <c r="G1902" s="123" t="n"/>
      <c r="H1902" s="123" t="n"/>
      <c r="I1902" s="123" t="n"/>
      <c r="J1902" s="123" t="n"/>
      <c r="K1902" s="123" t="n"/>
      <c r="L1902" s="123" t="n"/>
      <c r="M1902" s="123">
        <f>IF(AND(B1902&lt;&gt;"",OR($C$4="",ISNUMBER(SEARCH($C$4,C1902&amp;" "&amp;E1902&amp;" "&amp;G1902&amp;" "&amp;H1902&amp;" "&amp;I1902&amp;" "&amp;J1902&amp;" "&amp;K1902&amp;" "&amp;L1902))),OR($C$5="Semua",$C$5="",G1902=$C$5),OR($C$6="Semua",$C$6="",H1902=$C$6,H1902="Pengeluaran "&amp;$C$6,AND($C$6="Uang Kos Mama",H1902="Pengeluaran Uang Kos")),OR($C$7="Semua",$C$7="",I1902=$C$7),OR($C$8="Semua",$C$8="",C1902=$C$8,E1902=$C$8),OR($C$9="Semua",$C$9="",D1902=$C$9),OR($C$10="",B1902&gt;=$C$10),OR($C$11="",B1902&lt;=$C$11),OR($C$12&lt;&gt;"Ya",K1902&lt;&gt;""),OR($C$13="Semua",$C$13="",L1902=$C$13)),"✓","")</f>
        <v/>
      </c>
      <c r="N1902" s="93">
        <f>N(N1901)+IF(M1902="✓",1,0)</f>
        <v/>
      </c>
      <c r="O1902" s="93">
        <f>N(O1901)+IF(AND(B1902&lt;&gt;"",B1902&gt;='Uang Riba'!$H$30,B1902&lt;='Uang Riba'!$I$30,OR(H1902="Dana riba",H1902="Pinjam uang riba",I1902="Pinjam dari uang riba",I1902="Ganti uang riba",I1902="Kelebihan ganti dikembalikan",AND(C1902="Kantong Uang Riba",G1902="Pengeluaran"))),1,0)</f>
        <v/>
      </c>
      <c r="X1902" s="93">
        <f>IF(AND(B1902&lt;&gt;"",B1902&gt;='Buku Akun'!$H$4,B1902&lt;='Buku Akun'!$H$5,OR(C1902='Buku Akun'!$C$4,AND(D1902="Pindah",E1902='Buku Akun'!$C$4))),B1902+IF(AND(I1902="Selisih bunga",DAY(B1902)=1),0,0.01)+ROW()/10000000,"")</f>
        <v/>
      </c>
    </row>
    <row r="1903" outlineLevel="1" ht="15" customHeight="1" s="94">
      <c r="A1903" s="123">
        <f>IF(B1903="","",ROW()-15)</f>
        <v/>
      </c>
      <c r="B1903" s="124" t="n"/>
      <c r="C1903" s="123" t="n"/>
      <c r="D1903" s="123" t="n"/>
      <c r="E1903" s="123" t="n"/>
      <c r="F1903" s="125" t="n"/>
      <c r="G1903" s="123" t="n"/>
      <c r="H1903" s="123" t="n"/>
      <c r="I1903" s="123" t="n"/>
      <c r="J1903" s="123" t="n"/>
      <c r="K1903" s="123" t="n"/>
      <c r="L1903" s="123" t="n"/>
      <c r="M1903" s="123">
        <f>IF(AND(B1903&lt;&gt;"",OR($C$4="",ISNUMBER(SEARCH($C$4,C1903&amp;" "&amp;E1903&amp;" "&amp;G1903&amp;" "&amp;H1903&amp;" "&amp;I1903&amp;" "&amp;J1903&amp;" "&amp;K1903&amp;" "&amp;L1903))),OR($C$5="Semua",$C$5="",G1903=$C$5),OR($C$6="Semua",$C$6="",H1903=$C$6,H1903="Pengeluaran "&amp;$C$6,AND($C$6="Uang Kos Mama",H1903="Pengeluaran Uang Kos")),OR($C$7="Semua",$C$7="",I1903=$C$7),OR($C$8="Semua",$C$8="",C1903=$C$8,E1903=$C$8),OR($C$9="Semua",$C$9="",D1903=$C$9),OR($C$10="",B1903&gt;=$C$10),OR($C$11="",B1903&lt;=$C$11),OR($C$12&lt;&gt;"Ya",K1903&lt;&gt;""),OR($C$13="Semua",$C$13="",L1903=$C$13)),"✓","")</f>
        <v/>
      </c>
      <c r="N1903" s="93">
        <f>N(N1902)+IF(M1903="✓",1,0)</f>
        <v/>
      </c>
      <c r="O1903" s="93">
        <f>N(O1902)+IF(AND(B1903&lt;&gt;"",B1903&gt;='Uang Riba'!$H$30,B1903&lt;='Uang Riba'!$I$30,OR(H1903="Dana riba",H1903="Pinjam uang riba",I1903="Pinjam dari uang riba",I1903="Ganti uang riba",I1903="Kelebihan ganti dikembalikan",AND(C1903="Kantong Uang Riba",G1903="Pengeluaran"))),1,0)</f>
        <v/>
      </c>
      <c r="X1903" s="93">
        <f>IF(AND(B1903&lt;&gt;"",B1903&gt;='Buku Akun'!$H$4,B1903&lt;='Buku Akun'!$H$5,OR(C1903='Buku Akun'!$C$4,AND(D1903="Pindah",E1903='Buku Akun'!$C$4))),B1903+IF(AND(I1903="Selisih bunga",DAY(B1903)=1),0,0.01)+ROW()/10000000,"")</f>
        <v/>
      </c>
    </row>
    <row r="1904" outlineLevel="1" ht="15" customHeight="1" s="94">
      <c r="A1904" s="123">
        <f>IF(B1904="","",ROW()-15)</f>
        <v/>
      </c>
      <c r="B1904" s="124" t="n"/>
      <c r="C1904" s="123" t="n"/>
      <c r="D1904" s="123" t="n"/>
      <c r="E1904" s="123" t="n"/>
      <c r="F1904" s="125" t="n"/>
      <c r="G1904" s="123" t="n"/>
      <c r="H1904" s="123" t="n"/>
      <c r="I1904" s="123" t="n"/>
      <c r="J1904" s="123" t="n"/>
      <c r="K1904" s="123" t="n"/>
      <c r="L1904" s="123" t="n"/>
      <c r="M1904" s="123">
        <f>IF(AND(B1904&lt;&gt;"",OR($C$4="",ISNUMBER(SEARCH($C$4,C1904&amp;" "&amp;E1904&amp;" "&amp;G1904&amp;" "&amp;H1904&amp;" "&amp;I1904&amp;" "&amp;J1904&amp;" "&amp;K1904&amp;" "&amp;L1904))),OR($C$5="Semua",$C$5="",G1904=$C$5),OR($C$6="Semua",$C$6="",H1904=$C$6,H1904="Pengeluaran "&amp;$C$6,AND($C$6="Uang Kos Mama",H1904="Pengeluaran Uang Kos")),OR($C$7="Semua",$C$7="",I1904=$C$7),OR($C$8="Semua",$C$8="",C1904=$C$8,E1904=$C$8),OR($C$9="Semua",$C$9="",D1904=$C$9),OR($C$10="",B1904&gt;=$C$10),OR($C$11="",B1904&lt;=$C$11),OR($C$12&lt;&gt;"Ya",K1904&lt;&gt;""),OR($C$13="Semua",$C$13="",L1904=$C$13)),"✓","")</f>
        <v/>
      </c>
      <c r="N1904" s="93">
        <f>N(N1903)+IF(M1904="✓",1,0)</f>
        <v/>
      </c>
      <c r="O1904" s="93">
        <f>N(O1903)+IF(AND(B1904&lt;&gt;"",B1904&gt;='Uang Riba'!$H$30,B1904&lt;='Uang Riba'!$I$30,OR(H1904="Dana riba",H1904="Pinjam uang riba",I1904="Pinjam dari uang riba",I1904="Ganti uang riba",I1904="Kelebihan ganti dikembalikan",AND(C1904="Kantong Uang Riba",G1904="Pengeluaran"))),1,0)</f>
        <v/>
      </c>
      <c r="X1904" s="93">
        <f>IF(AND(B1904&lt;&gt;"",B1904&gt;='Buku Akun'!$H$4,B1904&lt;='Buku Akun'!$H$5,OR(C1904='Buku Akun'!$C$4,AND(D1904="Pindah",E1904='Buku Akun'!$C$4))),B1904+IF(AND(I1904="Selisih bunga",DAY(B1904)=1),0,0.01)+ROW()/10000000,"")</f>
        <v/>
      </c>
    </row>
    <row r="1905" outlineLevel="1" ht="15" customHeight="1" s="94">
      <c r="A1905" s="123">
        <f>IF(B1905="","",ROW()-15)</f>
        <v/>
      </c>
      <c r="B1905" s="124" t="n"/>
      <c r="C1905" s="123" t="n"/>
      <c r="D1905" s="123" t="n"/>
      <c r="E1905" s="123" t="n"/>
      <c r="F1905" s="125" t="n"/>
      <c r="G1905" s="123" t="n"/>
      <c r="H1905" s="123" t="n"/>
      <c r="I1905" s="123" t="n"/>
      <c r="J1905" s="123" t="n"/>
      <c r="K1905" s="123" t="n"/>
      <c r="L1905" s="123" t="n"/>
      <c r="M1905" s="123">
        <f>IF(AND(B1905&lt;&gt;"",OR($C$4="",ISNUMBER(SEARCH($C$4,C1905&amp;" "&amp;E1905&amp;" "&amp;G1905&amp;" "&amp;H1905&amp;" "&amp;I1905&amp;" "&amp;J1905&amp;" "&amp;K1905&amp;" "&amp;L1905))),OR($C$5="Semua",$C$5="",G1905=$C$5),OR($C$6="Semua",$C$6="",H1905=$C$6,H1905="Pengeluaran "&amp;$C$6,AND($C$6="Uang Kos Mama",H1905="Pengeluaran Uang Kos")),OR($C$7="Semua",$C$7="",I1905=$C$7),OR($C$8="Semua",$C$8="",C1905=$C$8,E1905=$C$8),OR($C$9="Semua",$C$9="",D1905=$C$9),OR($C$10="",B1905&gt;=$C$10),OR($C$11="",B1905&lt;=$C$11),OR($C$12&lt;&gt;"Ya",K1905&lt;&gt;""),OR($C$13="Semua",$C$13="",L1905=$C$13)),"✓","")</f>
        <v/>
      </c>
      <c r="N1905" s="93">
        <f>N(N1904)+IF(M1905="✓",1,0)</f>
        <v/>
      </c>
      <c r="O1905" s="93">
        <f>N(O1904)+IF(AND(B1905&lt;&gt;"",B1905&gt;='Uang Riba'!$H$30,B1905&lt;='Uang Riba'!$I$30,OR(H1905="Dana riba",H1905="Pinjam uang riba",I1905="Pinjam dari uang riba",I1905="Ganti uang riba",I1905="Kelebihan ganti dikembalikan",AND(C1905="Kantong Uang Riba",G1905="Pengeluaran"))),1,0)</f>
        <v/>
      </c>
      <c r="X1905" s="93">
        <f>IF(AND(B1905&lt;&gt;"",B1905&gt;='Buku Akun'!$H$4,B1905&lt;='Buku Akun'!$H$5,OR(C1905='Buku Akun'!$C$4,AND(D1905="Pindah",E1905='Buku Akun'!$C$4))),B1905+IF(AND(I1905="Selisih bunga",DAY(B1905)=1),0,0.01)+ROW()/10000000,"")</f>
        <v/>
      </c>
    </row>
    <row r="1906" outlineLevel="1" ht="15" customHeight="1" s="94">
      <c r="A1906" s="123">
        <f>IF(B1906="","",ROW()-15)</f>
        <v/>
      </c>
      <c r="B1906" s="124" t="n"/>
      <c r="C1906" s="123" t="n"/>
      <c r="D1906" s="123" t="n"/>
      <c r="E1906" s="123" t="n"/>
      <c r="F1906" s="125" t="n"/>
      <c r="G1906" s="123" t="n"/>
      <c r="H1906" s="123" t="n"/>
      <c r="I1906" s="123" t="n"/>
      <c r="J1906" s="123" t="n"/>
      <c r="K1906" s="123" t="n"/>
      <c r="L1906" s="123" t="n"/>
      <c r="M1906" s="123">
        <f>IF(AND(B1906&lt;&gt;"",OR($C$4="",ISNUMBER(SEARCH($C$4,C1906&amp;" "&amp;E1906&amp;" "&amp;G1906&amp;" "&amp;H1906&amp;" "&amp;I1906&amp;" "&amp;J1906&amp;" "&amp;K1906&amp;" "&amp;L1906))),OR($C$5="Semua",$C$5="",G1906=$C$5),OR($C$6="Semua",$C$6="",H1906=$C$6,H1906="Pengeluaran "&amp;$C$6,AND($C$6="Uang Kos Mama",H1906="Pengeluaran Uang Kos")),OR($C$7="Semua",$C$7="",I1906=$C$7),OR($C$8="Semua",$C$8="",C1906=$C$8,E1906=$C$8),OR($C$9="Semua",$C$9="",D1906=$C$9),OR($C$10="",B1906&gt;=$C$10),OR($C$11="",B1906&lt;=$C$11),OR($C$12&lt;&gt;"Ya",K1906&lt;&gt;""),OR($C$13="Semua",$C$13="",L1906=$C$13)),"✓","")</f>
        <v/>
      </c>
      <c r="N1906" s="93">
        <f>N(N1905)+IF(M1906="✓",1,0)</f>
        <v/>
      </c>
      <c r="O1906" s="93">
        <f>N(O1905)+IF(AND(B1906&lt;&gt;"",B1906&gt;='Uang Riba'!$H$30,B1906&lt;='Uang Riba'!$I$30,OR(H1906="Dana riba",H1906="Pinjam uang riba",I1906="Pinjam dari uang riba",I1906="Ganti uang riba",I1906="Kelebihan ganti dikembalikan",AND(C1906="Kantong Uang Riba",G1906="Pengeluaran"))),1,0)</f>
        <v/>
      </c>
      <c r="X1906" s="93">
        <f>IF(AND(B1906&lt;&gt;"",B1906&gt;='Buku Akun'!$H$4,B1906&lt;='Buku Akun'!$H$5,OR(C1906='Buku Akun'!$C$4,AND(D1906="Pindah",E1906='Buku Akun'!$C$4))),B1906+IF(AND(I1906="Selisih bunga",DAY(B1906)=1),0,0.01)+ROW()/10000000,"")</f>
        <v/>
      </c>
    </row>
    <row r="1907" outlineLevel="1" ht="15" customHeight="1" s="94">
      <c r="A1907" s="123">
        <f>IF(B1907="","",ROW()-15)</f>
        <v/>
      </c>
      <c r="B1907" s="124" t="n"/>
      <c r="C1907" s="123" t="n"/>
      <c r="D1907" s="123" t="n"/>
      <c r="E1907" s="123" t="n"/>
      <c r="F1907" s="125" t="n"/>
      <c r="G1907" s="123" t="n"/>
      <c r="H1907" s="123" t="n"/>
      <c r="I1907" s="123" t="n"/>
      <c r="J1907" s="123" t="n"/>
      <c r="K1907" s="123" t="n"/>
      <c r="L1907" s="123" t="n"/>
      <c r="M1907" s="123">
        <f>IF(AND(B1907&lt;&gt;"",OR($C$4="",ISNUMBER(SEARCH($C$4,C1907&amp;" "&amp;E1907&amp;" "&amp;G1907&amp;" "&amp;H1907&amp;" "&amp;I1907&amp;" "&amp;J1907&amp;" "&amp;K1907&amp;" "&amp;L1907))),OR($C$5="Semua",$C$5="",G1907=$C$5),OR($C$6="Semua",$C$6="",H1907=$C$6,H1907="Pengeluaran "&amp;$C$6,AND($C$6="Uang Kos Mama",H1907="Pengeluaran Uang Kos")),OR($C$7="Semua",$C$7="",I1907=$C$7),OR($C$8="Semua",$C$8="",C1907=$C$8,E1907=$C$8),OR($C$9="Semua",$C$9="",D1907=$C$9),OR($C$10="",B1907&gt;=$C$10),OR($C$11="",B1907&lt;=$C$11),OR($C$12&lt;&gt;"Ya",K1907&lt;&gt;""),OR($C$13="Semua",$C$13="",L1907=$C$13)),"✓","")</f>
        <v/>
      </c>
      <c r="N1907" s="93">
        <f>N(N1906)+IF(M1907="✓",1,0)</f>
        <v/>
      </c>
      <c r="O1907" s="93">
        <f>N(O1906)+IF(AND(B1907&lt;&gt;"",B1907&gt;='Uang Riba'!$H$30,B1907&lt;='Uang Riba'!$I$30,OR(H1907="Dana riba",H1907="Pinjam uang riba",I1907="Pinjam dari uang riba",I1907="Ganti uang riba",I1907="Kelebihan ganti dikembalikan",AND(C1907="Kantong Uang Riba",G1907="Pengeluaran"))),1,0)</f>
        <v/>
      </c>
      <c r="X1907" s="93">
        <f>IF(AND(B1907&lt;&gt;"",B1907&gt;='Buku Akun'!$H$4,B1907&lt;='Buku Akun'!$H$5,OR(C1907='Buku Akun'!$C$4,AND(D1907="Pindah",E1907='Buku Akun'!$C$4))),B1907+IF(AND(I1907="Selisih bunga",DAY(B1907)=1),0,0.01)+ROW()/10000000,"")</f>
        <v/>
      </c>
    </row>
    <row r="1908" outlineLevel="1" ht="15" customHeight="1" s="94">
      <c r="A1908" s="123">
        <f>IF(B1908="","",ROW()-15)</f>
        <v/>
      </c>
      <c r="B1908" s="124" t="n"/>
      <c r="C1908" s="123" t="n"/>
      <c r="D1908" s="123" t="n"/>
      <c r="E1908" s="123" t="n"/>
      <c r="F1908" s="125" t="n"/>
      <c r="G1908" s="123" t="n"/>
      <c r="H1908" s="123" t="n"/>
      <c r="I1908" s="123" t="n"/>
      <c r="J1908" s="123" t="n"/>
      <c r="K1908" s="123" t="n"/>
      <c r="L1908" s="123" t="n"/>
      <c r="M1908" s="123">
        <f>IF(AND(B1908&lt;&gt;"",OR($C$4="",ISNUMBER(SEARCH($C$4,C1908&amp;" "&amp;E1908&amp;" "&amp;G1908&amp;" "&amp;H1908&amp;" "&amp;I1908&amp;" "&amp;J1908&amp;" "&amp;K1908&amp;" "&amp;L1908))),OR($C$5="Semua",$C$5="",G1908=$C$5),OR($C$6="Semua",$C$6="",H1908=$C$6,H1908="Pengeluaran "&amp;$C$6,AND($C$6="Uang Kos Mama",H1908="Pengeluaran Uang Kos")),OR($C$7="Semua",$C$7="",I1908=$C$7),OR($C$8="Semua",$C$8="",C1908=$C$8,E1908=$C$8),OR($C$9="Semua",$C$9="",D1908=$C$9),OR($C$10="",B1908&gt;=$C$10),OR($C$11="",B1908&lt;=$C$11),OR($C$12&lt;&gt;"Ya",K1908&lt;&gt;""),OR($C$13="Semua",$C$13="",L1908=$C$13)),"✓","")</f>
        <v/>
      </c>
      <c r="N1908" s="93">
        <f>N(N1907)+IF(M1908="✓",1,0)</f>
        <v/>
      </c>
      <c r="O1908" s="93">
        <f>N(O1907)+IF(AND(B1908&lt;&gt;"",B1908&gt;='Uang Riba'!$H$30,B1908&lt;='Uang Riba'!$I$30,OR(H1908="Dana riba",H1908="Pinjam uang riba",I1908="Pinjam dari uang riba",I1908="Ganti uang riba",I1908="Kelebihan ganti dikembalikan",AND(C1908="Kantong Uang Riba",G1908="Pengeluaran"))),1,0)</f>
        <v/>
      </c>
      <c r="X1908" s="93">
        <f>IF(AND(B1908&lt;&gt;"",B1908&gt;='Buku Akun'!$H$4,B1908&lt;='Buku Akun'!$H$5,OR(C1908='Buku Akun'!$C$4,AND(D1908="Pindah",E1908='Buku Akun'!$C$4))),B1908+IF(AND(I1908="Selisih bunga",DAY(B1908)=1),0,0.01)+ROW()/10000000,"")</f>
        <v/>
      </c>
    </row>
    <row r="1909" outlineLevel="1" ht="15" customHeight="1" s="94">
      <c r="A1909" s="123">
        <f>IF(B1909="","",ROW()-15)</f>
        <v/>
      </c>
      <c r="B1909" s="124" t="n"/>
      <c r="C1909" s="123" t="n"/>
      <c r="D1909" s="123" t="n"/>
      <c r="E1909" s="123" t="n"/>
      <c r="F1909" s="125" t="n"/>
      <c r="G1909" s="123" t="n"/>
      <c r="H1909" s="123" t="n"/>
      <c r="I1909" s="123" t="n"/>
      <c r="J1909" s="123" t="n"/>
      <c r="K1909" s="123" t="n"/>
      <c r="L1909" s="123" t="n"/>
      <c r="M1909" s="123">
        <f>IF(AND(B1909&lt;&gt;"",OR($C$4="",ISNUMBER(SEARCH($C$4,C1909&amp;" "&amp;E1909&amp;" "&amp;G1909&amp;" "&amp;H1909&amp;" "&amp;I1909&amp;" "&amp;J1909&amp;" "&amp;K1909&amp;" "&amp;L1909))),OR($C$5="Semua",$C$5="",G1909=$C$5),OR($C$6="Semua",$C$6="",H1909=$C$6,H1909="Pengeluaran "&amp;$C$6,AND($C$6="Uang Kos Mama",H1909="Pengeluaran Uang Kos")),OR($C$7="Semua",$C$7="",I1909=$C$7),OR($C$8="Semua",$C$8="",C1909=$C$8,E1909=$C$8),OR($C$9="Semua",$C$9="",D1909=$C$9),OR($C$10="",B1909&gt;=$C$10),OR($C$11="",B1909&lt;=$C$11),OR($C$12&lt;&gt;"Ya",K1909&lt;&gt;""),OR($C$13="Semua",$C$13="",L1909=$C$13)),"✓","")</f>
        <v/>
      </c>
      <c r="N1909" s="93">
        <f>N(N1908)+IF(M1909="✓",1,0)</f>
        <v/>
      </c>
      <c r="O1909" s="93">
        <f>N(O1908)+IF(AND(B1909&lt;&gt;"",B1909&gt;='Uang Riba'!$H$30,B1909&lt;='Uang Riba'!$I$30,OR(H1909="Dana riba",H1909="Pinjam uang riba",I1909="Pinjam dari uang riba",I1909="Ganti uang riba",I1909="Kelebihan ganti dikembalikan",AND(C1909="Kantong Uang Riba",G1909="Pengeluaran"))),1,0)</f>
        <v/>
      </c>
      <c r="X1909" s="93">
        <f>IF(AND(B1909&lt;&gt;"",B1909&gt;='Buku Akun'!$H$4,B1909&lt;='Buku Akun'!$H$5,OR(C1909='Buku Akun'!$C$4,AND(D1909="Pindah",E1909='Buku Akun'!$C$4))),B1909+IF(AND(I1909="Selisih bunga",DAY(B1909)=1),0,0.01)+ROW()/10000000,"")</f>
        <v/>
      </c>
    </row>
    <row r="1910" outlineLevel="1" ht="15" customHeight="1" s="94">
      <c r="A1910" s="123">
        <f>IF(B1910="","",ROW()-15)</f>
        <v/>
      </c>
      <c r="B1910" s="124" t="n"/>
      <c r="C1910" s="123" t="n"/>
      <c r="D1910" s="123" t="n"/>
      <c r="E1910" s="123" t="n"/>
      <c r="F1910" s="125" t="n"/>
      <c r="G1910" s="123" t="n"/>
      <c r="H1910" s="123" t="n"/>
      <c r="I1910" s="123" t="n"/>
      <c r="J1910" s="123" t="n"/>
      <c r="K1910" s="123" t="n"/>
      <c r="L1910" s="123" t="n"/>
      <c r="M1910" s="123">
        <f>IF(AND(B1910&lt;&gt;"",OR($C$4="",ISNUMBER(SEARCH($C$4,C1910&amp;" "&amp;E1910&amp;" "&amp;G1910&amp;" "&amp;H1910&amp;" "&amp;I1910&amp;" "&amp;J1910&amp;" "&amp;K1910&amp;" "&amp;L1910))),OR($C$5="Semua",$C$5="",G1910=$C$5),OR($C$6="Semua",$C$6="",H1910=$C$6,H1910="Pengeluaran "&amp;$C$6,AND($C$6="Uang Kos Mama",H1910="Pengeluaran Uang Kos")),OR($C$7="Semua",$C$7="",I1910=$C$7),OR($C$8="Semua",$C$8="",C1910=$C$8,E1910=$C$8),OR($C$9="Semua",$C$9="",D1910=$C$9),OR($C$10="",B1910&gt;=$C$10),OR($C$11="",B1910&lt;=$C$11),OR($C$12&lt;&gt;"Ya",K1910&lt;&gt;""),OR($C$13="Semua",$C$13="",L1910=$C$13)),"✓","")</f>
        <v/>
      </c>
      <c r="N1910" s="93">
        <f>N(N1909)+IF(M1910="✓",1,0)</f>
        <v/>
      </c>
      <c r="O1910" s="93">
        <f>N(O1909)+IF(AND(B1910&lt;&gt;"",B1910&gt;='Uang Riba'!$H$30,B1910&lt;='Uang Riba'!$I$30,OR(H1910="Dana riba",H1910="Pinjam uang riba",I1910="Pinjam dari uang riba",I1910="Ganti uang riba",I1910="Kelebihan ganti dikembalikan",AND(C1910="Kantong Uang Riba",G1910="Pengeluaran"))),1,0)</f>
        <v/>
      </c>
      <c r="X1910" s="93">
        <f>IF(AND(B1910&lt;&gt;"",B1910&gt;='Buku Akun'!$H$4,B1910&lt;='Buku Akun'!$H$5,OR(C1910='Buku Akun'!$C$4,AND(D1910="Pindah",E1910='Buku Akun'!$C$4))),B1910+IF(AND(I1910="Selisih bunga",DAY(B1910)=1),0,0.01)+ROW()/10000000,"")</f>
        <v/>
      </c>
    </row>
    <row r="1911" outlineLevel="1" ht="15" customHeight="1" s="94">
      <c r="A1911" s="123">
        <f>IF(B1911="","",ROW()-15)</f>
        <v/>
      </c>
      <c r="B1911" s="124" t="n"/>
      <c r="C1911" s="123" t="n"/>
      <c r="D1911" s="123" t="n"/>
      <c r="E1911" s="123" t="n"/>
      <c r="F1911" s="125" t="n"/>
      <c r="G1911" s="123" t="n"/>
      <c r="H1911" s="123" t="n"/>
      <c r="I1911" s="123" t="n"/>
      <c r="J1911" s="123" t="n"/>
      <c r="K1911" s="123" t="n"/>
      <c r="L1911" s="123" t="n"/>
      <c r="M1911" s="123">
        <f>IF(AND(B1911&lt;&gt;"",OR($C$4="",ISNUMBER(SEARCH($C$4,C1911&amp;" "&amp;E1911&amp;" "&amp;G1911&amp;" "&amp;H1911&amp;" "&amp;I1911&amp;" "&amp;J1911&amp;" "&amp;K1911&amp;" "&amp;L1911))),OR($C$5="Semua",$C$5="",G1911=$C$5),OR($C$6="Semua",$C$6="",H1911=$C$6,H1911="Pengeluaran "&amp;$C$6,AND($C$6="Uang Kos Mama",H1911="Pengeluaran Uang Kos")),OR($C$7="Semua",$C$7="",I1911=$C$7),OR($C$8="Semua",$C$8="",C1911=$C$8,E1911=$C$8),OR($C$9="Semua",$C$9="",D1911=$C$9),OR($C$10="",B1911&gt;=$C$10),OR($C$11="",B1911&lt;=$C$11),OR($C$12&lt;&gt;"Ya",K1911&lt;&gt;""),OR($C$13="Semua",$C$13="",L1911=$C$13)),"✓","")</f>
        <v/>
      </c>
      <c r="N1911" s="93">
        <f>N(N1910)+IF(M1911="✓",1,0)</f>
        <v/>
      </c>
      <c r="O1911" s="93">
        <f>N(O1910)+IF(AND(B1911&lt;&gt;"",B1911&gt;='Uang Riba'!$H$30,B1911&lt;='Uang Riba'!$I$30,OR(H1911="Dana riba",H1911="Pinjam uang riba",I1911="Pinjam dari uang riba",I1911="Ganti uang riba",I1911="Kelebihan ganti dikembalikan",AND(C1911="Kantong Uang Riba",G1911="Pengeluaran"))),1,0)</f>
        <v/>
      </c>
      <c r="X1911" s="93">
        <f>IF(AND(B1911&lt;&gt;"",B1911&gt;='Buku Akun'!$H$4,B1911&lt;='Buku Akun'!$H$5,OR(C1911='Buku Akun'!$C$4,AND(D1911="Pindah",E1911='Buku Akun'!$C$4))),B1911+IF(AND(I1911="Selisih bunga",DAY(B1911)=1),0,0.01)+ROW()/10000000,"")</f>
        <v/>
      </c>
    </row>
    <row r="1912" outlineLevel="1" ht="15" customHeight="1" s="94">
      <c r="A1912" s="123">
        <f>IF(B1912="","",ROW()-15)</f>
        <v/>
      </c>
      <c r="B1912" s="124" t="n"/>
      <c r="C1912" s="123" t="n"/>
      <c r="D1912" s="123" t="n"/>
      <c r="E1912" s="123" t="n"/>
      <c r="F1912" s="125" t="n"/>
      <c r="G1912" s="123" t="n"/>
      <c r="H1912" s="123" t="n"/>
      <c r="I1912" s="123" t="n"/>
      <c r="J1912" s="123" t="n"/>
      <c r="K1912" s="123" t="n"/>
      <c r="L1912" s="123" t="n"/>
      <c r="M1912" s="123">
        <f>IF(AND(B1912&lt;&gt;"",OR($C$4="",ISNUMBER(SEARCH($C$4,C1912&amp;" "&amp;E1912&amp;" "&amp;G1912&amp;" "&amp;H1912&amp;" "&amp;I1912&amp;" "&amp;J1912&amp;" "&amp;K1912&amp;" "&amp;L1912))),OR($C$5="Semua",$C$5="",G1912=$C$5),OR($C$6="Semua",$C$6="",H1912=$C$6,H1912="Pengeluaran "&amp;$C$6,AND($C$6="Uang Kos Mama",H1912="Pengeluaran Uang Kos")),OR($C$7="Semua",$C$7="",I1912=$C$7),OR($C$8="Semua",$C$8="",C1912=$C$8,E1912=$C$8),OR($C$9="Semua",$C$9="",D1912=$C$9),OR($C$10="",B1912&gt;=$C$10),OR($C$11="",B1912&lt;=$C$11),OR($C$12&lt;&gt;"Ya",K1912&lt;&gt;""),OR($C$13="Semua",$C$13="",L1912=$C$13)),"✓","")</f>
        <v/>
      </c>
      <c r="N1912" s="93">
        <f>N(N1911)+IF(M1912="✓",1,0)</f>
        <v/>
      </c>
      <c r="O1912" s="93">
        <f>N(O1911)+IF(AND(B1912&lt;&gt;"",B1912&gt;='Uang Riba'!$H$30,B1912&lt;='Uang Riba'!$I$30,OR(H1912="Dana riba",H1912="Pinjam uang riba",I1912="Pinjam dari uang riba",I1912="Ganti uang riba",I1912="Kelebihan ganti dikembalikan",AND(C1912="Kantong Uang Riba",G1912="Pengeluaran"))),1,0)</f>
        <v/>
      </c>
      <c r="X1912" s="93">
        <f>IF(AND(B1912&lt;&gt;"",B1912&gt;='Buku Akun'!$H$4,B1912&lt;='Buku Akun'!$H$5,OR(C1912='Buku Akun'!$C$4,AND(D1912="Pindah",E1912='Buku Akun'!$C$4))),B1912+IF(AND(I1912="Selisih bunga",DAY(B1912)=1),0,0.01)+ROW()/10000000,"")</f>
        <v/>
      </c>
    </row>
    <row r="1913" outlineLevel="1" ht="15" customHeight="1" s="94">
      <c r="A1913" s="123">
        <f>IF(B1913="","",ROW()-15)</f>
        <v/>
      </c>
      <c r="B1913" s="124" t="n"/>
      <c r="C1913" s="123" t="n"/>
      <c r="D1913" s="123" t="n"/>
      <c r="E1913" s="123" t="n"/>
      <c r="F1913" s="125" t="n"/>
      <c r="G1913" s="123" t="n"/>
      <c r="H1913" s="123" t="n"/>
      <c r="I1913" s="123" t="n"/>
      <c r="J1913" s="123" t="n"/>
      <c r="K1913" s="123" t="n"/>
      <c r="L1913" s="123" t="n"/>
      <c r="M1913" s="123">
        <f>IF(AND(B1913&lt;&gt;"",OR($C$4="",ISNUMBER(SEARCH($C$4,C1913&amp;" "&amp;E1913&amp;" "&amp;G1913&amp;" "&amp;H1913&amp;" "&amp;I1913&amp;" "&amp;J1913&amp;" "&amp;K1913&amp;" "&amp;L1913))),OR($C$5="Semua",$C$5="",G1913=$C$5),OR($C$6="Semua",$C$6="",H1913=$C$6,H1913="Pengeluaran "&amp;$C$6,AND($C$6="Uang Kos Mama",H1913="Pengeluaran Uang Kos")),OR($C$7="Semua",$C$7="",I1913=$C$7),OR($C$8="Semua",$C$8="",C1913=$C$8,E1913=$C$8),OR($C$9="Semua",$C$9="",D1913=$C$9),OR($C$10="",B1913&gt;=$C$10),OR($C$11="",B1913&lt;=$C$11),OR($C$12&lt;&gt;"Ya",K1913&lt;&gt;""),OR($C$13="Semua",$C$13="",L1913=$C$13)),"✓","")</f>
        <v/>
      </c>
      <c r="N1913" s="93">
        <f>N(N1912)+IF(M1913="✓",1,0)</f>
        <v/>
      </c>
      <c r="O1913" s="93">
        <f>N(O1912)+IF(AND(B1913&lt;&gt;"",B1913&gt;='Uang Riba'!$H$30,B1913&lt;='Uang Riba'!$I$30,OR(H1913="Dana riba",H1913="Pinjam uang riba",I1913="Pinjam dari uang riba",I1913="Ganti uang riba",I1913="Kelebihan ganti dikembalikan",AND(C1913="Kantong Uang Riba",G1913="Pengeluaran"))),1,0)</f>
        <v/>
      </c>
      <c r="X1913" s="93">
        <f>IF(AND(B1913&lt;&gt;"",B1913&gt;='Buku Akun'!$H$4,B1913&lt;='Buku Akun'!$H$5,OR(C1913='Buku Akun'!$C$4,AND(D1913="Pindah",E1913='Buku Akun'!$C$4))),B1913+IF(AND(I1913="Selisih bunga",DAY(B1913)=1),0,0.01)+ROW()/10000000,"")</f>
        <v/>
      </c>
    </row>
    <row r="1914" outlineLevel="1" ht="15" customHeight="1" s="94">
      <c r="A1914" s="123">
        <f>IF(B1914="","",ROW()-15)</f>
        <v/>
      </c>
      <c r="B1914" s="124" t="n"/>
      <c r="C1914" s="123" t="n"/>
      <c r="D1914" s="123" t="n"/>
      <c r="E1914" s="123" t="n"/>
      <c r="F1914" s="125" t="n"/>
      <c r="G1914" s="123" t="n"/>
      <c r="H1914" s="123" t="n"/>
      <c r="I1914" s="123" t="n"/>
      <c r="J1914" s="123" t="n"/>
      <c r="K1914" s="123" t="n"/>
      <c r="L1914" s="123" t="n"/>
      <c r="M1914" s="123">
        <f>IF(AND(B1914&lt;&gt;"",OR($C$4="",ISNUMBER(SEARCH($C$4,C1914&amp;" "&amp;E1914&amp;" "&amp;G1914&amp;" "&amp;H1914&amp;" "&amp;I1914&amp;" "&amp;J1914&amp;" "&amp;K1914&amp;" "&amp;L1914))),OR($C$5="Semua",$C$5="",G1914=$C$5),OR($C$6="Semua",$C$6="",H1914=$C$6,H1914="Pengeluaran "&amp;$C$6,AND($C$6="Uang Kos Mama",H1914="Pengeluaran Uang Kos")),OR($C$7="Semua",$C$7="",I1914=$C$7),OR($C$8="Semua",$C$8="",C1914=$C$8,E1914=$C$8),OR($C$9="Semua",$C$9="",D1914=$C$9),OR($C$10="",B1914&gt;=$C$10),OR($C$11="",B1914&lt;=$C$11),OR($C$12&lt;&gt;"Ya",K1914&lt;&gt;""),OR($C$13="Semua",$C$13="",L1914=$C$13)),"✓","")</f>
        <v/>
      </c>
      <c r="N1914" s="93">
        <f>N(N1913)+IF(M1914="✓",1,0)</f>
        <v/>
      </c>
      <c r="O1914" s="93">
        <f>N(O1913)+IF(AND(B1914&lt;&gt;"",B1914&gt;='Uang Riba'!$H$30,B1914&lt;='Uang Riba'!$I$30,OR(H1914="Dana riba",H1914="Pinjam uang riba",I1914="Pinjam dari uang riba",I1914="Ganti uang riba",I1914="Kelebihan ganti dikembalikan",AND(C1914="Kantong Uang Riba",G1914="Pengeluaran"))),1,0)</f>
        <v/>
      </c>
      <c r="X1914" s="93">
        <f>IF(AND(B1914&lt;&gt;"",B1914&gt;='Buku Akun'!$H$4,B1914&lt;='Buku Akun'!$H$5,OR(C1914='Buku Akun'!$C$4,AND(D1914="Pindah",E1914='Buku Akun'!$C$4))),B1914+IF(AND(I1914="Selisih bunga",DAY(B1914)=1),0,0.01)+ROW()/10000000,"")</f>
        <v/>
      </c>
    </row>
    <row r="1915" outlineLevel="1" ht="15" customHeight="1" s="94">
      <c r="A1915" s="123">
        <f>IF(B1915="","",ROW()-15)</f>
        <v/>
      </c>
      <c r="B1915" s="124" t="n"/>
      <c r="C1915" s="123" t="n"/>
      <c r="D1915" s="123" t="n"/>
      <c r="E1915" s="123" t="n"/>
      <c r="F1915" s="125" t="n"/>
      <c r="G1915" s="123" t="n"/>
      <c r="H1915" s="123" t="n"/>
      <c r="I1915" s="123" t="n"/>
      <c r="J1915" s="123" t="n"/>
      <c r="K1915" s="123" t="n"/>
      <c r="L1915" s="123" t="n"/>
      <c r="M1915" s="123">
        <f>IF(AND(B1915&lt;&gt;"",OR($C$4="",ISNUMBER(SEARCH($C$4,C1915&amp;" "&amp;E1915&amp;" "&amp;G1915&amp;" "&amp;H1915&amp;" "&amp;I1915&amp;" "&amp;J1915&amp;" "&amp;K1915&amp;" "&amp;L1915))),OR($C$5="Semua",$C$5="",G1915=$C$5),OR($C$6="Semua",$C$6="",H1915=$C$6,H1915="Pengeluaran "&amp;$C$6,AND($C$6="Uang Kos Mama",H1915="Pengeluaran Uang Kos")),OR($C$7="Semua",$C$7="",I1915=$C$7),OR($C$8="Semua",$C$8="",C1915=$C$8,E1915=$C$8),OR($C$9="Semua",$C$9="",D1915=$C$9),OR($C$10="",B1915&gt;=$C$10),OR($C$11="",B1915&lt;=$C$11),OR($C$12&lt;&gt;"Ya",K1915&lt;&gt;""),OR($C$13="Semua",$C$13="",L1915=$C$13)),"✓","")</f>
        <v/>
      </c>
      <c r="N1915" s="93">
        <f>N(N1914)+IF(M1915="✓",1,0)</f>
        <v/>
      </c>
      <c r="O1915" s="93">
        <f>N(O1914)+IF(AND(B1915&lt;&gt;"",B1915&gt;='Uang Riba'!$H$30,B1915&lt;='Uang Riba'!$I$30,OR(H1915="Dana riba",H1915="Pinjam uang riba",I1915="Pinjam dari uang riba",I1915="Ganti uang riba",I1915="Kelebihan ganti dikembalikan",AND(C1915="Kantong Uang Riba",G1915="Pengeluaran"))),1,0)</f>
        <v/>
      </c>
      <c r="X1915" s="93">
        <f>IF(AND(B1915&lt;&gt;"",B1915&gt;='Buku Akun'!$H$4,B1915&lt;='Buku Akun'!$H$5,OR(C1915='Buku Akun'!$C$4,AND(D1915="Pindah",E1915='Buku Akun'!$C$4))),B1915+IF(AND(I1915="Selisih bunga",DAY(B1915)=1),0,0.01)+ROW()/10000000,"")</f>
        <v/>
      </c>
    </row>
    <row r="1916" outlineLevel="1" ht="15" customHeight="1" s="94">
      <c r="A1916" s="123">
        <f>IF(B1916="","",ROW()-15)</f>
        <v/>
      </c>
      <c r="B1916" s="124" t="n"/>
      <c r="C1916" s="123" t="n"/>
      <c r="D1916" s="123" t="n"/>
      <c r="E1916" s="123" t="n"/>
      <c r="F1916" s="125" t="n"/>
      <c r="G1916" s="123" t="n"/>
      <c r="H1916" s="123" t="n"/>
      <c r="I1916" s="123" t="n"/>
      <c r="J1916" s="123" t="n"/>
      <c r="K1916" s="123" t="n"/>
      <c r="L1916" s="123" t="n"/>
      <c r="M1916" s="123">
        <f>IF(AND(B1916&lt;&gt;"",OR($C$4="",ISNUMBER(SEARCH($C$4,C1916&amp;" "&amp;E1916&amp;" "&amp;G1916&amp;" "&amp;H1916&amp;" "&amp;I1916&amp;" "&amp;J1916&amp;" "&amp;K1916&amp;" "&amp;L1916))),OR($C$5="Semua",$C$5="",G1916=$C$5),OR($C$6="Semua",$C$6="",H1916=$C$6,H1916="Pengeluaran "&amp;$C$6,AND($C$6="Uang Kos Mama",H1916="Pengeluaran Uang Kos")),OR($C$7="Semua",$C$7="",I1916=$C$7),OR($C$8="Semua",$C$8="",C1916=$C$8,E1916=$C$8),OR($C$9="Semua",$C$9="",D1916=$C$9),OR($C$10="",B1916&gt;=$C$10),OR($C$11="",B1916&lt;=$C$11),OR($C$12&lt;&gt;"Ya",K1916&lt;&gt;""),OR($C$13="Semua",$C$13="",L1916=$C$13)),"✓","")</f>
        <v/>
      </c>
      <c r="N1916" s="93">
        <f>N(N1915)+IF(M1916="✓",1,0)</f>
        <v/>
      </c>
      <c r="O1916" s="93">
        <f>N(O1915)+IF(AND(B1916&lt;&gt;"",B1916&gt;='Uang Riba'!$H$30,B1916&lt;='Uang Riba'!$I$30,OR(H1916="Dana riba",H1916="Pinjam uang riba",I1916="Pinjam dari uang riba",I1916="Ganti uang riba",I1916="Kelebihan ganti dikembalikan",AND(C1916="Kantong Uang Riba",G1916="Pengeluaran"))),1,0)</f>
        <v/>
      </c>
      <c r="X1916" s="93">
        <f>IF(AND(B1916&lt;&gt;"",B1916&gt;='Buku Akun'!$H$4,B1916&lt;='Buku Akun'!$H$5,OR(C1916='Buku Akun'!$C$4,AND(D1916="Pindah",E1916='Buku Akun'!$C$4))),B1916+IF(AND(I1916="Selisih bunga",DAY(B1916)=1),0,0.01)+ROW()/10000000,"")</f>
        <v/>
      </c>
    </row>
    <row r="1917" outlineLevel="1" ht="15" customHeight="1" s="94">
      <c r="A1917" s="123">
        <f>IF(B1917="","",ROW()-15)</f>
        <v/>
      </c>
      <c r="B1917" s="124" t="n"/>
      <c r="C1917" s="123" t="n"/>
      <c r="D1917" s="123" t="n"/>
      <c r="E1917" s="123" t="n"/>
      <c r="F1917" s="125" t="n"/>
      <c r="G1917" s="123" t="n"/>
      <c r="H1917" s="123" t="n"/>
      <c r="I1917" s="123" t="n"/>
      <c r="J1917" s="123" t="n"/>
      <c r="K1917" s="123" t="n"/>
      <c r="L1917" s="123" t="n"/>
      <c r="M1917" s="123">
        <f>IF(AND(B1917&lt;&gt;"",OR($C$4="",ISNUMBER(SEARCH($C$4,C1917&amp;" "&amp;E1917&amp;" "&amp;G1917&amp;" "&amp;H1917&amp;" "&amp;I1917&amp;" "&amp;J1917&amp;" "&amp;K1917&amp;" "&amp;L1917))),OR($C$5="Semua",$C$5="",G1917=$C$5),OR($C$6="Semua",$C$6="",H1917=$C$6,H1917="Pengeluaran "&amp;$C$6,AND($C$6="Uang Kos Mama",H1917="Pengeluaran Uang Kos")),OR($C$7="Semua",$C$7="",I1917=$C$7),OR($C$8="Semua",$C$8="",C1917=$C$8,E1917=$C$8),OR($C$9="Semua",$C$9="",D1917=$C$9),OR($C$10="",B1917&gt;=$C$10),OR($C$11="",B1917&lt;=$C$11),OR($C$12&lt;&gt;"Ya",K1917&lt;&gt;""),OR($C$13="Semua",$C$13="",L1917=$C$13)),"✓","")</f>
        <v/>
      </c>
      <c r="N1917" s="93">
        <f>N(N1916)+IF(M1917="✓",1,0)</f>
        <v/>
      </c>
      <c r="O1917" s="93">
        <f>N(O1916)+IF(AND(B1917&lt;&gt;"",B1917&gt;='Uang Riba'!$H$30,B1917&lt;='Uang Riba'!$I$30,OR(H1917="Dana riba",H1917="Pinjam uang riba",I1917="Pinjam dari uang riba",I1917="Ganti uang riba",I1917="Kelebihan ganti dikembalikan",AND(C1917="Kantong Uang Riba",G1917="Pengeluaran"))),1,0)</f>
        <v/>
      </c>
      <c r="X1917" s="93">
        <f>IF(AND(B1917&lt;&gt;"",B1917&gt;='Buku Akun'!$H$4,B1917&lt;='Buku Akun'!$H$5,OR(C1917='Buku Akun'!$C$4,AND(D1917="Pindah",E1917='Buku Akun'!$C$4))),B1917+IF(AND(I1917="Selisih bunga",DAY(B1917)=1),0,0.01)+ROW()/10000000,"")</f>
        <v/>
      </c>
    </row>
    <row r="1918" outlineLevel="1" ht="15" customHeight="1" s="94">
      <c r="A1918" s="123">
        <f>IF(B1918="","",ROW()-15)</f>
        <v/>
      </c>
      <c r="B1918" s="124" t="n"/>
      <c r="C1918" s="123" t="n"/>
      <c r="D1918" s="123" t="n"/>
      <c r="E1918" s="123" t="n"/>
      <c r="F1918" s="125" t="n"/>
      <c r="G1918" s="123" t="n"/>
      <c r="H1918" s="123" t="n"/>
      <c r="I1918" s="123" t="n"/>
      <c r="J1918" s="123" t="n"/>
      <c r="K1918" s="123" t="n"/>
      <c r="L1918" s="123" t="n"/>
      <c r="M1918" s="123">
        <f>IF(AND(B1918&lt;&gt;"",OR($C$4="",ISNUMBER(SEARCH($C$4,C1918&amp;" "&amp;E1918&amp;" "&amp;G1918&amp;" "&amp;H1918&amp;" "&amp;I1918&amp;" "&amp;J1918&amp;" "&amp;K1918&amp;" "&amp;L1918))),OR($C$5="Semua",$C$5="",G1918=$C$5),OR($C$6="Semua",$C$6="",H1918=$C$6,H1918="Pengeluaran "&amp;$C$6,AND($C$6="Uang Kos Mama",H1918="Pengeluaran Uang Kos")),OR($C$7="Semua",$C$7="",I1918=$C$7),OR($C$8="Semua",$C$8="",C1918=$C$8,E1918=$C$8),OR($C$9="Semua",$C$9="",D1918=$C$9),OR($C$10="",B1918&gt;=$C$10),OR($C$11="",B1918&lt;=$C$11),OR($C$12&lt;&gt;"Ya",K1918&lt;&gt;""),OR($C$13="Semua",$C$13="",L1918=$C$13)),"✓","")</f>
        <v/>
      </c>
      <c r="N1918" s="93">
        <f>N(N1917)+IF(M1918="✓",1,0)</f>
        <v/>
      </c>
      <c r="O1918" s="93">
        <f>N(O1917)+IF(AND(B1918&lt;&gt;"",B1918&gt;='Uang Riba'!$H$30,B1918&lt;='Uang Riba'!$I$30,OR(H1918="Dana riba",H1918="Pinjam uang riba",I1918="Pinjam dari uang riba",I1918="Ganti uang riba",I1918="Kelebihan ganti dikembalikan",AND(C1918="Kantong Uang Riba",G1918="Pengeluaran"))),1,0)</f>
        <v/>
      </c>
      <c r="X1918" s="93">
        <f>IF(AND(B1918&lt;&gt;"",B1918&gt;='Buku Akun'!$H$4,B1918&lt;='Buku Akun'!$H$5,OR(C1918='Buku Akun'!$C$4,AND(D1918="Pindah",E1918='Buku Akun'!$C$4))),B1918+IF(AND(I1918="Selisih bunga",DAY(B1918)=1),0,0.01)+ROW()/10000000,"")</f>
        <v/>
      </c>
    </row>
    <row r="1919" outlineLevel="1" ht="15" customHeight="1" s="94">
      <c r="A1919" s="123">
        <f>IF(B1919="","",ROW()-15)</f>
        <v/>
      </c>
      <c r="B1919" s="124" t="n"/>
      <c r="C1919" s="123" t="n"/>
      <c r="D1919" s="123" t="n"/>
      <c r="E1919" s="123" t="n"/>
      <c r="F1919" s="125" t="n"/>
      <c r="G1919" s="123" t="n"/>
      <c r="H1919" s="123" t="n"/>
      <c r="I1919" s="123" t="n"/>
      <c r="J1919" s="123" t="n"/>
      <c r="K1919" s="123" t="n"/>
      <c r="L1919" s="123" t="n"/>
      <c r="M1919" s="123">
        <f>IF(AND(B1919&lt;&gt;"",OR($C$4="",ISNUMBER(SEARCH($C$4,C1919&amp;" "&amp;E1919&amp;" "&amp;G1919&amp;" "&amp;H1919&amp;" "&amp;I1919&amp;" "&amp;J1919&amp;" "&amp;K1919&amp;" "&amp;L1919))),OR($C$5="Semua",$C$5="",G1919=$C$5),OR($C$6="Semua",$C$6="",H1919=$C$6,H1919="Pengeluaran "&amp;$C$6,AND($C$6="Uang Kos Mama",H1919="Pengeluaran Uang Kos")),OR($C$7="Semua",$C$7="",I1919=$C$7),OR($C$8="Semua",$C$8="",C1919=$C$8,E1919=$C$8),OR($C$9="Semua",$C$9="",D1919=$C$9),OR($C$10="",B1919&gt;=$C$10),OR($C$11="",B1919&lt;=$C$11),OR($C$12&lt;&gt;"Ya",K1919&lt;&gt;""),OR($C$13="Semua",$C$13="",L1919=$C$13)),"✓","")</f>
        <v/>
      </c>
      <c r="N1919" s="93">
        <f>N(N1918)+IF(M1919="✓",1,0)</f>
        <v/>
      </c>
      <c r="O1919" s="93">
        <f>N(O1918)+IF(AND(B1919&lt;&gt;"",B1919&gt;='Uang Riba'!$H$30,B1919&lt;='Uang Riba'!$I$30,OR(H1919="Dana riba",H1919="Pinjam uang riba",I1919="Pinjam dari uang riba",I1919="Ganti uang riba",I1919="Kelebihan ganti dikembalikan",AND(C1919="Kantong Uang Riba",G1919="Pengeluaran"))),1,0)</f>
        <v/>
      </c>
      <c r="X1919" s="93">
        <f>IF(AND(B1919&lt;&gt;"",B1919&gt;='Buku Akun'!$H$4,B1919&lt;='Buku Akun'!$H$5,OR(C1919='Buku Akun'!$C$4,AND(D1919="Pindah",E1919='Buku Akun'!$C$4))),B1919+IF(AND(I1919="Selisih bunga",DAY(B1919)=1),0,0.01)+ROW()/10000000,"")</f>
        <v/>
      </c>
    </row>
    <row r="1920" outlineLevel="1" ht="15" customHeight="1" s="94">
      <c r="A1920" s="123">
        <f>IF(B1920="","",ROW()-15)</f>
        <v/>
      </c>
      <c r="B1920" s="124" t="n"/>
      <c r="C1920" s="123" t="n"/>
      <c r="D1920" s="123" t="n"/>
      <c r="E1920" s="123" t="n"/>
      <c r="F1920" s="125" t="n"/>
      <c r="G1920" s="123" t="n"/>
      <c r="H1920" s="123" t="n"/>
      <c r="I1920" s="123" t="n"/>
      <c r="J1920" s="123" t="n"/>
      <c r="K1920" s="123" t="n"/>
      <c r="L1920" s="123" t="n"/>
      <c r="M1920" s="123">
        <f>IF(AND(B1920&lt;&gt;"",OR($C$4="",ISNUMBER(SEARCH($C$4,C1920&amp;" "&amp;E1920&amp;" "&amp;G1920&amp;" "&amp;H1920&amp;" "&amp;I1920&amp;" "&amp;J1920&amp;" "&amp;K1920&amp;" "&amp;L1920))),OR($C$5="Semua",$C$5="",G1920=$C$5),OR($C$6="Semua",$C$6="",H1920=$C$6,H1920="Pengeluaran "&amp;$C$6,AND($C$6="Uang Kos Mama",H1920="Pengeluaran Uang Kos")),OR($C$7="Semua",$C$7="",I1920=$C$7),OR($C$8="Semua",$C$8="",C1920=$C$8,E1920=$C$8),OR($C$9="Semua",$C$9="",D1920=$C$9),OR($C$10="",B1920&gt;=$C$10),OR($C$11="",B1920&lt;=$C$11),OR($C$12&lt;&gt;"Ya",K1920&lt;&gt;""),OR($C$13="Semua",$C$13="",L1920=$C$13)),"✓","")</f>
        <v/>
      </c>
      <c r="N1920" s="93">
        <f>N(N1919)+IF(M1920="✓",1,0)</f>
        <v/>
      </c>
      <c r="O1920" s="93">
        <f>N(O1919)+IF(AND(B1920&lt;&gt;"",B1920&gt;='Uang Riba'!$H$30,B1920&lt;='Uang Riba'!$I$30,OR(H1920="Dana riba",H1920="Pinjam uang riba",I1920="Pinjam dari uang riba",I1920="Ganti uang riba",I1920="Kelebihan ganti dikembalikan",AND(C1920="Kantong Uang Riba",G1920="Pengeluaran"))),1,0)</f>
        <v/>
      </c>
      <c r="X1920" s="93">
        <f>IF(AND(B1920&lt;&gt;"",B1920&gt;='Buku Akun'!$H$4,B1920&lt;='Buku Akun'!$H$5,OR(C1920='Buku Akun'!$C$4,AND(D1920="Pindah",E1920='Buku Akun'!$C$4))),B1920+IF(AND(I1920="Selisih bunga",DAY(B1920)=1),0,0.01)+ROW()/10000000,"")</f>
        <v/>
      </c>
    </row>
    <row r="1921" outlineLevel="1" ht="15" customHeight="1" s="94">
      <c r="A1921" s="123">
        <f>IF(B1921="","",ROW()-15)</f>
        <v/>
      </c>
      <c r="B1921" s="124" t="n"/>
      <c r="C1921" s="123" t="n"/>
      <c r="D1921" s="123" t="n"/>
      <c r="E1921" s="123" t="n"/>
      <c r="F1921" s="125" t="n"/>
      <c r="G1921" s="123" t="n"/>
      <c r="H1921" s="123" t="n"/>
      <c r="I1921" s="123" t="n"/>
      <c r="J1921" s="123" t="n"/>
      <c r="K1921" s="123" t="n"/>
      <c r="L1921" s="123" t="n"/>
      <c r="M1921" s="123">
        <f>IF(AND(B1921&lt;&gt;"",OR($C$4="",ISNUMBER(SEARCH($C$4,C1921&amp;" "&amp;E1921&amp;" "&amp;G1921&amp;" "&amp;H1921&amp;" "&amp;I1921&amp;" "&amp;J1921&amp;" "&amp;K1921&amp;" "&amp;L1921))),OR($C$5="Semua",$C$5="",G1921=$C$5),OR($C$6="Semua",$C$6="",H1921=$C$6,H1921="Pengeluaran "&amp;$C$6,AND($C$6="Uang Kos Mama",H1921="Pengeluaran Uang Kos")),OR($C$7="Semua",$C$7="",I1921=$C$7),OR($C$8="Semua",$C$8="",C1921=$C$8,E1921=$C$8),OR($C$9="Semua",$C$9="",D1921=$C$9),OR($C$10="",B1921&gt;=$C$10),OR($C$11="",B1921&lt;=$C$11),OR($C$12&lt;&gt;"Ya",K1921&lt;&gt;""),OR($C$13="Semua",$C$13="",L1921=$C$13)),"✓","")</f>
        <v/>
      </c>
      <c r="N1921" s="93">
        <f>N(N1920)+IF(M1921="✓",1,0)</f>
        <v/>
      </c>
      <c r="O1921" s="93">
        <f>N(O1920)+IF(AND(B1921&lt;&gt;"",B1921&gt;='Uang Riba'!$H$30,B1921&lt;='Uang Riba'!$I$30,OR(H1921="Dana riba",H1921="Pinjam uang riba",I1921="Pinjam dari uang riba",I1921="Ganti uang riba",I1921="Kelebihan ganti dikembalikan",AND(C1921="Kantong Uang Riba",G1921="Pengeluaran"))),1,0)</f>
        <v/>
      </c>
      <c r="X1921" s="93">
        <f>IF(AND(B1921&lt;&gt;"",B1921&gt;='Buku Akun'!$H$4,B1921&lt;='Buku Akun'!$H$5,OR(C1921='Buku Akun'!$C$4,AND(D1921="Pindah",E1921='Buku Akun'!$C$4))),B1921+IF(AND(I1921="Selisih bunga",DAY(B1921)=1),0,0.01)+ROW()/10000000,"")</f>
        <v/>
      </c>
    </row>
    <row r="1922" outlineLevel="1" ht="15" customHeight="1" s="94">
      <c r="A1922" s="123">
        <f>IF(B1922="","",ROW()-15)</f>
        <v/>
      </c>
      <c r="B1922" s="124" t="n"/>
      <c r="C1922" s="123" t="n"/>
      <c r="D1922" s="123" t="n"/>
      <c r="E1922" s="123" t="n"/>
      <c r="F1922" s="125" t="n"/>
      <c r="G1922" s="123" t="n"/>
      <c r="H1922" s="123" t="n"/>
      <c r="I1922" s="123" t="n"/>
      <c r="J1922" s="123" t="n"/>
      <c r="K1922" s="123" t="n"/>
      <c r="L1922" s="123" t="n"/>
      <c r="M1922" s="123">
        <f>IF(AND(B1922&lt;&gt;"",OR($C$4="",ISNUMBER(SEARCH($C$4,C1922&amp;" "&amp;E1922&amp;" "&amp;G1922&amp;" "&amp;H1922&amp;" "&amp;I1922&amp;" "&amp;J1922&amp;" "&amp;K1922&amp;" "&amp;L1922))),OR($C$5="Semua",$C$5="",G1922=$C$5),OR($C$6="Semua",$C$6="",H1922=$C$6,H1922="Pengeluaran "&amp;$C$6,AND($C$6="Uang Kos Mama",H1922="Pengeluaran Uang Kos")),OR($C$7="Semua",$C$7="",I1922=$C$7),OR($C$8="Semua",$C$8="",C1922=$C$8,E1922=$C$8),OR($C$9="Semua",$C$9="",D1922=$C$9),OR($C$10="",B1922&gt;=$C$10),OR($C$11="",B1922&lt;=$C$11),OR($C$12&lt;&gt;"Ya",K1922&lt;&gt;""),OR($C$13="Semua",$C$13="",L1922=$C$13)),"✓","")</f>
        <v/>
      </c>
      <c r="N1922" s="93">
        <f>N(N1921)+IF(M1922="✓",1,0)</f>
        <v/>
      </c>
      <c r="O1922" s="93">
        <f>N(O1921)+IF(AND(B1922&lt;&gt;"",B1922&gt;='Uang Riba'!$H$30,B1922&lt;='Uang Riba'!$I$30,OR(H1922="Dana riba",H1922="Pinjam uang riba",I1922="Pinjam dari uang riba",I1922="Ganti uang riba",I1922="Kelebihan ganti dikembalikan",AND(C1922="Kantong Uang Riba",G1922="Pengeluaran"))),1,0)</f>
        <v/>
      </c>
      <c r="X1922" s="93">
        <f>IF(AND(B1922&lt;&gt;"",B1922&gt;='Buku Akun'!$H$4,B1922&lt;='Buku Akun'!$H$5,OR(C1922='Buku Akun'!$C$4,AND(D1922="Pindah",E1922='Buku Akun'!$C$4))),B1922+IF(AND(I1922="Selisih bunga",DAY(B1922)=1),0,0.01)+ROW()/10000000,"")</f>
        <v/>
      </c>
    </row>
    <row r="1923" outlineLevel="1" ht="15" customHeight="1" s="94">
      <c r="A1923" s="123">
        <f>IF(B1923="","",ROW()-15)</f>
        <v/>
      </c>
      <c r="B1923" s="124" t="n"/>
      <c r="C1923" s="123" t="n"/>
      <c r="D1923" s="123" t="n"/>
      <c r="E1923" s="123" t="n"/>
      <c r="F1923" s="125" t="n"/>
      <c r="G1923" s="123" t="n"/>
      <c r="H1923" s="123" t="n"/>
      <c r="I1923" s="123" t="n"/>
      <c r="J1923" s="123" t="n"/>
      <c r="K1923" s="123" t="n"/>
      <c r="L1923" s="123" t="n"/>
      <c r="M1923" s="123">
        <f>IF(AND(B1923&lt;&gt;"",OR($C$4="",ISNUMBER(SEARCH($C$4,C1923&amp;" "&amp;E1923&amp;" "&amp;G1923&amp;" "&amp;H1923&amp;" "&amp;I1923&amp;" "&amp;J1923&amp;" "&amp;K1923&amp;" "&amp;L1923))),OR($C$5="Semua",$C$5="",G1923=$C$5),OR($C$6="Semua",$C$6="",H1923=$C$6,H1923="Pengeluaran "&amp;$C$6,AND($C$6="Uang Kos Mama",H1923="Pengeluaran Uang Kos")),OR($C$7="Semua",$C$7="",I1923=$C$7),OR($C$8="Semua",$C$8="",C1923=$C$8,E1923=$C$8),OR($C$9="Semua",$C$9="",D1923=$C$9),OR($C$10="",B1923&gt;=$C$10),OR($C$11="",B1923&lt;=$C$11),OR($C$12&lt;&gt;"Ya",K1923&lt;&gt;""),OR($C$13="Semua",$C$13="",L1923=$C$13)),"✓","")</f>
        <v/>
      </c>
      <c r="N1923" s="93">
        <f>N(N1922)+IF(M1923="✓",1,0)</f>
        <v/>
      </c>
      <c r="O1923" s="93">
        <f>N(O1922)+IF(AND(B1923&lt;&gt;"",B1923&gt;='Uang Riba'!$H$30,B1923&lt;='Uang Riba'!$I$30,OR(H1923="Dana riba",H1923="Pinjam uang riba",I1923="Pinjam dari uang riba",I1923="Ganti uang riba",I1923="Kelebihan ganti dikembalikan",AND(C1923="Kantong Uang Riba",G1923="Pengeluaran"))),1,0)</f>
        <v/>
      </c>
      <c r="X1923" s="93">
        <f>IF(AND(B1923&lt;&gt;"",B1923&gt;='Buku Akun'!$H$4,B1923&lt;='Buku Akun'!$H$5,OR(C1923='Buku Akun'!$C$4,AND(D1923="Pindah",E1923='Buku Akun'!$C$4))),B1923+IF(AND(I1923="Selisih bunga",DAY(B1923)=1),0,0.01)+ROW()/10000000,"")</f>
        <v/>
      </c>
    </row>
    <row r="1924" outlineLevel="1" ht="15" customHeight="1" s="94">
      <c r="A1924" s="123">
        <f>IF(B1924="","",ROW()-15)</f>
        <v/>
      </c>
      <c r="B1924" s="124" t="n"/>
      <c r="C1924" s="123" t="n"/>
      <c r="D1924" s="123" t="n"/>
      <c r="E1924" s="123" t="n"/>
      <c r="F1924" s="125" t="n"/>
      <c r="G1924" s="123" t="n"/>
      <c r="H1924" s="123" t="n"/>
      <c r="I1924" s="123" t="n"/>
      <c r="J1924" s="123" t="n"/>
      <c r="K1924" s="123" t="n"/>
      <c r="L1924" s="123" t="n"/>
      <c r="M1924" s="123">
        <f>IF(AND(B1924&lt;&gt;"",OR($C$4="",ISNUMBER(SEARCH($C$4,C1924&amp;" "&amp;E1924&amp;" "&amp;G1924&amp;" "&amp;H1924&amp;" "&amp;I1924&amp;" "&amp;J1924&amp;" "&amp;K1924&amp;" "&amp;L1924))),OR($C$5="Semua",$C$5="",G1924=$C$5),OR($C$6="Semua",$C$6="",H1924=$C$6,H1924="Pengeluaran "&amp;$C$6,AND($C$6="Uang Kos Mama",H1924="Pengeluaran Uang Kos")),OR($C$7="Semua",$C$7="",I1924=$C$7),OR($C$8="Semua",$C$8="",C1924=$C$8,E1924=$C$8),OR($C$9="Semua",$C$9="",D1924=$C$9),OR($C$10="",B1924&gt;=$C$10),OR($C$11="",B1924&lt;=$C$11),OR($C$12&lt;&gt;"Ya",K1924&lt;&gt;""),OR($C$13="Semua",$C$13="",L1924=$C$13)),"✓","")</f>
        <v/>
      </c>
      <c r="N1924" s="93">
        <f>N(N1923)+IF(M1924="✓",1,0)</f>
        <v/>
      </c>
      <c r="O1924" s="93">
        <f>N(O1923)+IF(AND(B1924&lt;&gt;"",B1924&gt;='Uang Riba'!$H$30,B1924&lt;='Uang Riba'!$I$30,OR(H1924="Dana riba",H1924="Pinjam uang riba",I1924="Pinjam dari uang riba",I1924="Ganti uang riba",I1924="Kelebihan ganti dikembalikan",AND(C1924="Kantong Uang Riba",G1924="Pengeluaran"))),1,0)</f>
        <v/>
      </c>
      <c r="X1924" s="93">
        <f>IF(AND(B1924&lt;&gt;"",B1924&gt;='Buku Akun'!$H$4,B1924&lt;='Buku Akun'!$H$5,OR(C1924='Buku Akun'!$C$4,AND(D1924="Pindah",E1924='Buku Akun'!$C$4))),B1924+IF(AND(I1924="Selisih bunga",DAY(B1924)=1),0,0.01)+ROW()/10000000,"")</f>
        <v/>
      </c>
    </row>
    <row r="1925" outlineLevel="1" ht="15" customHeight="1" s="94">
      <c r="A1925" s="123">
        <f>IF(B1925="","",ROW()-15)</f>
        <v/>
      </c>
      <c r="B1925" s="124" t="n"/>
      <c r="C1925" s="123" t="n"/>
      <c r="D1925" s="123" t="n"/>
      <c r="E1925" s="123" t="n"/>
      <c r="F1925" s="125" t="n"/>
      <c r="G1925" s="123" t="n"/>
      <c r="H1925" s="123" t="n"/>
      <c r="I1925" s="123" t="n"/>
      <c r="J1925" s="123" t="n"/>
      <c r="K1925" s="123" t="n"/>
      <c r="L1925" s="123" t="n"/>
      <c r="M1925" s="123">
        <f>IF(AND(B1925&lt;&gt;"",OR($C$4="",ISNUMBER(SEARCH($C$4,C1925&amp;" "&amp;E1925&amp;" "&amp;G1925&amp;" "&amp;H1925&amp;" "&amp;I1925&amp;" "&amp;J1925&amp;" "&amp;K1925&amp;" "&amp;L1925))),OR($C$5="Semua",$C$5="",G1925=$C$5),OR($C$6="Semua",$C$6="",H1925=$C$6,H1925="Pengeluaran "&amp;$C$6,AND($C$6="Uang Kos Mama",H1925="Pengeluaran Uang Kos")),OR($C$7="Semua",$C$7="",I1925=$C$7),OR($C$8="Semua",$C$8="",C1925=$C$8,E1925=$C$8),OR($C$9="Semua",$C$9="",D1925=$C$9),OR($C$10="",B1925&gt;=$C$10),OR($C$11="",B1925&lt;=$C$11),OR($C$12&lt;&gt;"Ya",K1925&lt;&gt;""),OR($C$13="Semua",$C$13="",L1925=$C$13)),"✓","")</f>
        <v/>
      </c>
      <c r="N1925" s="93">
        <f>N(N1924)+IF(M1925="✓",1,0)</f>
        <v/>
      </c>
      <c r="O1925" s="93">
        <f>N(O1924)+IF(AND(B1925&lt;&gt;"",B1925&gt;='Uang Riba'!$H$30,B1925&lt;='Uang Riba'!$I$30,OR(H1925="Dana riba",H1925="Pinjam uang riba",I1925="Pinjam dari uang riba",I1925="Ganti uang riba",I1925="Kelebihan ganti dikembalikan",AND(C1925="Kantong Uang Riba",G1925="Pengeluaran"))),1,0)</f>
        <v/>
      </c>
      <c r="X1925" s="93">
        <f>IF(AND(B1925&lt;&gt;"",B1925&gt;='Buku Akun'!$H$4,B1925&lt;='Buku Akun'!$H$5,OR(C1925='Buku Akun'!$C$4,AND(D1925="Pindah",E1925='Buku Akun'!$C$4))),B1925+IF(AND(I1925="Selisih bunga",DAY(B1925)=1),0,0.01)+ROW()/10000000,"")</f>
        <v/>
      </c>
    </row>
    <row r="1926" outlineLevel="1" ht="15" customHeight="1" s="94">
      <c r="A1926" s="123">
        <f>IF(B1926="","",ROW()-15)</f>
        <v/>
      </c>
      <c r="B1926" s="124" t="n"/>
      <c r="C1926" s="123" t="n"/>
      <c r="D1926" s="123" t="n"/>
      <c r="E1926" s="123" t="n"/>
      <c r="F1926" s="125" t="n"/>
      <c r="G1926" s="123" t="n"/>
      <c r="H1926" s="123" t="n"/>
      <c r="I1926" s="123" t="n"/>
      <c r="J1926" s="123" t="n"/>
      <c r="K1926" s="123" t="n"/>
      <c r="L1926" s="123" t="n"/>
      <c r="M1926" s="123">
        <f>IF(AND(B1926&lt;&gt;"",OR($C$4="",ISNUMBER(SEARCH($C$4,C1926&amp;" "&amp;E1926&amp;" "&amp;G1926&amp;" "&amp;H1926&amp;" "&amp;I1926&amp;" "&amp;J1926&amp;" "&amp;K1926&amp;" "&amp;L1926))),OR($C$5="Semua",$C$5="",G1926=$C$5),OR($C$6="Semua",$C$6="",H1926=$C$6,H1926="Pengeluaran "&amp;$C$6,AND($C$6="Uang Kos Mama",H1926="Pengeluaran Uang Kos")),OR($C$7="Semua",$C$7="",I1926=$C$7),OR($C$8="Semua",$C$8="",C1926=$C$8,E1926=$C$8),OR($C$9="Semua",$C$9="",D1926=$C$9),OR($C$10="",B1926&gt;=$C$10),OR($C$11="",B1926&lt;=$C$11),OR($C$12&lt;&gt;"Ya",K1926&lt;&gt;""),OR($C$13="Semua",$C$13="",L1926=$C$13)),"✓","")</f>
        <v/>
      </c>
      <c r="N1926" s="93">
        <f>N(N1925)+IF(M1926="✓",1,0)</f>
        <v/>
      </c>
      <c r="O1926" s="93">
        <f>N(O1925)+IF(AND(B1926&lt;&gt;"",B1926&gt;='Uang Riba'!$H$30,B1926&lt;='Uang Riba'!$I$30,OR(H1926="Dana riba",H1926="Pinjam uang riba",I1926="Pinjam dari uang riba",I1926="Ganti uang riba",I1926="Kelebihan ganti dikembalikan",AND(C1926="Kantong Uang Riba",G1926="Pengeluaran"))),1,0)</f>
        <v/>
      </c>
      <c r="X1926" s="93">
        <f>IF(AND(B1926&lt;&gt;"",B1926&gt;='Buku Akun'!$H$4,B1926&lt;='Buku Akun'!$H$5,OR(C1926='Buku Akun'!$C$4,AND(D1926="Pindah",E1926='Buku Akun'!$C$4))),B1926+IF(AND(I1926="Selisih bunga",DAY(B1926)=1),0,0.01)+ROW()/10000000,"")</f>
        <v/>
      </c>
    </row>
    <row r="1927" outlineLevel="1" ht="15" customHeight="1" s="94">
      <c r="A1927" s="123">
        <f>IF(B1927="","",ROW()-15)</f>
        <v/>
      </c>
      <c r="B1927" s="124" t="n"/>
      <c r="C1927" s="123" t="n"/>
      <c r="D1927" s="123" t="n"/>
      <c r="E1927" s="123" t="n"/>
      <c r="F1927" s="125" t="n"/>
      <c r="G1927" s="123" t="n"/>
      <c r="H1927" s="123" t="n"/>
      <c r="I1927" s="123" t="n"/>
      <c r="J1927" s="123" t="n"/>
      <c r="K1927" s="123" t="n"/>
      <c r="L1927" s="123" t="n"/>
      <c r="M1927" s="123">
        <f>IF(AND(B1927&lt;&gt;"",OR($C$4="",ISNUMBER(SEARCH($C$4,C1927&amp;" "&amp;E1927&amp;" "&amp;G1927&amp;" "&amp;H1927&amp;" "&amp;I1927&amp;" "&amp;J1927&amp;" "&amp;K1927&amp;" "&amp;L1927))),OR($C$5="Semua",$C$5="",G1927=$C$5),OR($C$6="Semua",$C$6="",H1927=$C$6,H1927="Pengeluaran "&amp;$C$6,AND($C$6="Uang Kos Mama",H1927="Pengeluaran Uang Kos")),OR($C$7="Semua",$C$7="",I1927=$C$7),OR($C$8="Semua",$C$8="",C1927=$C$8,E1927=$C$8),OR($C$9="Semua",$C$9="",D1927=$C$9),OR($C$10="",B1927&gt;=$C$10),OR($C$11="",B1927&lt;=$C$11),OR($C$12&lt;&gt;"Ya",K1927&lt;&gt;""),OR($C$13="Semua",$C$13="",L1927=$C$13)),"✓","")</f>
        <v/>
      </c>
      <c r="N1927" s="93">
        <f>N(N1926)+IF(M1927="✓",1,0)</f>
        <v/>
      </c>
      <c r="O1927" s="93">
        <f>N(O1926)+IF(AND(B1927&lt;&gt;"",B1927&gt;='Uang Riba'!$H$30,B1927&lt;='Uang Riba'!$I$30,OR(H1927="Dana riba",H1927="Pinjam uang riba",I1927="Pinjam dari uang riba",I1927="Ganti uang riba",I1927="Kelebihan ganti dikembalikan",AND(C1927="Kantong Uang Riba",G1927="Pengeluaran"))),1,0)</f>
        <v/>
      </c>
      <c r="X1927" s="93">
        <f>IF(AND(B1927&lt;&gt;"",B1927&gt;='Buku Akun'!$H$4,B1927&lt;='Buku Akun'!$H$5,OR(C1927='Buku Akun'!$C$4,AND(D1927="Pindah",E1927='Buku Akun'!$C$4))),B1927+IF(AND(I1927="Selisih bunga",DAY(B1927)=1),0,0.01)+ROW()/10000000,"")</f>
        <v/>
      </c>
    </row>
    <row r="1928" outlineLevel="1" ht="15" customHeight="1" s="94">
      <c r="A1928" s="123">
        <f>IF(B1928="","",ROW()-15)</f>
        <v/>
      </c>
      <c r="B1928" s="124" t="n"/>
      <c r="C1928" s="123" t="n"/>
      <c r="D1928" s="123" t="n"/>
      <c r="E1928" s="123" t="n"/>
      <c r="F1928" s="125" t="n"/>
      <c r="G1928" s="123" t="n"/>
      <c r="H1928" s="123" t="n"/>
      <c r="I1928" s="123" t="n"/>
      <c r="J1928" s="123" t="n"/>
      <c r="K1928" s="123" t="n"/>
      <c r="L1928" s="123" t="n"/>
      <c r="M1928" s="123">
        <f>IF(AND(B1928&lt;&gt;"",OR($C$4="",ISNUMBER(SEARCH($C$4,C1928&amp;" "&amp;E1928&amp;" "&amp;G1928&amp;" "&amp;H1928&amp;" "&amp;I1928&amp;" "&amp;J1928&amp;" "&amp;K1928&amp;" "&amp;L1928))),OR($C$5="Semua",$C$5="",G1928=$C$5),OR($C$6="Semua",$C$6="",H1928=$C$6,H1928="Pengeluaran "&amp;$C$6,AND($C$6="Uang Kos Mama",H1928="Pengeluaran Uang Kos")),OR($C$7="Semua",$C$7="",I1928=$C$7),OR($C$8="Semua",$C$8="",C1928=$C$8,E1928=$C$8),OR($C$9="Semua",$C$9="",D1928=$C$9),OR($C$10="",B1928&gt;=$C$10),OR($C$11="",B1928&lt;=$C$11),OR($C$12&lt;&gt;"Ya",K1928&lt;&gt;""),OR($C$13="Semua",$C$13="",L1928=$C$13)),"✓","")</f>
        <v/>
      </c>
      <c r="N1928" s="93">
        <f>N(N1927)+IF(M1928="✓",1,0)</f>
        <v/>
      </c>
      <c r="O1928" s="93">
        <f>N(O1927)+IF(AND(B1928&lt;&gt;"",B1928&gt;='Uang Riba'!$H$30,B1928&lt;='Uang Riba'!$I$30,OR(H1928="Dana riba",H1928="Pinjam uang riba",I1928="Pinjam dari uang riba",I1928="Ganti uang riba",I1928="Kelebihan ganti dikembalikan",AND(C1928="Kantong Uang Riba",G1928="Pengeluaran"))),1,0)</f>
        <v/>
      </c>
      <c r="X1928" s="93">
        <f>IF(AND(B1928&lt;&gt;"",B1928&gt;='Buku Akun'!$H$4,B1928&lt;='Buku Akun'!$H$5,OR(C1928='Buku Akun'!$C$4,AND(D1928="Pindah",E1928='Buku Akun'!$C$4))),B1928+IF(AND(I1928="Selisih bunga",DAY(B1928)=1),0,0.01)+ROW()/10000000,"")</f>
        <v/>
      </c>
    </row>
    <row r="1929" outlineLevel="1" ht="15" customHeight="1" s="94">
      <c r="A1929" s="123">
        <f>IF(B1929="","",ROW()-15)</f>
        <v/>
      </c>
      <c r="B1929" s="124" t="n"/>
      <c r="C1929" s="123" t="n"/>
      <c r="D1929" s="123" t="n"/>
      <c r="E1929" s="123" t="n"/>
      <c r="F1929" s="125" t="n"/>
      <c r="G1929" s="123" t="n"/>
      <c r="H1929" s="123" t="n"/>
      <c r="I1929" s="123" t="n"/>
      <c r="J1929" s="123" t="n"/>
      <c r="K1929" s="123" t="n"/>
      <c r="L1929" s="123" t="n"/>
      <c r="M1929" s="123">
        <f>IF(AND(B1929&lt;&gt;"",OR($C$4="",ISNUMBER(SEARCH($C$4,C1929&amp;" "&amp;E1929&amp;" "&amp;G1929&amp;" "&amp;H1929&amp;" "&amp;I1929&amp;" "&amp;J1929&amp;" "&amp;K1929&amp;" "&amp;L1929))),OR($C$5="Semua",$C$5="",G1929=$C$5),OR($C$6="Semua",$C$6="",H1929=$C$6,H1929="Pengeluaran "&amp;$C$6,AND($C$6="Uang Kos Mama",H1929="Pengeluaran Uang Kos")),OR($C$7="Semua",$C$7="",I1929=$C$7),OR($C$8="Semua",$C$8="",C1929=$C$8,E1929=$C$8),OR($C$9="Semua",$C$9="",D1929=$C$9),OR($C$10="",B1929&gt;=$C$10),OR($C$11="",B1929&lt;=$C$11),OR($C$12&lt;&gt;"Ya",K1929&lt;&gt;""),OR($C$13="Semua",$C$13="",L1929=$C$13)),"✓","")</f>
        <v/>
      </c>
      <c r="N1929" s="93">
        <f>N(N1928)+IF(M1929="✓",1,0)</f>
        <v/>
      </c>
      <c r="O1929" s="93">
        <f>N(O1928)+IF(AND(B1929&lt;&gt;"",B1929&gt;='Uang Riba'!$H$30,B1929&lt;='Uang Riba'!$I$30,OR(H1929="Dana riba",H1929="Pinjam uang riba",I1929="Pinjam dari uang riba",I1929="Ganti uang riba",I1929="Kelebihan ganti dikembalikan",AND(C1929="Kantong Uang Riba",G1929="Pengeluaran"))),1,0)</f>
        <v/>
      </c>
      <c r="X1929" s="93">
        <f>IF(AND(B1929&lt;&gt;"",B1929&gt;='Buku Akun'!$H$4,B1929&lt;='Buku Akun'!$H$5,OR(C1929='Buku Akun'!$C$4,AND(D1929="Pindah",E1929='Buku Akun'!$C$4))),B1929+IF(AND(I1929="Selisih bunga",DAY(B1929)=1),0,0.01)+ROW()/10000000,"")</f>
        <v/>
      </c>
    </row>
    <row r="1930" outlineLevel="1" ht="15" customHeight="1" s="94">
      <c r="A1930" s="123">
        <f>IF(B1930="","",ROW()-15)</f>
        <v/>
      </c>
      <c r="B1930" s="124" t="n"/>
      <c r="C1930" s="123" t="n"/>
      <c r="D1930" s="123" t="n"/>
      <c r="E1930" s="123" t="n"/>
      <c r="F1930" s="125" t="n"/>
      <c r="G1930" s="123" t="n"/>
      <c r="H1930" s="123" t="n"/>
      <c r="I1930" s="123" t="n"/>
      <c r="J1930" s="123" t="n"/>
      <c r="K1930" s="123" t="n"/>
      <c r="L1930" s="123" t="n"/>
      <c r="M1930" s="123">
        <f>IF(AND(B1930&lt;&gt;"",OR($C$4="",ISNUMBER(SEARCH($C$4,C1930&amp;" "&amp;E1930&amp;" "&amp;G1930&amp;" "&amp;H1930&amp;" "&amp;I1930&amp;" "&amp;J1930&amp;" "&amp;K1930&amp;" "&amp;L1930))),OR($C$5="Semua",$C$5="",G1930=$C$5),OR($C$6="Semua",$C$6="",H1930=$C$6,H1930="Pengeluaran "&amp;$C$6,AND($C$6="Uang Kos Mama",H1930="Pengeluaran Uang Kos")),OR($C$7="Semua",$C$7="",I1930=$C$7),OR($C$8="Semua",$C$8="",C1930=$C$8,E1930=$C$8),OR($C$9="Semua",$C$9="",D1930=$C$9),OR($C$10="",B1930&gt;=$C$10),OR($C$11="",B1930&lt;=$C$11),OR($C$12&lt;&gt;"Ya",K1930&lt;&gt;""),OR($C$13="Semua",$C$13="",L1930=$C$13)),"✓","")</f>
        <v/>
      </c>
      <c r="N1930" s="93">
        <f>N(N1929)+IF(M1930="✓",1,0)</f>
        <v/>
      </c>
      <c r="O1930" s="93">
        <f>N(O1929)+IF(AND(B1930&lt;&gt;"",B1930&gt;='Uang Riba'!$H$30,B1930&lt;='Uang Riba'!$I$30,OR(H1930="Dana riba",H1930="Pinjam uang riba",I1930="Pinjam dari uang riba",I1930="Ganti uang riba",I1930="Kelebihan ganti dikembalikan",AND(C1930="Kantong Uang Riba",G1930="Pengeluaran"))),1,0)</f>
        <v/>
      </c>
      <c r="X1930" s="93">
        <f>IF(AND(B1930&lt;&gt;"",B1930&gt;='Buku Akun'!$H$4,B1930&lt;='Buku Akun'!$H$5,OR(C1930='Buku Akun'!$C$4,AND(D1930="Pindah",E1930='Buku Akun'!$C$4))),B1930+IF(AND(I1930="Selisih bunga",DAY(B1930)=1),0,0.01)+ROW()/10000000,"")</f>
        <v/>
      </c>
    </row>
    <row r="1931" outlineLevel="1" ht="15" customHeight="1" s="94">
      <c r="A1931" s="123">
        <f>IF(B1931="","",ROW()-15)</f>
        <v/>
      </c>
      <c r="B1931" s="124" t="n"/>
      <c r="C1931" s="123" t="n"/>
      <c r="D1931" s="123" t="n"/>
      <c r="E1931" s="123" t="n"/>
      <c r="F1931" s="125" t="n"/>
      <c r="G1931" s="123" t="n"/>
      <c r="H1931" s="123" t="n"/>
      <c r="I1931" s="123" t="n"/>
      <c r="J1931" s="123" t="n"/>
      <c r="K1931" s="123" t="n"/>
      <c r="L1931" s="123" t="n"/>
      <c r="M1931" s="123">
        <f>IF(AND(B1931&lt;&gt;"",OR($C$4="",ISNUMBER(SEARCH($C$4,C1931&amp;" "&amp;E1931&amp;" "&amp;G1931&amp;" "&amp;H1931&amp;" "&amp;I1931&amp;" "&amp;J1931&amp;" "&amp;K1931&amp;" "&amp;L1931))),OR($C$5="Semua",$C$5="",G1931=$C$5),OR($C$6="Semua",$C$6="",H1931=$C$6,H1931="Pengeluaran "&amp;$C$6,AND($C$6="Uang Kos Mama",H1931="Pengeluaran Uang Kos")),OR($C$7="Semua",$C$7="",I1931=$C$7),OR($C$8="Semua",$C$8="",C1931=$C$8,E1931=$C$8),OR($C$9="Semua",$C$9="",D1931=$C$9),OR($C$10="",B1931&gt;=$C$10),OR($C$11="",B1931&lt;=$C$11),OR($C$12&lt;&gt;"Ya",K1931&lt;&gt;""),OR($C$13="Semua",$C$13="",L1931=$C$13)),"✓","")</f>
        <v/>
      </c>
      <c r="N1931" s="93">
        <f>N(N1930)+IF(M1931="✓",1,0)</f>
        <v/>
      </c>
      <c r="O1931" s="93">
        <f>N(O1930)+IF(AND(B1931&lt;&gt;"",B1931&gt;='Uang Riba'!$H$30,B1931&lt;='Uang Riba'!$I$30,OR(H1931="Dana riba",H1931="Pinjam uang riba",I1931="Pinjam dari uang riba",I1931="Ganti uang riba",I1931="Kelebihan ganti dikembalikan",AND(C1931="Kantong Uang Riba",G1931="Pengeluaran"))),1,0)</f>
        <v/>
      </c>
      <c r="X1931" s="93">
        <f>IF(AND(B1931&lt;&gt;"",B1931&gt;='Buku Akun'!$H$4,B1931&lt;='Buku Akun'!$H$5,OR(C1931='Buku Akun'!$C$4,AND(D1931="Pindah",E1931='Buku Akun'!$C$4))),B1931+IF(AND(I1931="Selisih bunga",DAY(B1931)=1),0,0.01)+ROW()/10000000,"")</f>
        <v/>
      </c>
    </row>
    <row r="1932" outlineLevel="1" ht="15" customHeight="1" s="94">
      <c r="A1932" s="123">
        <f>IF(B1932="","",ROW()-15)</f>
        <v/>
      </c>
      <c r="B1932" s="124" t="n"/>
      <c r="C1932" s="123" t="n"/>
      <c r="D1932" s="123" t="n"/>
      <c r="E1932" s="123" t="n"/>
      <c r="F1932" s="125" t="n"/>
      <c r="G1932" s="123" t="n"/>
      <c r="H1932" s="123" t="n"/>
      <c r="I1932" s="123" t="n"/>
      <c r="J1932" s="123" t="n"/>
      <c r="K1932" s="123" t="n"/>
      <c r="L1932" s="123" t="n"/>
      <c r="M1932" s="123">
        <f>IF(AND(B1932&lt;&gt;"",OR($C$4="",ISNUMBER(SEARCH($C$4,C1932&amp;" "&amp;E1932&amp;" "&amp;G1932&amp;" "&amp;H1932&amp;" "&amp;I1932&amp;" "&amp;J1932&amp;" "&amp;K1932&amp;" "&amp;L1932))),OR($C$5="Semua",$C$5="",G1932=$C$5),OR($C$6="Semua",$C$6="",H1932=$C$6,H1932="Pengeluaran "&amp;$C$6,AND($C$6="Uang Kos Mama",H1932="Pengeluaran Uang Kos")),OR($C$7="Semua",$C$7="",I1932=$C$7),OR($C$8="Semua",$C$8="",C1932=$C$8,E1932=$C$8),OR($C$9="Semua",$C$9="",D1932=$C$9),OR($C$10="",B1932&gt;=$C$10),OR($C$11="",B1932&lt;=$C$11),OR($C$12&lt;&gt;"Ya",K1932&lt;&gt;""),OR($C$13="Semua",$C$13="",L1932=$C$13)),"✓","")</f>
        <v/>
      </c>
      <c r="N1932" s="93">
        <f>N(N1931)+IF(M1932="✓",1,0)</f>
        <v/>
      </c>
      <c r="O1932" s="93">
        <f>N(O1931)+IF(AND(B1932&lt;&gt;"",B1932&gt;='Uang Riba'!$H$30,B1932&lt;='Uang Riba'!$I$30,OR(H1932="Dana riba",H1932="Pinjam uang riba",I1932="Pinjam dari uang riba",I1932="Ganti uang riba",I1932="Kelebihan ganti dikembalikan",AND(C1932="Kantong Uang Riba",G1932="Pengeluaran"))),1,0)</f>
        <v/>
      </c>
      <c r="X1932" s="93">
        <f>IF(AND(B1932&lt;&gt;"",B1932&gt;='Buku Akun'!$H$4,B1932&lt;='Buku Akun'!$H$5,OR(C1932='Buku Akun'!$C$4,AND(D1932="Pindah",E1932='Buku Akun'!$C$4))),B1932+IF(AND(I1932="Selisih bunga",DAY(B1932)=1),0,0.01)+ROW()/10000000,"")</f>
        <v/>
      </c>
    </row>
    <row r="1933" outlineLevel="1" ht="15" customHeight="1" s="94">
      <c r="A1933" s="123">
        <f>IF(B1933="","",ROW()-15)</f>
        <v/>
      </c>
      <c r="B1933" s="124" t="n"/>
      <c r="C1933" s="123" t="n"/>
      <c r="D1933" s="123" t="n"/>
      <c r="E1933" s="123" t="n"/>
      <c r="F1933" s="125" t="n"/>
      <c r="G1933" s="123" t="n"/>
      <c r="H1933" s="123" t="n"/>
      <c r="I1933" s="123" t="n"/>
      <c r="J1933" s="123" t="n"/>
      <c r="K1933" s="123" t="n"/>
      <c r="L1933" s="123" t="n"/>
      <c r="M1933" s="123">
        <f>IF(AND(B1933&lt;&gt;"",OR($C$4="",ISNUMBER(SEARCH($C$4,C1933&amp;" "&amp;E1933&amp;" "&amp;G1933&amp;" "&amp;H1933&amp;" "&amp;I1933&amp;" "&amp;J1933&amp;" "&amp;K1933&amp;" "&amp;L1933))),OR($C$5="Semua",$C$5="",G1933=$C$5),OR($C$6="Semua",$C$6="",H1933=$C$6,H1933="Pengeluaran "&amp;$C$6,AND($C$6="Uang Kos Mama",H1933="Pengeluaran Uang Kos")),OR($C$7="Semua",$C$7="",I1933=$C$7),OR($C$8="Semua",$C$8="",C1933=$C$8,E1933=$C$8),OR($C$9="Semua",$C$9="",D1933=$C$9),OR($C$10="",B1933&gt;=$C$10),OR($C$11="",B1933&lt;=$C$11),OR($C$12&lt;&gt;"Ya",K1933&lt;&gt;""),OR($C$13="Semua",$C$13="",L1933=$C$13)),"✓","")</f>
        <v/>
      </c>
      <c r="N1933" s="93">
        <f>N(N1932)+IF(M1933="✓",1,0)</f>
        <v/>
      </c>
      <c r="O1933" s="93">
        <f>N(O1932)+IF(AND(B1933&lt;&gt;"",B1933&gt;='Uang Riba'!$H$30,B1933&lt;='Uang Riba'!$I$30,OR(H1933="Dana riba",H1933="Pinjam uang riba",I1933="Pinjam dari uang riba",I1933="Ganti uang riba",I1933="Kelebihan ganti dikembalikan",AND(C1933="Kantong Uang Riba",G1933="Pengeluaran"))),1,0)</f>
        <v/>
      </c>
      <c r="X1933" s="93">
        <f>IF(AND(B1933&lt;&gt;"",B1933&gt;='Buku Akun'!$H$4,B1933&lt;='Buku Akun'!$H$5,OR(C1933='Buku Akun'!$C$4,AND(D1933="Pindah",E1933='Buku Akun'!$C$4))),B1933+IF(AND(I1933="Selisih bunga",DAY(B1933)=1),0,0.01)+ROW()/10000000,"")</f>
        <v/>
      </c>
    </row>
    <row r="1934" outlineLevel="1" ht="15" customHeight="1" s="94">
      <c r="A1934" s="123">
        <f>IF(B1934="","",ROW()-15)</f>
        <v/>
      </c>
      <c r="B1934" s="124" t="n"/>
      <c r="C1934" s="123" t="n"/>
      <c r="D1934" s="123" t="n"/>
      <c r="E1934" s="123" t="n"/>
      <c r="F1934" s="125" t="n"/>
      <c r="G1934" s="123" t="n"/>
      <c r="H1934" s="123" t="n"/>
      <c r="I1934" s="123" t="n"/>
      <c r="J1934" s="123" t="n"/>
      <c r="K1934" s="123" t="n"/>
      <c r="L1934" s="123" t="n"/>
      <c r="M1934" s="123">
        <f>IF(AND(B1934&lt;&gt;"",OR($C$4="",ISNUMBER(SEARCH($C$4,C1934&amp;" "&amp;E1934&amp;" "&amp;G1934&amp;" "&amp;H1934&amp;" "&amp;I1934&amp;" "&amp;J1934&amp;" "&amp;K1934&amp;" "&amp;L1934))),OR($C$5="Semua",$C$5="",G1934=$C$5),OR($C$6="Semua",$C$6="",H1934=$C$6,H1934="Pengeluaran "&amp;$C$6,AND($C$6="Uang Kos Mama",H1934="Pengeluaran Uang Kos")),OR($C$7="Semua",$C$7="",I1934=$C$7),OR($C$8="Semua",$C$8="",C1934=$C$8,E1934=$C$8),OR($C$9="Semua",$C$9="",D1934=$C$9),OR($C$10="",B1934&gt;=$C$10),OR($C$11="",B1934&lt;=$C$11),OR($C$12&lt;&gt;"Ya",K1934&lt;&gt;""),OR($C$13="Semua",$C$13="",L1934=$C$13)),"✓","")</f>
        <v/>
      </c>
      <c r="N1934" s="93">
        <f>N(N1933)+IF(M1934="✓",1,0)</f>
        <v/>
      </c>
      <c r="O1934" s="93">
        <f>N(O1933)+IF(AND(B1934&lt;&gt;"",B1934&gt;='Uang Riba'!$H$30,B1934&lt;='Uang Riba'!$I$30,OR(H1934="Dana riba",H1934="Pinjam uang riba",I1934="Pinjam dari uang riba",I1934="Ganti uang riba",I1934="Kelebihan ganti dikembalikan",AND(C1934="Kantong Uang Riba",G1934="Pengeluaran"))),1,0)</f>
        <v/>
      </c>
      <c r="X1934" s="93">
        <f>IF(AND(B1934&lt;&gt;"",B1934&gt;='Buku Akun'!$H$4,B1934&lt;='Buku Akun'!$H$5,OR(C1934='Buku Akun'!$C$4,AND(D1934="Pindah",E1934='Buku Akun'!$C$4))),B1934+IF(AND(I1934="Selisih bunga",DAY(B1934)=1),0,0.01)+ROW()/10000000,"")</f>
        <v/>
      </c>
    </row>
    <row r="1935" outlineLevel="1" ht="15" customHeight="1" s="94">
      <c r="A1935" s="123">
        <f>IF(B1935="","",ROW()-15)</f>
        <v/>
      </c>
      <c r="B1935" s="124" t="n"/>
      <c r="C1935" s="123" t="n"/>
      <c r="D1935" s="123" t="n"/>
      <c r="E1935" s="123" t="n"/>
      <c r="F1935" s="125" t="n"/>
      <c r="G1935" s="123" t="n"/>
      <c r="H1935" s="123" t="n"/>
      <c r="I1935" s="123" t="n"/>
      <c r="J1935" s="123" t="n"/>
      <c r="K1935" s="123" t="n"/>
      <c r="L1935" s="123" t="n"/>
      <c r="M1935" s="123">
        <f>IF(AND(B1935&lt;&gt;"",OR($C$4="",ISNUMBER(SEARCH($C$4,C1935&amp;" "&amp;E1935&amp;" "&amp;G1935&amp;" "&amp;H1935&amp;" "&amp;I1935&amp;" "&amp;J1935&amp;" "&amp;K1935&amp;" "&amp;L1935))),OR($C$5="Semua",$C$5="",G1935=$C$5),OR($C$6="Semua",$C$6="",H1935=$C$6,H1935="Pengeluaran "&amp;$C$6,AND($C$6="Uang Kos Mama",H1935="Pengeluaran Uang Kos")),OR($C$7="Semua",$C$7="",I1935=$C$7),OR($C$8="Semua",$C$8="",C1935=$C$8,E1935=$C$8),OR($C$9="Semua",$C$9="",D1935=$C$9),OR($C$10="",B1935&gt;=$C$10),OR($C$11="",B1935&lt;=$C$11),OR($C$12&lt;&gt;"Ya",K1935&lt;&gt;""),OR($C$13="Semua",$C$13="",L1935=$C$13)),"✓","")</f>
        <v/>
      </c>
      <c r="N1935" s="93">
        <f>N(N1934)+IF(M1935="✓",1,0)</f>
        <v/>
      </c>
      <c r="O1935" s="93">
        <f>N(O1934)+IF(AND(B1935&lt;&gt;"",B1935&gt;='Uang Riba'!$H$30,B1935&lt;='Uang Riba'!$I$30,OR(H1935="Dana riba",H1935="Pinjam uang riba",I1935="Pinjam dari uang riba",I1935="Ganti uang riba",I1935="Kelebihan ganti dikembalikan",AND(C1935="Kantong Uang Riba",G1935="Pengeluaran"))),1,0)</f>
        <v/>
      </c>
      <c r="X1935" s="93">
        <f>IF(AND(B1935&lt;&gt;"",B1935&gt;='Buku Akun'!$H$4,B1935&lt;='Buku Akun'!$H$5,OR(C1935='Buku Akun'!$C$4,AND(D1935="Pindah",E1935='Buku Akun'!$C$4))),B1935+IF(AND(I1935="Selisih bunga",DAY(B1935)=1),0,0.01)+ROW()/10000000,"")</f>
        <v/>
      </c>
    </row>
    <row r="1936" outlineLevel="1" ht="15" customHeight="1" s="94">
      <c r="A1936" s="123">
        <f>IF(B1936="","",ROW()-15)</f>
        <v/>
      </c>
      <c r="B1936" s="124" t="n"/>
      <c r="C1936" s="123" t="n"/>
      <c r="D1936" s="123" t="n"/>
      <c r="E1936" s="123" t="n"/>
      <c r="F1936" s="125" t="n"/>
      <c r="G1936" s="123" t="n"/>
      <c r="H1936" s="123" t="n"/>
      <c r="I1936" s="123" t="n"/>
      <c r="J1936" s="123" t="n"/>
      <c r="K1936" s="123" t="n"/>
      <c r="L1936" s="123" t="n"/>
      <c r="M1936" s="123">
        <f>IF(AND(B1936&lt;&gt;"",OR($C$4="",ISNUMBER(SEARCH($C$4,C1936&amp;" "&amp;E1936&amp;" "&amp;G1936&amp;" "&amp;H1936&amp;" "&amp;I1936&amp;" "&amp;J1936&amp;" "&amp;K1936&amp;" "&amp;L1936))),OR($C$5="Semua",$C$5="",G1936=$C$5),OR($C$6="Semua",$C$6="",H1936=$C$6,H1936="Pengeluaran "&amp;$C$6,AND($C$6="Uang Kos Mama",H1936="Pengeluaran Uang Kos")),OR($C$7="Semua",$C$7="",I1936=$C$7),OR($C$8="Semua",$C$8="",C1936=$C$8,E1936=$C$8),OR($C$9="Semua",$C$9="",D1936=$C$9),OR($C$10="",B1936&gt;=$C$10),OR($C$11="",B1936&lt;=$C$11),OR($C$12&lt;&gt;"Ya",K1936&lt;&gt;""),OR($C$13="Semua",$C$13="",L1936=$C$13)),"✓","")</f>
        <v/>
      </c>
      <c r="N1936" s="93">
        <f>N(N1935)+IF(M1936="✓",1,0)</f>
        <v/>
      </c>
      <c r="O1936" s="93">
        <f>N(O1935)+IF(AND(B1936&lt;&gt;"",B1936&gt;='Uang Riba'!$H$30,B1936&lt;='Uang Riba'!$I$30,OR(H1936="Dana riba",H1936="Pinjam uang riba",I1936="Pinjam dari uang riba",I1936="Ganti uang riba",I1936="Kelebihan ganti dikembalikan",AND(C1936="Kantong Uang Riba",G1936="Pengeluaran"))),1,0)</f>
        <v/>
      </c>
      <c r="X1936" s="93">
        <f>IF(AND(B1936&lt;&gt;"",B1936&gt;='Buku Akun'!$H$4,B1936&lt;='Buku Akun'!$H$5,OR(C1936='Buku Akun'!$C$4,AND(D1936="Pindah",E1936='Buku Akun'!$C$4))),B1936+IF(AND(I1936="Selisih bunga",DAY(B1936)=1),0,0.01)+ROW()/10000000,"")</f>
        <v/>
      </c>
    </row>
    <row r="1937" outlineLevel="1" ht="15" customHeight="1" s="94">
      <c r="A1937" s="123">
        <f>IF(B1937="","",ROW()-15)</f>
        <v/>
      </c>
      <c r="B1937" s="124" t="n"/>
      <c r="C1937" s="123" t="n"/>
      <c r="D1937" s="123" t="n"/>
      <c r="E1937" s="123" t="n"/>
      <c r="F1937" s="125" t="n"/>
      <c r="G1937" s="123" t="n"/>
      <c r="H1937" s="123" t="n"/>
      <c r="I1937" s="123" t="n"/>
      <c r="J1937" s="123" t="n"/>
      <c r="K1937" s="123" t="n"/>
      <c r="L1937" s="123" t="n"/>
      <c r="M1937" s="123">
        <f>IF(AND(B1937&lt;&gt;"",OR($C$4="",ISNUMBER(SEARCH($C$4,C1937&amp;" "&amp;E1937&amp;" "&amp;G1937&amp;" "&amp;H1937&amp;" "&amp;I1937&amp;" "&amp;J1937&amp;" "&amp;K1937&amp;" "&amp;L1937))),OR($C$5="Semua",$C$5="",G1937=$C$5),OR($C$6="Semua",$C$6="",H1937=$C$6,H1937="Pengeluaran "&amp;$C$6,AND($C$6="Uang Kos Mama",H1937="Pengeluaran Uang Kos")),OR($C$7="Semua",$C$7="",I1937=$C$7),OR($C$8="Semua",$C$8="",C1937=$C$8,E1937=$C$8),OR($C$9="Semua",$C$9="",D1937=$C$9),OR($C$10="",B1937&gt;=$C$10),OR($C$11="",B1937&lt;=$C$11),OR($C$12&lt;&gt;"Ya",K1937&lt;&gt;""),OR($C$13="Semua",$C$13="",L1937=$C$13)),"✓","")</f>
        <v/>
      </c>
      <c r="N1937" s="93">
        <f>N(N1936)+IF(M1937="✓",1,0)</f>
        <v/>
      </c>
      <c r="O1937" s="93">
        <f>N(O1936)+IF(AND(B1937&lt;&gt;"",B1937&gt;='Uang Riba'!$H$30,B1937&lt;='Uang Riba'!$I$30,OR(H1937="Dana riba",H1937="Pinjam uang riba",I1937="Pinjam dari uang riba",I1937="Ganti uang riba",I1937="Kelebihan ganti dikembalikan",AND(C1937="Kantong Uang Riba",G1937="Pengeluaran"))),1,0)</f>
        <v/>
      </c>
      <c r="X1937" s="93">
        <f>IF(AND(B1937&lt;&gt;"",B1937&gt;='Buku Akun'!$H$4,B1937&lt;='Buku Akun'!$H$5,OR(C1937='Buku Akun'!$C$4,AND(D1937="Pindah",E1937='Buku Akun'!$C$4))),B1937+IF(AND(I1937="Selisih bunga",DAY(B1937)=1),0,0.01)+ROW()/10000000,"")</f>
        <v/>
      </c>
    </row>
    <row r="1938" outlineLevel="1" ht="15" customHeight="1" s="94">
      <c r="A1938" s="123">
        <f>IF(B1938="","",ROW()-15)</f>
        <v/>
      </c>
      <c r="B1938" s="124" t="n"/>
      <c r="C1938" s="123" t="n"/>
      <c r="D1938" s="123" t="n"/>
      <c r="E1938" s="123" t="n"/>
      <c r="F1938" s="125" t="n"/>
      <c r="G1938" s="123" t="n"/>
      <c r="H1938" s="123" t="n"/>
      <c r="I1938" s="123" t="n"/>
      <c r="J1938" s="123" t="n"/>
      <c r="K1938" s="123" t="n"/>
      <c r="L1938" s="123" t="n"/>
      <c r="M1938" s="123">
        <f>IF(AND(B1938&lt;&gt;"",OR($C$4="",ISNUMBER(SEARCH($C$4,C1938&amp;" "&amp;E1938&amp;" "&amp;G1938&amp;" "&amp;H1938&amp;" "&amp;I1938&amp;" "&amp;J1938&amp;" "&amp;K1938&amp;" "&amp;L1938))),OR($C$5="Semua",$C$5="",G1938=$C$5),OR($C$6="Semua",$C$6="",H1938=$C$6,H1938="Pengeluaran "&amp;$C$6,AND($C$6="Uang Kos Mama",H1938="Pengeluaran Uang Kos")),OR($C$7="Semua",$C$7="",I1938=$C$7),OR($C$8="Semua",$C$8="",C1938=$C$8,E1938=$C$8),OR($C$9="Semua",$C$9="",D1938=$C$9),OR($C$10="",B1938&gt;=$C$10),OR($C$11="",B1938&lt;=$C$11),OR($C$12&lt;&gt;"Ya",K1938&lt;&gt;""),OR($C$13="Semua",$C$13="",L1938=$C$13)),"✓","")</f>
        <v/>
      </c>
      <c r="N1938" s="93">
        <f>N(N1937)+IF(M1938="✓",1,0)</f>
        <v/>
      </c>
      <c r="O1938" s="93">
        <f>N(O1937)+IF(AND(B1938&lt;&gt;"",B1938&gt;='Uang Riba'!$H$30,B1938&lt;='Uang Riba'!$I$30,OR(H1938="Dana riba",H1938="Pinjam uang riba",I1938="Pinjam dari uang riba",I1938="Ganti uang riba",I1938="Kelebihan ganti dikembalikan",AND(C1938="Kantong Uang Riba",G1938="Pengeluaran"))),1,0)</f>
        <v/>
      </c>
      <c r="X1938" s="93">
        <f>IF(AND(B1938&lt;&gt;"",B1938&gt;='Buku Akun'!$H$4,B1938&lt;='Buku Akun'!$H$5,OR(C1938='Buku Akun'!$C$4,AND(D1938="Pindah",E1938='Buku Akun'!$C$4))),B1938+IF(AND(I1938="Selisih bunga",DAY(B1938)=1),0,0.01)+ROW()/10000000,"")</f>
        <v/>
      </c>
    </row>
    <row r="1939" outlineLevel="1" ht="15" customHeight="1" s="94">
      <c r="A1939" s="123">
        <f>IF(B1939="","",ROW()-15)</f>
        <v/>
      </c>
      <c r="B1939" s="124" t="n"/>
      <c r="C1939" s="123" t="n"/>
      <c r="D1939" s="123" t="n"/>
      <c r="E1939" s="123" t="n"/>
      <c r="F1939" s="125" t="n"/>
      <c r="G1939" s="123" t="n"/>
      <c r="H1939" s="123" t="n"/>
      <c r="I1939" s="123" t="n"/>
      <c r="J1939" s="123" t="n"/>
      <c r="K1939" s="123" t="n"/>
      <c r="L1939" s="123" t="n"/>
      <c r="M1939" s="123">
        <f>IF(AND(B1939&lt;&gt;"",OR($C$4="",ISNUMBER(SEARCH($C$4,C1939&amp;" "&amp;E1939&amp;" "&amp;G1939&amp;" "&amp;H1939&amp;" "&amp;I1939&amp;" "&amp;J1939&amp;" "&amp;K1939&amp;" "&amp;L1939))),OR($C$5="Semua",$C$5="",G1939=$C$5),OR($C$6="Semua",$C$6="",H1939=$C$6,H1939="Pengeluaran "&amp;$C$6,AND($C$6="Uang Kos Mama",H1939="Pengeluaran Uang Kos")),OR($C$7="Semua",$C$7="",I1939=$C$7),OR($C$8="Semua",$C$8="",C1939=$C$8,E1939=$C$8),OR($C$9="Semua",$C$9="",D1939=$C$9),OR($C$10="",B1939&gt;=$C$10),OR($C$11="",B1939&lt;=$C$11),OR($C$12&lt;&gt;"Ya",K1939&lt;&gt;""),OR($C$13="Semua",$C$13="",L1939=$C$13)),"✓","")</f>
        <v/>
      </c>
      <c r="N1939" s="93">
        <f>N(N1938)+IF(M1939="✓",1,0)</f>
        <v/>
      </c>
      <c r="O1939" s="93">
        <f>N(O1938)+IF(AND(B1939&lt;&gt;"",B1939&gt;='Uang Riba'!$H$30,B1939&lt;='Uang Riba'!$I$30,OR(H1939="Dana riba",H1939="Pinjam uang riba",I1939="Pinjam dari uang riba",I1939="Ganti uang riba",I1939="Kelebihan ganti dikembalikan",AND(C1939="Kantong Uang Riba",G1939="Pengeluaran"))),1,0)</f>
        <v/>
      </c>
      <c r="X1939" s="93">
        <f>IF(AND(B1939&lt;&gt;"",B1939&gt;='Buku Akun'!$H$4,B1939&lt;='Buku Akun'!$H$5,OR(C1939='Buku Akun'!$C$4,AND(D1939="Pindah",E1939='Buku Akun'!$C$4))),B1939+IF(AND(I1939="Selisih bunga",DAY(B1939)=1),0,0.01)+ROW()/10000000,"")</f>
        <v/>
      </c>
    </row>
    <row r="1940" outlineLevel="1" ht="15" customHeight="1" s="94">
      <c r="A1940" s="123">
        <f>IF(B1940="","",ROW()-15)</f>
        <v/>
      </c>
      <c r="B1940" s="124" t="n"/>
      <c r="C1940" s="123" t="n"/>
      <c r="D1940" s="123" t="n"/>
      <c r="E1940" s="123" t="n"/>
      <c r="F1940" s="125" t="n"/>
      <c r="G1940" s="123" t="n"/>
      <c r="H1940" s="123" t="n"/>
      <c r="I1940" s="123" t="n"/>
      <c r="J1940" s="123" t="n"/>
      <c r="K1940" s="123" t="n"/>
      <c r="L1940" s="123" t="n"/>
      <c r="M1940" s="123">
        <f>IF(AND(B1940&lt;&gt;"",OR($C$4="",ISNUMBER(SEARCH($C$4,C1940&amp;" "&amp;E1940&amp;" "&amp;G1940&amp;" "&amp;H1940&amp;" "&amp;I1940&amp;" "&amp;J1940&amp;" "&amp;K1940&amp;" "&amp;L1940))),OR($C$5="Semua",$C$5="",G1940=$C$5),OR($C$6="Semua",$C$6="",H1940=$C$6,H1940="Pengeluaran "&amp;$C$6,AND($C$6="Uang Kos Mama",H1940="Pengeluaran Uang Kos")),OR($C$7="Semua",$C$7="",I1940=$C$7),OR($C$8="Semua",$C$8="",C1940=$C$8,E1940=$C$8),OR($C$9="Semua",$C$9="",D1940=$C$9),OR($C$10="",B1940&gt;=$C$10),OR($C$11="",B1940&lt;=$C$11),OR($C$12&lt;&gt;"Ya",K1940&lt;&gt;""),OR($C$13="Semua",$C$13="",L1940=$C$13)),"✓","")</f>
        <v/>
      </c>
      <c r="N1940" s="93">
        <f>N(N1939)+IF(M1940="✓",1,0)</f>
        <v/>
      </c>
      <c r="O1940" s="93">
        <f>N(O1939)+IF(AND(B1940&lt;&gt;"",B1940&gt;='Uang Riba'!$H$30,B1940&lt;='Uang Riba'!$I$30,OR(H1940="Dana riba",H1940="Pinjam uang riba",I1940="Pinjam dari uang riba",I1940="Ganti uang riba",I1940="Kelebihan ganti dikembalikan",AND(C1940="Kantong Uang Riba",G1940="Pengeluaran"))),1,0)</f>
        <v/>
      </c>
      <c r="X1940" s="93">
        <f>IF(AND(B1940&lt;&gt;"",B1940&gt;='Buku Akun'!$H$4,B1940&lt;='Buku Akun'!$H$5,OR(C1940='Buku Akun'!$C$4,AND(D1940="Pindah",E1940='Buku Akun'!$C$4))),B1940+IF(AND(I1940="Selisih bunga",DAY(B1940)=1),0,0.01)+ROW()/10000000,"")</f>
        <v/>
      </c>
    </row>
    <row r="1941" outlineLevel="1" ht="15" customHeight="1" s="94">
      <c r="A1941" s="123">
        <f>IF(B1941="","",ROW()-15)</f>
        <v/>
      </c>
      <c r="B1941" s="124" t="n"/>
      <c r="C1941" s="123" t="n"/>
      <c r="D1941" s="123" t="n"/>
      <c r="E1941" s="123" t="n"/>
      <c r="F1941" s="125" t="n"/>
      <c r="G1941" s="123" t="n"/>
      <c r="H1941" s="123" t="n"/>
      <c r="I1941" s="123" t="n"/>
      <c r="J1941" s="123" t="n"/>
      <c r="K1941" s="123" t="n"/>
      <c r="L1941" s="123" t="n"/>
      <c r="M1941" s="123">
        <f>IF(AND(B1941&lt;&gt;"",OR($C$4="",ISNUMBER(SEARCH($C$4,C1941&amp;" "&amp;E1941&amp;" "&amp;G1941&amp;" "&amp;H1941&amp;" "&amp;I1941&amp;" "&amp;J1941&amp;" "&amp;K1941&amp;" "&amp;L1941))),OR($C$5="Semua",$C$5="",G1941=$C$5),OR($C$6="Semua",$C$6="",H1941=$C$6,H1941="Pengeluaran "&amp;$C$6,AND($C$6="Uang Kos Mama",H1941="Pengeluaran Uang Kos")),OR($C$7="Semua",$C$7="",I1941=$C$7),OR($C$8="Semua",$C$8="",C1941=$C$8,E1941=$C$8),OR($C$9="Semua",$C$9="",D1941=$C$9),OR($C$10="",B1941&gt;=$C$10),OR($C$11="",B1941&lt;=$C$11),OR($C$12&lt;&gt;"Ya",K1941&lt;&gt;""),OR($C$13="Semua",$C$13="",L1941=$C$13)),"✓","")</f>
        <v/>
      </c>
      <c r="N1941" s="93">
        <f>N(N1940)+IF(M1941="✓",1,0)</f>
        <v/>
      </c>
      <c r="O1941" s="93">
        <f>N(O1940)+IF(AND(B1941&lt;&gt;"",B1941&gt;='Uang Riba'!$H$30,B1941&lt;='Uang Riba'!$I$30,OR(H1941="Dana riba",H1941="Pinjam uang riba",I1941="Pinjam dari uang riba",I1941="Ganti uang riba",I1941="Kelebihan ganti dikembalikan",AND(C1941="Kantong Uang Riba",G1941="Pengeluaran"))),1,0)</f>
        <v/>
      </c>
      <c r="X1941" s="93">
        <f>IF(AND(B1941&lt;&gt;"",B1941&gt;='Buku Akun'!$H$4,B1941&lt;='Buku Akun'!$H$5,OR(C1941='Buku Akun'!$C$4,AND(D1941="Pindah",E1941='Buku Akun'!$C$4))),B1941+IF(AND(I1941="Selisih bunga",DAY(B1941)=1),0,0.01)+ROW()/10000000,"")</f>
        <v/>
      </c>
    </row>
    <row r="1942" outlineLevel="1" ht="15" customHeight="1" s="94">
      <c r="A1942" s="123">
        <f>IF(B1942="","",ROW()-15)</f>
        <v/>
      </c>
      <c r="B1942" s="124" t="n"/>
      <c r="C1942" s="123" t="n"/>
      <c r="D1942" s="123" t="n"/>
      <c r="E1942" s="123" t="n"/>
      <c r="F1942" s="125" t="n"/>
      <c r="G1942" s="123" t="n"/>
      <c r="H1942" s="123" t="n"/>
      <c r="I1942" s="123" t="n"/>
      <c r="J1942" s="123" t="n"/>
      <c r="K1942" s="123" t="n"/>
      <c r="L1942" s="123" t="n"/>
      <c r="M1942" s="123">
        <f>IF(AND(B1942&lt;&gt;"",OR($C$4="",ISNUMBER(SEARCH($C$4,C1942&amp;" "&amp;E1942&amp;" "&amp;G1942&amp;" "&amp;H1942&amp;" "&amp;I1942&amp;" "&amp;J1942&amp;" "&amp;K1942&amp;" "&amp;L1942))),OR($C$5="Semua",$C$5="",G1942=$C$5),OR($C$6="Semua",$C$6="",H1942=$C$6,H1942="Pengeluaran "&amp;$C$6,AND($C$6="Uang Kos Mama",H1942="Pengeluaran Uang Kos")),OR($C$7="Semua",$C$7="",I1942=$C$7),OR($C$8="Semua",$C$8="",C1942=$C$8,E1942=$C$8),OR($C$9="Semua",$C$9="",D1942=$C$9),OR($C$10="",B1942&gt;=$C$10),OR($C$11="",B1942&lt;=$C$11),OR($C$12&lt;&gt;"Ya",K1942&lt;&gt;""),OR($C$13="Semua",$C$13="",L1942=$C$13)),"✓","")</f>
        <v/>
      </c>
      <c r="N1942" s="93">
        <f>N(N1941)+IF(M1942="✓",1,0)</f>
        <v/>
      </c>
      <c r="O1942" s="93">
        <f>N(O1941)+IF(AND(B1942&lt;&gt;"",B1942&gt;='Uang Riba'!$H$30,B1942&lt;='Uang Riba'!$I$30,OR(H1942="Dana riba",H1942="Pinjam uang riba",I1942="Pinjam dari uang riba",I1942="Ganti uang riba",I1942="Kelebihan ganti dikembalikan",AND(C1942="Kantong Uang Riba",G1942="Pengeluaran"))),1,0)</f>
        <v/>
      </c>
      <c r="X1942" s="93">
        <f>IF(AND(B1942&lt;&gt;"",B1942&gt;='Buku Akun'!$H$4,B1942&lt;='Buku Akun'!$H$5,OR(C1942='Buku Akun'!$C$4,AND(D1942="Pindah",E1942='Buku Akun'!$C$4))),B1942+IF(AND(I1942="Selisih bunga",DAY(B1942)=1),0,0.01)+ROW()/10000000,"")</f>
        <v/>
      </c>
    </row>
    <row r="1943" outlineLevel="1" ht="15" customHeight="1" s="94">
      <c r="A1943" s="123">
        <f>IF(B1943="","",ROW()-15)</f>
        <v/>
      </c>
      <c r="B1943" s="124" t="n"/>
      <c r="C1943" s="123" t="n"/>
      <c r="D1943" s="123" t="n"/>
      <c r="E1943" s="123" t="n"/>
      <c r="F1943" s="125" t="n"/>
      <c r="G1943" s="123" t="n"/>
      <c r="H1943" s="123" t="n"/>
      <c r="I1943" s="123" t="n"/>
      <c r="J1943" s="123" t="n"/>
      <c r="K1943" s="123" t="n"/>
      <c r="L1943" s="123" t="n"/>
      <c r="M1943" s="123">
        <f>IF(AND(B1943&lt;&gt;"",OR($C$4="",ISNUMBER(SEARCH($C$4,C1943&amp;" "&amp;E1943&amp;" "&amp;G1943&amp;" "&amp;H1943&amp;" "&amp;I1943&amp;" "&amp;J1943&amp;" "&amp;K1943&amp;" "&amp;L1943))),OR($C$5="Semua",$C$5="",G1943=$C$5),OR($C$6="Semua",$C$6="",H1943=$C$6,H1943="Pengeluaran "&amp;$C$6,AND($C$6="Uang Kos Mama",H1943="Pengeluaran Uang Kos")),OR($C$7="Semua",$C$7="",I1943=$C$7),OR($C$8="Semua",$C$8="",C1943=$C$8,E1943=$C$8),OR($C$9="Semua",$C$9="",D1943=$C$9),OR($C$10="",B1943&gt;=$C$10),OR($C$11="",B1943&lt;=$C$11),OR($C$12&lt;&gt;"Ya",K1943&lt;&gt;""),OR($C$13="Semua",$C$13="",L1943=$C$13)),"✓","")</f>
        <v/>
      </c>
      <c r="N1943" s="93">
        <f>N(N1942)+IF(M1943="✓",1,0)</f>
        <v/>
      </c>
      <c r="O1943" s="93">
        <f>N(O1942)+IF(AND(B1943&lt;&gt;"",B1943&gt;='Uang Riba'!$H$30,B1943&lt;='Uang Riba'!$I$30,OR(H1943="Dana riba",H1943="Pinjam uang riba",I1943="Pinjam dari uang riba",I1943="Ganti uang riba",I1943="Kelebihan ganti dikembalikan",AND(C1943="Kantong Uang Riba",G1943="Pengeluaran"))),1,0)</f>
        <v/>
      </c>
      <c r="X1943" s="93">
        <f>IF(AND(B1943&lt;&gt;"",B1943&gt;='Buku Akun'!$H$4,B1943&lt;='Buku Akun'!$H$5,OR(C1943='Buku Akun'!$C$4,AND(D1943="Pindah",E1943='Buku Akun'!$C$4))),B1943+IF(AND(I1943="Selisih bunga",DAY(B1943)=1),0,0.01)+ROW()/10000000,"")</f>
        <v/>
      </c>
    </row>
    <row r="1944" outlineLevel="1" ht="15" customHeight="1" s="94">
      <c r="A1944" s="123">
        <f>IF(B1944="","",ROW()-15)</f>
        <v/>
      </c>
      <c r="B1944" s="124" t="n"/>
      <c r="C1944" s="123" t="n"/>
      <c r="D1944" s="123" t="n"/>
      <c r="E1944" s="123" t="n"/>
      <c r="F1944" s="125" t="n"/>
      <c r="G1944" s="123" t="n"/>
      <c r="H1944" s="123" t="n"/>
      <c r="I1944" s="123" t="n"/>
      <c r="J1944" s="123" t="n"/>
      <c r="K1944" s="123" t="n"/>
      <c r="L1944" s="123" t="n"/>
      <c r="M1944" s="123">
        <f>IF(AND(B1944&lt;&gt;"",OR($C$4="",ISNUMBER(SEARCH($C$4,C1944&amp;" "&amp;E1944&amp;" "&amp;G1944&amp;" "&amp;H1944&amp;" "&amp;I1944&amp;" "&amp;J1944&amp;" "&amp;K1944&amp;" "&amp;L1944))),OR($C$5="Semua",$C$5="",G1944=$C$5),OR($C$6="Semua",$C$6="",H1944=$C$6,H1944="Pengeluaran "&amp;$C$6,AND($C$6="Uang Kos Mama",H1944="Pengeluaran Uang Kos")),OR($C$7="Semua",$C$7="",I1944=$C$7),OR($C$8="Semua",$C$8="",C1944=$C$8,E1944=$C$8),OR($C$9="Semua",$C$9="",D1944=$C$9),OR($C$10="",B1944&gt;=$C$10),OR($C$11="",B1944&lt;=$C$11),OR($C$12&lt;&gt;"Ya",K1944&lt;&gt;""),OR($C$13="Semua",$C$13="",L1944=$C$13)),"✓","")</f>
        <v/>
      </c>
      <c r="N1944" s="93">
        <f>N(N1943)+IF(M1944="✓",1,0)</f>
        <v/>
      </c>
      <c r="O1944" s="93">
        <f>N(O1943)+IF(AND(B1944&lt;&gt;"",B1944&gt;='Uang Riba'!$H$30,B1944&lt;='Uang Riba'!$I$30,OR(H1944="Dana riba",H1944="Pinjam uang riba",I1944="Pinjam dari uang riba",I1944="Ganti uang riba",I1944="Kelebihan ganti dikembalikan",AND(C1944="Kantong Uang Riba",G1944="Pengeluaran"))),1,0)</f>
        <v/>
      </c>
      <c r="X1944" s="93">
        <f>IF(AND(B1944&lt;&gt;"",B1944&gt;='Buku Akun'!$H$4,B1944&lt;='Buku Akun'!$H$5,OR(C1944='Buku Akun'!$C$4,AND(D1944="Pindah",E1944='Buku Akun'!$C$4))),B1944+IF(AND(I1944="Selisih bunga",DAY(B1944)=1),0,0.01)+ROW()/10000000,"")</f>
        <v/>
      </c>
    </row>
    <row r="1945" outlineLevel="1" ht="15" customHeight="1" s="94">
      <c r="A1945" s="123">
        <f>IF(B1945="","",ROW()-15)</f>
        <v/>
      </c>
      <c r="B1945" s="124" t="n"/>
      <c r="C1945" s="123" t="n"/>
      <c r="D1945" s="123" t="n"/>
      <c r="E1945" s="123" t="n"/>
      <c r="F1945" s="125" t="n"/>
      <c r="G1945" s="123" t="n"/>
      <c r="H1945" s="123" t="n"/>
      <c r="I1945" s="123" t="n"/>
      <c r="J1945" s="123" t="n"/>
      <c r="K1945" s="123" t="n"/>
      <c r="L1945" s="123" t="n"/>
      <c r="M1945" s="123">
        <f>IF(AND(B1945&lt;&gt;"",OR($C$4="",ISNUMBER(SEARCH($C$4,C1945&amp;" "&amp;E1945&amp;" "&amp;G1945&amp;" "&amp;H1945&amp;" "&amp;I1945&amp;" "&amp;J1945&amp;" "&amp;K1945&amp;" "&amp;L1945))),OR($C$5="Semua",$C$5="",G1945=$C$5),OR($C$6="Semua",$C$6="",H1945=$C$6,H1945="Pengeluaran "&amp;$C$6,AND($C$6="Uang Kos Mama",H1945="Pengeluaran Uang Kos")),OR($C$7="Semua",$C$7="",I1945=$C$7),OR($C$8="Semua",$C$8="",C1945=$C$8,E1945=$C$8),OR($C$9="Semua",$C$9="",D1945=$C$9),OR($C$10="",B1945&gt;=$C$10),OR($C$11="",B1945&lt;=$C$11),OR($C$12&lt;&gt;"Ya",K1945&lt;&gt;""),OR($C$13="Semua",$C$13="",L1945=$C$13)),"✓","")</f>
        <v/>
      </c>
      <c r="N1945" s="93">
        <f>N(N1944)+IF(M1945="✓",1,0)</f>
        <v/>
      </c>
      <c r="O1945" s="93">
        <f>N(O1944)+IF(AND(B1945&lt;&gt;"",B1945&gt;='Uang Riba'!$H$30,B1945&lt;='Uang Riba'!$I$30,OR(H1945="Dana riba",H1945="Pinjam uang riba",I1945="Pinjam dari uang riba",I1945="Ganti uang riba",I1945="Kelebihan ganti dikembalikan",AND(C1945="Kantong Uang Riba",G1945="Pengeluaran"))),1,0)</f>
        <v/>
      </c>
      <c r="X1945" s="93">
        <f>IF(AND(B1945&lt;&gt;"",B1945&gt;='Buku Akun'!$H$4,B1945&lt;='Buku Akun'!$H$5,OR(C1945='Buku Akun'!$C$4,AND(D1945="Pindah",E1945='Buku Akun'!$C$4))),B1945+IF(AND(I1945="Selisih bunga",DAY(B1945)=1),0,0.01)+ROW()/10000000,"")</f>
        <v/>
      </c>
    </row>
    <row r="1946" outlineLevel="1" ht="15" customHeight="1" s="94">
      <c r="A1946" s="123">
        <f>IF(B1946="","",ROW()-15)</f>
        <v/>
      </c>
      <c r="B1946" s="124" t="n"/>
      <c r="C1946" s="123" t="n"/>
      <c r="D1946" s="123" t="n"/>
      <c r="E1946" s="123" t="n"/>
      <c r="F1946" s="125" t="n"/>
      <c r="G1946" s="123" t="n"/>
      <c r="H1946" s="123" t="n"/>
      <c r="I1946" s="123" t="n"/>
      <c r="J1946" s="123" t="n"/>
      <c r="K1946" s="123" t="n"/>
      <c r="L1946" s="123" t="n"/>
      <c r="M1946" s="123">
        <f>IF(AND(B1946&lt;&gt;"",OR($C$4="",ISNUMBER(SEARCH($C$4,C1946&amp;" "&amp;E1946&amp;" "&amp;G1946&amp;" "&amp;H1946&amp;" "&amp;I1946&amp;" "&amp;J1946&amp;" "&amp;K1946&amp;" "&amp;L1946))),OR($C$5="Semua",$C$5="",G1946=$C$5),OR($C$6="Semua",$C$6="",H1946=$C$6,H1946="Pengeluaran "&amp;$C$6,AND($C$6="Uang Kos Mama",H1946="Pengeluaran Uang Kos")),OR($C$7="Semua",$C$7="",I1946=$C$7),OR($C$8="Semua",$C$8="",C1946=$C$8,E1946=$C$8),OR($C$9="Semua",$C$9="",D1946=$C$9),OR($C$10="",B1946&gt;=$C$10),OR($C$11="",B1946&lt;=$C$11),OR($C$12&lt;&gt;"Ya",K1946&lt;&gt;""),OR($C$13="Semua",$C$13="",L1946=$C$13)),"✓","")</f>
        <v/>
      </c>
      <c r="N1946" s="93">
        <f>N(N1945)+IF(M1946="✓",1,0)</f>
        <v/>
      </c>
      <c r="O1946" s="93">
        <f>N(O1945)+IF(AND(B1946&lt;&gt;"",B1946&gt;='Uang Riba'!$H$30,B1946&lt;='Uang Riba'!$I$30,OR(H1946="Dana riba",H1946="Pinjam uang riba",I1946="Pinjam dari uang riba",I1946="Ganti uang riba",I1946="Kelebihan ganti dikembalikan",AND(C1946="Kantong Uang Riba",G1946="Pengeluaran"))),1,0)</f>
        <v/>
      </c>
      <c r="X1946" s="93">
        <f>IF(AND(B1946&lt;&gt;"",B1946&gt;='Buku Akun'!$H$4,B1946&lt;='Buku Akun'!$H$5,OR(C1946='Buku Akun'!$C$4,AND(D1946="Pindah",E1946='Buku Akun'!$C$4))),B1946+IF(AND(I1946="Selisih bunga",DAY(B1946)=1),0,0.01)+ROW()/10000000,"")</f>
        <v/>
      </c>
    </row>
    <row r="1947" outlineLevel="1" ht="15" customHeight="1" s="94">
      <c r="A1947" s="123">
        <f>IF(B1947="","",ROW()-15)</f>
        <v/>
      </c>
      <c r="B1947" s="124" t="n"/>
      <c r="C1947" s="123" t="n"/>
      <c r="D1947" s="123" t="n"/>
      <c r="E1947" s="123" t="n"/>
      <c r="F1947" s="125" t="n"/>
      <c r="G1947" s="123" t="n"/>
      <c r="H1947" s="123" t="n"/>
      <c r="I1947" s="123" t="n"/>
      <c r="J1947" s="123" t="n"/>
      <c r="K1947" s="123" t="n"/>
      <c r="L1947" s="123" t="n"/>
      <c r="M1947" s="123">
        <f>IF(AND(B1947&lt;&gt;"",OR($C$4="",ISNUMBER(SEARCH($C$4,C1947&amp;" "&amp;E1947&amp;" "&amp;G1947&amp;" "&amp;H1947&amp;" "&amp;I1947&amp;" "&amp;J1947&amp;" "&amp;K1947&amp;" "&amp;L1947))),OR($C$5="Semua",$C$5="",G1947=$C$5),OR($C$6="Semua",$C$6="",H1947=$C$6,H1947="Pengeluaran "&amp;$C$6,AND($C$6="Uang Kos Mama",H1947="Pengeluaran Uang Kos")),OR($C$7="Semua",$C$7="",I1947=$C$7),OR($C$8="Semua",$C$8="",C1947=$C$8,E1947=$C$8),OR($C$9="Semua",$C$9="",D1947=$C$9),OR($C$10="",B1947&gt;=$C$10),OR($C$11="",B1947&lt;=$C$11),OR($C$12&lt;&gt;"Ya",K1947&lt;&gt;""),OR($C$13="Semua",$C$13="",L1947=$C$13)),"✓","")</f>
        <v/>
      </c>
      <c r="N1947" s="93">
        <f>N(N1946)+IF(M1947="✓",1,0)</f>
        <v/>
      </c>
      <c r="O1947" s="93">
        <f>N(O1946)+IF(AND(B1947&lt;&gt;"",B1947&gt;='Uang Riba'!$H$30,B1947&lt;='Uang Riba'!$I$30,OR(H1947="Dana riba",H1947="Pinjam uang riba",I1947="Pinjam dari uang riba",I1947="Ganti uang riba",I1947="Kelebihan ganti dikembalikan",AND(C1947="Kantong Uang Riba",G1947="Pengeluaran"))),1,0)</f>
        <v/>
      </c>
      <c r="X1947" s="93">
        <f>IF(AND(B1947&lt;&gt;"",B1947&gt;='Buku Akun'!$H$4,B1947&lt;='Buku Akun'!$H$5,OR(C1947='Buku Akun'!$C$4,AND(D1947="Pindah",E1947='Buku Akun'!$C$4))),B1947+IF(AND(I1947="Selisih bunga",DAY(B1947)=1),0,0.01)+ROW()/10000000,"")</f>
        <v/>
      </c>
    </row>
    <row r="1948" outlineLevel="1" ht="15" customHeight="1" s="94">
      <c r="A1948" s="123">
        <f>IF(B1948="","",ROW()-15)</f>
        <v/>
      </c>
      <c r="B1948" s="124" t="n"/>
      <c r="C1948" s="123" t="n"/>
      <c r="D1948" s="123" t="n"/>
      <c r="E1948" s="123" t="n"/>
      <c r="F1948" s="125" t="n"/>
      <c r="G1948" s="123" t="n"/>
      <c r="H1948" s="123" t="n"/>
      <c r="I1948" s="123" t="n"/>
      <c r="J1948" s="123" t="n"/>
      <c r="K1948" s="123" t="n"/>
      <c r="L1948" s="123" t="n"/>
      <c r="M1948" s="123">
        <f>IF(AND(B1948&lt;&gt;"",OR($C$4="",ISNUMBER(SEARCH($C$4,C1948&amp;" "&amp;E1948&amp;" "&amp;G1948&amp;" "&amp;H1948&amp;" "&amp;I1948&amp;" "&amp;J1948&amp;" "&amp;K1948&amp;" "&amp;L1948))),OR($C$5="Semua",$C$5="",G1948=$C$5),OR($C$6="Semua",$C$6="",H1948=$C$6,H1948="Pengeluaran "&amp;$C$6,AND($C$6="Uang Kos Mama",H1948="Pengeluaran Uang Kos")),OR($C$7="Semua",$C$7="",I1948=$C$7),OR($C$8="Semua",$C$8="",C1948=$C$8,E1948=$C$8),OR($C$9="Semua",$C$9="",D1948=$C$9),OR($C$10="",B1948&gt;=$C$10),OR($C$11="",B1948&lt;=$C$11),OR($C$12&lt;&gt;"Ya",K1948&lt;&gt;""),OR($C$13="Semua",$C$13="",L1948=$C$13)),"✓","")</f>
        <v/>
      </c>
      <c r="N1948" s="93">
        <f>N(N1947)+IF(M1948="✓",1,0)</f>
        <v/>
      </c>
      <c r="O1948" s="93">
        <f>N(O1947)+IF(AND(B1948&lt;&gt;"",B1948&gt;='Uang Riba'!$H$30,B1948&lt;='Uang Riba'!$I$30,OR(H1948="Dana riba",H1948="Pinjam uang riba",I1948="Pinjam dari uang riba",I1948="Ganti uang riba",I1948="Kelebihan ganti dikembalikan",AND(C1948="Kantong Uang Riba",G1948="Pengeluaran"))),1,0)</f>
        <v/>
      </c>
      <c r="X1948" s="93">
        <f>IF(AND(B1948&lt;&gt;"",B1948&gt;='Buku Akun'!$H$4,B1948&lt;='Buku Akun'!$H$5,OR(C1948='Buku Akun'!$C$4,AND(D1948="Pindah",E1948='Buku Akun'!$C$4))),B1948+IF(AND(I1948="Selisih bunga",DAY(B1948)=1),0,0.01)+ROW()/10000000,"")</f>
        <v/>
      </c>
    </row>
    <row r="1949" outlineLevel="1" ht="15" customHeight="1" s="94">
      <c r="A1949" s="123">
        <f>IF(B1949="","",ROW()-15)</f>
        <v/>
      </c>
      <c r="B1949" s="124" t="n"/>
      <c r="C1949" s="123" t="n"/>
      <c r="D1949" s="123" t="n"/>
      <c r="E1949" s="123" t="n"/>
      <c r="F1949" s="125" t="n"/>
      <c r="G1949" s="123" t="n"/>
      <c r="H1949" s="123" t="n"/>
      <c r="I1949" s="123" t="n"/>
      <c r="J1949" s="123" t="n"/>
      <c r="K1949" s="123" t="n"/>
      <c r="L1949" s="123" t="n"/>
      <c r="M1949" s="123">
        <f>IF(AND(B1949&lt;&gt;"",OR($C$4="",ISNUMBER(SEARCH($C$4,C1949&amp;" "&amp;E1949&amp;" "&amp;G1949&amp;" "&amp;H1949&amp;" "&amp;I1949&amp;" "&amp;J1949&amp;" "&amp;K1949&amp;" "&amp;L1949))),OR($C$5="Semua",$C$5="",G1949=$C$5),OR($C$6="Semua",$C$6="",H1949=$C$6,H1949="Pengeluaran "&amp;$C$6,AND($C$6="Uang Kos Mama",H1949="Pengeluaran Uang Kos")),OR($C$7="Semua",$C$7="",I1949=$C$7),OR($C$8="Semua",$C$8="",C1949=$C$8,E1949=$C$8),OR($C$9="Semua",$C$9="",D1949=$C$9),OR($C$10="",B1949&gt;=$C$10),OR($C$11="",B1949&lt;=$C$11),OR($C$12&lt;&gt;"Ya",K1949&lt;&gt;""),OR($C$13="Semua",$C$13="",L1949=$C$13)),"✓","")</f>
        <v/>
      </c>
      <c r="N1949" s="93">
        <f>N(N1948)+IF(M1949="✓",1,0)</f>
        <v/>
      </c>
      <c r="O1949" s="93">
        <f>N(O1948)+IF(AND(B1949&lt;&gt;"",B1949&gt;='Uang Riba'!$H$30,B1949&lt;='Uang Riba'!$I$30,OR(H1949="Dana riba",H1949="Pinjam uang riba",I1949="Pinjam dari uang riba",I1949="Ganti uang riba",I1949="Kelebihan ganti dikembalikan",AND(C1949="Kantong Uang Riba",G1949="Pengeluaran"))),1,0)</f>
        <v/>
      </c>
      <c r="X1949" s="93">
        <f>IF(AND(B1949&lt;&gt;"",B1949&gt;='Buku Akun'!$H$4,B1949&lt;='Buku Akun'!$H$5,OR(C1949='Buku Akun'!$C$4,AND(D1949="Pindah",E1949='Buku Akun'!$C$4))),B1949+IF(AND(I1949="Selisih bunga",DAY(B1949)=1),0,0.01)+ROW()/10000000,"")</f>
        <v/>
      </c>
    </row>
    <row r="1950" outlineLevel="1" ht="15" customHeight="1" s="94">
      <c r="A1950" s="123">
        <f>IF(B1950="","",ROW()-15)</f>
        <v/>
      </c>
      <c r="B1950" s="124" t="n"/>
      <c r="C1950" s="123" t="n"/>
      <c r="D1950" s="123" t="n"/>
      <c r="E1950" s="123" t="n"/>
      <c r="F1950" s="125" t="n"/>
      <c r="G1950" s="123" t="n"/>
      <c r="H1950" s="123" t="n"/>
      <c r="I1950" s="123" t="n"/>
      <c r="J1950" s="123" t="n"/>
      <c r="K1950" s="123" t="n"/>
      <c r="L1950" s="123" t="n"/>
      <c r="M1950" s="123">
        <f>IF(AND(B1950&lt;&gt;"",OR($C$4="",ISNUMBER(SEARCH($C$4,C1950&amp;" "&amp;E1950&amp;" "&amp;G1950&amp;" "&amp;H1950&amp;" "&amp;I1950&amp;" "&amp;J1950&amp;" "&amp;K1950&amp;" "&amp;L1950))),OR($C$5="Semua",$C$5="",G1950=$C$5),OR($C$6="Semua",$C$6="",H1950=$C$6,H1950="Pengeluaran "&amp;$C$6,AND($C$6="Uang Kos Mama",H1950="Pengeluaran Uang Kos")),OR($C$7="Semua",$C$7="",I1950=$C$7),OR($C$8="Semua",$C$8="",C1950=$C$8,E1950=$C$8),OR($C$9="Semua",$C$9="",D1950=$C$9),OR($C$10="",B1950&gt;=$C$10),OR($C$11="",B1950&lt;=$C$11),OR($C$12&lt;&gt;"Ya",K1950&lt;&gt;""),OR($C$13="Semua",$C$13="",L1950=$C$13)),"✓","")</f>
        <v/>
      </c>
      <c r="N1950" s="93">
        <f>N(N1949)+IF(M1950="✓",1,0)</f>
        <v/>
      </c>
      <c r="O1950" s="93">
        <f>N(O1949)+IF(AND(B1950&lt;&gt;"",B1950&gt;='Uang Riba'!$H$30,B1950&lt;='Uang Riba'!$I$30,OR(H1950="Dana riba",H1950="Pinjam uang riba",I1950="Pinjam dari uang riba",I1950="Ganti uang riba",I1950="Kelebihan ganti dikembalikan",AND(C1950="Kantong Uang Riba",G1950="Pengeluaran"))),1,0)</f>
        <v/>
      </c>
      <c r="X1950" s="93">
        <f>IF(AND(B1950&lt;&gt;"",B1950&gt;='Buku Akun'!$H$4,B1950&lt;='Buku Akun'!$H$5,OR(C1950='Buku Akun'!$C$4,AND(D1950="Pindah",E1950='Buku Akun'!$C$4))),B1950+IF(AND(I1950="Selisih bunga",DAY(B1950)=1),0,0.01)+ROW()/10000000,"")</f>
        <v/>
      </c>
    </row>
    <row r="1951" outlineLevel="1" ht="15" customHeight="1" s="94">
      <c r="A1951" s="123">
        <f>IF(B1951="","",ROW()-15)</f>
        <v/>
      </c>
      <c r="B1951" s="124" t="n"/>
      <c r="C1951" s="123" t="n"/>
      <c r="D1951" s="123" t="n"/>
      <c r="E1951" s="123" t="n"/>
      <c r="F1951" s="125" t="n"/>
      <c r="G1951" s="123" t="n"/>
      <c r="H1951" s="123" t="n"/>
      <c r="I1951" s="123" t="n"/>
      <c r="J1951" s="123" t="n"/>
      <c r="K1951" s="123" t="n"/>
      <c r="L1951" s="123" t="n"/>
      <c r="M1951" s="123">
        <f>IF(AND(B1951&lt;&gt;"",OR($C$4="",ISNUMBER(SEARCH($C$4,C1951&amp;" "&amp;E1951&amp;" "&amp;G1951&amp;" "&amp;H1951&amp;" "&amp;I1951&amp;" "&amp;J1951&amp;" "&amp;K1951&amp;" "&amp;L1951))),OR($C$5="Semua",$C$5="",G1951=$C$5),OR($C$6="Semua",$C$6="",H1951=$C$6,H1951="Pengeluaran "&amp;$C$6,AND($C$6="Uang Kos Mama",H1951="Pengeluaran Uang Kos")),OR($C$7="Semua",$C$7="",I1951=$C$7),OR($C$8="Semua",$C$8="",C1951=$C$8,E1951=$C$8),OR($C$9="Semua",$C$9="",D1951=$C$9),OR($C$10="",B1951&gt;=$C$10),OR($C$11="",B1951&lt;=$C$11),OR($C$12&lt;&gt;"Ya",K1951&lt;&gt;""),OR($C$13="Semua",$C$13="",L1951=$C$13)),"✓","")</f>
        <v/>
      </c>
      <c r="N1951" s="93">
        <f>N(N1950)+IF(M1951="✓",1,0)</f>
        <v/>
      </c>
      <c r="O1951" s="93">
        <f>N(O1950)+IF(AND(B1951&lt;&gt;"",B1951&gt;='Uang Riba'!$H$30,B1951&lt;='Uang Riba'!$I$30,OR(H1951="Dana riba",H1951="Pinjam uang riba",I1951="Pinjam dari uang riba",I1951="Ganti uang riba",I1951="Kelebihan ganti dikembalikan",AND(C1951="Kantong Uang Riba",G1951="Pengeluaran"))),1,0)</f>
        <v/>
      </c>
      <c r="X1951" s="93">
        <f>IF(AND(B1951&lt;&gt;"",B1951&gt;='Buku Akun'!$H$4,B1951&lt;='Buku Akun'!$H$5,OR(C1951='Buku Akun'!$C$4,AND(D1951="Pindah",E1951='Buku Akun'!$C$4))),B1951+IF(AND(I1951="Selisih bunga",DAY(B1951)=1),0,0.01)+ROW()/10000000,"")</f>
        <v/>
      </c>
    </row>
    <row r="1952" outlineLevel="1" ht="15" customHeight="1" s="94">
      <c r="A1952" s="123">
        <f>IF(B1952="","",ROW()-15)</f>
        <v/>
      </c>
      <c r="B1952" s="124" t="n"/>
      <c r="C1952" s="123" t="n"/>
      <c r="D1952" s="123" t="n"/>
      <c r="E1952" s="123" t="n"/>
      <c r="F1952" s="125" t="n"/>
      <c r="G1952" s="123" t="n"/>
      <c r="H1952" s="123" t="n"/>
      <c r="I1952" s="123" t="n"/>
      <c r="J1952" s="123" t="n"/>
      <c r="K1952" s="123" t="n"/>
      <c r="L1952" s="123" t="n"/>
      <c r="M1952" s="123">
        <f>IF(AND(B1952&lt;&gt;"",OR($C$4="",ISNUMBER(SEARCH($C$4,C1952&amp;" "&amp;E1952&amp;" "&amp;G1952&amp;" "&amp;H1952&amp;" "&amp;I1952&amp;" "&amp;J1952&amp;" "&amp;K1952&amp;" "&amp;L1952))),OR($C$5="Semua",$C$5="",G1952=$C$5),OR($C$6="Semua",$C$6="",H1952=$C$6,H1952="Pengeluaran "&amp;$C$6,AND($C$6="Uang Kos Mama",H1952="Pengeluaran Uang Kos")),OR($C$7="Semua",$C$7="",I1952=$C$7),OR($C$8="Semua",$C$8="",C1952=$C$8,E1952=$C$8),OR($C$9="Semua",$C$9="",D1952=$C$9),OR($C$10="",B1952&gt;=$C$10),OR($C$11="",B1952&lt;=$C$11),OR($C$12&lt;&gt;"Ya",K1952&lt;&gt;""),OR($C$13="Semua",$C$13="",L1952=$C$13)),"✓","")</f>
        <v/>
      </c>
      <c r="N1952" s="93">
        <f>N(N1951)+IF(M1952="✓",1,0)</f>
        <v/>
      </c>
      <c r="O1952" s="93">
        <f>N(O1951)+IF(AND(B1952&lt;&gt;"",B1952&gt;='Uang Riba'!$H$30,B1952&lt;='Uang Riba'!$I$30,OR(H1952="Dana riba",H1952="Pinjam uang riba",I1952="Pinjam dari uang riba",I1952="Ganti uang riba",I1952="Kelebihan ganti dikembalikan",AND(C1952="Kantong Uang Riba",G1952="Pengeluaran"))),1,0)</f>
        <v/>
      </c>
      <c r="X1952" s="93">
        <f>IF(AND(B1952&lt;&gt;"",B1952&gt;='Buku Akun'!$H$4,B1952&lt;='Buku Akun'!$H$5,OR(C1952='Buku Akun'!$C$4,AND(D1952="Pindah",E1952='Buku Akun'!$C$4))),B1952+IF(AND(I1952="Selisih bunga",DAY(B1952)=1),0,0.01)+ROW()/10000000,"")</f>
        <v/>
      </c>
    </row>
    <row r="1953" outlineLevel="1" ht="15" customHeight="1" s="94">
      <c r="A1953" s="123">
        <f>IF(B1953="","",ROW()-15)</f>
        <v/>
      </c>
      <c r="B1953" s="124" t="n"/>
      <c r="C1953" s="123" t="n"/>
      <c r="D1953" s="123" t="n"/>
      <c r="E1953" s="123" t="n"/>
      <c r="F1953" s="125" t="n"/>
      <c r="G1953" s="123" t="n"/>
      <c r="H1953" s="123" t="n"/>
      <c r="I1953" s="123" t="n"/>
      <c r="J1953" s="123" t="n"/>
      <c r="K1953" s="123" t="n"/>
      <c r="L1953" s="123" t="n"/>
      <c r="M1953" s="123">
        <f>IF(AND(B1953&lt;&gt;"",OR($C$4="",ISNUMBER(SEARCH($C$4,C1953&amp;" "&amp;E1953&amp;" "&amp;G1953&amp;" "&amp;H1953&amp;" "&amp;I1953&amp;" "&amp;J1953&amp;" "&amp;K1953&amp;" "&amp;L1953))),OR($C$5="Semua",$C$5="",G1953=$C$5),OR($C$6="Semua",$C$6="",H1953=$C$6,H1953="Pengeluaran "&amp;$C$6,AND($C$6="Uang Kos Mama",H1953="Pengeluaran Uang Kos")),OR($C$7="Semua",$C$7="",I1953=$C$7),OR($C$8="Semua",$C$8="",C1953=$C$8,E1953=$C$8),OR($C$9="Semua",$C$9="",D1953=$C$9),OR($C$10="",B1953&gt;=$C$10),OR($C$11="",B1953&lt;=$C$11),OR($C$12&lt;&gt;"Ya",K1953&lt;&gt;""),OR($C$13="Semua",$C$13="",L1953=$C$13)),"✓","")</f>
        <v/>
      </c>
      <c r="N1953" s="93">
        <f>N(N1952)+IF(M1953="✓",1,0)</f>
        <v/>
      </c>
      <c r="O1953" s="93">
        <f>N(O1952)+IF(AND(B1953&lt;&gt;"",B1953&gt;='Uang Riba'!$H$30,B1953&lt;='Uang Riba'!$I$30,OR(H1953="Dana riba",H1953="Pinjam uang riba",I1953="Pinjam dari uang riba",I1953="Ganti uang riba",I1953="Kelebihan ganti dikembalikan",AND(C1953="Kantong Uang Riba",G1953="Pengeluaran"))),1,0)</f>
        <v/>
      </c>
      <c r="X1953" s="93">
        <f>IF(AND(B1953&lt;&gt;"",B1953&gt;='Buku Akun'!$H$4,B1953&lt;='Buku Akun'!$H$5,OR(C1953='Buku Akun'!$C$4,AND(D1953="Pindah",E1953='Buku Akun'!$C$4))),B1953+IF(AND(I1953="Selisih bunga",DAY(B1953)=1),0,0.01)+ROW()/10000000,"")</f>
        <v/>
      </c>
    </row>
    <row r="1954" outlineLevel="1" ht="15" customHeight="1" s="94">
      <c r="A1954" s="123">
        <f>IF(B1954="","",ROW()-15)</f>
        <v/>
      </c>
      <c r="B1954" s="124" t="n"/>
      <c r="C1954" s="123" t="n"/>
      <c r="D1954" s="123" t="n"/>
      <c r="E1954" s="123" t="n"/>
      <c r="F1954" s="125" t="n"/>
      <c r="G1954" s="123" t="n"/>
      <c r="H1954" s="123" t="n"/>
      <c r="I1954" s="123" t="n"/>
      <c r="J1954" s="123" t="n"/>
      <c r="K1954" s="123" t="n"/>
      <c r="L1954" s="123" t="n"/>
      <c r="M1954" s="123">
        <f>IF(AND(B1954&lt;&gt;"",OR($C$4="",ISNUMBER(SEARCH($C$4,C1954&amp;" "&amp;E1954&amp;" "&amp;G1954&amp;" "&amp;H1954&amp;" "&amp;I1954&amp;" "&amp;J1954&amp;" "&amp;K1954&amp;" "&amp;L1954))),OR($C$5="Semua",$C$5="",G1954=$C$5),OR($C$6="Semua",$C$6="",H1954=$C$6,H1954="Pengeluaran "&amp;$C$6,AND($C$6="Uang Kos Mama",H1954="Pengeluaran Uang Kos")),OR($C$7="Semua",$C$7="",I1954=$C$7),OR($C$8="Semua",$C$8="",C1954=$C$8,E1954=$C$8),OR($C$9="Semua",$C$9="",D1954=$C$9),OR($C$10="",B1954&gt;=$C$10),OR($C$11="",B1954&lt;=$C$11),OR($C$12&lt;&gt;"Ya",K1954&lt;&gt;""),OR($C$13="Semua",$C$13="",L1954=$C$13)),"✓","")</f>
        <v/>
      </c>
      <c r="N1954" s="93">
        <f>N(N1953)+IF(M1954="✓",1,0)</f>
        <v/>
      </c>
      <c r="O1954" s="93">
        <f>N(O1953)+IF(AND(B1954&lt;&gt;"",B1954&gt;='Uang Riba'!$H$30,B1954&lt;='Uang Riba'!$I$30,OR(H1954="Dana riba",H1954="Pinjam uang riba",I1954="Pinjam dari uang riba",I1954="Ganti uang riba",I1954="Kelebihan ganti dikembalikan",AND(C1954="Kantong Uang Riba",G1954="Pengeluaran"))),1,0)</f>
        <v/>
      </c>
      <c r="X1954" s="93">
        <f>IF(AND(B1954&lt;&gt;"",B1954&gt;='Buku Akun'!$H$4,B1954&lt;='Buku Akun'!$H$5,OR(C1954='Buku Akun'!$C$4,AND(D1954="Pindah",E1954='Buku Akun'!$C$4))),B1954+IF(AND(I1954="Selisih bunga",DAY(B1954)=1),0,0.01)+ROW()/10000000,"")</f>
        <v/>
      </c>
    </row>
    <row r="1955" outlineLevel="1" ht="15" customHeight="1" s="94">
      <c r="A1955" s="123">
        <f>IF(B1955="","",ROW()-15)</f>
        <v/>
      </c>
      <c r="B1955" s="124" t="n"/>
      <c r="C1955" s="123" t="n"/>
      <c r="D1955" s="123" t="n"/>
      <c r="E1955" s="123" t="n"/>
      <c r="F1955" s="125" t="n"/>
      <c r="G1955" s="123" t="n"/>
      <c r="H1955" s="123" t="n"/>
      <c r="I1955" s="123" t="n"/>
      <c r="J1955" s="123" t="n"/>
      <c r="K1955" s="123" t="n"/>
      <c r="L1955" s="123" t="n"/>
      <c r="M1955" s="123">
        <f>IF(AND(B1955&lt;&gt;"",OR($C$4="",ISNUMBER(SEARCH($C$4,C1955&amp;" "&amp;E1955&amp;" "&amp;G1955&amp;" "&amp;H1955&amp;" "&amp;I1955&amp;" "&amp;J1955&amp;" "&amp;K1955&amp;" "&amp;L1955))),OR($C$5="Semua",$C$5="",G1955=$C$5),OR($C$6="Semua",$C$6="",H1955=$C$6,H1955="Pengeluaran "&amp;$C$6,AND($C$6="Uang Kos Mama",H1955="Pengeluaran Uang Kos")),OR($C$7="Semua",$C$7="",I1955=$C$7),OR($C$8="Semua",$C$8="",C1955=$C$8,E1955=$C$8),OR($C$9="Semua",$C$9="",D1955=$C$9),OR($C$10="",B1955&gt;=$C$10),OR($C$11="",B1955&lt;=$C$11),OR($C$12&lt;&gt;"Ya",K1955&lt;&gt;""),OR($C$13="Semua",$C$13="",L1955=$C$13)),"✓","")</f>
        <v/>
      </c>
      <c r="N1955" s="93">
        <f>N(N1954)+IF(M1955="✓",1,0)</f>
        <v/>
      </c>
      <c r="O1955" s="93">
        <f>N(O1954)+IF(AND(B1955&lt;&gt;"",B1955&gt;='Uang Riba'!$H$30,B1955&lt;='Uang Riba'!$I$30,OR(H1955="Dana riba",H1955="Pinjam uang riba",I1955="Pinjam dari uang riba",I1955="Ganti uang riba",I1955="Kelebihan ganti dikembalikan",AND(C1955="Kantong Uang Riba",G1955="Pengeluaran"))),1,0)</f>
        <v/>
      </c>
      <c r="X1955" s="93">
        <f>IF(AND(B1955&lt;&gt;"",B1955&gt;='Buku Akun'!$H$4,B1955&lt;='Buku Akun'!$H$5,OR(C1955='Buku Akun'!$C$4,AND(D1955="Pindah",E1955='Buku Akun'!$C$4))),B1955+IF(AND(I1955="Selisih bunga",DAY(B1955)=1),0,0.01)+ROW()/10000000,"")</f>
        <v/>
      </c>
    </row>
    <row r="1956" outlineLevel="1" ht="15" customHeight="1" s="94">
      <c r="A1956" s="123">
        <f>IF(B1956="","",ROW()-15)</f>
        <v/>
      </c>
      <c r="B1956" s="124" t="n"/>
      <c r="C1956" s="123" t="n"/>
      <c r="D1956" s="123" t="n"/>
      <c r="E1956" s="123" t="n"/>
      <c r="F1956" s="125" t="n"/>
      <c r="G1956" s="123" t="n"/>
      <c r="H1956" s="123" t="n"/>
      <c r="I1956" s="123" t="n"/>
      <c r="J1956" s="123" t="n"/>
      <c r="K1956" s="123" t="n"/>
      <c r="L1956" s="123" t="n"/>
      <c r="M1956" s="123">
        <f>IF(AND(B1956&lt;&gt;"",OR($C$4="",ISNUMBER(SEARCH($C$4,C1956&amp;" "&amp;E1956&amp;" "&amp;G1956&amp;" "&amp;H1956&amp;" "&amp;I1956&amp;" "&amp;J1956&amp;" "&amp;K1956&amp;" "&amp;L1956))),OR($C$5="Semua",$C$5="",G1956=$C$5),OR($C$6="Semua",$C$6="",H1956=$C$6,H1956="Pengeluaran "&amp;$C$6,AND($C$6="Uang Kos Mama",H1956="Pengeluaran Uang Kos")),OR($C$7="Semua",$C$7="",I1956=$C$7),OR($C$8="Semua",$C$8="",C1956=$C$8,E1956=$C$8),OR($C$9="Semua",$C$9="",D1956=$C$9),OR($C$10="",B1956&gt;=$C$10),OR($C$11="",B1956&lt;=$C$11),OR($C$12&lt;&gt;"Ya",K1956&lt;&gt;""),OR($C$13="Semua",$C$13="",L1956=$C$13)),"✓","")</f>
        <v/>
      </c>
      <c r="N1956" s="93">
        <f>N(N1955)+IF(M1956="✓",1,0)</f>
        <v/>
      </c>
      <c r="O1956" s="93">
        <f>N(O1955)+IF(AND(B1956&lt;&gt;"",B1956&gt;='Uang Riba'!$H$30,B1956&lt;='Uang Riba'!$I$30,OR(H1956="Dana riba",H1956="Pinjam uang riba",I1956="Pinjam dari uang riba",I1956="Ganti uang riba",I1956="Kelebihan ganti dikembalikan",AND(C1956="Kantong Uang Riba",G1956="Pengeluaran"))),1,0)</f>
        <v/>
      </c>
      <c r="X1956" s="93">
        <f>IF(AND(B1956&lt;&gt;"",B1956&gt;='Buku Akun'!$H$4,B1956&lt;='Buku Akun'!$H$5,OR(C1956='Buku Akun'!$C$4,AND(D1956="Pindah",E1956='Buku Akun'!$C$4))),B1956+IF(AND(I1956="Selisih bunga",DAY(B1956)=1),0,0.01)+ROW()/10000000,"")</f>
        <v/>
      </c>
    </row>
    <row r="1957" outlineLevel="1" ht="15" customHeight="1" s="94">
      <c r="A1957" s="123">
        <f>IF(B1957="","",ROW()-15)</f>
        <v/>
      </c>
      <c r="B1957" s="124" t="n"/>
      <c r="C1957" s="123" t="n"/>
      <c r="D1957" s="123" t="n"/>
      <c r="E1957" s="123" t="n"/>
      <c r="F1957" s="125" t="n"/>
      <c r="G1957" s="123" t="n"/>
      <c r="H1957" s="123" t="n"/>
      <c r="I1957" s="123" t="n"/>
      <c r="J1957" s="123" t="n"/>
      <c r="K1957" s="123" t="n"/>
      <c r="L1957" s="123" t="n"/>
      <c r="M1957" s="123">
        <f>IF(AND(B1957&lt;&gt;"",OR($C$4="",ISNUMBER(SEARCH($C$4,C1957&amp;" "&amp;E1957&amp;" "&amp;G1957&amp;" "&amp;H1957&amp;" "&amp;I1957&amp;" "&amp;J1957&amp;" "&amp;K1957&amp;" "&amp;L1957))),OR($C$5="Semua",$C$5="",G1957=$C$5),OR($C$6="Semua",$C$6="",H1957=$C$6,H1957="Pengeluaran "&amp;$C$6,AND($C$6="Uang Kos Mama",H1957="Pengeluaran Uang Kos")),OR($C$7="Semua",$C$7="",I1957=$C$7),OR($C$8="Semua",$C$8="",C1957=$C$8,E1957=$C$8),OR($C$9="Semua",$C$9="",D1957=$C$9),OR($C$10="",B1957&gt;=$C$10),OR($C$11="",B1957&lt;=$C$11),OR($C$12&lt;&gt;"Ya",K1957&lt;&gt;""),OR($C$13="Semua",$C$13="",L1957=$C$13)),"✓","")</f>
        <v/>
      </c>
      <c r="N1957" s="93">
        <f>N(N1956)+IF(M1957="✓",1,0)</f>
        <v/>
      </c>
      <c r="O1957" s="93">
        <f>N(O1956)+IF(AND(B1957&lt;&gt;"",B1957&gt;='Uang Riba'!$H$30,B1957&lt;='Uang Riba'!$I$30,OR(H1957="Dana riba",H1957="Pinjam uang riba",I1957="Pinjam dari uang riba",I1957="Ganti uang riba",I1957="Kelebihan ganti dikembalikan",AND(C1957="Kantong Uang Riba",G1957="Pengeluaran"))),1,0)</f>
        <v/>
      </c>
      <c r="X1957" s="93">
        <f>IF(AND(B1957&lt;&gt;"",B1957&gt;='Buku Akun'!$H$4,B1957&lt;='Buku Akun'!$H$5,OR(C1957='Buku Akun'!$C$4,AND(D1957="Pindah",E1957='Buku Akun'!$C$4))),B1957+IF(AND(I1957="Selisih bunga",DAY(B1957)=1),0,0.01)+ROW()/10000000,"")</f>
        <v/>
      </c>
    </row>
    <row r="1958" outlineLevel="1" ht="15" customHeight="1" s="94">
      <c r="A1958" s="123">
        <f>IF(B1958="","",ROW()-15)</f>
        <v/>
      </c>
      <c r="B1958" s="124" t="n"/>
      <c r="C1958" s="123" t="n"/>
      <c r="D1958" s="123" t="n"/>
      <c r="E1958" s="123" t="n"/>
      <c r="F1958" s="125" t="n"/>
      <c r="G1958" s="123" t="n"/>
      <c r="H1958" s="123" t="n"/>
      <c r="I1958" s="123" t="n"/>
      <c r="J1958" s="123" t="n"/>
      <c r="K1958" s="123" t="n"/>
      <c r="L1958" s="123" t="n"/>
      <c r="M1958" s="123">
        <f>IF(AND(B1958&lt;&gt;"",OR($C$4="",ISNUMBER(SEARCH($C$4,C1958&amp;" "&amp;E1958&amp;" "&amp;G1958&amp;" "&amp;H1958&amp;" "&amp;I1958&amp;" "&amp;J1958&amp;" "&amp;K1958&amp;" "&amp;L1958))),OR($C$5="Semua",$C$5="",G1958=$C$5),OR($C$6="Semua",$C$6="",H1958=$C$6,H1958="Pengeluaran "&amp;$C$6,AND($C$6="Uang Kos Mama",H1958="Pengeluaran Uang Kos")),OR($C$7="Semua",$C$7="",I1958=$C$7),OR($C$8="Semua",$C$8="",C1958=$C$8,E1958=$C$8),OR($C$9="Semua",$C$9="",D1958=$C$9),OR($C$10="",B1958&gt;=$C$10),OR($C$11="",B1958&lt;=$C$11),OR($C$12&lt;&gt;"Ya",K1958&lt;&gt;""),OR($C$13="Semua",$C$13="",L1958=$C$13)),"✓","")</f>
        <v/>
      </c>
      <c r="N1958" s="93">
        <f>N(N1957)+IF(M1958="✓",1,0)</f>
        <v/>
      </c>
      <c r="O1958" s="93">
        <f>N(O1957)+IF(AND(B1958&lt;&gt;"",B1958&gt;='Uang Riba'!$H$30,B1958&lt;='Uang Riba'!$I$30,OR(H1958="Dana riba",H1958="Pinjam uang riba",I1958="Pinjam dari uang riba",I1958="Ganti uang riba",I1958="Kelebihan ganti dikembalikan",AND(C1958="Kantong Uang Riba",G1958="Pengeluaran"))),1,0)</f>
        <v/>
      </c>
      <c r="X1958" s="93">
        <f>IF(AND(B1958&lt;&gt;"",B1958&gt;='Buku Akun'!$H$4,B1958&lt;='Buku Akun'!$H$5,OR(C1958='Buku Akun'!$C$4,AND(D1958="Pindah",E1958='Buku Akun'!$C$4))),B1958+IF(AND(I1958="Selisih bunga",DAY(B1958)=1),0,0.01)+ROW()/10000000,"")</f>
        <v/>
      </c>
    </row>
    <row r="1959" outlineLevel="1" ht="15" customHeight="1" s="94">
      <c r="A1959" s="123">
        <f>IF(B1959="","",ROW()-15)</f>
        <v/>
      </c>
      <c r="B1959" s="124" t="n"/>
      <c r="C1959" s="123" t="n"/>
      <c r="D1959" s="123" t="n"/>
      <c r="E1959" s="123" t="n"/>
      <c r="F1959" s="125" t="n"/>
      <c r="G1959" s="123" t="n"/>
      <c r="H1959" s="123" t="n"/>
      <c r="I1959" s="123" t="n"/>
      <c r="J1959" s="123" t="n"/>
      <c r="K1959" s="123" t="n"/>
      <c r="L1959" s="123" t="n"/>
      <c r="M1959" s="123">
        <f>IF(AND(B1959&lt;&gt;"",OR($C$4="",ISNUMBER(SEARCH($C$4,C1959&amp;" "&amp;E1959&amp;" "&amp;G1959&amp;" "&amp;H1959&amp;" "&amp;I1959&amp;" "&amp;J1959&amp;" "&amp;K1959&amp;" "&amp;L1959))),OR($C$5="Semua",$C$5="",G1959=$C$5),OR($C$6="Semua",$C$6="",H1959=$C$6,H1959="Pengeluaran "&amp;$C$6,AND($C$6="Uang Kos Mama",H1959="Pengeluaran Uang Kos")),OR($C$7="Semua",$C$7="",I1959=$C$7),OR($C$8="Semua",$C$8="",C1959=$C$8,E1959=$C$8),OR($C$9="Semua",$C$9="",D1959=$C$9),OR($C$10="",B1959&gt;=$C$10),OR($C$11="",B1959&lt;=$C$11),OR($C$12&lt;&gt;"Ya",K1959&lt;&gt;""),OR($C$13="Semua",$C$13="",L1959=$C$13)),"✓","")</f>
        <v/>
      </c>
      <c r="N1959" s="93">
        <f>N(N1958)+IF(M1959="✓",1,0)</f>
        <v/>
      </c>
      <c r="O1959" s="93">
        <f>N(O1958)+IF(AND(B1959&lt;&gt;"",B1959&gt;='Uang Riba'!$H$30,B1959&lt;='Uang Riba'!$I$30,OR(H1959="Dana riba",H1959="Pinjam uang riba",I1959="Pinjam dari uang riba",I1959="Ganti uang riba",I1959="Kelebihan ganti dikembalikan",AND(C1959="Kantong Uang Riba",G1959="Pengeluaran"))),1,0)</f>
        <v/>
      </c>
      <c r="X1959" s="93">
        <f>IF(AND(B1959&lt;&gt;"",B1959&gt;='Buku Akun'!$H$4,B1959&lt;='Buku Akun'!$H$5,OR(C1959='Buku Akun'!$C$4,AND(D1959="Pindah",E1959='Buku Akun'!$C$4))),B1959+IF(AND(I1959="Selisih bunga",DAY(B1959)=1),0,0.01)+ROW()/10000000,"")</f>
        <v/>
      </c>
    </row>
    <row r="1960" outlineLevel="1" ht="15" customHeight="1" s="94">
      <c r="A1960" s="123">
        <f>IF(B1960="","",ROW()-15)</f>
        <v/>
      </c>
      <c r="B1960" s="124" t="n"/>
      <c r="C1960" s="123" t="n"/>
      <c r="D1960" s="123" t="n"/>
      <c r="E1960" s="123" t="n"/>
      <c r="F1960" s="125" t="n"/>
      <c r="G1960" s="123" t="n"/>
      <c r="H1960" s="123" t="n"/>
      <c r="I1960" s="123" t="n"/>
      <c r="J1960" s="123" t="n"/>
      <c r="K1960" s="123" t="n"/>
      <c r="L1960" s="123" t="n"/>
      <c r="M1960" s="123">
        <f>IF(AND(B1960&lt;&gt;"",OR($C$4="",ISNUMBER(SEARCH($C$4,C1960&amp;" "&amp;E1960&amp;" "&amp;G1960&amp;" "&amp;H1960&amp;" "&amp;I1960&amp;" "&amp;J1960&amp;" "&amp;K1960&amp;" "&amp;L1960))),OR($C$5="Semua",$C$5="",G1960=$C$5),OR($C$6="Semua",$C$6="",H1960=$C$6,H1960="Pengeluaran "&amp;$C$6,AND($C$6="Uang Kos Mama",H1960="Pengeluaran Uang Kos")),OR($C$7="Semua",$C$7="",I1960=$C$7),OR($C$8="Semua",$C$8="",C1960=$C$8,E1960=$C$8),OR($C$9="Semua",$C$9="",D1960=$C$9),OR($C$10="",B1960&gt;=$C$10),OR($C$11="",B1960&lt;=$C$11),OR($C$12&lt;&gt;"Ya",K1960&lt;&gt;""),OR($C$13="Semua",$C$13="",L1960=$C$13)),"✓","")</f>
        <v/>
      </c>
      <c r="N1960" s="93">
        <f>N(N1959)+IF(M1960="✓",1,0)</f>
        <v/>
      </c>
      <c r="O1960" s="93">
        <f>N(O1959)+IF(AND(B1960&lt;&gt;"",B1960&gt;='Uang Riba'!$H$30,B1960&lt;='Uang Riba'!$I$30,OR(H1960="Dana riba",H1960="Pinjam uang riba",I1960="Pinjam dari uang riba",I1960="Ganti uang riba",I1960="Kelebihan ganti dikembalikan",AND(C1960="Kantong Uang Riba",G1960="Pengeluaran"))),1,0)</f>
        <v/>
      </c>
      <c r="X1960" s="93">
        <f>IF(AND(B1960&lt;&gt;"",B1960&gt;='Buku Akun'!$H$4,B1960&lt;='Buku Akun'!$H$5,OR(C1960='Buku Akun'!$C$4,AND(D1960="Pindah",E1960='Buku Akun'!$C$4))),B1960+IF(AND(I1960="Selisih bunga",DAY(B1960)=1),0,0.01)+ROW()/10000000,"")</f>
        <v/>
      </c>
    </row>
    <row r="1961" outlineLevel="1" ht="15" customHeight="1" s="94">
      <c r="A1961" s="123">
        <f>IF(B1961="","",ROW()-15)</f>
        <v/>
      </c>
      <c r="B1961" s="124" t="n"/>
      <c r="C1961" s="123" t="n"/>
      <c r="D1961" s="123" t="n"/>
      <c r="E1961" s="123" t="n"/>
      <c r="F1961" s="125" t="n"/>
      <c r="G1961" s="123" t="n"/>
      <c r="H1961" s="123" t="n"/>
      <c r="I1961" s="123" t="n"/>
      <c r="J1961" s="123" t="n"/>
      <c r="K1961" s="123" t="n"/>
      <c r="L1961" s="123" t="n"/>
      <c r="M1961" s="123">
        <f>IF(AND(B1961&lt;&gt;"",OR($C$4="",ISNUMBER(SEARCH($C$4,C1961&amp;" "&amp;E1961&amp;" "&amp;G1961&amp;" "&amp;H1961&amp;" "&amp;I1961&amp;" "&amp;J1961&amp;" "&amp;K1961&amp;" "&amp;L1961))),OR($C$5="Semua",$C$5="",G1961=$C$5),OR($C$6="Semua",$C$6="",H1961=$C$6,H1961="Pengeluaran "&amp;$C$6,AND($C$6="Uang Kos Mama",H1961="Pengeluaran Uang Kos")),OR($C$7="Semua",$C$7="",I1961=$C$7),OR($C$8="Semua",$C$8="",C1961=$C$8,E1961=$C$8),OR($C$9="Semua",$C$9="",D1961=$C$9),OR($C$10="",B1961&gt;=$C$10),OR($C$11="",B1961&lt;=$C$11),OR($C$12&lt;&gt;"Ya",K1961&lt;&gt;""),OR($C$13="Semua",$C$13="",L1961=$C$13)),"✓","")</f>
        <v/>
      </c>
      <c r="N1961" s="93">
        <f>N(N1960)+IF(M1961="✓",1,0)</f>
        <v/>
      </c>
      <c r="O1961" s="93">
        <f>N(O1960)+IF(AND(B1961&lt;&gt;"",B1961&gt;='Uang Riba'!$H$30,B1961&lt;='Uang Riba'!$I$30,OR(H1961="Dana riba",H1961="Pinjam uang riba",I1961="Pinjam dari uang riba",I1961="Ganti uang riba",I1961="Kelebihan ganti dikembalikan",AND(C1961="Kantong Uang Riba",G1961="Pengeluaran"))),1,0)</f>
        <v/>
      </c>
      <c r="X1961" s="93">
        <f>IF(AND(B1961&lt;&gt;"",B1961&gt;='Buku Akun'!$H$4,B1961&lt;='Buku Akun'!$H$5,OR(C1961='Buku Akun'!$C$4,AND(D1961="Pindah",E1961='Buku Akun'!$C$4))),B1961+IF(AND(I1961="Selisih bunga",DAY(B1961)=1),0,0.01)+ROW()/10000000,"")</f>
        <v/>
      </c>
    </row>
    <row r="1962" outlineLevel="1" ht="15" customHeight="1" s="94">
      <c r="A1962" s="123">
        <f>IF(B1962="","",ROW()-15)</f>
        <v/>
      </c>
      <c r="B1962" s="124" t="n"/>
      <c r="C1962" s="123" t="n"/>
      <c r="D1962" s="123" t="n"/>
      <c r="E1962" s="123" t="n"/>
      <c r="F1962" s="125" t="n"/>
      <c r="G1962" s="123" t="n"/>
      <c r="H1962" s="123" t="n"/>
      <c r="I1962" s="123" t="n"/>
      <c r="J1962" s="123" t="n"/>
      <c r="K1962" s="123" t="n"/>
      <c r="L1962" s="123" t="n"/>
      <c r="M1962" s="123">
        <f>IF(AND(B1962&lt;&gt;"",OR($C$4="",ISNUMBER(SEARCH($C$4,C1962&amp;" "&amp;E1962&amp;" "&amp;G1962&amp;" "&amp;H1962&amp;" "&amp;I1962&amp;" "&amp;J1962&amp;" "&amp;K1962&amp;" "&amp;L1962))),OR($C$5="Semua",$C$5="",G1962=$C$5),OR($C$6="Semua",$C$6="",H1962=$C$6,H1962="Pengeluaran "&amp;$C$6,AND($C$6="Uang Kos Mama",H1962="Pengeluaran Uang Kos")),OR($C$7="Semua",$C$7="",I1962=$C$7),OR($C$8="Semua",$C$8="",C1962=$C$8,E1962=$C$8),OR($C$9="Semua",$C$9="",D1962=$C$9),OR($C$10="",B1962&gt;=$C$10),OR($C$11="",B1962&lt;=$C$11),OR($C$12&lt;&gt;"Ya",K1962&lt;&gt;""),OR($C$13="Semua",$C$13="",L1962=$C$13)),"✓","")</f>
        <v/>
      </c>
      <c r="N1962" s="93">
        <f>N(N1961)+IF(M1962="✓",1,0)</f>
        <v/>
      </c>
      <c r="O1962" s="93">
        <f>N(O1961)+IF(AND(B1962&lt;&gt;"",B1962&gt;='Uang Riba'!$H$30,B1962&lt;='Uang Riba'!$I$30,OR(H1962="Dana riba",H1962="Pinjam uang riba",I1962="Pinjam dari uang riba",I1962="Ganti uang riba",I1962="Kelebihan ganti dikembalikan",AND(C1962="Kantong Uang Riba",G1962="Pengeluaran"))),1,0)</f>
        <v/>
      </c>
      <c r="X1962" s="93">
        <f>IF(AND(B1962&lt;&gt;"",B1962&gt;='Buku Akun'!$H$4,B1962&lt;='Buku Akun'!$H$5,OR(C1962='Buku Akun'!$C$4,AND(D1962="Pindah",E1962='Buku Akun'!$C$4))),B1962+IF(AND(I1962="Selisih bunga",DAY(B1962)=1),0,0.01)+ROW()/10000000,"")</f>
        <v/>
      </c>
    </row>
    <row r="1963" outlineLevel="1" ht="15" customHeight="1" s="94">
      <c r="A1963" s="123">
        <f>IF(B1963="","",ROW()-15)</f>
        <v/>
      </c>
      <c r="B1963" s="124" t="n"/>
      <c r="C1963" s="123" t="n"/>
      <c r="D1963" s="123" t="n"/>
      <c r="E1963" s="123" t="n"/>
      <c r="F1963" s="125" t="n"/>
      <c r="G1963" s="123" t="n"/>
      <c r="H1963" s="123" t="n"/>
      <c r="I1963" s="123" t="n"/>
      <c r="J1963" s="123" t="n"/>
      <c r="K1963" s="123" t="n"/>
      <c r="L1963" s="123" t="n"/>
      <c r="M1963" s="123">
        <f>IF(AND(B1963&lt;&gt;"",OR($C$4="",ISNUMBER(SEARCH($C$4,C1963&amp;" "&amp;E1963&amp;" "&amp;G1963&amp;" "&amp;H1963&amp;" "&amp;I1963&amp;" "&amp;J1963&amp;" "&amp;K1963&amp;" "&amp;L1963))),OR($C$5="Semua",$C$5="",G1963=$C$5),OR($C$6="Semua",$C$6="",H1963=$C$6,H1963="Pengeluaran "&amp;$C$6,AND($C$6="Uang Kos Mama",H1963="Pengeluaran Uang Kos")),OR($C$7="Semua",$C$7="",I1963=$C$7),OR($C$8="Semua",$C$8="",C1963=$C$8,E1963=$C$8),OR($C$9="Semua",$C$9="",D1963=$C$9),OR($C$10="",B1963&gt;=$C$10),OR($C$11="",B1963&lt;=$C$11),OR($C$12&lt;&gt;"Ya",K1963&lt;&gt;""),OR($C$13="Semua",$C$13="",L1963=$C$13)),"✓","")</f>
        <v/>
      </c>
      <c r="N1963" s="93">
        <f>N(N1962)+IF(M1963="✓",1,0)</f>
        <v/>
      </c>
      <c r="O1963" s="93">
        <f>N(O1962)+IF(AND(B1963&lt;&gt;"",B1963&gt;='Uang Riba'!$H$30,B1963&lt;='Uang Riba'!$I$30,OR(H1963="Dana riba",H1963="Pinjam uang riba",I1963="Pinjam dari uang riba",I1963="Ganti uang riba",I1963="Kelebihan ganti dikembalikan",AND(C1963="Kantong Uang Riba",G1963="Pengeluaran"))),1,0)</f>
        <v/>
      </c>
      <c r="X1963" s="93">
        <f>IF(AND(B1963&lt;&gt;"",B1963&gt;='Buku Akun'!$H$4,B1963&lt;='Buku Akun'!$H$5,OR(C1963='Buku Akun'!$C$4,AND(D1963="Pindah",E1963='Buku Akun'!$C$4))),B1963+IF(AND(I1963="Selisih bunga",DAY(B1963)=1),0,0.01)+ROW()/10000000,"")</f>
        <v/>
      </c>
    </row>
    <row r="1964" outlineLevel="1" ht="15" customHeight="1" s="94">
      <c r="A1964" s="123">
        <f>IF(B1964="","",ROW()-15)</f>
        <v/>
      </c>
      <c r="B1964" s="124" t="n"/>
      <c r="C1964" s="123" t="n"/>
      <c r="D1964" s="123" t="n"/>
      <c r="E1964" s="123" t="n"/>
      <c r="F1964" s="125" t="n"/>
      <c r="G1964" s="123" t="n"/>
      <c r="H1964" s="123" t="n"/>
      <c r="I1964" s="123" t="n"/>
      <c r="J1964" s="123" t="n"/>
      <c r="K1964" s="123" t="n"/>
      <c r="L1964" s="123" t="n"/>
      <c r="M1964" s="123">
        <f>IF(AND(B1964&lt;&gt;"",OR($C$4="",ISNUMBER(SEARCH($C$4,C1964&amp;" "&amp;E1964&amp;" "&amp;G1964&amp;" "&amp;H1964&amp;" "&amp;I1964&amp;" "&amp;J1964&amp;" "&amp;K1964&amp;" "&amp;L1964))),OR($C$5="Semua",$C$5="",G1964=$C$5),OR($C$6="Semua",$C$6="",H1964=$C$6,H1964="Pengeluaran "&amp;$C$6,AND($C$6="Uang Kos Mama",H1964="Pengeluaran Uang Kos")),OR($C$7="Semua",$C$7="",I1964=$C$7),OR($C$8="Semua",$C$8="",C1964=$C$8,E1964=$C$8),OR($C$9="Semua",$C$9="",D1964=$C$9),OR($C$10="",B1964&gt;=$C$10),OR($C$11="",B1964&lt;=$C$11),OR($C$12&lt;&gt;"Ya",K1964&lt;&gt;""),OR($C$13="Semua",$C$13="",L1964=$C$13)),"✓","")</f>
        <v/>
      </c>
      <c r="N1964" s="93">
        <f>N(N1963)+IF(M1964="✓",1,0)</f>
        <v/>
      </c>
      <c r="O1964" s="93">
        <f>N(O1963)+IF(AND(B1964&lt;&gt;"",B1964&gt;='Uang Riba'!$H$30,B1964&lt;='Uang Riba'!$I$30,OR(H1964="Dana riba",H1964="Pinjam uang riba",I1964="Pinjam dari uang riba",I1964="Ganti uang riba",I1964="Kelebihan ganti dikembalikan",AND(C1964="Kantong Uang Riba",G1964="Pengeluaran"))),1,0)</f>
        <v/>
      </c>
      <c r="X1964" s="93">
        <f>IF(AND(B1964&lt;&gt;"",B1964&gt;='Buku Akun'!$H$4,B1964&lt;='Buku Akun'!$H$5,OR(C1964='Buku Akun'!$C$4,AND(D1964="Pindah",E1964='Buku Akun'!$C$4))),B1964+IF(AND(I1964="Selisih bunga",DAY(B1964)=1),0,0.01)+ROW()/10000000,"")</f>
        <v/>
      </c>
    </row>
    <row r="1965" outlineLevel="1" ht="15" customHeight="1" s="94">
      <c r="A1965" s="123">
        <f>IF(B1965="","",ROW()-15)</f>
        <v/>
      </c>
      <c r="B1965" s="124" t="n"/>
      <c r="C1965" s="123" t="n"/>
      <c r="D1965" s="123" t="n"/>
      <c r="E1965" s="123" t="n"/>
      <c r="F1965" s="125" t="n"/>
      <c r="G1965" s="123" t="n"/>
      <c r="H1965" s="123" t="n"/>
      <c r="I1965" s="123" t="n"/>
      <c r="J1965" s="123" t="n"/>
      <c r="K1965" s="123" t="n"/>
      <c r="L1965" s="123" t="n"/>
      <c r="M1965" s="123">
        <f>IF(AND(B1965&lt;&gt;"",OR($C$4="",ISNUMBER(SEARCH($C$4,C1965&amp;" "&amp;E1965&amp;" "&amp;G1965&amp;" "&amp;H1965&amp;" "&amp;I1965&amp;" "&amp;J1965&amp;" "&amp;K1965&amp;" "&amp;L1965))),OR($C$5="Semua",$C$5="",G1965=$C$5),OR($C$6="Semua",$C$6="",H1965=$C$6,H1965="Pengeluaran "&amp;$C$6,AND($C$6="Uang Kos Mama",H1965="Pengeluaran Uang Kos")),OR($C$7="Semua",$C$7="",I1965=$C$7),OR($C$8="Semua",$C$8="",C1965=$C$8,E1965=$C$8),OR($C$9="Semua",$C$9="",D1965=$C$9),OR($C$10="",B1965&gt;=$C$10),OR($C$11="",B1965&lt;=$C$11),OR($C$12&lt;&gt;"Ya",K1965&lt;&gt;""),OR($C$13="Semua",$C$13="",L1965=$C$13)),"✓","")</f>
        <v/>
      </c>
      <c r="N1965" s="93">
        <f>N(N1964)+IF(M1965="✓",1,0)</f>
        <v/>
      </c>
      <c r="O1965" s="93">
        <f>N(O1964)+IF(AND(B1965&lt;&gt;"",B1965&gt;='Uang Riba'!$H$30,B1965&lt;='Uang Riba'!$I$30,OR(H1965="Dana riba",H1965="Pinjam uang riba",I1965="Pinjam dari uang riba",I1965="Ganti uang riba",I1965="Kelebihan ganti dikembalikan",AND(C1965="Kantong Uang Riba",G1965="Pengeluaran"))),1,0)</f>
        <v/>
      </c>
      <c r="X1965" s="93">
        <f>IF(AND(B1965&lt;&gt;"",B1965&gt;='Buku Akun'!$H$4,B1965&lt;='Buku Akun'!$H$5,OR(C1965='Buku Akun'!$C$4,AND(D1965="Pindah",E1965='Buku Akun'!$C$4))),B1965+IF(AND(I1965="Selisih bunga",DAY(B1965)=1),0,0.01)+ROW()/10000000,"")</f>
        <v/>
      </c>
    </row>
    <row r="1966" outlineLevel="1" ht="15" customHeight="1" s="94">
      <c r="A1966" s="123">
        <f>IF(B1966="","",ROW()-15)</f>
        <v/>
      </c>
      <c r="B1966" s="124" t="n"/>
      <c r="C1966" s="123" t="n"/>
      <c r="D1966" s="123" t="n"/>
      <c r="E1966" s="123" t="n"/>
      <c r="F1966" s="125" t="n"/>
      <c r="G1966" s="123" t="n"/>
      <c r="H1966" s="123" t="n"/>
      <c r="I1966" s="123" t="n"/>
      <c r="J1966" s="123" t="n"/>
      <c r="K1966" s="123" t="n"/>
      <c r="L1966" s="123" t="n"/>
      <c r="M1966" s="123">
        <f>IF(AND(B1966&lt;&gt;"",OR($C$4="",ISNUMBER(SEARCH($C$4,C1966&amp;" "&amp;E1966&amp;" "&amp;G1966&amp;" "&amp;H1966&amp;" "&amp;I1966&amp;" "&amp;J1966&amp;" "&amp;K1966&amp;" "&amp;L1966))),OR($C$5="Semua",$C$5="",G1966=$C$5),OR($C$6="Semua",$C$6="",H1966=$C$6,H1966="Pengeluaran "&amp;$C$6,AND($C$6="Uang Kos Mama",H1966="Pengeluaran Uang Kos")),OR($C$7="Semua",$C$7="",I1966=$C$7),OR($C$8="Semua",$C$8="",C1966=$C$8,E1966=$C$8),OR($C$9="Semua",$C$9="",D1966=$C$9),OR($C$10="",B1966&gt;=$C$10),OR($C$11="",B1966&lt;=$C$11),OR($C$12&lt;&gt;"Ya",K1966&lt;&gt;""),OR($C$13="Semua",$C$13="",L1966=$C$13)),"✓","")</f>
        <v/>
      </c>
      <c r="N1966" s="93">
        <f>N(N1965)+IF(M1966="✓",1,0)</f>
        <v/>
      </c>
      <c r="O1966" s="93">
        <f>N(O1965)+IF(AND(B1966&lt;&gt;"",B1966&gt;='Uang Riba'!$H$30,B1966&lt;='Uang Riba'!$I$30,OR(H1966="Dana riba",H1966="Pinjam uang riba",I1966="Pinjam dari uang riba",I1966="Ganti uang riba",I1966="Kelebihan ganti dikembalikan",AND(C1966="Kantong Uang Riba",G1966="Pengeluaran"))),1,0)</f>
        <v/>
      </c>
      <c r="X1966" s="93">
        <f>IF(AND(B1966&lt;&gt;"",B1966&gt;='Buku Akun'!$H$4,B1966&lt;='Buku Akun'!$H$5,OR(C1966='Buku Akun'!$C$4,AND(D1966="Pindah",E1966='Buku Akun'!$C$4))),B1966+IF(AND(I1966="Selisih bunga",DAY(B1966)=1),0,0.01)+ROW()/10000000,"")</f>
        <v/>
      </c>
    </row>
    <row r="1967" outlineLevel="1" ht="15" customHeight="1" s="94">
      <c r="A1967" s="123">
        <f>IF(B1967="","",ROW()-15)</f>
        <v/>
      </c>
      <c r="B1967" s="124" t="n"/>
      <c r="C1967" s="123" t="n"/>
      <c r="D1967" s="123" t="n"/>
      <c r="E1967" s="123" t="n"/>
      <c r="F1967" s="125" t="n"/>
      <c r="G1967" s="123" t="n"/>
      <c r="H1967" s="123" t="n"/>
      <c r="I1967" s="123" t="n"/>
      <c r="J1967" s="123" t="n"/>
      <c r="K1967" s="123" t="n"/>
      <c r="L1967" s="123" t="n"/>
      <c r="M1967" s="123">
        <f>IF(AND(B1967&lt;&gt;"",OR($C$4="",ISNUMBER(SEARCH($C$4,C1967&amp;" "&amp;E1967&amp;" "&amp;G1967&amp;" "&amp;H1967&amp;" "&amp;I1967&amp;" "&amp;J1967&amp;" "&amp;K1967&amp;" "&amp;L1967))),OR($C$5="Semua",$C$5="",G1967=$C$5),OR($C$6="Semua",$C$6="",H1967=$C$6,H1967="Pengeluaran "&amp;$C$6,AND($C$6="Uang Kos Mama",H1967="Pengeluaran Uang Kos")),OR($C$7="Semua",$C$7="",I1967=$C$7),OR($C$8="Semua",$C$8="",C1967=$C$8,E1967=$C$8),OR($C$9="Semua",$C$9="",D1967=$C$9),OR($C$10="",B1967&gt;=$C$10),OR($C$11="",B1967&lt;=$C$11),OR($C$12&lt;&gt;"Ya",K1967&lt;&gt;""),OR($C$13="Semua",$C$13="",L1967=$C$13)),"✓","")</f>
        <v/>
      </c>
      <c r="N1967" s="93">
        <f>N(N1966)+IF(M1967="✓",1,0)</f>
        <v/>
      </c>
      <c r="O1967" s="93">
        <f>N(O1966)+IF(AND(B1967&lt;&gt;"",B1967&gt;='Uang Riba'!$H$30,B1967&lt;='Uang Riba'!$I$30,OR(H1967="Dana riba",H1967="Pinjam uang riba",I1967="Pinjam dari uang riba",I1967="Ganti uang riba",I1967="Kelebihan ganti dikembalikan",AND(C1967="Kantong Uang Riba",G1967="Pengeluaran"))),1,0)</f>
        <v/>
      </c>
      <c r="X1967" s="93">
        <f>IF(AND(B1967&lt;&gt;"",B1967&gt;='Buku Akun'!$H$4,B1967&lt;='Buku Akun'!$H$5,OR(C1967='Buku Akun'!$C$4,AND(D1967="Pindah",E1967='Buku Akun'!$C$4))),B1967+IF(AND(I1967="Selisih bunga",DAY(B1967)=1),0,0.01)+ROW()/10000000,"")</f>
        <v/>
      </c>
    </row>
    <row r="1968" outlineLevel="1" ht="15" customHeight="1" s="94">
      <c r="A1968" s="123">
        <f>IF(B1968="","",ROW()-15)</f>
        <v/>
      </c>
      <c r="B1968" s="124" t="n"/>
      <c r="C1968" s="123" t="n"/>
      <c r="D1968" s="123" t="n"/>
      <c r="E1968" s="123" t="n"/>
      <c r="F1968" s="125" t="n"/>
      <c r="G1968" s="123" t="n"/>
      <c r="H1968" s="123" t="n"/>
      <c r="I1968" s="123" t="n"/>
      <c r="J1968" s="123" t="n"/>
      <c r="K1968" s="123" t="n"/>
      <c r="L1968" s="123" t="n"/>
      <c r="M1968" s="123">
        <f>IF(AND(B1968&lt;&gt;"",OR($C$4="",ISNUMBER(SEARCH($C$4,C1968&amp;" "&amp;E1968&amp;" "&amp;G1968&amp;" "&amp;H1968&amp;" "&amp;I1968&amp;" "&amp;J1968&amp;" "&amp;K1968&amp;" "&amp;L1968))),OR($C$5="Semua",$C$5="",G1968=$C$5),OR($C$6="Semua",$C$6="",H1968=$C$6,H1968="Pengeluaran "&amp;$C$6,AND($C$6="Uang Kos Mama",H1968="Pengeluaran Uang Kos")),OR($C$7="Semua",$C$7="",I1968=$C$7),OR($C$8="Semua",$C$8="",C1968=$C$8,E1968=$C$8),OR($C$9="Semua",$C$9="",D1968=$C$9),OR($C$10="",B1968&gt;=$C$10),OR($C$11="",B1968&lt;=$C$11),OR($C$12&lt;&gt;"Ya",K1968&lt;&gt;""),OR($C$13="Semua",$C$13="",L1968=$C$13)),"✓","")</f>
        <v/>
      </c>
      <c r="N1968" s="93">
        <f>N(N1967)+IF(M1968="✓",1,0)</f>
        <v/>
      </c>
      <c r="O1968" s="93">
        <f>N(O1967)+IF(AND(B1968&lt;&gt;"",B1968&gt;='Uang Riba'!$H$30,B1968&lt;='Uang Riba'!$I$30,OR(H1968="Dana riba",H1968="Pinjam uang riba",I1968="Pinjam dari uang riba",I1968="Ganti uang riba",I1968="Kelebihan ganti dikembalikan",AND(C1968="Kantong Uang Riba",G1968="Pengeluaran"))),1,0)</f>
        <v/>
      </c>
      <c r="X1968" s="93">
        <f>IF(AND(B1968&lt;&gt;"",B1968&gt;='Buku Akun'!$H$4,B1968&lt;='Buku Akun'!$H$5,OR(C1968='Buku Akun'!$C$4,AND(D1968="Pindah",E1968='Buku Akun'!$C$4))),B1968+IF(AND(I1968="Selisih bunga",DAY(B1968)=1),0,0.01)+ROW()/10000000,"")</f>
        <v/>
      </c>
    </row>
    <row r="1969" outlineLevel="1" ht="15" customHeight="1" s="94">
      <c r="A1969" s="123">
        <f>IF(B1969="","",ROW()-15)</f>
        <v/>
      </c>
      <c r="B1969" s="124" t="n"/>
      <c r="C1969" s="123" t="n"/>
      <c r="D1969" s="123" t="n"/>
      <c r="E1969" s="123" t="n"/>
      <c r="F1969" s="125" t="n"/>
      <c r="G1969" s="123" t="n"/>
      <c r="H1969" s="123" t="n"/>
      <c r="I1969" s="123" t="n"/>
      <c r="J1969" s="123" t="n"/>
      <c r="K1969" s="123" t="n"/>
      <c r="L1969" s="123" t="n"/>
      <c r="M1969" s="123">
        <f>IF(AND(B1969&lt;&gt;"",OR($C$4="",ISNUMBER(SEARCH($C$4,C1969&amp;" "&amp;E1969&amp;" "&amp;G1969&amp;" "&amp;H1969&amp;" "&amp;I1969&amp;" "&amp;J1969&amp;" "&amp;K1969&amp;" "&amp;L1969))),OR($C$5="Semua",$C$5="",G1969=$C$5),OR($C$6="Semua",$C$6="",H1969=$C$6,H1969="Pengeluaran "&amp;$C$6,AND($C$6="Uang Kos Mama",H1969="Pengeluaran Uang Kos")),OR($C$7="Semua",$C$7="",I1969=$C$7),OR($C$8="Semua",$C$8="",C1969=$C$8,E1969=$C$8),OR($C$9="Semua",$C$9="",D1969=$C$9),OR($C$10="",B1969&gt;=$C$10),OR($C$11="",B1969&lt;=$C$11),OR($C$12&lt;&gt;"Ya",K1969&lt;&gt;""),OR($C$13="Semua",$C$13="",L1969=$C$13)),"✓","")</f>
        <v/>
      </c>
      <c r="N1969" s="93">
        <f>N(N1968)+IF(M1969="✓",1,0)</f>
        <v/>
      </c>
      <c r="O1969" s="93">
        <f>N(O1968)+IF(AND(B1969&lt;&gt;"",B1969&gt;='Uang Riba'!$H$30,B1969&lt;='Uang Riba'!$I$30,OR(H1969="Dana riba",H1969="Pinjam uang riba",I1969="Pinjam dari uang riba",I1969="Ganti uang riba",I1969="Kelebihan ganti dikembalikan",AND(C1969="Kantong Uang Riba",G1969="Pengeluaran"))),1,0)</f>
        <v/>
      </c>
      <c r="X1969" s="93">
        <f>IF(AND(B1969&lt;&gt;"",B1969&gt;='Buku Akun'!$H$4,B1969&lt;='Buku Akun'!$H$5,OR(C1969='Buku Akun'!$C$4,AND(D1969="Pindah",E1969='Buku Akun'!$C$4))),B1969+IF(AND(I1969="Selisih bunga",DAY(B1969)=1),0,0.01)+ROW()/10000000,"")</f>
        <v/>
      </c>
    </row>
    <row r="1970" outlineLevel="1" ht="15" customHeight="1" s="94">
      <c r="A1970" s="123">
        <f>IF(B1970="","",ROW()-15)</f>
        <v/>
      </c>
      <c r="B1970" s="124" t="n"/>
      <c r="C1970" s="123" t="n"/>
      <c r="D1970" s="123" t="n"/>
      <c r="E1970" s="123" t="n"/>
      <c r="F1970" s="125" t="n"/>
      <c r="G1970" s="123" t="n"/>
      <c r="H1970" s="123" t="n"/>
      <c r="I1970" s="123" t="n"/>
      <c r="J1970" s="123" t="n"/>
      <c r="K1970" s="123" t="n"/>
      <c r="L1970" s="123" t="n"/>
      <c r="M1970" s="123">
        <f>IF(AND(B1970&lt;&gt;"",OR($C$4="",ISNUMBER(SEARCH($C$4,C1970&amp;" "&amp;E1970&amp;" "&amp;G1970&amp;" "&amp;H1970&amp;" "&amp;I1970&amp;" "&amp;J1970&amp;" "&amp;K1970&amp;" "&amp;L1970))),OR($C$5="Semua",$C$5="",G1970=$C$5),OR($C$6="Semua",$C$6="",H1970=$C$6,H1970="Pengeluaran "&amp;$C$6,AND($C$6="Uang Kos Mama",H1970="Pengeluaran Uang Kos")),OR($C$7="Semua",$C$7="",I1970=$C$7),OR($C$8="Semua",$C$8="",C1970=$C$8,E1970=$C$8),OR($C$9="Semua",$C$9="",D1970=$C$9),OR($C$10="",B1970&gt;=$C$10),OR($C$11="",B1970&lt;=$C$11),OR($C$12&lt;&gt;"Ya",K1970&lt;&gt;""),OR($C$13="Semua",$C$13="",L1970=$C$13)),"✓","")</f>
        <v/>
      </c>
      <c r="N1970" s="93">
        <f>N(N1969)+IF(M1970="✓",1,0)</f>
        <v/>
      </c>
      <c r="O1970" s="93">
        <f>N(O1969)+IF(AND(B1970&lt;&gt;"",B1970&gt;='Uang Riba'!$H$30,B1970&lt;='Uang Riba'!$I$30,OR(H1970="Dana riba",H1970="Pinjam uang riba",I1970="Pinjam dari uang riba",I1970="Ganti uang riba",I1970="Kelebihan ganti dikembalikan",AND(C1970="Kantong Uang Riba",G1970="Pengeluaran"))),1,0)</f>
        <v/>
      </c>
      <c r="X1970" s="93">
        <f>IF(AND(B1970&lt;&gt;"",B1970&gt;='Buku Akun'!$H$4,B1970&lt;='Buku Akun'!$H$5,OR(C1970='Buku Akun'!$C$4,AND(D1970="Pindah",E1970='Buku Akun'!$C$4))),B1970+IF(AND(I1970="Selisih bunga",DAY(B1970)=1),0,0.01)+ROW()/10000000,"")</f>
        <v/>
      </c>
    </row>
    <row r="1971" outlineLevel="1" ht="15" customHeight="1" s="94">
      <c r="A1971" s="123">
        <f>IF(B1971="","",ROW()-15)</f>
        <v/>
      </c>
      <c r="B1971" s="124" t="n"/>
      <c r="C1971" s="123" t="n"/>
      <c r="D1971" s="123" t="n"/>
      <c r="E1971" s="123" t="n"/>
      <c r="F1971" s="125" t="n"/>
      <c r="G1971" s="123" t="n"/>
      <c r="H1971" s="123" t="n"/>
      <c r="I1971" s="123" t="n"/>
      <c r="J1971" s="123" t="n"/>
      <c r="K1971" s="123" t="n"/>
      <c r="L1971" s="123" t="n"/>
      <c r="M1971" s="123">
        <f>IF(AND(B1971&lt;&gt;"",OR($C$4="",ISNUMBER(SEARCH($C$4,C1971&amp;" "&amp;E1971&amp;" "&amp;G1971&amp;" "&amp;H1971&amp;" "&amp;I1971&amp;" "&amp;J1971&amp;" "&amp;K1971&amp;" "&amp;L1971))),OR($C$5="Semua",$C$5="",G1971=$C$5),OR($C$6="Semua",$C$6="",H1971=$C$6,H1971="Pengeluaran "&amp;$C$6,AND($C$6="Uang Kos Mama",H1971="Pengeluaran Uang Kos")),OR($C$7="Semua",$C$7="",I1971=$C$7),OR($C$8="Semua",$C$8="",C1971=$C$8,E1971=$C$8),OR($C$9="Semua",$C$9="",D1971=$C$9),OR($C$10="",B1971&gt;=$C$10),OR($C$11="",B1971&lt;=$C$11),OR($C$12&lt;&gt;"Ya",K1971&lt;&gt;""),OR($C$13="Semua",$C$13="",L1971=$C$13)),"✓","")</f>
        <v/>
      </c>
      <c r="N1971" s="93">
        <f>N(N1970)+IF(M1971="✓",1,0)</f>
        <v/>
      </c>
      <c r="O1971" s="93">
        <f>N(O1970)+IF(AND(B1971&lt;&gt;"",B1971&gt;='Uang Riba'!$H$30,B1971&lt;='Uang Riba'!$I$30,OR(H1971="Dana riba",H1971="Pinjam uang riba",I1971="Pinjam dari uang riba",I1971="Ganti uang riba",I1971="Kelebihan ganti dikembalikan",AND(C1971="Kantong Uang Riba",G1971="Pengeluaran"))),1,0)</f>
        <v/>
      </c>
      <c r="X1971" s="93">
        <f>IF(AND(B1971&lt;&gt;"",B1971&gt;='Buku Akun'!$H$4,B1971&lt;='Buku Akun'!$H$5,OR(C1971='Buku Akun'!$C$4,AND(D1971="Pindah",E1971='Buku Akun'!$C$4))),B1971+IF(AND(I1971="Selisih bunga",DAY(B1971)=1),0,0.01)+ROW()/10000000,"")</f>
        <v/>
      </c>
    </row>
    <row r="1972" outlineLevel="1" ht="15" customHeight="1" s="94">
      <c r="A1972" s="123">
        <f>IF(B1972="","",ROW()-15)</f>
        <v/>
      </c>
      <c r="B1972" s="124" t="n"/>
      <c r="C1972" s="123" t="n"/>
      <c r="D1972" s="123" t="n"/>
      <c r="E1972" s="123" t="n"/>
      <c r="F1972" s="125" t="n"/>
      <c r="G1972" s="123" t="n"/>
      <c r="H1972" s="123" t="n"/>
      <c r="I1972" s="123" t="n"/>
      <c r="J1972" s="123" t="n"/>
      <c r="K1972" s="123" t="n"/>
      <c r="L1972" s="123" t="n"/>
      <c r="M1972" s="123">
        <f>IF(AND(B1972&lt;&gt;"",OR($C$4="",ISNUMBER(SEARCH($C$4,C1972&amp;" "&amp;E1972&amp;" "&amp;G1972&amp;" "&amp;H1972&amp;" "&amp;I1972&amp;" "&amp;J1972&amp;" "&amp;K1972&amp;" "&amp;L1972))),OR($C$5="Semua",$C$5="",G1972=$C$5),OR($C$6="Semua",$C$6="",H1972=$C$6,H1972="Pengeluaran "&amp;$C$6,AND($C$6="Uang Kos Mama",H1972="Pengeluaran Uang Kos")),OR($C$7="Semua",$C$7="",I1972=$C$7),OR($C$8="Semua",$C$8="",C1972=$C$8,E1972=$C$8),OR($C$9="Semua",$C$9="",D1972=$C$9),OR($C$10="",B1972&gt;=$C$10),OR($C$11="",B1972&lt;=$C$11),OR($C$12&lt;&gt;"Ya",K1972&lt;&gt;""),OR($C$13="Semua",$C$13="",L1972=$C$13)),"✓","")</f>
        <v/>
      </c>
      <c r="N1972" s="93">
        <f>N(N1971)+IF(M1972="✓",1,0)</f>
        <v/>
      </c>
      <c r="O1972" s="93">
        <f>N(O1971)+IF(AND(B1972&lt;&gt;"",B1972&gt;='Uang Riba'!$H$30,B1972&lt;='Uang Riba'!$I$30,OR(H1972="Dana riba",H1972="Pinjam uang riba",I1972="Pinjam dari uang riba",I1972="Ganti uang riba",I1972="Kelebihan ganti dikembalikan",AND(C1972="Kantong Uang Riba",G1972="Pengeluaran"))),1,0)</f>
        <v/>
      </c>
      <c r="X1972" s="93">
        <f>IF(AND(B1972&lt;&gt;"",B1972&gt;='Buku Akun'!$H$4,B1972&lt;='Buku Akun'!$H$5,OR(C1972='Buku Akun'!$C$4,AND(D1972="Pindah",E1972='Buku Akun'!$C$4))),B1972+IF(AND(I1972="Selisih bunga",DAY(B1972)=1),0,0.01)+ROW()/10000000,"")</f>
        <v/>
      </c>
    </row>
    <row r="1973" outlineLevel="1" ht="15" customHeight="1" s="94">
      <c r="A1973" s="123">
        <f>IF(B1973="","",ROW()-15)</f>
        <v/>
      </c>
      <c r="B1973" s="124" t="n"/>
      <c r="C1973" s="123" t="n"/>
      <c r="D1973" s="123" t="n"/>
      <c r="E1973" s="123" t="n"/>
      <c r="F1973" s="125" t="n"/>
      <c r="G1973" s="123" t="n"/>
      <c r="H1973" s="123" t="n"/>
      <c r="I1973" s="123" t="n"/>
      <c r="J1973" s="123" t="n"/>
      <c r="K1973" s="123" t="n"/>
      <c r="L1973" s="123" t="n"/>
      <c r="M1973" s="123">
        <f>IF(AND(B1973&lt;&gt;"",OR($C$4="",ISNUMBER(SEARCH($C$4,C1973&amp;" "&amp;E1973&amp;" "&amp;G1973&amp;" "&amp;H1973&amp;" "&amp;I1973&amp;" "&amp;J1973&amp;" "&amp;K1973&amp;" "&amp;L1973))),OR($C$5="Semua",$C$5="",G1973=$C$5),OR($C$6="Semua",$C$6="",H1973=$C$6,H1973="Pengeluaran "&amp;$C$6,AND($C$6="Uang Kos Mama",H1973="Pengeluaran Uang Kos")),OR($C$7="Semua",$C$7="",I1973=$C$7),OR($C$8="Semua",$C$8="",C1973=$C$8,E1973=$C$8),OR($C$9="Semua",$C$9="",D1973=$C$9),OR($C$10="",B1973&gt;=$C$10),OR($C$11="",B1973&lt;=$C$11),OR($C$12&lt;&gt;"Ya",K1973&lt;&gt;""),OR($C$13="Semua",$C$13="",L1973=$C$13)),"✓","")</f>
        <v/>
      </c>
      <c r="N1973" s="93">
        <f>N(N1972)+IF(M1973="✓",1,0)</f>
        <v/>
      </c>
      <c r="O1973" s="93">
        <f>N(O1972)+IF(AND(B1973&lt;&gt;"",B1973&gt;='Uang Riba'!$H$30,B1973&lt;='Uang Riba'!$I$30,OR(H1973="Dana riba",H1973="Pinjam uang riba",I1973="Pinjam dari uang riba",I1973="Ganti uang riba",I1973="Kelebihan ganti dikembalikan",AND(C1973="Kantong Uang Riba",G1973="Pengeluaran"))),1,0)</f>
        <v/>
      </c>
      <c r="X1973" s="93">
        <f>IF(AND(B1973&lt;&gt;"",B1973&gt;='Buku Akun'!$H$4,B1973&lt;='Buku Akun'!$H$5,OR(C1973='Buku Akun'!$C$4,AND(D1973="Pindah",E1973='Buku Akun'!$C$4))),B1973+IF(AND(I1973="Selisih bunga",DAY(B1973)=1),0,0.01)+ROW()/10000000,"")</f>
        <v/>
      </c>
    </row>
    <row r="1974" outlineLevel="1" ht="15" customHeight="1" s="94">
      <c r="A1974" s="123">
        <f>IF(B1974="","",ROW()-15)</f>
        <v/>
      </c>
      <c r="B1974" s="124" t="n"/>
      <c r="C1974" s="123" t="n"/>
      <c r="D1974" s="123" t="n"/>
      <c r="E1974" s="123" t="n"/>
      <c r="F1974" s="125" t="n"/>
      <c r="G1974" s="123" t="n"/>
      <c r="H1974" s="123" t="n"/>
      <c r="I1974" s="123" t="n"/>
      <c r="J1974" s="123" t="n"/>
      <c r="K1974" s="123" t="n"/>
      <c r="L1974" s="123" t="n"/>
      <c r="M1974" s="123">
        <f>IF(AND(B1974&lt;&gt;"",OR($C$4="",ISNUMBER(SEARCH($C$4,C1974&amp;" "&amp;E1974&amp;" "&amp;G1974&amp;" "&amp;H1974&amp;" "&amp;I1974&amp;" "&amp;J1974&amp;" "&amp;K1974&amp;" "&amp;L1974))),OR($C$5="Semua",$C$5="",G1974=$C$5),OR($C$6="Semua",$C$6="",H1974=$C$6,H1974="Pengeluaran "&amp;$C$6,AND($C$6="Uang Kos Mama",H1974="Pengeluaran Uang Kos")),OR($C$7="Semua",$C$7="",I1974=$C$7),OR($C$8="Semua",$C$8="",C1974=$C$8,E1974=$C$8),OR($C$9="Semua",$C$9="",D1974=$C$9),OR($C$10="",B1974&gt;=$C$10),OR($C$11="",B1974&lt;=$C$11),OR($C$12&lt;&gt;"Ya",K1974&lt;&gt;""),OR($C$13="Semua",$C$13="",L1974=$C$13)),"✓","")</f>
        <v/>
      </c>
      <c r="N1974" s="93">
        <f>N(N1973)+IF(M1974="✓",1,0)</f>
        <v/>
      </c>
      <c r="O1974" s="93">
        <f>N(O1973)+IF(AND(B1974&lt;&gt;"",B1974&gt;='Uang Riba'!$H$30,B1974&lt;='Uang Riba'!$I$30,OR(H1974="Dana riba",H1974="Pinjam uang riba",I1974="Pinjam dari uang riba",I1974="Ganti uang riba",I1974="Kelebihan ganti dikembalikan",AND(C1974="Kantong Uang Riba",G1974="Pengeluaran"))),1,0)</f>
        <v/>
      </c>
      <c r="X1974" s="93">
        <f>IF(AND(B1974&lt;&gt;"",B1974&gt;='Buku Akun'!$H$4,B1974&lt;='Buku Akun'!$H$5,OR(C1974='Buku Akun'!$C$4,AND(D1974="Pindah",E1974='Buku Akun'!$C$4))),B1974+IF(AND(I1974="Selisih bunga",DAY(B1974)=1),0,0.01)+ROW()/10000000,"")</f>
        <v/>
      </c>
    </row>
    <row r="1975" outlineLevel="1" ht="15" customHeight="1" s="94">
      <c r="A1975" s="123">
        <f>IF(B1975="","",ROW()-15)</f>
        <v/>
      </c>
      <c r="B1975" s="124" t="n"/>
      <c r="C1975" s="123" t="n"/>
      <c r="D1975" s="123" t="n"/>
      <c r="E1975" s="123" t="n"/>
      <c r="F1975" s="125" t="n"/>
      <c r="G1975" s="123" t="n"/>
      <c r="H1975" s="123" t="n"/>
      <c r="I1975" s="123" t="n"/>
      <c r="J1975" s="123" t="n"/>
      <c r="K1975" s="123" t="n"/>
      <c r="L1975" s="123" t="n"/>
      <c r="M1975" s="123">
        <f>IF(AND(B1975&lt;&gt;"",OR($C$4="",ISNUMBER(SEARCH($C$4,C1975&amp;" "&amp;E1975&amp;" "&amp;G1975&amp;" "&amp;H1975&amp;" "&amp;I1975&amp;" "&amp;J1975&amp;" "&amp;K1975&amp;" "&amp;L1975))),OR($C$5="Semua",$C$5="",G1975=$C$5),OR($C$6="Semua",$C$6="",H1975=$C$6,H1975="Pengeluaran "&amp;$C$6,AND($C$6="Uang Kos Mama",H1975="Pengeluaran Uang Kos")),OR($C$7="Semua",$C$7="",I1975=$C$7),OR($C$8="Semua",$C$8="",C1975=$C$8,E1975=$C$8),OR($C$9="Semua",$C$9="",D1975=$C$9),OR($C$10="",B1975&gt;=$C$10),OR($C$11="",B1975&lt;=$C$11),OR($C$12&lt;&gt;"Ya",K1975&lt;&gt;""),OR($C$13="Semua",$C$13="",L1975=$C$13)),"✓","")</f>
        <v/>
      </c>
      <c r="N1975" s="93">
        <f>N(N1974)+IF(M1975="✓",1,0)</f>
        <v/>
      </c>
      <c r="O1975" s="93">
        <f>N(O1974)+IF(AND(B1975&lt;&gt;"",B1975&gt;='Uang Riba'!$H$30,B1975&lt;='Uang Riba'!$I$30,OR(H1975="Dana riba",H1975="Pinjam uang riba",I1975="Pinjam dari uang riba",I1975="Ganti uang riba",I1975="Kelebihan ganti dikembalikan",AND(C1975="Kantong Uang Riba",G1975="Pengeluaran"))),1,0)</f>
        <v/>
      </c>
      <c r="X1975" s="93">
        <f>IF(AND(B1975&lt;&gt;"",B1975&gt;='Buku Akun'!$H$4,B1975&lt;='Buku Akun'!$H$5,OR(C1975='Buku Akun'!$C$4,AND(D1975="Pindah",E1975='Buku Akun'!$C$4))),B1975+IF(AND(I1975="Selisih bunga",DAY(B1975)=1),0,0.01)+ROW()/10000000,"")</f>
        <v/>
      </c>
    </row>
    <row r="1976" outlineLevel="1" ht="15" customHeight="1" s="94">
      <c r="A1976" s="123">
        <f>IF(B1976="","",ROW()-15)</f>
        <v/>
      </c>
      <c r="B1976" s="124" t="n"/>
      <c r="C1976" s="123" t="n"/>
      <c r="D1976" s="123" t="n"/>
      <c r="E1976" s="123" t="n"/>
      <c r="F1976" s="125" t="n"/>
      <c r="G1976" s="123" t="n"/>
      <c r="H1976" s="123" t="n"/>
      <c r="I1976" s="123" t="n"/>
      <c r="J1976" s="123" t="n"/>
      <c r="K1976" s="123" t="n"/>
      <c r="L1976" s="123" t="n"/>
      <c r="M1976" s="123">
        <f>IF(AND(B1976&lt;&gt;"",OR($C$4="",ISNUMBER(SEARCH($C$4,C1976&amp;" "&amp;E1976&amp;" "&amp;G1976&amp;" "&amp;H1976&amp;" "&amp;I1976&amp;" "&amp;J1976&amp;" "&amp;K1976&amp;" "&amp;L1976))),OR($C$5="Semua",$C$5="",G1976=$C$5),OR($C$6="Semua",$C$6="",H1976=$C$6,H1976="Pengeluaran "&amp;$C$6,AND($C$6="Uang Kos Mama",H1976="Pengeluaran Uang Kos")),OR($C$7="Semua",$C$7="",I1976=$C$7),OR($C$8="Semua",$C$8="",C1976=$C$8,E1976=$C$8),OR($C$9="Semua",$C$9="",D1976=$C$9),OR($C$10="",B1976&gt;=$C$10),OR($C$11="",B1976&lt;=$C$11),OR($C$12&lt;&gt;"Ya",K1976&lt;&gt;""),OR($C$13="Semua",$C$13="",L1976=$C$13)),"✓","")</f>
        <v/>
      </c>
      <c r="N1976" s="93">
        <f>N(N1975)+IF(M1976="✓",1,0)</f>
        <v/>
      </c>
      <c r="O1976" s="93">
        <f>N(O1975)+IF(AND(B1976&lt;&gt;"",B1976&gt;='Uang Riba'!$H$30,B1976&lt;='Uang Riba'!$I$30,OR(H1976="Dana riba",H1976="Pinjam uang riba",I1976="Pinjam dari uang riba",I1976="Ganti uang riba",I1976="Kelebihan ganti dikembalikan",AND(C1976="Kantong Uang Riba",G1976="Pengeluaran"))),1,0)</f>
        <v/>
      </c>
      <c r="X1976" s="93">
        <f>IF(AND(B1976&lt;&gt;"",B1976&gt;='Buku Akun'!$H$4,B1976&lt;='Buku Akun'!$H$5,OR(C1976='Buku Akun'!$C$4,AND(D1976="Pindah",E1976='Buku Akun'!$C$4))),B1976+IF(AND(I1976="Selisih bunga",DAY(B1976)=1),0,0.01)+ROW()/10000000,"")</f>
        <v/>
      </c>
    </row>
    <row r="1977" outlineLevel="1" ht="15" customHeight="1" s="94">
      <c r="A1977" s="123">
        <f>IF(B1977="","",ROW()-15)</f>
        <v/>
      </c>
      <c r="B1977" s="124" t="n"/>
      <c r="C1977" s="123" t="n"/>
      <c r="D1977" s="123" t="n"/>
      <c r="E1977" s="123" t="n"/>
      <c r="F1977" s="125" t="n"/>
      <c r="G1977" s="123" t="n"/>
      <c r="H1977" s="123" t="n"/>
      <c r="I1977" s="123" t="n"/>
      <c r="J1977" s="123" t="n"/>
      <c r="K1977" s="123" t="n"/>
      <c r="L1977" s="123" t="n"/>
      <c r="M1977" s="123">
        <f>IF(AND(B1977&lt;&gt;"",OR($C$4="",ISNUMBER(SEARCH($C$4,C1977&amp;" "&amp;E1977&amp;" "&amp;G1977&amp;" "&amp;H1977&amp;" "&amp;I1977&amp;" "&amp;J1977&amp;" "&amp;K1977&amp;" "&amp;L1977))),OR($C$5="Semua",$C$5="",G1977=$C$5),OR($C$6="Semua",$C$6="",H1977=$C$6,H1977="Pengeluaran "&amp;$C$6,AND($C$6="Uang Kos Mama",H1977="Pengeluaran Uang Kos")),OR($C$7="Semua",$C$7="",I1977=$C$7),OR($C$8="Semua",$C$8="",C1977=$C$8,E1977=$C$8),OR($C$9="Semua",$C$9="",D1977=$C$9),OR($C$10="",B1977&gt;=$C$10),OR($C$11="",B1977&lt;=$C$11),OR($C$12&lt;&gt;"Ya",K1977&lt;&gt;""),OR($C$13="Semua",$C$13="",L1977=$C$13)),"✓","")</f>
        <v/>
      </c>
      <c r="N1977" s="93">
        <f>N(N1976)+IF(M1977="✓",1,0)</f>
        <v/>
      </c>
      <c r="O1977" s="93">
        <f>N(O1976)+IF(AND(B1977&lt;&gt;"",B1977&gt;='Uang Riba'!$H$30,B1977&lt;='Uang Riba'!$I$30,OR(H1977="Dana riba",H1977="Pinjam uang riba",I1977="Pinjam dari uang riba",I1977="Ganti uang riba",I1977="Kelebihan ganti dikembalikan",AND(C1977="Kantong Uang Riba",G1977="Pengeluaran"))),1,0)</f>
        <v/>
      </c>
      <c r="X1977" s="93">
        <f>IF(AND(B1977&lt;&gt;"",B1977&gt;='Buku Akun'!$H$4,B1977&lt;='Buku Akun'!$H$5,OR(C1977='Buku Akun'!$C$4,AND(D1977="Pindah",E1977='Buku Akun'!$C$4))),B1977+IF(AND(I1977="Selisih bunga",DAY(B1977)=1),0,0.01)+ROW()/10000000,"")</f>
        <v/>
      </c>
    </row>
    <row r="1978" outlineLevel="1" ht="15" customHeight="1" s="94">
      <c r="A1978" s="123">
        <f>IF(B1978="","",ROW()-15)</f>
        <v/>
      </c>
      <c r="B1978" s="124" t="n"/>
      <c r="C1978" s="123" t="n"/>
      <c r="D1978" s="123" t="n"/>
      <c r="E1978" s="123" t="n"/>
      <c r="F1978" s="125" t="n"/>
      <c r="G1978" s="123" t="n"/>
      <c r="H1978" s="123" t="n"/>
      <c r="I1978" s="123" t="n"/>
      <c r="J1978" s="123" t="n"/>
      <c r="K1978" s="123" t="n"/>
      <c r="L1978" s="123" t="n"/>
      <c r="M1978" s="123">
        <f>IF(AND(B1978&lt;&gt;"",OR($C$4="",ISNUMBER(SEARCH($C$4,C1978&amp;" "&amp;E1978&amp;" "&amp;G1978&amp;" "&amp;H1978&amp;" "&amp;I1978&amp;" "&amp;J1978&amp;" "&amp;K1978&amp;" "&amp;L1978))),OR($C$5="Semua",$C$5="",G1978=$C$5),OR($C$6="Semua",$C$6="",H1978=$C$6,H1978="Pengeluaran "&amp;$C$6,AND($C$6="Uang Kos Mama",H1978="Pengeluaran Uang Kos")),OR($C$7="Semua",$C$7="",I1978=$C$7),OR($C$8="Semua",$C$8="",C1978=$C$8,E1978=$C$8),OR($C$9="Semua",$C$9="",D1978=$C$9),OR($C$10="",B1978&gt;=$C$10),OR($C$11="",B1978&lt;=$C$11),OR($C$12&lt;&gt;"Ya",K1978&lt;&gt;""),OR($C$13="Semua",$C$13="",L1978=$C$13)),"✓","")</f>
        <v/>
      </c>
      <c r="N1978" s="93">
        <f>N(N1977)+IF(M1978="✓",1,0)</f>
        <v/>
      </c>
      <c r="O1978" s="93">
        <f>N(O1977)+IF(AND(B1978&lt;&gt;"",B1978&gt;='Uang Riba'!$H$30,B1978&lt;='Uang Riba'!$I$30,OR(H1978="Dana riba",H1978="Pinjam uang riba",I1978="Pinjam dari uang riba",I1978="Ganti uang riba",I1978="Kelebihan ganti dikembalikan",AND(C1978="Kantong Uang Riba",G1978="Pengeluaran"))),1,0)</f>
        <v/>
      </c>
      <c r="X1978" s="93">
        <f>IF(AND(B1978&lt;&gt;"",B1978&gt;='Buku Akun'!$H$4,B1978&lt;='Buku Akun'!$H$5,OR(C1978='Buku Akun'!$C$4,AND(D1978="Pindah",E1978='Buku Akun'!$C$4))),B1978+IF(AND(I1978="Selisih bunga",DAY(B1978)=1),0,0.01)+ROW()/10000000,"")</f>
        <v/>
      </c>
    </row>
    <row r="1979" outlineLevel="1" ht="15" customHeight="1" s="94">
      <c r="A1979" s="123">
        <f>IF(B1979="","",ROW()-15)</f>
        <v/>
      </c>
      <c r="B1979" s="124" t="n"/>
      <c r="C1979" s="123" t="n"/>
      <c r="D1979" s="123" t="n"/>
      <c r="E1979" s="123" t="n"/>
      <c r="F1979" s="125" t="n"/>
      <c r="G1979" s="123" t="n"/>
      <c r="H1979" s="123" t="n"/>
      <c r="I1979" s="123" t="n"/>
      <c r="J1979" s="123" t="n"/>
      <c r="K1979" s="123" t="n"/>
      <c r="L1979" s="123" t="n"/>
      <c r="M1979" s="123">
        <f>IF(AND(B1979&lt;&gt;"",OR($C$4="",ISNUMBER(SEARCH($C$4,C1979&amp;" "&amp;E1979&amp;" "&amp;G1979&amp;" "&amp;H1979&amp;" "&amp;I1979&amp;" "&amp;J1979&amp;" "&amp;K1979&amp;" "&amp;L1979))),OR($C$5="Semua",$C$5="",G1979=$C$5),OR($C$6="Semua",$C$6="",H1979=$C$6,H1979="Pengeluaran "&amp;$C$6,AND($C$6="Uang Kos Mama",H1979="Pengeluaran Uang Kos")),OR($C$7="Semua",$C$7="",I1979=$C$7),OR($C$8="Semua",$C$8="",C1979=$C$8,E1979=$C$8),OR($C$9="Semua",$C$9="",D1979=$C$9),OR($C$10="",B1979&gt;=$C$10),OR($C$11="",B1979&lt;=$C$11),OR($C$12&lt;&gt;"Ya",K1979&lt;&gt;""),OR($C$13="Semua",$C$13="",L1979=$C$13)),"✓","")</f>
        <v/>
      </c>
      <c r="N1979" s="93">
        <f>N(N1978)+IF(M1979="✓",1,0)</f>
        <v/>
      </c>
      <c r="O1979" s="93">
        <f>N(O1978)+IF(AND(B1979&lt;&gt;"",B1979&gt;='Uang Riba'!$H$30,B1979&lt;='Uang Riba'!$I$30,OR(H1979="Dana riba",H1979="Pinjam uang riba",I1979="Pinjam dari uang riba",I1979="Ganti uang riba",I1979="Kelebihan ganti dikembalikan",AND(C1979="Kantong Uang Riba",G1979="Pengeluaran"))),1,0)</f>
        <v/>
      </c>
      <c r="X1979" s="93">
        <f>IF(AND(B1979&lt;&gt;"",B1979&gt;='Buku Akun'!$H$4,B1979&lt;='Buku Akun'!$H$5,OR(C1979='Buku Akun'!$C$4,AND(D1979="Pindah",E1979='Buku Akun'!$C$4))),B1979+IF(AND(I1979="Selisih bunga",DAY(B1979)=1),0,0.01)+ROW()/10000000,"")</f>
        <v/>
      </c>
    </row>
    <row r="1980" outlineLevel="1" ht="15" customHeight="1" s="94">
      <c r="A1980" s="123">
        <f>IF(B1980="","",ROW()-15)</f>
        <v/>
      </c>
      <c r="B1980" s="124" t="n"/>
      <c r="C1980" s="123" t="n"/>
      <c r="D1980" s="123" t="n"/>
      <c r="E1980" s="123" t="n"/>
      <c r="F1980" s="125" t="n"/>
      <c r="G1980" s="123" t="n"/>
      <c r="H1980" s="123" t="n"/>
      <c r="I1980" s="123" t="n"/>
      <c r="J1980" s="123" t="n"/>
      <c r="K1980" s="123" t="n"/>
      <c r="L1980" s="123" t="n"/>
      <c r="M1980" s="123">
        <f>IF(AND(B1980&lt;&gt;"",OR($C$4="",ISNUMBER(SEARCH($C$4,C1980&amp;" "&amp;E1980&amp;" "&amp;G1980&amp;" "&amp;H1980&amp;" "&amp;I1980&amp;" "&amp;J1980&amp;" "&amp;K1980&amp;" "&amp;L1980))),OR($C$5="Semua",$C$5="",G1980=$C$5),OR($C$6="Semua",$C$6="",H1980=$C$6,H1980="Pengeluaran "&amp;$C$6,AND($C$6="Uang Kos Mama",H1980="Pengeluaran Uang Kos")),OR($C$7="Semua",$C$7="",I1980=$C$7),OR($C$8="Semua",$C$8="",C1980=$C$8,E1980=$C$8),OR($C$9="Semua",$C$9="",D1980=$C$9),OR($C$10="",B1980&gt;=$C$10),OR($C$11="",B1980&lt;=$C$11),OR($C$12&lt;&gt;"Ya",K1980&lt;&gt;""),OR($C$13="Semua",$C$13="",L1980=$C$13)),"✓","")</f>
        <v/>
      </c>
      <c r="N1980" s="93">
        <f>N(N1979)+IF(M1980="✓",1,0)</f>
        <v/>
      </c>
      <c r="O1980" s="93">
        <f>N(O1979)+IF(AND(B1980&lt;&gt;"",B1980&gt;='Uang Riba'!$H$30,B1980&lt;='Uang Riba'!$I$30,OR(H1980="Dana riba",H1980="Pinjam uang riba",I1980="Pinjam dari uang riba",I1980="Ganti uang riba",I1980="Kelebihan ganti dikembalikan",AND(C1980="Kantong Uang Riba",G1980="Pengeluaran"))),1,0)</f>
        <v/>
      </c>
      <c r="X1980" s="93">
        <f>IF(AND(B1980&lt;&gt;"",B1980&gt;='Buku Akun'!$H$4,B1980&lt;='Buku Akun'!$H$5,OR(C1980='Buku Akun'!$C$4,AND(D1980="Pindah",E1980='Buku Akun'!$C$4))),B1980+IF(AND(I1980="Selisih bunga",DAY(B1980)=1),0,0.01)+ROW()/10000000,"")</f>
        <v/>
      </c>
    </row>
    <row r="1981" outlineLevel="1" ht="15" customHeight="1" s="94">
      <c r="A1981" s="123">
        <f>IF(B1981="","",ROW()-15)</f>
        <v/>
      </c>
      <c r="B1981" s="124" t="n"/>
      <c r="C1981" s="123" t="n"/>
      <c r="D1981" s="123" t="n"/>
      <c r="E1981" s="123" t="n"/>
      <c r="F1981" s="125" t="n"/>
      <c r="G1981" s="123" t="n"/>
      <c r="H1981" s="123" t="n"/>
      <c r="I1981" s="123" t="n"/>
      <c r="J1981" s="123" t="n"/>
      <c r="K1981" s="123" t="n"/>
      <c r="L1981" s="123" t="n"/>
      <c r="M1981" s="123">
        <f>IF(AND(B1981&lt;&gt;"",OR($C$4="",ISNUMBER(SEARCH($C$4,C1981&amp;" "&amp;E1981&amp;" "&amp;G1981&amp;" "&amp;H1981&amp;" "&amp;I1981&amp;" "&amp;J1981&amp;" "&amp;K1981&amp;" "&amp;L1981))),OR($C$5="Semua",$C$5="",G1981=$C$5),OR($C$6="Semua",$C$6="",H1981=$C$6,H1981="Pengeluaran "&amp;$C$6,AND($C$6="Uang Kos Mama",H1981="Pengeluaran Uang Kos")),OR($C$7="Semua",$C$7="",I1981=$C$7),OR($C$8="Semua",$C$8="",C1981=$C$8,E1981=$C$8),OR($C$9="Semua",$C$9="",D1981=$C$9),OR($C$10="",B1981&gt;=$C$10),OR($C$11="",B1981&lt;=$C$11),OR($C$12&lt;&gt;"Ya",K1981&lt;&gt;""),OR($C$13="Semua",$C$13="",L1981=$C$13)),"✓","")</f>
        <v/>
      </c>
      <c r="N1981" s="93">
        <f>N(N1980)+IF(M1981="✓",1,0)</f>
        <v/>
      </c>
      <c r="O1981" s="93">
        <f>N(O1980)+IF(AND(B1981&lt;&gt;"",B1981&gt;='Uang Riba'!$H$30,B1981&lt;='Uang Riba'!$I$30,OR(H1981="Dana riba",H1981="Pinjam uang riba",I1981="Pinjam dari uang riba",I1981="Ganti uang riba",I1981="Kelebihan ganti dikembalikan",AND(C1981="Kantong Uang Riba",G1981="Pengeluaran"))),1,0)</f>
        <v/>
      </c>
      <c r="X1981" s="93">
        <f>IF(AND(B1981&lt;&gt;"",B1981&gt;='Buku Akun'!$H$4,B1981&lt;='Buku Akun'!$H$5,OR(C1981='Buku Akun'!$C$4,AND(D1981="Pindah",E1981='Buku Akun'!$C$4))),B1981+IF(AND(I1981="Selisih bunga",DAY(B1981)=1),0,0.01)+ROW()/10000000,"")</f>
        <v/>
      </c>
    </row>
    <row r="1982" outlineLevel="1" ht="15" customHeight="1" s="94">
      <c r="A1982" s="123">
        <f>IF(B1982="","",ROW()-15)</f>
        <v/>
      </c>
      <c r="B1982" s="124" t="n"/>
      <c r="C1982" s="123" t="n"/>
      <c r="D1982" s="123" t="n"/>
      <c r="E1982" s="123" t="n"/>
      <c r="F1982" s="125" t="n"/>
      <c r="G1982" s="123" t="n"/>
      <c r="H1982" s="123" t="n"/>
      <c r="I1982" s="123" t="n"/>
      <c r="J1982" s="123" t="n"/>
      <c r="K1982" s="123" t="n"/>
      <c r="L1982" s="123" t="n"/>
      <c r="M1982" s="123">
        <f>IF(AND(B1982&lt;&gt;"",OR($C$4="",ISNUMBER(SEARCH($C$4,C1982&amp;" "&amp;E1982&amp;" "&amp;G1982&amp;" "&amp;H1982&amp;" "&amp;I1982&amp;" "&amp;J1982&amp;" "&amp;K1982&amp;" "&amp;L1982))),OR($C$5="Semua",$C$5="",G1982=$C$5),OR($C$6="Semua",$C$6="",H1982=$C$6,H1982="Pengeluaran "&amp;$C$6,AND($C$6="Uang Kos Mama",H1982="Pengeluaran Uang Kos")),OR($C$7="Semua",$C$7="",I1982=$C$7),OR($C$8="Semua",$C$8="",C1982=$C$8,E1982=$C$8),OR($C$9="Semua",$C$9="",D1982=$C$9),OR($C$10="",B1982&gt;=$C$10),OR($C$11="",B1982&lt;=$C$11),OR($C$12&lt;&gt;"Ya",K1982&lt;&gt;""),OR($C$13="Semua",$C$13="",L1982=$C$13)),"✓","")</f>
        <v/>
      </c>
      <c r="N1982" s="93">
        <f>N(N1981)+IF(M1982="✓",1,0)</f>
        <v/>
      </c>
      <c r="O1982" s="93">
        <f>N(O1981)+IF(AND(B1982&lt;&gt;"",B1982&gt;='Uang Riba'!$H$30,B1982&lt;='Uang Riba'!$I$30,OR(H1982="Dana riba",H1982="Pinjam uang riba",I1982="Pinjam dari uang riba",I1982="Ganti uang riba",I1982="Kelebihan ganti dikembalikan",AND(C1982="Kantong Uang Riba",G1982="Pengeluaran"))),1,0)</f>
        <v/>
      </c>
      <c r="X1982" s="93">
        <f>IF(AND(B1982&lt;&gt;"",B1982&gt;='Buku Akun'!$H$4,B1982&lt;='Buku Akun'!$H$5,OR(C1982='Buku Akun'!$C$4,AND(D1982="Pindah",E1982='Buku Akun'!$C$4))),B1982+IF(AND(I1982="Selisih bunga",DAY(B1982)=1),0,0.01)+ROW()/10000000,"")</f>
        <v/>
      </c>
    </row>
    <row r="1983" outlineLevel="1" ht="15" customHeight="1" s="94">
      <c r="A1983" s="123">
        <f>IF(B1983="","",ROW()-15)</f>
        <v/>
      </c>
      <c r="B1983" s="124" t="n"/>
      <c r="C1983" s="123" t="n"/>
      <c r="D1983" s="123" t="n"/>
      <c r="E1983" s="123" t="n"/>
      <c r="F1983" s="125" t="n"/>
      <c r="G1983" s="123" t="n"/>
      <c r="H1983" s="123" t="n"/>
      <c r="I1983" s="123" t="n"/>
      <c r="J1983" s="123" t="n"/>
      <c r="K1983" s="123" t="n"/>
      <c r="L1983" s="123" t="n"/>
      <c r="M1983" s="123">
        <f>IF(AND(B1983&lt;&gt;"",OR($C$4="",ISNUMBER(SEARCH($C$4,C1983&amp;" "&amp;E1983&amp;" "&amp;G1983&amp;" "&amp;H1983&amp;" "&amp;I1983&amp;" "&amp;J1983&amp;" "&amp;K1983&amp;" "&amp;L1983))),OR($C$5="Semua",$C$5="",G1983=$C$5),OR($C$6="Semua",$C$6="",H1983=$C$6,H1983="Pengeluaran "&amp;$C$6,AND($C$6="Uang Kos Mama",H1983="Pengeluaran Uang Kos")),OR($C$7="Semua",$C$7="",I1983=$C$7),OR($C$8="Semua",$C$8="",C1983=$C$8,E1983=$C$8),OR($C$9="Semua",$C$9="",D1983=$C$9),OR($C$10="",B1983&gt;=$C$10),OR($C$11="",B1983&lt;=$C$11),OR($C$12&lt;&gt;"Ya",K1983&lt;&gt;""),OR($C$13="Semua",$C$13="",L1983=$C$13)),"✓","")</f>
        <v/>
      </c>
      <c r="N1983" s="93">
        <f>N(N1982)+IF(M1983="✓",1,0)</f>
        <v/>
      </c>
      <c r="O1983" s="93">
        <f>N(O1982)+IF(AND(B1983&lt;&gt;"",B1983&gt;='Uang Riba'!$H$30,B1983&lt;='Uang Riba'!$I$30,OR(H1983="Dana riba",H1983="Pinjam uang riba",I1983="Pinjam dari uang riba",I1983="Ganti uang riba",I1983="Kelebihan ganti dikembalikan",AND(C1983="Kantong Uang Riba",G1983="Pengeluaran"))),1,0)</f>
        <v/>
      </c>
      <c r="X1983" s="93">
        <f>IF(AND(B1983&lt;&gt;"",B1983&gt;='Buku Akun'!$H$4,B1983&lt;='Buku Akun'!$H$5,OR(C1983='Buku Akun'!$C$4,AND(D1983="Pindah",E1983='Buku Akun'!$C$4))),B1983+IF(AND(I1983="Selisih bunga",DAY(B1983)=1),0,0.01)+ROW()/10000000,"")</f>
        <v/>
      </c>
    </row>
    <row r="1984" outlineLevel="1" ht="15" customHeight="1" s="94">
      <c r="A1984" s="123">
        <f>IF(B1984="","",ROW()-15)</f>
        <v/>
      </c>
      <c r="B1984" s="124" t="n"/>
      <c r="C1984" s="123" t="n"/>
      <c r="D1984" s="123" t="n"/>
      <c r="E1984" s="123" t="n"/>
      <c r="F1984" s="125" t="n"/>
      <c r="G1984" s="123" t="n"/>
      <c r="H1984" s="123" t="n"/>
      <c r="I1984" s="123" t="n"/>
      <c r="J1984" s="123" t="n"/>
      <c r="K1984" s="123" t="n"/>
      <c r="L1984" s="123" t="n"/>
      <c r="M1984" s="123">
        <f>IF(AND(B1984&lt;&gt;"",OR($C$4="",ISNUMBER(SEARCH($C$4,C1984&amp;" "&amp;E1984&amp;" "&amp;G1984&amp;" "&amp;H1984&amp;" "&amp;I1984&amp;" "&amp;J1984&amp;" "&amp;K1984&amp;" "&amp;L1984))),OR($C$5="Semua",$C$5="",G1984=$C$5),OR($C$6="Semua",$C$6="",H1984=$C$6,H1984="Pengeluaran "&amp;$C$6,AND($C$6="Uang Kos Mama",H1984="Pengeluaran Uang Kos")),OR($C$7="Semua",$C$7="",I1984=$C$7),OR($C$8="Semua",$C$8="",C1984=$C$8,E1984=$C$8),OR($C$9="Semua",$C$9="",D1984=$C$9),OR($C$10="",B1984&gt;=$C$10),OR($C$11="",B1984&lt;=$C$11),OR($C$12&lt;&gt;"Ya",K1984&lt;&gt;""),OR($C$13="Semua",$C$13="",L1984=$C$13)),"✓","")</f>
        <v/>
      </c>
      <c r="N1984" s="93">
        <f>N(N1983)+IF(M1984="✓",1,0)</f>
        <v/>
      </c>
      <c r="O1984" s="93">
        <f>N(O1983)+IF(AND(B1984&lt;&gt;"",B1984&gt;='Uang Riba'!$H$30,B1984&lt;='Uang Riba'!$I$30,OR(H1984="Dana riba",H1984="Pinjam uang riba",I1984="Pinjam dari uang riba",I1984="Ganti uang riba",I1984="Kelebihan ganti dikembalikan",AND(C1984="Kantong Uang Riba",G1984="Pengeluaran"))),1,0)</f>
        <v/>
      </c>
      <c r="X1984" s="93">
        <f>IF(AND(B1984&lt;&gt;"",B1984&gt;='Buku Akun'!$H$4,B1984&lt;='Buku Akun'!$H$5,OR(C1984='Buku Akun'!$C$4,AND(D1984="Pindah",E1984='Buku Akun'!$C$4))),B1984+IF(AND(I1984="Selisih bunga",DAY(B1984)=1),0,0.01)+ROW()/10000000,"")</f>
        <v/>
      </c>
    </row>
    <row r="1985" outlineLevel="1" ht="15" customHeight="1" s="94">
      <c r="A1985" s="123">
        <f>IF(B1985="","",ROW()-15)</f>
        <v/>
      </c>
      <c r="B1985" s="124" t="n"/>
      <c r="C1985" s="123" t="n"/>
      <c r="D1985" s="123" t="n"/>
      <c r="E1985" s="123" t="n"/>
      <c r="F1985" s="125" t="n"/>
      <c r="G1985" s="123" t="n"/>
      <c r="H1985" s="123" t="n"/>
      <c r="I1985" s="123" t="n"/>
      <c r="J1985" s="123" t="n"/>
      <c r="K1985" s="123" t="n"/>
      <c r="L1985" s="123" t="n"/>
      <c r="M1985" s="123">
        <f>IF(AND(B1985&lt;&gt;"",OR($C$4="",ISNUMBER(SEARCH($C$4,C1985&amp;" "&amp;E1985&amp;" "&amp;G1985&amp;" "&amp;H1985&amp;" "&amp;I1985&amp;" "&amp;J1985&amp;" "&amp;K1985&amp;" "&amp;L1985))),OR($C$5="Semua",$C$5="",G1985=$C$5),OR($C$6="Semua",$C$6="",H1985=$C$6,H1985="Pengeluaran "&amp;$C$6,AND($C$6="Uang Kos Mama",H1985="Pengeluaran Uang Kos")),OR($C$7="Semua",$C$7="",I1985=$C$7),OR($C$8="Semua",$C$8="",C1985=$C$8,E1985=$C$8),OR($C$9="Semua",$C$9="",D1985=$C$9),OR($C$10="",B1985&gt;=$C$10),OR($C$11="",B1985&lt;=$C$11),OR($C$12&lt;&gt;"Ya",K1985&lt;&gt;""),OR($C$13="Semua",$C$13="",L1985=$C$13)),"✓","")</f>
        <v/>
      </c>
      <c r="N1985" s="93">
        <f>N(N1984)+IF(M1985="✓",1,0)</f>
        <v/>
      </c>
      <c r="O1985" s="93">
        <f>N(O1984)+IF(AND(B1985&lt;&gt;"",B1985&gt;='Uang Riba'!$H$30,B1985&lt;='Uang Riba'!$I$30,OR(H1985="Dana riba",H1985="Pinjam uang riba",I1985="Pinjam dari uang riba",I1985="Ganti uang riba",I1985="Kelebihan ganti dikembalikan",AND(C1985="Kantong Uang Riba",G1985="Pengeluaran"))),1,0)</f>
        <v/>
      </c>
      <c r="X1985" s="93">
        <f>IF(AND(B1985&lt;&gt;"",B1985&gt;='Buku Akun'!$H$4,B1985&lt;='Buku Akun'!$H$5,OR(C1985='Buku Akun'!$C$4,AND(D1985="Pindah",E1985='Buku Akun'!$C$4))),B1985+IF(AND(I1985="Selisih bunga",DAY(B1985)=1),0,0.01)+ROW()/10000000,"")</f>
        <v/>
      </c>
    </row>
    <row r="1986" outlineLevel="1" ht="15" customHeight="1" s="94">
      <c r="A1986" s="123">
        <f>IF(B1986="","",ROW()-15)</f>
        <v/>
      </c>
      <c r="B1986" s="124" t="n"/>
      <c r="C1986" s="123" t="n"/>
      <c r="D1986" s="123" t="n"/>
      <c r="E1986" s="123" t="n"/>
      <c r="F1986" s="125" t="n"/>
      <c r="G1986" s="123" t="n"/>
      <c r="H1986" s="123" t="n"/>
      <c r="I1986" s="123" t="n"/>
      <c r="J1986" s="123" t="n"/>
      <c r="K1986" s="123" t="n"/>
      <c r="L1986" s="123" t="n"/>
      <c r="M1986" s="123">
        <f>IF(AND(B1986&lt;&gt;"",OR($C$4="",ISNUMBER(SEARCH($C$4,C1986&amp;" "&amp;E1986&amp;" "&amp;G1986&amp;" "&amp;H1986&amp;" "&amp;I1986&amp;" "&amp;J1986&amp;" "&amp;K1986&amp;" "&amp;L1986))),OR($C$5="Semua",$C$5="",G1986=$C$5),OR($C$6="Semua",$C$6="",H1986=$C$6,H1986="Pengeluaran "&amp;$C$6,AND($C$6="Uang Kos Mama",H1986="Pengeluaran Uang Kos")),OR($C$7="Semua",$C$7="",I1986=$C$7),OR($C$8="Semua",$C$8="",C1986=$C$8,E1986=$C$8),OR($C$9="Semua",$C$9="",D1986=$C$9),OR($C$10="",B1986&gt;=$C$10),OR($C$11="",B1986&lt;=$C$11),OR($C$12&lt;&gt;"Ya",K1986&lt;&gt;""),OR($C$13="Semua",$C$13="",L1986=$C$13)),"✓","")</f>
        <v/>
      </c>
      <c r="N1986" s="93">
        <f>N(N1985)+IF(M1986="✓",1,0)</f>
        <v/>
      </c>
      <c r="O1986" s="93">
        <f>N(O1985)+IF(AND(B1986&lt;&gt;"",B1986&gt;='Uang Riba'!$H$30,B1986&lt;='Uang Riba'!$I$30,OR(H1986="Dana riba",H1986="Pinjam uang riba",I1986="Pinjam dari uang riba",I1986="Ganti uang riba",I1986="Kelebihan ganti dikembalikan",AND(C1986="Kantong Uang Riba",G1986="Pengeluaran"))),1,0)</f>
        <v/>
      </c>
      <c r="X1986" s="93">
        <f>IF(AND(B1986&lt;&gt;"",B1986&gt;='Buku Akun'!$H$4,B1986&lt;='Buku Akun'!$H$5,OR(C1986='Buku Akun'!$C$4,AND(D1986="Pindah",E1986='Buku Akun'!$C$4))),B1986+IF(AND(I1986="Selisih bunga",DAY(B1986)=1),0,0.01)+ROW()/10000000,"")</f>
        <v/>
      </c>
    </row>
    <row r="1987" outlineLevel="1" ht="15" customHeight="1" s="94">
      <c r="A1987" s="123">
        <f>IF(B1987="","",ROW()-15)</f>
        <v/>
      </c>
      <c r="B1987" s="124" t="n"/>
      <c r="C1987" s="123" t="n"/>
      <c r="D1987" s="123" t="n"/>
      <c r="E1987" s="123" t="n"/>
      <c r="F1987" s="125" t="n"/>
      <c r="G1987" s="123" t="n"/>
      <c r="H1987" s="123" t="n"/>
      <c r="I1987" s="123" t="n"/>
      <c r="J1987" s="123" t="n"/>
      <c r="K1987" s="123" t="n"/>
      <c r="L1987" s="123" t="n"/>
      <c r="M1987" s="123">
        <f>IF(AND(B1987&lt;&gt;"",OR($C$4="",ISNUMBER(SEARCH($C$4,C1987&amp;" "&amp;E1987&amp;" "&amp;G1987&amp;" "&amp;H1987&amp;" "&amp;I1987&amp;" "&amp;J1987&amp;" "&amp;K1987&amp;" "&amp;L1987))),OR($C$5="Semua",$C$5="",G1987=$C$5),OR($C$6="Semua",$C$6="",H1987=$C$6,H1987="Pengeluaran "&amp;$C$6,AND($C$6="Uang Kos Mama",H1987="Pengeluaran Uang Kos")),OR($C$7="Semua",$C$7="",I1987=$C$7),OR($C$8="Semua",$C$8="",C1987=$C$8,E1987=$C$8),OR($C$9="Semua",$C$9="",D1987=$C$9),OR($C$10="",B1987&gt;=$C$10),OR($C$11="",B1987&lt;=$C$11),OR($C$12&lt;&gt;"Ya",K1987&lt;&gt;""),OR($C$13="Semua",$C$13="",L1987=$C$13)),"✓","")</f>
        <v/>
      </c>
      <c r="N1987" s="93">
        <f>N(N1986)+IF(M1987="✓",1,0)</f>
        <v/>
      </c>
      <c r="O1987" s="93">
        <f>N(O1986)+IF(AND(B1987&lt;&gt;"",B1987&gt;='Uang Riba'!$H$30,B1987&lt;='Uang Riba'!$I$30,OR(H1987="Dana riba",H1987="Pinjam uang riba",I1987="Pinjam dari uang riba",I1987="Ganti uang riba",I1987="Kelebihan ganti dikembalikan",AND(C1987="Kantong Uang Riba",G1987="Pengeluaran"))),1,0)</f>
        <v/>
      </c>
      <c r="X1987" s="93">
        <f>IF(AND(B1987&lt;&gt;"",B1987&gt;='Buku Akun'!$H$4,B1987&lt;='Buku Akun'!$H$5,OR(C1987='Buku Akun'!$C$4,AND(D1987="Pindah",E1987='Buku Akun'!$C$4))),B1987+IF(AND(I1987="Selisih bunga",DAY(B1987)=1),0,0.01)+ROW()/10000000,"")</f>
        <v/>
      </c>
    </row>
    <row r="1988" outlineLevel="1" ht="15" customHeight="1" s="94">
      <c r="A1988" s="123">
        <f>IF(B1988="","",ROW()-15)</f>
        <v/>
      </c>
      <c r="B1988" s="124" t="n"/>
      <c r="C1988" s="123" t="n"/>
      <c r="D1988" s="123" t="n"/>
      <c r="E1988" s="123" t="n"/>
      <c r="F1988" s="125" t="n"/>
      <c r="G1988" s="123" t="n"/>
      <c r="H1988" s="123" t="n"/>
      <c r="I1988" s="123" t="n"/>
      <c r="J1988" s="123" t="n"/>
      <c r="K1988" s="123" t="n"/>
      <c r="L1988" s="123" t="n"/>
      <c r="M1988" s="123">
        <f>IF(AND(B1988&lt;&gt;"",OR($C$4="",ISNUMBER(SEARCH($C$4,C1988&amp;" "&amp;E1988&amp;" "&amp;G1988&amp;" "&amp;H1988&amp;" "&amp;I1988&amp;" "&amp;J1988&amp;" "&amp;K1988&amp;" "&amp;L1988))),OR($C$5="Semua",$C$5="",G1988=$C$5),OR($C$6="Semua",$C$6="",H1988=$C$6,H1988="Pengeluaran "&amp;$C$6,AND($C$6="Uang Kos Mama",H1988="Pengeluaran Uang Kos")),OR($C$7="Semua",$C$7="",I1988=$C$7),OR($C$8="Semua",$C$8="",C1988=$C$8,E1988=$C$8),OR($C$9="Semua",$C$9="",D1988=$C$9),OR($C$10="",B1988&gt;=$C$10),OR($C$11="",B1988&lt;=$C$11),OR($C$12&lt;&gt;"Ya",K1988&lt;&gt;""),OR($C$13="Semua",$C$13="",L1988=$C$13)),"✓","")</f>
        <v/>
      </c>
      <c r="N1988" s="93">
        <f>N(N1987)+IF(M1988="✓",1,0)</f>
        <v/>
      </c>
      <c r="O1988" s="93">
        <f>N(O1987)+IF(AND(B1988&lt;&gt;"",B1988&gt;='Uang Riba'!$H$30,B1988&lt;='Uang Riba'!$I$30,OR(H1988="Dana riba",H1988="Pinjam uang riba",I1988="Pinjam dari uang riba",I1988="Ganti uang riba",I1988="Kelebihan ganti dikembalikan",AND(C1988="Kantong Uang Riba",G1988="Pengeluaran"))),1,0)</f>
        <v/>
      </c>
      <c r="X1988" s="93">
        <f>IF(AND(B1988&lt;&gt;"",B1988&gt;='Buku Akun'!$H$4,B1988&lt;='Buku Akun'!$H$5,OR(C1988='Buku Akun'!$C$4,AND(D1988="Pindah",E1988='Buku Akun'!$C$4))),B1988+IF(AND(I1988="Selisih bunga",DAY(B1988)=1),0,0.01)+ROW()/10000000,"")</f>
        <v/>
      </c>
    </row>
    <row r="1989" outlineLevel="1" ht="15" customHeight="1" s="94">
      <c r="A1989" s="123">
        <f>IF(B1989="","",ROW()-15)</f>
        <v/>
      </c>
      <c r="B1989" s="124" t="n"/>
      <c r="C1989" s="123" t="n"/>
      <c r="D1989" s="123" t="n"/>
      <c r="E1989" s="123" t="n"/>
      <c r="F1989" s="125" t="n"/>
      <c r="G1989" s="123" t="n"/>
      <c r="H1989" s="123" t="n"/>
      <c r="I1989" s="123" t="n"/>
      <c r="J1989" s="123" t="n"/>
      <c r="K1989" s="123" t="n"/>
      <c r="L1989" s="123" t="n"/>
      <c r="M1989" s="123">
        <f>IF(AND(B1989&lt;&gt;"",OR($C$4="",ISNUMBER(SEARCH($C$4,C1989&amp;" "&amp;E1989&amp;" "&amp;G1989&amp;" "&amp;H1989&amp;" "&amp;I1989&amp;" "&amp;J1989&amp;" "&amp;K1989&amp;" "&amp;L1989))),OR($C$5="Semua",$C$5="",G1989=$C$5),OR($C$6="Semua",$C$6="",H1989=$C$6,H1989="Pengeluaran "&amp;$C$6,AND($C$6="Uang Kos Mama",H1989="Pengeluaran Uang Kos")),OR($C$7="Semua",$C$7="",I1989=$C$7),OR($C$8="Semua",$C$8="",C1989=$C$8,E1989=$C$8),OR($C$9="Semua",$C$9="",D1989=$C$9),OR($C$10="",B1989&gt;=$C$10),OR($C$11="",B1989&lt;=$C$11),OR($C$12&lt;&gt;"Ya",K1989&lt;&gt;""),OR($C$13="Semua",$C$13="",L1989=$C$13)),"✓","")</f>
        <v/>
      </c>
      <c r="N1989" s="93">
        <f>N(N1988)+IF(M1989="✓",1,0)</f>
        <v/>
      </c>
      <c r="O1989" s="93">
        <f>N(O1988)+IF(AND(B1989&lt;&gt;"",B1989&gt;='Uang Riba'!$H$30,B1989&lt;='Uang Riba'!$I$30,OR(H1989="Dana riba",H1989="Pinjam uang riba",I1989="Pinjam dari uang riba",I1989="Ganti uang riba",I1989="Kelebihan ganti dikembalikan",AND(C1989="Kantong Uang Riba",G1989="Pengeluaran"))),1,0)</f>
        <v/>
      </c>
      <c r="X1989" s="93">
        <f>IF(AND(B1989&lt;&gt;"",B1989&gt;='Buku Akun'!$H$4,B1989&lt;='Buku Akun'!$H$5,OR(C1989='Buku Akun'!$C$4,AND(D1989="Pindah",E1989='Buku Akun'!$C$4))),B1989+IF(AND(I1989="Selisih bunga",DAY(B1989)=1),0,0.01)+ROW()/10000000,"")</f>
        <v/>
      </c>
    </row>
    <row r="1990" outlineLevel="1" ht="15" customHeight="1" s="94">
      <c r="A1990" s="123">
        <f>IF(B1990="","",ROW()-15)</f>
        <v/>
      </c>
      <c r="B1990" s="124" t="n"/>
      <c r="C1990" s="123" t="n"/>
      <c r="D1990" s="123" t="n"/>
      <c r="E1990" s="123" t="n"/>
      <c r="F1990" s="125" t="n"/>
      <c r="G1990" s="123" t="n"/>
      <c r="H1990" s="123" t="n"/>
      <c r="I1990" s="123" t="n"/>
      <c r="J1990" s="123" t="n"/>
      <c r="K1990" s="123" t="n"/>
      <c r="L1990" s="123" t="n"/>
      <c r="M1990" s="123">
        <f>IF(AND(B1990&lt;&gt;"",OR($C$4="",ISNUMBER(SEARCH($C$4,C1990&amp;" "&amp;E1990&amp;" "&amp;G1990&amp;" "&amp;H1990&amp;" "&amp;I1990&amp;" "&amp;J1990&amp;" "&amp;K1990&amp;" "&amp;L1990))),OR($C$5="Semua",$C$5="",G1990=$C$5),OR($C$6="Semua",$C$6="",H1990=$C$6,H1990="Pengeluaran "&amp;$C$6,AND($C$6="Uang Kos Mama",H1990="Pengeluaran Uang Kos")),OR($C$7="Semua",$C$7="",I1990=$C$7),OR($C$8="Semua",$C$8="",C1990=$C$8,E1990=$C$8),OR($C$9="Semua",$C$9="",D1990=$C$9),OR($C$10="",B1990&gt;=$C$10),OR($C$11="",B1990&lt;=$C$11),OR($C$12&lt;&gt;"Ya",K1990&lt;&gt;""),OR($C$13="Semua",$C$13="",L1990=$C$13)),"✓","")</f>
        <v/>
      </c>
      <c r="N1990" s="93">
        <f>N(N1989)+IF(M1990="✓",1,0)</f>
        <v/>
      </c>
      <c r="O1990" s="93">
        <f>N(O1989)+IF(AND(B1990&lt;&gt;"",B1990&gt;='Uang Riba'!$H$30,B1990&lt;='Uang Riba'!$I$30,OR(H1990="Dana riba",H1990="Pinjam uang riba",I1990="Pinjam dari uang riba",I1990="Ganti uang riba",I1990="Kelebihan ganti dikembalikan",AND(C1990="Kantong Uang Riba",G1990="Pengeluaran"))),1,0)</f>
        <v/>
      </c>
      <c r="X1990" s="93">
        <f>IF(AND(B1990&lt;&gt;"",B1990&gt;='Buku Akun'!$H$4,B1990&lt;='Buku Akun'!$H$5,OR(C1990='Buku Akun'!$C$4,AND(D1990="Pindah",E1990='Buku Akun'!$C$4))),B1990+IF(AND(I1990="Selisih bunga",DAY(B1990)=1),0,0.01)+ROW()/10000000,"")</f>
        <v/>
      </c>
    </row>
    <row r="1991" outlineLevel="1" ht="15" customHeight="1" s="94">
      <c r="A1991" s="123">
        <f>IF(B1991="","",ROW()-15)</f>
        <v/>
      </c>
      <c r="B1991" s="124" t="n"/>
      <c r="C1991" s="123" t="n"/>
      <c r="D1991" s="123" t="n"/>
      <c r="E1991" s="123" t="n"/>
      <c r="F1991" s="125" t="n"/>
      <c r="G1991" s="123" t="n"/>
      <c r="H1991" s="123" t="n"/>
      <c r="I1991" s="123" t="n"/>
      <c r="J1991" s="123" t="n"/>
      <c r="K1991" s="123" t="n"/>
      <c r="L1991" s="123" t="n"/>
      <c r="M1991" s="123">
        <f>IF(AND(B1991&lt;&gt;"",OR($C$4="",ISNUMBER(SEARCH($C$4,C1991&amp;" "&amp;E1991&amp;" "&amp;G1991&amp;" "&amp;H1991&amp;" "&amp;I1991&amp;" "&amp;J1991&amp;" "&amp;K1991&amp;" "&amp;L1991))),OR($C$5="Semua",$C$5="",G1991=$C$5),OR($C$6="Semua",$C$6="",H1991=$C$6,H1991="Pengeluaran "&amp;$C$6,AND($C$6="Uang Kos Mama",H1991="Pengeluaran Uang Kos")),OR($C$7="Semua",$C$7="",I1991=$C$7),OR($C$8="Semua",$C$8="",C1991=$C$8,E1991=$C$8),OR($C$9="Semua",$C$9="",D1991=$C$9),OR($C$10="",B1991&gt;=$C$10),OR($C$11="",B1991&lt;=$C$11),OR($C$12&lt;&gt;"Ya",K1991&lt;&gt;""),OR($C$13="Semua",$C$13="",L1991=$C$13)),"✓","")</f>
        <v/>
      </c>
      <c r="N1991" s="93">
        <f>N(N1990)+IF(M1991="✓",1,0)</f>
        <v/>
      </c>
      <c r="O1991" s="93">
        <f>N(O1990)+IF(AND(B1991&lt;&gt;"",B1991&gt;='Uang Riba'!$H$30,B1991&lt;='Uang Riba'!$I$30,OR(H1991="Dana riba",H1991="Pinjam uang riba",I1991="Pinjam dari uang riba",I1991="Ganti uang riba",I1991="Kelebihan ganti dikembalikan",AND(C1991="Kantong Uang Riba",G1991="Pengeluaran"))),1,0)</f>
        <v/>
      </c>
      <c r="X1991" s="93">
        <f>IF(AND(B1991&lt;&gt;"",B1991&gt;='Buku Akun'!$H$4,B1991&lt;='Buku Akun'!$H$5,OR(C1991='Buku Akun'!$C$4,AND(D1991="Pindah",E1991='Buku Akun'!$C$4))),B1991+IF(AND(I1991="Selisih bunga",DAY(B1991)=1),0,0.01)+ROW()/10000000,"")</f>
        <v/>
      </c>
    </row>
    <row r="1992" outlineLevel="1" ht="15" customHeight="1" s="94">
      <c r="A1992" s="123">
        <f>IF(B1992="","",ROW()-15)</f>
        <v/>
      </c>
      <c r="B1992" s="124" t="n"/>
      <c r="C1992" s="123" t="n"/>
      <c r="D1992" s="123" t="n"/>
      <c r="E1992" s="123" t="n"/>
      <c r="F1992" s="125" t="n"/>
      <c r="G1992" s="123" t="n"/>
      <c r="H1992" s="123" t="n"/>
      <c r="I1992" s="123" t="n"/>
      <c r="J1992" s="123" t="n"/>
      <c r="K1992" s="123" t="n"/>
      <c r="L1992" s="123" t="n"/>
      <c r="M1992" s="123">
        <f>IF(AND(B1992&lt;&gt;"",OR($C$4="",ISNUMBER(SEARCH($C$4,C1992&amp;" "&amp;E1992&amp;" "&amp;G1992&amp;" "&amp;H1992&amp;" "&amp;I1992&amp;" "&amp;J1992&amp;" "&amp;K1992&amp;" "&amp;L1992))),OR($C$5="Semua",$C$5="",G1992=$C$5),OR($C$6="Semua",$C$6="",H1992=$C$6,H1992="Pengeluaran "&amp;$C$6,AND($C$6="Uang Kos Mama",H1992="Pengeluaran Uang Kos")),OR($C$7="Semua",$C$7="",I1992=$C$7),OR($C$8="Semua",$C$8="",C1992=$C$8,E1992=$C$8),OR($C$9="Semua",$C$9="",D1992=$C$9),OR($C$10="",B1992&gt;=$C$10),OR($C$11="",B1992&lt;=$C$11),OR($C$12&lt;&gt;"Ya",K1992&lt;&gt;""),OR($C$13="Semua",$C$13="",L1992=$C$13)),"✓","")</f>
        <v/>
      </c>
      <c r="N1992" s="93">
        <f>N(N1991)+IF(M1992="✓",1,0)</f>
        <v/>
      </c>
      <c r="O1992" s="93">
        <f>N(O1991)+IF(AND(B1992&lt;&gt;"",B1992&gt;='Uang Riba'!$H$30,B1992&lt;='Uang Riba'!$I$30,OR(H1992="Dana riba",H1992="Pinjam uang riba",I1992="Pinjam dari uang riba",I1992="Ganti uang riba",I1992="Kelebihan ganti dikembalikan",AND(C1992="Kantong Uang Riba",G1992="Pengeluaran"))),1,0)</f>
        <v/>
      </c>
      <c r="X1992" s="93">
        <f>IF(AND(B1992&lt;&gt;"",B1992&gt;='Buku Akun'!$H$4,B1992&lt;='Buku Akun'!$H$5,OR(C1992='Buku Akun'!$C$4,AND(D1992="Pindah",E1992='Buku Akun'!$C$4))),B1992+IF(AND(I1992="Selisih bunga",DAY(B1992)=1),0,0.01)+ROW()/10000000,"")</f>
        <v/>
      </c>
    </row>
    <row r="1993" outlineLevel="1" ht="15" customHeight="1" s="94">
      <c r="A1993" s="123">
        <f>IF(B1993="","",ROW()-15)</f>
        <v/>
      </c>
      <c r="B1993" s="124" t="n"/>
      <c r="C1993" s="123" t="n"/>
      <c r="D1993" s="123" t="n"/>
      <c r="E1993" s="123" t="n"/>
      <c r="F1993" s="125" t="n"/>
      <c r="G1993" s="123" t="n"/>
      <c r="H1993" s="123" t="n"/>
      <c r="I1993" s="123" t="n"/>
      <c r="J1993" s="123" t="n"/>
      <c r="K1993" s="123" t="n"/>
      <c r="L1993" s="123" t="n"/>
      <c r="M1993" s="123">
        <f>IF(AND(B1993&lt;&gt;"",OR($C$4="",ISNUMBER(SEARCH($C$4,C1993&amp;" "&amp;E1993&amp;" "&amp;G1993&amp;" "&amp;H1993&amp;" "&amp;I1993&amp;" "&amp;J1993&amp;" "&amp;K1993&amp;" "&amp;L1993))),OR($C$5="Semua",$C$5="",G1993=$C$5),OR($C$6="Semua",$C$6="",H1993=$C$6,H1993="Pengeluaran "&amp;$C$6,AND($C$6="Uang Kos Mama",H1993="Pengeluaran Uang Kos")),OR($C$7="Semua",$C$7="",I1993=$C$7),OR($C$8="Semua",$C$8="",C1993=$C$8,E1993=$C$8),OR($C$9="Semua",$C$9="",D1993=$C$9),OR($C$10="",B1993&gt;=$C$10),OR($C$11="",B1993&lt;=$C$11),OR($C$12&lt;&gt;"Ya",K1993&lt;&gt;""),OR($C$13="Semua",$C$13="",L1993=$C$13)),"✓","")</f>
        <v/>
      </c>
      <c r="N1993" s="93">
        <f>N(N1992)+IF(M1993="✓",1,0)</f>
        <v/>
      </c>
      <c r="O1993" s="93">
        <f>N(O1992)+IF(AND(B1993&lt;&gt;"",B1993&gt;='Uang Riba'!$H$30,B1993&lt;='Uang Riba'!$I$30,OR(H1993="Dana riba",H1993="Pinjam uang riba",I1993="Pinjam dari uang riba",I1993="Ganti uang riba",I1993="Kelebihan ganti dikembalikan",AND(C1993="Kantong Uang Riba",G1993="Pengeluaran"))),1,0)</f>
        <v/>
      </c>
      <c r="X1993" s="93">
        <f>IF(AND(B1993&lt;&gt;"",B1993&gt;='Buku Akun'!$H$4,B1993&lt;='Buku Akun'!$H$5,OR(C1993='Buku Akun'!$C$4,AND(D1993="Pindah",E1993='Buku Akun'!$C$4))),B1993+IF(AND(I1993="Selisih bunga",DAY(B1993)=1),0,0.01)+ROW()/10000000,"")</f>
        <v/>
      </c>
    </row>
    <row r="1994" outlineLevel="1" ht="15" customHeight="1" s="94">
      <c r="A1994" s="123">
        <f>IF(B1994="","",ROW()-15)</f>
        <v/>
      </c>
      <c r="B1994" s="124" t="n"/>
      <c r="C1994" s="123" t="n"/>
      <c r="D1994" s="123" t="n"/>
      <c r="E1994" s="123" t="n"/>
      <c r="F1994" s="125" t="n"/>
      <c r="G1994" s="123" t="n"/>
      <c r="H1994" s="123" t="n"/>
      <c r="I1994" s="123" t="n"/>
      <c r="J1994" s="123" t="n"/>
      <c r="K1994" s="123" t="n"/>
      <c r="L1994" s="123" t="n"/>
      <c r="M1994" s="123">
        <f>IF(AND(B1994&lt;&gt;"",OR($C$4="",ISNUMBER(SEARCH($C$4,C1994&amp;" "&amp;E1994&amp;" "&amp;G1994&amp;" "&amp;H1994&amp;" "&amp;I1994&amp;" "&amp;J1994&amp;" "&amp;K1994&amp;" "&amp;L1994))),OR($C$5="Semua",$C$5="",G1994=$C$5),OR($C$6="Semua",$C$6="",H1994=$C$6,H1994="Pengeluaran "&amp;$C$6,AND($C$6="Uang Kos Mama",H1994="Pengeluaran Uang Kos")),OR($C$7="Semua",$C$7="",I1994=$C$7),OR($C$8="Semua",$C$8="",C1994=$C$8,E1994=$C$8),OR($C$9="Semua",$C$9="",D1994=$C$9),OR($C$10="",B1994&gt;=$C$10),OR($C$11="",B1994&lt;=$C$11),OR($C$12&lt;&gt;"Ya",K1994&lt;&gt;""),OR($C$13="Semua",$C$13="",L1994=$C$13)),"✓","")</f>
        <v/>
      </c>
      <c r="N1994" s="93">
        <f>N(N1993)+IF(M1994="✓",1,0)</f>
        <v/>
      </c>
      <c r="O1994" s="93">
        <f>N(O1993)+IF(AND(B1994&lt;&gt;"",B1994&gt;='Uang Riba'!$H$30,B1994&lt;='Uang Riba'!$I$30,OR(H1994="Dana riba",H1994="Pinjam uang riba",I1994="Pinjam dari uang riba",I1994="Ganti uang riba",I1994="Kelebihan ganti dikembalikan",AND(C1994="Kantong Uang Riba",G1994="Pengeluaran"))),1,0)</f>
        <v/>
      </c>
      <c r="X1994" s="93">
        <f>IF(AND(B1994&lt;&gt;"",B1994&gt;='Buku Akun'!$H$4,B1994&lt;='Buku Akun'!$H$5,OR(C1994='Buku Akun'!$C$4,AND(D1994="Pindah",E1994='Buku Akun'!$C$4))),B1994+IF(AND(I1994="Selisih bunga",DAY(B1994)=1),0,0.01)+ROW()/10000000,"")</f>
        <v/>
      </c>
    </row>
    <row r="1995" outlineLevel="1" ht="15" customHeight="1" s="94">
      <c r="A1995" s="123">
        <f>IF(B1995="","",ROW()-15)</f>
        <v/>
      </c>
      <c r="B1995" s="124" t="n"/>
      <c r="C1995" s="123" t="n"/>
      <c r="D1995" s="123" t="n"/>
      <c r="E1995" s="123" t="n"/>
      <c r="F1995" s="125" t="n"/>
      <c r="G1995" s="123" t="n"/>
      <c r="H1995" s="123" t="n"/>
      <c r="I1995" s="123" t="n"/>
      <c r="J1995" s="123" t="n"/>
      <c r="K1995" s="123" t="n"/>
      <c r="L1995" s="123" t="n"/>
      <c r="M1995" s="123">
        <f>IF(AND(B1995&lt;&gt;"",OR($C$4="",ISNUMBER(SEARCH($C$4,C1995&amp;" "&amp;E1995&amp;" "&amp;G1995&amp;" "&amp;H1995&amp;" "&amp;I1995&amp;" "&amp;J1995&amp;" "&amp;K1995&amp;" "&amp;L1995))),OR($C$5="Semua",$C$5="",G1995=$C$5),OR($C$6="Semua",$C$6="",H1995=$C$6,H1995="Pengeluaran "&amp;$C$6,AND($C$6="Uang Kos Mama",H1995="Pengeluaran Uang Kos")),OR($C$7="Semua",$C$7="",I1995=$C$7),OR($C$8="Semua",$C$8="",C1995=$C$8,E1995=$C$8),OR($C$9="Semua",$C$9="",D1995=$C$9),OR($C$10="",B1995&gt;=$C$10),OR($C$11="",B1995&lt;=$C$11),OR($C$12&lt;&gt;"Ya",K1995&lt;&gt;""),OR($C$13="Semua",$C$13="",L1995=$C$13)),"✓","")</f>
        <v/>
      </c>
      <c r="N1995" s="93">
        <f>N(N1994)+IF(M1995="✓",1,0)</f>
        <v/>
      </c>
      <c r="O1995" s="93">
        <f>N(O1994)+IF(AND(B1995&lt;&gt;"",B1995&gt;='Uang Riba'!$H$30,B1995&lt;='Uang Riba'!$I$30,OR(H1995="Dana riba",H1995="Pinjam uang riba",I1995="Pinjam dari uang riba",I1995="Ganti uang riba",I1995="Kelebihan ganti dikembalikan",AND(C1995="Kantong Uang Riba",G1995="Pengeluaran"))),1,0)</f>
        <v/>
      </c>
      <c r="X1995" s="93">
        <f>IF(AND(B1995&lt;&gt;"",B1995&gt;='Buku Akun'!$H$4,B1995&lt;='Buku Akun'!$H$5,OR(C1995='Buku Akun'!$C$4,AND(D1995="Pindah",E1995='Buku Akun'!$C$4))),B1995+IF(AND(I1995="Selisih bunga",DAY(B1995)=1),0,0.01)+ROW()/10000000,"")</f>
        <v/>
      </c>
    </row>
    <row r="1996" outlineLevel="1" ht="15" customHeight="1" s="94">
      <c r="A1996" s="123">
        <f>IF(B1996="","",ROW()-15)</f>
        <v/>
      </c>
      <c r="B1996" s="124" t="n"/>
      <c r="C1996" s="123" t="n"/>
      <c r="D1996" s="123" t="n"/>
      <c r="E1996" s="123" t="n"/>
      <c r="F1996" s="125" t="n"/>
      <c r="G1996" s="123" t="n"/>
      <c r="H1996" s="123" t="n"/>
      <c r="I1996" s="123" t="n"/>
      <c r="J1996" s="123" t="n"/>
      <c r="K1996" s="123" t="n"/>
      <c r="L1996" s="123" t="n"/>
      <c r="M1996" s="123">
        <f>IF(AND(B1996&lt;&gt;"",OR($C$4="",ISNUMBER(SEARCH($C$4,C1996&amp;" "&amp;E1996&amp;" "&amp;G1996&amp;" "&amp;H1996&amp;" "&amp;I1996&amp;" "&amp;J1996&amp;" "&amp;K1996&amp;" "&amp;L1996))),OR($C$5="Semua",$C$5="",G1996=$C$5),OR($C$6="Semua",$C$6="",H1996=$C$6,H1996="Pengeluaran "&amp;$C$6,AND($C$6="Uang Kos Mama",H1996="Pengeluaran Uang Kos")),OR($C$7="Semua",$C$7="",I1996=$C$7),OR($C$8="Semua",$C$8="",C1996=$C$8,E1996=$C$8),OR($C$9="Semua",$C$9="",D1996=$C$9),OR($C$10="",B1996&gt;=$C$10),OR($C$11="",B1996&lt;=$C$11),OR($C$12&lt;&gt;"Ya",K1996&lt;&gt;""),OR($C$13="Semua",$C$13="",L1996=$C$13)),"✓","")</f>
        <v/>
      </c>
      <c r="N1996" s="93">
        <f>N(N1995)+IF(M1996="✓",1,0)</f>
        <v/>
      </c>
      <c r="O1996" s="93">
        <f>N(O1995)+IF(AND(B1996&lt;&gt;"",B1996&gt;='Uang Riba'!$H$30,B1996&lt;='Uang Riba'!$I$30,OR(H1996="Dana riba",H1996="Pinjam uang riba",I1996="Pinjam dari uang riba",I1996="Ganti uang riba",I1996="Kelebihan ganti dikembalikan",AND(C1996="Kantong Uang Riba",G1996="Pengeluaran"))),1,0)</f>
        <v/>
      </c>
      <c r="X1996" s="93">
        <f>IF(AND(B1996&lt;&gt;"",B1996&gt;='Buku Akun'!$H$4,B1996&lt;='Buku Akun'!$H$5,OR(C1996='Buku Akun'!$C$4,AND(D1996="Pindah",E1996='Buku Akun'!$C$4))),B1996+IF(AND(I1996="Selisih bunga",DAY(B1996)=1),0,0.01)+ROW()/10000000,"")</f>
        <v/>
      </c>
    </row>
    <row r="1997" outlineLevel="1" ht="15" customHeight="1" s="94">
      <c r="A1997" s="123">
        <f>IF(B1997="","",ROW()-15)</f>
        <v/>
      </c>
      <c r="B1997" s="124" t="n"/>
      <c r="C1997" s="123" t="n"/>
      <c r="D1997" s="123" t="n"/>
      <c r="E1997" s="123" t="n"/>
      <c r="F1997" s="125" t="n"/>
      <c r="G1997" s="123" t="n"/>
      <c r="H1997" s="123" t="n"/>
      <c r="I1997" s="123" t="n"/>
      <c r="J1997" s="123" t="n"/>
      <c r="K1997" s="123" t="n"/>
      <c r="L1997" s="123" t="n"/>
      <c r="M1997" s="123">
        <f>IF(AND(B1997&lt;&gt;"",OR($C$4="",ISNUMBER(SEARCH($C$4,C1997&amp;" "&amp;E1997&amp;" "&amp;G1997&amp;" "&amp;H1997&amp;" "&amp;I1997&amp;" "&amp;J1997&amp;" "&amp;K1997&amp;" "&amp;L1997))),OR($C$5="Semua",$C$5="",G1997=$C$5),OR($C$6="Semua",$C$6="",H1997=$C$6,H1997="Pengeluaran "&amp;$C$6,AND($C$6="Uang Kos Mama",H1997="Pengeluaran Uang Kos")),OR($C$7="Semua",$C$7="",I1997=$C$7),OR($C$8="Semua",$C$8="",C1997=$C$8,E1997=$C$8),OR($C$9="Semua",$C$9="",D1997=$C$9),OR($C$10="",B1997&gt;=$C$10),OR($C$11="",B1997&lt;=$C$11),OR($C$12&lt;&gt;"Ya",K1997&lt;&gt;""),OR($C$13="Semua",$C$13="",L1997=$C$13)),"✓","")</f>
        <v/>
      </c>
      <c r="N1997" s="93">
        <f>N(N1996)+IF(M1997="✓",1,0)</f>
        <v/>
      </c>
      <c r="O1997" s="93">
        <f>N(O1996)+IF(AND(B1997&lt;&gt;"",B1997&gt;='Uang Riba'!$H$30,B1997&lt;='Uang Riba'!$I$30,OR(H1997="Dana riba",H1997="Pinjam uang riba",I1997="Pinjam dari uang riba",I1997="Ganti uang riba",I1997="Kelebihan ganti dikembalikan",AND(C1997="Kantong Uang Riba",G1997="Pengeluaran"))),1,0)</f>
        <v/>
      </c>
      <c r="X1997" s="93">
        <f>IF(AND(B1997&lt;&gt;"",B1997&gt;='Buku Akun'!$H$4,B1997&lt;='Buku Akun'!$H$5,OR(C1997='Buku Akun'!$C$4,AND(D1997="Pindah",E1997='Buku Akun'!$C$4))),B1997+IF(AND(I1997="Selisih bunga",DAY(B1997)=1),0,0.01)+ROW()/10000000,"")</f>
        <v/>
      </c>
    </row>
    <row r="1998" outlineLevel="1" ht="15" customHeight="1" s="94">
      <c r="A1998" s="123">
        <f>IF(B1998="","",ROW()-15)</f>
        <v/>
      </c>
      <c r="B1998" s="124" t="n"/>
      <c r="C1998" s="123" t="n"/>
      <c r="D1998" s="123" t="n"/>
      <c r="E1998" s="123" t="n"/>
      <c r="F1998" s="125" t="n"/>
      <c r="G1998" s="123" t="n"/>
      <c r="H1998" s="123" t="n"/>
      <c r="I1998" s="123" t="n"/>
      <c r="J1998" s="123" t="n"/>
      <c r="K1998" s="123" t="n"/>
      <c r="L1998" s="123" t="n"/>
      <c r="M1998" s="123">
        <f>IF(AND(B1998&lt;&gt;"",OR($C$4="",ISNUMBER(SEARCH($C$4,C1998&amp;" "&amp;E1998&amp;" "&amp;G1998&amp;" "&amp;H1998&amp;" "&amp;I1998&amp;" "&amp;J1998&amp;" "&amp;K1998&amp;" "&amp;L1998))),OR($C$5="Semua",$C$5="",G1998=$C$5),OR($C$6="Semua",$C$6="",H1998=$C$6,H1998="Pengeluaran "&amp;$C$6,AND($C$6="Uang Kos Mama",H1998="Pengeluaran Uang Kos")),OR($C$7="Semua",$C$7="",I1998=$C$7),OR($C$8="Semua",$C$8="",C1998=$C$8,E1998=$C$8),OR($C$9="Semua",$C$9="",D1998=$C$9),OR($C$10="",B1998&gt;=$C$10),OR($C$11="",B1998&lt;=$C$11),OR($C$12&lt;&gt;"Ya",K1998&lt;&gt;""),OR($C$13="Semua",$C$13="",L1998=$C$13)),"✓","")</f>
        <v/>
      </c>
      <c r="N1998" s="93">
        <f>N(N1997)+IF(M1998="✓",1,0)</f>
        <v/>
      </c>
      <c r="O1998" s="93">
        <f>N(O1997)+IF(AND(B1998&lt;&gt;"",B1998&gt;='Uang Riba'!$H$30,B1998&lt;='Uang Riba'!$I$30,OR(H1998="Dana riba",H1998="Pinjam uang riba",I1998="Pinjam dari uang riba",I1998="Ganti uang riba",I1998="Kelebihan ganti dikembalikan",AND(C1998="Kantong Uang Riba",G1998="Pengeluaran"))),1,0)</f>
        <v/>
      </c>
      <c r="X1998" s="93">
        <f>IF(AND(B1998&lt;&gt;"",B1998&gt;='Buku Akun'!$H$4,B1998&lt;='Buku Akun'!$H$5,OR(C1998='Buku Akun'!$C$4,AND(D1998="Pindah",E1998='Buku Akun'!$C$4))),B1998+IF(AND(I1998="Selisih bunga",DAY(B1998)=1),0,0.01)+ROW()/10000000,"")</f>
        <v/>
      </c>
    </row>
    <row r="1999" outlineLevel="1" ht="15" customHeight="1" s="94">
      <c r="A1999" s="123">
        <f>IF(B1999="","",ROW()-15)</f>
        <v/>
      </c>
      <c r="B1999" s="124" t="n"/>
      <c r="C1999" s="123" t="n"/>
      <c r="D1999" s="123" t="n"/>
      <c r="E1999" s="123" t="n"/>
      <c r="F1999" s="125" t="n"/>
      <c r="G1999" s="123" t="n"/>
      <c r="H1999" s="123" t="n"/>
      <c r="I1999" s="123" t="n"/>
      <c r="J1999" s="123" t="n"/>
      <c r="K1999" s="123" t="n"/>
      <c r="L1999" s="123" t="n"/>
      <c r="M1999" s="123">
        <f>IF(AND(B1999&lt;&gt;"",OR($C$4="",ISNUMBER(SEARCH($C$4,C1999&amp;" "&amp;E1999&amp;" "&amp;G1999&amp;" "&amp;H1999&amp;" "&amp;I1999&amp;" "&amp;J1999&amp;" "&amp;K1999&amp;" "&amp;L1999))),OR($C$5="Semua",$C$5="",G1999=$C$5),OR($C$6="Semua",$C$6="",H1999=$C$6,H1999="Pengeluaran "&amp;$C$6,AND($C$6="Uang Kos Mama",H1999="Pengeluaran Uang Kos")),OR($C$7="Semua",$C$7="",I1999=$C$7),OR($C$8="Semua",$C$8="",C1999=$C$8,E1999=$C$8),OR($C$9="Semua",$C$9="",D1999=$C$9),OR($C$10="",B1999&gt;=$C$10),OR($C$11="",B1999&lt;=$C$11),OR($C$12&lt;&gt;"Ya",K1999&lt;&gt;""),OR($C$13="Semua",$C$13="",L1999=$C$13)),"✓","")</f>
        <v/>
      </c>
      <c r="N1999" s="93">
        <f>N(N1998)+IF(M1999="✓",1,0)</f>
        <v/>
      </c>
      <c r="O1999" s="93">
        <f>N(O1998)+IF(AND(B1999&lt;&gt;"",B1999&gt;='Uang Riba'!$H$30,B1999&lt;='Uang Riba'!$I$30,OR(H1999="Dana riba",H1999="Pinjam uang riba",I1999="Pinjam dari uang riba",I1999="Ganti uang riba",I1999="Kelebihan ganti dikembalikan",AND(C1999="Kantong Uang Riba",G1999="Pengeluaran"))),1,0)</f>
        <v/>
      </c>
      <c r="X1999" s="93">
        <f>IF(AND(B1999&lt;&gt;"",B1999&gt;='Buku Akun'!$H$4,B1999&lt;='Buku Akun'!$H$5,OR(C1999='Buku Akun'!$C$4,AND(D1999="Pindah",E1999='Buku Akun'!$C$4))),B1999+IF(AND(I1999="Selisih bunga",DAY(B1999)=1),0,0.01)+ROW()/10000000,"")</f>
        <v/>
      </c>
    </row>
    <row r="2000" outlineLevel="1" ht="15" customHeight="1" s="94">
      <c r="A2000" s="123">
        <f>IF(B2000="","",ROW()-15)</f>
        <v/>
      </c>
      <c r="B2000" s="124" t="n"/>
      <c r="C2000" s="123" t="n"/>
      <c r="D2000" s="123" t="n"/>
      <c r="E2000" s="123" t="n"/>
      <c r="F2000" s="125" t="n"/>
      <c r="G2000" s="123" t="n"/>
      <c r="H2000" s="123" t="n"/>
      <c r="I2000" s="123" t="n"/>
      <c r="J2000" s="123" t="n"/>
      <c r="K2000" s="123" t="n"/>
      <c r="L2000" s="123" t="n"/>
      <c r="M2000" s="123">
        <f>IF(AND(B2000&lt;&gt;"",OR($C$4="",ISNUMBER(SEARCH($C$4,C2000&amp;" "&amp;E2000&amp;" "&amp;G2000&amp;" "&amp;H2000&amp;" "&amp;I2000&amp;" "&amp;J2000&amp;" "&amp;K2000&amp;" "&amp;L2000))),OR($C$5="Semua",$C$5="",G2000=$C$5),OR($C$6="Semua",$C$6="",H2000=$C$6,H2000="Pengeluaran "&amp;$C$6,AND($C$6="Uang Kos Mama",H2000="Pengeluaran Uang Kos")),OR($C$7="Semua",$C$7="",I2000=$C$7),OR($C$8="Semua",$C$8="",C2000=$C$8,E2000=$C$8),OR($C$9="Semua",$C$9="",D2000=$C$9),OR($C$10="",B2000&gt;=$C$10),OR($C$11="",B2000&lt;=$C$11),OR($C$12&lt;&gt;"Ya",K2000&lt;&gt;""),OR($C$13="Semua",$C$13="",L2000=$C$13)),"✓","")</f>
        <v/>
      </c>
      <c r="N2000" s="93">
        <f>N(N1999)+IF(M2000="✓",1,0)</f>
        <v/>
      </c>
      <c r="O2000" s="93">
        <f>N(O1999)+IF(AND(B2000&lt;&gt;"",B2000&gt;='Uang Riba'!$H$30,B2000&lt;='Uang Riba'!$I$30,OR(H2000="Dana riba",H2000="Pinjam uang riba",I2000="Pinjam dari uang riba",I2000="Ganti uang riba",I2000="Kelebihan ganti dikembalikan",AND(C2000="Kantong Uang Riba",G2000="Pengeluaran"))),1,0)</f>
        <v/>
      </c>
      <c r="X2000" s="93">
        <f>IF(AND(B2000&lt;&gt;"",B2000&gt;='Buku Akun'!$H$4,B2000&lt;='Buku Akun'!$H$5,OR(C2000='Buku Akun'!$C$4,AND(D2000="Pindah",E2000='Buku Akun'!$C$4))),B2000+IF(AND(I2000="Selisih bunga",DAY(B2000)=1),0,0.01)+ROW()/10000000,"")</f>
        <v/>
      </c>
    </row>
    <row r="2001" outlineLevel="1" ht="15" customHeight="1" s="94">
      <c r="A2001" s="123">
        <f>IF(B2001="","",ROW()-15)</f>
        <v/>
      </c>
      <c r="B2001" s="124" t="n"/>
      <c r="C2001" s="123" t="n"/>
      <c r="D2001" s="123" t="n"/>
      <c r="E2001" s="123" t="n"/>
      <c r="F2001" s="125" t="n"/>
      <c r="G2001" s="123" t="n"/>
      <c r="H2001" s="123" t="n"/>
      <c r="I2001" s="123" t="n"/>
      <c r="J2001" s="123" t="n"/>
      <c r="K2001" s="123" t="n"/>
      <c r="L2001" s="123" t="n"/>
      <c r="M2001" s="123">
        <f>IF(AND(B2001&lt;&gt;"",OR($C$4="",ISNUMBER(SEARCH($C$4,C2001&amp;" "&amp;E2001&amp;" "&amp;G2001&amp;" "&amp;H2001&amp;" "&amp;I2001&amp;" "&amp;J2001&amp;" "&amp;K2001&amp;" "&amp;L2001))),OR($C$5="Semua",$C$5="",G2001=$C$5),OR($C$6="Semua",$C$6="",H2001=$C$6,H2001="Pengeluaran "&amp;$C$6,AND($C$6="Uang Kos Mama",H2001="Pengeluaran Uang Kos")),OR($C$7="Semua",$C$7="",I2001=$C$7),OR($C$8="Semua",$C$8="",C2001=$C$8,E2001=$C$8),OR($C$9="Semua",$C$9="",D2001=$C$9),OR($C$10="",B2001&gt;=$C$10),OR($C$11="",B2001&lt;=$C$11),OR($C$12&lt;&gt;"Ya",K2001&lt;&gt;""),OR($C$13="Semua",$C$13="",L2001=$C$13)),"✓","")</f>
        <v/>
      </c>
      <c r="N2001" s="93">
        <f>N(N2000)+IF(M2001="✓",1,0)</f>
        <v/>
      </c>
      <c r="O2001" s="93">
        <f>N(O2000)+IF(AND(B2001&lt;&gt;"",B2001&gt;='Uang Riba'!$H$30,B2001&lt;='Uang Riba'!$I$30,OR(H2001="Dana riba",H2001="Pinjam uang riba",I2001="Pinjam dari uang riba",I2001="Ganti uang riba",I2001="Kelebihan ganti dikembalikan",AND(C2001="Kantong Uang Riba",G2001="Pengeluaran"))),1,0)</f>
        <v/>
      </c>
      <c r="X2001" s="93">
        <f>IF(AND(B2001&lt;&gt;"",B2001&gt;='Buku Akun'!$H$4,B2001&lt;='Buku Akun'!$H$5,OR(C2001='Buku Akun'!$C$4,AND(D2001="Pindah",E2001='Buku Akun'!$C$4))),B2001+IF(AND(I2001="Selisih bunga",DAY(B2001)=1),0,0.01)+ROW()/10000000,"")</f>
        <v/>
      </c>
    </row>
    <row r="2002" outlineLevel="1" ht="15" customHeight="1" s="94">
      <c r="A2002" s="123">
        <f>IF(B2002="","",ROW()-15)</f>
        <v/>
      </c>
      <c r="B2002" s="124" t="n"/>
      <c r="C2002" s="123" t="n"/>
      <c r="D2002" s="123" t="n"/>
      <c r="E2002" s="123" t="n"/>
      <c r="F2002" s="125" t="n"/>
      <c r="G2002" s="123" t="n"/>
      <c r="H2002" s="123" t="n"/>
      <c r="I2002" s="123" t="n"/>
      <c r="J2002" s="123" t="n"/>
      <c r="K2002" s="123" t="n"/>
      <c r="L2002" s="123" t="n"/>
      <c r="M2002" s="123">
        <f>IF(AND(B2002&lt;&gt;"",OR($C$4="",ISNUMBER(SEARCH($C$4,C2002&amp;" "&amp;E2002&amp;" "&amp;G2002&amp;" "&amp;H2002&amp;" "&amp;I2002&amp;" "&amp;J2002&amp;" "&amp;K2002&amp;" "&amp;L2002))),OR($C$5="Semua",$C$5="",G2002=$C$5),OR($C$6="Semua",$C$6="",H2002=$C$6,H2002="Pengeluaran "&amp;$C$6,AND($C$6="Uang Kos Mama",H2002="Pengeluaran Uang Kos")),OR($C$7="Semua",$C$7="",I2002=$C$7),OR($C$8="Semua",$C$8="",C2002=$C$8,E2002=$C$8),OR($C$9="Semua",$C$9="",D2002=$C$9),OR($C$10="",B2002&gt;=$C$10),OR($C$11="",B2002&lt;=$C$11),OR($C$12&lt;&gt;"Ya",K2002&lt;&gt;""),OR($C$13="Semua",$C$13="",L2002=$C$13)),"✓","")</f>
        <v/>
      </c>
      <c r="N2002" s="93">
        <f>N(N2001)+IF(M2002="✓",1,0)</f>
        <v/>
      </c>
      <c r="O2002" s="93">
        <f>N(O2001)+IF(AND(B2002&lt;&gt;"",B2002&gt;='Uang Riba'!$H$30,B2002&lt;='Uang Riba'!$I$30,OR(H2002="Dana riba",H2002="Pinjam uang riba",I2002="Pinjam dari uang riba",I2002="Ganti uang riba",I2002="Kelebihan ganti dikembalikan",AND(C2002="Kantong Uang Riba",G2002="Pengeluaran"))),1,0)</f>
        <v/>
      </c>
      <c r="X2002" s="93">
        <f>IF(AND(B2002&lt;&gt;"",B2002&gt;='Buku Akun'!$H$4,B2002&lt;='Buku Akun'!$H$5,OR(C2002='Buku Akun'!$C$4,AND(D2002="Pindah",E2002='Buku Akun'!$C$4))),B2002+IF(AND(I2002="Selisih bunga",DAY(B2002)=1),0,0.01)+ROW()/10000000,"")</f>
        <v/>
      </c>
    </row>
    <row r="2003" outlineLevel="1" ht="15" customHeight="1" s="94">
      <c r="A2003" s="123">
        <f>IF(B2003="","",ROW()-15)</f>
        <v/>
      </c>
      <c r="B2003" s="124" t="n"/>
      <c r="C2003" s="123" t="n"/>
      <c r="D2003" s="123" t="n"/>
      <c r="E2003" s="123" t="n"/>
      <c r="F2003" s="125" t="n"/>
      <c r="G2003" s="123" t="n"/>
      <c r="H2003" s="123" t="n"/>
      <c r="I2003" s="123" t="n"/>
      <c r="J2003" s="123" t="n"/>
      <c r="K2003" s="123" t="n"/>
      <c r="L2003" s="123" t="n"/>
      <c r="M2003" s="123">
        <f>IF(AND(B2003&lt;&gt;"",OR($C$4="",ISNUMBER(SEARCH($C$4,C2003&amp;" "&amp;E2003&amp;" "&amp;G2003&amp;" "&amp;H2003&amp;" "&amp;I2003&amp;" "&amp;J2003&amp;" "&amp;K2003&amp;" "&amp;L2003))),OR($C$5="Semua",$C$5="",G2003=$C$5),OR($C$6="Semua",$C$6="",H2003=$C$6,H2003="Pengeluaran "&amp;$C$6,AND($C$6="Uang Kos Mama",H2003="Pengeluaran Uang Kos")),OR($C$7="Semua",$C$7="",I2003=$C$7),OR($C$8="Semua",$C$8="",C2003=$C$8,E2003=$C$8),OR($C$9="Semua",$C$9="",D2003=$C$9),OR($C$10="",B2003&gt;=$C$10),OR($C$11="",B2003&lt;=$C$11),OR($C$12&lt;&gt;"Ya",K2003&lt;&gt;""),OR($C$13="Semua",$C$13="",L2003=$C$13)),"✓","")</f>
        <v/>
      </c>
      <c r="N2003" s="93">
        <f>N(N2002)+IF(M2003="✓",1,0)</f>
        <v/>
      </c>
      <c r="O2003" s="93">
        <f>N(O2002)+IF(AND(B2003&lt;&gt;"",B2003&gt;='Uang Riba'!$H$30,B2003&lt;='Uang Riba'!$I$30,OR(H2003="Dana riba",H2003="Pinjam uang riba",I2003="Pinjam dari uang riba",I2003="Ganti uang riba",I2003="Kelebihan ganti dikembalikan",AND(C2003="Kantong Uang Riba",G2003="Pengeluaran"))),1,0)</f>
        <v/>
      </c>
      <c r="X2003" s="93">
        <f>IF(AND(B2003&lt;&gt;"",B2003&gt;='Buku Akun'!$H$4,B2003&lt;='Buku Akun'!$H$5,OR(C2003='Buku Akun'!$C$4,AND(D2003="Pindah",E2003='Buku Akun'!$C$4))),B2003+IF(AND(I2003="Selisih bunga",DAY(B2003)=1),0,0.01)+ROW()/10000000,"")</f>
        <v/>
      </c>
    </row>
    <row r="2004" outlineLevel="1" ht="15" customHeight="1" s="94">
      <c r="A2004" s="123">
        <f>IF(B2004="","",ROW()-15)</f>
        <v/>
      </c>
      <c r="B2004" s="124" t="n"/>
      <c r="C2004" s="123" t="n"/>
      <c r="D2004" s="123" t="n"/>
      <c r="E2004" s="123" t="n"/>
      <c r="F2004" s="125" t="n"/>
      <c r="G2004" s="123" t="n"/>
      <c r="H2004" s="123" t="n"/>
      <c r="I2004" s="123" t="n"/>
      <c r="J2004" s="123" t="n"/>
      <c r="K2004" s="123" t="n"/>
      <c r="L2004" s="123" t="n"/>
      <c r="M2004" s="123">
        <f>IF(AND(B2004&lt;&gt;"",OR($C$4="",ISNUMBER(SEARCH($C$4,C2004&amp;" "&amp;E2004&amp;" "&amp;G2004&amp;" "&amp;H2004&amp;" "&amp;I2004&amp;" "&amp;J2004&amp;" "&amp;K2004&amp;" "&amp;L2004))),OR($C$5="Semua",$C$5="",G2004=$C$5),OR($C$6="Semua",$C$6="",H2004=$C$6,H2004="Pengeluaran "&amp;$C$6,AND($C$6="Uang Kos Mama",H2004="Pengeluaran Uang Kos")),OR($C$7="Semua",$C$7="",I2004=$C$7),OR($C$8="Semua",$C$8="",C2004=$C$8,E2004=$C$8),OR($C$9="Semua",$C$9="",D2004=$C$9),OR($C$10="",B2004&gt;=$C$10),OR($C$11="",B2004&lt;=$C$11),OR($C$12&lt;&gt;"Ya",K2004&lt;&gt;""),OR($C$13="Semua",$C$13="",L2004=$C$13)),"✓","")</f>
        <v/>
      </c>
      <c r="N2004" s="93">
        <f>N(N2003)+IF(M2004="✓",1,0)</f>
        <v/>
      </c>
      <c r="O2004" s="93">
        <f>N(O2003)+IF(AND(B2004&lt;&gt;"",B2004&gt;='Uang Riba'!$H$30,B2004&lt;='Uang Riba'!$I$30,OR(H2004="Dana riba",H2004="Pinjam uang riba",I2004="Pinjam dari uang riba",I2004="Ganti uang riba",I2004="Kelebihan ganti dikembalikan",AND(C2004="Kantong Uang Riba",G2004="Pengeluaran"))),1,0)</f>
        <v/>
      </c>
      <c r="X2004" s="93">
        <f>IF(AND(B2004&lt;&gt;"",B2004&gt;='Buku Akun'!$H$4,B2004&lt;='Buku Akun'!$H$5,OR(C2004='Buku Akun'!$C$4,AND(D2004="Pindah",E2004='Buku Akun'!$C$4))),B2004+IF(AND(I2004="Selisih bunga",DAY(B2004)=1),0,0.01)+ROW()/10000000,"")</f>
        <v/>
      </c>
    </row>
    <row r="2005" outlineLevel="1" ht="15" customHeight="1" s="94">
      <c r="A2005" s="123">
        <f>IF(B2005="","",ROW()-15)</f>
        <v/>
      </c>
      <c r="B2005" s="124" t="n"/>
      <c r="C2005" s="123" t="n"/>
      <c r="D2005" s="123" t="n"/>
      <c r="E2005" s="123" t="n"/>
      <c r="F2005" s="125" t="n"/>
      <c r="G2005" s="123" t="n"/>
      <c r="H2005" s="123" t="n"/>
      <c r="I2005" s="123" t="n"/>
      <c r="J2005" s="123" t="n"/>
      <c r="K2005" s="123" t="n"/>
      <c r="L2005" s="123" t="n"/>
      <c r="M2005" s="123">
        <f>IF(AND(B2005&lt;&gt;"",OR($C$4="",ISNUMBER(SEARCH($C$4,C2005&amp;" "&amp;E2005&amp;" "&amp;G2005&amp;" "&amp;H2005&amp;" "&amp;I2005&amp;" "&amp;J2005&amp;" "&amp;K2005&amp;" "&amp;L2005))),OR($C$5="Semua",$C$5="",G2005=$C$5),OR($C$6="Semua",$C$6="",H2005=$C$6,H2005="Pengeluaran "&amp;$C$6,AND($C$6="Uang Kos Mama",H2005="Pengeluaran Uang Kos")),OR($C$7="Semua",$C$7="",I2005=$C$7),OR($C$8="Semua",$C$8="",C2005=$C$8,E2005=$C$8),OR($C$9="Semua",$C$9="",D2005=$C$9),OR($C$10="",B2005&gt;=$C$10),OR($C$11="",B2005&lt;=$C$11),OR($C$12&lt;&gt;"Ya",K2005&lt;&gt;""),OR($C$13="Semua",$C$13="",L2005=$C$13)),"✓","")</f>
        <v/>
      </c>
      <c r="N2005" s="93">
        <f>N(N2004)+IF(M2005="✓",1,0)</f>
        <v/>
      </c>
      <c r="O2005" s="93">
        <f>N(O2004)+IF(AND(B2005&lt;&gt;"",B2005&gt;='Uang Riba'!$H$30,B2005&lt;='Uang Riba'!$I$30,OR(H2005="Dana riba",H2005="Pinjam uang riba",I2005="Pinjam dari uang riba",I2005="Ganti uang riba",I2005="Kelebihan ganti dikembalikan",AND(C2005="Kantong Uang Riba",G2005="Pengeluaran"))),1,0)</f>
        <v/>
      </c>
      <c r="X2005" s="93">
        <f>IF(AND(B2005&lt;&gt;"",B2005&gt;='Buku Akun'!$H$4,B2005&lt;='Buku Akun'!$H$5,OR(C2005='Buku Akun'!$C$4,AND(D2005="Pindah",E2005='Buku Akun'!$C$4))),B2005+IF(AND(I2005="Selisih bunga",DAY(B2005)=1),0,0.01)+ROW()/10000000,"")</f>
        <v/>
      </c>
    </row>
    <row r="2006" outlineLevel="1" ht="15" customHeight="1" s="94">
      <c r="A2006" s="123">
        <f>IF(B2006="","",ROW()-15)</f>
        <v/>
      </c>
      <c r="B2006" s="124" t="n"/>
      <c r="C2006" s="123" t="n"/>
      <c r="D2006" s="123" t="n"/>
      <c r="E2006" s="123" t="n"/>
      <c r="F2006" s="125" t="n"/>
      <c r="G2006" s="123" t="n"/>
      <c r="H2006" s="123" t="n"/>
      <c r="I2006" s="123" t="n"/>
      <c r="J2006" s="123" t="n"/>
      <c r="K2006" s="123" t="n"/>
      <c r="L2006" s="123" t="n"/>
      <c r="M2006" s="123">
        <f>IF(AND(B2006&lt;&gt;"",OR($C$4="",ISNUMBER(SEARCH($C$4,C2006&amp;" "&amp;E2006&amp;" "&amp;G2006&amp;" "&amp;H2006&amp;" "&amp;I2006&amp;" "&amp;J2006&amp;" "&amp;K2006&amp;" "&amp;L2006))),OR($C$5="Semua",$C$5="",G2006=$C$5),OR($C$6="Semua",$C$6="",H2006=$C$6,H2006="Pengeluaran "&amp;$C$6,AND($C$6="Uang Kos Mama",H2006="Pengeluaran Uang Kos")),OR($C$7="Semua",$C$7="",I2006=$C$7),OR($C$8="Semua",$C$8="",C2006=$C$8,E2006=$C$8),OR($C$9="Semua",$C$9="",D2006=$C$9),OR($C$10="",B2006&gt;=$C$10),OR($C$11="",B2006&lt;=$C$11),OR($C$12&lt;&gt;"Ya",K2006&lt;&gt;""),OR($C$13="Semua",$C$13="",L2006=$C$13)),"✓","")</f>
        <v/>
      </c>
      <c r="N2006" s="93">
        <f>N(N2005)+IF(M2006="✓",1,0)</f>
        <v/>
      </c>
      <c r="O2006" s="93">
        <f>N(O2005)+IF(AND(B2006&lt;&gt;"",B2006&gt;='Uang Riba'!$H$30,B2006&lt;='Uang Riba'!$I$30,OR(H2006="Dana riba",H2006="Pinjam uang riba",I2006="Pinjam dari uang riba",I2006="Ganti uang riba",I2006="Kelebihan ganti dikembalikan",AND(C2006="Kantong Uang Riba",G2006="Pengeluaran"))),1,0)</f>
        <v/>
      </c>
      <c r="X2006" s="93">
        <f>IF(AND(B2006&lt;&gt;"",B2006&gt;='Buku Akun'!$H$4,B2006&lt;='Buku Akun'!$H$5,OR(C2006='Buku Akun'!$C$4,AND(D2006="Pindah",E2006='Buku Akun'!$C$4))),B2006+IF(AND(I2006="Selisih bunga",DAY(B2006)=1),0,0.01)+ROW()/10000000,"")</f>
        <v/>
      </c>
    </row>
    <row r="2007" outlineLevel="1" ht="15" customHeight="1" s="94">
      <c r="A2007" s="123">
        <f>IF(B2007="","",ROW()-15)</f>
        <v/>
      </c>
      <c r="B2007" s="124" t="n"/>
      <c r="C2007" s="123" t="n"/>
      <c r="D2007" s="123" t="n"/>
      <c r="E2007" s="123" t="n"/>
      <c r="F2007" s="125" t="n"/>
      <c r="G2007" s="123" t="n"/>
      <c r="H2007" s="123" t="n"/>
      <c r="I2007" s="123" t="n"/>
      <c r="J2007" s="123" t="n"/>
      <c r="K2007" s="123" t="n"/>
      <c r="L2007" s="123" t="n"/>
      <c r="M2007" s="123">
        <f>IF(AND(B2007&lt;&gt;"",OR($C$4="",ISNUMBER(SEARCH($C$4,C2007&amp;" "&amp;E2007&amp;" "&amp;G2007&amp;" "&amp;H2007&amp;" "&amp;I2007&amp;" "&amp;J2007&amp;" "&amp;K2007&amp;" "&amp;L2007))),OR($C$5="Semua",$C$5="",G2007=$C$5),OR($C$6="Semua",$C$6="",H2007=$C$6,H2007="Pengeluaran "&amp;$C$6,AND($C$6="Uang Kos Mama",H2007="Pengeluaran Uang Kos")),OR($C$7="Semua",$C$7="",I2007=$C$7),OR($C$8="Semua",$C$8="",C2007=$C$8,E2007=$C$8),OR($C$9="Semua",$C$9="",D2007=$C$9),OR($C$10="",B2007&gt;=$C$10),OR($C$11="",B2007&lt;=$C$11),OR($C$12&lt;&gt;"Ya",K2007&lt;&gt;""),OR($C$13="Semua",$C$13="",L2007=$C$13)),"✓","")</f>
        <v/>
      </c>
      <c r="N2007" s="93">
        <f>N(N2006)+IF(M2007="✓",1,0)</f>
        <v/>
      </c>
      <c r="O2007" s="93">
        <f>N(O2006)+IF(AND(B2007&lt;&gt;"",B2007&gt;='Uang Riba'!$H$30,B2007&lt;='Uang Riba'!$I$30,OR(H2007="Dana riba",H2007="Pinjam uang riba",I2007="Pinjam dari uang riba",I2007="Ganti uang riba",I2007="Kelebihan ganti dikembalikan",AND(C2007="Kantong Uang Riba",G2007="Pengeluaran"))),1,0)</f>
        <v/>
      </c>
      <c r="X2007" s="93">
        <f>IF(AND(B2007&lt;&gt;"",B2007&gt;='Buku Akun'!$H$4,B2007&lt;='Buku Akun'!$H$5,OR(C2007='Buku Akun'!$C$4,AND(D2007="Pindah",E2007='Buku Akun'!$C$4))),B2007+IF(AND(I2007="Selisih bunga",DAY(B2007)=1),0,0.01)+ROW()/10000000,"")</f>
        <v/>
      </c>
    </row>
    <row r="2008" outlineLevel="1" ht="15" customHeight="1" s="94">
      <c r="A2008" s="123">
        <f>IF(B2008="","",ROW()-15)</f>
        <v/>
      </c>
      <c r="B2008" s="124" t="n"/>
      <c r="C2008" s="123" t="n"/>
      <c r="D2008" s="123" t="n"/>
      <c r="E2008" s="123" t="n"/>
      <c r="F2008" s="125" t="n"/>
      <c r="G2008" s="123" t="n"/>
      <c r="H2008" s="123" t="n"/>
      <c r="I2008" s="123" t="n"/>
      <c r="J2008" s="123" t="n"/>
      <c r="K2008" s="123" t="n"/>
      <c r="L2008" s="123" t="n"/>
      <c r="M2008" s="123">
        <f>IF(AND(B2008&lt;&gt;"",OR($C$4="",ISNUMBER(SEARCH($C$4,C2008&amp;" "&amp;E2008&amp;" "&amp;G2008&amp;" "&amp;H2008&amp;" "&amp;I2008&amp;" "&amp;J2008&amp;" "&amp;K2008&amp;" "&amp;L2008))),OR($C$5="Semua",$C$5="",G2008=$C$5),OR($C$6="Semua",$C$6="",H2008=$C$6,H2008="Pengeluaran "&amp;$C$6,AND($C$6="Uang Kos Mama",H2008="Pengeluaran Uang Kos")),OR($C$7="Semua",$C$7="",I2008=$C$7),OR($C$8="Semua",$C$8="",C2008=$C$8,E2008=$C$8),OR($C$9="Semua",$C$9="",D2008=$C$9),OR($C$10="",B2008&gt;=$C$10),OR($C$11="",B2008&lt;=$C$11),OR($C$12&lt;&gt;"Ya",K2008&lt;&gt;""),OR($C$13="Semua",$C$13="",L2008=$C$13)),"✓","")</f>
        <v/>
      </c>
      <c r="N2008" s="93">
        <f>N(N2007)+IF(M2008="✓",1,0)</f>
        <v/>
      </c>
      <c r="O2008" s="93">
        <f>N(O2007)+IF(AND(B2008&lt;&gt;"",B2008&gt;='Uang Riba'!$H$30,B2008&lt;='Uang Riba'!$I$30,OR(H2008="Dana riba",H2008="Pinjam uang riba",I2008="Pinjam dari uang riba",I2008="Ganti uang riba",I2008="Kelebihan ganti dikembalikan",AND(C2008="Kantong Uang Riba",G2008="Pengeluaran"))),1,0)</f>
        <v/>
      </c>
      <c r="X2008" s="93">
        <f>IF(AND(B2008&lt;&gt;"",B2008&gt;='Buku Akun'!$H$4,B2008&lt;='Buku Akun'!$H$5,OR(C2008='Buku Akun'!$C$4,AND(D2008="Pindah",E2008='Buku Akun'!$C$4))),B2008+IF(AND(I2008="Selisih bunga",DAY(B2008)=1),0,0.01)+ROW()/10000000,"")</f>
        <v/>
      </c>
    </row>
    <row r="2009" outlineLevel="1" ht="15" customHeight="1" s="94">
      <c r="A2009" s="123">
        <f>IF(B2009="","",ROW()-15)</f>
        <v/>
      </c>
      <c r="B2009" s="124" t="n"/>
      <c r="C2009" s="123" t="n"/>
      <c r="D2009" s="123" t="n"/>
      <c r="E2009" s="123" t="n"/>
      <c r="F2009" s="125" t="n"/>
      <c r="G2009" s="123" t="n"/>
      <c r="H2009" s="123" t="n"/>
      <c r="I2009" s="123" t="n"/>
      <c r="J2009" s="123" t="n"/>
      <c r="K2009" s="123" t="n"/>
      <c r="L2009" s="123" t="n"/>
      <c r="M2009" s="123">
        <f>IF(AND(B2009&lt;&gt;"",OR($C$4="",ISNUMBER(SEARCH($C$4,C2009&amp;" "&amp;E2009&amp;" "&amp;G2009&amp;" "&amp;H2009&amp;" "&amp;I2009&amp;" "&amp;J2009&amp;" "&amp;K2009&amp;" "&amp;L2009))),OR($C$5="Semua",$C$5="",G2009=$C$5),OR($C$6="Semua",$C$6="",H2009=$C$6,H2009="Pengeluaran "&amp;$C$6,AND($C$6="Uang Kos Mama",H2009="Pengeluaran Uang Kos")),OR($C$7="Semua",$C$7="",I2009=$C$7),OR($C$8="Semua",$C$8="",C2009=$C$8,E2009=$C$8),OR($C$9="Semua",$C$9="",D2009=$C$9),OR($C$10="",B2009&gt;=$C$10),OR($C$11="",B2009&lt;=$C$11),OR($C$12&lt;&gt;"Ya",K2009&lt;&gt;""),OR($C$13="Semua",$C$13="",L2009=$C$13)),"✓","")</f>
        <v/>
      </c>
      <c r="N2009" s="93">
        <f>N(N2008)+IF(M2009="✓",1,0)</f>
        <v/>
      </c>
      <c r="O2009" s="93">
        <f>N(O2008)+IF(AND(B2009&lt;&gt;"",B2009&gt;='Uang Riba'!$H$30,B2009&lt;='Uang Riba'!$I$30,OR(H2009="Dana riba",H2009="Pinjam uang riba",I2009="Pinjam dari uang riba",I2009="Ganti uang riba",I2009="Kelebihan ganti dikembalikan",AND(C2009="Kantong Uang Riba",G2009="Pengeluaran"))),1,0)</f>
        <v/>
      </c>
      <c r="X2009" s="93">
        <f>IF(AND(B2009&lt;&gt;"",B2009&gt;='Buku Akun'!$H$4,B2009&lt;='Buku Akun'!$H$5,OR(C2009='Buku Akun'!$C$4,AND(D2009="Pindah",E2009='Buku Akun'!$C$4))),B2009+IF(AND(I2009="Selisih bunga",DAY(B2009)=1),0,0.01)+ROW()/10000000,"")</f>
        <v/>
      </c>
    </row>
    <row r="2010" outlineLevel="1" ht="15" customHeight="1" s="94">
      <c r="A2010" s="123">
        <f>IF(B2010="","",ROW()-15)</f>
        <v/>
      </c>
      <c r="B2010" s="124" t="n"/>
      <c r="C2010" s="123" t="n"/>
      <c r="D2010" s="123" t="n"/>
      <c r="E2010" s="123" t="n"/>
      <c r="F2010" s="125" t="n"/>
      <c r="G2010" s="123" t="n"/>
      <c r="H2010" s="123" t="n"/>
      <c r="I2010" s="123" t="n"/>
      <c r="J2010" s="123" t="n"/>
      <c r="K2010" s="123" t="n"/>
      <c r="L2010" s="123" t="n"/>
      <c r="M2010" s="123">
        <f>IF(AND(B2010&lt;&gt;"",OR($C$4="",ISNUMBER(SEARCH($C$4,C2010&amp;" "&amp;E2010&amp;" "&amp;G2010&amp;" "&amp;H2010&amp;" "&amp;I2010&amp;" "&amp;J2010&amp;" "&amp;K2010&amp;" "&amp;L2010))),OR($C$5="Semua",$C$5="",G2010=$C$5),OR($C$6="Semua",$C$6="",H2010=$C$6,H2010="Pengeluaran "&amp;$C$6,AND($C$6="Uang Kos Mama",H2010="Pengeluaran Uang Kos")),OR($C$7="Semua",$C$7="",I2010=$C$7),OR($C$8="Semua",$C$8="",C2010=$C$8,E2010=$C$8),OR($C$9="Semua",$C$9="",D2010=$C$9),OR($C$10="",B2010&gt;=$C$10),OR($C$11="",B2010&lt;=$C$11),OR($C$12&lt;&gt;"Ya",K2010&lt;&gt;""),OR($C$13="Semua",$C$13="",L2010=$C$13)),"✓","")</f>
        <v/>
      </c>
      <c r="N2010" s="93">
        <f>N(N2009)+IF(M2010="✓",1,0)</f>
        <v/>
      </c>
      <c r="O2010" s="93">
        <f>N(O2009)+IF(AND(B2010&lt;&gt;"",B2010&gt;='Uang Riba'!$H$30,B2010&lt;='Uang Riba'!$I$30,OR(H2010="Dana riba",H2010="Pinjam uang riba",I2010="Pinjam dari uang riba",I2010="Ganti uang riba",I2010="Kelebihan ganti dikembalikan",AND(C2010="Kantong Uang Riba",G2010="Pengeluaran"))),1,0)</f>
        <v/>
      </c>
      <c r="X2010" s="93">
        <f>IF(AND(B2010&lt;&gt;"",B2010&gt;='Buku Akun'!$H$4,B2010&lt;='Buku Akun'!$H$5,OR(C2010='Buku Akun'!$C$4,AND(D2010="Pindah",E2010='Buku Akun'!$C$4))),B2010+IF(AND(I2010="Selisih bunga",DAY(B2010)=1),0,0.01)+ROW()/10000000,"")</f>
        <v/>
      </c>
    </row>
    <row r="2011" outlineLevel="1" ht="15" customHeight="1" s="94">
      <c r="A2011" s="123">
        <f>IF(B2011="","",ROW()-15)</f>
        <v/>
      </c>
      <c r="B2011" s="124" t="n"/>
      <c r="C2011" s="123" t="n"/>
      <c r="D2011" s="123" t="n"/>
      <c r="E2011" s="123" t="n"/>
      <c r="F2011" s="125" t="n"/>
      <c r="G2011" s="123" t="n"/>
      <c r="H2011" s="123" t="n"/>
      <c r="I2011" s="123" t="n"/>
      <c r="J2011" s="123" t="n"/>
      <c r="K2011" s="123" t="n"/>
      <c r="L2011" s="123" t="n"/>
      <c r="M2011" s="123">
        <f>IF(AND(B2011&lt;&gt;"",OR($C$4="",ISNUMBER(SEARCH($C$4,C2011&amp;" "&amp;E2011&amp;" "&amp;G2011&amp;" "&amp;H2011&amp;" "&amp;I2011&amp;" "&amp;J2011&amp;" "&amp;K2011&amp;" "&amp;L2011))),OR($C$5="Semua",$C$5="",G2011=$C$5),OR($C$6="Semua",$C$6="",H2011=$C$6,H2011="Pengeluaran "&amp;$C$6,AND($C$6="Uang Kos Mama",H2011="Pengeluaran Uang Kos")),OR($C$7="Semua",$C$7="",I2011=$C$7),OR($C$8="Semua",$C$8="",C2011=$C$8,E2011=$C$8),OR($C$9="Semua",$C$9="",D2011=$C$9),OR($C$10="",B2011&gt;=$C$10),OR($C$11="",B2011&lt;=$C$11),OR($C$12&lt;&gt;"Ya",K2011&lt;&gt;""),OR($C$13="Semua",$C$13="",L2011=$C$13)),"✓","")</f>
        <v/>
      </c>
      <c r="N2011" s="93">
        <f>N(N2010)+IF(M2011="✓",1,0)</f>
        <v/>
      </c>
      <c r="O2011" s="93">
        <f>N(O2010)+IF(AND(B2011&lt;&gt;"",B2011&gt;='Uang Riba'!$H$30,B2011&lt;='Uang Riba'!$I$30,OR(H2011="Dana riba",H2011="Pinjam uang riba",I2011="Pinjam dari uang riba",I2011="Ganti uang riba",I2011="Kelebihan ganti dikembalikan",AND(C2011="Kantong Uang Riba",G2011="Pengeluaran"))),1,0)</f>
        <v/>
      </c>
      <c r="X2011" s="93">
        <f>IF(AND(B2011&lt;&gt;"",B2011&gt;='Buku Akun'!$H$4,B2011&lt;='Buku Akun'!$H$5,OR(C2011='Buku Akun'!$C$4,AND(D2011="Pindah",E2011='Buku Akun'!$C$4))),B2011+IF(AND(I2011="Selisih bunga",DAY(B2011)=1),0,0.01)+ROW()/10000000,"")</f>
        <v/>
      </c>
    </row>
    <row r="2012" outlineLevel="1" ht="15" customHeight="1" s="94">
      <c r="A2012" s="123">
        <f>IF(B2012="","",ROW()-15)</f>
        <v/>
      </c>
      <c r="B2012" s="124" t="n"/>
      <c r="C2012" s="123" t="n"/>
      <c r="D2012" s="123" t="n"/>
      <c r="E2012" s="123" t="n"/>
      <c r="F2012" s="125" t="n"/>
      <c r="G2012" s="123" t="n"/>
      <c r="H2012" s="123" t="n"/>
      <c r="I2012" s="123" t="n"/>
      <c r="J2012" s="123" t="n"/>
      <c r="K2012" s="123" t="n"/>
      <c r="L2012" s="123" t="n"/>
      <c r="M2012" s="123">
        <f>IF(AND(B2012&lt;&gt;"",OR($C$4="",ISNUMBER(SEARCH($C$4,C2012&amp;" "&amp;E2012&amp;" "&amp;G2012&amp;" "&amp;H2012&amp;" "&amp;I2012&amp;" "&amp;J2012&amp;" "&amp;K2012&amp;" "&amp;L2012))),OR($C$5="Semua",$C$5="",G2012=$C$5),OR($C$6="Semua",$C$6="",H2012=$C$6,H2012="Pengeluaran "&amp;$C$6,AND($C$6="Uang Kos Mama",H2012="Pengeluaran Uang Kos")),OR($C$7="Semua",$C$7="",I2012=$C$7),OR($C$8="Semua",$C$8="",C2012=$C$8,E2012=$C$8),OR($C$9="Semua",$C$9="",D2012=$C$9),OR($C$10="",B2012&gt;=$C$10),OR($C$11="",B2012&lt;=$C$11),OR($C$12&lt;&gt;"Ya",K2012&lt;&gt;""),OR($C$13="Semua",$C$13="",L2012=$C$13)),"✓","")</f>
        <v/>
      </c>
      <c r="N2012" s="93">
        <f>N(N2011)+IF(M2012="✓",1,0)</f>
        <v/>
      </c>
      <c r="O2012" s="93">
        <f>N(O2011)+IF(AND(B2012&lt;&gt;"",B2012&gt;='Uang Riba'!$H$30,B2012&lt;='Uang Riba'!$I$30,OR(H2012="Dana riba",H2012="Pinjam uang riba",I2012="Pinjam dari uang riba",I2012="Ganti uang riba",I2012="Kelebihan ganti dikembalikan",AND(C2012="Kantong Uang Riba",G2012="Pengeluaran"))),1,0)</f>
        <v/>
      </c>
      <c r="X2012" s="93">
        <f>IF(AND(B2012&lt;&gt;"",B2012&gt;='Buku Akun'!$H$4,B2012&lt;='Buku Akun'!$H$5,OR(C2012='Buku Akun'!$C$4,AND(D2012="Pindah",E2012='Buku Akun'!$C$4))),B2012+IF(AND(I2012="Selisih bunga",DAY(B2012)=1),0,0.01)+ROW()/10000000,"")</f>
        <v/>
      </c>
    </row>
    <row r="2013" outlineLevel="1" ht="15" customHeight="1" s="94">
      <c r="A2013" s="123">
        <f>IF(B2013="","",ROW()-15)</f>
        <v/>
      </c>
      <c r="B2013" s="124" t="n"/>
      <c r="C2013" s="123" t="n"/>
      <c r="D2013" s="123" t="n"/>
      <c r="E2013" s="123" t="n"/>
      <c r="F2013" s="125" t="n"/>
      <c r="G2013" s="123" t="n"/>
      <c r="H2013" s="123" t="n"/>
      <c r="I2013" s="123" t="n"/>
      <c r="J2013" s="123" t="n"/>
      <c r="K2013" s="123" t="n"/>
      <c r="L2013" s="123" t="n"/>
      <c r="M2013" s="123">
        <f>IF(AND(B2013&lt;&gt;"",OR($C$4="",ISNUMBER(SEARCH($C$4,C2013&amp;" "&amp;E2013&amp;" "&amp;G2013&amp;" "&amp;H2013&amp;" "&amp;I2013&amp;" "&amp;J2013&amp;" "&amp;K2013&amp;" "&amp;L2013))),OR($C$5="Semua",$C$5="",G2013=$C$5),OR($C$6="Semua",$C$6="",H2013=$C$6,H2013="Pengeluaran "&amp;$C$6,AND($C$6="Uang Kos Mama",H2013="Pengeluaran Uang Kos")),OR($C$7="Semua",$C$7="",I2013=$C$7),OR($C$8="Semua",$C$8="",C2013=$C$8,E2013=$C$8),OR($C$9="Semua",$C$9="",D2013=$C$9),OR($C$10="",B2013&gt;=$C$10),OR($C$11="",B2013&lt;=$C$11),OR($C$12&lt;&gt;"Ya",K2013&lt;&gt;""),OR($C$13="Semua",$C$13="",L2013=$C$13)),"✓","")</f>
        <v/>
      </c>
      <c r="N2013" s="93">
        <f>N(N2012)+IF(M2013="✓",1,0)</f>
        <v/>
      </c>
      <c r="O2013" s="93">
        <f>N(O2012)+IF(AND(B2013&lt;&gt;"",B2013&gt;='Uang Riba'!$H$30,B2013&lt;='Uang Riba'!$I$30,OR(H2013="Dana riba",H2013="Pinjam uang riba",I2013="Pinjam dari uang riba",I2013="Ganti uang riba",I2013="Kelebihan ganti dikembalikan",AND(C2013="Kantong Uang Riba",G2013="Pengeluaran"))),1,0)</f>
        <v/>
      </c>
      <c r="X2013" s="93">
        <f>IF(AND(B2013&lt;&gt;"",B2013&gt;='Buku Akun'!$H$4,B2013&lt;='Buku Akun'!$H$5,OR(C2013='Buku Akun'!$C$4,AND(D2013="Pindah",E2013='Buku Akun'!$C$4))),B2013+IF(AND(I2013="Selisih bunga",DAY(B2013)=1),0,0.01)+ROW()/10000000,"")</f>
        <v/>
      </c>
    </row>
    <row r="2014" outlineLevel="1" ht="15" customHeight="1" s="94">
      <c r="A2014" s="123">
        <f>IF(B2014="","",ROW()-15)</f>
        <v/>
      </c>
      <c r="B2014" s="124" t="n"/>
      <c r="C2014" s="123" t="n"/>
      <c r="D2014" s="123" t="n"/>
      <c r="E2014" s="123" t="n"/>
      <c r="F2014" s="125" t="n"/>
      <c r="G2014" s="123" t="n"/>
      <c r="H2014" s="123" t="n"/>
      <c r="I2014" s="123" t="n"/>
      <c r="J2014" s="123" t="n"/>
      <c r="K2014" s="123" t="n"/>
      <c r="L2014" s="123" t="n"/>
      <c r="M2014" s="123">
        <f>IF(AND(B2014&lt;&gt;"",OR($C$4="",ISNUMBER(SEARCH($C$4,C2014&amp;" "&amp;E2014&amp;" "&amp;G2014&amp;" "&amp;H2014&amp;" "&amp;I2014&amp;" "&amp;J2014&amp;" "&amp;K2014&amp;" "&amp;L2014))),OR($C$5="Semua",$C$5="",G2014=$C$5),OR($C$6="Semua",$C$6="",H2014=$C$6,H2014="Pengeluaran "&amp;$C$6,AND($C$6="Uang Kos Mama",H2014="Pengeluaran Uang Kos")),OR($C$7="Semua",$C$7="",I2014=$C$7),OR($C$8="Semua",$C$8="",C2014=$C$8,E2014=$C$8),OR($C$9="Semua",$C$9="",D2014=$C$9),OR($C$10="",B2014&gt;=$C$10),OR($C$11="",B2014&lt;=$C$11),OR($C$12&lt;&gt;"Ya",K2014&lt;&gt;""),OR($C$13="Semua",$C$13="",L2014=$C$13)),"✓","")</f>
        <v/>
      </c>
      <c r="N2014" s="93">
        <f>N(N2013)+IF(M2014="✓",1,0)</f>
        <v/>
      </c>
      <c r="O2014" s="93">
        <f>N(O2013)+IF(AND(B2014&lt;&gt;"",B2014&gt;='Uang Riba'!$H$30,B2014&lt;='Uang Riba'!$I$30,OR(H2014="Dana riba",H2014="Pinjam uang riba",I2014="Pinjam dari uang riba",I2014="Ganti uang riba",I2014="Kelebihan ganti dikembalikan",AND(C2014="Kantong Uang Riba",G2014="Pengeluaran"))),1,0)</f>
        <v/>
      </c>
      <c r="X2014" s="93">
        <f>IF(AND(B2014&lt;&gt;"",B2014&gt;='Buku Akun'!$H$4,B2014&lt;='Buku Akun'!$H$5,OR(C2014='Buku Akun'!$C$4,AND(D2014="Pindah",E2014='Buku Akun'!$C$4))),B2014+IF(AND(I2014="Selisih bunga",DAY(B2014)=1),0,0.01)+ROW()/10000000,"")</f>
        <v/>
      </c>
    </row>
    <row r="2015" outlineLevel="1" ht="15" customHeight="1" s="94">
      <c r="A2015" s="123">
        <f>IF(B2015="","",ROW()-15)</f>
        <v/>
      </c>
      <c r="B2015" s="124" t="n"/>
      <c r="C2015" s="123" t="n"/>
      <c r="D2015" s="123" t="n"/>
      <c r="E2015" s="123" t="n"/>
      <c r="F2015" s="125" t="n"/>
      <c r="G2015" s="123" t="n"/>
      <c r="H2015" s="123" t="n"/>
      <c r="I2015" s="123" t="n"/>
      <c r="J2015" s="123" t="n"/>
      <c r="K2015" s="123" t="n"/>
      <c r="L2015" s="123" t="n"/>
      <c r="M2015" s="123">
        <f>IF(AND(B2015&lt;&gt;"",OR($C$4="",ISNUMBER(SEARCH($C$4,C2015&amp;" "&amp;E2015&amp;" "&amp;G2015&amp;" "&amp;H2015&amp;" "&amp;I2015&amp;" "&amp;J2015&amp;" "&amp;K2015&amp;" "&amp;L2015))),OR($C$5="Semua",$C$5="",G2015=$C$5),OR($C$6="Semua",$C$6="",H2015=$C$6,H2015="Pengeluaran "&amp;$C$6,AND($C$6="Uang Kos Mama",H2015="Pengeluaran Uang Kos")),OR($C$7="Semua",$C$7="",I2015=$C$7),OR($C$8="Semua",$C$8="",C2015=$C$8,E2015=$C$8),OR($C$9="Semua",$C$9="",D2015=$C$9),OR($C$10="",B2015&gt;=$C$10),OR($C$11="",B2015&lt;=$C$11),OR($C$12&lt;&gt;"Ya",K2015&lt;&gt;""),OR($C$13="Semua",$C$13="",L2015=$C$13)),"✓","")</f>
        <v/>
      </c>
      <c r="N2015" s="93">
        <f>N(N2014)+IF(M2015="✓",1,0)</f>
        <v/>
      </c>
      <c r="O2015" s="93">
        <f>N(O2014)+IF(AND(B2015&lt;&gt;"",B2015&gt;='Uang Riba'!$H$30,B2015&lt;='Uang Riba'!$I$30,OR(H2015="Dana riba",H2015="Pinjam uang riba",I2015="Pinjam dari uang riba",I2015="Ganti uang riba",I2015="Kelebihan ganti dikembalikan",AND(C2015="Kantong Uang Riba",G2015="Pengeluaran"))),1,0)</f>
        <v/>
      </c>
      <c r="X2015" s="93">
        <f>IF(AND(B2015&lt;&gt;"",B2015&gt;='Buku Akun'!$H$4,B2015&lt;='Buku Akun'!$H$5,OR(C2015='Buku Akun'!$C$4,AND(D2015="Pindah",E2015='Buku Akun'!$C$4))),B2015+IF(AND(I2015="Selisih bunga",DAY(B2015)=1),0,0.01)+ROW()/10000000,"")</f>
        <v/>
      </c>
    </row>
    <row r="2016" outlineLevel="1" ht="15" customHeight="1" s="94">
      <c r="A2016" s="123">
        <f>IF(B2016="","",ROW()-15)</f>
        <v/>
      </c>
      <c r="B2016" s="124" t="n"/>
      <c r="C2016" s="123" t="n"/>
      <c r="D2016" s="123" t="n"/>
      <c r="E2016" s="123" t="n"/>
      <c r="F2016" s="125" t="n"/>
      <c r="G2016" s="123" t="n"/>
      <c r="H2016" s="123" t="n"/>
      <c r="I2016" s="123" t="n"/>
      <c r="J2016" s="123" t="n"/>
      <c r="K2016" s="123" t="n"/>
      <c r="L2016" s="123" t="n"/>
      <c r="M2016" s="123">
        <f>IF(AND(B2016&lt;&gt;"",OR($C$4="",ISNUMBER(SEARCH($C$4,C2016&amp;" "&amp;E2016&amp;" "&amp;G2016&amp;" "&amp;H2016&amp;" "&amp;I2016&amp;" "&amp;J2016&amp;" "&amp;K2016&amp;" "&amp;L2016))),OR($C$5="Semua",$C$5="",G2016=$C$5),OR($C$6="Semua",$C$6="",H2016=$C$6,H2016="Pengeluaran "&amp;$C$6,AND($C$6="Uang Kos Mama",H2016="Pengeluaran Uang Kos")),OR($C$7="Semua",$C$7="",I2016=$C$7),OR($C$8="Semua",$C$8="",C2016=$C$8,E2016=$C$8),OR($C$9="Semua",$C$9="",D2016=$C$9),OR($C$10="",B2016&gt;=$C$10),OR($C$11="",B2016&lt;=$C$11),OR($C$12&lt;&gt;"Ya",K2016&lt;&gt;""),OR($C$13="Semua",$C$13="",L2016=$C$13)),"✓","")</f>
        <v/>
      </c>
      <c r="N2016" s="93">
        <f>N(N2015)+IF(M2016="✓",1,0)</f>
        <v/>
      </c>
      <c r="O2016" s="93">
        <f>N(O2015)+IF(AND(B2016&lt;&gt;"",B2016&gt;='Uang Riba'!$H$30,B2016&lt;='Uang Riba'!$I$30,OR(H2016="Dana riba",H2016="Pinjam uang riba",I2016="Pinjam dari uang riba",I2016="Ganti uang riba",I2016="Kelebihan ganti dikembalikan",AND(C2016="Kantong Uang Riba",G2016="Pengeluaran"))),1,0)</f>
        <v/>
      </c>
      <c r="X2016" s="93">
        <f>IF(AND(B2016&lt;&gt;"",B2016&gt;='Buku Akun'!$H$4,B2016&lt;='Buku Akun'!$H$5,OR(C2016='Buku Akun'!$C$4,AND(D2016="Pindah",E2016='Buku Akun'!$C$4))),B2016+IF(AND(I2016="Selisih bunga",DAY(B2016)=1),0,0.01)+ROW()/10000000,"")</f>
        <v/>
      </c>
    </row>
    <row r="2017" outlineLevel="1" ht="15" customHeight="1" s="94">
      <c r="A2017" s="123">
        <f>IF(B2017="","",ROW()-15)</f>
        <v/>
      </c>
      <c r="B2017" s="124" t="n"/>
      <c r="C2017" s="123" t="n"/>
      <c r="D2017" s="123" t="n"/>
      <c r="E2017" s="123" t="n"/>
      <c r="F2017" s="125" t="n"/>
      <c r="G2017" s="123" t="n"/>
      <c r="H2017" s="123" t="n"/>
      <c r="I2017" s="123" t="n"/>
      <c r="J2017" s="123" t="n"/>
      <c r="K2017" s="123" t="n"/>
      <c r="L2017" s="123" t="n"/>
      <c r="M2017" s="123">
        <f>IF(AND(B2017&lt;&gt;"",OR($C$4="",ISNUMBER(SEARCH($C$4,C2017&amp;" "&amp;E2017&amp;" "&amp;G2017&amp;" "&amp;H2017&amp;" "&amp;I2017&amp;" "&amp;J2017&amp;" "&amp;K2017&amp;" "&amp;L2017))),OR($C$5="Semua",$C$5="",G2017=$C$5),OR($C$6="Semua",$C$6="",H2017=$C$6,H2017="Pengeluaran "&amp;$C$6,AND($C$6="Uang Kos Mama",H2017="Pengeluaran Uang Kos")),OR($C$7="Semua",$C$7="",I2017=$C$7),OR($C$8="Semua",$C$8="",C2017=$C$8,E2017=$C$8),OR($C$9="Semua",$C$9="",D2017=$C$9),OR($C$10="",B2017&gt;=$C$10),OR($C$11="",B2017&lt;=$C$11),OR($C$12&lt;&gt;"Ya",K2017&lt;&gt;""),OR($C$13="Semua",$C$13="",L2017=$C$13)),"✓","")</f>
        <v/>
      </c>
      <c r="N2017" s="93">
        <f>N(N2016)+IF(M2017="✓",1,0)</f>
        <v/>
      </c>
      <c r="O2017" s="93">
        <f>N(O2016)+IF(AND(B2017&lt;&gt;"",B2017&gt;='Uang Riba'!$H$30,B2017&lt;='Uang Riba'!$I$30,OR(H2017="Dana riba",H2017="Pinjam uang riba",I2017="Pinjam dari uang riba",I2017="Ganti uang riba",I2017="Kelebihan ganti dikembalikan",AND(C2017="Kantong Uang Riba",G2017="Pengeluaran"))),1,0)</f>
        <v/>
      </c>
      <c r="X2017" s="93">
        <f>IF(AND(B2017&lt;&gt;"",B2017&gt;='Buku Akun'!$H$4,B2017&lt;='Buku Akun'!$H$5,OR(C2017='Buku Akun'!$C$4,AND(D2017="Pindah",E2017='Buku Akun'!$C$4))),B2017+IF(AND(I2017="Selisih bunga",DAY(B2017)=1),0,0.01)+ROW()/10000000,"")</f>
        <v/>
      </c>
    </row>
    <row r="2018" outlineLevel="1" ht="15" customHeight="1" s="94">
      <c r="A2018" s="123">
        <f>IF(B2018="","",ROW()-15)</f>
        <v/>
      </c>
      <c r="B2018" s="124" t="n"/>
      <c r="C2018" s="123" t="n"/>
      <c r="D2018" s="123" t="n"/>
      <c r="E2018" s="123" t="n"/>
      <c r="F2018" s="125" t="n"/>
      <c r="G2018" s="123" t="n"/>
      <c r="H2018" s="123" t="n"/>
      <c r="I2018" s="123" t="n"/>
      <c r="J2018" s="123" t="n"/>
      <c r="K2018" s="123" t="n"/>
      <c r="L2018" s="123" t="n"/>
      <c r="M2018" s="123">
        <f>IF(AND(B2018&lt;&gt;"",OR($C$4="",ISNUMBER(SEARCH($C$4,C2018&amp;" "&amp;E2018&amp;" "&amp;G2018&amp;" "&amp;H2018&amp;" "&amp;I2018&amp;" "&amp;J2018&amp;" "&amp;K2018&amp;" "&amp;L2018))),OR($C$5="Semua",$C$5="",G2018=$C$5),OR($C$6="Semua",$C$6="",H2018=$C$6,H2018="Pengeluaran "&amp;$C$6,AND($C$6="Uang Kos Mama",H2018="Pengeluaran Uang Kos")),OR($C$7="Semua",$C$7="",I2018=$C$7),OR($C$8="Semua",$C$8="",C2018=$C$8,E2018=$C$8),OR($C$9="Semua",$C$9="",D2018=$C$9),OR($C$10="",B2018&gt;=$C$10),OR($C$11="",B2018&lt;=$C$11),OR($C$12&lt;&gt;"Ya",K2018&lt;&gt;""),OR($C$13="Semua",$C$13="",L2018=$C$13)),"✓","")</f>
        <v/>
      </c>
      <c r="N2018" s="93">
        <f>N(N2017)+IF(M2018="✓",1,0)</f>
        <v/>
      </c>
      <c r="O2018" s="93">
        <f>N(O2017)+IF(AND(B2018&lt;&gt;"",B2018&gt;='Uang Riba'!$H$30,B2018&lt;='Uang Riba'!$I$30,OR(H2018="Dana riba",H2018="Pinjam uang riba",I2018="Pinjam dari uang riba",I2018="Ganti uang riba",I2018="Kelebihan ganti dikembalikan",AND(C2018="Kantong Uang Riba",G2018="Pengeluaran"))),1,0)</f>
        <v/>
      </c>
      <c r="X2018" s="93">
        <f>IF(AND(B2018&lt;&gt;"",B2018&gt;='Buku Akun'!$H$4,B2018&lt;='Buku Akun'!$H$5,OR(C2018='Buku Akun'!$C$4,AND(D2018="Pindah",E2018='Buku Akun'!$C$4))),B2018+IF(AND(I2018="Selisih bunga",DAY(B2018)=1),0,0.01)+ROW()/10000000,"")</f>
        <v/>
      </c>
    </row>
    <row r="2019" outlineLevel="1" ht="15" customHeight="1" s="94">
      <c r="A2019" s="123">
        <f>IF(B2019="","",ROW()-15)</f>
        <v/>
      </c>
      <c r="B2019" s="124" t="n"/>
      <c r="C2019" s="123" t="n"/>
      <c r="D2019" s="123" t="n"/>
      <c r="E2019" s="123" t="n"/>
      <c r="F2019" s="125" t="n"/>
      <c r="G2019" s="123" t="n"/>
      <c r="H2019" s="123" t="n"/>
      <c r="I2019" s="123" t="n"/>
      <c r="J2019" s="123" t="n"/>
      <c r="K2019" s="123" t="n"/>
      <c r="L2019" s="123" t="n"/>
      <c r="M2019" s="123">
        <f>IF(AND(B2019&lt;&gt;"",OR($C$4="",ISNUMBER(SEARCH($C$4,C2019&amp;" "&amp;E2019&amp;" "&amp;G2019&amp;" "&amp;H2019&amp;" "&amp;I2019&amp;" "&amp;J2019&amp;" "&amp;K2019&amp;" "&amp;L2019))),OR($C$5="Semua",$C$5="",G2019=$C$5),OR($C$6="Semua",$C$6="",H2019=$C$6,H2019="Pengeluaran "&amp;$C$6,AND($C$6="Uang Kos Mama",H2019="Pengeluaran Uang Kos")),OR($C$7="Semua",$C$7="",I2019=$C$7),OR($C$8="Semua",$C$8="",C2019=$C$8,E2019=$C$8),OR($C$9="Semua",$C$9="",D2019=$C$9),OR($C$10="",B2019&gt;=$C$10),OR($C$11="",B2019&lt;=$C$11),OR($C$12&lt;&gt;"Ya",K2019&lt;&gt;""),OR($C$13="Semua",$C$13="",L2019=$C$13)),"✓","")</f>
        <v/>
      </c>
      <c r="N2019" s="93">
        <f>N(N2018)+IF(M2019="✓",1,0)</f>
        <v/>
      </c>
      <c r="O2019" s="93">
        <f>N(O2018)+IF(AND(B2019&lt;&gt;"",B2019&gt;='Uang Riba'!$H$30,B2019&lt;='Uang Riba'!$I$30,OR(H2019="Dana riba",H2019="Pinjam uang riba",I2019="Pinjam dari uang riba",I2019="Ganti uang riba",I2019="Kelebihan ganti dikembalikan",AND(C2019="Kantong Uang Riba",G2019="Pengeluaran"))),1,0)</f>
        <v/>
      </c>
      <c r="X2019" s="93">
        <f>IF(AND(B2019&lt;&gt;"",B2019&gt;='Buku Akun'!$H$4,B2019&lt;='Buku Akun'!$H$5,OR(C2019='Buku Akun'!$C$4,AND(D2019="Pindah",E2019='Buku Akun'!$C$4))),B2019+IF(AND(I2019="Selisih bunga",DAY(B2019)=1),0,0.01)+ROW()/10000000,"")</f>
        <v/>
      </c>
    </row>
    <row r="2020" outlineLevel="1" ht="15" customHeight="1" s="94">
      <c r="A2020" s="123">
        <f>IF(B2020="","",ROW()-15)</f>
        <v/>
      </c>
      <c r="B2020" s="124" t="n"/>
      <c r="C2020" s="123" t="n"/>
      <c r="D2020" s="123" t="n"/>
      <c r="E2020" s="123" t="n"/>
      <c r="F2020" s="125" t="n"/>
      <c r="G2020" s="123" t="n"/>
      <c r="H2020" s="123" t="n"/>
      <c r="I2020" s="123" t="n"/>
      <c r="J2020" s="123" t="n"/>
      <c r="K2020" s="123" t="n"/>
      <c r="L2020" s="123" t="n"/>
      <c r="M2020" s="123">
        <f>IF(AND(B2020&lt;&gt;"",OR($C$4="",ISNUMBER(SEARCH($C$4,C2020&amp;" "&amp;E2020&amp;" "&amp;G2020&amp;" "&amp;H2020&amp;" "&amp;I2020&amp;" "&amp;J2020&amp;" "&amp;K2020&amp;" "&amp;L2020))),OR($C$5="Semua",$C$5="",G2020=$C$5),OR($C$6="Semua",$C$6="",H2020=$C$6,H2020="Pengeluaran "&amp;$C$6,AND($C$6="Uang Kos Mama",H2020="Pengeluaran Uang Kos")),OR($C$7="Semua",$C$7="",I2020=$C$7),OR($C$8="Semua",$C$8="",C2020=$C$8,E2020=$C$8),OR($C$9="Semua",$C$9="",D2020=$C$9),OR($C$10="",B2020&gt;=$C$10),OR($C$11="",B2020&lt;=$C$11),OR($C$12&lt;&gt;"Ya",K2020&lt;&gt;""),OR($C$13="Semua",$C$13="",L2020=$C$13)),"✓","")</f>
        <v/>
      </c>
      <c r="N2020" s="93">
        <f>N(N2019)+IF(M2020="✓",1,0)</f>
        <v/>
      </c>
      <c r="O2020" s="93">
        <f>N(O2019)+IF(AND(B2020&lt;&gt;"",B2020&gt;='Uang Riba'!$H$30,B2020&lt;='Uang Riba'!$I$30,OR(H2020="Dana riba",H2020="Pinjam uang riba",I2020="Pinjam dari uang riba",I2020="Ganti uang riba",I2020="Kelebihan ganti dikembalikan",AND(C2020="Kantong Uang Riba",G2020="Pengeluaran"))),1,0)</f>
        <v/>
      </c>
      <c r="X2020" s="93">
        <f>IF(AND(B2020&lt;&gt;"",B2020&gt;='Buku Akun'!$H$4,B2020&lt;='Buku Akun'!$H$5,OR(C2020='Buku Akun'!$C$4,AND(D2020="Pindah",E2020='Buku Akun'!$C$4))),B2020+IF(AND(I2020="Selisih bunga",DAY(B2020)=1),0,0.01)+ROW()/10000000,"")</f>
        <v/>
      </c>
    </row>
    <row r="2021" outlineLevel="1" ht="15" customHeight="1" s="94">
      <c r="A2021" s="123">
        <f>IF(B2021="","",ROW()-15)</f>
        <v/>
      </c>
      <c r="B2021" s="124" t="n"/>
      <c r="C2021" s="123" t="n"/>
      <c r="D2021" s="123" t="n"/>
      <c r="E2021" s="123" t="n"/>
      <c r="F2021" s="125" t="n"/>
      <c r="G2021" s="123" t="n"/>
      <c r="H2021" s="123" t="n"/>
      <c r="I2021" s="123" t="n"/>
      <c r="J2021" s="123" t="n"/>
      <c r="K2021" s="123" t="n"/>
      <c r="L2021" s="123" t="n"/>
      <c r="M2021" s="123">
        <f>IF(AND(B2021&lt;&gt;"",OR($C$4="",ISNUMBER(SEARCH($C$4,C2021&amp;" "&amp;E2021&amp;" "&amp;G2021&amp;" "&amp;H2021&amp;" "&amp;I2021&amp;" "&amp;J2021&amp;" "&amp;K2021&amp;" "&amp;L2021))),OR($C$5="Semua",$C$5="",G2021=$C$5),OR($C$6="Semua",$C$6="",H2021=$C$6,H2021="Pengeluaran "&amp;$C$6,AND($C$6="Uang Kos Mama",H2021="Pengeluaran Uang Kos")),OR($C$7="Semua",$C$7="",I2021=$C$7),OR($C$8="Semua",$C$8="",C2021=$C$8,E2021=$C$8),OR($C$9="Semua",$C$9="",D2021=$C$9),OR($C$10="",B2021&gt;=$C$10),OR($C$11="",B2021&lt;=$C$11),OR($C$12&lt;&gt;"Ya",K2021&lt;&gt;""),OR($C$13="Semua",$C$13="",L2021=$C$13)),"✓","")</f>
        <v/>
      </c>
      <c r="N2021" s="93">
        <f>N(N2020)+IF(M2021="✓",1,0)</f>
        <v/>
      </c>
      <c r="O2021" s="93">
        <f>N(O2020)+IF(AND(B2021&lt;&gt;"",B2021&gt;='Uang Riba'!$H$30,B2021&lt;='Uang Riba'!$I$30,OR(H2021="Dana riba",H2021="Pinjam uang riba",I2021="Pinjam dari uang riba",I2021="Ganti uang riba",I2021="Kelebihan ganti dikembalikan",AND(C2021="Kantong Uang Riba",G2021="Pengeluaran"))),1,0)</f>
        <v/>
      </c>
      <c r="X2021" s="93">
        <f>IF(AND(B2021&lt;&gt;"",B2021&gt;='Buku Akun'!$H$4,B2021&lt;='Buku Akun'!$H$5,OR(C2021='Buku Akun'!$C$4,AND(D2021="Pindah",E2021='Buku Akun'!$C$4))),B2021+IF(AND(I2021="Selisih bunga",DAY(B2021)=1),0,0.01)+ROW()/10000000,"")</f>
        <v/>
      </c>
    </row>
    <row r="2022" outlineLevel="1" ht="15" customHeight="1" s="94">
      <c r="A2022" s="123">
        <f>IF(B2022="","",ROW()-15)</f>
        <v/>
      </c>
      <c r="B2022" s="124" t="n"/>
      <c r="C2022" s="123" t="n"/>
      <c r="D2022" s="123" t="n"/>
      <c r="E2022" s="123" t="n"/>
      <c r="F2022" s="125" t="n"/>
      <c r="G2022" s="123" t="n"/>
      <c r="H2022" s="123" t="n"/>
      <c r="I2022" s="123" t="n"/>
      <c r="J2022" s="123" t="n"/>
      <c r="K2022" s="123" t="n"/>
      <c r="L2022" s="123" t="n"/>
      <c r="M2022" s="123">
        <f>IF(AND(B2022&lt;&gt;"",OR($C$4="",ISNUMBER(SEARCH($C$4,C2022&amp;" "&amp;E2022&amp;" "&amp;G2022&amp;" "&amp;H2022&amp;" "&amp;I2022&amp;" "&amp;J2022&amp;" "&amp;K2022&amp;" "&amp;L2022))),OR($C$5="Semua",$C$5="",G2022=$C$5),OR($C$6="Semua",$C$6="",H2022=$C$6,H2022="Pengeluaran "&amp;$C$6,AND($C$6="Uang Kos Mama",H2022="Pengeluaran Uang Kos")),OR($C$7="Semua",$C$7="",I2022=$C$7),OR($C$8="Semua",$C$8="",C2022=$C$8,E2022=$C$8),OR($C$9="Semua",$C$9="",D2022=$C$9),OR($C$10="",B2022&gt;=$C$10),OR($C$11="",B2022&lt;=$C$11),OR($C$12&lt;&gt;"Ya",K2022&lt;&gt;""),OR($C$13="Semua",$C$13="",L2022=$C$13)),"✓","")</f>
        <v/>
      </c>
      <c r="N2022" s="93">
        <f>N(N2021)+IF(M2022="✓",1,0)</f>
        <v/>
      </c>
      <c r="O2022" s="93">
        <f>N(O2021)+IF(AND(B2022&lt;&gt;"",B2022&gt;='Uang Riba'!$H$30,B2022&lt;='Uang Riba'!$I$30,OR(H2022="Dana riba",H2022="Pinjam uang riba",I2022="Pinjam dari uang riba",I2022="Ganti uang riba",I2022="Kelebihan ganti dikembalikan",AND(C2022="Kantong Uang Riba",G2022="Pengeluaran"))),1,0)</f>
        <v/>
      </c>
      <c r="X2022" s="93">
        <f>IF(AND(B2022&lt;&gt;"",B2022&gt;='Buku Akun'!$H$4,B2022&lt;='Buku Akun'!$H$5,OR(C2022='Buku Akun'!$C$4,AND(D2022="Pindah",E2022='Buku Akun'!$C$4))),B2022+IF(AND(I2022="Selisih bunga",DAY(B2022)=1),0,0.01)+ROW()/10000000,"")</f>
        <v/>
      </c>
    </row>
    <row r="2023" outlineLevel="1" ht="15" customHeight="1" s="94">
      <c r="A2023" s="123">
        <f>IF(B2023="","",ROW()-15)</f>
        <v/>
      </c>
      <c r="B2023" s="124" t="n"/>
      <c r="C2023" s="123" t="n"/>
      <c r="D2023" s="123" t="n"/>
      <c r="E2023" s="123" t="n"/>
      <c r="F2023" s="125" t="n"/>
      <c r="G2023" s="123" t="n"/>
      <c r="H2023" s="123" t="n"/>
      <c r="I2023" s="123" t="n"/>
      <c r="J2023" s="123" t="n"/>
      <c r="K2023" s="123" t="n"/>
      <c r="L2023" s="123" t="n"/>
      <c r="M2023" s="123">
        <f>IF(AND(B2023&lt;&gt;"",OR($C$4="",ISNUMBER(SEARCH($C$4,C2023&amp;" "&amp;E2023&amp;" "&amp;G2023&amp;" "&amp;H2023&amp;" "&amp;I2023&amp;" "&amp;J2023&amp;" "&amp;K2023&amp;" "&amp;L2023))),OR($C$5="Semua",$C$5="",G2023=$C$5),OR($C$6="Semua",$C$6="",H2023=$C$6,H2023="Pengeluaran "&amp;$C$6,AND($C$6="Uang Kos Mama",H2023="Pengeluaran Uang Kos")),OR($C$7="Semua",$C$7="",I2023=$C$7),OR($C$8="Semua",$C$8="",C2023=$C$8,E2023=$C$8),OR($C$9="Semua",$C$9="",D2023=$C$9),OR($C$10="",B2023&gt;=$C$10),OR($C$11="",B2023&lt;=$C$11),OR($C$12&lt;&gt;"Ya",K2023&lt;&gt;""),OR($C$13="Semua",$C$13="",L2023=$C$13)),"✓","")</f>
        <v/>
      </c>
      <c r="N2023" s="93">
        <f>N(N2022)+IF(M2023="✓",1,0)</f>
        <v/>
      </c>
      <c r="O2023" s="93">
        <f>N(O2022)+IF(AND(B2023&lt;&gt;"",B2023&gt;='Uang Riba'!$H$30,B2023&lt;='Uang Riba'!$I$30,OR(H2023="Dana riba",H2023="Pinjam uang riba",I2023="Pinjam dari uang riba",I2023="Ganti uang riba",I2023="Kelebihan ganti dikembalikan",AND(C2023="Kantong Uang Riba",G2023="Pengeluaran"))),1,0)</f>
        <v/>
      </c>
      <c r="X2023" s="93">
        <f>IF(AND(B2023&lt;&gt;"",B2023&gt;='Buku Akun'!$H$4,B2023&lt;='Buku Akun'!$H$5,OR(C2023='Buku Akun'!$C$4,AND(D2023="Pindah",E2023='Buku Akun'!$C$4))),B2023+IF(AND(I2023="Selisih bunga",DAY(B2023)=1),0,0.01)+ROW()/10000000,"")</f>
        <v/>
      </c>
    </row>
    <row r="2024" outlineLevel="1" ht="15" customHeight="1" s="94">
      <c r="A2024" s="123">
        <f>IF(B2024="","",ROW()-15)</f>
        <v/>
      </c>
      <c r="B2024" s="124" t="n"/>
      <c r="C2024" s="123" t="n"/>
      <c r="D2024" s="123" t="n"/>
      <c r="E2024" s="123" t="n"/>
      <c r="F2024" s="125" t="n"/>
      <c r="G2024" s="123" t="n"/>
      <c r="H2024" s="123" t="n"/>
      <c r="I2024" s="123" t="n"/>
      <c r="J2024" s="123" t="n"/>
      <c r="K2024" s="123" t="n"/>
      <c r="L2024" s="123" t="n"/>
      <c r="M2024" s="123">
        <f>IF(AND(B2024&lt;&gt;"",OR($C$4="",ISNUMBER(SEARCH($C$4,C2024&amp;" "&amp;E2024&amp;" "&amp;G2024&amp;" "&amp;H2024&amp;" "&amp;I2024&amp;" "&amp;J2024&amp;" "&amp;K2024&amp;" "&amp;L2024))),OR($C$5="Semua",$C$5="",G2024=$C$5),OR($C$6="Semua",$C$6="",H2024=$C$6,H2024="Pengeluaran "&amp;$C$6,AND($C$6="Uang Kos Mama",H2024="Pengeluaran Uang Kos")),OR($C$7="Semua",$C$7="",I2024=$C$7),OR($C$8="Semua",$C$8="",C2024=$C$8,E2024=$C$8),OR($C$9="Semua",$C$9="",D2024=$C$9),OR($C$10="",B2024&gt;=$C$10),OR($C$11="",B2024&lt;=$C$11),OR($C$12&lt;&gt;"Ya",K2024&lt;&gt;""),OR($C$13="Semua",$C$13="",L2024=$C$13)),"✓","")</f>
        <v/>
      </c>
      <c r="N2024" s="93">
        <f>N(N2023)+IF(M2024="✓",1,0)</f>
        <v/>
      </c>
      <c r="O2024" s="93">
        <f>N(O2023)+IF(AND(B2024&lt;&gt;"",B2024&gt;='Uang Riba'!$H$30,B2024&lt;='Uang Riba'!$I$30,OR(H2024="Dana riba",H2024="Pinjam uang riba",I2024="Pinjam dari uang riba",I2024="Ganti uang riba",I2024="Kelebihan ganti dikembalikan",AND(C2024="Kantong Uang Riba",G2024="Pengeluaran"))),1,0)</f>
        <v/>
      </c>
      <c r="X2024" s="93">
        <f>IF(AND(B2024&lt;&gt;"",B2024&gt;='Buku Akun'!$H$4,B2024&lt;='Buku Akun'!$H$5,OR(C2024='Buku Akun'!$C$4,AND(D2024="Pindah",E2024='Buku Akun'!$C$4))),B2024+IF(AND(I2024="Selisih bunga",DAY(B2024)=1),0,0.01)+ROW()/10000000,"")</f>
        <v/>
      </c>
    </row>
    <row r="2025" outlineLevel="1" ht="15" customHeight="1" s="94">
      <c r="A2025" s="123">
        <f>IF(B2025="","",ROW()-15)</f>
        <v/>
      </c>
      <c r="B2025" s="124" t="n"/>
      <c r="C2025" s="123" t="n"/>
      <c r="D2025" s="123" t="n"/>
      <c r="E2025" s="123" t="n"/>
      <c r="F2025" s="125" t="n"/>
      <c r="G2025" s="123" t="n"/>
      <c r="H2025" s="123" t="n"/>
      <c r="I2025" s="123" t="n"/>
      <c r="J2025" s="123" t="n"/>
      <c r="K2025" s="123" t="n"/>
      <c r="L2025" s="123" t="n"/>
      <c r="M2025" s="123">
        <f>IF(AND(B2025&lt;&gt;"",OR($C$4="",ISNUMBER(SEARCH($C$4,C2025&amp;" "&amp;E2025&amp;" "&amp;G2025&amp;" "&amp;H2025&amp;" "&amp;I2025&amp;" "&amp;J2025&amp;" "&amp;K2025&amp;" "&amp;L2025))),OR($C$5="Semua",$C$5="",G2025=$C$5),OR($C$6="Semua",$C$6="",H2025=$C$6,H2025="Pengeluaran "&amp;$C$6,AND($C$6="Uang Kos Mama",H2025="Pengeluaran Uang Kos")),OR($C$7="Semua",$C$7="",I2025=$C$7),OR($C$8="Semua",$C$8="",C2025=$C$8,E2025=$C$8),OR($C$9="Semua",$C$9="",D2025=$C$9),OR($C$10="",B2025&gt;=$C$10),OR($C$11="",B2025&lt;=$C$11),OR($C$12&lt;&gt;"Ya",K2025&lt;&gt;""),OR($C$13="Semua",$C$13="",L2025=$C$13)),"✓","")</f>
        <v/>
      </c>
      <c r="N2025" s="93">
        <f>N(N2024)+IF(M2025="✓",1,0)</f>
        <v/>
      </c>
      <c r="O2025" s="93">
        <f>N(O2024)+IF(AND(B2025&lt;&gt;"",B2025&gt;='Uang Riba'!$H$30,B2025&lt;='Uang Riba'!$I$30,OR(H2025="Dana riba",H2025="Pinjam uang riba",I2025="Pinjam dari uang riba",I2025="Ganti uang riba",I2025="Kelebihan ganti dikembalikan",AND(C2025="Kantong Uang Riba",G2025="Pengeluaran"))),1,0)</f>
        <v/>
      </c>
      <c r="X2025" s="93">
        <f>IF(AND(B2025&lt;&gt;"",B2025&gt;='Buku Akun'!$H$4,B2025&lt;='Buku Akun'!$H$5,OR(C2025='Buku Akun'!$C$4,AND(D2025="Pindah",E2025='Buku Akun'!$C$4))),B2025+IF(AND(I2025="Selisih bunga",DAY(B2025)=1),0,0.01)+ROW()/10000000,"")</f>
        <v/>
      </c>
    </row>
    <row r="2026" outlineLevel="1" ht="15" customHeight="1" s="94">
      <c r="A2026" s="123">
        <f>IF(B2026="","",ROW()-15)</f>
        <v/>
      </c>
      <c r="B2026" s="124" t="n"/>
      <c r="C2026" s="123" t="n"/>
      <c r="D2026" s="123" t="n"/>
      <c r="E2026" s="123" t="n"/>
      <c r="F2026" s="125" t="n"/>
      <c r="G2026" s="123" t="n"/>
      <c r="H2026" s="123" t="n"/>
      <c r="I2026" s="123" t="n"/>
      <c r="J2026" s="123" t="n"/>
      <c r="K2026" s="123" t="n"/>
      <c r="L2026" s="123" t="n"/>
      <c r="M2026" s="123">
        <f>IF(AND(B2026&lt;&gt;"",OR($C$4="",ISNUMBER(SEARCH($C$4,C2026&amp;" "&amp;E2026&amp;" "&amp;G2026&amp;" "&amp;H2026&amp;" "&amp;I2026&amp;" "&amp;J2026&amp;" "&amp;K2026&amp;" "&amp;L2026))),OR($C$5="Semua",$C$5="",G2026=$C$5),OR($C$6="Semua",$C$6="",H2026=$C$6,H2026="Pengeluaran "&amp;$C$6,AND($C$6="Uang Kos Mama",H2026="Pengeluaran Uang Kos")),OR($C$7="Semua",$C$7="",I2026=$C$7),OR($C$8="Semua",$C$8="",C2026=$C$8,E2026=$C$8),OR($C$9="Semua",$C$9="",D2026=$C$9),OR($C$10="",B2026&gt;=$C$10),OR($C$11="",B2026&lt;=$C$11),OR($C$12&lt;&gt;"Ya",K2026&lt;&gt;""),OR($C$13="Semua",$C$13="",L2026=$C$13)),"✓","")</f>
        <v/>
      </c>
      <c r="N2026" s="93">
        <f>N(N2025)+IF(M2026="✓",1,0)</f>
        <v/>
      </c>
      <c r="O2026" s="93">
        <f>N(O2025)+IF(AND(B2026&lt;&gt;"",B2026&gt;='Uang Riba'!$H$30,B2026&lt;='Uang Riba'!$I$30,OR(H2026="Dana riba",H2026="Pinjam uang riba",I2026="Pinjam dari uang riba",I2026="Ganti uang riba",I2026="Kelebihan ganti dikembalikan",AND(C2026="Kantong Uang Riba",G2026="Pengeluaran"))),1,0)</f>
        <v/>
      </c>
      <c r="X2026" s="93">
        <f>IF(AND(B2026&lt;&gt;"",B2026&gt;='Buku Akun'!$H$4,B2026&lt;='Buku Akun'!$H$5,OR(C2026='Buku Akun'!$C$4,AND(D2026="Pindah",E2026='Buku Akun'!$C$4))),B2026+IF(AND(I2026="Selisih bunga",DAY(B2026)=1),0,0.01)+ROW()/10000000,"")</f>
        <v/>
      </c>
    </row>
    <row r="2027" outlineLevel="1" ht="15" customHeight="1" s="94">
      <c r="A2027" s="123">
        <f>IF(B2027="","",ROW()-15)</f>
        <v/>
      </c>
      <c r="B2027" s="124" t="n"/>
      <c r="C2027" s="123" t="n"/>
      <c r="D2027" s="123" t="n"/>
      <c r="E2027" s="123" t="n"/>
      <c r="F2027" s="125" t="n"/>
      <c r="G2027" s="123" t="n"/>
      <c r="H2027" s="123" t="n"/>
      <c r="I2027" s="123" t="n"/>
      <c r="J2027" s="123" t="n"/>
      <c r="K2027" s="123" t="n"/>
      <c r="L2027" s="123" t="n"/>
      <c r="M2027" s="123">
        <f>IF(AND(B2027&lt;&gt;"",OR($C$4="",ISNUMBER(SEARCH($C$4,C2027&amp;" "&amp;E2027&amp;" "&amp;G2027&amp;" "&amp;H2027&amp;" "&amp;I2027&amp;" "&amp;J2027&amp;" "&amp;K2027&amp;" "&amp;L2027))),OR($C$5="Semua",$C$5="",G2027=$C$5),OR($C$6="Semua",$C$6="",H2027=$C$6,H2027="Pengeluaran "&amp;$C$6,AND($C$6="Uang Kos Mama",H2027="Pengeluaran Uang Kos")),OR($C$7="Semua",$C$7="",I2027=$C$7),OR($C$8="Semua",$C$8="",C2027=$C$8,E2027=$C$8),OR($C$9="Semua",$C$9="",D2027=$C$9),OR($C$10="",B2027&gt;=$C$10),OR($C$11="",B2027&lt;=$C$11),OR($C$12&lt;&gt;"Ya",K2027&lt;&gt;""),OR($C$13="Semua",$C$13="",L2027=$C$13)),"✓","")</f>
        <v/>
      </c>
      <c r="N2027" s="93">
        <f>N(N2026)+IF(M2027="✓",1,0)</f>
        <v/>
      </c>
      <c r="O2027" s="93">
        <f>N(O2026)+IF(AND(B2027&lt;&gt;"",B2027&gt;='Uang Riba'!$H$30,B2027&lt;='Uang Riba'!$I$30,OR(H2027="Dana riba",H2027="Pinjam uang riba",I2027="Pinjam dari uang riba",I2027="Ganti uang riba",I2027="Kelebihan ganti dikembalikan",AND(C2027="Kantong Uang Riba",G2027="Pengeluaran"))),1,0)</f>
        <v/>
      </c>
      <c r="X2027" s="93">
        <f>IF(AND(B2027&lt;&gt;"",B2027&gt;='Buku Akun'!$H$4,B2027&lt;='Buku Akun'!$H$5,OR(C2027='Buku Akun'!$C$4,AND(D2027="Pindah",E2027='Buku Akun'!$C$4))),B2027+IF(AND(I2027="Selisih bunga",DAY(B2027)=1),0,0.01)+ROW()/10000000,"")</f>
        <v/>
      </c>
    </row>
    <row r="2028" outlineLevel="1" ht="15" customHeight="1" s="94">
      <c r="A2028" s="123">
        <f>IF(B2028="","",ROW()-15)</f>
        <v/>
      </c>
      <c r="B2028" s="124" t="n"/>
      <c r="C2028" s="123" t="n"/>
      <c r="D2028" s="123" t="n"/>
      <c r="E2028" s="123" t="n"/>
      <c r="F2028" s="125" t="n"/>
      <c r="G2028" s="123" t="n"/>
      <c r="H2028" s="123" t="n"/>
      <c r="I2028" s="123" t="n"/>
      <c r="J2028" s="123" t="n"/>
      <c r="K2028" s="123" t="n"/>
      <c r="L2028" s="123" t="n"/>
      <c r="M2028" s="123">
        <f>IF(AND(B2028&lt;&gt;"",OR($C$4="",ISNUMBER(SEARCH($C$4,C2028&amp;" "&amp;E2028&amp;" "&amp;G2028&amp;" "&amp;H2028&amp;" "&amp;I2028&amp;" "&amp;J2028&amp;" "&amp;K2028&amp;" "&amp;L2028))),OR($C$5="Semua",$C$5="",G2028=$C$5),OR($C$6="Semua",$C$6="",H2028=$C$6,H2028="Pengeluaran "&amp;$C$6,AND($C$6="Uang Kos Mama",H2028="Pengeluaran Uang Kos")),OR($C$7="Semua",$C$7="",I2028=$C$7),OR($C$8="Semua",$C$8="",C2028=$C$8,E2028=$C$8),OR($C$9="Semua",$C$9="",D2028=$C$9),OR($C$10="",B2028&gt;=$C$10),OR($C$11="",B2028&lt;=$C$11),OR($C$12&lt;&gt;"Ya",K2028&lt;&gt;""),OR($C$13="Semua",$C$13="",L2028=$C$13)),"✓","")</f>
        <v/>
      </c>
      <c r="N2028" s="93">
        <f>N(N2027)+IF(M2028="✓",1,0)</f>
        <v/>
      </c>
      <c r="O2028" s="93">
        <f>N(O2027)+IF(AND(B2028&lt;&gt;"",B2028&gt;='Uang Riba'!$H$30,B2028&lt;='Uang Riba'!$I$30,OR(H2028="Dana riba",H2028="Pinjam uang riba",I2028="Pinjam dari uang riba",I2028="Ganti uang riba",I2028="Kelebihan ganti dikembalikan",AND(C2028="Kantong Uang Riba",G2028="Pengeluaran"))),1,0)</f>
        <v/>
      </c>
      <c r="X2028" s="93">
        <f>IF(AND(B2028&lt;&gt;"",B2028&gt;='Buku Akun'!$H$4,B2028&lt;='Buku Akun'!$H$5,OR(C2028='Buku Akun'!$C$4,AND(D2028="Pindah",E2028='Buku Akun'!$C$4))),B2028+IF(AND(I2028="Selisih bunga",DAY(B2028)=1),0,0.01)+ROW()/10000000,"")</f>
        <v/>
      </c>
    </row>
    <row r="2029" outlineLevel="1" ht="15" customHeight="1" s="94">
      <c r="A2029" s="123">
        <f>IF(B2029="","",ROW()-15)</f>
        <v/>
      </c>
      <c r="B2029" s="124" t="n"/>
      <c r="C2029" s="123" t="n"/>
      <c r="D2029" s="123" t="n"/>
      <c r="E2029" s="123" t="n"/>
      <c r="F2029" s="125" t="n"/>
      <c r="G2029" s="123" t="n"/>
      <c r="H2029" s="123" t="n"/>
      <c r="I2029" s="123" t="n"/>
      <c r="J2029" s="123" t="n"/>
      <c r="K2029" s="123" t="n"/>
      <c r="L2029" s="123" t="n"/>
      <c r="M2029" s="123">
        <f>IF(AND(B2029&lt;&gt;"",OR($C$4="",ISNUMBER(SEARCH($C$4,C2029&amp;" "&amp;E2029&amp;" "&amp;G2029&amp;" "&amp;H2029&amp;" "&amp;I2029&amp;" "&amp;J2029&amp;" "&amp;K2029&amp;" "&amp;L2029))),OR($C$5="Semua",$C$5="",G2029=$C$5),OR($C$6="Semua",$C$6="",H2029=$C$6,H2029="Pengeluaran "&amp;$C$6,AND($C$6="Uang Kos Mama",H2029="Pengeluaran Uang Kos")),OR($C$7="Semua",$C$7="",I2029=$C$7),OR($C$8="Semua",$C$8="",C2029=$C$8,E2029=$C$8),OR($C$9="Semua",$C$9="",D2029=$C$9),OR($C$10="",B2029&gt;=$C$10),OR($C$11="",B2029&lt;=$C$11),OR($C$12&lt;&gt;"Ya",K2029&lt;&gt;""),OR($C$13="Semua",$C$13="",L2029=$C$13)),"✓","")</f>
        <v/>
      </c>
      <c r="N2029" s="93">
        <f>N(N2028)+IF(M2029="✓",1,0)</f>
        <v/>
      </c>
      <c r="O2029" s="93">
        <f>N(O2028)+IF(AND(B2029&lt;&gt;"",B2029&gt;='Uang Riba'!$H$30,B2029&lt;='Uang Riba'!$I$30,OR(H2029="Dana riba",H2029="Pinjam uang riba",I2029="Pinjam dari uang riba",I2029="Ganti uang riba",I2029="Kelebihan ganti dikembalikan",AND(C2029="Kantong Uang Riba",G2029="Pengeluaran"))),1,0)</f>
        <v/>
      </c>
      <c r="X2029" s="93">
        <f>IF(AND(B2029&lt;&gt;"",B2029&gt;='Buku Akun'!$H$4,B2029&lt;='Buku Akun'!$H$5,OR(C2029='Buku Akun'!$C$4,AND(D2029="Pindah",E2029='Buku Akun'!$C$4))),B2029+IF(AND(I2029="Selisih bunga",DAY(B2029)=1),0,0.01)+ROW()/10000000,"")</f>
        <v/>
      </c>
    </row>
    <row r="2030" outlineLevel="1" ht="15" customHeight="1" s="94">
      <c r="A2030" s="123">
        <f>IF(B2030="","",ROW()-15)</f>
        <v/>
      </c>
      <c r="B2030" s="124" t="n"/>
      <c r="C2030" s="123" t="n"/>
      <c r="D2030" s="123" t="n"/>
      <c r="E2030" s="123" t="n"/>
      <c r="F2030" s="125" t="n"/>
      <c r="G2030" s="123" t="n"/>
      <c r="H2030" s="123" t="n"/>
      <c r="I2030" s="123" t="n"/>
      <c r="J2030" s="123" t="n"/>
      <c r="K2030" s="123" t="n"/>
      <c r="L2030" s="123" t="n"/>
      <c r="M2030" s="123">
        <f>IF(AND(B2030&lt;&gt;"",OR($C$4="",ISNUMBER(SEARCH($C$4,C2030&amp;" "&amp;E2030&amp;" "&amp;G2030&amp;" "&amp;H2030&amp;" "&amp;I2030&amp;" "&amp;J2030&amp;" "&amp;K2030&amp;" "&amp;L2030))),OR($C$5="Semua",$C$5="",G2030=$C$5),OR($C$6="Semua",$C$6="",H2030=$C$6,H2030="Pengeluaran "&amp;$C$6,AND($C$6="Uang Kos Mama",H2030="Pengeluaran Uang Kos")),OR($C$7="Semua",$C$7="",I2030=$C$7),OR($C$8="Semua",$C$8="",C2030=$C$8,E2030=$C$8),OR($C$9="Semua",$C$9="",D2030=$C$9),OR($C$10="",B2030&gt;=$C$10),OR($C$11="",B2030&lt;=$C$11),OR($C$12&lt;&gt;"Ya",K2030&lt;&gt;""),OR($C$13="Semua",$C$13="",L2030=$C$13)),"✓","")</f>
        <v/>
      </c>
      <c r="N2030" s="93">
        <f>N(N2029)+IF(M2030="✓",1,0)</f>
        <v/>
      </c>
      <c r="O2030" s="93">
        <f>N(O2029)+IF(AND(B2030&lt;&gt;"",B2030&gt;='Uang Riba'!$H$30,B2030&lt;='Uang Riba'!$I$30,OR(H2030="Dana riba",H2030="Pinjam uang riba",I2030="Pinjam dari uang riba",I2030="Ganti uang riba",I2030="Kelebihan ganti dikembalikan",AND(C2030="Kantong Uang Riba",G2030="Pengeluaran"))),1,0)</f>
        <v/>
      </c>
      <c r="X2030" s="93">
        <f>IF(AND(B2030&lt;&gt;"",B2030&gt;='Buku Akun'!$H$4,B2030&lt;='Buku Akun'!$H$5,OR(C2030='Buku Akun'!$C$4,AND(D2030="Pindah",E2030='Buku Akun'!$C$4))),B2030+IF(AND(I2030="Selisih bunga",DAY(B2030)=1),0,0.01)+ROW()/10000000,"")</f>
        <v/>
      </c>
    </row>
    <row r="2031" outlineLevel="1" ht="15" customHeight="1" s="94">
      <c r="A2031" s="123">
        <f>IF(B2031="","",ROW()-15)</f>
        <v/>
      </c>
      <c r="B2031" s="124" t="n"/>
      <c r="C2031" s="123" t="n"/>
      <c r="D2031" s="123" t="n"/>
      <c r="E2031" s="123" t="n"/>
      <c r="F2031" s="125" t="n"/>
      <c r="G2031" s="123" t="n"/>
      <c r="H2031" s="123" t="n"/>
      <c r="I2031" s="123" t="n"/>
      <c r="J2031" s="123" t="n"/>
      <c r="K2031" s="123" t="n"/>
      <c r="L2031" s="123" t="n"/>
      <c r="M2031" s="123">
        <f>IF(AND(B2031&lt;&gt;"",OR($C$4="",ISNUMBER(SEARCH($C$4,C2031&amp;" "&amp;E2031&amp;" "&amp;G2031&amp;" "&amp;H2031&amp;" "&amp;I2031&amp;" "&amp;J2031&amp;" "&amp;K2031&amp;" "&amp;L2031))),OR($C$5="Semua",$C$5="",G2031=$C$5),OR($C$6="Semua",$C$6="",H2031=$C$6,H2031="Pengeluaran "&amp;$C$6,AND($C$6="Uang Kos Mama",H2031="Pengeluaran Uang Kos")),OR($C$7="Semua",$C$7="",I2031=$C$7),OR($C$8="Semua",$C$8="",C2031=$C$8,E2031=$C$8),OR($C$9="Semua",$C$9="",D2031=$C$9),OR($C$10="",B2031&gt;=$C$10),OR($C$11="",B2031&lt;=$C$11),OR($C$12&lt;&gt;"Ya",K2031&lt;&gt;""),OR($C$13="Semua",$C$13="",L2031=$C$13)),"✓","")</f>
        <v/>
      </c>
      <c r="N2031" s="93">
        <f>N(N2030)+IF(M2031="✓",1,0)</f>
        <v/>
      </c>
      <c r="O2031" s="93">
        <f>N(O2030)+IF(AND(B2031&lt;&gt;"",B2031&gt;='Uang Riba'!$H$30,B2031&lt;='Uang Riba'!$I$30,OR(H2031="Dana riba",H2031="Pinjam uang riba",I2031="Pinjam dari uang riba",I2031="Ganti uang riba",I2031="Kelebihan ganti dikembalikan",AND(C2031="Kantong Uang Riba",G2031="Pengeluaran"))),1,0)</f>
        <v/>
      </c>
      <c r="X2031" s="93">
        <f>IF(AND(B2031&lt;&gt;"",B2031&gt;='Buku Akun'!$H$4,B2031&lt;='Buku Akun'!$H$5,OR(C2031='Buku Akun'!$C$4,AND(D2031="Pindah",E2031='Buku Akun'!$C$4))),B2031+IF(AND(I2031="Selisih bunga",DAY(B2031)=1),0,0.01)+ROW()/10000000,"")</f>
        <v/>
      </c>
    </row>
    <row r="2032" outlineLevel="1" ht="15" customHeight="1" s="94">
      <c r="A2032" s="123">
        <f>IF(B2032="","",ROW()-15)</f>
        <v/>
      </c>
      <c r="B2032" s="124" t="n"/>
      <c r="C2032" s="123" t="n"/>
      <c r="D2032" s="123" t="n"/>
      <c r="E2032" s="123" t="n"/>
      <c r="F2032" s="125" t="n"/>
      <c r="G2032" s="123" t="n"/>
      <c r="H2032" s="123" t="n"/>
      <c r="I2032" s="123" t="n"/>
      <c r="J2032" s="123" t="n"/>
      <c r="K2032" s="123" t="n"/>
      <c r="L2032" s="123" t="n"/>
      <c r="M2032" s="123">
        <f>IF(AND(B2032&lt;&gt;"",OR($C$4="",ISNUMBER(SEARCH($C$4,C2032&amp;" "&amp;E2032&amp;" "&amp;G2032&amp;" "&amp;H2032&amp;" "&amp;I2032&amp;" "&amp;J2032&amp;" "&amp;K2032&amp;" "&amp;L2032))),OR($C$5="Semua",$C$5="",G2032=$C$5),OR($C$6="Semua",$C$6="",H2032=$C$6,H2032="Pengeluaran "&amp;$C$6,AND($C$6="Uang Kos Mama",H2032="Pengeluaran Uang Kos")),OR($C$7="Semua",$C$7="",I2032=$C$7),OR($C$8="Semua",$C$8="",C2032=$C$8,E2032=$C$8),OR($C$9="Semua",$C$9="",D2032=$C$9),OR($C$10="",B2032&gt;=$C$10),OR($C$11="",B2032&lt;=$C$11),OR($C$12&lt;&gt;"Ya",K2032&lt;&gt;""),OR($C$13="Semua",$C$13="",L2032=$C$13)),"✓","")</f>
        <v/>
      </c>
      <c r="N2032" s="93">
        <f>N(N2031)+IF(M2032="✓",1,0)</f>
        <v/>
      </c>
      <c r="O2032" s="93">
        <f>N(O2031)+IF(AND(B2032&lt;&gt;"",B2032&gt;='Uang Riba'!$H$30,B2032&lt;='Uang Riba'!$I$30,OR(H2032="Dana riba",H2032="Pinjam uang riba",I2032="Pinjam dari uang riba",I2032="Ganti uang riba",I2032="Kelebihan ganti dikembalikan",AND(C2032="Kantong Uang Riba",G2032="Pengeluaran"))),1,0)</f>
        <v/>
      </c>
      <c r="X2032" s="93">
        <f>IF(AND(B2032&lt;&gt;"",B2032&gt;='Buku Akun'!$H$4,B2032&lt;='Buku Akun'!$H$5,OR(C2032='Buku Akun'!$C$4,AND(D2032="Pindah",E2032='Buku Akun'!$C$4))),B2032+IF(AND(I2032="Selisih bunga",DAY(B2032)=1),0,0.01)+ROW()/10000000,"")</f>
        <v/>
      </c>
    </row>
    <row r="2033" outlineLevel="1" ht="15" customHeight="1" s="94">
      <c r="A2033" s="123">
        <f>IF(B2033="","",ROW()-15)</f>
        <v/>
      </c>
      <c r="B2033" s="124" t="n"/>
      <c r="C2033" s="123" t="n"/>
      <c r="D2033" s="123" t="n"/>
      <c r="E2033" s="123" t="n"/>
      <c r="F2033" s="125" t="n"/>
      <c r="G2033" s="123" t="n"/>
      <c r="H2033" s="123" t="n"/>
      <c r="I2033" s="123" t="n"/>
      <c r="J2033" s="123" t="n"/>
      <c r="K2033" s="123" t="n"/>
      <c r="L2033" s="123" t="n"/>
      <c r="M2033" s="123">
        <f>IF(AND(B2033&lt;&gt;"",OR($C$4="",ISNUMBER(SEARCH($C$4,C2033&amp;" "&amp;E2033&amp;" "&amp;G2033&amp;" "&amp;H2033&amp;" "&amp;I2033&amp;" "&amp;J2033&amp;" "&amp;K2033&amp;" "&amp;L2033))),OR($C$5="Semua",$C$5="",G2033=$C$5),OR($C$6="Semua",$C$6="",H2033=$C$6,H2033="Pengeluaran "&amp;$C$6,AND($C$6="Uang Kos Mama",H2033="Pengeluaran Uang Kos")),OR($C$7="Semua",$C$7="",I2033=$C$7),OR($C$8="Semua",$C$8="",C2033=$C$8,E2033=$C$8),OR($C$9="Semua",$C$9="",D2033=$C$9),OR($C$10="",B2033&gt;=$C$10),OR($C$11="",B2033&lt;=$C$11),OR($C$12&lt;&gt;"Ya",K2033&lt;&gt;""),OR($C$13="Semua",$C$13="",L2033=$C$13)),"✓","")</f>
        <v/>
      </c>
      <c r="N2033" s="93">
        <f>N(N2032)+IF(M2033="✓",1,0)</f>
        <v/>
      </c>
      <c r="O2033" s="93">
        <f>N(O2032)+IF(AND(B2033&lt;&gt;"",B2033&gt;='Uang Riba'!$H$30,B2033&lt;='Uang Riba'!$I$30,OR(H2033="Dana riba",H2033="Pinjam uang riba",I2033="Pinjam dari uang riba",I2033="Ganti uang riba",I2033="Kelebihan ganti dikembalikan",AND(C2033="Kantong Uang Riba",G2033="Pengeluaran"))),1,0)</f>
        <v/>
      </c>
      <c r="X2033" s="93">
        <f>IF(AND(B2033&lt;&gt;"",B2033&gt;='Buku Akun'!$H$4,B2033&lt;='Buku Akun'!$H$5,OR(C2033='Buku Akun'!$C$4,AND(D2033="Pindah",E2033='Buku Akun'!$C$4))),B2033+IF(AND(I2033="Selisih bunga",DAY(B2033)=1),0,0.01)+ROW()/10000000,"")</f>
        <v/>
      </c>
    </row>
    <row r="2034" outlineLevel="1" ht="15" customHeight="1" s="94">
      <c r="A2034" s="123">
        <f>IF(B2034="","",ROW()-15)</f>
        <v/>
      </c>
      <c r="B2034" s="124" t="n"/>
      <c r="C2034" s="123" t="n"/>
      <c r="D2034" s="123" t="n"/>
      <c r="E2034" s="123" t="n"/>
      <c r="F2034" s="125" t="n"/>
      <c r="G2034" s="123" t="n"/>
      <c r="H2034" s="123" t="n"/>
      <c r="I2034" s="123" t="n"/>
      <c r="J2034" s="123" t="n"/>
      <c r="K2034" s="123" t="n"/>
      <c r="L2034" s="123" t="n"/>
      <c r="M2034" s="123">
        <f>IF(AND(B2034&lt;&gt;"",OR($C$4="",ISNUMBER(SEARCH($C$4,C2034&amp;" "&amp;E2034&amp;" "&amp;G2034&amp;" "&amp;H2034&amp;" "&amp;I2034&amp;" "&amp;J2034&amp;" "&amp;K2034&amp;" "&amp;L2034))),OR($C$5="Semua",$C$5="",G2034=$C$5),OR($C$6="Semua",$C$6="",H2034=$C$6,H2034="Pengeluaran "&amp;$C$6,AND($C$6="Uang Kos Mama",H2034="Pengeluaran Uang Kos")),OR($C$7="Semua",$C$7="",I2034=$C$7),OR($C$8="Semua",$C$8="",C2034=$C$8,E2034=$C$8),OR($C$9="Semua",$C$9="",D2034=$C$9),OR($C$10="",B2034&gt;=$C$10),OR($C$11="",B2034&lt;=$C$11),OR($C$12&lt;&gt;"Ya",K2034&lt;&gt;""),OR($C$13="Semua",$C$13="",L2034=$C$13)),"✓","")</f>
        <v/>
      </c>
      <c r="N2034" s="93">
        <f>N(N2033)+IF(M2034="✓",1,0)</f>
        <v/>
      </c>
      <c r="O2034" s="93">
        <f>N(O2033)+IF(AND(B2034&lt;&gt;"",B2034&gt;='Uang Riba'!$H$30,B2034&lt;='Uang Riba'!$I$30,OR(H2034="Dana riba",H2034="Pinjam uang riba",I2034="Pinjam dari uang riba",I2034="Ganti uang riba",I2034="Kelebihan ganti dikembalikan",AND(C2034="Kantong Uang Riba",G2034="Pengeluaran"))),1,0)</f>
        <v/>
      </c>
      <c r="X2034" s="93">
        <f>IF(AND(B2034&lt;&gt;"",B2034&gt;='Buku Akun'!$H$4,B2034&lt;='Buku Akun'!$H$5,OR(C2034='Buku Akun'!$C$4,AND(D2034="Pindah",E2034='Buku Akun'!$C$4))),B2034+IF(AND(I2034="Selisih bunga",DAY(B2034)=1),0,0.01)+ROW()/10000000,"")</f>
        <v/>
      </c>
    </row>
    <row r="2035" outlineLevel="1" ht="15" customHeight="1" s="94">
      <c r="A2035" s="123">
        <f>IF(B2035="","",ROW()-15)</f>
        <v/>
      </c>
      <c r="B2035" s="124" t="n"/>
      <c r="C2035" s="123" t="n"/>
      <c r="D2035" s="123" t="n"/>
      <c r="E2035" s="123" t="n"/>
      <c r="F2035" s="125" t="n"/>
      <c r="G2035" s="123" t="n"/>
      <c r="H2035" s="123" t="n"/>
      <c r="I2035" s="123" t="n"/>
      <c r="J2035" s="123" t="n"/>
      <c r="K2035" s="123" t="n"/>
      <c r="L2035" s="123" t="n"/>
      <c r="M2035" s="123">
        <f>IF(AND(B2035&lt;&gt;"",OR($C$4="",ISNUMBER(SEARCH($C$4,C2035&amp;" "&amp;E2035&amp;" "&amp;G2035&amp;" "&amp;H2035&amp;" "&amp;I2035&amp;" "&amp;J2035&amp;" "&amp;K2035&amp;" "&amp;L2035))),OR($C$5="Semua",$C$5="",G2035=$C$5),OR($C$6="Semua",$C$6="",H2035=$C$6,H2035="Pengeluaran "&amp;$C$6,AND($C$6="Uang Kos Mama",H2035="Pengeluaran Uang Kos")),OR($C$7="Semua",$C$7="",I2035=$C$7),OR($C$8="Semua",$C$8="",C2035=$C$8,E2035=$C$8),OR($C$9="Semua",$C$9="",D2035=$C$9),OR($C$10="",B2035&gt;=$C$10),OR($C$11="",B2035&lt;=$C$11),OR($C$12&lt;&gt;"Ya",K2035&lt;&gt;""),OR($C$13="Semua",$C$13="",L2035=$C$13)),"✓","")</f>
        <v/>
      </c>
      <c r="N2035" s="93">
        <f>N(N2034)+IF(M2035="✓",1,0)</f>
        <v/>
      </c>
      <c r="O2035" s="93">
        <f>N(O2034)+IF(AND(B2035&lt;&gt;"",B2035&gt;='Uang Riba'!$H$30,B2035&lt;='Uang Riba'!$I$30,OR(H2035="Dana riba",H2035="Pinjam uang riba",I2035="Pinjam dari uang riba",I2035="Ganti uang riba",I2035="Kelebihan ganti dikembalikan",AND(C2035="Kantong Uang Riba",G2035="Pengeluaran"))),1,0)</f>
        <v/>
      </c>
      <c r="X2035" s="93">
        <f>IF(AND(B2035&lt;&gt;"",B2035&gt;='Buku Akun'!$H$4,B2035&lt;='Buku Akun'!$H$5,OR(C2035='Buku Akun'!$C$4,AND(D2035="Pindah",E2035='Buku Akun'!$C$4))),B2035+IF(AND(I2035="Selisih bunga",DAY(B2035)=1),0,0.01)+ROW()/10000000,"")</f>
        <v/>
      </c>
    </row>
    <row r="2036" outlineLevel="1" ht="15" customHeight="1" s="94">
      <c r="A2036" s="123">
        <f>IF(B2036="","",ROW()-15)</f>
        <v/>
      </c>
      <c r="B2036" s="124" t="n"/>
      <c r="C2036" s="123" t="n"/>
      <c r="D2036" s="123" t="n"/>
      <c r="E2036" s="123" t="n"/>
      <c r="F2036" s="125" t="n"/>
      <c r="G2036" s="123" t="n"/>
      <c r="H2036" s="123" t="n"/>
      <c r="I2036" s="123" t="n"/>
      <c r="J2036" s="123" t="n"/>
      <c r="K2036" s="123" t="n"/>
      <c r="L2036" s="123" t="n"/>
      <c r="M2036" s="123">
        <f>IF(AND(B2036&lt;&gt;"",OR($C$4="",ISNUMBER(SEARCH($C$4,C2036&amp;" "&amp;E2036&amp;" "&amp;G2036&amp;" "&amp;H2036&amp;" "&amp;I2036&amp;" "&amp;J2036&amp;" "&amp;K2036&amp;" "&amp;L2036))),OR($C$5="Semua",$C$5="",G2036=$C$5),OR($C$6="Semua",$C$6="",H2036=$C$6,H2036="Pengeluaran "&amp;$C$6,AND($C$6="Uang Kos Mama",H2036="Pengeluaran Uang Kos")),OR($C$7="Semua",$C$7="",I2036=$C$7),OR($C$8="Semua",$C$8="",C2036=$C$8,E2036=$C$8),OR($C$9="Semua",$C$9="",D2036=$C$9),OR($C$10="",B2036&gt;=$C$10),OR($C$11="",B2036&lt;=$C$11),OR($C$12&lt;&gt;"Ya",K2036&lt;&gt;""),OR($C$13="Semua",$C$13="",L2036=$C$13)),"✓","")</f>
        <v/>
      </c>
      <c r="N2036" s="93">
        <f>N(N2035)+IF(M2036="✓",1,0)</f>
        <v/>
      </c>
      <c r="O2036" s="93">
        <f>N(O2035)+IF(AND(B2036&lt;&gt;"",B2036&gt;='Uang Riba'!$H$30,B2036&lt;='Uang Riba'!$I$30,OR(H2036="Dana riba",H2036="Pinjam uang riba",I2036="Pinjam dari uang riba",I2036="Ganti uang riba",I2036="Kelebihan ganti dikembalikan",AND(C2036="Kantong Uang Riba",G2036="Pengeluaran"))),1,0)</f>
        <v/>
      </c>
      <c r="X2036" s="93">
        <f>IF(AND(B2036&lt;&gt;"",B2036&gt;='Buku Akun'!$H$4,B2036&lt;='Buku Akun'!$H$5,OR(C2036='Buku Akun'!$C$4,AND(D2036="Pindah",E2036='Buku Akun'!$C$4))),B2036+IF(AND(I2036="Selisih bunga",DAY(B2036)=1),0,0.01)+ROW()/10000000,"")</f>
        <v/>
      </c>
    </row>
    <row r="2037" outlineLevel="1" ht="15" customHeight="1" s="94">
      <c r="A2037" s="123">
        <f>IF(B2037="","",ROW()-15)</f>
        <v/>
      </c>
      <c r="B2037" s="124" t="n"/>
      <c r="C2037" s="123" t="n"/>
      <c r="D2037" s="123" t="n"/>
      <c r="E2037" s="123" t="n"/>
      <c r="F2037" s="125" t="n"/>
      <c r="G2037" s="123" t="n"/>
      <c r="H2037" s="123" t="n"/>
      <c r="I2037" s="123" t="n"/>
      <c r="J2037" s="123" t="n"/>
      <c r="K2037" s="123" t="n"/>
      <c r="L2037" s="123" t="n"/>
      <c r="M2037" s="123">
        <f>IF(AND(B2037&lt;&gt;"",OR($C$4="",ISNUMBER(SEARCH($C$4,C2037&amp;" "&amp;E2037&amp;" "&amp;G2037&amp;" "&amp;H2037&amp;" "&amp;I2037&amp;" "&amp;J2037&amp;" "&amp;K2037&amp;" "&amp;L2037))),OR($C$5="Semua",$C$5="",G2037=$C$5),OR($C$6="Semua",$C$6="",H2037=$C$6,H2037="Pengeluaran "&amp;$C$6,AND($C$6="Uang Kos Mama",H2037="Pengeluaran Uang Kos")),OR($C$7="Semua",$C$7="",I2037=$C$7),OR($C$8="Semua",$C$8="",C2037=$C$8,E2037=$C$8),OR($C$9="Semua",$C$9="",D2037=$C$9),OR($C$10="",B2037&gt;=$C$10),OR($C$11="",B2037&lt;=$C$11),OR($C$12&lt;&gt;"Ya",K2037&lt;&gt;""),OR($C$13="Semua",$C$13="",L2037=$C$13)),"✓","")</f>
        <v/>
      </c>
      <c r="N2037" s="93">
        <f>N(N2036)+IF(M2037="✓",1,0)</f>
        <v/>
      </c>
      <c r="O2037" s="93">
        <f>N(O2036)+IF(AND(B2037&lt;&gt;"",B2037&gt;='Uang Riba'!$H$30,B2037&lt;='Uang Riba'!$I$30,OR(H2037="Dana riba",H2037="Pinjam uang riba",I2037="Pinjam dari uang riba",I2037="Ganti uang riba",I2037="Kelebihan ganti dikembalikan",AND(C2037="Kantong Uang Riba",G2037="Pengeluaran"))),1,0)</f>
        <v/>
      </c>
      <c r="X2037" s="93">
        <f>IF(AND(B2037&lt;&gt;"",B2037&gt;='Buku Akun'!$H$4,B2037&lt;='Buku Akun'!$H$5,OR(C2037='Buku Akun'!$C$4,AND(D2037="Pindah",E2037='Buku Akun'!$C$4))),B2037+IF(AND(I2037="Selisih bunga",DAY(B2037)=1),0,0.01)+ROW()/10000000,"")</f>
        <v/>
      </c>
    </row>
    <row r="2038" outlineLevel="1" ht="15" customHeight="1" s="94">
      <c r="A2038" s="123">
        <f>IF(B2038="","",ROW()-15)</f>
        <v/>
      </c>
      <c r="B2038" s="124" t="n"/>
      <c r="C2038" s="123" t="n"/>
      <c r="D2038" s="123" t="n"/>
      <c r="E2038" s="123" t="n"/>
      <c r="F2038" s="125" t="n"/>
      <c r="G2038" s="123" t="n"/>
      <c r="H2038" s="123" t="n"/>
      <c r="I2038" s="123" t="n"/>
      <c r="J2038" s="123" t="n"/>
      <c r="K2038" s="123" t="n"/>
      <c r="L2038" s="123" t="n"/>
      <c r="M2038" s="123">
        <f>IF(AND(B2038&lt;&gt;"",OR($C$4="",ISNUMBER(SEARCH($C$4,C2038&amp;" "&amp;E2038&amp;" "&amp;G2038&amp;" "&amp;H2038&amp;" "&amp;I2038&amp;" "&amp;J2038&amp;" "&amp;K2038&amp;" "&amp;L2038))),OR($C$5="Semua",$C$5="",G2038=$C$5),OR($C$6="Semua",$C$6="",H2038=$C$6,H2038="Pengeluaran "&amp;$C$6,AND($C$6="Uang Kos Mama",H2038="Pengeluaran Uang Kos")),OR($C$7="Semua",$C$7="",I2038=$C$7),OR($C$8="Semua",$C$8="",C2038=$C$8,E2038=$C$8),OR($C$9="Semua",$C$9="",D2038=$C$9),OR($C$10="",B2038&gt;=$C$10),OR($C$11="",B2038&lt;=$C$11),OR($C$12&lt;&gt;"Ya",K2038&lt;&gt;""),OR($C$13="Semua",$C$13="",L2038=$C$13)),"✓","")</f>
        <v/>
      </c>
      <c r="N2038" s="93">
        <f>N(N2037)+IF(M2038="✓",1,0)</f>
        <v/>
      </c>
      <c r="O2038" s="93">
        <f>N(O2037)+IF(AND(B2038&lt;&gt;"",B2038&gt;='Uang Riba'!$H$30,B2038&lt;='Uang Riba'!$I$30,OR(H2038="Dana riba",H2038="Pinjam uang riba",I2038="Pinjam dari uang riba",I2038="Ganti uang riba",I2038="Kelebihan ganti dikembalikan",AND(C2038="Kantong Uang Riba",G2038="Pengeluaran"))),1,0)</f>
        <v/>
      </c>
      <c r="X2038" s="93">
        <f>IF(AND(B2038&lt;&gt;"",B2038&gt;='Buku Akun'!$H$4,B2038&lt;='Buku Akun'!$H$5,OR(C2038='Buku Akun'!$C$4,AND(D2038="Pindah",E2038='Buku Akun'!$C$4))),B2038+IF(AND(I2038="Selisih bunga",DAY(B2038)=1),0,0.01)+ROW()/10000000,"")</f>
        <v/>
      </c>
    </row>
    <row r="2039" outlineLevel="1" ht="15" customHeight="1" s="94">
      <c r="A2039" s="123">
        <f>IF(B2039="","",ROW()-15)</f>
        <v/>
      </c>
      <c r="B2039" s="124" t="n"/>
      <c r="C2039" s="123" t="n"/>
      <c r="D2039" s="123" t="n"/>
      <c r="E2039" s="123" t="n"/>
      <c r="F2039" s="125" t="n"/>
      <c r="G2039" s="123" t="n"/>
      <c r="H2039" s="123" t="n"/>
      <c r="I2039" s="123" t="n"/>
      <c r="J2039" s="123" t="n"/>
      <c r="K2039" s="123" t="n"/>
      <c r="L2039" s="123" t="n"/>
      <c r="M2039" s="123">
        <f>IF(AND(B2039&lt;&gt;"",OR($C$4="",ISNUMBER(SEARCH($C$4,C2039&amp;" "&amp;E2039&amp;" "&amp;G2039&amp;" "&amp;H2039&amp;" "&amp;I2039&amp;" "&amp;J2039&amp;" "&amp;K2039&amp;" "&amp;L2039))),OR($C$5="Semua",$C$5="",G2039=$C$5),OR($C$6="Semua",$C$6="",H2039=$C$6,H2039="Pengeluaran "&amp;$C$6,AND($C$6="Uang Kos Mama",H2039="Pengeluaran Uang Kos")),OR($C$7="Semua",$C$7="",I2039=$C$7),OR($C$8="Semua",$C$8="",C2039=$C$8,E2039=$C$8),OR($C$9="Semua",$C$9="",D2039=$C$9),OR($C$10="",B2039&gt;=$C$10),OR($C$11="",B2039&lt;=$C$11),OR($C$12&lt;&gt;"Ya",K2039&lt;&gt;""),OR($C$13="Semua",$C$13="",L2039=$C$13)),"✓","")</f>
        <v/>
      </c>
      <c r="N2039" s="93">
        <f>N(N2038)+IF(M2039="✓",1,0)</f>
        <v/>
      </c>
      <c r="O2039" s="93">
        <f>N(O2038)+IF(AND(B2039&lt;&gt;"",B2039&gt;='Uang Riba'!$H$30,B2039&lt;='Uang Riba'!$I$30,OR(H2039="Dana riba",H2039="Pinjam uang riba",I2039="Pinjam dari uang riba",I2039="Ganti uang riba",I2039="Kelebihan ganti dikembalikan",AND(C2039="Kantong Uang Riba",G2039="Pengeluaran"))),1,0)</f>
        <v/>
      </c>
      <c r="X2039" s="93">
        <f>IF(AND(B2039&lt;&gt;"",B2039&gt;='Buku Akun'!$H$4,B2039&lt;='Buku Akun'!$H$5,OR(C2039='Buku Akun'!$C$4,AND(D2039="Pindah",E2039='Buku Akun'!$C$4))),B2039+IF(AND(I2039="Selisih bunga",DAY(B2039)=1),0,0.01)+ROW()/10000000,"")</f>
        <v/>
      </c>
    </row>
    <row r="2040" outlineLevel="1" ht="15" customHeight="1" s="94">
      <c r="A2040" s="123">
        <f>IF(B2040="","",ROW()-15)</f>
        <v/>
      </c>
      <c r="B2040" s="124" t="n"/>
      <c r="C2040" s="123" t="n"/>
      <c r="D2040" s="123" t="n"/>
      <c r="E2040" s="123" t="n"/>
      <c r="F2040" s="125" t="n"/>
      <c r="G2040" s="123" t="n"/>
      <c r="H2040" s="123" t="n"/>
      <c r="I2040" s="123" t="n"/>
      <c r="J2040" s="123" t="n"/>
      <c r="K2040" s="123" t="n"/>
      <c r="L2040" s="123" t="n"/>
      <c r="M2040" s="123">
        <f>IF(AND(B2040&lt;&gt;"",OR($C$4="",ISNUMBER(SEARCH($C$4,C2040&amp;" "&amp;E2040&amp;" "&amp;G2040&amp;" "&amp;H2040&amp;" "&amp;I2040&amp;" "&amp;J2040&amp;" "&amp;K2040&amp;" "&amp;L2040))),OR($C$5="Semua",$C$5="",G2040=$C$5),OR($C$6="Semua",$C$6="",H2040=$C$6,H2040="Pengeluaran "&amp;$C$6,AND($C$6="Uang Kos Mama",H2040="Pengeluaran Uang Kos")),OR($C$7="Semua",$C$7="",I2040=$C$7),OR($C$8="Semua",$C$8="",C2040=$C$8,E2040=$C$8),OR($C$9="Semua",$C$9="",D2040=$C$9),OR($C$10="",B2040&gt;=$C$10),OR($C$11="",B2040&lt;=$C$11),OR($C$12&lt;&gt;"Ya",K2040&lt;&gt;""),OR($C$13="Semua",$C$13="",L2040=$C$13)),"✓","")</f>
        <v/>
      </c>
      <c r="N2040" s="93">
        <f>N(N2039)+IF(M2040="✓",1,0)</f>
        <v/>
      </c>
      <c r="O2040" s="93">
        <f>N(O2039)+IF(AND(B2040&lt;&gt;"",B2040&gt;='Uang Riba'!$H$30,B2040&lt;='Uang Riba'!$I$30,OR(H2040="Dana riba",H2040="Pinjam uang riba",I2040="Pinjam dari uang riba",I2040="Ganti uang riba",I2040="Kelebihan ganti dikembalikan",AND(C2040="Kantong Uang Riba",G2040="Pengeluaran"))),1,0)</f>
        <v/>
      </c>
      <c r="X2040" s="93">
        <f>IF(AND(B2040&lt;&gt;"",B2040&gt;='Buku Akun'!$H$4,B2040&lt;='Buku Akun'!$H$5,OR(C2040='Buku Akun'!$C$4,AND(D2040="Pindah",E2040='Buku Akun'!$C$4))),B2040+IF(AND(I2040="Selisih bunga",DAY(B2040)=1),0,0.01)+ROW()/10000000,"")</f>
        <v/>
      </c>
    </row>
    <row r="2041" outlineLevel="1" ht="15" customHeight="1" s="94">
      <c r="A2041" s="123">
        <f>IF(B2041="","",ROW()-15)</f>
        <v/>
      </c>
      <c r="B2041" s="124" t="n"/>
      <c r="C2041" s="123" t="n"/>
      <c r="D2041" s="123" t="n"/>
      <c r="E2041" s="123" t="n"/>
      <c r="F2041" s="125" t="n"/>
      <c r="G2041" s="123" t="n"/>
      <c r="H2041" s="123" t="n"/>
      <c r="I2041" s="123" t="n"/>
      <c r="J2041" s="123" t="n"/>
      <c r="K2041" s="123" t="n"/>
      <c r="L2041" s="123" t="n"/>
      <c r="M2041" s="123">
        <f>IF(AND(B2041&lt;&gt;"",OR($C$4="",ISNUMBER(SEARCH($C$4,C2041&amp;" "&amp;E2041&amp;" "&amp;G2041&amp;" "&amp;H2041&amp;" "&amp;I2041&amp;" "&amp;J2041&amp;" "&amp;K2041&amp;" "&amp;L2041))),OR($C$5="Semua",$C$5="",G2041=$C$5),OR($C$6="Semua",$C$6="",H2041=$C$6,H2041="Pengeluaran "&amp;$C$6,AND($C$6="Uang Kos Mama",H2041="Pengeluaran Uang Kos")),OR($C$7="Semua",$C$7="",I2041=$C$7),OR($C$8="Semua",$C$8="",C2041=$C$8,E2041=$C$8),OR($C$9="Semua",$C$9="",D2041=$C$9),OR($C$10="",B2041&gt;=$C$10),OR($C$11="",B2041&lt;=$C$11),OR($C$12&lt;&gt;"Ya",K2041&lt;&gt;""),OR($C$13="Semua",$C$13="",L2041=$C$13)),"✓","")</f>
        <v/>
      </c>
      <c r="N2041" s="93">
        <f>N(N2040)+IF(M2041="✓",1,0)</f>
        <v/>
      </c>
      <c r="O2041" s="93">
        <f>N(O2040)+IF(AND(B2041&lt;&gt;"",B2041&gt;='Uang Riba'!$H$30,B2041&lt;='Uang Riba'!$I$30,OR(H2041="Dana riba",H2041="Pinjam uang riba",I2041="Pinjam dari uang riba",I2041="Ganti uang riba",I2041="Kelebihan ganti dikembalikan",AND(C2041="Kantong Uang Riba",G2041="Pengeluaran"))),1,0)</f>
        <v/>
      </c>
      <c r="X2041" s="93">
        <f>IF(AND(B2041&lt;&gt;"",B2041&gt;='Buku Akun'!$H$4,B2041&lt;='Buku Akun'!$H$5,OR(C2041='Buku Akun'!$C$4,AND(D2041="Pindah",E2041='Buku Akun'!$C$4))),B2041+IF(AND(I2041="Selisih bunga",DAY(B2041)=1),0,0.01)+ROW()/10000000,"")</f>
        <v/>
      </c>
    </row>
    <row r="2042" outlineLevel="1" ht="15" customHeight="1" s="94">
      <c r="A2042" s="123">
        <f>IF(B2042="","",ROW()-15)</f>
        <v/>
      </c>
      <c r="B2042" s="124" t="n"/>
      <c r="C2042" s="123" t="n"/>
      <c r="D2042" s="123" t="n"/>
      <c r="E2042" s="123" t="n"/>
      <c r="F2042" s="125" t="n"/>
      <c r="G2042" s="123" t="n"/>
      <c r="H2042" s="123" t="n"/>
      <c r="I2042" s="123" t="n"/>
      <c r="J2042" s="123" t="n"/>
      <c r="K2042" s="123" t="n"/>
      <c r="L2042" s="123" t="n"/>
      <c r="M2042" s="123">
        <f>IF(AND(B2042&lt;&gt;"",OR($C$4="",ISNUMBER(SEARCH($C$4,C2042&amp;" "&amp;E2042&amp;" "&amp;G2042&amp;" "&amp;H2042&amp;" "&amp;I2042&amp;" "&amp;J2042&amp;" "&amp;K2042&amp;" "&amp;L2042))),OR($C$5="Semua",$C$5="",G2042=$C$5),OR($C$6="Semua",$C$6="",H2042=$C$6,H2042="Pengeluaran "&amp;$C$6,AND($C$6="Uang Kos Mama",H2042="Pengeluaran Uang Kos")),OR($C$7="Semua",$C$7="",I2042=$C$7),OR($C$8="Semua",$C$8="",C2042=$C$8,E2042=$C$8),OR($C$9="Semua",$C$9="",D2042=$C$9),OR($C$10="",B2042&gt;=$C$10),OR($C$11="",B2042&lt;=$C$11),OR($C$12&lt;&gt;"Ya",K2042&lt;&gt;""),OR($C$13="Semua",$C$13="",L2042=$C$13)),"✓","")</f>
        <v/>
      </c>
      <c r="N2042" s="93">
        <f>N(N2041)+IF(M2042="✓",1,0)</f>
        <v/>
      </c>
      <c r="O2042" s="93">
        <f>N(O2041)+IF(AND(B2042&lt;&gt;"",B2042&gt;='Uang Riba'!$H$30,B2042&lt;='Uang Riba'!$I$30,OR(H2042="Dana riba",H2042="Pinjam uang riba",I2042="Pinjam dari uang riba",I2042="Ganti uang riba",I2042="Kelebihan ganti dikembalikan",AND(C2042="Kantong Uang Riba",G2042="Pengeluaran"))),1,0)</f>
        <v/>
      </c>
      <c r="X2042" s="93">
        <f>IF(AND(B2042&lt;&gt;"",B2042&gt;='Buku Akun'!$H$4,B2042&lt;='Buku Akun'!$H$5,OR(C2042='Buku Akun'!$C$4,AND(D2042="Pindah",E2042='Buku Akun'!$C$4))),B2042+IF(AND(I2042="Selisih bunga",DAY(B2042)=1),0,0.01)+ROW()/10000000,"")</f>
        <v/>
      </c>
    </row>
    <row r="2043" outlineLevel="1" ht="15" customHeight="1" s="94">
      <c r="A2043" s="123">
        <f>IF(B2043="","",ROW()-15)</f>
        <v/>
      </c>
      <c r="B2043" s="124" t="n"/>
      <c r="C2043" s="123" t="n"/>
      <c r="D2043" s="123" t="n"/>
      <c r="E2043" s="123" t="n"/>
      <c r="F2043" s="125" t="n"/>
      <c r="G2043" s="123" t="n"/>
      <c r="H2043" s="123" t="n"/>
      <c r="I2043" s="123" t="n"/>
      <c r="J2043" s="123" t="n"/>
      <c r="K2043" s="123" t="n"/>
      <c r="L2043" s="123" t="n"/>
      <c r="M2043" s="123">
        <f>IF(AND(B2043&lt;&gt;"",OR($C$4="",ISNUMBER(SEARCH($C$4,C2043&amp;" "&amp;E2043&amp;" "&amp;G2043&amp;" "&amp;H2043&amp;" "&amp;I2043&amp;" "&amp;J2043&amp;" "&amp;K2043&amp;" "&amp;L2043))),OR($C$5="Semua",$C$5="",G2043=$C$5),OR($C$6="Semua",$C$6="",H2043=$C$6,H2043="Pengeluaran "&amp;$C$6,AND($C$6="Uang Kos Mama",H2043="Pengeluaran Uang Kos")),OR($C$7="Semua",$C$7="",I2043=$C$7),OR($C$8="Semua",$C$8="",C2043=$C$8,E2043=$C$8),OR($C$9="Semua",$C$9="",D2043=$C$9),OR($C$10="",B2043&gt;=$C$10),OR($C$11="",B2043&lt;=$C$11),OR($C$12&lt;&gt;"Ya",K2043&lt;&gt;""),OR($C$13="Semua",$C$13="",L2043=$C$13)),"✓","")</f>
        <v/>
      </c>
      <c r="N2043" s="93">
        <f>N(N2042)+IF(M2043="✓",1,0)</f>
        <v/>
      </c>
      <c r="O2043" s="93">
        <f>N(O2042)+IF(AND(B2043&lt;&gt;"",B2043&gt;='Uang Riba'!$H$30,B2043&lt;='Uang Riba'!$I$30,OR(H2043="Dana riba",H2043="Pinjam uang riba",I2043="Pinjam dari uang riba",I2043="Ganti uang riba",I2043="Kelebihan ganti dikembalikan",AND(C2043="Kantong Uang Riba",G2043="Pengeluaran"))),1,0)</f>
        <v/>
      </c>
      <c r="X2043" s="93">
        <f>IF(AND(B2043&lt;&gt;"",B2043&gt;='Buku Akun'!$H$4,B2043&lt;='Buku Akun'!$H$5,OR(C2043='Buku Akun'!$C$4,AND(D2043="Pindah",E2043='Buku Akun'!$C$4))),B2043+IF(AND(I2043="Selisih bunga",DAY(B2043)=1),0,0.01)+ROW()/10000000,"")</f>
        <v/>
      </c>
    </row>
    <row r="2044" outlineLevel="1" ht="15" customHeight="1" s="94">
      <c r="A2044" s="123">
        <f>IF(B2044="","",ROW()-15)</f>
        <v/>
      </c>
      <c r="B2044" s="124" t="n"/>
      <c r="C2044" s="123" t="n"/>
      <c r="D2044" s="123" t="n"/>
      <c r="E2044" s="123" t="n"/>
      <c r="F2044" s="125" t="n"/>
      <c r="G2044" s="123" t="n"/>
      <c r="H2044" s="123" t="n"/>
      <c r="I2044" s="123" t="n"/>
      <c r="J2044" s="123" t="n"/>
      <c r="K2044" s="123" t="n"/>
      <c r="L2044" s="123" t="n"/>
      <c r="M2044" s="123">
        <f>IF(AND(B2044&lt;&gt;"",OR($C$4="",ISNUMBER(SEARCH($C$4,C2044&amp;" "&amp;E2044&amp;" "&amp;G2044&amp;" "&amp;H2044&amp;" "&amp;I2044&amp;" "&amp;J2044&amp;" "&amp;K2044&amp;" "&amp;L2044))),OR($C$5="Semua",$C$5="",G2044=$C$5),OR($C$6="Semua",$C$6="",H2044=$C$6,H2044="Pengeluaran "&amp;$C$6,AND($C$6="Uang Kos Mama",H2044="Pengeluaran Uang Kos")),OR($C$7="Semua",$C$7="",I2044=$C$7),OR($C$8="Semua",$C$8="",C2044=$C$8,E2044=$C$8),OR($C$9="Semua",$C$9="",D2044=$C$9),OR($C$10="",B2044&gt;=$C$10),OR($C$11="",B2044&lt;=$C$11),OR($C$12&lt;&gt;"Ya",K2044&lt;&gt;""),OR($C$13="Semua",$C$13="",L2044=$C$13)),"✓","")</f>
        <v/>
      </c>
      <c r="N2044" s="93">
        <f>N(N2043)+IF(M2044="✓",1,0)</f>
        <v/>
      </c>
      <c r="O2044" s="93">
        <f>N(O2043)+IF(AND(B2044&lt;&gt;"",B2044&gt;='Uang Riba'!$H$30,B2044&lt;='Uang Riba'!$I$30,OR(H2044="Dana riba",H2044="Pinjam uang riba",I2044="Pinjam dari uang riba",I2044="Ganti uang riba",I2044="Kelebihan ganti dikembalikan",AND(C2044="Kantong Uang Riba",G2044="Pengeluaran"))),1,0)</f>
        <v/>
      </c>
      <c r="X2044" s="93">
        <f>IF(AND(B2044&lt;&gt;"",B2044&gt;='Buku Akun'!$H$4,B2044&lt;='Buku Akun'!$H$5,OR(C2044='Buku Akun'!$C$4,AND(D2044="Pindah",E2044='Buku Akun'!$C$4))),B2044+IF(AND(I2044="Selisih bunga",DAY(B2044)=1),0,0.01)+ROW()/10000000,"")</f>
        <v/>
      </c>
    </row>
    <row r="2045" outlineLevel="1" ht="15" customHeight="1" s="94">
      <c r="A2045" s="123">
        <f>IF(B2045="","",ROW()-15)</f>
        <v/>
      </c>
      <c r="B2045" s="124" t="n"/>
      <c r="C2045" s="123" t="n"/>
      <c r="D2045" s="123" t="n"/>
      <c r="E2045" s="123" t="n"/>
      <c r="F2045" s="125" t="n"/>
      <c r="G2045" s="123" t="n"/>
      <c r="H2045" s="123" t="n"/>
      <c r="I2045" s="123" t="n"/>
      <c r="J2045" s="123" t="n"/>
      <c r="K2045" s="123" t="n"/>
      <c r="L2045" s="123" t="n"/>
      <c r="M2045" s="123">
        <f>IF(AND(B2045&lt;&gt;"",OR($C$4="",ISNUMBER(SEARCH($C$4,C2045&amp;" "&amp;E2045&amp;" "&amp;G2045&amp;" "&amp;H2045&amp;" "&amp;I2045&amp;" "&amp;J2045&amp;" "&amp;K2045&amp;" "&amp;L2045))),OR($C$5="Semua",$C$5="",G2045=$C$5),OR($C$6="Semua",$C$6="",H2045=$C$6,H2045="Pengeluaran "&amp;$C$6,AND($C$6="Uang Kos Mama",H2045="Pengeluaran Uang Kos")),OR($C$7="Semua",$C$7="",I2045=$C$7),OR($C$8="Semua",$C$8="",C2045=$C$8,E2045=$C$8),OR($C$9="Semua",$C$9="",D2045=$C$9),OR($C$10="",B2045&gt;=$C$10),OR($C$11="",B2045&lt;=$C$11),OR($C$12&lt;&gt;"Ya",K2045&lt;&gt;""),OR($C$13="Semua",$C$13="",L2045=$C$13)),"✓","")</f>
        <v/>
      </c>
      <c r="N2045" s="93">
        <f>N(N2044)+IF(M2045="✓",1,0)</f>
        <v/>
      </c>
      <c r="O2045" s="93">
        <f>N(O2044)+IF(AND(B2045&lt;&gt;"",B2045&gt;='Uang Riba'!$H$30,B2045&lt;='Uang Riba'!$I$30,OR(H2045="Dana riba",H2045="Pinjam uang riba",I2045="Pinjam dari uang riba",I2045="Ganti uang riba",I2045="Kelebihan ganti dikembalikan",AND(C2045="Kantong Uang Riba",G2045="Pengeluaran"))),1,0)</f>
        <v/>
      </c>
      <c r="X2045" s="93">
        <f>IF(AND(B2045&lt;&gt;"",B2045&gt;='Buku Akun'!$H$4,B2045&lt;='Buku Akun'!$H$5,OR(C2045='Buku Akun'!$C$4,AND(D2045="Pindah",E2045='Buku Akun'!$C$4))),B2045+IF(AND(I2045="Selisih bunga",DAY(B2045)=1),0,0.01)+ROW()/10000000,"")</f>
        <v/>
      </c>
    </row>
    <row r="2046" outlineLevel="1" ht="15" customHeight="1" s="94">
      <c r="A2046" s="123">
        <f>IF(B2046="","",ROW()-15)</f>
        <v/>
      </c>
      <c r="B2046" s="124" t="n"/>
      <c r="C2046" s="123" t="n"/>
      <c r="D2046" s="123" t="n"/>
      <c r="E2046" s="123" t="n"/>
      <c r="F2046" s="125" t="n"/>
      <c r="G2046" s="123" t="n"/>
      <c r="H2046" s="123" t="n"/>
      <c r="I2046" s="123" t="n"/>
      <c r="J2046" s="123" t="n"/>
      <c r="K2046" s="123" t="n"/>
      <c r="L2046" s="123" t="n"/>
      <c r="M2046" s="123">
        <f>IF(AND(B2046&lt;&gt;"",OR($C$4="",ISNUMBER(SEARCH($C$4,C2046&amp;" "&amp;E2046&amp;" "&amp;G2046&amp;" "&amp;H2046&amp;" "&amp;I2046&amp;" "&amp;J2046&amp;" "&amp;K2046&amp;" "&amp;L2046))),OR($C$5="Semua",$C$5="",G2046=$C$5),OR($C$6="Semua",$C$6="",H2046=$C$6,H2046="Pengeluaran "&amp;$C$6,AND($C$6="Uang Kos Mama",H2046="Pengeluaran Uang Kos")),OR($C$7="Semua",$C$7="",I2046=$C$7),OR($C$8="Semua",$C$8="",C2046=$C$8,E2046=$C$8),OR($C$9="Semua",$C$9="",D2046=$C$9),OR($C$10="",B2046&gt;=$C$10),OR($C$11="",B2046&lt;=$C$11),OR($C$12&lt;&gt;"Ya",K2046&lt;&gt;""),OR($C$13="Semua",$C$13="",L2046=$C$13)),"✓","")</f>
        <v/>
      </c>
      <c r="N2046" s="93">
        <f>N(N2045)+IF(M2046="✓",1,0)</f>
        <v/>
      </c>
      <c r="O2046" s="93">
        <f>N(O2045)+IF(AND(B2046&lt;&gt;"",B2046&gt;='Uang Riba'!$H$30,B2046&lt;='Uang Riba'!$I$30,OR(H2046="Dana riba",H2046="Pinjam uang riba",I2046="Pinjam dari uang riba",I2046="Ganti uang riba",I2046="Kelebihan ganti dikembalikan",AND(C2046="Kantong Uang Riba",G2046="Pengeluaran"))),1,0)</f>
        <v/>
      </c>
      <c r="X2046" s="93">
        <f>IF(AND(B2046&lt;&gt;"",B2046&gt;='Buku Akun'!$H$4,B2046&lt;='Buku Akun'!$H$5,OR(C2046='Buku Akun'!$C$4,AND(D2046="Pindah",E2046='Buku Akun'!$C$4))),B2046+IF(AND(I2046="Selisih bunga",DAY(B2046)=1),0,0.01)+ROW()/10000000,"")</f>
        <v/>
      </c>
    </row>
    <row r="2047" outlineLevel="1" ht="15" customHeight="1" s="94">
      <c r="A2047" s="123">
        <f>IF(B2047="","",ROW()-15)</f>
        <v/>
      </c>
      <c r="B2047" s="124" t="n"/>
      <c r="C2047" s="123" t="n"/>
      <c r="D2047" s="123" t="n"/>
      <c r="E2047" s="123" t="n"/>
      <c r="F2047" s="125" t="n"/>
      <c r="G2047" s="123" t="n"/>
      <c r="H2047" s="123" t="n"/>
      <c r="I2047" s="123" t="n"/>
      <c r="J2047" s="123" t="n"/>
      <c r="K2047" s="123" t="n"/>
      <c r="L2047" s="123" t="n"/>
      <c r="M2047" s="123">
        <f>IF(AND(B2047&lt;&gt;"",OR($C$4="",ISNUMBER(SEARCH($C$4,C2047&amp;" "&amp;E2047&amp;" "&amp;G2047&amp;" "&amp;H2047&amp;" "&amp;I2047&amp;" "&amp;J2047&amp;" "&amp;K2047&amp;" "&amp;L2047))),OR($C$5="Semua",$C$5="",G2047=$C$5),OR($C$6="Semua",$C$6="",H2047=$C$6,H2047="Pengeluaran "&amp;$C$6,AND($C$6="Uang Kos Mama",H2047="Pengeluaran Uang Kos")),OR($C$7="Semua",$C$7="",I2047=$C$7),OR($C$8="Semua",$C$8="",C2047=$C$8,E2047=$C$8),OR($C$9="Semua",$C$9="",D2047=$C$9),OR($C$10="",B2047&gt;=$C$10),OR($C$11="",B2047&lt;=$C$11),OR($C$12&lt;&gt;"Ya",K2047&lt;&gt;""),OR($C$13="Semua",$C$13="",L2047=$C$13)),"✓","")</f>
        <v/>
      </c>
      <c r="N2047" s="93">
        <f>N(N2046)+IF(M2047="✓",1,0)</f>
        <v/>
      </c>
      <c r="O2047" s="93">
        <f>N(O2046)+IF(AND(B2047&lt;&gt;"",B2047&gt;='Uang Riba'!$H$30,B2047&lt;='Uang Riba'!$I$30,OR(H2047="Dana riba",H2047="Pinjam uang riba",I2047="Pinjam dari uang riba",I2047="Ganti uang riba",I2047="Kelebihan ganti dikembalikan",AND(C2047="Kantong Uang Riba",G2047="Pengeluaran"))),1,0)</f>
        <v/>
      </c>
      <c r="X2047" s="93">
        <f>IF(AND(B2047&lt;&gt;"",B2047&gt;='Buku Akun'!$H$4,B2047&lt;='Buku Akun'!$H$5,OR(C2047='Buku Akun'!$C$4,AND(D2047="Pindah",E2047='Buku Akun'!$C$4))),B2047+IF(AND(I2047="Selisih bunga",DAY(B2047)=1),0,0.01)+ROW()/10000000,"")</f>
        <v/>
      </c>
    </row>
    <row r="2048" outlineLevel="1" ht="15" customHeight="1" s="94">
      <c r="A2048" s="123">
        <f>IF(B2048="","",ROW()-15)</f>
        <v/>
      </c>
      <c r="B2048" s="124" t="n"/>
      <c r="C2048" s="123" t="n"/>
      <c r="D2048" s="123" t="n"/>
      <c r="E2048" s="123" t="n"/>
      <c r="F2048" s="125" t="n"/>
      <c r="G2048" s="123" t="n"/>
      <c r="H2048" s="123" t="n"/>
      <c r="I2048" s="123" t="n"/>
      <c r="J2048" s="123" t="n"/>
      <c r="K2048" s="123" t="n"/>
      <c r="L2048" s="123" t="n"/>
      <c r="M2048" s="123">
        <f>IF(AND(B2048&lt;&gt;"",OR($C$4="",ISNUMBER(SEARCH($C$4,C2048&amp;" "&amp;E2048&amp;" "&amp;G2048&amp;" "&amp;H2048&amp;" "&amp;I2048&amp;" "&amp;J2048&amp;" "&amp;K2048&amp;" "&amp;L2048))),OR($C$5="Semua",$C$5="",G2048=$C$5),OR($C$6="Semua",$C$6="",H2048=$C$6,H2048="Pengeluaran "&amp;$C$6,AND($C$6="Uang Kos Mama",H2048="Pengeluaran Uang Kos")),OR($C$7="Semua",$C$7="",I2048=$C$7),OR($C$8="Semua",$C$8="",C2048=$C$8,E2048=$C$8),OR($C$9="Semua",$C$9="",D2048=$C$9),OR($C$10="",B2048&gt;=$C$10),OR($C$11="",B2048&lt;=$C$11),OR($C$12&lt;&gt;"Ya",K2048&lt;&gt;""),OR($C$13="Semua",$C$13="",L2048=$C$13)),"✓","")</f>
        <v/>
      </c>
      <c r="N2048" s="93">
        <f>N(N2047)+IF(M2048="✓",1,0)</f>
        <v/>
      </c>
      <c r="O2048" s="93">
        <f>N(O2047)+IF(AND(B2048&lt;&gt;"",B2048&gt;='Uang Riba'!$H$30,B2048&lt;='Uang Riba'!$I$30,OR(H2048="Dana riba",H2048="Pinjam uang riba",I2048="Pinjam dari uang riba",I2048="Ganti uang riba",I2048="Kelebihan ganti dikembalikan",AND(C2048="Kantong Uang Riba",G2048="Pengeluaran"))),1,0)</f>
        <v/>
      </c>
      <c r="X2048" s="93">
        <f>IF(AND(B2048&lt;&gt;"",B2048&gt;='Buku Akun'!$H$4,B2048&lt;='Buku Akun'!$H$5,OR(C2048='Buku Akun'!$C$4,AND(D2048="Pindah",E2048='Buku Akun'!$C$4))),B2048+IF(AND(I2048="Selisih bunga",DAY(B2048)=1),0,0.01)+ROW()/10000000,"")</f>
        <v/>
      </c>
    </row>
    <row r="2049" outlineLevel="1" ht="15" customHeight="1" s="94">
      <c r="A2049" s="123">
        <f>IF(B2049="","",ROW()-15)</f>
        <v/>
      </c>
      <c r="B2049" s="124" t="n"/>
      <c r="C2049" s="123" t="n"/>
      <c r="D2049" s="123" t="n"/>
      <c r="E2049" s="123" t="n"/>
      <c r="F2049" s="125" t="n"/>
      <c r="G2049" s="123" t="n"/>
      <c r="H2049" s="123" t="n"/>
      <c r="I2049" s="123" t="n"/>
      <c r="J2049" s="123" t="n"/>
      <c r="K2049" s="123" t="n"/>
      <c r="L2049" s="123" t="n"/>
      <c r="M2049" s="123">
        <f>IF(AND(B2049&lt;&gt;"",OR($C$4="",ISNUMBER(SEARCH($C$4,C2049&amp;" "&amp;E2049&amp;" "&amp;G2049&amp;" "&amp;H2049&amp;" "&amp;I2049&amp;" "&amp;J2049&amp;" "&amp;K2049&amp;" "&amp;L2049))),OR($C$5="Semua",$C$5="",G2049=$C$5),OR($C$6="Semua",$C$6="",H2049=$C$6,H2049="Pengeluaran "&amp;$C$6,AND($C$6="Uang Kos Mama",H2049="Pengeluaran Uang Kos")),OR($C$7="Semua",$C$7="",I2049=$C$7),OR($C$8="Semua",$C$8="",C2049=$C$8,E2049=$C$8),OR($C$9="Semua",$C$9="",D2049=$C$9),OR($C$10="",B2049&gt;=$C$10),OR($C$11="",B2049&lt;=$C$11),OR($C$12&lt;&gt;"Ya",K2049&lt;&gt;""),OR($C$13="Semua",$C$13="",L2049=$C$13)),"✓","")</f>
        <v/>
      </c>
      <c r="N2049" s="93">
        <f>N(N2048)+IF(M2049="✓",1,0)</f>
        <v/>
      </c>
      <c r="O2049" s="93">
        <f>N(O2048)+IF(AND(B2049&lt;&gt;"",B2049&gt;='Uang Riba'!$H$30,B2049&lt;='Uang Riba'!$I$30,OR(H2049="Dana riba",H2049="Pinjam uang riba",I2049="Pinjam dari uang riba",I2049="Ganti uang riba",I2049="Kelebihan ganti dikembalikan",AND(C2049="Kantong Uang Riba",G2049="Pengeluaran"))),1,0)</f>
        <v/>
      </c>
      <c r="X2049" s="93">
        <f>IF(AND(B2049&lt;&gt;"",B2049&gt;='Buku Akun'!$H$4,B2049&lt;='Buku Akun'!$H$5,OR(C2049='Buku Akun'!$C$4,AND(D2049="Pindah",E2049='Buku Akun'!$C$4))),B2049+IF(AND(I2049="Selisih bunga",DAY(B2049)=1),0,0.01)+ROW()/10000000,"")</f>
        <v/>
      </c>
    </row>
    <row r="2050" outlineLevel="1" ht="15" customHeight="1" s="94">
      <c r="A2050" s="123">
        <f>IF(B2050="","",ROW()-15)</f>
        <v/>
      </c>
      <c r="B2050" s="124" t="n"/>
      <c r="C2050" s="123" t="n"/>
      <c r="D2050" s="123" t="n"/>
      <c r="E2050" s="123" t="n"/>
      <c r="F2050" s="125" t="n"/>
      <c r="G2050" s="123" t="n"/>
      <c r="H2050" s="123" t="n"/>
      <c r="I2050" s="123" t="n"/>
      <c r="J2050" s="123" t="n"/>
      <c r="K2050" s="123" t="n"/>
      <c r="L2050" s="123" t="n"/>
      <c r="M2050" s="123">
        <f>IF(AND(B2050&lt;&gt;"",OR($C$4="",ISNUMBER(SEARCH($C$4,C2050&amp;" "&amp;E2050&amp;" "&amp;G2050&amp;" "&amp;H2050&amp;" "&amp;I2050&amp;" "&amp;J2050&amp;" "&amp;K2050&amp;" "&amp;L2050))),OR($C$5="Semua",$C$5="",G2050=$C$5),OR($C$6="Semua",$C$6="",H2050=$C$6,H2050="Pengeluaran "&amp;$C$6,AND($C$6="Uang Kos Mama",H2050="Pengeluaran Uang Kos")),OR($C$7="Semua",$C$7="",I2050=$C$7),OR($C$8="Semua",$C$8="",C2050=$C$8,E2050=$C$8),OR($C$9="Semua",$C$9="",D2050=$C$9),OR($C$10="",B2050&gt;=$C$10),OR($C$11="",B2050&lt;=$C$11),OR($C$12&lt;&gt;"Ya",K2050&lt;&gt;""),OR($C$13="Semua",$C$13="",L2050=$C$13)),"✓","")</f>
        <v/>
      </c>
      <c r="N2050" s="93">
        <f>N(N2049)+IF(M2050="✓",1,0)</f>
        <v/>
      </c>
      <c r="O2050" s="93">
        <f>N(O2049)+IF(AND(B2050&lt;&gt;"",B2050&gt;='Uang Riba'!$H$30,B2050&lt;='Uang Riba'!$I$30,OR(H2050="Dana riba",H2050="Pinjam uang riba",I2050="Pinjam dari uang riba",I2050="Ganti uang riba",I2050="Kelebihan ganti dikembalikan",AND(C2050="Kantong Uang Riba",G2050="Pengeluaran"))),1,0)</f>
        <v/>
      </c>
      <c r="X2050" s="93">
        <f>IF(AND(B2050&lt;&gt;"",B2050&gt;='Buku Akun'!$H$4,B2050&lt;='Buku Akun'!$H$5,OR(C2050='Buku Akun'!$C$4,AND(D2050="Pindah",E2050='Buku Akun'!$C$4))),B2050+IF(AND(I2050="Selisih bunga",DAY(B2050)=1),0,0.01)+ROW()/10000000,"")</f>
        <v/>
      </c>
    </row>
    <row r="2051" outlineLevel="1" ht="15" customHeight="1" s="94">
      <c r="A2051" s="123">
        <f>IF(B2051="","",ROW()-15)</f>
        <v/>
      </c>
      <c r="B2051" s="124" t="n"/>
      <c r="C2051" s="123" t="n"/>
      <c r="D2051" s="123" t="n"/>
      <c r="E2051" s="123" t="n"/>
      <c r="F2051" s="125" t="n"/>
      <c r="G2051" s="123" t="n"/>
      <c r="H2051" s="123" t="n"/>
      <c r="I2051" s="123" t="n"/>
      <c r="J2051" s="123" t="n"/>
      <c r="K2051" s="123" t="n"/>
      <c r="L2051" s="123" t="n"/>
      <c r="M2051" s="123">
        <f>IF(AND(B2051&lt;&gt;"",OR($C$4="",ISNUMBER(SEARCH($C$4,C2051&amp;" "&amp;E2051&amp;" "&amp;G2051&amp;" "&amp;H2051&amp;" "&amp;I2051&amp;" "&amp;J2051&amp;" "&amp;K2051&amp;" "&amp;L2051))),OR($C$5="Semua",$C$5="",G2051=$C$5),OR($C$6="Semua",$C$6="",H2051=$C$6,H2051="Pengeluaran "&amp;$C$6,AND($C$6="Uang Kos Mama",H2051="Pengeluaran Uang Kos")),OR($C$7="Semua",$C$7="",I2051=$C$7),OR($C$8="Semua",$C$8="",C2051=$C$8,E2051=$C$8),OR($C$9="Semua",$C$9="",D2051=$C$9),OR($C$10="",B2051&gt;=$C$10),OR($C$11="",B2051&lt;=$C$11),OR($C$12&lt;&gt;"Ya",K2051&lt;&gt;""),OR($C$13="Semua",$C$13="",L2051=$C$13)),"✓","")</f>
        <v/>
      </c>
      <c r="N2051" s="93">
        <f>N(N2050)+IF(M2051="✓",1,0)</f>
        <v/>
      </c>
      <c r="O2051" s="93">
        <f>N(O2050)+IF(AND(B2051&lt;&gt;"",B2051&gt;='Uang Riba'!$H$30,B2051&lt;='Uang Riba'!$I$30,OR(H2051="Dana riba",H2051="Pinjam uang riba",I2051="Pinjam dari uang riba",I2051="Ganti uang riba",I2051="Kelebihan ganti dikembalikan",AND(C2051="Kantong Uang Riba",G2051="Pengeluaran"))),1,0)</f>
        <v/>
      </c>
      <c r="X2051" s="93">
        <f>IF(AND(B2051&lt;&gt;"",B2051&gt;='Buku Akun'!$H$4,B2051&lt;='Buku Akun'!$H$5,OR(C2051='Buku Akun'!$C$4,AND(D2051="Pindah",E2051='Buku Akun'!$C$4))),B2051+IF(AND(I2051="Selisih bunga",DAY(B2051)=1),0,0.01)+ROW()/10000000,"")</f>
        <v/>
      </c>
    </row>
    <row r="2052" outlineLevel="1" ht="15" customHeight="1" s="94">
      <c r="A2052" s="123">
        <f>IF(B2052="","",ROW()-15)</f>
        <v/>
      </c>
      <c r="B2052" s="124" t="n"/>
      <c r="C2052" s="123" t="n"/>
      <c r="D2052" s="123" t="n"/>
      <c r="E2052" s="123" t="n"/>
      <c r="F2052" s="125" t="n"/>
      <c r="G2052" s="123" t="n"/>
      <c r="H2052" s="123" t="n"/>
      <c r="I2052" s="123" t="n"/>
      <c r="J2052" s="123" t="n"/>
      <c r="K2052" s="123" t="n"/>
      <c r="L2052" s="123" t="n"/>
      <c r="M2052" s="123">
        <f>IF(AND(B2052&lt;&gt;"",OR($C$4="",ISNUMBER(SEARCH($C$4,C2052&amp;" "&amp;E2052&amp;" "&amp;G2052&amp;" "&amp;H2052&amp;" "&amp;I2052&amp;" "&amp;J2052&amp;" "&amp;K2052&amp;" "&amp;L2052))),OR($C$5="Semua",$C$5="",G2052=$C$5),OR($C$6="Semua",$C$6="",H2052=$C$6,H2052="Pengeluaran "&amp;$C$6,AND($C$6="Uang Kos Mama",H2052="Pengeluaran Uang Kos")),OR($C$7="Semua",$C$7="",I2052=$C$7),OR($C$8="Semua",$C$8="",C2052=$C$8,E2052=$C$8),OR($C$9="Semua",$C$9="",D2052=$C$9),OR($C$10="",B2052&gt;=$C$10),OR($C$11="",B2052&lt;=$C$11),OR($C$12&lt;&gt;"Ya",K2052&lt;&gt;""),OR($C$13="Semua",$C$13="",L2052=$C$13)),"✓","")</f>
        <v/>
      </c>
      <c r="N2052" s="93">
        <f>N(N2051)+IF(M2052="✓",1,0)</f>
        <v/>
      </c>
      <c r="O2052" s="93">
        <f>N(O2051)+IF(AND(B2052&lt;&gt;"",B2052&gt;='Uang Riba'!$H$30,B2052&lt;='Uang Riba'!$I$30,OR(H2052="Dana riba",H2052="Pinjam uang riba",I2052="Pinjam dari uang riba",I2052="Ganti uang riba",I2052="Kelebihan ganti dikembalikan",AND(C2052="Kantong Uang Riba",G2052="Pengeluaran"))),1,0)</f>
        <v/>
      </c>
      <c r="X2052" s="93">
        <f>IF(AND(B2052&lt;&gt;"",B2052&gt;='Buku Akun'!$H$4,B2052&lt;='Buku Akun'!$H$5,OR(C2052='Buku Akun'!$C$4,AND(D2052="Pindah",E2052='Buku Akun'!$C$4))),B2052+IF(AND(I2052="Selisih bunga",DAY(B2052)=1),0,0.01)+ROW()/10000000,"")</f>
        <v/>
      </c>
    </row>
    <row r="2053" outlineLevel="1" ht="15" customHeight="1" s="94">
      <c r="A2053" s="123">
        <f>IF(B2053="","",ROW()-15)</f>
        <v/>
      </c>
      <c r="B2053" s="124" t="n"/>
      <c r="C2053" s="123" t="n"/>
      <c r="D2053" s="123" t="n"/>
      <c r="E2053" s="123" t="n"/>
      <c r="F2053" s="125" t="n"/>
      <c r="G2053" s="123" t="n"/>
      <c r="H2053" s="123" t="n"/>
      <c r="I2053" s="123" t="n"/>
      <c r="J2053" s="123" t="n"/>
      <c r="K2053" s="123" t="n"/>
      <c r="L2053" s="123" t="n"/>
      <c r="M2053" s="123">
        <f>IF(AND(B2053&lt;&gt;"",OR($C$4="",ISNUMBER(SEARCH($C$4,C2053&amp;" "&amp;E2053&amp;" "&amp;G2053&amp;" "&amp;H2053&amp;" "&amp;I2053&amp;" "&amp;J2053&amp;" "&amp;K2053&amp;" "&amp;L2053))),OR($C$5="Semua",$C$5="",G2053=$C$5),OR($C$6="Semua",$C$6="",H2053=$C$6,H2053="Pengeluaran "&amp;$C$6,AND($C$6="Uang Kos Mama",H2053="Pengeluaran Uang Kos")),OR($C$7="Semua",$C$7="",I2053=$C$7),OR($C$8="Semua",$C$8="",C2053=$C$8,E2053=$C$8),OR($C$9="Semua",$C$9="",D2053=$C$9),OR($C$10="",B2053&gt;=$C$10),OR($C$11="",B2053&lt;=$C$11),OR($C$12&lt;&gt;"Ya",K2053&lt;&gt;""),OR($C$13="Semua",$C$13="",L2053=$C$13)),"✓","")</f>
        <v/>
      </c>
      <c r="N2053" s="93">
        <f>N(N2052)+IF(M2053="✓",1,0)</f>
        <v/>
      </c>
      <c r="O2053" s="93">
        <f>N(O2052)+IF(AND(B2053&lt;&gt;"",B2053&gt;='Uang Riba'!$H$30,B2053&lt;='Uang Riba'!$I$30,OR(H2053="Dana riba",H2053="Pinjam uang riba",I2053="Pinjam dari uang riba",I2053="Ganti uang riba",I2053="Kelebihan ganti dikembalikan",AND(C2053="Kantong Uang Riba",G2053="Pengeluaran"))),1,0)</f>
        <v/>
      </c>
      <c r="X2053" s="93">
        <f>IF(AND(B2053&lt;&gt;"",B2053&gt;='Buku Akun'!$H$4,B2053&lt;='Buku Akun'!$H$5,OR(C2053='Buku Akun'!$C$4,AND(D2053="Pindah",E2053='Buku Akun'!$C$4))),B2053+IF(AND(I2053="Selisih bunga",DAY(B2053)=1),0,0.01)+ROW()/10000000,"")</f>
        <v/>
      </c>
    </row>
    <row r="2054" outlineLevel="1" ht="15" customHeight="1" s="94">
      <c r="A2054" s="123">
        <f>IF(B2054="","",ROW()-15)</f>
        <v/>
      </c>
      <c r="B2054" s="124" t="n"/>
      <c r="C2054" s="123" t="n"/>
      <c r="D2054" s="123" t="n"/>
      <c r="E2054" s="123" t="n"/>
      <c r="F2054" s="125" t="n"/>
      <c r="G2054" s="123" t="n"/>
      <c r="H2054" s="123" t="n"/>
      <c r="I2054" s="123" t="n"/>
      <c r="J2054" s="123" t="n"/>
      <c r="K2054" s="123" t="n"/>
      <c r="L2054" s="123" t="n"/>
      <c r="M2054" s="123">
        <f>IF(AND(B2054&lt;&gt;"",OR($C$4="",ISNUMBER(SEARCH($C$4,C2054&amp;" "&amp;E2054&amp;" "&amp;G2054&amp;" "&amp;H2054&amp;" "&amp;I2054&amp;" "&amp;J2054&amp;" "&amp;K2054&amp;" "&amp;L2054))),OR($C$5="Semua",$C$5="",G2054=$C$5),OR($C$6="Semua",$C$6="",H2054=$C$6,H2054="Pengeluaran "&amp;$C$6,AND($C$6="Uang Kos Mama",H2054="Pengeluaran Uang Kos")),OR($C$7="Semua",$C$7="",I2054=$C$7),OR($C$8="Semua",$C$8="",C2054=$C$8,E2054=$C$8),OR($C$9="Semua",$C$9="",D2054=$C$9),OR($C$10="",B2054&gt;=$C$10),OR($C$11="",B2054&lt;=$C$11),OR($C$12&lt;&gt;"Ya",K2054&lt;&gt;""),OR($C$13="Semua",$C$13="",L2054=$C$13)),"✓","")</f>
        <v/>
      </c>
      <c r="N2054" s="93">
        <f>N(N2053)+IF(M2054="✓",1,0)</f>
        <v/>
      </c>
      <c r="O2054" s="93">
        <f>N(O2053)+IF(AND(B2054&lt;&gt;"",B2054&gt;='Uang Riba'!$H$30,B2054&lt;='Uang Riba'!$I$30,OR(H2054="Dana riba",H2054="Pinjam uang riba",I2054="Pinjam dari uang riba",I2054="Ganti uang riba",I2054="Kelebihan ganti dikembalikan",AND(C2054="Kantong Uang Riba",G2054="Pengeluaran"))),1,0)</f>
        <v/>
      </c>
      <c r="X2054" s="93">
        <f>IF(AND(B2054&lt;&gt;"",B2054&gt;='Buku Akun'!$H$4,B2054&lt;='Buku Akun'!$H$5,OR(C2054='Buku Akun'!$C$4,AND(D2054="Pindah",E2054='Buku Akun'!$C$4))),B2054+IF(AND(I2054="Selisih bunga",DAY(B2054)=1),0,0.01)+ROW()/10000000,"")</f>
        <v/>
      </c>
    </row>
    <row r="2055" outlineLevel="1" ht="15" customHeight="1" s="94">
      <c r="A2055" s="123">
        <f>IF(B2055="","",ROW()-15)</f>
        <v/>
      </c>
      <c r="B2055" s="124" t="n"/>
      <c r="C2055" s="123" t="n"/>
      <c r="D2055" s="123" t="n"/>
      <c r="E2055" s="123" t="n"/>
      <c r="F2055" s="125" t="n"/>
      <c r="G2055" s="123" t="n"/>
      <c r="H2055" s="123" t="n"/>
      <c r="I2055" s="123" t="n"/>
      <c r="J2055" s="123" t="n"/>
      <c r="K2055" s="123" t="n"/>
      <c r="L2055" s="123" t="n"/>
      <c r="M2055" s="123">
        <f>IF(AND(B2055&lt;&gt;"",OR($C$4="",ISNUMBER(SEARCH($C$4,C2055&amp;" "&amp;E2055&amp;" "&amp;G2055&amp;" "&amp;H2055&amp;" "&amp;I2055&amp;" "&amp;J2055&amp;" "&amp;K2055&amp;" "&amp;L2055))),OR($C$5="Semua",$C$5="",G2055=$C$5),OR($C$6="Semua",$C$6="",H2055=$C$6,H2055="Pengeluaran "&amp;$C$6,AND($C$6="Uang Kos Mama",H2055="Pengeluaran Uang Kos")),OR($C$7="Semua",$C$7="",I2055=$C$7),OR($C$8="Semua",$C$8="",C2055=$C$8,E2055=$C$8),OR($C$9="Semua",$C$9="",D2055=$C$9),OR($C$10="",B2055&gt;=$C$10),OR($C$11="",B2055&lt;=$C$11),OR($C$12&lt;&gt;"Ya",K2055&lt;&gt;""),OR($C$13="Semua",$C$13="",L2055=$C$13)),"✓","")</f>
        <v/>
      </c>
      <c r="N2055" s="93">
        <f>N(N2054)+IF(M2055="✓",1,0)</f>
        <v/>
      </c>
      <c r="O2055" s="93">
        <f>N(O2054)+IF(AND(B2055&lt;&gt;"",B2055&gt;='Uang Riba'!$H$30,B2055&lt;='Uang Riba'!$I$30,OR(H2055="Dana riba",H2055="Pinjam uang riba",I2055="Pinjam dari uang riba",I2055="Ganti uang riba",I2055="Kelebihan ganti dikembalikan",AND(C2055="Kantong Uang Riba",G2055="Pengeluaran"))),1,0)</f>
        <v/>
      </c>
      <c r="X2055" s="93">
        <f>IF(AND(B2055&lt;&gt;"",B2055&gt;='Buku Akun'!$H$4,B2055&lt;='Buku Akun'!$H$5,OR(C2055='Buku Akun'!$C$4,AND(D2055="Pindah",E2055='Buku Akun'!$C$4))),B2055+IF(AND(I2055="Selisih bunga",DAY(B2055)=1),0,0.01)+ROW()/10000000,"")</f>
        <v/>
      </c>
    </row>
    <row r="2056" outlineLevel="1" ht="15" customHeight="1" s="94">
      <c r="A2056" s="123">
        <f>IF(B2056="","",ROW()-15)</f>
        <v/>
      </c>
      <c r="B2056" s="124" t="n"/>
      <c r="C2056" s="123" t="n"/>
      <c r="D2056" s="123" t="n"/>
      <c r="E2056" s="123" t="n"/>
      <c r="F2056" s="125" t="n"/>
      <c r="G2056" s="123" t="n"/>
      <c r="H2056" s="123" t="n"/>
      <c r="I2056" s="123" t="n"/>
      <c r="J2056" s="123" t="n"/>
      <c r="K2056" s="123" t="n"/>
      <c r="L2056" s="123" t="n"/>
      <c r="M2056" s="123">
        <f>IF(AND(B2056&lt;&gt;"",OR($C$4="",ISNUMBER(SEARCH($C$4,C2056&amp;" "&amp;E2056&amp;" "&amp;G2056&amp;" "&amp;H2056&amp;" "&amp;I2056&amp;" "&amp;J2056&amp;" "&amp;K2056&amp;" "&amp;L2056))),OR($C$5="Semua",$C$5="",G2056=$C$5),OR($C$6="Semua",$C$6="",H2056=$C$6,H2056="Pengeluaran "&amp;$C$6,AND($C$6="Uang Kos Mama",H2056="Pengeluaran Uang Kos")),OR($C$7="Semua",$C$7="",I2056=$C$7),OR($C$8="Semua",$C$8="",C2056=$C$8,E2056=$C$8),OR($C$9="Semua",$C$9="",D2056=$C$9),OR($C$10="",B2056&gt;=$C$10),OR($C$11="",B2056&lt;=$C$11),OR($C$12&lt;&gt;"Ya",K2056&lt;&gt;""),OR($C$13="Semua",$C$13="",L2056=$C$13)),"✓","")</f>
        <v/>
      </c>
      <c r="N2056" s="93">
        <f>N(N2055)+IF(M2056="✓",1,0)</f>
        <v/>
      </c>
      <c r="O2056" s="93">
        <f>N(O2055)+IF(AND(B2056&lt;&gt;"",B2056&gt;='Uang Riba'!$H$30,B2056&lt;='Uang Riba'!$I$30,OR(H2056="Dana riba",H2056="Pinjam uang riba",I2056="Pinjam dari uang riba",I2056="Ganti uang riba",I2056="Kelebihan ganti dikembalikan",AND(C2056="Kantong Uang Riba",G2056="Pengeluaran"))),1,0)</f>
        <v/>
      </c>
      <c r="X2056" s="93">
        <f>IF(AND(B2056&lt;&gt;"",B2056&gt;='Buku Akun'!$H$4,B2056&lt;='Buku Akun'!$H$5,OR(C2056='Buku Akun'!$C$4,AND(D2056="Pindah",E2056='Buku Akun'!$C$4))),B2056+IF(AND(I2056="Selisih bunga",DAY(B2056)=1),0,0.01)+ROW()/10000000,"")</f>
        <v/>
      </c>
    </row>
    <row r="2057" outlineLevel="1" ht="15" customHeight="1" s="94">
      <c r="A2057" s="123">
        <f>IF(B2057="","",ROW()-15)</f>
        <v/>
      </c>
      <c r="B2057" s="124" t="n"/>
      <c r="C2057" s="123" t="n"/>
      <c r="D2057" s="123" t="n"/>
      <c r="E2057" s="123" t="n"/>
      <c r="F2057" s="125" t="n"/>
      <c r="G2057" s="123" t="n"/>
      <c r="H2057" s="123" t="n"/>
      <c r="I2057" s="123" t="n"/>
      <c r="J2057" s="123" t="n"/>
      <c r="K2057" s="123" t="n"/>
      <c r="L2057" s="123" t="n"/>
      <c r="M2057" s="123">
        <f>IF(AND(B2057&lt;&gt;"",OR($C$4="",ISNUMBER(SEARCH($C$4,C2057&amp;" "&amp;E2057&amp;" "&amp;G2057&amp;" "&amp;H2057&amp;" "&amp;I2057&amp;" "&amp;J2057&amp;" "&amp;K2057&amp;" "&amp;L2057))),OR($C$5="Semua",$C$5="",G2057=$C$5),OR($C$6="Semua",$C$6="",H2057=$C$6,H2057="Pengeluaran "&amp;$C$6,AND($C$6="Uang Kos Mama",H2057="Pengeluaran Uang Kos")),OR($C$7="Semua",$C$7="",I2057=$C$7),OR($C$8="Semua",$C$8="",C2057=$C$8,E2057=$C$8),OR($C$9="Semua",$C$9="",D2057=$C$9),OR($C$10="",B2057&gt;=$C$10),OR($C$11="",B2057&lt;=$C$11),OR($C$12&lt;&gt;"Ya",K2057&lt;&gt;""),OR($C$13="Semua",$C$13="",L2057=$C$13)),"✓","")</f>
        <v/>
      </c>
      <c r="N2057" s="93">
        <f>N(N2056)+IF(M2057="✓",1,0)</f>
        <v/>
      </c>
      <c r="O2057" s="93">
        <f>N(O2056)+IF(AND(B2057&lt;&gt;"",B2057&gt;='Uang Riba'!$H$30,B2057&lt;='Uang Riba'!$I$30,OR(H2057="Dana riba",H2057="Pinjam uang riba",I2057="Pinjam dari uang riba",I2057="Ganti uang riba",I2057="Kelebihan ganti dikembalikan",AND(C2057="Kantong Uang Riba",G2057="Pengeluaran"))),1,0)</f>
        <v/>
      </c>
      <c r="X2057" s="93">
        <f>IF(AND(B2057&lt;&gt;"",B2057&gt;='Buku Akun'!$H$4,B2057&lt;='Buku Akun'!$H$5,OR(C2057='Buku Akun'!$C$4,AND(D2057="Pindah",E2057='Buku Akun'!$C$4))),B2057+IF(AND(I2057="Selisih bunga",DAY(B2057)=1),0,0.01)+ROW()/10000000,"")</f>
        <v/>
      </c>
    </row>
    <row r="2058" outlineLevel="1" ht="15" customHeight="1" s="94">
      <c r="A2058" s="123">
        <f>IF(B2058="","",ROW()-15)</f>
        <v/>
      </c>
      <c r="B2058" s="124" t="n"/>
      <c r="C2058" s="123" t="n"/>
      <c r="D2058" s="123" t="n"/>
      <c r="E2058" s="123" t="n"/>
      <c r="F2058" s="125" t="n"/>
      <c r="G2058" s="123" t="n"/>
      <c r="H2058" s="123" t="n"/>
      <c r="I2058" s="123" t="n"/>
      <c r="J2058" s="123" t="n"/>
      <c r="K2058" s="123" t="n"/>
      <c r="L2058" s="123" t="n"/>
      <c r="M2058" s="123">
        <f>IF(AND(B2058&lt;&gt;"",OR($C$4="",ISNUMBER(SEARCH($C$4,C2058&amp;" "&amp;E2058&amp;" "&amp;G2058&amp;" "&amp;H2058&amp;" "&amp;I2058&amp;" "&amp;J2058&amp;" "&amp;K2058&amp;" "&amp;L2058))),OR($C$5="Semua",$C$5="",G2058=$C$5),OR($C$6="Semua",$C$6="",H2058=$C$6,H2058="Pengeluaran "&amp;$C$6,AND($C$6="Uang Kos Mama",H2058="Pengeluaran Uang Kos")),OR($C$7="Semua",$C$7="",I2058=$C$7),OR($C$8="Semua",$C$8="",C2058=$C$8,E2058=$C$8),OR($C$9="Semua",$C$9="",D2058=$C$9),OR($C$10="",B2058&gt;=$C$10),OR($C$11="",B2058&lt;=$C$11),OR($C$12&lt;&gt;"Ya",K2058&lt;&gt;""),OR($C$13="Semua",$C$13="",L2058=$C$13)),"✓","")</f>
        <v/>
      </c>
      <c r="N2058" s="93">
        <f>N(N2057)+IF(M2058="✓",1,0)</f>
        <v/>
      </c>
      <c r="O2058" s="93">
        <f>N(O2057)+IF(AND(B2058&lt;&gt;"",B2058&gt;='Uang Riba'!$H$30,B2058&lt;='Uang Riba'!$I$30,OR(H2058="Dana riba",H2058="Pinjam uang riba",I2058="Pinjam dari uang riba",I2058="Ganti uang riba",I2058="Kelebihan ganti dikembalikan",AND(C2058="Kantong Uang Riba",G2058="Pengeluaran"))),1,0)</f>
        <v/>
      </c>
      <c r="X2058" s="93">
        <f>IF(AND(B2058&lt;&gt;"",B2058&gt;='Buku Akun'!$H$4,B2058&lt;='Buku Akun'!$H$5,OR(C2058='Buku Akun'!$C$4,AND(D2058="Pindah",E2058='Buku Akun'!$C$4))),B2058+IF(AND(I2058="Selisih bunga",DAY(B2058)=1),0,0.01)+ROW()/10000000,"")</f>
        <v/>
      </c>
    </row>
    <row r="2059" outlineLevel="1" ht="15" customHeight="1" s="94">
      <c r="A2059" s="123">
        <f>IF(B2059="","",ROW()-15)</f>
        <v/>
      </c>
      <c r="B2059" s="124" t="n"/>
      <c r="C2059" s="123" t="n"/>
      <c r="D2059" s="123" t="n"/>
      <c r="E2059" s="123" t="n"/>
      <c r="F2059" s="125" t="n"/>
      <c r="G2059" s="123" t="n"/>
      <c r="H2059" s="123" t="n"/>
      <c r="I2059" s="123" t="n"/>
      <c r="J2059" s="123" t="n"/>
      <c r="K2059" s="123" t="n"/>
      <c r="L2059" s="123" t="n"/>
      <c r="M2059" s="123">
        <f>IF(AND(B2059&lt;&gt;"",OR($C$4="",ISNUMBER(SEARCH($C$4,C2059&amp;" "&amp;E2059&amp;" "&amp;G2059&amp;" "&amp;H2059&amp;" "&amp;I2059&amp;" "&amp;J2059&amp;" "&amp;K2059&amp;" "&amp;L2059))),OR($C$5="Semua",$C$5="",G2059=$C$5),OR($C$6="Semua",$C$6="",H2059=$C$6,H2059="Pengeluaran "&amp;$C$6,AND($C$6="Uang Kos Mama",H2059="Pengeluaran Uang Kos")),OR($C$7="Semua",$C$7="",I2059=$C$7),OR($C$8="Semua",$C$8="",C2059=$C$8,E2059=$C$8),OR($C$9="Semua",$C$9="",D2059=$C$9),OR($C$10="",B2059&gt;=$C$10),OR($C$11="",B2059&lt;=$C$11),OR($C$12&lt;&gt;"Ya",K2059&lt;&gt;""),OR($C$13="Semua",$C$13="",L2059=$C$13)),"✓","")</f>
        <v/>
      </c>
      <c r="N2059" s="93">
        <f>N(N2058)+IF(M2059="✓",1,0)</f>
        <v/>
      </c>
      <c r="O2059" s="93">
        <f>N(O2058)+IF(AND(B2059&lt;&gt;"",B2059&gt;='Uang Riba'!$H$30,B2059&lt;='Uang Riba'!$I$30,OR(H2059="Dana riba",H2059="Pinjam uang riba",I2059="Pinjam dari uang riba",I2059="Ganti uang riba",I2059="Kelebihan ganti dikembalikan",AND(C2059="Kantong Uang Riba",G2059="Pengeluaran"))),1,0)</f>
        <v/>
      </c>
      <c r="X2059" s="93">
        <f>IF(AND(B2059&lt;&gt;"",B2059&gt;='Buku Akun'!$H$4,B2059&lt;='Buku Akun'!$H$5,OR(C2059='Buku Akun'!$C$4,AND(D2059="Pindah",E2059='Buku Akun'!$C$4))),B2059+IF(AND(I2059="Selisih bunga",DAY(B2059)=1),0,0.01)+ROW()/10000000,"")</f>
        <v/>
      </c>
    </row>
    <row r="2060" outlineLevel="1" ht="15" customHeight="1" s="94">
      <c r="A2060" s="123">
        <f>IF(B2060="","",ROW()-15)</f>
        <v/>
      </c>
      <c r="B2060" s="124" t="n"/>
      <c r="C2060" s="123" t="n"/>
      <c r="D2060" s="123" t="n"/>
      <c r="E2060" s="123" t="n"/>
      <c r="F2060" s="125" t="n"/>
      <c r="G2060" s="123" t="n"/>
      <c r="H2060" s="123" t="n"/>
      <c r="I2060" s="123" t="n"/>
      <c r="J2060" s="123" t="n"/>
      <c r="K2060" s="123" t="n"/>
      <c r="L2060" s="123" t="n"/>
      <c r="M2060" s="123">
        <f>IF(AND(B2060&lt;&gt;"",OR($C$4="",ISNUMBER(SEARCH($C$4,C2060&amp;" "&amp;E2060&amp;" "&amp;G2060&amp;" "&amp;H2060&amp;" "&amp;I2060&amp;" "&amp;J2060&amp;" "&amp;K2060&amp;" "&amp;L2060))),OR($C$5="Semua",$C$5="",G2060=$C$5),OR($C$6="Semua",$C$6="",H2060=$C$6,H2060="Pengeluaran "&amp;$C$6,AND($C$6="Uang Kos Mama",H2060="Pengeluaran Uang Kos")),OR($C$7="Semua",$C$7="",I2060=$C$7),OR($C$8="Semua",$C$8="",C2060=$C$8,E2060=$C$8),OR($C$9="Semua",$C$9="",D2060=$C$9),OR($C$10="",B2060&gt;=$C$10),OR($C$11="",B2060&lt;=$C$11),OR($C$12&lt;&gt;"Ya",K2060&lt;&gt;""),OR($C$13="Semua",$C$13="",L2060=$C$13)),"✓","")</f>
        <v/>
      </c>
      <c r="N2060" s="93">
        <f>N(N2059)+IF(M2060="✓",1,0)</f>
        <v/>
      </c>
      <c r="O2060" s="93">
        <f>N(O2059)+IF(AND(B2060&lt;&gt;"",B2060&gt;='Uang Riba'!$H$30,B2060&lt;='Uang Riba'!$I$30,OR(H2060="Dana riba",H2060="Pinjam uang riba",I2060="Pinjam dari uang riba",I2060="Ganti uang riba",I2060="Kelebihan ganti dikembalikan",AND(C2060="Kantong Uang Riba",G2060="Pengeluaran"))),1,0)</f>
        <v/>
      </c>
      <c r="X2060" s="93">
        <f>IF(AND(B2060&lt;&gt;"",B2060&gt;='Buku Akun'!$H$4,B2060&lt;='Buku Akun'!$H$5,OR(C2060='Buku Akun'!$C$4,AND(D2060="Pindah",E2060='Buku Akun'!$C$4))),B2060+IF(AND(I2060="Selisih bunga",DAY(B2060)=1),0,0.01)+ROW()/10000000,"")</f>
        <v/>
      </c>
    </row>
    <row r="2061" outlineLevel="1" ht="15" customHeight="1" s="94">
      <c r="A2061" s="123">
        <f>IF(B2061="","",ROW()-15)</f>
        <v/>
      </c>
      <c r="B2061" s="124" t="n"/>
      <c r="C2061" s="123" t="n"/>
      <c r="D2061" s="123" t="n"/>
      <c r="E2061" s="123" t="n"/>
      <c r="F2061" s="125" t="n"/>
      <c r="G2061" s="123" t="n"/>
      <c r="H2061" s="123" t="n"/>
      <c r="I2061" s="123" t="n"/>
      <c r="J2061" s="123" t="n"/>
      <c r="K2061" s="123" t="n"/>
      <c r="L2061" s="123" t="n"/>
      <c r="M2061" s="123">
        <f>IF(AND(B2061&lt;&gt;"",OR($C$4="",ISNUMBER(SEARCH($C$4,C2061&amp;" "&amp;E2061&amp;" "&amp;G2061&amp;" "&amp;H2061&amp;" "&amp;I2061&amp;" "&amp;J2061&amp;" "&amp;K2061&amp;" "&amp;L2061))),OR($C$5="Semua",$C$5="",G2061=$C$5),OR($C$6="Semua",$C$6="",H2061=$C$6,H2061="Pengeluaran "&amp;$C$6,AND($C$6="Uang Kos Mama",H2061="Pengeluaran Uang Kos")),OR($C$7="Semua",$C$7="",I2061=$C$7),OR($C$8="Semua",$C$8="",C2061=$C$8,E2061=$C$8),OR($C$9="Semua",$C$9="",D2061=$C$9),OR($C$10="",B2061&gt;=$C$10),OR($C$11="",B2061&lt;=$C$11),OR($C$12&lt;&gt;"Ya",K2061&lt;&gt;""),OR($C$13="Semua",$C$13="",L2061=$C$13)),"✓","")</f>
        <v/>
      </c>
      <c r="N2061" s="93">
        <f>N(N2060)+IF(M2061="✓",1,0)</f>
        <v/>
      </c>
      <c r="O2061" s="93">
        <f>N(O2060)+IF(AND(B2061&lt;&gt;"",B2061&gt;='Uang Riba'!$H$30,B2061&lt;='Uang Riba'!$I$30,OR(H2061="Dana riba",H2061="Pinjam uang riba",I2061="Pinjam dari uang riba",I2061="Ganti uang riba",I2061="Kelebihan ganti dikembalikan",AND(C2061="Kantong Uang Riba",G2061="Pengeluaran"))),1,0)</f>
        <v/>
      </c>
      <c r="X2061" s="93">
        <f>IF(AND(B2061&lt;&gt;"",B2061&gt;='Buku Akun'!$H$4,B2061&lt;='Buku Akun'!$H$5,OR(C2061='Buku Akun'!$C$4,AND(D2061="Pindah",E2061='Buku Akun'!$C$4))),B2061+IF(AND(I2061="Selisih bunga",DAY(B2061)=1),0,0.01)+ROW()/10000000,"")</f>
        <v/>
      </c>
    </row>
    <row r="2062" outlineLevel="1" ht="15" customHeight="1" s="94">
      <c r="A2062" s="123">
        <f>IF(B2062="","",ROW()-15)</f>
        <v/>
      </c>
      <c r="B2062" s="124" t="n"/>
      <c r="C2062" s="123" t="n"/>
      <c r="D2062" s="123" t="n"/>
      <c r="E2062" s="123" t="n"/>
      <c r="F2062" s="125" t="n"/>
      <c r="G2062" s="123" t="n"/>
      <c r="H2062" s="123" t="n"/>
      <c r="I2062" s="123" t="n"/>
      <c r="J2062" s="123" t="n"/>
      <c r="K2062" s="123" t="n"/>
      <c r="L2062" s="123" t="n"/>
      <c r="M2062" s="123">
        <f>IF(AND(B2062&lt;&gt;"",OR($C$4="",ISNUMBER(SEARCH($C$4,C2062&amp;" "&amp;E2062&amp;" "&amp;G2062&amp;" "&amp;H2062&amp;" "&amp;I2062&amp;" "&amp;J2062&amp;" "&amp;K2062&amp;" "&amp;L2062))),OR($C$5="Semua",$C$5="",G2062=$C$5),OR($C$6="Semua",$C$6="",H2062=$C$6,H2062="Pengeluaran "&amp;$C$6,AND($C$6="Uang Kos Mama",H2062="Pengeluaran Uang Kos")),OR($C$7="Semua",$C$7="",I2062=$C$7),OR($C$8="Semua",$C$8="",C2062=$C$8,E2062=$C$8),OR($C$9="Semua",$C$9="",D2062=$C$9),OR($C$10="",B2062&gt;=$C$10),OR($C$11="",B2062&lt;=$C$11),OR($C$12&lt;&gt;"Ya",K2062&lt;&gt;""),OR($C$13="Semua",$C$13="",L2062=$C$13)),"✓","")</f>
        <v/>
      </c>
      <c r="N2062" s="93">
        <f>N(N2061)+IF(M2062="✓",1,0)</f>
        <v/>
      </c>
      <c r="O2062" s="93">
        <f>N(O2061)+IF(AND(B2062&lt;&gt;"",B2062&gt;='Uang Riba'!$H$30,B2062&lt;='Uang Riba'!$I$30,OR(H2062="Dana riba",H2062="Pinjam uang riba",I2062="Pinjam dari uang riba",I2062="Ganti uang riba",I2062="Kelebihan ganti dikembalikan",AND(C2062="Kantong Uang Riba",G2062="Pengeluaran"))),1,0)</f>
        <v/>
      </c>
      <c r="X2062" s="93">
        <f>IF(AND(B2062&lt;&gt;"",B2062&gt;='Buku Akun'!$H$4,B2062&lt;='Buku Akun'!$H$5,OR(C2062='Buku Akun'!$C$4,AND(D2062="Pindah",E2062='Buku Akun'!$C$4))),B2062+IF(AND(I2062="Selisih bunga",DAY(B2062)=1),0,0.01)+ROW()/10000000,"")</f>
        <v/>
      </c>
    </row>
    <row r="2063" outlineLevel="1" ht="15" customHeight="1" s="94">
      <c r="A2063" s="123">
        <f>IF(B2063="","",ROW()-15)</f>
        <v/>
      </c>
      <c r="B2063" s="124" t="n"/>
      <c r="C2063" s="123" t="n"/>
      <c r="D2063" s="123" t="n"/>
      <c r="E2063" s="123" t="n"/>
      <c r="F2063" s="125" t="n"/>
      <c r="G2063" s="123" t="n"/>
      <c r="H2063" s="123" t="n"/>
      <c r="I2063" s="123" t="n"/>
      <c r="J2063" s="123" t="n"/>
      <c r="K2063" s="123" t="n"/>
      <c r="L2063" s="123" t="n"/>
      <c r="M2063" s="123">
        <f>IF(AND(B2063&lt;&gt;"",OR($C$4="",ISNUMBER(SEARCH($C$4,C2063&amp;" "&amp;E2063&amp;" "&amp;G2063&amp;" "&amp;H2063&amp;" "&amp;I2063&amp;" "&amp;J2063&amp;" "&amp;K2063&amp;" "&amp;L2063))),OR($C$5="Semua",$C$5="",G2063=$C$5),OR($C$6="Semua",$C$6="",H2063=$C$6,H2063="Pengeluaran "&amp;$C$6,AND($C$6="Uang Kos Mama",H2063="Pengeluaran Uang Kos")),OR($C$7="Semua",$C$7="",I2063=$C$7),OR($C$8="Semua",$C$8="",C2063=$C$8,E2063=$C$8),OR($C$9="Semua",$C$9="",D2063=$C$9),OR($C$10="",B2063&gt;=$C$10),OR($C$11="",B2063&lt;=$C$11),OR($C$12&lt;&gt;"Ya",K2063&lt;&gt;""),OR($C$13="Semua",$C$13="",L2063=$C$13)),"✓","")</f>
        <v/>
      </c>
      <c r="N2063" s="93">
        <f>N(N2062)+IF(M2063="✓",1,0)</f>
        <v/>
      </c>
      <c r="O2063" s="93">
        <f>N(O2062)+IF(AND(B2063&lt;&gt;"",B2063&gt;='Uang Riba'!$H$30,B2063&lt;='Uang Riba'!$I$30,OR(H2063="Dana riba",H2063="Pinjam uang riba",I2063="Pinjam dari uang riba",I2063="Ganti uang riba",I2063="Kelebihan ganti dikembalikan",AND(C2063="Kantong Uang Riba",G2063="Pengeluaran"))),1,0)</f>
        <v/>
      </c>
      <c r="X2063" s="93">
        <f>IF(AND(B2063&lt;&gt;"",B2063&gt;='Buku Akun'!$H$4,B2063&lt;='Buku Akun'!$H$5,OR(C2063='Buku Akun'!$C$4,AND(D2063="Pindah",E2063='Buku Akun'!$C$4))),B2063+IF(AND(I2063="Selisih bunga",DAY(B2063)=1),0,0.01)+ROW()/10000000,"")</f>
        <v/>
      </c>
    </row>
    <row r="2064" outlineLevel="1" ht="15" customHeight="1" s="94">
      <c r="A2064" s="123">
        <f>IF(B2064="","",ROW()-15)</f>
        <v/>
      </c>
      <c r="B2064" s="124" t="n"/>
      <c r="C2064" s="123" t="n"/>
      <c r="D2064" s="123" t="n"/>
      <c r="E2064" s="123" t="n"/>
      <c r="F2064" s="125" t="n"/>
      <c r="G2064" s="123" t="n"/>
      <c r="H2064" s="123" t="n"/>
      <c r="I2064" s="123" t="n"/>
      <c r="J2064" s="123" t="n"/>
      <c r="K2064" s="123" t="n"/>
      <c r="L2064" s="123" t="n"/>
      <c r="M2064" s="123">
        <f>IF(AND(B2064&lt;&gt;"",OR($C$4="",ISNUMBER(SEARCH($C$4,C2064&amp;" "&amp;E2064&amp;" "&amp;G2064&amp;" "&amp;H2064&amp;" "&amp;I2064&amp;" "&amp;J2064&amp;" "&amp;K2064&amp;" "&amp;L2064))),OR($C$5="Semua",$C$5="",G2064=$C$5),OR($C$6="Semua",$C$6="",H2064=$C$6,H2064="Pengeluaran "&amp;$C$6,AND($C$6="Uang Kos Mama",H2064="Pengeluaran Uang Kos")),OR($C$7="Semua",$C$7="",I2064=$C$7),OR($C$8="Semua",$C$8="",C2064=$C$8,E2064=$C$8),OR($C$9="Semua",$C$9="",D2064=$C$9),OR($C$10="",B2064&gt;=$C$10),OR($C$11="",B2064&lt;=$C$11),OR($C$12&lt;&gt;"Ya",K2064&lt;&gt;""),OR($C$13="Semua",$C$13="",L2064=$C$13)),"✓","")</f>
        <v/>
      </c>
      <c r="N2064" s="93">
        <f>N(N2063)+IF(M2064="✓",1,0)</f>
        <v/>
      </c>
      <c r="O2064" s="93">
        <f>N(O2063)+IF(AND(B2064&lt;&gt;"",B2064&gt;='Uang Riba'!$H$30,B2064&lt;='Uang Riba'!$I$30,OR(H2064="Dana riba",H2064="Pinjam uang riba",I2064="Pinjam dari uang riba",I2064="Ganti uang riba",I2064="Kelebihan ganti dikembalikan",AND(C2064="Kantong Uang Riba",G2064="Pengeluaran"))),1,0)</f>
        <v/>
      </c>
      <c r="X2064" s="93">
        <f>IF(AND(B2064&lt;&gt;"",B2064&gt;='Buku Akun'!$H$4,B2064&lt;='Buku Akun'!$H$5,OR(C2064='Buku Akun'!$C$4,AND(D2064="Pindah",E2064='Buku Akun'!$C$4))),B2064+IF(AND(I2064="Selisih bunga",DAY(B2064)=1),0,0.01)+ROW()/10000000,"")</f>
        <v/>
      </c>
    </row>
    <row r="2065" outlineLevel="1" ht="15" customHeight="1" s="94">
      <c r="A2065" s="123">
        <f>IF(B2065="","",ROW()-15)</f>
        <v/>
      </c>
      <c r="B2065" s="124" t="n"/>
      <c r="C2065" s="123" t="n"/>
      <c r="D2065" s="123" t="n"/>
      <c r="E2065" s="123" t="n"/>
      <c r="F2065" s="125" t="n"/>
      <c r="G2065" s="123" t="n"/>
      <c r="H2065" s="123" t="n"/>
      <c r="I2065" s="123" t="n"/>
      <c r="J2065" s="123" t="n"/>
      <c r="K2065" s="123" t="n"/>
      <c r="L2065" s="123" t="n"/>
      <c r="M2065" s="123">
        <f>IF(AND(B2065&lt;&gt;"",OR($C$4="",ISNUMBER(SEARCH($C$4,C2065&amp;" "&amp;E2065&amp;" "&amp;G2065&amp;" "&amp;H2065&amp;" "&amp;I2065&amp;" "&amp;J2065&amp;" "&amp;K2065&amp;" "&amp;L2065))),OR($C$5="Semua",$C$5="",G2065=$C$5),OR($C$6="Semua",$C$6="",H2065=$C$6,H2065="Pengeluaran "&amp;$C$6,AND($C$6="Uang Kos Mama",H2065="Pengeluaran Uang Kos")),OR($C$7="Semua",$C$7="",I2065=$C$7),OR($C$8="Semua",$C$8="",C2065=$C$8,E2065=$C$8),OR($C$9="Semua",$C$9="",D2065=$C$9),OR($C$10="",B2065&gt;=$C$10),OR($C$11="",B2065&lt;=$C$11),OR($C$12&lt;&gt;"Ya",K2065&lt;&gt;""),OR($C$13="Semua",$C$13="",L2065=$C$13)),"✓","")</f>
        <v/>
      </c>
      <c r="N2065" s="93">
        <f>N(N2064)+IF(M2065="✓",1,0)</f>
        <v/>
      </c>
      <c r="O2065" s="93">
        <f>N(O2064)+IF(AND(B2065&lt;&gt;"",B2065&gt;='Uang Riba'!$H$30,B2065&lt;='Uang Riba'!$I$30,OR(H2065="Dana riba",H2065="Pinjam uang riba",I2065="Pinjam dari uang riba",I2065="Ganti uang riba",I2065="Kelebihan ganti dikembalikan",AND(C2065="Kantong Uang Riba",G2065="Pengeluaran"))),1,0)</f>
        <v/>
      </c>
      <c r="X2065" s="93">
        <f>IF(AND(B2065&lt;&gt;"",B2065&gt;='Buku Akun'!$H$4,B2065&lt;='Buku Akun'!$H$5,OR(C2065='Buku Akun'!$C$4,AND(D2065="Pindah",E2065='Buku Akun'!$C$4))),B2065+IF(AND(I2065="Selisih bunga",DAY(B2065)=1),0,0.01)+ROW()/10000000,"")</f>
        <v/>
      </c>
    </row>
    <row r="2066" outlineLevel="1" ht="15" customHeight="1" s="94">
      <c r="A2066" s="123">
        <f>IF(B2066="","",ROW()-15)</f>
        <v/>
      </c>
      <c r="B2066" s="124" t="n"/>
      <c r="C2066" s="123" t="n"/>
      <c r="D2066" s="123" t="n"/>
      <c r="E2066" s="123" t="n"/>
      <c r="F2066" s="125" t="n"/>
      <c r="G2066" s="123" t="n"/>
      <c r="H2066" s="123" t="n"/>
      <c r="I2066" s="123" t="n"/>
      <c r="J2066" s="123" t="n"/>
      <c r="K2066" s="123" t="n"/>
      <c r="L2066" s="123" t="n"/>
      <c r="M2066" s="123">
        <f>IF(AND(B2066&lt;&gt;"",OR($C$4="",ISNUMBER(SEARCH($C$4,C2066&amp;" "&amp;E2066&amp;" "&amp;G2066&amp;" "&amp;H2066&amp;" "&amp;I2066&amp;" "&amp;J2066&amp;" "&amp;K2066&amp;" "&amp;L2066))),OR($C$5="Semua",$C$5="",G2066=$C$5),OR($C$6="Semua",$C$6="",H2066=$C$6,H2066="Pengeluaran "&amp;$C$6,AND($C$6="Uang Kos Mama",H2066="Pengeluaran Uang Kos")),OR($C$7="Semua",$C$7="",I2066=$C$7),OR($C$8="Semua",$C$8="",C2066=$C$8,E2066=$C$8),OR($C$9="Semua",$C$9="",D2066=$C$9),OR($C$10="",B2066&gt;=$C$10),OR($C$11="",B2066&lt;=$C$11),OR($C$12&lt;&gt;"Ya",K2066&lt;&gt;""),OR($C$13="Semua",$C$13="",L2066=$C$13)),"✓","")</f>
        <v/>
      </c>
      <c r="N2066" s="93">
        <f>N(N2065)+IF(M2066="✓",1,0)</f>
        <v/>
      </c>
      <c r="O2066" s="93">
        <f>N(O2065)+IF(AND(B2066&lt;&gt;"",B2066&gt;='Uang Riba'!$H$30,B2066&lt;='Uang Riba'!$I$30,OR(H2066="Dana riba",H2066="Pinjam uang riba",I2066="Pinjam dari uang riba",I2066="Ganti uang riba",I2066="Kelebihan ganti dikembalikan",AND(C2066="Kantong Uang Riba",G2066="Pengeluaran"))),1,0)</f>
        <v/>
      </c>
      <c r="X2066" s="93">
        <f>IF(AND(B2066&lt;&gt;"",B2066&gt;='Buku Akun'!$H$4,B2066&lt;='Buku Akun'!$H$5,OR(C2066='Buku Akun'!$C$4,AND(D2066="Pindah",E2066='Buku Akun'!$C$4))),B2066+IF(AND(I2066="Selisih bunga",DAY(B2066)=1),0,0.01)+ROW()/10000000,"")</f>
        <v/>
      </c>
    </row>
    <row r="2067" outlineLevel="1" ht="15" customHeight="1" s="94">
      <c r="A2067" s="123">
        <f>IF(B2067="","",ROW()-15)</f>
        <v/>
      </c>
      <c r="B2067" s="124" t="n"/>
      <c r="C2067" s="123" t="n"/>
      <c r="D2067" s="123" t="n"/>
      <c r="E2067" s="123" t="n"/>
      <c r="F2067" s="125" t="n"/>
      <c r="G2067" s="123" t="n"/>
      <c r="H2067" s="123" t="n"/>
      <c r="I2067" s="123" t="n"/>
      <c r="J2067" s="123" t="n"/>
      <c r="K2067" s="123" t="n"/>
      <c r="L2067" s="123" t="n"/>
      <c r="M2067" s="123">
        <f>IF(AND(B2067&lt;&gt;"",OR($C$4="",ISNUMBER(SEARCH($C$4,C2067&amp;" "&amp;E2067&amp;" "&amp;G2067&amp;" "&amp;H2067&amp;" "&amp;I2067&amp;" "&amp;J2067&amp;" "&amp;K2067&amp;" "&amp;L2067))),OR($C$5="Semua",$C$5="",G2067=$C$5),OR($C$6="Semua",$C$6="",H2067=$C$6,H2067="Pengeluaran "&amp;$C$6,AND($C$6="Uang Kos Mama",H2067="Pengeluaran Uang Kos")),OR($C$7="Semua",$C$7="",I2067=$C$7),OR($C$8="Semua",$C$8="",C2067=$C$8,E2067=$C$8),OR($C$9="Semua",$C$9="",D2067=$C$9),OR($C$10="",B2067&gt;=$C$10),OR($C$11="",B2067&lt;=$C$11),OR($C$12&lt;&gt;"Ya",K2067&lt;&gt;""),OR($C$13="Semua",$C$13="",L2067=$C$13)),"✓","")</f>
        <v/>
      </c>
      <c r="N2067" s="93">
        <f>N(N2066)+IF(M2067="✓",1,0)</f>
        <v/>
      </c>
      <c r="O2067" s="93">
        <f>N(O2066)+IF(AND(B2067&lt;&gt;"",B2067&gt;='Uang Riba'!$H$30,B2067&lt;='Uang Riba'!$I$30,OR(H2067="Dana riba",H2067="Pinjam uang riba",I2067="Pinjam dari uang riba",I2067="Ganti uang riba",I2067="Kelebihan ganti dikembalikan",AND(C2067="Kantong Uang Riba",G2067="Pengeluaran"))),1,0)</f>
        <v/>
      </c>
      <c r="X2067" s="93">
        <f>IF(AND(B2067&lt;&gt;"",B2067&gt;='Buku Akun'!$H$4,B2067&lt;='Buku Akun'!$H$5,OR(C2067='Buku Akun'!$C$4,AND(D2067="Pindah",E2067='Buku Akun'!$C$4))),B2067+IF(AND(I2067="Selisih bunga",DAY(B2067)=1),0,0.01)+ROW()/10000000,"")</f>
        <v/>
      </c>
    </row>
    <row r="2068" outlineLevel="1" ht="15" customHeight="1" s="94">
      <c r="A2068" s="123">
        <f>IF(B2068="","",ROW()-15)</f>
        <v/>
      </c>
      <c r="B2068" s="124" t="n"/>
      <c r="C2068" s="123" t="n"/>
      <c r="D2068" s="123" t="n"/>
      <c r="E2068" s="123" t="n"/>
      <c r="F2068" s="125" t="n"/>
      <c r="G2068" s="123" t="n"/>
      <c r="H2068" s="123" t="n"/>
      <c r="I2068" s="123" t="n"/>
      <c r="J2068" s="123" t="n"/>
      <c r="K2068" s="123" t="n"/>
      <c r="L2068" s="123" t="n"/>
      <c r="M2068" s="123">
        <f>IF(AND(B2068&lt;&gt;"",OR($C$4="",ISNUMBER(SEARCH($C$4,C2068&amp;" "&amp;E2068&amp;" "&amp;G2068&amp;" "&amp;H2068&amp;" "&amp;I2068&amp;" "&amp;J2068&amp;" "&amp;K2068&amp;" "&amp;L2068))),OR($C$5="Semua",$C$5="",G2068=$C$5),OR($C$6="Semua",$C$6="",H2068=$C$6,H2068="Pengeluaran "&amp;$C$6,AND($C$6="Uang Kos Mama",H2068="Pengeluaran Uang Kos")),OR($C$7="Semua",$C$7="",I2068=$C$7),OR($C$8="Semua",$C$8="",C2068=$C$8,E2068=$C$8),OR($C$9="Semua",$C$9="",D2068=$C$9),OR($C$10="",B2068&gt;=$C$10),OR($C$11="",B2068&lt;=$C$11),OR($C$12&lt;&gt;"Ya",K2068&lt;&gt;""),OR($C$13="Semua",$C$13="",L2068=$C$13)),"✓","")</f>
        <v/>
      </c>
      <c r="N2068" s="93">
        <f>N(N2067)+IF(M2068="✓",1,0)</f>
        <v/>
      </c>
      <c r="O2068" s="93">
        <f>N(O2067)+IF(AND(B2068&lt;&gt;"",B2068&gt;='Uang Riba'!$H$30,B2068&lt;='Uang Riba'!$I$30,OR(H2068="Dana riba",H2068="Pinjam uang riba",I2068="Pinjam dari uang riba",I2068="Ganti uang riba",I2068="Kelebihan ganti dikembalikan",AND(C2068="Kantong Uang Riba",G2068="Pengeluaran"))),1,0)</f>
        <v/>
      </c>
      <c r="X2068" s="93">
        <f>IF(AND(B2068&lt;&gt;"",B2068&gt;='Buku Akun'!$H$4,B2068&lt;='Buku Akun'!$H$5,OR(C2068='Buku Akun'!$C$4,AND(D2068="Pindah",E2068='Buku Akun'!$C$4))),B2068+IF(AND(I2068="Selisih bunga",DAY(B2068)=1),0,0.01)+ROW()/10000000,"")</f>
        <v/>
      </c>
    </row>
    <row r="2069" outlineLevel="1" ht="15" customHeight="1" s="94">
      <c r="A2069" s="123">
        <f>IF(B2069="","",ROW()-15)</f>
        <v/>
      </c>
      <c r="B2069" s="124" t="n"/>
      <c r="C2069" s="123" t="n"/>
      <c r="D2069" s="123" t="n"/>
      <c r="E2069" s="123" t="n"/>
      <c r="F2069" s="125" t="n"/>
      <c r="G2069" s="123" t="n"/>
      <c r="H2069" s="123" t="n"/>
      <c r="I2069" s="123" t="n"/>
      <c r="J2069" s="123" t="n"/>
      <c r="K2069" s="123" t="n"/>
      <c r="L2069" s="123" t="n"/>
      <c r="M2069" s="123">
        <f>IF(AND(B2069&lt;&gt;"",OR($C$4="",ISNUMBER(SEARCH($C$4,C2069&amp;" "&amp;E2069&amp;" "&amp;G2069&amp;" "&amp;H2069&amp;" "&amp;I2069&amp;" "&amp;J2069&amp;" "&amp;K2069&amp;" "&amp;L2069))),OR($C$5="Semua",$C$5="",G2069=$C$5),OR($C$6="Semua",$C$6="",H2069=$C$6,H2069="Pengeluaran "&amp;$C$6,AND($C$6="Uang Kos Mama",H2069="Pengeluaran Uang Kos")),OR($C$7="Semua",$C$7="",I2069=$C$7),OR($C$8="Semua",$C$8="",C2069=$C$8,E2069=$C$8),OR($C$9="Semua",$C$9="",D2069=$C$9),OR($C$10="",B2069&gt;=$C$10),OR($C$11="",B2069&lt;=$C$11),OR($C$12&lt;&gt;"Ya",K2069&lt;&gt;""),OR($C$13="Semua",$C$13="",L2069=$C$13)),"✓","")</f>
        <v/>
      </c>
      <c r="N2069" s="93">
        <f>N(N2068)+IF(M2069="✓",1,0)</f>
        <v/>
      </c>
      <c r="O2069" s="93">
        <f>N(O2068)+IF(AND(B2069&lt;&gt;"",B2069&gt;='Uang Riba'!$H$30,B2069&lt;='Uang Riba'!$I$30,OR(H2069="Dana riba",H2069="Pinjam uang riba",I2069="Pinjam dari uang riba",I2069="Ganti uang riba",I2069="Kelebihan ganti dikembalikan",AND(C2069="Kantong Uang Riba",G2069="Pengeluaran"))),1,0)</f>
        <v/>
      </c>
      <c r="X2069" s="93">
        <f>IF(AND(B2069&lt;&gt;"",B2069&gt;='Buku Akun'!$H$4,B2069&lt;='Buku Akun'!$H$5,OR(C2069='Buku Akun'!$C$4,AND(D2069="Pindah",E2069='Buku Akun'!$C$4))),B2069+IF(AND(I2069="Selisih bunga",DAY(B2069)=1),0,0.01)+ROW()/10000000,"")</f>
        <v/>
      </c>
    </row>
    <row r="2070" outlineLevel="1" ht="15" customHeight="1" s="94">
      <c r="A2070" s="123">
        <f>IF(B2070="","",ROW()-15)</f>
        <v/>
      </c>
      <c r="B2070" s="124" t="n"/>
      <c r="C2070" s="123" t="n"/>
      <c r="D2070" s="123" t="n"/>
      <c r="E2070" s="123" t="n"/>
      <c r="F2070" s="125" t="n"/>
      <c r="G2070" s="123" t="n"/>
      <c r="H2070" s="123" t="n"/>
      <c r="I2070" s="123" t="n"/>
      <c r="J2070" s="123" t="n"/>
      <c r="K2070" s="123" t="n"/>
      <c r="L2070" s="123" t="n"/>
      <c r="M2070" s="123">
        <f>IF(AND(B2070&lt;&gt;"",OR($C$4="",ISNUMBER(SEARCH($C$4,C2070&amp;" "&amp;E2070&amp;" "&amp;G2070&amp;" "&amp;H2070&amp;" "&amp;I2070&amp;" "&amp;J2070&amp;" "&amp;K2070&amp;" "&amp;L2070))),OR($C$5="Semua",$C$5="",G2070=$C$5),OR($C$6="Semua",$C$6="",H2070=$C$6,H2070="Pengeluaran "&amp;$C$6,AND($C$6="Uang Kos Mama",H2070="Pengeluaran Uang Kos")),OR($C$7="Semua",$C$7="",I2070=$C$7),OR($C$8="Semua",$C$8="",C2070=$C$8,E2070=$C$8),OR($C$9="Semua",$C$9="",D2070=$C$9),OR($C$10="",B2070&gt;=$C$10),OR($C$11="",B2070&lt;=$C$11),OR($C$12&lt;&gt;"Ya",K2070&lt;&gt;""),OR($C$13="Semua",$C$13="",L2070=$C$13)),"✓","")</f>
        <v/>
      </c>
      <c r="N2070" s="93">
        <f>N(N2069)+IF(M2070="✓",1,0)</f>
        <v/>
      </c>
      <c r="O2070" s="93">
        <f>N(O2069)+IF(AND(B2070&lt;&gt;"",B2070&gt;='Uang Riba'!$H$30,B2070&lt;='Uang Riba'!$I$30,OR(H2070="Dana riba",H2070="Pinjam uang riba",I2070="Pinjam dari uang riba",I2070="Ganti uang riba",I2070="Kelebihan ganti dikembalikan",AND(C2070="Kantong Uang Riba",G2070="Pengeluaran"))),1,0)</f>
        <v/>
      </c>
      <c r="X2070" s="93">
        <f>IF(AND(B2070&lt;&gt;"",B2070&gt;='Buku Akun'!$H$4,B2070&lt;='Buku Akun'!$H$5,OR(C2070='Buku Akun'!$C$4,AND(D2070="Pindah",E2070='Buku Akun'!$C$4))),B2070+IF(AND(I2070="Selisih bunga",DAY(B2070)=1),0,0.01)+ROW()/10000000,"")</f>
        <v/>
      </c>
    </row>
    <row r="2071" outlineLevel="1" ht="15" customHeight="1" s="94">
      <c r="A2071" s="123">
        <f>IF(B2071="","",ROW()-15)</f>
        <v/>
      </c>
      <c r="B2071" s="124" t="n"/>
      <c r="C2071" s="123" t="n"/>
      <c r="D2071" s="123" t="n"/>
      <c r="E2071" s="123" t="n"/>
      <c r="F2071" s="125" t="n"/>
      <c r="G2071" s="123" t="n"/>
      <c r="H2071" s="123" t="n"/>
      <c r="I2071" s="123" t="n"/>
      <c r="J2071" s="123" t="n"/>
      <c r="K2071" s="123" t="n"/>
      <c r="L2071" s="123" t="n"/>
      <c r="M2071" s="123">
        <f>IF(AND(B2071&lt;&gt;"",OR($C$4="",ISNUMBER(SEARCH($C$4,C2071&amp;" "&amp;E2071&amp;" "&amp;G2071&amp;" "&amp;H2071&amp;" "&amp;I2071&amp;" "&amp;J2071&amp;" "&amp;K2071&amp;" "&amp;L2071))),OR($C$5="Semua",$C$5="",G2071=$C$5),OR($C$6="Semua",$C$6="",H2071=$C$6,H2071="Pengeluaran "&amp;$C$6,AND($C$6="Uang Kos Mama",H2071="Pengeluaran Uang Kos")),OR($C$7="Semua",$C$7="",I2071=$C$7),OR($C$8="Semua",$C$8="",C2071=$C$8,E2071=$C$8),OR($C$9="Semua",$C$9="",D2071=$C$9),OR($C$10="",B2071&gt;=$C$10),OR($C$11="",B2071&lt;=$C$11),OR($C$12&lt;&gt;"Ya",K2071&lt;&gt;""),OR($C$13="Semua",$C$13="",L2071=$C$13)),"✓","")</f>
        <v/>
      </c>
      <c r="N2071" s="93">
        <f>N(N2070)+IF(M2071="✓",1,0)</f>
        <v/>
      </c>
      <c r="O2071" s="93">
        <f>N(O2070)+IF(AND(B2071&lt;&gt;"",B2071&gt;='Uang Riba'!$H$30,B2071&lt;='Uang Riba'!$I$30,OR(H2071="Dana riba",H2071="Pinjam uang riba",I2071="Pinjam dari uang riba",I2071="Ganti uang riba",I2071="Kelebihan ganti dikembalikan",AND(C2071="Kantong Uang Riba",G2071="Pengeluaran"))),1,0)</f>
        <v/>
      </c>
      <c r="X2071" s="93">
        <f>IF(AND(B2071&lt;&gt;"",B2071&gt;='Buku Akun'!$H$4,B2071&lt;='Buku Akun'!$H$5,OR(C2071='Buku Akun'!$C$4,AND(D2071="Pindah",E2071='Buku Akun'!$C$4))),B2071+IF(AND(I2071="Selisih bunga",DAY(B2071)=1),0,0.01)+ROW()/10000000,"")</f>
        <v/>
      </c>
    </row>
    <row r="2072" outlineLevel="1" ht="15" customHeight="1" s="94">
      <c r="A2072" s="123">
        <f>IF(B2072="","",ROW()-15)</f>
        <v/>
      </c>
      <c r="B2072" s="124" t="n"/>
      <c r="C2072" s="123" t="n"/>
      <c r="D2072" s="123" t="n"/>
      <c r="E2072" s="123" t="n"/>
      <c r="F2072" s="125" t="n"/>
      <c r="G2072" s="123" t="n"/>
      <c r="H2072" s="123" t="n"/>
      <c r="I2072" s="123" t="n"/>
      <c r="J2072" s="123" t="n"/>
      <c r="K2072" s="123" t="n"/>
      <c r="L2072" s="123" t="n"/>
      <c r="M2072" s="123">
        <f>IF(AND(B2072&lt;&gt;"",OR($C$4="",ISNUMBER(SEARCH($C$4,C2072&amp;" "&amp;E2072&amp;" "&amp;G2072&amp;" "&amp;H2072&amp;" "&amp;I2072&amp;" "&amp;J2072&amp;" "&amp;K2072&amp;" "&amp;L2072))),OR($C$5="Semua",$C$5="",G2072=$C$5),OR($C$6="Semua",$C$6="",H2072=$C$6,H2072="Pengeluaran "&amp;$C$6,AND($C$6="Uang Kos Mama",H2072="Pengeluaran Uang Kos")),OR($C$7="Semua",$C$7="",I2072=$C$7),OR($C$8="Semua",$C$8="",C2072=$C$8,E2072=$C$8),OR($C$9="Semua",$C$9="",D2072=$C$9),OR($C$10="",B2072&gt;=$C$10),OR($C$11="",B2072&lt;=$C$11),OR($C$12&lt;&gt;"Ya",K2072&lt;&gt;""),OR($C$13="Semua",$C$13="",L2072=$C$13)),"✓","")</f>
        <v/>
      </c>
      <c r="N2072" s="93">
        <f>N(N2071)+IF(M2072="✓",1,0)</f>
        <v/>
      </c>
      <c r="O2072" s="93">
        <f>N(O2071)+IF(AND(B2072&lt;&gt;"",B2072&gt;='Uang Riba'!$H$30,B2072&lt;='Uang Riba'!$I$30,OR(H2072="Dana riba",H2072="Pinjam uang riba",I2072="Pinjam dari uang riba",I2072="Ganti uang riba",I2072="Kelebihan ganti dikembalikan",AND(C2072="Kantong Uang Riba",G2072="Pengeluaran"))),1,0)</f>
        <v/>
      </c>
      <c r="X2072" s="93">
        <f>IF(AND(B2072&lt;&gt;"",B2072&gt;='Buku Akun'!$H$4,B2072&lt;='Buku Akun'!$H$5,OR(C2072='Buku Akun'!$C$4,AND(D2072="Pindah",E2072='Buku Akun'!$C$4))),B2072+IF(AND(I2072="Selisih bunga",DAY(B2072)=1),0,0.01)+ROW()/10000000,"")</f>
        <v/>
      </c>
    </row>
    <row r="2073" outlineLevel="1" ht="15" customHeight="1" s="94">
      <c r="A2073" s="123">
        <f>IF(B2073="","",ROW()-15)</f>
        <v/>
      </c>
      <c r="B2073" s="124" t="n"/>
      <c r="C2073" s="123" t="n"/>
      <c r="D2073" s="123" t="n"/>
      <c r="E2073" s="123" t="n"/>
      <c r="F2073" s="125" t="n"/>
      <c r="G2073" s="123" t="n"/>
      <c r="H2073" s="123" t="n"/>
      <c r="I2073" s="123" t="n"/>
      <c r="J2073" s="123" t="n"/>
      <c r="K2073" s="123" t="n"/>
      <c r="L2073" s="123" t="n"/>
      <c r="M2073" s="123">
        <f>IF(AND(B2073&lt;&gt;"",OR($C$4="",ISNUMBER(SEARCH($C$4,C2073&amp;" "&amp;E2073&amp;" "&amp;G2073&amp;" "&amp;H2073&amp;" "&amp;I2073&amp;" "&amp;J2073&amp;" "&amp;K2073&amp;" "&amp;L2073))),OR($C$5="Semua",$C$5="",G2073=$C$5),OR($C$6="Semua",$C$6="",H2073=$C$6,H2073="Pengeluaran "&amp;$C$6,AND($C$6="Uang Kos Mama",H2073="Pengeluaran Uang Kos")),OR($C$7="Semua",$C$7="",I2073=$C$7),OR($C$8="Semua",$C$8="",C2073=$C$8,E2073=$C$8),OR($C$9="Semua",$C$9="",D2073=$C$9),OR($C$10="",B2073&gt;=$C$10),OR($C$11="",B2073&lt;=$C$11),OR($C$12&lt;&gt;"Ya",K2073&lt;&gt;""),OR($C$13="Semua",$C$13="",L2073=$C$13)),"✓","")</f>
        <v/>
      </c>
      <c r="N2073" s="93">
        <f>N(N2072)+IF(M2073="✓",1,0)</f>
        <v/>
      </c>
      <c r="O2073" s="93">
        <f>N(O2072)+IF(AND(B2073&lt;&gt;"",B2073&gt;='Uang Riba'!$H$30,B2073&lt;='Uang Riba'!$I$30,OR(H2073="Dana riba",H2073="Pinjam uang riba",I2073="Pinjam dari uang riba",I2073="Ganti uang riba",I2073="Kelebihan ganti dikembalikan",AND(C2073="Kantong Uang Riba",G2073="Pengeluaran"))),1,0)</f>
        <v/>
      </c>
      <c r="X2073" s="93">
        <f>IF(AND(B2073&lt;&gt;"",B2073&gt;='Buku Akun'!$H$4,B2073&lt;='Buku Akun'!$H$5,OR(C2073='Buku Akun'!$C$4,AND(D2073="Pindah",E2073='Buku Akun'!$C$4))),B2073+IF(AND(I2073="Selisih bunga",DAY(B2073)=1),0,0.01)+ROW()/10000000,"")</f>
        <v/>
      </c>
    </row>
    <row r="2074" outlineLevel="1" ht="15" customHeight="1" s="94">
      <c r="A2074" s="123">
        <f>IF(B2074="","",ROW()-15)</f>
        <v/>
      </c>
      <c r="B2074" s="124" t="n"/>
      <c r="C2074" s="123" t="n"/>
      <c r="D2074" s="123" t="n"/>
      <c r="E2074" s="123" t="n"/>
      <c r="F2074" s="125" t="n"/>
      <c r="G2074" s="123" t="n"/>
      <c r="H2074" s="123" t="n"/>
      <c r="I2074" s="123" t="n"/>
      <c r="J2074" s="123" t="n"/>
      <c r="K2074" s="123" t="n"/>
      <c r="L2074" s="123" t="n"/>
      <c r="M2074" s="123">
        <f>IF(AND(B2074&lt;&gt;"",OR($C$4="",ISNUMBER(SEARCH($C$4,C2074&amp;" "&amp;E2074&amp;" "&amp;G2074&amp;" "&amp;H2074&amp;" "&amp;I2074&amp;" "&amp;J2074&amp;" "&amp;K2074&amp;" "&amp;L2074))),OR($C$5="Semua",$C$5="",G2074=$C$5),OR($C$6="Semua",$C$6="",H2074=$C$6,H2074="Pengeluaran "&amp;$C$6,AND($C$6="Uang Kos Mama",H2074="Pengeluaran Uang Kos")),OR($C$7="Semua",$C$7="",I2074=$C$7),OR($C$8="Semua",$C$8="",C2074=$C$8,E2074=$C$8),OR($C$9="Semua",$C$9="",D2074=$C$9),OR($C$10="",B2074&gt;=$C$10),OR($C$11="",B2074&lt;=$C$11),OR($C$12&lt;&gt;"Ya",K2074&lt;&gt;""),OR($C$13="Semua",$C$13="",L2074=$C$13)),"✓","")</f>
        <v/>
      </c>
      <c r="N2074" s="93">
        <f>N(N2073)+IF(M2074="✓",1,0)</f>
        <v/>
      </c>
      <c r="O2074" s="93">
        <f>N(O2073)+IF(AND(B2074&lt;&gt;"",B2074&gt;='Uang Riba'!$H$30,B2074&lt;='Uang Riba'!$I$30,OR(H2074="Dana riba",H2074="Pinjam uang riba",I2074="Pinjam dari uang riba",I2074="Ganti uang riba",I2074="Kelebihan ganti dikembalikan",AND(C2074="Kantong Uang Riba",G2074="Pengeluaran"))),1,0)</f>
        <v/>
      </c>
      <c r="X2074" s="93">
        <f>IF(AND(B2074&lt;&gt;"",B2074&gt;='Buku Akun'!$H$4,B2074&lt;='Buku Akun'!$H$5,OR(C2074='Buku Akun'!$C$4,AND(D2074="Pindah",E2074='Buku Akun'!$C$4))),B2074+IF(AND(I2074="Selisih bunga",DAY(B2074)=1),0,0.01)+ROW()/10000000,"")</f>
        <v/>
      </c>
    </row>
    <row r="2075" outlineLevel="1" ht="15" customHeight="1" s="94">
      <c r="A2075" s="123">
        <f>IF(B2075="","",ROW()-15)</f>
        <v/>
      </c>
      <c r="B2075" s="124" t="n"/>
      <c r="C2075" s="123" t="n"/>
      <c r="D2075" s="123" t="n"/>
      <c r="E2075" s="123" t="n"/>
      <c r="F2075" s="125" t="n"/>
      <c r="G2075" s="123" t="n"/>
      <c r="H2075" s="123" t="n"/>
      <c r="I2075" s="123" t="n"/>
      <c r="J2075" s="123" t="n"/>
      <c r="K2075" s="123" t="n"/>
      <c r="L2075" s="123" t="n"/>
      <c r="M2075" s="123">
        <f>IF(AND(B2075&lt;&gt;"",OR($C$4="",ISNUMBER(SEARCH($C$4,C2075&amp;" "&amp;E2075&amp;" "&amp;G2075&amp;" "&amp;H2075&amp;" "&amp;I2075&amp;" "&amp;J2075&amp;" "&amp;K2075&amp;" "&amp;L2075))),OR($C$5="Semua",$C$5="",G2075=$C$5),OR($C$6="Semua",$C$6="",H2075=$C$6,H2075="Pengeluaran "&amp;$C$6,AND($C$6="Uang Kos Mama",H2075="Pengeluaran Uang Kos")),OR($C$7="Semua",$C$7="",I2075=$C$7),OR($C$8="Semua",$C$8="",C2075=$C$8,E2075=$C$8),OR($C$9="Semua",$C$9="",D2075=$C$9),OR($C$10="",B2075&gt;=$C$10),OR($C$11="",B2075&lt;=$C$11),OR($C$12&lt;&gt;"Ya",K2075&lt;&gt;""),OR($C$13="Semua",$C$13="",L2075=$C$13)),"✓","")</f>
        <v/>
      </c>
      <c r="N2075" s="93">
        <f>N(N2074)+IF(M2075="✓",1,0)</f>
        <v/>
      </c>
      <c r="O2075" s="93">
        <f>N(O2074)+IF(AND(B2075&lt;&gt;"",B2075&gt;='Uang Riba'!$H$30,B2075&lt;='Uang Riba'!$I$30,OR(H2075="Dana riba",H2075="Pinjam uang riba",I2075="Pinjam dari uang riba",I2075="Ganti uang riba",I2075="Kelebihan ganti dikembalikan",AND(C2075="Kantong Uang Riba",G2075="Pengeluaran"))),1,0)</f>
        <v/>
      </c>
      <c r="X2075" s="93">
        <f>IF(AND(B2075&lt;&gt;"",B2075&gt;='Buku Akun'!$H$4,B2075&lt;='Buku Akun'!$H$5,OR(C2075='Buku Akun'!$C$4,AND(D2075="Pindah",E2075='Buku Akun'!$C$4))),B2075+IF(AND(I2075="Selisih bunga",DAY(B2075)=1),0,0.01)+ROW()/10000000,"")</f>
        <v/>
      </c>
    </row>
    <row r="2076" outlineLevel="1" ht="15" customHeight="1" s="94">
      <c r="A2076" s="123">
        <f>IF(B2076="","",ROW()-15)</f>
        <v/>
      </c>
      <c r="B2076" s="124" t="n"/>
      <c r="C2076" s="123" t="n"/>
      <c r="D2076" s="123" t="n"/>
      <c r="E2076" s="123" t="n"/>
      <c r="F2076" s="125" t="n"/>
      <c r="G2076" s="123" t="n"/>
      <c r="H2076" s="123" t="n"/>
      <c r="I2076" s="123" t="n"/>
      <c r="J2076" s="123" t="n"/>
      <c r="K2076" s="123" t="n"/>
      <c r="L2076" s="123" t="n"/>
      <c r="M2076" s="123">
        <f>IF(AND(B2076&lt;&gt;"",OR($C$4="",ISNUMBER(SEARCH($C$4,C2076&amp;" "&amp;E2076&amp;" "&amp;G2076&amp;" "&amp;H2076&amp;" "&amp;I2076&amp;" "&amp;J2076&amp;" "&amp;K2076&amp;" "&amp;L2076))),OR($C$5="Semua",$C$5="",G2076=$C$5),OR($C$6="Semua",$C$6="",H2076=$C$6,H2076="Pengeluaran "&amp;$C$6,AND($C$6="Uang Kos Mama",H2076="Pengeluaran Uang Kos")),OR($C$7="Semua",$C$7="",I2076=$C$7),OR($C$8="Semua",$C$8="",C2076=$C$8,E2076=$C$8),OR($C$9="Semua",$C$9="",D2076=$C$9),OR($C$10="",B2076&gt;=$C$10),OR($C$11="",B2076&lt;=$C$11),OR($C$12&lt;&gt;"Ya",K2076&lt;&gt;""),OR($C$13="Semua",$C$13="",L2076=$C$13)),"✓","")</f>
        <v/>
      </c>
      <c r="N2076" s="93">
        <f>N(N2075)+IF(M2076="✓",1,0)</f>
        <v/>
      </c>
      <c r="O2076" s="93">
        <f>N(O2075)+IF(AND(B2076&lt;&gt;"",B2076&gt;='Uang Riba'!$H$30,B2076&lt;='Uang Riba'!$I$30,OR(H2076="Dana riba",H2076="Pinjam uang riba",I2076="Pinjam dari uang riba",I2076="Ganti uang riba",I2076="Kelebihan ganti dikembalikan",AND(C2076="Kantong Uang Riba",G2076="Pengeluaran"))),1,0)</f>
        <v/>
      </c>
      <c r="X2076" s="93">
        <f>IF(AND(B2076&lt;&gt;"",B2076&gt;='Buku Akun'!$H$4,B2076&lt;='Buku Akun'!$H$5,OR(C2076='Buku Akun'!$C$4,AND(D2076="Pindah",E2076='Buku Akun'!$C$4))),B2076+IF(AND(I2076="Selisih bunga",DAY(B2076)=1),0,0.01)+ROW()/10000000,"")</f>
        <v/>
      </c>
    </row>
    <row r="2077" outlineLevel="1" ht="15" customHeight="1" s="94">
      <c r="A2077" s="123">
        <f>IF(B2077="","",ROW()-15)</f>
        <v/>
      </c>
      <c r="B2077" s="124" t="n"/>
      <c r="C2077" s="123" t="n"/>
      <c r="D2077" s="123" t="n"/>
      <c r="E2077" s="123" t="n"/>
      <c r="F2077" s="125" t="n"/>
      <c r="G2077" s="123" t="n"/>
      <c r="H2077" s="123" t="n"/>
      <c r="I2077" s="123" t="n"/>
      <c r="J2077" s="123" t="n"/>
      <c r="K2077" s="123" t="n"/>
      <c r="L2077" s="123" t="n"/>
      <c r="M2077" s="123">
        <f>IF(AND(B2077&lt;&gt;"",OR($C$4="",ISNUMBER(SEARCH($C$4,C2077&amp;" "&amp;E2077&amp;" "&amp;G2077&amp;" "&amp;H2077&amp;" "&amp;I2077&amp;" "&amp;J2077&amp;" "&amp;K2077&amp;" "&amp;L2077))),OR($C$5="Semua",$C$5="",G2077=$C$5),OR($C$6="Semua",$C$6="",H2077=$C$6,H2077="Pengeluaran "&amp;$C$6,AND($C$6="Uang Kos Mama",H2077="Pengeluaran Uang Kos")),OR($C$7="Semua",$C$7="",I2077=$C$7),OR($C$8="Semua",$C$8="",C2077=$C$8,E2077=$C$8),OR($C$9="Semua",$C$9="",D2077=$C$9),OR($C$10="",B2077&gt;=$C$10),OR($C$11="",B2077&lt;=$C$11),OR($C$12&lt;&gt;"Ya",K2077&lt;&gt;""),OR($C$13="Semua",$C$13="",L2077=$C$13)),"✓","")</f>
        <v/>
      </c>
      <c r="N2077" s="93">
        <f>N(N2076)+IF(M2077="✓",1,0)</f>
        <v/>
      </c>
      <c r="O2077" s="93">
        <f>N(O2076)+IF(AND(B2077&lt;&gt;"",B2077&gt;='Uang Riba'!$H$30,B2077&lt;='Uang Riba'!$I$30,OR(H2077="Dana riba",H2077="Pinjam uang riba",I2077="Pinjam dari uang riba",I2077="Ganti uang riba",I2077="Kelebihan ganti dikembalikan",AND(C2077="Kantong Uang Riba",G2077="Pengeluaran"))),1,0)</f>
        <v/>
      </c>
      <c r="X2077" s="93">
        <f>IF(AND(B2077&lt;&gt;"",B2077&gt;='Buku Akun'!$H$4,B2077&lt;='Buku Akun'!$H$5,OR(C2077='Buku Akun'!$C$4,AND(D2077="Pindah",E2077='Buku Akun'!$C$4))),B2077+IF(AND(I2077="Selisih bunga",DAY(B2077)=1),0,0.01)+ROW()/10000000,"")</f>
        <v/>
      </c>
    </row>
    <row r="2078" outlineLevel="1" ht="15" customHeight="1" s="94">
      <c r="A2078" s="123">
        <f>IF(B2078="","",ROW()-15)</f>
        <v/>
      </c>
      <c r="B2078" s="124" t="n"/>
      <c r="C2078" s="123" t="n"/>
      <c r="D2078" s="123" t="n"/>
      <c r="E2078" s="123" t="n"/>
      <c r="F2078" s="125" t="n"/>
      <c r="G2078" s="123" t="n"/>
      <c r="H2078" s="123" t="n"/>
      <c r="I2078" s="123" t="n"/>
      <c r="J2078" s="123" t="n"/>
      <c r="K2078" s="123" t="n"/>
      <c r="L2078" s="123" t="n"/>
      <c r="M2078" s="123">
        <f>IF(AND(B2078&lt;&gt;"",OR($C$4="",ISNUMBER(SEARCH($C$4,C2078&amp;" "&amp;E2078&amp;" "&amp;G2078&amp;" "&amp;H2078&amp;" "&amp;I2078&amp;" "&amp;J2078&amp;" "&amp;K2078&amp;" "&amp;L2078))),OR($C$5="Semua",$C$5="",G2078=$C$5),OR($C$6="Semua",$C$6="",H2078=$C$6,H2078="Pengeluaran "&amp;$C$6,AND($C$6="Uang Kos Mama",H2078="Pengeluaran Uang Kos")),OR($C$7="Semua",$C$7="",I2078=$C$7),OR($C$8="Semua",$C$8="",C2078=$C$8,E2078=$C$8),OR($C$9="Semua",$C$9="",D2078=$C$9),OR($C$10="",B2078&gt;=$C$10),OR($C$11="",B2078&lt;=$C$11),OR($C$12&lt;&gt;"Ya",K2078&lt;&gt;""),OR($C$13="Semua",$C$13="",L2078=$C$13)),"✓","")</f>
        <v/>
      </c>
      <c r="N2078" s="93">
        <f>N(N2077)+IF(M2078="✓",1,0)</f>
        <v/>
      </c>
      <c r="O2078" s="93">
        <f>N(O2077)+IF(AND(B2078&lt;&gt;"",B2078&gt;='Uang Riba'!$H$30,B2078&lt;='Uang Riba'!$I$30,OR(H2078="Dana riba",H2078="Pinjam uang riba",I2078="Pinjam dari uang riba",I2078="Ganti uang riba",I2078="Kelebihan ganti dikembalikan",AND(C2078="Kantong Uang Riba",G2078="Pengeluaran"))),1,0)</f>
        <v/>
      </c>
      <c r="X2078" s="93">
        <f>IF(AND(B2078&lt;&gt;"",B2078&gt;='Buku Akun'!$H$4,B2078&lt;='Buku Akun'!$H$5,OR(C2078='Buku Akun'!$C$4,AND(D2078="Pindah",E2078='Buku Akun'!$C$4))),B2078+IF(AND(I2078="Selisih bunga",DAY(B2078)=1),0,0.01)+ROW()/10000000,"")</f>
        <v/>
      </c>
    </row>
    <row r="2079" outlineLevel="1" ht="15" customHeight="1" s="94">
      <c r="A2079" s="123">
        <f>IF(B2079="","",ROW()-15)</f>
        <v/>
      </c>
      <c r="B2079" s="124" t="n"/>
      <c r="C2079" s="123" t="n"/>
      <c r="D2079" s="123" t="n"/>
      <c r="E2079" s="123" t="n"/>
      <c r="F2079" s="125" t="n"/>
      <c r="G2079" s="123" t="n"/>
      <c r="H2079" s="123" t="n"/>
      <c r="I2079" s="123" t="n"/>
      <c r="J2079" s="123" t="n"/>
      <c r="K2079" s="123" t="n"/>
      <c r="L2079" s="123" t="n"/>
      <c r="M2079" s="123">
        <f>IF(AND(B2079&lt;&gt;"",OR($C$4="",ISNUMBER(SEARCH($C$4,C2079&amp;" "&amp;E2079&amp;" "&amp;G2079&amp;" "&amp;H2079&amp;" "&amp;I2079&amp;" "&amp;J2079&amp;" "&amp;K2079&amp;" "&amp;L2079))),OR($C$5="Semua",$C$5="",G2079=$C$5),OR($C$6="Semua",$C$6="",H2079=$C$6,H2079="Pengeluaran "&amp;$C$6,AND($C$6="Uang Kos Mama",H2079="Pengeluaran Uang Kos")),OR($C$7="Semua",$C$7="",I2079=$C$7),OR($C$8="Semua",$C$8="",C2079=$C$8,E2079=$C$8),OR($C$9="Semua",$C$9="",D2079=$C$9),OR($C$10="",B2079&gt;=$C$10),OR($C$11="",B2079&lt;=$C$11),OR($C$12&lt;&gt;"Ya",K2079&lt;&gt;""),OR($C$13="Semua",$C$13="",L2079=$C$13)),"✓","")</f>
        <v/>
      </c>
      <c r="N2079" s="93">
        <f>N(N2078)+IF(M2079="✓",1,0)</f>
        <v/>
      </c>
      <c r="O2079" s="93">
        <f>N(O2078)+IF(AND(B2079&lt;&gt;"",B2079&gt;='Uang Riba'!$H$30,B2079&lt;='Uang Riba'!$I$30,OR(H2079="Dana riba",H2079="Pinjam uang riba",I2079="Pinjam dari uang riba",I2079="Ganti uang riba",I2079="Kelebihan ganti dikembalikan",AND(C2079="Kantong Uang Riba",G2079="Pengeluaran"))),1,0)</f>
        <v/>
      </c>
      <c r="X2079" s="93">
        <f>IF(AND(B2079&lt;&gt;"",B2079&gt;='Buku Akun'!$H$4,B2079&lt;='Buku Akun'!$H$5,OR(C2079='Buku Akun'!$C$4,AND(D2079="Pindah",E2079='Buku Akun'!$C$4))),B2079+IF(AND(I2079="Selisih bunga",DAY(B2079)=1),0,0.01)+ROW()/10000000,"")</f>
        <v/>
      </c>
    </row>
    <row r="2080" outlineLevel="1" ht="15" customHeight="1" s="94">
      <c r="A2080" s="123">
        <f>IF(B2080="","",ROW()-15)</f>
        <v/>
      </c>
      <c r="B2080" s="124" t="n"/>
      <c r="C2080" s="123" t="n"/>
      <c r="D2080" s="123" t="n"/>
      <c r="E2080" s="123" t="n"/>
      <c r="F2080" s="125" t="n"/>
      <c r="G2080" s="123" t="n"/>
      <c r="H2080" s="123" t="n"/>
      <c r="I2080" s="123" t="n"/>
      <c r="J2080" s="123" t="n"/>
      <c r="K2080" s="123" t="n"/>
      <c r="L2080" s="123" t="n"/>
      <c r="M2080" s="123">
        <f>IF(AND(B2080&lt;&gt;"",OR($C$4="",ISNUMBER(SEARCH($C$4,C2080&amp;" "&amp;E2080&amp;" "&amp;G2080&amp;" "&amp;H2080&amp;" "&amp;I2080&amp;" "&amp;J2080&amp;" "&amp;K2080&amp;" "&amp;L2080))),OR($C$5="Semua",$C$5="",G2080=$C$5),OR($C$6="Semua",$C$6="",H2080=$C$6,H2080="Pengeluaran "&amp;$C$6,AND($C$6="Uang Kos Mama",H2080="Pengeluaran Uang Kos")),OR($C$7="Semua",$C$7="",I2080=$C$7),OR($C$8="Semua",$C$8="",C2080=$C$8,E2080=$C$8),OR($C$9="Semua",$C$9="",D2080=$C$9),OR($C$10="",B2080&gt;=$C$10),OR($C$11="",B2080&lt;=$C$11),OR($C$12&lt;&gt;"Ya",K2080&lt;&gt;""),OR($C$13="Semua",$C$13="",L2080=$C$13)),"✓","")</f>
        <v/>
      </c>
      <c r="N2080" s="93">
        <f>N(N2079)+IF(M2080="✓",1,0)</f>
        <v/>
      </c>
      <c r="O2080" s="93">
        <f>N(O2079)+IF(AND(B2080&lt;&gt;"",B2080&gt;='Uang Riba'!$H$30,B2080&lt;='Uang Riba'!$I$30,OR(H2080="Dana riba",H2080="Pinjam uang riba",I2080="Pinjam dari uang riba",I2080="Ganti uang riba",I2080="Kelebihan ganti dikembalikan",AND(C2080="Kantong Uang Riba",G2080="Pengeluaran"))),1,0)</f>
        <v/>
      </c>
      <c r="X2080" s="93">
        <f>IF(AND(B2080&lt;&gt;"",B2080&gt;='Buku Akun'!$H$4,B2080&lt;='Buku Akun'!$H$5,OR(C2080='Buku Akun'!$C$4,AND(D2080="Pindah",E2080='Buku Akun'!$C$4))),B2080+IF(AND(I2080="Selisih bunga",DAY(B2080)=1),0,0.01)+ROW()/10000000,"")</f>
        <v/>
      </c>
    </row>
    <row r="2081" outlineLevel="1" ht="15" customHeight="1" s="94">
      <c r="A2081" s="123">
        <f>IF(B2081="","",ROW()-15)</f>
        <v/>
      </c>
      <c r="B2081" s="124" t="n"/>
      <c r="C2081" s="123" t="n"/>
      <c r="D2081" s="123" t="n"/>
      <c r="E2081" s="123" t="n"/>
      <c r="F2081" s="125" t="n"/>
      <c r="G2081" s="123" t="n"/>
      <c r="H2081" s="123" t="n"/>
      <c r="I2081" s="123" t="n"/>
      <c r="J2081" s="123" t="n"/>
      <c r="K2081" s="123" t="n"/>
      <c r="L2081" s="123" t="n"/>
      <c r="M2081" s="123">
        <f>IF(AND(B2081&lt;&gt;"",OR($C$4="",ISNUMBER(SEARCH($C$4,C2081&amp;" "&amp;E2081&amp;" "&amp;G2081&amp;" "&amp;H2081&amp;" "&amp;I2081&amp;" "&amp;J2081&amp;" "&amp;K2081&amp;" "&amp;L2081))),OR($C$5="Semua",$C$5="",G2081=$C$5),OR($C$6="Semua",$C$6="",H2081=$C$6,H2081="Pengeluaran "&amp;$C$6,AND($C$6="Uang Kos Mama",H2081="Pengeluaran Uang Kos")),OR($C$7="Semua",$C$7="",I2081=$C$7),OR($C$8="Semua",$C$8="",C2081=$C$8,E2081=$C$8),OR($C$9="Semua",$C$9="",D2081=$C$9),OR($C$10="",B2081&gt;=$C$10),OR($C$11="",B2081&lt;=$C$11),OR($C$12&lt;&gt;"Ya",K2081&lt;&gt;""),OR($C$13="Semua",$C$13="",L2081=$C$13)),"✓","")</f>
        <v/>
      </c>
      <c r="N2081" s="93">
        <f>N(N2080)+IF(M2081="✓",1,0)</f>
        <v/>
      </c>
      <c r="O2081" s="93">
        <f>N(O2080)+IF(AND(B2081&lt;&gt;"",B2081&gt;='Uang Riba'!$H$30,B2081&lt;='Uang Riba'!$I$30,OR(H2081="Dana riba",H2081="Pinjam uang riba",I2081="Pinjam dari uang riba",I2081="Ganti uang riba",I2081="Kelebihan ganti dikembalikan",AND(C2081="Kantong Uang Riba",G2081="Pengeluaran"))),1,0)</f>
        <v/>
      </c>
      <c r="X2081" s="93">
        <f>IF(AND(B2081&lt;&gt;"",B2081&gt;='Buku Akun'!$H$4,B2081&lt;='Buku Akun'!$H$5,OR(C2081='Buku Akun'!$C$4,AND(D2081="Pindah",E2081='Buku Akun'!$C$4))),B2081+IF(AND(I2081="Selisih bunga",DAY(B2081)=1),0,0.01)+ROW()/10000000,"")</f>
        <v/>
      </c>
    </row>
    <row r="2082" outlineLevel="1" ht="15" customHeight="1" s="94">
      <c r="A2082" s="123">
        <f>IF(B2082="","",ROW()-15)</f>
        <v/>
      </c>
      <c r="B2082" s="124" t="n"/>
      <c r="C2082" s="123" t="n"/>
      <c r="D2082" s="123" t="n"/>
      <c r="E2082" s="123" t="n"/>
      <c r="F2082" s="125" t="n"/>
      <c r="G2082" s="123" t="n"/>
      <c r="H2082" s="123" t="n"/>
      <c r="I2082" s="123" t="n"/>
      <c r="J2082" s="123" t="n"/>
      <c r="K2082" s="123" t="n"/>
      <c r="L2082" s="123" t="n"/>
      <c r="M2082" s="123">
        <f>IF(AND(B2082&lt;&gt;"",OR($C$4="",ISNUMBER(SEARCH($C$4,C2082&amp;" "&amp;E2082&amp;" "&amp;G2082&amp;" "&amp;H2082&amp;" "&amp;I2082&amp;" "&amp;J2082&amp;" "&amp;K2082&amp;" "&amp;L2082))),OR($C$5="Semua",$C$5="",G2082=$C$5),OR($C$6="Semua",$C$6="",H2082=$C$6,H2082="Pengeluaran "&amp;$C$6,AND($C$6="Uang Kos Mama",H2082="Pengeluaran Uang Kos")),OR($C$7="Semua",$C$7="",I2082=$C$7),OR($C$8="Semua",$C$8="",C2082=$C$8,E2082=$C$8),OR($C$9="Semua",$C$9="",D2082=$C$9),OR($C$10="",B2082&gt;=$C$10),OR($C$11="",B2082&lt;=$C$11),OR($C$12&lt;&gt;"Ya",K2082&lt;&gt;""),OR($C$13="Semua",$C$13="",L2082=$C$13)),"✓","")</f>
        <v/>
      </c>
      <c r="N2082" s="93">
        <f>N(N2081)+IF(M2082="✓",1,0)</f>
        <v/>
      </c>
      <c r="O2082" s="93">
        <f>N(O2081)+IF(AND(B2082&lt;&gt;"",B2082&gt;='Uang Riba'!$H$30,B2082&lt;='Uang Riba'!$I$30,OR(H2082="Dana riba",H2082="Pinjam uang riba",I2082="Pinjam dari uang riba",I2082="Ganti uang riba",I2082="Kelebihan ganti dikembalikan",AND(C2082="Kantong Uang Riba",G2082="Pengeluaran"))),1,0)</f>
        <v/>
      </c>
      <c r="X2082" s="93">
        <f>IF(AND(B2082&lt;&gt;"",B2082&gt;='Buku Akun'!$H$4,B2082&lt;='Buku Akun'!$H$5,OR(C2082='Buku Akun'!$C$4,AND(D2082="Pindah",E2082='Buku Akun'!$C$4))),B2082+IF(AND(I2082="Selisih bunga",DAY(B2082)=1),0,0.01)+ROW()/10000000,"")</f>
        <v/>
      </c>
    </row>
    <row r="2083" outlineLevel="1" ht="15" customHeight="1" s="94">
      <c r="A2083" s="123">
        <f>IF(B2083="","",ROW()-15)</f>
        <v/>
      </c>
      <c r="B2083" s="124" t="n"/>
      <c r="C2083" s="123" t="n"/>
      <c r="D2083" s="123" t="n"/>
      <c r="E2083" s="123" t="n"/>
      <c r="F2083" s="125" t="n"/>
      <c r="G2083" s="123" t="n"/>
      <c r="H2083" s="123" t="n"/>
      <c r="I2083" s="123" t="n"/>
      <c r="J2083" s="123" t="n"/>
      <c r="K2083" s="123" t="n"/>
      <c r="L2083" s="123" t="n"/>
      <c r="M2083" s="123">
        <f>IF(AND(B2083&lt;&gt;"",OR($C$4="",ISNUMBER(SEARCH($C$4,C2083&amp;" "&amp;E2083&amp;" "&amp;G2083&amp;" "&amp;H2083&amp;" "&amp;I2083&amp;" "&amp;J2083&amp;" "&amp;K2083&amp;" "&amp;L2083))),OR($C$5="Semua",$C$5="",G2083=$C$5),OR($C$6="Semua",$C$6="",H2083=$C$6,H2083="Pengeluaran "&amp;$C$6,AND($C$6="Uang Kos Mama",H2083="Pengeluaran Uang Kos")),OR($C$7="Semua",$C$7="",I2083=$C$7),OR($C$8="Semua",$C$8="",C2083=$C$8,E2083=$C$8),OR($C$9="Semua",$C$9="",D2083=$C$9),OR($C$10="",B2083&gt;=$C$10),OR($C$11="",B2083&lt;=$C$11),OR($C$12&lt;&gt;"Ya",K2083&lt;&gt;""),OR($C$13="Semua",$C$13="",L2083=$C$13)),"✓","")</f>
        <v/>
      </c>
      <c r="N2083" s="93">
        <f>N(N2082)+IF(M2083="✓",1,0)</f>
        <v/>
      </c>
      <c r="O2083" s="93">
        <f>N(O2082)+IF(AND(B2083&lt;&gt;"",B2083&gt;='Uang Riba'!$H$30,B2083&lt;='Uang Riba'!$I$30,OR(H2083="Dana riba",H2083="Pinjam uang riba",I2083="Pinjam dari uang riba",I2083="Ganti uang riba",I2083="Kelebihan ganti dikembalikan",AND(C2083="Kantong Uang Riba",G2083="Pengeluaran"))),1,0)</f>
        <v/>
      </c>
      <c r="X2083" s="93">
        <f>IF(AND(B2083&lt;&gt;"",B2083&gt;='Buku Akun'!$H$4,B2083&lt;='Buku Akun'!$H$5,OR(C2083='Buku Akun'!$C$4,AND(D2083="Pindah",E2083='Buku Akun'!$C$4))),B2083+IF(AND(I2083="Selisih bunga",DAY(B2083)=1),0,0.01)+ROW()/10000000,"")</f>
        <v/>
      </c>
    </row>
    <row r="2084" outlineLevel="1" ht="15" customHeight="1" s="94">
      <c r="A2084" s="123">
        <f>IF(B2084="","",ROW()-15)</f>
        <v/>
      </c>
      <c r="B2084" s="124" t="n"/>
      <c r="C2084" s="123" t="n"/>
      <c r="D2084" s="123" t="n"/>
      <c r="E2084" s="123" t="n"/>
      <c r="F2084" s="125" t="n"/>
      <c r="G2084" s="123" t="n"/>
      <c r="H2084" s="123" t="n"/>
      <c r="I2084" s="123" t="n"/>
      <c r="J2084" s="123" t="n"/>
      <c r="K2084" s="123" t="n"/>
      <c r="L2084" s="123" t="n"/>
      <c r="M2084" s="123">
        <f>IF(AND(B2084&lt;&gt;"",OR($C$4="",ISNUMBER(SEARCH($C$4,C2084&amp;" "&amp;E2084&amp;" "&amp;G2084&amp;" "&amp;H2084&amp;" "&amp;I2084&amp;" "&amp;J2084&amp;" "&amp;K2084&amp;" "&amp;L2084))),OR($C$5="Semua",$C$5="",G2084=$C$5),OR($C$6="Semua",$C$6="",H2084=$C$6,H2084="Pengeluaran "&amp;$C$6,AND($C$6="Uang Kos Mama",H2084="Pengeluaran Uang Kos")),OR($C$7="Semua",$C$7="",I2084=$C$7),OR($C$8="Semua",$C$8="",C2084=$C$8,E2084=$C$8),OR($C$9="Semua",$C$9="",D2084=$C$9),OR($C$10="",B2084&gt;=$C$10),OR($C$11="",B2084&lt;=$C$11),OR($C$12&lt;&gt;"Ya",K2084&lt;&gt;""),OR($C$13="Semua",$C$13="",L2084=$C$13)),"✓","")</f>
        <v/>
      </c>
      <c r="N2084" s="93">
        <f>N(N2083)+IF(M2084="✓",1,0)</f>
        <v/>
      </c>
      <c r="O2084" s="93">
        <f>N(O2083)+IF(AND(B2084&lt;&gt;"",B2084&gt;='Uang Riba'!$H$30,B2084&lt;='Uang Riba'!$I$30,OR(H2084="Dana riba",H2084="Pinjam uang riba",I2084="Pinjam dari uang riba",I2084="Ganti uang riba",I2084="Kelebihan ganti dikembalikan",AND(C2084="Kantong Uang Riba",G2084="Pengeluaran"))),1,0)</f>
        <v/>
      </c>
      <c r="X2084" s="93">
        <f>IF(AND(B2084&lt;&gt;"",B2084&gt;='Buku Akun'!$H$4,B2084&lt;='Buku Akun'!$H$5,OR(C2084='Buku Akun'!$C$4,AND(D2084="Pindah",E2084='Buku Akun'!$C$4))),B2084+IF(AND(I2084="Selisih bunga",DAY(B2084)=1),0,0.01)+ROW()/10000000,"")</f>
        <v/>
      </c>
    </row>
    <row r="2085" outlineLevel="1" ht="15" customHeight="1" s="94">
      <c r="A2085" s="123">
        <f>IF(B2085="","",ROW()-15)</f>
        <v/>
      </c>
      <c r="B2085" s="124" t="n"/>
      <c r="C2085" s="123" t="n"/>
      <c r="D2085" s="123" t="n"/>
      <c r="E2085" s="123" t="n"/>
      <c r="F2085" s="125" t="n"/>
      <c r="G2085" s="123" t="n"/>
      <c r="H2085" s="123" t="n"/>
      <c r="I2085" s="123" t="n"/>
      <c r="J2085" s="123" t="n"/>
      <c r="K2085" s="123" t="n"/>
      <c r="L2085" s="123" t="n"/>
      <c r="M2085" s="123">
        <f>IF(AND(B2085&lt;&gt;"",OR($C$4="",ISNUMBER(SEARCH($C$4,C2085&amp;" "&amp;E2085&amp;" "&amp;G2085&amp;" "&amp;H2085&amp;" "&amp;I2085&amp;" "&amp;J2085&amp;" "&amp;K2085&amp;" "&amp;L2085))),OR($C$5="Semua",$C$5="",G2085=$C$5),OR($C$6="Semua",$C$6="",H2085=$C$6,H2085="Pengeluaran "&amp;$C$6,AND($C$6="Uang Kos Mama",H2085="Pengeluaran Uang Kos")),OR($C$7="Semua",$C$7="",I2085=$C$7),OR($C$8="Semua",$C$8="",C2085=$C$8,E2085=$C$8),OR($C$9="Semua",$C$9="",D2085=$C$9),OR($C$10="",B2085&gt;=$C$10),OR($C$11="",B2085&lt;=$C$11),OR($C$12&lt;&gt;"Ya",K2085&lt;&gt;""),OR($C$13="Semua",$C$13="",L2085=$C$13)),"✓","")</f>
        <v/>
      </c>
      <c r="N2085" s="93">
        <f>N(N2084)+IF(M2085="✓",1,0)</f>
        <v/>
      </c>
      <c r="O2085" s="93">
        <f>N(O2084)+IF(AND(B2085&lt;&gt;"",B2085&gt;='Uang Riba'!$H$30,B2085&lt;='Uang Riba'!$I$30,OR(H2085="Dana riba",H2085="Pinjam uang riba",I2085="Pinjam dari uang riba",I2085="Ganti uang riba",I2085="Kelebihan ganti dikembalikan",AND(C2085="Kantong Uang Riba",G2085="Pengeluaran"))),1,0)</f>
        <v/>
      </c>
      <c r="X2085" s="93">
        <f>IF(AND(B2085&lt;&gt;"",B2085&gt;='Buku Akun'!$H$4,B2085&lt;='Buku Akun'!$H$5,OR(C2085='Buku Akun'!$C$4,AND(D2085="Pindah",E2085='Buku Akun'!$C$4))),B2085+IF(AND(I2085="Selisih bunga",DAY(B2085)=1),0,0.01)+ROW()/10000000,"")</f>
        <v/>
      </c>
    </row>
    <row r="2086" outlineLevel="1" ht="15" customHeight="1" s="94">
      <c r="A2086" s="123">
        <f>IF(B2086="","",ROW()-15)</f>
        <v/>
      </c>
      <c r="B2086" s="124" t="n"/>
      <c r="C2086" s="123" t="n"/>
      <c r="D2086" s="123" t="n"/>
      <c r="E2086" s="123" t="n"/>
      <c r="F2086" s="125" t="n"/>
      <c r="G2086" s="123" t="n"/>
      <c r="H2086" s="123" t="n"/>
      <c r="I2086" s="123" t="n"/>
      <c r="J2086" s="123" t="n"/>
      <c r="K2086" s="123" t="n"/>
      <c r="L2086" s="123" t="n"/>
      <c r="M2086" s="123">
        <f>IF(AND(B2086&lt;&gt;"",OR($C$4="",ISNUMBER(SEARCH($C$4,C2086&amp;" "&amp;E2086&amp;" "&amp;G2086&amp;" "&amp;H2086&amp;" "&amp;I2086&amp;" "&amp;J2086&amp;" "&amp;K2086&amp;" "&amp;L2086))),OR($C$5="Semua",$C$5="",G2086=$C$5),OR($C$6="Semua",$C$6="",H2086=$C$6,H2086="Pengeluaran "&amp;$C$6,AND($C$6="Uang Kos Mama",H2086="Pengeluaran Uang Kos")),OR($C$7="Semua",$C$7="",I2086=$C$7),OR($C$8="Semua",$C$8="",C2086=$C$8,E2086=$C$8),OR($C$9="Semua",$C$9="",D2086=$C$9),OR($C$10="",B2086&gt;=$C$10),OR($C$11="",B2086&lt;=$C$11),OR($C$12&lt;&gt;"Ya",K2086&lt;&gt;""),OR($C$13="Semua",$C$13="",L2086=$C$13)),"✓","")</f>
        <v/>
      </c>
      <c r="N2086" s="93">
        <f>N(N2085)+IF(M2086="✓",1,0)</f>
        <v/>
      </c>
      <c r="O2086" s="93">
        <f>N(O2085)+IF(AND(B2086&lt;&gt;"",B2086&gt;='Uang Riba'!$H$30,B2086&lt;='Uang Riba'!$I$30,OR(H2086="Dana riba",H2086="Pinjam uang riba",I2086="Pinjam dari uang riba",I2086="Ganti uang riba",I2086="Kelebihan ganti dikembalikan",AND(C2086="Kantong Uang Riba",G2086="Pengeluaran"))),1,0)</f>
        <v/>
      </c>
      <c r="X2086" s="93">
        <f>IF(AND(B2086&lt;&gt;"",B2086&gt;='Buku Akun'!$H$4,B2086&lt;='Buku Akun'!$H$5,OR(C2086='Buku Akun'!$C$4,AND(D2086="Pindah",E2086='Buku Akun'!$C$4))),B2086+IF(AND(I2086="Selisih bunga",DAY(B2086)=1),0,0.01)+ROW()/10000000,"")</f>
        <v/>
      </c>
    </row>
    <row r="2087" outlineLevel="1" ht="15" customHeight="1" s="94">
      <c r="A2087" s="123">
        <f>IF(B2087="","",ROW()-15)</f>
        <v/>
      </c>
      <c r="B2087" s="124" t="n"/>
      <c r="C2087" s="123" t="n"/>
      <c r="D2087" s="123" t="n"/>
      <c r="E2087" s="123" t="n"/>
      <c r="F2087" s="125" t="n"/>
      <c r="G2087" s="123" t="n"/>
      <c r="H2087" s="123" t="n"/>
      <c r="I2087" s="123" t="n"/>
      <c r="J2087" s="123" t="n"/>
      <c r="K2087" s="123" t="n"/>
      <c r="L2087" s="123" t="n"/>
      <c r="M2087" s="123">
        <f>IF(AND(B2087&lt;&gt;"",OR($C$4="",ISNUMBER(SEARCH($C$4,C2087&amp;" "&amp;E2087&amp;" "&amp;G2087&amp;" "&amp;H2087&amp;" "&amp;I2087&amp;" "&amp;J2087&amp;" "&amp;K2087&amp;" "&amp;L2087))),OR($C$5="Semua",$C$5="",G2087=$C$5),OR($C$6="Semua",$C$6="",H2087=$C$6,H2087="Pengeluaran "&amp;$C$6,AND($C$6="Uang Kos Mama",H2087="Pengeluaran Uang Kos")),OR($C$7="Semua",$C$7="",I2087=$C$7),OR($C$8="Semua",$C$8="",C2087=$C$8,E2087=$C$8),OR($C$9="Semua",$C$9="",D2087=$C$9),OR($C$10="",B2087&gt;=$C$10),OR($C$11="",B2087&lt;=$C$11),OR($C$12&lt;&gt;"Ya",K2087&lt;&gt;""),OR($C$13="Semua",$C$13="",L2087=$C$13)),"✓","")</f>
        <v/>
      </c>
      <c r="N2087" s="93">
        <f>N(N2086)+IF(M2087="✓",1,0)</f>
        <v/>
      </c>
      <c r="O2087" s="93">
        <f>N(O2086)+IF(AND(B2087&lt;&gt;"",B2087&gt;='Uang Riba'!$H$30,B2087&lt;='Uang Riba'!$I$30,OR(H2087="Dana riba",H2087="Pinjam uang riba",I2087="Pinjam dari uang riba",I2087="Ganti uang riba",I2087="Kelebihan ganti dikembalikan",AND(C2087="Kantong Uang Riba",G2087="Pengeluaran"))),1,0)</f>
        <v/>
      </c>
      <c r="X2087" s="93">
        <f>IF(AND(B2087&lt;&gt;"",B2087&gt;='Buku Akun'!$H$4,B2087&lt;='Buku Akun'!$H$5,OR(C2087='Buku Akun'!$C$4,AND(D2087="Pindah",E2087='Buku Akun'!$C$4))),B2087+IF(AND(I2087="Selisih bunga",DAY(B2087)=1),0,0.01)+ROW()/10000000,"")</f>
        <v/>
      </c>
    </row>
    <row r="2088" outlineLevel="1" ht="15" customHeight="1" s="94">
      <c r="A2088" s="123">
        <f>IF(B2088="","",ROW()-15)</f>
        <v/>
      </c>
      <c r="B2088" s="124" t="n"/>
      <c r="C2088" s="123" t="n"/>
      <c r="D2088" s="123" t="n"/>
      <c r="E2088" s="123" t="n"/>
      <c r="F2088" s="125" t="n"/>
      <c r="G2088" s="123" t="n"/>
      <c r="H2088" s="123" t="n"/>
      <c r="I2088" s="123" t="n"/>
      <c r="J2088" s="123" t="n"/>
      <c r="K2088" s="123" t="n"/>
      <c r="L2088" s="123" t="n"/>
      <c r="M2088" s="123">
        <f>IF(AND(B2088&lt;&gt;"",OR($C$4="",ISNUMBER(SEARCH($C$4,C2088&amp;" "&amp;E2088&amp;" "&amp;G2088&amp;" "&amp;H2088&amp;" "&amp;I2088&amp;" "&amp;J2088&amp;" "&amp;K2088&amp;" "&amp;L2088))),OR($C$5="Semua",$C$5="",G2088=$C$5),OR($C$6="Semua",$C$6="",H2088=$C$6,H2088="Pengeluaran "&amp;$C$6,AND($C$6="Uang Kos Mama",H2088="Pengeluaran Uang Kos")),OR($C$7="Semua",$C$7="",I2088=$C$7),OR($C$8="Semua",$C$8="",C2088=$C$8,E2088=$C$8),OR($C$9="Semua",$C$9="",D2088=$C$9),OR($C$10="",B2088&gt;=$C$10),OR($C$11="",B2088&lt;=$C$11),OR($C$12&lt;&gt;"Ya",K2088&lt;&gt;""),OR($C$13="Semua",$C$13="",L2088=$C$13)),"✓","")</f>
        <v/>
      </c>
      <c r="N2088" s="93">
        <f>N(N2087)+IF(M2088="✓",1,0)</f>
        <v/>
      </c>
      <c r="O2088" s="93">
        <f>N(O2087)+IF(AND(B2088&lt;&gt;"",B2088&gt;='Uang Riba'!$H$30,B2088&lt;='Uang Riba'!$I$30,OR(H2088="Dana riba",H2088="Pinjam uang riba",I2088="Pinjam dari uang riba",I2088="Ganti uang riba",I2088="Kelebihan ganti dikembalikan",AND(C2088="Kantong Uang Riba",G2088="Pengeluaran"))),1,0)</f>
        <v/>
      </c>
      <c r="X2088" s="93">
        <f>IF(AND(B2088&lt;&gt;"",B2088&gt;='Buku Akun'!$H$4,B2088&lt;='Buku Akun'!$H$5,OR(C2088='Buku Akun'!$C$4,AND(D2088="Pindah",E2088='Buku Akun'!$C$4))),B2088+IF(AND(I2088="Selisih bunga",DAY(B2088)=1),0,0.01)+ROW()/10000000,"")</f>
        <v/>
      </c>
    </row>
    <row r="2089" outlineLevel="1" ht="15" customHeight="1" s="94">
      <c r="A2089" s="123">
        <f>IF(B2089="","",ROW()-15)</f>
        <v/>
      </c>
      <c r="B2089" s="124" t="n"/>
      <c r="C2089" s="123" t="n"/>
      <c r="D2089" s="123" t="n"/>
      <c r="E2089" s="123" t="n"/>
      <c r="F2089" s="125" t="n"/>
      <c r="G2089" s="123" t="n"/>
      <c r="H2089" s="123" t="n"/>
      <c r="I2089" s="123" t="n"/>
      <c r="J2089" s="123" t="n"/>
      <c r="K2089" s="123" t="n"/>
      <c r="L2089" s="123" t="n"/>
      <c r="M2089" s="123">
        <f>IF(AND(B2089&lt;&gt;"",OR($C$4="",ISNUMBER(SEARCH($C$4,C2089&amp;" "&amp;E2089&amp;" "&amp;G2089&amp;" "&amp;H2089&amp;" "&amp;I2089&amp;" "&amp;J2089&amp;" "&amp;K2089&amp;" "&amp;L2089))),OR($C$5="Semua",$C$5="",G2089=$C$5),OR($C$6="Semua",$C$6="",H2089=$C$6,H2089="Pengeluaran "&amp;$C$6,AND($C$6="Uang Kos Mama",H2089="Pengeluaran Uang Kos")),OR($C$7="Semua",$C$7="",I2089=$C$7),OR($C$8="Semua",$C$8="",C2089=$C$8,E2089=$C$8),OR($C$9="Semua",$C$9="",D2089=$C$9),OR($C$10="",B2089&gt;=$C$10),OR($C$11="",B2089&lt;=$C$11),OR($C$12&lt;&gt;"Ya",K2089&lt;&gt;""),OR($C$13="Semua",$C$13="",L2089=$C$13)),"✓","")</f>
        <v/>
      </c>
      <c r="N2089" s="93">
        <f>N(N2088)+IF(M2089="✓",1,0)</f>
        <v/>
      </c>
      <c r="O2089" s="93">
        <f>N(O2088)+IF(AND(B2089&lt;&gt;"",B2089&gt;='Uang Riba'!$H$30,B2089&lt;='Uang Riba'!$I$30,OR(H2089="Dana riba",H2089="Pinjam uang riba",I2089="Pinjam dari uang riba",I2089="Ganti uang riba",I2089="Kelebihan ganti dikembalikan",AND(C2089="Kantong Uang Riba",G2089="Pengeluaran"))),1,0)</f>
        <v/>
      </c>
      <c r="X2089" s="93">
        <f>IF(AND(B2089&lt;&gt;"",B2089&gt;='Buku Akun'!$H$4,B2089&lt;='Buku Akun'!$H$5,OR(C2089='Buku Akun'!$C$4,AND(D2089="Pindah",E2089='Buku Akun'!$C$4))),B2089+IF(AND(I2089="Selisih bunga",DAY(B2089)=1),0,0.01)+ROW()/10000000,"")</f>
        <v/>
      </c>
    </row>
    <row r="2090" outlineLevel="1" ht="15" customHeight="1" s="94">
      <c r="A2090" s="123">
        <f>IF(B2090="","",ROW()-15)</f>
        <v/>
      </c>
      <c r="B2090" s="124" t="n"/>
      <c r="C2090" s="123" t="n"/>
      <c r="D2090" s="123" t="n"/>
      <c r="E2090" s="123" t="n"/>
      <c r="F2090" s="125" t="n"/>
      <c r="G2090" s="123" t="n"/>
      <c r="H2090" s="123" t="n"/>
      <c r="I2090" s="123" t="n"/>
      <c r="J2090" s="123" t="n"/>
      <c r="K2090" s="123" t="n"/>
      <c r="L2090" s="123" t="n"/>
      <c r="M2090" s="123">
        <f>IF(AND(B2090&lt;&gt;"",OR($C$4="",ISNUMBER(SEARCH($C$4,C2090&amp;" "&amp;E2090&amp;" "&amp;G2090&amp;" "&amp;H2090&amp;" "&amp;I2090&amp;" "&amp;J2090&amp;" "&amp;K2090&amp;" "&amp;L2090))),OR($C$5="Semua",$C$5="",G2090=$C$5),OR($C$6="Semua",$C$6="",H2090=$C$6,H2090="Pengeluaran "&amp;$C$6,AND($C$6="Uang Kos Mama",H2090="Pengeluaran Uang Kos")),OR($C$7="Semua",$C$7="",I2090=$C$7),OR($C$8="Semua",$C$8="",C2090=$C$8,E2090=$C$8),OR($C$9="Semua",$C$9="",D2090=$C$9),OR($C$10="",B2090&gt;=$C$10),OR($C$11="",B2090&lt;=$C$11),OR($C$12&lt;&gt;"Ya",K2090&lt;&gt;""),OR($C$13="Semua",$C$13="",L2090=$C$13)),"✓","")</f>
        <v/>
      </c>
      <c r="N2090" s="93">
        <f>N(N2089)+IF(M2090="✓",1,0)</f>
        <v/>
      </c>
      <c r="O2090" s="93">
        <f>N(O2089)+IF(AND(B2090&lt;&gt;"",B2090&gt;='Uang Riba'!$H$30,B2090&lt;='Uang Riba'!$I$30,OR(H2090="Dana riba",H2090="Pinjam uang riba",I2090="Pinjam dari uang riba",I2090="Ganti uang riba",I2090="Kelebihan ganti dikembalikan",AND(C2090="Kantong Uang Riba",G2090="Pengeluaran"))),1,0)</f>
        <v/>
      </c>
      <c r="X2090" s="93">
        <f>IF(AND(B2090&lt;&gt;"",B2090&gt;='Buku Akun'!$H$4,B2090&lt;='Buku Akun'!$H$5,OR(C2090='Buku Akun'!$C$4,AND(D2090="Pindah",E2090='Buku Akun'!$C$4))),B2090+IF(AND(I2090="Selisih bunga",DAY(B2090)=1),0,0.01)+ROW()/10000000,"")</f>
        <v/>
      </c>
    </row>
    <row r="2091" outlineLevel="1" ht="15" customHeight="1" s="94">
      <c r="A2091" s="123">
        <f>IF(B2091="","",ROW()-15)</f>
        <v/>
      </c>
      <c r="B2091" s="124" t="n"/>
      <c r="C2091" s="123" t="n"/>
      <c r="D2091" s="123" t="n"/>
      <c r="E2091" s="123" t="n"/>
      <c r="F2091" s="125" t="n"/>
      <c r="G2091" s="123" t="n"/>
      <c r="H2091" s="123" t="n"/>
      <c r="I2091" s="123" t="n"/>
      <c r="J2091" s="123" t="n"/>
      <c r="K2091" s="123" t="n"/>
      <c r="L2091" s="123" t="n"/>
      <c r="M2091" s="123">
        <f>IF(AND(B2091&lt;&gt;"",OR($C$4="",ISNUMBER(SEARCH($C$4,C2091&amp;" "&amp;E2091&amp;" "&amp;G2091&amp;" "&amp;H2091&amp;" "&amp;I2091&amp;" "&amp;J2091&amp;" "&amp;K2091&amp;" "&amp;L2091))),OR($C$5="Semua",$C$5="",G2091=$C$5),OR($C$6="Semua",$C$6="",H2091=$C$6,H2091="Pengeluaran "&amp;$C$6,AND($C$6="Uang Kos Mama",H2091="Pengeluaran Uang Kos")),OR($C$7="Semua",$C$7="",I2091=$C$7),OR($C$8="Semua",$C$8="",C2091=$C$8,E2091=$C$8),OR($C$9="Semua",$C$9="",D2091=$C$9),OR($C$10="",B2091&gt;=$C$10),OR($C$11="",B2091&lt;=$C$11),OR($C$12&lt;&gt;"Ya",K2091&lt;&gt;""),OR($C$13="Semua",$C$13="",L2091=$C$13)),"✓","")</f>
        <v/>
      </c>
      <c r="N2091" s="93">
        <f>N(N2090)+IF(M2091="✓",1,0)</f>
        <v/>
      </c>
      <c r="O2091" s="93">
        <f>N(O2090)+IF(AND(B2091&lt;&gt;"",B2091&gt;='Uang Riba'!$H$30,B2091&lt;='Uang Riba'!$I$30,OR(H2091="Dana riba",H2091="Pinjam uang riba",I2091="Pinjam dari uang riba",I2091="Ganti uang riba",I2091="Kelebihan ganti dikembalikan",AND(C2091="Kantong Uang Riba",G2091="Pengeluaran"))),1,0)</f>
        <v/>
      </c>
      <c r="X2091" s="93">
        <f>IF(AND(B2091&lt;&gt;"",B2091&gt;='Buku Akun'!$H$4,B2091&lt;='Buku Akun'!$H$5,OR(C2091='Buku Akun'!$C$4,AND(D2091="Pindah",E2091='Buku Akun'!$C$4))),B2091+IF(AND(I2091="Selisih bunga",DAY(B2091)=1),0,0.01)+ROW()/10000000,"")</f>
        <v/>
      </c>
    </row>
    <row r="2092" outlineLevel="1" ht="15" customHeight="1" s="94">
      <c r="A2092" s="123">
        <f>IF(B2092="","",ROW()-15)</f>
        <v/>
      </c>
      <c r="B2092" s="124" t="n"/>
      <c r="C2092" s="123" t="n"/>
      <c r="D2092" s="123" t="n"/>
      <c r="E2092" s="123" t="n"/>
      <c r="F2092" s="125" t="n"/>
      <c r="G2092" s="123" t="n"/>
      <c r="H2092" s="123" t="n"/>
      <c r="I2092" s="123" t="n"/>
      <c r="J2092" s="123" t="n"/>
      <c r="K2092" s="123" t="n"/>
      <c r="L2092" s="123" t="n"/>
      <c r="M2092" s="123">
        <f>IF(AND(B2092&lt;&gt;"",OR($C$4="",ISNUMBER(SEARCH($C$4,C2092&amp;" "&amp;E2092&amp;" "&amp;G2092&amp;" "&amp;H2092&amp;" "&amp;I2092&amp;" "&amp;J2092&amp;" "&amp;K2092&amp;" "&amp;L2092))),OR($C$5="Semua",$C$5="",G2092=$C$5),OR($C$6="Semua",$C$6="",H2092=$C$6,H2092="Pengeluaran "&amp;$C$6,AND($C$6="Uang Kos Mama",H2092="Pengeluaran Uang Kos")),OR($C$7="Semua",$C$7="",I2092=$C$7),OR($C$8="Semua",$C$8="",C2092=$C$8,E2092=$C$8),OR($C$9="Semua",$C$9="",D2092=$C$9),OR($C$10="",B2092&gt;=$C$10),OR($C$11="",B2092&lt;=$C$11),OR($C$12&lt;&gt;"Ya",K2092&lt;&gt;""),OR($C$13="Semua",$C$13="",L2092=$C$13)),"✓","")</f>
        <v/>
      </c>
      <c r="N2092" s="93">
        <f>N(N2091)+IF(M2092="✓",1,0)</f>
        <v/>
      </c>
      <c r="O2092" s="93">
        <f>N(O2091)+IF(AND(B2092&lt;&gt;"",B2092&gt;='Uang Riba'!$H$30,B2092&lt;='Uang Riba'!$I$30,OR(H2092="Dana riba",H2092="Pinjam uang riba",I2092="Pinjam dari uang riba",I2092="Ganti uang riba",I2092="Kelebihan ganti dikembalikan",AND(C2092="Kantong Uang Riba",G2092="Pengeluaran"))),1,0)</f>
        <v/>
      </c>
      <c r="X2092" s="93">
        <f>IF(AND(B2092&lt;&gt;"",B2092&gt;='Buku Akun'!$H$4,B2092&lt;='Buku Akun'!$H$5,OR(C2092='Buku Akun'!$C$4,AND(D2092="Pindah",E2092='Buku Akun'!$C$4))),B2092+IF(AND(I2092="Selisih bunga",DAY(B2092)=1),0,0.01)+ROW()/10000000,"")</f>
        <v/>
      </c>
    </row>
    <row r="2093" outlineLevel="1" ht="15" customHeight="1" s="94">
      <c r="A2093" s="123">
        <f>IF(B2093="","",ROW()-15)</f>
        <v/>
      </c>
      <c r="B2093" s="124" t="n"/>
      <c r="C2093" s="123" t="n"/>
      <c r="D2093" s="123" t="n"/>
      <c r="E2093" s="123" t="n"/>
      <c r="F2093" s="125" t="n"/>
      <c r="G2093" s="123" t="n"/>
      <c r="H2093" s="123" t="n"/>
      <c r="I2093" s="123" t="n"/>
      <c r="J2093" s="123" t="n"/>
      <c r="K2093" s="123" t="n"/>
      <c r="L2093" s="123" t="n"/>
      <c r="M2093" s="123">
        <f>IF(AND(B2093&lt;&gt;"",OR($C$4="",ISNUMBER(SEARCH($C$4,C2093&amp;" "&amp;E2093&amp;" "&amp;G2093&amp;" "&amp;H2093&amp;" "&amp;I2093&amp;" "&amp;J2093&amp;" "&amp;K2093&amp;" "&amp;L2093))),OR($C$5="Semua",$C$5="",G2093=$C$5),OR($C$6="Semua",$C$6="",H2093=$C$6,H2093="Pengeluaran "&amp;$C$6,AND($C$6="Uang Kos Mama",H2093="Pengeluaran Uang Kos")),OR($C$7="Semua",$C$7="",I2093=$C$7),OR($C$8="Semua",$C$8="",C2093=$C$8,E2093=$C$8),OR($C$9="Semua",$C$9="",D2093=$C$9),OR($C$10="",B2093&gt;=$C$10),OR($C$11="",B2093&lt;=$C$11),OR($C$12&lt;&gt;"Ya",K2093&lt;&gt;""),OR($C$13="Semua",$C$13="",L2093=$C$13)),"✓","")</f>
        <v/>
      </c>
      <c r="N2093" s="93">
        <f>N(N2092)+IF(M2093="✓",1,0)</f>
        <v/>
      </c>
      <c r="O2093" s="93">
        <f>N(O2092)+IF(AND(B2093&lt;&gt;"",B2093&gt;='Uang Riba'!$H$30,B2093&lt;='Uang Riba'!$I$30,OR(H2093="Dana riba",H2093="Pinjam uang riba",I2093="Pinjam dari uang riba",I2093="Ganti uang riba",I2093="Kelebihan ganti dikembalikan",AND(C2093="Kantong Uang Riba",G2093="Pengeluaran"))),1,0)</f>
        <v/>
      </c>
      <c r="X2093" s="93">
        <f>IF(AND(B2093&lt;&gt;"",B2093&gt;='Buku Akun'!$H$4,B2093&lt;='Buku Akun'!$H$5,OR(C2093='Buku Akun'!$C$4,AND(D2093="Pindah",E2093='Buku Akun'!$C$4))),B2093+IF(AND(I2093="Selisih bunga",DAY(B2093)=1),0,0.01)+ROW()/10000000,"")</f>
        <v/>
      </c>
    </row>
    <row r="2094" outlineLevel="1" ht="15" customHeight="1" s="94">
      <c r="A2094" s="123">
        <f>IF(B2094="","",ROW()-15)</f>
        <v/>
      </c>
      <c r="B2094" s="124" t="n"/>
      <c r="C2094" s="123" t="n"/>
      <c r="D2094" s="123" t="n"/>
      <c r="E2094" s="123" t="n"/>
      <c r="F2094" s="125" t="n"/>
      <c r="G2094" s="123" t="n"/>
      <c r="H2094" s="123" t="n"/>
      <c r="I2094" s="123" t="n"/>
      <c r="J2094" s="123" t="n"/>
      <c r="K2094" s="123" t="n"/>
      <c r="L2094" s="123" t="n"/>
      <c r="M2094" s="123">
        <f>IF(AND(B2094&lt;&gt;"",OR($C$4="",ISNUMBER(SEARCH($C$4,C2094&amp;" "&amp;E2094&amp;" "&amp;G2094&amp;" "&amp;H2094&amp;" "&amp;I2094&amp;" "&amp;J2094&amp;" "&amp;K2094&amp;" "&amp;L2094))),OR($C$5="Semua",$C$5="",G2094=$C$5),OR($C$6="Semua",$C$6="",H2094=$C$6,H2094="Pengeluaran "&amp;$C$6,AND($C$6="Uang Kos Mama",H2094="Pengeluaran Uang Kos")),OR($C$7="Semua",$C$7="",I2094=$C$7),OR($C$8="Semua",$C$8="",C2094=$C$8,E2094=$C$8),OR($C$9="Semua",$C$9="",D2094=$C$9),OR($C$10="",B2094&gt;=$C$10),OR($C$11="",B2094&lt;=$C$11),OR($C$12&lt;&gt;"Ya",K2094&lt;&gt;""),OR($C$13="Semua",$C$13="",L2094=$C$13)),"✓","")</f>
        <v/>
      </c>
      <c r="N2094" s="93">
        <f>N(N2093)+IF(M2094="✓",1,0)</f>
        <v/>
      </c>
      <c r="O2094" s="93">
        <f>N(O2093)+IF(AND(B2094&lt;&gt;"",B2094&gt;='Uang Riba'!$H$30,B2094&lt;='Uang Riba'!$I$30,OR(H2094="Dana riba",H2094="Pinjam uang riba",I2094="Pinjam dari uang riba",I2094="Ganti uang riba",I2094="Kelebihan ganti dikembalikan",AND(C2094="Kantong Uang Riba",G2094="Pengeluaran"))),1,0)</f>
        <v/>
      </c>
      <c r="X2094" s="93">
        <f>IF(AND(B2094&lt;&gt;"",B2094&gt;='Buku Akun'!$H$4,B2094&lt;='Buku Akun'!$H$5,OR(C2094='Buku Akun'!$C$4,AND(D2094="Pindah",E2094='Buku Akun'!$C$4))),B2094+IF(AND(I2094="Selisih bunga",DAY(B2094)=1),0,0.01)+ROW()/10000000,"")</f>
        <v/>
      </c>
    </row>
    <row r="2095" outlineLevel="1" ht="15" customHeight="1" s="94">
      <c r="A2095" s="123">
        <f>IF(B2095="","",ROW()-15)</f>
        <v/>
      </c>
      <c r="B2095" s="124" t="n"/>
      <c r="C2095" s="123" t="n"/>
      <c r="D2095" s="123" t="n"/>
      <c r="E2095" s="123" t="n"/>
      <c r="F2095" s="125" t="n"/>
      <c r="G2095" s="123" t="n"/>
      <c r="H2095" s="123" t="n"/>
      <c r="I2095" s="123" t="n"/>
      <c r="J2095" s="123" t="n"/>
      <c r="K2095" s="123" t="n"/>
      <c r="L2095" s="123" t="n"/>
      <c r="M2095" s="123">
        <f>IF(AND(B2095&lt;&gt;"",OR($C$4="",ISNUMBER(SEARCH($C$4,C2095&amp;" "&amp;E2095&amp;" "&amp;G2095&amp;" "&amp;H2095&amp;" "&amp;I2095&amp;" "&amp;J2095&amp;" "&amp;K2095&amp;" "&amp;L2095))),OR($C$5="Semua",$C$5="",G2095=$C$5),OR($C$6="Semua",$C$6="",H2095=$C$6,H2095="Pengeluaran "&amp;$C$6,AND($C$6="Uang Kos Mama",H2095="Pengeluaran Uang Kos")),OR($C$7="Semua",$C$7="",I2095=$C$7),OR($C$8="Semua",$C$8="",C2095=$C$8,E2095=$C$8),OR($C$9="Semua",$C$9="",D2095=$C$9),OR($C$10="",B2095&gt;=$C$10),OR($C$11="",B2095&lt;=$C$11),OR($C$12&lt;&gt;"Ya",K2095&lt;&gt;""),OR($C$13="Semua",$C$13="",L2095=$C$13)),"✓","")</f>
        <v/>
      </c>
      <c r="N2095" s="93">
        <f>N(N2094)+IF(M2095="✓",1,0)</f>
        <v/>
      </c>
      <c r="O2095" s="93">
        <f>N(O2094)+IF(AND(B2095&lt;&gt;"",B2095&gt;='Uang Riba'!$H$30,B2095&lt;='Uang Riba'!$I$30,OR(H2095="Dana riba",H2095="Pinjam uang riba",I2095="Pinjam dari uang riba",I2095="Ganti uang riba",I2095="Kelebihan ganti dikembalikan",AND(C2095="Kantong Uang Riba",G2095="Pengeluaran"))),1,0)</f>
        <v/>
      </c>
      <c r="X2095" s="93">
        <f>IF(AND(B2095&lt;&gt;"",B2095&gt;='Buku Akun'!$H$4,B2095&lt;='Buku Akun'!$H$5,OR(C2095='Buku Akun'!$C$4,AND(D2095="Pindah",E2095='Buku Akun'!$C$4))),B2095+IF(AND(I2095="Selisih bunga",DAY(B2095)=1),0,0.01)+ROW()/10000000,"")</f>
        <v/>
      </c>
    </row>
    <row r="2096" outlineLevel="1" ht="15" customHeight="1" s="94">
      <c r="A2096" s="123">
        <f>IF(B2096="","",ROW()-15)</f>
        <v/>
      </c>
      <c r="B2096" s="124" t="n"/>
      <c r="C2096" s="123" t="n"/>
      <c r="D2096" s="123" t="n"/>
      <c r="E2096" s="123" t="n"/>
      <c r="F2096" s="125" t="n"/>
      <c r="G2096" s="123" t="n"/>
      <c r="H2096" s="123" t="n"/>
      <c r="I2096" s="123" t="n"/>
      <c r="J2096" s="123" t="n"/>
      <c r="K2096" s="123" t="n"/>
      <c r="L2096" s="123" t="n"/>
      <c r="M2096" s="123">
        <f>IF(AND(B2096&lt;&gt;"",OR($C$4="",ISNUMBER(SEARCH($C$4,C2096&amp;" "&amp;E2096&amp;" "&amp;G2096&amp;" "&amp;H2096&amp;" "&amp;I2096&amp;" "&amp;J2096&amp;" "&amp;K2096&amp;" "&amp;L2096))),OR($C$5="Semua",$C$5="",G2096=$C$5),OR($C$6="Semua",$C$6="",H2096=$C$6,H2096="Pengeluaran "&amp;$C$6,AND($C$6="Uang Kos Mama",H2096="Pengeluaran Uang Kos")),OR($C$7="Semua",$C$7="",I2096=$C$7),OR($C$8="Semua",$C$8="",C2096=$C$8,E2096=$C$8),OR($C$9="Semua",$C$9="",D2096=$C$9),OR($C$10="",B2096&gt;=$C$10),OR($C$11="",B2096&lt;=$C$11),OR($C$12&lt;&gt;"Ya",K2096&lt;&gt;""),OR($C$13="Semua",$C$13="",L2096=$C$13)),"✓","")</f>
        <v/>
      </c>
      <c r="N2096" s="93">
        <f>N(N2095)+IF(M2096="✓",1,0)</f>
        <v/>
      </c>
      <c r="O2096" s="93">
        <f>N(O2095)+IF(AND(B2096&lt;&gt;"",B2096&gt;='Uang Riba'!$H$30,B2096&lt;='Uang Riba'!$I$30,OR(H2096="Dana riba",H2096="Pinjam uang riba",I2096="Pinjam dari uang riba",I2096="Ganti uang riba",I2096="Kelebihan ganti dikembalikan",AND(C2096="Kantong Uang Riba",G2096="Pengeluaran"))),1,0)</f>
        <v/>
      </c>
      <c r="X2096" s="93">
        <f>IF(AND(B2096&lt;&gt;"",B2096&gt;='Buku Akun'!$H$4,B2096&lt;='Buku Akun'!$H$5,OR(C2096='Buku Akun'!$C$4,AND(D2096="Pindah",E2096='Buku Akun'!$C$4))),B2096+IF(AND(I2096="Selisih bunga",DAY(B2096)=1),0,0.01)+ROW()/10000000,"")</f>
        <v/>
      </c>
    </row>
    <row r="2097" outlineLevel="1" ht="15" customHeight="1" s="94">
      <c r="A2097" s="123">
        <f>IF(B2097="","",ROW()-15)</f>
        <v/>
      </c>
      <c r="B2097" s="124" t="n"/>
      <c r="C2097" s="123" t="n"/>
      <c r="D2097" s="123" t="n"/>
      <c r="E2097" s="123" t="n"/>
      <c r="F2097" s="125" t="n"/>
      <c r="G2097" s="123" t="n"/>
      <c r="H2097" s="123" t="n"/>
      <c r="I2097" s="123" t="n"/>
      <c r="J2097" s="123" t="n"/>
      <c r="K2097" s="123" t="n"/>
      <c r="L2097" s="123" t="n"/>
      <c r="M2097" s="123">
        <f>IF(AND(B2097&lt;&gt;"",OR($C$4="",ISNUMBER(SEARCH($C$4,C2097&amp;" "&amp;E2097&amp;" "&amp;G2097&amp;" "&amp;H2097&amp;" "&amp;I2097&amp;" "&amp;J2097&amp;" "&amp;K2097&amp;" "&amp;L2097))),OR($C$5="Semua",$C$5="",G2097=$C$5),OR($C$6="Semua",$C$6="",H2097=$C$6,H2097="Pengeluaran "&amp;$C$6,AND($C$6="Uang Kos Mama",H2097="Pengeluaran Uang Kos")),OR($C$7="Semua",$C$7="",I2097=$C$7),OR($C$8="Semua",$C$8="",C2097=$C$8,E2097=$C$8),OR($C$9="Semua",$C$9="",D2097=$C$9),OR($C$10="",B2097&gt;=$C$10),OR($C$11="",B2097&lt;=$C$11),OR($C$12&lt;&gt;"Ya",K2097&lt;&gt;""),OR($C$13="Semua",$C$13="",L2097=$C$13)),"✓","")</f>
        <v/>
      </c>
      <c r="N2097" s="93">
        <f>N(N2096)+IF(M2097="✓",1,0)</f>
        <v/>
      </c>
      <c r="O2097" s="93">
        <f>N(O2096)+IF(AND(B2097&lt;&gt;"",B2097&gt;='Uang Riba'!$H$30,B2097&lt;='Uang Riba'!$I$30,OR(H2097="Dana riba",H2097="Pinjam uang riba",I2097="Pinjam dari uang riba",I2097="Ganti uang riba",I2097="Kelebihan ganti dikembalikan",AND(C2097="Kantong Uang Riba",G2097="Pengeluaran"))),1,0)</f>
        <v/>
      </c>
      <c r="X2097" s="93">
        <f>IF(AND(B2097&lt;&gt;"",B2097&gt;='Buku Akun'!$H$4,B2097&lt;='Buku Akun'!$H$5,OR(C2097='Buku Akun'!$C$4,AND(D2097="Pindah",E2097='Buku Akun'!$C$4))),B2097+IF(AND(I2097="Selisih bunga",DAY(B2097)=1),0,0.01)+ROW()/10000000,"")</f>
        <v/>
      </c>
    </row>
    <row r="2098" outlineLevel="1" ht="15" customHeight="1" s="94">
      <c r="A2098" s="123">
        <f>IF(B2098="","",ROW()-15)</f>
        <v/>
      </c>
      <c r="B2098" s="124" t="n"/>
      <c r="C2098" s="123" t="n"/>
      <c r="D2098" s="123" t="n"/>
      <c r="E2098" s="123" t="n"/>
      <c r="F2098" s="125" t="n"/>
      <c r="G2098" s="123" t="n"/>
      <c r="H2098" s="123" t="n"/>
      <c r="I2098" s="123" t="n"/>
      <c r="J2098" s="123" t="n"/>
      <c r="K2098" s="123" t="n"/>
      <c r="L2098" s="123" t="n"/>
      <c r="M2098" s="123">
        <f>IF(AND(B2098&lt;&gt;"",OR($C$4="",ISNUMBER(SEARCH($C$4,C2098&amp;" "&amp;E2098&amp;" "&amp;G2098&amp;" "&amp;H2098&amp;" "&amp;I2098&amp;" "&amp;J2098&amp;" "&amp;K2098&amp;" "&amp;L2098))),OR($C$5="Semua",$C$5="",G2098=$C$5),OR($C$6="Semua",$C$6="",H2098=$C$6,H2098="Pengeluaran "&amp;$C$6,AND($C$6="Uang Kos Mama",H2098="Pengeluaran Uang Kos")),OR($C$7="Semua",$C$7="",I2098=$C$7),OR($C$8="Semua",$C$8="",C2098=$C$8,E2098=$C$8),OR($C$9="Semua",$C$9="",D2098=$C$9),OR($C$10="",B2098&gt;=$C$10),OR($C$11="",B2098&lt;=$C$11),OR($C$12&lt;&gt;"Ya",K2098&lt;&gt;""),OR($C$13="Semua",$C$13="",L2098=$C$13)),"✓","")</f>
        <v/>
      </c>
      <c r="N2098" s="93">
        <f>N(N2097)+IF(M2098="✓",1,0)</f>
        <v/>
      </c>
      <c r="O2098" s="93">
        <f>N(O2097)+IF(AND(B2098&lt;&gt;"",B2098&gt;='Uang Riba'!$H$30,B2098&lt;='Uang Riba'!$I$30,OR(H2098="Dana riba",H2098="Pinjam uang riba",I2098="Pinjam dari uang riba",I2098="Ganti uang riba",I2098="Kelebihan ganti dikembalikan",AND(C2098="Kantong Uang Riba",G2098="Pengeluaran"))),1,0)</f>
        <v/>
      </c>
      <c r="X2098" s="93">
        <f>IF(AND(B2098&lt;&gt;"",B2098&gt;='Buku Akun'!$H$4,B2098&lt;='Buku Akun'!$H$5,OR(C2098='Buku Akun'!$C$4,AND(D2098="Pindah",E2098='Buku Akun'!$C$4))),B2098+IF(AND(I2098="Selisih bunga",DAY(B2098)=1),0,0.01)+ROW()/10000000,"")</f>
        <v/>
      </c>
    </row>
    <row r="2099" outlineLevel="1" ht="15" customHeight="1" s="94">
      <c r="A2099" s="123">
        <f>IF(B2099="","",ROW()-15)</f>
        <v/>
      </c>
      <c r="B2099" s="124" t="n"/>
      <c r="C2099" s="123" t="n"/>
      <c r="D2099" s="123" t="n"/>
      <c r="E2099" s="123" t="n"/>
      <c r="F2099" s="125" t="n"/>
      <c r="G2099" s="123" t="n"/>
      <c r="H2099" s="123" t="n"/>
      <c r="I2099" s="123" t="n"/>
      <c r="J2099" s="123" t="n"/>
      <c r="K2099" s="123" t="n"/>
      <c r="L2099" s="123" t="n"/>
      <c r="M2099" s="123">
        <f>IF(AND(B2099&lt;&gt;"",OR($C$4="",ISNUMBER(SEARCH($C$4,C2099&amp;" "&amp;E2099&amp;" "&amp;G2099&amp;" "&amp;H2099&amp;" "&amp;I2099&amp;" "&amp;J2099&amp;" "&amp;K2099&amp;" "&amp;L2099))),OR($C$5="Semua",$C$5="",G2099=$C$5),OR($C$6="Semua",$C$6="",H2099=$C$6,H2099="Pengeluaran "&amp;$C$6,AND($C$6="Uang Kos Mama",H2099="Pengeluaran Uang Kos")),OR($C$7="Semua",$C$7="",I2099=$C$7),OR($C$8="Semua",$C$8="",C2099=$C$8,E2099=$C$8),OR($C$9="Semua",$C$9="",D2099=$C$9),OR($C$10="",B2099&gt;=$C$10),OR($C$11="",B2099&lt;=$C$11),OR($C$12&lt;&gt;"Ya",K2099&lt;&gt;""),OR($C$13="Semua",$C$13="",L2099=$C$13)),"✓","")</f>
        <v/>
      </c>
      <c r="N2099" s="93">
        <f>N(N2098)+IF(M2099="✓",1,0)</f>
        <v/>
      </c>
      <c r="O2099" s="93">
        <f>N(O2098)+IF(AND(B2099&lt;&gt;"",B2099&gt;='Uang Riba'!$H$30,B2099&lt;='Uang Riba'!$I$30,OR(H2099="Dana riba",H2099="Pinjam uang riba",I2099="Pinjam dari uang riba",I2099="Ganti uang riba",I2099="Kelebihan ganti dikembalikan",AND(C2099="Kantong Uang Riba",G2099="Pengeluaran"))),1,0)</f>
        <v/>
      </c>
      <c r="X2099" s="93">
        <f>IF(AND(B2099&lt;&gt;"",B2099&gt;='Buku Akun'!$H$4,B2099&lt;='Buku Akun'!$H$5,OR(C2099='Buku Akun'!$C$4,AND(D2099="Pindah",E2099='Buku Akun'!$C$4))),B2099+IF(AND(I2099="Selisih bunga",DAY(B2099)=1),0,0.01)+ROW()/10000000,"")</f>
        <v/>
      </c>
    </row>
    <row r="2100" outlineLevel="1" ht="15" customHeight="1" s="94">
      <c r="A2100" s="123">
        <f>IF(B2100="","",ROW()-15)</f>
        <v/>
      </c>
      <c r="B2100" s="124" t="n"/>
      <c r="C2100" s="123" t="n"/>
      <c r="D2100" s="123" t="n"/>
      <c r="E2100" s="123" t="n"/>
      <c r="F2100" s="125" t="n"/>
      <c r="G2100" s="123" t="n"/>
      <c r="H2100" s="123" t="n"/>
      <c r="I2100" s="123" t="n"/>
      <c r="J2100" s="123" t="n"/>
      <c r="K2100" s="123" t="n"/>
      <c r="L2100" s="123" t="n"/>
      <c r="M2100" s="123">
        <f>IF(AND(B2100&lt;&gt;"",OR($C$4="",ISNUMBER(SEARCH($C$4,C2100&amp;" "&amp;E2100&amp;" "&amp;G2100&amp;" "&amp;H2100&amp;" "&amp;I2100&amp;" "&amp;J2100&amp;" "&amp;K2100&amp;" "&amp;L2100))),OR($C$5="Semua",$C$5="",G2100=$C$5),OR($C$6="Semua",$C$6="",H2100=$C$6,H2100="Pengeluaran "&amp;$C$6,AND($C$6="Uang Kos Mama",H2100="Pengeluaran Uang Kos")),OR($C$7="Semua",$C$7="",I2100=$C$7),OR($C$8="Semua",$C$8="",C2100=$C$8,E2100=$C$8),OR($C$9="Semua",$C$9="",D2100=$C$9),OR($C$10="",B2100&gt;=$C$10),OR($C$11="",B2100&lt;=$C$11),OR($C$12&lt;&gt;"Ya",K2100&lt;&gt;""),OR($C$13="Semua",$C$13="",L2100=$C$13)),"✓","")</f>
        <v/>
      </c>
      <c r="N2100" s="93">
        <f>N(N2099)+IF(M2100="✓",1,0)</f>
        <v/>
      </c>
      <c r="O2100" s="93">
        <f>N(O2099)+IF(AND(B2100&lt;&gt;"",B2100&gt;='Uang Riba'!$H$30,B2100&lt;='Uang Riba'!$I$30,OR(H2100="Dana riba",H2100="Pinjam uang riba",I2100="Pinjam dari uang riba",I2100="Ganti uang riba",I2100="Kelebihan ganti dikembalikan",AND(C2100="Kantong Uang Riba",G2100="Pengeluaran"))),1,0)</f>
        <v/>
      </c>
      <c r="X2100" s="93">
        <f>IF(AND(B2100&lt;&gt;"",B2100&gt;='Buku Akun'!$H$4,B2100&lt;='Buku Akun'!$H$5,OR(C2100='Buku Akun'!$C$4,AND(D2100="Pindah",E2100='Buku Akun'!$C$4))),B2100+IF(AND(I2100="Selisih bunga",DAY(B2100)=1),0,0.01)+ROW()/10000000,"")</f>
        <v/>
      </c>
    </row>
    <row r="2101" outlineLevel="1" ht="15" customHeight="1" s="94">
      <c r="A2101" s="123">
        <f>IF(B2101="","",ROW()-15)</f>
        <v/>
      </c>
      <c r="B2101" s="124" t="n"/>
      <c r="C2101" s="123" t="n"/>
      <c r="D2101" s="123" t="n"/>
      <c r="E2101" s="123" t="n"/>
      <c r="F2101" s="125" t="n"/>
      <c r="G2101" s="123" t="n"/>
      <c r="H2101" s="123" t="n"/>
      <c r="I2101" s="123" t="n"/>
      <c r="J2101" s="123" t="n"/>
      <c r="K2101" s="123" t="n"/>
      <c r="L2101" s="123" t="n"/>
      <c r="M2101" s="123">
        <f>IF(AND(B2101&lt;&gt;"",OR($C$4="",ISNUMBER(SEARCH($C$4,C2101&amp;" "&amp;E2101&amp;" "&amp;G2101&amp;" "&amp;H2101&amp;" "&amp;I2101&amp;" "&amp;J2101&amp;" "&amp;K2101&amp;" "&amp;L2101))),OR($C$5="Semua",$C$5="",G2101=$C$5),OR($C$6="Semua",$C$6="",H2101=$C$6,H2101="Pengeluaran "&amp;$C$6,AND($C$6="Uang Kos Mama",H2101="Pengeluaran Uang Kos")),OR($C$7="Semua",$C$7="",I2101=$C$7),OR($C$8="Semua",$C$8="",C2101=$C$8,E2101=$C$8),OR($C$9="Semua",$C$9="",D2101=$C$9),OR($C$10="",B2101&gt;=$C$10),OR($C$11="",B2101&lt;=$C$11),OR($C$12&lt;&gt;"Ya",K2101&lt;&gt;""),OR($C$13="Semua",$C$13="",L2101=$C$13)),"✓","")</f>
        <v/>
      </c>
      <c r="N2101" s="93">
        <f>N(N2100)+IF(M2101="✓",1,0)</f>
        <v/>
      </c>
      <c r="O2101" s="93">
        <f>N(O2100)+IF(AND(B2101&lt;&gt;"",B2101&gt;='Uang Riba'!$H$30,B2101&lt;='Uang Riba'!$I$30,OR(H2101="Dana riba",H2101="Pinjam uang riba",I2101="Pinjam dari uang riba",I2101="Ganti uang riba",I2101="Kelebihan ganti dikembalikan",AND(C2101="Kantong Uang Riba",G2101="Pengeluaran"))),1,0)</f>
        <v/>
      </c>
      <c r="X2101" s="93">
        <f>IF(AND(B2101&lt;&gt;"",B2101&gt;='Buku Akun'!$H$4,B2101&lt;='Buku Akun'!$H$5,OR(C2101='Buku Akun'!$C$4,AND(D2101="Pindah",E2101='Buku Akun'!$C$4))),B2101+IF(AND(I2101="Selisih bunga",DAY(B2101)=1),0,0.01)+ROW()/10000000,"")</f>
        <v/>
      </c>
    </row>
    <row r="2102" outlineLevel="1" ht="15" customHeight="1" s="94">
      <c r="A2102" s="123">
        <f>IF(B2102="","",ROW()-15)</f>
        <v/>
      </c>
      <c r="B2102" s="124" t="n"/>
      <c r="C2102" s="123" t="n"/>
      <c r="D2102" s="123" t="n"/>
      <c r="E2102" s="123" t="n"/>
      <c r="F2102" s="125" t="n"/>
      <c r="G2102" s="123" t="n"/>
      <c r="H2102" s="123" t="n"/>
      <c r="I2102" s="123" t="n"/>
      <c r="J2102" s="123" t="n"/>
      <c r="K2102" s="123" t="n"/>
      <c r="L2102" s="123" t="n"/>
      <c r="M2102" s="123">
        <f>IF(AND(B2102&lt;&gt;"",OR($C$4="",ISNUMBER(SEARCH($C$4,C2102&amp;" "&amp;E2102&amp;" "&amp;G2102&amp;" "&amp;H2102&amp;" "&amp;I2102&amp;" "&amp;J2102&amp;" "&amp;K2102&amp;" "&amp;L2102))),OR($C$5="Semua",$C$5="",G2102=$C$5),OR($C$6="Semua",$C$6="",H2102=$C$6,H2102="Pengeluaran "&amp;$C$6,AND($C$6="Uang Kos Mama",H2102="Pengeluaran Uang Kos")),OR($C$7="Semua",$C$7="",I2102=$C$7),OR($C$8="Semua",$C$8="",C2102=$C$8,E2102=$C$8),OR($C$9="Semua",$C$9="",D2102=$C$9),OR($C$10="",B2102&gt;=$C$10),OR($C$11="",B2102&lt;=$C$11),OR($C$12&lt;&gt;"Ya",K2102&lt;&gt;""),OR($C$13="Semua",$C$13="",L2102=$C$13)),"✓","")</f>
        <v/>
      </c>
      <c r="N2102" s="93">
        <f>N(N2101)+IF(M2102="✓",1,0)</f>
        <v/>
      </c>
      <c r="O2102" s="93">
        <f>N(O2101)+IF(AND(B2102&lt;&gt;"",B2102&gt;='Uang Riba'!$H$30,B2102&lt;='Uang Riba'!$I$30,OR(H2102="Dana riba",H2102="Pinjam uang riba",I2102="Pinjam dari uang riba",I2102="Ganti uang riba",I2102="Kelebihan ganti dikembalikan",AND(C2102="Kantong Uang Riba",G2102="Pengeluaran"))),1,0)</f>
        <v/>
      </c>
      <c r="X2102" s="93">
        <f>IF(AND(B2102&lt;&gt;"",B2102&gt;='Buku Akun'!$H$4,B2102&lt;='Buku Akun'!$H$5,OR(C2102='Buku Akun'!$C$4,AND(D2102="Pindah",E2102='Buku Akun'!$C$4))),B2102+IF(AND(I2102="Selisih bunga",DAY(B2102)=1),0,0.01)+ROW()/10000000,"")</f>
        <v/>
      </c>
    </row>
    <row r="2103" outlineLevel="1" ht="15" customHeight="1" s="94">
      <c r="A2103" s="123">
        <f>IF(B2103="","",ROW()-15)</f>
        <v/>
      </c>
      <c r="B2103" s="124" t="n"/>
      <c r="C2103" s="123" t="n"/>
      <c r="D2103" s="123" t="n"/>
      <c r="E2103" s="123" t="n"/>
      <c r="F2103" s="125" t="n"/>
      <c r="G2103" s="123" t="n"/>
      <c r="H2103" s="123" t="n"/>
      <c r="I2103" s="123" t="n"/>
      <c r="J2103" s="123" t="n"/>
      <c r="K2103" s="123" t="n"/>
      <c r="L2103" s="123" t="n"/>
      <c r="M2103" s="123">
        <f>IF(AND(B2103&lt;&gt;"",OR($C$4="",ISNUMBER(SEARCH($C$4,C2103&amp;" "&amp;E2103&amp;" "&amp;G2103&amp;" "&amp;H2103&amp;" "&amp;I2103&amp;" "&amp;J2103&amp;" "&amp;K2103&amp;" "&amp;L2103))),OR($C$5="Semua",$C$5="",G2103=$C$5),OR($C$6="Semua",$C$6="",H2103=$C$6,H2103="Pengeluaran "&amp;$C$6,AND($C$6="Uang Kos Mama",H2103="Pengeluaran Uang Kos")),OR($C$7="Semua",$C$7="",I2103=$C$7),OR($C$8="Semua",$C$8="",C2103=$C$8,E2103=$C$8),OR($C$9="Semua",$C$9="",D2103=$C$9),OR($C$10="",B2103&gt;=$C$10),OR($C$11="",B2103&lt;=$C$11),OR($C$12&lt;&gt;"Ya",K2103&lt;&gt;""),OR($C$13="Semua",$C$13="",L2103=$C$13)),"✓","")</f>
        <v/>
      </c>
      <c r="N2103" s="93">
        <f>N(N2102)+IF(M2103="✓",1,0)</f>
        <v/>
      </c>
      <c r="O2103" s="93">
        <f>N(O2102)+IF(AND(B2103&lt;&gt;"",B2103&gt;='Uang Riba'!$H$30,B2103&lt;='Uang Riba'!$I$30,OR(H2103="Dana riba",H2103="Pinjam uang riba",I2103="Pinjam dari uang riba",I2103="Ganti uang riba",I2103="Kelebihan ganti dikembalikan",AND(C2103="Kantong Uang Riba",G2103="Pengeluaran"))),1,0)</f>
        <v/>
      </c>
      <c r="X2103" s="93">
        <f>IF(AND(B2103&lt;&gt;"",B2103&gt;='Buku Akun'!$H$4,B2103&lt;='Buku Akun'!$H$5,OR(C2103='Buku Akun'!$C$4,AND(D2103="Pindah",E2103='Buku Akun'!$C$4))),B2103+IF(AND(I2103="Selisih bunga",DAY(B2103)=1),0,0.01)+ROW()/10000000,"")</f>
        <v/>
      </c>
    </row>
    <row r="2104" outlineLevel="1" ht="15" customHeight="1" s="94">
      <c r="A2104" s="123">
        <f>IF(B2104="","",ROW()-15)</f>
        <v/>
      </c>
      <c r="B2104" s="124" t="n"/>
      <c r="C2104" s="123" t="n"/>
      <c r="D2104" s="123" t="n"/>
      <c r="E2104" s="123" t="n"/>
      <c r="F2104" s="125" t="n"/>
      <c r="G2104" s="123" t="n"/>
      <c r="H2104" s="123" t="n"/>
      <c r="I2104" s="123" t="n"/>
      <c r="J2104" s="123" t="n"/>
      <c r="K2104" s="123" t="n"/>
      <c r="L2104" s="123" t="n"/>
      <c r="M2104" s="123">
        <f>IF(AND(B2104&lt;&gt;"",OR($C$4="",ISNUMBER(SEARCH($C$4,C2104&amp;" "&amp;E2104&amp;" "&amp;G2104&amp;" "&amp;H2104&amp;" "&amp;I2104&amp;" "&amp;J2104&amp;" "&amp;K2104&amp;" "&amp;L2104))),OR($C$5="Semua",$C$5="",G2104=$C$5),OR($C$6="Semua",$C$6="",H2104=$C$6,H2104="Pengeluaran "&amp;$C$6,AND($C$6="Uang Kos Mama",H2104="Pengeluaran Uang Kos")),OR($C$7="Semua",$C$7="",I2104=$C$7),OR($C$8="Semua",$C$8="",C2104=$C$8,E2104=$C$8),OR($C$9="Semua",$C$9="",D2104=$C$9),OR($C$10="",B2104&gt;=$C$10),OR($C$11="",B2104&lt;=$C$11),OR($C$12&lt;&gt;"Ya",K2104&lt;&gt;""),OR($C$13="Semua",$C$13="",L2104=$C$13)),"✓","")</f>
        <v/>
      </c>
      <c r="N2104" s="93">
        <f>N(N2103)+IF(M2104="✓",1,0)</f>
        <v/>
      </c>
      <c r="O2104" s="93">
        <f>N(O2103)+IF(AND(B2104&lt;&gt;"",B2104&gt;='Uang Riba'!$H$30,B2104&lt;='Uang Riba'!$I$30,OR(H2104="Dana riba",H2104="Pinjam uang riba",I2104="Pinjam dari uang riba",I2104="Ganti uang riba",I2104="Kelebihan ganti dikembalikan",AND(C2104="Kantong Uang Riba",G2104="Pengeluaran"))),1,0)</f>
        <v/>
      </c>
      <c r="X2104" s="93">
        <f>IF(AND(B2104&lt;&gt;"",B2104&gt;='Buku Akun'!$H$4,B2104&lt;='Buku Akun'!$H$5,OR(C2104='Buku Akun'!$C$4,AND(D2104="Pindah",E2104='Buku Akun'!$C$4))),B2104+IF(AND(I2104="Selisih bunga",DAY(B2104)=1),0,0.01)+ROW()/10000000,"")</f>
        <v/>
      </c>
    </row>
    <row r="2105" outlineLevel="1" ht="15" customHeight="1" s="94">
      <c r="A2105" s="123">
        <f>IF(B2105="","",ROW()-15)</f>
        <v/>
      </c>
      <c r="B2105" s="124" t="n"/>
      <c r="C2105" s="123" t="n"/>
      <c r="D2105" s="123" t="n"/>
      <c r="E2105" s="123" t="n"/>
      <c r="F2105" s="125" t="n"/>
      <c r="G2105" s="123" t="n"/>
      <c r="H2105" s="123" t="n"/>
      <c r="I2105" s="123" t="n"/>
      <c r="J2105" s="123" t="n"/>
      <c r="K2105" s="123" t="n"/>
      <c r="L2105" s="123" t="n"/>
      <c r="M2105" s="123">
        <f>IF(AND(B2105&lt;&gt;"",OR($C$4="",ISNUMBER(SEARCH($C$4,C2105&amp;" "&amp;E2105&amp;" "&amp;G2105&amp;" "&amp;H2105&amp;" "&amp;I2105&amp;" "&amp;J2105&amp;" "&amp;K2105&amp;" "&amp;L2105))),OR($C$5="Semua",$C$5="",G2105=$C$5),OR($C$6="Semua",$C$6="",H2105=$C$6,H2105="Pengeluaran "&amp;$C$6,AND($C$6="Uang Kos Mama",H2105="Pengeluaran Uang Kos")),OR($C$7="Semua",$C$7="",I2105=$C$7),OR($C$8="Semua",$C$8="",C2105=$C$8,E2105=$C$8),OR($C$9="Semua",$C$9="",D2105=$C$9),OR($C$10="",B2105&gt;=$C$10),OR($C$11="",B2105&lt;=$C$11),OR($C$12&lt;&gt;"Ya",K2105&lt;&gt;""),OR($C$13="Semua",$C$13="",L2105=$C$13)),"✓","")</f>
        <v/>
      </c>
      <c r="N2105" s="93">
        <f>N(N2104)+IF(M2105="✓",1,0)</f>
        <v/>
      </c>
      <c r="O2105" s="93">
        <f>N(O2104)+IF(AND(B2105&lt;&gt;"",B2105&gt;='Uang Riba'!$H$30,B2105&lt;='Uang Riba'!$I$30,OR(H2105="Dana riba",H2105="Pinjam uang riba",I2105="Pinjam dari uang riba",I2105="Ganti uang riba",I2105="Kelebihan ganti dikembalikan",AND(C2105="Kantong Uang Riba",G2105="Pengeluaran"))),1,0)</f>
        <v/>
      </c>
      <c r="X2105" s="93">
        <f>IF(AND(B2105&lt;&gt;"",B2105&gt;='Buku Akun'!$H$4,B2105&lt;='Buku Akun'!$H$5,OR(C2105='Buku Akun'!$C$4,AND(D2105="Pindah",E2105='Buku Akun'!$C$4))),B2105+IF(AND(I2105="Selisih bunga",DAY(B2105)=1),0,0.01)+ROW()/10000000,"")</f>
        <v/>
      </c>
    </row>
    <row r="2106" outlineLevel="1" ht="15" customHeight="1" s="94">
      <c r="A2106" s="123">
        <f>IF(B2106="","",ROW()-15)</f>
        <v/>
      </c>
      <c r="B2106" s="124" t="n"/>
      <c r="C2106" s="123" t="n"/>
      <c r="D2106" s="123" t="n"/>
      <c r="E2106" s="123" t="n"/>
      <c r="F2106" s="125" t="n"/>
      <c r="G2106" s="123" t="n"/>
      <c r="H2106" s="123" t="n"/>
      <c r="I2106" s="123" t="n"/>
      <c r="J2106" s="123" t="n"/>
      <c r="K2106" s="123" t="n"/>
      <c r="L2106" s="123" t="n"/>
      <c r="M2106" s="123">
        <f>IF(AND(B2106&lt;&gt;"",OR($C$4="",ISNUMBER(SEARCH($C$4,C2106&amp;" "&amp;E2106&amp;" "&amp;G2106&amp;" "&amp;H2106&amp;" "&amp;I2106&amp;" "&amp;J2106&amp;" "&amp;K2106&amp;" "&amp;L2106))),OR($C$5="Semua",$C$5="",G2106=$C$5),OR($C$6="Semua",$C$6="",H2106=$C$6,H2106="Pengeluaran "&amp;$C$6,AND($C$6="Uang Kos Mama",H2106="Pengeluaran Uang Kos")),OR($C$7="Semua",$C$7="",I2106=$C$7),OR($C$8="Semua",$C$8="",C2106=$C$8,E2106=$C$8),OR($C$9="Semua",$C$9="",D2106=$C$9),OR($C$10="",B2106&gt;=$C$10),OR($C$11="",B2106&lt;=$C$11),OR($C$12&lt;&gt;"Ya",K2106&lt;&gt;""),OR($C$13="Semua",$C$13="",L2106=$C$13)),"✓","")</f>
        <v/>
      </c>
      <c r="N2106" s="93">
        <f>N(N2105)+IF(M2106="✓",1,0)</f>
        <v/>
      </c>
      <c r="O2106" s="93">
        <f>N(O2105)+IF(AND(B2106&lt;&gt;"",B2106&gt;='Uang Riba'!$H$30,B2106&lt;='Uang Riba'!$I$30,OR(H2106="Dana riba",H2106="Pinjam uang riba",I2106="Pinjam dari uang riba",I2106="Ganti uang riba",I2106="Kelebihan ganti dikembalikan",AND(C2106="Kantong Uang Riba",G2106="Pengeluaran"))),1,0)</f>
        <v/>
      </c>
      <c r="X2106" s="93">
        <f>IF(AND(B2106&lt;&gt;"",B2106&gt;='Buku Akun'!$H$4,B2106&lt;='Buku Akun'!$H$5,OR(C2106='Buku Akun'!$C$4,AND(D2106="Pindah",E2106='Buku Akun'!$C$4))),B2106+IF(AND(I2106="Selisih bunga",DAY(B2106)=1),0,0.01)+ROW()/10000000,"")</f>
        <v/>
      </c>
    </row>
    <row r="2107" outlineLevel="1" ht="15" customHeight="1" s="94">
      <c r="A2107" s="123">
        <f>IF(B2107="","",ROW()-15)</f>
        <v/>
      </c>
      <c r="B2107" s="124" t="n"/>
      <c r="C2107" s="123" t="n"/>
      <c r="D2107" s="123" t="n"/>
      <c r="E2107" s="123" t="n"/>
      <c r="F2107" s="125" t="n"/>
      <c r="G2107" s="123" t="n"/>
      <c r="H2107" s="123" t="n"/>
      <c r="I2107" s="123" t="n"/>
      <c r="J2107" s="123" t="n"/>
      <c r="K2107" s="123" t="n"/>
      <c r="L2107" s="123" t="n"/>
      <c r="M2107" s="123">
        <f>IF(AND(B2107&lt;&gt;"",OR($C$4="",ISNUMBER(SEARCH($C$4,C2107&amp;" "&amp;E2107&amp;" "&amp;G2107&amp;" "&amp;H2107&amp;" "&amp;I2107&amp;" "&amp;J2107&amp;" "&amp;K2107&amp;" "&amp;L2107))),OR($C$5="Semua",$C$5="",G2107=$C$5),OR($C$6="Semua",$C$6="",H2107=$C$6,H2107="Pengeluaran "&amp;$C$6,AND($C$6="Uang Kos Mama",H2107="Pengeluaran Uang Kos")),OR($C$7="Semua",$C$7="",I2107=$C$7),OR($C$8="Semua",$C$8="",C2107=$C$8,E2107=$C$8),OR($C$9="Semua",$C$9="",D2107=$C$9),OR($C$10="",B2107&gt;=$C$10),OR($C$11="",B2107&lt;=$C$11),OR($C$12&lt;&gt;"Ya",K2107&lt;&gt;""),OR($C$13="Semua",$C$13="",L2107=$C$13)),"✓","")</f>
        <v/>
      </c>
      <c r="N2107" s="93">
        <f>N(N2106)+IF(M2107="✓",1,0)</f>
        <v/>
      </c>
      <c r="O2107" s="93">
        <f>N(O2106)+IF(AND(B2107&lt;&gt;"",B2107&gt;='Uang Riba'!$H$30,B2107&lt;='Uang Riba'!$I$30,OR(H2107="Dana riba",H2107="Pinjam uang riba",I2107="Pinjam dari uang riba",I2107="Ganti uang riba",I2107="Kelebihan ganti dikembalikan",AND(C2107="Kantong Uang Riba",G2107="Pengeluaran"))),1,0)</f>
        <v/>
      </c>
      <c r="X2107" s="93">
        <f>IF(AND(B2107&lt;&gt;"",B2107&gt;='Buku Akun'!$H$4,B2107&lt;='Buku Akun'!$H$5,OR(C2107='Buku Akun'!$C$4,AND(D2107="Pindah",E2107='Buku Akun'!$C$4))),B2107+IF(AND(I2107="Selisih bunga",DAY(B2107)=1),0,0.01)+ROW()/10000000,"")</f>
        <v/>
      </c>
    </row>
    <row r="2108" outlineLevel="1" ht="15" customHeight="1" s="94">
      <c r="A2108" s="123">
        <f>IF(B2108="","",ROW()-15)</f>
        <v/>
      </c>
      <c r="B2108" s="124" t="n"/>
      <c r="C2108" s="123" t="n"/>
      <c r="D2108" s="123" t="n"/>
      <c r="E2108" s="123" t="n"/>
      <c r="F2108" s="125" t="n"/>
      <c r="G2108" s="123" t="n"/>
      <c r="H2108" s="123" t="n"/>
      <c r="I2108" s="123" t="n"/>
      <c r="J2108" s="123" t="n"/>
      <c r="K2108" s="123" t="n"/>
      <c r="L2108" s="123" t="n"/>
      <c r="M2108" s="123">
        <f>IF(AND(B2108&lt;&gt;"",OR($C$4="",ISNUMBER(SEARCH($C$4,C2108&amp;" "&amp;E2108&amp;" "&amp;G2108&amp;" "&amp;H2108&amp;" "&amp;I2108&amp;" "&amp;J2108&amp;" "&amp;K2108&amp;" "&amp;L2108))),OR($C$5="Semua",$C$5="",G2108=$C$5),OR($C$6="Semua",$C$6="",H2108=$C$6,H2108="Pengeluaran "&amp;$C$6,AND($C$6="Uang Kos Mama",H2108="Pengeluaran Uang Kos")),OR($C$7="Semua",$C$7="",I2108=$C$7),OR($C$8="Semua",$C$8="",C2108=$C$8,E2108=$C$8),OR($C$9="Semua",$C$9="",D2108=$C$9),OR($C$10="",B2108&gt;=$C$10),OR($C$11="",B2108&lt;=$C$11),OR($C$12&lt;&gt;"Ya",K2108&lt;&gt;""),OR($C$13="Semua",$C$13="",L2108=$C$13)),"✓","")</f>
        <v/>
      </c>
      <c r="N2108" s="93">
        <f>N(N2107)+IF(M2108="✓",1,0)</f>
        <v/>
      </c>
      <c r="O2108" s="93">
        <f>N(O2107)+IF(AND(B2108&lt;&gt;"",B2108&gt;='Uang Riba'!$H$30,B2108&lt;='Uang Riba'!$I$30,OR(H2108="Dana riba",H2108="Pinjam uang riba",I2108="Pinjam dari uang riba",I2108="Ganti uang riba",I2108="Kelebihan ganti dikembalikan",AND(C2108="Kantong Uang Riba",G2108="Pengeluaran"))),1,0)</f>
        <v/>
      </c>
      <c r="X2108" s="93">
        <f>IF(AND(B2108&lt;&gt;"",B2108&gt;='Buku Akun'!$H$4,B2108&lt;='Buku Akun'!$H$5,OR(C2108='Buku Akun'!$C$4,AND(D2108="Pindah",E2108='Buku Akun'!$C$4))),B2108+IF(AND(I2108="Selisih bunga",DAY(B2108)=1),0,0.01)+ROW()/10000000,"")</f>
        <v/>
      </c>
    </row>
    <row r="2109" outlineLevel="1" ht="15" customHeight="1" s="94">
      <c r="A2109" s="123">
        <f>IF(B2109="","",ROW()-15)</f>
        <v/>
      </c>
      <c r="B2109" s="124" t="n"/>
      <c r="C2109" s="123" t="n"/>
      <c r="D2109" s="123" t="n"/>
      <c r="E2109" s="123" t="n"/>
      <c r="F2109" s="125" t="n"/>
      <c r="G2109" s="123" t="n"/>
      <c r="H2109" s="123" t="n"/>
      <c r="I2109" s="123" t="n"/>
      <c r="J2109" s="123" t="n"/>
      <c r="K2109" s="123" t="n"/>
      <c r="L2109" s="123" t="n"/>
      <c r="M2109" s="123">
        <f>IF(AND(B2109&lt;&gt;"",OR($C$4="",ISNUMBER(SEARCH($C$4,C2109&amp;" "&amp;E2109&amp;" "&amp;G2109&amp;" "&amp;H2109&amp;" "&amp;I2109&amp;" "&amp;J2109&amp;" "&amp;K2109&amp;" "&amp;L2109))),OR($C$5="Semua",$C$5="",G2109=$C$5),OR($C$6="Semua",$C$6="",H2109=$C$6,H2109="Pengeluaran "&amp;$C$6,AND($C$6="Uang Kos Mama",H2109="Pengeluaran Uang Kos")),OR($C$7="Semua",$C$7="",I2109=$C$7),OR($C$8="Semua",$C$8="",C2109=$C$8,E2109=$C$8),OR($C$9="Semua",$C$9="",D2109=$C$9),OR($C$10="",B2109&gt;=$C$10),OR($C$11="",B2109&lt;=$C$11),OR($C$12&lt;&gt;"Ya",K2109&lt;&gt;""),OR($C$13="Semua",$C$13="",L2109=$C$13)),"✓","")</f>
        <v/>
      </c>
      <c r="N2109" s="93">
        <f>N(N2108)+IF(M2109="✓",1,0)</f>
        <v/>
      </c>
      <c r="O2109" s="93">
        <f>N(O2108)+IF(AND(B2109&lt;&gt;"",B2109&gt;='Uang Riba'!$H$30,B2109&lt;='Uang Riba'!$I$30,OR(H2109="Dana riba",H2109="Pinjam uang riba",I2109="Pinjam dari uang riba",I2109="Ganti uang riba",I2109="Kelebihan ganti dikembalikan",AND(C2109="Kantong Uang Riba",G2109="Pengeluaran"))),1,0)</f>
        <v/>
      </c>
      <c r="X2109" s="93">
        <f>IF(AND(B2109&lt;&gt;"",B2109&gt;='Buku Akun'!$H$4,B2109&lt;='Buku Akun'!$H$5,OR(C2109='Buku Akun'!$C$4,AND(D2109="Pindah",E2109='Buku Akun'!$C$4))),B2109+IF(AND(I2109="Selisih bunga",DAY(B2109)=1),0,0.01)+ROW()/10000000,"")</f>
        <v/>
      </c>
    </row>
    <row r="2110" outlineLevel="1" ht="15" customHeight="1" s="94">
      <c r="A2110" s="123">
        <f>IF(B2110="","",ROW()-15)</f>
        <v/>
      </c>
      <c r="B2110" s="124" t="n"/>
      <c r="C2110" s="123" t="n"/>
      <c r="D2110" s="123" t="n"/>
      <c r="E2110" s="123" t="n"/>
      <c r="F2110" s="125" t="n"/>
      <c r="G2110" s="123" t="n"/>
      <c r="H2110" s="123" t="n"/>
      <c r="I2110" s="123" t="n"/>
      <c r="J2110" s="123" t="n"/>
      <c r="K2110" s="123" t="n"/>
      <c r="L2110" s="123" t="n"/>
      <c r="M2110" s="123">
        <f>IF(AND(B2110&lt;&gt;"",OR($C$4="",ISNUMBER(SEARCH($C$4,C2110&amp;" "&amp;E2110&amp;" "&amp;G2110&amp;" "&amp;H2110&amp;" "&amp;I2110&amp;" "&amp;J2110&amp;" "&amp;K2110&amp;" "&amp;L2110))),OR($C$5="Semua",$C$5="",G2110=$C$5),OR($C$6="Semua",$C$6="",H2110=$C$6,H2110="Pengeluaran "&amp;$C$6,AND($C$6="Uang Kos Mama",H2110="Pengeluaran Uang Kos")),OR($C$7="Semua",$C$7="",I2110=$C$7),OR($C$8="Semua",$C$8="",C2110=$C$8,E2110=$C$8),OR($C$9="Semua",$C$9="",D2110=$C$9),OR($C$10="",B2110&gt;=$C$10),OR($C$11="",B2110&lt;=$C$11),OR($C$12&lt;&gt;"Ya",K2110&lt;&gt;""),OR($C$13="Semua",$C$13="",L2110=$C$13)),"✓","")</f>
        <v/>
      </c>
      <c r="N2110" s="93">
        <f>N(N2109)+IF(M2110="✓",1,0)</f>
        <v/>
      </c>
      <c r="O2110" s="93">
        <f>N(O2109)+IF(AND(B2110&lt;&gt;"",B2110&gt;='Uang Riba'!$H$30,B2110&lt;='Uang Riba'!$I$30,OR(H2110="Dana riba",H2110="Pinjam uang riba",I2110="Pinjam dari uang riba",I2110="Ganti uang riba",I2110="Kelebihan ganti dikembalikan",AND(C2110="Kantong Uang Riba",G2110="Pengeluaran"))),1,0)</f>
        <v/>
      </c>
      <c r="X2110" s="93">
        <f>IF(AND(B2110&lt;&gt;"",B2110&gt;='Buku Akun'!$H$4,B2110&lt;='Buku Akun'!$H$5,OR(C2110='Buku Akun'!$C$4,AND(D2110="Pindah",E2110='Buku Akun'!$C$4))),B2110+IF(AND(I2110="Selisih bunga",DAY(B2110)=1),0,0.01)+ROW()/10000000,"")</f>
        <v/>
      </c>
    </row>
    <row r="2111" outlineLevel="1" ht="15" customHeight="1" s="94">
      <c r="A2111" s="123">
        <f>IF(B2111="","",ROW()-15)</f>
        <v/>
      </c>
      <c r="B2111" s="124" t="n"/>
      <c r="C2111" s="123" t="n"/>
      <c r="D2111" s="123" t="n"/>
      <c r="E2111" s="123" t="n"/>
      <c r="F2111" s="125" t="n"/>
      <c r="G2111" s="123" t="n"/>
      <c r="H2111" s="123" t="n"/>
      <c r="I2111" s="123" t="n"/>
      <c r="J2111" s="123" t="n"/>
      <c r="K2111" s="123" t="n"/>
      <c r="L2111" s="123" t="n"/>
      <c r="M2111" s="123">
        <f>IF(AND(B2111&lt;&gt;"",OR($C$4="",ISNUMBER(SEARCH($C$4,C2111&amp;" "&amp;E2111&amp;" "&amp;G2111&amp;" "&amp;H2111&amp;" "&amp;I2111&amp;" "&amp;J2111&amp;" "&amp;K2111&amp;" "&amp;L2111))),OR($C$5="Semua",$C$5="",G2111=$C$5),OR($C$6="Semua",$C$6="",H2111=$C$6,H2111="Pengeluaran "&amp;$C$6,AND($C$6="Uang Kos Mama",H2111="Pengeluaran Uang Kos")),OR($C$7="Semua",$C$7="",I2111=$C$7),OR($C$8="Semua",$C$8="",C2111=$C$8,E2111=$C$8),OR($C$9="Semua",$C$9="",D2111=$C$9),OR($C$10="",B2111&gt;=$C$10),OR($C$11="",B2111&lt;=$C$11),OR($C$12&lt;&gt;"Ya",K2111&lt;&gt;""),OR($C$13="Semua",$C$13="",L2111=$C$13)),"✓","")</f>
        <v/>
      </c>
      <c r="N2111" s="93">
        <f>N(N2110)+IF(M2111="✓",1,0)</f>
        <v/>
      </c>
      <c r="O2111" s="93">
        <f>N(O2110)+IF(AND(B2111&lt;&gt;"",B2111&gt;='Uang Riba'!$H$30,B2111&lt;='Uang Riba'!$I$30,OR(H2111="Dana riba",H2111="Pinjam uang riba",I2111="Pinjam dari uang riba",I2111="Ganti uang riba",I2111="Kelebihan ganti dikembalikan",AND(C2111="Kantong Uang Riba",G2111="Pengeluaran"))),1,0)</f>
        <v/>
      </c>
      <c r="X2111" s="93">
        <f>IF(AND(B2111&lt;&gt;"",B2111&gt;='Buku Akun'!$H$4,B2111&lt;='Buku Akun'!$H$5,OR(C2111='Buku Akun'!$C$4,AND(D2111="Pindah",E2111='Buku Akun'!$C$4))),B2111+IF(AND(I2111="Selisih bunga",DAY(B2111)=1),0,0.01)+ROW()/10000000,"")</f>
        <v/>
      </c>
    </row>
    <row r="2112" outlineLevel="1" ht="15" customHeight="1" s="94">
      <c r="A2112" s="123">
        <f>IF(B2112="","",ROW()-15)</f>
        <v/>
      </c>
      <c r="B2112" s="124" t="n"/>
      <c r="C2112" s="123" t="n"/>
      <c r="D2112" s="123" t="n"/>
      <c r="E2112" s="123" t="n"/>
      <c r="F2112" s="125" t="n"/>
      <c r="G2112" s="123" t="n"/>
      <c r="H2112" s="123" t="n"/>
      <c r="I2112" s="123" t="n"/>
      <c r="J2112" s="123" t="n"/>
      <c r="K2112" s="123" t="n"/>
      <c r="L2112" s="123" t="n"/>
      <c r="M2112" s="123">
        <f>IF(AND(B2112&lt;&gt;"",OR($C$4="",ISNUMBER(SEARCH($C$4,C2112&amp;" "&amp;E2112&amp;" "&amp;G2112&amp;" "&amp;H2112&amp;" "&amp;I2112&amp;" "&amp;J2112&amp;" "&amp;K2112&amp;" "&amp;L2112))),OR($C$5="Semua",$C$5="",G2112=$C$5),OR($C$6="Semua",$C$6="",H2112=$C$6,H2112="Pengeluaran "&amp;$C$6,AND($C$6="Uang Kos Mama",H2112="Pengeluaran Uang Kos")),OR($C$7="Semua",$C$7="",I2112=$C$7),OR($C$8="Semua",$C$8="",C2112=$C$8,E2112=$C$8),OR($C$9="Semua",$C$9="",D2112=$C$9),OR($C$10="",B2112&gt;=$C$10),OR($C$11="",B2112&lt;=$C$11),OR($C$12&lt;&gt;"Ya",K2112&lt;&gt;""),OR($C$13="Semua",$C$13="",L2112=$C$13)),"✓","")</f>
        <v/>
      </c>
      <c r="N2112" s="93">
        <f>N(N2111)+IF(M2112="✓",1,0)</f>
        <v/>
      </c>
      <c r="O2112" s="93">
        <f>N(O2111)+IF(AND(B2112&lt;&gt;"",B2112&gt;='Uang Riba'!$H$30,B2112&lt;='Uang Riba'!$I$30,OR(H2112="Dana riba",H2112="Pinjam uang riba",I2112="Pinjam dari uang riba",I2112="Ganti uang riba",I2112="Kelebihan ganti dikembalikan",AND(C2112="Kantong Uang Riba",G2112="Pengeluaran"))),1,0)</f>
        <v/>
      </c>
      <c r="X2112" s="93">
        <f>IF(AND(B2112&lt;&gt;"",B2112&gt;='Buku Akun'!$H$4,B2112&lt;='Buku Akun'!$H$5,OR(C2112='Buku Akun'!$C$4,AND(D2112="Pindah",E2112='Buku Akun'!$C$4))),B2112+IF(AND(I2112="Selisih bunga",DAY(B2112)=1),0,0.01)+ROW()/10000000,"")</f>
        <v/>
      </c>
    </row>
    <row r="2113" outlineLevel="1" ht="15" customHeight="1" s="94">
      <c r="A2113" s="123">
        <f>IF(B2113="","",ROW()-15)</f>
        <v/>
      </c>
      <c r="B2113" s="124" t="n"/>
      <c r="C2113" s="123" t="n"/>
      <c r="D2113" s="123" t="n"/>
      <c r="E2113" s="123" t="n"/>
      <c r="F2113" s="125" t="n"/>
      <c r="G2113" s="123" t="n"/>
      <c r="H2113" s="123" t="n"/>
      <c r="I2113" s="123" t="n"/>
      <c r="J2113" s="123" t="n"/>
      <c r="K2113" s="123" t="n"/>
      <c r="L2113" s="123" t="n"/>
      <c r="M2113" s="123">
        <f>IF(AND(B2113&lt;&gt;"",OR($C$4="",ISNUMBER(SEARCH($C$4,C2113&amp;" "&amp;E2113&amp;" "&amp;G2113&amp;" "&amp;H2113&amp;" "&amp;I2113&amp;" "&amp;J2113&amp;" "&amp;K2113&amp;" "&amp;L2113))),OR($C$5="Semua",$C$5="",G2113=$C$5),OR($C$6="Semua",$C$6="",H2113=$C$6,H2113="Pengeluaran "&amp;$C$6,AND($C$6="Uang Kos Mama",H2113="Pengeluaran Uang Kos")),OR($C$7="Semua",$C$7="",I2113=$C$7),OR($C$8="Semua",$C$8="",C2113=$C$8,E2113=$C$8),OR($C$9="Semua",$C$9="",D2113=$C$9),OR($C$10="",B2113&gt;=$C$10),OR($C$11="",B2113&lt;=$C$11),OR($C$12&lt;&gt;"Ya",K2113&lt;&gt;""),OR($C$13="Semua",$C$13="",L2113=$C$13)),"✓","")</f>
        <v/>
      </c>
      <c r="N2113" s="93">
        <f>N(N2112)+IF(M2113="✓",1,0)</f>
        <v/>
      </c>
      <c r="O2113" s="93">
        <f>N(O2112)+IF(AND(B2113&lt;&gt;"",B2113&gt;='Uang Riba'!$H$30,B2113&lt;='Uang Riba'!$I$30,OR(H2113="Dana riba",H2113="Pinjam uang riba",I2113="Pinjam dari uang riba",I2113="Ganti uang riba",I2113="Kelebihan ganti dikembalikan",AND(C2113="Kantong Uang Riba",G2113="Pengeluaran"))),1,0)</f>
        <v/>
      </c>
      <c r="X2113" s="93">
        <f>IF(AND(B2113&lt;&gt;"",B2113&gt;='Buku Akun'!$H$4,B2113&lt;='Buku Akun'!$H$5,OR(C2113='Buku Akun'!$C$4,AND(D2113="Pindah",E2113='Buku Akun'!$C$4))),B2113+IF(AND(I2113="Selisih bunga",DAY(B2113)=1),0,0.01)+ROW()/10000000,"")</f>
        <v/>
      </c>
    </row>
    <row r="2114" outlineLevel="1" ht="15" customHeight="1" s="94">
      <c r="A2114" s="123">
        <f>IF(B2114="","",ROW()-15)</f>
        <v/>
      </c>
      <c r="B2114" s="124" t="n"/>
      <c r="C2114" s="123" t="n"/>
      <c r="D2114" s="123" t="n"/>
      <c r="E2114" s="123" t="n"/>
      <c r="F2114" s="125" t="n"/>
      <c r="G2114" s="123" t="n"/>
      <c r="H2114" s="123" t="n"/>
      <c r="I2114" s="123" t="n"/>
      <c r="J2114" s="123" t="n"/>
      <c r="K2114" s="123" t="n"/>
      <c r="L2114" s="123" t="n"/>
      <c r="M2114" s="123">
        <f>IF(AND(B2114&lt;&gt;"",OR($C$4="",ISNUMBER(SEARCH($C$4,C2114&amp;" "&amp;E2114&amp;" "&amp;G2114&amp;" "&amp;H2114&amp;" "&amp;I2114&amp;" "&amp;J2114&amp;" "&amp;K2114&amp;" "&amp;L2114))),OR($C$5="Semua",$C$5="",G2114=$C$5),OR($C$6="Semua",$C$6="",H2114=$C$6,H2114="Pengeluaran "&amp;$C$6,AND($C$6="Uang Kos Mama",H2114="Pengeluaran Uang Kos")),OR($C$7="Semua",$C$7="",I2114=$C$7),OR($C$8="Semua",$C$8="",C2114=$C$8,E2114=$C$8),OR($C$9="Semua",$C$9="",D2114=$C$9),OR($C$10="",B2114&gt;=$C$10),OR($C$11="",B2114&lt;=$C$11),OR($C$12&lt;&gt;"Ya",K2114&lt;&gt;""),OR($C$13="Semua",$C$13="",L2114=$C$13)),"✓","")</f>
        <v/>
      </c>
      <c r="N2114" s="93">
        <f>N(N2113)+IF(M2114="✓",1,0)</f>
        <v/>
      </c>
      <c r="O2114" s="93">
        <f>N(O2113)+IF(AND(B2114&lt;&gt;"",B2114&gt;='Uang Riba'!$H$30,B2114&lt;='Uang Riba'!$I$30,OR(H2114="Dana riba",H2114="Pinjam uang riba",I2114="Pinjam dari uang riba",I2114="Ganti uang riba",I2114="Kelebihan ganti dikembalikan",AND(C2114="Kantong Uang Riba",G2114="Pengeluaran"))),1,0)</f>
        <v/>
      </c>
      <c r="X2114" s="93">
        <f>IF(AND(B2114&lt;&gt;"",B2114&gt;='Buku Akun'!$H$4,B2114&lt;='Buku Akun'!$H$5,OR(C2114='Buku Akun'!$C$4,AND(D2114="Pindah",E2114='Buku Akun'!$C$4))),B2114+IF(AND(I2114="Selisih bunga",DAY(B2114)=1),0,0.01)+ROW()/10000000,"")</f>
        <v/>
      </c>
    </row>
    <row r="2115" outlineLevel="1" ht="15" customHeight="1" s="94">
      <c r="A2115" s="123">
        <f>IF(B2115="","",ROW()-15)</f>
        <v/>
      </c>
      <c r="B2115" s="124" t="n"/>
      <c r="C2115" s="123" t="n"/>
      <c r="D2115" s="123" t="n"/>
      <c r="E2115" s="123" t="n"/>
      <c r="F2115" s="125" t="n"/>
      <c r="G2115" s="123" t="n"/>
      <c r="H2115" s="123" t="n"/>
      <c r="I2115" s="123" t="n"/>
      <c r="J2115" s="123" t="n"/>
      <c r="K2115" s="123" t="n"/>
      <c r="L2115" s="123" t="n"/>
      <c r="M2115" s="123">
        <f>IF(AND(B2115&lt;&gt;"",OR($C$4="",ISNUMBER(SEARCH($C$4,C2115&amp;" "&amp;E2115&amp;" "&amp;G2115&amp;" "&amp;H2115&amp;" "&amp;I2115&amp;" "&amp;J2115&amp;" "&amp;K2115&amp;" "&amp;L2115))),OR($C$5="Semua",$C$5="",G2115=$C$5),OR($C$6="Semua",$C$6="",H2115=$C$6,H2115="Pengeluaran "&amp;$C$6,AND($C$6="Uang Kos Mama",H2115="Pengeluaran Uang Kos")),OR($C$7="Semua",$C$7="",I2115=$C$7),OR($C$8="Semua",$C$8="",C2115=$C$8,E2115=$C$8),OR($C$9="Semua",$C$9="",D2115=$C$9),OR($C$10="",B2115&gt;=$C$10),OR($C$11="",B2115&lt;=$C$11),OR($C$12&lt;&gt;"Ya",K2115&lt;&gt;""),OR($C$13="Semua",$C$13="",L2115=$C$13)),"✓","")</f>
        <v/>
      </c>
      <c r="N2115" s="93">
        <f>N(N2114)+IF(M2115="✓",1,0)</f>
        <v/>
      </c>
      <c r="O2115" s="93">
        <f>N(O2114)+IF(AND(B2115&lt;&gt;"",B2115&gt;='Uang Riba'!$H$30,B2115&lt;='Uang Riba'!$I$30,OR(H2115="Dana riba",H2115="Pinjam uang riba",I2115="Pinjam dari uang riba",I2115="Ganti uang riba",I2115="Kelebihan ganti dikembalikan",AND(C2115="Kantong Uang Riba",G2115="Pengeluaran"))),1,0)</f>
        <v/>
      </c>
      <c r="X2115" s="93">
        <f>IF(AND(B2115&lt;&gt;"",B2115&gt;='Buku Akun'!$H$4,B2115&lt;='Buku Akun'!$H$5,OR(C2115='Buku Akun'!$C$4,AND(D2115="Pindah",E2115='Buku Akun'!$C$4))),B2115+IF(AND(I2115="Selisih bunga",DAY(B2115)=1),0,0.01)+ROW()/10000000,"")</f>
        <v/>
      </c>
    </row>
    <row r="2116" outlineLevel="1" ht="15" customHeight="1" s="94">
      <c r="A2116" s="123">
        <f>IF(B2116="","",ROW()-15)</f>
        <v/>
      </c>
      <c r="B2116" s="124" t="n"/>
      <c r="C2116" s="123" t="n"/>
      <c r="D2116" s="123" t="n"/>
      <c r="E2116" s="123" t="n"/>
      <c r="F2116" s="125" t="n"/>
      <c r="G2116" s="123" t="n"/>
      <c r="H2116" s="123" t="n"/>
      <c r="I2116" s="123" t="n"/>
      <c r="J2116" s="123" t="n"/>
      <c r="K2116" s="123" t="n"/>
      <c r="L2116" s="123" t="n"/>
      <c r="M2116" s="123">
        <f>IF(AND(B2116&lt;&gt;"",OR($C$4="",ISNUMBER(SEARCH($C$4,C2116&amp;" "&amp;E2116&amp;" "&amp;G2116&amp;" "&amp;H2116&amp;" "&amp;I2116&amp;" "&amp;J2116&amp;" "&amp;K2116&amp;" "&amp;L2116))),OR($C$5="Semua",$C$5="",G2116=$C$5),OR($C$6="Semua",$C$6="",H2116=$C$6,H2116="Pengeluaran "&amp;$C$6,AND($C$6="Uang Kos Mama",H2116="Pengeluaran Uang Kos")),OR($C$7="Semua",$C$7="",I2116=$C$7),OR($C$8="Semua",$C$8="",C2116=$C$8,E2116=$C$8),OR($C$9="Semua",$C$9="",D2116=$C$9),OR($C$10="",B2116&gt;=$C$10),OR($C$11="",B2116&lt;=$C$11),OR($C$12&lt;&gt;"Ya",K2116&lt;&gt;""),OR($C$13="Semua",$C$13="",L2116=$C$13)),"✓","")</f>
        <v/>
      </c>
      <c r="N2116" s="93">
        <f>N(N2115)+IF(M2116="✓",1,0)</f>
        <v/>
      </c>
      <c r="O2116" s="93">
        <f>N(O2115)+IF(AND(B2116&lt;&gt;"",B2116&gt;='Uang Riba'!$H$30,B2116&lt;='Uang Riba'!$I$30,OR(H2116="Dana riba",H2116="Pinjam uang riba",I2116="Pinjam dari uang riba",I2116="Ganti uang riba",I2116="Kelebihan ganti dikembalikan",AND(C2116="Kantong Uang Riba",G2116="Pengeluaran"))),1,0)</f>
        <v/>
      </c>
      <c r="X2116" s="93">
        <f>IF(AND(B2116&lt;&gt;"",B2116&gt;='Buku Akun'!$H$4,B2116&lt;='Buku Akun'!$H$5,OR(C2116='Buku Akun'!$C$4,AND(D2116="Pindah",E2116='Buku Akun'!$C$4))),B2116+IF(AND(I2116="Selisih bunga",DAY(B2116)=1),0,0.01)+ROW()/10000000,"")</f>
        <v/>
      </c>
    </row>
    <row r="2117" outlineLevel="1" ht="15" customHeight="1" s="94">
      <c r="A2117" s="123">
        <f>IF(B2117="","",ROW()-15)</f>
        <v/>
      </c>
      <c r="B2117" s="124" t="n"/>
      <c r="C2117" s="123" t="n"/>
      <c r="D2117" s="123" t="n"/>
      <c r="E2117" s="123" t="n"/>
      <c r="F2117" s="125" t="n"/>
      <c r="G2117" s="123" t="n"/>
      <c r="H2117" s="123" t="n"/>
      <c r="I2117" s="123" t="n"/>
      <c r="J2117" s="123" t="n"/>
      <c r="K2117" s="123" t="n"/>
      <c r="L2117" s="123" t="n"/>
      <c r="M2117" s="123">
        <f>IF(AND(B2117&lt;&gt;"",OR($C$4="",ISNUMBER(SEARCH($C$4,C2117&amp;" "&amp;E2117&amp;" "&amp;G2117&amp;" "&amp;H2117&amp;" "&amp;I2117&amp;" "&amp;J2117&amp;" "&amp;K2117&amp;" "&amp;L2117))),OR($C$5="Semua",$C$5="",G2117=$C$5),OR($C$6="Semua",$C$6="",H2117=$C$6,H2117="Pengeluaran "&amp;$C$6,AND($C$6="Uang Kos Mama",H2117="Pengeluaran Uang Kos")),OR($C$7="Semua",$C$7="",I2117=$C$7),OR($C$8="Semua",$C$8="",C2117=$C$8,E2117=$C$8),OR($C$9="Semua",$C$9="",D2117=$C$9),OR($C$10="",B2117&gt;=$C$10),OR($C$11="",B2117&lt;=$C$11),OR($C$12&lt;&gt;"Ya",K2117&lt;&gt;""),OR($C$13="Semua",$C$13="",L2117=$C$13)),"✓","")</f>
        <v/>
      </c>
      <c r="N2117" s="93">
        <f>N(N2116)+IF(M2117="✓",1,0)</f>
        <v/>
      </c>
      <c r="O2117" s="93">
        <f>N(O2116)+IF(AND(B2117&lt;&gt;"",B2117&gt;='Uang Riba'!$H$30,B2117&lt;='Uang Riba'!$I$30,OR(H2117="Dana riba",H2117="Pinjam uang riba",I2117="Pinjam dari uang riba",I2117="Ganti uang riba",I2117="Kelebihan ganti dikembalikan",AND(C2117="Kantong Uang Riba",G2117="Pengeluaran"))),1,0)</f>
        <v/>
      </c>
      <c r="X2117" s="93">
        <f>IF(AND(B2117&lt;&gt;"",B2117&gt;='Buku Akun'!$H$4,B2117&lt;='Buku Akun'!$H$5,OR(C2117='Buku Akun'!$C$4,AND(D2117="Pindah",E2117='Buku Akun'!$C$4))),B2117+IF(AND(I2117="Selisih bunga",DAY(B2117)=1),0,0.01)+ROW()/10000000,"")</f>
        <v/>
      </c>
    </row>
    <row r="2118" outlineLevel="1" ht="15" customHeight="1" s="94">
      <c r="A2118" s="123">
        <f>IF(B2118="","",ROW()-15)</f>
        <v/>
      </c>
      <c r="B2118" s="124" t="n"/>
      <c r="C2118" s="123" t="n"/>
      <c r="D2118" s="123" t="n"/>
      <c r="E2118" s="123" t="n"/>
      <c r="F2118" s="125" t="n"/>
      <c r="G2118" s="123" t="n"/>
      <c r="H2118" s="123" t="n"/>
      <c r="I2118" s="123" t="n"/>
      <c r="J2118" s="123" t="n"/>
      <c r="K2118" s="123" t="n"/>
      <c r="L2118" s="123" t="n"/>
      <c r="M2118" s="123">
        <f>IF(AND(B2118&lt;&gt;"",OR($C$4="",ISNUMBER(SEARCH($C$4,C2118&amp;" "&amp;E2118&amp;" "&amp;G2118&amp;" "&amp;H2118&amp;" "&amp;I2118&amp;" "&amp;J2118&amp;" "&amp;K2118&amp;" "&amp;L2118))),OR($C$5="Semua",$C$5="",G2118=$C$5),OR($C$6="Semua",$C$6="",H2118=$C$6,H2118="Pengeluaran "&amp;$C$6,AND($C$6="Uang Kos Mama",H2118="Pengeluaran Uang Kos")),OR($C$7="Semua",$C$7="",I2118=$C$7),OR($C$8="Semua",$C$8="",C2118=$C$8,E2118=$C$8),OR($C$9="Semua",$C$9="",D2118=$C$9),OR($C$10="",B2118&gt;=$C$10),OR($C$11="",B2118&lt;=$C$11),OR($C$12&lt;&gt;"Ya",K2118&lt;&gt;""),OR($C$13="Semua",$C$13="",L2118=$C$13)),"✓","")</f>
        <v/>
      </c>
      <c r="N2118" s="93">
        <f>N(N2117)+IF(M2118="✓",1,0)</f>
        <v/>
      </c>
      <c r="O2118" s="93">
        <f>N(O2117)+IF(AND(B2118&lt;&gt;"",B2118&gt;='Uang Riba'!$H$30,B2118&lt;='Uang Riba'!$I$30,OR(H2118="Dana riba",H2118="Pinjam uang riba",I2118="Pinjam dari uang riba",I2118="Ganti uang riba",I2118="Kelebihan ganti dikembalikan",AND(C2118="Kantong Uang Riba",G2118="Pengeluaran"))),1,0)</f>
        <v/>
      </c>
      <c r="X2118" s="93">
        <f>IF(AND(B2118&lt;&gt;"",B2118&gt;='Buku Akun'!$H$4,B2118&lt;='Buku Akun'!$H$5,OR(C2118='Buku Akun'!$C$4,AND(D2118="Pindah",E2118='Buku Akun'!$C$4))),B2118+IF(AND(I2118="Selisih bunga",DAY(B2118)=1),0,0.01)+ROW()/10000000,"")</f>
        <v/>
      </c>
    </row>
    <row r="2119" outlineLevel="1" ht="15" customHeight="1" s="94">
      <c r="A2119" s="123">
        <f>IF(B2119="","",ROW()-15)</f>
        <v/>
      </c>
      <c r="B2119" s="124" t="n"/>
      <c r="C2119" s="123" t="n"/>
      <c r="D2119" s="123" t="n"/>
      <c r="E2119" s="123" t="n"/>
      <c r="F2119" s="125" t="n"/>
      <c r="G2119" s="123" t="n"/>
      <c r="H2119" s="123" t="n"/>
      <c r="I2119" s="123" t="n"/>
      <c r="J2119" s="123" t="n"/>
      <c r="K2119" s="123" t="n"/>
      <c r="L2119" s="123" t="n"/>
      <c r="M2119" s="123">
        <f>IF(AND(B2119&lt;&gt;"",OR($C$4="",ISNUMBER(SEARCH($C$4,C2119&amp;" "&amp;E2119&amp;" "&amp;G2119&amp;" "&amp;H2119&amp;" "&amp;I2119&amp;" "&amp;J2119&amp;" "&amp;K2119&amp;" "&amp;L2119))),OR($C$5="Semua",$C$5="",G2119=$C$5),OR($C$6="Semua",$C$6="",H2119=$C$6,H2119="Pengeluaran "&amp;$C$6,AND($C$6="Uang Kos Mama",H2119="Pengeluaran Uang Kos")),OR($C$7="Semua",$C$7="",I2119=$C$7),OR($C$8="Semua",$C$8="",C2119=$C$8,E2119=$C$8),OR($C$9="Semua",$C$9="",D2119=$C$9),OR($C$10="",B2119&gt;=$C$10),OR($C$11="",B2119&lt;=$C$11),OR($C$12&lt;&gt;"Ya",K2119&lt;&gt;""),OR($C$13="Semua",$C$13="",L2119=$C$13)),"✓","")</f>
        <v/>
      </c>
      <c r="N2119" s="93">
        <f>N(N2118)+IF(M2119="✓",1,0)</f>
        <v/>
      </c>
      <c r="O2119" s="93">
        <f>N(O2118)+IF(AND(B2119&lt;&gt;"",B2119&gt;='Uang Riba'!$H$30,B2119&lt;='Uang Riba'!$I$30,OR(H2119="Dana riba",H2119="Pinjam uang riba",I2119="Pinjam dari uang riba",I2119="Ganti uang riba",I2119="Kelebihan ganti dikembalikan",AND(C2119="Kantong Uang Riba",G2119="Pengeluaran"))),1,0)</f>
        <v/>
      </c>
      <c r="X2119" s="93">
        <f>IF(AND(B2119&lt;&gt;"",B2119&gt;='Buku Akun'!$H$4,B2119&lt;='Buku Akun'!$H$5,OR(C2119='Buku Akun'!$C$4,AND(D2119="Pindah",E2119='Buku Akun'!$C$4))),B2119+IF(AND(I2119="Selisih bunga",DAY(B2119)=1),0,0.01)+ROW()/10000000,"")</f>
        <v/>
      </c>
    </row>
    <row r="2120" outlineLevel="1" ht="15" customHeight="1" s="94">
      <c r="A2120" s="123">
        <f>IF(B2120="","",ROW()-15)</f>
        <v/>
      </c>
      <c r="B2120" s="124" t="n"/>
      <c r="C2120" s="123" t="n"/>
      <c r="D2120" s="123" t="n"/>
      <c r="E2120" s="123" t="n"/>
      <c r="F2120" s="125" t="n"/>
      <c r="G2120" s="123" t="n"/>
      <c r="H2120" s="123" t="n"/>
      <c r="I2120" s="123" t="n"/>
      <c r="J2120" s="123" t="n"/>
      <c r="K2120" s="123" t="n"/>
      <c r="L2120" s="123" t="n"/>
      <c r="M2120" s="123">
        <f>IF(AND(B2120&lt;&gt;"",OR($C$4="",ISNUMBER(SEARCH($C$4,C2120&amp;" "&amp;E2120&amp;" "&amp;G2120&amp;" "&amp;H2120&amp;" "&amp;I2120&amp;" "&amp;J2120&amp;" "&amp;K2120&amp;" "&amp;L2120))),OR($C$5="Semua",$C$5="",G2120=$C$5),OR($C$6="Semua",$C$6="",H2120=$C$6,H2120="Pengeluaran "&amp;$C$6,AND($C$6="Uang Kos Mama",H2120="Pengeluaran Uang Kos")),OR($C$7="Semua",$C$7="",I2120=$C$7),OR($C$8="Semua",$C$8="",C2120=$C$8,E2120=$C$8),OR($C$9="Semua",$C$9="",D2120=$C$9),OR($C$10="",B2120&gt;=$C$10),OR($C$11="",B2120&lt;=$C$11),OR($C$12&lt;&gt;"Ya",K2120&lt;&gt;""),OR($C$13="Semua",$C$13="",L2120=$C$13)),"✓","")</f>
        <v/>
      </c>
      <c r="N2120" s="93">
        <f>N(N2119)+IF(M2120="✓",1,0)</f>
        <v/>
      </c>
      <c r="O2120" s="93">
        <f>N(O2119)+IF(AND(B2120&lt;&gt;"",B2120&gt;='Uang Riba'!$H$30,B2120&lt;='Uang Riba'!$I$30,OR(H2120="Dana riba",H2120="Pinjam uang riba",I2120="Pinjam dari uang riba",I2120="Ganti uang riba",I2120="Kelebihan ganti dikembalikan",AND(C2120="Kantong Uang Riba",G2120="Pengeluaran"))),1,0)</f>
        <v/>
      </c>
      <c r="X2120" s="93">
        <f>IF(AND(B2120&lt;&gt;"",B2120&gt;='Buku Akun'!$H$4,B2120&lt;='Buku Akun'!$H$5,OR(C2120='Buku Akun'!$C$4,AND(D2120="Pindah",E2120='Buku Akun'!$C$4))),B2120+IF(AND(I2120="Selisih bunga",DAY(B2120)=1),0,0.01)+ROW()/10000000,"")</f>
        <v/>
      </c>
    </row>
    <row r="2121" outlineLevel="1" ht="15" customHeight="1" s="94">
      <c r="A2121" s="123">
        <f>IF(B2121="","",ROW()-15)</f>
        <v/>
      </c>
      <c r="B2121" s="124" t="n"/>
      <c r="C2121" s="123" t="n"/>
      <c r="D2121" s="123" t="n"/>
      <c r="E2121" s="123" t="n"/>
      <c r="F2121" s="125" t="n"/>
      <c r="G2121" s="123" t="n"/>
      <c r="H2121" s="123" t="n"/>
      <c r="I2121" s="123" t="n"/>
      <c r="J2121" s="123" t="n"/>
      <c r="K2121" s="123" t="n"/>
      <c r="L2121" s="123" t="n"/>
      <c r="M2121" s="123">
        <f>IF(AND(B2121&lt;&gt;"",OR($C$4="",ISNUMBER(SEARCH($C$4,C2121&amp;" "&amp;E2121&amp;" "&amp;G2121&amp;" "&amp;H2121&amp;" "&amp;I2121&amp;" "&amp;J2121&amp;" "&amp;K2121&amp;" "&amp;L2121))),OR($C$5="Semua",$C$5="",G2121=$C$5),OR($C$6="Semua",$C$6="",H2121=$C$6,H2121="Pengeluaran "&amp;$C$6,AND($C$6="Uang Kos Mama",H2121="Pengeluaran Uang Kos")),OR($C$7="Semua",$C$7="",I2121=$C$7),OR($C$8="Semua",$C$8="",C2121=$C$8,E2121=$C$8),OR($C$9="Semua",$C$9="",D2121=$C$9),OR($C$10="",B2121&gt;=$C$10),OR($C$11="",B2121&lt;=$C$11),OR($C$12&lt;&gt;"Ya",K2121&lt;&gt;""),OR($C$13="Semua",$C$13="",L2121=$C$13)),"✓","")</f>
        <v/>
      </c>
      <c r="N2121" s="93">
        <f>N(N2120)+IF(M2121="✓",1,0)</f>
        <v/>
      </c>
      <c r="O2121" s="93">
        <f>N(O2120)+IF(AND(B2121&lt;&gt;"",B2121&gt;='Uang Riba'!$H$30,B2121&lt;='Uang Riba'!$I$30,OR(H2121="Dana riba",H2121="Pinjam uang riba",I2121="Pinjam dari uang riba",I2121="Ganti uang riba",I2121="Kelebihan ganti dikembalikan",AND(C2121="Kantong Uang Riba",G2121="Pengeluaran"))),1,0)</f>
        <v/>
      </c>
      <c r="X2121" s="93">
        <f>IF(AND(B2121&lt;&gt;"",B2121&gt;='Buku Akun'!$H$4,B2121&lt;='Buku Akun'!$H$5,OR(C2121='Buku Akun'!$C$4,AND(D2121="Pindah",E2121='Buku Akun'!$C$4))),B2121+IF(AND(I2121="Selisih bunga",DAY(B2121)=1),0,0.01)+ROW()/10000000,"")</f>
        <v/>
      </c>
    </row>
    <row r="2122" outlineLevel="1" ht="15" customHeight="1" s="94">
      <c r="A2122" s="123">
        <f>IF(B2122="","",ROW()-15)</f>
        <v/>
      </c>
      <c r="B2122" s="124" t="n"/>
      <c r="C2122" s="123" t="n"/>
      <c r="D2122" s="123" t="n"/>
      <c r="E2122" s="123" t="n"/>
      <c r="F2122" s="125" t="n"/>
      <c r="G2122" s="123" t="n"/>
      <c r="H2122" s="123" t="n"/>
      <c r="I2122" s="123" t="n"/>
      <c r="J2122" s="123" t="n"/>
      <c r="K2122" s="123" t="n"/>
      <c r="L2122" s="123" t="n"/>
      <c r="M2122" s="123">
        <f>IF(AND(B2122&lt;&gt;"",OR($C$4="",ISNUMBER(SEARCH($C$4,C2122&amp;" "&amp;E2122&amp;" "&amp;G2122&amp;" "&amp;H2122&amp;" "&amp;I2122&amp;" "&amp;J2122&amp;" "&amp;K2122&amp;" "&amp;L2122))),OR($C$5="Semua",$C$5="",G2122=$C$5),OR($C$6="Semua",$C$6="",H2122=$C$6,H2122="Pengeluaran "&amp;$C$6,AND($C$6="Uang Kos Mama",H2122="Pengeluaran Uang Kos")),OR($C$7="Semua",$C$7="",I2122=$C$7),OR($C$8="Semua",$C$8="",C2122=$C$8,E2122=$C$8),OR($C$9="Semua",$C$9="",D2122=$C$9),OR($C$10="",B2122&gt;=$C$10),OR($C$11="",B2122&lt;=$C$11),OR($C$12&lt;&gt;"Ya",K2122&lt;&gt;""),OR($C$13="Semua",$C$13="",L2122=$C$13)),"✓","")</f>
        <v/>
      </c>
      <c r="N2122" s="93">
        <f>N(N2121)+IF(M2122="✓",1,0)</f>
        <v/>
      </c>
      <c r="O2122" s="93">
        <f>N(O2121)+IF(AND(B2122&lt;&gt;"",B2122&gt;='Uang Riba'!$H$30,B2122&lt;='Uang Riba'!$I$30,OR(H2122="Dana riba",H2122="Pinjam uang riba",I2122="Pinjam dari uang riba",I2122="Ganti uang riba",I2122="Kelebihan ganti dikembalikan",AND(C2122="Kantong Uang Riba",G2122="Pengeluaran"))),1,0)</f>
        <v/>
      </c>
      <c r="X2122" s="93">
        <f>IF(AND(B2122&lt;&gt;"",B2122&gt;='Buku Akun'!$H$4,B2122&lt;='Buku Akun'!$H$5,OR(C2122='Buku Akun'!$C$4,AND(D2122="Pindah",E2122='Buku Akun'!$C$4))),B2122+IF(AND(I2122="Selisih bunga",DAY(B2122)=1),0,0.01)+ROW()/10000000,"")</f>
        <v/>
      </c>
    </row>
    <row r="2123" outlineLevel="1" ht="15" customHeight="1" s="94">
      <c r="A2123" s="123">
        <f>IF(B2123="","",ROW()-15)</f>
        <v/>
      </c>
      <c r="B2123" s="124" t="n"/>
      <c r="C2123" s="123" t="n"/>
      <c r="D2123" s="123" t="n"/>
      <c r="E2123" s="123" t="n"/>
      <c r="F2123" s="125" t="n"/>
      <c r="G2123" s="123" t="n"/>
      <c r="H2123" s="123" t="n"/>
      <c r="I2123" s="123" t="n"/>
      <c r="J2123" s="123" t="n"/>
      <c r="K2123" s="123" t="n"/>
      <c r="L2123" s="123" t="n"/>
      <c r="M2123" s="123">
        <f>IF(AND(B2123&lt;&gt;"",OR($C$4="",ISNUMBER(SEARCH($C$4,C2123&amp;" "&amp;E2123&amp;" "&amp;G2123&amp;" "&amp;H2123&amp;" "&amp;I2123&amp;" "&amp;J2123&amp;" "&amp;K2123&amp;" "&amp;L2123))),OR($C$5="Semua",$C$5="",G2123=$C$5),OR($C$6="Semua",$C$6="",H2123=$C$6,H2123="Pengeluaran "&amp;$C$6,AND($C$6="Uang Kos Mama",H2123="Pengeluaran Uang Kos")),OR($C$7="Semua",$C$7="",I2123=$C$7),OR($C$8="Semua",$C$8="",C2123=$C$8,E2123=$C$8),OR($C$9="Semua",$C$9="",D2123=$C$9),OR($C$10="",B2123&gt;=$C$10),OR($C$11="",B2123&lt;=$C$11),OR($C$12&lt;&gt;"Ya",K2123&lt;&gt;""),OR($C$13="Semua",$C$13="",L2123=$C$13)),"✓","")</f>
        <v/>
      </c>
      <c r="N2123" s="93">
        <f>N(N2122)+IF(M2123="✓",1,0)</f>
        <v/>
      </c>
      <c r="O2123" s="93">
        <f>N(O2122)+IF(AND(B2123&lt;&gt;"",B2123&gt;='Uang Riba'!$H$30,B2123&lt;='Uang Riba'!$I$30,OR(H2123="Dana riba",H2123="Pinjam uang riba",I2123="Pinjam dari uang riba",I2123="Ganti uang riba",I2123="Kelebihan ganti dikembalikan",AND(C2123="Kantong Uang Riba",G2123="Pengeluaran"))),1,0)</f>
        <v/>
      </c>
      <c r="X2123" s="93">
        <f>IF(AND(B2123&lt;&gt;"",B2123&gt;='Buku Akun'!$H$4,B2123&lt;='Buku Akun'!$H$5,OR(C2123='Buku Akun'!$C$4,AND(D2123="Pindah",E2123='Buku Akun'!$C$4))),B2123+IF(AND(I2123="Selisih bunga",DAY(B2123)=1),0,0.01)+ROW()/10000000,"")</f>
        <v/>
      </c>
    </row>
    <row r="2124" outlineLevel="1" ht="15" customHeight="1" s="94">
      <c r="A2124" s="123">
        <f>IF(B2124="","",ROW()-15)</f>
        <v/>
      </c>
      <c r="B2124" s="124" t="n"/>
      <c r="C2124" s="123" t="n"/>
      <c r="D2124" s="123" t="n"/>
      <c r="E2124" s="123" t="n"/>
      <c r="F2124" s="125" t="n"/>
      <c r="G2124" s="123" t="n"/>
      <c r="H2124" s="123" t="n"/>
      <c r="I2124" s="123" t="n"/>
      <c r="J2124" s="123" t="n"/>
      <c r="K2124" s="123" t="n"/>
      <c r="L2124" s="123" t="n"/>
      <c r="M2124" s="123">
        <f>IF(AND(B2124&lt;&gt;"",OR($C$4="",ISNUMBER(SEARCH($C$4,C2124&amp;" "&amp;E2124&amp;" "&amp;G2124&amp;" "&amp;H2124&amp;" "&amp;I2124&amp;" "&amp;J2124&amp;" "&amp;K2124&amp;" "&amp;L2124))),OR($C$5="Semua",$C$5="",G2124=$C$5),OR($C$6="Semua",$C$6="",H2124=$C$6,H2124="Pengeluaran "&amp;$C$6,AND($C$6="Uang Kos Mama",H2124="Pengeluaran Uang Kos")),OR($C$7="Semua",$C$7="",I2124=$C$7),OR($C$8="Semua",$C$8="",C2124=$C$8,E2124=$C$8),OR($C$9="Semua",$C$9="",D2124=$C$9),OR($C$10="",B2124&gt;=$C$10),OR($C$11="",B2124&lt;=$C$11),OR($C$12&lt;&gt;"Ya",K2124&lt;&gt;""),OR($C$13="Semua",$C$13="",L2124=$C$13)),"✓","")</f>
        <v/>
      </c>
      <c r="N2124" s="93">
        <f>N(N2123)+IF(M2124="✓",1,0)</f>
        <v/>
      </c>
      <c r="O2124" s="93">
        <f>N(O2123)+IF(AND(B2124&lt;&gt;"",B2124&gt;='Uang Riba'!$H$30,B2124&lt;='Uang Riba'!$I$30,OR(H2124="Dana riba",H2124="Pinjam uang riba",I2124="Pinjam dari uang riba",I2124="Ganti uang riba",I2124="Kelebihan ganti dikembalikan",AND(C2124="Kantong Uang Riba",G2124="Pengeluaran"))),1,0)</f>
        <v/>
      </c>
      <c r="X2124" s="93">
        <f>IF(AND(B2124&lt;&gt;"",B2124&gt;='Buku Akun'!$H$4,B2124&lt;='Buku Akun'!$H$5,OR(C2124='Buku Akun'!$C$4,AND(D2124="Pindah",E2124='Buku Akun'!$C$4))),B2124+IF(AND(I2124="Selisih bunga",DAY(B2124)=1),0,0.01)+ROW()/10000000,"")</f>
        <v/>
      </c>
    </row>
    <row r="2125" outlineLevel="1" ht="15" customHeight="1" s="94">
      <c r="A2125" s="123">
        <f>IF(B2125="","",ROW()-15)</f>
        <v/>
      </c>
      <c r="B2125" s="124" t="n"/>
      <c r="C2125" s="123" t="n"/>
      <c r="D2125" s="123" t="n"/>
      <c r="E2125" s="123" t="n"/>
      <c r="F2125" s="125" t="n"/>
      <c r="G2125" s="123" t="n"/>
      <c r="H2125" s="123" t="n"/>
      <c r="I2125" s="123" t="n"/>
      <c r="J2125" s="123" t="n"/>
      <c r="K2125" s="123" t="n"/>
      <c r="L2125" s="123" t="n"/>
      <c r="M2125" s="123">
        <f>IF(AND(B2125&lt;&gt;"",OR($C$4="",ISNUMBER(SEARCH($C$4,C2125&amp;" "&amp;E2125&amp;" "&amp;G2125&amp;" "&amp;H2125&amp;" "&amp;I2125&amp;" "&amp;J2125&amp;" "&amp;K2125&amp;" "&amp;L2125))),OR($C$5="Semua",$C$5="",G2125=$C$5),OR($C$6="Semua",$C$6="",H2125=$C$6,H2125="Pengeluaran "&amp;$C$6,AND($C$6="Uang Kos Mama",H2125="Pengeluaran Uang Kos")),OR($C$7="Semua",$C$7="",I2125=$C$7),OR($C$8="Semua",$C$8="",C2125=$C$8,E2125=$C$8),OR($C$9="Semua",$C$9="",D2125=$C$9),OR($C$10="",B2125&gt;=$C$10),OR($C$11="",B2125&lt;=$C$11),OR($C$12&lt;&gt;"Ya",K2125&lt;&gt;""),OR($C$13="Semua",$C$13="",L2125=$C$13)),"✓","")</f>
        <v/>
      </c>
      <c r="N2125" s="93">
        <f>N(N2124)+IF(M2125="✓",1,0)</f>
        <v/>
      </c>
      <c r="O2125" s="93">
        <f>N(O2124)+IF(AND(B2125&lt;&gt;"",B2125&gt;='Uang Riba'!$H$30,B2125&lt;='Uang Riba'!$I$30,OR(H2125="Dana riba",H2125="Pinjam uang riba",I2125="Pinjam dari uang riba",I2125="Ganti uang riba",I2125="Kelebihan ganti dikembalikan",AND(C2125="Kantong Uang Riba",G2125="Pengeluaran"))),1,0)</f>
        <v/>
      </c>
      <c r="X2125" s="93">
        <f>IF(AND(B2125&lt;&gt;"",B2125&gt;='Buku Akun'!$H$4,B2125&lt;='Buku Akun'!$H$5,OR(C2125='Buku Akun'!$C$4,AND(D2125="Pindah",E2125='Buku Akun'!$C$4))),B2125+IF(AND(I2125="Selisih bunga",DAY(B2125)=1),0,0.01)+ROW()/10000000,"")</f>
        <v/>
      </c>
    </row>
    <row r="2126" outlineLevel="1" ht="15" customHeight="1" s="94">
      <c r="A2126" s="123">
        <f>IF(B2126="","",ROW()-15)</f>
        <v/>
      </c>
      <c r="B2126" s="124" t="n"/>
      <c r="C2126" s="123" t="n"/>
      <c r="D2126" s="123" t="n"/>
      <c r="E2126" s="123" t="n"/>
      <c r="F2126" s="125" t="n"/>
      <c r="G2126" s="123" t="n"/>
      <c r="H2126" s="123" t="n"/>
      <c r="I2126" s="123" t="n"/>
      <c r="J2126" s="123" t="n"/>
      <c r="K2126" s="123" t="n"/>
      <c r="L2126" s="123" t="n"/>
      <c r="M2126" s="123">
        <f>IF(AND(B2126&lt;&gt;"",OR($C$4="",ISNUMBER(SEARCH($C$4,C2126&amp;" "&amp;E2126&amp;" "&amp;G2126&amp;" "&amp;H2126&amp;" "&amp;I2126&amp;" "&amp;J2126&amp;" "&amp;K2126&amp;" "&amp;L2126))),OR($C$5="Semua",$C$5="",G2126=$C$5),OR($C$6="Semua",$C$6="",H2126=$C$6,H2126="Pengeluaran "&amp;$C$6,AND($C$6="Uang Kos Mama",H2126="Pengeluaran Uang Kos")),OR($C$7="Semua",$C$7="",I2126=$C$7),OR($C$8="Semua",$C$8="",C2126=$C$8,E2126=$C$8),OR($C$9="Semua",$C$9="",D2126=$C$9),OR($C$10="",B2126&gt;=$C$10),OR($C$11="",B2126&lt;=$C$11),OR($C$12&lt;&gt;"Ya",K2126&lt;&gt;""),OR($C$13="Semua",$C$13="",L2126=$C$13)),"✓","")</f>
        <v/>
      </c>
      <c r="N2126" s="93">
        <f>N(N2125)+IF(M2126="✓",1,0)</f>
        <v/>
      </c>
      <c r="O2126" s="93">
        <f>N(O2125)+IF(AND(B2126&lt;&gt;"",B2126&gt;='Uang Riba'!$H$30,B2126&lt;='Uang Riba'!$I$30,OR(H2126="Dana riba",H2126="Pinjam uang riba",I2126="Pinjam dari uang riba",I2126="Ganti uang riba",I2126="Kelebihan ganti dikembalikan",AND(C2126="Kantong Uang Riba",G2126="Pengeluaran"))),1,0)</f>
        <v/>
      </c>
      <c r="X2126" s="93">
        <f>IF(AND(B2126&lt;&gt;"",B2126&gt;='Buku Akun'!$H$4,B2126&lt;='Buku Akun'!$H$5,OR(C2126='Buku Akun'!$C$4,AND(D2126="Pindah",E2126='Buku Akun'!$C$4))),B2126+IF(AND(I2126="Selisih bunga",DAY(B2126)=1),0,0.01)+ROW()/10000000,"")</f>
        <v/>
      </c>
    </row>
    <row r="2127" outlineLevel="1" ht="15" customHeight="1" s="94">
      <c r="A2127" s="123">
        <f>IF(B2127="","",ROW()-15)</f>
        <v/>
      </c>
      <c r="B2127" s="124" t="n"/>
      <c r="C2127" s="123" t="n"/>
      <c r="D2127" s="123" t="n"/>
      <c r="E2127" s="123" t="n"/>
      <c r="F2127" s="125" t="n"/>
      <c r="G2127" s="123" t="n"/>
      <c r="H2127" s="123" t="n"/>
      <c r="I2127" s="123" t="n"/>
      <c r="J2127" s="123" t="n"/>
      <c r="K2127" s="123" t="n"/>
      <c r="L2127" s="123" t="n"/>
      <c r="M2127" s="123">
        <f>IF(AND(B2127&lt;&gt;"",OR($C$4="",ISNUMBER(SEARCH($C$4,C2127&amp;" "&amp;E2127&amp;" "&amp;G2127&amp;" "&amp;H2127&amp;" "&amp;I2127&amp;" "&amp;J2127&amp;" "&amp;K2127&amp;" "&amp;L2127))),OR($C$5="Semua",$C$5="",G2127=$C$5),OR($C$6="Semua",$C$6="",H2127=$C$6,H2127="Pengeluaran "&amp;$C$6,AND($C$6="Uang Kos Mama",H2127="Pengeluaran Uang Kos")),OR($C$7="Semua",$C$7="",I2127=$C$7),OR($C$8="Semua",$C$8="",C2127=$C$8,E2127=$C$8),OR($C$9="Semua",$C$9="",D2127=$C$9),OR($C$10="",B2127&gt;=$C$10),OR($C$11="",B2127&lt;=$C$11),OR($C$12&lt;&gt;"Ya",K2127&lt;&gt;""),OR($C$13="Semua",$C$13="",L2127=$C$13)),"✓","")</f>
        <v/>
      </c>
      <c r="N2127" s="93">
        <f>N(N2126)+IF(M2127="✓",1,0)</f>
        <v/>
      </c>
      <c r="O2127" s="93">
        <f>N(O2126)+IF(AND(B2127&lt;&gt;"",B2127&gt;='Uang Riba'!$H$30,B2127&lt;='Uang Riba'!$I$30,OR(H2127="Dana riba",H2127="Pinjam uang riba",I2127="Pinjam dari uang riba",I2127="Ganti uang riba",I2127="Kelebihan ganti dikembalikan",AND(C2127="Kantong Uang Riba",G2127="Pengeluaran"))),1,0)</f>
        <v/>
      </c>
      <c r="X2127" s="93">
        <f>IF(AND(B2127&lt;&gt;"",B2127&gt;='Buku Akun'!$H$4,B2127&lt;='Buku Akun'!$H$5,OR(C2127='Buku Akun'!$C$4,AND(D2127="Pindah",E2127='Buku Akun'!$C$4))),B2127+IF(AND(I2127="Selisih bunga",DAY(B2127)=1),0,0.01)+ROW()/10000000,"")</f>
        <v/>
      </c>
    </row>
    <row r="2128" outlineLevel="1" ht="15" customHeight="1" s="94">
      <c r="A2128" s="123">
        <f>IF(B2128="","",ROW()-15)</f>
        <v/>
      </c>
      <c r="B2128" s="124" t="n"/>
      <c r="C2128" s="123" t="n"/>
      <c r="D2128" s="123" t="n"/>
      <c r="E2128" s="123" t="n"/>
      <c r="F2128" s="125" t="n"/>
      <c r="G2128" s="123" t="n"/>
      <c r="H2128" s="123" t="n"/>
      <c r="I2128" s="123" t="n"/>
      <c r="J2128" s="123" t="n"/>
      <c r="K2128" s="123" t="n"/>
      <c r="L2128" s="123" t="n"/>
      <c r="M2128" s="123">
        <f>IF(AND(B2128&lt;&gt;"",OR($C$4="",ISNUMBER(SEARCH($C$4,C2128&amp;" "&amp;E2128&amp;" "&amp;G2128&amp;" "&amp;H2128&amp;" "&amp;I2128&amp;" "&amp;J2128&amp;" "&amp;K2128&amp;" "&amp;L2128))),OR($C$5="Semua",$C$5="",G2128=$C$5),OR($C$6="Semua",$C$6="",H2128=$C$6,H2128="Pengeluaran "&amp;$C$6,AND($C$6="Uang Kos Mama",H2128="Pengeluaran Uang Kos")),OR($C$7="Semua",$C$7="",I2128=$C$7),OR($C$8="Semua",$C$8="",C2128=$C$8,E2128=$C$8),OR($C$9="Semua",$C$9="",D2128=$C$9),OR($C$10="",B2128&gt;=$C$10),OR($C$11="",B2128&lt;=$C$11),OR($C$12&lt;&gt;"Ya",K2128&lt;&gt;""),OR($C$13="Semua",$C$13="",L2128=$C$13)),"✓","")</f>
        <v/>
      </c>
      <c r="N2128" s="93">
        <f>N(N2127)+IF(M2128="✓",1,0)</f>
        <v/>
      </c>
      <c r="O2128" s="93">
        <f>N(O2127)+IF(AND(B2128&lt;&gt;"",B2128&gt;='Uang Riba'!$H$30,B2128&lt;='Uang Riba'!$I$30,OR(H2128="Dana riba",H2128="Pinjam uang riba",I2128="Pinjam dari uang riba",I2128="Ganti uang riba",I2128="Kelebihan ganti dikembalikan",AND(C2128="Kantong Uang Riba",G2128="Pengeluaran"))),1,0)</f>
        <v/>
      </c>
      <c r="X2128" s="93">
        <f>IF(AND(B2128&lt;&gt;"",B2128&gt;='Buku Akun'!$H$4,B2128&lt;='Buku Akun'!$H$5,OR(C2128='Buku Akun'!$C$4,AND(D2128="Pindah",E2128='Buku Akun'!$C$4))),B2128+IF(AND(I2128="Selisih bunga",DAY(B2128)=1),0,0.01)+ROW()/10000000,"")</f>
        <v/>
      </c>
    </row>
    <row r="2129" outlineLevel="1" ht="15" customHeight="1" s="94">
      <c r="A2129" s="123">
        <f>IF(B2129="","",ROW()-15)</f>
        <v/>
      </c>
      <c r="B2129" s="124" t="n"/>
      <c r="C2129" s="123" t="n"/>
      <c r="D2129" s="123" t="n"/>
      <c r="E2129" s="123" t="n"/>
      <c r="F2129" s="125" t="n"/>
      <c r="G2129" s="123" t="n"/>
      <c r="H2129" s="123" t="n"/>
      <c r="I2129" s="123" t="n"/>
      <c r="J2129" s="123" t="n"/>
      <c r="K2129" s="123" t="n"/>
      <c r="L2129" s="123" t="n"/>
      <c r="M2129" s="123">
        <f>IF(AND(B2129&lt;&gt;"",OR($C$4="",ISNUMBER(SEARCH($C$4,C2129&amp;" "&amp;E2129&amp;" "&amp;G2129&amp;" "&amp;H2129&amp;" "&amp;I2129&amp;" "&amp;J2129&amp;" "&amp;K2129&amp;" "&amp;L2129))),OR($C$5="Semua",$C$5="",G2129=$C$5),OR($C$6="Semua",$C$6="",H2129=$C$6,H2129="Pengeluaran "&amp;$C$6,AND($C$6="Uang Kos Mama",H2129="Pengeluaran Uang Kos")),OR($C$7="Semua",$C$7="",I2129=$C$7),OR($C$8="Semua",$C$8="",C2129=$C$8,E2129=$C$8),OR($C$9="Semua",$C$9="",D2129=$C$9),OR($C$10="",B2129&gt;=$C$10),OR($C$11="",B2129&lt;=$C$11),OR($C$12&lt;&gt;"Ya",K2129&lt;&gt;""),OR($C$13="Semua",$C$13="",L2129=$C$13)),"✓","")</f>
        <v/>
      </c>
      <c r="N2129" s="93">
        <f>N(N2128)+IF(M2129="✓",1,0)</f>
        <v/>
      </c>
      <c r="O2129" s="93">
        <f>N(O2128)+IF(AND(B2129&lt;&gt;"",B2129&gt;='Uang Riba'!$H$30,B2129&lt;='Uang Riba'!$I$30,OR(H2129="Dana riba",H2129="Pinjam uang riba",I2129="Pinjam dari uang riba",I2129="Ganti uang riba",I2129="Kelebihan ganti dikembalikan",AND(C2129="Kantong Uang Riba",G2129="Pengeluaran"))),1,0)</f>
        <v/>
      </c>
      <c r="X2129" s="93">
        <f>IF(AND(B2129&lt;&gt;"",B2129&gt;='Buku Akun'!$H$4,B2129&lt;='Buku Akun'!$H$5,OR(C2129='Buku Akun'!$C$4,AND(D2129="Pindah",E2129='Buku Akun'!$C$4))),B2129+IF(AND(I2129="Selisih bunga",DAY(B2129)=1),0,0.01)+ROW()/10000000,"")</f>
        <v/>
      </c>
    </row>
    <row r="2130" outlineLevel="1" ht="15" customHeight="1" s="94">
      <c r="A2130" s="123">
        <f>IF(B2130="","",ROW()-15)</f>
        <v/>
      </c>
      <c r="B2130" s="124" t="n"/>
      <c r="C2130" s="123" t="n"/>
      <c r="D2130" s="123" t="n"/>
      <c r="E2130" s="123" t="n"/>
      <c r="F2130" s="125" t="n"/>
      <c r="G2130" s="123" t="n"/>
      <c r="H2130" s="123" t="n"/>
      <c r="I2130" s="123" t="n"/>
      <c r="J2130" s="123" t="n"/>
      <c r="K2130" s="123" t="n"/>
      <c r="L2130" s="123" t="n"/>
      <c r="M2130" s="123">
        <f>IF(AND(B2130&lt;&gt;"",OR($C$4="",ISNUMBER(SEARCH($C$4,C2130&amp;" "&amp;E2130&amp;" "&amp;G2130&amp;" "&amp;H2130&amp;" "&amp;I2130&amp;" "&amp;J2130&amp;" "&amp;K2130&amp;" "&amp;L2130))),OR($C$5="Semua",$C$5="",G2130=$C$5),OR($C$6="Semua",$C$6="",H2130=$C$6,H2130="Pengeluaran "&amp;$C$6,AND($C$6="Uang Kos Mama",H2130="Pengeluaran Uang Kos")),OR($C$7="Semua",$C$7="",I2130=$C$7),OR($C$8="Semua",$C$8="",C2130=$C$8,E2130=$C$8),OR($C$9="Semua",$C$9="",D2130=$C$9),OR($C$10="",B2130&gt;=$C$10),OR($C$11="",B2130&lt;=$C$11),OR($C$12&lt;&gt;"Ya",K2130&lt;&gt;""),OR($C$13="Semua",$C$13="",L2130=$C$13)),"✓","")</f>
        <v/>
      </c>
      <c r="N2130" s="93">
        <f>N(N2129)+IF(M2130="✓",1,0)</f>
        <v/>
      </c>
      <c r="O2130" s="93">
        <f>N(O2129)+IF(AND(B2130&lt;&gt;"",B2130&gt;='Uang Riba'!$H$30,B2130&lt;='Uang Riba'!$I$30,OR(H2130="Dana riba",H2130="Pinjam uang riba",I2130="Pinjam dari uang riba",I2130="Ganti uang riba",I2130="Kelebihan ganti dikembalikan",AND(C2130="Kantong Uang Riba",G2130="Pengeluaran"))),1,0)</f>
        <v/>
      </c>
      <c r="X2130" s="93">
        <f>IF(AND(B2130&lt;&gt;"",B2130&gt;='Buku Akun'!$H$4,B2130&lt;='Buku Akun'!$H$5,OR(C2130='Buku Akun'!$C$4,AND(D2130="Pindah",E2130='Buku Akun'!$C$4))),B2130+IF(AND(I2130="Selisih bunga",DAY(B2130)=1),0,0.01)+ROW()/10000000,"")</f>
        <v/>
      </c>
    </row>
    <row r="2131" outlineLevel="1" ht="15" customHeight="1" s="94">
      <c r="A2131" s="123">
        <f>IF(B2131="","",ROW()-15)</f>
        <v/>
      </c>
      <c r="B2131" s="124" t="n"/>
      <c r="C2131" s="123" t="n"/>
      <c r="D2131" s="123" t="n"/>
      <c r="E2131" s="123" t="n"/>
      <c r="F2131" s="125" t="n"/>
      <c r="G2131" s="123" t="n"/>
      <c r="H2131" s="123" t="n"/>
      <c r="I2131" s="123" t="n"/>
      <c r="J2131" s="123" t="n"/>
      <c r="K2131" s="123" t="n"/>
      <c r="L2131" s="123" t="n"/>
      <c r="M2131" s="123">
        <f>IF(AND(B2131&lt;&gt;"",OR($C$4="",ISNUMBER(SEARCH($C$4,C2131&amp;" "&amp;E2131&amp;" "&amp;G2131&amp;" "&amp;H2131&amp;" "&amp;I2131&amp;" "&amp;J2131&amp;" "&amp;K2131&amp;" "&amp;L2131))),OR($C$5="Semua",$C$5="",G2131=$C$5),OR($C$6="Semua",$C$6="",H2131=$C$6,H2131="Pengeluaran "&amp;$C$6,AND($C$6="Uang Kos Mama",H2131="Pengeluaran Uang Kos")),OR($C$7="Semua",$C$7="",I2131=$C$7),OR($C$8="Semua",$C$8="",C2131=$C$8,E2131=$C$8),OR($C$9="Semua",$C$9="",D2131=$C$9),OR($C$10="",B2131&gt;=$C$10),OR($C$11="",B2131&lt;=$C$11),OR($C$12&lt;&gt;"Ya",K2131&lt;&gt;""),OR($C$13="Semua",$C$13="",L2131=$C$13)),"✓","")</f>
        <v/>
      </c>
      <c r="N2131" s="93">
        <f>N(N2130)+IF(M2131="✓",1,0)</f>
        <v/>
      </c>
      <c r="O2131" s="93">
        <f>N(O2130)+IF(AND(B2131&lt;&gt;"",B2131&gt;='Uang Riba'!$H$30,B2131&lt;='Uang Riba'!$I$30,OR(H2131="Dana riba",H2131="Pinjam uang riba",I2131="Pinjam dari uang riba",I2131="Ganti uang riba",I2131="Kelebihan ganti dikembalikan",AND(C2131="Kantong Uang Riba",G2131="Pengeluaran"))),1,0)</f>
        <v/>
      </c>
      <c r="X2131" s="93">
        <f>IF(AND(B2131&lt;&gt;"",B2131&gt;='Buku Akun'!$H$4,B2131&lt;='Buku Akun'!$H$5,OR(C2131='Buku Akun'!$C$4,AND(D2131="Pindah",E2131='Buku Akun'!$C$4))),B2131+IF(AND(I2131="Selisih bunga",DAY(B2131)=1),0,0.01)+ROW()/10000000,"")</f>
        <v/>
      </c>
    </row>
    <row r="2132" outlineLevel="1" ht="15" customHeight="1" s="94">
      <c r="A2132" s="123">
        <f>IF(B2132="","",ROW()-15)</f>
        <v/>
      </c>
      <c r="B2132" s="124" t="n"/>
      <c r="C2132" s="123" t="n"/>
      <c r="D2132" s="123" t="n"/>
      <c r="E2132" s="123" t="n"/>
      <c r="F2132" s="125" t="n"/>
      <c r="G2132" s="123" t="n"/>
      <c r="H2132" s="123" t="n"/>
      <c r="I2132" s="123" t="n"/>
      <c r="J2132" s="123" t="n"/>
      <c r="K2132" s="123" t="n"/>
      <c r="L2132" s="123" t="n"/>
      <c r="M2132" s="123">
        <f>IF(AND(B2132&lt;&gt;"",OR($C$4="",ISNUMBER(SEARCH($C$4,C2132&amp;" "&amp;E2132&amp;" "&amp;G2132&amp;" "&amp;H2132&amp;" "&amp;I2132&amp;" "&amp;J2132&amp;" "&amp;K2132&amp;" "&amp;L2132))),OR($C$5="Semua",$C$5="",G2132=$C$5),OR($C$6="Semua",$C$6="",H2132=$C$6,H2132="Pengeluaran "&amp;$C$6,AND($C$6="Uang Kos Mama",H2132="Pengeluaran Uang Kos")),OR($C$7="Semua",$C$7="",I2132=$C$7),OR($C$8="Semua",$C$8="",C2132=$C$8,E2132=$C$8),OR($C$9="Semua",$C$9="",D2132=$C$9),OR($C$10="",B2132&gt;=$C$10),OR($C$11="",B2132&lt;=$C$11),OR($C$12&lt;&gt;"Ya",K2132&lt;&gt;""),OR($C$13="Semua",$C$13="",L2132=$C$13)),"✓","")</f>
        <v/>
      </c>
      <c r="N2132" s="93">
        <f>N(N2131)+IF(M2132="✓",1,0)</f>
        <v/>
      </c>
      <c r="O2132" s="93">
        <f>N(O2131)+IF(AND(B2132&lt;&gt;"",B2132&gt;='Uang Riba'!$H$30,B2132&lt;='Uang Riba'!$I$30,OR(H2132="Dana riba",H2132="Pinjam uang riba",I2132="Pinjam dari uang riba",I2132="Ganti uang riba",I2132="Kelebihan ganti dikembalikan",AND(C2132="Kantong Uang Riba",G2132="Pengeluaran"))),1,0)</f>
        <v/>
      </c>
      <c r="X2132" s="93">
        <f>IF(AND(B2132&lt;&gt;"",B2132&gt;='Buku Akun'!$H$4,B2132&lt;='Buku Akun'!$H$5,OR(C2132='Buku Akun'!$C$4,AND(D2132="Pindah",E2132='Buku Akun'!$C$4))),B2132+IF(AND(I2132="Selisih bunga",DAY(B2132)=1),0,0.01)+ROW()/10000000,"")</f>
        <v/>
      </c>
    </row>
    <row r="2133" outlineLevel="1" ht="15" customHeight="1" s="94">
      <c r="A2133" s="123">
        <f>IF(B2133="","",ROW()-15)</f>
        <v/>
      </c>
      <c r="B2133" s="124" t="n"/>
      <c r="C2133" s="123" t="n"/>
      <c r="D2133" s="123" t="n"/>
      <c r="E2133" s="123" t="n"/>
      <c r="F2133" s="125" t="n"/>
      <c r="G2133" s="123" t="n"/>
      <c r="H2133" s="123" t="n"/>
      <c r="I2133" s="123" t="n"/>
      <c r="J2133" s="123" t="n"/>
      <c r="K2133" s="123" t="n"/>
      <c r="L2133" s="123" t="n"/>
      <c r="M2133" s="123">
        <f>IF(AND(B2133&lt;&gt;"",OR($C$4="",ISNUMBER(SEARCH($C$4,C2133&amp;" "&amp;E2133&amp;" "&amp;G2133&amp;" "&amp;H2133&amp;" "&amp;I2133&amp;" "&amp;J2133&amp;" "&amp;K2133&amp;" "&amp;L2133))),OR($C$5="Semua",$C$5="",G2133=$C$5),OR($C$6="Semua",$C$6="",H2133=$C$6,H2133="Pengeluaran "&amp;$C$6,AND($C$6="Uang Kos Mama",H2133="Pengeluaran Uang Kos")),OR($C$7="Semua",$C$7="",I2133=$C$7),OR($C$8="Semua",$C$8="",C2133=$C$8,E2133=$C$8),OR($C$9="Semua",$C$9="",D2133=$C$9),OR($C$10="",B2133&gt;=$C$10),OR($C$11="",B2133&lt;=$C$11),OR($C$12&lt;&gt;"Ya",K2133&lt;&gt;""),OR($C$13="Semua",$C$13="",L2133=$C$13)),"✓","")</f>
        <v/>
      </c>
      <c r="N2133" s="93">
        <f>N(N2132)+IF(M2133="✓",1,0)</f>
        <v/>
      </c>
      <c r="O2133" s="93">
        <f>N(O2132)+IF(AND(B2133&lt;&gt;"",B2133&gt;='Uang Riba'!$H$30,B2133&lt;='Uang Riba'!$I$30,OR(H2133="Dana riba",H2133="Pinjam uang riba",I2133="Pinjam dari uang riba",I2133="Ganti uang riba",I2133="Kelebihan ganti dikembalikan",AND(C2133="Kantong Uang Riba",G2133="Pengeluaran"))),1,0)</f>
        <v/>
      </c>
      <c r="X2133" s="93">
        <f>IF(AND(B2133&lt;&gt;"",B2133&gt;='Buku Akun'!$H$4,B2133&lt;='Buku Akun'!$H$5,OR(C2133='Buku Akun'!$C$4,AND(D2133="Pindah",E2133='Buku Akun'!$C$4))),B2133+IF(AND(I2133="Selisih bunga",DAY(B2133)=1),0,0.01)+ROW()/10000000,"")</f>
        <v/>
      </c>
    </row>
    <row r="2134" outlineLevel="1" ht="15" customHeight="1" s="94">
      <c r="A2134" s="123">
        <f>IF(B2134="","",ROW()-15)</f>
        <v/>
      </c>
      <c r="B2134" s="124" t="n"/>
      <c r="C2134" s="123" t="n"/>
      <c r="D2134" s="123" t="n"/>
      <c r="E2134" s="123" t="n"/>
      <c r="F2134" s="125" t="n"/>
      <c r="G2134" s="123" t="n"/>
      <c r="H2134" s="123" t="n"/>
      <c r="I2134" s="123" t="n"/>
      <c r="J2134" s="123" t="n"/>
      <c r="K2134" s="123" t="n"/>
      <c r="L2134" s="123" t="n"/>
      <c r="M2134" s="123">
        <f>IF(AND(B2134&lt;&gt;"",OR($C$4="",ISNUMBER(SEARCH($C$4,C2134&amp;" "&amp;E2134&amp;" "&amp;G2134&amp;" "&amp;H2134&amp;" "&amp;I2134&amp;" "&amp;J2134&amp;" "&amp;K2134&amp;" "&amp;L2134))),OR($C$5="Semua",$C$5="",G2134=$C$5),OR($C$6="Semua",$C$6="",H2134=$C$6,H2134="Pengeluaran "&amp;$C$6,AND($C$6="Uang Kos Mama",H2134="Pengeluaran Uang Kos")),OR($C$7="Semua",$C$7="",I2134=$C$7),OR($C$8="Semua",$C$8="",C2134=$C$8,E2134=$C$8),OR($C$9="Semua",$C$9="",D2134=$C$9),OR($C$10="",B2134&gt;=$C$10),OR($C$11="",B2134&lt;=$C$11),OR($C$12&lt;&gt;"Ya",K2134&lt;&gt;""),OR($C$13="Semua",$C$13="",L2134=$C$13)),"✓","")</f>
        <v/>
      </c>
      <c r="N2134" s="93">
        <f>N(N2133)+IF(M2134="✓",1,0)</f>
        <v/>
      </c>
      <c r="O2134" s="93">
        <f>N(O2133)+IF(AND(B2134&lt;&gt;"",B2134&gt;='Uang Riba'!$H$30,B2134&lt;='Uang Riba'!$I$30,OR(H2134="Dana riba",H2134="Pinjam uang riba",I2134="Pinjam dari uang riba",I2134="Ganti uang riba",I2134="Kelebihan ganti dikembalikan",AND(C2134="Kantong Uang Riba",G2134="Pengeluaran"))),1,0)</f>
        <v/>
      </c>
      <c r="X2134" s="93">
        <f>IF(AND(B2134&lt;&gt;"",B2134&gt;='Buku Akun'!$H$4,B2134&lt;='Buku Akun'!$H$5,OR(C2134='Buku Akun'!$C$4,AND(D2134="Pindah",E2134='Buku Akun'!$C$4))),B2134+IF(AND(I2134="Selisih bunga",DAY(B2134)=1),0,0.01)+ROW()/10000000,"")</f>
        <v/>
      </c>
    </row>
    <row r="2135" outlineLevel="1" ht="15" customHeight="1" s="94">
      <c r="A2135" s="123">
        <f>IF(B2135="","",ROW()-15)</f>
        <v/>
      </c>
      <c r="B2135" s="124" t="n"/>
      <c r="C2135" s="123" t="n"/>
      <c r="D2135" s="123" t="n"/>
      <c r="E2135" s="123" t="n"/>
      <c r="F2135" s="125" t="n"/>
      <c r="G2135" s="123" t="n"/>
      <c r="H2135" s="123" t="n"/>
      <c r="I2135" s="123" t="n"/>
      <c r="J2135" s="123" t="n"/>
      <c r="K2135" s="123" t="n"/>
      <c r="L2135" s="123" t="n"/>
      <c r="M2135" s="123">
        <f>IF(AND(B2135&lt;&gt;"",OR($C$4="",ISNUMBER(SEARCH($C$4,C2135&amp;" "&amp;E2135&amp;" "&amp;G2135&amp;" "&amp;H2135&amp;" "&amp;I2135&amp;" "&amp;J2135&amp;" "&amp;K2135&amp;" "&amp;L2135))),OR($C$5="Semua",$C$5="",G2135=$C$5),OR($C$6="Semua",$C$6="",H2135=$C$6,H2135="Pengeluaran "&amp;$C$6,AND($C$6="Uang Kos Mama",H2135="Pengeluaran Uang Kos")),OR($C$7="Semua",$C$7="",I2135=$C$7),OR($C$8="Semua",$C$8="",C2135=$C$8,E2135=$C$8),OR($C$9="Semua",$C$9="",D2135=$C$9),OR($C$10="",B2135&gt;=$C$10),OR($C$11="",B2135&lt;=$C$11),OR($C$12&lt;&gt;"Ya",K2135&lt;&gt;""),OR($C$13="Semua",$C$13="",L2135=$C$13)),"✓","")</f>
        <v/>
      </c>
      <c r="N2135" s="93">
        <f>N(N2134)+IF(M2135="✓",1,0)</f>
        <v/>
      </c>
      <c r="O2135" s="93">
        <f>N(O2134)+IF(AND(B2135&lt;&gt;"",B2135&gt;='Uang Riba'!$H$30,B2135&lt;='Uang Riba'!$I$30,OR(H2135="Dana riba",H2135="Pinjam uang riba",I2135="Pinjam dari uang riba",I2135="Ganti uang riba",I2135="Kelebihan ganti dikembalikan",AND(C2135="Kantong Uang Riba",G2135="Pengeluaran"))),1,0)</f>
        <v/>
      </c>
      <c r="X2135" s="93">
        <f>IF(AND(B2135&lt;&gt;"",B2135&gt;='Buku Akun'!$H$4,B2135&lt;='Buku Akun'!$H$5,OR(C2135='Buku Akun'!$C$4,AND(D2135="Pindah",E2135='Buku Akun'!$C$4))),B2135+IF(AND(I2135="Selisih bunga",DAY(B2135)=1),0,0.01)+ROW()/10000000,"")</f>
        <v/>
      </c>
    </row>
    <row r="2136" outlineLevel="1" ht="15" customHeight="1" s="94">
      <c r="A2136" s="123">
        <f>IF(B2136="","",ROW()-15)</f>
        <v/>
      </c>
      <c r="B2136" s="124" t="n"/>
      <c r="C2136" s="123" t="n"/>
      <c r="D2136" s="123" t="n"/>
      <c r="E2136" s="123" t="n"/>
      <c r="F2136" s="125" t="n"/>
      <c r="G2136" s="123" t="n"/>
      <c r="H2136" s="123" t="n"/>
      <c r="I2136" s="123" t="n"/>
      <c r="J2136" s="123" t="n"/>
      <c r="K2136" s="123" t="n"/>
      <c r="L2136" s="123" t="n"/>
      <c r="M2136" s="123">
        <f>IF(AND(B2136&lt;&gt;"",OR($C$4="",ISNUMBER(SEARCH($C$4,C2136&amp;" "&amp;E2136&amp;" "&amp;G2136&amp;" "&amp;H2136&amp;" "&amp;I2136&amp;" "&amp;J2136&amp;" "&amp;K2136&amp;" "&amp;L2136))),OR($C$5="Semua",$C$5="",G2136=$C$5),OR($C$6="Semua",$C$6="",H2136=$C$6,H2136="Pengeluaran "&amp;$C$6,AND($C$6="Uang Kos Mama",H2136="Pengeluaran Uang Kos")),OR($C$7="Semua",$C$7="",I2136=$C$7),OR($C$8="Semua",$C$8="",C2136=$C$8,E2136=$C$8),OR($C$9="Semua",$C$9="",D2136=$C$9),OR($C$10="",B2136&gt;=$C$10),OR($C$11="",B2136&lt;=$C$11),OR($C$12&lt;&gt;"Ya",K2136&lt;&gt;""),OR($C$13="Semua",$C$13="",L2136=$C$13)),"✓","")</f>
        <v/>
      </c>
      <c r="N2136" s="93">
        <f>N(N2135)+IF(M2136="✓",1,0)</f>
        <v/>
      </c>
      <c r="O2136" s="93">
        <f>N(O2135)+IF(AND(B2136&lt;&gt;"",B2136&gt;='Uang Riba'!$H$30,B2136&lt;='Uang Riba'!$I$30,OR(H2136="Dana riba",H2136="Pinjam uang riba",I2136="Pinjam dari uang riba",I2136="Ganti uang riba",I2136="Kelebihan ganti dikembalikan",AND(C2136="Kantong Uang Riba",G2136="Pengeluaran"))),1,0)</f>
        <v/>
      </c>
      <c r="X2136" s="93">
        <f>IF(AND(B2136&lt;&gt;"",B2136&gt;='Buku Akun'!$H$4,B2136&lt;='Buku Akun'!$H$5,OR(C2136='Buku Akun'!$C$4,AND(D2136="Pindah",E2136='Buku Akun'!$C$4))),B2136+IF(AND(I2136="Selisih bunga",DAY(B2136)=1),0,0.01)+ROW()/10000000,"")</f>
        <v/>
      </c>
    </row>
    <row r="2137" outlineLevel="1" ht="15" customHeight="1" s="94">
      <c r="A2137" s="123">
        <f>IF(B2137="","",ROW()-15)</f>
        <v/>
      </c>
      <c r="B2137" s="124" t="n"/>
      <c r="C2137" s="123" t="n"/>
      <c r="D2137" s="123" t="n"/>
      <c r="E2137" s="123" t="n"/>
      <c r="F2137" s="125" t="n"/>
      <c r="G2137" s="123" t="n"/>
      <c r="H2137" s="123" t="n"/>
      <c r="I2137" s="123" t="n"/>
      <c r="J2137" s="123" t="n"/>
      <c r="K2137" s="123" t="n"/>
      <c r="L2137" s="123" t="n"/>
      <c r="M2137" s="123">
        <f>IF(AND(B2137&lt;&gt;"",OR($C$4="",ISNUMBER(SEARCH($C$4,C2137&amp;" "&amp;E2137&amp;" "&amp;G2137&amp;" "&amp;H2137&amp;" "&amp;I2137&amp;" "&amp;J2137&amp;" "&amp;K2137&amp;" "&amp;L2137))),OR($C$5="Semua",$C$5="",G2137=$C$5),OR($C$6="Semua",$C$6="",H2137=$C$6,H2137="Pengeluaran "&amp;$C$6,AND($C$6="Uang Kos Mama",H2137="Pengeluaran Uang Kos")),OR($C$7="Semua",$C$7="",I2137=$C$7),OR($C$8="Semua",$C$8="",C2137=$C$8,E2137=$C$8),OR($C$9="Semua",$C$9="",D2137=$C$9),OR($C$10="",B2137&gt;=$C$10),OR($C$11="",B2137&lt;=$C$11),OR($C$12&lt;&gt;"Ya",K2137&lt;&gt;""),OR($C$13="Semua",$C$13="",L2137=$C$13)),"✓","")</f>
        <v/>
      </c>
      <c r="N2137" s="93">
        <f>N(N2136)+IF(M2137="✓",1,0)</f>
        <v/>
      </c>
      <c r="O2137" s="93">
        <f>N(O2136)+IF(AND(B2137&lt;&gt;"",B2137&gt;='Uang Riba'!$H$30,B2137&lt;='Uang Riba'!$I$30,OR(H2137="Dana riba",H2137="Pinjam uang riba",I2137="Pinjam dari uang riba",I2137="Ganti uang riba",I2137="Kelebihan ganti dikembalikan",AND(C2137="Kantong Uang Riba",G2137="Pengeluaran"))),1,0)</f>
        <v/>
      </c>
      <c r="X2137" s="93">
        <f>IF(AND(B2137&lt;&gt;"",B2137&gt;='Buku Akun'!$H$4,B2137&lt;='Buku Akun'!$H$5,OR(C2137='Buku Akun'!$C$4,AND(D2137="Pindah",E2137='Buku Akun'!$C$4))),B2137+IF(AND(I2137="Selisih bunga",DAY(B2137)=1),0,0.01)+ROW()/10000000,"")</f>
        <v/>
      </c>
    </row>
    <row r="2138" outlineLevel="1" ht="15" customHeight="1" s="94">
      <c r="A2138" s="123">
        <f>IF(B2138="","",ROW()-15)</f>
        <v/>
      </c>
      <c r="B2138" s="124" t="n"/>
      <c r="C2138" s="123" t="n"/>
      <c r="D2138" s="123" t="n"/>
      <c r="E2138" s="123" t="n"/>
      <c r="F2138" s="125" t="n"/>
      <c r="G2138" s="123" t="n"/>
      <c r="H2138" s="123" t="n"/>
      <c r="I2138" s="123" t="n"/>
      <c r="J2138" s="123" t="n"/>
      <c r="K2138" s="123" t="n"/>
      <c r="L2138" s="123" t="n"/>
      <c r="M2138" s="123">
        <f>IF(AND(B2138&lt;&gt;"",OR($C$4="",ISNUMBER(SEARCH($C$4,C2138&amp;" "&amp;E2138&amp;" "&amp;G2138&amp;" "&amp;H2138&amp;" "&amp;I2138&amp;" "&amp;J2138&amp;" "&amp;K2138&amp;" "&amp;L2138))),OR($C$5="Semua",$C$5="",G2138=$C$5),OR($C$6="Semua",$C$6="",H2138=$C$6,H2138="Pengeluaran "&amp;$C$6,AND($C$6="Uang Kos Mama",H2138="Pengeluaran Uang Kos")),OR($C$7="Semua",$C$7="",I2138=$C$7),OR($C$8="Semua",$C$8="",C2138=$C$8,E2138=$C$8),OR($C$9="Semua",$C$9="",D2138=$C$9),OR($C$10="",B2138&gt;=$C$10),OR($C$11="",B2138&lt;=$C$11),OR($C$12&lt;&gt;"Ya",K2138&lt;&gt;""),OR($C$13="Semua",$C$13="",L2138=$C$13)),"✓","")</f>
        <v/>
      </c>
      <c r="N2138" s="93">
        <f>N(N2137)+IF(M2138="✓",1,0)</f>
        <v/>
      </c>
      <c r="O2138" s="93">
        <f>N(O2137)+IF(AND(B2138&lt;&gt;"",B2138&gt;='Uang Riba'!$H$30,B2138&lt;='Uang Riba'!$I$30,OR(H2138="Dana riba",H2138="Pinjam uang riba",I2138="Pinjam dari uang riba",I2138="Ganti uang riba",I2138="Kelebihan ganti dikembalikan",AND(C2138="Kantong Uang Riba",G2138="Pengeluaran"))),1,0)</f>
        <v/>
      </c>
      <c r="X2138" s="93">
        <f>IF(AND(B2138&lt;&gt;"",B2138&gt;='Buku Akun'!$H$4,B2138&lt;='Buku Akun'!$H$5,OR(C2138='Buku Akun'!$C$4,AND(D2138="Pindah",E2138='Buku Akun'!$C$4))),B2138+IF(AND(I2138="Selisih bunga",DAY(B2138)=1),0,0.01)+ROW()/10000000,"")</f>
        <v/>
      </c>
    </row>
    <row r="2139" outlineLevel="1" ht="15" customHeight="1" s="94">
      <c r="A2139" s="123">
        <f>IF(B2139="","",ROW()-15)</f>
        <v/>
      </c>
      <c r="B2139" s="124" t="n"/>
      <c r="C2139" s="123" t="n"/>
      <c r="D2139" s="123" t="n"/>
      <c r="E2139" s="123" t="n"/>
      <c r="F2139" s="125" t="n"/>
      <c r="G2139" s="123" t="n"/>
      <c r="H2139" s="123" t="n"/>
      <c r="I2139" s="123" t="n"/>
      <c r="J2139" s="123" t="n"/>
      <c r="K2139" s="123" t="n"/>
      <c r="L2139" s="123" t="n"/>
      <c r="M2139" s="123">
        <f>IF(AND(B2139&lt;&gt;"",OR($C$4="",ISNUMBER(SEARCH($C$4,C2139&amp;" "&amp;E2139&amp;" "&amp;G2139&amp;" "&amp;H2139&amp;" "&amp;I2139&amp;" "&amp;J2139&amp;" "&amp;K2139&amp;" "&amp;L2139))),OR($C$5="Semua",$C$5="",G2139=$C$5),OR($C$6="Semua",$C$6="",H2139=$C$6,H2139="Pengeluaran "&amp;$C$6,AND($C$6="Uang Kos Mama",H2139="Pengeluaran Uang Kos")),OR($C$7="Semua",$C$7="",I2139=$C$7),OR($C$8="Semua",$C$8="",C2139=$C$8,E2139=$C$8),OR($C$9="Semua",$C$9="",D2139=$C$9),OR($C$10="",B2139&gt;=$C$10),OR($C$11="",B2139&lt;=$C$11),OR($C$12&lt;&gt;"Ya",K2139&lt;&gt;""),OR($C$13="Semua",$C$13="",L2139=$C$13)),"✓","")</f>
        <v/>
      </c>
      <c r="N2139" s="93">
        <f>N(N2138)+IF(M2139="✓",1,0)</f>
        <v/>
      </c>
      <c r="O2139" s="93">
        <f>N(O2138)+IF(AND(B2139&lt;&gt;"",B2139&gt;='Uang Riba'!$H$30,B2139&lt;='Uang Riba'!$I$30,OR(H2139="Dana riba",H2139="Pinjam uang riba",I2139="Pinjam dari uang riba",I2139="Ganti uang riba",I2139="Kelebihan ganti dikembalikan",AND(C2139="Kantong Uang Riba",G2139="Pengeluaran"))),1,0)</f>
        <v/>
      </c>
      <c r="X2139" s="93">
        <f>IF(AND(B2139&lt;&gt;"",B2139&gt;='Buku Akun'!$H$4,B2139&lt;='Buku Akun'!$H$5,OR(C2139='Buku Akun'!$C$4,AND(D2139="Pindah",E2139='Buku Akun'!$C$4))),B2139+IF(AND(I2139="Selisih bunga",DAY(B2139)=1),0,0.01)+ROW()/10000000,"")</f>
        <v/>
      </c>
    </row>
    <row r="2140" outlineLevel="1" ht="15" customHeight="1" s="94">
      <c r="A2140" s="123">
        <f>IF(B2140="","",ROW()-15)</f>
        <v/>
      </c>
      <c r="B2140" s="124" t="n"/>
      <c r="C2140" s="123" t="n"/>
      <c r="D2140" s="123" t="n"/>
      <c r="E2140" s="123" t="n"/>
      <c r="F2140" s="125" t="n"/>
      <c r="G2140" s="123" t="n"/>
      <c r="H2140" s="123" t="n"/>
      <c r="I2140" s="123" t="n"/>
      <c r="J2140" s="123" t="n"/>
      <c r="K2140" s="123" t="n"/>
      <c r="L2140" s="123" t="n"/>
      <c r="M2140" s="123">
        <f>IF(AND(B2140&lt;&gt;"",OR($C$4="",ISNUMBER(SEARCH($C$4,C2140&amp;" "&amp;E2140&amp;" "&amp;G2140&amp;" "&amp;H2140&amp;" "&amp;I2140&amp;" "&amp;J2140&amp;" "&amp;K2140&amp;" "&amp;L2140))),OR($C$5="Semua",$C$5="",G2140=$C$5),OR($C$6="Semua",$C$6="",H2140=$C$6,H2140="Pengeluaran "&amp;$C$6,AND($C$6="Uang Kos Mama",H2140="Pengeluaran Uang Kos")),OR($C$7="Semua",$C$7="",I2140=$C$7),OR($C$8="Semua",$C$8="",C2140=$C$8,E2140=$C$8),OR($C$9="Semua",$C$9="",D2140=$C$9),OR($C$10="",B2140&gt;=$C$10),OR($C$11="",B2140&lt;=$C$11),OR($C$12&lt;&gt;"Ya",K2140&lt;&gt;""),OR($C$13="Semua",$C$13="",L2140=$C$13)),"✓","")</f>
        <v/>
      </c>
      <c r="N2140" s="93">
        <f>N(N2139)+IF(M2140="✓",1,0)</f>
        <v/>
      </c>
      <c r="O2140" s="93">
        <f>N(O2139)+IF(AND(B2140&lt;&gt;"",B2140&gt;='Uang Riba'!$H$30,B2140&lt;='Uang Riba'!$I$30,OR(H2140="Dana riba",H2140="Pinjam uang riba",I2140="Pinjam dari uang riba",I2140="Ganti uang riba",I2140="Kelebihan ganti dikembalikan",AND(C2140="Kantong Uang Riba",G2140="Pengeluaran"))),1,0)</f>
        <v/>
      </c>
      <c r="X2140" s="93">
        <f>IF(AND(B2140&lt;&gt;"",B2140&gt;='Buku Akun'!$H$4,B2140&lt;='Buku Akun'!$H$5,OR(C2140='Buku Akun'!$C$4,AND(D2140="Pindah",E2140='Buku Akun'!$C$4))),B2140+IF(AND(I2140="Selisih bunga",DAY(B2140)=1),0,0.01)+ROW()/10000000,"")</f>
        <v/>
      </c>
    </row>
    <row r="2141" outlineLevel="1" ht="15" customHeight="1" s="94">
      <c r="A2141" s="123">
        <f>IF(B2141="","",ROW()-15)</f>
        <v/>
      </c>
      <c r="B2141" s="124" t="n"/>
      <c r="C2141" s="123" t="n"/>
      <c r="D2141" s="123" t="n"/>
      <c r="E2141" s="123" t="n"/>
      <c r="F2141" s="125" t="n"/>
      <c r="G2141" s="123" t="n"/>
      <c r="H2141" s="123" t="n"/>
      <c r="I2141" s="123" t="n"/>
      <c r="J2141" s="123" t="n"/>
      <c r="K2141" s="123" t="n"/>
      <c r="L2141" s="123" t="n"/>
      <c r="M2141" s="123">
        <f>IF(AND(B2141&lt;&gt;"",OR($C$4="",ISNUMBER(SEARCH($C$4,C2141&amp;" "&amp;E2141&amp;" "&amp;G2141&amp;" "&amp;H2141&amp;" "&amp;I2141&amp;" "&amp;J2141&amp;" "&amp;K2141&amp;" "&amp;L2141))),OR($C$5="Semua",$C$5="",G2141=$C$5),OR($C$6="Semua",$C$6="",H2141=$C$6,H2141="Pengeluaran "&amp;$C$6,AND($C$6="Uang Kos Mama",H2141="Pengeluaran Uang Kos")),OR($C$7="Semua",$C$7="",I2141=$C$7),OR($C$8="Semua",$C$8="",C2141=$C$8,E2141=$C$8),OR($C$9="Semua",$C$9="",D2141=$C$9),OR($C$10="",B2141&gt;=$C$10),OR($C$11="",B2141&lt;=$C$11),OR($C$12&lt;&gt;"Ya",K2141&lt;&gt;""),OR($C$13="Semua",$C$13="",L2141=$C$13)),"✓","")</f>
        <v/>
      </c>
      <c r="N2141" s="93">
        <f>N(N2140)+IF(M2141="✓",1,0)</f>
        <v/>
      </c>
      <c r="O2141" s="93">
        <f>N(O2140)+IF(AND(B2141&lt;&gt;"",B2141&gt;='Uang Riba'!$H$30,B2141&lt;='Uang Riba'!$I$30,OR(H2141="Dana riba",H2141="Pinjam uang riba",I2141="Pinjam dari uang riba",I2141="Ganti uang riba",I2141="Kelebihan ganti dikembalikan",AND(C2141="Kantong Uang Riba",G2141="Pengeluaran"))),1,0)</f>
        <v/>
      </c>
      <c r="X2141" s="93">
        <f>IF(AND(B2141&lt;&gt;"",B2141&gt;='Buku Akun'!$H$4,B2141&lt;='Buku Akun'!$H$5,OR(C2141='Buku Akun'!$C$4,AND(D2141="Pindah",E2141='Buku Akun'!$C$4))),B2141+IF(AND(I2141="Selisih bunga",DAY(B2141)=1),0,0.01)+ROW()/10000000,"")</f>
        <v/>
      </c>
    </row>
    <row r="2142" outlineLevel="1" ht="15" customHeight="1" s="94">
      <c r="A2142" s="123">
        <f>IF(B2142="","",ROW()-15)</f>
        <v/>
      </c>
      <c r="B2142" s="124" t="n"/>
      <c r="C2142" s="123" t="n"/>
      <c r="D2142" s="123" t="n"/>
      <c r="E2142" s="123" t="n"/>
      <c r="F2142" s="125" t="n"/>
      <c r="G2142" s="123" t="n"/>
      <c r="H2142" s="123" t="n"/>
      <c r="I2142" s="123" t="n"/>
      <c r="J2142" s="123" t="n"/>
      <c r="K2142" s="123" t="n"/>
      <c r="L2142" s="123" t="n"/>
      <c r="M2142" s="123">
        <f>IF(AND(B2142&lt;&gt;"",OR($C$4="",ISNUMBER(SEARCH($C$4,C2142&amp;" "&amp;E2142&amp;" "&amp;G2142&amp;" "&amp;H2142&amp;" "&amp;I2142&amp;" "&amp;J2142&amp;" "&amp;K2142&amp;" "&amp;L2142))),OR($C$5="Semua",$C$5="",G2142=$C$5),OR($C$6="Semua",$C$6="",H2142=$C$6,H2142="Pengeluaran "&amp;$C$6,AND($C$6="Uang Kos Mama",H2142="Pengeluaran Uang Kos")),OR($C$7="Semua",$C$7="",I2142=$C$7),OR($C$8="Semua",$C$8="",C2142=$C$8,E2142=$C$8),OR($C$9="Semua",$C$9="",D2142=$C$9),OR($C$10="",B2142&gt;=$C$10),OR($C$11="",B2142&lt;=$C$11),OR($C$12&lt;&gt;"Ya",K2142&lt;&gt;""),OR($C$13="Semua",$C$13="",L2142=$C$13)),"✓","")</f>
        <v/>
      </c>
      <c r="N2142" s="93">
        <f>N(N2141)+IF(M2142="✓",1,0)</f>
        <v/>
      </c>
      <c r="O2142" s="93">
        <f>N(O2141)+IF(AND(B2142&lt;&gt;"",B2142&gt;='Uang Riba'!$H$30,B2142&lt;='Uang Riba'!$I$30,OR(H2142="Dana riba",H2142="Pinjam uang riba",I2142="Pinjam dari uang riba",I2142="Ganti uang riba",I2142="Kelebihan ganti dikembalikan",AND(C2142="Kantong Uang Riba",G2142="Pengeluaran"))),1,0)</f>
        <v/>
      </c>
      <c r="X2142" s="93">
        <f>IF(AND(B2142&lt;&gt;"",B2142&gt;='Buku Akun'!$H$4,B2142&lt;='Buku Akun'!$H$5,OR(C2142='Buku Akun'!$C$4,AND(D2142="Pindah",E2142='Buku Akun'!$C$4))),B2142+IF(AND(I2142="Selisih bunga",DAY(B2142)=1),0,0.01)+ROW()/10000000,"")</f>
        <v/>
      </c>
    </row>
    <row r="2143" outlineLevel="1" ht="15" customHeight="1" s="94">
      <c r="A2143" s="123">
        <f>IF(B2143="","",ROW()-15)</f>
        <v/>
      </c>
      <c r="B2143" s="124" t="n"/>
      <c r="C2143" s="123" t="n"/>
      <c r="D2143" s="123" t="n"/>
      <c r="E2143" s="123" t="n"/>
      <c r="F2143" s="125" t="n"/>
      <c r="G2143" s="123" t="n"/>
      <c r="H2143" s="123" t="n"/>
      <c r="I2143" s="123" t="n"/>
      <c r="J2143" s="123" t="n"/>
      <c r="K2143" s="123" t="n"/>
      <c r="L2143" s="123" t="n"/>
      <c r="M2143" s="123">
        <f>IF(AND(B2143&lt;&gt;"",OR($C$4="",ISNUMBER(SEARCH($C$4,C2143&amp;" "&amp;E2143&amp;" "&amp;G2143&amp;" "&amp;H2143&amp;" "&amp;I2143&amp;" "&amp;J2143&amp;" "&amp;K2143&amp;" "&amp;L2143))),OR($C$5="Semua",$C$5="",G2143=$C$5),OR($C$6="Semua",$C$6="",H2143=$C$6,H2143="Pengeluaran "&amp;$C$6,AND($C$6="Uang Kos Mama",H2143="Pengeluaran Uang Kos")),OR($C$7="Semua",$C$7="",I2143=$C$7),OR($C$8="Semua",$C$8="",C2143=$C$8,E2143=$C$8),OR($C$9="Semua",$C$9="",D2143=$C$9),OR($C$10="",B2143&gt;=$C$10),OR($C$11="",B2143&lt;=$C$11),OR($C$12&lt;&gt;"Ya",K2143&lt;&gt;""),OR($C$13="Semua",$C$13="",L2143=$C$13)),"✓","")</f>
        <v/>
      </c>
      <c r="N2143" s="93">
        <f>N(N2142)+IF(M2143="✓",1,0)</f>
        <v/>
      </c>
      <c r="O2143" s="93">
        <f>N(O2142)+IF(AND(B2143&lt;&gt;"",B2143&gt;='Uang Riba'!$H$30,B2143&lt;='Uang Riba'!$I$30,OR(H2143="Dana riba",H2143="Pinjam uang riba",I2143="Pinjam dari uang riba",I2143="Ganti uang riba",I2143="Kelebihan ganti dikembalikan",AND(C2143="Kantong Uang Riba",G2143="Pengeluaran"))),1,0)</f>
        <v/>
      </c>
      <c r="X2143" s="93">
        <f>IF(AND(B2143&lt;&gt;"",B2143&gt;='Buku Akun'!$H$4,B2143&lt;='Buku Akun'!$H$5,OR(C2143='Buku Akun'!$C$4,AND(D2143="Pindah",E2143='Buku Akun'!$C$4))),B2143+IF(AND(I2143="Selisih bunga",DAY(B2143)=1),0,0.01)+ROW()/10000000,"")</f>
        <v/>
      </c>
    </row>
    <row r="2144" outlineLevel="1" ht="15" customHeight="1" s="94">
      <c r="A2144" s="123">
        <f>IF(B2144="","",ROW()-15)</f>
        <v/>
      </c>
      <c r="B2144" s="124" t="n"/>
      <c r="C2144" s="123" t="n"/>
      <c r="D2144" s="123" t="n"/>
      <c r="E2144" s="123" t="n"/>
      <c r="F2144" s="125" t="n"/>
      <c r="G2144" s="123" t="n"/>
      <c r="H2144" s="123" t="n"/>
      <c r="I2144" s="123" t="n"/>
      <c r="J2144" s="123" t="n"/>
      <c r="K2144" s="123" t="n"/>
      <c r="L2144" s="123" t="n"/>
      <c r="M2144" s="123">
        <f>IF(AND(B2144&lt;&gt;"",OR($C$4="",ISNUMBER(SEARCH($C$4,C2144&amp;" "&amp;E2144&amp;" "&amp;G2144&amp;" "&amp;H2144&amp;" "&amp;I2144&amp;" "&amp;J2144&amp;" "&amp;K2144&amp;" "&amp;L2144))),OR($C$5="Semua",$C$5="",G2144=$C$5),OR($C$6="Semua",$C$6="",H2144=$C$6,H2144="Pengeluaran "&amp;$C$6,AND($C$6="Uang Kos Mama",H2144="Pengeluaran Uang Kos")),OR($C$7="Semua",$C$7="",I2144=$C$7),OR($C$8="Semua",$C$8="",C2144=$C$8,E2144=$C$8),OR($C$9="Semua",$C$9="",D2144=$C$9),OR($C$10="",B2144&gt;=$C$10),OR($C$11="",B2144&lt;=$C$11),OR($C$12&lt;&gt;"Ya",K2144&lt;&gt;""),OR($C$13="Semua",$C$13="",L2144=$C$13)),"✓","")</f>
        <v/>
      </c>
      <c r="N2144" s="93">
        <f>N(N2143)+IF(M2144="✓",1,0)</f>
        <v/>
      </c>
      <c r="O2144" s="93">
        <f>N(O2143)+IF(AND(B2144&lt;&gt;"",B2144&gt;='Uang Riba'!$H$30,B2144&lt;='Uang Riba'!$I$30,OR(H2144="Dana riba",H2144="Pinjam uang riba",I2144="Pinjam dari uang riba",I2144="Ganti uang riba",I2144="Kelebihan ganti dikembalikan",AND(C2144="Kantong Uang Riba",G2144="Pengeluaran"))),1,0)</f>
        <v/>
      </c>
      <c r="X2144" s="93">
        <f>IF(AND(B2144&lt;&gt;"",B2144&gt;='Buku Akun'!$H$4,B2144&lt;='Buku Akun'!$H$5,OR(C2144='Buku Akun'!$C$4,AND(D2144="Pindah",E2144='Buku Akun'!$C$4))),B2144+IF(AND(I2144="Selisih bunga",DAY(B2144)=1),0,0.01)+ROW()/10000000,"")</f>
        <v/>
      </c>
    </row>
    <row r="2145" outlineLevel="1" ht="15" customHeight="1" s="94">
      <c r="A2145" s="123">
        <f>IF(B2145="","",ROW()-15)</f>
        <v/>
      </c>
      <c r="B2145" s="124" t="n"/>
      <c r="C2145" s="123" t="n"/>
      <c r="D2145" s="123" t="n"/>
      <c r="E2145" s="123" t="n"/>
      <c r="F2145" s="125" t="n"/>
      <c r="G2145" s="123" t="n"/>
      <c r="H2145" s="123" t="n"/>
      <c r="I2145" s="123" t="n"/>
      <c r="J2145" s="123" t="n"/>
      <c r="K2145" s="123" t="n"/>
      <c r="L2145" s="123" t="n"/>
      <c r="M2145" s="123">
        <f>IF(AND(B2145&lt;&gt;"",OR($C$4="",ISNUMBER(SEARCH($C$4,C2145&amp;" "&amp;E2145&amp;" "&amp;G2145&amp;" "&amp;H2145&amp;" "&amp;I2145&amp;" "&amp;J2145&amp;" "&amp;K2145&amp;" "&amp;L2145))),OR($C$5="Semua",$C$5="",G2145=$C$5),OR($C$6="Semua",$C$6="",H2145=$C$6,H2145="Pengeluaran "&amp;$C$6,AND($C$6="Uang Kos Mama",H2145="Pengeluaran Uang Kos")),OR($C$7="Semua",$C$7="",I2145=$C$7),OR($C$8="Semua",$C$8="",C2145=$C$8,E2145=$C$8),OR($C$9="Semua",$C$9="",D2145=$C$9),OR($C$10="",B2145&gt;=$C$10),OR($C$11="",B2145&lt;=$C$11),OR($C$12&lt;&gt;"Ya",K2145&lt;&gt;""),OR($C$13="Semua",$C$13="",L2145=$C$13)),"✓","")</f>
        <v/>
      </c>
      <c r="N2145" s="93">
        <f>N(N2144)+IF(M2145="✓",1,0)</f>
        <v/>
      </c>
      <c r="O2145" s="93">
        <f>N(O2144)+IF(AND(B2145&lt;&gt;"",B2145&gt;='Uang Riba'!$H$30,B2145&lt;='Uang Riba'!$I$30,OR(H2145="Dana riba",H2145="Pinjam uang riba",I2145="Pinjam dari uang riba",I2145="Ganti uang riba",I2145="Kelebihan ganti dikembalikan",AND(C2145="Kantong Uang Riba",G2145="Pengeluaran"))),1,0)</f>
        <v/>
      </c>
      <c r="X2145" s="93">
        <f>IF(AND(B2145&lt;&gt;"",B2145&gt;='Buku Akun'!$H$4,B2145&lt;='Buku Akun'!$H$5,OR(C2145='Buku Akun'!$C$4,AND(D2145="Pindah",E2145='Buku Akun'!$C$4))),B2145+IF(AND(I2145="Selisih bunga",DAY(B2145)=1),0,0.01)+ROW()/10000000,"")</f>
        <v/>
      </c>
    </row>
    <row r="2146" outlineLevel="1" ht="15" customHeight="1" s="94">
      <c r="A2146" s="123">
        <f>IF(B2146="","",ROW()-15)</f>
        <v/>
      </c>
      <c r="B2146" s="124" t="n"/>
      <c r="C2146" s="123" t="n"/>
      <c r="D2146" s="123" t="n"/>
      <c r="E2146" s="123" t="n"/>
      <c r="F2146" s="125" t="n"/>
      <c r="G2146" s="123" t="n"/>
      <c r="H2146" s="123" t="n"/>
      <c r="I2146" s="123" t="n"/>
      <c r="J2146" s="123" t="n"/>
      <c r="K2146" s="123" t="n"/>
      <c r="L2146" s="123" t="n"/>
      <c r="M2146" s="123">
        <f>IF(AND(B2146&lt;&gt;"",OR($C$4="",ISNUMBER(SEARCH($C$4,C2146&amp;" "&amp;E2146&amp;" "&amp;G2146&amp;" "&amp;H2146&amp;" "&amp;I2146&amp;" "&amp;J2146&amp;" "&amp;K2146&amp;" "&amp;L2146))),OR($C$5="Semua",$C$5="",G2146=$C$5),OR($C$6="Semua",$C$6="",H2146=$C$6,H2146="Pengeluaran "&amp;$C$6,AND($C$6="Uang Kos Mama",H2146="Pengeluaran Uang Kos")),OR($C$7="Semua",$C$7="",I2146=$C$7),OR($C$8="Semua",$C$8="",C2146=$C$8,E2146=$C$8),OR($C$9="Semua",$C$9="",D2146=$C$9),OR($C$10="",B2146&gt;=$C$10),OR($C$11="",B2146&lt;=$C$11),OR($C$12&lt;&gt;"Ya",K2146&lt;&gt;""),OR($C$13="Semua",$C$13="",L2146=$C$13)),"✓","")</f>
        <v/>
      </c>
      <c r="N2146" s="93">
        <f>N(N2145)+IF(M2146="✓",1,0)</f>
        <v/>
      </c>
      <c r="O2146" s="93">
        <f>N(O2145)+IF(AND(B2146&lt;&gt;"",B2146&gt;='Uang Riba'!$H$30,B2146&lt;='Uang Riba'!$I$30,OR(H2146="Dana riba",H2146="Pinjam uang riba",I2146="Pinjam dari uang riba",I2146="Ganti uang riba",I2146="Kelebihan ganti dikembalikan",AND(C2146="Kantong Uang Riba",G2146="Pengeluaran"))),1,0)</f>
        <v/>
      </c>
      <c r="X2146" s="93">
        <f>IF(AND(B2146&lt;&gt;"",B2146&gt;='Buku Akun'!$H$4,B2146&lt;='Buku Akun'!$H$5,OR(C2146='Buku Akun'!$C$4,AND(D2146="Pindah",E2146='Buku Akun'!$C$4))),B2146+IF(AND(I2146="Selisih bunga",DAY(B2146)=1),0,0.01)+ROW()/10000000,"")</f>
        <v/>
      </c>
    </row>
    <row r="2147" outlineLevel="1" ht="15" customHeight="1" s="94">
      <c r="A2147" s="123">
        <f>IF(B2147="","",ROW()-15)</f>
        <v/>
      </c>
      <c r="B2147" s="124" t="n"/>
      <c r="C2147" s="123" t="n"/>
      <c r="D2147" s="123" t="n"/>
      <c r="E2147" s="123" t="n"/>
      <c r="F2147" s="125" t="n"/>
      <c r="G2147" s="123" t="n"/>
      <c r="H2147" s="123" t="n"/>
      <c r="I2147" s="123" t="n"/>
      <c r="J2147" s="123" t="n"/>
      <c r="K2147" s="123" t="n"/>
      <c r="L2147" s="123" t="n"/>
      <c r="M2147" s="123">
        <f>IF(AND(B2147&lt;&gt;"",OR($C$4="",ISNUMBER(SEARCH($C$4,C2147&amp;" "&amp;E2147&amp;" "&amp;G2147&amp;" "&amp;H2147&amp;" "&amp;I2147&amp;" "&amp;J2147&amp;" "&amp;K2147&amp;" "&amp;L2147))),OR($C$5="Semua",$C$5="",G2147=$C$5),OR($C$6="Semua",$C$6="",H2147=$C$6,H2147="Pengeluaran "&amp;$C$6,AND($C$6="Uang Kos Mama",H2147="Pengeluaran Uang Kos")),OR($C$7="Semua",$C$7="",I2147=$C$7),OR($C$8="Semua",$C$8="",C2147=$C$8,E2147=$C$8),OR($C$9="Semua",$C$9="",D2147=$C$9),OR($C$10="",B2147&gt;=$C$10),OR($C$11="",B2147&lt;=$C$11),OR($C$12&lt;&gt;"Ya",K2147&lt;&gt;""),OR($C$13="Semua",$C$13="",L2147=$C$13)),"✓","")</f>
        <v/>
      </c>
      <c r="N2147" s="93">
        <f>N(N2146)+IF(M2147="✓",1,0)</f>
        <v/>
      </c>
      <c r="O2147" s="93">
        <f>N(O2146)+IF(AND(B2147&lt;&gt;"",B2147&gt;='Uang Riba'!$H$30,B2147&lt;='Uang Riba'!$I$30,OR(H2147="Dana riba",H2147="Pinjam uang riba",I2147="Pinjam dari uang riba",I2147="Ganti uang riba",I2147="Kelebihan ganti dikembalikan",AND(C2147="Kantong Uang Riba",G2147="Pengeluaran"))),1,0)</f>
        <v/>
      </c>
      <c r="X2147" s="93">
        <f>IF(AND(B2147&lt;&gt;"",B2147&gt;='Buku Akun'!$H$4,B2147&lt;='Buku Akun'!$H$5,OR(C2147='Buku Akun'!$C$4,AND(D2147="Pindah",E2147='Buku Akun'!$C$4))),B2147+IF(AND(I2147="Selisih bunga",DAY(B2147)=1),0,0.01)+ROW()/10000000,"")</f>
        <v/>
      </c>
    </row>
    <row r="2148" outlineLevel="1" ht="15" customHeight="1" s="94">
      <c r="A2148" s="123">
        <f>IF(B2148="","",ROW()-15)</f>
        <v/>
      </c>
      <c r="B2148" s="124" t="n"/>
      <c r="C2148" s="123" t="n"/>
      <c r="D2148" s="123" t="n"/>
      <c r="E2148" s="123" t="n"/>
      <c r="F2148" s="125" t="n"/>
      <c r="G2148" s="123" t="n"/>
      <c r="H2148" s="123" t="n"/>
      <c r="I2148" s="123" t="n"/>
      <c r="J2148" s="123" t="n"/>
      <c r="K2148" s="123" t="n"/>
      <c r="L2148" s="123" t="n"/>
      <c r="M2148" s="123">
        <f>IF(AND(B2148&lt;&gt;"",OR($C$4="",ISNUMBER(SEARCH($C$4,C2148&amp;" "&amp;E2148&amp;" "&amp;G2148&amp;" "&amp;H2148&amp;" "&amp;I2148&amp;" "&amp;J2148&amp;" "&amp;K2148&amp;" "&amp;L2148))),OR($C$5="Semua",$C$5="",G2148=$C$5),OR($C$6="Semua",$C$6="",H2148=$C$6,H2148="Pengeluaran "&amp;$C$6,AND($C$6="Uang Kos Mama",H2148="Pengeluaran Uang Kos")),OR($C$7="Semua",$C$7="",I2148=$C$7),OR($C$8="Semua",$C$8="",C2148=$C$8,E2148=$C$8),OR($C$9="Semua",$C$9="",D2148=$C$9),OR($C$10="",B2148&gt;=$C$10),OR($C$11="",B2148&lt;=$C$11),OR($C$12&lt;&gt;"Ya",K2148&lt;&gt;""),OR($C$13="Semua",$C$13="",L2148=$C$13)),"✓","")</f>
        <v/>
      </c>
      <c r="N2148" s="93">
        <f>N(N2147)+IF(M2148="✓",1,0)</f>
        <v/>
      </c>
      <c r="O2148" s="93">
        <f>N(O2147)+IF(AND(B2148&lt;&gt;"",B2148&gt;='Uang Riba'!$H$30,B2148&lt;='Uang Riba'!$I$30,OR(H2148="Dana riba",H2148="Pinjam uang riba",I2148="Pinjam dari uang riba",I2148="Ganti uang riba",I2148="Kelebihan ganti dikembalikan",AND(C2148="Kantong Uang Riba",G2148="Pengeluaran"))),1,0)</f>
        <v/>
      </c>
      <c r="X2148" s="93">
        <f>IF(AND(B2148&lt;&gt;"",B2148&gt;='Buku Akun'!$H$4,B2148&lt;='Buku Akun'!$H$5,OR(C2148='Buku Akun'!$C$4,AND(D2148="Pindah",E2148='Buku Akun'!$C$4))),B2148+IF(AND(I2148="Selisih bunga",DAY(B2148)=1),0,0.01)+ROW()/10000000,"")</f>
        <v/>
      </c>
    </row>
    <row r="2149" outlineLevel="1" ht="15" customHeight="1" s="94">
      <c r="A2149" s="123">
        <f>IF(B2149="","",ROW()-15)</f>
        <v/>
      </c>
      <c r="B2149" s="124" t="n"/>
      <c r="C2149" s="123" t="n"/>
      <c r="D2149" s="123" t="n"/>
      <c r="E2149" s="123" t="n"/>
      <c r="F2149" s="125" t="n"/>
      <c r="G2149" s="123" t="n"/>
      <c r="H2149" s="123" t="n"/>
      <c r="I2149" s="123" t="n"/>
      <c r="J2149" s="123" t="n"/>
      <c r="K2149" s="123" t="n"/>
      <c r="L2149" s="123" t="n"/>
      <c r="M2149" s="123">
        <f>IF(AND(B2149&lt;&gt;"",OR($C$4="",ISNUMBER(SEARCH($C$4,C2149&amp;" "&amp;E2149&amp;" "&amp;G2149&amp;" "&amp;H2149&amp;" "&amp;I2149&amp;" "&amp;J2149&amp;" "&amp;K2149&amp;" "&amp;L2149))),OR($C$5="Semua",$C$5="",G2149=$C$5),OR($C$6="Semua",$C$6="",H2149=$C$6,H2149="Pengeluaran "&amp;$C$6,AND($C$6="Uang Kos Mama",H2149="Pengeluaran Uang Kos")),OR($C$7="Semua",$C$7="",I2149=$C$7),OR($C$8="Semua",$C$8="",C2149=$C$8,E2149=$C$8),OR($C$9="Semua",$C$9="",D2149=$C$9),OR($C$10="",B2149&gt;=$C$10),OR($C$11="",B2149&lt;=$C$11),OR($C$12&lt;&gt;"Ya",K2149&lt;&gt;""),OR($C$13="Semua",$C$13="",L2149=$C$13)),"✓","")</f>
        <v/>
      </c>
      <c r="N2149" s="93">
        <f>N(N2148)+IF(M2149="✓",1,0)</f>
        <v/>
      </c>
      <c r="O2149" s="93">
        <f>N(O2148)+IF(AND(B2149&lt;&gt;"",B2149&gt;='Uang Riba'!$H$30,B2149&lt;='Uang Riba'!$I$30,OR(H2149="Dana riba",H2149="Pinjam uang riba",I2149="Pinjam dari uang riba",I2149="Ganti uang riba",I2149="Kelebihan ganti dikembalikan",AND(C2149="Kantong Uang Riba",G2149="Pengeluaran"))),1,0)</f>
        <v/>
      </c>
      <c r="X2149" s="93">
        <f>IF(AND(B2149&lt;&gt;"",B2149&gt;='Buku Akun'!$H$4,B2149&lt;='Buku Akun'!$H$5,OR(C2149='Buku Akun'!$C$4,AND(D2149="Pindah",E2149='Buku Akun'!$C$4))),B2149+IF(AND(I2149="Selisih bunga",DAY(B2149)=1),0,0.01)+ROW()/10000000,"")</f>
        <v/>
      </c>
    </row>
    <row r="2150" outlineLevel="1" ht="15" customHeight="1" s="94">
      <c r="A2150" s="123">
        <f>IF(B2150="","",ROW()-15)</f>
        <v/>
      </c>
      <c r="B2150" s="124" t="n"/>
      <c r="C2150" s="123" t="n"/>
      <c r="D2150" s="123" t="n"/>
      <c r="E2150" s="123" t="n"/>
      <c r="F2150" s="125" t="n"/>
      <c r="G2150" s="123" t="n"/>
      <c r="H2150" s="123" t="n"/>
      <c r="I2150" s="123" t="n"/>
      <c r="J2150" s="123" t="n"/>
      <c r="K2150" s="123" t="n"/>
      <c r="L2150" s="123" t="n"/>
      <c r="M2150" s="123">
        <f>IF(AND(B2150&lt;&gt;"",OR($C$4="",ISNUMBER(SEARCH($C$4,C2150&amp;" "&amp;E2150&amp;" "&amp;G2150&amp;" "&amp;H2150&amp;" "&amp;I2150&amp;" "&amp;J2150&amp;" "&amp;K2150&amp;" "&amp;L2150))),OR($C$5="Semua",$C$5="",G2150=$C$5),OR($C$6="Semua",$C$6="",H2150=$C$6,H2150="Pengeluaran "&amp;$C$6,AND($C$6="Uang Kos Mama",H2150="Pengeluaran Uang Kos")),OR($C$7="Semua",$C$7="",I2150=$C$7),OR($C$8="Semua",$C$8="",C2150=$C$8,E2150=$C$8),OR($C$9="Semua",$C$9="",D2150=$C$9),OR($C$10="",B2150&gt;=$C$10),OR($C$11="",B2150&lt;=$C$11),OR($C$12&lt;&gt;"Ya",K2150&lt;&gt;""),OR($C$13="Semua",$C$13="",L2150=$C$13)),"✓","")</f>
        <v/>
      </c>
      <c r="N2150" s="93">
        <f>N(N2149)+IF(M2150="✓",1,0)</f>
        <v/>
      </c>
      <c r="O2150" s="93">
        <f>N(O2149)+IF(AND(B2150&lt;&gt;"",B2150&gt;='Uang Riba'!$H$30,B2150&lt;='Uang Riba'!$I$30,OR(H2150="Dana riba",H2150="Pinjam uang riba",I2150="Pinjam dari uang riba",I2150="Ganti uang riba",I2150="Kelebihan ganti dikembalikan",AND(C2150="Kantong Uang Riba",G2150="Pengeluaran"))),1,0)</f>
        <v/>
      </c>
      <c r="X2150" s="93">
        <f>IF(AND(B2150&lt;&gt;"",B2150&gt;='Buku Akun'!$H$4,B2150&lt;='Buku Akun'!$H$5,OR(C2150='Buku Akun'!$C$4,AND(D2150="Pindah",E2150='Buku Akun'!$C$4))),B2150+IF(AND(I2150="Selisih bunga",DAY(B2150)=1),0,0.01)+ROW()/10000000,"")</f>
        <v/>
      </c>
    </row>
    <row r="2151" outlineLevel="1" ht="15" customHeight="1" s="94">
      <c r="A2151" s="123">
        <f>IF(B2151="","",ROW()-15)</f>
        <v/>
      </c>
      <c r="B2151" s="124" t="n"/>
      <c r="C2151" s="123" t="n"/>
      <c r="D2151" s="123" t="n"/>
      <c r="E2151" s="123" t="n"/>
      <c r="F2151" s="125" t="n"/>
      <c r="G2151" s="123" t="n"/>
      <c r="H2151" s="123" t="n"/>
      <c r="I2151" s="123" t="n"/>
      <c r="J2151" s="123" t="n"/>
      <c r="K2151" s="123" t="n"/>
      <c r="L2151" s="123" t="n"/>
      <c r="M2151" s="123">
        <f>IF(AND(B2151&lt;&gt;"",OR($C$4="",ISNUMBER(SEARCH($C$4,C2151&amp;" "&amp;E2151&amp;" "&amp;G2151&amp;" "&amp;H2151&amp;" "&amp;I2151&amp;" "&amp;J2151&amp;" "&amp;K2151&amp;" "&amp;L2151))),OR($C$5="Semua",$C$5="",G2151=$C$5),OR($C$6="Semua",$C$6="",H2151=$C$6,H2151="Pengeluaran "&amp;$C$6,AND($C$6="Uang Kos Mama",H2151="Pengeluaran Uang Kos")),OR($C$7="Semua",$C$7="",I2151=$C$7),OR($C$8="Semua",$C$8="",C2151=$C$8,E2151=$C$8),OR($C$9="Semua",$C$9="",D2151=$C$9),OR($C$10="",B2151&gt;=$C$10),OR($C$11="",B2151&lt;=$C$11),OR($C$12&lt;&gt;"Ya",K2151&lt;&gt;""),OR($C$13="Semua",$C$13="",L2151=$C$13)),"✓","")</f>
        <v/>
      </c>
      <c r="N2151" s="93">
        <f>N(N2150)+IF(M2151="✓",1,0)</f>
        <v/>
      </c>
      <c r="O2151" s="93">
        <f>N(O2150)+IF(AND(B2151&lt;&gt;"",B2151&gt;='Uang Riba'!$H$30,B2151&lt;='Uang Riba'!$I$30,OR(H2151="Dana riba",H2151="Pinjam uang riba",I2151="Pinjam dari uang riba",I2151="Ganti uang riba",I2151="Kelebihan ganti dikembalikan",AND(C2151="Kantong Uang Riba",G2151="Pengeluaran"))),1,0)</f>
        <v/>
      </c>
      <c r="X2151" s="93">
        <f>IF(AND(B2151&lt;&gt;"",B2151&gt;='Buku Akun'!$H$4,B2151&lt;='Buku Akun'!$H$5,OR(C2151='Buku Akun'!$C$4,AND(D2151="Pindah",E2151='Buku Akun'!$C$4))),B2151+IF(AND(I2151="Selisih bunga",DAY(B2151)=1),0,0.01)+ROW()/10000000,"")</f>
        <v/>
      </c>
    </row>
    <row r="2152" outlineLevel="1" ht="15" customHeight="1" s="94">
      <c r="A2152" s="123">
        <f>IF(B2152="","",ROW()-15)</f>
        <v/>
      </c>
      <c r="B2152" s="124" t="n"/>
      <c r="C2152" s="123" t="n"/>
      <c r="D2152" s="123" t="n"/>
      <c r="E2152" s="123" t="n"/>
      <c r="F2152" s="125" t="n"/>
      <c r="G2152" s="123" t="n"/>
      <c r="H2152" s="123" t="n"/>
      <c r="I2152" s="123" t="n"/>
      <c r="J2152" s="123" t="n"/>
      <c r="K2152" s="123" t="n"/>
      <c r="L2152" s="123" t="n"/>
      <c r="M2152" s="123">
        <f>IF(AND(B2152&lt;&gt;"",OR($C$4="",ISNUMBER(SEARCH($C$4,C2152&amp;" "&amp;E2152&amp;" "&amp;G2152&amp;" "&amp;H2152&amp;" "&amp;I2152&amp;" "&amp;J2152&amp;" "&amp;K2152&amp;" "&amp;L2152))),OR($C$5="Semua",$C$5="",G2152=$C$5),OR($C$6="Semua",$C$6="",H2152=$C$6,H2152="Pengeluaran "&amp;$C$6,AND($C$6="Uang Kos Mama",H2152="Pengeluaran Uang Kos")),OR($C$7="Semua",$C$7="",I2152=$C$7),OR($C$8="Semua",$C$8="",C2152=$C$8,E2152=$C$8),OR($C$9="Semua",$C$9="",D2152=$C$9),OR($C$10="",B2152&gt;=$C$10),OR($C$11="",B2152&lt;=$C$11),OR($C$12&lt;&gt;"Ya",K2152&lt;&gt;""),OR($C$13="Semua",$C$13="",L2152=$C$13)),"✓","")</f>
        <v/>
      </c>
      <c r="N2152" s="93">
        <f>N(N2151)+IF(M2152="✓",1,0)</f>
        <v/>
      </c>
      <c r="O2152" s="93">
        <f>N(O2151)+IF(AND(B2152&lt;&gt;"",B2152&gt;='Uang Riba'!$H$30,B2152&lt;='Uang Riba'!$I$30,OR(H2152="Dana riba",H2152="Pinjam uang riba",I2152="Pinjam dari uang riba",I2152="Ganti uang riba",I2152="Kelebihan ganti dikembalikan",AND(C2152="Kantong Uang Riba",G2152="Pengeluaran"))),1,0)</f>
        <v/>
      </c>
      <c r="X2152" s="93">
        <f>IF(AND(B2152&lt;&gt;"",B2152&gt;='Buku Akun'!$H$4,B2152&lt;='Buku Akun'!$H$5,OR(C2152='Buku Akun'!$C$4,AND(D2152="Pindah",E2152='Buku Akun'!$C$4))),B2152+IF(AND(I2152="Selisih bunga",DAY(B2152)=1),0,0.01)+ROW()/10000000,"")</f>
        <v/>
      </c>
    </row>
    <row r="2153" outlineLevel="1" ht="15" customHeight="1" s="94">
      <c r="A2153" s="123">
        <f>IF(B2153="","",ROW()-15)</f>
        <v/>
      </c>
      <c r="B2153" s="124" t="n"/>
      <c r="C2153" s="123" t="n"/>
      <c r="D2153" s="123" t="n"/>
      <c r="E2153" s="123" t="n"/>
      <c r="F2153" s="125" t="n"/>
      <c r="G2153" s="123" t="n"/>
      <c r="H2153" s="123" t="n"/>
      <c r="I2153" s="123" t="n"/>
      <c r="J2153" s="123" t="n"/>
      <c r="K2153" s="123" t="n"/>
      <c r="L2153" s="123" t="n"/>
      <c r="M2153" s="123">
        <f>IF(AND(B2153&lt;&gt;"",OR($C$4="",ISNUMBER(SEARCH($C$4,C2153&amp;" "&amp;E2153&amp;" "&amp;G2153&amp;" "&amp;H2153&amp;" "&amp;I2153&amp;" "&amp;J2153&amp;" "&amp;K2153&amp;" "&amp;L2153))),OR($C$5="Semua",$C$5="",G2153=$C$5),OR($C$6="Semua",$C$6="",H2153=$C$6,H2153="Pengeluaran "&amp;$C$6,AND($C$6="Uang Kos Mama",H2153="Pengeluaran Uang Kos")),OR($C$7="Semua",$C$7="",I2153=$C$7),OR($C$8="Semua",$C$8="",C2153=$C$8,E2153=$C$8),OR($C$9="Semua",$C$9="",D2153=$C$9),OR($C$10="",B2153&gt;=$C$10),OR($C$11="",B2153&lt;=$C$11),OR($C$12&lt;&gt;"Ya",K2153&lt;&gt;""),OR($C$13="Semua",$C$13="",L2153=$C$13)),"✓","")</f>
        <v/>
      </c>
      <c r="N2153" s="93">
        <f>N(N2152)+IF(M2153="✓",1,0)</f>
        <v/>
      </c>
      <c r="O2153" s="93">
        <f>N(O2152)+IF(AND(B2153&lt;&gt;"",B2153&gt;='Uang Riba'!$H$30,B2153&lt;='Uang Riba'!$I$30,OR(H2153="Dana riba",H2153="Pinjam uang riba",I2153="Pinjam dari uang riba",I2153="Ganti uang riba",I2153="Kelebihan ganti dikembalikan",AND(C2153="Kantong Uang Riba",G2153="Pengeluaran"))),1,0)</f>
        <v/>
      </c>
      <c r="X2153" s="93">
        <f>IF(AND(B2153&lt;&gt;"",B2153&gt;='Buku Akun'!$H$4,B2153&lt;='Buku Akun'!$H$5,OR(C2153='Buku Akun'!$C$4,AND(D2153="Pindah",E2153='Buku Akun'!$C$4))),B2153+IF(AND(I2153="Selisih bunga",DAY(B2153)=1),0,0.01)+ROW()/10000000,"")</f>
        <v/>
      </c>
    </row>
    <row r="2154" outlineLevel="1" ht="15" customHeight="1" s="94">
      <c r="A2154" s="123">
        <f>IF(B2154="","",ROW()-15)</f>
        <v/>
      </c>
      <c r="B2154" s="124" t="n"/>
      <c r="C2154" s="123" t="n"/>
      <c r="D2154" s="123" t="n"/>
      <c r="E2154" s="123" t="n"/>
      <c r="F2154" s="125" t="n"/>
      <c r="G2154" s="123" t="n"/>
      <c r="H2154" s="123" t="n"/>
      <c r="I2154" s="123" t="n"/>
      <c r="J2154" s="123" t="n"/>
      <c r="K2154" s="123" t="n"/>
      <c r="L2154" s="123" t="n"/>
      <c r="M2154" s="123">
        <f>IF(AND(B2154&lt;&gt;"",OR($C$4="",ISNUMBER(SEARCH($C$4,C2154&amp;" "&amp;E2154&amp;" "&amp;G2154&amp;" "&amp;H2154&amp;" "&amp;I2154&amp;" "&amp;J2154&amp;" "&amp;K2154&amp;" "&amp;L2154))),OR($C$5="Semua",$C$5="",G2154=$C$5),OR($C$6="Semua",$C$6="",H2154=$C$6,H2154="Pengeluaran "&amp;$C$6,AND($C$6="Uang Kos Mama",H2154="Pengeluaran Uang Kos")),OR($C$7="Semua",$C$7="",I2154=$C$7),OR($C$8="Semua",$C$8="",C2154=$C$8,E2154=$C$8),OR($C$9="Semua",$C$9="",D2154=$C$9),OR($C$10="",B2154&gt;=$C$10),OR($C$11="",B2154&lt;=$C$11),OR($C$12&lt;&gt;"Ya",K2154&lt;&gt;""),OR($C$13="Semua",$C$13="",L2154=$C$13)),"✓","")</f>
        <v/>
      </c>
      <c r="N2154" s="93">
        <f>N(N2153)+IF(M2154="✓",1,0)</f>
        <v/>
      </c>
      <c r="O2154" s="93">
        <f>N(O2153)+IF(AND(B2154&lt;&gt;"",B2154&gt;='Uang Riba'!$H$30,B2154&lt;='Uang Riba'!$I$30,OR(H2154="Dana riba",H2154="Pinjam uang riba",I2154="Pinjam dari uang riba",I2154="Ganti uang riba",I2154="Kelebihan ganti dikembalikan",AND(C2154="Kantong Uang Riba",G2154="Pengeluaran"))),1,0)</f>
        <v/>
      </c>
      <c r="X2154" s="93">
        <f>IF(AND(B2154&lt;&gt;"",B2154&gt;='Buku Akun'!$H$4,B2154&lt;='Buku Akun'!$H$5,OR(C2154='Buku Akun'!$C$4,AND(D2154="Pindah",E2154='Buku Akun'!$C$4))),B2154+IF(AND(I2154="Selisih bunga",DAY(B2154)=1),0,0.01)+ROW()/10000000,"")</f>
        <v/>
      </c>
    </row>
    <row r="2155" outlineLevel="1" ht="15" customHeight="1" s="94">
      <c r="A2155" s="123">
        <f>IF(B2155="","",ROW()-15)</f>
        <v/>
      </c>
      <c r="B2155" s="124" t="n"/>
      <c r="C2155" s="123" t="n"/>
      <c r="D2155" s="123" t="n"/>
      <c r="E2155" s="123" t="n"/>
      <c r="F2155" s="125" t="n"/>
      <c r="G2155" s="123" t="n"/>
      <c r="H2155" s="123" t="n"/>
      <c r="I2155" s="123" t="n"/>
      <c r="J2155" s="123" t="n"/>
      <c r="K2155" s="123" t="n"/>
      <c r="L2155" s="123" t="n"/>
      <c r="M2155" s="123">
        <f>IF(AND(B2155&lt;&gt;"",OR($C$4="",ISNUMBER(SEARCH($C$4,C2155&amp;" "&amp;E2155&amp;" "&amp;G2155&amp;" "&amp;H2155&amp;" "&amp;I2155&amp;" "&amp;J2155&amp;" "&amp;K2155&amp;" "&amp;L2155))),OR($C$5="Semua",$C$5="",G2155=$C$5),OR($C$6="Semua",$C$6="",H2155=$C$6,H2155="Pengeluaran "&amp;$C$6,AND($C$6="Uang Kos Mama",H2155="Pengeluaran Uang Kos")),OR($C$7="Semua",$C$7="",I2155=$C$7),OR($C$8="Semua",$C$8="",C2155=$C$8,E2155=$C$8),OR($C$9="Semua",$C$9="",D2155=$C$9),OR($C$10="",B2155&gt;=$C$10),OR($C$11="",B2155&lt;=$C$11),OR($C$12&lt;&gt;"Ya",K2155&lt;&gt;""),OR($C$13="Semua",$C$13="",L2155=$C$13)),"✓","")</f>
        <v/>
      </c>
      <c r="N2155" s="93">
        <f>N(N2154)+IF(M2155="✓",1,0)</f>
        <v/>
      </c>
      <c r="O2155" s="93">
        <f>N(O2154)+IF(AND(B2155&lt;&gt;"",B2155&gt;='Uang Riba'!$H$30,B2155&lt;='Uang Riba'!$I$30,OR(H2155="Dana riba",H2155="Pinjam uang riba",I2155="Pinjam dari uang riba",I2155="Ganti uang riba",I2155="Kelebihan ganti dikembalikan",AND(C2155="Kantong Uang Riba",G2155="Pengeluaran"))),1,0)</f>
        <v/>
      </c>
      <c r="X2155" s="93">
        <f>IF(AND(B2155&lt;&gt;"",B2155&gt;='Buku Akun'!$H$4,B2155&lt;='Buku Akun'!$H$5,OR(C2155='Buku Akun'!$C$4,AND(D2155="Pindah",E2155='Buku Akun'!$C$4))),B2155+IF(AND(I2155="Selisih bunga",DAY(B2155)=1),0,0.01)+ROW()/10000000,"")</f>
        <v/>
      </c>
    </row>
    <row r="2156" outlineLevel="1" ht="15" customHeight="1" s="94">
      <c r="A2156" s="123">
        <f>IF(B2156="","",ROW()-15)</f>
        <v/>
      </c>
      <c r="B2156" s="124" t="n"/>
      <c r="C2156" s="123" t="n"/>
      <c r="D2156" s="123" t="n"/>
      <c r="E2156" s="123" t="n"/>
      <c r="F2156" s="125" t="n"/>
      <c r="G2156" s="123" t="n"/>
      <c r="H2156" s="123" t="n"/>
      <c r="I2156" s="123" t="n"/>
      <c r="J2156" s="123" t="n"/>
      <c r="K2156" s="123" t="n"/>
      <c r="L2156" s="123" t="n"/>
      <c r="M2156" s="123">
        <f>IF(AND(B2156&lt;&gt;"",OR($C$4="",ISNUMBER(SEARCH($C$4,C2156&amp;" "&amp;E2156&amp;" "&amp;G2156&amp;" "&amp;H2156&amp;" "&amp;I2156&amp;" "&amp;J2156&amp;" "&amp;K2156&amp;" "&amp;L2156))),OR($C$5="Semua",$C$5="",G2156=$C$5),OR($C$6="Semua",$C$6="",H2156=$C$6,H2156="Pengeluaran "&amp;$C$6,AND($C$6="Uang Kos Mama",H2156="Pengeluaran Uang Kos")),OR($C$7="Semua",$C$7="",I2156=$C$7),OR($C$8="Semua",$C$8="",C2156=$C$8,E2156=$C$8),OR($C$9="Semua",$C$9="",D2156=$C$9),OR($C$10="",B2156&gt;=$C$10),OR($C$11="",B2156&lt;=$C$11),OR($C$12&lt;&gt;"Ya",K2156&lt;&gt;""),OR($C$13="Semua",$C$13="",L2156=$C$13)),"✓","")</f>
        <v/>
      </c>
      <c r="N2156" s="93">
        <f>N(N2155)+IF(M2156="✓",1,0)</f>
        <v/>
      </c>
      <c r="O2156" s="93">
        <f>N(O2155)+IF(AND(B2156&lt;&gt;"",B2156&gt;='Uang Riba'!$H$30,B2156&lt;='Uang Riba'!$I$30,OR(H2156="Dana riba",H2156="Pinjam uang riba",I2156="Pinjam dari uang riba",I2156="Ganti uang riba",I2156="Kelebihan ganti dikembalikan",AND(C2156="Kantong Uang Riba",G2156="Pengeluaran"))),1,0)</f>
        <v/>
      </c>
      <c r="X2156" s="93">
        <f>IF(AND(B2156&lt;&gt;"",B2156&gt;='Buku Akun'!$H$4,B2156&lt;='Buku Akun'!$H$5,OR(C2156='Buku Akun'!$C$4,AND(D2156="Pindah",E2156='Buku Akun'!$C$4))),B2156+IF(AND(I2156="Selisih bunga",DAY(B2156)=1),0,0.01)+ROW()/10000000,"")</f>
        <v/>
      </c>
    </row>
    <row r="2157" outlineLevel="1" ht="15" customHeight="1" s="94">
      <c r="A2157" s="123">
        <f>IF(B2157="","",ROW()-15)</f>
        <v/>
      </c>
      <c r="B2157" s="124" t="n"/>
      <c r="C2157" s="123" t="n"/>
      <c r="D2157" s="123" t="n"/>
      <c r="E2157" s="123" t="n"/>
      <c r="F2157" s="125" t="n"/>
      <c r="G2157" s="123" t="n"/>
      <c r="H2157" s="123" t="n"/>
      <c r="I2157" s="123" t="n"/>
      <c r="J2157" s="123" t="n"/>
      <c r="K2157" s="123" t="n"/>
      <c r="L2157" s="123" t="n"/>
      <c r="M2157" s="123">
        <f>IF(AND(B2157&lt;&gt;"",OR($C$4="",ISNUMBER(SEARCH($C$4,C2157&amp;" "&amp;E2157&amp;" "&amp;G2157&amp;" "&amp;H2157&amp;" "&amp;I2157&amp;" "&amp;J2157&amp;" "&amp;K2157&amp;" "&amp;L2157))),OR($C$5="Semua",$C$5="",G2157=$C$5),OR($C$6="Semua",$C$6="",H2157=$C$6,H2157="Pengeluaran "&amp;$C$6,AND($C$6="Uang Kos Mama",H2157="Pengeluaran Uang Kos")),OR($C$7="Semua",$C$7="",I2157=$C$7),OR($C$8="Semua",$C$8="",C2157=$C$8,E2157=$C$8),OR($C$9="Semua",$C$9="",D2157=$C$9),OR($C$10="",B2157&gt;=$C$10),OR($C$11="",B2157&lt;=$C$11),OR($C$12&lt;&gt;"Ya",K2157&lt;&gt;""),OR($C$13="Semua",$C$13="",L2157=$C$13)),"✓","")</f>
        <v/>
      </c>
      <c r="N2157" s="93">
        <f>N(N2156)+IF(M2157="✓",1,0)</f>
        <v/>
      </c>
      <c r="O2157" s="93">
        <f>N(O2156)+IF(AND(B2157&lt;&gt;"",B2157&gt;='Uang Riba'!$H$30,B2157&lt;='Uang Riba'!$I$30,OR(H2157="Dana riba",H2157="Pinjam uang riba",I2157="Pinjam dari uang riba",I2157="Ganti uang riba",I2157="Kelebihan ganti dikembalikan",AND(C2157="Kantong Uang Riba",G2157="Pengeluaran"))),1,0)</f>
        <v/>
      </c>
      <c r="X2157" s="93">
        <f>IF(AND(B2157&lt;&gt;"",B2157&gt;='Buku Akun'!$H$4,B2157&lt;='Buku Akun'!$H$5,OR(C2157='Buku Akun'!$C$4,AND(D2157="Pindah",E2157='Buku Akun'!$C$4))),B2157+IF(AND(I2157="Selisih bunga",DAY(B2157)=1),0,0.01)+ROW()/10000000,"")</f>
        <v/>
      </c>
    </row>
    <row r="2158" outlineLevel="1" ht="15" customHeight="1" s="94">
      <c r="A2158" s="123">
        <f>IF(B2158="","",ROW()-15)</f>
        <v/>
      </c>
      <c r="B2158" s="124" t="n"/>
      <c r="C2158" s="123" t="n"/>
      <c r="D2158" s="123" t="n"/>
      <c r="E2158" s="123" t="n"/>
      <c r="F2158" s="125" t="n"/>
      <c r="G2158" s="123" t="n"/>
      <c r="H2158" s="123" t="n"/>
      <c r="I2158" s="123" t="n"/>
      <c r="J2158" s="123" t="n"/>
      <c r="K2158" s="123" t="n"/>
      <c r="L2158" s="123" t="n"/>
      <c r="M2158" s="123">
        <f>IF(AND(B2158&lt;&gt;"",OR($C$4="",ISNUMBER(SEARCH($C$4,C2158&amp;" "&amp;E2158&amp;" "&amp;G2158&amp;" "&amp;H2158&amp;" "&amp;I2158&amp;" "&amp;J2158&amp;" "&amp;K2158&amp;" "&amp;L2158))),OR($C$5="Semua",$C$5="",G2158=$C$5),OR($C$6="Semua",$C$6="",H2158=$C$6,H2158="Pengeluaran "&amp;$C$6,AND($C$6="Uang Kos Mama",H2158="Pengeluaran Uang Kos")),OR($C$7="Semua",$C$7="",I2158=$C$7),OR($C$8="Semua",$C$8="",C2158=$C$8,E2158=$C$8),OR($C$9="Semua",$C$9="",D2158=$C$9),OR($C$10="",B2158&gt;=$C$10),OR($C$11="",B2158&lt;=$C$11),OR($C$12&lt;&gt;"Ya",K2158&lt;&gt;""),OR($C$13="Semua",$C$13="",L2158=$C$13)),"✓","")</f>
        <v/>
      </c>
      <c r="N2158" s="93">
        <f>N(N2157)+IF(M2158="✓",1,0)</f>
        <v/>
      </c>
      <c r="O2158" s="93">
        <f>N(O2157)+IF(AND(B2158&lt;&gt;"",B2158&gt;='Uang Riba'!$H$30,B2158&lt;='Uang Riba'!$I$30,OR(H2158="Dana riba",H2158="Pinjam uang riba",I2158="Pinjam dari uang riba",I2158="Ganti uang riba",I2158="Kelebihan ganti dikembalikan",AND(C2158="Kantong Uang Riba",G2158="Pengeluaran"))),1,0)</f>
        <v/>
      </c>
      <c r="X2158" s="93">
        <f>IF(AND(B2158&lt;&gt;"",B2158&gt;='Buku Akun'!$H$4,B2158&lt;='Buku Akun'!$H$5,OR(C2158='Buku Akun'!$C$4,AND(D2158="Pindah",E2158='Buku Akun'!$C$4))),B2158+IF(AND(I2158="Selisih bunga",DAY(B2158)=1),0,0.01)+ROW()/10000000,"")</f>
        <v/>
      </c>
    </row>
    <row r="2159" outlineLevel="1" ht="15" customHeight="1" s="94">
      <c r="A2159" s="123">
        <f>IF(B2159="","",ROW()-15)</f>
        <v/>
      </c>
      <c r="B2159" s="124" t="n"/>
      <c r="C2159" s="123" t="n"/>
      <c r="D2159" s="123" t="n"/>
      <c r="E2159" s="123" t="n"/>
      <c r="F2159" s="125" t="n"/>
      <c r="G2159" s="123" t="n"/>
      <c r="H2159" s="123" t="n"/>
      <c r="I2159" s="123" t="n"/>
      <c r="J2159" s="123" t="n"/>
      <c r="K2159" s="123" t="n"/>
      <c r="L2159" s="123" t="n"/>
      <c r="M2159" s="123">
        <f>IF(AND(B2159&lt;&gt;"",OR($C$4="",ISNUMBER(SEARCH($C$4,C2159&amp;" "&amp;E2159&amp;" "&amp;G2159&amp;" "&amp;H2159&amp;" "&amp;I2159&amp;" "&amp;J2159&amp;" "&amp;K2159&amp;" "&amp;L2159))),OR($C$5="Semua",$C$5="",G2159=$C$5),OR($C$6="Semua",$C$6="",H2159=$C$6,H2159="Pengeluaran "&amp;$C$6,AND($C$6="Uang Kos Mama",H2159="Pengeluaran Uang Kos")),OR($C$7="Semua",$C$7="",I2159=$C$7),OR($C$8="Semua",$C$8="",C2159=$C$8,E2159=$C$8),OR($C$9="Semua",$C$9="",D2159=$C$9),OR($C$10="",B2159&gt;=$C$10),OR($C$11="",B2159&lt;=$C$11),OR($C$12&lt;&gt;"Ya",K2159&lt;&gt;""),OR($C$13="Semua",$C$13="",L2159=$C$13)),"✓","")</f>
        <v/>
      </c>
      <c r="N2159" s="93">
        <f>N(N2158)+IF(M2159="✓",1,0)</f>
        <v/>
      </c>
      <c r="O2159" s="93">
        <f>N(O2158)+IF(AND(B2159&lt;&gt;"",B2159&gt;='Uang Riba'!$H$30,B2159&lt;='Uang Riba'!$I$30,OR(H2159="Dana riba",H2159="Pinjam uang riba",I2159="Pinjam dari uang riba",I2159="Ganti uang riba",I2159="Kelebihan ganti dikembalikan",AND(C2159="Kantong Uang Riba",G2159="Pengeluaran"))),1,0)</f>
        <v/>
      </c>
      <c r="X2159" s="93">
        <f>IF(AND(B2159&lt;&gt;"",B2159&gt;='Buku Akun'!$H$4,B2159&lt;='Buku Akun'!$H$5,OR(C2159='Buku Akun'!$C$4,AND(D2159="Pindah",E2159='Buku Akun'!$C$4))),B2159+IF(AND(I2159="Selisih bunga",DAY(B2159)=1),0,0.01)+ROW()/10000000,"")</f>
        <v/>
      </c>
    </row>
    <row r="2160" outlineLevel="1" ht="15" customHeight="1" s="94">
      <c r="A2160" s="123">
        <f>IF(B2160="","",ROW()-15)</f>
        <v/>
      </c>
      <c r="B2160" s="124" t="n"/>
      <c r="C2160" s="123" t="n"/>
      <c r="D2160" s="123" t="n"/>
      <c r="E2160" s="123" t="n"/>
      <c r="F2160" s="125" t="n"/>
      <c r="G2160" s="123" t="n"/>
      <c r="H2160" s="123" t="n"/>
      <c r="I2160" s="123" t="n"/>
      <c r="J2160" s="123" t="n"/>
      <c r="K2160" s="123" t="n"/>
      <c r="L2160" s="123" t="n"/>
      <c r="M2160" s="123">
        <f>IF(AND(B2160&lt;&gt;"",OR($C$4="",ISNUMBER(SEARCH($C$4,C2160&amp;" "&amp;E2160&amp;" "&amp;G2160&amp;" "&amp;H2160&amp;" "&amp;I2160&amp;" "&amp;J2160&amp;" "&amp;K2160&amp;" "&amp;L2160))),OR($C$5="Semua",$C$5="",G2160=$C$5),OR($C$6="Semua",$C$6="",H2160=$C$6,H2160="Pengeluaran "&amp;$C$6,AND($C$6="Uang Kos Mama",H2160="Pengeluaran Uang Kos")),OR($C$7="Semua",$C$7="",I2160=$C$7),OR($C$8="Semua",$C$8="",C2160=$C$8,E2160=$C$8),OR($C$9="Semua",$C$9="",D2160=$C$9),OR($C$10="",B2160&gt;=$C$10),OR($C$11="",B2160&lt;=$C$11),OR($C$12&lt;&gt;"Ya",K2160&lt;&gt;""),OR($C$13="Semua",$C$13="",L2160=$C$13)),"✓","")</f>
        <v/>
      </c>
      <c r="N2160" s="93">
        <f>N(N2159)+IF(M2160="✓",1,0)</f>
        <v/>
      </c>
      <c r="O2160" s="93">
        <f>N(O2159)+IF(AND(B2160&lt;&gt;"",B2160&gt;='Uang Riba'!$H$30,B2160&lt;='Uang Riba'!$I$30,OR(H2160="Dana riba",H2160="Pinjam uang riba",I2160="Pinjam dari uang riba",I2160="Ganti uang riba",I2160="Kelebihan ganti dikembalikan",AND(C2160="Kantong Uang Riba",G2160="Pengeluaran"))),1,0)</f>
        <v/>
      </c>
      <c r="X2160" s="93">
        <f>IF(AND(B2160&lt;&gt;"",B2160&gt;='Buku Akun'!$H$4,B2160&lt;='Buku Akun'!$H$5,OR(C2160='Buku Akun'!$C$4,AND(D2160="Pindah",E2160='Buku Akun'!$C$4))),B2160+IF(AND(I2160="Selisih bunga",DAY(B2160)=1),0,0.01)+ROW()/10000000,"")</f>
        <v/>
      </c>
    </row>
    <row r="2161" outlineLevel="1" ht="15" customHeight="1" s="94">
      <c r="A2161" s="123">
        <f>IF(B2161="","",ROW()-15)</f>
        <v/>
      </c>
      <c r="B2161" s="124" t="n"/>
      <c r="C2161" s="123" t="n"/>
      <c r="D2161" s="123" t="n"/>
      <c r="E2161" s="123" t="n"/>
      <c r="F2161" s="125" t="n"/>
      <c r="G2161" s="123" t="n"/>
      <c r="H2161" s="123" t="n"/>
      <c r="I2161" s="123" t="n"/>
      <c r="J2161" s="123" t="n"/>
      <c r="K2161" s="123" t="n"/>
      <c r="L2161" s="123" t="n"/>
      <c r="M2161" s="123">
        <f>IF(AND(B2161&lt;&gt;"",OR($C$4="",ISNUMBER(SEARCH($C$4,C2161&amp;" "&amp;E2161&amp;" "&amp;G2161&amp;" "&amp;H2161&amp;" "&amp;I2161&amp;" "&amp;J2161&amp;" "&amp;K2161&amp;" "&amp;L2161))),OR($C$5="Semua",$C$5="",G2161=$C$5),OR($C$6="Semua",$C$6="",H2161=$C$6,H2161="Pengeluaran "&amp;$C$6,AND($C$6="Uang Kos Mama",H2161="Pengeluaran Uang Kos")),OR($C$7="Semua",$C$7="",I2161=$C$7),OR($C$8="Semua",$C$8="",C2161=$C$8,E2161=$C$8),OR($C$9="Semua",$C$9="",D2161=$C$9),OR($C$10="",B2161&gt;=$C$10),OR($C$11="",B2161&lt;=$C$11),OR($C$12&lt;&gt;"Ya",K2161&lt;&gt;""),OR($C$13="Semua",$C$13="",L2161=$C$13)),"✓","")</f>
        <v/>
      </c>
      <c r="N2161" s="93">
        <f>N(N2160)+IF(M2161="✓",1,0)</f>
        <v/>
      </c>
      <c r="O2161" s="93">
        <f>N(O2160)+IF(AND(B2161&lt;&gt;"",B2161&gt;='Uang Riba'!$H$30,B2161&lt;='Uang Riba'!$I$30,OR(H2161="Dana riba",H2161="Pinjam uang riba",I2161="Pinjam dari uang riba",I2161="Ganti uang riba",I2161="Kelebihan ganti dikembalikan",AND(C2161="Kantong Uang Riba",G2161="Pengeluaran"))),1,0)</f>
        <v/>
      </c>
      <c r="X2161" s="93">
        <f>IF(AND(B2161&lt;&gt;"",B2161&gt;='Buku Akun'!$H$4,B2161&lt;='Buku Akun'!$H$5,OR(C2161='Buku Akun'!$C$4,AND(D2161="Pindah",E2161='Buku Akun'!$C$4))),B2161+IF(AND(I2161="Selisih bunga",DAY(B2161)=1),0,0.01)+ROW()/10000000,"")</f>
        <v/>
      </c>
    </row>
    <row r="2162" outlineLevel="1" ht="15" customHeight="1" s="94">
      <c r="A2162" s="123">
        <f>IF(B2162="","",ROW()-15)</f>
        <v/>
      </c>
      <c r="B2162" s="124" t="n"/>
      <c r="C2162" s="123" t="n"/>
      <c r="D2162" s="123" t="n"/>
      <c r="E2162" s="123" t="n"/>
      <c r="F2162" s="125" t="n"/>
      <c r="G2162" s="123" t="n"/>
      <c r="H2162" s="123" t="n"/>
      <c r="I2162" s="123" t="n"/>
      <c r="J2162" s="123" t="n"/>
      <c r="K2162" s="123" t="n"/>
      <c r="L2162" s="123" t="n"/>
      <c r="M2162" s="123">
        <f>IF(AND(B2162&lt;&gt;"",OR($C$4="",ISNUMBER(SEARCH($C$4,C2162&amp;" "&amp;E2162&amp;" "&amp;G2162&amp;" "&amp;H2162&amp;" "&amp;I2162&amp;" "&amp;J2162&amp;" "&amp;K2162&amp;" "&amp;L2162))),OR($C$5="Semua",$C$5="",G2162=$C$5),OR($C$6="Semua",$C$6="",H2162=$C$6,H2162="Pengeluaran "&amp;$C$6,AND($C$6="Uang Kos Mama",H2162="Pengeluaran Uang Kos")),OR($C$7="Semua",$C$7="",I2162=$C$7),OR($C$8="Semua",$C$8="",C2162=$C$8,E2162=$C$8),OR($C$9="Semua",$C$9="",D2162=$C$9),OR($C$10="",B2162&gt;=$C$10),OR($C$11="",B2162&lt;=$C$11),OR($C$12&lt;&gt;"Ya",K2162&lt;&gt;""),OR($C$13="Semua",$C$13="",L2162=$C$13)),"✓","")</f>
        <v/>
      </c>
      <c r="N2162" s="93">
        <f>N(N2161)+IF(M2162="✓",1,0)</f>
        <v/>
      </c>
      <c r="O2162" s="93">
        <f>N(O2161)+IF(AND(B2162&lt;&gt;"",B2162&gt;='Uang Riba'!$H$30,B2162&lt;='Uang Riba'!$I$30,OR(H2162="Dana riba",H2162="Pinjam uang riba",I2162="Pinjam dari uang riba",I2162="Ganti uang riba",I2162="Kelebihan ganti dikembalikan",AND(C2162="Kantong Uang Riba",G2162="Pengeluaran"))),1,0)</f>
        <v/>
      </c>
      <c r="X2162" s="93">
        <f>IF(AND(B2162&lt;&gt;"",B2162&gt;='Buku Akun'!$H$4,B2162&lt;='Buku Akun'!$H$5,OR(C2162='Buku Akun'!$C$4,AND(D2162="Pindah",E2162='Buku Akun'!$C$4))),B2162+IF(AND(I2162="Selisih bunga",DAY(B2162)=1),0,0.01)+ROW()/10000000,"")</f>
        <v/>
      </c>
    </row>
    <row r="2163" outlineLevel="1" ht="15" customHeight="1" s="94">
      <c r="A2163" s="123">
        <f>IF(B2163="","",ROW()-15)</f>
        <v/>
      </c>
      <c r="B2163" s="124" t="n"/>
      <c r="C2163" s="123" t="n"/>
      <c r="D2163" s="123" t="n"/>
      <c r="E2163" s="123" t="n"/>
      <c r="F2163" s="125" t="n"/>
      <c r="G2163" s="123" t="n"/>
      <c r="H2163" s="123" t="n"/>
      <c r="I2163" s="123" t="n"/>
      <c r="J2163" s="123" t="n"/>
      <c r="K2163" s="123" t="n"/>
      <c r="L2163" s="123" t="n"/>
      <c r="M2163" s="123">
        <f>IF(AND(B2163&lt;&gt;"",OR($C$4="",ISNUMBER(SEARCH($C$4,C2163&amp;" "&amp;E2163&amp;" "&amp;G2163&amp;" "&amp;H2163&amp;" "&amp;I2163&amp;" "&amp;J2163&amp;" "&amp;K2163&amp;" "&amp;L2163))),OR($C$5="Semua",$C$5="",G2163=$C$5),OR($C$6="Semua",$C$6="",H2163=$C$6,H2163="Pengeluaran "&amp;$C$6,AND($C$6="Uang Kos Mama",H2163="Pengeluaran Uang Kos")),OR($C$7="Semua",$C$7="",I2163=$C$7),OR($C$8="Semua",$C$8="",C2163=$C$8,E2163=$C$8),OR($C$9="Semua",$C$9="",D2163=$C$9),OR($C$10="",B2163&gt;=$C$10),OR($C$11="",B2163&lt;=$C$11),OR($C$12&lt;&gt;"Ya",K2163&lt;&gt;""),OR($C$13="Semua",$C$13="",L2163=$C$13)),"✓","")</f>
        <v/>
      </c>
      <c r="N2163" s="93">
        <f>N(N2162)+IF(M2163="✓",1,0)</f>
        <v/>
      </c>
      <c r="O2163" s="93">
        <f>N(O2162)+IF(AND(B2163&lt;&gt;"",B2163&gt;='Uang Riba'!$H$30,B2163&lt;='Uang Riba'!$I$30,OR(H2163="Dana riba",H2163="Pinjam uang riba",I2163="Pinjam dari uang riba",I2163="Ganti uang riba",I2163="Kelebihan ganti dikembalikan",AND(C2163="Kantong Uang Riba",G2163="Pengeluaran"))),1,0)</f>
        <v/>
      </c>
      <c r="X2163" s="93">
        <f>IF(AND(B2163&lt;&gt;"",B2163&gt;='Buku Akun'!$H$4,B2163&lt;='Buku Akun'!$H$5,OR(C2163='Buku Akun'!$C$4,AND(D2163="Pindah",E2163='Buku Akun'!$C$4))),B2163+IF(AND(I2163="Selisih bunga",DAY(B2163)=1),0,0.01)+ROW()/10000000,"")</f>
        <v/>
      </c>
    </row>
    <row r="2164" outlineLevel="1" ht="15" customHeight="1" s="94">
      <c r="A2164" s="123">
        <f>IF(B2164="","",ROW()-15)</f>
        <v/>
      </c>
      <c r="B2164" s="124" t="n"/>
      <c r="C2164" s="123" t="n"/>
      <c r="D2164" s="123" t="n"/>
      <c r="E2164" s="123" t="n"/>
      <c r="F2164" s="125" t="n"/>
      <c r="G2164" s="123" t="n"/>
      <c r="H2164" s="123" t="n"/>
      <c r="I2164" s="123" t="n"/>
      <c r="J2164" s="123" t="n"/>
      <c r="K2164" s="123" t="n"/>
      <c r="L2164" s="123" t="n"/>
      <c r="M2164" s="123">
        <f>IF(AND(B2164&lt;&gt;"",OR($C$4="",ISNUMBER(SEARCH($C$4,C2164&amp;" "&amp;E2164&amp;" "&amp;G2164&amp;" "&amp;H2164&amp;" "&amp;I2164&amp;" "&amp;J2164&amp;" "&amp;K2164&amp;" "&amp;L2164))),OR($C$5="Semua",$C$5="",G2164=$C$5),OR($C$6="Semua",$C$6="",H2164=$C$6,H2164="Pengeluaran "&amp;$C$6,AND($C$6="Uang Kos Mama",H2164="Pengeluaran Uang Kos")),OR($C$7="Semua",$C$7="",I2164=$C$7),OR($C$8="Semua",$C$8="",C2164=$C$8,E2164=$C$8),OR($C$9="Semua",$C$9="",D2164=$C$9),OR($C$10="",B2164&gt;=$C$10),OR($C$11="",B2164&lt;=$C$11),OR($C$12&lt;&gt;"Ya",K2164&lt;&gt;""),OR($C$13="Semua",$C$13="",L2164=$C$13)),"✓","")</f>
        <v/>
      </c>
      <c r="N2164" s="93">
        <f>N(N2163)+IF(M2164="✓",1,0)</f>
        <v/>
      </c>
      <c r="O2164" s="93">
        <f>N(O2163)+IF(AND(B2164&lt;&gt;"",B2164&gt;='Uang Riba'!$H$30,B2164&lt;='Uang Riba'!$I$30,OR(H2164="Dana riba",H2164="Pinjam uang riba",I2164="Pinjam dari uang riba",I2164="Ganti uang riba",I2164="Kelebihan ganti dikembalikan",AND(C2164="Kantong Uang Riba",G2164="Pengeluaran"))),1,0)</f>
        <v/>
      </c>
      <c r="X2164" s="93">
        <f>IF(AND(B2164&lt;&gt;"",B2164&gt;='Buku Akun'!$H$4,B2164&lt;='Buku Akun'!$H$5,OR(C2164='Buku Akun'!$C$4,AND(D2164="Pindah",E2164='Buku Akun'!$C$4))),B2164+IF(AND(I2164="Selisih bunga",DAY(B2164)=1),0,0.01)+ROW()/10000000,"")</f>
        <v/>
      </c>
    </row>
    <row r="2165" outlineLevel="1" ht="15" customHeight="1" s="94">
      <c r="A2165" s="123">
        <f>IF(B2165="","",ROW()-15)</f>
        <v/>
      </c>
      <c r="B2165" s="124" t="n"/>
      <c r="C2165" s="123" t="n"/>
      <c r="D2165" s="123" t="n"/>
      <c r="E2165" s="123" t="n"/>
      <c r="F2165" s="125" t="n"/>
      <c r="G2165" s="123" t="n"/>
      <c r="H2165" s="123" t="n"/>
      <c r="I2165" s="123" t="n"/>
      <c r="J2165" s="123" t="n"/>
      <c r="K2165" s="123" t="n"/>
      <c r="L2165" s="123" t="n"/>
      <c r="M2165" s="123">
        <f>IF(AND(B2165&lt;&gt;"",OR($C$4="",ISNUMBER(SEARCH($C$4,C2165&amp;" "&amp;E2165&amp;" "&amp;G2165&amp;" "&amp;H2165&amp;" "&amp;I2165&amp;" "&amp;J2165&amp;" "&amp;K2165&amp;" "&amp;L2165))),OR($C$5="Semua",$C$5="",G2165=$C$5),OR($C$6="Semua",$C$6="",H2165=$C$6,H2165="Pengeluaran "&amp;$C$6,AND($C$6="Uang Kos Mama",H2165="Pengeluaran Uang Kos")),OR($C$7="Semua",$C$7="",I2165=$C$7),OR($C$8="Semua",$C$8="",C2165=$C$8,E2165=$C$8),OR($C$9="Semua",$C$9="",D2165=$C$9),OR($C$10="",B2165&gt;=$C$10),OR($C$11="",B2165&lt;=$C$11),OR($C$12&lt;&gt;"Ya",K2165&lt;&gt;""),OR($C$13="Semua",$C$13="",L2165=$C$13)),"✓","")</f>
        <v/>
      </c>
      <c r="N2165" s="93">
        <f>N(N2164)+IF(M2165="✓",1,0)</f>
        <v/>
      </c>
      <c r="O2165" s="93">
        <f>N(O2164)+IF(AND(B2165&lt;&gt;"",B2165&gt;='Uang Riba'!$H$30,B2165&lt;='Uang Riba'!$I$30,OR(H2165="Dana riba",H2165="Pinjam uang riba",I2165="Pinjam dari uang riba",I2165="Ganti uang riba",I2165="Kelebihan ganti dikembalikan",AND(C2165="Kantong Uang Riba",G2165="Pengeluaran"))),1,0)</f>
        <v/>
      </c>
      <c r="X2165" s="93">
        <f>IF(AND(B2165&lt;&gt;"",B2165&gt;='Buku Akun'!$H$4,B2165&lt;='Buku Akun'!$H$5,OR(C2165='Buku Akun'!$C$4,AND(D2165="Pindah",E2165='Buku Akun'!$C$4))),B2165+IF(AND(I2165="Selisih bunga",DAY(B2165)=1),0,0.01)+ROW()/10000000,"")</f>
        <v/>
      </c>
    </row>
    <row r="2166" outlineLevel="1" ht="15" customHeight="1" s="94">
      <c r="A2166" s="123">
        <f>IF(B2166="","",ROW()-15)</f>
        <v/>
      </c>
      <c r="B2166" s="124" t="n"/>
      <c r="C2166" s="123" t="n"/>
      <c r="D2166" s="123" t="n"/>
      <c r="E2166" s="123" t="n"/>
      <c r="F2166" s="125" t="n"/>
      <c r="G2166" s="123" t="n"/>
      <c r="H2166" s="123" t="n"/>
      <c r="I2166" s="123" t="n"/>
      <c r="J2166" s="123" t="n"/>
      <c r="K2166" s="123" t="n"/>
      <c r="L2166" s="123" t="n"/>
      <c r="M2166" s="123">
        <f>IF(AND(B2166&lt;&gt;"",OR($C$4="",ISNUMBER(SEARCH($C$4,C2166&amp;" "&amp;E2166&amp;" "&amp;G2166&amp;" "&amp;H2166&amp;" "&amp;I2166&amp;" "&amp;J2166&amp;" "&amp;K2166&amp;" "&amp;L2166))),OR($C$5="Semua",$C$5="",G2166=$C$5),OR($C$6="Semua",$C$6="",H2166=$C$6,H2166="Pengeluaran "&amp;$C$6,AND($C$6="Uang Kos Mama",H2166="Pengeluaran Uang Kos")),OR($C$7="Semua",$C$7="",I2166=$C$7),OR($C$8="Semua",$C$8="",C2166=$C$8,E2166=$C$8),OR($C$9="Semua",$C$9="",D2166=$C$9),OR($C$10="",B2166&gt;=$C$10),OR($C$11="",B2166&lt;=$C$11),OR($C$12&lt;&gt;"Ya",K2166&lt;&gt;""),OR($C$13="Semua",$C$13="",L2166=$C$13)),"✓","")</f>
        <v/>
      </c>
      <c r="N2166" s="93">
        <f>N(N2165)+IF(M2166="✓",1,0)</f>
        <v/>
      </c>
      <c r="O2166" s="93">
        <f>N(O2165)+IF(AND(B2166&lt;&gt;"",B2166&gt;='Uang Riba'!$H$30,B2166&lt;='Uang Riba'!$I$30,OR(H2166="Dana riba",H2166="Pinjam uang riba",I2166="Pinjam dari uang riba",I2166="Ganti uang riba",I2166="Kelebihan ganti dikembalikan",AND(C2166="Kantong Uang Riba",G2166="Pengeluaran"))),1,0)</f>
        <v/>
      </c>
      <c r="X2166" s="93">
        <f>IF(AND(B2166&lt;&gt;"",B2166&gt;='Buku Akun'!$H$4,B2166&lt;='Buku Akun'!$H$5,OR(C2166='Buku Akun'!$C$4,AND(D2166="Pindah",E2166='Buku Akun'!$C$4))),B2166+IF(AND(I2166="Selisih bunga",DAY(B2166)=1),0,0.01)+ROW()/10000000,"")</f>
        <v/>
      </c>
    </row>
    <row r="2167" outlineLevel="1" ht="15" customHeight="1" s="94">
      <c r="A2167" s="123">
        <f>IF(B2167="","",ROW()-15)</f>
        <v/>
      </c>
      <c r="B2167" s="124" t="n"/>
      <c r="C2167" s="123" t="n"/>
      <c r="D2167" s="123" t="n"/>
      <c r="E2167" s="123" t="n"/>
      <c r="F2167" s="125" t="n"/>
      <c r="G2167" s="123" t="n"/>
      <c r="H2167" s="123" t="n"/>
      <c r="I2167" s="123" t="n"/>
      <c r="J2167" s="123" t="n"/>
      <c r="K2167" s="123" t="n"/>
      <c r="L2167" s="123" t="n"/>
      <c r="M2167" s="123">
        <f>IF(AND(B2167&lt;&gt;"",OR($C$4="",ISNUMBER(SEARCH($C$4,C2167&amp;" "&amp;E2167&amp;" "&amp;G2167&amp;" "&amp;H2167&amp;" "&amp;I2167&amp;" "&amp;J2167&amp;" "&amp;K2167&amp;" "&amp;L2167))),OR($C$5="Semua",$C$5="",G2167=$C$5),OR($C$6="Semua",$C$6="",H2167=$C$6,H2167="Pengeluaran "&amp;$C$6,AND($C$6="Uang Kos Mama",H2167="Pengeluaran Uang Kos")),OR($C$7="Semua",$C$7="",I2167=$C$7),OR($C$8="Semua",$C$8="",C2167=$C$8,E2167=$C$8),OR($C$9="Semua",$C$9="",D2167=$C$9),OR($C$10="",B2167&gt;=$C$10),OR($C$11="",B2167&lt;=$C$11),OR($C$12&lt;&gt;"Ya",K2167&lt;&gt;""),OR($C$13="Semua",$C$13="",L2167=$C$13)),"✓","")</f>
        <v/>
      </c>
      <c r="N2167" s="93">
        <f>N(N2166)+IF(M2167="✓",1,0)</f>
        <v/>
      </c>
      <c r="O2167" s="93">
        <f>N(O2166)+IF(AND(B2167&lt;&gt;"",B2167&gt;='Uang Riba'!$H$30,B2167&lt;='Uang Riba'!$I$30,OR(H2167="Dana riba",H2167="Pinjam uang riba",I2167="Pinjam dari uang riba",I2167="Ganti uang riba",I2167="Kelebihan ganti dikembalikan",AND(C2167="Kantong Uang Riba",G2167="Pengeluaran"))),1,0)</f>
        <v/>
      </c>
      <c r="X2167" s="93">
        <f>IF(AND(B2167&lt;&gt;"",B2167&gt;='Buku Akun'!$H$4,B2167&lt;='Buku Akun'!$H$5,OR(C2167='Buku Akun'!$C$4,AND(D2167="Pindah",E2167='Buku Akun'!$C$4))),B2167+IF(AND(I2167="Selisih bunga",DAY(B2167)=1),0,0.01)+ROW()/10000000,"")</f>
        <v/>
      </c>
    </row>
    <row r="2168" outlineLevel="1" ht="15" customHeight="1" s="94">
      <c r="A2168" s="123">
        <f>IF(B2168="","",ROW()-15)</f>
        <v/>
      </c>
      <c r="B2168" s="124" t="n"/>
      <c r="C2168" s="123" t="n"/>
      <c r="D2168" s="123" t="n"/>
      <c r="E2168" s="123" t="n"/>
      <c r="F2168" s="125" t="n"/>
      <c r="G2168" s="123" t="n"/>
      <c r="H2168" s="123" t="n"/>
      <c r="I2168" s="123" t="n"/>
      <c r="J2168" s="123" t="n"/>
      <c r="K2168" s="123" t="n"/>
      <c r="L2168" s="123" t="n"/>
      <c r="M2168" s="123">
        <f>IF(AND(B2168&lt;&gt;"",OR($C$4="",ISNUMBER(SEARCH($C$4,C2168&amp;" "&amp;E2168&amp;" "&amp;G2168&amp;" "&amp;H2168&amp;" "&amp;I2168&amp;" "&amp;J2168&amp;" "&amp;K2168&amp;" "&amp;L2168))),OR($C$5="Semua",$C$5="",G2168=$C$5),OR($C$6="Semua",$C$6="",H2168=$C$6,H2168="Pengeluaran "&amp;$C$6,AND($C$6="Uang Kos Mama",H2168="Pengeluaran Uang Kos")),OR($C$7="Semua",$C$7="",I2168=$C$7),OR($C$8="Semua",$C$8="",C2168=$C$8,E2168=$C$8),OR($C$9="Semua",$C$9="",D2168=$C$9),OR($C$10="",B2168&gt;=$C$10),OR($C$11="",B2168&lt;=$C$11),OR($C$12&lt;&gt;"Ya",K2168&lt;&gt;""),OR($C$13="Semua",$C$13="",L2168=$C$13)),"✓","")</f>
        <v/>
      </c>
      <c r="N2168" s="93">
        <f>N(N2167)+IF(M2168="✓",1,0)</f>
        <v/>
      </c>
      <c r="O2168" s="93">
        <f>N(O2167)+IF(AND(B2168&lt;&gt;"",B2168&gt;='Uang Riba'!$H$30,B2168&lt;='Uang Riba'!$I$30,OR(H2168="Dana riba",H2168="Pinjam uang riba",I2168="Pinjam dari uang riba",I2168="Ganti uang riba",I2168="Kelebihan ganti dikembalikan",AND(C2168="Kantong Uang Riba",G2168="Pengeluaran"))),1,0)</f>
        <v/>
      </c>
      <c r="X2168" s="93">
        <f>IF(AND(B2168&lt;&gt;"",B2168&gt;='Buku Akun'!$H$4,B2168&lt;='Buku Akun'!$H$5,OR(C2168='Buku Akun'!$C$4,AND(D2168="Pindah",E2168='Buku Akun'!$C$4))),B2168+IF(AND(I2168="Selisih bunga",DAY(B2168)=1),0,0.01)+ROW()/10000000,"")</f>
        <v/>
      </c>
    </row>
    <row r="2169" outlineLevel="1" ht="15" customHeight="1" s="94">
      <c r="A2169" s="123">
        <f>IF(B2169="","",ROW()-15)</f>
        <v/>
      </c>
      <c r="B2169" s="124" t="n"/>
      <c r="C2169" s="123" t="n"/>
      <c r="D2169" s="123" t="n"/>
      <c r="E2169" s="123" t="n"/>
      <c r="F2169" s="125" t="n"/>
      <c r="G2169" s="123" t="n"/>
      <c r="H2169" s="123" t="n"/>
      <c r="I2169" s="123" t="n"/>
      <c r="J2169" s="123" t="n"/>
      <c r="K2169" s="123" t="n"/>
      <c r="L2169" s="123" t="n"/>
      <c r="M2169" s="123">
        <f>IF(AND(B2169&lt;&gt;"",OR($C$4="",ISNUMBER(SEARCH($C$4,C2169&amp;" "&amp;E2169&amp;" "&amp;G2169&amp;" "&amp;H2169&amp;" "&amp;I2169&amp;" "&amp;J2169&amp;" "&amp;K2169&amp;" "&amp;L2169))),OR($C$5="Semua",$C$5="",G2169=$C$5),OR($C$6="Semua",$C$6="",H2169=$C$6,H2169="Pengeluaran "&amp;$C$6,AND($C$6="Uang Kos Mama",H2169="Pengeluaran Uang Kos")),OR($C$7="Semua",$C$7="",I2169=$C$7),OR($C$8="Semua",$C$8="",C2169=$C$8,E2169=$C$8),OR($C$9="Semua",$C$9="",D2169=$C$9),OR($C$10="",B2169&gt;=$C$10),OR($C$11="",B2169&lt;=$C$11),OR($C$12&lt;&gt;"Ya",K2169&lt;&gt;""),OR($C$13="Semua",$C$13="",L2169=$C$13)),"✓","")</f>
        <v/>
      </c>
      <c r="N2169" s="93">
        <f>N(N2168)+IF(M2169="✓",1,0)</f>
        <v/>
      </c>
      <c r="O2169" s="93">
        <f>N(O2168)+IF(AND(B2169&lt;&gt;"",B2169&gt;='Uang Riba'!$H$30,B2169&lt;='Uang Riba'!$I$30,OR(H2169="Dana riba",H2169="Pinjam uang riba",I2169="Pinjam dari uang riba",I2169="Ganti uang riba",I2169="Kelebihan ganti dikembalikan",AND(C2169="Kantong Uang Riba",G2169="Pengeluaran"))),1,0)</f>
        <v/>
      </c>
      <c r="X2169" s="93">
        <f>IF(AND(B2169&lt;&gt;"",B2169&gt;='Buku Akun'!$H$4,B2169&lt;='Buku Akun'!$H$5,OR(C2169='Buku Akun'!$C$4,AND(D2169="Pindah",E2169='Buku Akun'!$C$4))),B2169+IF(AND(I2169="Selisih bunga",DAY(B2169)=1),0,0.01)+ROW()/10000000,"")</f>
        <v/>
      </c>
    </row>
    <row r="2170" outlineLevel="1" ht="15" customHeight="1" s="94">
      <c r="A2170" s="123">
        <f>IF(B2170="","",ROW()-15)</f>
        <v/>
      </c>
      <c r="B2170" s="124" t="n"/>
      <c r="C2170" s="123" t="n"/>
      <c r="D2170" s="123" t="n"/>
      <c r="E2170" s="123" t="n"/>
      <c r="F2170" s="125" t="n"/>
      <c r="G2170" s="123" t="n"/>
      <c r="H2170" s="123" t="n"/>
      <c r="I2170" s="123" t="n"/>
      <c r="J2170" s="123" t="n"/>
      <c r="K2170" s="123" t="n"/>
      <c r="L2170" s="123" t="n"/>
      <c r="M2170" s="123">
        <f>IF(AND(B2170&lt;&gt;"",OR($C$4="",ISNUMBER(SEARCH($C$4,C2170&amp;" "&amp;E2170&amp;" "&amp;G2170&amp;" "&amp;H2170&amp;" "&amp;I2170&amp;" "&amp;J2170&amp;" "&amp;K2170&amp;" "&amp;L2170))),OR($C$5="Semua",$C$5="",G2170=$C$5),OR($C$6="Semua",$C$6="",H2170=$C$6,H2170="Pengeluaran "&amp;$C$6,AND($C$6="Uang Kos Mama",H2170="Pengeluaran Uang Kos")),OR($C$7="Semua",$C$7="",I2170=$C$7),OR($C$8="Semua",$C$8="",C2170=$C$8,E2170=$C$8),OR($C$9="Semua",$C$9="",D2170=$C$9),OR($C$10="",B2170&gt;=$C$10),OR($C$11="",B2170&lt;=$C$11),OR($C$12&lt;&gt;"Ya",K2170&lt;&gt;""),OR($C$13="Semua",$C$13="",L2170=$C$13)),"✓","")</f>
        <v/>
      </c>
      <c r="N2170" s="93">
        <f>N(N2169)+IF(M2170="✓",1,0)</f>
        <v/>
      </c>
      <c r="O2170" s="93">
        <f>N(O2169)+IF(AND(B2170&lt;&gt;"",B2170&gt;='Uang Riba'!$H$30,B2170&lt;='Uang Riba'!$I$30,OR(H2170="Dana riba",H2170="Pinjam uang riba",I2170="Pinjam dari uang riba",I2170="Ganti uang riba",I2170="Kelebihan ganti dikembalikan",AND(C2170="Kantong Uang Riba",G2170="Pengeluaran"))),1,0)</f>
        <v/>
      </c>
      <c r="X2170" s="93">
        <f>IF(AND(B2170&lt;&gt;"",B2170&gt;='Buku Akun'!$H$4,B2170&lt;='Buku Akun'!$H$5,OR(C2170='Buku Akun'!$C$4,AND(D2170="Pindah",E2170='Buku Akun'!$C$4))),B2170+IF(AND(I2170="Selisih bunga",DAY(B2170)=1),0,0.01)+ROW()/10000000,"")</f>
        <v/>
      </c>
    </row>
    <row r="2171" outlineLevel="1" ht="15" customHeight="1" s="94">
      <c r="A2171" s="123">
        <f>IF(B2171="","",ROW()-15)</f>
        <v/>
      </c>
      <c r="B2171" s="124" t="n"/>
      <c r="C2171" s="123" t="n"/>
      <c r="D2171" s="123" t="n"/>
      <c r="E2171" s="123" t="n"/>
      <c r="F2171" s="125" t="n"/>
      <c r="G2171" s="123" t="n"/>
      <c r="H2171" s="123" t="n"/>
      <c r="I2171" s="123" t="n"/>
      <c r="J2171" s="123" t="n"/>
      <c r="K2171" s="123" t="n"/>
      <c r="L2171" s="123" t="n"/>
      <c r="M2171" s="123">
        <f>IF(AND(B2171&lt;&gt;"",OR($C$4="",ISNUMBER(SEARCH($C$4,C2171&amp;" "&amp;E2171&amp;" "&amp;G2171&amp;" "&amp;H2171&amp;" "&amp;I2171&amp;" "&amp;J2171&amp;" "&amp;K2171&amp;" "&amp;L2171))),OR($C$5="Semua",$C$5="",G2171=$C$5),OR($C$6="Semua",$C$6="",H2171=$C$6,H2171="Pengeluaran "&amp;$C$6,AND($C$6="Uang Kos Mama",H2171="Pengeluaran Uang Kos")),OR($C$7="Semua",$C$7="",I2171=$C$7),OR($C$8="Semua",$C$8="",C2171=$C$8,E2171=$C$8),OR($C$9="Semua",$C$9="",D2171=$C$9),OR($C$10="",B2171&gt;=$C$10),OR($C$11="",B2171&lt;=$C$11),OR($C$12&lt;&gt;"Ya",K2171&lt;&gt;""),OR($C$13="Semua",$C$13="",L2171=$C$13)),"✓","")</f>
        <v/>
      </c>
      <c r="N2171" s="93">
        <f>N(N2170)+IF(M2171="✓",1,0)</f>
        <v/>
      </c>
      <c r="O2171" s="93">
        <f>N(O2170)+IF(AND(B2171&lt;&gt;"",B2171&gt;='Uang Riba'!$H$30,B2171&lt;='Uang Riba'!$I$30,OR(H2171="Dana riba",H2171="Pinjam uang riba",I2171="Pinjam dari uang riba",I2171="Ganti uang riba",I2171="Kelebihan ganti dikembalikan",AND(C2171="Kantong Uang Riba",G2171="Pengeluaran"))),1,0)</f>
        <v/>
      </c>
      <c r="X2171" s="93">
        <f>IF(AND(B2171&lt;&gt;"",B2171&gt;='Buku Akun'!$H$4,B2171&lt;='Buku Akun'!$H$5,OR(C2171='Buku Akun'!$C$4,AND(D2171="Pindah",E2171='Buku Akun'!$C$4))),B2171+IF(AND(I2171="Selisih bunga",DAY(B2171)=1),0,0.01)+ROW()/10000000,"")</f>
        <v/>
      </c>
    </row>
    <row r="2172" outlineLevel="1" ht="15" customHeight="1" s="94">
      <c r="A2172" s="123">
        <f>IF(B2172="","",ROW()-15)</f>
        <v/>
      </c>
      <c r="B2172" s="124" t="n"/>
      <c r="C2172" s="123" t="n"/>
      <c r="D2172" s="123" t="n"/>
      <c r="E2172" s="123" t="n"/>
      <c r="F2172" s="125" t="n"/>
      <c r="G2172" s="123" t="n"/>
      <c r="H2172" s="123" t="n"/>
      <c r="I2172" s="123" t="n"/>
      <c r="J2172" s="123" t="n"/>
      <c r="K2172" s="123" t="n"/>
      <c r="L2172" s="123" t="n"/>
      <c r="M2172" s="123">
        <f>IF(AND(B2172&lt;&gt;"",OR($C$4="",ISNUMBER(SEARCH($C$4,C2172&amp;" "&amp;E2172&amp;" "&amp;G2172&amp;" "&amp;H2172&amp;" "&amp;I2172&amp;" "&amp;J2172&amp;" "&amp;K2172&amp;" "&amp;L2172))),OR($C$5="Semua",$C$5="",G2172=$C$5),OR($C$6="Semua",$C$6="",H2172=$C$6,H2172="Pengeluaran "&amp;$C$6,AND($C$6="Uang Kos Mama",H2172="Pengeluaran Uang Kos")),OR($C$7="Semua",$C$7="",I2172=$C$7),OR($C$8="Semua",$C$8="",C2172=$C$8,E2172=$C$8),OR($C$9="Semua",$C$9="",D2172=$C$9),OR($C$10="",B2172&gt;=$C$10),OR($C$11="",B2172&lt;=$C$11),OR($C$12&lt;&gt;"Ya",K2172&lt;&gt;""),OR($C$13="Semua",$C$13="",L2172=$C$13)),"✓","")</f>
        <v/>
      </c>
      <c r="N2172" s="93">
        <f>N(N2171)+IF(M2172="✓",1,0)</f>
        <v/>
      </c>
      <c r="O2172" s="93">
        <f>N(O2171)+IF(AND(B2172&lt;&gt;"",B2172&gt;='Uang Riba'!$H$30,B2172&lt;='Uang Riba'!$I$30,OR(H2172="Dana riba",H2172="Pinjam uang riba",I2172="Pinjam dari uang riba",I2172="Ganti uang riba",I2172="Kelebihan ganti dikembalikan",AND(C2172="Kantong Uang Riba",G2172="Pengeluaran"))),1,0)</f>
        <v/>
      </c>
      <c r="X2172" s="93">
        <f>IF(AND(B2172&lt;&gt;"",B2172&gt;='Buku Akun'!$H$4,B2172&lt;='Buku Akun'!$H$5,OR(C2172='Buku Akun'!$C$4,AND(D2172="Pindah",E2172='Buku Akun'!$C$4))),B2172+IF(AND(I2172="Selisih bunga",DAY(B2172)=1),0,0.01)+ROW()/10000000,"")</f>
        <v/>
      </c>
    </row>
    <row r="2173" outlineLevel="1" ht="15" customHeight="1" s="94">
      <c r="A2173" s="123">
        <f>IF(B2173="","",ROW()-15)</f>
        <v/>
      </c>
      <c r="B2173" s="124" t="n"/>
      <c r="C2173" s="123" t="n"/>
      <c r="D2173" s="123" t="n"/>
      <c r="E2173" s="123" t="n"/>
      <c r="F2173" s="125" t="n"/>
      <c r="G2173" s="123" t="n"/>
      <c r="H2173" s="123" t="n"/>
      <c r="I2173" s="123" t="n"/>
      <c r="J2173" s="123" t="n"/>
      <c r="K2173" s="123" t="n"/>
      <c r="L2173" s="123" t="n"/>
      <c r="M2173" s="123">
        <f>IF(AND(B2173&lt;&gt;"",OR($C$4="",ISNUMBER(SEARCH($C$4,C2173&amp;" "&amp;E2173&amp;" "&amp;G2173&amp;" "&amp;H2173&amp;" "&amp;I2173&amp;" "&amp;J2173&amp;" "&amp;K2173&amp;" "&amp;L2173))),OR($C$5="Semua",$C$5="",G2173=$C$5),OR($C$6="Semua",$C$6="",H2173=$C$6,H2173="Pengeluaran "&amp;$C$6,AND($C$6="Uang Kos Mama",H2173="Pengeluaran Uang Kos")),OR($C$7="Semua",$C$7="",I2173=$C$7),OR($C$8="Semua",$C$8="",C2173=$C$8,E2173=$C$8),OR($C$9="Semua",$C$9="",D2173=$C$9),OR($C$10="",B2173&gt;=$C$10),OR($C$11="",B2173&lt;=$C$11),OR($C$12&lt;&gt;"Ya",K2173&lt;&gt;""),OR($C$13="Semua",$C$13="",L2173=$C$13)),"✓","")</f>
        <v/>
      </c>
      <c r="N2173" s="93">
        <f>N(N2172)+IF(M2173="✓",1,0)</f>
        <v/>
      </c>
      <c r="O2173" s="93">
        <f>N(O2172)+IF(AND(B2173&lt;&gt;"",B2173&gt;='Uang Riba'!$H$30,B2173&lt;='Uang Riba'!$I$30,OR(H2173="Dana riba",H2173="Pinjam uang riba",I2173="Pinjam dari uang riba",I2173="Ganti uang riba",I2173="Kelebihan ganti dikembalikan",AND(C2173="Kantong Uang Riba",G2173="Pengeluaran"))),1,0)</f>
        <v/>
      </c>
      <c r="X2173" s="93">
        <f>IF(AND(B2173&lt;&gt;"",B2173&gt;='Buku Akun'!$H$4,B2173&lt;='Buku Akun'!$H$5,OR(C2173='Buku Akun'!$C$4,AND(D2173="Pindah",E2173='Buku Akun'!$C$4))),B2173+IF(AND(I2173="Selisih bunga",DAY(B2173)=1),0,0.01)+ROW()/10000000,"")</f>
        <v/>
      </c>
    </row>
    <row r="2174" outlineLevel="1" ht="15" customHeight="1" s="94">
      <c r="A2174" s="123">
        <f>IF(B2174="","",ROW()-15)</f>
        <v/>
      </c>
      <c r="B2174" s="124" t="n"/>
      <c r="C2174" s="123" t="n"/>
      <c r="D2174" s="123" t="n"/>
      <c r="E2174" s="123" t="n"/>
      <c r="F2174" s="125" t="n"/>
      <c r="G2174" s="123" t="n"/>
      <c r="H2174" s="123" t="n"/>
      <c r="I2174" s="123" t="n"/>
      <c r="J2174" s="123" t="n"/>
      <c r="K2174" s="123" t="n"/>
      <c r="L2174" s="123" t="n"/>
      <c r="M2174" s="123">
        <f>IF(AND(B2174&lt;&gt;"",OR($C$4="",ISNUMBER(SEARCH($C$4,C2174&amp;" "&amp;E2174&amp;" "&amp;G2174&amp;" "&amp;H2174&amp;" "&amp;I2174&amp;" "&amp;J2174&amp;" "&amp;K2174&amp;" "&amp;L2174))),OR($C$5="Semua",$C$5="",G2174=$C$5),OR($C$6="Semua",$C$6="",H2174=$C$6,H2174="Pengeluaran "&amp;$C$6,AND($C$6="Uang Kos Mama",H2174="Pengeluaran Uang Kos")),OR($C$7="Semua",$C$7="",I2174=$C$7),OR($C$8="Semua",$C$8="",C2174=$C$8,E2174=$C$8),OR($C$9="Semua",$C$9="",D2174=$C$9),OR($C$10="",B2174&gt;=$C$10),OR($C$11="",B2174&lt;=$C$11),OR($C$12&lt;&gt;"Ya",K2174&lt;&gt;""),OR($C$13="Semua",$C$13="",L2174=$C$13)),"✓","")</f>
        <v/>
      </c>
      <c r="N2174" s="93">
        <f>N(N2173)+IF(M2174="✓",1,0)</f>
        <v/>
      </c>
      <c r="O2174" s="93">
        <f>N(O2173)+IF(AND(B2174&lt;&gt;"",B2174&gt;='Uang Riba'!$H$30,B2174&lt;='Uang Riba'!$I$30,OR(H2174="Dana riba",H2174="Pinjam uang riba",I2174="Pinjam dari uang riba",I2174="Ganti uang riba",I2174="Kelebihan ganti dikembalikan",AND(C2174="Kantong Uang Riba",G2174="Pengeluaran"))),1,0)</f>
        <v/>
      </c>
      <c r="X2174" s="93">
        <f>IF(AND(B2174&lt;&gt;"",B2174&gt;='Buku Akun'!$H$4,B2174&lt;='Buku Akun'!$H$5,OR(C2174='Buku Akun'!$C$4,AND(D2174="Pindah",E2174='Buku Akun'!$C$4))),B2174+IF(AND(I2174="Selisih bunga",DAY(B2174)=1),0,0.01)+ROW()/10000000,"")</f>
        <v/>
      </c>
    </row>
    <row r="2175" outlineLevel="1" ht="15" customHeight="1" s="94">
      <c r="A2175" s="123">
        <f>IF(B2175="","",ROW()-15)</f>
        <v/>
      </c>
      <c r="B2175" s="124" t="n"/>
      <c r="C2175" s="123" t="n"/>
      <c r="D2175" s="123" t="n"/>
      <c r="E2175" s="123" t="n"/>
      <c r="F2175" s="125" t="n"/>
      <c r="G2175" s="123" t="n"/>
      <c r="H2175" s="123" t="n"/>
      <c r="I2175" s="123" t="n"/>
      <c r="J2175" s="123" t="n"/>
      <c r="K2175" s="123" t="n"/>
      <c r="L2175" s="123" t="n"/>
      <c r="M2175" s="123">
        <f>IF(AND(B2175&lt;&gt;"",OR($C$4="",ISNUMBER(SEARCH($C$4,C2175&amp;" "&amp;E2175&amp;" "&amp;G2175&amp;" "&amp;H2175&amp;" "&amp;I2175&amp;" "&amp;J2175&amp;" "&amp;K2175&amp;" "&amp;L2175))),OR($C$5="Semua",$C$5="",G2175=$C$5),OR($C$6="Semua",$C$6="",H2175=$C$6,H2175="Pengeluaran "&amp;$C$6,AND($C$6="Uang Kos Mama",H2175="Pengeluaran Uang Kos")),OR($C$7="Semua",$C$7="",I2175=$C$7),OR($C$8="Semua",$C$8="",C2175=$C$8,E2175=$C$8),OR($C$9="Semua",$C$9="",D2175=$C$9),OR($C$10="",B2175&gt;=$C$10),OR($C$11="",B2175&lt;=$C$11),OR($C$12&lt;&gt;"Ya",K2175&lt;&gt;""),OR($C$13="Semua",$C$13="",L2175=$C$13)),"✓","")</f>
        <v/>
      </c>
      <c r="N2175" s="93">
        <f>N(N2174)+IF(M2175="✓",1,0)</f>
        <v/>
      </c>
      <c r="O2175" s="93">
        <f>N(O2174)+IF(AND(B2175&lt;&gt;"",B2175&gt;='Uang Riba'!$H$30,B2175&lt;='Uang Riba'!$I$30,OR(H2175="Dana riba",H2175="Pinjam uang riba",I2175="Pinjam dari uang riba",I2175="Ganti uang riba",I2175="Kelebihan ganti dikembalikan",AND(C2175="Kantong Uang Riba",G2175="Pengeluaran"))),1,0)</f>
        <v/>
      </c>
      <c r="X2175" s="93">
        <f>IF(AND(B2175&lt;&gt;"",B2175&gt;='Buku Akun'!$H$4,B2175&lt;='Buku Akun'!$H$5,OR(C2175='Buku Akun'!$C$4,AND(D2175="Pindah",E2175='Buku Akun'!$C$4))),B2175+IF(AND(I2175="Selisih bunga",DAY(B2175)=1),0,0.01)+ROW()/10000000,"")</f>
        <v/>
      </c>
    </row>
    <row r="2176" outlineLevel="1" ht="15" customHeight="1" s="94">
      <c r="A2176" s="123">
        <f>IF(B2176="","",ROW()-15)</f>
        <v/>
      </c>
      <c r="B2176" s="124" t="n"/>
      <c r="C2176" s="123" t="n"/>
      <c r="D2176" s="123" t="n"/>
      <c r="E2176" s="123" t="n"/>
      <c r="F2176" s="125" t="n"/>
      <c r="G2176" s="123" t="n"/>
      <c r="H2176" s="123" t="n"/>
      <c r="I2176" s="123" t="n"/>
      <c r="J2176" s="123" t="n"/>
      <c r="K2176" s="123" t="n"/>
      <c r="L2176" s="123" t="n"/>
      <c r="M2176" s="123">
        <f>IF(AND(B2176&lt;&gt;"",OR($C$4="",ISNUMBER(SEARCH($C$4,C2176&amp;" "&amp;E2176&amp;" "&amp;G2176&amp;" "&amp;H2176&amp;" "&amp;I2176&amp;" "&amp;J2176&amp;" "&amp;K2176&amp;" "&amp;L2176))),OR($C$5="Semua",$C$5="",G2176=$C$5),OR($C$6="Semua",$C$6="",H2176=$C$6,H2176="Pengeluaran "&amp;$C$6,AND($C$6="Uang Kos Mama",H2176="Pengeluaran Uang Kos")),OR($C$7="Semua",$C$7="",I2176=$C$7),OR($C$8="Semua",$C$8="",C2176=$C$8,E2176=$C$8),OR($C$9="Semua",$C$9="",D2176=$C$9),OR($C$10="",B2176&gt;=$C$10),OR($C$11="",B2176&lt;=$C$11),OR($C$12&lt;&gt;"Ya",K2176&lt;&gt;""),OR($C$13="Semua",$C$13="",L2176=$C$13)),"✓","")</f>
        <v/>
      </c>
      <c r="N2176" s="93">
        <f>N(N2175)+IF(M2176="✓",1,0)</f>
        <v/>
      </c>
      <c r="O2176" s="93">
        <f>N(O2175)+IF(AND(B2176&lt;&gt;"",B2176&gt;='Uang Riba'!$H$30,B2176&lt;='Uang Riba'!$I$30,OR(H2176="Dana riba",H2176="Pinjam uang riba",I2176="Pinjam dari uang riba",I2176="Ganti uang riba",I2176="Kelebihan ganti dikembalikan",AND(C2176="Kantong Uang Riba",G2176="Pengeluaran"))),1,0)</f>
        <v/>
      </c>
      <c r="X2176" s="93">
        <f>IF(AND(B2176&lt;&gt;"",B2176&gt;='Buku Akun'!$H$4,B2176&lt;='Buku Akun'!$H$5,OR(C2176='Buku Akun'!$C$4,AND(D2176="Pindah",E2176='Buku Akun'!$C$4))),B2176+IF(AND(I2176="Selisih bunga",DAY(B2176)=1),0,0.01)+ROW()/10000000,"")</f>
        <v/>
      </c>
    </row>
    <row r="2177" outlineLevel="1" ht="15" customHeight="1" s="94">
      <c r="A2177" s="123">
        <f>IF(B2177="","",ROW()-15)</f>
        <v/>
      </c>
      <c r="B2177" s="124" t="n"/>
      <c r="C2177" s="123" t="n"/>
      <c r="D2177" s="123" t="n"/>
      <c r="E2177" s="123" t="n"/>
      <c r="F2177" s="125" t="n"/>
      <c r="G2177" s="123" t="n"/>
      <c r="H2177" s="123" t="n"/>
      <c r="I2177" s="123" t="n"/>
      <c r="J2177" s="123" t="n"/>
      <c r="K2177" s="123" t="n"/>
      <c r="L2177" s="123" t="n"/>
      <c r="M2177" s="123">
        <f>IF(AND(B2177&lt;&gt;"",OR($C$4="",ISNUMBER(SEARCH($C$4,C2177&amp;" "&amp;E2177&amp;" "&amp;G2177&amp;" "&amp;H2177&amp;" "&amp;I2177&amp;" "&amp;J2177&amp;" "&amp;K2177&amp;" "&amp;L2177))),OR($C$5="Semua",$C$5="",G2177=$C$5),OR($C$6="Semua",$C$6="",H2177=$C$6,H2177="Pengeluaran "&amp;$C$6,AND($C$6="Uang Kos Mama",H2177="Pengeluaran Uang Kos")),OR($C$7="Semua",$C$7="",I2177=$C$7),OR($C$8="Semua",$C$8="",C2177=$C$8,E2177=$C$8),OR($C$9="Semua",$C$9="",D2177=$C$9),OR($C$10="",B2177&gt;=$C$10),OR($C$11="",B2177&lt;=$C$11),OR($C$12&lt;&gt;"Ya",K2177&lt;&gt;""),OR($C$13="Semua",$C$13="",L2177=$C$13)),"✓","")</f>
        <v/>
      </c>
      <c r="N2177" s="93">
        <f>N(N2176)+IF(M2177="✓",1,0)</f>
        <v/>
      </c>
      <c r="O2177" s="93">
        <f>N(O2176)+IF(AND(B2177&lt;&gt;"",B2177&gt;='Uang Riba'!$H$30,B2177&lt;='Uang Riba'!$I$30,OR(H2177="Dana riba",H2177="Pinjam uang riba",I2177="Pinjam dari uang riba",I2177="Ganti uang riba",I2177="Kelebihan ganti dikembalikan",AND(C2177="Kantong Uang Riba",G2177="Pengeluaran"))),1,0)</f>
        <v/>
      </c>
      <c r="X2177" s="93">
        <f>IF(AND(B2177&lt;&gt;"",B2177&gt;='Buku Akun'!$H$4,B2177&lt;='Buku Akun'!$H$5,OR(C2177='Buku Akun'!$C$4,AND(D2177="Pindah",E2177='Buku Akun'!$C$4))),B2177+IF(AND(I2177="Selisih bunga",DAY(B2177)=1),0,0.01)+ROW()/10000000,"")</f>
        <v/>
      </c>
    </row>
    <row r="2178" outlineLevel="1" ht="15" customHeight="1" s="94">
      <c r="A2178" s="123">
        <f>IF(B2178="","",ROW()-15)</f>
        <v/>
      </c>
      <c r="B2178" s="124" t="n"/>
      <c r="C2178" s="123" t="n"/>
      <c r="D2178" s="123" t="n"/>
      <c r="E2178" s="123" t="n"/>
      <c r="F2178" s="125" t="n"/>
      <c r="G2178" s="123" t="n"/>
      <c r="H2178" s="123" t="n"/>
      <c r="I2178" s="123" t="n"/>
      <c r="J2178" s="123" t="n"/>
      <c r="K2178" s="123" t="n"/>
      <c r="L2178" s="123" t="n"/>
      <c r="M2178" s="123">
        <f>IF(AND(B2178&lt;&gt;"",OR($C$4="",ISNUMBER(SEARCH($C$4,C2178&amp;" "&amp;E2178&amp;" "&amp;G2178&amp;" "&amp;H2178&amp;" "&amp;I2178&amp;" "&amp;J2178&amp;" "&amp;K2178&amp;" "&amp;L2178))),OR($C$5="Semua",$C$5="",G2178=$C$5),OR($C$6="Semua",$C$6="",H2178=$C$6,H2178="Pengeluaran "&amp;$C$6,AND($C$6="Uang Kos Mama",H2178="Pengeluaran Uang Kos")),OR($C$7="Semua",$C$7="",I2178=$C$7),OR($C$8="Semua",$C$8="",C2178=$C$8,E2178=$C$8),OR($C$9="Semua",$C$9="",D2178=$C$9),OR($C$10="",B2178&gt;=$C$10),OR($C$11="",B2178&lt;=$C$11),OR($C$12&lt;&gt;"Ya",K2178&lt;&gt;""),OR($C$13="Semua",$C$13="",L2178=$C$13)),"✓","")</f>
        <v/>
      </c>
      <c r="N2178" s="93">
        <f>N(N2177)+IF(M2178="✓",1,0)</f>
        <v/>
      </c>
      <c r="O2178" s="93">
        <f>N(O2177)+IF(AND(B2178&lt;&gt;"",B2178&gt;='Uang Riba'!$H$30,B2178&lt;='Uang Riba'!$I$30,OR(H2178="Dana riba",H2178="Pinjam uang riba",I2178="Pinjam dari uang riba",I2178="Ganti uang riba",I2178="Kelebihan ganti dikembalikan",AND(C2178="Kantong Uang Riba",G2178="Pengeluaran"))),1,0)</f>
        <v/>
      </c>
      <c r="X2178" s="93">
        <f>IF(AND(B2178&lt;&gt;"",B2178&gt;='Buku Akun'!$H$4,B2178&lt;='Buku Akun'!$H$5,OR(C2178='Buku Akun'!$C$4,AND(D2178="Pindah",E2178='Buku Akun'!$C$4))),B2178+IF(AND(I2178="Selisih bunga",DAY(B2178)=1),0,0.01)+ROW()/10000000,"")</f>
        <v/>
      </c>
    </row>
    <row r="2179" outlineLevel="1" ht="15" customHeight="1" s="94">
      <c r="A2179" s="123">
        <f>IF(B2179="","",ROW()-15)</f>
        <v/>
      </c>
      <c r="B2179" s="124" t="n"/>
      <c r="C2179" s="123" t="n"/>
      <c r="D2179" s="123" t="n"/>
      <c r="E2179" s="123" t="n"/>
      <c r="F2179" s="125" t="n"/>
      <c r="G2179" s="123" t="n"/>
      <c r="H2179" s="123" t="n"/>
      <c r="I2179" s="123" t="n"/>
      <c r="J2179" s="123" t="n"/>
      <c r="K2179" s="123" t="n"/>
      <c r="L2179" s="123" t="n"/>
      <c r="M2179" s="123">
        <f>IF(AND(B2179&lt;&gt;"",OR($C$4="",ISNUMBER(SEARCH($C$4,C2179&amp;" "&amp;E2179&amp;" "&amp;G2179&amp;" "&amp;H2179&amp;" "&amp;I2179&amp;" "&amp;J2179&amp;" "&amp;K2179&amp;" "&amp;L2179))),OR($C$5="Semua",$C$5="",G2179=$C$5),OR($C$6="Semua",$C$6="",H2179=$C$6,H2179="Pengeluaran "&amp;$C$6,AND($C$6="Uang Kos Mama",H2179="Pengeluaran Uang Kos")),OR($C$7="Semua",$C$7="",I2179=$C$7),OR($C$8="Semua",$C$8="",C2179=$C$8,E2179=$C$8),OR($C$9="Semua",$C$9="",D2179=$C$9),OR($C$10="",B2179&gt;=$C$10),OR($C$11="",B2179&lt;=$C$11),OR($C$12&lt;&gt;"Ya",K2179&lt;&gt;""),OR($C$13="Semua",$C$13="",L2179=$C$13)),"✓","")</f>
        <v/>
      </c>
      <c r="N2179" s="93">
        <f>N(N2178)+IF(M2179="✓",1,0)</f>
        <v/>
      </c>
      <c r="O2179" s="93">
        <f>N(O2178)+IF(AND(B2179&lt;&gt;"",B2179&gt;='Uang Riba'!$H$30,B2179&lt;='Uang Riba'!$I$30,OR(H2179="Dana riba",H2179="Pinjam uang riba",I2179="Pinjam dari uang riba",I2179="Ganti uang riba",I2179="Kelebihan ganti dikembalikan",AND(C2179="Kantong Uang Riba",G2179="Pengeluaran"))),1,0)</f>
        <v/>
      </c>
      <c r="X2179" s="93">
        <f>IF(AND(B2179&lt;&gt;"",B2179&gt;='Buku Akun'!$H$4,B2179&lt;='Buku Akun'!$H$5,OR(C2179='Buku Akun'!$C$4,AND(D2179="Pindah",E2179='Buku Akun'!$C$4))),B2179+IF(AND(I2179="Selisih bunga",DAY(B2179)=1),0,0.01)+ROW()/10000000,"")</f>
        <v/>
      </c>
    </row>
    <row r="2180" outlineLevel="1" ht="15" customHeight="1" s="94">
      <c r="A2180" s="123">
        <f>IF(B2180="","",ROW()-15)</f>
        <v/>
      </c>
      <c r="B2180" s="124" t="n"/>
      <c r="C2180" s="123" t="n"/>
      <c r="D2180" s="123" t="n"/>
      <c r="E2180" s="123" t="n"/>
      <c r="F2180" s="125" t="n"/>
      <c r="G2180" s="123" t="n"/>
      <c r="H2180" s="123" t="n"/>
      <c r="I2180" s="123" t="n"/>
      <c r="J2180" s="123" t="n"/>
      <c r="K2180" s="123" t="n"/>
      <c r="L2180" s="123" t="n"/>
      <c r="M2180" s="123">
        <f>IF(AND(B2180&lt;&gt;"",OR($C$4="",ISNUMBER(SEARCH($C$4,C2180&amp;" "&amp;E2180&amp;" "&amp;G2180&amp;" "&amp;H2180&amp;" "&amp;I2180&amp;" "&amp;J2180&amp;" "&amp;K2180&amp;" "&amp;L2180))),OR($C$5="Semua",$C$5="",G2180=$C$5),OR($C$6="Semua",$C$6="",H2180=$C$6,H2180="Pengeluaran "&amp;$C$6,AND($C$6="Uang Kos Mama",H2180="Pengeluaran Uang Kos")),OR($C$7="Semua",$C$7="",I2180=$C$7),OR($C$8="Semua",$C$8="",C2180=$C$8,E2180=$C$8),OR($C$9="Semua",$C$9="",D2180=$C$9),OR($C$10="",B2180&gt;=$C$10),OR($C$11="",B2180&lt;=$C$11),OR($C$12&lt;&gt;"Ya",K2180&lt;&gt;""),OR($C$13="Semua",$C$13="",L2180=$C$13)),"✓","")</f>
        <v/>
      </c>
      <c r="N2180" s="93">
        <f>N(N2179)+IF(M2180="✓",1,0)</f>
        <v/>
      </c>
      <c r="O2180" s="93">
        <f>N(O2179)+IF(AND(B2180&lt;&gt;"",B2180&gt;='Uang Riba'!$H$30,B2180&lt;='Uang Riba'!$I$30,OR(H2180="Dana riba",H2180="Pinjam uang riba",I2180="Pinjam dari uang riba",I2180="Ganti uang riba",I2180="Kelebihan ganti dikembalikan",AND(C2180="Kantong Uang Riba",G2180="Pengeluaran"))),1,0)</f>
        <v/>
      </c>
      <c r="X2180" s="93">
        <f>IF(AND(B2180&lt;&gt;"",B2180&gt;='Buku Akun'!$H$4,B2180&lt;='Buku Akun'!$H$5,OR(C2180='Buku Akun'!$C$4,AND(D2180="Pindah",E2180='Buku Akun'!$C$4))),B2180+IF(AND(I2180="Selisih bunga",DAY(B2180)=1),0,0.01)+ROW()/10000000,"")</f>
        <v/>
      </c>
    </row>
    <row r="2181" outlineLevel="1" ht="15" customHeight="1" s="94">
      <c r="A2181" s="123">
        <f>IF(B2181="","",ROW()-15)</f>
        <v/>
      </c>
      <c r="B2181" s="124" t="n"/>
      <c r="C2181" s="123" t="n"/>
      <c r="D2181" s="123" t="n"/>
      <c r="E2181" s="123" t="n"/>
      <c r="F2181" s="125" t="n"/>
      <c r="G2181" s="123" t="n"/>
      <c r="H2181" s="123" t="n"/>
      <c r="I2181" s="123" t="n"/>
      <c r="J2181" s="123" t="n"/>
      <c r="K2181" s="123" t="n"/>
      <c r="L2181" s="123" t="n"/>
      <c r="M2181" s="123">
        <f>IF(AND(B2181&lt;&gt;"",OR($C$4="",ISNUMBER(SEARCH($C$4,C2181&amp;" "&amp;E2181&amp;" "&amp;G2181&amp;" "&amp;H2181&amp;" "&amp;I2181&amp;" "&amp;J2181&amp;" "&amp;K2181&amp;" "&amp;L2181))),OR($C$5="Semua",$C$5="",G2181=$C$5),OR($C$6="Semua",$C$6="",H2181=$C$6,H2181="Pengeluaran "&amp;$C$6,AND($C$6="Uang Kos Mama",H2181="Pengeluaran Uang Kos")),OR($C$7="Semua",$C$7="",I2181=$C$7),OR($C$8="Semua",$C$8="",C2181=$C$8,E2181=$C$8),OR($C$9="Semua",$C$9="",D2181=$C$9),OR($C$10="",B2181&gt;=$C$10),OR($C$11="",B2181&lt;=$C$11),OR($C$12&lt;&gt;"Ya",K2181&lt;&gt;""),OR($C$13="Semua",$C$13="",L2181=$C$13)),"✓","")</f>
        <v/>
      </c>
      <c r="N2181" s="93">
        <f>N(N2180)+IF(M2181="✓",1,0)</f>
        <v/>
      </c>
      <c r="O2181" s="93">
        <f>N(O2180)+IF(AND(B2181&lt;&gt;"",B2181&gt;='Uang Riba'!$H$30,B2181&lt;='Uang Riba'!$I$30,OR(H2181="Dana riba",H2181="Pinjam uang riba",I2181="Pinjam dari uang riba",I2181="Ganti uang riba",I2181="Kelebihan ganti dikembalikan",AND(C2181="Kantong Uang Riba",G2181="Pengeluaran"))),1,0)</f>
        <v/>
      </c>
      <c r="X2181" s="93">
        <f>IF(AND(B2181&lt;&gt;"",B2181&gt;='Buku Akun'!$H$4,B2181&lt;='Buku Akun'!$H$5,OR(C2181='Buku Akun'!$C$4,AND(D2181="Pindah",E2181='Buku Akun'!$C$4))),B2181+IF(AND(I2181="Selisih bunga",DAY(B2181)=1),0,0.01)+ROW()/10000000,"")</f>
        <v/>
      </c>
    </row>
    <row r="2182" outlineLevel="1" ht="15" customHeight="1" s="94">
      <c r="A2182" s="123">
        <f>IF(B2182="","",ROW()-15)</f>
        <v/>
      </c>
      <c r="B2182" s="124" t="n"/>
      <c r="C2182" s="123" t="n"/>
      <c r="D2182" s="123" t="n"/>
      <c r="E2182" s="123" t="n"/>
      <c r="F2182" s="125" t="n"/>
      <c r="G2182" s="123" t="n"/>
      <c r="H2182" s="123" t="n"/>
      <c r="I2182" s="123" t="n"/>
      <c r="J2182" s="123" t="n"/>
      <c r="K2182" s="123" t="n"/>
      <c r="L2182" s="123" t="n"/>
      <c r="M2182" s="123">
        <f>IF(AND(B2182&lt;&gt;"",OR($C$4="",ISNUMBER(SEARCH($C$4,C2182&amp;" "&amp;E2182&amp;" "&amp;G2182&amp;" "&amp;H2182&amp;" "&amp;I2182&amp;" "&amp;J2182&amp;" "&amp;K2182&amp;" "&amp;L2182))),OR($C$5="Semua",$C$5="",G2182=$C$5),OR($C$6="Semua",$C$6="",H2182=$C$6,H2182="Pengeluaran "&amp;$C$6,AND($C$6="Uang Kos Mama",H2182="Pengeluaran Uang Kos")),OR($C$7="Semua",$C$7="",I2182=$C$7),OR($C$8="Semua",$C$8="",C2182=$C$8,E2182=$C$8),OR($C$9="Semua",$C$9="",D2182=$C$9),OR($C$10="",B2182&gt;=$C$10),OR($C$11="",B2182&lt;=$C$11),OR($C$12&lt;&gt;"Ya",K2182&lt;&gt;""),OR($C$13="Semua",$C$13="",L2182=$C$13)),"✓","")</f>
        <v/>
      </c>
      <c r="N2182" s="93">
        <f>N(N2181)+IF(M2182="✓",1,0)</f>
        <v/>
      </c>
      <c r="O2182" s="93">
        <f>N(O2181)+IF(AND(B2182&lt;&gt;"",B2182&gt;='Uang Riba'!$H$30,B2182&lt;='Uang Riba'!$I$30,OR(H2182="Dana riba",H2182="Pinjam uang riba",I2182="Pinjam dari uang riba",I2182="Ganti uang riba",I2182="Kelebihan ganti dikembalikan",AND(C2182="Kantong Uang Riba",G2182="Pengeluaran"))),1,0)</f>
        <v/>
      </c>
      <c r="X2182" s="93">
        <f>IF(AND(B2182&lt;&gt;"",B2182&gt;='Buku Akun'!$H$4,B2182&lt;='Buku Akun'!$H$5,OR(C2182='Buku Akun'!$C$4,AND(D2182="Pindah",E2182='Buku Akun'!$C$4))),B2182+IF(AND(I2182="Selisih bunga",DAY(B2182)=1),0,0.01)+ROW()/10000000,"")</f>
        <v/>
      </c>
    </row>
    <row r="2183" outlineLevel="1" ht="15" customHeight="1" s="94">
      <c r="A2183" s="123">
        <f>IF(B2183="","",ROW()-15)</f>
        <v/>
      </c>
      <c r="B2183" s="124" t="n"/>
      <c r="C2183" s="123" t="n"/>
      <c r="D2183" s="123" t="n"/>
      <c r="E2183" s="123" t="n"/>
      <c r="F2183" s="125" t="n"/>
      <c r="G2183" s="123" t="n"/>
      <c r="H2183" s="123" t="n"/>
      <c r="I2183" s="123" t="n"/>
      <c r="J2183" s="123" t="n"/>
      <c r="K2183" s="123" t="n"/>
      <c r="L2183" s="123" t="n"/>
      <c r="M2183" s="123">
        <f>IF(AND(B2183&lt;&gt;"",OR($C$4="",ISNUMBER(SEARCH($C$4,C2183&amp;" "&amp;E2183&amp;" "&amp;G2183&amp;" "&amp;H2183&amp;" "&amp;I2183&amp;" "&amp;J2183&amp;" "&amp;K2183&amp;" "&amp;L2183))),OR($C$5="Semua",$C$5="",G2183=$C$5),OR($C$6="Semua",$C$6="",H2183=$C$6,H2183="Pengeluaran "&amp;$C$6,AND($C$6="Uang Kos Mama",H2183="Pengeluaran Uang Kos")),OR($C$7="Semua",$C$7="",I2183=$C$7),OR($C$8="Semua",$C$8="",C2183=$C$8,E2183=$C$8),OR($C$9="Semua",$C$9="",D2183=$C$9),OR($C$10="",B2183&gt;=$C$10),OR($C$11="",B2183&lt;=$C$11),OR($C$12&lt;&gt;"Ya",K2183&lt;&gt;""),OR($C$13="Semua",$C$13="",L2183=$C$13)),"✓","")</f>
        <v/>
      </c>
      <c r="N2183" s="93">
        <f>N(N2182)+IF(M2183="✓",1,0)</f>
        <v/>
      </c>
      <c r="O2183" s="93">
        <f>N(O2182)+IF(AND(B2183&lt;&gt;"",B2183&gt;='Uang Riba'!$H$30,B2183&lt;='Uang Riba'!$I$30,OR(H2183="Dana riba",H2183="Pinjam uang riba",I2183="Pinjam dari uang riba",I2183="Ganti uang riba",I2183="Kelebihan ganti dikembalikan",AND(C2183="Kantong Uang Riba",G2183="Pengeluaran"))),1,0)</f>
        <v/>
      </c>
      <c r="X2183" s="93">
        <f>IF(AND(B2183&lt;&gt;"",B2183&gt;='Buku Akun'!$H$4,B2183&lt;='Buku Akun'!$H$5,OR(C2183='Buku Akun'!$C$4,AND(D2183="Pindah",E2183='Buku Akun'!$C$4))),B2183+IF(AND(I2183="Selisih bunga",DAY(B2183)=1),0,0.01)+ROW()/10000000,"")</f>
        <v/>
      </c>
    </row>
    <row r="2184" outlineLevel="1" ht="15" customHeight="1" s="94">
      <c r="A2184" s="123">
        <f>IF(B2184="","",ROW()-15)</f>
        <v/>
      </c>
      <c r="B2184" s="124" t="n"/>
      <c r="C2184" s="123" t="n"/>
      <c r="D2184" s="123" t="n"/>
      <c r="E2184" s="123" t="n"/>
      <c r="F2184" s="125" t="n"/>
      <c r="G2184" s="123" t="n"/>
      <c r="H2184" s="123" t="n"/>
      <c r="I2184" s="123" t="n"/>
      <c r="J2184" s="123" t="n"/>
      <c r="K2184" s="123" t="n"/>
      <c r="L2184" s="123" t="n"/>
      <c r="M2184" s="123">
        <f>IF(AND(B2184&lt;&gt;"",OR($C$4="",ISNUMBER(SEARCH($C$4,C2184&amp;" "&amp;E2184&amp;" "&amp;G2184&amp;" "&amp;H2184&amp;" "&amp;I2184&amp;" "&amp;J2184&amp;" "&amp;K2184&amp;" "&amp;L2184))),OR($C$5="Semua",$C$5="",G2184=$C$5),OR($C$6="Semua",$C$6="",H2184=$C$6,H2184="Pengeluaran "&amp;$C$6,AND($C$6="Uang Kos Mama",H2184="Pengeluaran Uang Kos")),OR($C$7="Semua",$C$7="",I2184=$C$7),OR($C$8="Semua",$C$8="",C2184=$C$8,E2184=$C$8),OR($C$9="Semua",$C$9="",D2184=$C$9),OR($C$10="",B2184&gt;=$C$10),OR($C$11="",B2184&lt;=$C$11),OR($C$12&lt;&gt;"Ya",K2184&lt;&gt;""),OR($C$13="Semua",$C$13="",L2184=$C$13)),"✓","")</f>
        <v/>
      </c>
      <c r="N2184" s="93">
        <f>N(N2183)+IF(M2184="✓",1,0)</f>
        <v/>
      </c>
      <c r="O2184" s="93">
        <f>N(O2183)+IF(AND(B2184&lt;&gt;"",B2184&gt;='Uang Riba'!$H$30,B2184&lt;='Uang Riba'!$I$30,OR(H2184="Dana riba",H2184="Pinjam uang riba",I2184="Pinjam dari uang riba",I2184="Ganti uang riba",I2184="Kelebihan ganti dikembalikan",AND(C2184="Kantong Uang Riba",G2184="Pengeluaran"))),1,0)</f>
        <v/>
      </c>
      <c r="X2184" s="93">
        <f>IF(AND(B2184&lt;&gt;"",B2184&gt;='Buku Akun'!$H$4,B2184&lt;='Buku Akun'!$H$5,OR(C2184='Buku Akun'!$C$4,AND(D2184="Pindah",E2184='Buku Akun'!$C$4))),B2184+IF(AND(I2184="Selisih bunga",DAY(B2184)=1),0,0.01)+ROW()/10000000,"")</f>
        <v/>
      </c>
    </row>
    <row r="2185" outlineLevel="1" ht="15" customHeight="1" s="94">
      <c r="A2185" s="123">
        <f>IF(B2185="","",ROW()-15)</f>
        <v/>
      </c>
      <c r="B2185" s="124" t="n"/>
      <c r="C2185" s="123" t="n"/>
      <c r="D2185" s="123" t="n"/>
      <c r="E2185" s="123" t="n"/>
      <c r="F2185" s="125" t="n"/>
      <c r="G2185" s="123" t="n"/>
      <c r="H2185" s="123" t="n"/>
      <c r="I2185" s="123" t="n"/>
      <c r="J2185" s="123" t="n"/>
      <c r="K2185" s="123" t="n"/>
      <c r="L2185" s="123" t="n"/>
      <c r="M2185" s="123">
        <f>IF(AND(B2185&lt;&gt;"",OR($C$4="",ISNUMBER(SEARCH($C$4,C2185&amp;" "&amp;E2185&amp;" "&amp;G2185&amp;" "&amp;H2185&amp;" "&amp;I2185&amp;" "&amp;J2185&amp;" "&amp;K2185&amp;" "&amp;L2185))),OR($C$5="Semua",$C$5="",G2185=$C$5),OR($C$6="Semua",$C$6="",H2185=$C$6,H2185="Pengeluaran "&amp;$C$6,AND($C$6="Uang Kos Mama",H2185="Pengeluaran Uang Kos")),OR($C$7="Semua",$C$7="",I2185=$C$7),OR($C$8="Semua",$C$8="",C2185=$C$8,E2185=$C$8),OR($C$9="Semua",$C$9="",D2185=$C$9),OR($C$10="",B2185&gt;=$C$10),OR($C$11="",B2185&lt;=$C$11),OR($C$12&lt;&gt;"Ya",K2185&lt;&gt;""),OR($C$13="Semua",$C$13="",L2185=$C$13)),"✓","")</f>
        <v/>
      </c>
      <c r="N2185" s="93">
        <f>N(N2184)+IF(M2185="✓",1,0)</f>
        <v/>
      </c>
      <c r="O2185" s="93">
        <f>N(O2184)+IF(AND(B2185&lt;&gt;"",B2185&gt;='Uang Riba'!$H$30,B2185&lt;='Uang Riba'!$I$30,OR(H2185="Dana riba",H2185="Pinjam uang riba",I2185="Pinjam dari uang riba",I2185="Ganti uang riba",I2185="Kelebihan ganti dikembalikan",AND(C2185="Kantong Uang Riba",G2185="Pengeluaran"))),1,0)</f>
        <v/>
      </c>
      <c r="X2185" s="93">
        <f>IF(AND(B2185&lt;&gt;"",B2185&gt;='Buku Akun'!$H$4,B2185&lt;='Buku Akun'!$H$5,OR(C2185='Buku Akun'!$C$4,AND(D2185="Pindah",E2185='Buku Akun'!$C$4))),B2185+IF(AND(I2185="Selisih bunga",DAY(B2185)=1),0,0.01)+ROW()/10000000,"")</f>
        <v/>
      </c>
    </row>
    <row r="2186" outlineLevel="1" ht="15" customHeight="1" s="94">
      <c r="A2186" s="123">
        <f>IF(B2186="","",ROW()-15)</f>
        <v/>
      </c>
      <c r="B2186" s="124" t="n"/>
      <c r="C2186" s="123" t="n"/>
      <c r="D2186" s="123" t="n"/>
      <c r="E2186" s="123" t="n"/>
      <c r="F2186" s="125" t="n"/>
      <c r="G2186" s="123" t="n"/>
      <c r="H2186" s="123" t="n"/>
      <c r="I2186" s="123" t="n"/>
      <c r="J2186" s="123" t="n"/>
      <c r="K2186" s="123" t="n"/>
      <c r="L2186" s="123" t="n"/>
      <c r="M2186" s="123">
        <f>IF(AND(B2186&lt;&gt;"",OR($C$4="",ISNUMBER(SEARCH($C$4,C2186&amp;" "&amp;E2186&amp;" "&amp;G2186&amp;" "&amp;H2186&amp;" "&amp;I2186&amp;" "&amp;J2186&amp;" "&amp;K2186&amp;" "&amp;L2186))),OR($C$5="Semua",$C$5="",G2186=$C$5),OR($C$6="Semua",$C$6="",H2186=$C$6,H2186="Pengeluaran "&amp;$C$6,AND($C$6="Uang Kos Mama",H2186="Pengeluaran Uang Kos")),OR($C$7="Semua",$C$7="",I2186=$C$7),OR($C$8="Semua",$C$8="",C2186=$C$8,E2186=$C$8),OR($C$9="Semua",$C$9="",D2186=$C$9),OR($C$10="",B2186&gt;=$C$10),OR($C$11="",B2186&lt;=$C$11),OR($C$12&lt;&gt;"Ya",K2186&lt;&gt;""),OR($C$13="Semua",$C$13="",L2186=$C$13)),"✓","")</f>
        <v/>
      </c>
      <c r="N2186" s="93">
        <f>N(N2185)+IF(M2186="✓",1,0)</f>
        <v/>
      </c>
      <c r="O2186" s="93">
        <f>N(O2185)+IF(AND(B2186&lt;&gt;"",B2186&gt;='Uang Riba'!$H$30,B2186&lt;='Uang Riba'!$I$30,OR(H2186="Dana riba",H2186="Pinjam uang riba",I2186="Pinjam dari uang riba",I2186="Ganti uang riba",I2186="Kelebihan ganti dikembalikan",AND(C2186="Kantong Uang Riba",G2186="Pengeluaran"))),1,0)</f>
        <v/>
      </c>
      <c r="X2186" s="93">
        <f>IF(AND(B2186&lt;&gt;"",B2186&gt;='Buku Akun'!$H$4,B2186&lt;='Buku Akun'!$H$5,OR(C2186='Buku Akun'!$C$4,AND(D2186="Pindah",E2186='Buku Akun'!$C$4))),B2186+IF(AND(I2186="Selisih bunga",DAY(B2186)=1),0,0.01)+ROW()/10000000,"")</f>
        <v/>
      </c>
    </row>
    <row r="2187" outlineLevel="1" ht="15" customHeight="1" s="94">
      <c r="A2187" s="123">
        <f>IF(B2187="","",ROW()-15)</f>
        <v/>
      </c>
      <c r="B2187" s="124" t="n"/>
      <c r="C2187" s="123" t="n"/>
      <c r="D2187" s="123" t="n"/>
      <c r="E2187" s="123" t="n"/>
      <c r="F2187" s="125" t="n"/>
      <c r="G2187" s="123" t="n"/>
      <c r="H2187" s="123" t="n"/>
      <c r="I2187" s="123" t="n"/>
      <c r="J2187" s="123" t="n"/>
      <c r="K2187" s="123" t="n"/>
      <c r="L2187" s="123" t="n"/>
      <c r="M2187" s="123">
        <f>IF(AND(B2187&lt;&gt;"",OR($C$4="",ISNUMBER(SEARCH($C$4,C2187&amp;" "&amp;E2187&amp;" "&amp;G2187&amp;" "&amp;H2187&amp;" "&amp;I2187&amp;" "&amp;J2187&amp;" "&amp;K2187&amp;" "&amp;L2187))),OR($C$5="Semua",$C$5="",G2187=$C$5),OR($C$6="Semua",$C$6="",H2187=$C$6,H2187="Pengeluaran "&amp;$C$6,AND($C$6="Uang Kos Mama",H2187="Pengeluaran Uang Kos")),OR($C$7="Semua",$C$7="",I2187=$C$7),OR($C$8="Semua",$C$8="",C2187=$C$8,E2187=$C$8),OR($C$9="Semua",$C$9="",D2187=$C$9),OR($C$10="",B2187&gt;=$C$10),OR($C$11="",B2187&lt;=$C$11),OR($C$12&lt;&gt;"Ya",K2187&lt;&gt;""),OR($C$13="Semua",$C$13="",L2187=$C$13)),"✓","")</f>
        <v/>
      </c>
      <c r="N2187" s="93">
        <f>N(N2186)+IF(M2187="✓",1,0)</f>
        <v/>
      </c>
      <c r="O2187" s="93">
        <f>N(O2186)+IF(AND(B2187&lt;&gt;"",B2187&gt;='Uang Riba'!$H$30,B2187&lt;='Uang Riba'!$I$30,OR(H2187="Dana riba",H2187="Pinjam uang riba",I2187="Pinjam dari uang riba",I2187="Ganti uang riba",I2187="Kelebihan ganti dikembalikan",AND(C2187="Kantong Uang Riba",G2187="Pengeluaran"))),1,0)</f>
        <v/>
      </c>
      <c r="X2187" s="93">
        <f>IF(AND(B2187&lt;&gt;"",B2187&gt;='Buku Akun'!$H$4,B2187&lt;='Buku Akun'!$H$5,OR(C2187='Buku Akun'!$C$4,AND(D2187="Pindah",E2187='Buku Akun'!$C$4))),B2187+IF(AND(I2187="Selisih bunga",DAY(B2187)=1),0,0.01)+ROW()/10000000,"")</f>
        <v/>
      </c>
    </row>
    <row r="2188" outlineLevel="1" ht="15" customHeight="1" s="94">
      <c r="A2188" s="123">
        <f>IF(B2188="","",ROW()-15)</f>
        <v/>
      </c>
      <c r="B2188" s="124" t="n"/>
      <c r="C2188" s="123" t="n"/>
      <c r="D2188" s="123" t="n"/>
      <c r="E2188" s="123" t="n"/>
      <c r="F2188" s="125" t="n"/>
      <c r="G2188" s="123" t="n"/>
      <c r="H2188" s="123" t="n"/>
      <c r="I2188" s="123" t="n"/>
      <c r="J2188" s="123" t="n"/>
      <c r="K2188" s="123" t="n"/>
      <c r="L2188" s="123" t="n"/>
      <c r="M2188" s="123">
        <f>IF(AND(B2188&lt;&gt;"",OR($C$4="",ISNUMBER(SEARCH($C$4,C2188&amp;" "&amp;E2188&amp;" "&amp;G2188&amp;" "&amp;H2188&amp;" "&amp;I2188&amp;" "&amp;J2188&amp;" "&amp;K2188&amp;" "&amp;L2188))),OR($C$5="Semua",$C$5="",G2188=$C$5),OR($C$6="Semua",$C$6="",H2188=$C$6,H2188="Pengeluaran "&amp;$C$6,AND($C$6="Uang Kos Mama",H2188="Pengeluaran Uang Kos")),OR($C$7="Semua",$C$7="",I2188=$C$7),OR($C$8="Semua",$C$8="",C2188=$C$8,E2188=$C$8),OR($C$9="Semua",$C$9="",D2188=$C$9),OR($C$10="",B2188&gt;=$C$10),OR($C$11="",B2188&lt;=$C$11),OR($C$12&lt;&gt;"Ya",K2188&lt;&gt;""),OR($C$13="Semua",$C$13="",L2188=$C$13)),"✓","")</f>
        <v/>
      </c>
      <c r="N2188" s="93">
        <f>N(N2187)+IF(M2188="✓",1,0)</f>
        <v/>
      </c>
      <c r="O2188" s="93">
        <f>N(O2187)+IF(AND(B2188&lt;&gt;"",B2188&gt;='Uang Riba'!$H$30,B2188&lt;='Uang Riba'!$I$30,OR(H2188="Dana riba",H2188="Pinjam uang riba",I2188="Pinjam dari uang riba",I2188="Ganti uang riba",I2188="Kelebihan ganti dikembalikan",AND(C2188="Kantong Uang Riba",G2188="Pengeluaran"))),1,0)</f>
        <v/>
      </c>
      <c r="X2188" s="93">
        <f>IF(AND(B2188&lt;&gt;"",B2188&gt;='Buku Akun'!$H$4,B2188&lt;='Buku Akun'!$H$5,OR(C2188='Buku Akun'!$C$4,AND(D2188="Pindah",E2188='Buku Akun'!$C$4))),B2188+IF(AND(I2188="Selisih bunga",DAY(B2188)=1),0,0.01)+ROW()/10000000,"")</f>
        <v/>
      </c>
    </row>
    <row r="2189" outlineLevel="1" ht="15" customHeight="1" s="94">
      <c r="A2189" s="123">
        <f>IF(B2189="","",ROW()-15)</f>
        <v/>
      </c>
      <c r="B2189" s="124" t="n"/>
      <c r="C2189" s="123" t="n"/>
      <c r="D2189" s="123" t="n"/>
      <c r="E2189" s="123" t="n"/>
      <c r="F2189" s="125" t="n"/>
      <c r="G2189" s="123" t="n"/>
      <c r="H2189" s="123" t="n"/>
      <c r="I2189" s="123" t="n"/>
      <c r="J2189" s="123" t="n"/>
      <c r="K2189" s="123" t="n"/>
      <c r="L2189" s="123" t="n"/>
      <c r="M2189" s="123">
        <f>IF(AND(B2189&lt;&gt;"",OR($C$4="",ISNUMBER(SEARCH($C$4,C2189&amp;" "&amp;E2189&amp;" "&amp;G2189&amp;" "&amp;H2189&amp;" "&amp;I2189&amp;" "&amp;J2189&amp;" "&amp;K2189&amp;" "&amp;L2189))),OR($C$5="Semua",$C$5="",G2189=$C$5),OR($C$6="Semua",$C$6="",H2189=$C$6,H2189="Pengeluaran "&amp;$C$6,AND($C$6="Uang Kos Mama",H2189="Pengeluaran Uang Kos")),OR($C$7="Semua",$C$7="",I2189=$C$7),OR($C$8="Semua",$C$8="",C2189=$C$8,E2189=$C$8),OR($C$9="Semua",$C$9="",D2189=$C$9),OR($C$10="",B2189&gt;=$C$10),OR($C$11="",B2189&lt;=$C$11),OR($C$12&lt;&gt;"Ya",K2189&lt;&gt;""),OR($C$13="Semua",$C$13="",L2189=$C$13)),"✓","")</f>
        <v/>
      </c>
      <c r="N2189" s="93">
        <f>N(N2188)+IF(M2189="✓",1,0)</f>
        <v/>
      </c>
      <c r="O2189" s="93">
        <f>N(O2188)+IF(AND(B2189&lt;&gt;"",B2189&gt;='Uang Riba'!$H$30,B2189&lt;='Uang Riba'!$I$30,OR(H2189="Dana riba",H2189="Pinjam uang riba",I2189="Pinjam dari uang riba",I2189="Ganti uang riba",I2189="Kelebihan ganti dikembalikan",AND(C2189="Kantong Uang Riba",G2189="Pengeluaran"))),1,0)</f>
        <v/>
      </c>
      <c r="X2189" s="93">
        <f>IF(AND(B2189&lt;&gt;"",B2189&gt;='Buku Akun'!$H$4,B2189&lt;='Buku Akun'!$H$5,OR(C2189='Buku Akun'!$C$4,AND(D2189="Pindah",E2189='Buku Akun'!$C$4))),B2189+IF(AND(I2189="Selisih bunga",DAY(B2189)=1),0,0.01)+ROW()/10000000,"")</f>
        <v/>
      </c>
    </row>
    <row r="2190" outlineLevel="1" ht="15" customHeight="1" s="94">
      <c r="A2190" s="123">
        <f>IF(B2190="","",ROW()-15)</f>
        <v/>
      </c>
      <c r="B2190" s="124" t="n"/>
      <c r="C2190" s="123" t="n"/>
      <c r="D2190" s="123" t="n"/>
      <c r="E2190" s="123" t="n"/>
      <c r="F2190" s="125" t="n"/>
      <c r="G2190" s="123" t="n"/>
      <c r="H2190" s="123" t="n"/>
      <c r="I2190" s="123" t="n"/>
      <c r="J2190" s="123" t="n"/>
      <c r="K2190" s="123" t="n"/>
      <c r="L2190" s="123" t="n"/>
      <c r="M2190" s="123">
        <f>IF(AND(B2190&lt;&gt;"",OR($C$4="",ISNUMBER(SEARCH($C$4,C2190&amp;" "&amp;E2190&amp;" "&amp;G2190&amp;" "&amp;H2190&amp;" "&amp;I2190&amp;" "&amp;J2190&amp;" "&amp;K2190&amp;" "&amp;L2190))),OR($C$5="Semua",$C$5="",G2190=$C$5),OR($C$6="Semua",$C$6="",H2190=$C$6,H2190="Pengeluaran "&amp;$C$6,AND($C$6="Uang Kos Mama",H2190="Pengeluaran Uang Kos")),OR($C$7="Semua",$C$7="",I2190=$C$7),OR($C$8="Semua",$C$8="",C2190=$C$8,E2190=$C$8),OR($C$9="Semua",$C$9="",D2190=$C$9),OR($C$10="",B2190&gt;=$C$10),OR($C$11="",B2190&lt;=$C$11),OR($C$12&lt;&gt;"Ya",K2190&lt;&gt;""),OR($C$13="Semua",$C$13="",L2190=$C$13)),"✓","")</f>
        <v/>
      </c>
      <c r="N2190" s="93">
        <f>N(N2189)+IF(M2190="✓",1,0)</f>
        <v/>
      </c>
      <c r="O2190" s="93">
        <f>N(O2189)+IF(AND(B2190&lt;&gt;"",B2190&gt;='Uang Riba'!$H$30,B2190&lt;='Uang Riba'!$I$30,OR(H2190="Dana riba",H2190="Pinjam uang riba",I2190="Pinjam dari uang riba",I2190="Ganti uang riba",I2190="Kelebihan ganti dikembalikan",AND(C2190="Kantong Uang Riba",G2190="Pengeluaran"))),1,0)</f>
        <v/>
      </c>
      <c r="X2190" s="93">
        <f>IF(AND(B2190&lt;&gt;"",B2190&gt;='Buku Akun'!$H$4,B2190&lt;='Buku Akun'!$H$5,OR(C2190='Buku Akun'!$C$4,AND(D2190="Pindah",E2190='Buku Akun'!$C$4))),B2190+IF(AND(I2190="Selisih bunga",DAY(B2190)=1),0,0.01)+ROW()/10000000,"")</f>
        <v/>
      </c>
    </row>
    <row r="2191" outlineLevel="1" ht="15" customHeight="1" s="94">
      <c r="A2191" s="123">
        <f>IF(B2191="","",ROW()-15)</f>
        <v/>
      </c>
      <c r="B2191" s="124" t="n"/>
      <c r="C2191" s="123" t="n"/>
      <c r="D2191" s="123" t="n"/>
      <c r="E2191" s="123" t="n"/>
      <c r="F2191" s="125" t="n"/>
      <c r="G2191" s="123" t="n"/>
      <c r="H2191" s="123" t="n"/>
      <c r="I2191" s="123" t="n"/>
      <c r="J2191" s="123" t="n"/>
      <c r="K2191" s="123" t="n"/>
      <c r="L2191" s="123" t="n"/>
      <c r="M2191" s="123">
        <f>IF(AND(B2191&lt;&gt;"",OR($C$4="",ISNUMBER(SEARCH($C$4,C2191&amp;" "&amp;E2191&amp;" "&amp;G2191&amp;" "&amp;H2191&amp;" "&amp;I2191&amp;" "&amp;J2191&amp;" "&amp;K2191&amp;" "&amp;L2191))),OR($C$5="Semua",$C$5="",G2191=$C$5),OR($C$6="Semua",$C$6="",H2191=$C$6,H2191="Pengeluaran "&amp;$C$6,AND($C$6="Uang Kos Mama",H2191="Pengeluaran Uang Kos")),OR($C$7="Semua",$C$7="",I2191=$C$7),OR($C$8="Semua",$C$8="",C2191=$C$8,E2191=$C$8),OR($C$9="Semua",$C$9="",D2191=$C$9),OR($C$10="",B2191&gt;=$C$10),OR($C$11="",B2191&lt;=$C$11),OR($C$12&lt;&gt;"Ya",K2191&lt;&gt;""),OR($C$13="Semua",$C$13="",L2191=$C$13)),"✓","")</f>
        <v/>
      </c>
      <c r="N2191" s="93">
        <f>N(N2190)+IF(M2191="✓",1,0)</f>
        <v/>
      </c>
      <c r="O2191" s="93">
        <f>N(O2190)+IF(AND(B2191&lt;&gt;"",B2191&gt;='Uang Riba'!$H$30,B2191&lt;='Uang Riba'!$I$30,OR(H2191="Dana riba",H2191="Pinjam uang riba",I2191="Pinjam dari uang riba",I2191="Ganti uang riba",I2191="Kelebihan ganti dikembalikan",AND(C2191="Kantong Uang Riba",G2191="Pengeluaran"))),1,0)</f>
        <v/>
      </c>
      <c r="X2191" s="93">
        <f>IF(AND(B2191&lt;&gt;"",B2191&gt;='Buku Akun'!$H$4,B2191&lt;='Buku Akun'!$H$5,OR(C2191='Buku Akun'!$C$4,AND(D2191="Pindah",E2191='Buku Akun'!$C$4))),B2191+IF(AND(I2191="Selisih bunga",DAY(B2191)=1),0,0.01)+ROW()/10000000,"")</f>
        <v/>
      </c>
    </row>
    <row r="2192" outlineLevel="1" ht="15" customHeight="1" s="94">
      <c r="A2192" s="123">
        <f>IF(B2192="","",ROW()-15)</f>
        <v/>
      </c>
      <c r="B2192" s="124" t="n"/>
      <c r="C2192" s="123" t="n"/>
      <c r="D2192" s="123" t="n"/>
      <c r="E2192" s="123" t="n"/>
      <c r="F2192" s="125" t="n"/>
      <c r="G2192" s="123" t="n"/>
      <c r="H2192" s="123" t="n"/>
      <c r="I2192" s="123" t="n"/>
      <c r="J2192" s="123" t="n"/>
      <c r="K2192" s="123" t="n"/>
      <c r="L2192" s="123" t="n"/>
      <c r="M2192" s="123">
        <f>IF(AND(B2192&lt;&gt;"",OR($C$4="",ISNUMBER(SEARCH($C$4,C2192&amp;" "&amp;E2192&amp;" "&amp;G2192&amp;" "&amp;H2192&amp;" "&amp;I2192&amp;" "&amp;J2192&amp;" "&amp;K2192&amp;" "&amp;L2192))),OR($C$5="Semua",$C$5="",G2192=$C$5),OR($C$6="Semua",$C$6="",H2192=$C$6,H2192="Pengeluaran "&amp;$C$6,AND($C$6="Uang Kos Mama",H2192="Pengeluaran Uang Kos")),OR($C$7="Semua",$C$7="",I2192=$C$7),OR($C$8="Semua",$C$8="",C2192=$C$8,E2192=$C$8),OR($C$9="Semua",$C$9="",D2192=$C$9),OR($C$10="",B2192&gt;=$C$10),OR($C$11="",B2192&lt;=$C$11),OR($C$12&lt;&gt;"Ya",K2192&lt;&gt;""),OR($C$13="Semua",$C$13="",L2192=$C$13)),"✓","")</f>
        <v/>
      </c>
      <c r="N2192" s="93">
        <f>N(N2191)+IF(M2192="✓",1,0)</f>
        <v/>
      </c>
      <c r="O2192" s="93">
        <f>N(O2191)+IF(AND(B2192&lt;&gt;"",B2192&gt;='Uang Riba'!$H$30,B2192&lt;='Uang Riba'!$I$30,OR(H2192="Dana riba",H2192="Pinjam uang riba",I2192="Pinjam dari uang riba",I2192="Ganti uang riba",I2192="Kelebihan ganti dikembalikan",AND(C2192="Kantong Uang Riba",G2192="Pengeluaran"))),1,0)</f>
        <v/>
      </c>
      <c r="X2192" s="93">
        <f>IF(AND(B2192&lt;&gt;"",B2192&gt;='Buku Akun'!$H$4,B2192&lt;='Buku Akun'!$H$5,OR(C2192='Buku Akun'!$C$4,AND(D2192="Pindah",E2192='Buku Akun'!$C$4))),B2192+IF(AND(I2192="Selisih bunga",DAY(B2192)=1),0,0.01)+ROW()/10000000,"")</f>
        <v/>
      </c>
    </row>
    <row r="2193" outlineLevel="1" ht="15" customHeight="1" s="94">
      <c r="A2193" s="123">
        <f>IF(B2193="","",ROW()-15)</f>
        <v/>
      </c>
      <c r="B2193" s="124" t="n"/>
      <c r="C2193" s="123" t="n"/>
      <c r="D2193" s="123" t="n"/>
      <c r="E2193" s="123" t="n"/>
      <c r="F2193" s="125" t="n"/>
      <c r="G2193" s="123" t="n"/>
      <c r="H2193" s="123" t="n"/>
      <c r="I2193" s="123" t="n"/>
      <c r="J2193" s="123" t="n"/>
      <c r="K2193" s="123" t="n"/>
      <c r="L2193" s="123" t="n"/>
      <c r="M2193" s="123">
        <f>IF(AND(B2193&lt;&gt;"",OR($C$4="",ISNUMBER(SEARCH($C$4,C2193&amp;" "&amp;E2193&amp;" "&amp;G2193&amp;" "&amp;H2193&amp;" "&amp;I2193&amp;" "&amp;J2193&amp;" "&amp;K2193&amp;" "&amp;L2193))),OR($C$5="Semua",$C$5="",G2193=$C$5),OR($C$6="Semua",$C$6="",H2193=$C$6,H2193="Pengeluaran "&amp;$C$6,AND($C$6="Uang Kos Mama",H2193="Pengeluaran Uang Kos")),OR($C$7="Semua",$C$7="",I2193=$C$7),OR($C$8="Semua",$C$8="",C2193=$C$8,E2193=$C$8),OR($C$9="Semua",$C$9="",D2193=$C$9),OR($C$10="",B2193&gt;=$C$10),OR($C$11="",B2193&lt;=$C$11),OR($C$12&lt;&gt;"Ya",K2193&lt;&gt;""),OR($C$13="Semua",$C$13="",L2193=$C$13)),"✓","")</f>
        <v/>
      </c>
      <c r="N2193" s="93">
        <f>N(N2192)+IF(M2193="✓",1,0)</f>
        <v/>
      </c>
      <c r="O2193" s="93">
        <f>N(O2192)+IF(AND(B2193&lt;&gt;"",B2193&gt;='Uang Riba'!$H$30,B2193&lt;='Uang Riba'!$I$30,OR(H2193="Dana riba",H2193="Pinjam uang riba",I2193="Pinjam dari uang riba",I2193="Ganti uang riba",I2193="Kelebihan ganti dikembalikan",AND(C2193="Kantong Uang Riba",G2193="Pengeluaran"))),1,0)</f>
        <v/>
      </c>
      <c r="X2193" s="93">
        <f>IF(AND(B2193&lt;&gt;"",B2193&gt;='Buku Akun'!$H$4,B2193&lt;='Buku Akun'!$H$5,OR(C2193='Buku Akun'!$C$4,AND(D2193="Pindah",E2193='Buku Akun'!$C$4))),B2193+IF(AND(I2193="Selisih bunga",DAY(B2193)=1),0,0.01)+ROW()/10000000,"")</f>
        <v/>
      </c>
    </row>
    <row r="2194" outlineLevel="1" ht="15" customHeight="1" s="94">
      <c r="A2194" s="123">
        <f>IF(B2194="","",ROW()-15)</f>
        <v/>
      </c>
      <c r="B2194" s="124" t="n"/>
      <c r="C2194" s="123" t="n"/>
      <c r="D2194" s="123" t="n"/>
      <c r="E2194" s="123" t="n"/>
      <c r="F2194" s="125" t="n"/>
      <c r="G2194" s="123" t="n"/>
      <c r="H2194" s="123" t="n"/>
      <c r="I2194" s="123" t="n"/>
      <c r="J2194" s="123" t="n"/>
      <c r="K2194" s="123" t="n"/>
      <c r="L2194" s="123" t="n"/>
      <c r="M2194" s="123">
        <f>IF(AND(B2194&lt;&gt;"",OR($C$4="",ISNUMBER(SEARCH($C$4,C2194&amp;" "&amp;E2194&amp;" "&amp;G2194&amp;" "&amp;H2194&amp;" "&amp;I2194&amp;" "&amp;J2194&amp;" "&amp;K2194&amp;" "&amp;L2194))),OR($C$5="Semua",$C$5="",G2194=$C$5),OR($C$6="Semua",$C$6="",H2194=$C$6,H2194="Pengeluaran "&amp;$C$6,AND($C$6="Uang Kos Mama",H2194="Pengeluaran Uang Kos")),OR($C$7="Semua",$C$7="",I2194=$C$7),OR($C$8="Semua",$C$8="",C2194=$C$8,E2194=$C$8),OR($C$9="Semua",$C$9="",D2194=$C$9),OR($C$10="",B2194&gt;=$C$10),OR($C$11="",B2194&lt;=$C$11),OR($C$12&lt;&gt;"Ya",K2194&lt;&gt;""),OR($C$13="Semua",$C$13="",L2194=$C$13)),"✓","")</f>
        <v/>
      </c>
      <c r="N2194" s="93">
        <f>N(N2193)+IF(M2194="✓",1,0)</f>
        <v/>
      </c>
      <c r="O2194" s="93">
        <f>N(O2193)+IF(AND(B2194&lt;&gt;"",B2194&gt;='Uang Riba'!$H$30,B2194&lt;='Uang Riba'!$I$30,OR(H2194="Dana riba",H2194="Pinjam uang riba",I2194="Pinjam dari uang riba",I2194="Ganti uang riba",I2194="Kelebihan ganti dikembalikan",AND(C2194="Kantong Uang Riba",G2194="Pengeluaran"))),1,0)</f>
        <v/>
      </c>
      <c r="X2194" s="93">
        <f>IF(AND(B2194&lt;&gt;"",B2194&gt;='Buku Akun'!$H$4,B2194&lt;='Buku Akun'!$H$5,OR(C2194='Buku Akun'!$C$4,AND(D2194="Pindah",E2194='Buku Akun'!$C$4))),B2194+IF(AND(I2194="Selisih bunga",DAY(B2194)=1),0,0.01)+ROW()/10000000,"")</f>
        <v/>
      </c>
    </row>
    <row r="2195" outlineLevel="1" ht="15" customHeight="1" s="94">
      <c r="A2195" s="123">
        <f>IF(B2195="","",ROW()-15)</f>
        <v/>
      </c>
      <c r="B2195" s="124" t="n"/>
      <c r="C2195" s="123" t="n"/>
      <c r="D2195" s="123" t="n"/>
      <c r="E2195" s="123" t="n"/>
      <c r="F2195" s="125" t="n"/>
      <c r="G2195" s="123" t="n"/>
      <c r="H2195" s="123" t="n"/>
      <c r="I2195" s="123" t="n"/>
      <c r="J2195" s="123" t="n"/>
      <c r="K2195" s="123" t="n"/>
      <c r="L2195" s="123" t="n"/>
      <c r="M2195" s="123">
        <f>IF(AND(B2195&lt;&gt;"",OR($C$4="",ISNUMBER(SEARCH($C$4,C2195&amp;" "&amp;E2195&amp;" "&amp;G2195&amp;" "&amp;H2195&amp;" "&amp;I2195&amp;" "&amp;J2195&amp;" "&amp;K2195&amp;" "&amp;L2195))),OR($C$5="Semua",$C$5="",G2195=$C$5),OR($C$6="Semua",$C$6="",H2195=$C$6,H2195="Pengeluaran "&amp;$C$6,AND($C$6="Uang Kos Mama",H2195="Pengeluaran Uang Kos")),OR($C$7="Semua",$C$7="",I2195=$C$7),OR($C$8="Semua",$C$8="",C2195=$C$8,E2195=$C$8),OR($C$9="Semua",$C$9="",D2195=$C$9),OR($C$10="",B2195&gt;=$C$10),OR($C$11="",B2195&lt;=$C$11),OR($C$12&lt;&gt;"Ya",K2195&lt;&gt;""),OR($C$13="Semua",$C$13="",L2195=$C$13)),"✓","")</f>
        <v/>
      </c>
      <c r="N2195" s="93">
        <f>N(N2194)+IF(M2195="✓",1,0)</f>
        <v/>
      </c>
      <c r="O2195" s="93">
        <f>N(O2194)+IF(AND(B2195&lt;&gt;"",B2195&gt;='Uang Riba'!$H$30,B2195&lt;='Uang Riba'!$I$30,OR(H2195="Dana riba",H2195="Pinjam uang riba",I2195="Pinjam dari uang riba",I2195="Ganti uang riba",I2195="Kelebihan ganti dikembalikan",AND(C2195="Kantong Uang Riba",G2195="Pengeluaran"))),1,0)</f>
        <v/>
      </c>
      <c r="X2195" s="93">
        <f>IF(AND(B2195&lt;&gt;"",B2195&gt;='Buku Akun'!$H$4,B2195&lt;='Buku Akun'!$H$5,OR(C2195='Buku Akun'!$C$4,AND(D2195="Pindah",E2195='Buku Akun'!$C$4))),B2195+IF(AND(I2195="Selisih bunga",DAY(B2195)=1),0,0.01)+ROW()/10000000,"")</f>
        <v/>
      </c>
    </row>
    <row r="2196" outlineLevel="1" ht="15" customHeight="1" s="94">
      <c r="A2196" s="123">
        <f>IF(B2196="","",ROW()-15)</f>
        <v/>
      </c>
      <c r="B2196" s="124" t="n"/>
      <c r="C2196" s="123" t="n"/>
      <c r="D2196" s="123" t="n"/>
      <c r="E2196" s="123" t="n"/>
      <c r="F2196" s="125" t="n"/>
      <c r="G2196" s="123" t="n"/>
      <c r="H2196" s="123" t="n"/>
      <c r="I2196" s="123" t="n"/>
      <c r="J2196" s="123" t="n"/>
      <c r="K2196" s="123" t="n"/>
      <c r="L2196" s="123" t="n"/>
      <c r="M2196" s="123">
        <f>IF(AND(B2196&lt;&gt;"",OR($C$4="",ISNUMBER(SEARCH($C$4,C2196&amp;" "&amp;E2196&amp;" "&amp;G2196&amp;" "&amp;H2196&amp;" "&amp;I2196&amp;" "&amp;J2196&amp;" "&amp;K2196&amp;" "&amp;L2196))),OR($C$5="Semua",$C$5="",G2196=$C$5),OR($C$6="Semua",$C$6="",H2196=$C$6,H2196="Pengeluaran "&amp;$C$6,AND($C$6="Uang Kos Mama",H2196="Pengeluaran Uang Kos")),OR($C$7="Semua",$C$7="",I2196=$C$7),OR($C$8="Semua",$C$8="",C2196=$C$8,E2196=$C$8),OR($C$9="Semua",$C$9="",D2196=$C$9),OR($C$10="",B2196&gt;=$C$10),OR($C$11="",B2196&lt;=$C$11),OR($C$12&lt;&gt;"Ya",K2196&lt;&gt;""),OR($C$13="Semua",$C$13="",L2196=$C$13)),"✓","")</f>
        <v/>
      </c>
      <c r="N2196" s="93">
        <f>N(N2195)+IF(M2196="✓",1,0)</f>
        <v/>
      </c>
      <c r="O2196" s="93">
        <f>N(O2195)+IF(AND(B2196&lt;&gt;"",B2196&gt;='Uang Riba'!$H$30,B2196&lt;='Uang Riba'!$I$30,OR(H2196="Dana riba",H2196="Pinjam uang riba",I2196="Pinjam dari uang riba",I2196="Ganti uang riba",I2196="Kelebihan ganti dikembalikan",AND(C2196="Kantong Uang Riba",G2196="Pengeluaran"))),1,0)</f>
        <v/>
      </c>
      <c r="X2196" s="93">
        <f>IF(AND(B2196&lt;&gt;"",B2196&gt;='Buku Akun'!$H$4,B2196&lt;='Buku Akun'!$H$5,OR(C2196='Buku Akun'!$C$4,AND(D2196="Pindah",E2196='Buku Akun'!$C$4))),B2196+IF(AND(I2196="Selisih bunga",DAY(B2196)=1),0,0.01)+ROW()/10000000,"")</f>
        <v/>
      </c>
    </row>
    <row r="2197" outlineLevel="1" ht="15" customHeight="1" s="94">
      <c r="A2197" s="123">
        <f>IF(B2197="","",ROW()-15)</f>
        <v/>
      </c>
      <c r="B2197" s="124" t="n"/>
      <c r="C2197" s="123" t="n"/>
      <c r="D2197" s="123" t="n"/>
      <c r="E2197" s="123" t="n"/>
      <c r="F2197" s="125" t="n"/>
      <c r="G2197" s="123" t="n"/>
      <c r="H2197" s="123" t="n"/>
      <c r="I2197" s="123" t="n"/>
      <c r="J2197" s="123" t="n"/>
      <c r="K2197" s="123" t="n"/>
      <c r="L2197" s="123" t="n"/>
      <c r="M2197" s="123">
        <f>IF(AND(B2197&lt;&gt;"",OR($C$4="",ISNUMBER(SEARCH($C$4,C2197&amp;" "&amp;E2197&amp;" "&amp;G2197&amp;" "&amp;H2197&amp;" "&amp;I2197&amp;" "&amp;J2197&amp;" "&amp;K2197&amp;" "&amp;L2197))),OR($C$5="Semua",$C$5="",G2197=$C$5),OR($C$6="Semua",$C$6="",H2197=$C$6,H2197="Pengeluaran "&amp;$C$6,AND($C$6="Uang Kos Mama",H2197="Pengeluaran Uang Kos")),OR($C$7="Semua",$C$7="",I2197=$C$7),OR($C$8="Semua",$C$8="",C2197=$C$8,E2197=$C$8),OR($C$9="Semua",$C$9="",D2197=$C$9),OR($C$10="",B2197&gt;=$C$10),OR($C$11="",B2197&lt;=$C$11),OR($C$12&lt;&gt;"Ya",K2197&lt;&gt;""),OR($C$13="Semua",$C$13="",L2197=$C$13)),"✓","")</f>
        <v/>
      </c>
      <c r="N2197" s="93">
        <f>N(N2196)+IF(M2197="✓",1,0)</f>
        <v/>
      </c>
      <c r="O2197" s="93">
        <f>N(O2196)+IF(AND(B2197&lt;&gt;"",B2197&gt;='Uang Riba'!$H$30,B2197&lt;='Uang Riba'!$I$30,OR(H2197="Dana riba",H2197="Pinjam uang riba",I2197="Pinjam dari uang riba",I2197="Ganti uang riba",I2197="Kelebihan ganti dikembalikan",AND(C2197="Kantong Uang Riba",G2197="Pengeluaran"))),1,0)</f>
        <v/>
      </c>
      <c r="X2197" s="93">
        <f>IF(AND(B2197&lt;&gt;"",B2197&gt;='Buku Akun'!$H$4,B2197&lt;='Buku Akun'!$H$5,OR(C2197='Buku Akun'!$C$4,AND(D2197="Pindah",E2197='Buku Akun'!$C$4))),B2197+IF(AND(I2197="Selisih bunga",DAY(B2197)=1),0,0.01)+ROW()/10000000,"")</f>
        <v/>
      </c>
    </row>
    <row r="2198" outlineLevel="1" ht="15" customHeight="1" s="94">
      <c r="A2198" s="123">
        <f>IF(B2198="","",ROW()-15)</f>
        <v/>
      </c>
      <c r="B2198" s="124" t="n"/>
      <c r="C2198" s="123" t="n"/>
      <c r="D2198" s="123" t="n"/>
      <c r="E2198" s="123" t="n"/>
      <c r="F2198" s="125" t="n"/>
      <c r="G2198" s="123" t="n"/>
      <c r="H2198" s="123" t="n"/>
      <c r="I2198" s="123" t="n"/>
      <c r="J2198" s="123" t="n"/>
      <c r="K2198" s="123" t="n"/>
      <c r="L2198" s="123" t="n"/>
      <c r="M2198" s="123">
        <f>IF(AND(B2198&lt;&gt;"",OR($C$4="",ISNUMBER(SEARCH($C$4,C2198&amp;" "&amp;E2198&amp;" "&amp;G2198&amp;" "&amp;H2198&amp;" "&amp;I2198&amp;" "&amp;J2198&amp;" "&amp;K2198&amp;" "&amp;L2198))),OR($C$5="Semua",$C$5="",G2198=$C$5),OR($C$6="Semua",$C$6="",H2198=$C$6,H2198="Pengeluaran "&amp;$C$6,AND($C$6="Uang Kos Mama",H2198="Pengeluaran Uang Kos")),OR($C$7="Semua",$C$7="",I2198=$C$7),OR($C$8="Semua",$C$8="",C2198=$C$8,E2198=$C$8),OR($C$9="Semua",$C$9="",D2198=$C$9),OR($C$10="",B2198&gt;=$C$10),OR($C$11="",B2198&lt;=$C$11),OR($C$12&lt;&gt;"Ya",K2198&lt;&gt;""),OR($C$13="Semua",$C$13="",L2198=$C$13)),"✓","")</f>
        <v/>
      </c>
      <c r="N2198" s="93">
        <f>N(N2197)+IF(M2198="✓",1,0)</f>
        <v/>
      </c>
      <c r="O2198" s="93">
        <f>N(O2197)+IF(AND(B2198&lt;&gt;"",B2198&gt;='Uang Riba'!$H$30,B2198&lt;='Uang Riba'!$I$30,OR(H2198="Dana riba",H2198="Pinjam uang riba",I2198="Pinjam dari uang riba",I2198="Ganti uang riba",I2198="Kelebihan ganti dikembalikan",AND(C2198="Kantong Uang Riba",G2198="Pengeluaran"))),1,0)</f>
        <v/>
      </c>
      <c r="X2198" s="93">
        <f>IF(AND(B2198&lt;&gt;"",B2198&gt;='Buku Akun'!$H$4,B2198&lt;='Buku Akun'!$H$5,OR(C2198='Buku Akun'!$C$4,AND(D2198="Pindah",E2198='Buku Akun'!$C$4))),B2198+IF(AND(I2198="Selisih bunga",DAY(B2198)=1),0,0.01)+ROW()/10000000,"")</f>
        <v/>
      </c>
    </row>
    <row r="2199" outlineLevel="1" ht="15" customHeight="1" s="94">
      <c r="A2199" s="123">
        <f>IF(B2199="","",ROW()-15)</f>
        <v/>
      </c>
      <c r="B2199" s="124" t="n"/>
      <c r="C2199" s="123" t="n"/>
      <c r="D2199" s="123" t="n"/>
      <c r="E2199" s="123" t="n"/>
      <c r="F2199" s="125" t="n"/>
      <c r="G2199" s="123" t="n"/>
      <c r="H2199" s="123" t="n"/>
      <c r="I2199" s="123" t="n"/>
      <c r="J2199" s="123" t="n"/>
      <c r="K2199" s="123" t="n"/>
      <c r="L2199" s="123" t="n"/>
      <c r="M2199" s="123">
        <f>IF(AND(B2199&lt;&gt;"",OR($C$4="",ISNUMBER(SEARCH($C$4,C2199&amp;" "&amp;E2199&amp;" "&amp;G2199&amp;" "&amp;H2199&amp;" "&amp;I2199&amp;" "&amp;J2199&amp;" "&amp;K2199&amp;" "&amp;L2199))),OR($C$5="Semua",$C$5="",G2199=$C$5),OR($C$6="Semua",$C$6="",H2199=$C$6,H2199="Pengeluaran "&amp;$C$6,AND($C$6="Uang Kos Mama",H2199="Pengeluaran Uang Kos")),OR($C$7="Semua",$C$7="",I2199=$C$7),OR($C$8="Semua",$C$8="",C2199=$C$8,E2199=$C$8),OR($C$9="Semua",$C$9="",D2199=$C$9),OR($C$10="",B2199&gt;=$C$10),OR($C$11="",B2199&lt;=$C$11),OR($C$12&lt;&gt;"Ya",K2199&lt;&gt;""),OR($C$13="Semua",$C$13="",L2199=$C$13)),"✓","")</f>
        <v/>
      </c>
      <c r="N2199" s="93">
        <f>N(N2198)+IF(M2199="✓",1,0)</f>
        <v/>
      </c>
      <c r="O2199" s="93">
        <f>N(O2198)+IF(AND(B2199&lt;&gt;"",B2199&gt;='Uang Riba'!$H$30,B2199&lt;='Uang Riba'!$I$30,OR(H2199="Dana riba",H2199="Pinjam uang riba",I2199="Pinjam dari uang riba",I2199="Ganti uang riba",I2199="Kelebihan ganti dikembalikan",AND(C2199="Kantong Uang Riba",G2199="Pengeluaran"))),1,0)</f>
        <v/>
      </c>
      <c r="X2199" s="93">
        <f>IF(AND(B2199&lt;&gt;"",B2199&gt;='Buku Akun'!$H$4,B2199&lt;='Buku Akun'!$H$5,OR(C2199='Buku Akun'!$C$4,AND(D2199="Pindah",E2199='Buku Akun'!$C$4))),B2199+IF(AND(I2199="Selisih bunga",DAY(B2199)=1),0,0.01)+ROW()/10000000,"")</f>
        <v/>
      </c>
    </row>
    <row r="2200" outlineLevel="1" ht="15" customHeight="1" s="94">
      <c r="A2200" s="123">
        <f>IF(B2200="","",ROW()-15)</f>
        <v/>
      </c>
      <c r="B2200" s="124" t="n"/>
      <c r="C2200" s="123" t="n"/>
      <c r="D2200" s="123" t="n"/>
      <c r="E2200" s="123" t="n"/>
      <c r="F2200" s="125" t="n"/>
      <c r="G2200" s="123" t="n"/>
      <c r="H2200" s="123" t="n"/>
      <c r="I2200" s="123" t="n"/>
      <c r="J2200" s="123" t="n"/>
      <c r="K2200" s="123" t="n"/>
      <c r="L2200" s="123" t="n"/>
      <c r="M2200" s="123">
        <f>IF(AND(B2200&lt;&gt;"",OR($C$4="",ISNUMBER(SEARCH($C$4,C2200&amp;" "&amp;E2200&amp;" "&amp;G2200&amp;" "&amp;H2200&amp;" "&amp;I2200&amp;" "&amp;J2200&amp;" "&amp;K2200&amp;" "&amp;L2200))),OR($C$5="Semua",$C$5="",G2200=$C$5),OR($C$6="Semua",$C$6="",H2200=$C$6,H2200="Pengeluaran "&amp;$C$6,AND($C$6="Uang Kos Mama",H2200="Pengeluaran Uang Kos")),OR($C$7="Semua",$C$7="",I2200=$C$7),OR($C$8="Semua",$C$8="",C2200=$C$8,E2200=$C$8),OR($C$9="Semua",$C$9="",D2200=$C$9),OR($C$10="",B2200&gt;=$C$10),OR($C$11="",B2200&lt;=$C$11),OR($C$12&lt;&gt;"Ya",K2200&lt;&gt;""),OR($C$13="Semua",$C$13="",L2200=$C$13)),"✓","")</f>
        <v/>
      </c>
      <c r="N2200" s="93">
        <f>N(N2199)+IF(M2200="✓",1,0)</f>
        <v/>
      </c>
      <c r="O2200" s="93">
        <f>N(O2199)+IF(AND(B2200&lt;&gt;"",B2200&gt;='Uang Riba'!$H$30,B2200&lt;='Uang Riba'!$I$30,OR(H2200="Dana riba",H2200="Pinjam uang riba",I2200="Pinjam dari uang riba",I2200="Ganti uang riba",I2200="Kelebihan ganti dikembalikan",AND(C2200="Kantong Uang Riba",G2200="Pengeluaran"))),1,0)</f>
        <v/>
      </c>
      <c r="X2200" s="93">
        <f>IF(AND(B2200&lt;&gt;"",B2200&gt;='Buku Akun'!$H$4,B2200&lt;='Buku Akun'!$H$5,OR(C2200='Buku Akun'!$C$4,AND(D2200="Pindah",E2200='Buku Akun'!$C$4))),B2200+IF(AND(I2200="Selisih bunga",DAY(B2200)=1),0,0.01)+ROW()/10000000,"")</f>
        <v/>
      </c>
    </row>
    <row r="2201" outlineLevel="1" ht="15" customHeight="1" s="94">
      <c r="A2201" s="123">
        <f>IF(B2201="","",ROW()-15)</f>
        <v/>
      </c>
      <c r="B2201" s="124" t="n"/>
      <c r="C2201" s="123" t="n"/>
      <c r="D2201" s="123" t="n"/>
      <c r="E2201" s="123" t="n"/>
      <c r="F2201" s="125" t="n"/>
      <c r="G2201" s="123" t="n"/>
      <c r="H2201" s="123" t="n"/>
      <c r="I2201" s="123" t="n"/>
      <c r="J2201" s="123" t="n"/>
      <c r="K2201" s="123" t="n"/>
      <c r="L2201" s="123" t="n"/>
      <c r="M2201" s="123">
        <f>IF(AND(B2201&lt;&gt;"",OR($C$4="",ISNUMBER(SEARCH($C$4,C2201&amp;" "&amp;E2201&amp;" "&amp;G2201&amp;" "&amp;H2201&amp;" "&amp;I2201&amp;" "&amp;J2201&amp;" "&amp;K2201&amp;" "&amp;L2201))),OR($C$5="Semua",$C$5="",G2201=$C$5),OR($C$6="Semua",$C$6="",H2201=$C$6,H2201="Pengeluaran "&amp;$C$6,AND($C$6="Uang Kos Mama",H2201="Pengeluaran Uang Kos")),OR($C$7="Semua",$C$7="",I2201=$C$7),OR($C$8="Semua",$C$8="",C2201=$C$8,E2201=$C$8),OR($C$9="Semua",$C$9="",D2201=$C$9),OR($C$10="",B2201&gt;=$C$10),OR($C$11="",B2201&lt;=$C$11),OR($C$12&lt;&gt;"Ya",K2201&lt;&gt;""),OR($C$13="Semua",$C$13="",L2201=$C$13)),"✓","")</f>
        <v/>
      </c>
      <c r="N2201" s="93">
        <f>N(N2200)+IF(M2201="✓",1,0)</f>
        <v/>
      </c>
      <c r="O2201" s="93">
        <f>N(O2200)+IF(AND(B2201&lt;&gt;"",B2201&gt;='Uang Riba'!$H$30,B2201&lt;='Uang Riba'!$I$30,OR(H2201="Dana riba",H2201="Pinjam uang riba",I2201="Pinjam dari uang riba",I2201="Ganti uang riba",I2201="Kelebihan ganti dikembalikan",AND(C2201="Kantong Uang Riba",G2201="Pengeluaran"))),1,0)</f>
        <v/>
      </c>
      <c r="X2201" s="93">
        <f>IF(AND(B2201&lt;&gt;"",B2201&gt;='Buku Akun'!$H$4,B2201&lt;='Buku Akun'!$H$5,OR(C2201='Buku Akun'!$C$4,AND(D2201="Pindah",E2201='Buku Akun'!$C$4))),B2201+IF(AND(I2201="Selisih bunga",DAY(B2201)=1),0,0.01)+ROW()/10000000,"")</f>
        <v/>
      </c>
    </row>
    <row r="2202" outlineLevel="1" ht="15" customHeight="1" s="94">
      <c r="A2202" s="123">
        <f>IF(B2202="","",ROW()-15)</f>
        <v/>
      </c>
      <c r="B2202" s="124" t="n"/>
      <c r="C2202" s="123" t="n"/>
      <c r="D2202" s="123" t="n"/>
      <c r="E2202" s="123" t="n"/>
      <c r="F2202" s="125" t="n"/>
      <c r="G2202" s="123" t="n"/>
      <c r="H2202" s="123" t="n"/>
      <c r="I2202" s="123" t="n"/>
      <c r="J2202" s="123" t="n"/>
      <c r="K2202" s="123" t="n"/>
      <c r="L2202" s="123" t="n"/>
      <c r="M2202" s="123">
        <f>IF(AND(B2202&lt;&gt;"",OR($C$4="",ISNUMBER(SEARCH($C$4,C2202&amp;" "&amp;E2202&amp;" "&amp;G2202&amp;" "&amp;H2202&amp;" "&amp;I2202&amp;" "&amp;J2202&amp;" "&amp;K2202&amp;" "&amp;L2202))),OR($C$5="Semua",$C$5="",G2202=$C$5),OR($C$6="Semua",$C$6="",H2202=$C$6,H2202="Pengeluaran "&amp;$C$6,AND($C$6="Uang Kos Mama",H2202="Pengeluaran Uang Kos")),OR($C$7="Semua",$C$7="",I2202=$C$7),OR($C$8="Semua",$C$8="",C2202=$C$8,E2202=$C$8),OR($C$9="Semua",$C$9="",D2202=$C$9),OR($C$10="",B2202&gt;=$C$10),OR($C$11="",B2202&lt;=$C$11),OR($C$12&lt;&gt;"Ya",K2202&lt;&gt;""),OR($C$13="Semua",$C$13="",L2202=$C$13)),"✓","")</f>
        <v/>
      </c>
      <c r="N2202" s="93">
        <f>N(N2201)+IF(M2202="✓",1,0)</f>
        <v/>
      </c>
      <c r="O2202" s="93">
        <f>N(O2201)+IF(AND(B2202&lt;&gt;"",B2202&gt;='Uang Riba'!$H$30,B2202&lt;='Uang Riba'!$I$30,OR(H2202="Dana riba",H2202="Pinjam uang riba",I2202="Pinjam dari uang riba",I2202="Ganti uang riba",I2202="Kelebihan ganti dikembalikan",AND(C2202="Kantong Uang Riba",G2202="Pengeluaran"))),1,0)</f>
        <v/>
      </c>
      <c r="X2202" s="93">
        <f>IF(AND(B2202&lt;&gt;"",B2202&gt;='Buku Akun'!$H$4,B2202&lt;='Buku Akun'!$H$5,OR(C2202='Buku Akun'!$C$4,AND(D2202="Pindah",E2202='Buku Akun'!$C$4))),B2202+IF(AND(I2202="Selisih bunga",DAY(B2202)=1),0,0.01)+ROW()/10000000,"")</f>
        <v/>
      </c>
    </row>
    <row r="2203" outlineLevel="1" ht="15" customHeight="1" s="94">
      <c r="A2203" s="123">
        <f>IF(B2203="","",ROW()-15)</f>
        <v/>
      </c>
      <c r="B2203" s="124" t="n"/>
      <c r="C2203" s="123" t="n"/>
      <c r="D2203" s="123" t="n"/>
      <c r="E2203" s="123" t="n"/>
      <c r="F2203" s="125" t="n"/>
      <c r="G2203" s="123" t="n"/>
      <c r="H2203" s="123" t="n"/>
      <c r="I2203" s="123" t="n"/>
      <c r="J2203" s="123" t="n"/>
      <c r="K2203" s="123" t="n"/>
      <c r="L2203" s="123" t="n"/>
      <c r="M2203" s="123">
        <f>IF(AND(B2203&lt;&gt;"",OR($C$4="",ISNUMBER(SEARCH($C$4,C2203&amp;" "&amp;E2203&amp;" "&amp;G2203&amp;" "&amp;H2203&amp;" "&amp;I2203&amp;" "&amp;J2203&amp;" "&amp;K2203&amp;" "&amp;L2203))),OR($C$5="Semua",$C$5="",G2203=$C$5),OR($C$6="Semua",$C$6="",H2203=$C$6,H2203="Pengeluaran "&amp;$C$6,AND($C$6="Uang Kos Mama",H2203="Pengeluaran Uang Kos")),OR($C$7="Semua",$C$7="",I2203=$C$7),OR($C$8="Semua",$C$8="",C2203=$C$8,E2203=$C$8),OR($C$9="Semua",$C$9="",D2203=$C$9),OR($C$10="",B2203&gt;=$C$10),OR($C$11="",B2203&lt;=$C$11),OR($C$12&lt;&gt;"Ya",K2203&lt;&gt;""),OR($C$13="Semua",$C$13="",L2203=$C$13)),"✓","")</f>
        <v/>
      </c>
      <c r="N2203" s="93">
        <f>N(N2202)+IF(M2203="✓",1,0)</f>
        <v/>
      </c>
      <c r="O2203" s="93">
        <f>N(O2202)+IF(AND(B2203&lt;&gt;"",B2203&gt;='Uang Riba'!$H$30,B2203&lt;='Uang Riba'!$I$30,OR(H2203="Dana riba",H2203="Pinjam uang riba",I2203="Pinjam dari uang riba",I2203="Ganti uang riba",I2203="Kelebihan ganti dikembalikan",AND(C2203="Kantong Uang Riba",G2203="Pengeluaran"))),1,0)</f>
        <v/>
      </c>
      <c r="X2203" s="93">
        <f>IF(AND(B2203&lt;&gt;"",B2203&gt;='Buku Akun'!$H$4,B2203&lt;='Buku Akun'!$H$5,OR(C2203='Buku Akun'!$C$4,AND(D2203="Pindah",E2203='Buku Akun'!$C$4))),B2203+IF(AND(I2203="Selisih bunga",DAY(B2203)=1),0,0.01)+ROW()/10000000,"")</f>
        <v/>
      </c>
    </row>
    <row r="2204" outlineLevel="1" ht="15" customHeight="1" s="94">
      <c r="A2204" s="123">
        <f>IF(B2204="","",ROW()-15)</f>
        <v/>
      </c>
      <c r="B2204" s="124" t="n"/>
      <c r="C2204" s="123" t="n"/>
      <c r="D2204" s="123" t="n"/>
      <c r="E2204" s="123" t="n"/>
      <c r="F2204" s="125" t="n"/>
      <c r="G2204" s="123" t="n"/>
      <c r="H2204" s="123" t="n"/>
      <c r="I2204" s="123" t="n"/>
      <c r="J2204" s="123" t="n"/>
      <c r="K2204" s="123" t="n"/>
      <c r="L2204" s="123" t="n"/>
      <c r="M2204" s="123">
        <f>IF(AND(B2204&lt;&gt;"",OR($C$4="",ISNUMBER(SEARCH($C$4,C2204&amp;" "&amp;E2204&amp;" "&amp;G2204&amp;" "&amp;H2204&amp;" "&amp;I2204&amp;" "&amp;J2204&amp;" "&amp;K2204&amp;" "&amp;L2204))),OR($C$5="Semua",$C$5="",G2204=$C$5),OR($C$6="Semua",$C$6="",H2204=$C$6,H2204="Pengeluaran "&amp;$C$6,AND($C$6="Uang Kos Mama",H2204="Pengeluaran Uang Kos")),OR($C$7="Semua",$C$7="",I2204=$C$7),OR($C$8="Semua",$C$8="",C2204=$C$8,E2204=$C$8),OR($C$9="Semua",$C$9="",D2204=$C$9),OR($C$10="",B2204&gt;=$C$10),OR($C$11="",B2204&lt;=$C$11),OR($C$12&lt;&gt;"Ya",K2204&lt;&gt;""),OR($C$13="Semua",$C$13="",L2204=$C$13)),"✓","")</f>
        <v/>
      </c>
      <c r="N2204" s="93">
        <f>N(N2203)+IF(M2204="✓",1,0)</f>
        <v/>
      </c>
      <c r="O2204" s="93">
        <f>N(O2203)+IF(AND(B2204&lt;&gt;"",B2204&gt;='Uang Riba'!$H$30,B2204&lt;='Uang Riba'!$I$30,OR(H2204="Dana riba",H2204="Pinjam uang riba",I2204="Pinjam dari uang riba",I2204="Ganti uang riba",I2204="Kelebihan ganti dikembalikan",AND(C2204="Kantong Uang Riba",G2204="Pengeluaran"))),1,0)</f>
        <v/>
      </c>
      <c r="X2204" s="93">
        <f>IF(AND(B2204&lt;&gt;"",B2204&gt;='Buku Akun'!$H$4,B2204&lt;='Buku Akun'!$H$5,OR(C2204='Buku Akun'!$C$4,AND(D2204="Pindah",E2204='Buku Akun'!$C$4))),B2204+IF(AND(I2204="Selisih bunga",DAY(B2204)=1),0,0.01)+ROW()/10000000,"")</f>
        <v/>
      </c>
    </row>
    <row r="2205" outlineLevel="1" ht="15" customHeight="1" s="94">
      <c r="A2205" s="123">
        <f>IF(B2205="","",ROW()-15)</f>
        <v/>
      </c>
      <c r="B2205" s="124" t="n"/>
      <c r="C2205" s="123" t="n"/>
      <c r="D2205" s="123" t="n"/>
      <c r="E2205" s="123" t="n"/>
      <c r="F2205" s="125" t="n"/>
      <c r="G2205" s="123" t="n"/>
      <c r="H2205" s="123" t="n"/>
      <c r="I2205" s="123" t="n"/>
      <c r="J2205" s="123" t="n"/>
      <c r="K2205" s="123" t="n"/>
      <c r="L2205" s="123" t="n"/>
      <c r="M2205" s="123">
        <f>IF(AND(B2205&lt;&gt;"",OR($C$4="",ISNUMBER(SEARCH($C$4,C2205&amp;" "&amp;E2205&amp;" "&amp;G2205&amp;" "&amp;H2205&amp;" "&amp;I2205&amp;" "&amp;J2205&amp;" "&amp;K2205&amp;" "&amp;L2205))),OR($C$5="Semua",$C$5="",G2205=$C$5),OR($C$6="Semua",$C$6="",H2205=$C$6,H2205="Pengeluaran "&amp;$C$6,AND($C$6="Uang Kos Mama",H2205="Pengeluaran Uang Kos")),OR($C$7="Semua",$C$7="",I2205=$C$7),OR($C$8="Semua",$C$8="",C2205=$C$8,E2205=$C$8),OR($C$9="Semua",$C$9="",D2205=$C$9),OR($C$10="",B2205&gt;=$C$10),OR($C$11="",B2205&lt;=$C$11),OR($C$12&lt;&gt;"Ya",K2205&lt;&gt;""),OR($C$13="Semua",$C$13="",L2205=$C$13)),"✓","")</f>
        <v/>
      </c>
      <c r="N2205" s="93">
        <f>N(N2204)+IF(M2205="✓",1,0)</f>
        <v/>
      </c>
      <c r="O2205" s="93">
        <f>N(O2204)+IF(AND(B2205&lt;&gt;"",B2205&gt;='Uang Riba'!$H$30,B2205&lt;='Uang Riba'!$I$30,OR(H2205="Dana riba",H2205="Pinjam uang riba",I2205="Pinjam dari uang riba",I2205="Ganti uang riba",I2205="Kelebihan ganti dikembalikan",AND(C2205="Kantong Uang Riba",G2205="Pengeluaran"))),1,0)</f>
        <v/>
      </c>
      <c r="X2205" s="93">
        <f>IF(AND(B2205&lt;&gt;"",B2205&gt;='Buku Akun'!$H$4,B2205&lt;='Buku Akun'!$H$5,OR(C2205='Buku Akun'!$C$4,AND(D2205="Pindah",E2205='Buku Akun'!$C$4))),B2205+IF(AND(I2205="Selisih bunga",DAY(B2205)=1),0,0.01)+ROW()/10000000,"")</f>
        <v/>
      </c>
    </row>
    <row r="2206" outlineLevel="1" ht="15" customHeight="1" s="94">
      <c r="A2206" s="123">
        <f>IF(B2206="","",ROW()-15)</f>
        <v/>
      </c>
      <c r="B2206" s="124" t="n"/>
      <c r="C2206" s="123" t="n"/>
      <c r="D2206" s="123" t="n"/>
      <c r="E2206" s="123" t="n"/>
      <c r="F2206" s="125" t="n"/>
      <c r="G2206" s="123" t="n"/>
      <c r="H2206" s="123" t="n"/>
      <c r="I2206" s="123" t="n"/>
      <c r="J2206" s="123" t="n"/>
      <c r="K2206" s="123" t="n"/>
      <c r="L2206" s="123" t="n"/>
      <c r="M2206" s="123">
        <f>IF(AND(B2206&lt;&gt;"",OR($C$4="",ISNUMBER(SEARCH($C$4,C2206&amp;" "&amp;E2206&amp;" "&amp;G2206&amp;" "&amp;H2206&amp;" "&amp;I2206&amp;" "&amp;J2206&amp;" "&amp;K2206&amp;" "&amp;L2206))),OR($C$5="Semua",$C$5="",G2206=$C$5),OR($C$6="Semua",$C$6="",H2206=$C$6,H2206="Pengeluaran "&amp;$C$6,AND($C$6="Uang Kos Mama",H2206="Pengeluaran Uang Kos")),OR($C$7="Semua",$C$7="",I2206=$C$7),OR($C$8="Semua",$C$8="",C2206=$C$8,E2206=$C$8),OR($C$9="Semua",$C$9="",D2206=$C$9),OR($C$10="",B2206&gt;=$C$10),OR($C$11="",B2206&lt;=$C$11),OR($C$12&lt;&gt;"Ya",K2206&lt;&gt;""),OR($C$13="Semua",$C$13="",L2206=$C$13)),"✓","")</f>
        <v/>
      </c>
      <c r="N2206" s="93">
        <f>N(N2205)+IF(M2206="✓",1,0)</f>
        <v/>
      </c>
      <c r="O2206" s="93">
        <f>N(O2205)+IF(AND(B2206&lt;&gt;"",B2206&gt;='Uang Riba'!$H$30,B2206&lt;='Uang Riba'!$I$30,OR(H2206="Dana riba",H2206="Pinjam uang riba",I2206="Pinjam dari uang riba",I2206="Ganti uang riba",I2206="Kelebihan ganti dikembalikan",AND(C2206="Kantong Uang Riba",G2206="Pengeluaran"))),1,0)</f>
        <v/>
      </c>
      <c r="X2206" s="93">
        <f>IF(AND(B2206&lt;&gt;"",B2206&gt;='Buku Akun'!$H$4,B2206&lt;='Buku Akun'!$H$5,OR(C2206='Buku Akun'!$C$4,AND(D2206="Pindah",E2206='Buku Akun'!$C$4))),B2206+IF(AND(I2206="Selisih bunga",DAY(B2206)=1),0,0.01)+ROW()/10000000,"")</f>
        <v/>
      </c>
    </row>
    <row r="2207" outlineLevel="1" ht="15" customHeight="1" s="94">
      <c r="A2207" s="123">
        <f>IF(B2207="","",ROW()-15)</f>
        <v/>
      </c>
      <c r="B2207" s="124" t="n"/>
      <c r="C2207" s="123" t="n"/>
      <c r="D2207" s="123" t="n"/>
      <c r="E2207" s="123" t="n"/>
      <c r="F2207" s="125" t="n"/>
      <c r="G2207" s="123" t="n"/>
      <c r="H2207" s="123" t="n"/>
      <c r="I2207" s="123" t="n"/>
      <c r="J2207" s="123" t="n"/>
      <c r="K2207" s="123" t="n"/>
      <c r="L2207" s="123" t="n"/>
      <c r="M2207" s="123">
        <f>IF(AND(B2207&lt;&gt;"",OR($C$4="",ISNUMBER(SEARCH($C$4,C2207&amp;" "&amp;E2207&amp;" "&amp;G2207&amp;" "&amp;H2207&amp;" "&amp;I2207&amp;" "&amp;J2207&amp;" "&amp;K2207&amp;" "&amp;L2207))),OR($C$5="Semua",$C$5="",G2207=$C$5),OR($C$6="Semua",$C$6="",H2207=$C$6,H2207="Pengeluaran "&amp;$C$6,AND($C$6="Uang Kos Mama",H2207="Pengeluaran Uang Kos")),OR($C$7="Semua",$C$7="",I2207=$C$7),OR($C$8="Semua",$C$8="",C2207=$C$8,E2207=$C$8),OR($C$9="Semua",$C$9="",D2207=$C$9),OR($C$10="",B2207&gt;=$C$10),OR($C$11="",B2207&lt;=$C$11),OR($C$12&lt;&gt;"Ya",K2207&lt;&gt;""),OR($C$13="Semua",$C$13="",L2207=$C$13)),"✓","")</f>
        <v/>
      </c>
      <c r="N2207" s="93">
        <f>N(N2206)+IF(M2207="✓",1,0)</f>
        <v/>
      </c>
      <c r="O2207" s="93">
        <f>N(O2206)+IF(AND(B2207&lt;&gt;"",B2207&gt;='Uang Riba'!$H$30,B2207&lt;='Uang Riba'!$I$30,OR(H2207="Dana riba",H2207="Pinjam uang riba",I2207="Pinjam dari uang riba",I2207="Ganti uang riba",I2207="Kelebihan ganti dikembalikan",AND(C2207="Kantong Uang Riba",G2207="Pengeluaran"))),1,0)</f>
        <v/>
      </c>
      <c r="X2207" s="93">
        <f>IF(AND(B2207&lt;&gt;"",B2207&gt;='Buku Akun'!$H$4,B2207&lt;='Buku Akun'!$H$5,OR(C2207='Buku Akun'!$C$4,AND(D2207="Pindah",E2207='Buku Akun'!$C$4))),B2207+IF(AND(I2207="Selisih bunga",DAY(B2207)=1),0,0.01)+ROW()/10000000,"")</f>
        <v/>
      </c>
    </row>
    <row r="2208" outlineLevel="1" ht="15" customHeight="1" s="94">
      <c r="A2208" s="123">
        <f>IF(B2208="","",ROW()-15)</f>
        <v/>
      </c>
      <c r="B2208" s="124" t="n"/>
      <c r="C2208" s="123" t="n"/>
      <c r="D2208" s="123" t="n"/>
      <c r="E2208" s="123" t="n"/>
      <c r="F2208" s="125" t="n"/>
      <c r="G2208" s="123" t="n"/>
      <c r="H2208" s="123" t="n"/>
      <c r="I2208" s="123" t="n"/>
      <c r="J2208" s="123" t="n"/>
      <c r="K2208" s="123" t="n"/>
      <c r="L2208" s="123" t="n"/>
      <c r="M2208" s="123">
        <f>IF(AND(B2208&lt;&gt;"",OR($C$4="",ISNUMBER(SEARCH($C$4,C2208&amp;" "&amp;E2208&amp;" "&amp;G2208&amp;" "&amp;H2208&amp;" "&amp;I2208&amp;" "&amp;J2208&amp;" "&amp;K2208&amp;" "&amp;L2208))),OR($C$5="Semua",$C$5="",G2208=$C$5),OR($C$6="Semua",$C$6="",H2208=$C$6,H2208="Pengeluaran "&amp;$C$6,AND($C$6="Uang Kos Mama",H2208="Pengeluaran Uang Kos")),OR($C$7="Semua",$C$7="",I2208=$C$7),OR($C$8="Semua",$C$8="",C2208=$C$8,E2208=$C$8),OR($C$9="Semua",$C$9="",D2208=$C$9),OR($C$10="",B2208&gt;=$C$10),OR($C$11="",B2208&lt;=$C$11),OR($C$12&lt;&gt;"Ya",K2208&lt;&gt;""),OR($C$13="Semua",$C$13="",L2208=$C$13)),"✓","")</f>
        <v/>
      </c>
      <c r="N2208" s="93">
        <f>N(N2207)+IF(M2208="✓",1,0)</f>
        <v/>
      </c>
      <c r="O2208" s="93">
        <f>N(O2207)+IF(AND(B2208&lt;&gt;"",B2208&gt;='Uang Riba'!$H$30,B2208&lt;='Uang Riba'!$I$30,OR(H2208="Dana riba",H2208="Pinjam uang riba",I2208="Pinjam dari uang riba",I2208="Ganti uang riba",I2208="Kelebihan ganti dikembalikan",AND(C2208="Kantong Uang Riba",G2208="Pengeluaran"))),1,0)</f>
        <v/>
      </c>
      <c r="X2208" s="93">
        <f>IF(AND(B2208&lt;&gt;"",B2208&gt;='Buku Akun'!$H$4,B2208&lt;='Buku Akun'!$H$5,OR(C2208='Buku Akun'!$C$4,AND(D2208="Pindah",E2208='Buku Akun'!$C$4))),B2208+IF(AND(I2208="Selisih bunga",DAY(B2208)=1),0,0.01)+ROW()/10000000,"")</f>
        <v/>
      </c>
    </row>
    <row r="2209" outlineLevel="1" ht="15" customHeight="1" s="94">
      <c r="A2209" s="123">
        <f>IF(B2209="","",ROW()-15)</f>
        <v/>
      </c>
      <c r="B2209" s="124" t="n"/>
      <c r="C2209" s="123" t="n"/>
      <c r="D2209" s="123" t="n"/>
      <c r="E2209" s="123" t="n"/>
      <c r="F2209" s="125" t="n"/>
      <c r="G2209" s="123" t="n"/>
      <c r="H2209" s="123" t="n"/>
      <c r="I2209" s="123" t="n"/>
      <c r="J2209" s="123" t="n"/>
      <c r="K2209" s="123" t="n"/>
      <c r="L2209" s="123" t="n"/>
      <c r="M2209" s="123">
        <f>IF(AND(B2209&lt;&gt;"",OR($C$4="",ISNUMBER(SEARCH($C$4,C2209&amp;" "&amp;E2209&amp;" "&amp;G2209&amp;" "&amp;H2209&amp;" "&amp;I2209&amp;" "&amp;J2209&amp;" "&amp;K2209&amp;" "&amp;L2209))),OR($C$5="Semua",$C$5="",G2209=$C$5),OR($C$6="Semua",$C$6="",H2209=$C$6,H2209="Pengeluaran "&amp;$C$6,AND($C$6="Uang Kos Mama",H2209="Pengeluaran Uang Kos")),OR($C$7="Semua",$C$7="",I2209=$C$7),OR($C$8="Semua",$C$8="",C2209=$C$8,E2209=$C$8),OR($C$9="Semua",$C$9="",D2209=$C$9),OR($C$10="",B2209&gt;=$C$10),OR($C$11="",B2209&lt;=$C$11),OR($C$12&lt;&gt;"Ya",K2209&lt;&gt;""),OR($C$13="Semua",$C$13="",L2209=$C$13)),"✓","")</f>
        <v/>
      </c>
      <c r="N2209" s="93">
        <f>N(N2208)+IF(M2209="✓",1,0)</f>
        <v/>
      </c>
      <c r="O2209" s="93">
        <f>N(O2208)+IF(AND(B2209&lt;&gt;"",B2209&gt;='Uang Riba'!$H$30,B2209&lt;='Uang Riba'!$I$30,OR(H2209="Dana riba",H2209="Pinjam uang riba",I2209="Pinjam dari uang riba",I2209="Ganti uang riba",I2209="Kelebihan ganti dikembalikan",AND(C2209="Kantong Uang Riba",G2209="Pengeluaran"))),1,0)</f>
        <v/>
      </c>
      <c r="X2209" s="93">
        <f>IF(AND(B2209&lt;&gt;"",B2209&gt;='Buku Akun'!$H$4,B2209&lt;='Buku Akun'!$H$5,OR(C2209='Buku Akun'!$C$4,AND(D2209="Pindah",E2209='Buku Akun'!$C$4))),B2209+IF(AND(I2209="Selisih bunga",DAY(B2209)=1),0,0.01)+ROW()/10000000,"")</f>
        <v/>
      </c>
    </row>
    <row r="2210" outlineLevel="1" ht="15" customHeight="1" s="94">
      <c r="A2210" s="123">
        <f>IF(B2210="","",ROW()-15)</f>
        <v/>
      </c>
      <c r="B2210" s="124" t="n"/>
      <c r="C2210" s="123" t="n"/>
      <c r="D2210" s="123" t="n"/>
      <c r="E2210" s="123" t="n"/>
      <c r="F2210" s="125" t="n"/>
      <c r="G2210" s="123" t="n"/>
      <c r="H2210" s="123" t="n"/>
      <c r="I2210" s="123" t="n"/>
      <c r="J2210" s="123" t="n"/>
      <c r="K2210" s="123" t="n"/>
      <c r="L2210" s="123" t="n"/>
      <c r="M2210" s="123">
        <f>IF(AND(B2210&lt;&gt;"",OR($C$4="",ISNUMBER(SEARCH($C$4,C2210&amp;" "&amp;E2210&amp;" "&amp;G2210&amp;" "&amp;H2210&amp;" "&amp;I2210&amp;" "&amp;J2210&amp;" "&amp;K2210&amp;" "&amp;L2210))),OR($C$5="Semua",$C$5="",G2210=$C$5),OR($C$6="Semua",$C$6="",H2210=$C$6,H2210="Pengeluaran "&amp;$C$6,AND($C$6="Uang Kos Mama",H2210="Pengeluaran Uang Kos")),OR($C$7="Semua",$C$7="",I2210=$C$7),OR($C$8="Semua",$C$8="",C2210=$C$8,E2210=$C$8),OR($C$9="Semua",$C$9="",D2210=$C$9),OR($C$10="",B2210&gt;=$C$10),OR($C$11="",B2210&lt;=$C$11),OR($C$12&lt;&gt;"Ya",K2210&lt;&gt;""),OR($C$13="Semua",$C$13="",L2210=$C$13)),"✓","")</f>
        <v/>
      </c>
      <c r="N2210" s="93">
        <f>N(N2209)+IF(M2210="✓",1,0)</f>
        <v/>
      </c>
      <c r="O2210" s="93">
        <f>N(O2209)+IF(AND(B2210&lt;&gt;"",B2210&gt;='Uang Riba'!$H$30,B2210&lt;='Uang Riba'!$I$30,OR(H2210="Dana riba",H2210="Pinjam uang riba",I2210="Pinjam dari uang riba",I2210="Ganti uang riba",I2210="Kelebihan ganti dikembalikan",AND(C2210="Kantong Uang Riba",G2210="Pengeluaran"))),1,0)</f>
        <v/>
      </c>
      <c r="X2210" s="93">
        <f>IF(AND(B2210&lt;&gt;"",B2210&gt;='Buku Akun'!$H$4,B2210&lt;='Buku Akun'!$H$5,OR(C2210='Buku Akun'!$C$4,AND(D2210="Pindah",E2210='Buku Akun'!$C$4))),B2210+IF(AND(I2210="Selisih bunga",DAY(B2210)=1),0,0.01)+ROW()/10000000,"")</f>
        <v/>
      </c>
    </row>
    <row r="2211" outlineLevel="1" ht="15" customHeight="1" s="94">
      <c r="A2211" s="123">
        <f>IF(B2211="","",ROW()-15)</f>
        <v/>
      </c>
      <c r="B2211" s="124" t="n"/>
      <c r="C2211" s="123" t="n"/>
      <c r="D2211" s="123" t="n"/>
      <c r="E2211" s="123" t="n"/>
      <c r="F2211" s="125" t="n"/>
      <c r="G2211" s="123" t="n"/>
      <c r="H2211" s="123" t="n"/>
      <c r="I2211" s="123" t="n"/>
      <c r="J2211" s="123" t="n"/>
      <c r="K2211" s="123" t="n"/>
      <c r="L2211" s="123" t="n"/>
      <c r="M2211" s="123">
        <f>IF(AND(B2211&lt;&gt;"",OR($C$4="",ISNUMBER(SEARCH($C$4,C2211&amp;" "&amp;E2211&amp;" "&amp;G2211&amp;" "&amp;H2211&amp;" "&amp;I2211&amp;" "&amp;J2211&amp;" "&amp;K2211&amp;" "&amp;L2211))),OR($C$5="Semua",$C$5="",G2211=$C$5),OR($C$6="Semua",$C$6="",H2211=$C$6,H2211="Pengeluaran "&amp;$C$6,AND($C$6="Uang Kos Mama",H2211="Pengeluaran Uang Kos")),OR($C$7="Semua",$C$7="",I2211=$C$7),OR($C$8="Semua",$C$8="",C2211=$C$8,E2211=$C$8),OR($C$9="Semua",$C$9="",D2211=$C$9),OR($C$10="",B2211&gt;=$C$10),OR($C$11="",B2211&lt;=$C$11),OR($C$12&lt;&gt;"Ya",K2211&lt;&gt;""),OR($C$13="Semua",$C$13="",L2211=$C$13)),"✓","")</f>
        <v/>
      </c>
      <c r="N2211" s="93">
        <f>N(N2210)+IF(M2211="✓",1,0)</f>
        <v/>
      </c>
      <c r="O2211" s="93">
        <f>N(O2210)+IF(AND(B2211&lt;&gt;"",B2211&gt;='Uang Riba'!$H$30,B2211&lt;='Uang Riba'!$I$30,OR(H2211="Dana riba",H2211="Pinjam uang riba",I2211="Pinjam dari uang riba",I2211="Ganti uang riba",I2211="Kelebihan ganti dikembalikan",AND(C2211="Kantong Uang Riba",G2211="Pengeluaran"))),1,0)</f>
        <v/>
      </c>
      <c r="X2211" s="93">
        <f>IF(AND(B2211&lt;&gt;"",B2211&gt;='Buku Akun'!$H$4,B2211&lt;='Buku Akun'!$H$5,OR(C2211='Buku Akun'!$C$4,AND(D2211="Pindah",E2211='Buku Akun'!$C$4))),B2211+IF(AND(I2211="Selisih bunga",DAY(B2211)=1),0,0.01)+ROW()/10000000,"")</f>
        <v/>
      </c>
    </row>
    <row r="2212" outlineLevel="1" ht="15" customHeight="1" s="94">
      <c r="A2212" s="123">
        <f>IF(B2212="","",ROW()-15)</f>
        <v/>
      </c>
      <c r="B2212" s="124" t="n"/>
      <c r="C2212" s="123" t="n"/>
      <c r="D2212" s="123" t="n"/>
      <c r="E2212" s="123" t="n"/>
      <c r="F2212" s="125" t="n"/>
      <c r="G2212" s="123" t="n"/>
      <c r="H2212" s="123" t="n"/>
      <c r="I2212" s="123" t="n"/>
      <c r="J2212" s="123" t="n"/>
      <c r="K2212" s="123" t="n"/>
      <c r="L2212" s="123" t="n"/>
      <c r="M2212" s="123">
        <f>IF(AND(B2212&lt;&gt;"",OR($C$4="",ISNUMBER(SEARCH($C$4,C2212&amp;" "&amp;E2212&amp;" "&amp;G2212&amp;" "&amp;H2212&amp;" "&amp;I2212&amp;" "&amp;J2212&amp;" "&amp;K2212&amp;" "&amp;L2212))),OR($C$5="Semua",$C$5="",G2212=$C$5),OR($C$6="Semua",$C$6="",H2212=$C$6,H2212="Pengeluaran "&amp;$C$6,AND($C$6="Uang Kos Mama",H2212="Pengeluaran Uang Kos")),OR($C$7="Semua",$C$7="",I2212=$C$7),OR($C$8="Semua",$C$8="",C2212=$C$8,E2212=$C$8),OR($C$9="Semua",$C$9="",D2212=$C$9),OR($C$10="",B2212&gt;=$C$10),OR($C$11="",B2212&lt;=$C$11),OR($C$12&lt;&gt;"Ya",K2212&lt;&gt;""),OR($C$13="Semua",$C$13="",L2212=$C$13)),"✓","")</f>
        <v/>
      </c>
      <c r="N2212" s="93">
        <f>N(N2211)+IF(M2212="✓",1,0)</f>
        <v/>
      </c>
      <c r="O2212" s="93">
        <f>N(O2211)+IF(AND(B2212&lt;&gt;"",B2212&gt;='Uang Riba'!$H$30,B2212&lt;='Uang Riba'!$I$30,OR(H2212="Dana riba",H2212="Pinjam uang riba",I2212="Pinjam dari uang riba",I2212="Ganti uang riba",I2212="Kelebihan ganti dikembalikan",AND(C2212="Kantong Uang Riba",G2212="Pengeluaran"))),1,0)</f>
        <v/>
      </c>
      <c r="X2212" s="93">
        <f>IF(AND(B2212&lt;&gt;"",B2212&gt;='Buku Akun'!$H$4,B2212&lt;='Buku Akun'!$H$5,OR(C2212='Buku Akun'!$C$4,AND(D2212="Pindah",E2212='Buku Akun'!$C$4))),B2212+IF(AND(I2212="Selisih bunga",DAY(B2212)=1),0,0.01)+ROW()/10000000,"")</f>
        <v/>
      </c>
    </row>
    <row r="2213" outlineLevel="1" ht="15" customHeight="1" s="94">
      <c r="A2213" s="123">
        <f>IF(B2213="","",ROW()-15)</f>
        <v/>
      </c>
      <c r="B2213" s="124" t="n"/>
      <c r="C2213" s="123" t="n"/>
      <c r="D2213" s="123" t="n"/>
      <c r="E2213" s="123" t="n"/>
      <c r="F2213" s="125" t="n"/>
      <c r="G2213" s="123" t="n"/>
      <c r="H2213" s="123" t="n"/>
      <c r="I2213" s="123" t="n"/>
      <c r="J2213" s="123" t="n"/>
      <c r="K2213" s="123" t="n"/>
      <c r="L2213" s="123" t="n"/>
      <c r="M2213" s="123">
        <f>IF(AND(B2213&lt;&gt;"",OR($C$4="",ISNUMBER(SEARCH($C$4,C2213&amp;" "&amp;E2213&amp;" "&amp;G2213&amp;" "&amp;H2213&amp;" "&amp;I2213&amp;" "&amp;J2213&amp;" "&amp;K2213&amp;" "&amp;L2213))),OR($C$5="Semua",$C$5="",G2213=$C$5),OR($C$6="Semua",$C$6="",H2213=$C$6,H2213="Pengeluaran "&amp;$C$6,AND($C$6="Uang Kos Mama",H2213="Pengeluaran Uang Kos")),OR($C$7="Semua",$C$7="",I2213=$C$7),OR($C$8="Semua",$C$8="",C2213=$C$8,E2213=$C$8),OR($C$9="Semua",$C$9="",D2213=$C$9),OR($C$10="",B2213&gt;=$C$10),OR($C$11="",B2213&lt;=$C$11),OR($C$12&lt;&gt;"Ya",K2213&lt;&gt;""),OR($C$13="Semua",$C$13="",L2213=$C$13)),"✓","")</f>
        <v/>
      </c>
      <c r="N2213" s="93">
        <f>N(N2212)+IF(M2213="✓",1,0)</f>
        <v/>
      </c>
      <c r="O2213" s="93">
        <f>N(O2212)+IF(AND(B2213&lt;&gt;"",B2213&gt;='Uang Riba'!$H$30,B2213&lt;='Uang Riba'!$I$30,OR(H2213="Dana riba",H2213="Pinjam uang riba",I2213="Pinjam dari uang riba",I2213="Ganti uang riba",I2213="Kelebihan ganti dikembalikan",AND(C2213="Kantong Uang Riba",G2213="Pengeluaran"))),1,0)</f>
        <v/>
      </c>
      <c r="X2213" s="93">
        <f>IF(AND(B2213&lt;&gt;"",B2213&gt;='Buku Akun'!$H$4,B2213&lt;='Buku Akun'!$H$5,OR(C2213='Buku Akun'!$C$4,AND(D2213="Pindah",E2213='Buku Akun'!$C$4))),B2213+IF(AND(I2213="Selisih bunga",DAY(B2213)=1),0,0.01)+ROW()/10000000,"")</f>
        <v/>
      </c>
    </row>
    <row r="2214" outlineLevel="1" ht="15" customHeight="1" s="94">
      <c r="A2214" s="123">
        <f>IF(B2214="","",ROW()-15)</f>
        <v/>
      </c>
      <c r="B2214" s="124" t="n"/>
      <c r="C2214" s="123" t="n"/>
      <c r="D2214" s="123" t="n"/>
      <c r="E2214" s="123" t="n"/>
      <c r="F2214" s="125" t="n"/>
      <c r="G2214" s="123" t="n"/>
      <c r="H2214" s="123" t="n"/>
      <c r="I2214" s="123" t="n"/>
      <c r="J2214" s="123" t="n"/>
      <c r="K2214" s="123" t="n"/>
      <c r="L2214" s="123" t="n"/>
      <c r="M2214" s="123">
        <f>IF(AND(B2214&lt;&gt;"",OR($C$4="",ISNUMBER(SEARCH($C$4,C2214&amp;" "&amp;E2214&amp;" "&amp;G2214&amp;" "&amp;H2214&amp;" "&amp;I2214&amp;" "&amp;J2214&amp;" "&amp;K2214&amp;" "&amp;L2214))),OR($C$5="Semua",$C$5="",G2214=$C$5),OR($C$6="Semua",$C$6="",H2214=$C$6,H2214="Pengeluaran "&amp;$C$6,AND($C$6="Uang Kos Mama",H2214="Pengeluaran Uang Kos")),OR($C$7="Semua",$C$7="",I2214=$C$7),OR($C$8="Semua",$C$8="",C2214=$C$8,E2214=$C$8),OR($C$9="Semua",$C$9="",D2214=$C$9),OR($C$10="",B2214&gt;=$C$10),OR($C$11="",B2214&lt;=$C$11),OR($C$12&lt;&gt;"Ya",K2214&lt;&gt;""),OR($C$13="Semua",$C$13="",L2214=$C$13)),"✓","")</f>
        <v/>
      </c>
      <c r="N2214" s="93">
        <f>N(N2213)+IF(M2214="✓",1,0)</f>
        <v/>
      </c>
      <c r="O2214" s="93">
        <f>N(O2213)+IF(AND(B2214&lt;&gt;"",B2214&gt;='Uang Riba'!$H$30,B2214&lt;='Uang Riba'!$I$30,OR(H2214="Dana riba",H2214="Pinjam uang riba",I2214="Pinjam dari uang riba",I2214="Ganti uang riba",I2214="Kelebihan ganti dikembalikan",AND(C2214="Kantong Uang Riba",G2214="Pengeluaran"))),1,0)</f>
        <v/>
      </c>
      <c r="X2214" s="93">
        <f>IF(AND(B2214&lt;&gt;"",B2214&gt;='Buku Akun'!$H$4,B2214&lt;='Buku Akun'!$H$5,OR(C2214='Buku Akun'!$C$4,AND(D2214="Pindah",E2214='Buku Akun'!$C$4))),B2214+IF(AND(I2214="Selisih bunga",DAY(B2214)=1),0,0.01)+ROW()/10000000,"")</f>
        <v/>
      </c>
    </row>
    <row r="2215" outlineLevel="1" ht="15" customHeight="1" s="94">
      <c r="A2215" s="123">
        <f>IF(B2215="","",ROW()-15)</f>
        <v/>
      </c>
      <c r="B2215" s="124" t="n"/>
      <c r="C2215" s="123" t="n"/>
      <c r="D2215" s="123" t="n"/>
      <c r="E2215" s="123" t="n"/>
      <c r="F2215" s="125" t="n"/>
      <c r="G2215" s="123" t="n"/>
      <c r="H2215" s="123" t="n"/>
      <c r="I2215" s="123" t="n"/>
      <c r="J2215" s="123" t="n"/>
      <c r="K2215" s="123" t="n"/>
      <c r="L2215" s="123" t="n"/>
      <c r="M2215" s="123">
        <f>IF(AND(B2215&lt;&gt;"",OR($C$4="",ISNUMBER(SEARCH($C$4,C2215&amp;" "&amp;E2215&amp;" "&amp;G2215&amp;" "&amp;H2215&amp;" "&amp;I2215&amp;" "&amp;J2215&amp;" "&amp;K2215&amp;" "&amp;L2215))),OR($C$5="Semua",$C$5="",G2215=$C$5),OR($C$6="Semua",$C$6="",H2215=$C$6,H2215="Pengeluaran "&amp;$C$6,AND($C$6="Uang Kos Mama",H2215="Pengeluaran Uang Kos")),OR($C$7="Semua",$C$7="",I2215=$C$7),OR($C$8="Semua",$C$8="",C2215=$C$8,E2215=$C$8),OR($C$9="Semua",$C$9="",D2215=$C$9),OR($C$10="",B2215&gt;=$C$10),OR($C$11="",B2215&lt;=$C$11),OR($C$12&lt;&gt;"Ya",K2215&lt;&gt;""),OR($C$13="Semua",$C$13="",L2215=$C$13)),"✓","")</f>
        <v/>
      </c>
      <c r="N2215" s="93">
        <f>N(N2214)+IF(M2215="✓",1,0)</f>
        <v/>
      </c>
      <c r="O2215" s="93">
        <f>N(O2214)+IF(AND(B2215&lt;&gt;"",B2215&gt;='Uang Riba'!$H$30,B2215&lt;='Uang Riba'!$I$30,OR(H2215="Dana riba",H2215="Pinjam uang riba",I2215="Pinjam dari uang riba",I2215="Ganti uang riba",I2215="Kelebihan ganti dikembalikan",AND(C2215="Kantong Uang Riba",G2215="Pengeluaran"))),1,0)</f>
        <v/>
      </c>
      <c r="X2215" s="93">
        <f>IF(AND(B2215&lt;&gt;"",B2215&gt;='Buku Akun'!$H$4,B2215&lt;='Buku Akun'!$H$5,OR(C2215='Buku Akun'!$C$4,AND(D2215="Pindah",E2215='Buku Akun'!$C$4))),B2215+IF(AND(I2215="Selisih bunga",DAY(B2215)=1),0,0.01)+ROW()/10000000,"")</f>
        <v/>
      </c>
    </row>
    <row r="2216" outlineLevel="1" ht="15" customHeight="1" s="94">
      <c r="A2216" s="123">
        <f>IF(B2216="","",ROW()-15)</f>
        <v/>
      </c>
      <c r="B2216" s="124" t="n"/>
      <c r="C2216" s="123" t="n"/>
      <c r="D2216" s="123" t="n"/>
      <c r="E2216" s="123" t="n"/>
      <c r="F2216" s="125" t="n"/>
      <c r="G2216" s="123" t="n"/>
      <c r="H2216" s="123" t="n"/>
      <c r="I2216" s="123" t="n"/>
      <c r="J2216" s="123" t="n"/>
      <c r="K2216" s="123" t="n"/>
      <c r="L2216" s="123" t="n"/>
      <c r="M2216" s="123">
        <f>IF(AND(B2216&lt;&gt;"",OR($C$4="",ISNUMBER(SEARCH($C$4,C2216&amp;" "&amp;E2216&amp;" "&amp;G2216&amp;" "&amp;H2216&amp;" "&amp;I2216&amp;" "&amp;J2216&amp;" "&amp;K2216&amp;" "&amp;L2216))),OR($C$5="Semua",$C$5="",G2216=$C$5),OR($C$6="Semua",$C$6="",H2216=$C$6,H2216="Pengeluaran "&amp;$C$6,AND($C$6="Uang Kos Mama",H2216="Pengeluaran Uang Kos")),OR($C$7="Semua",$C$7="",I2216=$C$7),OR($C$8="Semua",$C$8="",C2216=$C$8,E2216=$C$8),OR($C$9="Semua",$C$9="",D2216=$C$9),OR($C$10="",B2216&gt;=$C$10),OR($C$11="",B2216&lt;=$C$11),OR($C$12&lt;&gt;"Ya",K2216&lt;&gt;""),OR($C$13="Semua",$C$13="",L2216=$C$13)),"✓","")</f>
        <v/>
      </c>
      <c r="N2216" s="93">
        <f>N(N2215)+IF(M2216="✓",1,0)</f>
        <v/>
      </c>
      <c r="O2216" s="93">
        <f>N(O2215)+IF(AND(B2216&lt;&gt;"",B2216&gt;='Uang Riba'!$H$30,B2216&lt;='Uang Riba'!$I$30,OR(H2216="Dana riba",H2216="Pinjam uang riba",I2216="Pinjam dari uang riba",I2216="Ganti uang riba",I2216="Kelebihan ganti dikembalikan",AND(C2216="Kantong Uang Riba",G2216="Pengeluaran"))),1,0)</f>
        <v/>
      </c>
      <c r="X2216" s="93">
        <f>IF(AND(B2216&lt;&gt;"",B2216&gt;='Buku Akun'!$H$4,B2216&lt;='Buku Akun'!$H$5,OR(C2216='Buku Akun'!$C$4,AND(D2216="Pindah",E2216='Buku Akun'!$C$4))),B2216+IF(AND(I2216="Selisih bunga",DAY(B2216)=1),0,0.01)+ROW()/10000000,"")</f>
        <v/>
      </c>
    </row>
    <row r="2217" outlineLevel="1" ht="15" customHeight="1" s="94">
      <c r="A2217" s="123">
        <f>IF(B2217="","",ROW()-15)</f>
        <v/>
      </c>
      <c r="B2217" s="124" t="n"/>
      <c r="C2217" s="123" t="n"/>
      <c r="D2217" s="123" t="n"/>
      <c r="E2217" s="123" t="n"/>
      <c r="F2217" s="125" t="n"/>
      <c r="G2217" s="123" t="n"/>
      <c r="H2217" s="123" t="n"/>
      <c r="I2217" s="123" t="n"/>
      <c r="J2217" s="123" t="n"/>
      <c r="K2217" s="123" t="n"/>
      <c r="L2217" s="123" t="n"/>
      <c r="M2217" s="123">
        <f>IF(AND(B2217&lt;&gt;"",OR($C$4="",ISNUMBER(SEARCH($C$4,C2217&amp;" "&amp;E2217&amp;" "&amp;G2217&amp;" "&amp;H2217&amp;" "&amp;I2217&amp;" "&amp;J2217&amp;" "&amp;K2217&amp;" "&amp;L2217))),OR($C$5="Semua",$C$5="",G2217=$C$5),OR($C$6="Semua",$C$6="",H2217=$C$6,H2217="Pengeluaran "&amp;$C$6,AND($C$6="Uang Kos Mama",H2217="Pengeluaran Uang Kos")),OR($C$7="Semua",$C$7="",I2217=$C$7),OR($C$8="Semua",$C$8="",C2217=$C$8,E2217=$C$8),OR($C$9="Semua",$C$9="",D2217=$C$9),OR($C$10="",B2217&gt;=$C$10),OR($C$11="",B2217&lt;=$C$11),OR($C$12&lt;&gt;"Ya",K2217&lt;&gt;""),OR($C$13="Semua",$C$13="",L2217=$C$13)),"✓","")</f>
        <v/>
      </c>
      <c r="N2217" s="93">
        <f>N(N2216)+IF(M2217="✓",1,0)</f>
        <v/>
      </c>
      <c r="O2217" s="93">
        <f>N(O2216)+IF(AND(B2217&lt;&gt;"",B2217&gt;='Uang Riba'!$H$30,B2217&lt;='Uang Riba'!$I$30,OR(H2217="Dana riba",H2217="Pinjam uang riba",I2217="Pinjam dari uang riba",I2217="Ganti uang riba",I2217="Kelebihan ganti dikembalikan",AND(C2217="Kantong Uang Riba",G2217="Pengeluaran"))),1,0)</f>
        <v/>
      </c>
      <c r="X2217" s="93">
        <f>IF(AND(B2217&lt;&gt;"",B2217&gt;='Buku Akun'!$H$4,B2217&lt;='Buku Akun'!$H$5,OR(C2217='Buku Akun'!$C$4,AND(D2217="Pindah",E2217='Buku Akun'!$C$4))),B2217+IF(AND(I2217="Selisih bunga",DAY(B2217)=1),0,0.01)+ROW()/10000000,"")</f>
        <v/>
      </c>
    </row>
    <row r="2218" outlineLevel="1" ht="15" customHeight="1" s="94">
      <c r="A2218" s="123">
        <f>IF(B2218="","",ROW()-15)</f>
        <v/>
      </c>
      <c r="B2218" s="124" t="n"/>
      <c r="C2218" s="123" t="n"/>
      <c r="D2218" s="123" t="n"/>
      <c r="E2218" s="123" t="n"/>
      <c r="F2218" s="125" t="n"/>
      <c r="G2218" s="123" t="n"/>
      <c r="H2218" s="123" t="n"/>
      <c r="I2218" s="123" t="n"/>
      <c r="J2218" s="123" t="n"/>
      <c r="K2218" s="123" t="n"/>
      <c r="L2218" s="123" t="n"/>
      <c r="M2218" s="123">
        <f>IF(AND(B2218&lt;&gt;"",OR($C$4="",ISNUMBER(SEARCH($C$4,C2218&amp;" "&amp;E2218&amp;" "&amp;G2218&amp;" "&amp;H2218&amp;" "&amp;I2218&amp;" "&amp;J2218&amp;" "&amp;K2218&amp;" "&amp;L2218))),OR($C$5="Semua",$C$5="",G2218=$C$5),OR($C$6="Semua",$C$6="",H2218=$C$6,H2218="Pengeluaran "&amp;$C$6,AND($C$6="Uang Kos Mama",H2218="Pengeluaran Uang Kos")),OR($C$7="Semua",$C$7="",I2218=$C$7),OR($C$8="Semua",$C$8="",C2218=$C$8,E2218=$C$8),OR($C$9="Semua",$C$9="",D2218=$C$9),OR($C$10="",B2218&gt;=$C$10),OR($C$11="",B2218&lt;=$C$11),OR($C$12&lt;&gt;"Ya",K2218&lt;&gt;""),OR($C$13="Semua",$C$13="",L2218=$C$13)),"✓","")</f>
        <v/>
      </c>
      <c r="N2218" s="93">
        <f>N(N2217)+IF(M2218="✓",1,0)</f>
        <v/>
      </c>
      <c r="O2218" s="93">
        <f>N(O2217)+IF(AND(B2218&lt;&gt;"",B2218&gt;='Uang Riba'!$H$30,B2218&lt;='Uang Riba'!$I$30,OR(H2218="Dana riba",H2218="Pinjam uang riba",I2218="Pinjam dari uang riba",I2218="Ganti uang riba",I2218="Kelebihan ganti dikembalikan",AND(C2218="Kantong Uang Riba",G2218="Pengeluaran"))),1,0)</f>
        <v/>
      </c>
      <c r="X2218" s="93">
        <f>IF(AND(B2218&lt;&gt;"",B2218&gt;='Buku Akun'!$H$4,B2218&lt;='Buku Akun'!$H$5,OR(C2218='Buku Akun'!$C$4,AND(D2218="Pindah",E2218='Buku Akun'!$C$4))),B2218+IF(AND(I2218="Selisih bunga",DAY(B2218)=1),0,0.01)+ROW()/10000000,"")</f>
        <v/>
      </c>
    </row>
    <row r="2219" outlineLevel="1" ht="15" customHeight="1" s="94">
      <c r="A2219" s="123">
        <f>IF(B2219="","",ROW()-15)</f>
        <v/>
      </c>
      <c r="B2219" s="124" t="n"/>
      <c r="C2219" s="123" t="n"/>
      <c r="D2219" s="123" t="n"/>
      <c r="E2219" s="123" t="n"/>
      <c r="F2219" s="125" t="n"/>
      <c r="G2219" s="123" t="n"/>
      <c r="H2219" s="123" t="n"/>
      <c r="I2219" s="123" t="n"/>
      <c r="J2219" s="123" t="n"/>
      <c r="K2219" s="123" t="n"/>
      <c r="L2219" s="123" t="n"/>
      <c r="M2219" s="123">
        <f>IF(AND(B2219&lt;&gt;"",OR($C$4="",ISNUMBER(SEARCH($C$4,C2219&amp;" "&amp;E2219&amp;" "&amp;G2219&amp;" "&amp;H2219&amp;" "&amp;I2219&amp;" "&amp;J2219&amp;" "&amp;K2219&amp;" "&amp;L2219))),OR($C$5="Semua",$C$5="",G2219=$C$5),OR($C$6="Semua",$C$6="",H2219=$C$6,H2219="Pengeluaran "&amp;$C$6,AND($C$6="Uang Kos Mama",H2219="Pengeluaran Uang Kos")),OR($C$7="Semua",$C$7="",I2219=$C$7),OR($C$8="Semua",$C$8="",C2219=$C$8,E2219=$C$8),OR($C$9="Semua",$C$9="",D2219=$C$9),OR($C$10="",B2219&gt;=$C$10),OR($C$11="",B2219&lt;=$C$11),OR($C$12&lt;&gt;"Ya",K2219&lt;&gt;""),OR($C$13="Semua",$C$13="",L2219=$C$13)),"✓","")</f>
        <v/>
      </c>
      <c r="N2219" s="93">
        <f>N(N2218)+IF(M2219="✓",1,0)</f>
        <v/>
      </c>
      <c r="O2219" s="93">
        <f>N(O2218)+IF(AND(B2219&lt;&gt;"",B2219&gt;='Uang Riba'!$H$30,B2219&lt;='Uang Riba'!$I$30,OR(H2219="Dana riba",H2219="Pinjam uang riba",I2219="Pinjam dari uang riba",I2219="Ganti uang riba",I2219="Kelebihan ganti dikembalikan",AND(C2219="Kantong Uang Riba",G2219="Pengeluaran"))),1,0)</f>
        <v/>
      </c>
      <c r="X2219" s="93">
        <f>IF(AND(B2219&lt;&gt;"",B2219&gt;='Buku Akun'!$H$4,B2219&lt;='Buku Akun'!$H$5,OR(C2219='Buku Akun'!$C$4,AND(D2219="Pindah",E2219='Buku Akun'!$C$4))),B2219+IF(AND(I2219="Selisih bunga",DAY(B2219)=1),0,0.01)+ROW()/10000000,"")</f>
        <v/>
      </c>
    </row>
    <row r="2220" outlineLevel="1" ht="15" customHeight="1" s="94">
      <c r="A2220" s="123">
        <f>IF(B2220="","",ROW()-15)</f>
        <v/>
      </c>
      <c r="B2220" s="124" t="n"/>
      <c r="C2220" s="123" t="n"/>
      <c r="D2220" s="123" t="n"/>
      <c r="E2220" s="123" t="n"/>
      <c r="F2220" s="125" t="n"/>
      <c r="G2220" s="123" t="n"/>
      <c r="H2220" s="123" t="n"/>
      <c r="I2220" s="123" t="n"/>
      <c r="J2220" s="123" t="n"/>
      <c r="K2220" s="123" t="n"/>
      <c r="L2220" s="123" t="n"/>
      <c r="M2220" s="123">
        <f>IF(AND(B2220&lt;&gt;"",OR($C$4="",ISNUMBER(SEARCH($C$4,C2220&amp;" "&amp;E2220&amp;" "&amp;G2220&amp;" "&amp;H2220&amp;" "&amp;I2220&amp;" "&amp;J2220&amp;" "&amp;K2220&amp;" "&amp;L2220))),OR($C$5="Semua",$C$5="",G2220=$C$5),OR($C$6="Semua",$C$6="",H2220=$C$6,H2220="Pengeluaran "&amp;$C$6,AND($C$6="Uang Kos Mama",H2220="Pengeluaran Uang Kos")),OR($C$7="Semua",$C$7="",I2220=$C$7),OR($C$8="Semua",$C$8="",C2220=$C$8,E2220=$C$8),OR($C$9="Semua",$C$9="",D2220=$C$9),OR($C$10="",B2220&gt;=$C$10),OR($C$11="",B2220&lt;=$C$11),OR($C$12&lt;&gt;"Ya",K2220&lt;&gt;""),OR($C$13="Semua",$C$13="",L2220=$C$13)),"✓","")</f>
        <v/>
      </c>
      <c r="N2220" s="93">
        <f>N(N2219)+IF(M2220="✓",1,0)</f>
        <v/>
      </c>
      <c r="O2220" s="93">
        <f>N(O2219)+IF(AND(B2220&lt;&gt;"",B2220&gt;='Uang Riba'!$H$30,B2220&lt;='Uang Riba'!$I$30,OR(H2220="Dana riba",H2220="Pinjam uang riba",I2220="Pinjam dari uang riba",I2220="Ganti uang riba",I2220="Kelebihan ganti dikembalikan",AND(C2220="Kantong Uang Riba",G2220="Pengeluaran"))),1,0)</f>
        <v/>
      </c>
      <c r="X2220" s="93">
        <f>IF(AND(B2220&lt;&gt;"",B2220&gt;='Buku Akun'!$H$4,B2220&lt;='Buku Akun'!$H$5,OR(C2220='Buku Akun'!$C$4,AND(D2220="Pindah",E2220='Buku Akun'!$C$4))),B2220+IF(AND(I2220="Selisih bunga",DAY(B2220)=1),0,0.01)+ROW()/10000000,"")</f>
        <v/>
      </c>
    </row>
    <row r="2221" outlineLevel="1" ht="15" customHeight="1" s="94">
      <c r="A2221" s="123">
        <f>IF(B2221="","",ROW()-15)</f>
        <v/>
      </c>
      <c r="B2221" s="124" t="n"/>
      <c r="C2221" s="123" t="n"/>
      <c r="D2221" s="123" t="n"/>
      <c r="E2221" s="123" t="n"/>
      <c r="F2221" s="125" t="n"/>
      <c r="G2221" s="123" t="n"/>
      <c r="H2221" s="123" t="n"/>
      <c r="I2221" s="123" t="n"/>
      <c r="J2221" s="123" t="n"/>
      <c r="K2221" s="123" t="n"/>
      <c r="L2221" s="123" t="n"/>
      <c r="M2221" s="123">
        <f>IF(AND(B2221&lt;&gt;"",OR($C$4="",ISNUMBER(SEARCH($C$4,C2221&amp;" "&amp;E2221&amp;" "&amp;G2221&amp;" "&amp;H2221&amp;" "&amp;I2221&amp;" "&amp;J2221&amp;" "&amp;K2221&amp;" "&amp;L2221))),OR($C$5="Semua",$C$5="",G2221=$C$5),OR($C$6="Semua",$C$6="",H2221=$C$6,H2221="Pengeluaran "&amp;$C$6,AND($C$6="Uang Kos Mama",H2221="Pengeluaran Uang Kos")),OR($C$7="Semua",$C$7="",I2221=$C$7),OR($C$8="Semua",$C$8="",C2221=$C$8,E2221=$C$8),OR($C$9="Semua",$C$9="",D2221=$C$9),OR($C$10="",B2221&gt;=$C$10),OR($C$11="",B2221&lt;=$C$11),OR($C$12&lt;&gt;"Ya",K2221&lt;&gt;""),OR($C$13="Semua",$C$13="",L2221=$C$13)),"✓","")</f>
        <v/>
      </c>
      <c r="N2221" s="93">
        <f>N(N2220)+IF(M2221="✓",1,0)</f>
        <v/>
      </c>
      <c r="O2221" s="93">
        <f>N(O2220)+IF(AND(B2221&lt;&gt;"",B2221&gt;='Uang Riba'!$H$30,B2221&lt;='Uang Riba'!$I$30,OR(H2221="Dana riba",H2221="Pinjam uang riba",I2221="Pinjam dari uang riba",I2221="Ganti uang riba",I2221="Kelebihan ganti dikembalikan",AND(C2221="Kantong Uang Riba",G2221="Pengeluaran"))),1,0)</f>
        <v/>
      </c>
      <c r="X2221" s="93">
        <f>IF(AND(B2221&lt;&gt;"",B2221&gt;='Buku Akun'!$H$4,B2221&lt;='Buku Akun'!$H$5,OR(C2221='Buku Akun'!$C$4,AND(D2221="Pindah",E2221='Buku Akun'!$C$4))),B2221+IF(AND(I2221="Selisih bunga",DAY(B2221)=1),0,0.01)+ROW()/10000000,"")</f>
        <v/>
      </c>
    </row>
    <row r="2222" outlineLevel="1" ht="15" customHeight="1" s="94">
      <c r="A2222" s="123">
        <f>IF(B2222="","",ROW()-15)</f>
        <v/>
      </c>
      <c r="B2222" s="124" t="n"/>
      <c r="C2222" s="123" t="n"/>
      <c r="D2222" s="123" t="n"/>
      <c r="E2222" s="123" t="n"/>
      <c r="F2222" s="125" t="n"/>
      <c r="G2222" s="123" t="n"/>
      <c r="H2222" s="123" t="n"/>
      <c r="I2222" s="123" t="n"/>
      <c r="J2222" s="123" t="n"/>
      <c r="K2222" s="123" t="n"/>
      <c r="L2222" s="123" t="n"/>
      <c r="M2222" s="123">
        <f>IF(AND(B2222&lt;&gt;"",OR($C$4="",ISNUMBER(SEARCH($C$4,C2222&amp;" "&amp;E2222&amp;" "&amp;G2222&amp;" "&amp;H2222&amp;" "&amp;I2222&amp;" "&amp;J2222&amp;" "&amp;K2222&amp;" "&amp;L2222))),OR($C$5="Semua",$C$5="",G2222=$C$5),OR($C$6="Semua",$C$6="",H2222=$C$6,H2222="Pengeluaran "&amp;$C$6,AND($C$6="Uang Kos Mama",H2222="Pengeluaran Uang Kos")),OR($C$7="Semua",$C$7="",I2222=$C$7),OR($C$8="Semua",$C$8="",C2222=$C$8,E2222=$C$8),OR($C$9="Semua",$C$9="",D2222=$C$9),OR($C$10="",B2222&gt;=$C$10),OR($C$11="",B2222&lt;=$C$11),OR($C$12&lt;&gt;"Ya",K2222&lt;&gt;""),OR($C$13="Semua",$C$13="",L2222=$C$13)),"✓","")</f>
        <v/>
      </c>
      <c r="N2222" s="93">
        <f>N(N2221)+IF(M2222="✓",1,0)</f>
        <v/>
      </c>
      <c r="O2222" s="93">
        <f>N(O2221)+IF(AND(B2222&lt;&gt;"",B2222&gt;='Uang Riba'!$H$30,B2222&lt;='Uang Riba'!$I$30,OR(H2222="Dana riba",H2222="Pinjam uang riba",I2222="Pinjam dari uang riba",I2222="Ganti uang riba",I2222="Kelebihan ganti dikembalikan",AND(C2222="Kantong Uang Riba",G2222="Pengeluaran"))),1,0)</f>
        <v/>
      </c>
      <c r="X2222" s="93">
        <f>IF(AND(B2222&lt;&gt;"",B2222&gt;='Buku Akun'!$H$4,B2222&lt;='Buku Akun'!$H$5,OR(C2222='Buku Akun'!$C$4,AND(D2222="Pindah",E2222='Buku Akun'!$C$4))),B2222+IF(AND(I2222="Selisih bunga",DAY(B2222)=1),0,0.01)+ROW()/10000000,"")</f>
        <v/>
      </c>
    </row>
    <row r="2223" outlineLevel="1" ht="15" customHeight="1" s="94">
      <c r="A2223" s="123">
        <f>IF(B2223="","",ROW()-15)</f>
        <v/>
      </c>
      <c r="B2223" s="124" t="n"/>
      <c r="C2223" s="123" t="n"/>
      <c r="D2223" s="123" t="n"/>
      <c r="E2223" s="123" t="n"/>
      <c r="F2223" s="125" t="n"/>
      <c r="G2223" s="123" t="n"/>
      <c r="H2223" s="123" t="n"/>
      <c r="I2223" s="123" t="n"/>
      <c r="J2223" s="123" t="n"/>
      <c r="K2223" s="123" t="n"/>
      <c r="L2223" s="123" t="n"/>
      <c r="M2223" s="123">
        <f>IF(AND(B2223&lt;&gt;"",OR($C$4="",ISNUMBER(SEARCH($C$4,C2223&amp;" "&amp;E2223&amp;" "&amp;G2223&amp;" "&amp;H2223&amp;" "&amp;I2223&amp;" "&amp;J2223&amp;" "&amp;K2223&amp;" "&amp;L2223))),OR($C$5="Semua",$C$5="",G2223=$C$5),OR($C$6="Semua",$C$6="",H2223=$C$6,H2223="Pengeluaran "&amp;$C$6,AND($C$6="Uang Kos Mama",H2223="Pengeluaran Uang Kos")),OR($C$7="Semua",$C$7="",I2223=$C$7),OR($C$8="Semua",$C$8="",C2223=$C$8,E2223=$C$8),OR($C$9="Semua",$C$9="",D2223=$C$9),OR($C$10="",B2223&gt;=$C$10),OR($C$11="",B2223&lt;=$C$11),OR($C$12&lt;&gt;"Ya",K2223&lt;&gt;""),OR($C$13="Semua",$C$13="",L2223=$C$13)),"✓","")</f>
        <v/>
      </c>
      <c r="N2223" s="93">
        <f>N(N2222)+IF(M2223="✓",1,0)</f>
        <v/>
      </c>
      <c r="O2223" s="93">
        <f>N(O2222)+IF(AND(B2223&lt;&gt;"",B2223&gt;='Uang Riba'!$H$30,B2223&lt;='Uang Riba'!$I$30,OR(H2223="Dana riba",H2223="Pinjam uang riba",I2223="Pinjam dari uang riba",I2223="Ganti uang riba",I2223="Kelebihan ganti dikembalikan",AND(C2223="Kantong Uang Riba",G2223="Pengeluaran"))),1,0)</f>
        <v/>
      </c>
      <c r="X2223" s="93">
        <f>IF(AND(B2223&lt;&gt;"",B2223&gt;='Buku Akun'!$H$4,B2223&lt;='Buku Akun'!$H$5,OR(C2223='Buku Akun'!$C$4,AND(D2223="Pindah",E2223='Buku Akun'!$C$4))),B2223+IF(AND(I2223="Selisih bunga",DAY(B2223)=1),0,0.01)+ROW()/10000000,"")</f>
        <v/>
      </c>
    </row>
    <row r="2224" outlineLevel="1" ht="15" customHeight="1" s="94">
      <c r="A2224" s="123">
        <f>IF(B2224="","",ROW()-15)</f>
        <v/>
      </c>
      <c r="B2224" s="124" t="n"/>
      <c r="C2224" s="123" t="n"/>
      <c r="D2224" s="123" t="n"/>
      <c r="E2224" s="123" t="n"/>
      <c r="F2224" s="125" t="n"/>
      <c r="G2224" s="123" t="n"/>
      <c r="H2224" s="123" t="n"/>
      <c r="I2224" s="123" t="n"/>
      <c r="J2224" s="123" t="n"/>
      <c r="K2224" s="123" t="n"/>
      <c r="L2224" s="123" t="n"/>
      <c r="M2224" s="123">
        <f>IF(AND(B2224&lt;&gt;"",OR($C$4="",ISNUMBER(SEARCH($C$4,C2224&amp;" "&amp;E2224&amp;" "&amp;G2224&amp;" "&amp;H2224&amp;" "&amp;I2224&amp;" "&amp;J2224&amp;" "&amp;K2224&amp;" "&amp;L2224))),OR($C$5="Semua",$C$5="",G2224=$C$5),OR($C$6="Semua",$C$6="",H2224=$C$6,H2224="Pengeluaran "&amp;$C$6,AND($C$6="Uang Kos Mama",H2224="Pengeluaran Uang Kos")),OR($C$7="Semua",$C$7="",I2224=$C$7),OR($C$8="Semua",$C$8="",C2224=$C$8,E2224=$C$8),OR($C$9="Semua",$C$9="",D2224=$C$9),OR($C$10="",B2224&gt;=$C$10),OR($C$11="",B2224&lt;=$C$11),OR($C$12&lt;&gt;"Ya",K2224&lt;&gt;""),OR($C$13="Semua",$C$13="",L2224=$C$13)),"✓","")</f>
        <v/>
      </c>
      <c r="N2224" s="93">
        <f>N(N2223)+IF(M2224="✓",1,0)</f>
        <v/>
      </c>
      <c r="O2224" s="93">
        <f>N(O2223)+IF(AND(B2224&lt;&gt;"",B2224&gt;='Uang Riba'!$H$30,B2224&lt;='Uang Riba'!$I$30,OR(H2224="Dana riba",H2224="Pinjam uang riba",I2224="Pinjam dari uang riba",I2224="Ganti uang riba",I2224="Kelebihan ganti dikembalikan",AND(C2224="Kantong Uang Riba",G2224="Pengeluaran"))),1,0)</f>
        <v/>
      </c>
      <c r="X2224" s="93">
        <f>IF(AND(B2224&lt;&gt;"",B2224&gt;='Buku Akun'!$H$4,B2224&lt;='Buku Akun'!$H$5,OR(C2224='Buku Akun'!$C$4,AND(D2224="Pindah",E2224='Buku Akun'!$C$4))),B2224+IF(AND(I2224="Selisih bunga",DAY(B2224)=1),0,0.01)+ROW()/10000000,"")</f>
        <v/>
      </c>
    </row>
    <row r="2225" outlineLevel="1" ht="15" customHeight="1" s="94">
      <c r="A2225" s="123">
        <f>IF(B2225="","",ROW()-15)</f>
        <v/>
      </c>
      <c r="B2225" s="124" t="n"/>
      <c r="C2225" s="123" t="n"/>
      <c r="D2225" s="123" t="n"/>
      <c r="E2225" s="123" t="n"/>
      <c r="F2225" s="125" t="n"/>
      <c r="G2225" s="123" t="n"/>
      <c r="H2225" s="123" t="n"/>
      <c r="I2225" s="123" t="n"/>
      <c r="J2225" s="123" t="n"/>
      <c r="K2225" s="123" t="n"/>
      <c r="L2225" s="123" t="n"/>
      <c r="M2225" s="123">
        <f>IF(AND(B2225&lt;&gt;"",OR($C$4="",ISNUMBER(SEARCH($C$4,C2225&amp;" "&amp;E2225&amp;" "&amp;G2225&amp;" "&amp;H2225&amp;" "&amp;I2225&amp;" "&amp;J2225&amp;" "&amp;K2225&amp;" "&amp;L2225))),OR($C$5="Semua",$C$5="",G2225=$C$5),OR($C$6="Semua",$C$6="",H2225=$C$6,H2225="Pengeluaran "&amp;$C$6,AND($C$6="Uang Kos Mama",H2225="Pengeluaran Uang Kos")),OR($C$7="Semua",$C$7="",I2225=$C$7),OR($C$8="Semua",$C$8="",C2225=$C$8,E2225=$C$8),OR($C$9="Semua",$C$9="",D2225=$C$9),OR($C$10="",B2225&gt;=$C$10),OR($C$11="",B2225&lt;=$C$11),OR($C$12&lt;&gt;"Ya",K2225&lt;&gt;""),OR($C$13="Semua",$C$13="",L2225=$C$13)),"✓","")</f>
        <v/>
      </c>
      <c r="N2225" s="93">
        <f>N(N2224)+IF(M2225="✓",1,0)</f>
        <v/>
      </c>
      <c r="O2225" s="93">
        <f>N(O2224)+IF(AND(B2225&lt;&gt;"",B2225&gt;='Uang Riba'!$H$30,B2225&lt;='Uang Riba'!$I$30,OR(H2225="Dana riba",H2225="Pinjam uang riba",I2225="Pinjam dari uang riba",I2225="Ganti uang riba",I2225="Kelebihan ganti dikembalikan",AND(C2225="Kantong Uang Riba",G2225="Pengeluaran"))),1,0)</f>
        <v/>
      </c>
      <c r="X2225" s="93">
        <f>IF(AND(B2225&lt;&gt;"",B2225&gt;='Buku Akun'!$H$4,B2225&lt;='Buku Akun'!$H$5,OR(C2225='Buku Akun'!$C$4,AND(D2225="Pindah",E2225='Buku Akun'!$C$4))),B2225+IF(AND(I2225="Selisih bunga",DAY(B2225)=1),0,0.01)+ROW()/10000000,"")</f>
        <v/>
      </c>
    </row>
    <row r="2226" outlineLevel="1" ht="15" customHeight="1" s="94">
      <c r="A2226" s="123">
        <f>IF(B2226="","",ROW()-15)</f>
        <v/>
      </c>
      <c r="B2226" s="124" t="n"/>
      <c r="C2226" s="123" t="n"/>
      <c r="D2226" s="123" t="n"/>
      <c r="E2226" s="123" t="n"/>
      <c r="F2226" s="125" t="n"/>
      <c r="G2226" s="123" t="n"/>
      <c r="H2226" s="123" t="n"/>
      <c r="I2226" s="123" t="n"/>
      <c r="J2226" s="123" t="n"/>
      <c r="K2226" s="123" t="n"/>
      <c r="L2226" s="123" t="n"/>
      <c r="M2226" s="123">
        <f>IF(AND(B2226&lt;&gt;"",OR($C$4="",ISNUMBER(SEARCH($C$4,C2226&amp;" "&amp;E2226&amp;" "&amp;G2226&amp;" "&amp;H2226&amp;" "&amp;I2226&amp;" "&amp;J2226&amp;" "&amp;K2226&amp;" "&amp;L2226))),OR($C$5="Semua",$C$5="",G2226=$C$5),OR($C$6="Semua",$C$6="",H2226=$C$6,H2226="Pengeluaran "&amp;$C$6,AND($C$6="Uang Kos Mama",H2226="Pengeluaran Uang Kos")),OR($C$7="Semua",$C$7="",I2226=$C$7),OR($C$8="Semua",$C$8="",C2226=$C$8,E2226=$C$8),OR($C$9="Semua",$C$9="",D2226=$C$9),OR($C$10="",B2226&gt;=$C$10),OR($C$11="",B2226&lt;=$C$11),OR($C$12&lt;&gt;"Ya",K2226&lt;&gt;""),OR($C$13="Semua",$C$13="",L2226=$C$13)),"✓","")</f>
        <v/>
      </c>
      <c r="N2226" s="93">
        <f>N(N2225)+IF(M2226="✓",1,0)</f>
        <v/>
      </c>
      <c r="O2226" s="93">
        <f>N(O2225)+IF(AND(B2226&lt;&gt;"",B2226&gt;='Uang Riba'!$H$30,B2226&lt;='Uang Riba'!$I$30,OR(H2226="Dana riba",H2226="Pinjam uang riba",I2226="Pinjam dari uang riba",I2226="Ganti uang riba",I2226="Kelebihan ganti dikembalikan",AND(C2226="Kantong Uang Riba",G2226="Pengeluaran"))),1,0)</f>
        <v/>
      </c>
      <c r="X2226" s="93">
        <f>IF(AND(B2226&lt;&gt;"",B2226&gt;='Buku Akun'!$H$4,B2226&lt;='Buku Akun'!$H$5,OR(C2226='Buku Akun'!$C$4,AND(D2226="Pindah",E2226='Buku Akun'!$C$4))),B2226+IF(AND(I2226="Selisih bunga",DAY(B2226)=1),0,0.01)+ROW()/10000000,"")</f>
        <v/>
      </c>
    </row>
    <row r="2227" outlineLevel="1" ht="15" customHeight="1" s="94">
      <c r="A2227" s="123">
        <f>IF(B2227="","",ROW()-15)</f>
        <v/>
      </c>
      <c r="B2227" s="124" t="n"/>
      <c r="C2227" s="123" t="n"/>
      <c r="D2227" s="123" t="n"/>
      <c r="E2227" s="123" t="n"/>
      <c r="F2227" s="125" t="n"/>
      <c r="G2227" s="123" t="n"/>
      <c r="H2227" s="123" t="n"/>
      <c r="I2227" s="123" t="n"/>
      <c r="J2227" s="123" t="n"/>
      <c r="K2227" s="123" t="n"/>
      <c r="L2227" s="123" t="n"/>
      <c r="M2227" s="123">
        <f>IF(AND(B2227&lt;&gt;"",OR($C$4="",ISNUMBER(SEARCH($C$4,C2227&amp;" "&amp;E2227&amp;" "&amp;G2227&amp;" "&amp;H2227&amp;" "&amp;I2227&amp;" "&amp;J2227&amp;" "&amp;K2227&amp;" "&amp;L2227))),OR($C$5="Semua",$C$5="",G2227=$C$5),OR($C$6="Semua",$C$6="",H2227=$C$6,H2227="Pengeluaran "&amp;$C$6,AND($C$6="Uang Kos Mama",H2227="Pengeluaran Uang Kos")),OR($C$7="Semua",$C$7="",I2227=$C$7),OR($C$8="Semua",$C$8="",C2227=$C$8,E2227=$C$8),OR($C$9="Semua",$C$9="",D2227=$C$9),OR($C$10="",B2227&gt;=$C$10),OR($C$11="",B2227&lt;=$C$11),OR($C$12&lt;&gt;"Ya",K2227&lt;&gt;""),OR($C$13="Semua",$C$13="",L2227=$C$13)),"✓","")</f>
        <v/>
      </c>
      <c r="N2227" s="93">
        <f>N(N2226)+IF(M2227="✓",1,0)</f>
        <v/>
      </c>
      <c r="O2227" s="93">
        <f>N(O2226)+IF(AND(B2227&lt;&gt;"",B2227&gt;='Uang Riba'!$H$30,B2227&lt;='Uang Riba'!$I$30,OR(H2227="Dana riba",H2227="Pinjam uang riba",I2227="Pinjam dari uang riba",I2227="Ganti uang riba",I2227="Kelebihan ganti dikembalikan",AND(C2227="Kantong Uang Riba",G2227="Pengeluaran"))),1,0)</f>
        <v/>
      </c>
      <c r="X2227" s="93">
        <f>IF(AND(B2227&lt;&gt;"",B2227&gt;='Buku Akun'!$H$4,B2227&lt;='Buku Akun'!$H$5,OR(C2227='Buku Akun'!$C$4,AND(D2227="Pindah",E2227='Buku Akun'!$C$4))),B2227+IF(AND(I2227="Selisih bunga",DAY(B2227)=1),0,0.01)+ROW()/10000000,"")</f>
        <v/>
      </c>
    </row>
    <row r="2228" outlineLevel="1" ht="15" customHeight="1" s="94">
      <c r="A2228" s="123">
        <f>IF(B2228="","",ROW()-15)</f>
        <v/>
      </c>
      <c r="B2228" s="124" t="n"/>
      <c r="C2228" s="123" t="n"/>
      <c r="D2228" s="123" t="n"/>
      <c r="E2228" s="123" t="n"/>
      <c r="F2228" s="125" t="n"/>
      <c r="G2228" s="123" t="n"/>
      <c r="H2228" s="123" t="n"/>
      <c r="I2228" s="123" t="n"/>
      <c r="J2228" s="123" t="n"/>
      <c r="K2228" s="123" t="n"/>
      <c r="L2228" s="123" t="n"/>
      <c r="M2228" s="123">
        <f>IF(AND(B2228&lt;&gt;"",OR($C$4="",ISNUMBER(SEARCH($C$4,C2228&amp;" "&amp;E2228&amp;" "&amp;G2228&amp;" "&amp;H2228&amp;" "&amp;I2228&amp;" "&amp;J2228&amp;" "&amp;K2228&amp;" "&amp;L2228))),OR($C$5="Semua",$C$5="",G2228=$C$5),OR($C$6="Semua",$C$6="",H2228=$C$6,H2228="Pengeluaran "&amp;$C$6,AND($C$6="Uang Kos Mama",H2228="Pengeluaran Uang Kos")),OR($C$7="Semua",$C$7="",I2228=$C$7),OR($C$8="Semua",$C$8="",C2228=$C$8,E2228=$C$8),OR($C$9="Semua",$C$9="",D2228=$C$9),OR($C$10="",B2228&gt;=$C$10),OR($C$11="",B2228&lt;=$C$11),OR($C$12&lt;&gt;"Ya",K2228&lt;&gt;""),OR($C$13="Semua",$C$13="",L2228=$C$13)),"✓","")</f>
        <v/>
      </c>
      <c r="N2228" s="93">
        <f>N(N2227)+IF(M2228="✓",1,0)</f>
        <v/>
      </c>
      <c r="O2228" s="93">
        <f>N(O2227)+IF(AND(B2228&lt;&gt;"",B2228&gt;='Uang Riba'!$H$30,B2228&lt;='Uang Riba'!$I$30,OR(H2228="Dana riba",H2228="Pinjam uang riba",I2228="Pinjam dari uang riba",I2228="Ganti uang riba",I2228="Kelebihan ganti dikembalikan",AND(C2228="Kantong Uang Riba",G2228="Pengeluaran"))),1,0)</f>
        <v/>
      </c>
      <c r="X2228" s="93">
        <f>IF(AND(B2228&lt;&gt;"",B2228&gt;='Buku Akun'!$H$4,B2228&lt;='Buku Akun'!$H$5,OR(C2228='Buku Akun'!$C$4,AND(D2228="Pindah",E2228='Buku Akun'!$C$4))),B2228+IF(AND(I2228="Selisih bunga",DAY(B2228)=1),0,0.01)+ROW()/10000000,"")</f>
        <v/>
      </c>
    </row>
    <row r="2229" outlineLevel="1" ht="15" customHeight="1" s="94">
      <c r="A2229" s="123">
        <f>IF(B2229="","",ROW()-15)</f>
        <v/>
      </c>
      <c r="B2229" s="124" t="n"/>
      <c r="C2229" s="123" t="n"/>
      <c r="D2229" s="123" t="n"/>
      <c r="E2229" s="123" t="n"/>
      <c r="F2229" s="125" t="n"/>
      <c r="G2229" s="123" t="n"/>
      <c r="H2229" s="123" t="n"/>
      <c r="I2229" s="123" t="n"/>
      <c r="J2229" s="123" t="n"/>
      <c r="K2229" s="123" t="n"/>
      <c r="L2229" s="123" t="n"/>
      <c r="M2229" s="123">
        <f>IF(AND(B2229&lt;&gt;"",OR($C$4="",ISNUMBER(SEARCH($C$4,C2229&amp;" "&amp;E2229&amp;" "&amp;G2229&amp;" "&amp;H2229&amp;" "&amp;I2229&amp;" "&amp;J2229&amp;" "&amp;K2229&amp;" "&amp;L2229))),OR($C$5="Semua",$C$5="",G2229=$C$5),OR($C$6="Semua",$C$6="",H2229=$C$6,H2229="Pengeluaran "&amp;$C$6,AND($C$6="Uang Kos Mama",H2229="Pengeluaran Uang Kos")),OR($C$7="Semua",$C$7="",I2229=$C$7),OR($C$8="Semua",$C$8="",C2229=$C$8,E2229=$C$8),OR($C$9="Semua",$C$9="",D2229=$C$9),OR($C$10="",B2229&gt;=$C$10),OR($C$11="",B2229&lt;=$C$11),OR($C$12&lt;&gt;"Ya",K2229&lt;&gt;""),OR($C$13="Semua",$C$13="",L2229=$C$13)),"✓","")</f>
        <v/>
      </c>
      <c r="N2229" s="93">
        <f>N(N2228)+IF(M2229="✓",1,0)</f>
        <v/>
      </c>
      <c r="O2229" s="93">
        <f>N(O2228)+IF(AND(B2229&lt;&gt;"",B2229&gt;='Uang Riba'!$H$30,B2229&lt;='Uang Riba'!$I$30,OR(H2229="Dana riba",H2229="Pinjam uang riba",I2229="Pinjam dari uang riba",I2229="Ganti uang riba",I2229="Kelebihan ganti dikembalikan",AND(C2229="Kantong Uang Riba",G2229="Pengeluaran"))),1,0)</f>
        <v/>
      </c>
      <c r="X2229" s="93">
        <f>IF(AND(B2229&lt;&gt;"",B2229&gt;='Buku Akun'!$H$4,B2229&lt;='Buku Akun'!$H$5,OR(C2229='Buku Akun'!$C$4,AND(D2229="Pindah",E2229='Buku Akun'!$C$4))),B2229+IF(AND(I2229="Selisih bunga",DAY(B2229)=1),0,0.01)+ROW()/10000000,"")</f>
        <v/>
      </c>
    </row>
    <row r="2230" outlineLevel="1" ht="15" customHeight="1" s="94">
      <c r="A2230" s="123">
        <f>IF(B2230="","",ROW()-15)</f>
        <v/>
      </c>
      <c r="B2230" s="124" t="n"/>
      <c r="C2230" s="123" t="n"/>
      <c r="D2230" s="123" t="n"/>
      <c r="E2230" s="123" t="n"/>
      <c r="F2230" s="125" t="n"/>
      <c r="G2230" s="123" t="n"/>
      <c r="H2230" s="123" t="n"/>
      <c r="I2230" s="123" t="n"/>
      <c r="J2230" s="123" t="n"/>
      <c r="K2230" s="123" t="n"/>
      <c r="L2230" s="123" t="n"/>
      <c r="M2230" s="123">
        <f>IF(AND(B2230&lt;&gt;"",OR($C$4="",ISNUMBER(SEARCH($C$4,C2230&amp;" "&amp;E2230&amp;" "&amp;G2230&amp;" "&amp;H2230&amp;" "&amp;I2230&amp;" "&amp;J2230&amp;" "&amp;K2230&amp;" "&amp;L2230))),OR($C$5="Semua",$C$5="",G2230=$C$5),OR($C$6="Semua",$C$6="",H2230=$C$6,H2230="Pengeluaran "&amp;$C$6,AND($C$6="Uang Kos Mama",H2230="Pengeluaran Uang Kos")),OR($C$7="Semua",$C$7="",I2230=$C$7),OR($C$8="Semua",$C$8="",C2230=$C$8,E2230=$C$8),OR($C$9="Semua",$C$9="",D2230=$C$9),OR($C$10="",B2230&gt;=$C$10),OR($C$11="",B2230&lt;=$C$11),OR($C$12&lt;&gt;"Ya",K2230&lt;&gt;""),OR($C$13="Semua",$C$13="",L2230=$C$13)),"✓","")</f>
        <v/>
      </c>
      <c r="N2230" s="93">
        <f>N(N2229)+IF(M2230="✓",1,0)</f>
        <v/>
      </c>
      <c r="O2230" s="93">
        <f>N(O2229)+IF(AND(B2230&lt;&gt;"",B2230&gt;='Uang Riba'!$H$30,B2230&lt;='Uang Riba'!$I$30,OR(H2230="Dana riba",H2230="Pinjam uang riba",I2230="Pinjam dari uang riba",I2230="Ganti uang riba",I2230="Kelebihan ganti dikembalikan",AND(C2230="Kantong Uang Riba",G2230="Pengeluaran"))),1,0)</f>
        <v/>
      </c>
      <c r="X2230" s="93">
        <f>IF(AND(B2230&lt;&gt;"",B2230&gt;='Buku Akun'!$H$4,B2230&lt;='Buku Akun'!$H$5,OR(C2230='Buku Akun'!$C$4,AND(D2230="Pindah",E2230='Buku Akun'!$C$4))),B2230+IF(AND(I2230="Selisih bunga",DAY(B2230)=1),0,0.01)+ROW()/10000000,"")</f>
        <v/>
      </c>
    </row>
    <row r="2231" outlineLevel="1" ht="15" customHeight="1" s="94">
      <c r="A2231" s="123">
        <f>IF(B2231="","",ROW()-15)</f>
        <v/>
      </c>
      <c r="B2231" s="124" t="n"/>
      <c r="C2231" s="123" t="n"/>
      <c r="D2231" s="123" t="n"/>
      <c r="E2231" s="123" t="n"/>
      <c r="F2231" s="125" t="n"/>
      <c r="G2231" s="123" t="n"/>
      <c r="H2231" s="123" t="n"/>
      <c r="I2231" s="123" t="n"/>
      <c r="J2231" s="123" t="n"/>
      <c r="K2231" s="123" t="n"/>
      <c r="L2231" s="123" t="n"/>
      <c r="M2231" s="123">
        <f>IF(AND(B2231&lt;&gt;"",OR($C$4="",ISNUMBER(SEARCH($C$4,C2231&amp;" "&amp;E2231&amp;" "&amp;G2231&amp;" "&amp;H2231&amp;" "&amp;I2231&amp;" "&amp;J2231&amp;" "&amp;K2231&amp;" "&amp;L2231))),OR($C$5="Semua",$C$5="",G2231=$C$5),OR($C$6="Semua",$C$6="",H2231=$C$6,H2231="Pengeluaran "&amp;$C$6,AND($C$6="Uang Kos Mama",H2231="Pengeluaran Uang Kos")),OR($C$7="Semua",$C$7="",I2231=$C$7),OR($C$8="Semua",$C$8="",C2231=$C$8,E2231=$C$8),OR($C$9="Semua",$C$9="",D2231=$C$9),OR($C$10="",B2231&gt;=$C$10),OR($C$11="",B2231&lt;=$C$11),OR($C$12&lt;&gt;"Ya",K2231&lt;&gt;""),OR($C$13="Semua",$C$13="",L2231=$C$13)),"✓","")</f>
        <v/>
      </c>
      <c r="N2231" s="93">
        <f>N(N2230)+IF(M2231="✓",1,0)</f>
        <v/>
      </c>
      <c r="O2231" s="93">
        <f>N(O2230)+IF(AND(B2231&lt;&gt;"",B2231&gt;='Uang Riba'!$H$30,B2231&lt;='Uang Riba'!$I$30,OR(H2231="Dana riba",H2231="Pinjam uang riba",I2231="Pinjam dari uang riba",I2231="Ganti uang riba",I2231="Kelebihan ganti dikembalikan",AND(C2231="Kantong Uang Riba",G2231="Pengeluaran"))),1,0)</f>
        <v/>
      </c>
      <c r="X2231" s="93">
        <f>IF(AND(B2231&lt;&gt;"",B2231&gt;='Buku Akun'!$H$4,B2231&lt;='Buku Akun'!$H$5,OR(C2231='Buku Akun'!$C$4,AND(D2231="Pindah",E2231='Buku Akun'!$C$4))),B2231+IF(AND(I2231="Selisih bunga",DAY(B2231)=1),0,0.01)+ROW()/10000000,"")</f>
        <v/>
      </c>
    </row>
    <row r="2232" outlineLevel="1" ht="15" customHeight="1" s="94">
      <c r="A2232" s="123">
        <f>IF(B2232="","",ROW()-15)</f>
        <v/>
      </c>
      <c r="B2232" s="124" t="n"/>
      <c r="C2232" s="123" t="n"/>
      <c r="D2232" s="123" t="n"/>
      <c r="E2232" s="123" t="n"/>
      <c r="F2232" s="125" t="n"/>
      <c r="G2232" s="123" t="n"/>
      <c r="H2232" s="123" t="n"/>
      <c r="I2232" s="123" t="n"/>
      <c r="J2232" s="123" t="n"/>
      <c r="K2232" s="123" t="n"/>
      <c r="L2232" s="123" t="n"/>
      <c r="M2232" s="123">
        <f>IF(AND(B2232&lt;&gt;"",OR($C$4="",ISNUMBER(SEARCH($C$4,C2232&amp;" "&amp;E2232&amp;" "&amp;G2232&amp;" "&amp;H2232&amp;" "&amp;I2232&amp;" "&amp;J2232&amp;" "&amp;K2232&amp;" "&amp;L2232))),OR($C$5="Semua",$C$5="",G2232=$C$5),OR($C$6="Semua",$C$6="",H2232=$C$6,H2232="Pengeluaran "&amp;$C$6,AND($C$6="Uang Kos Mama",H2232="Pengeluaran Uang Kos")),OR($C$7="Semua",$C$7="",I2232=$C$7),OR($C$8="Semua",$C$8="",C2232=$C$8,E2232=$C$8),OR($C$9="Semua",$C$9="",D2232=$C$9),OR($C$10="",B2232&gt;=$C$10),OR($C$11="",B2232&lt;=$C$11),OR($C$12&lt;&gt;"Ya",K2232&lt;&gt;""),OR($C$13="Semua",$C$13="",L2232=$C$13)),"✓","")</f>
        <v/>
      </c>
      <c r="N2232" s="93">
        <f>N(N2231)+IF(M2232="✓",1,0)</f>
        <v/>
      </c>
      <c r="O2232" s="93">
        <f>N(O2231)+IF(AND(B2232&lt;&gt;"",B2232&gt;='Uang Riba'!$H$30,B2232&lt;='Uang Riba'!$I$30,OR(H2232="Dana riba",H2232="Pinjam uang riba",I2232="Pinjam dari uang riba",I2232="Ganti uang riba",I2232="Kelebihan ganti dikembalikan",AND(C2232="Kantong Uang Riba",G2232="Pengeluaran"))),1,0)</f>
        <v/>
      </c>
      <c r="X2232" s="93">
        <f>IF(AND(B2232&lt;&gt;"",B2232&gt;='Buku Akun'!$H$4,B2232&lt;='Buku Akun'!$H$5,OR(C2232='Buku Akun'!$C$4,AND(D2232="Pindah",E2232='Buku Akun'!$C$4))),B2232+IF(AND(I2232="Selisih bunga",DAY(B2232)=1),0,0.01)+ROW()/10000000,"")</f>
        <v/>
      </c>
    </row>
    <row r="2233" outlineLevel="1" ht="15" customHeight="1" s="94">
      <c r="A2233" s="123">
        <f>IF(B2233="","",ROW()-15)</f>
        <v/>
      </c>
      <c r="B2233" s="124" t="n"/>
      <c r="C2233" s="123" t="n"/>
      <c r="D2233" s="123" t="n"/>
      <c r="E2233" s="123" t="n"/>
      <c r="F2233" s="125" t="n"/>
      <c r="G2233" s="123" t="n"/>
      <c r="H2233" s="123" t="n"/>
      <c r="I2233" s="123" t="n"/>
      <c r="J2233" s="123" t="n"/>
      <c r="K2233" s="123" t="n"/>
      <c r="L2233" s="123" t="n"/>
      <c r="M2233" s="123">
        <f>IF(AND(B2233&lt;&gt;"",OR($C$4="",ISNUMBER(SEARCH($C$4,C2233&amp;" "&amp;E2233&amp;" "&amp;G2233&amp;" "&amp;H2233&amp;" "&amp;I2233&amp;" "&amp;J2233&amp;" "&amp;K2233&amp;" "&amp;L2233))),OR($C$5="Semua",$C$5="",G2233=$C$5),OR($C$6="Semua",$C$6="",H2233=$C$6,H2233="Pengeluaran "&amp;$C$6,AND($C$6="Uang Kos Mama",H2233="Pengeluaran Uang Kos")),OR($C$7="Semua",$C$7="",I2233=$C$7),OR($C$8="Semua",$C$8="",C2233=$C$8,E2233=$C$8),OR($C$9="Semua",$C$9="",D2233=$C$9),OR($C$10="",B2233&gt;=$C$10),OR($C$11="",B2233&lt;=$C$11),OR($C$12&lt;&gt;"Ya",K2233&lt;&gt;""),OR($C$13="Semua",$C$13="",L2233=$C$13)),"✓","")</f>
        <v/>
      </c>
      <c r="N2233" s="93">
        <f>N(N2232)+IF(M2233="✓",1,0)</f>
        <v/>
      </c>
      <c r="O2233" s="93">
        <f>N(O2232)+IF(AND(B2233&lt;&gt;"",B2233&gt;='Uang Riba'!$H$30,B2233&lt;='Uang Riba'!$I$30,OR(H2233="Dana riba",H2233="Pinjam uang riba",I2233="Pinjam dari uang riba",I2233="Ganti uang riba",I2233="Kelebihan ganti dikembalikan",AND(C2233="Kantong Uang Riba",G2233="Pengeluaran"))),1,0)</f>
        <v/>
      </c>
      <c r="X2233" s="93">
        <f>IF(AND(B2233&lt;&gt;"",B2233&gt;='Buku Akun'!$H$4,B2233&lt;='Buku Akun'!$H$5,OR(C2233='Buku Akun'!$C$4,AND(D2233="Pindah",E2233='Buku Akun'!$C$4))),B2233+IF(AND(I2233="Selisih bunga",DAY(B2233)=1),0,0.01)+ROW()/10000000,"")</f>
        <v/>
      </c>
    </row>
    <row r="2234" outlineLevel="1" ht="15" customHeight="1" s="94">
      <c r="A2234" s="123">
        <f>IF(B2234="","",ROW()-15)</f>
        <v/>
      </c>
      <c r="B2234" s="124" t="n"/>
      <c r="C2234" s="123" t="n"/>
      <c r="D2234" s="123" t="n"/>
      <c r="E2234" s="123" t="n"/>
      <c r="F2234" s="125" t="n"/>
      <c r="G2234" s="123" t="n"/>
      <c r="H2234" s="123" t="n"/>
      <c r="I2234" s="123" t="n"/>
      <c r="J2234" s="123" t="n"/>
      <c r="K2234" s="123" t="n"/>
      <c r="L2234" s="123" t="n"/>
      <c r="M2234" s="123">
        <f>IF(AND(B2234&lt;&gt;"",OR($C$4="",ISNUMBER(SEARCH($C$4,C2234&amp;" "&amp;E2234&amp;" "&amp;G2234&amp;" "&amp;H2234&amp;" "&amp;I2234&amp;" "&amp;J2234&amp;" "&amp;K2234&amp;" "&amp;L2234))),OR($C$5="Semua",$C$5="",G2234=$C$5),OR($C$6="Semua",$C$6="",H2234=$C$6,H2234="Pengeluaran "&amp;$C$6,AND($C$6="Uang Kos Mama",H2234="Pengeluaran Uang Kos")),OR($C$7="Semua",$C$7="",I2234=$C$7),OR($C$8="Semua",$C$8="",C2234=$C$8,E2234=$C$8),OR($C$9="Semua",$C$9="",D2234=$C$9),OR($C$10="",B2234&gt;=$C$10),OR($C$11="",B2234&lt;=$C$11),OR($C$12&lt;&gt;"Ya",K2234&lt;&gt;""),OR($C$13="Semua",$C$13="",L2234=$C$13)),"✓","")</f>
        <v/>
      </c>
      <c r="N2234" s="93">
        <f>N(N2233)+IF(M2234="✓",1,0)</f>
        <v/>
      </c>
      <c r="O2234" s="93">
        <f>N(O2233)+IF(AND(B2234&lt;&gt;"",B2234&gt;='Uang Riba'!$H$30,B2234&lt;='Uang Riba'!$I$30,OR(H2234="Dana riba",H2234="Pinjam uang riba",I2234="Pinjam dari uang riba",I2234="Ganti uang riba",I2234="Kelebihan ganti dikembalikan",AND(C2234="Kantong Uang Riba",G2234="Pengeluaran"))),1,0)</f>
        <v/>
      </c>
      <c r="X2234" s="93">
        <f>IF(AND(B2234&lt;&gt;"",B2234&gt;='Buku Akun'!$H$4,B2234&lt;='Buku Akun'!$H$5,OR(C2234='Buku Akun'!$C$4,AND(D2234="Pindah",E2234='Buku Akun'!$C$4))),B2234+IF(AND(I2234="Selisih bunga",DAY(B2234)=1),0,0.01)+ROW()/10000000,"")</f>
        <v/>
      </c>
    </row>
    <row r="2235" outlineLevel="1" ht="15" customHeight="1" s="94">
      <c r="A2235" s="123">
        <f>IF(B2235="","",ROW()-15)</f>
        <v/>
      </c>
      <c r="B2235" s="124" t="n"/>
      <c r="C2235" s="123" t="n"/>
      <c r="D2235" s="123" t="n"/>
      <c r="E2235" s="123" t="n"/>
      <c r="F2235" s="125" t="n"/>
      <c r="G2235" s="123" t="n"/>
      <c r="H2235" s="123" t="n"/>
      <c r="I2235" s="123" t="n"/>
      <c r="J2235" s="123" t="n"/>
      <c r="K2235" s="123" t="n"/>
      <c r="L2235" s="123" t="n"/>
      <c r="M2235" s="123">
        <f>IF(AND(B2235&lt;&gt;"",OR($C$4="",ISNUMBER(SEARCH($C$4,C2235&amp;" "&amp;E2235&amp;" "&amp;G2235&amp;" "&amp;H2235&amp;" "&amp;I2235&amp;" "&amp;J2235&amp;" "&amp;K2235&amp;" "&amp;L2235))),OR($C$5="Semua",$C$5="",G2235=$C$5),OR($C$6="Semua",$C$6="",H2235=$C$6,H2235="Pengeluaran "&amp;$C$6,AND($C$6="Uang Kos Mama",H2235="Pengeluaran Uang Kos")),OR($C$7="Semua",$C$7="",I2235=$C$7),OR($C$8="Semua",$C$8="",C2235=$C$8,E2235=$C$8),OR($C$9="Semua",$C$9="",D2235=$C$9),OR($C$10="",B2235&gt;=$C$10),OR($C$11="",B2235&lt;=$C$11),OR($C$12&lt;&gt;"Ya",K2235&lt;&gt;""),OR($C$13="Semua",$C$13="",L2235=$C$13)),"✓","")</f>
        <v/>
      </c>
      <c r="N2235" s="93">
        <f>N(N2234)+IF(M2235="✓",1,0)</f>
        <v/>
      </c>
      <c r="O2235" s="93">
        <f>N(O2234)+IF(AND(B2235&lt;&gt;"",B2235&gt;='Uang Riba'!$H$30,B2235&lt;='Uang Riba'!$I$30,OR(H2235="Dana riba",H2235="Pinjam uang riba",I2235="Pinjam dari uang riba",I2235="Ganti uang riba",I2235="Kelebihan ganti dikembalikan",AND(C2235="Kantong Uang Riba",G2235="Pengeluaran"))),1,0)</f>
        <v/>
      </c>
      <c r="X2235" s="93">
        <f>IF(AND(B2235&lt;&gt;"",B2235&gt;='Buku Akun'!$H$4,B2235&lt;='Buku Akun'!$H$5,OR(C2235='Buku Akun'!$C$4,AND(D2235="Pindah",E2235='Buku Akun'!$C$4))),B2235+IF(AND(I2235="Selisih bunga",DAY(B2235)=1),0,0.01)+ROW()/10000000,"")</f>
        <v/>
      </c>
    </row>
    <row r="2236" outlineLevel="1" ht="15" customHeight="1" s="94">
      <c r="A2236" s="123">
        <f>IF(B2236="","",ROW()-15)</f>
        <v/>
      </c>
      <c r="B2236" s="124" t="n"/>
      <c r="C2236" s="123" t="n"/>
      <c r="D2236" s="123" t="n"/>
      <c r="E2236" s="123" t="n"/>
      <c r="F2236" s="125" t="n"/>
      <c r="G2236" s="123" t="n"/>
      <c r="H2236" s="123" t="n"/>
      <c r="I2236" s="123" t="n"/>
      <c r="J2236" s="123" t="n"/>
      <c r="K2236" s="123" t="n"/>
      <c r="L2236" s="123" t="n"/>
      <c r="M2236" s="123">
        <f>IF(AND(B2236&lt;&gt;"",OR($C$4="",ISNUMBER(SEARCH($C$4,C2236&amp;" "&amp;E2236&amp;" "&amp;G2236&amp;" "&amp;H2236&amp;" "&amp;I2236&amp;" "&amp;J2236&amp;" "&amp;K2236&amp;" "&amp;L2236))),OR($C$5="Semua",$C$5="",G2236=$C$5),OR($C$6="Semua",$C$6="",H2236=$C$6,H2236="Pengeluaran "&amp;$C$6,AND($C$6="Uang Kos Mama",H2236="Pengeluaran Uang Kos")),OR($C$7="Semua",$C$7="",I2236=$C$7),OR($C$8="Semua",$C$8="",C2236=$C$8,E2236=$C$8),OR($C$9="Semua",$C$9="",D2236=$C$9),OR($C$10="",B2236&gt;=$C$10),OR($C$11="",B2236&lt;=$C$11),OR($C$12&lt;&gt;"Ya",K2236&lt;&gt;""),OR($C$13="Semua",$C$13="",L2236=$C$13)),"✓","")</f>
        <v/>
      </c>
      <c r="N2236" s="93">
        <f>N(N2235)+IF(M2236="✓",1,0)</f>
        <v/>
      </c>
      <c r="O2236" s="93">
        <f>N(O2235)+IF(AND(B2236&lt;&gt;"",B2236&gt;='Uang Riba'!$H$30,B2236&lt;='Uang Riba'!$I$30,OR(H2236="Dana riba",H2236="Pinjam uang riba",I2236="Pinjam dari uang riba",I2236="Ganti uang riba",I2236="Kelebihan ganti dikembalikan",AND(C2236="Kantong Uang Riba",G2236="Pengeluaran"))),1,0)</f>
        <v/>
      </c>
      <c r="X2236" s="93">
        <f>IF(AND(B2236&lt;&gt;"",B2236&gt;='Buku Akun'!$H$4,B2236&lt;='Buku Akun'!$H$5,OR(C2236='Buku Akun'!$C$4,AND(D2236="Pindah",E2236='Buku Akun'!$C$4))),B2236+IF(AND(I2236="Selisih bunga",DAY(B2236)=1),0,0.01)+ROW()/10000000,"")</f>
        <v/>
      </c>
    </row>
    <row r="2237" outlineLevel="1" ht="15" customHeight="1" s="94">
      <c r="A2237" s="123">
        <f>IF(B2237="","",ROW()-15)</f>
        <v/>
      </c>
      <c r="B2237" s="124" t="n"/>
      <c r="C2237" s="123" t="n"/>
      <c r="D2237" s="123" t="n"/>
      <c r="E2237" s="123" t="n"/>
      <c r="F2237" s="125" t="n"/>
      <c r="G2237" s="123" t="n"/>
      <c r="H2237" s="123" t="n"/>
      <c r="I2237" s="123" t="n"/>
      <c r="J2237" s="123" t="n"/>
      <c r="K2237" s="123" t="n"/>
      <c r="L2237" s="123" t="n"/>
      <c r="M2237" s="123">
        <f>IF(AND(B2237&lt;&gt;"",OR($C$4="",ISNUMBER(SEARCH($C$4,C2237&amp;" "&amp;E2237&amp;" "&amp;G2237&amp;" "&amp;H2237&amp;" "&amp;I2237&amp;" "&amp;J2237&amp;" "&amp;K2237&amp;" "&amp;L2237))),OR($C$5="Semua",$C$5="",G2237=$C$5),OR($C$6="Semua",$C$6="",H2237=$C$6,H2237="Pengeluaran "&amp;$C$6,AND($C$6="Uang Kos Mama",H2237="Pengeluaran Uang Kos")),OR($C$7="Semua",$C$7="",I2237=$C$7),OR($C$8="Semua",$C$8="",C2237=$C$8,E2237=$C$8),OR($C$9="Semua",$C$9="",D2237=$C$9),OR($C$10="",B2237&gt;=$C$10),OR($C$11="",B2237&lt;=$C$11),OR($C$12&lt;&gt;"Ya",K2237&lt;&gt;""),OR($C$13="Semua",$C$13="",L2237=$C$13)),"✓","")</f>
        <v/>
      </c>
      <c r="N2237" s="93">
        <f>N(N2236)+IF(M2237="✓",1,0)</f>
        <v/>
      </c>
      <c r="O2237" s="93">
        <f>N(O2236)+IF(AND(B2237&lt;&gt;"",B2237&gt;='Uang Riba'!$H$30,B2237&lt;='Uang Riba'!$I$30,OR(H2237="Dana riba",H2237="Pinjam uang riba",I2237="Pinjam dari uang riba",I2237="Ganti uang riba",I2237="Kelebihan ganti dikembalikan",AND(C2237="Kantong Uang Riba",G2237="Pengeluaran"))),1,0)</f>
        <v/>
      </c>
      <c r="X2237" s="93">
        <f>IF(AND(B2237&lt;&gt;"",B2237&gt;='Buku Akun'!$H$4,B2237&lt;='Buku Akun'!$H$5,OR(C2237='Buku Akun'!$C$4,AND(D2237="Pindah",E2237='Buku Akun'!$C$4))),B2237+IF(AND(I2237="Selisih bunga",DAY(B2237)=1),0,0.01)+ROW()/10000000,"")</f>
        <v/>
      </c>
    </row>
    <row r="2238" outlineLevel="1" ht="15" customHeight="1" s="94">
      <c r="A2238" s="123">
        <f>IF(B2238="","",ROW()-15)</f>
        <v/>
      </c>
      <c r="B2238" s="124" t="n"/>
      <c r="C2238" s="123" t="n"/>
      <c r="D2238" s="123" t="n"/>
      <c r="E2238" s="123" t="n"/>
      <c r="F2238" s="125" t="n"/>
      <c r="G2238" s="123" t="n"/>
      <c r="H2238" s="123" t="n"/>
      <c r="I2238" s="123" t="n"/>
      <c r="J2238" s="123" t="n"/>
      <c r="K2238" s="123" t="n"/>
      <c r="L2238" s="123" t="n"/>
      <c r="M2238" s="123">
        <f>IF(AND(B2238&lt;&gt;"",OR($C$4="",ISNUMBER(SEARCH($C$4,C2238&amp;" "&amp;E2238&amp;" "&amp;G2238&amp;" "&amp;H2238&amp;" "&amp;I2238&amp;" "&amp;J2238&amp;" "&amp;K2238&amp;" "&amp;L2238))),OR($C$5="Semua",$C$5="",G2238=$C$5),OR($C$6="Semua",$C$6="",H2238=$C$6,H2238="Pengeluaran "&amp;$C$6,AND($C$6="Uang Kos Mama",H2238="Pengeluaran Uang Kos")),OR($C$7="Semua",$C$7="",I2238=$C$7),OR($C$8="Semua",$C$8="",C2238=$C$8,E2238=$C$8),OR($C$9="Semua",$C$9="",D2238=$C$9),OR($C$10="",B2238&gt;=$C$10),OR($C$11="",B2238&lt;=$C$11),OR($C$12&lt;&gt;"Ya",K2238&lt;&gt;""),OR($C$13="Semua",$C$13="",L2238=$C$13)),"✓","")</f>
        <v/>
      </c>
      <c r="N2238" s="93">
        <f>N(N2237)+IF(M2238="✓",1,0)</f>
        <v/>
      </c>
      <c r="O2238" s="93">
        <f>N(O2237)+IF(AND(B2238&lt;&gt;"",B2238&gt;='Uang Riba'!$H$30,B2238&lt;='Uang Riba'!$I$30,OR(H2238="Dana riba",H2238="Pinjam uang riba",I2238="Pinjam dari uang riba",I2238="Ganti uang riba",I2238="Kelebihan ganti dikembalikan",AND(C2238="Kantong Uang Riba",G2238="Pengeluaran"))),1,0)</f>
        <v/>
      </c>
      <c r="X2238" s="93">
        <f>IF(AND(B2238&lt;&gt;"",B2238&gt;='Buku Akun'!$H$4,B2238&lt;='Buku Akun'!$H$5,OR(C2238='Buku Akun'!$C$4,AND(D2238="Pindah",E2238='Buku Akun'!$C$4))),B2238+IF(AND(I2238="Selisih bunga",DAY(B2238)=1),0,0.01)+ROW()/10000000,"")</f>
        <v/>
      </c>
    </row>
    <row r="2239" outlineLevel="1" ht="15" customHeight="1" s="94">
      <c r="A2239" s="123">
        <f>IF(B2239="","",ROW()-15)</f>
        <v/>
      </c>
      <c r="B2239" s="124" t="n"/>
      <c r="C2239" s="123" t="n"/>
      <c r="D2239" s="123" t="n"/>
      <c r="E2239" s="123" t="n"/>
      <c r="F2239" s="125" t="n"/>
      <c r="G2239" s="123" t="n"/>
      <c r="H2239" s="123" t="n"/>
      <c r="I2239" s="123" t="n"/>
      <c r="J2239" s="123" t="n"/>
      <c r="K2239" s="123" t="n"/>
      <c r="L2239" s="123" t="n"/>
      <c r="M2239" s="123">
        <f>IF(AND(B2239&lt;&gt;"",OR($C$4="",ISNUMBER(SEARCH($C$4,C2239&amp;" "&amp;E2239&amp;" "&amp;G2239&amp;" "&amp;H2239&amp;" "&amp;I2239&amp;" "&amp;J2239&amp;" "&amp;K2239&amp;" "&amp;L2239))),OR($C$5="Semua",$C$5="",G2239=$C$5),OR($C$6="Semua",$C$6="",H2239=$C$6,H2239="Pengeluaran "&amp;$C$6,AND($C$6="Uang Kos Mama",H2239="Pengeluaran Uang Kos")),OR($C$7="Semua",$C$7="",I2239=$C$7),OR($C$8="Semua",$C$8="",C2239=$C$8,E2239=$C$8),OR($C$9="Semua",$C$9="",D2239=$C$9),OR($C$10="",B2239&gt;=$C$10),OR($C$11="",B2239&lt;=$C$11),OR($C$12&lt;&gt;"Ya",K2239&lt;&gt;""),OR($C$13="Semua",$C$13="",L2239=$C$13)),"✓","")</f>
        <v/>
      </c>
      <c r="N2239" s="93">
        <f>N(N2238)+IF(M2239="✓",1,0)</f>
        <v/>
      </c>
      <c r="O2239" s="93">
        <f>N(O2238)+IF(AND(B2239&lt;&gt;"",B2239&gt;='Uang Riba'!$H$30,B2239&lt;='Uang Riba'!$I$30,OR(H2239="Dana riba",H2239="Pinjam uang riba",I2239="Pinjam dari uang riba",I2239="Ganti uang riba",I2239="Kelebihan ganti dikembalikan",AND(C2239="Kantong Uang Riba",G2239="Pengeluaran"))),1,0)</f>
        <v/>
      </c>
      <c r="X2239" s="93">
        <f>IF(AND(B2239&lt;&gt;"",B2239&gt;='Buku Akun'!$H$4,B2239&lt;='Buku Akun'!$H$5,OR(C2239='Buku Akun'!$C$4,AND(D2239="Pindah",E2239='Buku Akun'!$C$4))),B2239+IF(AND(I2239="Selisih bunga",DAY(B2239)=1),0,0.01)+ROW()/10000000,"")</f>
        <v/>
      </c>
    </row>
    <row r="2240" outlineLevel="1" ht="15" customHeight="1" s="94">
      <c r="A2240" s="123">
        <f>IF(B2240="","",ROW()-15)</f>
        <v/>
      </c>
      <c r="B2240" s="124" t="n"/>
      <c r="C2240" s="123" t="n"/>
      <c r="D2240" s="123" t="n"/>
      <c r="E2240" s="123" t="n"/>
      <c r="F2240" s="125" t="n"/>
      <c r="G2240" s="123" t="n"/>
      <c r="H2240" s="123" t="n"/>
      <c r="I2240" s="123" t="n"/>
      <c r="J2240" s="123" t="n"/>
      <c r="K2240" s="123" t="n"/>
      <c r="L2240" s="123" t="n"/>
      <c r="M2240" s="123">
        <f>IF(AND(B2240&lt;&gt;"",OR($C$4="",ISNUMBER(SEARCH($C$4,C2240&amp;" "&amp;E2240&amp;" "&amp;G2240&amp;" "&amp;H2240&amp;" "&amp;I2240&amp;" "&amp;J2240&amp;" "&amp;K2240&amp;" "&amp;L2240))),OR($C$5="Semua",$C$5="",G2240=$C$5),OR($C$6="Semua",$C$6="",H2240=$C$6,H2240="Pengeluaran "&amp;$C$6,AND($C$6="Uang Kos Mama",H2240="Pengeluaran Uang Kos")),OR($C$7="Semua",$C$7="",I2240=$C$7),OR($C$8="Semua",$C$8="",C2240=$C$8,E2240=$C$8),OR($C$9="Semua",$C$9="",D2240=$C$9),OR($C$10="",B2240&gt;=$C$10),OR($C$11="",B2240&lt;=$C$11),OR($C$12&lt;&gt;"Ya",K2240&lt;&gt;""),OR($C$13="Semua",$C$13="",L2240=$C$13)),"✓","")</f>
        <v/>
      </c>
      <c r="N2240" s="93">
        <f>N(N2239)+IF(M2240="✓",1,0)</f>
        <v/>
      </c>
      <c r="O2240" s="93">
        <f>N(O2239)+IF(AND(B2240&lt;&gt;"",B2240&gt;='Uang Riba'!$H$30,B2240&lt;='Uang Riba'!$I$30,OR(H2240="Dana riba",H2240="Pinjam uang riba",I2240="Pinjam dari uang riba",I2240="Ganti uang riba",I2240="Kelebihan ganti dikembalikan",AND(C2240="Kantong Uang Riba",G2240="Pengeluaran"))),1,0)</f>
        <v/>
      </c>
      <c r="X2240" s="93">
        <f>IF(AND(B2240&lt;&gt;"",B2240&gt;='Buku Akun'!$H$4,B2240&lt;='Buku Akun'!$H$5,OR(C2240='Buku Akun'!$C$4,AND(D2240="Pindah",E2240='Buku Akun'!$C$4))),B2240+IF(AND(I2240="Selisih bunga",DAY(B2240)=1),0,0.01)+ROW()/10000000,"")</f>
        <v/>
      </c>
    </row>
    <row r="2241" outlineLevel="1" ht="15" customHeight="1" s="94">
      <c r="A2241" s="123">
        <f>IF(B2241="","",ROW()-15)</f>
        <v/>
      </c>
      <c r="B2241" s="124" t="n"/>
      <c r="C2241" s="123" t="n"/>
      <c r="D2241" s="123" t="n"/>
      <c r="E2241" s="123" t="n"/>
      <c r="F2241" s="125" t="n"/>
      <c r="G2241" s="123" t="n"/>
      <c r="H2241" s="123" t="n"/>
      <c r="I2241" s="123" t="n"/>
      <c r="J2241" s="123" t="n"/>
      <c r="K2241" s="123" t="n"/>
      <c r="L2241" s="123" t="n"/>
      <c r="M2241" s="123">
        <f>IF(AND(B2241&lt;&gt;"",OR($C$4="",ISNUMBER(SEARCH($C$4,C2241&amp;" "&amp;E2241&amp;" "&amp;G2241&amp;" "&amp;H2241&amp;" "&amp;I2241&amp;" "&amp;J2241&amp;" "&amp;K2241&amp;" "&amp;L2241))),OR($C$5="Semua",$C$5="",G2241=$C$5),OR($C$6="Semua",$C$6="",H2241=$C$6,H2241="Pengeluaran "&amp;$C$6,AND($C$6="Uang Kos Mama",H2241="Pengeluaran Uang Kos")),OR($C$7="Semua",$C$7="",I2241=$C$7),OR($C$8="Semua",$C$8="",C2241=$C$8,E2241=$C$8),OR($C$9="Semua",$C$9="",D2241=$C$9),OR($C$10="",B2241&gt;=$C$10),OR($C$11="",B2241&lt;=$C$11),OR($C$12&lt;&gt;"Ya",K2241&lt;&gt;""),OR($C$13="Semua",$C$13="",L2241=$C$13)),"✓","")</f>
        <v/>
      </c>
      <c r="N2241" s="93">
        <f>N(N2240)+IF(M2241="✓",1,0)</f>
        <v/>
      </c>
      <c r="O2241" s="93">
        <f>N(O2240)+IF(AND(B2241&lt;&gt;"",B2241&gt;='Uang Riba'!$H$30,B2241&lt;='Uang Riba'!$I$30,OR(H2241="Dana riba",H2241="Pinjam uang riba",I2241="Pinjam dari uang riba",I2241="Ganti uang riba",I2241="Kelebihan ganti dikembalikan",AND(C2241="Kantong Uang Riba",G2241="Pengeluaran"))),1,0)</f>
        <v/>
      </c>
      <c r="X2241" s="93">
        <f>IF(AND(B2241&lt;&gt;"",B2241&gt;='Buku Akun'!$H$4,B2241&lt;='Buku Akun'!$H$5,OR(C2241='Buku Akun'!$C$4,AND(D2241="Pindah",E2241='Buku Akun'!$C$4))),B2241+IF(AND(I2241="Selisih bunga",DAY(B2241)=1),0,0.01)+ROW()/10000000,"")</f>
        <v/>
      </c>
    </row>
    <row r="2242" outlineLevel="1" ht="15" customHeight="1" s="94">
      <c r="A2242" s="123">
        <f>IF(B2242="","",ROW()-15)</f>
        <v/>
      </c>
      <c r="B2242" s="124" t="n"/>
      <c r="C2242" s="123" t="n"/>
      <c r="D2242" s="123" t="n"/>
      <c r="E2242" s="123" t="n"/>
      <c r="F2242" s="125" t="n"/>
      <c r="G2242" s="123" t="n"/>
      <c r="H2242" s="123" t="n"/>
      <c r="I2242" s="123" t="n"/>
      <c r="J2242" s="123" t="n"/>
      <c r="K2242" s="123" t="n"/>
      <c r="L2242" s="123" t="n"/>
      <c r="M2242" s="123">
        <f>IF(AND(B2242&lt;&gt;"",OR($C$4="",ISNUMBER(SEARCH($C$4,C2242&amp;" "&amp;E2242&amp;" "&amp;G2242&amp;" "&amp;H2242&amp;" "&amp;I2242&amp;" "&amp;J2242&amp;" "&amp;K2242&amp;" "&amp;L2242))),OR($C$5="Semua",$C$5="",G2242=$C$5),OR($C$6="Semua",$C$6="",H2242=$C$6,H2242="Pengeluaran "&amp;$C$6,AND($C$6="Uang Kos Mama",H2242="Pengeluaran Uang Kos")),OR($C$7="Semua",$C$7="",I2242=$C$7),OR($C$8="Semua",$C$8="",C2242=$C$8,E2242=$C$8),OR($C$9="Semua",$C$9="",D2242=$C$9),OR($C$10="",B2242&gt;=$C$10),OR($C$11="",B2242&lt;=$C$11),OR($C$12&lt;&gt;"Ya",K2242&lt;&gt;""),OR($C$13="Semua",$C$13="",L2242=$C$13)),"✓","")</f>
        <v/>
      </c>
      <c r="N2242" s="93">
        <f>N(N2241)+IF(M2242="✓",1,0)</f>
        <v/>
      </c>
      <c r="O2242" s="93">
        <f>N(O2241)+IF(AND(B2242&lt;&gt;"",B2242&gt;='Uang Riba'!$H$30,B2242&lt;='Uang Riba'!$I$30,OR(H2242="Dana riba",H2242="Pinjam uang riba",I2242="Pinjam dari uang riba",I2242="Ganti uang riba",I2242="Kelebihan ganti dikembalikan",AND(C2242="Kantong Uang Riba",G2242="Pengeluaran"))),1,0)</f>
        <v/>
      </c>
      <c r="X2242" s="93">
        <f>IF(AND(B2242&lt;&gt;"",B2242&gt;='Buku Akun'!$H$4,B2242&lt;='Buku Akun'!$H$5,OR(C2242='Buku Akun'!$C$4,AND(D2242="Pindah",E2242='Buku Akun'!$C$4))),B2242+IF(AND(I2242="Selisih bunga",DAY(B2242)=1),0,0.01)+ROW()/10000000,"")</f>
        <v/>
      </c>
    </row>
    <row r="2243" outlineLevel="1" ht="15" customHeight="1" s="94">
      <c r="A2243" s="123">
        <f>IF(B2243="","",ROW()-15)</f>
        <v/>
      </c>
      <c r="B2243" s="124" t="n"/>
      <c r="C2243" s="123" t="n"/>
      <c r="D2243" s="123" t="n"/>
      <c r="E2243" s="123" t="n"/>
      <c r="F2243" s="125" t="n"/>
      <c r="G2243" s="123" t="n"/>
      <c r="H2243" s="123" t="n"/>
      <c r="I2243" s="123" t="n"/>
      <c r="J2243" s="123" t="n"/>
      <c r="K2243" s="123" t="n"/>
      <c r="L2243" s="123" t="n"/>
      <c r="M2243" s="123">
        <f>IF(AND(B2243&lt;&gt;"",OR($C$4="",ISNUMBER(SEARCH($C$4,C2243&amp;" "&amp;E2243&amp;" "&amp;G2243&amp;" "&amp;H2243&amp;" "&amp;I2243&amp;" "&amp;J2243&amp;" "&amp;K2243&amp;" "&amp;L2243))),OR($C$5="Semua",$C$5="",G2243=$C$5),OR($C$6="Semua",$C$6="",H2243=$C$6,H2243="Pengeluaran "&amp;$C$6,AND($C$6="Uang Kos Mama",H2243="Pengeluaran Uang Kos")),OR($C$7="Semua",$C$7="",I2243=$C$7),OR($C$8="Semua",$C$8="",C2243=$C$8,E2243=$C$8),OR($C$9="Semua",$C$9="",D2243=$C$9),OR($C$10="",B2243&gt;=$C$10),OR($C$11="",B2243&lt;=$C$11),OR($C$12&lt;&gt;"Ya",K2243&lt;&gt;""),OR($C$13="Semua",$C$13="",L2243=$C$13)),"✓","")</f>
        <v/>
      </c>
      <c r="N2243" s="93">
        <f>N(N2242)+IF(M2243="✓",1,0)</f>
        <v/>
      </c>
      <c r="O2243" s="93">
        <f>N(O2242)+IF(AND(B2243&lt;&gt;"",B2243&gt;='Uang Riba'!$H$30,B2243&lt;='Uang Riba'!$I$30,OR(H2243="Dana riba",H2243="Pinjam uang riba",I2243="Pinjam dari uang riba",I2243="Ganti uang riba",I2243="Kelebihan ganti dikembalikan",AND(C2243="Kantong Uang Riba",G2243="Pengeluaran"))),1,0)</f>
        <v/>
      </c>
      <c r="X2243" s="93">
        <f>IF(AND(B2243&lt;&gt;"",B2243&gt;='Buku Akun'!$H$4,B2243&lt;='Buku Akun'!$H$5,OR(C2243='Buku Akun'!$C$4,AND(D2243="Pindah",E2243='Buku Akun'!$C$4))),B2243+IF(AND(I2243="Selisih bunga",DAY(B2243)=1),0,0.01)+ROW()/10000000,"")</f>
        <v/>
      </c>
    </row>
    <row r="2244" outlineLevel="1" ht="15" customHeight="1" s="94">
      <c r="A2244" s="123">
        <f>IF(B2244="","",ROW()-15)</f>
        <v/>
      </c>
      <c r="B2244" s="124" t="n"/>
      <c r="C2244" s="123" t="n"/>
      <c r="D2244" s="123" t="n"/>
      <c r="E2244" s="123" t="n"/>
      <c r="F2244" s="125" t="n"/>
      <c r="G2244" s="123" t="n"/>
      <c r="H2244" s="123" t="n"/>
      <c r="I2244" s="123" t="n"/>
      <c r="J2244" s="123" t="n"/>
      <c r="K2244" s="123" t="n"/>
      <c r="L2244" s="123" t="n"/>
      <c r="M2244" s="123">
        <f>IF(AND(B2244&lt;&gt;"",OR($C$4="",ISNUMBER(SEARCH($C$4,C2244&amp;" "&amp;E2244&amp;" "&amp;G2244&amp;" "&amp;H2244&amp;" "&amp;I2244&amp;" "&amp;J2244&amp;" "&amp;K2244&amp;" "&amp;L2244))),OR($C$5="Semua",$C$5="",G2244=$C$5),OR($C$6="Semua",$C$6="",H2244=$C$6,H2244="Pengeluaran "&amp;$C$6,AND($C$6="Uang Kos Mama",H2244="Pengeluaran Uang Kos")),OR($C$7="Semua",$C$7="",I2244=$C$7),OR($C$8="Semua",$C$8="",C2244=$C$8,E2244=$C$8),OR($C$9="Semua",$C$9="",D2244=$C$9),OR($C$10="",B2244&gt;=$C$10),OR($C$11="",B2244&lt;=$C$11),OR($C$12&lt;&gt;"Ya",K2244&lt;&gt;""),OR($C$13="Semua",$C$13="",L2244=$C$13)),"✓","")</f>
        <v/>
      </c>
      <c r="N2244" s="93">
        <f>N(N2243)+IF(M2244="✓",1,0)</f>
        <v/>
      </c>
      <c r="O2244" s="93">
        <f>N(O2243)+IF(AND(B2244&lt;&gt;"",B2244&gt;='Uang Riba'!$H$30,B2244&lt;='Uang Riba'!$I$30,OR(H2244="Dana riba",H2244="Pinjam uang riba",I2244="Pinjam dari uang riba",I2244="Ganti uang riba",I2244="Kelebihan ganti dikembalikan",AND(C2244="Kantong Uang Riba",G2244="Pengeluaran"))),1,0)</f>
        <v/>
      </c>
      <c r="X2244" s="93">
        <f>IF(AND(B2244&lt;&gt;"",B2244&gt;='Buku Akun'!$H$4,B2244&lt;='Buku Akun'!$H$5,OR(C2244='Buku Akun'!$C$4,AND(D2244="Pindah",E2244='Buku Akun'!$C$4))),B2244+IF(AND(I2244="Selisih bunga",DAY(B2244)=1),0,0.01)+ROW()/10000000,"")</f>
        <v/>
      </c>
    </row>
    <row r="2245" outlineLevel="1" ht="15" customHeight="1" s="94">
      <c r="A2245" s="123">
        <f>IF(B2245="","",ROW()-15)</f>
        <v/>
      </c>
      <c r="B2245" s="124" t="n"/>
      <c r="C2245" s="123" t="n"/>
      <c r="D2245" s="123" t="n"/>
      <c r="E2245" s="123" t="n"/>
      <c r="F2245" s="125" t="n"/>
      <c r="G2245" s="123" t="n"/>
      <c r="H2245" s="123" t="n"/>
      <c r="I2245" s="123" t="n"/>
      <c r="J2245" s="123" t="n"/>
      <c r="K2245" s="123" t="n"/>
      <c r="L2245" s="123" t="n"/>
      <c r="M2245" s="123">
        <f>IF(AND(B2245&lt;&gt;"",OR($C$4="",ISNUMBER(SEARCH($C$4,C2245&amp;" "&amp;E2245&amp;" "&amp;G2245&amp;" "&amp;H2245&amp;" "&amp;I2245&amp;" "&amp;J2245&amp;" "&amp;K2245&amp;" "&amp;L2245))),OR($C$5="Semua",$C$5="",G2245=$C$5),OR($C$6="Semua",$C$6="",H2245=$C$6,H2245="Pengeluaran "&amp;$C$6,AND($C$6="Uang Kos Mama",H2245="Pengeluaran Uang Kos")),OR($C$7="Semua",$C$7="",I2245=$C$7),OR($C$8="Semua",$C$8="",C2245=$C$8,E2245=$C$8),OR($C$9="Semua",$C$9="",D2245=$C$9),OR($C$10="",B2245&gt;=$C$10),OR($C$11="",B2245&lt;=$C$11),OR($C$12&lt;&gt;"Ya",K2245&lt;&gt;""),OR($C$13="Semua",$C$13="",L2245=$C$13)),"✓","")</f>
        <v/>
      </c>
      <c r="N2245" s="93">
        <f>N(N2244)+IF(M2245="✓",1,0)</f>
        <v/>
      </c>
      <c r="O2245" s="93">
        <f>N(O2244)+IF(AND(B2245&lt;&gt;"",B2245&gt;='Uang Riba'!$H$30,B2245&lt;='Uang Riba'!$I$30,OR(H2245="Dana riba",H2245="Pinjam uang riba",I2245="Pinjam dari uang riba",I2245="Ganti uang riba",I2245="Kelebihan ganti dikembalikan",AND(C2245="Kantong Uang Riba",G2245="Pengeluaran"))),1,0)</f>
        <v/>
      </c>
      <c r="X2245" s="93">
        <f>IF(AND(B2245&lt;&gt;"",B2245&gt;='Buku Akun'!$H$4,B2245&lt;='Buku Akun'!$H$5,OR(C2245='Buku Akun'!$C$4,AND(D2245="Pindah",E2245='Buku Akun'!$C$4))),B2245+IF(AND(I2245="Selisih bunga",DAY(B2245)=1),0,0.01)+ROW()/10000000,"")</f>
        <v/>
      </c>
    </row>
    <row r="2246" outlineLevel="1" ht="15" customHeight="1" s="94">
      <c r="A2246" s="123">
        <f>IF(B2246="","",ROW()-15)</f>
        <v/>
      </c>
      <c r="B2246" s="124" t="n"/>
      <c r="C2246" s="123" t="n"/>
      <c r="D2246" s="123" t="n"/>
      <c r="E2246" s="123" t="n"/>
      <c r="F2246" s="125" t="n"/>
      <c r="G2246" s="123" t="n"/>
      <c r="H2246" s="123" t="n"/>
      <c r="I2246" s="123" t="n"/>
      <c r="J2246" s="123" t="n"/>
      <c r="K2246" s="123" t="n"/>
      <c r="L2246" s="123" t="n"/>
      <c r="M2246" s="123">
        <f>IF(AND(B2246&lt;&gt;"",OR($C$4="",ISNUMBER(SEARCH($C$4,C2246&amp;" "&amp;E2246&amp;" "&amp;G2246&amp;" "&amp;H2246&amp;" "&amp;I2246&amp;" "&amp;J2246&amp;" "&amp;K2246&amp;" "&amp;L2246))),OR($C$5="Semua",$C$5="",G2246=$C$5),OR($C$6="Semua",$C$6="",H2246=$C$6,H2246="Pengeluaran "&amp;$C$6,AND($C$6="Uang Kos Mama",H2246="Pengeluaran Uang Kos")),OR($C$7="Semua",$C$7="",I2246=$C$7),OR($C$8="Semua",$C$8="",C2246=$C$8,E2246=$C$8),OR($C$9="Semua",$C$9="",D2246=$C$9),OR($C$10="",B2246&gt;=$C$10),OR($C$11="",B2246&lt;=$C$11),OR($C$12&lt;&gt;"Ya",K2246&lt;&gt;""),OR($C$13="Semua",$C$13="",L2246=$C$13)),"✓","")</f>
        <v/>
      </c>
      <c r="N2246" s="93">
        <f>N(N2245)+IF(M2246="✓",1,0)</f>
        <v/>
      </c>
      <c r="O2246" s="93">
        <f>N(O2245)+IF(AND(B2246&lt;&gt;"",B2246&gt;='Uang Riba'!$H$30,B2246&lt;='Uang Riba'!$I$30,OR(H2246="Dana riba",H2246="Pinjam uang riba",I2246="Pinjam dari uang riba",I2246="Ganti uang riba",I2246="Kelebihan ganti dikembalikan",AND(C2246="Kantong Uang Riba",G2246="Pengeluaran"))),1,0)</f>
        <v/>
      </c>
      <c r="X2246" s="93">
        <f>IF(AND(B2246&lt;&gt;"",B2246&gt;='Buku Akun'!$H$4,B2246&lt;='Buku Akun'!$H$5,OR(C2246='Buku Akun'!$C$4,AND(D2246="Pindah",E2246='Buku Akun'!$C$4))),B2246+IF(AND(I2246="Selisih bunga",DAY(B2246)=1),0,0.01)+ROW()/10000000,"")</f>
        <v/>
      </c>
    </row>
    <row r="2247" outlineLevel="1" ht="15" customHeight="1" s="94">
      <c r="A2247" s="123">
        <f>IF(B2247="","",ROW()-15)</f>
        <v/>
      </c>
      <c r="B2247" s="124" t="n"/>
      <c r="C2247" s="123" t="n"/>
      <c r="D2247" s="123" t="n"/>
      <c r="E2247" s="123" t="n"/>
      <c r="F2247" s="125" t="n"/>
      <c r="G2247" s="123" t="n"/>
      <c r="H2247" s="123" t="n"/>
      <c r="I2247" s="123" t="n"/>
      <c r="J2247" s="123" t="n"/>
      <c r="K2247" s="123" t="n"/>
      <c r="L2247" s="123" t="n"/>
      <c r="M2247" s="123">
        <f>IF(AND(B2247&lt;&gt;"",OR($C$4="",ISNUMBER(SEARCH($C$4,C2247&amp;" "&amp;E2247&amp;" "&amp;G2247&amp;" "&amp;H2247&amp;" "&amp;I2247&amp;" "&amp;J2247&amp;" "&amp;K2247&amp;" "&amp;L2247))),OR($C$5="Semua",$C$5="",G2247=$C$5),OR($C$6="Semua",$C$6="",H2247=$C$6,H2247="Pengeluaran "&amp;$C$6,AND($C$6="Uang Kos Mama",H2247="Pengeluaran Uang Kos")),OR($C$7="Semua",$C$7="",I2247=$C$7),OR($C$8="Semua",$C$8="",C2247=$C$8,E2247=$C$8),OR($C$9="Semua",$C$9="",D2247=$C$9),OR($C$10="",B2247&gt;=$C$10),OR($C$11="",B2247&lt;=$C$11),OR($C$12&lt;&gt;"Ya",K2247&lt;&gt;""),OR($C$13="Semua",$C$13="",L2247=$C$13)),"✓","")</f>
        <v/>
      </c>
      <c r="N2247" s="93">
        <f>N(N2246)+IF(M2247="✓",1,0)</f>
        <v/>
      </c>
      <c r="O2247" s="93">
        <f>N(O2246)+IF(AND(B2247&lt;&gt;"",B2247&gt;='Uang Riba'!$H$30,B2247&lt;='Uang Riba'!$I$30,OR(H2247="Dana riba",H2247="Pinjam uang riba",I2247="Pinjam dari uang riba",I2247="Ganti uang riba",I2247="Kelebihan ganti dikembalikan",AND(C2247="Kantong Uang Riba",G2247="Pengeluaran"))),1,0)</f>
        <v/>
      </c>
      <c r="X2247" s="93">
        <f>IF(AND(B2247&lt;&gt;"",B2247&gt;='Buku Akun'!$H$4,B2247&lt;='Buku Akun'!$H$5,OR(C2247='Buku Akun'!$C$4,AND(D2247="Pindah",E2247='Buku Akun'!$C$4))),B2247+IF(AND(I2247="Selisih bunga",DAY(B2247)=1),0,0.01)+ROW()/10000000,"")</f>
        <v/>
      </c>
    </row>
    <row r="2248" outlineLevel="1" ht="15" customHeight="1" s="94">
      <c r="A2248" s="123">
        <f>IF(B2248="","",ROW()-15)</f>
        <v/>
      </c>
      <c r="B2248" s="124" t="n"/>
      <c r="C2248" s="123" t="n"/>
      <c r="D2248" s="123" t="n"/>
      <c r="E2248" s="123" t="n"/>
      <c r="F2248" s="125" t="n"/>
      <c r="G2248" s="123" t="n"/>
      <c r="H2248" s="123" t="n"/>
      <c r="I2248" s="123" t="n"/>
      <c r="J2248" s="123" t="n"/>
      <c r="K2248" s="123" t="n"/>
      <c r="L2248" s="123" t="n"/>
      <c r="M2248" s="123">
        <f>IF(AND(B2248&lt;&gt;"",OR($C$4="",ISNUMBER(SEARCH($C$4,C2248&amp;" "&amp;E2248&amp;" "&amp;G2248&amp;" "&amp;H2248&amp;" "&amp;I2248&amp;" "&amp;J2248&amp;" "&amp;K2248&amp;" "&amp;L2248))),OR($C$5="Semua",$C$5="",G2248=$C$5),OR($C$6="Semua",$C$6="",H2248=$C$6,H2248="Pengeluaran "&amp;$C$6,AND($C$6="Uang Kos Mama",H2248="Pengeluaran Uang Kos")),OR($C$7="Semua",$C$7="",I2248=$C$7),OR($C$8="Semua",$C$8="",C2248=$C$8,E2248=$C$8),OR($C$9="Semua",$C$9="",D2248=$C$9),OR($C$10="",B2248&gt;=$C$10),OR($C$11="",B2248&lt;=$C$11),OR($C$12&lt;&gt;"Ya",K2248&lt;&gt;""),OR($C$13="Semua",$C$13="",L2248=$C$13)),"✓","")</f>
        <v/>
      </c>
      <c r="N2248" s="93">
        <f>N(N2247)+IF(M2248="✓",1,0)</f>
        <v/>
      </c>
      <c r="O2248" s="93">
        <f>N(O2247)+IF(AND(B2248&lt;&gt;"",B2248&gt;='Uang Riba'!$H$30,B2248&lt;='Uang Riba'!$I$30,OR(H2248="Dana riba",H2248="Pinjam uang riba",I2248="Pinjam dari uang riba",I2248="Ganti uang riba",I2248="Kelebihan ganti dikembalikan",AND(C2248="Kantong Uang Riba",G2248="Pengeluaran"))),1,0)</f>
        <v/>
      </c>
      <c r="X2248" s="93">
        <f>IF(AND(B2248&lt;&gt;"",B2248&gt;='Buku Akun'!$H$4,B2248&lt;='Buku Akun'!$H$5,OR(C2248='Buku Akun'!$C$4,AND(D2248="Pindah",E2248='Buku Akun'!$C$4))),B2248+IF(AND(I2248="Selisih bunga",DAY(B2248)=1),0,0.01)+ROW()/10000000,"")</f>
        <v/>
      </c>
    </row>
    <row r="2249" outlineLevel="1" ht="15" customHeight="1" s="94">
      <c r="A2249" s="123">
        <f>IF(B2249="","",ROW()-15)</f>
        <v/>
      </c>
      <c r="B2249" s="124" t="n"/>
      <c r="C2249" s="123" t="n"/>
      <c r="D2249" s="123" t="n"/>
      <c r="E2249" s="123" t="n"/>
      <c r="F2249" s="125" t="n"/>
      <c r="G2249" s="123" t="n"/>
      <c r="H2249" s="123" t="n"/>
      <c r="I2249" s="123" t="n"/>
      <c r="J2249" s="123" t="n"/>
      <c r="K2249" s="123" t="n"/>
      <c r="L2249" s="123" t="n"/>
      <c r="M2249" s="123">
        <f>IF(AND(B2249&lt;&gt;"",OR($C$4="",ISNUMBER(SEARCH($C$4,C2249&amp;" "&amp;E2249&amp;" "&amp;G2249&amp;" "&amp;H2249&amp;" "&amp;I2249&amp;" "&amp;J2249&amp;" "&amp;K2249&amp;" "&amp;L2249))),OR($C$5="Semua",$C$5="",G2249=$C$5),OR($C$6="Semua",$C$6="",H2249=$C$6,H2249="Pengeluaran "&amp;$C$6,AND($C$6="Uang Kos Mama",H2249="Pengeluaran Uang Kos")),OR($C$7="Semua",$C$7="",I2249=$C$7),OR($C$8="Semua",$C$8="",C2249=$C$8,E2249=$C$8),OR($C$9="Semua",$C$9="",D2249=$C$9),OR($C$10="",B2249&gt;=$C$10),OR($C$11="",B2249&lt;=$C$11),OR($C$12&lt;&gt;"Ya",K2249&lt;&gt;""),OR($C$13="Semua",$C$13="",L2249=$C$13)),"✓","")</f>
        <v/>
      </c>
      <c r="N2249" s="93">
        <f>N(N2248)+IF(M2249="✓",1,0)</f>
        <v/>
      </c>
      <c r="O2249" s="93">
        <f>N(O2248)+IF(AND(B2249&lt;&gt;"",B2249&gt;='Uang Riba'!$H$30,B2249&lt;='Uang Riba'!$I$30,OR(H2249="Dana riba",H2249="Pinjam uang riba",I2249="Pinjam dari uang riba",I2249="Ganti uang riba",I2249="Kelebihan ganti dikembalikan",AND(C2249="Kantong Uang Riba",G2249="Pengeluaran"))),1,0)</f>
        <v/>
      </c>
      <c r="X2249" s="93">
        <f>IF(AND(B2249&lt;&gt;"",B2249&gt;='Buku Akun'!$H$4,B2249&lt;='Buku Akun'!$H$5,OR(C2249='Buku Akun'!$C$4,AND(D2249="Pindah",E2249='Buku Akun'!$C$4))),B2249+IF(AND(I2249="Selisih bunga",DAY(B2249)=1),0,0.01)+ROW()/10000000,"")</f>
        <v/>
      </c>
    </row>
    <row r="2250" outlineLevel="1" ht="15" customHeight="1" s="94">
      <c r="A2250" s="123">
        <f>IF(B2250="","",ROW()-15)</f>
        <v/>
      </c>
      <c r="B2250" s="124" t="n"/>
      <c r="C2250" s="123" t="n"/>
      <c r="D2250" s="123" t="n"/>
      <c r="E2250" s="123" t="n"/>
      <c r="F2250" s="125" t="n"/>
      <c r="G2250" s="123" t="n"/>
      <c r="H2250" s="123" t="n"/>
      <c r="I2250" s="123" t="n"/>
      <c r="J2250" s="123" t="n"/>
      <c r="K2250" s="123" t="n"/>
      <c r="L2250" s="123" t="n"/>
      <c r="M2250" s="123">
        <f>IF(AND(B2250&lt;&gt;"",OR($C$4="",ISNUMBER(SEARCH($C$4,C2250&amp;" "&amp;E2250&amp;" "&amp;G2250&amp;" "&amp;H2250&amp;" "&amp;I2250&amp;" "&amp;J2250&amp;" "&amp;K2250&amp;" "&amp;L2250))),OR($C$5="Semua",$C$5="",G2250=$C$5),OR($C$6="Semua",$C$6="",H2250=$C$6,H2250="Pengeluaran "&amp;$C$6,AND($C$6="Uang Kos Mama",H2250="Pengeluaran Uang Kos")),OR($C$7="Semua",$C$7="",I2250=$C$7),OR($C$8="Semua",$C$8="",C2250=$C$8,E2250=$C$8),OR($C$9="Semua",$C$9="",D2250=$C$9),OR($C$10="",B2250&gt;=$C$10),OR($C$11="",B2250&lt;=$C$11),OR($C$12&lt;&gt;"Ya",K2250&lt;&gt;""),OR($C$13="Semua",$C$13="",L2250=$C$13)),"✓","")</f>
        <v/>
      </c>
      <c r="N2250" s="93">
        <f>N(N2249)+IF(M2250="✓",1,0)</f>
        <v/>
      </c>
      <c r="O2250" s="93">
        <f>N(O2249)+IF(AND(B2250&lt;&gt;"",B2250&gt;='Uang Riba'!$H$30,B2250&lt;='Uang Riba'!$I$30,OR(H2250="Dana riba",H2250="Pinjam uang riba",I2250="Pinjam dari uang riba",I2250="Ganti uang riba",I2250="Kelebihan ganti dikembalikan",AND(C2250="Kantong Uang Riba",G2250="Pengeluaran"))),1,0)</f>
        <v/>
      </c>
      <c r="X2250" s="93">
        <f>IF(AND(B2250&lt;&gt;"",B2250&gt;='Buku Akun'!$H$4,B2250&lt;='Buku Akun'!$H$5,OR(C2250='Buku Akun'!$C$4,AND(D2250="Pindah",E2250='Buku Akun'!$C$4))),B2250+IF(AND(I2250="Selisih bunga",DAY(B2250)=1),0,0.01)+ROW()/10000000,"")</f>
        <v/>
      </c>
    </row>
    <row r="2251" outlineLevel="1" ht="15" customHeight="1" s="94">
      <c r="A2251" s="123">
        <f>IF(B2251="","",ROW()-15)</f>
        <v/>
      </c>
      <c r="B2251" s="124" t="n"/>
      <c r="C2251" s="123" t="n"/>
      <c r="D2251" s="123" t="n"/>
      <c r="E2251" s="123" t="n"/>
      <c r="F2251" s="125" t="n"/>
      <c r="G2251" s="123" t="n"/>
      <c r="H2251" s="123" t="n"/>
      <c r="I2251" s="123" t="n"/>
      <c r="J2251" s="123" t="n"/>
      <c r="K2251" s="123" t="n"/>
      <c r="L2251" s="123" t="n"/>
      <c r="M2251" s="123">
        <f>IF(AND(B2251&lt;&gt;"",OR($C$4="",ISNUMBER(SEARCH($C$4,C2251&amp;" "&amp;E2251&amp;" "&amp;G2251&amp;" "&amp;H2251&amp;" "&amp;I2251&amp;" "&amp;J2251&amp;" "&amp;K2251&amp;" "&amp;L2251))),OR($C$5="Semua",$C$5="",G2251=$C$5),OR($C$6="Semua",$C$6="",H2251=$C$6,H2251="Pengeluaran "&amp;$C$6,AND($C$6="Uang Kos Mama",H2251="Pengeluaran Uang Kos")),OR($C$7="Semua",$C$7="",I2251=$C$7),OR($C$8="Semua",$C$8="",C2251=$C$8,E2251=$C$8),OR($C$9="Semua",$C$9="",D2251=$C$9),OR($C$10="",B2251&gt;=$C$10),OR($C$11="",B2251&lt;=$C$11),OR($C$12&lt;&gt;"Ya",K2251&lt;&gt;""),OR($C$13="Semua",$C$13="",L2251=$C$13)),"✓","")</f>
        <v/>
      </c>
      <c r="N2251" s="93">
        <f>N(N2250)+IF(M2251="✓",1,0)</f>
        <v/>
      </c>
      <c r="O2251" s="93">
        <f>N(O2250)+IF(AND(B2251&lt;&gt;"",B2251&gt;='Uang Riba'!$H$30,B2251&lt;='Uang Riba'!$I$30,OR(H2251="Dana riba",H2251="Pinjam uang riba",I2251="Pinjam dari uang riba",I2251="Ganti uang riba",I2251="Kelebihan ganti dikembalikan",AND(C2251="Kantong Uang Riba",G2251="Pengeluaran"))),1,0)</f>
        <v/>
      </c>
      <c r="X2251" s="93">
        <f>IF(AND(B2251&lt;&gt;"",B2251&gt;='Buku Akun'!$H$4,B2251&lt;='Buku Akun'!$H$5,OR(C2251='Buku Akun'!$C$4,AND(D2251="Pindah",E2251='Buku Akun'!$C$4))),B2251+IF(AND(I2251="Selisih bunga",DAY(B2251)=1),0,0.01)+ROW()/10000000,"")</f>
        <v/>
      </c>
    </row>
    <row r="2252" outlineLevel="1" ht="15" customHeight="1" s="94">
      <c r="A2252" s="123">
        <f>IF(B2252="","",ROW()-15)</f>
        <v/>
      </c>
      <c r="B2252" s="124" t="n"/>
      <c r="C2252" s="123" t="n"/>
      <c r="D2252" s="123" t="n"/>
      <c r="E2252" s="123" t="n"/>
      <c r="F2252" s="125" t="n"/>
      <c r="G2252" s="123" t="n"/>
      <c r="H2252" s="123" t="n"/>
      <c r="I2252" s="123" t="n"/>
      <c r="J2252" s="123" t="n"/>
      <c r="K2252" s="123" t="n"/>
      <c r="L2252" s="123" t="n"/>
      <c r="M2252" s="123">
        <f>IF(AND(B2252&lt;&gt;"",OR($C$4="",ISNUMBER(SEARCH($C$4,C2252&amp;" "&amp;E2252&amp;" "&amp;G2252&amp;" "&amp;H2252&amp;" "&amp;I2252&amp;" "&amp;J2252&amp;" "&amp;K2252&amp;" "&amp;L2252))),OR($C$5="Semua",$C$5="",G2252=$C$5),OR($C$6="Semua",$C$6="",H2252=$C$6,H2252="Pengeluaran "&amp;$C$6,AND($C$6="Uang Kos Mama",H2252="Pengeluaran Uang Kos")),OR($C$7="Semua",$C$7="",I2252=$C$7),OR($C$8="Semua",$C$8="",C2252=$C$8,E2252=$C$8),OR($C$9="Semua",$C$9="",D2252=$C$9),OR($C$10="",B2252&gt;=$C$10),OR($C$11="",B2252&lt;=$C$11),OR($C$12&lt;&gt;"Ya",K2252&lt;&gt;""),OR($C$13="Semua",$C$13="",L2252=$C$13)),"✓","")</f>
        <v/>
      </c>
      <c r="N2252" s="93">
        <f>N(N2251)+IF(M2252="✓",1,0)</f>
        <v/>
      </c>
      <c r="O2252" s="93">
        <f>N(O2251)+IF(AND(B2252&lt;&gt;"",B2252&gt;='Uang Riba'!$H$30,B2252&lt;='Uang Riba'!$I$30,OR(H2252="Dana riba",H2252="Pinjam uang riba",I2252="Pinjam dari uang riba",I2252="Ganti uang riba",I2252="Kelebihan ganti dikembalikan",AND(C2252="Kantong Uang Riba",G2252="Pengeluaran"))),1,0)</f>
        <v/>
      </c>
      <c r="X2252" s="93">
        <f>IF(AND(B2252&lt;&gt;"",B2252&gt;='Buku Akun'!$H$4,B2252&lt;='Buku Akun'!$H$5,OR(C2252='Buku Akun'!$C$4,AND(D2252="Pindah",E2252='Buku Akun'!$C$4))),B2252+IF(AND(I2252="Selisih bunga",DAY(B2252)=1),0,0.01)+ROW()/10000000,"")</f>
        <v/>
      </c>
    </row>
    <row r="2253" outlineLevel="1" ht="15" customHeight="1" s="94">
      <c r="A2253" s="123">
        <f>IF(B2253="","",ROW()-15)</f>
        <v/>
      </c>
      <c r="B2253" s="124" t="n"/>
      <c r="C2253" s="123" t="n"/>
      <c r="D2253" s="123" t="n"/>
      <c r="E2253" s="123" t="n"/>
      <c r="F2253" s="125" t="n"/>
      <c r="G2253" s="123" t="n"/>
      <c r="H2253" s="123" t="n"/>
      <c r="I2253" s="123" t="n"/>
      <c r="J2253" s="123" t="n"/>
      <c r="K2253" s="123" t="n"/>
      <c r="L2253" s="123" t="n"/>
      <c r="M2253" s="123">
        <f>IF(AND(B2253&lt;&gt;"",OR($C$4="",ISNUMBER(SEARCH($C$4,C2253&amp;" "&amp;E2253&amp;" "&amp;G2253&amp;" "&amp;H2253&amp;" "&amp;I2253&amp;" "&amp;J2253&amp;" "&amp;K2253&amp;" "&amp;L2253))),OR($C$5="Semua",$C$5="",G2253=$C$5),OR($C$6="Semua",$C$6="",H2253=$C$6,H2253="Pengeluaran "&amp;$C$6,AND($C$6="Uang Kos Mama",H2253="Pengeluaran Uang Kos")),OR($C$7="Semua",$C$7="",I2253=$C$7),OR($C$8="Semua",$C$8="",C2253=$C$8,E2253=$C$8),OR($C$9="Semua",$C$9="",D2253=$C$9),OR($C$10="",B2253&gt;=$C$10),OR($C$11="",B2253&lt;=$C$11),OR($C$12&lt;&gt;"Ya",K2253&lt;&gt;""),OR($C$13="Semua",$C$13="",L2253=$C$13)),"✓","")</f>
        <v/>
      </c>
      <c r="N2253" s="93">
        <f>N(N2252)+IF(M2253="✓",1,0)</f>
        <v/>
      </c>
      <c r="O2253" s="93">
        <f>N(O2252)+IF(AND(B2253&lt;&gt;"",B2253&gt;='Uang Riba'!$H$30,B2253&lt;='Uang Riba'!$I$30,OR(H2253="Dana riba",H2253="Pinjam uang riba",I2253="Pinjam dari uang riba",I2253="Ganti uang riba",I2253="Kelebihan ganti dikembalikan",AND(C2253="Kantong Uang Riba",G2253="Pengeluaran"))),1,0)</f>
        <v/>
      </c>
      <c r="X2253" s="93">
        <f>IF(AND(B2253&lt;&gt;"",B2253&gt;='Buku Akun'!$H$4,B2253&lt;='Buku Akun'!$H$5,OR(C2253='Buku Akun'!$C$4,AND(D2253="Pindah",E2253='Buku Akun'!$C$4))),B2253+IF(AND(I2253="Selisih bunga",DAY(B2253)=1),0,0.01)+ROW()/10000000,"")</f>
        <v/>
      </c>
    </row>
    <row r="2254" outlineLevel="1" ht="15" customHeight="1" s="94">
      <c r="A2254" s="123">
        <f>IF(B2254="","",ROW()-15)</f>
        <v/>
      </c>
      <c r="B2254" s="124" t="n"/>
      <c r="C2254" s="123" t="n"/>
      <c r="D2254" s="123" t="n"/>
      <c r="E2254" s="123" t="n"/>
      <c r="F2254" s="125" t="n"/>
      <c r="G2254" s="123" t="n"/>
      <c r="H2254" s="123" t="n"/>
      <c r="I2254" s="123" t="n"/>
      <c r="J2254" s="123" t="n"/>
      <c r="K2254" s="123" t="n"/>
      <c r="L2254" s="123" t="n"/>
      <c r="M2254" s="123">
        <f>IF(AND(B2254&lt;&gt;"",OR($C$4="",ISNUMBER(SEARCH($C$4,C2254&amp;" "&amp;E2254&amp;" "&amp;G2254&amp;" "&amp;H2254&amp;" "&amp;I2254&amp;" "&amp;J2254&amp;" "&amp;K2254&amp;" "&amp;L2254))),OR($C$5="Semua",$C$5="",G2254=$C$5),OR($C$6="Semua",$C$6="",H2254=$C$6,H2254="Pengeluaran "&amp;$C$6,AND($C$6="Uang Kos Mama",H2254="Pengeluaran Uang Kos")),OR($C$7="Semua",$C$7="",I2254=$C$7),OR($C$8="Semua",$C$8="",C2254=$C$8,E2254=$C$8),OR($C$9="Semua",$C$9="",D2254=$C$9),OR($C$10="",B2254&gt;=$C$10),OR($C$11="",B2254&lt;=$C$11),OR($C$12&lt;&gt;"Ya",K2254&lt;&gt;""),OR($C$13="Semua",$C$13="",L2254=$C$13)),"✓","")</f>
        <v/>
      </c>
      <c r="N2254" s="93">
        <f>N(N2253)+IF(M2254="✓",1,0)</f>
        <v/>
      </c>
      <c r="O2254" s="93">
        <f>N(O2253)+IF(AND(B2254&lt;&gt;"",B2254&gt;='Uang Riba'!$H$30,B2254&lt;='Uang Riba'!$I$30,OR(H2254="Dana riba",H2254="Pinjam uang riba",I2254="Pinjam dari uang riba",I2254="Ganti uang riba",I2254="Kelebihan ganti dikembalikan",AND(C2254="Kantong Uang Riba",G2254="Pengeluaran"))),1,0)</f>
        <v/>
      </c>
      <c r="X2254" s="93">
        <f>IF(AND(B2254&lt;&gt;"",B2254&gt;='Buku Akun'!$H$4,B2254&lt;='Buku Akun'!$H$5,OR(C2254='Buku Akun'!$C$4,AND(D2254="Pindah",E2254='Buku Akun'!$C$4))),B2254+IF(AND(I2254="Selisih bunga",DAY(B2254)=1),0,0.01)+ROW()/10000000,"")</f>
        <v/>
      </c>
    </row>
    <row r="2255" outlineLevel="1" ht="15" customHeight="1" s="94">
      <c r="A2255" s="123">
        <f>IF(B2255="","",ROW()-15)</f>
        <v/>
      </c>
      <c r="B2255" s="124" t="n"/>
      <c r="C2255" s="123" t="n"/>
      <c r="D2255" s="123" t="n"/>
      <c r="E2255" s="123" t="n"/>
      <c r="F2255" s="125" t="n"/>
      <c r="G2255" s="123" t="n"/>
      <c r="H2255" s="123" t="n"/>
      <c r="I2255" s="123" t="n"/>
      <c r="J2255" s="123" t="n"/>
      <c r="K2255" s="123" t="n"/>
      <c r="L2255" s="123" t="n"/>
      <c r="M2255" s="123">
        <f>IF(AND(B2255&lt;&gt;"",OR($C$4="",ISNUMBER(SEARCH($C$4,C2255&amp;" "&amp;E2255&amp;" "&amp;G2255&amp;" "&amp;H2255&amp;" "&amp;I2255&amp;" "&amp;J2255&amp;" "&amp;K2255&amp;" "&amp;L2255))),OR($C$5="Semua",$C$5="",G2255=$C$5),OR($C$6="Semua",$C$6="",H2255=$C$6,H2255="Pengeluaran "&amp;$C$6,AND($C$6="Uang Kos Mama",H2255="Pengeluaran Uang Kos")),OR($C$7="Semua",$C$7="",I2255=$C$7),OR($C$8="Semua",$C$8="",C2255=$C$8,E2255=$C$8),OR($C$9="Semua",$C$9="",D2255=$C$9),OR($C$10="",B2255&gt;=$C$10),OR($C$11="",B2255&lt;=$C$11),OR($C$12&lt;&gt;"Ya",K2255&lt;&gt;""),OR($C$13="Semua",$C$13="",L2255=$C$13)),"✓","")</f>
        <v/>
      </c>
      <c r="N2255" s="93">
        <f>N(N2254)+IF(M2255="✓",1,0)</f>
        <v/>
      </c>
      <c r="O2255" s="93">
        <f>N(O2254)+IF(AND(B2255&lt;&gt;"",B2255&gt;='Uang Riba'!$H$30,B2255&lt;='Uang Riba'!$I$30,OR(H2255="Dana riba",H2255="Pinjam uang riba",I2255="Pinjam dari uang riba",I2255="Ganti uang riba",I2255="Kelebihan ganti dikembalikan",AND(C2255="Kantong Uang Riba",G2255="Pengeluaran"))),1,0)</f>
        <v/>
      </c>
      <c r="X2255" s="93">
        <f>IF(AND(B2255&lt;&gt;"",B2255&gt;='Buku Akun'!$H$4,B2255&lt;='Buku Akun'!$H$5,OR(C2255='Buku Akun'!$C$4,AND(D2255="Pindah",E2255='Buku Akun'!$C$4))),B2255+IF(AND(I2255="Selisih bunga",DAY(B2255)=1),0,0.01)+ROW()/10000000,"")</f>
        <v/>
      </c>
    </row>
    <row r="2256" outlineLevel="1" ht="15" customHeight="1" s="94">
      <c r="A2256" s="123">
        <f>IF(B2256="","",ROW()-15)</f>
        <v/>
      </c>
      <c r="B2256" s="124" t="n"/>
      <c r="C2256" s="123" t="n"/>
      <c r="D2256" s="123" t="n"/>
      <c r="E2256" s="123" t="n"/>
      <c r="F2256" s="125" t="n"/>
      <c r="G2256" s="123" t="n"/>
      <c r="H2256" s="123" t="n"/>
      <c r="I2256" s="123" t="n"/>
      <c r="J2256" s="123" t="n"/>
      <c r="K2256" s="123" t="n"/>
      <c r="L2256" s="123" t="n"/>
      <c r="M2256" s="123">
        <f>IF(AND(B2256&lt;&gt;"",OR($C$4="",ISNUMBER(SEARCH($C$4,C2256&amp;" "&amp;E2256&amp;" "&amp;G2256&amp;" "&amp;H2256&amp;" "&amp;I2256&amp;" "&amp;J2256&amp;" "&amp;K2256&amp;" "&amp;L2256))),OR($C$5="Semua",$C$5="",G2256=$C$5),OR($C$6="Semua",$C$6="",H2256=$C$6,H2256="Pengeluaran "&amp;$C$6,AND($C$6="Uang Kos Mama",H2256="Pengeluaran Uang Kos")),OR($C$7="Semua",$C$7="",I2256=$C$7),OR($C$8="Semua",$C$8="",C2256=$C$8,E2256=$C$8),OR($C$9="Semua",$C$9="",D2256=$C$9),OR($C$10="",B2256&gt;=$C$10),OR($C$11="",B2256&lt;=$C$11),OR($C$12&lt;&gt;"Ya",K2256&lt;&gt;""),OR($C$13="Semua",$C$13="",L2256=$C$13)),"✓","")</f>
        <v/>
      </c>
      <c r="N2256" s="93">
        <f>N(N2255)+IF(M2256="✓",1,0)</f>
        <v/>
      </c>
      <c r="O2256" s="93">
        <f>N(O2255)+IF(AND(B2256&lt;&gt;"",B2256&gt;='Uang Riba'!$H$30,B2256&lt;='Uang Riba'!$I$30,OR(H2256="Dana riba",H2256="Pinjam uang riba",I2256="Pinjam dari uang riba",I2256="Ganti uang riba",I2256="Kelebihan ganti dikembalikan",AND(C2256="Kantong Uang Riba",G2256="Pengeluaran"))),1,0)</f>
        <v/>
      </c>
      <c r="X2256" s="93">
        <f>IF(AND(B2256&lt;&gt;"",B2256&gt;='Buku Akun'!$H$4,B2256&lt;='Buku Akun'!$H$5,OR(C2256='Buku Akun'!$C$4,AND(D2256="Pindah",E2256='Buku Akun'!$C$4))),B2256+IF(AND(I2256="Selisih bunga",DAY(B2256)=1),0,0.01)+ROW()/10000000,"")</f>
        <v/>
      </c>
    </row>
    <row r="2257" outlineLevel="1" ht="15" customHeight="1" s="94">
      <c r="A2257" s="123">
        <f>IF(B2257="","",ROW()-15)</f>
        <v/>
      </c>
      <c r="B2257" s="124" t="n"/>
      <c r="C2257" s="123" t="n"/>
      <c r="D2257" s="123" t="n"/>
      <c r="E2257" s="123" t="n"/>
      <c r="F2257" s="125" t="n"/>
      <c r="G2257" s="123" t="n"/>
      <c r="H2257" s="123" t="n"/>
      <c r="I2257" s="123" t="n"/>
      <c r="J2257" s="123" t="n"/>
      <c r="K2257" s="123" t="n"/>
      <c r="L2257" s="123" t="n"/>
      <c r="M2257" s="123">
        <f>IF(AND(B2257&lt;&gt;"",OR($C$4="",ISNUMBER(SEARCH($C$4,C2257&amp;" "&amp;E2257&amp;" "&amp;G2257&amp;" "&amp;H2257&amp;" "&amp;I2257&amp;" "&amp;J2257&amp;" "&amp;K2257&amp;" "&amp;L2257))),OR($C$5="Semua",$C$5="",G2257=$C$5),OR($C$6="Semua",$C$6="",H2257=$C$6,H2257="Pengeluaran "&amp;$C$6,AND($C$6="Uang Kos Mama",H2257="Pengeluaran Uang Kos")),OR($C$7="Semua",$C$7="",I2257=$C$7),OR($C$8="Semua",$C$8="",C2257=$C$8,E2257=$C$8),OR($C$9="Semua",$C$9="",D2257=$C$9),OR($C$10="",B2257&gt;=$C$10),OR($C$11="",B2257&lt;=$C$11),OR($C$12&lt;&gt;"Ya",K2257&lt;&gt;""),OR($C$13="Semua",$C$13="",L2257=$C$13)),"✓","")</f>
        <v/>
      </c>
      <c r="N2257" s="93">
        <f>N(N2256)+IF(M2257="✓",1,0)</f>
        <v/>
      </c>
      <c r="O2257" s="93">
        <f>N(O2256)+IF(AND(B2257&lt;&gt;"",B2257&gt;='Uang Riba'!$H$30,B2257&lt;='Uang Riba'!$I$30,OR(H2257="Dana riba",H2257="Pinjam uang riba",I2257="Pinjam dari uang riba",I2257="Ganti uang riba",I2257="Kelebihan ganti dikembalikan",AND(C2257="Kantong Uang Riba",G2257="Pengeluaran"))),1,0)</f>
        <v/>
      </c>
      <c r="X2257" s="93">
        <f>IF(AND(B2257&lt;&gt;"",B2257&gt;='Buku Akun'!$H$4,B2257&lt;='Buku Akun'!$H$5,OR(C2257='Buku Akun'!$C$4,AND(D2257="Pindah",E2257='Buku Akun'!$C$4))),B2257+IF(AND(I2257="Selisih bunga",DAY(B2257)=1),0,0.01)+ROW()/10000000,"")</f>
        <v/>
      </c>
    </row>
    <row r="2258" outlineLevel="1" ht="15" customHeight="1" s="94">
      <c r="A2258" s="123">
        <f>IF(B2258="","",ROW()-15)</f>
        <v/>
      </c>
      <c r="B2258" s="124" t="n"/>
      <c r="C2258" s="123" t="n"/>
      <c r="D2258" s="123" t="n"/>
      <c r="E2258" s="123" t="n"/>
      <c r="F2258" s="125" t="n"/>
      <c r="G2258" s="123" t="n"/>
      <c r="H2258" s="123" t="n"/>
      <c r="I2258" s="123" t="n"/>
      <c r="J2258" s="123" t="n"/>
      <c r="K2258" s="123" t="n"/>
      <c r="L2258" s="123" t="n"/>
      <c r="M2258" s="123">
        <f>IF(AND(B2258&lt;&gt;"",OR($C$4="",ISNUMBER(SEARCH($C$4,C2258&amp;" "&amp;E2258&amp;" "&amp;G2258&amp;" "&amp;H2258&amp;" "&amp;I2258&amp;" "&amp;J2258&amp;" "&amp;K2258&amp;" "&amp;L2258))),OR($C$5="Semua",$C$5="",G2258=$C$5),OR($C$6="Semua",$C$6="",H2258=$C$6,H2258="Pengeluaran "&amp;$C$6,AND($C$6="Uang Kos Mama",H2258="Pengeluaran Uang Kos")),OR($C$7="Semua",$C$7="",I2258=$C$7),OR($C$8="Semua",$C$8="",C2258=$C$8,E2258=$C$8),OR($C$9="Semua",$C$9="",D2258=$C$9),OR($C$10="",B2258&gt;=$C$10),OR($C$11="",B2258&lt;=$C$11),OR($C$12&lt;&gt;"Ya",K2258&lt;&gt;""),OR($C$13="Semua",$C$13="",L2258=$C$13)),"✓","")</f>
        <v/>
      </c>
      <c r="N2258" s="93">
        <f>N(N2257)+IF(M2258="✓",1,0)</f>
        <v/>
      </c>
      <c r="O2258" s="93">
        <f>N(O2257)+IF(AND(B2258&lt;&gt;"",B2258&gt;='Uang Riba'!$H$30,B2258&lt;='Uang Riba'!$I$30,OR(H2258="Dana riba",H2258="Pinjam uang riba",I2258="Pinjam dari uang riba",I2258="Ganti uang riba",I2258="Kelebihan ganti dikembalikan",AND(C2258="Kantong Uang Riba",G2258="Pengeluaran"))),1,0)</f>
        <v/>
      </c>
      <c r="X2258" s="93">
        <f>IF(AND(B2258&lt;&gt;"",B2258&gt;='Buku Akun'!$H$4,B2258&lt;='Buku Akun'!$H$5,OR(C2258='Buku Akun'!$C$4,AND(D2258="Pindah",E2258='Buku Akun'!$C$4))),B2258+IF(AND(I2258="Selisih bunga",DAY(B2258)=1),0,0.01)+ROW()/10000000,"")</f>
        <v/>
      </c>
    </row>
    <row r="2259" outlineLevel="1" ht="15" customHeight="1" s="94">
      <c r="A2259" s="123">
        <f>IF(B2259="","",ROW()-15)</f>
        <v/>
      </c>
      <c r="B2259" s="124" t="n"/>
      <c r="C2259" s="123" t="n"/>
      <c r="D2259" s="123" t="n"/>
      <c r="E2259" s="123" t="n"/>
      <c r="F2259" s="125" t="n"/>
      <c r="G2259" s="123" t="n"/>
      <c r="H2259" s="123" t="n"/>
      <c r="I2259" s="123" t="n"/>
      <c r="J2259" s="123" t="n"/>
      <c r="K2259" s="123" t="n"/>
      <c r="L2259" s="123" t="n"/>
      <c r="M2259" s="123">
        <f>IF(AND(B2259&lt;&gt;"",OR($C$4="",ISNUMBER(SEARCH($C$4,C2259&amp;" "&amp;E2259&amp;" "&amp;G2259&amp;" "&amp;H2259&amp;" "&amp;I2259&amp;" "&amp;J2259&amp;" "&amp;K2259&amp;" "&amp;L2259))),OR($C$5="Semua",$C$5="",G2259=$C$5),OR($C$6="Semua",$C$6="",H2259=$C$6,H2259="Pengeluaran "&amp;$C$6,AND($C$6="Uang Kos Mama",H2259="Pengeluaran Uang Kos")),OR($C$7="Semua",$C$7="",I2259=$C$7),OR($C$8="Semua",$C$8="",C2259=$C$8,E2259=$C$8),OR($C$9="Semua",$C$9="",D2259=$C$9),OR($C$10="",B2259&gt;=$C$10),OR($C$11="",B2259&lt;=$C$11),OR($C$12&lt;&gt;"Ya",K2259&lt;&gt;""),OR($C$13="Semua",$C$13="",L2259=$C$13)),"✓","")</f>
        <v/>
      </c>
      <c r="N2259" s="93">
        <f>N(N2258)+IF(M2259="✓",1,0)</f>
        <v/>
      </c>
      <c r="O2259" s="93">
        <f>N(O2258)+IF(AND(B2259&lt;&gt;"",B2259&gt;='Uang Riba'!$H$30,B2259&lt;='Uang Riba'!$I$30,OR(H2259="Dana riba",H2259="Pinjam uang riba",I2259="Pinjam dari uang riba",I2259="Ganti uang riba",I2259="Kelebihan ganti dikembalikan",AND(C2259="Kantong Uang Riba",G2259="Pengeluaran"))),1,0)</f>
        <v/>
      </c>
      <c r="X2259" s="93">
        <f>IF(AND(B2259&lt;&gt;"",B2259&gt;='Buku Akun'!$H$4,B2259&lt;='Buku Akun'!$H$5,OR(C2259='Buku Akun'!$C$4,AND(D2259="Pindah",E2259='Buku Akun'!$C$4))),B2259+IF(AND(I2259="Selisih bunga",DAY(B2259)=1),0,0.01)+ROW()/10000000,"")</f>
        <v/>
      </c>
    </row>
    <row r="2260" outlineLevel="1" ht="15" customHeight="1" s="94">
      <c r="A2260" s="123">
        <f>IF(B2260="","",ROW()-15)</f>
        <v/>
      </c>
      <c r="B2260" s="124" t="n"/>
      <c r="C2260" s="123" t="n"/>
      <c r="D2260" s="123" t="n"/>
      <c r="E2260" s="123" t="n"/>
      <c r="F2260" s="125" t="n"/>
      <c r="G2260" s="123" t="n"/>
      <c r="H2260" s="123" t="n"/>
      <c r="I2260" s="123" t="n"/>
      <c r="J2260" s="123" t="n"/>
      <c r="K2260" s="123" t="n"/>
      <c r="L2260" s="123" t="n"/>
      <c r="M2260" s="123">
        <f>IF(AND(B2260&lt;&gt;"",OR($C$4="",ISNUMBER(SEARCH($C$4,C2260&amp;" "&amp;E2260&amp;" "&amp;G2260&amp;" "&amp;H2260&amp;" "&amp;I2260&amp;" "&amp;J2260&amp;" "&amp;K2260&amp;" "&amp;L2260))),OR($C$5="Semua",$C$5="",G2260=$C$5),OR($C$6="Semua",$C$6="",H2260=$C$6,H2260="Pengeluaran "&amp;$C$6,AND($C$6="Uang Kos Mama",H2260="Pengeluaran Uang Kos")),OR($C$7="Semua",$C$7="",I2260=$C$7),OR($C$8="Semua",$C$8="",C2260=$C$8,E2260=$C$8),OR($C$9="Semua",$C$9="",D2260=$C$9),OR($C$10="",B2260&gt;=$C$10),OR($C$11="",B2260&lt;=$C$11),OR($C$12&lt;&gt;"Ya",K2260&lt;&gt;""),OR($C$13="Semua",$C$13="",L2260=$C$13)),"✓","")</f>
        <v/>
      </c>
      <c r="N2260" s="93">
        <f>N(N2259)+IF(M2260="✓",1,0)</f>
        <v/>
      </c>
      <c r="O2260" s="93">
        <f>N(O2259)+IF(AND(B2260&lt;&gt;"",B2260&gt;='Uang Riba'!$H$30,B2260&lt;='Uang Riba'!$I$30,OR(H2260="Dana riba",H2260="Pinjam uang riba",I2260="Pinjam dari uang riba",I2260="Ganti uang riba",I2260="Kelebihan ganti dikembalikan",AND(C2260="Kantong Uang Riba",G2260="Pengeluaran"))),1,0)</f>
        <v/>
      </c>
      <c r="X2260" s="93">
        <f>IF(AND(B2260&lt;&gt;"",B2260&gt;='Buku Akun'!$H$4,B2260&lt;='Buku Akun'!$H$5,OR(C2260='Buku Akun'!$C$4,AND(D2260="Pindah",E2260='Buku Akun'!$C$4))),B2260+IF(AND(I2260="Selisih bunga",DAY(B2260)=1),0,0.01)+ROW()/10000000,"")</f>
        <v/>
      </c>
    </row>
    <row r="2261" outlineLevel="1" ht="15" customHeight="1" s="94">
      <c r="A2261" s="123">
        <f>IF(B2261="","",ROW()-15)</f>
        <v/>
      </c>
      <c r="B2261" s="124" t="n"/>
      <c r="C2261" s="123" t="n"/>
      <c r="D2261" s="123" t="n"/>
      <c r="E2261" s="123" t="n"/>
      <c r="F2261" s="125" t="n"/>
      <c r="G2261" s="123" t="n"/>
      <c r="H2261" s="123" t="n"/>
      <c r="I2261" s="123" t="n"/>
      <c r="J2261" s="123" t="n"/>
      <c r="K2261" s="123" t="n"/>
      <c r="L2261" s="123" t="n"/>
      <c r="M2261" s="123">
        <f>IF(AND(B2261&lt;&gt;"",OR($C$4="",ISNUMBER(SEARCH($C$4,C2261&amp;" "&amp;E2261&amp;" "&amp;G2261&amp;" "&amp;H2261&amp;" "&amp;I2261&amp;" "&amp;J2261&amp;" "&amp;K2261&amp;" "&amp;L2261))),OR($C$5="Semua",$C$5="",G2261=$C$5),OR($C$6="Semua",$C$6="",H2261=$C$6,H2261="Pengeluaran "&amp;$C$6,AND($C$6="Uang Kos Mama",H2261="Pengeluaran Uang Kos")),OR($C$7="Semua",$C$7="",I2261=$C$7),OR($C$8="Semua",$C$8="",C2261=$C$8,E2261=$C$8),OR($C$9="Semua",$C$9="",D2261=$C$9),OR($C$10="",B2261&gt;=$C$10),OR($C$11="",B2261&lt;=$C$11),OR($C$12&lt;&gt;"Ya",K2261&lt;&gt;""),OR($C$13="Semua",$C$13="",L2261=$C$13)),"✓","")</f>
        <v/>
      </c>
      <c r="N2261" s="93">
        <f>N(N2260)+IF(M2261="✓",1,0)</f>
        <v/>
      </c>
      <c r="O2261" s="93">
        <f>N(O2260)+IF(AND(B2261&lt;&gt;"",B2261&gt;='Uang Riba'!$H$30,B2261&lt;='Uang Riba'!$I$30,OR(H2261="Dana riba",H2261="Pinjam uang riba",I2261="Pinjam dari uang riba",I2261="Ganti uang riba",I2261="Kelebihan ganti dikembalikan",AND(C2261="Kantong Uang Riba",G2261="Pengeluaran"))),1,0)</f>
        <v/>
      </c>
      <c r="X2261" s="93">
        <f>IF(AND(B2261&lt;&gt;"",B2261&gt;='Buku Akun'!$H$4,B2261&lt;='Buku Akun'!$H$5,OR(C2261='Buku Akun'!$C$4,AND(D2261="Pindah",E2261='Buku Akun'!$C$4))),B2261+IF(AND(I2261="Selisih bunga",DAY(B2261)=1),0,0.01)+ROW()/10000000,"")</f>
        <v/>
      </c>
    </row>
    <row r="2262" outlineLevel="1" ht="15" customHeight="1" s="94">
      <c r="A2262" s="123">
        <f>IF(B2262="","",ROW()-15)</f>
        <v/>
      </c>
      <c r="B2262" s="124" t="n"/>
      <c r="C2262" s="123" t="n"/>
      <c r="D2262" s="123" t="n"/>
      <c r="E2262" s="123" t="n"/>
      <c r="F2262" s="125" t="n"/>
      <c r="G2262" s="123" t="n"/>
      <c r="H2262" s="123" t="n"/>
      <c r="I2262" s="123" t="n"/>
      <c r="J2262" s="123" t="n"/>
      <c r="K2262" s="123" t="n"/>
      <c r="L2262" s="123" t="n"/>
      <c r="M2262" s="123">
        <f>IF(AND(B2262&lt;&gt;"",OR($C$4="",ISNUMBER(SEARCH($C$4,C2262&amp;" "&amp;E2262&amp;" "&amp;G2262&amp;" "&amp;H2262&amp;" "&amp;I2262&amp;" "&amp;J2262&amp;" "&amp;K2262&amp;" "&amp;L2262))),OR($C$5="Semua",$C$5="",G2262=$C$5),OR($C$6="Semua",$C$6="",H2262=$C$6,H2262="Pengeluaran "&amp;$C$6,AND($C$6="Uang Kos Mama",H2262="Pengeluaran Uang Kos")),OR($C$7="Semua",$C$7="",I2262=$C$7),OR($C$8="Semua",$C$8="",C2262=$C$8,E2262=$C$8),OR($C$9="Semua",$C$9="",D2262=$C$9),OR($C$10="",B2262&gt;=$C$10),OR($C$11="",B2262&lt;=$C$11),OR($C$12&lt;&gt;"Ya",K2262&lt;&gt;""),OR($C$13="Semua",$C$13="",L2262=$C$13)),"✓","")</f>
        <v/>
      </c>
      <c r="N2262" s="93">
        <f>N(N2261)+IF(M2262="✓",1,0)</f>
        <v/>
      </c>
      <c r="O2262" s="93">
        <f>N(O2261)+IF(AND(B2262&lt;&gt;"",B2262&gt;='Uang Riba'!$H$30,B2262&lt;='Uang Riba'!$I$30,OR(H2262="Dana riba",H2262="Pinjam uang riba",I2262="Pinjam dari uang riba",I2262="Ganti uang riba",I2262="Kelebihan ganti dikembalikan",AND(C2262="Kantong Uang Riba",G2262="Pengeluaran"))),1,0)</f>
        <v/>
      </c>
      <c r="X2262" s="93">
        <f>IF(AND(B2262&lt;&gt;"",B2262&gt;='Buku Akun'!$H$4,B2262&lt;='Buku Akun'!$H$5,OR(C2262='Buku Akun'!$C$4,AND(D2262="Pindah",E2262='Buku Akun'!$C$4))),B2262+IF(AND(I2262="Selisih bunga",DAY(B2262)=1),0,0.01)+ROW()/10000000,"")</f>
        <v/>
      </c>
    </row>
    <row r="2263" outlineLevel="1" ht="15" customHeight="1" s="94">
      <c r="A2263" s="123">
        <f>IF(B2263="","",ROW()-15)</f>
        <v/>
      </c>
      <c r="B2263" s="124" t="n"/>
      <c r="C2263" s="123" t="n"/>
      <c r="D2263" s="123" t="n"/>
      <c r="E2263" s="123" t="n"/>
      <c r="F2263" s="125" t="n"/>
      <c r="G2263" s="123" t="n"/>
      <c r="H2263" s="123" t="n"/>
      <c r="I2263" s="123" t="n"/>
      <c r="J2263" s="123" t="n"/>
      <c r="K2263" s="123" t="n"/>
      <c r="L2263" s="123" t="n"/>
      <c r="M2263" s="123">
        <f>IF(AND(B2263&lt;&gt;"",OR($C$4="",ISNUMBER(SEARCH($C$4,C2263&amp;" "&amp;E2263&amp;" "&amp;G2263&amp;" "&amp;H2263&amp;" "&amp;I2263&amp;" "&amp;J2263&amp;" "&amp;K2263&amp;" "&amp;L2263))),OR($C$5="Semua",$C$5="",G2263=$C$5),OR($C$6="Semua",$C$6="",H2263=$C$6,H2263="Pengeluaran "&amp;$C$6,AND($C$6="Uang Kos Mama",H2263="Pengeluaran Uang Kos")),OR($C$7="Semua",$C$7="",I2263=$C$7),OR($C$8="Semua",$C$8="",C2263=$C$8,E2263=$C$8),OR($C$9="Semua",$C$9="",D2263=$C$9),OR($C$10="",B2263&gt;=$C$10),OR($C$11="",B2263&lt;=$C$11),OR($C$12&lt;&gt;"Ya",K2263&lt;&gt;""),OR($C$13="Semua",$C$13="",L2263=$C$13)),"✓","")</f>
        <v/>
      </c>
      <c r="N2263" s="93">
        <f>N(N2262)+IF(M2263="✓",1,0)</f>
        <v/>
      </c>
      <c r="O2263" s="93">
        <f>N(O2262)+IF(AND(B2263&lt;&gt;"",B2263&gt;='Uang Riba'!$H$30,B2263&lt;='Uang Riba'!$I$30,OR(H2263="Dana riba",H2263="Pinjam uang riba",I2263="Pinjam dari uang riba",I2263="Ganti uang riba",I2263="Kelebihan ganti dikembalikan",AND(C2263="Kantong Uang Riba",G2263="Pengeluaran"))),1,0)</f>
        <v/>
      </c>
      <c r="X2263" s="93">
        <f>IF(AND(B2263&lt;&gt;"",B2263&gt;='Buku Akun'!$H$4,B2263&lt;='Buku Akun'!$H$5,OR(C2263='Buku Akun'!$C$4,AND(D2263="Pindah",E2263='Buku Akun'!$C$4))),B2263+IF(AND(I2263="Selisih bunga",DAY(B2263)=1),0,0.01)+ROW()/10000000,"")</f>
        <v/>
      </c>
    </row>
    <row r="2264" outlineLevel="1" ht="15" customHeight="1" s="94">
      <c r="A2264" s="123">
        <f>IF(B2264="","",ROW()-15)</f>
        <v/>
      </c>
      <c r="B2264" s="124" t="n"/>
      <c r="C2264" s="123" t="n"/>
      <c r="D2264" s="123" t="n"/>
      <c r="E2264" s="123" t="n"/>
      <c r="F2264" s="125" t="n"/>
      <c r="G2264" s="123" t="n"/>
      <c r="H2264" s="123" t="n"/>
      <c r="I2264" s="123" t="n"/>
      <c r="J2264" s="123" t="n"/>
      <c r="K2264" s="123" t="n"/>
      <c r="L2264" s="123" t="n"/>
      <c r="M2264" s="123">
        <f>IF(AND(B2264&lt;&gt;"",OR($C$4="",ISNUMBER(SEARCH($C$4,C2264&amp;" "&amp;E2264&amp;" "&amp;G2264&amp;" "&amp;H2264&amp;" "&amp;I2264&amp;" "&amp;J2264&amp;" "&amp;K2264&amp;" "&amp;L2264))),OR($C$5="Semua",$C$5="",G2264=$C$5),OR($C$6="Semua",$C$6="",H2264=$C$6,H2264="Pengeluaran "&amp;$C$6,AND($C$6="Uang Kos Mama",H2264="Pengeluaran Uang Kos")),OR($C$7="Semua",$C$7="",I2264=$C$7),OR($C$8="Semua",$C$8="",C2264=$C$8,E2264=$C$8),OR($C$9="Semua",$C$9="",D2264=$C$9),OR($C$10="",B2264&gt;=$C$10),OR($C$11="",B2264&lt;=$C$11),OR($C$12&lt;&gt;"Ya",K2264&lt;&gt;""),OR($C$13="Semua",$C$13="",L2264=$C$13)),"✓","")</f>
        <v/>
      </c>
      <c r="N2264" s="93">
        <f>N(N2263)+IF(M2264="✓",1,0)</f>
        <v/>
      </c>
      <c r="O2264" s="93">
        <f>N(O2263)+IF(AND(B2264&lt;&gt;"",B2264&gt;='Uang Riba'!$H$30,B2264&lt;='Uang Riba'!$I$30,OR(H2264="Dana riba",H2264="Pinjam uang riba",I2264="Pinjam dari uang riba",I2264="Ganti uang riba",I2264="Kelebihan ganti dikembalikan",AND(C2264="Kantong Uang Riba",G2264="Pengeluaran"))),1,0)</f>
        <v/>
      </c>
      <c r="X2264" s="93">
        <f>IF(AND(B2264&lt;&gt;"",B2264&gt;='Buku Akun'!$H$4,B2264&lt;='Buku Akun'!$H$5,OR(C2264='Buku Akun'!$C$4,AND(D2264="Pindah",E2264='Buku Akun'!$C$4))),B2264+IF(AND(I2264="Selisih bunga",DAY(B2264)=1),0,0.01)+ROW()/10000000,"")</f>
        <v/>
      </c>
    </row>
    <row r="2265" outlineLevel="1" ht="15" customHeight="1" s="94">
      <c r="A2265" s="123">
        <f>IF(B2265="","",ROW()-15)</f>
        <v/>
      </c>
      <c r="B2265" s="124" t="n"/>
      <c r="C2265" s="123" t="n"/>
      <c r="D2265" s="123" t="n"/>
      <c r="E2265" s="123" t="n"/>
      <c r="F2265" s="125" t="n"/>
      <c r="G2265" s="123" t="n"/>
      <c r="H2265" s="123" t="n"/>
      <c r="I2265" s="123" t="n"/>
      <c r="J2265" s="123" t="n"/>
      <c r="K2265" s="123" t="n"/>
      <c r="L2265" s="123" t="n"/>
      <c r="M2265" s="123">
        <f>IF(AND(B2265&lt;&gt;"",OR($C$4="",ISNUMBER(SEARCH($C$4,C2265&amp;" "&amp;E2265&amp;" "&amp;G2265&amp;" "&amp;H2265&amp;" "&amp;I2265&amp;" "&amp;J2265&amp;" "&amp;K2265&amp;" "&amp;L2265))),OR($C$5="Semua",$C$5="",G2265=$C$5),OR($C$6="Semua",$C$6="",H2265=$C$6,H2265="Pengeluaran "&amp;$C$6,AND($C$6="Uang Kos Mama",H2265="Pengeluaran Uang Kos")),OR($C$7="Semua",$C$7="",I2265=$C$7),OR($C$8="Semua",$C$8="",C2265=$C$8,E2265=$C$8),OR($C$9="Semua",$C$9="",D2265=$C$9),OR($C$10="",B2265&gt;=$C$10),OR($C$11="",B2265&lt;=$C$11),OR($C$12&lt;&gt;"Ya",K2265&lt;&gt;""),OR($C$13="Semua",$C$13="",L2265=$C$13)),"✓","")</f>
        <v/>
      </c>
      <c r="N2265" s="93">
        <f>N(N2264)+IF(M2265="✓",1,0)</f>
        <v/>
      </c>
      <c r="O2265" s="93">
        <f>N(O2264)+IF(AND(B2265&lt;&gt;"",B2265&gt;='Uang Riba'!$H$30,B2265&lt;='Uang Riba'!$I$30,OR(H2265="Dana riba",H2265="Pinjam uang riba",I2265="Pinjam dari uang riba",I2265="Ganti uang riba",I2265="Kelebihan ganti dikembalikan",AND(C2265="Kantong Uang Riba",G2265="Pengeluaran"))),1,0)</f>
        <v/>
      </c>
      <c r="X2265" s="93">
        <f>IF(AND(B2265&lt;&gt;"",B2265&gt;='Buku Akun'!$H$4,B2265&lt;='Buku Akun'!$H$5,OR(C2265='Buku Akun'!$C$4,AND(D2265="Pindah",E2265='Buku Akun'!$C$4))),B2265+IF(AND(I2265="Selisih bunga",DAY(B2265)=1),0,0.01)+ROW()/10000000,"")</f>
        <v/>
      </c>
    </row>
    <row r="2266" outlineLevel="1" ht="15" customHeight="1" s="94">
      <c r="A2266" s="123">
        <f>IF(B2266="","",ROW()-15)</f>
        <v/>
      </c>
      <c r="B2266" s="124" t="n"/>
      <c r="C2266" s="123" t="n"/>
      <c r="D2266" s="123" t="n"/>
      <c r="E2266" s="123" t="n"/>
      <c r="F2266" s="125" t="n"/>
      <c r="G2266" s="123" t="n"/>
      <c r="H2266" s="123" t="n"/>
      <c r="I2266" s="123" t="n"/>
      <c r="J2266" s="123" t="n"/>
      <c r="K2266" s="123" t="n"/>
      <c r="L2266" s="123" t="n"/>
      <c r="M2266" s="123">
        <f>IF(AND(B2266&lt;&gt;"",OR($C$4="",ISNUMBER(SEARCH($C$4,C2266&amp;" "&amp;E2266&amp;" "&amp;G2266&amp;" "&amp;H2266&amp;" "&amp;I2266&amp;" "&amp;J2266&amp;" "&amp;K2266&amp;" "&amp;L2266))),OR($C$5="Semua",$C$5="",G2266=$C$5),OR($C$6="Semua",$C$6="",H2266=$C$6,H2266="Pengeluaran "&amp;$C$6,AND($C$6="Uang Kos Mama",H2266="Pengeluaran Uang Kos")),OR($C$7="Semua",$C$7="",I2266=$C$7),OR($C$8="Semua",$C$8="",C2266=$C$8,E2266=$C$8),OR($C$9="Semua",$C$9="",D2266=$C$9),OR($C$10="",B2266&gt;=$C$10),OR($C$11="",B2266&lt;=$C$11),OR($C$12&lt;&gt;"Ya",K2266&lt;&gt;""),OR($C$13="Semua",$C$13="",L2266=$C$13)),"✓","")</f>
        <v/>
      </c>
      <c r="N2266" s="93">
        <f>N(N2265)+IF(M2266="✓",1,0)</f>
        <v/>
      </c>
      <c r="O2266" s="93">
        <f>N(O2265)+IF(AND(B2266&lt;&gt;"",B2266&gt;='Uang Riba'!$H$30,B2266&lt;='Uang Riba'!$I$30,OR(H2266="Dana riba",H2266="Pinjam uang riba",I2266="Pinjam dari uang riba",I2266="Ganti uang riba",I2266="Kelebihan ganti dikembalikan",AND(C2266="Kantong Uang Riba",G2266="Pengeluaran"))),1,0)</f>
        <v/>
      </c>
      <c r="X2266" s="93">
        <f>IF(AND(B2266&lt;&gt;"",B2266&gt;='Buku Akun'!$H$4,B2266&lt;='Buku Akun'!$H$5,OR(C2266='Buku Akun'!$C$4,AND(D2266="Pindah",E2266='Buku Akun'!$C$4))),B2266+IF(AND(I2266="Selisih bunga",DAY(B2266)=1),0,0.01)+ROW()/10000000,"")</f>
        <v/>
      </c>
    </row>
    <row r="2267" outlineLevel="1" ht="15" customHeight="1" s="94">
      <c r="A2267" s="123">
        <f>IF(B2267="","",ROW()-15)</f>
        <v/>
      </c>
      <c r="B2267" s="124" t="n"/>
      <c r="C2267" s="123" t="n"/>
      <c r="D2267" s="123" t="n"/>
      <c r="E2267" s="123" t="n"/>
      <c r="F2267" s="125" t="n"/>
      <c r="G2267" s="123" t="n"/>
      <c r="H2267" s="123" t="n"/>
      <c r="I2267" s="123" t="n"/>
      <c r="J2267" s="123" t="n"/>
      <c r="K2267" s="123" t="n"/>
      <c r="L2267" s="123" t="n"/>
      <c r="M2267" s="123">
        <f>IF(AND(B2267&lt;&gt;"",OR($C$4="",ISNUMBER(SEARCH($C$4,C2267&amp;" "&amp;E2267&amp;" "&amp;G2267&amp;" "&amp;H2267&amp;" "&amp;I2267&amp;" "&amp;J2267&amp;" "&amp;K2267&amp;" "&amp;L2267))),OR($C$5="Semua",$C$5="",G2267=$C$5),OR($C$6="Semua",$C$6="",H2267=$C$6,H2267="Pengeluaran "&amp;$C$6,AND($C$6="Uang Kos Mama",H2267="Pengeluaran Uang Kos")),OR($C$7="Semua",$C$7="",I2267=$C$7),OR($C$8="Semua",$C$8="",C2267=$C$8,E2267=$C$8),OR($C$9="Semua",$C$9="",D2267=$C$9),OR($C$10="",B2267&gt;=$C$10),OR($C$11="",B2267&lt;=$C$11),OR($C$12&lt;&gt;"Ya",K2267&lt;&gt;""),OR($C$13="Semua",$C$13="",L2267=$C$13)),"✓","")</f>
        <v/>
      </c>
      <c r="N2267" s="93">
        <f>N(N2266)+IF(M2267="✓",1,0)</f>
        <v/>
      </c>
      <c r="O2267" s="93">
        <f>N(O2266)+IF(AND(B2267&lt;&gt;"",B2267&gt;='Uang Riba'!$H$30,B2267&lt;='Uang Riba'!$I$30,OR(H2267="Dana riba",H2267="Pinjam uang riba",I2267="Pinjam dari uang riba",I2267="Ganti uang riba",I2267="Kelebihan ganti dikembalikan",AND(C2267="Kantong Uang Riba",G2267="Pengeluaran"))),1,0)</f>
        <v/>
      </c>
      <c r="X2267" s="93">
        <f>IF(AND(B2267&lt;&gt;"",B2267&gt;='Buku Akun'!$H$4,B2267&lt;='Buku Akun'!$H$5,OR(C2267='Buku Akun'!$C$4,AND(D2267="Pindah",E2267='Buku Akun'!$C$4))),B2267+IF(AND(I2267="Selisih bunga",DAY(B2267)=1),0,0.01)+ROW()/10000000,"")</f>
        <v/>
      </c>
    </row>
    <row r="2268" outlineLevel="1" ht="15" customHeight="1" s="94">
      <c r="A2268" s="123">
        <f>IF(B2268="","",ROW()-15)</f>
        <v/>
      </c>
      <c r="B2268" s="124" t="n"/>
      <c r="C2268" s="123" t="n"/>
      <c r="D2268" s="123" t="n"/>
      <c r="E2268" s="123" t="n"/>
      <c r="F2268" s="125" t="n"/>
      <c r="G2268" s="123" t="n"/>
      <c r="H2268" s="123" t="n"/>
      <c r="I2268" s="123" t="n"/>
      <c r="J2268" s="123" t="n"/>
      <c r="K2268" s="123" t="n"/>
      <c r="L2268" s="123" t="n"/>
      <c r="M2268" s="123">
        <f>IF(AND(B2268&lt;&gt;"",OR($C$4="",ISNUMBER(SEARCH($C$4,C2268&amp;" "&amp;E2268&amp;" "&amp;G2268&amp;" "&amp;H2268&amp;" "&amp;I2268&amp;" "&amp;J2268&amp;" "&amp;K2268&amp;" "&amp;L2268))),OR($C$5="Semua",$C$5="",G2268=$C$5),OR($C$6="Semua",$C$6="",H2268=$C$6,H2268="Pengeluaran "&amp;$C$6,AND($C$6="Uang Kos Mama",H2268="Pengeluaran Uang Kos")),OR($C$7="Semua",$C$7="",I2268=$C$7),OR($C$8="Semua",$C$8="",C2268=$C$8,E2268=$C$8),OR($C$9="Semua",$C$9="",D2268=$C$9),OR($C$10="",B2268&gt;=$C$10),OR($C$11="",B2268&lt;=$C$11),OR($C$12&lt;&gt;"Ya",K2268&lt;&gt;""),OR($C$13="Semua",$C$13="",L2268=$C$13)),"✓","")</f>
        <v/>
      </c>
      <c r="N2268" s="93">
        <f>N(N2267)+IF(M2268="✓",1,0)</f>
        <v/>
      </c>
      <c r="O2268" s="93">
        <f>N(O2267)+IF(AND(B2268&lt;&gt;"",B2268&gt;='Uang Riba'!$H$30,B2268&lt;='Uang Riba'!$I$30,OR(H2268="Dana riba",H2268="Pinjam uang riba",I2268="Pinjam dari uang riba",I2268="Ganti uang riba",I2268="Kelebihan ganti dikembalikan",AND(C2268="Kantong Uang Riba",G2268="Pengeluaran"))),1,0)</f>
        <v/>
      </c>
      <c r="X2268" s="93">
        <f>IF(AND(B2268&lt;&gt;"",B2268&gt;='Buku Akun'!$H$4,B2268&lt;='Buku Akun'!$H$5,OR(C2268='Buku Akun'!$C$4,AND(D2268="Pindah",E2268='Buku Akun'!$C$4))),B2268+IF(AND(I2268="Selisih bunga",DAY(B2268)=1),0,0.01)+ROW()/10000000,"")</f>
        <v/>
      </c>
    </row>
    <row r="2269" outlineLevel="1" ht="15" customHeight="1" s="94">
      <c r="A2269" s="123">
        <f>IF(B2269="","",ROW()-15)</f>
        <v/>
      </c>
      <c r="B2269" s="124" t="n"/>
      <c r="C2269" s="123" t="n"/>
      <c r="D2269" s="123" t="n"/>
      <c r="E2269" s="123" t="n"/>
      <c r="F2269" s="125" t="n"/>
      <c r="G2269" s="123" t="n"/>
      <c r="H2269" s="123" t="n"/>
      <c r="I2269" s="123" t="n"/>
      <c r="J2269" s="123" t="n"/>
      <c r="K2269" s="123" t="n"/>
      <c r="L2269" s="123" t="n"/>
      <c r="M2269" s="123">
        <f>IF(AND(B2269&lt;&gt;"",OR($C$4="",ISNUMBER(SEARCH($C$4,C2269&amp;" "&amp;E2269&amp;" "&amp;G2269&amp;" "&amp;H2269&amp;" "&amp;I2269&amp;" "&amp;J2269&amp;" "&amp;K2269&amp;" "&amp;L2269))),OR($C$5="Semua",$C$5="",G2269=$C$5),OR($C$6="Semua",$C$6="",H2269=$C$6,H2269="Pengeluaran "&amp;$C$6,AND($C$6="Uang Kos Mama",H2269="Pengeluaran Uang Kos")),OR($C$7="Semua",$C$7="",I2269=$C$7),OR($C$8="Semua",$C$8="",C2269=$C$8,E2269=$C$8),OR($C$9="Semua",$C$9="",D2269=$C$9),OR($C$10="",B2269&gt;=$C$10),OR($C$11="",B2269&lt;=$C$11),OR($C$12&lt;&gt;"Ya",K2269&lt;&gt;""),OR($C$13="Semua",$C$13="",L2269=$C$13)),"✓","")</f>
        <v/>
      </c>
      <c r="N2269" s="93">
        <f>N(N2268)+IF(M2269="✓",1,0)</f>
        <v/>
      </c>
      <c r="O2269" s="93">
        <f>N(O2268)+IF(AND(B2269&lt;&gt;"",B2269&gt;='Uang Riba'!$H$30,B2269&lt;='Uang Riba'!$I$30,OR(H2269="Dana riba",H2269="Pinjam uang riba",I2269="Pinjam dari uang riba",I2269="Ganti uang riba",I2269="Kelebihan ganti dikembalikan",AND(C2269="Kantong Uang Riba",G2269="Pengeluaran"))),1,0)</f>
        <v/>
      </c>
      <c r="X2269" s="93">
        <f>IF(AND(B2269&lt;&gt;"",B2269&gt;='Buku Akun'!$H$4,B2269&lt;='Buku Akun'!$H$5,OR(C2269='Buku Akun'!$C$4,AND(D2269="Pindah",E2269='Buku Akun'!$C$4))),B2269+IF(AND(I2269="Selisih bunga",DAY(B2269)=1),0,0.01)+ROW()/10000000,"")</f>
        <v/>
      </c>
    </row>
    <row r="2270" outlineLevel="1" ht="15" customHeight="1" s="94">
      <c r="A2270" s="123">
        <f>IF(B2270="","",ROW()-15)</f>
        <v/>
      </c>
      <c r="B2270" s="124" t="n"/>
      <c r="C2270" s="123" t="n"/>
      <c r="D2270" s="123" t="n"/>
      <c r="E2270" s="123" t="n"/>
      <c r="F2270" s="125" t="n"/>
      <c r="G2270" s="123" t="n"/>
      <c r="H2270" s="123" t="n"/>
      <c r="I2270" s="123" t="n"/>
      <c r="J2270" s="123" t="n"/>
      <c r="K2270" s="123" t="n"/>
      <c r="L2270" s="123" t="n"/>
      <c r="M2270" s="123">
        <f>IF(AND(B2270&lt;&gt;"",OR($C$4="",ISNUMBER(SEARCH($C$4,C2270&amp;" "&amp;E2270&amp;" "&amp;G2270&amp;" "&amp;H2270&amp;" "&amp;I2270&amp;" "&amp;J2270&amp;" "&amp;K2270&amp;" "&amp;L2270))),OR($C$5="Semua",$C$5="",G2270=$C$5),OR($C$6="Semua",$C$6="",H2270=$C$6,H2270="Pengeluaran "&amp;$C$6,AND($C$6="Uang Kos Mama",H2270="Pengeluaran Uang Kos")),OR($C$7="Semua",$C$7="",I2270=$C$7),OR($C$8="Semua",$C$8="",C2270=$C$8,E2270=$C$8),OR($C$9="Semua",$C$9="",D2270=$C$9),OR($C$10="",B2270&gt;=$C$10),OR($C$11="",B2270&lt;=$C$11),OR($C$12&lt;&gt;"Ya",K2270&lt;&gt;""),OR($C$13="Semua",$C$13="",L2270=$C$13)),"✓","")</f>
        <v/>
      </c>
      <c r="N2270" s="93">
        <f>N(N2269)+IF(M2270="✓",1,0)</f>
        <v/>
      </c>
      <c r="O2270" s="93">
        <f>N(O2269)+IF(AND(B2270&lt;&gt;"",B2270&gt;='Uang Riba'!$H$30,B2270&lt;='Uang Riba'!$I$30,OR(H2270="Dana riba",H2270="Pinjam uang riba",I2270="Pinjam dari uang riba",I2270="Ganti uang riba",I2270="Kelebihan ganti dikembalikan",AND(C2270="Kantong Uang Riba",G2270="Pengeluaran"))),1,0)</f>
        <v/>
      </c>
      <c r="X2270" s="93">
        <f>IF(AND(B2270&lt;&gt;"",B2270&gt;='Buku Akun'!$H$4,B2270&lt;='Buku Akun'!$H$5,OR(C2270='Buku Akun'!$C$4,AND(D2270="Pindah",E2270='Buku Akun'!$C$4))),B2270+IF(AND(I2270="Selisih bunga",DAY(B2270)=1),0,0.01)+ROW()/10000000,"")</f>
        <v/>
      </c>
    </row>
    <row r="2271" outlineLevel="1" ht="15" customHeight="1" s="94">
      <c r="A2271" s="123">
        <f>IF(B2271="","",ROW()-15)</f>
        <v/>
      </c>
      <c r="B2271" s="124" t="n"/>
      <c r="C2271" s="123" t="n"/>
      <c r="D2271" s="123" t="n"/>
      <c r="E2271" s="123" t="n"/>
      <c r="F2271" s="125" t="n"/>
      <c r="G2271" s="123" t="n"/>
      <c r="H2271" s="123" t="n"/>
      <c r="I2271" s="123" t="n"/>
      <c r="J2271" s="123" t="n"/>
      <c r="K2271" s="123" t="n"/>
      <c r="L2271" s="123" t="n"/>
      <c r="M2271" s="123">
        <f>IF(AND(B2271&lt;&gt;"",OR($C$4="",ISNUMBER(SEARCH($C$4,C2271&amp;" "&amp;E2271&amp;" "&amp;G2271&amp;" "&amp;H2271&amp;" "&amp;I2271&amp;" "&amp;J2271&amp;" "&amp;K2271&amp;" "&amp;L2271))),OR($C$5="Semua",$C$5="",G2271=$C$5),OR($C$6="Semua",$C$6="",H2271=$C$6,H2271="Pengeluaran "&amp;$C$6,AND($C$6="Uang Kos Mama",H2271="Pengeluaran Uang Kos")),OR($C$7="Semua",$C$7="",I2271=$C$7),OR($C$8="Semua",$C$8="",C2271=$C$8,E2271=$C$8),OR($C$9="Semua",$C$9="",D2271=$C$9),OR($C$10="",B2271&gt;=$C$10),OR($C$11="",B2271&lt;=$C$11),OR($C$12&lt;&gt;"Ya",K2271&lt;&gt;""),OR($C$13="Semua",$C$13="",L2271=$C$13)),"✓","")</f>
        <v/>
      </c>
      <c r="N2271" s="93">
        <f>N(N2270)+IF(M2271="✓",1,0)</f>
        <v/>
      </c>
      <c r="O2271" s="93">
        <f>N(O2270)+IF(AND(B2271&lt;&gt;"",B2271&gt;='Uang Riba'!$H$30,B2271&lt;='Uang Riba'!$I$30,OR(H2271="Dana riba",H2271="Pinjam uang riba",I2271="Pinjam dari uang riba",I2271="Ganti uang riba",I2271="Kelebihan ganti dikembalikan",AND(C2271="Kantong Uang Riba",G2271="Pengeluaran"))),1,0)</f>
        <v/>
      </c>
      <c r="X2271" s="93">
        <f>IF(AND(B2271&lt;&gt;"",B2271&gt;='Buku Akun'!$H$4,B2271&lt;='Buku Akun'!$H$5,OR(C2271='Buku Akun'!$C$4,AND(D2271="Pindah",E2271='Buku Akun'!$C$4))),B2271+IF(AND(I2271="Selisih bunga",DAY(B2271)=1),0,0.01)+ROW()/10000000,"")</f>
        <v/>
      </c>
    </row>
    <row r="2272" outlineLevel="1" ht="15" customHeight="1" s="94">
      <c r="A2272" s="123">
        <f>IF(B2272="","",ROW()-15)</f>
        <v/>
      </c>
      <c r="B2272" s="124" t="n"/>
      <c r="C2272" s="123" t="n"/>
      <c r="D2272" s="123" t="n"/>
      <c r="E2272" s="123" t="n"/>
      <c r="F2272" s="125" t="n"/>
      <c r="G2272" s="123" t="n"/>
      <c r="H2272" s="123" t="n"/>
      <c r="I2272" s="123" t="n"/>
      <c r="J2272" s="123" t="n"/>
      <c r="K2272" s="123" t="n"/>
      <c r="L2272" s="123" t="n"/>
      <c r="M2272" s="123">
        <f>IF(AND(B2272&lt;&gt;"",OR($C$4="",ISNUMBER(SEARCH($C$4,C2272&amp;" "&amp;E2272&amp;" "&amp;G2272&amp;" "&amp;H2272&amp;" "&amp;I2272&amp;" "&amp;J2272&amp;" "&amp;K2272&amp;" "&amp;L2272))),OR($C$5="Semua",$C$5="",G2272=$C$5),OR($C$6="Semua",$C$6="",H2272=$C$6,H2272="Pengeluaran "&amp;$C$6,AND($C$6="Uang Kos Mama",H2272="Pengeluaran Uang Kos")),OR($C$7="Semua",$C$7="",I2272=$C$7),OR($C$8="Semua",$C$8="",C2272=$C$8,E2272=$C$8),OR($C$9="Semua",$C$9="",D2272=$C$9),OR($C$10="",B2272&gt;=$C$10),OR($C$11="",B2272&lt;=$C$11),OR($C$12&lt;&gt;"Ya",K2272&lt;&gt;""),OR($C$13="Semua",$C$13="",L2272=$C$13)),"✓","")</f>
        <v/>
      </c>
      <c r="N2272" s="93">
        <f>N(N2271)+IF(M2272="✓",1,0)</f>
        <v/>
      </c>
      <c r="O2272" s="93">
        <f>N(O2271)+IF(AND(B2272&lt;&gt;"",B2272&gt;='Uang Riba'!$H$30,B2272&lt;='Uang Riba'!$I$30,OR(H2272="Dana riba",H2272="Pinjam uang riba",I2272="Pinjam dari uang riba",I2272="Ganti uang riba",I2272="Kelebihan ganti dikembalikan",AND(C2272="Kantong Uang Riba",G2272="Pengeluaran"))),1,0)</f>
        <v/>
      </c>
      <c r="X2272" s="93">
        <f>IF(AND(B2272&lt;&gt;"",B2272&gt;='Buku Akun'!$H$4,B2272&lt;='Buku Akun'!$H$5,OR(C2272='Buku Akun'!$C$4,AND(D2272="Pindah",E2272='Buku Akun'!$C$4))),B2272+IF(AND(I2272="Selisih bunga",DAY(B2272)=1),0,0.01)+ROW()/10000000,"")</f>
        <v/>
      </c>
    </row>
    <row r="2273" outlineLevel="1" ht="15" customHeight="1" s="94">
      <c r="A2273" s="123">
        <f>IF(B2273="","",ROW()-15)</f>
        <v/>
      </c>
      <c r="B2273" s="124" t="n"/>
      <c r="C2273" s="123" t="n"/>
      <c r="D2273" s="123" t="n"/>
      <c r="E2273" s="123" t="n"/>
      <c r="F2273" s="125" t="n"/>
      <c r="G2273" s="123" t="n"/>
      <c r="H2273" s="123" t="n"/>
      <c r="I2273" s="123" t="n"/>
      <c r="J2273" s="123" t="n"/>
      <c r="K2273" s="123" t="n"/>
      <c r="L2273" s="123" t="n"/>
      <c r="M2273" s="123">
        <f>IF(AND(B2273&lt;&gt;"",OR($C$4="",ISNUMBER(SEARCH($C$4,C2273&amp;" "&amp;E2273&amp;" "&amp;G2273&amp;" "&amp;H2273&amp;" "&amp;I2273&amp;" "&amp;J2273&amp;" "&amp;K2273&amp;" "&amp;L2273))),OR($C$5="Semua",$C$5="",G2273=$C$5),OR($C$6="Semua",$C$6="",H2273=$C$6,H2273="Pengeluaran "&amp;$C$6,AND($C$6="Uang Kos Mama",H2273="Pengeluaran Uang Kos")),OR($C$7="Semua",$C$7="",I2273=$C$7),OR($C$8="Semua",$C$8="",C2273=$C$8,E2273=$C$8),OR($C$9="Semua",$C$9="",D2273=$C$9),OR($C$10="",B2273&gt;=$C$10),OR($C$11="",B2273&lt;=$C$11),OR($C$12&lt;&gt;"Ya",K2273&lt;&gt;""),OR($C$13="Semua",$C$13="",L2273=$C$13)),"✓","")</f>
        <v/>
      </c>
      <c r="N2273" s="93">
        <f>N(N2272)+IF(M2273="✓",1,0)</f>
        <v/>
      </c>
      <c r="O2273" s="93">
        <f>N(O2272)+IF(AND(B2273&lt;&gt;"",B2273&gt;='Uang Riba'!$H$30,B2273&lt;='Uang Riba'!$I$30,OR(H2273="Dana riba",H2273="Pinjam uang riba",I2273="Pinjam dari uang riba",I2273="Ganti uang riba",I2273="Kelebihan ganti dikembalikan",AND(C2273="Kantong Uang Riba",G2273="Pengeluaran"))),1,0)</f>
        <v/>
      </c>
      <c r="X2273" s="93">
        <f>IF(AND(B2273&lt;&gt;"",B2273&gt;='Buku Akun'!$H$4,B2273&lt;='Buku Akun'!$H$5,OR(C2273='Buku Akun'!$C$4,AND(D2273="Pindah",E2273='Buku Akun'!$C$4))),B2273+IF(AND(I2273="Selisih bunga",DAY(B2273)=1),0,0.01)+ROW()/10000000,"")</f>
        <v/>
      </c>
    </row>
    <row r="2274" outlineLevel="1" ht="15" customHeight="1" s="94">
      <c r="A2274" s="123">
        <f>IF(B2274="","",ROW()-15)</f>
        <v/>
      </c>
      <c r="B2274" s="124" t="n"/>
      <c r="C2274" s="123" t="n"/>
      <c r="D2274" s="123" t="n"/>
      <c r="E2274" s="123" t="n"/>
      <c r="F2274" s="125" t="n"/>
      <c r="G2274" s="123" t="n"/>
      <c r="H2274" s="123" t="n"/>
      <c r="I2274" s="123" t="n"/>
      <c r="J2274" s="123" t="n"/>
      <c r="K2274" s="123" t="n"/>
      <c r="L2274" s="123" t="n"/>
      <c r="M2274" s="123">
        <f>IF(AND(B2274&lt;&gt;"",OR($C$4="",ISNUMBER(SEARCH($C$4,C2274&amp;" "&amp;E2274&amp;" "&amp;G2274&amp;" "&amp;H2274&amp;" "&amp;I2274&amp;" "&amp;J2274&amp;" "&amp;K2274&amp;" "&amp;L2274))),OR($C$5="Semua",$C$5="",G2274=$C$5),OR($C$6="Semua",$C$6="",H2274=$C$6,H2274="Pengeluaran "&amp;$C$6,AND($C$6="Uang Kos Mama",H2274="Pengeluaran Uang Kos")),OR($C$7="Semua",$C$7="",I2274=$C$7),OR($C$8="Semua",$C$8="",C2274=$C$8,E2274=$C$8),OR($C$9="Semua",$C$9="",D2274=$C$9),OR($C$10="",B2274&gt;=$C$10),OR($C$11="",B2274&lt;=$C$11),OR($C$12&lt;&gt;"Ya",K2274&lt;&gt;""),OR($C$13="Semua",$C$13="",L2274=$C$13)),"✓","")</f>
        <v/>
      </c>
      <c r="N2274" s="93">
        <f>N(N2273)+IF(M2274="✓",1,0)</f>
        <v/>
      </c>
      <c r="O2274" s="93">
        <f>N(O2273)+IF(AND(B2274&lt;&gt;"",B2274&gt;='Uang Riba'!$H$30,B2274&lt;='Uang Riba'!$I$30,OR(H2274="Dana riba",H2274="Pinjam uang riba",I2274="Pinjam dari uang riba",I2274="Ganti uang riba",I2274="Kelebihan ganti dikembalikan",AND(C2274="Kantong Uang Riba",G2274="Pengeluaran"))),1,0)</f>
        <v/>
      </c>
      <c r="X2274" s="93">
        <f>IF(AND(B2274&lt;&gt;"",B2274&gt;='Buku Akun'!$H$4,B2274&lt;='Buku Akun'!$H$5,OR(C2274='Buku Akun'!$C$4,AND(D2274="Pindah",E2274='Buku Akun'!$C$4))),B2274+IF(AND(I2274="Selisih bunga",DAY(B2274)=1),0,0.01)+ROW()/10000000,"")</f>
        <v/>
      </c>
    </row>
    <row r="2275" outlineLevel="1" ht="15" customHeight="1" s="94">
      <c r="A2275" s="123">
        <f>IF(B2275="","",ROW()-15)</f>
        <v/>
      </c>
      <c r="B2275" s="124" t="n"/>
      <c r="C2275" s="123" t="n"/>
      <c r="D2275" s="123" t="n"/>
      <c r="E2275" s="123" t="n"/>
      <c r="F2275" s="125" t="n"/>
      <c r="G2275" s="123" t="n"/>
      <c r="H2275" s="123" t="n"/>
      <c r="I2275" s="123" t="n"/>
      <c r="J2275" s="123" t="n"/>
      <c r="K2275" s="123" t="n"/>
      <c r="L2275" s="123" t="n"/>
      <c r="M2275" s="123">
        <f>IF(AND(B2275&lt;&gt;"",OR($C$4="",ISNUMBER(SEARCH($C$4,C2275&amp;" "&amp;E2275&amp;" "&amp;G2275&amp;" "&amp;H2275&amp;" "&amp;I2275&amp;" "&amp;J2275&amp;" "&amp;K2275&amp;" "&amp;L2275))),OR($C$5="Semua",$C$5="",G2275=$C$5),OR($C$6="Semua",$C$6="",H2275=$C$6,H2275="Pengeluaran "&amp;$C$6,AND($C$6="Uang Kos Mama",H2275="Pengeluaran Uang Kos")),OR($C$7="Semua",$C$7="",I2275=$C$7),OR($C$8="Semua",$C$8="",C2275=$C$8,E2275=$C$8),OR($C$9="Semua",$C$9="",D2275=$C$9),OR($C$10="",B2275&gt;=$C$10),OR($C$11="",B2275&lt;=$C$11),OR($C$12&lt;&gt;"Ya",K2275&lt;&gt;""),OR($C$13="Semua",$C$13="",L2275=$C$13)),"✓","")</f>
        <v/>
      </c>
      <c r="N2275" s="93">
        <f>N(N2274)+IF(M2275="✓",1,0)</f>
        <v/>
      </c>
      <c r="O2275" s="93">
        <f>N(O2274)+IF(AND(B2275&lt;&gt;"",B2275&gt;='Uang Riba'!$H$30,B2275&lt;='Uang Riba'!$I$30,OR(H2275="Dana riba",H2275="Pinjam uang riba",I2275="Pinjam dari uang riba",I2275="Ganti uang riba",I2275="Kelebihan ganti dikembalikan",AND(C2275="Kantong Uang Riba",G2275="Pengeluaran"))),1,0)</f>
        <v/>
      </c>
      <c r="X2275" s="93">
        <f>IF(AND(B2275&lt;&gt;"",B2275&gt;='Buku Akun'!$H$4,B2275&lt;='Buku Akun'!$H$5,OR(C2275='Buku Akun'!$C$4,AND(D2275="Pindah",E2275='Buku Akun'!$C$4))),B2275+IF(AND(I2275="Selisih bunga",DAY(B2275)=1),0,0.01)+ROW()/10000000,"")</f>
        <v/>
      </c>
    </row>
    <row r="2276" outlineLevel="1" ht="15" customHeight="1" s="94">
      <c r="A2276" s="123">
        <f>IF(B2276="","",ROW()-15)</f>
        <v/>
      </c>
      <c r="B2276" s="124" t="n"/>
      <c r="C2276" s="123" t="n"/>
      <c r="D2276" s="123" t="n"/>
      <c r="E2276" s="123" t="n"/>
      <c r="F2276" s="125" t="n"/>
      <c r="G2276" s="123" t="n"/>
      <c r="H2276" s="123" t="n"/>
      <c r="I2276" s="123" t="n"/>
      <c r="J2276" s="123" t="n"/>
      <c r="K2276" s="123" t="n"/>
      <c r="L2276" s="123" t="n"/>
      <c r="M2276" s="123">
        <f>IF(AND(B2276&lt;&gt;"",OR($C$4="",ISNUMBER(SEARCH($C$4,C2276&amp;" "&amp;E2276&amp;" "&amp;G2276&amp;" "&amp;H2276&amp;" "&amp;I2276&amp;" "&amp;J2276&amp;" "&amp;K2276&amp;" "&amp;L2276))),OR($C$5="Semua",$C$5="",G2276=$C$5),OR($C$6="Semua",$C$6="",H2276=$C$6,H2276="Pengeluaran "&amp;$C$6,AND($C$6="Uang Kos Mama",H2276="Pengeluaran Uang Kos")),OR($C$7="Semua",$C$7="",I2276=$C$7),OR($C$8="Semua",$C$8="",C2276=$C$8,E2276=$C$8),OR($C$9="Semua",$C$9="",D2276=$C$9),OR($C$10="",B2276&gt;=$C$10),OR($C$11="",B2276&lt;=$C$11),OR($C$12&lt;&gt;"Ya",K2276&lt;&gt;""),OR($C$13="Semua",$C$13="",L2276=$C$13)),"✓","")</f>
        <v/>
      </c>
      <c r="N2276" s="93">
        <f>N(N2275)+IF(M2276="✓",1,0)</f>
        <v/>
      </c>
      <c r="O2276" s="93">
        <f>N(O2275)+IF(AND(B2276&lt;&gt;"",B2276&gt;='Uang Riba'!$H$30,B2276&lt;='Uang Riba'!$I$30,OR(H2276="Dana riba",H2276="Pinjam uang riba",I2276="Pinjam dari uang riba",I2276="Ganti uang riba",I2276="Kelebihan ganti dikembalikan",AND(C2276="Kantong Uang Riba",G2276="Pengeluaran"))),1,0)</f>
        <v/>
      </c>
      <c r="X2276" s="93">
        <f>IF(AND(B2276&lt;&gt;"",B2276&gt;='Buku Akun'!$H$4,B2276&lt;='Buku Akun'!$H$5,OR(C2276='Buku Akun'!$C$4,AND(D2276="Pindah",E2276='Buku Akun'!$C$4))),B2276+IF(AND(I2276="Selisih bunga",DAY(B2276)=1),0,0.01)+ROW()/10000000,"")</f>
        <v/>
      </c>
    </row>
    <row r="2277" outlineLevel="1" ht="15" customHeight="1" s="94">
      <c r="A2277" s="123">
        <f>IF(B2277="","",ROW()-15)</f>
        <v/>
      </c>
      <c r="B2277" s="124" t="n"/>
      <c r="C2277" s="123" t="n"/>
      <c r="D2277" s="123" t="n"/>
      <c r="E2277" s="123" t="n"/>
      <c r="F2277" s="125" t="n"/>
      <c r="G2277" s="123" t="n"/>
      <c r="H2277" s="123" t="n"/>
      <c r="I2277" s="123" t="n"/>
      <c r="J2277" s="123" t="n"/>
      <c r="K2277" s="123" t="n"/>
      <c r="L2277" s="123" t="n"/>
      <c r="M2277" s="123">
        <f>IF(AND(B2277&lt;&gt;"",OR($C$4="",ISNUMBER(SEARCH($C$4,C2277&amp;" "&amp;E2277&amp;" "&amp;G2277&amp;" "&amp;H2277&amp;" "&amp;I2277&amp;" "&amp;J2277&amp;" "&amp;K2277&amp;" "&amp;L2277))),OR($C$5="Semua",$C$5="",G2277=$C$5),OR($C$6="Semua",$C$6="",H2277=$C$6,H2277="Pengeluaran "&amp;$C$6,AND($C$6="Uang Kos Mama",H2277="Pengeluaran Uang Kos")),OR($C$7="Semua",$C$7="",I2277=$C$7),OR($C$8="Semua",$C$8="",C2277=$C$8,E2277=$C$8),OR($C$9="Semua",$C$9="",D2277=$C$9),OR($C$10="",B2277&gt;=$C$10),OR($C$11="",B2277&lt;=$C$11),OR($C$12&lt;&gt;"Ya",K2277&lt;&gt;""),OR($C$13="Semua",$C$13="",L2277=$C$13)),"✓","")</f>
        <v/>
      </c>
      <c r="N2277" s="93">
        <f>N(N2276)+IF(M2277="✓",1,0)</f>
        <v/>
      </c>
      <c r="O2277" s="93">
        <f>N(O2276)+IF(AND(B2277&lt;&gt;"",B2277&gt;='Uang Riba'!$H$30,B2277&lt;='Uang Riba'!$I$30,OR(H2277="Dana riba",H2277="Pinjam uang riba",I2277="Pinjam dari uang riba",I2277="Ganti uang riba",I2277="Kelebihan ganti dikembalikan",AND(C2277="Kantong Uang Riba",G2277="Pengeluaran"))),1,0)</f>
        <v/>
      </c>
      <c r="X2277" s="93">
        <f>IF(AND(B2277&lt;&gt;"",B2277&gt;='Buku Akun'!$H$4,B2277&lt;='Buku Akun'!$H$5,OR(C2277='Buku Akun'!$C$4,AND(D2277="Pindah",E2277='Buku Akun'!$C$4))),B2277+IF(AND(I2277="Selisih bunga",DAY(B2277)=1),0,0.01)+ROW()/10000000,"")</f>
        <v/>
      </c>
    </row>
    <row r="2278" outlineLevel="1" ht="15" customHeight="1" s="94">
      <c r="A2278" s="123">
        <f>IF(B2278="","",ROW()-15)</f>
        <v/>
      </c>
      <c r="B2278" s="124" t="n"/>
      <c r="C2278" s="123" t="n"/>
      <c r="D2278" s="123" t="n"/>
      <c r="E2278" s="123" t="n"/>
      <c r="F2278" s="125" t="n"/>
      <c r="G2278" s="123" t="n"/>
      <c r="H2278" s="123" t="n"/>
      <c r="I2278" s="123" t="n"/>
      <c r="J2278" s="123" t="n"/>
      <c r="K2278" s="123" t="n"/>
      <c r="L2278" s="123" t="n"/>
      <c r="M2278" s="123">
        <f>IF(AND(B2278&lt;&gt;"",OR($C$4="",ISNUMBER(SEARCH($C$4,C2278&amp;" "&amp;E2278&amp;" "&amp;G2278&amp;" "&amp;H2278&amp;" "&amp;I2278&amp;" "&amp;J2278&amp;" "&amp;K2278&amp;" "&amp;L2278))),OR($C$5="Semua",$C$5="",G2278=$C$5),OR($C$6="Semua",$C$6="",H2278=$C$6,H2278="Pengeluaran "&amp;$C$6,AND($C$6="Uang Kos Mama",H2278="Pengeluaran Uang Kos")),OR($C$7="Semua",$C$7="",I2278=$C$7),OR($C$8="Semua",$C$8="",C2278=$C$8,E2278=$C$8),OR($C$9="Semua",$C$9="",D2278=$C$9),OR($C$10="",B2278&gt;=$C$10),OR($C$11="",B2278&lt;=$C$11),OR($C$12&lt;&gt;"Ya",K2278&lt;&gt;""),OR($C$13="Semua",$C$13="",L2278=$C$13)),"✓","")</f>
        <v/>
      </c>
      <c r="N2278" s="93">
        <f>N(N2277)+IF(M2278="✓",1,0)</f>
        <v/>
      </c>
      <c r="O2278" s="93">
        <f>N(O2277)+IF(AND(B2278&lt;&gt;"",B2278&gt;='Uang Riba'!$H$30,B2278&lt;='Uang Riba'!$I$30,OR(H2278="Dana riba",H2278="Pinjam uang riba",I2278="Pinjam dari uang riba",I2278="Ganti uang riba",I2278="Kelebihan ganti dikembalikan",AND(C2278="Kantong Uang Riba",G2278="Pengeluaran"))),1,0)</f>
        <v/>
      </c>
      <c r="X2278" s="93">
        <f>IF(AND(B2278&lt;&gt;"",B2278&gt;='Buku Akun'!$H$4,B2278&lt;='Buku Akun'!$H$5,OR(C2278='Buku Akun'!$C$4,AND(D2278="Pindah",E2278='Buku Akun'!$C$4))),B2278+IF(AND(I2278="Selisih bunga",DAY(B2278)=1),0,0.01)+ROW()/10000000,"")</f>
        <v/>
      </c>
    </row>
    <row r="2279" outlineLevel="1" ht="15" customHeight="1" s="94">
      <c r="A2279" s="123">
        <f>IF(B2279="","",ROW()-15)</f>
        <v/>
      </c>
      <c r="B2279" s="124" t="n"/>
      <c r="C2279" s="123" t="n"/>
      <c r="D2279" s="123" t="n"/>
      <c r="E2279" s="123" t="n"/>
      <c r="F2279" s="125" t="n"/>
      <c r="G2279" s="123" t="n"/>
      <c r="H2279" s="123" t="n"/>
      <c r="I2279" s="123" t="n"/>
      <c r="J2279" s="123" t="n"/>
      <c r="K2279" s="123" t="n"/>
      <c r="L2279" s="123" t="n"/>
      <c r="M2279" s="123">
        <f>IF(AND(B2279&lt;&gt;"",OR($C$4="",ISNUMBER(SEARCH($C$4,C2279&amp;" "&amp;E2279&amp;" "&amp;G2279&amp;" "&amp;H2279&amp;" "&amp;I2279&amp;" "&amp;J2279&amp;" "&amp;K2279&amp;" "&amp;L2279))),OR($C$5="Semua",$C$5="",G2279=$C$5),OR($C$6="Semua",$C$6="",H2279=$C$6,H2279="Pengeluaran "&amp;$C$6,AND($C$6="Uang Kos Mama",H2279="Pengeluaran Uang Kos")),OR($C$7="Semua",$C$7="",I2279=$C$7),OR($C$8="Semua",$C$8="",C2279=$C$8,E2279=$C$8),OR($C$9="Semua",$C$9="",D2279=$C$9),OR($C$10="",B2279&gt;=$C$10),OR($C$11="",B2279&lt;=$C$11),OR($C$12&lt;&gt;"Ya",K2279&lt;&gt;""),OR($C$13="Semua",$C$13="",L2279=$C$13)),"✓","")</f>
        <v/>
      </c>
      <c r="N2279" s="93">
        <f>N(N2278)+IF(M2279="✓",1,0)</f>
        <v/>
      </c>
      <c r="O2279" s="93">
        <f>N(O2278)+IF(AND(B2279&lt;&gt;"",B2279&gt;='Uang Riba'!$H$30,B2279&lt;='Uang Riba'!$I$30,OR(H2279="Dana riba",H2279="Pinjam uang riba",I2279="Pinjam dari uang riba",I2279="Ganti uang riba",I2279="Kelebihan ganti dikembalikan",AND(C2279="Kantong Uang Riba",G2279="Pengeluaran"))),1,0)</f>
        <v/>
      </c>
      <c r="X2279" s="93">
        <f>IF(AND(B2279&lt;&gt;"",B2279&gt;='Buku Akun'!$H$4,B2279&lt;='Buku Akun'!$H$5,OR(C2279='Buku Akun'!$C$4,AND(D2279="Pindah",E2279='Buku Akun'!$C$4))),B2279+IF(AND(I2279="Selisih bunga",DAY(B2279)=1),0,0.01)+ROW()/10000000,"")</f>
        <v/>
      </c>
    </row>
    <row r="2280" outlineLevel="1" ht="15" customHeight="1" s="94">
      <c r="A2280" s="123">
        <f>IF(B2280="","",ROW()-15)</f>
        <v/>
      </c>
      <c r="B2280" s="124" t="n"/>
      <c r="C2280" s="123" t="n"/>
      <c r="D2280" s="123" t="n"/>
      <c r="E2280" s="123" t="n"/>
      <c r="F2280" s="125" t="n"/>
      <c r="G2280" s="123" t="n"/>
      <c r="H2280" s="123" t="n"/>
      <c r="I2280" s="123" t="n"/>
      <c r="J2280" s="123" t="n"/>
      <c r="K2280" s="123" t="n"/>
      <c r="L2280" s="123" t="n"/>
      <c r="M2280" s="123">
        <f>IF(AND(B2280&lt;&gt;"",OR($C$4="",ISNUMBER(SEARCH($C$4,C2280&amp;" "&amp;E2280&amp;" "&amp;G2280&amp;" "&amp;H2280&amp;" "&amp;I2280&amp;" "&amp;J2280&amp;" "&amp;K2280&amp;" "&amp;L2280))),OR($C$5="Semua",$C$5="",G2280=$C$5),OR($C$6="Semua",$C$6="",H2280=$C$6,H2280="Pengeluaran "&amp;$C$6,AND($C$6="Uang Kos Mama",H2280="Pengeluaran Uang Kos")),OR($C$7="Semua",$C$7="",I2280=$C$7),OR($C$8="Semua",$C$8="",C2280=$C$8,E2280=$C$8),OR($C$9="Semua",$C$9="",D2280=$C$9),OR($C$10="",B2280&gt;=$C$10),OR($C$11="",B2280&lt;=$C$11),OR($C$12&lt;&gt;"Ya",K2280&lt;&gt;""),OR($C$13="Semua",$C$13="",L2280=$C$13)),"✓","")</f>
        <v/>
      </c>
      <c r="N2280" s="93">
        <f>N(N2279)+IF(M2280="✓",1,0)</f>
        <v/>
      </c>
      <c r="O2280" s="93">
        <f>N(O2279)+IF(AND(B2280&lt;&gt;"",B2280&gt;='Uang Riba'!$H$30,B2280&lt;='Uang Riba'!$I$30,OR(H2280="Dana riba",H2280="Pinjam uang riba",I2280="Pinjam dari uang riba",I2280="Ganti uang riba",I2280="Kelebihan ganti dikembalikan",AND(C2280="Kantong Uang Riba",G2280="Pengeluaran"))),1,0)</f>
        <v/>
      </c>
      <c r="X2280" s="93">
        <f>IF(AND(B2280&lt;&gt;"",B2280&gt;='Buku Akun'!$H$4,B2280&lt;='Buku Akun'!$H$5,OR(C2280='Buku Akun'!$C$4,AND(D2280="Pindah",E2280='Buku Akun'!$C$4))),B2280+IF(AND(I2280="Selisih bunga",DAY(B2280)=1),0,0.01)+ROW()/10000000,"")</f>
        <v/>
      </c>
    </row>
    <row r="2281" outlineLevel="1" ht="15" customHeight="1" s="94">
      <c r="A2281" s="123">
        <f>IF(B2281="","",ROW()-15)</f>
        <v/>
      </c>
      <c r="B2281" s="124" t="n"/>
      <c r="C2281" s="123" t="n"/>
      <c r="D2281" s="123" t="n"/>
      <c r="E2281" s="123" t="n"/>
      <c r="F2281" s="125" t="n"/>
      <c r="G2281" s="123" t="n"/>
      <c r="H2281" s="123" t="n"/>
      <c r="I2281" s="123" t="n"/>
      <c r="J2281" s="123" t="n"/>
      <c r="K2281" s="123" t="n"/>
      <c r="L2281" s="123" t="n"/>
      <c r="M2281" s="123">
        <f>IF(AND(B2281&lt;&gt;"",OR($C$4="",ISNUMBER(SEARCH($C$4,C2281&amp;" "&amp;E2281&amp;" "&amp;G2281&amp;" "&amp;H2281&amp;" "&amp;I2281&amp;" "&amp;J2281&amp;" "&amp;K2281&amp;" "&amp;L2281))),OR($C$5="Semua",$C$5="",G2281=$C$5),OR($C$6="Semua",$C$6="",H2281=$C$6,H2281="Pengeluaran "&amp;$C$6,AND($C$6="Uang Kos Mama",H2281="Pengeluaran Uang Kos")),OR($C$7="Semua",$C$7="",I2281=$C$7),OR($C$8="Semua",$C$8="",C2281=$C$8,E2281=$C$8),OR($C$9="Semua",$C$9="",D2281=$C$9),OR($C$10="",B2281&gt;=$C$10),OR($C$11="",B2281&lt;=$C$11),OR($C$12&lt;&gt;"Ya",K2281&lt;&gt;""),OR($C$13="Semua",$C$13="",L2281=$C$13)),"✓","")</f>
        <v/>
      </c>
      <c r="N2281" s="93">
        <f>N(N2280)+IF(M2281="✓",1,0)</f>
        <v/>
      </c>
      <c r="O2281" s="93">
        <f>N(O2280)+IF(AND(B2281&lt;&gt;"",B2281&gt;='Uang Riba'!$H$30,B2281&lt;='Uang Riba'!$I$30,OR(H2281="Dana riba",H2281="Pinjam uang riba",I2281="Pinjam dari uang riba",I2281="Ganti uang riba",I2281="Kelebihan ganti dikembalikan",AND(C2281="Kantong Uang Riba",G2281="Pengeluaran"))),1,0)</f>
        <v/>
      </c>
      <c r="X2281" s="93">
        <f>IF(AND(B2281&lt;&gt;"",B2281&gt;='Buku Akun'!$H$4,B2281&lt;='Buku Akun'!$H$5,OR(C2281='Buku Akun'!$C$4,AND(D2281="Pindah",E2281='Buku Akun'!$C$4))),B2281+IF(AND(I2281="Selisih bunga",DAY(B2281)=1),0,0.01)+ROW()/10000000,"")</f>
        <v/>
      </c>
    </row>
    <row r="2282" outlineLevel="1" ht="15" customHeight="1" s="94">
      <c r="A2282" s="123">
        <f>IF(B2282="","",ROW()-15)</f>
        <v/>
      </c>
      <c r="B2282" s="124" t="n"/>
      <c r="C2282" s="123" t="n"/>
      <c r="D2282" s="123" t="n"/>
      <c r="E2282" s="123" t="n"/>
      <c r="F2282" s="125" t="n"/>
      <c r="G2282" s="123" t="n"/>
      <c r="H2282" s="123" t="n"/>
      <c r="I2282" s="123" t="n"/>
      <c r="J2282" s="123" t="n"/>
      <c r="K2282" s="123" t="n"/>
      <c r="L2282" s="123" t="n"/>
      <c r="M2282" s="123">
        <f>IF(AND(B2282&lt;&gt;"",OR($C$4="",ISNUMBER(SEARCH($C$4,C2282&amp;" "&amp;E2282&amp;" "&amp;G2282&amp;" "&amp;H2282&amp;" "&amp;I2282&amp;" "&amp;J2282&amp;" "&amp;K2282&amp;" "&amp;L2282))),OR($C$5="Semua",$C$5="",G2282=$C$5),OR($C$6="Semua",$C$6="",H2282=$C$6,H2282="Pengeluaran "&amp;$C$6,AND($C$6="Uang Kos Mama",H2282="Pengeluaran Uang Kos")),OR($C$7="Semua",$C$7="",I2282=$C$7),OR($C$8="Semua",$C$8="",C2282=$C$8,E2282=$C$8),OR($C$9="Semua",$C$9="",D2282=$C$9),OR($C$10="",B2282&gt;=$C$10),OR($C$11="",B2282&lt;=$C$11),OR($C$12&lt;&gt;"Ya",K2282&lt;&gt;""),OR($C$13="Semua",$C$13="",L2282=$C$13)),"✓","")</f>
        <v/>
      </c>
      <c r="N2282" s="93">
        <f>N(N2281)+IF(M2282="✓",1,0)</f>
        <v/>
      </c>
      <c r="O2282" s="93">
        <f>N(O2281)+IF(AND(B2282&lt;&gt;"",B2282&gt;='Uang Riba'!$H$30,B2282&lt;='Uang Riba'!$I$30,OR(H2282="Dana riba",H2282="Pinjam uang riba",I2282="Pinjam dari uang riba",I2282="Ganti uang riba",I2282="Kelebihan ganti dikembalikan",AND(C2282="Kantong Uang Riba",G2282="Pengeluaran"))),1,0)</f>
        <v/>
      </c>
      <c r="X2282" s="93">
        <f>IF(AND(B2282&lt;&gt;"",B2282&gt;='Buku Akun'!$H$4,B2282&lt;='Buku Akun'!$H$5,OR(C2282='Buku Akun'!$C$4,AND(D2282="Pindah",E2282='Buku Akun'!$C$4))),B2282+IF(AND(I2282="Selisih bunga",DAY(B2282)=1),0,0.01)+ROW()/10000000,"")</f>
        <v/>
      </c>
    </row>
    <row r="2283" outlineLevel="1" ht="15" customHeight="1" s="94">
      <c r="A2283" s="123">
        <f>IF(B2283="","",ROW()-15)</f>
        <v/>
      </c>
      <c r="B2283" s="124" t="n"/>
      <c r="C2283" s="123" t="n"/>
      <c r="D2283" s="123" t="n"/>
      <c r="E2283" s="123" t="n"/>
      <c r="F2283" s="125" t="n"/>
      <c r="G2283" s="123" t="n"/>
      <c r="H2283" s="123" t="n"/>
      <c r="I2283" s="123" t="n"/>
      <c r="J2283" s="123" t="n"/>
      <c r="K2283" s="123" t="n"/>
      <c r="L2283" s="123" t="n"/>
      <c r="M2283" s="123">
        <f>IF(AND(B2283&lt;&gt;"",OR($C$4="",ISNUMBER(SEARCH($C$4,C2283&amp;" "&amp;E2283&amp;" "&amp;G2283&amp;" "&amp;H2283&amp;" "&amp;I2283&amp;" "&amp;J2283&amp;" "&amp;K2283&amp;" "&amp;L2283))),OR($C$5="Semua",$C$5="",G2283=$C$5),OR($C$6="Semua",$C$6="",H2283=$C$6,H2283="Pengeluaran "&amp;$C$6,AND($C$6="Uang Kos Mama",H2283="Pengeluaran Uang Kos")),OR($C$7="Semua",$C$7="",I2283=$C$7),OR($C$8="Semua",$C$8="",C2283=$C$8,E2283=$C$8),OR($C$9="Semua",$C$9="",D2283=$C$9),OR($C$10="",B2283&gt;=$C$10),OR($C$11="",B2283&lt;=$C$11),OR($C$12&lt;&gt;"Ya",K2283&lt;&gt;""),OR($C$13="Semua",$C$13="",L2283=$C$13)),"✓","")</f>
        <v/>
      </c>
      <c r="N2283" s="93">
        <f>N(N2282)+IF(M2283="✓",1,0)</f>
        <v/>
      </c>
      <c r="O2283" s="93">
        <f>N(O2282)+IF(AND(B2283&lt;&gt;"",B2283&gt;='Uang Riba'!$H$30,B2283&lt;='Uang Riba'!$I$30,OR(H2283="Dana riba",H2283="Pinjam uang riba",I2283="Pinjam dari uang riba",I2283="Ganti uang riba",I2283="Kelebihan ganti dikembalikan",AND(C2283="Kantong Uang Riba",G2283="Pengeluaran"))),1,0)</f>
        <v/>
      </c>
      <c r="X2283" s="93">
        <f>IF(AND(B2283&lt;&gt;"",B2283&gt;='Buku Akun'!$H$4,B2283&lt;='Buku Akun'!$H$5,OR(C2283='Buku Akun'!$C$4,AND(D2283="Pindah",E2283='Buku Akun'!$C$4))),B2283+IF(AND(I2283="Selisih bunga",DAY(B2283)=1),0,0.01)+ROW()/10000000,"")</f>
        <v/>
      </c>
    </row>
    <row r="2284" outlineLevel="1" ht="15" customHeight="1" s="94">
      <c r="A2284" s="123">
        <f>IF(B2284="","",ROW()-15)</f>
        <v/>
      </c>
      <c r="B2284" s="124" t="n"/>
      <c r="C2284" s="123" t="n"/>
      <c r="D2284" s="123" t="n"/>
      <c r="E2284" s="123" t="n"/>
      <c r="F2284" s="125" t="n"/>
      <c r="G2284" s="123" t="n"/>
      <c r="H2284" s="123" t="n"/>
      <c r="I2284" s="123" t="n"/>
      <c r="J2284" s="123" t="n"/>
      <c r="K2284" s="123" t="n"/>
      <c r="L2284" s="123" t="n"/>
      <c r="M2284" s="123">
        <f>IF(AND(B2284&lt;&gt;"",OR($C$4="",ISNUMBER(SEARCH($C$4,C2284&amp;" "&amp;E2284&amp;" "&amp;G2284&amp;" "&amp;H2284&amp;" "&amp;I2284&amp;" "&amp;J2284&amp;" "&amp;K2284&amp;" "&amp;L2284))),OR($C$5="Semua",$C$5="",G2284=$C$5),OR($C$6="Semua",$C$6="",H2284=$C$6,H2284="Pengeluaran "&amp;$C$6,AND($C$6="Uang Kos Mama",H2284="Pengeluaran Uang Kos")),OR($C$7="Semua",$C$7="",I2284=$C$7),OR($C$8="Semua",$C$8="",C2284=$C$8,E2284=$C$8),OR($C$9="Semua",$C$9="",D2284=$C$9),OR($C$10="",B2284&gt;=$C$10),OR($C$11="",B2284&lt;=$C$11),OR($C$12&lt;&gt;"Ya",K2284&lt;&gt;""),OR($C$13="Semua",$C$13="",L2284=$C$13)),"✓","")</f>
        <v/>
      </c>
      <c r="N2284" s="93">
        <f>N(N2283)+IF(M2284="✓",1,0)</f>
        <v/>
      </c>
      <c r="O2284" s="93">
        <f>N(O2283)+IF(AND(B2284&lt;&gt;"",B2284&gt;='Uang Riba'!$H$30,B2284&lt;='Uang Riba'!$I$30,OR(H2284="Dana riba",H2284="Pinjam uang riba",I2284="Pinjam dari uang riba",I2284="Ganti uang riba",I2284="Kelebihan ganti dikembalikan",AND(C2284="Kantong Uang Riba",G2284="Pengeluaran"))),1,0)</f>
        <v/>
      </c>
      <c r="X2284" s="93">
        <f>IF(AND(B2284&lt;&gt;"",B2284&gt;='Buku Akun'!$H$4,B2284&lt;='Buku Akun'!$H$5,OR(C2284='Buku Akun'!$C$4,AND(D2284="Pindah",E2284='Buku Akun'!$C$4))),B2284+IF(AND(I2284="Selisih bunga",DAY(B2284)=1),0,0.01)+ROW()/10000000,"")</f>
        <v/>
      </c>
    </row>
    <row r="2285" outlineLevel="1" ht="15" customHeight="1" s="94">
      <c r="A2285" s="123">
        <f>IF(B2285="","",ROW()-15)</f>
        <v/>
      </c>
      <c r="B2285" s="124" t="n"/>
      <c r="C2285" s="123" t="n"/>
      <c r="D2285" s="123" t="n"/>
      <c r="E2285" s="123" t="n"/>
      <c r="F2285" s="125" t="n"/>
      <c r="G2285" s="123" t="n"/>
      <c r="H2285" s="123" t="n"/>
      <c r="I2285" s="123" t="n"/>
      <c r="J2285" s="123" t="n"/>
      <c r="K2285" s="123" t="n"/>
      <c r="L2285" s="123" t="n"/>
      <c r="M2285" s="123">
        <f>IF(AND(B2285&lt;&gt;"",OR($C$4="",ISNUMBER(SEARCH($C$4,C2285&amp;" "&amp;E2285&amp;" "&amp;G2285&amp;" "&amp;H2285&amp;" "&amp;I2285&amp;" "&amp;J2285&amp;" "&amp;K2285&amp;" "&amp;L2285))),OR($C$5="Semua",$C$5="",G2285=$C$5),OR($C$6="Semua",$C$6="",H2285=$C$6,H2285="Pengeluaran "&amp;$C$6,AND($C$6="Uang Kos Mama",H2285="Pengeluaran Uang Kos")),OR($C$7="Semua",$C$7="",I2285=$C$7),OR($C$8="Semua",$C$8="",C2285=$C$8,E2285=$C$8),OR($C$9="Semua",$C$9="",D2285=$C$9),OR($C$10="",B2285&gt;=$C$10),OR($C$11="",B2285&lt;=$C$11),OR($C$12&lt;&gt;"Ya",K2285&lt;&gt;""),OR($C$13="Semua",$C$13="",L2285=$C$13)),"✓","")</f>
        <v/>
      </c>
      <c r="N2285" s="93">
        <f>N(N2284)+IF(M2285="✓",1,0)</f>
        <v/>
      </c>
      <c r="O2285" s="93">
        <f>N(O2284)+IF(AND(B2285&lt;&gt;"",B2285&gt;='Uang Riba'!$H$30,B2285&lt;='Uang Riba'!$I$30,OR(H2285="Dana riba",H2285="Pinjam uang riba",I2285="Pinjam dari uang riba",I2285="Ganti uang riba",I2285="Kelebihan ganti dikembalikan",AND(C2285="Kantong Uang Riba",G2285="Pengeluaran"))),1,0)</f>
        <v/>
      </c>
      <c r="X2285" s="93">
        <f>IF(AND(B2285&lt;&gt;"",B2285&gt;='Buku Akun'!$H$4,B2285&lt;='Buku Akun'!$H$5,OR(C2285='Buku Akun'!$C$4,AND(D2285="Pindah",E2285='Buku Akun'!$C$4))),B2285+IF(AND(I2285="Selisih bunga",DAY(B2285)=1),0,0.01)+ROW()/10000000,"")</f>
        <v/>
      </c>
    </row>
    <row r="2286" outlineLevel="1" ht="15" customHeight="1" s="94">
      <c r="A2286" s="123">
        <f>IF(B2286="","",ROW()-15)</f>
        <v/>
      </c>
      <c r="B2286" s="124" t="n"/>
      <c r="C2286" s="123" t="n"/>
      <c r="D2286" s="123" t="n"/>
      <c r="E2286" s="123" t="n"/>
      <c r="F2286" s="125" t="n"/>
      <c r="G2286" s="123" t="n"/>
      <c r="H2286" s="123" t="n"/>
      <c r="I2286" s="123" t="n"/>
      <c r="J2286" s="123" t="n"/>
      <c r="K2286" s="123" t="n"/>
      <c r="L2286" s="123" t="n"/>
      <c r="M2286" s="123">
        <f>IF(AND(B2286&lt;&gt;"",OR($C$4="",ISNUMBER(SEARCH($C$4,C2286&amp;" "&amp;E2286&amp;" "&amp;G2286&amp;" "&amp;H2286&amp;" "&amp;I2286&amp;" "&amp;J2286&amp;" "&amp;K2286&amp;" "&amp;L2286))),OR($C$5="Semua",$C$5="",G2286=$C$5),OR($C$6="Semua",$C$6="",H2286=$C$6,H2286="Pengeluaran "&amp;$C$6,AND($C$6="Uang Kos Mama",H2286="Pengeluaran Uang Kos")),OR($C$7="Semua",$C$7="",I2286=$C$7),OR($C$8="Semua",$C$8="",C2286=$C$8,E2286=$C$8),OR($C$9="Semua",$C$9="",D2286=$C$9),OR($C$10="",B2286&gt;=$C$10),OR($C$11="",B2286&lt;=$C$11),OR($C$12&lt;&gt;"Ya",K2286&lt;&gt;""),OR($C$13="Semua",$C$13="",L2286=$C$13)),"✓","")</f>
        <v/>
      </c>
      <c r="N2286" s="93">
        <f>N(N2285)+IF(M2286="✓",1,0)</f>
        <v/>
      </c>
      <c r="O2286" s="93">
        <f>N(O2285)+IF(AND(B2286&lt;&gt;"",B2286&gt;='Uang Riba'!$H$30,B2286&lt;='Uang Riba'!$I$30,OR(H2286="Dana riba",H2286="Pinjam uang riba",I2286="Pinjam dari uang riba",I2286="Ganti uang riba",I2286="Kelebihan ganti dikembalikan",AND(C2286="Kantong Uang Riba",G2286="Pengeluaran"))),1,0)</f>
        <v/>
      </c>
      <c r="X2286" s="93">
        <f>IF(AND(B2286&lt;&gt;"",B2286&gt;='Buku Akun'!$H$4,B2286&lt;='Buku Akun'!$H$5,OR(C2286='Buku Akun'!$C$4,AND(D2286="Pindah",E2286='Buku Akun'!$C$4))),B2286+IF(AND(I2286="Selisih bunga",DAY(B2286)=1),0,0.01)+ROW()/10000000,"")</f>
        <v/>
      </c>
    </row>
    <row r="2287" outlineLevel="1" ht="15" customHeight="1" s="94">
      <c r="A2287" s="123">
        <f>IF(B2287="","",ROW()-15)</f>
        <v/>
      </c>
      <c r="B2287" s="124" t="n"/>
      <c r="C2287" s="123" t="n"/>
      <c r="D2287" s="123" t="n"/>
      <c r="E2287" s="123" t="n"/>
      <c r="F2287" s="125" t="n"/>
      <c r="G2287" s="123" t="n"/>
      <c r="H2287" s="123" t="n"/>
      <c r="I2287" s="123" t="n"/>
      <c r="J2287" s="123" t="n"/>
      <c r="K2287" s="123" t="n"/>
      <c r="L2287" s="123" t="n"/>
      <c r="M2287" s="123">
        <f>IF(AND(B2287&lt;&gt;"",OR($C$4="",ISNUMBER(SEARCH($C$4,C2287&amp;" "&amp;E2287&amp;" "&amp;G2287&amp;" "&amp;H2287&amp;" "&amp;I2287&amp;" "&amp;J2287&amp;" "&amp;K2287&amp;" "&amp;L2287))),OR($C$5="Semua",$C$5="",G2287=$C$5),OR($C$6="Semua",$C$6="",H2287=$C$6,H2287="Pengeluaran "&amp;$C$6,AND($C$6="Uang Kos Mama",H2287="Pengeluaran Uang Kos")),OR($C$7="Semua",$C$7="",I2287=$C$7),OR($C$8="Semua",$C$8="",C2287=$C$8,E2287=$C$8),OR($C$9="Semua",$C$9="",D2287=$C$9),OR($C$10="",B2287&gt;=$C$10),OR($C$11="",B2287&lt;=$C$11),OR($C$12&lt;&gt;"Ya",K2287&lt;&gt;""),OR($C$13="Semua",$C$13="",L2287=$C$13)),"✓","")</f>
        <v/>
      </c>
      <c r="N2287" s="93">
        <f>N(N2286)+IF(M2287="✓",1,0)</f>
        <v/>
      </c>
      <c r="O2287" s="93">
        <f>N(O2286)+IF(AND(B2287&lt;&gt;"",B2287&gt;='Uang Riba'!$H$30,B2287&lt;='Uang Riba'!$I$30,OR(H2287="Dana riba",H2287="Pinjam uang riba",I2287="Pinjam dari uang riba",I2287="Ganti uang riba",I2287="Kelebihan ganti dikembalikan",AND(C2287="Kantong Uang Riba",G2287="Pengeluaran"))),1,0)</f>
        <v/>
      </c>
      <c r="X2287" s="93">
        <f>IF(AND(B2287&lt;&gt;"",B2287&gt;='Buku Akun'!$H$4,B2287&lt;='Buku Akun'!$H$5,OR(C2287='Buku Akun'!$C$4,AND(D2287="Pindah",E2287='Buku Akun'!$C$4))),B2287+IF(AND(I2287="Selisih bunga",DAY(B2287)=1),0,0.01)+ROW()/10000000,"")</f>
        <v/>
      </c>
    </row>
    <row r="2288" outlineLevel="1" ht="15" customHeight="1" s="94">
      <c r="A2288" s="123">
        <f>IF(B2288="","",ROW()-15)</f>
        <v/>
      </c>
      <c r="B2288" s="124" t="n"/>
      <c r="C2288" s="123" t="n"/>
      <c r="D2288" s="123" t="n"/>
      <c r="E2288" s="123" t="n"/>
      <c r="F2288" s="125" t="n"/>
      <c r="G2288" s="123" t="n"/>
      <c r="H2288" s="123" t="n"/>
      <c r="I2288" s="123" t="n"/>
      <c r="J2288" s="123" t="n"/>
      <c r="K2288" s="123" t="n"/>
      <c r="L2288" s="123" t="n"/>
      <c r="M2288" s="123">
        <f>IF(AND(B2288&lt;&gt;"",OR($C$4="",ISNUMBER(SEARCH($C$4,C2288&amp;" "&amp;E2288&amp;" "&amp;G2288&amp;" "&amp;H2288&amp;" "&amp;I2288&amp;" "&amp;J2288&amp;" "&amp;K2288&amp;" "&amp;L2288))),OR($C$5="Semua",$C$5="",G2288=$C$5),OR($C$6="Semua",$C$6="",H2288=$C$6,H2288="Pengeluaran "&amp;$C$6,AND($C$6="Uang Kos Mama",H2288="Pengeluaran Uang Kos")),OR($C$7="Semua",$C$7="",I2288=$C$7),OR($C$8="Semua",$C$8="",C2288=$C$8,E2288=$C$8),OR($C$9="Semua",$C$9="",D2288=$C$9),OR($C$10="",B2288&gt;=$C$10),OR($C$11="",B2288&lt;=$C$11),OR($C$12&lt;&gt;"Ya",K2288&lt;&gt;""),OR($C$13="Semua",$C$13="",L2288=$C$13)),"✓","")</f>
        <v/>
      </c>
      <c r="N2288" s="93">
        <f>N(N2287)+IF(M2288="✓",1,0)</f>
        <v/>
      </c>
      <c r="O2288" s="93">
        <f>N(O2287)+IF(AND(B2288&lt;&gt;"",B2288&gt;='Uang Riba'!$H$30,B2288&lt;='Uang Riba'!$I$30,OR(H2288="Dana riba",H2288="Pinjam uang riba",I2288="Pinjam dari uang riba",I2288="Ganti uang riba",I2288="Kelebihan ganti dikembalikan",AND(C2288="Kantong Uang Riba",G2288="Pengeluaran"))),1,0)</f>
        <v/>
      </c>
      <c r="X2288" s="93">
        <f>IF(AND(B2288&lt;&gt;"",B2288&gt;='Buku Akun'!$H$4,B2288&lt;='Buku Akun'!$H$5,OR(C2288='Buku Akun'!$C$4,AND(D2288="Pindah",E2288='Buku Akun'!$C$4))),B2288+IF(AND(I2288="Selisih bunga",DAY(B2288)=1),0,0.01)+ROW()/10000000,"")</f>
        <v/>
      </c>
    </row>
    <row r="2289" outlineLevel="1" ht="15" customHeight="1" s="94">
      <c r="A2289" s="123">
        <f>IF(B2289="","",ROW()-15)</f>
        <v/>
      </c>
      <c r="B2289" s="124" t="n"/>
      <c r="C2289" s="123" t="n"/>
      <c r="D2289" s="123" t="n"/>
      <c r="E2289" s="123" t="n"/>
      <c r="F2289" s="125" t="n"/>
      <c r="G2289" s="123" t="n"/>
      <c r="H2289" s="123" t="n"/>
      <c r="I2289" s="123" t="n"/>
      <c r="J2289" s="123" t="n"/>
      <c r="K2289" s="123" t="n"/>
      <c r="L2289" s="123" t="n"/>
      <c r="M2289" s="123">
        <f>IF(AND(B2289&lt;&gt;"",OR($C$4="",ISNUMBER(SEARCH($C$4,C2289&amp;" "&amp;E2289&amp;" "&amp;G2289&amp;" "&amp;H2289&amp;" "&amp;I2289&amp;" "&amp;J2289&amp;" "&amp;K2289&amp;" "&amp;L2289))),OR($C$5="Semua",$C$5="",G2289=$C$5),OR($C$6="Semua",$C$6="",H2289=$C$6,H2289="Pengeluaran "&amp;$C$6,AND($C$6="Uang Kos Mama",H2289="Pengeluaran Uang Kos")),OR($C$7="Semua",$C$7="",I2289=$C$7),OR($C$8="Semua",$C$8="",C2289=$C$8,E2289=$C$8),OR($C$9="Semua",$C$9="",D2289=$C$9),OR($C$10="",B2289&gt;=$C$10),OR($C$11="",B2289&lt;=$C$11),OR($C$12&lt;&gt;"Ya",K2289&lt;&gt;""),OR($C$13="Semua",$C$13="",L2289=$C$13)),"✓","")</f>
        <v/>
      </c>
      <c r="N2289" s="93">
        <f>N(N2288)+IF(M2289="✓",1,0)</f>
        <v/>
      </c>
      <c r="O2289" s="93">
        <f>N(O2288)+IF(AND(B2289&lt;&gt;"",B2289&gt;='Uang Riba'!$H$30,B2289&lt;='Uang Riba'!$I$30,OR(H2289="Dana riba",H2289="Pinjam uang riba",I2289="Pinjam dari uang riba",I2289="Ganti uang riba",I2289="Kelebihan ganti dikembalikan",AND(C2289="Kantong Uang Riba",G2289="Pengeluaran"))),1,0)</f>
        <v/>
      </c>
      <c r="X2289" s="93">
        <f>IF(AND(B2289&lt;&gt;"",B2289&gt;='Buku Akun'!$H$4,B2289&lt;='Buku Akun'!$H$5,OR(C2289='Buku Akun'!$C$4,AND(D2289="Pindah",E2289='Buku Akun'!$C$4))),B2289+IF(AND(I2289="Selisih bunga",DAY(B2289)=1),0,0.01)+ROW()/10000000,"")</f>
        <v/>
      </c>
    </row>
    <row r="2290" outlineLevel="1" ht="15" customHeight="1" s="94">
      <c r="A2290" s="123">
        <f>IF(B2290="","",ROW()-15)</f>
        <v/>
      </c>
      <c r="B2290" s="124" t="n"/>
      <c r="C2290" s="123" t="n"/>
      <c r="D2290" s="123" t="n"/>
      <c r="E2290" s="123" t="n"/>
      <c r="F2290" s="125" t="n"/>
      <c r="G2290" s="123" t="n"/>
      <c r="H2290" s="123" t="n"/>
      <c r="I2290" s="123" t="n"/>
      <c r="J2290" s="123" t="n"/>
      <c r="K2290" s="123" t="n"/>
      <c r="L2290" s="123" t="n"/>
      <c r="M2290" s="123">
        <f>IF(AND(B2290&lt;&gt;"",OR($C$4="",ISNUMBER(SEARCH($C$4,C2290&amp;" "&amp;E2290&amp;" "&amp;G2290&amp;" "&amp;H2290&amp;" "&amp;I2290&amp;" "&amp;J2290&amp;" "&amp;K2290&amp;" "&amp;L2290))),OR($C$5="Semua",$C$5="",G2290=$C$5),OR($C$6="Semua",$C$6="",H2290=$C$6,H2290="Pengeluaran "&amp;$C$6,AND($C$6="Uang Kos Mama",H2290="Pengeluaran Uang Kos")),OR($C$7="Semua",$C$7="",I2290=$C$7),OR($C$8="Semua",$C$8="",C2290=$C$8,E2290=$C$8),OR($C$9="Semua",$C$9="",D2290=$C$9),OR($C$10="",B2290&gt;=$C$10),OR($C$11="",B2290&lt;=$C$11),OR($C$12&lt;&gt;"Ya",K2290&lt;&gt;""),OR($C$13="Semua",$C$13="",L2290=$C$13)),"✓","")</f>
        <v/>
      </c>
      <c r="N2290" s="93">
        <f>N(N2289)+IF(M2290="✓",1,0)</f>
        <v/>
      </c>
      <c r="O2290" s="93">
        <f>N(O2289)+IF(AND(B2290&lt;&gt;"",B2290&gt;='Uang Riba'!$H$30,B2290&lt;='Uang Riba'!$I$30,OR(H2290="Dana riba",H2290="Pinjam uang riba",I2290="Pinjam dari uang riba",I2290="Ganti uang riba",I2290="Kelebihan ganti dikembalikan",AND(C2290="Kantong Uang Riba",G2290="Pengeluaran"))),1,0)</f>
        <v/>
      </c>
      <c r="X2290" s="93">
        <f>IF(AND(B2290&lt;&gt;"",B2290&gt;='Buku Akun'!$H$4,B2290&lt;='Buku Akun'!$H$5,OR(C2290='Buku Akun'!$C$4,AND(D2290="Pindah",E2290='Buku Akun'!$C$4))),B2290+IF(AND(I2290="Selisih bunga",DAY(B2290)=1),0,0.01)+ROW()/10000000,"")</f>
        <v/>
      </c>
    </row>
    <row r="2291" outlineLevel="1" ht="15" customHeight="1" s="94">
      <c r="A2291" s="123">
        <f>IF(B2291="","",ROW()-15)</f>
        <v/>
      </c>
      <c r="B2291" s="124" t="n"/>
      <c r="C2291" s="123" t="n"/>
      <c r="D2291" s="123" t="n"/>
      <c r="E2291" s="123" t="n"/>
      <c r="F2291" s="125" t="n"/>
      <c r="G2291" s="123" t="n"/>
      <c r="H2291" s="123" t="n"/>
      <c r="I2291" s="123" t="n"/>
      <c r="J2291" s="123" t="n"/>
      <c r="K2291" s="123" t="n"/>
      <c r="L2291" s="123" t="n"/>
      <c r="M2291" s="123">
        <f>IF(AND(B2291&lt;&gt;"",OR($C$4="",ISNUMBER(SEARCH($C$4,C2291&amp;" "&amp;E2291&amp;" "&amp;G2291&amp;" "&amp;H2291&amp;" "&amp;I2291&amp;" "&amp;J2291&amp;" "&amp;K2291&amp;" "&amp;L2291))),OR($C$5="Semua",$C$5="",G2291=$C$5),OR($C$6="Semua",$C$6="",H2291=$C$6,H2291="Pengeluaran "&amp;$C$6,AND($C$6="Uang Kos Mama",H2291="Pengeluaran Uang Kos")),OR($C$7="Semua",$C$7="",I2291=$C$7),OR($C$8="Semua",$C$8="",C2291=$C$8,E2291=$C$8),OR($C$9="Semua",$C$9="",D2291=$C$9),OR($C$10="",B2291&gt;=$C$10),OR($C$11="",B2291&lt;=$C$11),OR($C$12&lt;&gt;"Ya",K2291&lt;&gt;""),OR($C$13="Semua",$C$13="",L2291=$C$13)),"✓","")</f>
        <v/>
      </c>
      <c r="N2291" s="93">
        <f>N(N2290)+IF(M2291="✓",1,0)</f>
        <v/>
      </c>
      <c r="O2291" s="93">
        <f>N(O2290)+IF(AND(B2291&lt;&gt;"",B2291&gt;='Uang Riba'!$H$30,B2291&lt;='Uang Riba'!$I$30,OR(H2291="Dana riba",H2291="Pinjam uang riba",I2291="Pinjam dari uang riba",I2291="Ganti uang riba",I2291="Kelebihan ganti dikembalikan",AND(C2291="Kantong Uang Riba",G2291="Pengeluaran"))),1,0)</f>
        <v/>
      </c>
      <c r="X2291" s="93">
        <f>IF(AND(B2291&lt;&gt;"",B2291&gt;='Buku Akun'!$H$4,B2291&lt;='Buku Akun'!$H$5,OR(C2291='Buku Akun'!$C$4,AND(D2291="Pindah",E2291='Buku Akun'!$C$4))),B2291+IF(AND(I2291="Selisih bunga",DAY(B2291)=1),0,0.01)+ROW()/10000000,"")</f>
        <v/>
      </c>
    </row>
    <row r="2292" outlineLevel="1" ht="15" customHeight="1" s="94">
      <c r="A2292" s="123">
        <f>IF(B2292="","",ROW()-15)</f>
        <v/>
      </c>
      <c r="B2292" s="124" t="n"/>
      <c r="C2292" s="123" t="n"/>
      <c r="D2292" s="123" t="n"/>
      <c r="E2292" s="123" t="n"/>
      <c r="F2292" s="125" t="n"/>
      <c r="G2292" s="123" t="n"/>
      <c r="H2292" s="123" t="n"/>
      <c r="I2292" s="123" t="n"/>
      <c r="J2292" s="123" t="n"/>
      <c r="K2292" s="123" t="n"/>
      <c r="L2292" s="123" t="n"/>
      <c r="M2292" s="123">
        <f>IF(AND(B2292&lt;&gt;"",OR($C$4="",ISNUMBER(SEARCH($C$4,C2292&amp;" "&amp;E2292&amp;" "&amp;G2292&amp;" "&amp;H2292&amp;" "&amp;I2292&amp;" "&amp;J2292&amp;" "&amp;K2292&amp;" "&amp;L2292))),OR($C$5="Semua",$C$5="",G2292=$C$5),OR($C$6="Semua",$C$6="",H2292=$C$6,H2292="Pengeluaran "&amp;$C$6,AND($C$6="Uang Kos Mama",H2292="Pengeluaran Uang Kos")),OR($C$7="Semua",$C$7="",I2292=$C$7),OR($C$8="Semua",$C$8="",C2292=$C$8,E2292=$C$8),OR($C$9="Semua",$C$9="",D2292=$C$9),OR($C$10="",B2292&gt;=$C$10),OR($C$11="",B2292&lt;=$C$11),OR($C$12&lt;&gt;"Ya",K2292&lt;&gt;""),OR($C$13="Semua",$C$13="",L2292=$C$13)),"✓","")</f>
        <v/>
      </c>
      <c r="N2292" s="93">
        <f>N(N2291)+IF(M2292="✓",1,0)</f>
        <v/>
      </c>
      <c r="O2292" s="93">
        <f>N(O2291)+IF(AND(B2292&lt;&gt;"",B2292&gt;='Uang Riba'!$H$30,B2292&lt;='Uang Riba'!$I$30,OR(H2292="Dana riba",H2292="Pinjam uang riba",I2292="Pinjam dari uang riba",I2292="Ganti uang riba",I2292="Kelebihan ganti dikembalikan",AND(C2292="Kantong Uang Riba",G2292="Pengeluaran"))),1,0)</f>
        <v/>
      </c>
      <c r="X2292" s="93">
        <f>IF(AND(B2292&lt;&gt;"",B2292&gt;='Buku Akun'!$H$4,B2292&lt;='Buku Akun'!$H$5,OR(C2292='Buku Akun'!$C$4,AND(D2292="Pindah",E2292='Buku Akun'!$C$4))),B2292+IF(AND(I2292="Selisih bunga",DAY(B2292)=1),0,0.01)+ROW()/10000000,"")</f>
        <v/>
      </c>
    </row>
    <row r="2293" outlineLevel="1" ht="15" customHeight="1" s="94">
      <c r="A2293" s="123">
        <f>IF(B2293="","",ROW()-15)</f>
        <v/>
      </c>
      <c r="B2293" s="124" t="n"/>
      <c r="C2293" s="123" t="n"/>
      <c r="D2293" s="123" t="n"/>
      <c r="E2293" s="123" t="n"/>
      <c r="F2293" s="125" t="n"/>
      <c r="G2293" s="123" t="n"/>
      <c r="H2293" s="123" t="n"/>
      <c r="I2293" s="123" t="n"/>
      <c r="J2293" s="123" t="n"/>
      <c r="K2293" s="123" t="n"/>
      <c r="L2293" s="123" t="n"/>
      <c r="M2293" s="123">
        <f>IF(AND(B2293&lt;&gt;"",OR($C$4="",ISNUMBER(SEARCH($C$4,C2293&amp;" "&amp;E2293&amp;" "&amp;G2293&amp;" "&amp;H2293&amp;" "&amp;I2293&amp;" "&amp;J2293&amp;" "&amp;K2293&amp;" "&amp;L2293))),OR($C$5="Semua",$C$5="",G2293=$C$5),OR($C$6="Semua",$C$6="",H2293=$C$6,H2293="Pengeluaran "&amp;$C$6,AND($C$6="Uang Kos Mama",H2293="Pengeluaran Uang Kos")),OR($C$7="Semua",$C$7="",I2293=$C$7),OR($C$8="Semua",$C$8="",C2293=$C$8,E2293=$C$8),OR($C$9="Semua",$C$9="",D2293=$C$9),OR($C$10="",B2293&gt;=$C$10),OR($C$11="",B2293&lt;=$C$11),OR($C$12&lt;&gt;"Ya",K2293&lt;&gt;""),OR($C$13="Semua",$C$13="",L2293=$C$13)),"✓","")</f>
        <v/>
      </c>
      <c r="N2293" s="93">
        <f>N(N2292)+IF(M2293="✓",1,0)</f>
        <v/>
      </c>
      <c r="O2293" s="93">
        <f>N(O2292)+IF(AND(B2293&lt;&gt;"",B2293&gt;='Uang Riba'!$H$30,B2293&lt;='Uang Riba'!$I$30,OR(H2293="Dana riba",H2293="Pinjam uang riba",I2293="Pinjam dari uang riba",I2293="Ganti uang riba",I2293="Kelebihan ganti dikembalikan",AND(C2293="Kantong Uang Riba",G2293="Pengeluaran"))),1,0)</f>
        <v/>
      </c>
      <c r="X2293" s="93">
        <f>IF(AND(B2293&lt;&gt;"",B2293&gt;='Buku Akun'!$H$4,B2293&lt;='Buku Akun'!$H$5,OR(C2293='Buku Akun'!$C$4,AND(D2293="Pindah",E2293='Buku Akun'!$C$4))),B2293+IF(AND(I2293="Selisih bunga",DAY(B2293)=1),0,0.01)+ROW()/10000000,"")</f>
        <v/>
      </c>
    </row>
    <row r="2294" outlineLevel="1" ht="15" customHeight="1" s="94">
      <c r="A2294" s="123">
        <f>IF(B2294="","",ROW()-15)</f>
        <v/>
      </c>
      <c r="B2294" s="124" t="n"/>
      <c r="C2294" s="123" t="n"/>
      <c r="D2294" s="123" t="n"/>
      <c r="E2294" s="123" t="n"/>
      <c r="F2294" s="125" t="n"/>
      <c r="G2294" s="123" t="n"/>
      <c r="H2294" s="123" t="n"/>
      <c r="I2294" s="123" t="n"/>
      <c r="J2294" s="123" t="n"/>
      <c r="K2294" s="123" t="n"/>
      <c r="L2294" s="123" t="n"/>
      <c r="M2294" s="123">
        <f>IF(AND(B2294&lt;&gt;"",OR($C$4="",ISNUMBER(SEARCH($C$4,C2294&amp;" "&amp;E2294&amp;" "&amp;G2294&amp;" "&amp;H2294&amp;" "&amp;I2294&amp;" "&amp;J2294&amp;" "&amp;K2294&amp;" "&amp;L2294))),OR($C$5="Semua",$C$5="",G2294=$C$5),OR($C$6="Semua",$C$6="",H2294=$C$6,H2294="Pengeluaran "&amp;$C$6,AND($C$6="Uang Kos Mama",H2294="Pengeluaran Uang Kos")),OR($C$7="Semua",$C$7="",I2294=$C$7),OR($C$8="Semua",$C$8="",C2294=$C$8,E2294=$C$8),OR($C$9="Semua",$C$9="",D2294=$C$9),OR($C$10="",B2294&gt;=$C$10),OR($C$11="",B2294&lt;=$C$11),OR($C$12&lt;&gt;"Ya",K2294&lt;&gt;""),OR($C$13="Semua",$C$13="",L2294=$C$13)),"✓","")</f>
        <v/>
      </c>
      <c r="N2294" s="93">
        <f>N(N2293)+IF(M2294="✓",1,0)</f>
        <v/>
      </c>
      <c r="O2294" s="93">
        <f>N(O2293)+IF(AND(B2294&lt;&gt;"",B2294&gt;='Uang Riba'!$H$30,B2294&lt;='Uang Riba'!$I$30,OR(H2294="Dana riba",H2294="Pinjam uang riba",I2294="Pinjam dari uang riba",I2294="Ganti uang riba",I2294="Kelebihan ganti dikembalikan",AND(C2294="Kantong Uang Riba",G2294="Pengeluaran"))),1,0)</f>
        <v/>
      </c>
      <c r="X2294" s="93">
        <f>IF(AND(B2294&lt;&gt;"",B2294&gt;='Buku Akun'!$H$4,B2294&lt;='Buku Akun'!$H$5,OR(C2294='Buku Akun'!$C$4,AND(D2294="Pindah",E2294='Buku Akun'!$C$4))),B2294+IF(AND(I2294="Selisih bunga",DAY(B2294)=1),0,0.01)+ROW()/10000000,"")</f>
        <v/>
      </c>
    </row>
    <row r="2295" outlineLevel="1" ht="15" customHeight="1" s="94">
      <c r="A2295" s="123">
        <f>IF(B2295="","",ROW()-15)</f>
        <v/>
      </c>
      <c r="B2295" s="124" t="n"/>
      <c r="C2295" s="123" t="n"/>
      <c r="D2295" s="123" t="n"/>
      <c r="E2295" s="123" t="n"/>
      <c r="F2295" s="125" t="n"/>
      <c r="G2295" s="123" t="n"/>
      <c r="H2295" s="123" t="n"/>
      <c r="I2295" s="123" t="n"/>
      <c r="J2295" s="123" t="n"/>
      <c r="K2295" s="123" t="n"/>
      <c r="L2295" s="123" t="n"/>
      <c r="M2295" s="123">
        <f>IF(AND(B2295&lt;&gt;"",OR($C$4="",ISNUMBER(SEARCH($C$4,C2295&amp;" "&amp;E2295&amp;" "&amp;G2295&amp;" "&amp;H2295&amp;" "&amp;I2295&amp;" "&amp;J2295&amp;" "&amp;K2295&amp;" "&amp;L2295))),OR($C$5="Semua",$C$5="",G2295=$C$5),OR($C$6="Semua",$C$6="",H2295=$C$6,H2295="Pengeluaran "&amp;$C$6,AND($C$6="Uang Kos Mama",H2295="Pengeluaran Uang Kos")),OR($C$7="Semua",$C$7="",I2295=$C$7),OR($C$8="Semua",$C$8="",C2295=$C$8,E2295=$C$8),OR($C$9="Semua",$C$9="",D2295=$C$9),OR($C$10="",B2295&gt;=$C$10),OR($C$11="",B2295&lt;=$C$11),OR($C$12&lt;&gt;"Ya",K2295&lt;&gt;""),OR($C$13="Semua",$C$13="",L2295=$C$13)),"✓","")</f>
        <v/>
      </c>
      <c r="N2295" s="93">
        <f>N(N2294)+IF(M2295="✓",1,0)</f>
        <v/>
      </c>
      <c r="O2295" s="93">
        <f>N(O2294)+IF(AND(B2295&lt;&gt;"",B2295&gt;='Uang Riba'!$H$30,B2295&lt;='Uang Riba'!$I$30,OR(H2295="Dana riba",H2295="Pinjam uang riba",I2295="Pinjam dari uang riba",I2295="Ganti uang riba",I2295="Kelebihan ganti dikembalikan",AND(C2295="Kantong Uang Riba",G2295="Pengeluaran"))),1,0)</f>
        <v/>
      </c>
      <c r="X2295" s="93">
        <f>IF(AND(B2295&lt;&gt;"",B2295&gt;='Buku Akun'!$H$4,B2295&lt;='Buku Akun'!$H$5,OR(C2295='Buku Akun'!$C$4,AND(D2295="Pindah",E2295='Buku Akun'!$C$4))),B2295+IF(AND(I2295="Selisih bunga",DAY(B2295)=1),0,0.01)+ROW()/10000000,"")</f>
        <v/>
      </c>
    </row>
    <row r="2296" outlineLevel="1" ht="15" customHeight="1" s="94">
      <c r="A2296" s="123">
        <f>IF(B2296="","",ROW()-15)</f>
        <v/>
      </c>
      <c r="B2296" s="124" t="n"/>
      <c r="C2296" s="123" t="n"/>
      <c r="D2296" s="123" t="n"/>
      <c r="E2296" s="123" t="n"/>
      <c r="F2296" s="125" t="n"/>
      <c r="G2296" s="123" t="n"/>
      <c r="H2296" s="123" t="n"/>
      <c r="I2296" s="123" t="n"/>
      <c r="J2296" s="123" t="n"/>
      <c r="K2296" s="123" t="n"/>
      <c r="L2296" s="123" t="n"/>
      <c r="M2296" s="123">
        <f>IF(AND(B2296&lt;&gt;"",OR($C$4="",ISNUMBER(SEARCH($C$4,C2296&amp;" "&amp;E2296&amp;" "&amp;G2296&amp;" "&amp;H2296&amp;" "&amp;I2296&amp;" "&amp;J2296&amp;" "&amp;K2296&amp;" "&amp;L2296))),OR($C$5="Semua",$C$5="",G2296=$C$5),OR($C$6="Semua",$C$6="",H2296=$C$6,H2296="Pengeluaran "&amp;$C$6,AND($C$6="Uang Kos Mama",H2296="Pengeluaran Uang Kos")),OR($C$7="Semua",$C$7="",I2296=$C$7),OR($C$8="Semua",$C$8="",C2296=$C$8,E2296=$C$8),OR($C$9="Semua",$C$9="",D2296=$C$9),OR($C$10="",B2296&gt;=$C$10),OR($C$11="",B2296&lt;=$C$11),OR($C$12&lt;&gt;"Ya",K2296&lt;&gt;""),OR($C$13="Semua",$C$13="",L2296=$C$13)),"✓","")</f>
        <v/>
      </c>
      <c r="N2296" s="93">
        <f>N(N2295)+IF(M2296="✓",1,0)</f>
        <v/>
      </c>
      <c r="O2296" s="93">
        <f>N(O2295)+IF(AND(B2296&lt;&gt;"",B2296&gt;='Uang Riba'!$H$30,B2296&lt;='Uang Riba'!$I$30,OR(H2296="Dana riba",H2296="Pinjam uang riba",I2296="Pinjam dari uang riba",I2296="Ganti uang riba",I2296="Kelebihan ganti dikembalikan",AND(C2296="Kantong Uang Riba",G2296="Pengeluaran"))),1,0)</f>
        <v/>
      </c>
      <c r="X2296" s="93">
        <f>IF(AND(B2296&lt;&gt;"",B2296&gt;='Buku Akun'!$H$4,B2296&lt;='Buku Akun'!$H$5,OR(C2296='Buku Akun'!$C$4,AND(D2296="Pindah",E2296='Buku Akun'!$C$4))),B2296+IF(AND(I2296="Selisih bunga",DAY(B2296)=1),0,0.01)+ROW()/10000000,"")</f>
        <v/>
      </c>
    </row>
    <row r="2297" outlineLevel="1" ht="15" customHeight="1" s="94">
      <c r="A2297" s="123">
        <f>IF(B2297="","",ROW()-15)</f>
        <v/>
      </c>
      <c r="B2297" s="124" t="n"/>
      <c r="C2297" s="123" t="n"/>
      <c r="D2297" s="123" t="n"/>
      <c r="E2297" s="123" t="n"/>
      <c r="F2297" s="125" t="n"/>
      <c r="G2297" s="123" t="n"/>
      <c r="H2297" s="123" t="n"/>
      <c r="I2297" s="123" t="n"/>
      <c r="J2297" s="123" t="n"/>
      <c r="K2297" s="123" t="n"/>
      <c r="L2297" s="123" t="n"/>
      <c r="M2297" s="123">
        <f>IF(AND(B2297&lt;&gt;"",OR($C$4="",ISNUMBER(SEARCH($C$4,C2297&amp;" "&amp;E2297&amp;" "&amp;G2297&amp;" "&amp;H2297&amp;" "&amp;I2297&amp;" "&amp;J2297&amp;" "&amp;K2297&amp;" "&amp;L2297))),OR($C$5="Semua",$C$5="",G2297=$C$5),OR($C$6="Semua",$C$6="",H2297=$C$6,H2297="Pengeluaran "&amp;$C$6,AND($C$6="Uang Kos Mama",H2297="Pengeluaran Uang Kos")),OR($C$7="Semua",$C$7="",I2297=$C$7),OR($C$8="Semua",$C$8="",C2297=$C$8,E2297=$C$8),OR($C$9="Semua",$C$9="",D2297=$C$9),OR($C$10="",B2297&gt;=$C$10),OR($C$11="",B2297&lt;=$C$11),OR($C$12&lt;&gt;"Ya",K2297&lt;&gt;""),OR($C$13="Semua",$C$13="",L2297=$C$13)),"✓","")</f>
        <v/>
      </c>
      <c r="N2297" s="93">
        <f>N(N2296)+IF(M2297="✓",1,0)</f>
        <v/>
      </c>
      <c r="O2297" s="93">
        <f>N(O2296)+IF(AND(B2297&lt;&gt;"",B2297&gt;='Uang Riba'!$H$30,B2297&lt;='Uang Riba'!$I$30,OR(H2297="Dana riba",H2297="Pinjam uang riba",I2297="Pinjam dari uang riba",I2297="Ganti uang riba",I2297="Kelebihan ganti dikembalikan",AND(C2297="Kantong Uang Riba",G2297="Pengeluaran"))),1,0)</f>
        <v/>
      </c>
      <c r="X2297" s="93">
        <f>IF(AND(B2297&lt;&gt;"",B2297&gt;='Buku Akun'!$H$4,B2297&lt;='Buku Akun'!$H$5,OR(C2297='Buku Akun'!$C$4,AND(D2297="Pindah",E2297='Buku Akun'!$C$4))),B2297+IF(AND(I2297="Selisih bunga",DAY(B2297)=1),0,0.01)+ROW()/10000000,"")</f>
        <v/>
      </c>
    </row>
    <row r="2298" outlineLevel="1" ht="15" customHeight="1" s="94">
      <c r="A2298" s="123">
        <f>IF(B2298="","",ROW()-15)</f>
        <v/>
      </c>
      <c r="B2298" s="124" t="n"/>
      <c r="C2298" s="123" t="n"/>
      <c r="D2298" s="123" t="n"/>
      <c r="E2298" s="123" t="n"/>
      <c r="F2298" s="125" t="n"/>
      <c r="G2298" s="123" t="n"/>
      <c r="H2298" s="123" t="n"/>
      <c r="I2298" s="123" t="n"/>
      <c r="J2298" s="123" t="n"/>
      <c r="K2298" s="123" t="n"/>
      <c r="L2298" s="123" t="n"/>
      <c r="M2298" s="123">
        <f>IF(AND(B2298&lt;&gt;"",OR($C$4="",ISNUMBER(SEARCH($C$4,C2298&amp;" "&amp;E2298&amp;" "&amp;G2298&amp;" "&amp;H2298&amp;" "&amp;I2298&amp;" "&amp;J2298&amp;" "&amp;K2298&amp;" "&amp;L2298))),OR($C$5="Semua",$C$5="",G2298=$C$5),OR($C$6="Semua",$C$6="",H2298=$C$6,H2298="Pengeluaran "&amp;$C$6,AND($C$6="Uang Kos Mama",H2298="Pengeluaran Uang Kos")),OR($C$7="Semua",$C$7="",I2298=$C$7),OR($C$8="Semua",$C$8="",C2298=$C$8,E2298=$C$8),OR($C$9="Semua",$C$9="",D2298=$C$9),OR($C$10="",B2298&gt;=$C$10),OR($C$11="",B2298&lt;=$C$11),OR($C$12&lt;&gt;"Ya",K2298&lt;&gt;""),OR($C$13="Semua",$C$13="",L2298=$C$13)),"✓","")</f>
        <v/>
      </c>
      <c r="N2298" s="93">
        <f>N(N2297)+IF(M2298="✓",1,0)</f>
        <v/>
      </c>
      <c r="O2298" s="93">
        <f>N(O2297)+IF(AND(B2298&lt;&gt;"",B2298&gt;='Uang Riba'!$H$30,B2298&lt;='Uang Riba'!$I$30,OR(H2298="Dana riba",H2298="Pinjam uang riba",I2298="Pinjam dari uang riba",I2298="Ganti uang riba",I2298="Kelebihan ganti dikembalikan",AND(C2298="Kantong Uang Riba",G2298="Pengeluaran"))),1,0)</f>
        <v/>
      </c>
      <c r="X2298" s="93">
        <f>IF(AND(B2298&lt;&gt;"",B2298&gt;='Buku Akun'!$H$4,B2298&lt;='Buku Akun'!$H$5,OR(C2298='Buku Akun'!$C$4,AND(D2298="Pindah",E2298='Buku Akun'!$C$4))),B2298+IF(AND(I2298="Selisih bunga",DAY(B2298)=1),0,0.01)+ROW()/10000000,"")</f>
        <v/>
      </c>
    </row>
    <row r="2299" outlineLevel="1" ht="15" customHeight="1" s="94">
      <c r="A2299" s="123">
        <f>IF(B2299="","",ROW()-15)</f>
        <v/>
      </c>
      <c r="B2299" s="124" t="n"/>
      <c r="C2299" s="123" t="n"/>
      <c r="D2299" s="123" t="n"/>
      <c r="E2299" s="123" t="n"/>
      <c r="F2299" s="125" t="n"/>
      <c r="G2299" s="123" t="n"/>
      <c r="H2299" s="123" t="n"/>
      <c r="I2299" s="123" t="n"/>
      <c r="J2299" s="123" t="n"/>
      <c r="K2299" s="123" t="n"/>
      <c r="L2299" s="123" t="n"/>
      <c r="M2299" s="123">
        <f>IF(AND(B2299&lt;&gt;"",OR($C$4="",ISNUMBER(SEARCH($C$4,C2299&amp;" "&amp;E2299&amp;" "&amp;G2299&amp;" "&amp;H2299&amp;" "&amp;I2299&amp;" "&amp;J2299&amp;" "&amp;K2299&amp;" "&amp;L2299))),OR($C$5="Semua",$C$5="",G2299=$C$5),OR($C$6="Semua",$C$6="",H2299=$C$6,H2299="Pengeluaran "&amp;$C$6,AND($C$6="Uang Kos Mama",H2299="Pengeluaran Uang Kos")),OR($C$7="Semua",$C$7="",I2299=$C$7),OR($C$8="Semua",$C$8="",C2299=$C$8,E2299=$C$8),OR($C$9="Semua",$C$9="",D2299=$C$9),OR($C$10="",B2299&gt;=$C$10),OR($C$11="",B2299&lt;=$C$11),OR($C$12&lt;&gt;"Ya",K2299&lt;&gt;""),OR($C$13="Semua",$C$13="",L2299=$C$13)),"✓","")</f>
        <v/>
      </c>
      <c r="N2299" s="93">
        <f>N(N2298)+IF(M2299="✓",1,0)</f>
        <v/>
      </c>
      <c r="O2299" s="93">
        <f>N(O2298)+IF(AND(B2299&lt;&gt;"",B2299&gt;='Uang Riba'!$H$30,B2299&lt;='Uang Riba'!$I$30,OR(H2299="Dana riba",H2299="Pinjam uang riba",I2299="Pinjam dari uang riba",I2299="Ganti uang riba",I2299="Kelebihan ganti dikembalikan",AND(C2299="Kantong Uang Riba",G2299="Pengeluaran"))),1,0)</f>
        <v/>
      </c>
      <c r="X2299" s="93">
        <f>IF(AND(B2299&lt;&gt;"",B2299&gt;='Buku Akun'!$H$4,B2299&lt;='Buku Akun'!$H$5,OR(C2299='Buku Akun'!$C$4,AND(D2299="Pindah",E2299='Buku Akun'!$C$4))),B2299+IF(AND(I2299="Selisih bunga",DAY(B2299)=1),0,0.01)+ROW()/10000000,"")</f>
        <v/>
      </c>
    </row>
    <row r="2300" outlineLevel="1" ht="15" customHeight="1" s="94">
      <c r="A2300" s="123">
        <f>IF(B2300="","",ROW()-15)</f>
        <v/>
      </c>
      <c r="B2300" s="124" t="n"/>
      <c r="C2300" s="123" t="n"/>
      <c r="D2300" s="123" t="n"/>
      <c r="E2300" s="123" t="n"/>
      <c r="F2300" s="125" t="n"/>
      <c r="G2300" s="123" t="n"/>
      <c r="H2300" s="123" t="n"/>
      <c r="I2300" s="123" t="n"/>
      <c r="J2300" s="123" t="n"/>
      <c r="K2300" s="123" t="n"/>
      <c r="L2300" s="123" t="n"/>
      <c r="M2300" s="123">
        <f>IF(AND(B2300&lt;&gt;"",OR($C$4="",ISNUMBER(SEARCH($C$4,C2300&amp;" "&amp;E2300&amp;" "&amp;G2300&amp;" "&amp;H2300&amp;" "&amp;I2300&amp;" "&amp;J2300&amp;" "&amp;K2300&amp;" "&amp;L2300))),OR($C$5="Semua",$C$5="",G2300=$C$5),OR($C$6="Semua",$C$6="",H2300=$C$6,H2300="Pengeluaran "&amp;$C$6,AND($C$6="Uang Kos Mama",H2300="Pengeluaran Uang Kos")),OR($C$7="Semua",$C$7="",I2300=$C$7),OR($C$8="Semua",$C$8="",C2300=$C$8,E2300=$C$8),OR($C$9="Semua",$C$9="",D2300=$C$9),OR($C$10="",B2300&gt;=$C$10),OR($C$11="",B2300&lt;=$C$11),OR($C$12&lt;&gt;"Ya",K2300&lt;&gt;""),OR($C$13="Semua",$C$13="",L2300=$C$13)),"✓","")</f>
        <v/>
      </c>
      <c r="N2300" s="93">
        <f>N(N2299)+IF(M2300="✓",1,0)</f>
        <v/>
      </c>
      <c r="O2300" s="93">
        <f>N(O2299)+IF(AND(B2300&lt;&gt;"",B2300&gt;='Uang Riba'!$H$30,B2300&lt;='Uang Riba'!$I$30,OR(H2300="Dana riba",H2300="Pinjam uang riba",I2300="Pinjam dari uang riba",I2300="Ganti uang riba",I2300="Kelebihan ganti dikembalikan",AND(C2300="Kantong Uang Riba",G2300="Pengeluaran"))),1,0)</f>
        <v/>
      </c>
      <c r="X2300" s="93">
        <f>IF(AND(B2300&lt;&gt;"",B2300&gt;='Buku Akun'!$H$4,B2300&lt;='Buku Akun'!$H$5,OR(C2300='Buku Akun'!$C$4,AND(D2300="Pindah",E2300='Buku Akun'!$C$4))),B2300+IF(AND(I2300="Selisih bunga",DAY(B2300)=1),0,0.01)+ROW()/10000000,"")</f>
        <v/>
      </c>
    </row>
    <row r="2301" outlineLevel="1" ht="15" customHeight="1" s="94">
      <c r="A2301" s="123">
        <f>IF(B2301="","",ROW()-15)</f>
        <v/>
      </c>
      <c r="B2301" s="124" t="n"/>
      <c r="C2301" s="123" t="n"/>
      <c r="D2301" s="123" t="n"/>
      <c r="E2301" s="123" t="n"/>
      <c r="F2301" s="125" t="n"/>
      <c r="G2301" s="123" t="n"/>
      <c r="H2301" s="123" t="n"/>
      <c r="I2301" s="123" t="n"/>
      <c r="J2301" s="123" t="n"/>
      <c r="K2301" s="123" t="n"/>
      <c r="L2301" s="123" t="n"/>
      <c r="M2301" s="123">
        <f>IF(AND(B2301&lt;&gt;"",OR($C$4="",ISNUMBER(SEARCH($C$4,C2301&amp;" "&amp;E2301&amp;" "&amp;G2301&amp;" "&amp;H2301&amp;" "&amp;I2301&amp;" "&amp;J2301&amp;" "&amp;K2301&amp;" "&amp;L2301))),OR($C$5="Semua",$C$5="",G2301=$C$5),OR($C$6="Semua",$C$6="",H2301=$C$6,H2301="Pengeluaran "&amp;$C$6,AND($C$6="Uang Kos Mama",H2301="Pengeluaran Uang Kos")),OR($C$7="Semua",$C$7="",I2301=$C$7),OR($C$8="Semua",$C$8="",C2301=$C$8,E2301=$C$8),OR($C$9="Semua",$C$9="",D2301=$C$9),OR($C$10="",B2301&gt;=$C$10),OR($C$11="",B2301&lt;=$C$11),OR($C$12&lt;&gt;"Ya",K2301&lt;&gt;""),OR($C$13="Semua",$C$13="",L2301=$C$13)),"✓","")</f>
        <v/>
      </c>
      <c r="N2301" s="93">
        <f>N(N2300)+IF(M2301="✓",1,0)</f>
        <v/>
      </c>
      <c r="O2301" s="93">
        <f>N(O2300)+IF(AND(B2301&lt;&gt;"",B2301&gt;='Uang Riba'!$H$30,B2301&lt;='Uang Riba'!$I$30,OR(H2301="Dana riba",H2301="Pinjam uang riba",I2301="Pinjam dari uang riba",I2301="Ganti uang riba",I2301="Kelebihan ganti dikembalikan",AND(C2301="Kantong Uang Riba",G2301="Pengeluaran"))),1,0)</f>
        <v/>
      </c>
      <c r="X2301" s="93">
        <f>IF(AND(B2301&lt;&gt;"",B2301&gt;='Buku Akun'!$H$4,B2301&lt;='Buku Akun'!$H$5,OR(C2301='Buku Akun'!$C$4,AND(D2301="Pindah",E2301='Buku Akun'!$C$4))),B2301+IF(AND(I2301="Selisih bunga",DAY(B2301)=1),0,0.01)+ROW()/10000000,"")</f>
        <v/>
      </c>
    </row>
    <row r="2302" outlineLevel="1" ht="15" customHeight="1" s="94">
      <c r="A2302" s="123">
        <f>IF(B2302="","",ROW()-15)</f>
        <v/>
      </c>
      <c r="B2302" s="124" t="n"/>
      <c r="C2302" s="123" t="n"/>
      <c r="D2302" s="123" t="n"/>
      <c r="E2302" s="123" t="n"/>
      <c r="F2302" s="125" t="n"/>
      <c r="G2302" s="123" t="n"/>
      <c r="H2302" s="123" t="n"/>
      <c r="I2302" s="123" t="n"/>
      <c r="J2302" s="123" t="n"/>
      <c r="K2302" s="123" t="n"/>
      <c r="L2302" s="123" t="n"/>
      <c r="M2302" s="123">
        <f>IF(AND(B2302&lt;&gt;"",OR($C$4="",ISNUMBER(SEARCH($C$4,C2302&amp;" "&amp;E2302&amp;" "&amp;G2302&amp;" "&amp;H2302&amp;" "&amp;I2302&amp;" "&amp;J2302&amp;" "&amp;K2302&amp;" "&amp;L2302))),OR($C$5="Semua",$C$5="",G2302=$C$5),OR($C$6="Semua",$C$6="",H2302=$C$6,H2302="Pengeluaran "&amp;$C$6,AND($C$6="Uang Kos Mama",H2302="Pengeluaran Uang Kos")),OR($C$7="Semua",$C$7="",I2302=$C$7),OR($C$8="Semua",$C$8="",C2302=$C$8,E2302=$C$8),OR($C$9="Semua",$C$9="",D2302=$C$9),OR($C$10="",B2302&gt;=$C$10),OR($C$11="",B2302&lt;=$C$11),OR($C$12&lt;&gt;"Ya",K2302&lt;&gt;""),OR($C$13="Semua",$C$13="",L2302=$C$13)),"✓","")</f>
        <v/>
      </c>
      <c r="N2302" s="93">
        <f>N(N2301)+IF(M2302="✓",1,0)</f>
        <v/>
      </c>
      <c r="O2302" s="93">
        <f>N(O2301)+IF(AND(B2302&lt;&gt;"",B2302&gt;='Uang Riba'!$H$30,B2302&lt;='Uang Riba'!$I$30,OR(H2302="Dana riba",H2302="Pinjam uang riba",I2302="Pinjam dari uang riba",I2302="Ganti uang riba",I2302="Kelebihan ganti dikembalikan",AND(C2302="Kantong Uang Riba",G2302="Pengeluaran"))),1,0)</f>
        <v/>
      </c>
      <c r="X2302" s="93">
        <f>IF(AND(B2302&lt;&gt;"",B2302&gt;='Buku Akun'!$H$4,B2302&lt;='Buku Akun'!$H$5,OR(C2302='Buku Akun'!$C$4,AND(D2302="Pindah",E2302='Buku Akun'!$C$4))),B2302+IF(AND(I2302="Selisih bunga",DAY(B2302)=1),0,0.01)+ROW()/10000000,"")</f>
        <v/>
      </c>
    </row>
    <row r="2303" outlineLevel="1" ht="15" customHeight="1" s="94">
      <c r="A2303" s="123">
        <f>IF(B2303="","",ROW()-15)</f>
        <v/>
      </c>
      <c r="B2303" s="124" t="n"/>
      <c r="C2303" s="123" t="n"/>
      <c r="D2303" s="123" t="n"/>
      <c r="E2303" s="123" t="n"/>
      <c r="F2303" s="125" t="n"/>
      <c r="G2303" s="123" t="n"/>
      <c r="H2303" s="123" t="n"/>
      <c r="I2303" s="123" t="n"/>
      <c r="J2303" s="123" t="n"/>
      <c r="K2303" s="123" t="n"/>
      <c r="L2303" s="123" t="n"/>
      <c r="M2303" s="123">
        <f>IF(AND(B2303&lt;&gt;"",OR($C$4="",ISNUMBER(SEARCH($C$4,C2303&amp;" "&amp;E2303&amp;" "&amp;G2303&amp;" "&amp;H2303&amp;" "&amp;I2303&amp;" "&amp;J2303&amp;" "&amp;K2303&amp;" "&amp;L2303))),OR($C$5="Semua",$C$5="",G2303=$C$5),OR($C$6="Semua",$C$6="",H2303=$C$6,H2303="Pengeluaran "&amp;$C$6,AND($C$6="Uang Kos Mama",H2303="Pengeluaran Uang Kos")),OR($C$7="Semua",$C$7="",I2303=$C$7),OR($C$8="Semua",$C$8="",C2303=$C$8,E2303=$C$8),OR($C$9="Semua",$C$9="",D2303=$C$9),OR($C$10="",B2303&gt;=$C$10),OR($C$11="",B2303&lt;=$C$11),OR($C$12&lt;&gt;"Ya",K2303&lt;&gt;""),OR($C$13="Semua",$C$13="",L2303=$C$13)),"✓","")</f>
        <v/>
      </c>
      <c r="N2303" s="93">
        <f>N(N2302)+IF(M2303="✓",1,0)</f>
        <v/>
      </c>
      <c r="O2303" s="93">
        <f>N(O2302)+IF(AND(B2303&lt;&gt;"",B2303&gt;='Uang Riba'!$H$30,B2303&lt;='Uang Riba'!$I$30,OR(H2303="Dana riba",H2303="Pinjam uang riba",I2303="Pinjam dari uang riba",I2303="Ganti uang riba",I2303="Kelebihan ganti dikembalikan",AND(C2303="Kantong Uang Riba",G2303="Pengeluaran"))),1,0)</f>
        <v/>
      </c>
      <c r="X2303" s="93">
        <f>IF(AND(B2303&lt;&gt;"",B2303&gt;='Buku Akun'!$H$4,B2303&lt;='Buku Akun'!$H$5,OR(C2303='Buku Akun'!$C$4,AND(D2303="Pindah",E2303='Buku Akun'!$C$4))),B2303+IF(AND(I2303="Selisih bunga",DAY(B2303)=1),0,0.01)+ROW()/10000000,"")</f>
        <v/>
      </c>
    </row>
    <row r="2304" outlineLevel="1" ht="15" customHeight="1" s="94">
      <c r="A2304" s="123">
        <f>IF(B2304="","",ROW()-15)</f>
        <v/>
      </c>
      <c r="B2304" s="124" t="n"/>
      <c r="C2304" s="123" t="n"/>
      <c r="D2304" s="123" t="n"/>
      <c r="E2304" s="123" t="n"/>
      <c r="F2304" s="125" t="n"/>
      <c r="G2304" s="123" t="n"/>
      <c r="H2304" s="123" t="n"/>
      <c r="I2304" s="123" t="n"/>
      <c r="J2304" s="123" t="n"/>
      <c r="K2304" s="123" t="n"/>
      <c r="L2304" s="123" t="n"/>
      <c r="M2304" s="123">
        <f>IF(AND(B2304&lt;&gt;"",OR($C$4="",ISNUMBER(SEARCH($C$4,C2304&amp;" "&amp;E2304&amp;" "&amp;G2304&amp;" "&amp;H2304&amp;" "&amp;I2304&amp;" "&amp;J2304&amp;" "&amp;K2304&amp;" "&amp;L2304))),OR($C$5="Semua",$C$5="",G2304=$C$5),OR($C$6="Semua",$C$6="",H2304=$C$6,H2304="Pengeluaran "&amp;$C$6,AND($C$6="Uang Kos Mama",H2304="Pengeluaran Uang Kos")),OR($C$7="Semua",$C$7="",I2304=$C$7),OR($C$8="Semua",$C$8="",C2304=$C$8,E2304=$C$8),OR($C$9="Semua",$C$9="",D2304=$C$9),OR($C$10="",B2304&gt;=$C$10),OR($C$11="",B2304&lt;=$C$11),OR($C$12&lt;&gt;"Ya",K2304&lt;&gt;""),OR($C$13="Semua",$C$13="",L2304=$C$13)),"✓","")</f>
        <v/>
      </c>
      <c r="N2304" s="93">
        <f>N(N2303)+IF(M2304="✓",1,0)</f>
        <v/>
      </c>
      <c r="O2304" s="93">
        <f>N(O2303)+IF(AND(B2304&lt;&gt;"",B2304&gt;='Uang Riba'!$H$30,B2304&lt;='Uang Riba'!$I$30,OR(H2304="Dana riba",H2304="Pinjam uang riba",I2304="Pinjam dari uang riba",I2304="Ganti uang riba",I2304="Kelebihan ganti dikembalikan",AND(C2304="Kantong Uang Riba",G2304="Pengeluaran"))),1,0)</f>
        <v/>
      </c>
      <c r="X2304" s="93">
        <f>IF(AND(B2304&lt;&gt;"",B2304&gt;='Buku Akun'!$H$4,B2304&lt;='Buku Akun'!$H$5,OR(C2304='Buku Akun'!$C$4,AND(D2304="Pindah",E2304='Buku Akun'!$C$4))),B2304+IF(AND(I2304="Selisih bunga",DAY(B2304)=1),0,0.01)+ROW()/10000000,"")</f>
        <v/>
      </c>
    </row>
    <row r="2305" outlineLevel="1" ht="15" customHeight="1" s="94">
      <c r="A2305" s="123">
        <f>IF(B2305="","",ROW()-15)</f>
        <v/>
      </c>
      <c r="B2305" s="124" t="n"/>
      <c r="C2305" s="123" t="n"/>
      <c r="D2305" s="123" t="n"/>
      <c r="E2305" s="123" t="n"/>
      <c r="F2305" s="125" t="n"/>
      <c r="G2305" s="123" t="n"/>
      <c r="H2305" s="123" t="n"/>
      <c r="I2305" s="123" t="n"/>
      <c r="J2305" s="123" t="n"/>
      <c r="K2305" s="123" t="n"/>
      <c r="L2305" s="123" t="n"/>
      <c r="M2305" s="123">
        <f>IF(AND(B2305&lt;&gt;"",OR($C$4="",ISNUMBER(SEARCH($C$4,C2305&amp;" "&amp;E2305&amp;" "&amp;G2305&amp;" "&amp;H2305&amp;" "&amp;I2305&amp;" "&amp;J2305&amp;" "&amp;K2305&amp;" "&amp;L2305))),OR($C$5="Semua",$C$5="",G2305=$C$5),OR($C$6="Semua",$C$6="",H2305=$C$6,H2305="Pengeluaran "&amp;$C$6,AND($C$6="Uang Kos Mama",H2305="Pengeluaran Uang Kos")),OR($C$7="Semua",$C$7="",I2305=$C$7),OR($C$8="Semua",$C$8="",C2305=$C$8,E2305=$C$8),OR($C$9="Semua",$C$9="",D2305=$C$9),OR($C$10="",B2305&gt;=$C$10),OR($C$11="",B2305&lt;=$C$11),OR($C$12&lt;&gt;"Ya",K2305&lt;&gt;""),OR($C$13="Semua",$C$13="",L2305=$C$13)),"✓","")</f>
        <v/>
      </c>
      <c r="N2305" s="93">
        <f>N(N2304)+IF(M2305="✓",1,0)</f>
        <v/>
      </c>
      <c r="O2305" s="93">
        <f>N(O2304)+IF(AND(B2305&lt;&gt;"",B2305&gt;='Uang Riba'!$H$30,B2305&lt;='Uang Riba'!$I$30,OR(H2305="Dana riba",H2305="Pinjam uang riba",I2305="Pinjam dari uang riba",I2305="Ganti uang riba",I2305="Kelebihan ganti dikembalikan",AND(C2305="Kantong Uang Riba",G2305="Pengeluaran"))),1,0)</f>
        <v/>
      </c>
      <c r="X2305" s="93">
        <f>IF(AND(B2305&lt;&gt;"",B2305&gt;='Buku Akun'!$H$4,B2305&lt;='Buku Akun'!$H$5,OR(C2305='Buku Akun'!$C$4,AND(D2305="Pindah",E2305='Buku Akun'!$C$4))),B2305+IF(AND(I2305="Selisih bunga",DAY(B2305)=1),0,0.01)+ROW()/10000000,"")</f>
        <v/>
      </c>
    </row>
    <row r="2306" outlineLevel="1" ht="15" customHeight="1" s="94">
      <c r="A2306" s="123">
        <f>IF(B2306="","",ROW()-15)</f>
        <v/>
      </c>
      <c r="B2306" s="124" t="n"/>
      <c r="C2306" s="123" t="n"/>
      <c r="D2306" s="123" t="n"/>
      <c r="E2306" s="123" t="n"/>
      <c r="F2306" s="125" t="n"/>
      <c r="G2306" s="123" t="n"/>
      <c r="H2306" s="123" t="n"/>
      <c r="I2306" s="123" t="n"/>
      <c r="J2306" s="123" t="n"/>
      <c r="K2306" s="123" t="n"/>
      <c r="L2306" s="123" t="n"/>
      <c r="M2306" s="123">
        <f>IF(AND(B2306&lt;&gt;"",OR($C$4="",ISNUMBER(SEARCH($C$4,C2306&amp;" "&amp;E2306&amp;" "&amp;G2306&amp;" "&amp;H2306&amp;" "&amp;I2306&amp;" "&amp;J2306&amp;" "&amp;K2306&amp;" "&amp;L2306))),OR($C$5="Semua",$C$5="",G2306=$C$5),OR($C$6="Semua",$C$6="",H2306=$C$6,H2306="Pengeluaran "&amp;$C$6,AND($C$6="Uang Kos Mama",H2306="Pengeluaran Uang Kos")),OR($C$7="Semua",$C$7="",I2306=$C$7),OR($C$8="Semua",$C$8="",C2306=$C$8,E2306=$C$8),OR($C$9="Semua",$C$9="",D2306=$C$9),OR($C$10="",B2306&gt;=$C$10),OR($C$11="",B2306&lt;=$C$11),OR($C$12&lt;&gt;"Ya",K2306&lt;&gt;""),OR($C$13="Semua",$C$13="",L2306=$C$13)),"✓","")</f>
        <v/>
      </c>
      <c r="N2306" s="93">
        <f>N(N2305)+IF(M2306="✓",1,0)</f>
        <v/>
      </c>
      <c r="O2306" s="93">
        <f>N(O2305)+IF(AND(B2306&lt;&gt;"",B2306&gt;='Uang Riba'!$H$30,B2306&lt;='Uang Riba'!$I$30,OR(H2306="Dana riba",H2306="Pinjam uang riba",I2306="Pinjam dari uang riba",I2306="Ganti uang riba",I2306="Kelebihan ganti dikembalikan",AND(C2306="Kantong Uang Riba",G2306="Pengeluaran"))),1,0)</f>
        <v/>
      </c>
      <c r="X2306" s="93">
        <f>IF(AND(B2306&lt;&gt;"",B2306&gt;='Buku Akun'!$H$4,B2306&lt;='Buku Akun'!$H$5,OR(C2306='Buku Akun'!$C$4,AND(D2306="Pindah",E2306='Buku Akun'!$C$4))),B2306+IF(AND(I2306="Selisih bunga",DAY(B2306)=1),0,0.01)+ROW()/10000000,"")</f>
        <v/>
      </c>
    </row>
    <row r="2307" outlineLevel="1" ht="15" customHeight="1" s="94">
      <c r="A2307" s="123">
        <f>IF(B2307="","",ROW()-15)</f>
        <v/>
      </c>
      <c r="B2307" s="124" t="n"/>
      <c r="C2307" s="123" t="n"/>
      <c r="D2307" s="123" t="n"/>
      <c r="E2307" s="123" t="n"/>
      <c r="F2307" s="125" t="n"/>
      <c r="G2307" s="123" t="n"/>
      <c r="H2307" s="123" t="n"/>
      <c r="I2307" s="123" t="n"/>
      <c r="J2307" s="123" t="n"/>
      <c r="K2307" s="123" t="n"/>
      <c r="L2307" s="123" t="n"/>
      <c r="M2307" s="123">
        <f>IF(AND(B2307&lt;&gt;"",OR($C$4="",ISNUMBER(SEARCH($C$4,C2307&amp;" "&amp;E2307&amp;" "&amp;G2307&amp;" "&amp;H2307&amp;" "&amp;I2307&amp;" "&amp;J2307&amp;" "&amp;K2307&amp;" "&amp;L2307))),OR($C$5="Semua",$C$5="",G2307=$C$5),OR($C$6="Semua",$C$6="",H2307=$C$6,H2307="Pengeluaran "&amp;$C$6,AND($C$6="Uang Kos Mama",H2307="Pengeluaran Uang Kos")),OR($C$7="Semua",$C$7="",I2307=$C$7),OR($C$8="Semua",$C$8="",C2307=$C$8,E2307=$C$8),OR($C$9="Semua",$C$9="",D2307=$C$9),OR($C$10="",B2307&gt;=$C$10),OR($C$11="",B2307&lt;=$C$11),OR($C$12&lt;&gt;"Ya",K2307&lt;&gt;""),OR($C$13="Semua",$C$13="",L2307=$C$13)),"✓","")</f>
        <v/>
      </c>
      <c r="N2307" s="93">
        <f>N(N2306)+IF(M2307="✓",1,0)</f>
        <v/>
      </c>
      <c r="O2307" s="93">
        <f>N(O2306)+IF(AND(B2307&lt;&gt;"",B2307&gt;='Uang Riba'!$H$30,B2307&lt;='Uang Riba'!$I$30,OR(H2307="Dana riba",H2307="Pinjam uang riba",I2307="Pinjam dari uang riba",I2307="Ganti uang riba",I2307="Kelebihan ganti dikembalikan",AND(C2307="Kantong Uang Riba",G2307="Pengeluaran"))),1,0)</f>
        <v/>
      </c>
      <c r="X2307" s="93">
        <f>IF(AND(B2307&lt;&gt;"",B2307&gt;='Buku Akun'!$H$4,B2307&lt;='Buku Akun'!$H$5,OR(C2307='Buku Akun'!$C$4,AND(D2307="Pindah",E2307='Buku Akun'!$C$4))),B2307+IF(AND(I2307="Selisih bunga",DAY(B2307)=1),0,0.01)+ROW()/10000000,"")</f>
        <v/>
      </c>
    </row>
    <row r="2308" outlineLevel="1" ht="15" customHeight="1" s="94">
      <c r="A2308" s="123">
        <f>IF(B2308="","",ROW()-15)</f>
        <v/>
      </c>
      <c r="B2308" s="124" t="n"/>
      <c r="C2308" s="123" t="n"/>
      <c r="D2308" s="123" t="n"/>
      <c r="E2308" s="123" t="n"/>
      <c r="F2308" s="125" t="n"/>
      <c r="G2308" s="123" t="n"/>
      <c r="H2308" s="123" t="n"/>
      <c r="I2308" s="123" t="n"/>
      <c r="J2308" s="123" t="n"/>
      <c r="K2308" s="123" t="n"/>
      <c r="L2308" s="123" t="n"/>
      <c r="M2308" s="123">
        <f>IF(AND(B2308&lt;&gt;"",OR($C$4="",ISNUMBER(SEARCH($C$4,C2308&amp;" "&amp;E2308&amp;" "&amp;G2308&amp;" "&amp;H2308&amp;" "&amp;I2308&amp;" "&amp;J2308&amp;" "&amp;K2308&amp;" "&amp;L2308))),OR($C$5="Semua",$C$5="",G2308=$C$5),OR($C$6="Semua",$C$6="",H2308=$C$6,H2308="Pengeluaran "&amp;$C$6,AND($C$6="Uang Kos Mama",H2308="Pengeluaran Uang Kos")),OR($C$7="Semua",$C$7="",I2308=$C$7),OR($C$8="Semua",$C$8="",C2308=$C$8,E2308=$C$8),OR($C$9="Semua",$C$9="",D2308=$C$9),OR($C$10="",B2308&gt;=$C$10),OR($C$11="",B2308&lt;=$C$11),OR($C$12&lt;&gt;"Ya",K2308&lt;&gt;""),OR($C$13="Semua",$C$13="",L2308=$C$13)),"✓","")</f>
        <v/>
      </c>
      <c r="N2308" s="93">
        <f>N(N2307)+IF(M2308="✓",1,0)</f>
        <v/>
      </c>
      <c r="O2308" s="93">
        <f>N(O2307)+IF(AND(B2308&lt;&gt;"",B2308&gt;='Uang Riba'!$H$30,B2308&lt;='Uang Riba'!$I$30,OR(H2308="Dana riba",H2308="Pinjam uang riba",I2308="Pinjam dari uang riba",I2308="Ganti uang riba",I2308="Kelebihan ganti dikembalikan",AND(C2308="Kantong Uang Riba",G2308="Pengeluaran"))),1,0)</f>
        <v/>
      </c>
      <c r="X2308" s="93">
        <f>IF(AND(B2308&lt;&gt;"",B2308&gt;='Buku Akun'!$H$4,B2308&lt;='Buku Akun'!$H$5,OR(C2308='Buku Akun'!$C$4,AND(D2308="Pindah",E2308='Buku Akun'!$C$4))),B2308+IF(AND(I2308="Selisih bunga",DAY(B2308)=1),0,0.01)+ROW()/10000000,"")</f>
        <v/>
      </c>
    </row>
    <row r="2309" outlineLevel="1" ht="15" customHeight="1" s="94">
      <c r="A2309" s="123">
        <f>IF(B2309="","",ROW()-15)</f>
        <v/>
      </c>
      <c r="B2309" s="124" t="n"/>
      <c r="C2309" s="123" t="n"/>
      <c r="D2309" s="123" t="n"/>
      <c r="E2309" s="123" t="n"/>
      <c r="F2309" s="125" t="n"/>
      <c r="G2309" s="123" t="n"/>
      <c r="H2309" s="123" t="n"/>
      <c r="I2309" s="123" t="n"/>
      <c r="J2309" s="123" t="n"/>
      <c r="K2309" s="123" t="n"/>
      <c r="L2309" s="123" t="n"/>
      <c r="M2309" s="123">
        <f>IF(AND(B2309&lt;&gt;"",OR($C$4="",ISNUMBER(SEARCH($C$4,C2309&amp;" "&amp;E2309&amp;" "&amp;G2309&amp;" "&amp;H2309&amp;" "&amp;I2309&amp;" "&amp;J2309&amp;" "&amp;K2309&amp;" "&amp;L2309))),OR($C$5="Semua",$C$5="",G2309=$C$5),OR($C$6="Semua",$C$6="",H2309=$C$6,H2309="Pengeluaran "&amp;$C$6,AND($C$6="Uang Kos Mama",H2309="Pengeluaran Uang Kos")),OR($C$7="Semua",$C$7="",I2309=$C$7),OR($C$8="Semua",$C$8="",C2309=$C$8,E2309=$C$8),OR($C$9="Semua",$C$9="",D2309=$C$9),OR($C$10="",B2309&gt;=$C$10),OR($C$11="",B2309&lt;=$C$11),OR($C$12&lt;&gt;"Ya",K2309&lt;&gt;""),OR($C$13="Semua",$C$13="",L2309=$C$13)),"✓","")</f>
        <v/>
      </c>
      <c r="N2309" s="93">
        <f>N(N2308)+IF(M2309="✓",1,0)</f>
        <v/>
      </c>
      <c r="O2309" s="93">
        <f>N(O2308)+IF(AND(B2309&lt;&gt;"",B2309&gt;='Uang Riba'!$H$30,B2309&lt;='Uang Riba'!$I$30,OR(H2309="Dana riba",H2309="Pinjam uang riba",I2309="Pinjam dari uang riba",I2309="Ganti uang riba",I2309="Kelebihan ganti dikembalikan",AND(C2309="Kantong Uang Riba",G2309="Pengeluaran"))),1,0)</f>
        <v/>
      </c>
      <c r="X2309" s="93">
        <f>IF(AND(B2309&lt;&gt;"",B2309&gt;='Buku Akun'!$H$4,B2309&lt;='Buku Akun'!$H$5,OR(C2309='Buku Akun'!$C$4,AND(D2309="Pindah",E2309='Buku Akun'!$C$4))),B2309+IF(AND(I2309="Selisih bunga",DAY(B2309)=1),0,0.01)+ROW()/10000000,"")</f>
        <v/>
      </c>
    </row>
    <row r="2310" outlineLevel="1" ht="15" customHeight="1" s="94">
      <c r="A2310" s="123">
        <f>IF(B2310="","",ROW()-15)</f>
        <v/>
      </c>
      <c r="B2310" s="124" t="n"/>
      <c r="C2310" s="123" t="n"/>
      <c r="D2310" s="123" t="n"/>
      <c r="E2310" s="123" t="n"/>
      <c r="F2310" s="125" t="n"/>
      <c r="G2310" s="123" t="n"/>
      <c r="H2310" s="123" t="n"/>
      <c r="I2310" s="123" t="n"/>
      <c r="J2310" s="123" t="n"/>
      <c r="K2310" s="123" t="n"/>
      <c r="L2310" s="123" t="n"/>
      <c r="M2310" s="123">
        <f>IF(AND(B2310&lt;&gt;"",OR($C$4="",ISNUMBER(SEARCH($C$4,C2310&amp;" "&amp;E2310&amp;" "&amp;G2310&amp;" "&amp;H2310&amp;" "&amp;I2310&amp;" "&amp;J2310&amp;" "&amp;K2310&amp;" "&amp;L2310))),OR($C$5="Semua",$C$5="",G2310=$C$5),OR($C$6="Semua",$C$6="",H2310=$C$6,H2310="Pengeluaran "&amp;$C$6,AND($C$6="Uang Kos Mama",H2310="Pengeluaran Uang Kos")),OR($C$7="Semua",$C$7="",I2310=$C$7),OR($C$8="Semua",$C$8="",C2310=$C$8,E2310=$C$8),OR($C$9="Semua",$C$9="",D2310=$C$9),OR($C$10="",B2310&gt;=$C$10),OR($C$11="",B2310&lt;=$C$11),OR($C$12&lt;&gt;"Ya",K2310&lt;&gt;""),OR($C$13="Semua",$C$13="",L2310=$C$13)),"✓","")</f>
        <v/>
      </c>
      <c r="N2310" s="93">
        <f>N(N2309)+IF(M2310="✓",1,0)</f>
        <v/>
      </c>
      <c r="O2310" s="93">
        <f>N(O2309)+IF(AND(B2310&lt;&gt;"",B2310&gt;='Uang Riba'!$H$30,B2310&lt;='Uang Riba'!$I$30,OR(H2310="Dana riba",H2310="Pinjam uang riba",I2310="Pinjam dari uang riba",I2310="Ganti uang riba",I2310="Kelebihan ganti dikembalikan",AND(C2310="Kantong Uang Riba",G2310="Pengeluaran"))),1,0)</f>
        <v/>
      </c>
      <c r="X2310" s="93">
        <f>IF(AND(B2310&lt;&gt;"",B2310&gt;='Buku Akun'!$H$4,B2310&lt;='Buku Akun'!$H$5,OR(C2310='Buku Akun'!$C$4,AND(D2310="Pindah",E2310='Buku Akun'!$C$4))),B2310+IF(AND(I2310="Selisih bunga",DAY(B2310)=1),0,0.01)+ROW()/10000000,"")</f>
        <v/>
      </c>
    </row>
    <row r="2311" outlineLevel="1" ht="15" customHeight="1" s="94">
      <c r="A2311" s="123">
        <f>IF(B2311="","",ROW()-15)</f>
        <v/>
      </c>
      <c r="B2311" s="124" t="n"/>
      <c r="C2311" s="123" t="n"/>
      <c r="D2311" s="123" t="n"/>
      <c r="E2311" s="123" t="n"/>
      <c r="F2311" s="125" t="n"/>
      <c r="G2311" s="123" t="n"/>
      <c r="H2311" s="123" t="n"/>
      <c r="I2311" s="123" t="n"/>
      <c r="J2311" s="123" t="n"/>
      <c r="K2311" s="123" t="n"/>
      <c r="L2311" s="123" t="n"/>
      <c r="M2311" s="123">
        <f>IF(AND(B2311&lt;&gt;"",OR($C$4="",ISNUMBER(SEARCH($C$4,C2311&amp;" "&amp;E2311&amp;" "&amp;G2311&amp;" "&amp;H2311&amp;" "&amp;I2311&amp;" "&amp;J2311&amp;" "&amp;K2311&amp;" "&amp;L2311))),OR($C$5="Semua",$C$5="",G2311=$C$5),OR($C$6="Semua",$C$6="",H2311=$C$6,H2311="Pengeluaran "&amp;$C$6,AND($C$6="Uang Kos Mama",H2311="Pengeluaran Uang Kos")),OR($C$7="Semua",$C$7="",I2311=$C$7),OR($C$8="Semua",$C$8="",C2311=$C$8,E2311=$C$8),OR($C$9="Semua",$C$9="",D2311=$C$9),OR($C$10="",B2311&gt;=$C$10),OR($C$11="",B2311&lt;=$C$11),OR($C$12&lt;&gt;"Ya",K2311&lt;&gt;""),OR($C$13="Semua",$C$13="",L2311=$C$13)),"✓","")</f>
        <v/>
      </c>
      <c r="N2311" s="93">
        <f>N(N2310)+IF(M2311="✓",1,0)</f>
        <v/>
      </c>
      <c r="O2311" s="93">
        <f>N(O2310)+IF(AND(B2311&lt;&gt;"",B2311&gt;='Uang Riba'!$H$30,B2311&lt;='Uang Riba'!$I$30,OR(H2311="Dana riba",H2311="Pinjam uang riba",I2311="Pinjam dari uang riba",I2311="Ganti uang riba",I2311="Kelebihan ganti dikembalikan",AND(C2311="Kantong Uang Riba",G2311="Pengeluaran"))),1,0)</f>
        <v/>
      </c>
      <c r="X2311" s="93">
        <f>IF(AND(B2311&lt;&gt;"",B2311&gt;='Buku Akun'!$H$4,B2311&lt;='Buku Akun'!$H$5,OR(C2311='Buku Akun'!$C$4,AND(D2311="Pindah",E2311='Buku Akun'!$C$4))),B2311+IF(AND(I2311="Selisih bunga",DAY(B2311)=1),0,0.01)+ROW()/10000000,"")</f>
        <v/>
      </c>
    </row>
    <row r="2312" outlineLevel="1" ht="15" customHeight="1" s="94">
      <c r="A2312" s="123">
        <f>IF(B2312="","",ROW()-15)</f>
        <v/>
      </c>
      <c r="B2312" s="124" t="n"/>
      <c r="C2312" s="123" t="n"/>
      <c r="D2312" s="123" t="n"/>
      <c r="E2312" s="123" t="n"/>
      <c r="F2312" s="125" t="n"/>
      <c r="G2312" s="123" t="n"/>
      <c r="H2312" s="123" t="n"/>
      <c r="I2312" s="123" t="n"/>
      <c r="J2312" s="123" t="n"/>
      <c r="K2312" s="123" t="n"/>
      <c r="L2312" s="123" t="n"/>
      <c r="M2312" s="123">
        <f>IF(AND(B2312&lt;&gt;"",OR($C$4="",ISNUMBER(SEARCH($C$4,C2312&amp;" "&amp;E2312&amp;" "&amp;G2312&amp;" "&amp;H2312&amp;" "&amp;I2312&amp;" "&amp;J2312&amp;" "&amp;K2312&amp;" "&amp;L2312))),OR($C$5="Semua",$C$5="",G2312=$C$5),OR($C$6="Semua",$C$6="",H2312=$C$6,H2312="Pengeluaran "&amp;$C$6,AND($C$6="Uang Kos Mama",H2312="Pengeluaran Uang Kos")),OR($C$7="Semua",$C$7="",I2312=$C$7),OR($C$8="Semua",$C$8="",C2312=$C$8,E2312=$C$8),OR($C$9="Semua",$C$9="",D2312=$C$9),OR($C$10="",B2312&gt;=$C$10),OR($C$11="",B2312&lt;=$C$11),OR($C$12&lt;&gt;"Ya",K2312&lt;&gt;""),OR($C$13="Semua",$C$13="",L2312=$C$13)),"✓","")</f>
        <v/>
      </c>
      <c r="N2312" s="93">
        <f>N(N2311)+IF(M2312="✓",1,0)</f>
        <v/>
      </c>
      <c r="O2312" s="93">
        <f>N(O2311)+IF(AND(B2312&lt;&gt;"",B2312&gt;='Uang Riba'!$H$30,B2312&lt;='Uang Riba'!$I$30,OR(H2312="Dana riba",H2312="Pinjam uang riba",I2312="Pinjam dari uang riba",I2312="Ganti uang riba",I2312="Kelebihan ganti dikembalikan",AND(C2312="Kantong Uang Riba",G2312="Pengeluaran"))),1,0)</f>
        <v/>
      </c>
      <c r="X2312" s="93">
        <f>IF(AND(B2312&lt;&gt;"",B2312&gt;='Buku Akun'!$H$4,B2312&lt;='Buku Akun'!$H$5,OR(C2312='Buku Akun'!$C$4,AND(D2312="Pindah",E2312='Buku Akun'!$C$4))),B2312+IF(AND(I2312="Selisih bunga",DAY(B2312)=1),0,0.01)+ROW()/10000000,"")</f>
        <v/>
      </c>
    </row>
    <row r="2313" outlineLevel="1" ht="15" customHeight="1" s="94">
      <c r="A2313" s="123">
        <f>IF(B2313="","",ROW()-15)</f>
        <v/>
      </c>
      <c r="B2313" s="124" t="n"/>
      <c r="C2313" s="123" t="n"/>
      <c r="D2313" s="123" t="n"/>
      <c r="E2313" s="123" t="n"/>
      <c r="F2313" s="125" t="n"/>
      <c r="G2313" s="123" t="n"/>
      <c r="H2313" s="123" t="n"/>
      <c r="I2313" s="123" t="n"/>
      <c r="J2313" s="123" t="n"/>
      <c r="K2313" s="123" t="n"/>
      <c r="L2313" s="123" t="n"/>
      <c r="M2313" s="123">
        <f>IF(AND(B2313&lt;&gt;"",OR($C$4="",ISNUMBER(SEARCH($C$4,C2313&amp;" "&amp;E2313&amp;" "&amp;G2313&amp;" "&amp;H2313&amp;" "&amp;I2313&amp;" "&amp;J2313&amp;" "&amp;K2313&amp;" "&amp;L2313))),OR($C$5="Semua",$C$5="",G2313=$C$5),OR($C$6="Semua",$C$6="",H2313=$C$6,H2313="Pengeluaran "&amp;$C$6,AND($C$6="Uang Kos Mama",H2313="Pengeluaran Uang Kos")),OR($C$7="Semua",$C$7="",I2313=$C$7),OR($C$8="Semua",$C$8="",C2313=$C$8,E2313=$C$8),OR($C$9="Semua",$C$9="",D2313=$C$9),OR($C$10="",B2313&gt;=$C$10),OR($C$11="",B2313&lt;=$C$11),OR($C$12&lt;&gt;"Ya",K2313&lt;&gt;""),OR($C$13="Semua",$C$13="",L2313=$C$13)),"✓","")</f>
        <v/>
      </c>
      <c r="N2313" s="93">
        <f>N(N2312)+IF(M2313="✓",1,0)</f>
        <v/>
      </c>
      <c r="O2313" s="93">
        <f>N(O2312)+IF(AND(B2313&lt;&gt;"",B2313&gt;='Uang Riba'!$H$30,B2313&lt;='Uang Riba'!$I$30,OR(H2313="Dana riba",H2313="Pinjam uang riba",I2313="Pinjam dari uang riba",I2313="Ganti uang riba",I2313="Kelebihan ganti dikembalikan",AND(C2313="Kantong Uang Riba",G2313="Pengeluaran"))),1,0)</f>
        <v/>
      </c>
      <c r="X2313" s="93">
        <f>IF(AND(B2313&lt;&gt;"",B2313&gt;='Buku Akun'!$H$4,B2313&lt;='Buku Akun'!$H$5,OR(C2313='Buku Akun'!$C$4,AND(D2313="Pindah",E2313='Buku Akun'!$C$4))),B2313+IF(AND(I2313="Selisih bunga",DAY(B2313)=1),0,0.01)+ROW()/10000000,"")</f>
        <v/>
      </c>
    </row>
    <row r="2314" outlineLevel="1" ht="15" customHeight="1" s="94">
      <c r="A2314" s="123">
        <f>IF(B2314="","",ROW()-15)</f>
        <v/>
      </c>
      <c r="B2314" s="124" t="n"/>
      <c r="C2314" s="123" t="n"/>
      <c r="D2314" s="123" t="n"/>
      <c r="E2314" s="123" t="n"/>
      <c r="F2314" s="125" t="n"/>
      <c r="G2314" s="123" t="n"/>
      <c r="H2314" s="123" t="n"/>
      <c r="I2314" s="123" t="n"/>
      <c r="J2314" s="123" t="n"/>
      <c r="K2314" s="123" t="n"/>
      <c r="L2314" s="123" t="n"/>
      <c r="M2314" s="123">
        <f>IF(AND(B2314&lt;&gt;"",OR($C$4="",ISNUMBER(SEARCH($C$4,C2314&amp;" "&amp;E2314&amp;" "&amp;G2314&amp;" "&amp;H2314&amp;" "&amp;I2314&amp;" "&amp;J2314&amp;" "&amp;K2314&amp;" "&amp;L2314))),OR($C$5="Semua",$C$5="",G2314=$C$5),OR($C$6="Semua",$C$6="",H2314=$C$6,H2314="Pengeluaran "&amp;$C$6,AND($C$6="Uang Kos Mama",H2314="Pengeluaran Uang Kos")),OR($C$7="Semua",$C$7="",I2314=$C$7),OR($C$8="Semua",$C$8="",C2314=$C$8,E2314=$C$8),OR($C$9="Semua",$C$9="",D2314=$C$9),OR($C$10="",B2314&gt;=$C$10),OR($C$11="",B2314&lt;=$C$11),OR($C$12&lt;&gt;"Ya",K2314&lt;&gt;""),OR($C$13="Semua",$C$13="",L2314=$C$13)),"✓","")</f>
        <v/>
      </c>
      <c r="N2314" s="93">
        <f>N(N2313)+IF(M2314="✓",1,0)</f>
        <v/>
      </c>
      <c r="O2314" s="93">
        <f>N(O2313)+IF(AND(B2314&lt;&gt;"",B2314&gt;='Uang Riba'!$H$30,B2314&lt;='Uang Riba'!$I$30,OR(H2314="Dana riba",H2314="Pinjam uang riba",I2314="Pinjam dari uang riba",I2314="Ganti uang riba",I2314="Kelebihan ganti dikembalikan",AND(C2314="Kantong Uang Riba",G2314="Pengeluaran"))),1,0)</f>
        <v/>
      </c>
      <c r="X2314" s="93">
        <f>IF(AND(B2314&lt;&gt;"",B2314&gt;='Buku Akun'!$H$4,B2314&lt;='Buku Akun'!$H$5,OR(C2314='Buku Akun'!$C$4,AND(D2314="Pindah",E2314='Buku Akun'!$C$4))),B2314+IF(AND(I2314="Selisih bunga",DAY(B2314)=1),0,0.01)+ROW()/10000000,"")</f>
        <v/>
      </c>
    </row>
    <row r="2315" outlineLevel="1" ht="15" customHeight="1" s="94">
      <c r="A2315" s="123">
        <f>IF(B2315="","",ROW()-15)</f>
        <v/>
      </c>
      <c r="B2315" s="124" t="n"/>
      <c r="C2315" s="123" t="n"/>
      <c r="D2315" s="123" t="n"/>
      <c r="E2315" s="123" t="n"/>
      <c r="F2315" s="125" t="n"/>
      <c r="G2315" s="123" t="n"/>
      <c r="H2315" s="123" t="n"/>
      <c r="I2315" s="123" t="n"/>
      <c r="J2315" s="123" t="n"/>
      <c r="K2315" s="123" t="n"/>
      <c r="L2315" s="123" t="n"/>
      <c r="M2315" s="123">
        <f>IF(AND(B2315&lt;&gt;"",OR($C$4="",ISNUMBER(SEARCH($C$4,C2315&amp;" "&amp;E2315&amp;" "&amp;G2315&amp;" "&amp;H2315&amp;" "&amp;I2315&amp;" "&amp;J2315&amp;" "&amp;K2315&amp;" "&amp;L2315))),OR($C$5="Semua",$C$5="",G2315=$C$5),OR($C$6="Semua",$C$6="",H2315=$C$6,H2315="Pengeluaran "&amp;$C$6,AND($C$6="Uang Kos Mama",H2315="Pengeluaran Uang Kos")),OR($C$7="Semua",$C$7="",I2315=$C$7),OR($C$8="Semua",$C$8="",C2315=$C$8,E2315=$C$8),OR($C$9="Semua",$C$9="",D2315=$C$9),OR($C$10="",B2315&gt;=$C$10),OR($C$11="",B2315&lt;=$C$11),OR($C$12&lt;&gt;"Ya",K2315&lt;&gt;""),OR($C$13="Semua",$C$13="",L2315=$C$13)),"✓","")</f>
        <v/>
      </c>
      <c r="N2315" s="93">
        <f>N(N2314)+IF(M2315="✓",1,0)</f>
        <v/>
      </c>
      <c r="O2315" s="93">
        <f>N(O2314)+IF(AND(B2315&lt;&gt;"",B2315&gt;='Uang Riba'!$H$30,B2315&lt;='Uang Riba'!$I$30,OR(H2315="Dana riba",H2315="Pinjam uang riba",I2315="Pinjam dari uang riba",I2315="Ganti uang riba",I2315="Kelebihan ganti dikembalikan",AND(C2315="Kantong Uang Riba",G2315="Pengeluaran"))),1,0)</f>
        <v/>
      </c>
      <c r="X2315" s="93">
        <f>IF(AND(B2315&lt;&gt;"",B2315&gt;='Buku Akun'!$H$4,B2315&lt;='Buku Akun'!$H$5,OR(C2315='Buku Akun'!$C$4,AND(D2315="Pindah",E2315='Buku Akun'!$C$4))),B2315+IF(AND(I2315="Selisih bunga",DAY(B2315)=1),0,0.01)+ROW()/10000000,"")</f>
        <v/>
      </c>
    </row>
    <row r="2316" outlineLevel="1" ht="15" customHeight="1" s="94">
      <c r="A2316" s="123">
        <f>IF(B2316="","",ROW()-15)</f>
        <v/>
      </c>
      <c r="B2316" s="124" t="n"/>
      <c r="C2316" s="123" t="n"/>
      <c r="D2316" s="123" t="n"/>
      <c r="E2316" s="123" t="n"/>
      <c r="F2316" s="125" t="n"/>
      <c r="G2316" s="123" t="n"/>
      <c r="H2316" s="123" t="n"/>
      <c r="I2316" s="123" t="n"/>
      <c r="J2316" s="123" t="n"/>
      <c r="K2316" s="123" t="n"/>
      <c r="L2316" s="123" t="n"/>
      <c r="M2316" s="123">
        <f>IF(AND(B2316&lt;&gt;"",OR($C$4="",ISNUMBER(SEARCH($C$4,C2316&amp;" "&amp;E2316&amp;" "&amp;G2316&amp;" "&amp;H2316&amp;" "&amp;I2316&amp;" "&amp;J2316&amp;" "&amp;K2316&amp;" "&amp;L2316))),OR($C$5="Semua",$C$5="",G2316=$C$5),OR($C$6="Semua",$C$6="",H2316=$C$6,H2316="Pengeluaran "&amp;$C$6,AND($C$6="Uang Kos Mama",H2316="Pengeluaran Uang Kos")),OR($C$7="Semua",$C$7="",I2316=$C$7),OR($C$8="Semua",$C$8="",C2316=$C$8,E2316=$C$8),OR($C$9="Semua",$C$9="",D2316=$C$9),OR($C$10="",B2316&gt;=$C$10),OR($C$11="",B2316&lt;=$C$11),OR($C$12&lt;&gt;"Ya",K2316&lt;&gt;""),OR($C$13="Semua",$C$13="",L2316=$C$13)),"✓","")</f>
        <v/>
      </c>
      <c r="N2316" s="93">
        <f>N(N2315)+IF(M2316="✓",1,0)</f>
        <v/>
      </c>
      <c r="O2316" s="93">
        <f>N(O2315)+IF(AND(B2316&lt;&gt;"",B2316&gt;='Uang Riba'!$H$30,B2316&lt;='Uang Riba'!$I$30,OR(H2316="Dana riba",H2316="Pinjam uang riba",I2316="Pinjam dari uang riba",I2316="Ganti uang riba",I2316="Kelebihan ganti dikembalikan",AND(C2316="Kantong Uang Riba",G2316="Pengeluaran"))),1,0)</f>
        <v/>
      </c>
      <c r="X2316" s="93">
        <f>IF(AND(B2316&lt;&gt;"",B2316&gt;='Buku Akun'!$H$4,B2316&lt;='Buku Akun'!$H$5,OR(C2316='Buku Akun'!$C$4,AND(D2316="Pindah",E2316='Buku Akun'!$C$4))),B2316+IF(AND(I2316="Selisih bunga",DAY(B2316)=1),0,0.01)+ROW()/10000000,"")</f>
        <v/>
      </c>
    </row>
    <row r="2317" outlineLevel="1" ht="15" customHeight="1" s="94">
      <c r="A2317" s="123">
        <f>IF(B2317="","",ROW()-15)</f>
        <v/>
      </c>
      <c r="B2317" s="124" t="n"/>
      <c r="C2317" s="123" t="n"/>
      <c r="D2317" s="123" t="n"/>
      <c r="E2317" s="123" t="n"/>
      <c r="F2317" s="125" t="n"/>
      <c r="G2317" s="123" t="n"/>
      <c r="H2317" s="123" t="n"/>
      <c r="I2317" s="123" t="n"/>
      <c r="J2317" s="123" t="n"/>
      <c r="K2317" s="123" t="n"/>
      <c r="L2317" s="123" t="n"/>
      <c r="M2317" s="123">
        <f>IF(AND(B2317&lt;&gt;"",OR($C$4="",ISNUMBER(SEARCH($C$4,C2317&amp;" "&amp;E2317&amp;" "&amp;G2317&amp;" "&amp;H2317&amp;" "&amp;I2317&amp;" "&amp;J2317&amp;" "&amp;K2317&amp;" "&amp;L2317))),OR($C$5="Semua",$C$5="",G2317=$C$5),OR($C$6="Semua",$C$6="",H2317=$C$6,H2317="Pengeluaran "&amp;$C$6,AND($C$6="Uang Kos Mama",H2317="Pengeluaran Uang Kos")),OR($C$7="Semua",$C$7="",I2317=$C$7),OR($C$8="Semua",$C$8="",C2317=$C$8,E2317=$C$8),OR($C$9="Semua",$C$9="",D2317=$C$9),OR($C$10="",B2317&gt;=$C$10),OR($C$11="",B2317&lt;=$C$11),OR($C$12&lt;&gt;"Ya",K2317&lt;&gt;""),OR($C$13="Semua",$C$13="",L2317=$C$13)),"✓","")</f>
        <v/>
      </c>
      <c r="N2317" s="93">
        <f>N(N2316)+IF(M2317="✓",1,0)</f>
        <v/>
      </c>
      <c r="O2317" s="93">
        <f>N(O2316)+IF(AND(B2317&lt;&gt;"",B2317&gt;='Uang Riba'!$H$30,B2317&lt;='Uang Riba'!$I$30,OR(H2317="Dana riba",H2317="Pinjam uang riba",I2317="Pinjam dari uang riba",I2317="Ganti uang riba",I2317="Kelebihan ganti dikembalikan",AND(C2317="Kantong Uang Riba",G2317="Pengeluaran"))),1,0)</f>
        <v/>
      </c>
      <c r="X2317" s="93">
        <f>IF(AND(B2317&lt;&gt;"",B2317&gt;='Buku Akun'!$H$4,B2317&lt;='Buku Akun'!$H$5,OR(C2317='Buku Akun'!$C$4,AND(D2317="Pindah",E2317='Buku Akun'!$C$4))),B2317+IF(AND(I2317="Selisih bunga",DAY(B2317)=1),0,0.01)+ROW()/10000000,"")</f>
        <v/>
      </c>
    </row>
    <row r="2318" outlineLevel="1" ht="15" customHeight="1" s="94">
      <c r="A2318" s="123">
        <f>IF(B2318="","",ROW()-15)</f>
        <v/>
      </c>
      <c r="B2318" s="124" t="n"/>
      <c r="C2318" s="123" t="n"/>
      <c r="D2318" s="123" t="n"/>
      <c r="E2318" s="123" t="n"/>
      <c r="F2318" s="125" t="n"/>
      <c r="G2318" s="123" t="n"/>
      <c r="H2318" s="123" t="n"/>
      <c r="I2318" s="123" t="n"/>
      <c r="J2318" s="123" t="n"/>
      <c r="K2318" s="123" t="n"/>
      <c r="L2318" s="123" t="n"/>
      <c r="M2318" s="123">
        <f>IF(AND(B2318&lt;&gt;"",OR($C$4="",ISNUMBER(SEARCH($C$4,C2318&amp;" "&amp;E2318&amp;" "&amp;G2318&amp;" "&amp;H2318&amp;" "&amp;I2318&amp;" "&amp;J2318&amp;" "&amp;K2318&amp;" "&amp;L2318))),OR($C$5="Semua",$C$5="",G2318=$C$5),OR($C$6="Semua",$C$6="",H2318=$C$6,H2318="Pengeluaran "&amp;$C$6,AND($C$6="Uang Kos Mama",H2318="Pengeluaran Uang Kos")),OR($C$7="Semua",$C$7="",I2318=$C$7),OR($C$8="Semua",$C$8="",C2318=$C$8,E2318=$C$8),OR($C$9="Semua",$C$9="",D2318=$C$9),OR($C$10="",B2318&gt;=$C$10),OR($C$11="",B2318&lt;=$C$11),OR($C$12&lt;&gt;"Ya",K2318&lt;&gt;""),OR($C$13="Semua",$C$13="",L2318=$C$13)),"✓","")</f>
        <v/>
      </c>
      <c r="N2318" s="93">
        <f>N(N2317)+IF(M2318="✓",1,0)</f>
        <v/>
      </c>
      <c r="O2318" s="93">
        <f>N(O2317)+IF(AND(B2318&lt;&gt;"",B2318&gt;='Uang Riba'!$H$30,B2318&lt;='Uang Riba'!$I$30,OR(H2318="Dana riba",H2318="Pinjam uang riba",I2318="Pinjam dari uang riba",I2318="Ganti uang riba",I2318="Kelebihan ganti dikembalikan",AND(C2318="Kantong Uang Riba",G2318="Pengeluaran"))),1,0)</f>
        <v/>
      </c>
      <c r="X2318" s="93">
        <f>IF(AND(B2318&lt;&gt;"",B2318&gt;='Buku Akun'!$H$4,B2318&lt;='Buku Akun'!$H$5,OR(C2318='Buku Akun'!$C$4,AND(D2318="Pindah",E2318='Buku Akun'!$C$4))),B2318+IF(AND(I2318="Selisih bunga",DAY(B2318)=1),0,0.01)+ROW()/10000000,"")</f>
        <v/>
      </c>
    </row>
    <row r="2319" outlineLevel="1" ht="15" customHeight="1" s="94">
      <c r="A2319" s="123">
        <f>IF(B2319="","",ROW()-15)</f>
        <v/>
      </c>
      <c r="B2319" s="124" t="n"/>
      <c r="C2319" s="123" t="n"/>
      <c r="D2319" s="123" t="n"/>
      <c r="E2319" s="123" t="n"/>
      <c r="F2319" s="125" t="n"/>
      <c r="G2319" s="123" t="n"/>
      <c r="H2319" s="123" t="n"/>
      <c r="I2319" s="123" t="n"/>
      <c r="J2319" s="123" t="n"/>
      <c r="K2319" s="123" t="n"/>
      <c r="L2319" s="123" t="n"/>
      <c r="M2319" s="123">
        <f>IF(AND(B2319&lt;&gt;"",OR($C$4="",ISNUMBER(SEARCH($C$4,C2319&amp;" "&amp;E2319&amp;" "&amp;G2319&amp;" "&amp;H2319&amp;" "&amp;I2319&amp;" "&amp;J2319&amp;" "&amp;K2319&amp;" "&amp;L2319))),OR($C$5="Semua",$C$5="",G2319=$C$5),OR($C$6="Semua",$C$6="",H2319=$C$6,H2319="Pengeluaran "&amp;$C$6,AND($C$6="Uang Kos Mama",H2319="Pengeluaran Uang Kos")),OR($C$7="Semua",$C$7="",I2319=$C$7),OR($C$8="Semua",$C$8="",C2319=$C$8,E2319=$C$8),OR($C$9="Semua",$C$9="",D2319=$C$9),OR($C$10="",B2319&gt;=$C$10),OR($C$11="",B2319&lt;=$C$11),OR($C$12&lt;&gt;"Ya",K2319&lt;&gt;""),OR($C$13="Semua",$C$13="",L2319=$C$13)),"✓","")</f>
        <v/>
      </c>
      <c r="N2319" s="93">
        <f>N(N2318)+IF(M2319="✓",1,0)</f>
        <v/>
      </c>
      <c r="O2319" s="93">
        <f>N(O2318)+IF(AND(B2319&lt;&gt;"",B2319&gt;='Uang Riba'!$H$30,B2319&lt;='Uang Riba'!$I$30,OR(H2319="Dana riba",H2319="Pinjam uang riba",I2319="Pinjam dari uang riba",I2319="Ganti uang riba",I2319="Kelebihan ganti dikembalikan",AND(C2319="Kantong Uang Riba",G2319="Pengeluaran"))),1,0)</f>
        <v/>
      </c>
      <c r="X2319" s="93">
        <f>IF(AND(B2319&lt;&gt;"",B2319&gt;='Buku Akun'!$H$4,B2319&lt;='Buku Akun'!$H$5,OR(C2319='Buku Akun'!$C$4,AND(D2319="Pindah",E2319='Buku Akun'!$C$4))),B2319+IF(AND(I2319="Selisih bunga",DAY(B2319)=1),0,0.01)+ROW()/10000000,"")</f>
        <v/>
      </c>
    </row>
    <row r="2320" outlineLevel="1" ht="15" customHeight="1" s="94">
      <c r="A2320" s="123">
        <f>IF(B2320="","",ROW()-15)</f>
        <v/>
      </c>
      <c r="B2320" s="124" t="n"/>
      <c r="C2320" s="123" t="n"/>
      <c r="D2320" s="123" t="n"/>
      <c r="E2320" s="123" t="n"/>
      <c r="F2320" s="125" t="n"/>
      <c r="G2320" s="123" t="n"/>
      <c r="H2320" s="123" t="n"/>
      <c r="I2320" s="123" t="n"/>
      <c r="J2320" s="123" t="n"/>
      <c r="K2320" s="123" t="n"/>
      <c r="L2320" s="123" t="n"/>
      <c r="M2320" s="123">
        <f>IF(AND(B2320&lt;&gt;"",OR($C$4="",ISNUMBER(SEARCH($C$4,C2320&amp;" "&amp;E2320&amp;" "&amp;G2320&amp;" "&amp;H2320&amp;" "&amp;I2320&amp;" "&amp;J2320&amp;" "&amp;K2320&amp;" "&amp;L2320))),OR($C$5="Semua",$C$5="",G2320=$C$5),OR($C$6="Semua",$C$6="",H2320=$C$6,H2320="Pengeluaran "&amp;$C$6,AND($C$6="Uang Kos Mama",H2320="Pengeluaran Uang Kos")),OR($C$7="Semua",$C$7="",I2320=$C$7),OR($C$8="Semua",$C$8="",C2320=$C$8,E2320=$C$8),OR($C$9="Semua",$C$9="",D2320=$C$9),OR($C$10="",B2320&gt;=$C$10),OR($C$11="",B2320&lt;=$C$11),OR($C$12&lt;&gt;"Ya",K2320&lt;&gt;""),OR($C$13="Semua",$C$13="",L2320=$C$13)),"✓","")</f>
        <v/>
      </c>
      <c r="N2320" s="93">
        <f>N(N2319)+IF(M2320="✓",1,0)</f>
        <v/>
      </c>
      <c r="O2320" s="93">
        <f>N(O2319)+IF(AND(B2320&lt;&gt;"",B2320&gt;='Uang Riba'!$H$30,B2320&lt;='Uang Riba'!$I$30,OR(H2320="Dana riba",H2320="Pinjam uang riba",I2320="Pinjam dari uang riba",I2320="Ganti uang riba",I2320="Kelebihan ganti dikembalikan",AND(C2320="Kantong Uang Riba",G2320="Pengeluaran"))),1,0)</f>
        <v/>
      </c>
      <c r="X2320" s="93">
        <f>IF(AND(B2320&lt;&gt;"",B2320&gt;='Buku Akun'!$H$4,B2320&lt;='Buku Akun'!$H$5,OR(C2320='Buku Akun'!$C$4,AND(D2320="Pindah",E2320='Buku Akun'!$C$4))),B2320+IF(AND(I2320="Selisih bunga",DAY(B2320)=1),0,0.01)+ROW()/10000000,"")</f>
        <v/>
      </c>
    </row>
    <row r="2321" outlineLevel="1" ht="15" customHeight="1" s="94">
      <c r="A2321" s="123">
        <f>IF(B2321="","",ROW()-15)</f>
        <v/>
      </c>
      <c r="B2321" s="124" t="n"/>
      <c r="C2321" s="123" t="n"/>
      <c r="D2321" s="123" t="n"/>
      <c r="E2321" s="123" t="n"/>
      <c r="F2321" s="125" t="n"/>
      <c r="G2321" s="123" t="n"/>
      <c r="H2321" s="123" t="n"/>
      <c r="I2321" s="123" t="n"/>
      <c r="J2321" s="123" t="n"/>
      <c r="K2321" s="123" t="n"/>
      <c r="L2321" s="123" t="n"/>
      <c r="M2321" s="123">
        <f>IF(AND(B2321&lt;&gt;"",OR($C$4="",ISNUMBER(SEARCH($C$4,C2321&amp;" "&amp;E2321&amp;" "&amp;G2321&amp;" "&amp;H2321&amp;" "&amp;I2321&amp;" "&amp;J2321&amp;" "&amp;K2321&amp;" "&amp;L2321))),OR($C$5="Semua",$C$5="",G2321=$C$5),OR($C$6="Semua",$C$6="",H2321=$C$6,H2321="Pengeluaran "&amp;$C$6,AND($C$6="Uang Kos Mama",H2321="Pengeluaran Uang Kos")),OR($C$7="Semua",$C$7="",I2321=$C$7),OR($C$8="Semua",$C$8="",C2321=$C$8,E2321=$C$8),OR($C$9="Semua",$C$9="",D2321=$C$9),OR($C$10="",B2321&gt;=$C$10),OR($C$11="",B2321&lt;=$C$11),OR($C$12&lt;&gt;"Ya",K2321&lt;&gt;""),OR($C$13="Semua",$C$13="",L2321=$C$13)),"✓","")</f>
        <v/>
      </c>
      <c r="N2321" s="93">
        <f>N(N2320)+IF(M2321="✓",1,0)</f>
        <v/>
      </c>
      <c r="O2321" s="93">
        <f>N(O2320)+IF(AND(B2321&lt;&gt;"",B2321&gt;='Uang Riba'!$H$30,B2321&lt;='Uang Riba'!$I$30,OR(H2321="Dana riba",H2321="Pinjam uang riba",I2321="Pinjam dari uang riba",I2321="Ganti uang riba",I2321="Kelebihan ganti dikembalikan",AND(C2321="Kantong Uang Riba",G2321="Pengeluaran"))),1,0)</f>
        <v/>
      </c>
      <c r="X2321" s="93">
        <f>IF(AND(B2321&lt;&gt;"",B2321&gt;='Buku Akun'!$H$4,B2321&lt;='Buku Akun'!$H$5,OR(C2321='Buku Akun'!$C$4,AND(D2321="Pindah",E2321='Buku Akun'!$C$4))),B2321+IF(AND(I2321="Selisih bunga",DAY(B2321)=1),0,0.01)+ROW()/10000000,"")</f>
        <v/>
      </c>
    </row>
    <row r="2322" outlineLevel="1" ht="15" customHeight="1" s="94">
      <c r="A2322" s="123">
        <f>IF(B2322="","",ROW()-15)</f>
        <v/>
      </c>
      <c r="B2322" s="124" t="n"/>
      <c r="C2322" s="123" t="n"/>
      <c r="D2322" s="123" t="n"/>
      <c r="E2322" s="123" t="n"/>
      <c r="F2322" s="125" t="n"/>
      <c r="G2322" s="123" t="n"/>
      <c r="H2322" s="123" t="n"/>
      <c r="I2322" s="123" t="n"/>
      <c r="J2322" s="123" t="n"/>
      <c r="K2322" s="123" t="n"/>
      <c r="L2322" s="123" t="n"/>
      <c r="M2322" s="123">
        <f>IF(AND(B2322&lt;&gt;"",OR($C$4="",ISNUMBER(SEARCH($C$4,C2322&amp;" "&amp;E2322&amp;" "&amp;G2322&amp;" "&amp;H2322&amp;" "&amp;I2322&amp;" "&amp;J2322&amp;" "&amp;K2322&amp;" "&amp;L2322))),OR($C$5="Semua",$C$5="",G2322=$C$5),OR($C$6="Semua",$C$6="",H2322=$C$6,H2322="Pengeluaran "&amp;$C$6,AND($C$6="Uang Kos Mama",H2322="Pengeluaran Uang Kos")),OR($C$7="Semua",$C$7="",I2322=$C$7),OR($C$8="Semua",$C$8="",C2322=$C$8,E2322=$C$8),OR($C$9="Semua",$C$9="",D2322=$C$9),OR($C$10="",B2322&gt;=$C$10),OR($C$11="",B2322&lt;=$C$11),OR($C$12&lt;&gt;"Ya",K2322&lt;&gt;""),OR($C$13="Semua",$C$13="",L2322=$C$13)),"✓","")</f>
        <v/>
      </c>
      <c r="N2322" s="93">
        <f>N(N2321)+IF(M2322="✓",1,0)</f>
        <v/>
      </c>
      <c r="O2322" s="93">
        <f>N(O2321)+IF(AND(B2322&lt;&gt;"",B2322&gt;='Uang Riba'!$H$30,B2322&lt;='Uang Riba'!$I$30,OR(H2322="Dana riba",H2322="Pinjam uang riba",I2322="Pinjam dari uang riba",I2322="Ganti uang riba",I2322="Kelebihan ganti dikembalikan",AND(C2322="Kantong Uang Riba",G2322="Pengeluaran"))),1,0)</f>
        <v/>
      </c>
      <c r="X2322" s="93">
        <f>IF(AND(B2322&lt;&gt;"",B2322&gt;='Buku Akun'!$H$4,B2322&lt;='Buku Akun'!$H$5,OR(C2322='Buku Akun'!$C$4,AND(D2322="Pindah",E2322='Buku Akun'!$C$4))),B2322+IF(AND(I2322="Selisih bunga",DAY(B2322)=1),0,0.01)+ROW()/10000000,"")</f>
        <v/>
      </c>
    </row>
    <row r="2323" outlineLevel="1" ht="15" customHeight="1" s="94">
      <c r="A2323" s="123">
        <f>IF(B2323="","",ROW()-15)</f>
        <v/>
      </c>
      <c r="B2323" s="124" t="n"/>
      <c r="C2323" s="123" t="n"/>
      <c r="D2323" s="123" t="n"/>
      <c r="E2323" s="123" t="n"/>
      <c r="F2323" s="125" t="n"/>
      <c r="G2323" s="123" t="n"/>
      <c r="H2323" s="123" t="n"/>
      <c r="I2323" s="123" t="n"/>
      <c r="J2323" s="123" t="n"/>
      <c r="K2323" s="123" t="n"/>
      <c r="L2323" s="123" t="n"/>
      <c r="M2323" s="123">
        <f>IF(AND(B2323&lt;&gt;"",OR($C$4="",ISNUMBER(SEARCH($C$4,C2323&amp;" "&amp;E2323&amp;" "&amp;G2323&amp;" "&amp;H2323&amp;" "&amp;I2323&amp;" "&amp;J2323&amp;" "&amp;K2323&amp;" "&amp;L2323))),OR($C$5="Semua",$C$5="",G2323=$C$5),OR($C$6="Semua",$C$6="",H2323=$C$6,H2323="Pengeluaran "&amp;$C$6,AND($C$6="Uang Kos Mama",H2323="Pengeluaran Uang Kos")),OR($C$7="Semua",$C$7="",I2323=$C$7),OR($C$8="Semua",$C$8="",C2323=$C$8,E2323=$C$8),OR($C$9="Semua",$C$9="",D2323=$C$9),OR($C$10="",B2323&gt;=$C$10),OR($C$11="",B2323&lt;=$C$11),OR($C$12&lt;&gt;"Ya",K2323&lt;&gt;""),OR($C$13="Semua",$C$13="",L2323=$C$13)),"✓","")</f>
        <v/>
      </c>
      <c r="N2323" s="93">
        <f>N(N2322)+IF(M2323="✓",1,0)</f>
        <v/>
      </c>
      <c r="O2323" s="93">
        <f>N(O2322)+IF(AND(B2323&lt;&gt;"",B2323&gt;='Uang Riba'!$H$30,B2323&lt;='Uang Riba'!$I$30,OR(H2323="Dana riba",H2323="Pinjam uang riba",I2323="Pinjam dari uang riba",I2323="Ganti uang riba",I2323="Kelebihan ganti dikembalikan",AND(C2323="Kantong Uang Riba",G2323="Pengeluaran"))),1,0)</f>
        <v/>
      </c>
      <c r="X2323" s="93">
        <f>IF(AND(B2323&lt;&gt;"",B2323&gt;='Buku Akun'!$H$4,B2323&lt;='Buku Akun'!$H$5,OR(C2323='Buku Akun'!$C$4,AND(D2323="Pindah",E2323='Buku Akun'!$C$4))),B2323+IF(AND(I2323="Selisih bunga",DAY(B2323)=1),0,0.01)+ROW()/10000000,"")</f>
        <v/>
      </c>
    </row>
    <row r="2324" outlineLevel="1" ht="15" customHeight="1" s="94">
      <c r="A2324" s="123">
        <f>IF(B2324="","",ROW()-15)</f>
        <v/>
      </c>
      <c r="B2324" s="124" t="n"/>
      <c r="C2324" s="123" t="n"/>
      <c r="D2324" s="123" t="n"/>
      <c r="E2324" s="123" t="n"/>
      <c r="F2324" s="125" t="n"/>
      <c r="G2324" s="123" t="n"/>
      <c r="H2324" s="123" t="n"/>
      <c r="I2324" s="123" t="n"/>
      <c r="J2324" s="123" t="n"/>
      <c r="K2324" s="123" t="n"/>
      <c r="L2324" s="123" t="n"/>
      <c r="M2324" s="123">
        <f>IF(AND(B2324&lt;&gt;"",OR($C$4="",ISNUMBER(SEARCH($C$4,C2324&amp;" "&amp;E2324&amp;" "&amp;G2324&amp;" "&amp;H2324&amp;" "&amp;I2324&amp;" "&amp;J2324&amp;" "&amp;K2324&amp;" "&amp;L2324))),OR($C$5="Semua",$C$5="",G2324=$C$5),OR($C$6="Semua",$C$6="",H2324=$C$6,H2324="Pengeluaran "&amp;$C$6,AND($C$6="Uang Kos Mama",H2324="Pengeluaran Uang Kos")),OR($C$7="Semua",$C$7="",I2324=$C$7),OR($C$8="Semua",$C$8="",C2324=$C$8,E2324=$C$8),OR($C$9="Semua",$C$9="",D2324=$C$9),OR($C$10="",B2324&gt;=$C$10),OR($C$11="",B2324&lt;=$C$11),OR($C$12&lt;&gt;"Ya",K2324&lt;&gt;""),OR($C$13="Semua",$C$13="",L2324=$C$13)),"✓","")</f>
        <v/>
      </c>
      <c r="N2324" s="93">
        <f>N(N2323)+IF(M2324="✓",1,0)</f>
        <v/>
      </c>
      <c r="O2324" s="93">
        <f>N(O2323)+IF(AND(B2324&lt;&gt;"",B2324&gt;='Uang Riba'!$H$30,B2324&lt;='Uang Riba'!$I$30,OR(H2324="Dana riba",H2324="Pinjam uang riba",I2324="Pinjam dari uang riba",I2324="Ganti uang riba",I2324="Kelebihan ganti dikembalikan",AND(C2324="Kantong Uang Riba",G2324="Pengeluaran"))),1,0)</f>
        <v/>
      </c>
      <c r="X2324" s="93">
        <f>IF(AND(B2324&lt;&gt;"",B2324&gt;='Buku Akun'!$H$4,B2324&lt;='Buku Akun'!$H$5,OR(C2324='Buku Akun'!$C$4,AND(D2324="Pindah",E2324='Buku Akun'!$C$4))),B2324+IF(AND(I2324="Selisih bunga",DAY(B2324)=1),0,0.01)+ROW()/10000000,"")</f>
        <v/>
      </c>
    </row>
    <row r="2325" outlineLevel="1" ht="15" customHeight="1" s="94">
      <c r="A2325" s="123">
        <f>IF(B2325="","",ROW()-15)</f>
        <v/>
      </c>
      <c r="B2325" s="124" t="n"/>
      <c r="C2325" s="123" t="n"/>
      <c r="D2325" s="123" t="n"/>
      <c r="E2325" s="123" t="n"/>
      <c r="F2325" s="125" t="n"/>
      <c r="G2325" s="123" t="n"/>
      <c r="H2325" s="123" t="n"/>
      <c r="I2325" s="123" t="n"/>
      <c r="J2325" s="123" t="n"/>
      <c r="K2325" s="123" t="n"/>
      <c r="L2325" s="123" t="n"/>
      <c r="M2325" s="123">
        <f>IF(AND(B2325&lt;&gt;"",OR($C$4="",ISNUMBER(SEARCH($C$4,C2325&amp;" "&amp;E2325&amp;" "&amp;G2325&amp;" "&amp;H2325&amp;" "&amp;I2325&amp;" "&amp;J2325&amp;" "&amp;K2325&amp;" "&amp;L2325))),OR($C$5="Semua",$C$5="",G2325=$C$5),OR($C$6="Semua",$C$6="",H2325=$C$6,H2325="Pengeluaran "&amp;$C$6,AND($C$6="Uang Kos Mama",H2325="Pengeluaran Uang Kos")),OR($C$7="Semua",$C$7="",I2325=$C$7),OR($C$8="Semua",$C$8="",C2325=$C$8,E2325=$C$8),OR($C$9="Semua",$C$9="",D2325=$C$9),OR($C$10="",B2325&gt;=$C$10),OR($C$11="",B2325&lt;=$C$11),OR($C$12&lt;&gt;"Ya",K2325&lt;&gt;""),OR($C$13="Semua",$C$13="",L2325=$C$13)),"✓","")</f>
        <v/>
      </c>
      <c r="N2325" s="93">
        <f>N(N2324)+IF(M2325="✓",1,0)</f>
        <v/>
      </c>
      <c r="O2325" s="93">
        <f>N(O2324)+IF(AND(B2325&lt;&gt;"",B2325&gt;='Uang Riba'!$H$30,B2325&lt;='Uang Riba'!$I$30,OR(H2325="Dana riba",H2325="Pinjam uang riba",I2325="Pinjam dari uang riba",I2325="Ganti uang riba",I2325="Kelebihan ganti dikembalikan",AND(C2325="Kantong Uang Riba",G2325="Pengeluaran"))),1,0)</f>
        <v/>
      </c>
      <c r="X2325" s="93">
        <f>IF(AND(B2325&lt;&gt;"",B2325&gt;='Buku Akun'!$H$4,B2325&lt;='Buku Akun'!$H$5,OR(C2325='Buku Akun'!$C$4,AND(D2325="Pindah",E2325='Buku Akun'!$C$4))),B2325+IF(AND(I2325="Selisih bunga",DAY(B2325)=1),0,0.01)+ROW()/10000000,"")</f>
        <v/>
      </c>
    </row>
    <row r="2326" outlineLevel="1" ht="15" customHeight="1" s="94">
      <c r="A2326" s="123">
        <f>IF(B2326="","",ROW()-15)</f>
        <v/>
      </c>
      <c r="B2326" s="124" t="n"/>
      <c r="C2326" s="123" t="n"/>
      <c r="D2326" s="123" t="n"/>
      <c r="E2326" s="123" t="n"/>
      <c r="F2326" s="125" t="n"/>
      <c r="G2326" s="123" t="n"/>
      <c r="H2326" s="123" t="n"/>
      <c r="I2326" s="123" t="n"/>
      <c r="J2326" s="123" t="n"/>
      <c r="K2326" s="123" t="n"/>
      <c r="L2326" s="123" t="n"/>
      <c r="M2326" s="123">
        <f>IF(AND(B2326&lt;&gt;"",OR($C$4="",ISNUMBER(SEARCH($C$4,C2326&amp;" "&amp;E2326&amp;" "&amp;G2326&amp;" "&amp;H2326&amp;" "&amp;I2326&amp;" "&amp;J2326&amp;" "&amp;K2326&amp;" "&amp;L2326))),OR($C$5="Semua",$C$5="",G2326=$C$5),OR($C$6="Semua",$C$6="",H2326=$C$6,H2326="Pengeluaran "&amp;$C$6,AND($C$6="Uang Kos Mama",H2326="Pengeluaran Uang Kos")),OR($C$7="Semua",$C$7="",I2326=$C$7),OR($C$8="Semua",$C$8="",C2326=$C$8,E2326=$C$8),OR($C$9="Semua",$C$9="",D2326=$C$9),OR($C$10="",B2326&gt;=$C$10),OR($C$11="",B2326&lt;=$C$11),OR($C$12&lt;&gt;"Ya",K2326&lt;&gt;""),OR($C$13="Semua",$C$13="",L2326=$C$13)),"✓","")</f>
        <v/>
      </c>
      <c r="N2326" s="93">
        <f>N(N2325)+IF(M2326="✓",1,0)</f>
        <v/>
      </c>
      <c r="O2326" s="93">
        <f>N(O2325)+IF(AND(B2326&lt;&gt;"",B2326&gt;='Uang Riba'!$H$30,B2326&lt;='Uang Riba'!$I$30,OR(H2326="Dana riba",H2326="Pinjam uang riba",I2326="Pinjam dari uang riba",I2326="Ganti uang riba",I2326="Kelebihan ganti dikembalikan",AND(C2326="Kantong Uang Riba",G2326="Pengeluaran"))),1,0)</f>
        <v/>
      </c>
      <c r="X2326" s="93">
        <f>IF(AND(B2326&lt;&gt;"",B2326&gt;='Buku Akun'!$H$4,B2326&lt;='Buku Akun'!$H$5,OR(C2326='Buku Akun'!$C$4,AND(D2326="Pindah",E2326='Buku Akun'!$C$4))),B2326+IF(AND(I2326="Selisih bunga",DAY(B2326)=1),0,0.01)+ROW()/10000000,"")</f>
        <v/>
      </c>
    </row>
    <row r="2327" outlineLevel="1" ht="15" customHeight="1" s="94">
      <c r="A2327" s="123">
        <f>IF(B2327="","",ROW()-15)</f>
        <v/>
      </c>
      <c r="B2327" s="124" t="n"/>
      <c r="C2327" s="123" t="n"/>
      <c r="D2327" s="123" t="n"/>
      <c r="E2327" s="123" t="n"/>
      <c r="F2327" s="125" t="n"/>
      <c r="G2327" s="123" t="n"/>
      <c r="H2327" s="123" t="n"/>
      <c r="I2327" s="123" t="n"/>
      <c r="J2327" s="123" t="n"/>
      <c r="K2327" s="123" t="n"/>
      <c r="L2327" s="123" t="n"/>
      <c r="M2327" s="123">
        <f>IF(AND(B2327&lt;&gt;"",OR($C$4="",ISNUMBER(SEARCH($C$4,C2327&amp;" "&amp;E2327&amp;" "&amp;G2327&amp;" "&amp;H2327&amp;" "&amp;I2327&amp;" "&amp;J2327&amp;" "&amp;K2327&amp;" "&amp;L2327))),OR($C$5="Semua",$C$5="",G2327=$C$5),OR($C$6="Semua",$C$6="",H2327=$C$6,H2327="Pengeluaran "&amp;$C$6,AND($C$6="Uang Kos Mama",H2327="Pengeluaran Uang Kos")),OR($C$7="Semua",$C$7="",I2327=$C$7),OR($C$8="Semua",$C$8="",C2327=$C$8,E2327=$C$8),OR($C$9="Semua",$C$9="",D2327=$C$9),OR($C$10="",B2327&gt;=$C$10),OR($C$11="",B2327&lt;=$C$11),OR($C$12&lt;&gt;"Ya",K2327&lt;&gt;""),OR($C$13="Semua",$C$13="",L2327=$C$13)),"✓","")</f>
        <v/>
      </c>
      <c r="N2327" s="93">
        <f>N(N2326)+IF(M2327="✓",1,0)</f>
        <v/>
      </c>
      <c r="O2327" s="93">
        <f>N(O2326)+IF(AND(B2327&lt;&gt;"",B2327&gt;='Uang Riba'!$H$30,B2327&lt;='Uang Riba'!$I$30,OR(H2327="Dana riba",H2327="Pinjam uang riba",I2327="Pinjam dari uang riba",I2327="Ganti uang riba",I2327="Kelebihan ganti dikembalikan",AND(C2327="Kantong Uang Riba",G2327="Pengeluaran"))),1,0)</f>
        <v/>
      </c>
      <c r="X2327" s="93">
        <f>IF(AND(B2327&lt;&gt;"",B2327&gt;='Buku Akun'!$H$4,B2327&lt;='Buku Akun'!$H$5,OR(C2327='Buku Akun'!$C$4,AND(D2327="Pindah",E2327='Buku Akun'!$C$4))),B2327+IF(AND(I2327="Selisih bunga",DAY(B2327)=1),0,0.01)+ROW()/10000000,"")</f>
        <v/>
      </c>
    </row>
    <row r="2328" outlineLevel="1" ht="15" customHeight="1" s="94">
      <c r="A2328" s="123">
        <f>IF(B2328="","",ROW()-15)</f>
        <v/>
      </c>
      <c r="B2328" s="124" t="n"/>
      <c r="C2328" s="123" t="n"/>
      <c r="D2328" s="123" t="n"/>
      <c r="E2328" s="123" t="n"/>
      <c r="F2328" s="125" t="n"/>
      <c r="G2328" s="123" t="n"/>
      <c r="H2328" s="123" t="n"/>
      <c r="I2328" s="123" t="n"/>
      <c r="J2328" s="123" t="n"/>
      <c r="K2328" s="123" t="n"/>
      <c r="L2328" s="123" t="n"/>
      <c r="M2328" s="123">
        <f>IF(AND(B2328&lt;&gt;"",OR($C$4="",ISNUMBER(SEARCH($C$4,C2328&amp;" "&amp;E2328&amp;" "&amp;G2328&amp;" "&amp;H2328&amp;" "&amp;I2328&amp;" "&amp;J2328&amp;" "&amp;K2328&amp;" "&amp;L2328))),OR($C$5="Semua",$C$5="",G2328=$C$5),OR($C$6="Semua",$C$6="",H2328=$C$6,H2328="Pengeluaran "&amp;$C$6,AND($C$6="Uang Kos Mama",H2328="Pengeluaran Uang Kos")),OR($C$7="Semua",$C$7="",I2328=$C$7),OR($C$8="Semua",$C$8="",C2328=$C$8,E2328=$C$8),OR($C$9="Semua",$C$9="",D2328=$C$9),OR($C$10="",B2328&gt;=$C$10),OR($C$11="",B2328&lt;=$C$11),OR($C$12&lt;&gt;"Ya",K2328&lt;&gt;""),OR($C$13="Semua",$C$13="",L2328=$C$13)),"✓","")</f>
        <v/>
      </c>
      <c r="N2328" s="93">
        <f>N(N2327)+IF(M2328="✓",1,0)</f>
        <v/>
      </c>
      <c r="O2328" s="93">
        <f>N(O2327)+IF(AND(B2328&lt;&gt;"",B2328&gt;='Uang Riba'!$H$30,B2328&lt;='Uang Riba'!$I$30,OR(H2328="Dana riba",H2328="Pinjam uang riba",I2328="Pinjam dari uang riba",I2328="Ganti uang riba",I2328="Kelebihan ganti dikembalikan",AND(C2328="Kantong Uang Riba",G2328="Pengeluaran"))),1,0)</f>
        <v/>
      </c>
      <c r="X2328" s="93">
        <f>IF(AND(B2328&lt;&gt;"",B2328&gt;='Buku Akun'!$H$4,B2328&lt;='Buku Akun'!$H$5,OR(C2328='Buku Akun'!$C$4,AND(D2328="Pindah",E2328='Buku Akun'!$C$4))),B2328+IF(AND(I2328="Selisih bunga",DAY(B2328)=1),0,0.01)+ROW()/10000000,"")</f>
        <v/>
      </c>
    </row>
    <row r="2329" outlineLevel="1" ht="15" customHeight="1" s="94">
      <c r="A2329" s="123">
        <f>IF(B2329="","",ROW()-15)</f>
        <v/>
      </c>
      <c r="B2329" s="124" t="n"/>
      <c r="C2329" s="123" t="n"/>
      <c r="D2329" s="123" t="n"/>
      <c r="E2329" s="123" t="n"/>
      <c r="F2329" s="125" t="n"/>
      <c r="G2329" s="123" t="n"/>
      <c r="H2329" s="123" t="n"/>
      <c r="I2329" s="123" t="n"/>
      <c r="J2329" s="123" t="n"/>
      <c r="K2329" s="123" t="n"/>
      <c r="L2329" s="123" t="n"/>
      <c r="M2329" s="123">
        <f>IF(AND(B2329&lt;&gt;"",OR($C$4="",ISNUMBER(SEARCH($C$4,C2329&amp;" "&amp;E2329&amp;" "&amp;G2329&amp;" "&amp;H2329&amp;" "&amp;I2329&amp;" "&amp;J2329&amp;" "&amp;K2329&amp;" "&amp;L2329))),OR($C$5="Semua",$C$5="",G2329=$C$5),OR($C$6="Semua",$C$6="",H2329=$C$6,H2329="Pengeluaran "&amp;$C$6,AND($C$6="Uang Kos Mama",H2329="Pengeluaran Uang Kos")),OR($C$7="Semua",$C$7="",I2329=$C$7),OR($C$8="Semua",$C$8="",C2329=$C$8,E2329=$C$8),OR($C$9="Semua",$C$9="",D2329=$C$9),OR($C$10="",B2329&gt;=$C$10),OR($C$11="",B2329&lt;=$C$11),OR($C$12&lt;&gt;"Ya",K2329&lt;&gt;""),OR($C$13="Semua",$C$13="",L2329=$C$13)),"✓","")</f>
        <v/>
      </c>
      <c r="N2329" s="93">
        <f>N(N2328)+IF(M2329="✓",1,0)</f>
        <v/>
      </c>
      <c r="O2329" s="93">
        <f>N(O2328)+IF(AND(B2329&lt;&gt;"",B2329&gt;='Uang Riba'!$H$30,B2329&lt;='Uang Riba'!$I$30,OR(H2329="Dana riba",H2329="Pinjam uang riba",I2329="Pinjam dari uang riba",I2329="Ganti uang riba",I2329="Kelebihan ganti dikembalikan",AND(C2329="Kantong Uang Riba",G2329="Pengeluaran"))),1,0)</f>
        <v/>
      </c>
      <c r="X2329" s="93">
        <f>IF(AND(B2329&lt;&gt;"",B2329&gt;='Buku Akun'!$H$4,B2329&lt;='Buku Akun'!$H$5,OR(C2329='Buku Akun'!$C$4,AND(D2329="Pindah",E2329='Buku Akun'!$C$4))),B2329+IF(AND(I2329="Selisih bunga",DAY(B2329)=1),0,0.01)+ROW()/10000000,"")</f>
        <v/>
      </c>
    </row>
    <row r="2330" outlineLevel="1" ht="15" customHeight="1" s="94">
      <c r="A2330" s="123">
        <f>IF(B2330="","",ROW()-15)</f>
        <v/>
      </c>
      <c r="B2330" s="124" t="n"/>
      <c r="C2330" s="123" t="n"/>
      <c r="D2330" s="123" t="n"/>
      <c r="E2330" s="123" t="n"/>
      <c r="F2330" s="125" t="n"/>
      <c r="G2330" s="123" t="n"/>
      <c r="H2330" s="123" t="n"/>
      <c r="I2330" s="123" t="n"/>
      <c r="J2330" s="123" t="n"/>
      <c r="K2330" s="123" t="n"/>
      <c r="L2330" s="123" t="n"/>
      <c r="M2330" s="123">
        <f>IF(AND(B2330&lt;&gt;"",OR($C$4="",ISNUMBER(SEARCH($C$4,C2330&amp;" "&amp;E2330&amp;" "&amp;G2330&amp;" "&amp;H2330&amp;" "&amp;I2330&amp;" "&amp;J2330&amp;" "&amp;K2330&amp;" "&amp;L2330))),OR($C$5="Semua",$C$5="",G2330=$C$5),OR($C$6="Semua",$C$6="",H2330=$C$6,H2330="Pengeluaran "&amp;$C$6,AND($C$6="Uang Kos Mama",H2330="Pengeluaran Uang Kos")),OR($C$7="Semua",$C$7="",I2330=$C$7),OR($C$8="Semua",$C$8="",C2330=$C$8,E2330=$C$8),OR($C$9="Semua",$C$9="",D2330=$C$9),OR($C$10="",B2330&gt;=$C$10),OR($C$11="",B2330&lt;=$C$11),OR($C$12&lt;&gt;"Ya",K2330&lt;&gt;""),OR($C$13="Semua",$C$13="",L2330=$C$13)),"✓","")</f>
        <v/>
      </c>
      <c r="N2330" s="93">
        <f>N(N2329)+IF(M2330="✓",1,0)</f>
        <v/>
      </c>
      <c r="O2330" s="93">
        <f>N(O2329)+IF(AND(B2330&lt;&gt;"",B2330&gt;='Uang Riba'!$H$30,B2330&lt;='Uang Riba'!$I$30,OR(H2330="Dana riba",H2330="Pinjam uang riba",I2330="Pinjam dari uang riba",I2330="Ganti uang riba",I2330="Kelebihan ganti dikembalikan",AND(C2330="Kantong Uang Riba",G2330="Pengeluaran"))),1,0)</f>
        <v/>
      </c>
      <c r="X2330" s="93">
        <f>IF(AND(B2330&lt;&gt;"",B2330&gt;='Buku Akun'!$H$4,B2330&lt;='Buku Akun'!$H$5,OR(C2330='Buku Akun'!$C$4,AND(D2330="Pindah",E2330='Buku Akun'!$C$4))),B2330+IF(AND(I2330="Selisih bunga",DAY(B2330)=1),0,0.01)+ROW()/10000000,"")</f>
        <v/>
      </c>
    </row>
    <row r="2331" outlineLevel="1" ht="15" customHeight="1" s="94">
      <c r="A2331" s="123">
        <f>IF(B2331="","",ROW()-15)</f>
        <v/>
      </c>
      <c r="B2331" s="124" t="n"/>
      <c r="C2331" s="123" t="n"/>
      <c r="D2331" s="123" t="n"/>
      <c r="E2331" s="123" t="n"/>
      <c r="F2331" s="125" t="n"/>
      <c r="G2331" s="123" t="n"/>
      <c r="H2331" s="123" t="n"/>
      <c r="I2331" s="123" t="n"/>
      <c r="J2331" s="123" t="n"/>
      <c r="K2331" s="123" t="n"/>
      <c r="L2331" s="123" t="n"/>
      <c r="M2331" s="123">
        <f>IF(AND(B2331&lt;&gt;"",OR($C$4="",ISNUMBER(SEARCH($C$4,C2331&amp;" "&amp;E2331&amp;" "&amp;G2331&amp;" "&amp;H2331&amp;" "&amp;I2331&amp;" "&amp;J2331&amp;" "&amp;K2331&amp;" "&amp;L2331))),OR($C$5="Semua",$C$5="",G2331=$C$5),OR($C$6="Semua",$C$6="",H2331=$C$6,H2331="Pengeluaran "&amp;$C$6,AND($C$6="Uang Kos Mama",H2331="Pengeluaran Uang Kos")),OR($C$7="Semua",$C$7="",I2331=$C$7),OR($C$8="Semua",$C$8="",C2331=$C$8,E2331=$C$8),OR($C$9="Semua",$C$9="",D2331=$C$9),OR($C$10="",B2331&gt;=$C$10),OR($C$11="",B2331&lt;=$C$11),OR($C$12&lt;&gt;"Ya",K2331&lt;&gt;""),OR($C$13="Semua",$C$13="",L2331=$C$13)),"✓","")</f>
        <v/>
      </c>
      <c r="N2331" s="93">
        <f>N(N2330)+IF(M2331="✓",1,0)</f>
        <v/>
      </c>
      <c r="O2331" s="93">
        <f>N(O2330)+IF(AND(B2331&lt;&gt;"",B2331&gt;='Uang Riba'!$H$30,B2331&lt;='Uang Riba'!$I$30,OR(H2331="Dana riba",H2331="Pinjam uang riba",I2331="Pinjam dari uang riba",I2331="Ganti uang riba",I2331="Kelebihan ganti dikembalikan",AND(C2331="Kantong Uang Riba",G2331="Pengeluaran"))),1,0)</f>
        <v/>
      </c>
      <c r="X2331" s="93">
        <f>IF(AND(B2331&lt;&gt;"",B2331&gt;='Buku Akun'!$H$4,B2331&lt;='Buku Akun'!$H$5,OR(C2331='Buku Akun'!$C$4,AND(D2331="Pindah",E2331='Buku Akun'!$C$4))),B2331+IF(AND(I2331="Selisih bunga",DAY(B2331)=1),0,0.01)+ROW()/10000000,"")</f>
        <v/>
      </c>
    </row>
    <row r="2332" outlineLevel="1" ht="15" customHeight="1" s="94">
      <c r="A2332" s="123">
        <f>IF(B2332="","",ROW()-15)</f>
        <v/>
      </c>
      <c r="B2332" s="124" t="n"/>
      <c r="C2332" s="123" t="n"/>
      <c r="D2332" s="123" t="n"/>
      <c r="E2332" s="123" t="n"/>
      <c r="F2332" s="125" t="n"/>
      <c r="G2332" s="123" t="n"/>
      <c r="H2332" s="123" t="n"/>
      <c r="I2332" s="123" t="n"/>
      <c r="J2332" s="123" t="n"/>
      <c r="K2332" s="123" t="n"/>
      <c r="L2332" s="123" t="n"/>
      <c r="M2332" s="123">
        <f>IF(AND(B2332&lt;&gt;"",OR($C$4="",ISNUMBER(SEARCH($C$4,C2332&amp;" "&amp;E2332&amp;" "&amp;G2332&amp;" "&amp;H2332&amp;" "&amp;I2332&amp;" "&amp;J2332&amp;" "&amp;K2332&amp;" "&amp;L2332))),OR($C$5="Semua",$C$5="",G2332=$C$5),OR($C$6="Semua",$C$6="",H2332=$C$6,H2332="Pengeluaran "&amp;$C$6,AND($C$6="Uang Kos Mama",H2332="Pengeluaran Uang Kos")),OR($C$7="Semua",$C$7="",I2332=$C$7),OR($C$8="Semua",$C$8="",C2332=$C$8,E2332=$C$8),OR($C$9="Semua",$C$9="",D2332=$C$9),OR($C$10="",B2332&gt;=$C$10),OR($C$11="",B2332&lt;=$C$11),OR($C$12&lt;&gt;"Ya",K2332&lt;&gt;""),OR($C$13="Semua",$C$13="",L2332=$C$13)),"✓","")</f>
        <v/>
      </c>
      <c r="N2332" s="93">
        <f>N(N2331)+IF(M2332="✓",1,0)</f>
        <v/>
      </c>
      <c r="O2332" s="93">
        <f>N(O2331)+IF(AND(B2332&lt;&gt;"",B2332&gt;='Uang Riba'!$H$30,B2332&lt;='Uang Riba'!$I$30,OR(H2332="Dana riba",H2332="Pinjam uang riba",I2332="Pinjam dari uang riba",I2332="Ganti uang riba",I2332="Kelebihan ganti dikembalikan",AND(C2332="Kantong Uang Riba",G2332="Pengeluaran"))),1,0)</f>
        <v/>
      </c>
      <c r="X2332" s="93">
        <f>IF(AND(B2332&lt;&gt;"",B2332&gt;='Buku Akun'!$H$4,B2332&lt;='Buku Akun'!$H$5,OR(C2332='Buku Akun'!$C$4,AND(D2332="Pindah",E2332='Buku Akun'!$C$4))),B2332+IF(AND(I2332="Selisih bunga",DAY(B2332)=1),0,0.01)+ROW()/10000000,"")</f>
        <v/>
      </c>
    </row>
    <row r="2333" outlineLevel="1" ht="15" customHeight="1" s="94">
      <c r="A2333" s="123">
        <f>IF(B2333="","",ROW()-15)</f>
        <v/>
      </c>
      <c r="B2333" s="124" t="n"/>
      <c r="C2333" s="123" t="n"/>
      <c r="D2333" s="123" t="n"/>
      <c r="E2333" s="123" t="n"/>
      <c r="F2333" s="125" t="n"/>
      <c r="G2333" s="123" t="n"/>
      <c r="H2333" s="123" t="n"/>
      <c r="I2333" s="123" t="n"/>
      <c r="J2333" s="123" t="n"/>
      <c r="K2333" s="123" t="n"/>
      <c r="L2333" s="123" t="n"/>
      <c r="M2333" s="123">
        <f>IF(AND(B2333&lt;&gt;"",OR($C$4="",ISNUMBER(SEARCH($C$4,C2333&amp;" "&amp;E2333&amp;" "&amp;G2333&amp;" "&amp;H2333&amp;" "&amp;I2333&amp;" "&amp;J2333&amp;" "&amp;K2333&amp;" "&amp;L2333))),OR($C$5="Semua",$C$5="",G2333=$C$5),OR($C$6="Semua",$C$6="",H2333=$C$6,H2333="Pengeluaran "&amp;$C$6,AND($C$6="Uang Kos Mama",H2333="Pengeluaran Uang Kos")),OR($C$7="Semua",$C$7="",I2333=$C$7),OR($C$8="Semua",$C$8="",C2333=$C$8,E2333=$C$8),OR($C$9="Semua",$C$9="",D2333=$C$9),OR($C$10="",B2333&gt;=$C$10),OR($C$11="",B2333&lt;=$C$11),OR($C$12&lt;&gt;"Ya",K2333&lt;&gt;""),OR($C$13="Semua",$C$13="",L2333=$C$13)),"✓","")</f>
        <v/>
      </c>
      <c r="N2333" s="93">
        <f>N(N2332)+IF(M2333="✓",1,0)</f>
        <v/>
      </c>
      <c r="O2333" s="93">
        <f>N(O2332)+IF(AND(B2333&lt;&gt;"",B2333&gt;='Uang Riba'!$H$30,B2333&lt;='Uang Riba'!$I$30,OR(H2333="Dana riba",H2333="Pinjam uang riba",I2333="Pinjam dari uang riba",I2333="Ganti uang riba",I2333="Kelebihan ganti dikembalikan",AND(C2333="Kantong Uang Riba",G2333="Pengeluaran"))),1,0)</f>
        <v/>
      </c>
      <c r="X2333" s="93">
        <f>IF(AND(B2333&lt;&gt;"",B2333&gt;='Buku Akun'!$H$4,B2333&lt;='Buku Akun'!$H$5,OR(C2333='Buku Akun'!$C$4,AND(D2333="Pindah",E2333='Buku Akun'!$C$4))),B2333+IF(AND(I2333="Selisih bunga",DAY(B2333)=1),0,0.01)+ROW()/10000000,"")</f>
        <v/>
      </c>
    </row>
    <row r="2334" outlineLevel="1" ht="15" customHeight="1" s="94">
      <c r="A2334" s="123">
        <f>IF(B2334="","",ROW()-15)</f>
        <v/>
      </c>
      <c r="B2334" s="124" t="n"/>
      <c r="C2334" s="123" t="n"/>
      <c r="D2334" s="123" t="n"/>
      <c r="E2334" s="123" t="n"/>
      <c r="F2334" s="125" t="n"/>
      <c r="G2334" s="123" t="n"/>
      <c r="H2334" s="123" t="n"/>
      <c r="I2334" s="123" t="n"/>
      <c r="J2334" s="123" t="n"/>
      <c r="K2334" s="123" t="n"/>
      <c r="L2334" s="123" t="n"/>
      <c r="M2334" s="123">
        <f>IF(AND(B2334&lt;&gt;"",OR($C$4="",ISNUMBER(SEARCH($C$4,C2334&amp;" "&amp;E2334&amp;" "&amp;G2334&amp;" "&amp;H2334&amp;" "&amp;I2334&amp;" "&amp;J2334&amp;" "&amp;K2334&amp;" "&amp;L2334))),OR($C$5="Semua",$C$5="",G2334=$C$5),OR($C$6="Semua",$C$6="",H2334=$C$6,H2334="Pengeluaran "&amp;$C$6,AND($C$6="Uang Kos Mama",H2334="Pengeluaran Uang Kos")),OR($C$7="Semua",$C$7="",I2334=$C$7),OR($C$8="Semua",$C$8="",C2334=$C$8,E2334=$C$8),OR($C$9="Semua",$C$9="",D2334=$C$9),OR($C$10="",B2334&gt;=$C$10),OR($C$11="",B2334&lt;=$C$11),OR($C$12&lt;&gt;"Ya",K2334&lt;&gt;""),OR($C$13="Semua",$C$13="",L2334=$C$13)),"✓","")</f>
        <v/>
      </c>
      <c r="N2334" s="93">
        <f>N(N2333)+IF(M2334="✓",1,0)</f>
        <v/>
      </c>
      <c r="O2334" s="93">
        <f>N(O2333)+IF(AND(B2334&lt;&gt;"",B2334&gt;='Uang Riba'!$H$30,B2334&lt;='Uang Riba'!$I$30,OR(H2334="Dana riba",H2334="Pinjam uang riba",I2334="Pinjam dari uang riba",I2334="Ganti uang riba",I2334="Kelebihan ganti dikembalikan",AND(C2334="Kantong Uang Riba",G2334="Pengeluaran"))),1,0)</f>
        <v/>
      </c>
      <c r="X2334" s="93">
        <f>IF(AND(B2334&lt;&gt;"",B2334&gt;='Buku Akun'!$H$4,B2334&lt;='Buku Akun'!$H$5,OR(C2334='Buku Akun'!$C$4,AND(D2334="Pindah",E2334='Buku Akun'!$C$4))),B2334+IF(AND(I2334="Selisih bunga",DAY(B2334)=1),0,0.01)+ROW()/10000000,"")</f>
        <v/>
      </c>
    </row>
    <row r="2335" outlineLevel="1" ht="15" customHeight="1" s="94">
      <c r="A2335" s="123">
        <f>IF(B2335="","",ROW()-15)</f>
        <v/>
      </c>
      <c r="B2335" s="124" t="n"/>
      <c r="C2335" s="123" t="n"/>
      <c r="D2335" s="123" t="n"/>
      <c r="E2335" s="123" t="n"/>
      <c r="F2335" s="125" t="n"/>
      <c r="G2335" s="123" t="n"/>
      <c r="H2335" s="123" t="n"/>
      <c r="I2335" s="123" t="n"/>
      <c r="J2335" s="123" t="n"/>
      <c r="K2335" s="123" t="n"/>
      <c r="L2335" s="123" t="n"/>
      <c r="M2335" s="123">
        <f>IF(AND(B2335&lt;&gt;"",OR($C$4="",ISNUMBER(SEARCH($C$4,C2335&amp;" "&amp;E2335&amp;" "&amp;G2335&amp;" "&amp;H2335&amp;" "&amp;I2335&amp;" "&amp;J2335&amp;" "&amp;K2335&amp;" "&amp;L2335))),OR($C$5="Semua",$C$5="",G2335=$C$5),OR($C$6="Semua",$C$6="",H2335=$C$6,H2335="Pengeluaran "&amp;$C$6,AND($C$6="Uang Kos Mama",H2335="Pengeluaran Uang Kos")),OR($C$7="Semua",$C$7="",I2335=$C$7),OR($C$8="Semua",$C$8="",C2335=$C$8,E2335=$C$8),OR($C$9="Semua",$C$9="",D2335=$C$9),OR($C$10="",B2335&gt;=$C$10),OR($C$11="",B2335&lt;=$C$11),OR($C$12&lt;&gt;"Ya",K2335&lt;&gt;""),OR($C$13="Semua",$C$13="",L2335=$C$13)),"✓","")</f>
        <v/>
      </c>
      <c r="N2335" s="93">
        <f>N(N2334)+IF(M2335="✓",1,0)</f>
        <v/>
      </c>
      <c r="O2335" s="93">
        <f>N(O2334)+IF(AND(B2335&lt;&gt;"",B2335&gt;='Uang Riba'!$H$30,B2335&lt;='Uang Riba'!$I$30,OR(H2335="Dana riba",H2335="Pinjam uang riba",I2335="Pinjam dari uang riba",I2335="Ganti uang riba",I2335="Kelebihan ganti dikembalikan",AND(C2335="Kantong Uang Riba",G2335="Pengeluaran"))),1,0)</f>
        <v/>
      </c>
      <c r="X2335" s="93">
        <f>IF(AND(B2335&lt;&gt;"",B2335&gt;='Buku Akun'!$H$4,B2335&lt;='Buku Akun'!$H$5,OR(C2335='Buku Akun'!$C$4,AND(D2335="Pindah",E2335='Buku Akun'!$C$4))),B2335+IF(AND(I2335="Selisih bunga",DAY(B2335)=1),0,0.01)+ROW()/10000000,"")</f>
        <v/>
      </c>
    </row>
    <row r="2336" outlineLevel="1" ht="15" customHeight="1" s="94">
      <c r="A2336" s="123">
        <f>IF(B2336="","",ROW()-15)</f>
        <v/>
      </c>
      <c r="B2336" s="124" t="n"/>
      <c r="C2336" s="123" t="n"/>
      <c r="D2336" s="123" t="n"/>
      <c r="E2336" s="123" t="n"/>
      <c r="F2336" s="125" t="n"/>
      <c r="G2336" s="123" t="n"/>
      <c r="H2336" s="123" t="n"/>
      <c r="I2336" s="123" t="n"/>
      <c r="J2336" s="123" t="n"/>
      <c r="K2336" s="123" t="n"/>
      <c r="L2336" s="123" t="n"/>
      <c r="M2336" s="123">
        <f>IF(AND(B2336&lt;&gt;"",OR($C$4="",ISNUMBER(SEARCH($C$4,C2336&amp;" "&amp;E2336&amp;" "&amp;G2336&amp;" "&amp;H2336&amp;" "&amp;I2336&amp;" "&amp;J2336&amp;" "&amp;K2336&amp;" "&amp;L2336))),OR($C$5="Semua",$C$5="",G2336=$C$5),OR($C$6="Semua",$C$6="",H2336=$C$6,H2336="Pengeluaran "&amp;$C$6,AND($C$6="Uang Kos Mama",H2336="Pengeluaran Uang Kos")),OR($C$7="Semua",$C$7="",I2336=$C$7),OR($C$8="Semua",$C$8="",C2336=$C$8,E2336=$C$8),OR($C$9="Semua",$C$9="",D2336=$C$9),OR($C$10="",B2336&gt;=$C$10),OR($C$11="",B2336&lt;=$C$11),OR($C$12&lt;&gt;"Ya",K2336&lt;&gt;""),OR($C$13="Semua",$C$13="",L2336=$C$13)),"✓","")</f>
        <v/>
      </c>
      <c r="N2336" s="93">
        <f>N(N2335)+IF(M2336="✓",1,0)</f>
        <v/>
      </c>
      <c r="O2336" s="93">
        <f>N(O2335)+IF(AND(B2336&lt;&gt;"",B2336&gt;='Uang Riba'!$H$30,B2336&lt;='Uang Riba'!$I$30,OR(H2336="Dana riba",H2336="Pinjam uang riba",I2336="Pinjam dari uang riba",I2336="Ganti uang riba",I2336="Kelebihan ganti dikembalikan",AND(C2336="Kantong Uang Riba",G2336="Pengeluaran"))),1,0)</f>
        <v/>
      </c>
      <c r="X2336" s="93">
        <f>IF(AND(B2336&lt;&gt;"",B2336&gt;='Buku Akun'!$H$4,B2336&lt;='Buku Akun'!$H$5,OR(C2336='Buku Akun'!$C$4,AND(D2336="Pindah",E2336='Buku Akun'!$C$4))),B2336+IF(AND(I2336="Selisih bunga",DAY(B2336)=1),0,0.01)+ROW()/10000000,"")</f>
        <v/>
      </c>
    </row>
    <row r="2337" outlineLevel="1" ht="15" customHeight="1" s="94">
      <c r="A2337" s="123">
        <f>IF(B2337="","",ROW()-15)</f>
        <v/>
      </c>
      <c r="B2337" s="124" t="n"/>
      <c r="C2337" s="123" t="n"/>
      <c r="D2337" s="123" t="n"/>
      <c r="E2337" s="123" t="n"/>
      <c r="F2337" s="125" t="n"/>
      <c r="G2337" s="123" t="n"/>
      <c r="H2337" s="123" t="n"/>
      <c r="I2337" s="123" t="n"/>
      <c r="J2337" s="123" t="n"/>
      <c r="K2337" s="123" t="n"/>
      <c r="L2337" s="123" t="n"/>
      <c r="M2337" s="123">
        <f>IF(AND(B2337&lt;&gt;"",OR($C$4="",ISNUMBER(SEARCH($C$4,C2337&amp;" "&amp;E2337&amp;" "&amp;G2337&amp;" "&amp;H2337&amp;" "&amp;I2337&amp;" "&amp;J2337&amp;" "&amp;K2337&amp;" "&amp;L2337))),OR($C$5="Semua",$C$5="",G2337=$C$5),OR($C$6="Semua",$C$6="",H2337=$C$6,H2337="Pengeluaran "&amp;$C$6,AND($C$6="Uang Kos Mama",H2337="Pengeluaran Uang Kos")),OR($C$7="Semua",$C$7="",I2337=$C$7),OR($C$8="Semua",$C$8="",C2337=$C$8,E2337=$C$8),OR($C$9="Semua",$C$9="",D2337=$C$9),OR($C$10="",B2337&gt;=$C$10),OR($C$11="",B2337&lt;=$C$11),OR($C$12&lt;&gt;"Ya",K2337&lt;&gt;""),OR($C$13="Semua",$C$13="",L2337=$C$13)),"✓","")</f>
        <v/>
      </c>
      <c r="N2337" s="93">
        <f>N(N2336)+IF(M2337="✓",1,0)</f>
        <v/>
      </c>
      <c r="O2337" s="93">
        <f>N(O2336)+IF(AND(B2337&lt;&gt;"",B2337&gt;='Uang Riba'!$H$30,B2337&lt;='Uang Riba'!$I$30,OR(H2337="Dana riba",H2337="Pinjam uang riba",I2337="Pinjam dari uang riba",I2337="Ganti uang riba",I2337="Kelebihan ganti dikembalikan",AND(C2337="Kantong Uang Riba",G2337="Pengeluaran"))),1,0)</f>
        <v/>
      </c>
      <c r="X2337" s="93">
        <f>IF(AND(B2337&lt;&gt;"",B2337&gt;='Buku Akun'!$H$4,B2337&lt;='Buku Akun'!$H$5,OR(C2337='Buku Akun'!$C$4,AND(D2337="Pindah",E2337='Buku Akun'!$C$4))),B2337+IF(AND(I2337="Selisih bunga",DAY(B2337)=1),0,0.01)+ROW()/10000000,"")</f>
        <v/>
      </c>
    </row>
    <row r="2338" outlineLevel="1" ht="15" customHeight="1" s="94">
      <c r="A2338" s="123">
        <f>IF(B2338="","",ROW()-15)</f>
        <v/>
      </c>
      <c r="B2338" s="124" t="n"/>
      <c r="C2338" s="123" t="n"/>
      <c r="D2338" s="123" t="n"/>
      <c r="E2338" s="123" t="n"/>
      <c r="F2338" s="125" t="n"/>
      <c r="G2338" s="123" t="n"/>
      <c r="H2338" s="123" t="n"/>
      <c r="I2338" s="123" t="n"/>
      <c r="J2338" s="123" t="n"/>
      <c r="K2338" s="123" t="n"/>
      <c r="L2338" s="123" t="n"/>
      <c r="M2338" s="123">
        <f>IF(AND(B2338&lt;&gt;"",OR($C$4="",ISNUMBER(SEARCH($C$4,C2338&amp;" "&amp;E2338&amp;" "&amp;G2338&amp;" "&amp;H2338&amp;" "&amp;I2338&amp;" "&amp;J2338&amp;" "&amp;K2338&amp;" "&amp;L2338))),OR($C$5="Semua",$C$5="",G2338=$C$5),OR($C$6="Semua",$C$6="",H2338=$C$6,H2338="Pengeluaran "&amp;$C$6,AND($C$6="Uang Kos Mama",H2338="Pengeluaran Uang Kos")),OR($C$7="Semua",$C$7="",I2338=$C$7),OR($C$8="Semua",$C$8="",C2338=$C$8,E2338=$C$8),OR($C$9="Semua",$C$9="",D2338=$C$9),OR($C$10="",B2338&gt;=$C$10),OR($C$11="",B2338&lt;=$C$11),OR($C$12&lt;&gt;"Ya",K2338&lt;&gt;""),OR($C$13="Semua",$C$13="",L2338=$C$13)),"✓","")</f>
        <v/>
      </c>
      <c r="N2338" s="93">
        <f>N(N2337)+IF(M2338="✓",1,0)</f>
        <v/>
      </c>
      <c r="O2338" s="93">
        <f>N(O2337)+IF(AND(B2338&lt;&gt;"",B2338&gt;='Uang Riba'!$H$30,B2338&lt;='Uang Riba'!$I$30,OR(H2338="Dana riba",H2338="Pinjam uang riba",I2338="Pinjam dari uang riba",I2338="Ganti uang riba",I2338="Kelebihan ganti dikembalikan",AND(C2338="Kantong Uang Riba",G2338="Pengeluaran"))),1,0)</f>
        <v/>
      </c>
      <c r="X2338" s="93">
        <f>IF(AND(B2338&lt;&gt;"",B2338&gt;='Buku Akun'!$H$4,B2338&lt;='Buku Akun'!$H$5,OR(C2338='Buku Akun'!$C$4,AND(D2338="Pindah",E2338='Buku Akun'!$C$4))),B2338+IF(AND(I2338="Selisih bunga",DAY(B2338)=1),0,0.01)+ROW()/10000000,"")</f>
        <v/>
      </c>
    </row>
    <row r="2339" outlineLevel="1" ht="15" customHeight="1" s="94">
      <c r="A2339" s="123">
        <f>IF(B2339="","",ROW()-15)</f>
        <v/>
      </c>
      <c r="B2339" s="124" t="n"/>
      <c r="C2339" s="123" t="n"/>
      <c r="D2339" s="123" t="n"/>
      <c r="E2339" s="123" t="n"/>
      <c r="F2339" s="125" t="n"/>
      <c r="G2339" s="123" t="n"/>
      <c r="H2339" s="123" t="n"/>
      <c r="I2339" s="123" t="n"/>
      <c r="J2339" s="123" t="n"/>
      <c r="K2339" s="123" t="n"/>
      <c r="L2339" s="123" t="n"/>
      <c r="M2339" s="123">
        <f>IF(AND(B2339&lt;&gt;"",OR($C$4="",ISNUMBER(SEARCH($C$4,C2339&amp;" "&amp;E2339&amp;" "&amp;G2339&amp;" "&amp;H2339&amp;" "&amp;I2339&amp;" "&amp;J2339&amp;" "&amp;K2339&amp;" "&amp;L2339))),OR($C$5="Semua",$C$5="",G2339=$C$5),OR($C$6="Semua",$C$6="",H2339=$C$6,H2339="Pengeluaran "&amp;$C$6,AND($C$6="Uang Kos Mama",H2339="Pengeluaran Uang Kos")),OR($C$7="Semua",$C$7="",I2339=$C$7),OR($C$8="Semua",$C$8="",C2339=$C$8,E2339=$C$8),OR($C$9="Semua",$C$9="",D2339=$C$9),OR($C$10="",B2339&gt;=$C$10),OR($C$11="",B2339&lt;=$C$11),OR($C$12&lt;&gt;"Ya",K2339&lt;&gt;""),OR($C$13="Semua",$C$13="",L2339=$C$13)),"✓","")</f>
        <v/>
      </c>
      <c r="N2339" s="93">
        <f>N(N2338)+IF(M2339="✓",1,0)</f>
        <v/>
      </c>
      <c r="O2339" s="93">
        <f>N(O2338)+IF(AND(B2339&lt;&gt;"",B2339&gt;='Uang Riba'!$H$30,B2339&lt;='Uang Riba'!$I$30,OR(H2339="Dana riba",H2339="Pinjam uang riba",I2339="Pinjam dari uang riba",I2339="Ganti uang riba",I2339="Kelebihan ganti dikembalikan",AND(C2339="Kantong Uang Riba",G2339="Pengeluaran"))),1,0)</f>
        <v/>
      </c>
      <c r="X2339" s="93">
        <f>IF(AND(B2339&lt;&gt;"",B2339&gt;='Buku Akun'!$H$4,B2339&lt;='Buku Akun'!$H$5,OR(C2339='Buku Akun'!$C$4,AND(D2339="Pindah",E2339='Buku Akun'!$C$4))),B2339+IF(AND(I2339="Selisih bunga",DAY(B2339)=1),0,0.01)+ROW()/10000000,"")</f>
        <v/>
      </c>
    </row>
    <row r="2340" outlineLevel="1" ht="15" customHeight="1" s="94">
      <c r="A2340" s="123">
        <f>IF(B2340="","",ROW()-15)</f>
        <v/>
      </c>
      <c r="B2340" s="124" t="n"/>
      <c r="C2340" s="123" t="n"/>
      <c r="D2340" s="123" t="n"/>
      <c r="E2340" s="123" t="n"/>
      <c r="F2340" s="125" t="n"/>
      <c r="G2340" s="123" t="n"/>
      <c r="H2340" s="123" t="n"/>
      <c r="I2340" s="123" t="n"/>
      <c r="J2340" s="123" t="n"/>
      <c r="K2340" s="123" t="n"/>
      <c r="L2340" s="123" t="n"/>
      <c r="M2340" s="123">
        <f>IF(AND(B2340&lt;&gt;"",OR($C$4="",ISNUMBER(SEARCH($C$4,C2340&amp;" "&amp;E2340&amp;" "&amp;G2340&amp;" "&amp;H2340&amp;" "&amp;I2340&amp;" "&amp;J2340&amp;" "&amp;K2340&amp;" "&amp;L2340))),OR($C$5="Semua",$C$5="",G2340=$C$5),OR($C$6="Semua",$C$6="",H2340=$C$6,H2340="Pengeluaran "&amp;$C$6,AND($C$6="Uang Kos Mama",H2340="Pengeluaran Uang Kos")),OR($C$7="Semua",$C$7="",I2340=$C$7),OR($C$8="Semua",$C$8="",C2340=$C$8,E2340=$C$8),OR($C$9="Semua",$C$9="",D2340=$C$9),OR($C$10="",B2340&gt;=$C$10),OR($C$11="",B2340&lt;=$C$11),OR($C$12&lt;&gt;"Ya",K2340&lt;&gt;""),OR($C$13="Semua",$C$13="",L2340=$C$13)),"✓","")</f>
        <v/>
      </c>
      <c r="N2340" s="93">
        <f>N(N2339)+IF(M2340="✓",1,0)</f>
        <v/>
      </c>
      <c r="O2340" s="93">
        <f>N(O2339)+IF(AND(B2340&lt;&gt;"",B2340&gt;='Uang Riba'!$H$30,B2340&lt;='Uang Riba'!$I$30,OR(H2340="Dana riba",H2340="Pinjam uang riba",I2340="Pinjam dari uang riba",I2340="Ganti uang riba",I2340="Kelebihan ganti dikembalikan",AND(C2340="Kantong Uang Riba",G2340="Pengeluaran"))),1,0)</f>
        <v/>
      </c>
      <c r="X2340" s="93">
        <f>IF(AND(B2340&lt;&gt;"",B2340&gt;='Buku Akun'!$H$4,B2340&lt;='Buku Akun'!$H$5,OR(C2340='Buku Akun'!$C$4,AND(D2340="Pindah",E2340='Buku Akun'!$C$4))),B2340+IF(AND(I2340="Selisih bunga",DAY(B2340)=1),0,0.01)+ROW()/10000000,"")</f>
        <v/>
      </c>
    </row>
    <row r="2341" outlineLevel="1" ht="15" customHeight="1" s="94">
      <c r="A2341" s="123">
        <f>IF(B2341="","",ROW()-15)</f>
        <v/>
      </c>
      <c r="B2341" s="124" t="n"/>
      <c r="C2341" s="123" t="n"/>
      <c r="D2341" s="123" t="n"/>
      <c r="E2341" s="123" t="n"/>
      <c r="F2341" s="125" t="n"/>
      <c r="G2341" s="123" t="n"/>
      <c r="H2341" s="123" t="n"/>
      <c r="I2341" s="123" t="n"/>
      <c r="J2341" s="123" t="n"/>
      <c r="K2341" s="123" t="n"/>
      <c r="L2341" s="123" t="n"/>
      <c r="M2341" s="123">
        <f>IF(AND(B2341&lt;&gt;"",OR($C$4="",ISNUMBER(SEARCH($C$4,C2341&amp;" "&amp;E2341&amp;" "&amp;G2341&amp;" "&amp;H2341&amp;" "&amp;I2341&amp;" "&amp;J2341&amp;" "&amp;K2341&amp;" "&amp;L2341))),OR($C$5="Semua",$C$5="",G2341=$C$5),OR($C$6="Semua",$C$6="",H2341=$C$6,H2341="Pengeluaran "&amp;$C$6,AND($C$6="Uang Kos Mama",H2341="Pengeluaran Uang Kos")),OR($C$7="Semua",$C$7="",I2341=$C$7),OR($C$8="Semua",$C$8="",C2341=$C$8,E2341=$C$8),OR($C$9="Semua",$C$9="",D2341=$C$9),OR($C$10="",B2341&gt;=$C$10),OR($C$11="",B2341&lt;=$C$11),OR($C$12&lt;&gt;"Ya",K2341&lt;&gt;""),OR($C$13="Semua",$C$13="",L2341=$C$13)),"✓","")</f>
        <v/>
      </c>
      <c r="N2341" s="93">
        <f>N(N2340)+IF(M2341="✓",1,0)</f>
        <v/>
      </c>
      <c r="O2341" s="93">
        <f>N(O2340)+IF(AND(B2341&lt;&gt;"",B2341&gt;='Uang Riba'!$H$30,B2341&lt;='Uang Riba'!$I$30,OR(H2341="Dana riba",H2341="Pinjam uang riba",I2341="Pinjam dari uang riba",I2341="Ganti uang riba",I2341="Kelebihan ganti dikembalikan",AND(C2341="Kantong Uang Riba",G2341="Pengeluaran"))),1,0)</f>
        <v/>
      </c>
      <c r="X2341" s="93">
        <f>IF(AND(B2341&lt;&gt;"",B2341&gt;='Buku Akun'!$H$4,B2341&lt;='Buku Akun'!$H$5,OR(C2341='Buku Akun'!$C$4,AND(D2341="Pindah",E2341='Buku Akun'!$C$4))),B2341+IF(AND(I2341="Selisih bunga",DAY(B2341)=1),0,0.01)+ROW()/10000000,"")</f>
        <v/>
      </c>
    </row>
    <row r="2342" outlineLevel="1" ht="15" customHeight="1" s="94">
      <c r="A2342" s="123">
        <f>IF(B2342="","",ROW()-15)</f>
        <v/>
      </c>
      <c r="B2342" s="124" t="n"/>
      <c r="C2342" s="123" t="n"/>
      <c r="D2342" s="123" t="n"/>
      <c r="E2342" s="123" t="n"/>
      <c r="F2342" s="125" t="n"/>
      <c r="G2342" s="123" t="n"/>
      <c r="H2342" s="123" t="n"/>
      <c r="I2342" s="123" t="n"/>
      <c r="J2342" s="123" t="n"/>
      <c r="K2342" s="123" t="n"/>
      <c r="L2342" s="123" t="n"/>
      <c r="M2342" s="123">
        <f>IF(AND(B2342&lt;&gt;"",OR($C$4="",ISNUMBER(SEARCH($C$4,C2342&amp;" "&amp;E2342&amp;" "&amp;G2342&amp;" "&amp;H2342&amp;" "&amp;I2342&amp;" "&amp;J2342&amp;" "&amp;K2342&amp;" "&amp;L2342))),OR($C$5="Semua",$C$5="",G2342=$C$5),OR($C$6="Semua",$C$6="",H2342=$C$6,H2342="Pengeluaran "&amp;$C$6,AND($C$6="Uang Kos Mama",H2342="Pengeluaran Uang Kos")),OR($C$7="Semua",$C$7="",I2342=$C$7),OR($C$8="Semua",$C$8="",C2342=$C$8,E2342=$C$8),OR($C$9="Semua",$C$9="",D2342=$C$9),OR($C$10="",B2342&gt;=$C$10),OR($C$11="",B2342&lt;=$C$11),OR($C$12&lt;&gt;"Ya",K2342&lt;&gt;""),OR($C$13="Semua",$C$13="",L2342=$C$13)),"✓","")</f>
        <v/>
      </c>
      <c r="N2342" s="93">
        <f>N(N2341)+IF(M2342="✓",1,0)</f>
        <v/>
      </c>
      <c r="O2342" s="93">
        <f>N(O2341)+IF(AND(B2342&lt;&gt;"",B2342&gt;='Uang Riba'!$H$30,B2342&lt;='Uang Riba'!$I$30,OR(H2342="Dana riba",H2342="Pinjam uang riba",I2342="Pinjam dari uang riba",I2342="Ganti uang riba",I2342="Kelebihan ganti dikembalikan",AND(C2342="Kantong Uang Riba",G2342="Pengeluaran"))),1,0)</f>
        <v/>
      </c>
      <c r="X2342" s="93">
        <f>IF(AND(B2342&lt;&gt;"",B2342&gt;='Buku Akun'!$H$4,B2342&lt;='Buku Akun'!$H$5,OR(C2342='Buku Akun'!$C$4,AND(D2342="Pindah",E2342='Buku Akun'!$C$4))),B2342+IF(AND(I2342="Selisih bunga",DAY(B2342)=1),0,0.01)+ROW()/10000000,"")</f>
        <v/>
      </c>
    </row>
    <row r="2343" outlineLevel="1" ht="15" customHeight="1" s="94">
      <c r="A2343" s="123">
        <f>IF(B2343="","",ROW()-15)</f>
        <v/>
      </c>
      <c r="B2343" s="124" t="n"/>
      <c r="C2343" s="123" t="n"/>
      <c r="D2343" s="123" t="n"/>
      <c r="E2343" s="123" t="n"/>
      <c r="F2343" s="125" t="n"/>
      <c r="G2343" s="123" t="n"/>
      <c r="H2343" s="123" t="n"/>
      <c r="I2343" s="123" t="n"/>
      <c r="J2343" s="123" t="n"/>
      <c r="K2343" s="123" t="n"/>
      <c r="L2343" s="123" t="n"/>
      <c r="M2343" s="123">
        <f>IF(AND(B2343&lt;&gt;"",OR($C$4="",ISNUMBER(SEARCH($C$4,C2343&amp;" "&amp;E2343&amp;" "&amp;G2343&amp;" "&amp;H2343&amp;" "&amp;I2343&amp;" "&amp;J2343&amp;" "&amp;K2343&amp;" "&amp;L2343))),OR($C$5="Semua",$C$5="",G2343=$C$5),OR($C$6="Semua",$C$6="",H2343=$C$6,H2343="Pengeluaran "&amp;$C$6,AND($C$6="Uang Kos Mama",H2343="Pengeluaran Uang Kos")),OR($C$7="Semua",$C$7="",I2343=$C$7),OR($C$8="Semua",$C$8="",C2343=$C$8,E2343=$C$8),OR($C$9="Semua",$C$9="",D2343=$C$9),OR($C$10="",B2343&gt;=$C$10),OR($C$11="",B2343&lt;=$C$11),OR($C$12&lt;&gt;"Ya",K2343&lt;&gt;""),OR($C$13="Semua",$C$13="",L2343=$C$13)),"✓","")</f>
        <v/>
      </c>
      <c r="N2343" s="93">
        <f>N(N2342)+IF(M2343="✓",1,0)</f>
        <v/>
      </c>
      <c r="O2343" s="93">
        <f>N(O2342)+IF(AND(B2343&lt;&gt;"",B2343&gt;='Uang Riba'!$H$30,B2343&lt;='Uang Riba'!$I$30,OR(H2343="Dana riba",H2343="Pinjam uang riba",I2343="Pinjam dari uang riba",I2343="Ganti uang riba",I2343="Kelebihan ganti dikembalikan",AND(C2343="Kantong Uang Riba",G2343="Pengeluaran"))),1,0)</f>
        <v/>
      </c>
      <c r="X2343" s="93">
        <f>IF(AND(B2343&lt;&gt;"",B2343&gt;='Buku Akun'!$H$4,B2343&lt;='Buku Akun'!$H$5,OR(C2343='Buku Akun'!$C$4,AND(D2343="Pindah",E2343='Buku Akun'!$C$4))),B2343+IF(AND(I2343="Selisih bunga",DAY(B2343)=1),0,0.01)+ROW()/10000000,"")</f>
        <v/>
      </c>
    </row>
    <row r="2344" outlineLevel="1" ht="15" customHeight="1" s="94">
      <c r="A2344" s="123">
        <f>IF(B2344="","",ROW()-15)</f>
        <v/>
      </c>
      <c r="B2344" s="124" t="n"/>
      <c r="C2344" s="123" t="n"/>
      <c r="D2344" s="123" t="n"/>
      <c r="E2344" s="123" t="n"/>
      <c r="F2344" s="125" t="n"/>
      <c r="G2344" s="123" t="n"/>
      <c r="H2344" s="123" t="n"/>
      <c r="I2344" s="123" t="n"/>
      <c r="J2344" s="123" t="n"/>
      <c r="K2344" s="123" t="n"/>
      <c r="L2344" s="123" t="n"/>
      <c r="M2344" s="123">
        <f>IF(AND(B2344&lt;&gt;"",OR($C$4="",ISNUMBER(SEARCH($C$4,C2344&amp;" "&amp;E2344&amp;" "&amp;G2344&amp;" "&amp;H2344&amp;" "&amp;I2344&amp;" "&amp;J2344&amp;" "&amp;K2344&amp;" "&amp;L2344))),OR($C$5="Semua",$C$5="",G2344=$C$5),OR($C$6="Semua",$C$6="",H2344=$C$6,H2344="Pengeluaran "&amp;$C$6,AND($C$6="Uang Kos Mama",H2344="Pengeluaran Uang Kos")),OR($C$7="Semua",$C$7="",I2344=$C$7),OR($C$8="Semua",$C$8="",C2344=$C$8,E2344=$C$8),OR($C$9="Semua",$C$9="",D2344=$C$9),OR($C$10="",B2344&gt;=$C$10),OR($C$11="",B2344&lt;=$C$11),OR($C$12&lt;&gt;"Ya",K2344&lt;&gt;""),OR($C$13="Semua",$C$13="",L2344=$C$13)),"✓","")</f>
        <v/>
      </c>
      <c r="N2344" s="93">
        <f>N(N2343)+IF(M2344="✓",1,0)</f>
        <v/>
      </c>
      <c r="O2344" s="93">
        <f>N(O2343)+IF(AND(B2344&lt;&gt;"",B2344&gt;='Uang Riba'!$H$30,B2344&lt;='Uang Riba'!$I$30,OR(H2344="Dana riba",H2344="Pinjam uang riba",I2344="Pinjam dari uang riba",I2344="Ganti uang riba",I2344="Kelebihan ganti dikembalikan",AND(C2344="Kantong Uang Riba",G2344="Pengeluaran"))),1,0)</f>
        <v/>
      </c>
      <c r="X2344" s="93">
        <f>IF(AND(B2344&lt;&gt;"",B2344&gt;='Buku Akun'!$H$4,B2344&lt;='Buku Akun'!$H$5,OR(C2344='Buku Akun'!$C$4,AND(D2344="Pindah",E2344='Buku Akun'!$C$4))),B2344+IF(AND(I2344="Selisih bunga",DAY(B2344)=1),0,0.01)+ROW()/10000000,"")</f>
        <v/>
      </c>
    </row>
    <row r="2345" outlineLevel="1" ht="15" customHeight="1" s="94">
      <c r="A2345" s="123">
        <f>IF(B2345="","",ROW()-15)</f>
        <v/>
      </c>
      <c r="B2345" s="124" t="n"/>
      <c r="C2345" s="123" t="n"/>
      <c r="D2345" s="123" t="n"/>
      <c r="E2345" s="123" t="n"/>
      <c r="F2345" s="125" t="n"/>
      <c r="G2345" s="123" t="n"/>
      <c r="H2345" s="123" t="n"/>
      <c r="I2345" s="123" t="n"/>
      <c r="J2345" s="123" t="n"/>
      <c r="K2345" s="123" t="n"/>
      <c r="L2345" s="123" t="n"/>
      <c r="M2345" s="123">
        <f>IF(AND(B2345&lt;&gt;"",OR($C$4="",ISNUMBER(SEARCH($C$4,C2345&amp;" "&amp;E2345&amp;" "&amp;G2345&amp;" "&amp;H2345&amp;" "&amp;I2345&amp;" "&amp;J2345&amp;" "&amp;K2345&amp;" "&amp;L2345))),OR($C$5="Semua",$C$5="",G2345=$C$5),OR($C$6="Semua",$C$6="",H2345=$C$6,H2345="Pengeluaran "&amp;$C$6,AND($C$6="Uang Kos Mama",H2345="Pengeluaran Uang Kos")),OR($C$7="Semua",$C$7="",I2345=$C$7),OR($C$8="Semua",$C$8="",C2345=$C$8,E2345=$C$8),OR($C$9="Semua",$C$9="",D2345=$C$9),OR($C$10="",B2345&gt;=$C$10),OR($C$11="",B2345&lt;=$C$11),OR($C$12&lt;&gt;"Ya",K2345&lt;&gt;""),OR($C$13="Semua",$C$13="",L2345=$C$13)),"✓","")</f>
        <v/>
      </c>
      <c r="N2345" s="93">
        <f>N(N2344)+IF(M2345="✓",1,0)</f>
        <v/>
      </c>
      <c r="O2345" s="93">
        <f>N(O2344)+IF(AND(B2345&lt;&gt;"",B2345&gt;='Uang Riba'!$H$30,B2345&lt;='Uang Riba'!$I$30,OR(H2345="Dana riba",H2345="Pinjam uang riba",I2345="Pinjam dari uang riba",I2345="Ganti uang riba",I2345="Kelebihan ganti dikembalikan",AND(C2345="Kantong Uang Riba",G2345="Pengeluaran"))),1,0)</f>
        <v/>
      </c>
      <c r="X2345" s="93">
        <f>IF(AND(B2345&lt;&gt;"",B2345&gt;='Buku Akun'!$H$4,B2345&lt;='Buku Akun'!$H$5,OR(C2345='Buku Akun'!$C$4,AND(D2345="Pindah",E2345='Buku Akun'!$C$4))),B2345+IF(AND(I2345="Selisih bunga",DAY(B2345)=1),0,0.01)+ROW()/10000000,"")</f>
        <v/>
      </c>
    </row>
    <row r="2346" outlineLevel="1" ht="15" customHeight="1" s="94">
      <c r="A2346" s="123">
        <f>IF(B2346="","",ROW()-15)</f>
        <v/>
      </c>
      <c r="B2346" s="124" t="n"/>
      <c r="C2346" s="123" t="n"/>
      <c r="D2346" s="123" t="n"/>
      <c r="E2346" s="123" t="n"/>
      <c r="F2346" s="125" t="n"/>
      <c r="G2346" s="123" t="n"/>
      <c r="H2346" s="123" t="n"/>
      <c r="I2346" s="123" t="n"/>
      <c r="J2346" s="123" t="n"/>
      <c r="K2346" s="123" t="n"/>
      <c r="L2346" s="123" t="n"/>
      <c r="M2346" s="123">
        <f>IF(AND(B2346&lt;&gt;"",OR($C$4="",ISNUMBER(SEARCH($C$4,C2346&amp;" "&amp;E2346&amp;" "&amp;G2346&amp;" "&amp;H2346&amp;" "&amp;I2346&amp;" "&amp;J2346&amp;" "&amp;K2346&amp;" "&amp;L2346))),OR($C$5="Semua",$C$5="",G2346=$C$5),OR($C$6="Semua",$C$6="",H2346=$C$6,H2346="Pengeluaran "&amp;$C$6,AND($C$6="Uang Kos Mama",H2346="Pengeluaran Uang Kos")),OR($C$7="Semua",$C$7="",I2346=$C$7),OR($C$8="Semua",$C$8="",C2346=$C$8,E2346=$C$8),OR($C$9="Semua",$C$9="",D2346=$C$9),OR($C$10="",B2346&gt;=$C$10),OR($C$11="",B2346&lt;=$C$11),OR($C$12&lt;&gt;"Ya",K2346&lt;&gt;""),OR($C$13="Semua",$C$13="",L2346=$C$13)),"✓","")</f>
        <v/>
      </c>
      <c r="N2346" s="93">
        <f>N(N2345)+IF(M2346="✓",1,0)</f>
        <v/>
      </c>
      <c r="O2346" s="93">
        <f>N(O2345)+IF(AND(B2346&lt;&gt;"",B2346&gt;='Uang Riba'!$H$30,B2346&lt;='Uang Riba'!$I$30,OR(H2346="Dana riba",H2346="Pinjam uang riba",I2346="Pinjam dari uang riba",I2346="Ganti uang riba",I2346="Kelebihan ganti dikembalikan",AND(C2346="Kantong Uang Riba",G2346="Pengeluaran"))),1,0)</f>
        <v/>
      </c>
      <c r="X2346" s="93">
        <f>IF(AND(B2346&lt;&gt;"",B2346&gt;='Buku Akun'!$H$4,B2346&lt;='Buku Akun'!$H$5,OR(C2346='Buku Akun'!$C$4,AND(D2346="Pindah",E2346='Buku Akun'!$C$4))),B2346+IF(AND(I2346="Selisih bunga",DAY(B2346)=1),0,0.01)+ROW()/10000000,"")</f>
        <v/>
      </c>
    </row>
    <row r="2347" outlineLevel="1" ht="15" customHeight="1" s="94">
      <c r="A2347" s="123">
        <f>IF(B2347="","",ROW()-15)</f>
        <v/>
      </c>
      <c r="B2347" s="124" t="n"/>
      <c r="C2347" s="123" t="n"/>
      <c r="D2347" s="123" t="n"/>
      <c r="E2347" s="123" t="n"/>
      <c r="F2347" s="125" t="n"/>
      <c r="G2347" s="123" t="n"/>
      <c r="H2347" s="123" t="n"/>
      <c r="I2347" s="123" t="n"/>
      <c r="J2347" s="123" t="n"/>
      <c r="K2347" s="123" t="n"/>
      <c r="L2347" s="123" t="n"/>
      <c r="M2347" s="123">
        <f>IF(AND(B2347&lt;&gt;"",OR($C$4="",ISNUMBER(SEARCH($C$4,C2347&amp;" "&amp;E2347&amp;" "&amp;G2347&amp;" "&amp;H2347&amp;" "&amp;I2347&amp;" "&amp;J2347&amp;" "&amp;K2347&amp;" "&amp;L2347))),OR($C$5="Semua",$C$5="",G2347=$C$5),OR($C$6="Semua",$C$6="",H2347=$C$6,H2347="Pengeluaran "&amp;$C$6,AND($C$6="Uang Kos Mama",H2347="Pengeluaran Uang Kos")),OR($C$7="Semua",$C$7="",I2347=$C$7),OR($C$8="Semua",$C$8="",C2347=$C$8,E2347=$C$8),OR($C$9="Semua",$C$9="",D2347=$C$9),OR($C$10="",B2347&gt;=$C$10),OR($C$11="",B2347&lt;=$C$11),OR($C$12&lt;&gt;"Ya",K2347&lt;&gt;""),OR($C$13="Semua",$C$13="",L2347=$C$13)),"✓","")</f>
        <v/>
      </c>
      <c r="N2347" s="93">
        <f>N(N2346)+IF(M2347="✓",1,0)</f>
        <v/>
      </c>
      <c r="O2347" s="93">
        <f>N(O2346)+IF(AND(B2347&lt;&gt;"",B2347&gt;='Uang Riba'!$H$30,B2347&lt;='Uang Riba'!$I$30,OR(H2347="Dana riba",H2347="Pinjam uang riba",I2347="Pinjam dari uang riba",I2347="Ganti uang riba",I2347="Kelebihan ganti dikembalikan",AND(C2347="Kantong Uang Riba",G2347="Pengeluaran"))),1,0)</f>
        <v/>
      </c>
      <c r="X2347" s="93">
        <f>IF(AND(B2347&lt;&gt;"",B2347&gt;='Buku Akun'!$H$4,B2347&lt;='Buku Akun'!$H$5,OR(C2347='Buku Akun'!$C$4,AND(D2347="Pindah",E2347='Buku Akun'!$C$4))),B2347+IF(AND(I2347="Selisih bunga",DAY(B2347)=1),0,0.01)+ROW()/10000000,"")</f>
        <v/>
      </c>
    </row>
    <row r="2348" outlineLevel="1" ht="15" customHeight="1" s="94">
      <c r="A2348" s="123">
        <f>IF(B2348="","",ROW()-15)</f>
        <v/>
      </c>
      <c r="B2348" s="124" t="n"/>
      <c r="C2348" s="123" t="n"/>
      <c r="D2348" s="123" t="n"/>
      <c r="E2348" s="123" t="n"/>
      <c r="F2348" s="125" t="n"/>
      <c r="G2348" s="123" t="n"/>
      <c r="H2348" s="123" t="n"/>
      <c r="I2348" s="123" t="n"/>
      <c r="J2348" s="123" t="n"/>
      <c r="K2348" s="123" t="n"/>
      <c r="L2348" s="123" t="n"/>
      <c r="M2348" s="123">
        <f>IF(AND(B2348&lt;&gt;"",OR($C$4="",ISNUMBER(SEARCH($C$4,C2348&amp;" "&amp;E2348&amp;" "&amp;G2348&amp;" "&amp;H2348&amp;" "&amp;I2348&amp;" "&amp;J2348&amp;" "&amp;K2348&amp;" "&amp;L2348))),OR($C$5="Semua",$C$5="",G2348=$C$5),OR($C$6="Semua",$C$6="",H2348=$C$6,H2348="Pengeluaran "&amp;$C$6,AND($C$6="Uang Kos Mama",H2348="Pengeluaran Uang Kos")),OR($C$7="Semua",$C$7="",I2348=$C$7),OR($C$8="Semua",$C$8="",C2348=$C$8,E2348=$C$8),OR($C$9="Semua",$C$9="",D2348=$C$9),OR($C$10="",B2348&gt;=$C$10),OR($C$11="",B2348&lt;=$C$11),OR($C$12&lt;&gt;"Ya",K2348&lt;&gt;""),OR($C$13="Semua",$C$13="",L2348=$C$13)),"✓","")</f>
        <v/>
      </c>
      <c r="N2348" s="93">
        <f>N(N2347)+IF(M2348="✓",1,0)</f>
        <v/>
      </c>
      <c r="O2348" s="93">
        <f>N(O2347)+IF(AND(B2348&lt;&gt;"",B2348&gt;='Uang Riba'!$H$30,B2348&lt;='Uang Riba'!$I$30,OR(H2348="Dana riba",H2348="Pinjam uang riba",I2348="Pinjam dari uang riba",I2348="Ganti uang riba",I2348="Kelebihan ganti dikembalikan",AND(C2348="Kantong Uang Riba",G2348="Pengeluaran"))),1,0)</f>
        <v/>
      </c>
      <c r="X2348" s="93">
        <f>IF(AND(B2348&lt;&gt;"",B2348&gt;='Buku Akun'!$H$4,B2348&lt;='Buku Akun'!$H$5,OR(C2348='Buku Akun'!$C$4,AND(D2348="Pindah",E2348='Buku Akun'!$C$4))),B2348+IF(AND(I2348="Selisih bunga",DAY(B2348)=1),0,0.01)+ROW()/10000000,"")</f>
        <v/>
      </c>
    </row>
    <row r="2349" outlineLevel="1" ht="15" customHeight="1" s="94">
      <c r="A2349" s="123">
        <f>IF(B2349="","",ROW()-15)</f>
        <v/>
      </c>
      <c r="B2349" s="124" t="n"/>
      <c r="C2349" s="123" t="n"/>
      <c r="D2349" s="123" t="n"/>
      <c r="E2349" s="123" t="n"/>
      <c r="F2349" s="125" t="n"/>
      <c r="G2349" s="123" t="n"/>
      <c r="H2349" s="123" t="n"/>
      <c r="I2349" s="123" t="n"/>
      <c r="J2349" s="123" t="n"/>
      <c r="K2349" s="123" t="n"/>
      <c r="L2349" s="123" t="n"/>
      <c r="M2349" s="123">
        <f>IF(AND(B2349&lt;&gt;"",OR($C$4="",ISNUMBER(SEARCH($C$4,C2349&amp;" "&amp;E2349&amp;" "&amp;G2349&amp;" "&amp;H2349&amp;" "&amp;I2349&amp;" "&amp;J2349&amp;" "&amp;K2349&amp;" "&amp;L2349))),OR($C$5="Semua",$C$5="",G2349=$C$5),OR($C$6="Semua",$C$6="",H2349=$C$6,H2349="Pengeluaran "&amp;$C$6,AND($C$6="Uang Kos Mama",H2349="Pengeluaran Uang Kos")),OR($C$7="Semua",$C$7="",I2349=$C$7),OR($C$8="Semua",$C$8="",C2349=$C$8,E2349=$C$8),OR($C$9="Semua",$C$9="",D2349=$C$9),OR($C$10="",B2349&gt;=$C$10),OR($C$11="",B2349&lt;=$C$11),OR($C$12&lt;&gt;"Ya",K2349&lt;&gt;""),OR($C$13="Semua",$C$13="",L2349=$C$13)),"✓","")</f>
        <v/>
      </c>
      <c r="N2349" s="93">
        <f>N(N2348)+IF(M2349="✓",1,0)</f>
        <v/>
      </c>
      <c r="O2349" s="93">
        <f>N(O2348)+IF(AND(B2349&lt;&gt;"",B2349&gt;='Uang Riba'!$H$30,B2349&lt;='Uang Riba'!$I$30,OR(H2349="Dana riba",H2349="Pinjam uang riba",I2349="Pinjam dari uang riba",I2349="Ganti uang riba",I2349="Kelebihan ganti dikembalikan",AND(C2349="Kantong Uang Riba",G2349="Pengeluaran"))),1,0)</f>
        <v/>
      </c>
      <c r="X2349" s="93">
        <f>IF(AND(B2349&lt;&gt;"",B2349&gt;='Buku Akun'!$H$4,B2349&lt;='Buku Akun'!$H$5,OR(C2349='Buku Akun'!$C$4,AND(D2349="Pindah",E2349='Buku Akun'!$C$4))),B2349+IF(AND(I2349="Selisih bunga",DAY(B2349)=1),0,0.01)+ROW()/10000000,"")</f>
        <v/>
      </c>
    </row>
    <row r="2350" outlineLevel="1" ht="15" customHeight="1" s="94">
      <c r="A2350" s="123">
        <f>IF(B2350="","",ROW()-15)</f>
        <v/>
      </c>
      <c r="B2350" s="124" t="n"/>
      <c r="C2350" s="123" t="n"/>
      <c r="D2350" s="123" t="n"/>
      <c r="E2350" s="123" t="n"/>
      <c r="F2350" s="125" t="n"/>
      <c r="G2350" s="123" t="n"/>
      <c r="H2350" s="123" t="n"/>
      <c r="I2350" s="123" t="n"/>
      <c r="J2350" s="123" t="n"/>
      <c r="K2350" s="123" t="n"/>
      <c r="L2350" s="123" t="n"/>
      <c r="M2350" s="123">
        <f>IF(AND(B2350&lt;&gt;"",OR($C$4="",ISNUMBER(SEARCH($C$4,C2350&amp;" "&amp;E2350&amp;" "&amp;G2350&amp;" "&amp;H2350&amp;" "&amp;I2350&amp;" "&amp;J2350&amp;" "&amp;K2350&amp;" "&amp;L2350))),OR($C$5="Semua",$C$5="",G2350=$C$5),OR($C$6="Semua",$C$6="",H2350=$C$6,H2350="Pengeluaran "&amp;$C$6,AND($C$6="Uang Kos Mama",H2350="Pengeluaran Uang Kos")),OR($C$7="Semua",$C$7="",I2350=$C$7),OR($C$8="Semua",$C$8="",C2350=$C$8,E2350=$C$8),OR($C$9="Semua",$C$9="",D2350=$C$9),OR($C$10="",B2350&gt;=$C$10),OR($C$11="",B2350&lt;=$C$11),OR($C$12&lt;&gt;"Ya",K2350&lt;&gt;""),OR($C$13="Semua",$C$13="",L2350=$C$13)),"✓","")</f>
        <v/>
      </c>
      <c r="N2350" s="93">
        <f>N(N2349)+IF(M2350="✓",1,0)</f>
        <v/>
      </c>
      <c r="O2350" s="93">
        <f>N(O2349)+IF(AND(B2350&lt;&gt;"",B2350&gt;='Uang Riba'!$H$30,B2350&lt;='Uang Riba'!$I$30,OR(H2350="Dana riba",H2350="Pinjam uang riba",I2350="Pinjam dari uang riba",I2350="Ganti uang riba",I2350="Kelebihan ganti dikembalikan",AND(C2350="Kantong Uang Riba",G2350="Pengeluaran"))),1,0)</f>
        <v/>
      </c>
      <c r="X2350" s="93">
        <f>IF(AND(B2350&lt;&gt;"",B2350&gt;='Buku Akun'!$H$4,B2350&lt;='Buku Akun'!$H$5,OR(C2350='Buku Akun'!$C$4,AND(D2350="Pindah",E2350='Buku Akun'!$C$4))),B2350+IF(AND(I2350="Selisih bunga",DAY(B2350)=1),0,0.01)+ROW()/10000000,"")</f>
        <v/>
      </c>
    </row>
    <row r="2351" outlineLevel="1" ht="15" customHeight="1" s="94">
      <c r="A2351" s="123">
        <f>IF(B2351="","",ROW()-15)</f>
        <v/>
      </c>
      <c r="B2351" s="124" t="n"/>
      <c r="C2351" s="123" t="n"/>
      <c r="D2351" s="123" t="n"/>
      <c r="E2351" s="123" t="n"/>
      <c r="F2351" s="125" t="n"/>
      <c r="G2351" s="123" t="n"/>
      <c r="H2351" s="123" t="n"/>
      <c r="I2351" s="123" t="n"/>
      <c r="J2351" s="123" t="n"/>
      <c r="K2351" s="123" t="n"/>
      <c r="L2351" s="123" t="n"/>
      <c r="M2351" s="123">
        <f>IF(AND(B2351&lt;&gt;"",OR($C$4="",ISNUMBER(SEARCH($C$4,C2351&amp;" "&amp;E2351&amp;" "&amp;G2351&amp;" "&amp;H2351&amp;" "&amp;I2351&amp;" "&amp;J2351&amp;" "&amp;K2351&amp;" "&amp;L2351))),OR($C$5="Semua",$C$5="",G2351=$C$5),OR($C$6="Semua",$C$6="",H2351=$C$6,H2351="Pengeluaran "&amp;$C$6,AND($C$6="Uang Kos Mama",H2351="Pengeluaran Uang Kos")),OR($C$7="Semua",$C$7="",I2351=$C$7),OR($C$8="Semua",$C$8="",C2351=$C$8,E2351=$C$8),OR($C$9="Semua",$C$9="",D2351=$C$9),OR($C$10="",B2351&gt;=$C$10),OR($C$11="",B2351&lt;=$C$11),OR($C$12&lt;&gt;"Ya",K2351&lt;&gt;""),OR($C$13="Semua",$C$13="",L2351=$C$13)),"✓","")</f>
        <v/>
      </c>
      <c r="N2351" s="93">
        <f>N(N2350)+IF(M2351="✓",1,0)</f>
        <v/>
      </c>
      <c r="O2351" s="93">
        <f>N(O2350)+IF(AND(B2351&lt;&gt;"",B2351&gt;='Uang Riba'!$H$30,B2351&lt;='Uang Riba'!$I$30,OR(H2351="Dana riba",H2351="Pinjam uang riba",I2351="Pinjam dari uang riba",I2351="Ganti uang riba",I2351="Kelebihan ganti dikembalikan",AND(C2351="Kantong Uang Riba",G2351="Pengeluaran"))),1,0)</f>
        <v/>
      </c>
      <c r="X2351" s="93">
        <f>IF(AND(B2351&lt;&gt;"",B2351&gt;='Buku Akun'!$H$4,B2351&lt;='Buku Akun'!$H$5,OR(C2351='Buku Akun'!$C$4,AND(D2351="Pindah",E2351='Buku Akun'!$C$4))),B2351+IF(AND(I2351="Selisih bunga",DAY(B2351)=1),0,0.01)+ROW()/10000000,"")</f>
        <v/>
      </c>
    </row>
    <row r="2352" outlineLevel="1" ht="15" customHeight="1" s="94">
      <c r="A2352" s="123">
        <f>IF(B2352="","",ROW()-15)</f>
        <v/>
      </c>
      <c r="B2352" s="124" t="n"/>
      <c r="C2352" s="123" t="n"/>
      <c r="D2352" s="123" t="n"/>
      <c r="E2352" s="123" t="n"/>
      <c r="F2352" s="125" t="n"/>
      <c r="G2352" s="123" t="n"/>
      <c r="H2352" s="123" t="n"/>
      <c r="I2352" s="123" t="n"/>
      <c r="J2352" s="123" t="n"/>
      <c r="K2352" s="123" t="n"/>
      <c r="L2352" s="123" t="n"/>
      <c r="M2352" s="123">
        <f>IF(AND(B2352&lt;&gt;"",OR($C$4="",ISNUMBER(SEARCH($C$4,C2352&amp;" "&amp;E2352&amp;" "&amp;G2352&amp;" "&amp;H2352&amp;" "&amp;I2352&amp;" "&amp;J2352&amp;" "&amp;K2352&amp;" "&amp;L2352))),OR($C$5="Semua",$C$5="",G2352=$C$5),OR($C$6="Semua",$C$6="",H2352=$C$6,H2352="Pengeluaran "&amp;$C$6,AND($C$6="Uang Kos Mama",H2352="Pengeluaran Uang Kos")),OR($C$7="Semua",$C$7="",I2352=$C$7),OR($C$8="Semua",$C$8="",C2352=$C$8,E2352=$C$8),OR($C$9="Semua",$C$9="",D2352=$C$9),OR($C$10="",B2352&gt;=$C$10),OR($C$11="",B2352&lt;=$C$11),OR($C$12&lt;&gt;"Ya",K2352&lt;&gt;""),OR($C$13="Semua",$C$13="",L2352=$C$13)),"✓","")</f>
        <v/>
      </c>
      <c r="N2352" s="93">
        <f>N(N2351)+IF(M2352="✓",1,0)</f>
        <v/>
      </c>
      <c r="O2352" s="93">
        <f>N(O2351)+IF(AND(B2352&lt;&gt;"",B2352&gt;='Uang Riba'!$H$30,B2352&lt;='Uang Riba'!$I$30,OR(H2352="Dana riba",H2352="Pinjam uang riba",I2352="Pinjam dari uang riba",I2352="Ganti uang riba",I2352="Kelebihan ganti dikembalikan",AND(C2352="Kantong Uang Riba",G2352="Pengeluaran"))),1,0)</f>
        <v/>
      </c>
      <c r="X2352" s="93">
        <f>IF(AND(B2352&lt;&gt;"",B2352&gt;='Buku Akun'!$H$4,B2352&lt;='Buku Akun'!$H$5,OR(C2352='Buku Akun'!$C$4,AND(D2352="Pindah",E2352='Buku Akun'!$C$4))),B2352+IF(AND(I2352="Selisih bunga",DAY(B2352)=1),0,0.01)+ROW()/10000000,"")</f>
        <v/>
      </c>
    </row>
    <row r="2353" outlineLevel="1" ht="15" customHeight="1" s="94">
      <c r="A2353" s="123">
        <f>IF(B2353="","",ROW()-15)</f>
        <v/>
      </c>
      <c r="B2353" s="124" t="n"/>
      <c r="C2353" s="123" t="n"/>
      <c r="D2353" s="123" t="n"/>
      <c r="E2353" s="123" t="n"/>
      <c r="F2353" s="125" t="n"/>
      <c r="G2353" s="123" t="n"/>
      <c r="H2353" s="123" t="n"/>
      <c r="I2353" s="123" t="n"/>
      <c r="J2353" s="123" t="n"/>
      <c r="K2353" s="123" t="n"/>
      <c r="L2353" s="123" t="n"/>
      <c r="M2353" s="123">
        <f>IF(AND(B2353&lt;&gt;"",OR($C$4="",ISNUMBER(SEARCH($C$4,C2353&amp;" "&amp;E2353&amp;" "&amp;G2353&amp;" "&amp;H2353&amp;" "&amp;I2353&amp;" "&amp;J2353&amp;" "&amp;K2353&amp;" "&amp;L2353))),OR($C$5="Semua",$C$5="",G2353=$C$5),OR($C$6="Semua",$C$6="",H2353=$C$6,H2353="Pengeluaran "&amp;$C$6,AND($C$6="Uang Kos Mama",H2353="Pengeluaran Uang Kos")),OR($C$7="Semua",$C$7="",I2353=$C$7),OR($C$8="Semua",$C$8="",C2353=$C$8,E2353=$C$8),OR($C$9="Semua",$C$9="",D2353=$C$9),OR($C$10="",B2353&gt;=$C$10),OR($C$11="",B2353&lt;=$C$11),OR($C$12&lt;&gt;"Ya",K2353&lt;&gt;""),OR($C$13="Semua",$C$13="",L2353=$C$13)),"✓","")</f>
        <v/>
      </c>
      <c r="N2353" s="93">
        <f>N(N2352)+IF(M2353="✓",1,0)</f>
        <v/>
      </c>
      <c r="O2353" s="93">
        <f>N(O2352)+IF(AND(B2353&lt;&gt;"",B2353&gt;='Uang Riba'!$H$30,B2353&lt;='Uang Riba'!$I$30,OR(H2353="Dana riba",H2353="Pinjam uang riba",I2353="Pinjam dari uang riba",I2353="Ganti uang riba",I2353="Kelebihan ganti dikembalikan",AND(C2353="Kantong Uang Riba",G2353="Pengeluaran"))),1,0)</f>
        <v/>
      </c>
      <c r="X2353" s="93">
        <f>IF(AND(B2353&lt;&gt;"",B2353&gt;='Buku Akun'!$H$4,B2353&lt;='Buku Akun'!$H$5,OR(C2353='Buku Akun'!$C$4,AND(D2353="Pindah",E2353='Buku Akun'!$C$4))),B2353+IF(AND(I2353="Selisih bunga",DAY(B2353)=1),0,0.01)+ROW()/10000000,"")</f>
        <v/>
      </c>
    </row>
    <row r="2354" outlineLevel="1" ht="15" customHeight="1" s="94">
      <c r="A2354" s="123">
        <f>IF(B2354="","",ROW()-15)</f>
        <v/>
      </c>
      <c r="B2354" s="124" t="n"/>
      <c r="C2354" s="123" t="n"/>
      <c r="D2354" s="123" t="n"/>
      <c r="E2354" s="123" t="n"/>
      <c r="F2354" s="125" t="n"/>
      <c r="G2354" s="123" t="n"/>
      <c r="H2354" s="123" t="n"/>
      <c r="I2354" s="123" t="n"/>
      <c r="J2354" s="123" t="n"/>
      <c r="K2354" s="123" t="n"/>
      <c r="L2354" s="123" t="n"/>
      <c r="M2354" s="123">
        <f>IF(AND(B2354&lt;&gt;"",OR($C$4="",ISNUMBER(SEARCH($C$4,C2354&amp;" "&amp;E2354&amp;" "&amp;G2354&amp;" "&amp;H2354&amp;" "&amp;I2354&amp;" "&amp;J2354&amp;" "&amp;K2354&amp;" "&amp;L2354))),OR($C$5="Semua",$C$5="",G2354=$C$5),OR($C$6="Semua",$C$6="",H2354=$C$6,H2354="Pengeluaran "&amp;$C$6,AND($C$6="Uang Kos Mama",H2354="Pengeluaran Uang Kos")),OR($C$7="Semua",$C$7="",I2354=$C$7),OR($C$8="Semua",$C$8="",C2354=$C$8,E2354=$C$8),OR($C$9="Semua",$C$9="",D2354=$C$9),OR($C$10="",B2354&gt;=$C$10),OR($C$11="",B2354&lt;=$C$11),OR($C$12&lt;&gt;"Ya",K2354&lt;&gt;""),OR($C$13="Semua",$C$13="",L2354=$C$13)),"✓","")</f>
        <v/>
      </c>
      <c r="N2354" s="93">
        <f>N(N2353)+IF(M2354="✓",1,0)</f>
        <v/>
      </c>
      <c r="O2354" s="93">
        <f>N(O2353)+IF(AND(B2354&lt;&gt;"",B2354&gt;='Uang Riba'!$H$30,B2354&lt;='Uang Riba'!$I$30,OR(H2354="Dana riba",H2354="Pinjam uang riba",I2354="Pinjam dari uang riba",I2354="Ganti uang riba",I2354="Kelebihan ganti dikembalikan",AND(C2354="Kantong Uang Riba",G2354="Pengeluaran"))),1,0)</f>
        <v/>
      </c>
      <c r="X2354" s="93">
        <f>IF(AND(B2354&lt;&gt;"",B2354&gt;='Buku Akun'!$H$4,B2354&lt;='Buku Akun'!$H$5,OR(C2354='Buku Akun'!$C$4,AND(D2354="Pindah",E2354='Buku Akun'!$C$4))),B2354+IF(AND(I2354="Selisih bunga",DAY(B2354)=1),0,0.01)+ROW()/10000000,"")</f>
        <v/>
      </c>
    </row>
    <row r="2355" outlineLevel="1" ht="15" customHeight="1" s="94">
      <c r="A2355" s="123">
        <f>IF(B2355="","",ROW()-15)</f>
        <v/>
      </c>
      <c r="B2355" s="124" t="n"/>
      <c r="C2355" s="123" t="n"/>
      <c r="D2355" s="123" t="n"/>
      <c r="E2355" s="123" t="n"/>
      <c r="F2355" s="125" t="n"/>
      <c r="G2355" s="123" t="n"/>
      <c r="H2355" s="123" t="n"/>
      <c r="I2355" s="123" t="n"/>
      <c r="J2355" s="123" t="n"/>
      <c r="K2355" s="123" t="n"/>
      <c r="L2355" s="123" t="n"/>
      <c r="M2355" s="123">
        <f>IF(AND(B2355&lt;&gt;"",OR($C$4="",ISNUMBER(SEARCH($C$4,C2355&amp;" "&amp;E2355&amp;" "&amp;G2355&amp;" "&amp;H2355&amp;" "&amp;I2355&amp;" "&amp;J2355&amp;" "&amp;K2355&amp;" "&amp;L2355))),OR($C$5="Semua",$C$5="",G2355=$C$5),OR($C$6="Semua",$C$6="",H2355=$C$6,H2355="Pengeluaran "&amp;$C$6,AND($C$6="Uang Kos Mama",H2355="Pengeluaran Uang Kos")),OR($C$7="Semua",$C$7="",I2355=$C$7),OR($C$8="Semua",$C$8="",C2355=$C$8,E2355=$C$8),OR($C$9="Semua",$C$9="",D2355=$C$9),OR($C$10="",B2355&gt;=$C$10),OR($C$11="",B2355&lt;=$C$11),OR($C$12&lt;&gt;"Ya",K2355&lt;&gt;""),OR($C$13="Semua",$C$13="",L2355=$C$13)),"✓","")</f>
        <v/>
      </c>
      <c r="N2355" s="93">
        <f>N(N2354)+IF(M2355="✓",1,0)</f>
        <v/>
      </c>
      <c r="O2355" s="93">
        <f>N(O2354)+IF(AND(B2355&lt;&gt;"",B2355&gt;='Uang Riba'!$H$30,B2355&lt;='Uang Riba'!$I$30,OR(H2355="Dana riba",H2355="Pinjam uang riba",I2355="Pinjam dari uang riba",I2355="Ganti uang riba",I2355="Kelebihan ganti dikembalikan",AND(C2355="Kantong Uang Riba",G2355="Pengeluaran"))),1,0)</f>
        <v/>
      </c>
      <c r="X2355" s="93">
        <f>IF(AND(B2355&lt;&gt;"",B2355&gt;='Buku Akun'!$H$4,B2355&lt;='Buku Akun'!$H$5,OR(C2355='Buku Akun'!$C$4,AND(D2355="Pindah",E2355='Buku Akun'!$C$4))),B2355+IF(AND(I2355="Selisih bunga",DAY(B2355)=1),0,0.01)+ROW()/10000000,"")</f>
        <v/>
      </c>
    </row>
    <row r="2356" outlineLevel="1" ht="15" customHeight="1" s="94">
      <c r="A2356" s="123">
        <f>IF(B2356="","",ROW()-15)</f>
        <v/>
      </c>
      <c r="B2356" s="124" t="n"/>
      <c r="C2356" s="123" t="n"/>
      <c r="D2356" s="123" t="n"/>
      <c r="E2356" s="123" t="n"/>
      <c r="F2356" s="125" t="n"/>
      <c r="G2356" s="123" t="n"/>
      <c r="H2356" s="123" t="n"/>
      <c r="I2356" s="123" t="n"/>
      <c r="J2356" s="123" t="n"/>
      <c r="K2356" s="123" t="n"/>
      <c r="L2356" s="123" t="n"/>
      <c r="M2356" s="123">
        <f>IF(AND(B2356&lt;&gt;"",OR($C$4="",ISNUMBER(SEARCH($C$4,C2356&amp;" "&amp;E2356&amp;" "&amp;G2356&amp;" "&amp;H2356&amp;" "&amp;I2356&amp;" "&amp;J2356&amp;" "&amp;K2356&amp;" "&amp;L2356))),OR($C$5="Semua",$C$5="",G2356=$C$5),OR($C$6="Semua",$C$6="",H2356=$C$6,H2356="Pengeluaran "&amp;$C$6,AND($C$6="Uang Kos Mama",H2356="Pengeluaran Uang Kos")),OR($C$7="Semua",$C$7="",I2356=$C$7),OR($C$8="Semua",$C$8="",C2356=$C$8,E2356=$C$8),OR($C$9="Semua",$C$9="",D2356=$C$9),OR($C$10="",B2356&gt;=$C$10),OR($C$11="",B2356&lt;=$C$11),OR($C$12&lt;&gt;"Ya",K2356&lt;&gt;""),OR($C$13="Semua",$C$13="",L2356=$C$13)),"✓","")</f>
        <v/>
      </c>
      <c r="N2356" s="93">
        <f>N(N2355)+IF(M2356="✓",1,0)</f>
        <v/>
      </c>
      <c r="O2356" s="93">
        <f>N(O2355)+IF(AND(B2356&lt;&gt;"",B2356&gt;='Uang Riba'!$H$30,B2356&lt;='Uang Riba'!$I$30,OR(H2356="Dana riba",H2356="Pinjam uang riba",I2356="Pinjam dari uang riba",I2356="Ganti uang riba",I2356="Kelebihan ganti dikembalikan",AND(C2356="Kantong Uang Riba",G2356="Pengeluaran"))),1,0)</f>
        <v/>
      </c>
      <c r="X2356" s="93">
        <f>IF(AND(B2356&lt;&gt;"",B2356&gt;='Buku Akun'!$H$4,B2356&lt;='Buku Akun'!$H$5,OR(C2356='Buku Akun'!$C$4,AND(D2356="Pindah",E2356='Buku Akun'!$C$4))),B2356+IF(AND(I2356="Selisih bunga",DAY(B2356)=1),0,0.01)+ROW()/10000000,"")</f>
        <v/>
      </c>
    </row>
    <row r="2357" outlineLevel="1" ht="15" customHeight="1" s="94">
      <c r="A2357" s="123">
        <f>IF(B2357="","",ROW()-15)</f>
        <v/>
      </c>
      <c r="B2357" s="124" t="n"/>
      <c r="C2357" s="123" t="n"/>
      <c r="D2357" s="123" t="n"/>
      <c r="E2357" s="123" t="n"/>
      <c r="F2357" s="125" t="n"/>
      <c r="G2357" s="123" t="n"/>
      <c r="H2357" s="123" t="n"/>
      <c r="I2357" s="123" t="n"/>
      <c r="J2357" s="123" t="n"/>
      <c r="K2357" s="123" t="n"/>
      <c r="L2357" s="123" t="n"/>
      <c r="M2357" s="123">
        <f>IF(AND(B2357&lt;&gt;"",OR($C$4="",ISNUMBER(SEARCH($C$4,C2357&amp;" "&amp;E2357&amp;" "&amp;G2357&amp;" "&amp;H2357&amp;" "&amp;I2357&amp;" "&amp;J2357&amp;" "&amp;K2357&amp;" "&amp;L2357))),OR($C$5="Semua",$C$5="",G2357=$C$5),OR($C$6="Semua",$C$6="",H2357=$C$6,H2357="Pengeluaran "&amp;$C$6,AND($C$6="Uang Kos Mama",H2357="Pengeluaran Uang Kos")),OR($C$7="Semua",$C$7="",I2357=$C$7),OR($C$8="Semua",$C$8="",C2357=$C$8,E2357=$C$8),OR($C$9="Semua",$C$9="",D2357=$C$9),OR($C$10="",B2357&gt;=$C$10),OR($C$11="",B2357&lt;=$C$11),OR($C$12&lt;&gt;"Ya",K2357&lt;&gt;""),OR($C$13="Semua",$C$13="",L2357=$C$13)),"✓","")</f>
        <v/>
      </c>
      <c r="N2357" s="93">
        <f>N(N2356)+IF(M2357="✓",1,0)</f>
        <v/>
      </c>
      <c r="O2357" s="93">
        <f>N(O2356)+IF(AND(B2357&lt;&gt;"",B2357&gt;='Uang Riba'!$H$30,B2357&lt;='Uang Riba'!$I$30,OR(H2357="Dana riba",H2357="Pinjam uang riba",I2357="Pinjam dari uang riba",I2357="Ganti uang riba",I2357="Kelebihan ganti dikembalikan",AND(C2357="Kantong Uang Riba",G2357="Pengeluaran"))),1,0)</f>
        <v/>
      </c>
      <c r="X2357" s="93">
        <f>IF(AND(B2357&lt;&gt;"",B2357&gt;='Buku Akun'!$H$4,B2357&lt;='Buku Akun'!$H$5,OR(C2357='Buku Akun'!$C$4,AND(D2357="Pindah",E2357='Buku Akun'!$C$4))),B2357+IF(AND(I2357="Selisih bunga",DAY(B2357)=1),0,0.01)+ROW()/10000000,"")</f>
        <v/>
      </c>
    </row>
    <row r="2358" outlineLevel="1" ht="15" customHeight="1" s="94">
      <c r="A2358" s="123">
        <f>IF(B2358="","",ROW()-15)</f>
        <v/>
      </c>
      <c r="B2358" s="124" t="n"/>
      <c r="C2358" s="123" t="n"/>
      <c r="D2358" s="123" t="n"/>
      <c r="E2358" s="123" t="n"/>
      <c r="F2358" s="125" t="n"/>
      <c r="G2358" s="123" t="n"/>
      <c r="H2358" s="123" t="n"/>
      <c r="I2358" s="123" t="n"/>
      <c r="J2358" s="123" t="n"/>
      <c r="K2358" s="123" t="n"/>
      <c r="L2358" s="123" t="n"/>
      <c r="M2358" s="123">
        <f>IF(AND(B2358&lt;&gt;"",OR($C$4="",ISNUMBER(SEARCH($C$4,C2358&amp;" "&amp;E2358&amp;" "&amp;G2358&amp;" "&amp;H2358&amp;" "&amp;I2358&amp;" "&amp;J2358&amp;" "&amp;K2358&amp;" "&amp;L2358))),OR($C$5="Semua",$C$5="",G2358=$C$5),OR($C$6="Semua",$C$6="",H2358=$C$6,H2358="Pengeluaran "&amp;$C$6,AND($C$6="Uang Kos Mama",H2358="Pengeluaran Uang Kos")),OR($C$7="Semua",$C$7="",I2358=$C$7),OR($C$8="Semua",$C$8="",C2358=$C$8,E2358=$C$8),OR($C$9="Semua",$C$9="",D2358=$C$9),OR($C$10="",B2358&gt;=$C$10),OR($C$11="",B2358&lt;=$C$11),OR($C$12&lt;&gt;"Ya",K2358&lt;&gt;""),OR($C$13="Semua",$C$13="",L2358=$C$13)),"✓","")</f>
        <v/>
      </c>
      <c r="N2358" s="93">
        <f>N(N2357)+IF(M2358="✓",1,0)</f>
        <v/>
      </c>
      <c r="O2358" s="93">
        <f>N(O2357)+IF(AND(B2358&lt;&gt;"",B2358&gt;='Uang Riba'!$H$30,B2358&lt;='Uang Riba'!$I$30,OR(H2358="Dana riba",H2358="Pinjam uang riba",I2358="Pinjam dari uang riba",I2358="Ganti uang riba",I2358="Kelebihan ganti dikembalikan",AND(C2358="Kantong Uang Riba",G2358="Pengeluaran"))),1,0)</f>
        <v/>
      </c>
      <c r="X2358" s="93">
        <f>IF(AND(B2358&lt;&gt;"",B2358&gt;='Buku Akun'!$H$4,B2358&lt;='Buku Akun'!$H$5,OR(C2358='Buku Akun'!$C$4,AND(D2358="Pindah",E2358='Buku Akun'!$C$4))),B2358+IF(AND(I2358="Selisih bunga",DAY(B2358)=1),0,0.01)+ROW()/10000000,"")</f>
        <v/>
      </c>
    </row>
    <row r="2359" outlineLevel="1" ht="15" customHeight="1" s="94">
      <c r="A2359" s="123">
        <f>IF(B2359="","",ROW()-15)</f>
        <v/>
      </c>
      <c r="B2359" s="124" t="n"/>
      <c r="C2359" s="123" t="n"/>
      <c r="D2359" s="123" t="n"/>
      <c r="E2359" s="123" t="n"/>
      <c r="F2359" s="125" t="n"/>
      <c r="G2359" s="123" t="n"/>
      <c r="H2359" s="123" t="n"/>
      <c r="I2359" s="123" t="n"/>
      <c r="J2359" s="123" t="n"/>
      <c r="K2359" s="123" t="n"/>
      <c r="L2359" s="123" t="n"/>
      <c r="M2359" s="123">
        <f>IF(AND(B2359&lt;&gt;"",OR($C$4="",ISNUMBER(SEARCH($C$4,C2359&amp;" "&amp;E2359&amp;" "&amp;G2359&amp;" "&amp;H2359&amp;" "&amp;I2359&amp;" "&amp;J2359&amp;" "&amp;K2359&amp;" "&amp;L2359))),OR($C$5="Semua",$C$5="",G2359=$C$5),OR($C$6="Semua",$C$6="",H2359=$C$6,H2359="Pengeluaran "&amp;$C$6,AND($C$6="Uang Kos Mama",H2359="Pengeluaran Uang Kos")),OR($C$7="Semua",$C$7="",I2359=$C$7),OR($C$8="Semua",$C$8="",C2359=$C$8,E2359=$C$8),OR($C$9="Semua",$C$9="",D2359=$C$9),OR($C$10="",B2359&gt;=$C$10),OR($C$11="",B2359&lt;=$C$11),OR($C$12&lt;&gt;"Ya",K2359&lt;&gt;""),OR($C$13="Semua",$C$13="",L2359=$C$13)),"✓","")</f>
        <v/>
      </c>
      <c r="N2359" s="93">
        <f>N(N2358)+IF(M2359="✓",1,0)</f>
        <v/>
      </c>
      <c r="O2359" s="93">
        <f>N(O2358)+IF(AND(B2359&lt;&gt;"",B2359&gt;='Uang Riba'!$H$30,B2359&lt;='Uang Riba'!$I$30,OR(H2359="Dana riba",H2359="Pinjam uang riba",I2359="Pinjam dari uang riba",I2359="Ganti uang riba",I2359="Kelebihan ganti dikembalikan",AND(C2359="Kantong Uang Riba",G2359="Pengeluaran"))),1,0)</f>
        <v/>
      </c>
      <c r="X2359" s="93">
        <f>IF(AND(B2359&lt;&gt;"",B2359&gt;='Buku Akun'!$H$4,B2359&lt;='Buku Akun'!$H$5,OR(C2359='Buku Akun'!$C$4,AND(D2359="Pindah",E2359='Buku Akun'!$C$4))),B2359+IF(AND(I2359="Selisih bunga",DAY(B2359)=1),0,0.01)+ROW()/10000000,"")</f>
        <v/>
      </c>
    </row>
    <row r="2360" outlineLevel="1" ht="15" customHeight="1" s="94">
      <c r="A2360" s="123">
        <f>IF(B2360="","",ROW()-15)</f>
        <v/>
      </c>
      <c r="B2360" s="124" t="n"/>
      <c r="C2360" s="123" t="n"/>
      <c r="D2360" s="123" t="n"/>
      <c r="E2360" s="123" t="n"/>
      <c r="F2360" s="125" t="n"/>
      <c r="G2360" s="123" t="n"/>
      <c r="H2360" s="123" t="n"/>
      <c r="I2360" s="123" t="n"/>
      <c r="J2360" s="123" t="n"/>
      <c r="K2360" s="123" t="n"/>
      <c r="L2360" s="123" t="n"/>
      <c r="M2360" s="123">
        <f>IF(AND(B2360&lt;&gt;"",OR($C$4="",ISNUMBER(SEARCH($C$4,C2360&amp;" "&amp;E2360&amp;" "&amp;G2360&amp;" "&amp;H2360&amp;" "&amp;I2360&amp;" "&amp;J2360&amp;" "&amp;K2360&amp;" "&amp;L2360))),OR($C$5="Semua",$C$5="",G2360=$C$5),OR($C$6="Semua",$C$6="",H2360=$C$6,H2360="Pengeluaran "&amp;$C$6,AND($C$6="Uang Kos Mama",H2360="Pengeluaran Uang Kos")),OR($C$7="Semua",$C$7="",I2360=$C$7),OR($C$8="Semua",$C$8="",C2360=$C$8,E2360=$C$8),OR($C$9="Semua",$C$9="",D2360=$C$9),OR($C$10="",B2360&gt;=$C$10),OR($C$11="",B2360&lt;=$C$11),OR($C$12&lt;&gt;"Ya",K2360&lt;&gt;""),OR($C$13="Semua",$C$13="",L2360=$C$13)),"✓","")</f>
        <v/>
      </c>
      <c r="N2360" s="93">
        <f>N(N2359)+IF(M2360="✓",1,0)</f>
        <v/>
      </c>
      <c r="O2360" s="93">
        <f>N(O2359)+IF(AND(B2360&lt;&gt;"",B2360&gt;='Uang Riba'!$H$30,B2360&lt;='Uang Riba'!$I$30,OR(H2360="Dana riba",H2360="Pinjam uang riba",I2360="Pinjam dari uang riba",I2360="Ganti uang riba",I2360="Kelebihan ganti dikembalikan",AND(C2360="Kantong Uang Riba",G2360="Pengeluaran"))),1,0)</f>
        <v/>
      </c>
      <c r="X2360" s="93">
        <f>IF(AND(B2360&lt;&gt;"",B2360&gt;='Buku Akun'!$H$4,B2360&lt;='Buku Akun'!$H$5,OR(C2360='Buku Akun'!$C$4,AND(D2360="Pindah",E2360='Buku Akun'!$C$4))),B2360+IF(AND(I2360="Selisih bunga",DAY(B2360)=1),0,0.01)+ROW()/10000000,"")</f>
        <v/>
      </c>
    </row>
    <row r="2361" outlineLevel="1" ht="15" customHeight="1" s="94">
      <c r="A2361" s="123">
        <f>IF(B2361="","",ROW()-15)</f>
        <v/>
      </c>
      <c r="B2361" s="124" t="n"/>
      <c r="C2361" s="123" t="n"/>
      <c r="D2361" s="123" t="n"/>
      <c r="E2361" s="123" t="n"/>
      <c r="F2361" s="125" t="n"/>
      <c r="G2361" s="123" t="n"/>
      <c r="H2361" s="123" t="n"/>
      <c r="I2361" s="123" t="n"/>
      <c r="J2361" s="123" t="n"/>
      <c r="K2361" s="123" t="n"/>
      <c r="L2361" s="123" t="n"/>
      <c r="M2361" s="123">
        <f>IF(AND(B2361&lt;&gt;"",OR($C$4="",ISNUMBER(SEARCH($C$4,C2361&amp;" "&amp;E2361&amp;" "&amp;G2361&amp;" "&amp;H2361&amp;" "&amp;I2361&amp;" "&amp;J2361&amp;" "&amp;K2361&amp;" "&amp;L2361))),OR($C$5="Semua",$C$5="",G2361=$C$5),OR($C$6="Semua",$C$6="",H2361=$C$6,H2361="Pengeluaran "&amp;$C$6,AND($C$6="Uang Kos Mama",H2361="Pengeluaran Uang Kos")),OR($C$7="Semua",$C$7="",I2361=$C$7),OR($C$8="Semua",$C$8="",C2361=$C$8,E2361=$C$8),OR($C$9="Semua",$C$9="",D2361=$C$9),OR($C$10="",B2361&gt;=$C$10),OR($C$11="",B2361&lt;=$C$11),OR($C$12&lt;&gt;"Ya",K2361&lt;&gt;""),OR($C$13="Semua",$C$13="",L2361=$C$13)),"✓","")</f>
        <v/>
      </c>
      <c r="N2361" s="93">
        <f>N(N2360)+IF(M2361="✓",1,0)</f>
        <v/>
      </c>
      <c r="O2361" s="93">
        <f>N(O2360)+IF(AND(B2361&lt;&gt;"",B2361&gt;='Uang Riba'!$H$30,B2361&lt;='Uang Riba'!$I$30,OR(H2361="Dana riba",H2361="Pinjam uang riba",I2361="Pinjam dari uang riba",I2361="Ganti uang riba",I2361="Kelebihan ganti dikembalikan",AND(C2361="Kantong Uang Riba",G2361="Pengeluaran"))),1,0)</f>
        <v/>
      </c>
      <c r="X2361" s="93">
        <f>IF(AND(B2361&lt;&gt;"",B2361&gt;='Buku Akun'!$H$4,B2361&lt;='Buku Akun'!$H$5,OR(C2361='Buku Akun'!$C$4,AND(D2361="Pindah",E2361='Buku Akun'!$C$4))),B2361+IF(AND(I2361="Selisih bunga",DAY(B2361)=1),0,0.01)+ROW()/10000000,"")</f>
        <v/>
      </c>
    </row>
    <row r="2362" outlineLevel="1" ht="15" customHeight="1" s="94">
      <c r="A2362" s="123">
        <f>IF(B2362="","",ROW()-15)</f>
        <v/>
      </c>
      <c r="B2362" s="124" t="n"/>
      <c r="C2362" s="123" t="n"/>
      <c r="D2362" s="123" t="n"/>
      <c r="E2362" s="123" t="n"/>
      <c r="F2362" s="125" t="n"/>
      <c r="G2362" s="123" t="n"/>
      <c r="H2362" s="123" t="n"/>
      <c r="I2362" s="123" t="n"/>
      <c r="J2362" s="123" t="n"/>
      <c r="K2362" s="123" t="n"/>
      <c r="L2362" s="123" t="n"/>
      <c r="M2362" s="123">
        <f>IF(AND(B2362&lt;&gt;"",OR($C$4="",ISNUMBER(SEARCH($C$4,C2362&amp;" "&amp;E2362&amp;" "&amp;G2362&amp;" "&amp;H2362&amp;" "&amp;I2362&amp;" "&amp;J2362&amp;" "&amp;K2362&amp;" "&amp;L2362))),OR($C$5="Semua",$C$5="",G2362=$C$5),OR($C$6="Semua",$C$6="",H2362=$C$6,H2362="Pengeluaran "&amp;$C$6,AND($C$6="Uang Kos Mama",H2362="Pengeluaran Uang Kos")),OR($C$7="Semua",$C$7="",I2362=$C$7),OR($C$8="Semua",$C$8="",C2362=$C$8,E2362=$C$8),OR($C$9="Semua",$C$9="",D2362=$C$9),OR($C$10="",B2362&gt;=$C$10),OR($C$11="",B2362&lt;=$C$11),OR($C$12&lt;&gt;"Ya",K2362&lt;&gt;""),OR($C$13="Semua",$C$13="",L2362=$C$13)),"✓","")</f>
        <v/>
      </c>
      <c r="N2362" s="93">
        <f>N(N2361)+IF(M2362="✓",1,0)</f>
        <v/>
      </c>
      <c r="O2362" s="93">
        <f>N(O2361)+IF(AND(B2362&lt;&gt;"",B2362&gt;='Uang Riba'!$H$30,B2362&lt;='Uang Riba'!$I$30,OR(H2362="Dana riba",H2362="Pinjam uang riba",I2362="Pinjam dari uang riba",I2362="Ganti uang riba",I2362="Kelebihan ganti dikembalikan",AND(C2362="Kantong Uang Riba",G2362="Pengeluaran"))),1,0)</f>
        <v/>
      </c>
      <c r="X2362" s="93">
        <f>IF(AND(B2362&lt;&gt;"",B2362&gt;='Buku Akun'!$H$4,B2362&lt;='Buku Akun'!$H$5,OR(C2362='Buku Akun'!$C$4,AND(D2362="Pindah",E2362='Buku Akun'!$C$4))),B2362+IF(AND(I2362="Selisih bunga",DAY(B2362)=1),0,0.01)+ROW()/10000000,"")</f>
        <v/>
      </c>
    </row>
    <row r="2363" outlineLevel="1" ht="15" customHeight="1" s="94">
      <c r="A2363" s="123">
        <f>IF(B2363="","",ROW()-15)</f>
        <v/>
      </c>
      <c r="B2363" s="124" t="n"/>
      <c r="C2363" s="123" t="n"/>
      <c r="D2363" s="123" t="n"/>
      <c r="E2363" s="123" t="n"/>
      <c r="F2363" s="125" t="n"/>
      <c r="G2363" s="123" t="n"/>
      <c r="H2363" s="123" t="n"/>
      <c r="I2363" s="123" t="n"/>
      <c r="J2363" s="123" t="n"/>
      <c r="K2363" s="123" t="n"/>
      <c r="L2363" s="123" t="n"/>
      <c r="M2363" s="123">
        <f>IF(AND(B2363&lt;&gt;"",OR($C$4="",ISNUMBER(SEARCH($C$4,C2363&amp;" "&amp;E2363&amp;" "&amp;G2363&amp;" "&amp;H2363&amp;" "&amp;I2363&amp;" "&amp;J2363&amp;" "&amp;K2363&amp;" "&amp;L2363))),OR($C$5="Semua",$C$5="",G2363=$C$5),OR($C$6="Semua",$C$6="",H2363=$C$6,H2363="Pengeluaran "&amp;$C$6,AND($C$6="Uang Kos Mama",H2363="Pengeluaran Uang Kos")),OR($C$7="Semua",$C$7="",I2363=$C$7),OR($C$8="Semua",$C$8="",C2363=$C$8,E2363=$C$8),OR($C$9="Semua",$C$9="",D2363=$C$9),OR($C$10="",B2363&gt;=$C$10),OR($C$11="",B2363&lt;=$C$11),OR($C$12&lt;&gt;"Ya",K2363&lt;&gt;""),OR($C$13="Semua",$C$13="",L2363=$C$13)),"✓","")</f>
        <v/>
      </c>
      <c r="N2363" s="93">
        <f>N(N2362)+IF(M2363="✓",1,0)</f>
        <v/>
      </c>
      <c r="O2363" s="93">
        <f>N(O2362)+IF(AND(B2363&lt;&gt;"",B2363&gt;='Uang Riba'!$H$30,B2363&lt;='Uang Riba'!$I$30,OR(H2363="Dana riba",H2363="Pinjam uang riba",I2363="Pinjam dari uang riba",I2363="Ganti uang riba",I2363="Kelebihan ganti dikembalikan",AND(C2363="Kantong Uang Riba",G2363="Pengeluaran"))),1,0)</f>
        <v/>
      </c>
      <c r="X2363" s="93">
        <f>IF(AND(B2363&lt;&gt;"",B2363&gt;='Buku Akun'!$H$4,B2363&lt;='Buku Akun'!$H$5,OR(C2363='Buku Akun'!$C$4,AND(D2363="Pindah",E2363='Buku Akun'!$C$4))),B2363+IF(AND(I2363="Selisih bunga",DAY(B2363)=1),0,0.01)+ROW()/10000000,"")</f>
        <v/>
      </c>
    </row>
    <row r="2364" outlineLevel="1" ht="15" customHeight="1" s="94">
      <c r="A2364" s="123">
        <f>IF(B2364="","",ROW()-15)</f>
        <v/>
      </c>
      <c r="B2364" s="124" t="n"/>
      <c r="C2364" s="123" t="n"/>
      <c r="D2364" s="123" t="n"/>
      <c r="E2364" s="123" t="n"/>
      <c r="F2364" s="125" t="n"/>
      <c r="G2364" s="123" t="n"/>
      <c r="H2364" s="123" t="n"/>
      <c r="I2364" s="123" t="n"/>
      <c r="J2364" s="123" t="n"/>
      <c r="K2364" s="123" t="n"/>
      <c r="L2364" s="123" t="n"/>
      <c r="M2364" s="123">
        <f>IF(AND(B2364&lt;&gt;"",OR($C$4="",ISNUMBER(SEARCH($C$4,C2364&amp;" "&amp;E2364&amp;" "&amp;G2364&amp;" "&amp;H2364&amp;" "&amp;I2364&amp;" "&amp;J2364&amp;" "&amp;K2364&amp;" "&amp;L2364))),OR($C$5="Semua",$C$5="",G2364=$C$5),OR($C$6="Semua",$C$6="",H2364=$C$6,H2364="Pengeluaran "&amp;$C$6,AND($C$6="Uang Kos Mama",H2364="Pengeluaran Uang Kos")),OR($C$7="Semua",$C$7="",I2364=$C$7),OR($C$8="Semua",$C$8="",C2364=$C$8,E2364=$C$8),OR($C$9="Semua",$C$9="",D2364=$C$9),OR($C$10="",B2364&gt;=$C$10),OR($C$11="",B2364&lt;=$C$11),OR($C$12&lt;&gt;"Ya",K2364&lt;&gt;""),OR($C$13="Semua",$C$13="",L2364=$C$13)),"✓","")</f>
        <v/>
      </c>
      <c r="N2364" s="93">
        <f>N(N2363)+IF(M2364="✓",1,0)</f>
        <v/>
      </c>
      <c r="O2364" s="93">
        <f>N(O2363)+IF(AND(B2364&lt;&gt;"",B2364&gt;='Uang Riba'!$H$30,B2364&lt;='Uang Riba'!$I$30,OR(H2364="Dana riba",H2364="Pinjam uang riba",I2364="Pinjam dari uang riba",I2364="Ganti uang riba",I2364="Kelebihan ganti dikembalikan",AND(C2364="Kantong Uang Riba",G2364="Pengeluaran"))),1,0)</f>
        <v/>
      </c>
      <c r="X2364" s="93">
        <f>IF(AND(B2364&lt;&gt;"",B2364&gt;='Buku Akun'!$H$4,B2364&lt;='Buku Akun'!$H$5,OR(C2364='Buku Akun'!$C$4,AND(D2364="Pindah",E2364='Buku Akun'!$C$4))),B2364+IF(AND(I2364="Selisih bunga",DAY(B2364)=1),0,0.01)+ROW()/10000000,"")</f>
        <v/>
      </c>
    </row>
    <row r="2365" outlineLevel="1" ht="15" customHeight="1" s="94">
      <c r="A2365" s="123">
        <f>IF(B2365="","",ROW()-15)</f>
        <v/>
      </c>
      <c r="B2365" s="124" t="n"/>
      <c r="C2365" s="123" t="n"/>
      <c r="D2365" s="123" t="n"/>
      <c r="E2365" s="123" t="n"/>
      <c r="F2365" s="125" t="n"/>
      <c r="G2365" s="123" t="n"/>
      <c r="H2365" s="123" t="n"/>
      <c r="I2365" s="123" t="n"/>
      <c r="J2365" s="123" t="n"/>
      <c r="K2365" s="123" t="n"/>
      <c r="L2365" s="123" t="n"/>
      <c r="M2365" s="123">
        <f>IF(AND(B2365&lt;&gt;"",OR($C$4="",ISNUMBER(SEARCH($C$4,C2365&amp;" "&amp;E2365&amp;" "&amp;G2365&amp;" "&amp;H2365&amp;" "&amp;I2365&amp;" "&amp;J2365&amp;" "&amp;K2365&amp;" "&amp;L2365))),OR($C$5="Semua",$C$5="",G2365=$C$5),OR($C$6="Semua",$C$6="",H2365=$C$6,H2365="Pengeluaran "&amp;$C$6,AND($C$6="Uang Kos Mama",H2365="Pengeluaran Uang Kos")),OR($C$7="Semua",$C$7="",I2365=$C$7),OR($C$8="Semua",$C$8="",C2365=$C$8,E2365=$C$8),OR($C$9="Semua",$C$9="",D2365=$C$9),OR($C$10="",B2365&gt;=$C$10),OR($C$11="",B2365&lt;=$C$11),OR($C$12&lt;&gt;"Ya",K2365&lt;&gt;""),OR($C$13="Semua",$C$13="",L2365=$C$13)),"✓","")</f>
        <v/>
      </c>
      <c r="N2365" s="93">
        <f>N(N2364)+IF(M2365="✓",1,0)</f>
        <v/>
      </c>
      <c r="O2365" s="93">
        <f>N(O2364)+IF(AND(B2365&lt;&gt;"",B2365&gt;='Uang Riba'!$H$30,B2365&lt;='Uang Riba'!$I$30,OR(H2365="Dana riba",H2365="Pinjam uang riba",I2365="Pinjam dari uang riba",I2365="Ganti uang riba",I2365="Kelebihan ganti dikembalikan",AND(C2365="Kantong Uang Riba",G2365="Pengeluaran"))),1,0)</f>
        <v/>
      </c>
      <c r="X2365" s="93">
        <f>IF(AND(B2365&lt;&gt;"",B2365&gt;='Buku Akun'!$H$4,B2365&lt;='Buku Akun'!$H$5,OR(C2365='Buku Akun'!$C$4,AND(D2365="Pindah",E2365='Buku Akun'!$C$4))),B2365+IF(AND(I2365="Selisih bunga",DAY(B2365)=1),0,0.01)+ROW()/10000000,"")</f>
        <v/>
      </c>
    </row>
    <row r="2366" outlineLevel="1" ht="15" customHeight="1" s="94">
      <c r="A2366" s="123">
        <f>IF(B2366="","",ROW()-15)</f>
        <v/>
      </c>
      <c r="B2366" s="124" t="n"/>
      <c r="C2366" s="123" t="n"/>
      <c r="D2366" s="123" t="n"/>
      <c r="E2366" s="123" t="n"/>
      <c r="F2366" s="125" t="n"/>
      <c r="G2366" s="123" t="n"/>
      <c r="H2366" s="123" t="n"/>
      <c r="I2366" s="123" t="n"/>
      <c r="J2366" s="123" t="n"/>
      <c r="K2366" s="123" t="n"/>
      <c r="L2366" s="123" t="n"/>
      <c r="M2366" s="123">
        <f>IF(AND(B2366&lt;&gt;"",OR($C$4="",ISNUMBER(SEARCH($C$4,C2366&amp;" "&amp;E2366&amp;" "&amp;G2366&amp;" "&amp;H2366&amp;" "&amp;I2366&amp;" "&amp;J2366&amp;" "&amp;K2366&amp;" "&amp;L2366))),OR($C$5="Semua",$C$5="",G2366=$C$5),OR($C$6="Semua",$C$6="",H2366=$C$6,H2366="Pengeluaran "&amp;$C$6,AND($C$6="Uang Kos Mama",H2366="Pengeluaran Uang Kos")),OR($C$7="Semua",$C$7="",I2366=$C$7),OR($C$8="Semua",$C$8="",C2366=$C$8,E2366=$C$8),OR($C$9="Semua",$C$9="",D2366=$C$9),OR($C$10="",B2366&gt;=$C$10),OR($C$11="",B2366&lt;=$C$11),OR($C$12&lt;&gt;"Ya",K2366&lt;&gt;""),OR($C$13="Semua",$C$13="",L2366=$C$13)),"✓","")</f>
        <v/>
      </c>
      <c r="N2366" s="93">
        <f>N(N2365)+IF(M2366="✓",1,0)</f>
        <v/>
      </c>
      <c r="O2366" s="93">
        <f>N(O2365)+IF(AND(B2366&lt;&gt;"",B2366&gt;='Uang Riba'!$H$30,B2366&lt;='Uang Riba'!$I$30,OR(H2366="Dana riba",H2366="Pinjam uang riba",I2366="Pinjam dari uang riba",I2366="Ganti uang riba",I2366="Kelebihan ganti dikembalikan",AND(C2366="Kantong Uang Riba",G2366="Pengeluaran"))),1,0)</f>
        <v/>
      </c>
      <c r="X2366" s="93">
        <f>IF(AND(B2366&lt;&gt;"",B2366&gt;='Buku Akun'!$H$4,B2366&lt;='Buku Akun'!$H$5,OR(C2366='Buku Akun'!$C$4,AND(D2366="Pindah",E2366='Buku Akun'!$C$4))),B2366+IF(AND(I2366="Selisih bunga",DAY(B2366)=1),0,0.01)+ROW()/10000000,"")</f>
        <v/>
      </c>
    </row>
    <row r="2367" outlineLevel="1" ht="15" customHeight="1" s="94">
      <c r="A2367" s="123">
        <f>IF(B2367="","",ROW()-15)</f>
        <v/>
      </c>
      <c r="B2367" s="124" t="n"/>
      <c r="C2367" s="123" t="n"/>
      <c r="D2367" s="123" t="n"/>
      <c r="E2367" s="123" t="n"/>
      <c r="F2367" s="125" t="n"/>
      <c r="G2367" s="123" t="n"/>
      <c r="H2367" s="123" t="n"/>
      <c r="I2367" s="123" t="n"/>
      <c r="J2367" s="123" t="n"/>
      <c r="K2367" s="123" t="n"/>
      <c r="L2367" s="123" t="n"/>
      <c r="M2367" s="123">
        <f>IF(AND(B2367&lt;&gt;"",OR($C$4="",ISNUMBER(SEARCH($C$4,C2367&amp;" "&amp;E2367&amp;" "&amp;G2367&amp;" "&amp;H2367&amp;" "&amp;I2367&amp;" "&amp;J2367&amp;" "&amp;K2367&amp;" "&amp;L2367))),OR($C$5="Semua",$C$5="",G2367=$C$5),OR($C$6="Semua",$C$6="",H2367=$C$6,H2367="Pengeluaran "&amp;$C$6,AND($C$6="Uang Kos Mama",H2367="Pengeluaran Uang Kos")),OR($C$7="Semua",$C$7="",I2367=$C$7),OR($C$8="Semua",$C$8="",C2367=$C$8,E2367=$C$8),OR($C$9="Semua",$C$9="",D2367=$C$9),OR($C$10="",B2367&gt;=$C$10),OR($C$11="",B2367&lt;=$C$11),OR($C$12&lt;&gt;"Ya",K2367&lt;&gt;""),OR($C$13="Semua",$C$13="",L2367=$C$13)),"✓","")</f>
        <v/>
      </c>
      <c r="N2367" s="93">
        <f>N(N2366)+IF(M2367="✓",1,0)</f>
        <v/>
      </c>
      <c r="O2367" s="93">
        <f>N(O2366)+IF(AND(B2367&lt;&gt;"",B2367&gt;='Uang Riba'!$H$30,B2367&lt;='Uang Riba'!$I$30,OR(H2367="Dana riba",H2367="Pinjam uang riba",I2367="Pinjam dari uang riba",I2367="Ganti uang riba",I2367="Kelebihan ganti dikembalikan",AND(C2367="Kantong Uang Riba",G2367="Pengeluaran"))),1,0)</f>
        <v/>
      </c>
      <c r="X2367" s="93">
        <f>IF(AND(B2367&lt;&gt;"",B2367&gt;='Buku Akun'!$H$4,B2367&lt;='Buku Akun'!$H$5,OR(C2367='Buku Akun'!$C$4,AND(D2367="Pindah",E2367='Buku Akun'!$C$4))),B2367+IF(AND(I2367="Selisih bunga",DAY(B2367)=1),0,0.01)+ROW()/10000000,"")</f>
        <v/>
      </c>
    </row>
    <row r="2368" outlineLevel="1" ht="15" customHeight="1" s="94">
      <c r="A2368" s="123">
        <f>IF(B2368="","",ROW()-15)</f>
        <v/>
      </c>
      <c r="B2368" s="124" t="n"/>
      <c r="C2368" s="123" t="n"/>
      <c r="D2368" s="123" t="n"/>
      <c r="E2368" s="123" t="n"/>
      <c r="F2368" s="125" t="n"/>
      <c r="G2368" s="123" t="n"/>
      <c r="H2368" s="123" t="n"/>
      <c r="I2368" s="123" t="n"/>
      <c r="J2368" s="123" t="n"/>
      <c r="K2368" s="123" t="n"/>
      <c r="L2368" s="123" t="n"/>
      <c r="M2368" s="123">
        <f>IF(AND(B2368&lt;&gt;"",OR($C$4="",ISNUMBER(SEARCH($C$4,C2368&amp;" "&amp;E2368&amp;" "&amp;G2368&amp;" "&amp;H2368&amp;" "&amp;I2368&amp;" "&amp;J2368&amp;" "&amp;K2368&amp;" "&amp;L2368))),OR($C$5="Semua",$C$5="",G2368=$C$5),OR($C$6="Semua",$C$6="",H2368=$C$6,H2368="Pengeluaran "&amp;$C$6,AND($C$6="Uang Kos Mama",H2368="Pengeluaran Uang Kos")),OR($C$7="Semua",$C$7="",I2368=$C$7),OR($C$8="Semua",$C$8="",C2368=$C$8,E2368=$C$8),OR($C$9="Semua",$C$9="",D2368=$C$9),OR($C$10="",B2368&gt;=$C$10),OR($C$11="",B2368&lt;=$C$11),OR($C$12&lt;&gt;"Ya",K2368&lt;&gt;""),OR($C$13="Semua",$C$13="",L2368=$C$13)),"✓","")</f>
        <v/>
      </c>
      <c r="N2368" s="93">
        <f>N(N2367)+IF(M2368="✓",1,0)</f>
        <v/>
      </c>
      <c r="O2368" s="93">
        <f>N(O2367)+IF(AND(B2368&lt;&gt;"",B2368&gt;='Uang Riba'!$H$30,B2368&lt;='Uang Riba'!$I$30,OR(H2368="Dana riba",H2368="Pinjam uang riba",I2368="Pinjam dari uang riba",I2368="Ganti uang riba",I2368="Kelebihan ganti dikembalikan",AND(C2368="Kantong Uang Riba",G2368="Pengeluaran"))),1,0)</f>
        <v/>
      </c>
      <c r="X2368" s="93">
        <f>IF(AND(B2368&lt;&gt;"",B2368&gt;='Buku Akun'!$H$4,B2368&lt;='Buku Akun'!$H$5,OR(C2368='Buku Akun'!$C$4,AND(D2368="Pindah",E2368='Buku Akun'!$C$4))),B2368+IF(AND(I2368="Selisih bunga",DAY(B2368)=1),0,0.01)+ROW()/10000000,"")</f>
        <v/>
      </c>
    </row>
    <row r="2369" outlineLevel="1" ht="15" customHeight="1" s="94">
      <c r="A2369" s="123">
        <f>IF(B2369="","",ROW()-15)</f>
        <v/>
      </c>
      <c r="B2369" s="124" t="n"/>
      <c r="C2369" s="123" t="n"/>
      <c r="D2369" s="123" t="n"/>
      <c r="E2369" s="123" t="n"/>
      <c r="F2369" s="125" t="n"/>
      <c r="G2369" s="123" t="n"/>
      <c r="H2369" s="123" t="n"/>
      <c r="I2369" s="123" t="n"/>
      <c r="J2369" s="123" t="n"/>
      <c r="K2369" s="123" t="n"/>
      <c r="L2369" s="123" t="n"/>
      <c r="M2369" s="123">
        <f>IF(AND(B2369&lt;&gt;"",OR($C$4="",ISNUMBER(SEARCH($C$4,C2369&amp;" "&amp;E2369&amp;" "&amp;G2369&amp;" "&amp;H2369&amp;" "&amp;I2369&amp;" "&amp;J2369&amp;" "&amp;K2369&amp;" "&amp;L2369))),OR($C$5="Semua",$C$5="",G2369=$C$5),OR($C$6="Semua",$C$6="",H2369=$C$6,H2369="Pengeluaran "&amp;$C$6,AND($C$6="Uang Kos Mama",H2369="Pengeluaran Uang Kos")),OR($C$7="Semua",$C$7="",I2369=$C$7),OR($C$8="Semua",$C$8="",C2369=$C$8,E2369=$C$8),OR($C$9="Semua",$C$9="",D2369=$C$9),OR($C$10="",B2369&gt;=$C$10),OR($C$11="",B2369&lt;=$C$11),OR($C$12&lt;&gt;"Ya",K2369&lt;&gt;""),OR($C$13="Semua",$C$13="",L2369=$C$13)),"✓","")</f>
        <v/>
      </c>
      <c r="N2369" s="93">
        <f>N(N2368)+IF(M2369="✓",1,0)</f>
        <v/>
      </c>
      <c r="O2369" s="93">
        <f>N(O2368)+IF(AND(B2369&lt;&gt;"",B2369&gt;='Uang Riba'!$H$30,B2369&lt;='Uang Riba'!$I$30,OR(H2369="Dana riba",H2369="Pinjam uang riba",I2369="Pinjam dari uang riba",I2369="Ganti uang riba",I2369="Kelebihan ganti dikembalikan",AND(C2369="Kantong Uang Riba",G2369="Pengeluaran"))),1,0)</f>
        <v/>
      </c>
      <c r="X2369" s="93">
        <f>IF(AND(B2369&lt;&gt;"",B2369&gt;='Buku Akun'!$H$4,B2369&lt;='Buku Akun'!$H$5,OR(C2369='Buku Akun'!$C$4,AND(D2369="Pindah",E2369='Buku Akun'!$C$4))),B2369+IF(AND(I2369="Selisih bunga",DAY(B2369)=1),0,0.01)+ROW()/10000000,"")</f>
        <v/>
      </c>
    </row>
    <row r="2370" outlineLevel="1" ht="15" customHeight="1" s="94">
      <c r="A2370" s="123">
        <f>IF(B2370="","",ROW()-15)</f>
        <v/>
      </c>
      <c r="B2370" s="124" t="n"/>
      <c r="C2370" s="123" t="n"/>
      <c r="D2370" s="123" t="n"/>
      <c r="E2370" s="123" t="n"/>
      <c r="F2370" s="125" t="n"/>
      <c r="G2370" s="123" t="n"/>
      <c r="H2370" s="123" t="n"/>
      <c r="I2370" s="123" t="n"/>
      <c r="J2370" s="123" t="n"/>
      <c r="K2370" s="123" t="n"/>
      <c r="L2370" s="123" t="n"/>
      <c r="M2370" s="123">
        <f>IF(AND(B2370&lt;&gt;"",OR($C$4="",ISNUMBER(SEARCH($C$4,C2370&amp;" "&amp;E2370&amp;" "&amp;G2370&amp;" "&amp;H2370&amp;" "&amp;I2370&amp;" "&amp;J2370&amp;" "&amp;K2370&amp;" "&amp;L2370))),OR($C$5="Semua",$C$5="",G2370=$C$5),OR($C$6="Semua",$C$6="",H2370=$C$6,H2370="Pengeluaran "&amp;$C$6,AND($C$6="Uang Kos Mama",H2370="Pengeluaran Uang Kos")),OR($C$7="Semua",$C$7="",I2370=$C$7),OR($C$8="Semua",$C$8="",C2370=$C$8,E2370=$C$8),OR($C$9="Semua",$C$9="",D2370=$C$9),OR($C$10="",B2370&gt;=$C$10),OR($C$11="",B2370&lt;=$C$11),OR($C$12&lt;&gt;"Ya",K2370&lt;&gt;""),OR($C$13="Semua",$C$13="",L2370=$C$13)),"✓","")</f>
        <v/>
      </c>
      <c r="N2370" s="93">
        <f>N(N2369)+IF(M2370="✓",1,0)</f>
        <v/>
      </c>
      <c r="O2370" s="93">
        <f>N(O2369)+IF(AND(B2370&lt;&gt;"",B2370&gt;='Uang Riba'!$H$30,B2370&lt;='Uang Riba'!$I$30,OR(H2370="Dana riba",H2370="Pinjam uang riba",I2370="Pinjam dari uang riba",I2370="Ganti uang riba",I2370="Kelebihan ganti dikembalikan",AND(C2370="Kantong Uang Riba",G2370="Pengeluaran"))),1,0)</f>
        <v/>
      </c>
      <c r="X2370" s="93">
        <f>IF(AND(B2370&lt;&gt;"",B2370&gt;='Buku Akun'!$H$4,B2370&lt;='Buku Akun'!$H$5,OR(C2370='Buku Akun'!$C$4,AND(D2370="Pindah",E2370='Buku Akun'!$C$4))),B2370+IF(AND(I2370="Selisih bunga",DAY(B2370)=1),0,0.01)+ROW()/10000000,"")</f>
        <v/>
      </c>
    </row>
    <row r="2371" outlineLevel="1" ht="15" customHeight="1" s="94">
      <c r="A2371" s="123">
        <f>IF(B2371="","",ROW()-15)</f>
        <v/>
      </c>
      <c r="B2371" s="124" t="n"/>
      <c r="C2371" s="123" t="n"/>
      <c r="D2371" s="123" t="n"/>
      <c r="E2371" s="123" t="n"/>
      <c r="F2371" s="125" t="n"/>
      <c r="G2371" s="123" t="n"/>
      <c r="H2371" s="123" t="n"/>
      <c r="I2371" s="123" t="n"/>
      <c r="J2371" s="123" t="n"/>
      <c r="K2371" s="123" t="n"/>
      <c r="L2371" s="123" t="n"/>
      <c r="M2371" s="123">
        <f>IF(AND(B2371&lt;&gt;"",OR($C$4="",ISNUMBER(SEARCH($C$4,C2371&amp;" "&amp;E2371&amp;" "&amp;G2371&amp;" "&amp;H2371&amp;" "&amp;I2371&amp;" "&amp;J2371&amp;" "&amp;K2371&amp;" "&amp;L2371))),OR($C$5="Semua",$C$5="",G2371=$C$5),OR($C$6="Semua",$C$6="",H2371=$C$6,H2371="Pengeluaran "&amp;$C$6,AND($C$6="Uang Kos Mama",H2371="Pengeluaran Uang Kos")),OR($C$7="Semua",$C$7="",I2371=$C$7),OR($C$8="Semua",$C$8="",C2371=$C$8,E2371=$C$8),OR($C$9="Semua",$C$9="",D2371=$C$9),OR($C$10="",B2371&gt;=$C$10),OR($C$11="",B2371&lt;=$C$11),OR($C$12&lt;&gt;"Ya",K2371&lt;&gt;""),OR($C$13="Semua",$C$13="",L2371=$C$13)),"✓","")</f>
        <v/>
      </c>
      <c r="N2371" s="93">
        <f>N(N2370)+IF(M2371="✓",1,0)</f>
        <v/>
      </c>
      <c r="O2371" s="93">
        <f>N(O2370)+IF(AND(B2371&lt;&gt;"",B2371&gt;='Uang Riba'!$H$30,B2371&lt;='Uang Riba'!$I$30,OR(H2371="Dana riba",H2371="Pinjam uang riba",I2371="Pinjam dari uang riba",I2371="Ganti uang riba",I2371="Kelebihan ganti dikembalikan",AND(C2371="Kantong Uang Riba",G2371="Pengeluaran"))),1,0)</f>
        <v/>
      </c>
      <c r="X2371" s="93">
        <f>IF(AND(B2371&lt;&gt;"",B2371&gt;='Buku Akun'!$H$4,B2371&lt;='Buku Akun'!$H$5,OR(C2371='Buku Akun'!$C$4,AND(D2371="Pindah",E2371='Buku Akun'!$C$4))),B2371+IF(AND(I2371="Selisih bunga",DAY(B2371)=1),0,0.01)+ROW()/10000000,"")</f>
        <v/>
      </c>
    </row>
    <row r="2372" outlineLevel="1" ht="15" customHeight="1" s="94">
      <c r="A2372" s="123">
        <f>IF(B2372="","",ROW()-15)</f>
        <v/>
      </c>
      <c r="B2372" s="124" t="n"/>
      <c r="C2372" s="123" t="n"/>
      <c r="D2372" s="123" t="n"/>
      <c r="E2372" s="123" t="n"/>
      <c r="F2372" s="125" t="n"/>
      <c r="G2372" s="123" t="n"/>
      <c r="H2372" s="123" t="n"/>
      <c r="I2372" s="123" t="n"/>
      <c r="J2372" s="123" t="n"/>
      <c r="K2372" s="123" t="n"/>
      <c r="L2372" s="123" t="n"/>
      <c r="M2372" s="123">
        <f>IF(AND(B2372&lt;&gt;"",OR($C$4="",ISNUMBER(SEARCH($C$4,C2372&amp;" "&amp;E2372&amp;" "&amp;G2372&amp;" "&amp;H2372&amp;" "&amp;I2372&amp;" "&amp;J2372&amp;" "&amp;K2372&amp;" "&amp;L2372))),OR($C$5="Semua",$C$5="",G2372=$C$5),OR($C$6="Semua",$C$6="",H2372=$C$6,H2372="Pengeluaran "&amp;$C$6,AND($C$6="Uang Kos Mama",H2372="Pengeluaran Uang Kos")),OR($C$7="Semua",$C$7="",I2372=$C$7),OR($C$8="Semua",$C$8="",C2372=$C$8,E2372=$C$8),OR($C$9="Semua",$C$9="",D2372=$C$9),OR($C$10="",B2372&gt;=$C$10),OR($C$11="",B2372&lt;=$C$11),OR($C$12&lt;&gt;"Ya",K2372&lt;&gt;""),OR($C$13="Semua",$C$13="",L2372=$C$13)),"✓","")</f>
        <v/>
      </c>
      <c r="N2372" s="93">
        <f>N(N2371)+IF(M2372="✓",1,0)</f>
        <v/>
      </c>
      <c r="O2372" s="93">
        <f>N(O2371)+IF(AND(B2372&lt;&gt;"",B2372&gt;='Uang Riba'!$H$30,B2372&lt;='Uang Riba'!$I$30,OR(H2372="Dana riba",H2372="Pinjam uang riba",I2372="Pinjam dari uang riba",I2372="Ganti uang riba",I2372="Kelebihan ganti dikembalikan",AND(C2372="Kantong Uang Riba",G2372="Pengeluaran"))),1,0)</f>
        <v/>
      </c>
      <c r="X2372" s="93">
        <f>IF(AND(B2372&lt;&gt;"",B2372&gt;='Buku Akun'!$H$4,B2372&lt;='Buku Akun'!$H$5,OR(C2372='Buku Akun'!$C$4,AND(D2372="Pindah",E2372='Buku Akun'!$C$4))),B2372+IF(AND(I2372="Selisih bunga",DAY(B2372)=1),0,0.01)+ROW()/10000000,"")</f>
        <v/>
      </c>
    </row>
    <row r="2373" outlineLevel="1" ht="15" customHeight="1" s="94">
      <c r="A2373" s="123">
        <f>IF(B2373="","",ROW()-15)</f>
        <v/>
      </c>
      <c r="B2373" s="124" t="n"/>
      <c r="C2373" s="123" t="n"/>
      <c r="D2373" s="123" t="n"/>
      <c r="E2373" s="123" t="n"/>
      <c r="F2373" s="125" t="n"/>
      <c r="G2373" s="123" t="n"/>
      <c r="H2373" s="123" t="n"/>
      <c r="I2373" s="123" t="n"/>
      <c r="J2373" s="123" t="n"/>
      <c r="K2373" s="123" t="n"/>
      <c r="L2373" s="123" t="n"/>
      <c r="M2373" s="123">
        <f>IF(AND(B2373&lt;&gt;"",OR($C$4="",ISNUMBER(SEARCH($C$4,C2373&amp;" "&amp;E2373&amp;" "&amp;G2373&amp;" "&amp;H2373&amp;" "&amp;I2373&amp;" "&amp;J2373&amp;" "&amp;K2373&amp;" "&amp;L2373))),OR($C$5="Semua",$C$5="",G2373=$C$5),OR($C$6="Semua",$C$6="",H2373=$C$6,H2373="Pengeluaran "&amp;$C$6,AND($C$6="Uang Kos Mama",H2373="Pengeluaran Uang Kos")),OR($C$7="Semua",$C$7="",I2373=$C$7),OR($C$8="Semua",$C$8="",C2373=$C$8,E2373=$C$8),OR($C$9="Semua",$C$9="",D2373=$C$9),OR($C$10="",B2373&gt;=$C$10),OR($C$11="",B2373&lt;=$C$11),OR($C$12&lt;&gt;"Ya",K2373&lt;&gt;""),OR($C$13="Semua",$C$13="",L2373=$C$13)),"✓","")</f>
        <v/>
      </c>
      <c r="N2373" s="93">
        <f>N(N2372)+IF(M2373="✓",1,0)</f>
        <v/>
      </c>
      <c r="O2373" s="93">
        <f>N(O2372)+IF(AND(B2373&lt;&gt;"",B2373&gt;='Uang Riba'!$H$30,B2373&lt;='Uang Riba'!$I$30,OR(H2373="Dana riba",H2373="Pinjam uang riba",I2373="Pinjam dari uang riba",I2373="Ganti uang riba",I2373="Kelebihan ganti dikembalikan",AND(C2373="Kantong Uang Riba",G2373="Pengeluaran"))),1,0)</f>
        <v/>
      </c>
      <c r="X2373" s="93">
        <f>IF(AND(B2373&lt;&gt;"",B2373&gt;='Buku Akun'!$H$4,B2373&lt;='Buku Akun'!$H$5,OR(C2373='Buku Akun'!$C$4,AND(D2373="Pindah",E2373='Buku Akun'!$C$4))),B2373+IF(AND(I2373="Selisih bunga",DAY(B2373)=1),0,0.01)+ROW()/10000000,"")</f>
        <v/>
      </c>
    </row>
    <row r="2374" outlineLevel="1" ht="15" customHeight="1" s="94">
      <c r="A2374" s="123">
        <f>IF(B2374="","",ROW()-15)</f>
        <v/>
      </c>
      <c r="B2374" s="124" t="n"/>
      <c r="C2374" s="123" t="n"/>
      <c r="D2374" s="123" t="n"/>
      <c r="E2374" s="123" t="n"/>
      <c r="F2374" s="125" t="n"/>
      <c r="G2374" s="123" t="n"/>
      <c r="H2374" s="123" t="n"/>
      <c r="I2374" s="123" t="n"/>
      <c r="J2374" s="123" t="n"/>
      <c r="K2374" s="123" t="n"/>
      <c r="L2374" s="123" t="n"/>
      <c r="M2374" s="123">
        <f>IF(AND(B2374&lt;&gt;"",OR($C$4="",ISNUMBER(SEARCH($C$4,C2374&amp;" "&amp;E2374&amp;" "&amp;G2374&amp;" "&amp;H2374&amp;" "&amp;I2374&amp;" "&amp;J2374&amp;" "&amp;K2374&amp;" "&amp;L2374))),OR($C$5="Semua",$C$5="",G2374=$C$5),OR($C$6="Semua",$C$6="",H2374=$C$6,H2374="Pengeluaran "&amp;$C$6,AND($C$6="Uang Kos Mama",H2374="Pengeluaran Uang Kos")),OR($C$7="Semua",$C$7="",I2374=$C$7),OR($C$8="Semua",$C$8="",C2374=$C$8,E2374=$C$8),OR($C$9="Semua",$C$9="",D2374=$C$9),OR($C$10="",B2374&gt;=$C$10),OR($C$11="",B2374&lt;=$C$11),OR($C$12&lt;&gt;"Ya",K2374&lt;&gt;""),OR($C$13="Semua",$C$13="",L2374=$C$13)),"✓","")</f>
        <v/>
      </c>
      <c r="N2374" s="93">
        <f>N(N2373)+IF(M2374="✓",1,0)</f>
        <v/>
      </c>
      <c r="O2374" s="93">
        <f>N(O2373)+IF(AND(B2374&lt;&gt;"",B2374&gt;='Uang Riba'!$H$30,B2374&lt;='Uang Riba'!$I$30,OR(H2374="Dana riba",H2374="Pinjam uang riba",I2374="Pinjam dari uang riba",I2374="Ganti uang riba",I2374="Kelebihan ganti dikembalikan",AND(C2374="Kantong Uang Riba",G2374="Pengeluaran"))),1,0)</f>
        <v/>
      </c>
      <c r="X2374" s="93">
        <f>IF(AND(B2374&lt;&gt;"",B2374&gt;='Buku Akun'!$H$4,B2374&lt;='Buku Akun'!$H$5,OR(C2374='Buku Akun'!$C$4,AND(D2374="Pindah",E2374='Buku Akun'!$C$4))),B2374+IF(AND(I2374="Selisih bunga",DAY(B2374)=1),0,0.01)+ROW()/10000000,"")</f>
        <v/>
      </c>
    </row>
    <row r="2375" outlineLevel="1" ht="15" customHeight="1" s="94">
      <c r="A2375" s="123">
        <f>IF(B2375="","",ROW()-15)</f>
        <v/>
      </c>
      <c r="B2375" s="124" t="n"/>
      <c r="C2375" s="123" t="n"/>
      <c r="D2375" s="123" t="n"/>
      <c r="E2375" s="123" t="n"/>
      <c r="F2375" s="125" t="n"/>
      <c r="G2375" s="123" t="n"/>
      <c r="H2375" s="123" t="n"/>
      <c r="I2375" s="123" t="n"/>
      <c r="J2375" s="123" t="n"/>
      <c r="K2375" s="123" t="n"/>
      <c r="L2375" s="123" t="n"/>
      <c r="M2375" s="123">
        <f>IF(AND(B2375&lt;&gt;"",OR($C$4="",ISNUMBER(SEARCH($C$4,C2375&amp;" "&amp;E2375&amp;" "&amp;G2375&amp;" "&amp;H2375&amp;" "&amp;I2375&amp;" "&amp;J2375&amp;" "&amp;K2375&amp;" "&amp;L2375))),OR($C$5="Semua",$C$5="",G2375=$C$5),OR($C$6="Semua",$C$6="",H2375=$C$6,H2375="Pengeluaran "&amp;$C$6,AND($C$6="Uang Kos Mama",H2375="Pengeluaran Uang Kos")),OR($C$7="Semua",$C$7="",I2375=$C$7),OR($C$8="Semua",$C$8="",C2375=$C$8,E2375=$C$8),OR($C$9="Semua",$C$9="",D2375=$C$9),OR($C$10="",B2375&gt;=$C$10),OR($C$11="",B2375&lt;=$C$11),OR($C$12&lt;&gt;"Ya",K2375&lt;&gt;""),OR($C$13="Semua",$C$13="",L2375=$C$13)),"✓","")</f>
        <v/>
      </c>
      <c r="N2375" s="93">
        <f>N(N2374)+IF(M2375="✓",1,0)</f>
        <v/>
      </c>
      <c r="O2375" s="93">
        <f>N(O2374)+IF(AND(B2375&lt;&gt;"",B2375&gt;='Uang Riba'!$H$30,B2375&lt;='Uang Riba'!$I$30,OR(H2375="Dana riba",H2375="Pinjam uang riba",I2375="Pinjam dari uang riba",I2375="Ganti uang riba",I2375="Kelebihan ganti dikembalikan",AND(C2375="Kantong Uang Riba",G2375="Pengeluaran"))),1,0)</f>
        <v/>
      </c>
      <c r="X2375" s="93">
        <f>IF(AND(B2375&lt;&gt;"",B2375&gt;='Buku Akun'!$H$4,B2375&lt;='Buku Akun'!$H$5,OR(C2375='Buku Akun'!$C$4,AND(D2375="Pindah",E2375='Buku Akun'!$C$4))),B2375+IF(AND(I2375="Selisih bunga",DAY(B2375)=1),0,0.01)+ROW()/10000000,"")</f>
        <v/>
      </c>
    </row>
    <row r="2376" outlineLevel="1" ht="15" customHeight="1" s="94">
      <c r="A2376" s="123">
        <f>IF(B2376="","",ROW()-15)</f>
        <v/>
      </c>
      <c r="B2376" s="124" t="n"/>
      <c r="C2376" s="123" t="n"/>
      <c r="D2376" s="123" t="n"/>
      <c r="E2376" s="123" t="n"/>
      <c r="F2376" s="125" t="n"/>
      <c r="G2376" s="123" t="n"/>
      <c r="H2376" s="123" t="n"/>
      <c r="I2376" s="123" t="n"/>
      <c r="J2376" s="123" t="n"/>
      <c r="K2376" s="123" t="n"/>
      <c r="L2376" s="123" t="n"/>
      <c r="M2376" s="123">
        <f>IF(AND(B2376&lt;&gt;"",OR($C$4="",ISNUMBER(SEARCH($C$4,C2376&amp;" "&amp;E2376&amp;" "&amp;G2376&amp;" "&amp;H2376&amp;" "&amp;I2376&amp;" "&amp;J2376&amp;" "&amp;K2376&amp;" "&amp;L2376))),OR($C$5="Semua",$C$5="",G2376=$C$5),OR($C$6="Semua",$C$6="",H2376=$C$6,H2376="Pengeluaran "&amp;$C$6,AND($C$6="Uang Kos Mama",H2376="Pengeluaran Uang Kos")),OR($C$7="Semua",$C$7="",I2376=$C$7),OR($C$8="Semua",$C$8="",C2376=$C$8,E2376=$C$8),OR($C$9="Semua",$C$9="",D2376=$C$9),OR($C$10="",B2376&gt;=$C$10),OR($C$11="",B2376&lt;=$C$11),OR($C$12&lt;&gt;"Ya",K2376&lt;&gt;""),OR($C$13="Semua",$C$13="",L2376=$C$13)),"✓","")</f>
        <v/>
      </c>
      <c r="N2376" s="93">
        <f>N(N2375)+IF(M2376="✓",1,0)</f>
        <v/>
      </c>
      <c r="O2376" s="93">
        <f>N(O2375)+IF(AND(B2376&lt;&gt;"",B2376&gt;='Uang Riba'!$H$30,B2376&lt;='Uang Riba'!$I$30,OR(H2376="Dana riba",H2376="Pinjam uang riba",I2376="Pinjam dari uang riba",I2376="Ganti uang riba",I2376="Kelebihan ganti dikembalikan",AND(C2376="Kantong Uang Riba",G2376="Pengeluaran"))),1,0)</f>
        <v/>
      </c>
      <c r="X2376" s="93">
        <f>IF(AND(B2376&lt;&gt;"",B2376&gt;='Buku Akun'!$H$4,B2376&lt;='Buku Akun'!$H$5,OR(C2376='Buku Akun'!$C$4,AND(D2376="Pindah",E2376='Buku Akun'!$C$4))),B2376+IF(AND(I2376="Selisih bunga",DAY(B2376)=1),0,0.01)+ROW()/10000000,"")</f>
        <v/>
      </c>
    </row>
    <row r="2377" outlineLevel="1" ht="15" customHeight="1" s="94">
      <c r="A2377" s="123">
        <f>IF(B2377="","",ROW()-15)</f>
        <v/>
      </c>
      <c r="B2377" s="124" t="n"/>
      <c r="C2377" s="123" t="n"/>
      <c r="D2377" s="123" t="n"/>
      <c r="E2377" s="123" t="n"/>
      <c r="F2377" s="125" t="n"/>
      <c r="G2377" s="123" t="n"/>
      <c r="H2377" s="123" t="n"/>
      <c r="I2377" s="123" t="n"/>
      <c r="J2377" s="123" t="n"/>
      <c r="K2377" s="123" t="n"/>
      <c r="L2377" s="123" t="n"/>
      <c r="M2377" s="123">
        <f>IF(AND(B2377&lt;&gt;"",OR($C$4="",ISNUMBER(SEARCH($C$4,C2377&amp;" "&amp;E2377&amp;" "&amp;G2377&amp;" "&amp;H2377&amp;" "&amp;I2377&amp;" "&amp;J2377&amp;" "&amp;K2377&amp;" "&amp;L2377))),OR($C$5="Semua",$C$5="",G2377=$C$5),OR($C$6="Semua",$C$6="",H2377=$C$6,H2377="Pengeluaran "&amp;$C$6,AND($C$6="Uang Kos Mama",H2377="Pengeluaran Uang Kos")),OR($C$7="Semua",$C$7="",I2377=$C$7),OR($C$8="Semua",$C$8="",C2377=$C$8,E2377=$C$8),OR($C$9="Semua",$C$9="",D2377=$C$9),OR($C$10="",B2377&gt;=$C$10),OR($C$11="",B2377&lt;=$C$11),OR($C$12&lt;&gt;"Ya",K2377&lt;&gt;""),OR($C$13="Semua",$C$13="",L2377=$C$13)),"✓","")</f>
        <v/>
      </c>
      <c r="N2377" s="93">
        <f>N(N2376)+IF(M2377="✓",1,0)</f>
        <v/>
      </c>
      <c r="O2377" s="93">
        <f>N(O2376)+IF(AND(B2377&lt;&gt;"",B2377&gt;='Uang Riba'!$H$30,B2377&lt;='Uang Riba'!$I$30,OR(H2377="Dana riba",H2377="Pinjam uang riba",I2377="Pinjam dari uang riba",I2377="Ganti uang riba",I2377="Kelebihan ganti dikembalikan",AND(C2377="Kantong Uang Riba",G2377="Pengeluaran"))),1,0)</f>
        <v/>
      </c>
      <c r="X2377" s="93">
        <f>IF(AND(B2377&lt;&gt;"",B2377&gt;='Buku Akun'!$H$4,B2377&lt;='Buku Akun'!$H$5,OR(C2377='Buku Akun'!$C$4,AND(D2377="Pindah",E2377='Buku Akun'!$C$4))),B2377+IF(AND(I2377="Selisih bunga",DAY(B2377)=1),0,0.01)+ROW()/10000000,"")</f>
        <v/>
      </c>
    </row>
    <row r="2378" outlineLevel="1" ht="15" customHeight="1" s="94">
      <c r="A2378" s="123">
        <f>IF(B2378="","",ROW()-15)</f>
        <v/>
      </c>
      <c r="B2378" s="124" t="n"/>
      <c r="C2378" s="123" t="n"/>
      <c r="D2378" s="123" t="n"/>
      <c r="E2378" s="123" t="n"/>
      <c r="F2378" s="125" t="n"/>
      <c r="G2378" s="123" t="n"/>
      <c r="H2378" s="123" t="n"/>
      <c r="I2378" s="123" t="n"/>
      <c r="J2378" s="123" t="n"/>
      <c r="K2378" s="123" t="n"/>
      <c r="L2378" s="123" t="n"/>
      <c r="M2378" s="123">
        <f>IF(AND(B2378&lt;&gt;"",OR($C$4="",ISNUMBER(SEARCH($C$4,C2378&amp;" "&amp;E2378&amp;" "&amp;G2378&amp;" "&amp;H2378&amp;" "&amp;I2378&amp;" "&amp;J2378&amp;" "&amp;K2378&amp;" "&amp;L2378))),OR($C$5="Semua",$C$5="",G2378=$C$5),OR($C$6="Semua",$C$6="",H2378=$C$6,H2378="Pengeluaran "&amp;$C$6,AND($C$6="Uang Kos Mama",H2378="Pengeluaran Uang Kos")),OR($C$7="Semua",$C$7="",I2378=$C$7),OR($C$8="Semua",$C$8="",C2378=$C$8,E2378=$C$8),OR($C$9="Semua",$C$9="",D2378=$C$9),OR($C$10="",B2378&gt;=$C$10),OR($C$11="",B2378&lt;=$C$11),OR($C$12&lt;&gt;"Ya",K2378&lt;&gt;""),OR($C$13="Semua",$C$13="",L2378=$C$13)),"✓","")</f>
        <v/>
      </c>
      <c r="N2378" s="93">
        <f>N(N2377)+IF(M2378="✓",1,0)</f>
        <v/>
      </c>
      <c r="O2378" s="93">
        <f>N(O2377)+IF(AND(B2378&lt;&gt;"",B2378&gt;='Uang Riba'!$H$30,B2378&lt;='Uang Riba'!$I$30,OR(H2378="Dana riba",H2378="Pinjam uang riba",I2378="Pinjam dari uang riba",I2378="Ganti uang riba",I2378="Kelebihan ganti dikembalikan",AND(C2378="Kantong Uang Riba",G2378="Pengeluaran"))),1,0)</f>
        <v/>
      </c>
      <c r="X2378" s="93">
        <f>IF(AND(B2378&lt;&gt;"",B2378&gt;='Buku Akun'!$H$4,B2378&lt;='Buku Akun'!$H$5,OR(C2378='Buku Akun'!$C$4,AND(D2378="Pindah",E2378='Buku Akun'!$C$4))),B2378+IF(AND(I2378="Selisih bunga",DAY(B2378)=1),0,0.01)+ROW()/10000000,"")</f>
        <v/>
      </c>
    </row>
    <row r="2379" outlineLevel="1" ht="15" customHeight="1" s="94">
      <c r="A2379" s="123">
        <f>IF(B2379="","",ROW()-15)</f>
        <v/>
      </c>
      <c r="B2379" s="124" t="n"/>
      <c r="C2379" s="123" t="n"/>
      <c r="D2379" s="123" t="n"/>
      <c r="E2379" s="123" t="n"/>
      <c r="F2379" s="125" t="n"/>
      <c r="G2379" s="123" t="n"/>
      <c r="H2379" s="123" t="n"/>
      <c r="I2379" s="123" t="n"/>
      <c r="J2379" s="123" t="n"/>
      <c r="K2379" s="123" t="n"/>
      <c r="L2379" s="123" t="n"/>
      <c r="M2379" s="123">
        <f>IF(AND(B2379&lt;&gt;"",OR($C$4="",ISNUMBER(SEARCH($C$4,C2379&amp;" "&amp;E2379&amp;" "&amp;G2379&amp;" "&amp;H2379&amp;" "&amp;I2379&amp;" "&amp;J2379&amp;" "&amp;K2379&amp;" "&amp;L2379))),OR($C$5="Semua",$C$5="",G2379=$C$5),OR($C$6="Semua",$C$6="",H2379=$C$6,H2379="Pengeluaran "&amp;$C$6,AND($C$6="Uang Kos Mama",H2379="Pengeluaran Uang Kos")),OR($C$7="Semua",$C$7="",I2379=$C$7),OR($C$8="Semua",$C$8="",C2379=$C$8,E2379=$C$8),OR($C$9="Semua",$C$9="",D2379=$C$9),OR($C$10="",B2379&gt;=$C$10),OR($C$11="",B2379&lt;=$C$11),OR($C$12&lt;&gt;"Ya",K2379&lt;&gt;""),OR($C$13="Semua",$C$13="",L2379=$C$13)),"✓","")</f>
        <v/>
      </c>
      <c r="N2379" s="93">
        <f>N(N2378)+IF(M2379="✓",1,0)</f>
        <v/>
      </c>
      <c r="O2379" s="93">
        <f>N(O2378)+IF(AND(B2379&lt;&gt;"",B2379&gt;='Uang Riba'!$H$30,B2379&lt;='Uang Riba'!$I$30,OR(H2379="Dana riba",H2379="Pinjam uang riba",I2379="Pinjam dari uang riba",I2379="Ganti uang riba",I2379="Kelebihan ganti dikembalikan",AND(C2379="Kantong Uang Riba",G2379="Pengeluaran"))),1,0)</f>
        <v/>
      </c>
      <c r="X2379" s="93">
        <f>IF(AND(B2379&lt;&gt;"",B2379&gt;='Buku Akun'!$H$4,B2379&lt;='Buku Akun'!$H$5,OR(C2379='Buku Akun'!$C$4,AND(D2379="Pindah",E2379='Buku Akun'!$C$4))),B2379+IF(AND(I2379="Selisih bunga",DAY(B2379)=1),0,0.01)+ROW()/10000000,"")</f>
        <v/>
      </c>
    </row>
    <row r="2380" outlineLevel="1" ht="15" customHeight="1" s="94">
      <c r="A2380" s="123">
        <f>IF(B2380="","",ROW()-15)</f>
        <v/>
      </c>
      <c r="B2380" s="124" t="n"/>
      <c r="C2380" s="123" t="n"/>
      <c r="D2380" s="123" t="n"/>
      <c r="E2380" s="123" t="n"/>
      <c r="F2380" s="125" t="n"/>
      <c r="G2380" s="123" t="n"/>
      <c r="H2380" s="123" t="n"/>
      <c r="I2380" s="123" t="n"/>
      <c r="J2380" s="123" t="n"/>
      <c r="K2380" s="123" t="n"/>
      <c r="L2380" s="123" t="n"/>
      <c r="M2380" s="123">
        <f>IF(AND(B2380&lt;&gt;"",OR($C$4="",ISNUMBER(SEARCH($C$4,C2380&amp;" "&amp;E2380&amp;" "&amp;G2380&amp;" "&amp;H2380&amp;" "&amp;I2380&amp;" "&amp;J2380&amp;" "&amp;K2380&amp;" "&amp;L2380))),OR($C$5="Semua",$C$5="",G2380=$C$5),OR($C$6="Semua",$C$6="",H2380=$C$6,H2380="Pengeluaran "&amp;$C$6,AND($C$6="Uang Kos Mama",H2380="Pengeluaran Uang Kos")),OR($C$7="Semua",$C$7="",I2380=$C$7),OR($C$8="Semua",$C$8="",C2380=$C$8,E2380=$C$8),OR($C$9="Semua",$C$9="",D2380=$C$9),OR($C$10="",B2380&gt;=$C$10),OR($C$11="",B2380&lt;=$C$11),OR($C$12&lt;&gt;"Ya",K2380&lt;&gt;""),OR($C$13="Semua",$C$13="",L2380=$C$13)),"✓","")</f>
        <v/>
      </c>
      <c r="N2380" s="93">
        <f>N(N2379)+IF(M2380="✓",1,0)</f>
        <v/>
      </c>
      <c r="O2380" s="93">
        <f>N(O2379)+IF(AND(B2380&lt;&gt;"",B2380&gt;='Uang Riba'!$H$30,B2380&lt;='Uang Riba'!$I$30,OR(H2380="Dana riba",H2380="Pinjam uang riba",I2380="Pinjam dari uang riba",I2380="Ganti uang riba",I2380="Kelebihan ganti dikembalikan",AND(C2380="Kantong Uang Riba",G2380="Pengeluaran"))),1,0)</f>
        <v/>
      </c>
      <c r="X2380" s="93">
        <f>IF(AND(B2380&lt;&gt;"",B2380&gt;='Buku Akun'!$H$4,B2380&lt;='Buku Akun'!$H$5,OR(C2380='Buku Akun'!$C$4,AND(D2380="Pindah",E2380='Buku Akun'!$C$4))),B2380+IF(AND(I2380="Selisih bunga",DAY(B2380)=1),0,0.01)+ROW()/10000000,"")</f>
        <v/>
      </c>
    </row>
    <row r="2381" outlineLevel="1" ht="15" customHeight="1" s="94">
      <c r="A2381" s="123">
        <f>IF(B2381="","",ROW()-15)</f>
        <v/>
      </c>
      <c r="B2381" s="124" t="n"/>
      <c r="C2381" s="123" t="n"/>
      <c r="D2381" s="123" t="n"/>
      <c r="E2381" s="123" t="n"/>
      <c r="F2381" s="125" t="n"/>
      <c r="G2381" s="123" t="n"/>
      <c r="H2381" s="123" t="n"/>
      <c r="I2381" s="123" t="n"/>
      <c r="J2381" s="123" t="n"/>
      <c r="K2381" s="123" t="n"/>
      <c r="L2381" s="123" t="n"/>
      <c r="M2381" s="123">
        <f>IF(AND(B2381&lt;&gt;"",OR($C$4="",ISNUMBER(SEARCH($C$4,C2381&amp;" "&amp;E2381&amp;" "&amp;G2381&amp;" "&amp;H2381&amp;" "&amp;I2381&amp;" "&amp;J2381&amp;" "&amp;K2381&amp;" "&amp;L2381))),OR($C$5="Semua",$C$5="",G2381=$C$5),OR($C$6="Semua",$C$6="",H2381=$C$6,H2381="Pengeluaran "&amp;$C$6,AND($C$6="Uang Kos Mama",H2381="Pengeluaran Uang Kos")),OR($C$7="Semua",$C$7="",I2381=$C$7),OR($C$8="Semua",$C$8="",C2381=$C$8,E2381=$C$8),OR($C$9="Semua",$C$9="",D2381=$C$9),OR($C$10="",B2381&gt;=$C$10),OR($C$11="",B2381&lt;=$C$11),OR($C$12&lt;&gt;"Ya",K2381&lt;&gt;""),OR($C$13="Semua",$C$13="",L2381=$C$13)),"✓","")</f>
        <v/>
      </c>
      <c r="N2381" s="93">
        <f>N(N2380)+IF(M2381="✓",1,0)</f>
        <v/>
      </c>
      <c r="O2381" s="93">
        <f>N(O2380)+IF(AND(B2381&lt;&gt;"",B2381&gt;='Uang Riba'!$H$30,B2381&lt;='Uang Riba'!$I$30,OR(H2381="Dana riba",H2381="Pinjam uang riba",I2381="Pinjam dari uang riba",I2381="Ganti uang riba",I2381="Kelebihan ganti dikembalikan",AND(C2381="Kantong Uang Riba",G2381="Pengeluaran"))),1,0)</f>
        <v/>
      </c>
      <c r="X2381" s="93">
        <f>IF(AND(B2381&lt;&gt;"",B2381&gt;='Buku Akun'!$H$4,B2381&lt;='Buku Akun'!$H$5,OR(C2381='Buku Akun'!$C$4,AND(D2381="Pindah",E2381='Buku Akun'!$C$4))),B2381+IF(AND(I2381="Selisih bunga",DAY(B2381)=1),0,0.01)+ROW()/10000000,"")</f>
        <v/>
      </c>
    </row>
    <row r="2382" outlineLevel="1" ht="15" customHeight="1" s="94">
      <c r="A2382" s="123">
        <f>IF(B2382="","",ROW()-15)</f>
        <v/>
      </c>
      <c r="B2382" s="124" t="n"/>
      <c r="C2382" s="123" t="n"/>
      <c r="D2382" s="123" t="n"/>
      <c r="E2382" s="123" t="n"/>
      <c r="F2382" s="125" t="n"/>
      <c r="G2382" s="123" t="n"/>
      <c r="H2382" s="123" t="n"/>
      <c r="I2382" s="123" t="n"/>
      <c r="J2382" s="123" t="n"/>
      <c r="K2382" s="123" t="n"/>
      <c r="L2382" s="123" t="n"/>
      <c r="M2382" s="123">
        <f>IF(AND(B2382&lt;&gt;"",OR($C$4="",ISNUMBER(SEARCH($C$4,C2382&amp;" "&amp;E2382&amp;" "&amp;G2382&amp;" "&amp;H2382&amp;" "&amp;I2382&amp;" "&amp;J2382&amp;" "&amp;K2382&amp;" "&amp;L2382))),OR($C$5="Semua",$C$5="",G2382=$C$5),OR($C$6="Semua",$C$6="",H2382=$C$6,H2382="Pengeluaran "&amp;$C$6,AND($C$6="Uang Kos Mama",H2382="Pengeluaran Uang Kos")),OR($C$7="Semua",$C$7="",I2382=$C$7),OR($C$8="Semua",$C$8="",C2382=$C$8,E2382=$C$8),OR($C$9="Semua",$C$9="",D2382=$C$9),OR($C$10="",B2382&gt;=$C$10),OR($C$11="",B2382&lt;=$C$11),OR($C$12&lt;&gt;"Ya",K2382&lt;&gt;""),OR($C$13="Semua",$C$13="",L2382=$C$13)),"✓","")</f>
        <v/>
      </c>
      <c r="N2382" s="93">
        <f>N(N2381)+IF(M2382="✓",1,0)</f>
        <v/>
      </c>
      <c r="O2382" s="93">
        <f>N(O2381)+IF(AND(B2382&lt;&gt;"",B2382&gt;='Uang Riba'!$H$30,B2382&lt;='Uang Riba'!$I$30,OR(H2382="Dana riba",H2382="Pinjam uang riba",I2382="Pinjam dari uang riba",I2382="Ganti uang riba",I2382="Kelebihan ganti dikembalikan",AND(C2382="Kantong Uang Riba",G2382="Pengeluaran"))),1,0)</f>
        <v/>
      </c>
      <c r="X2382" s="93">
        <f>IF(AND(B2382&lt;&gt;"",B2382&gt;='Buku Akun'!$H$4,B2382&lt;='Buku Akun'!$H$5,OR(C2382='Buku Akun'!$C$4,AND(D2382="Pindah",E2382='Buku Akun'!$C$4))),B2382+IF(AND(I2382="Selisih bunga",DAY(B2382)=1),0,0.01)+ROW()/10000000,"")</f>
        <v/>
      </c>
    </row>
    <row r="2383" outlineLevel="1" ht="15" customHeight="1" s="94">
      <c r="A2383" s="123">
        <f>IF(B2383="","",ROW()-15)</f>
        <v/>
      </c>
      <c r="B2383" s="124" t="n"/>
      <c r="C2383" s="123" t="n"/>
      <c r="D2383" s="123" t="n"/>
      <c r="E2383" s="123" t="n"/>
      <c r="F2383" s="125" t="n"/>
      <c r="G2383" s="123" t="n"/>
      <c r="H2383" s="123" t="n"/>
      <c r="I2383" s="123" t="n"/>
      <c r="J2383" s="123" t="n"/>
      <c r="K2383" s="123" t="n"/>
      <c r="L2383" s="123" t="n"/>
      <c r="M2383" s="123">
        <f>IF(AND(B2383&lt;&gt;"",OR($C$4="",ISNUMBER(SEARCH($C$4,C2383&amp;" "&amp;E2383&amp;" "&amp;G2383&amp;" "&amp;H2383&amp;" "&amp;I2383&amp;" "&amp;J2383&amp;" "&amp;K2383&amp;" "&amp;L2383))),OR($C$5="Semua",$C$5="",G2383=$C$5),OR($C$6="Semua",$C$6="",H2383=$C$6,H2383="Pengeluaran "&amp;$C$6,AND($C$6="Uang Kos Mama",H2383="Pengeluaran Uang Kos")),OR($C$7="Semua",$C$7="",I2383=$C$7),OR($C$8="Semua",$C$8="",C2383=$C$8,E2383=$C$8),OR($C$9="Semua",$C$9="",D2383=$C$9),OR($C$10="",B2383&gt;=$C$10),OR($C$11="",B2383&lt;=$C$11),OR($C$12&lt;&gt;"Ya",K2383&lt;&gt;""),OR($C$13="Semua",$C$13="",L2383=$C$13)),"✓","")</f>
        <v/>
      </c>
      <c r="N2383" s="93">
        <f>N(N2382)+IF(M2383="✓",1,0)</f>
        <v/>
      </c>
      <c r="O2383" s="93">
        <f>N(O2382)+IF(AND(B2383&lt;&gt;"",B2383&gt;='Uang Riba'!$H$30,B2383&lt;='Uang Riba'!$I$30,OR(H2383="Dana riba",H2383="Pinjam uang riba",I2383="Pinjam dari uang riba",I2383="Ganti uang riba",I2383="Kelebihan ganti dikembalikan",AND(C2383="Kantong Uang Riba",G2383="Pengeluaran"))),1,0)</f>
        <v/>
      </c>
      <c r="X2383" s="93">
        <f>IF(AND(B2383&lt;&gt;"",B2383&gt;='Buku Akun'!$H$4,B2383&lt;='Buku Akun'!$H$5,OR(C2383='Buku Akun'!$C$4,AND(D2383="Pindah",E2383='Buku Akun'!$C$4))),B2383+IF(AND(I2383="Selisih bunga",DAY(B2383)=1),0,0.01)+ROW()/10000000,"")</f>
        <v/>
      </c>
    </row>
    <row r="2384" outlineLevel="1" ht="15" customHeight="1" s="94">
      <c r="A2384" s="123">
        <f>IF(B2384="","",ROW()-15)</f>
        <v/>
      </c>
      <c r="B2384" s="124" t="n"/>
      <c r="C2384" s="123" t="n"/>
      <c r="D2384" s="123" t="n"/>
      <c r="E2384" s="123" t="n"/>
      <c r="F2384" s="125" t="n"/>
      <c r="G2384" s="123" t="n"/>
      <c r="H2384" s="123" t="n"/>
      <c r="I2384" s="123" t="n"/>
      <c r="J2384" s="123" t="n"/>
      <c r="K2384" s="123" t="n"/>
      <c r="L2384" s="123" t="n"/>
      <c r="M2384" s="123">
        <f>IF(AND(B2384&lt;&gt;"",OR($C$4="",ISNUMBER(SEARCH($C$4,C2384&amp;" "&amp;E2384&amp;" "&amp;G2384&amp;" "&amp;H2384&amp;" "&amp;I2384&amp;" "&amp;J2384&amp;" "&amp;K2384&amp;" "&amp;L2384))),OR($C$5="Semua",$C$5="",G2384=$C$5),OR($C$6="Semua",$C$6="",H2384=$C$6,H2384="Pengeluaran "&amp;$C$6,AND($C$6="Uang Kos Mama",H2384="Pengeluaran Uang Kos")),OR($C$7="Semua",$C$7="",I2384=$C$7),OR($C$8="Semua",$C$8="",C2384=$C$8,E2384=$C$8),OR($C$9="Semua",$C$9="",D2384=$C$9),OR($C$10="",B2384&gt;=$C$10),OR($C$11="",B2384&lt;=$C$11),OR($C$12&lt;&gt;"Ya",K2384&lt;&gt;""),OR($C$13="Semua",$C$13="",L2384=$C$13)),"✓","")</f>
        <v/>
      </c>
      <c r="N2384" s="93">
        <f>N(N2383)+IF(M2384="✓",1,0)</f>
        <v/>
      </c>
      <c r="O2384" s="93">
        <f>N(O2383)+IF(AND(B2384&lt;&gt;"",B2384&gt;='Uang Riba'!$H$30,B2384&lt;='Uang Riba'!$I$30,OR(H2384="Dana riba",H2384="Pinjam uang riba",I2384="Pinjam dari uang riba",I2384="Ganti uang riba",I2384="Kelebihan ganti dikembalikan",AND(C2384="Kantong Uang Riba",G2384="Pengeluaran"))),1,0)</f>
        <v/>
      </c>
      <c r="X2384" s="93">
        <f>IF(AND(B2384&lt;&gt;"",B2384&gt;='Buku Akun'!$H$4,B2384&lt;='Buku Akun'!$H$5,OR(C2384='Buku Akun'!$C$4,AND(D2384="Pindah",E2384='Buku Akun'!$C$4))),B2384+IF(AND(I2384="Selisih bunga",DAY(B2384)=1),0,0.01)+ROW()/10000000,"")</f>
        <v/>
      </c>
    </row>
    <row r="2385" outlineLevel="1" ht="15" customHeight="1" s="94">
      <c r="A2385" s="123">
        <f>IF(B2385="","",ROW()-15)</f>
        <v/>
      </c>
      <c r="B2385" s="124" t="n"/>
      <c r="C2385" s="123" t="n"/>
      <c r="D2385" s="123" t="n"/>
      <c r="E2385" s="123" t="n"/>
      <c r="F2385" s="125" t="n"/>
      <c r="G2385" s="123" t="n"/>
      <c r="H2385" s="123" t="n"/>
      <c r="I2385" s="123" t="n"/>
      <c r="J2385" s="123" t="n"/>
      <c r="K2385" s="123" t="n"/>
      <c r="L2385" s="123" t="n"/>
      <c r="M2385" s="123">
        <f>IF(AND(B2385&lt;&gt;"",OR($C$4="",ISNUMBER(SEARCH($C$4,C2385&amp;" "&amp;E2385&amp;" "&amp;G2385&amp;" "&amp;H2385&amp;" "&amp;I2385&amp;" "&amp;J2385&amp;" "&amp;K2385&amp;" "&amp;L2385))),OR($C$5="Semua",$C$5="",G2385=$C$5),OR($C$6="Semua",$C$6="",H2385=$C$6,H2385="Pengeluaran "&amp;$C$6,AND($C$6="Uang Kos Mama",H2385="Pengeluaran Uang Kos")),OR($C$7="Semua",$C$7="",I2385=$C$7),OR($C$8="Semua",$C$8="",C2385=$C$8,E2385=$C$8),OR($C$9="Semua",$C$9="",D2385=$C$9),OR($C$10="",B2385&gt;=$C$10),OR($C$11="",B2385&lt;=$C$11),OR($C$12&lt;&gt;"Ya",K2385&lt;&gt;""),OR($C$13="Semua",$C$13="",L2385=$C$13)),"✓","")</f>
        <v/>
      </c>
      <c r="N2385" s="93">
        <f>N(N2384)+IF(M2385="✓",1,0)</f>
        <v/>
      </c>
      <c r="O2385" s="93">
        <f>N(O2384)+IF(AND(B2385&lt;&gt;"",B2385&gt;='Uang Riba'!$H$30,B2385&lt;='Uang Riba'!$I$30,OR(H2385="Dana riba",H2385="Pinjam uang riba",I2385="Pinjam dari uang riba",I2385="Ganti uang riba",I2385="Kelebihan ganti dikembalikan",AND(C2385="Kantong Uang Riba",G2385="Pengeluaran"))),1,0)</f>
        <v/>
      </c>
      <c r="X2385" s="93">
        <f>IF(AND(B2385&lt;&gt;"",B2385&gt;='Buku Akun'!$H$4,B2385&lt;='Buku Akun'!$H$5,OR(C2385='Buku Akun'!$C$4,AND(D2385="Pindah",E2385='Buku Akun'!$C$4))),B2385+IF(AND(I2385="Selisih bunga",DAY(B2385)=1),0,0.01)+ROW()/10000000,"")</f>
        <v/>
      </c>
    </row>
    <row r="2386" outlineLevel="1" ht="15" customHeight="1" s="94">
      <c r="A2386" s="123">
        <f>IF(B2386="","",ROW()-15)</f>
        <v/>
      </c>
      <c r="B2386" s="124" t="n"/>
      <c r="C2386" s="123" t="n"/>
      <c r="D2386" s="123" t="n"/>
      <c r="E2386" s="123" t="n"/>
      <c r="F2386" s="125" t="n"/>
      <c r="G2386" s="123" t="n"/>
      <c r="H2386" s="123" t="n"/>
      <c r="I2386" s="123" t="n"/>
      <c r="J2386" s="123" t="n"/>
      <c r="K2386" s="123" t="n"/>
      <c r="L2386" s="123" t="n"/>
      <c r="M2386" s="123">
        <f>IF(AND(B2386&lt;&gt;"",OR($C$4="",ISNUMBER(SEARCH($C$4,C2386&amp;" "&amp;E2386&amp;" "&amp;G2386&amp;" "&amp;H2386&amp;" "&amp;I2386&amp;" "&amp;J2386&amp;" "&amp;K2386&amp;" "&amp;L2386))),OR($C$5="Semua",$C$5="",G2386=$C$5),OR($C$6="Semua",$C$6="",H2386=$C$6,H2386="Pengeluaran "&amp;$C$6,AND($C$6="Uang Kos Mama",H2386="Pengeluaran Uang Kos")),OR($C$7="Semua",$C$7="",I2386=$C$7),OR($C$8="Semua",$C$8="",C2386=$C$8,E2386=$C$8),OR($C$9="Semua",$C$9="",D2386=$C$9),OR($C$10="",B2386&gt;=$C$10),OR($C$11="",B2386&lt;=$C$11),OR($C$12&lt;&gt;"Ya",K2386&lt;&gt;""),OR($C$13="Semua",$C$13="",L2386=$C$13)),"✓","")</f>
        <v/>
      </c>
      <c r="N2386" s="93">
        <f>N(N2385)+IF(M2386="✓",1,0)</f>
        <v/>
      </c>
      <c r="O2386" s="93">
        <f>N(O2385)+IF(AND(B2386&lt;&gt;"",B2386&gt;='Uang Riba'!$H$30,B2386&lt;='Uang Riba'!$I$30,OR(H2386="Dana riba",H2386="Pinjam uang riba",I2386="Pinjam dari uang riba",I2386="Ganti uang riba",I2386="Kelebihan ganti dikembalikan",AND(C2386="Kantong Uang Riba",G2386="Pengeluaran"))),1,0)</f>
        <v/>
      </c>
      <c r="X2386" s="93">
        <f>IF(AND(B2386&lt;&gt;"",B2386&gt;='Buku Akun'!$H$4,B2386&lt;='Buku Akun'!$H$5,OR(C2386='Buku Akun'!$C$4,AND(D2386="Pindah",E2386='Buku Akun'!$C$4))),B2386+IF(AND(I2386="Selisih bunga",DAY(B2386)=1),0,0.01)+ROW()/10000000,"")</f>
        <v/>
      </c>
    </row>
    <row r="2387" outlineLevel="1" ht="15" customHeight="1" s="94">
      <c r="A2387" s="123">
        <f>IF(B2387="","",ROW()-15)</f>
        <v/>
      </c>
      <c r="B2387" s="124" t="n"/>
      <c r="C2387" s="123" t="n"/>
      <c r="D2387" s="123" t="n"/>
      <c r="E2387" s="123" t="n"/>
      <c r="F2387" s="125" t="n"/>
      <c r="G2387" s="123" t="n"/>
      <c r="H2387" s="123" t="n"/>
      <c r="I2387" s="123" t="n"/>
      <c r="J2387" s="123" t="n"/>
      <c r="K2387" s="123" t="n"/>
      <c r="L2387" s="123" t="n"/>
      <c r="M2387" s="123">
        <f>IF(AND(B2387&lt;&gt;"",OR($C$4="",ISNUMBER(SEARCH($C$4,C2387&amp;" "&amp;E2387&amp;" "&amp;G2387&amp;" "&amp;H2387&amp;" "&amp;I2387&amp;" "&amp;J2387&amp;" "&amp;K2387&amp;" "&amp;L2387))),OR($C$5="Semua",$C$5="",G2387=$C$5),OR($C$6="Semua",$C$6="",H2387=$C$6,H2387="Pengeluaran "&amp;$C$6,AND($C$6="Uang Kos Mama",H2387="Pengeluaran Uang Kos")),OR($C$7="Semua",$C$7="",I2387=$C$7),OR($C$8="Semua",$C$8="",C2387=$C$8,E2387=$C$8),OR($C$9="Semua",$C$9="",D2387=$C$9),OR($C$10="",B2387&gt;=$C$10),OR($C$11="",B2387&lt;=$C$11),OR($C$12&lt;&gt;"Ya",K2387&lt;&gt;""),OR($C$13="Semua",$C$13="",L2387=$C$13)),"✓","")</f>
        <v/>
      </c>
      <c r="N2387" s="93">
        <f>N(N2386)+IF(M2387="✓",1,0)</f>
        <v/>
      </c>
      <c r="O2387" s="93">
        <f>N(O2386)+IF(AND(B2387&lt;&gt;"",B2387&gt;='Uang Riba'!$H$30,B2387&lt;='Uang Riba'!$I$30,OR(H2387="Dana riba",H2387="Pinjam uang riba",I2387="Pinjam dari uang riba",I2387="Ganti uang riba",I2387="Kelebihan ganti dikembalikan",AND(C2387="Kantong Uang Riba",G2387="Pengeluaran"))),1,0)</f>
        <v/>
      </c>
      <c r="X2387" s="93">
        <f>IF(AND(B2387&lt;&gt;"",B2387&gt;='Buku Akun'!$H$4,B2387&lt;='Buku Akun'!$H$5,OR(C2387='Buku Akun'!$C$4,AND(D2387="Pindah",E2387='Buku Akun'!$C$4))),B2387+IF(AND(I2387="Selisih bunga",DAY(B2387)=1),0,0.01)+ROW()/10000000,"")</f>
        <v/>
      </c>
    </row>
    <row r="2388" outlineLevel="1" ht="15" customHeight="1" s="94">
      <c r="A2388" s="123">
        <f>IF(B2388="","",ROW()-15)</f>
        <v/>
      </c>
      <c r="B2388" s="124" t="n"/>
      <c r="C2388" s="123" t="n"/>
      <c r="D2388" s="123" t="n"/>
      <c r="E2388" s="123" t="n"/>
      <c r="F2388" s="125" t="n"/>
      <c r="G2388" s="123" t="n"/>
      <c r="H2388" s="123" t="n"/>
      <c r="I2388" s="123" t="n"/>
      <c r="J2388" s="123" t="n"/>
      <c r="K2388" s="123" t="n"/>
      <c r="L2388" s="123" t="n"/>
      <c r="M2388" s="123">
        <f>IF(AND(B2388&lt;&gt;"",OR($C$4="",ISNUMBER(SEARCH($C$4,C2388&amp;" "&amp;E2388&amp;" "&amp;G2388&amp;" "&amp;H2388&amp;" "&amp;I2388&amp;" "&amp;J2388&amp;" "&amp;K2388&amp;" "&amp;L2388))),OR($C$5="Semua",$C$5="",G2388=$C$5),OR($C$6="Semua",$C$6="",H2388=$C$6,H2388="Pengeluaran "&amp;$C$6,AND($C$6="Uang Kos Mama",H2388="Pengeluaran Uang Kos")),OR($C$7="Semua",$C$7="",I2388=$C$7),OR($C$8="Semua",$C$8="",C2388=$C$8,E2388=$C$8),OR($C$9="Semua",$C$9="",D2388=$C$9),OR($C$10="",B2388&gt;=$C$10),OR($C$11="",B2388&lt;=$C$11),OR($C$12&lt;&gt;"Ya",K2388&lt;&gt;""),OR($C$13="Semua",$C$13="",L2388=$C$13)),"✓","")</f>
        <v/>
      </c>
      <c r="N2388" s="93">
        <f>N(N2387)+IF(M2388="✓",1,0)</f>
        <v/>
      </c>
      <c r="O2388" s="93">
        <f>N(O2387)+IF(AND(B2388&lt;&gt;"",B2388&gt;='Uang Riba'!$H$30,B2388&lt;='Uang Riba'!$I$30,OR(H2388="Dana riba",H2388="Pinjam uang riba",I2388="Pinjam dari uang riba",I2388="Ganti uang riba",I2388="Kelebihan ganti dikembalikan",AND(C2388="Kantong Uang Riba",G2388="Pengeluaran"))),1,0)</f>
        <v/>
      </c>
      <c r="X2388" s="93">
        <f>IF(AND(B2388&lt;&gt;"",B2388&gt;='Buku Akun'!$H$4,B2388&lt;='Buku Akun'!$H$5,OR(C2388='Buku Akun'!$C$4,AND(D2388="Pindah",E2388='Buku Akun'!$C$4))),B2388+IF(AND(I2388="Selisih bunga",DAY(B2388)=1),0,0.01)+ROW()/10000000,"")</f>
        <v/>
      </c>
    </row>
    <row r="2389" outlineLevel="1" ht="15" customHeight="1" s="94">
      <c r="A2389" s="123">
        <f>IF(B2389="","",ROW()-15)</f>
        <v/>
      </c>
      <c r="B2389" s="124" t="n"/>
      <c r="C2389" s="123" t="n"/>
      <c r="D2389" s="123" t="n"/>
      <c r="E2389" s="123" t="n"/>
      <c r="F2389" s="125" t="n"/>
      <c r="G2389" s="123" t="n"/>
      <c r="H2389" s="123" t="n"/>
      <c r="I2389" s="123" t="n"/>
      <c r="J2389" s="123" t="n"/>
      <c r="K2389" s="123" t="n"/>
      <c r="L2389" s="123" t="n"/>
      <c r="M2389" s="123">
        <f>IF(AND(B2389&lt;&gt;"",OR($C$4="",ISNUMBER(SEARCH($C$4,C2389&amp;" "&amp;E2389&amp;" "&amp;G2389&amp;" "&amp;H2389&amp;" "&amp;I2389&amp;" "&amp;J2389&amp;" "&amp;K2389&amp;" "&amp;L2389))),OR($C$5="Semua",$C$5="",G2389=$C$5),OR($C$6="Semua",$C$6="",H2389=$C$6,H2389="Pengeluaran "&amp;$C$6,AND($C$6="Uang Kos Mama",H2389="Pengeluaran Uang Kos")),OR($C$7="Semua",$C$7="",I2389=$C$7),OR($C$8="Semua",$C$8="",C2389=$C$8,E2389=$C$8),OR($C$9="Semua",$C$9="",D2389=$C$9),OR($C$10="",B2389&gt;=$C$10),OR($C$11="",B2389&lt;=$C$11),OR($C$12&lt;&gt;"Ya",K2389&lt;&gt;""),OR($C$13="Semua",$C$13="",L2389=$C$13)),"✓","")</f>
        <v/>
      </c>
      <c r="N2389" s="93">
        <f>N(N2388)+IF(M2389="✓",1,0)</f>
        <v/>
      </c>
      <c r="O2389" s="93">
        <f>N(O2388)+IF(AND(B2389&lt;&gt;"",B2389&gt;='Uang Riba'!$H$30,B2389&lt;='Uang Riba'!$I$30,OR(H2389="Dana riba",H2389="Pinjam uang riba",I2389="Pinjam dari uang riba",I2389="Ganti uang riba",I2389="Kelebihan ganti dikembalikan",AND(C2389="Kantong Uang Riba",G2389="Pengeluaran"))),1,0)</f>
        <v/>
      </c>
      <c r="X2389" s="93">
        <f>IF(AND(B2389&lt;&gt;"",B2389&gt;='Buku Akun'!$H$4,B2389&lt;='Buku Akun'!$H$5,OR(C2389='Buku Akun'!$C$4,AND(D2389="Pindah",E2389='Buku Akun'!$C$4))),B2389+IF(AND(I2389="Selisih bunga",DAY(B2389)=1),0,0.01)+ROW()/10000000,"")</f>
        <v/>
      </c>
    </row>
    <row r="2390" outlineLevel="1" ht="15" customHeight="1" s="94">
      <c r="A2390" s="123">
        <f>IF(B2390="","",ROW()-15)</f>
        <v/>
      </c>
      <c r="B2390" s="124" t="n"/>
      <c r="C2390" s="123" t="n"/>
      <c r="D2390" s="123" t="n"/>
      <c r="E2390" s="123" t="n"/>
      <c r="F2390" s="125" t="n"/>
      <c r="G2390" s="123" t="n"/>
      <c r="H2390" s="123" t="n"/>
      <c r="I2390" s="123" t="n"/>
      <c r="J2390" s="123" t="n"/>
      <c r="K2390" s="123" t="n"/>
      <c r="L2390" s="123" t="n"/>
      <c r="M2390" s="123">
        <f>IF(AND(B2390&lt;&gt;"",OR($C$4="",ISNUMBER(SEARCH($C$4,C2390&amp;" "&amp;E2390&amp;" "&amp;G2390&amp;" "&amp;H2390&amp;" "&amp;I2390&amp;" "&amp;J2390&amp;" "&amp;K2390&amp;" "&amp;L2390))),OR($C$5="Semua",$C$5="",G2390=$C$5),OR($C$6="Semua",$C$6="",H2390=$C$6,H2390="Pengeluaran "&amp;$C$6,AND($C$6="Uang Kos Mama",H2390="Pengeluaran Uang Kos")),OR($C$7="Semua",$C$7="",I2390=$C$7),OR($C$8="Semua",$C$8="",C2390=$C$8,E2390=$C$8),OR($C$9="Semua",$C$9="",D2390=$C$9),OR($C$10="",B2390&gt;=$C$10),OR($C$11="",B2390&lt;=$C$11),OR($C$12&lt;&gt;"Ya",K2390&lt;&gt;""),OR($C$13="Semua",$C$13="",L2390=$C$13)),"✓","")</f>
        <v/>
      </c>
      <c r="N2390" s="93">
        <f>N(N2389)+IF(M2390="✓",1,0)</f>
        <v/>
      </c>
      <c r="O2390" s="93">
        <f>N(O2389)+IF(AND(B2390&lt;&gt;"",B2390&gt;='Uang Riba'!$H$30,B2390&lt;='Uang Riba'!$I$30,OR(H2390="Dana riba",H2390="Pinjam uang riba",I2390="Pinjam dari uang riba",I2390="Ganti uang riba",I2390="Kelebihan ganti dikembalikan",AND(C2390="Kantong Uang Riba",G2390="Pengeluaran"))),1,0)</f>
        <v/>
      </c>
      <c r="X2390" s="93">
        <f>IF(AND(B2390&lt;&gt;"",B2390&gt;='Buku Akun'!$H$4,B2390&lt;='Buku Akun'!$H$5,OR(C2390='Buku Akun'!$C$4,AND(D2390="Pindah",E2390='Buku Akun'!$C$4))),B2390+IF(AND(I2390="Selisih bunga",DAY(B2390)=1),0,0.01)+ROW()/10000000,"")</f>
        <v/>
      </c>
    </row>
    <row r="2391" outlineLevel="1" ht="15" customHeight="1" s="94">
      <c r="A2391" s="123">
        <f>IF(B2391="","",ROW()-15)</f>
        <v/>
      </c>
      <c r="B2391" s="124" t="n"/>
      <c r="C2391" s="123" t="n"/>
      <c r="D2391" s="123" t="n"/>
      <c r="E2391" s="123" t="n"/>
      <c r="F2391" s="125" t="n"/>
      <c r="G2391" s="123" t="n"/>
      <c r="H2391" s="123" t="n"/>
      <c r="I2391" s="123" t="n"/>
      <c r="J2391" s="123" t="n"/>
      <c r="K2391" s="123" t="n"/>
      <c r="L2391" s="123" t="n"/>
      <c r="M2391" s="123">
        <f>IF(AND(B2391&lt;&gt;"",OR($C$4="",ISNUMBER(SEARCH($C$4,C2391&amp;" "&amp;E2391&amp;" "&amp;G2391&amp;" "&amp;H2391&amp;" "&amp;I2391&amp;" "&amp;J2391&amp;" "&amp;K2391&amp;" "&amp;L2391))),OR($C$5="Semua",$C$5="",G2391=$C$5),OR($C$6="Semua",$C$6="",H2391=$C$6,H2391="Pengeluaran "&amp;$C$6,AND($C$6="Uang Kos Mama",H2391="Pengeluaran Uang Kos")),OR($C$7="Semua",$C$7="",I2391=$C$7),OR($C$8="Semua",$C$8="",C2391=$C$8,E2391=$C$8),OR($C$9="Semua",$C$9="",D2391=$C$9),OR($C$10="",B2391&gt;=$C$10),OR($C$11="",B2391&lt;=$C$11),OR($C$12&lt;&gt;"Ya",K2391&lt;&gt;""),OR($C$13="Semua",$C$13="",L2391=$C$13)),"✓","")</f>
        <v/>
      </c>
      <c r="N2391" s="93">
        <f>N(N2390)+IF(M2391="✓",1,0)</f>
        <v/>
      </c>
      <c r="O2391" s="93">
        <f>N(O2390)+IF(AND(B2391&lt;&gt;"",B2391&gt;='Uang Riba'!$H$30,B2391&lt;='Uang Riba'!$I$30,OR(H2391="Dana riba",H2391="Pinjam uang riba",I2391="Pinjam dari uang riba",I2391="Ganti uang riba",I2391="Kelebihan ganti dikembalikan",AND(C2391="Kantong Uang Riba",G2391="Pengeluaran"))),1,0)</f>
        <v/>
      </c>
      <c r="X2391" s="93">
        <f>IF(AND(B2391&lt;&gt;"",B2391&gt;='Buku Akun'!$H$4,B2391&lt;='Buku Akun'!$H$5,OR(C2391='Buku Akun'!$C$4,AND(D2391="Pindah",E2391='Buku Akun'!$C$4))),B2391+IF(AND(I2391="Selisih bunga",DAY(B2391)=1),0,0.01)+ROW()/10000000,"")</f>
        <v/>
      </c>
    </row>
    <row r="2392" outlineLevel="1" ht="15" customHeight="1" s="94">
      <c r="A2392" s="123">
        <f>IF(B2392="","",ROW()-15)</f>
        <v/>
      </c>
      <c r="B2392" s="124" t="n"/>
      <c r="C2392" s="123" t="n"/>
      <c r="D2392" s="123" t="n"/>
      <c r="E2392" s="123" t="n"/>
      <c r="F2392" s="125" t="n"/>
      <c r="G2392" s="123" t="n"/>
      <c r="H2392" s="123" t="n"/>
      <c r="I2392" s="123" t="n"/>
      <c r="J2392" s="123" t="n"/>
      <c r="K2392" s="123" t="n"/>
      <c r="L2392" s="123" t="n"/>
      <c r="M2392" s="123">
        <f>IF(AND(B2392&lt;&gt;"",OR($C$4="",ISNUMBER(SEARCH($C$4,C2392&amp;" "&amp;E2392&amp;" "&amp;G2392&amp;" "&amp;H2392&amp;" "&amp;I2392&amp;" "&amp;J2392&amp;" "&amp;K2392&amp;" "&amp;L2392))),OR($C$5="Semua",$C$5="",G2392=$C$5),OR($C$6="Semua",$C$6="",H2392=$C$6,H2392="Pengeluaran "&amp;$C$6,AND($C$6="Uang Kos Mama",H2392="Pengeluaran Uang Kos")),OR($C$7="Semua",$C$7="",I2392=$C$7),OR($C$8="Semua",$C$8="",C2392=$C$8,E2392=$C$8),OR($C$9="Semua",$C$9="",D2392=$C$9),OR($C$10="",B2392&gt;=$C$10),OR($C$11="",B2392&lt;=$C$11),OR($C$12&lt;&gt;"Ya",K2392&lt;&gt;""),OR($C$13="Semua",$C$13="",L2392=$C$13)),"✓","")</f>
        <v/>
      </c>
      <c r="N2392" s="93">
        <f>N(N2391)+IF(M2392="✓",1,0)</f>
        <v/>
      </c>
      <c r="O2392" s="93">
        <f>N(O2391)+IF(AND(B2392&lt;&gt;"",B2392&gt;='Uang Riba'!$H$30,B2392&lt;='Uang Riba'!$I$30,OR(H2392="Dana riba",H2392="Pinjam uang riba",I2392="Pinjam dari uang riba",I2392="Ganti uang riba",I2392="Kelebihan ganti dikembalikan",AND(C2392="Kantong Uang Riba",G2392="Pengeluaran"))),1,0)</f>
        <v/>
      </c>
      <c r="X2392" s="93">
        <f>IF(AND(B2392&lt;&gt;"",B2392&gt;='Buku Akun'!$H$4,B2392&lt;='Buku Akun'!$H$5,OR(C2392='Buku Akun'!$C$4,AND(D2392="Pindah",E2392='Buku Akun'!$C$4))),B2392+IF(AND(I2392="Selisih bunga",DAY(B2392)=1),0,0.01)+ROW()/10000000,"")</f>
        <v/>
      </c>
    </row>
    <row r="2393" outlineLevel="1" ht="15" customHeight="1" s="94">
      <c r="A2393" s="123">
        <f>IF(B2393="","",ROW()-15)</f>
        <v/>
      </c>
      <c r="B2393" s="124" t="n"/>
      <c r="C2393" s="123" t="n"/>
      <c r="D2393" s="123" t="n"/>
      <c r="E2393" s="123" t="n"/>
      <c r="F2393" s="125" t="n"/>
      <c r="G2393" s="123" t="n"/>
      <c r="H2393" s="123" t="n"/>
      <c r="I2393" s="123" t="n"/>
      <c r="J2393" s="123" t="n"/>
      <c r="K2393" s="123" t="n"/>
      <c r="L2393" s="123" t="n"/>
      <c r="M2393" s="123">
        <f>IF(AND(B2393&lt;&gt;"",OR($C$4="",ISNUMBER(SEARCH($C$4,C2393&amp;" "&amp;E2393&amp;" "&amp;G2393&amp;" "&amp;H2393&amp;" "&amp;I2393&amp;" "&amp;J2393&amp;" "&amp;K2393&amp;" "&amp;L2393))),OR($C$5="Semua",$C$5="",G2393=$C$5),OR($C$6="Semua",$C$6="",H2393=$C$6,H2393="Pengeluaran "&amp;$C$6,AND($C$6="Uang Kos Mama",H2393="Pengeluaran Uang Kos")),OR($C$7="Semua",$C$7="",I2393=$C$7),OR($C$8="Semua",$C$8="",C2393=$C$8,E2393=$C$8),OR($C$9="Semua",$C$9="",D2393=$C$9),OR($C$10="",B2393&gt;=$C$10),OR($C$11="",B2393&lt;=$C$11),OR($C$12&lt;&gt;"Ya",K2393&lt;&gt;""),OR($C$13="Semua",$C$13="",L2393=$C$13)),"✓","")</f>
        <v/>
      </c>
      <c r="N2393" s="93">
        <f>N(N2392)+IF(M2393="✓",1,0)</f>
        <v/>
      </c>
      <c r="O2393" s="93">
        <f>N(O2392)+IF(AND(B2393&lt;&gt;"",B2393&gt;='Uang Riba'!$H$30,B2393&lt;='Uang Riba'!$I$30,OR(H2393="Dana riba",H2393="Pinjam uang riba",I2393="Pinjam dari uang riba",I2393="Ganti uang riba",I2393="Kelebihan ganti dikembalikan",AND(C2393="Kantong Uang Riba",G2393="Pengeluaran"))),1,0)</f>
        <v/>
      </c>
      <c r="X2393" s="93">
        <f>IF(AND(B2393&lt;&gt;"",B2393&gt;='Buku Akun'!$H$4,B2393&lt;='Buku Akun'!$H$5,OR(C2393='Buku Akun'!$C$4,AND(D2393="Pindah",E2393='Buku Akun'!$C$4))),B2393+IF(AND(I2393="Selisih bunga",DAY(B2393)=1),0,0.01)+ROW()/10000000,"")</f>
        <v/>
      </c>
    </row>
    <row r="2394" outlineLevel="1" ht="15" customHeight="1" s="94">
      <c r="A2394" s="123">
        <f>IF(B2394="","",ROW()-15)</f>
        <v/>
      </c>
      <c r="B2394" s="124" t="n"/>
      <c r="C2394" s="123" t="n"/>
      <c r="D2394" s="123" t="n"/>
      <c r="E2394" s="123" t="n"/>
      <c r="F2394" s="125" t="n"/>
      <c r="G2394" s="123" t="n"/>
      <c r="H2394" s="123" t="n"/>
      <c r="I2394" s="123" t="n"/>
      <c r="J2394" s="123" t="n"/>
      <c r="K2394" s="123" t="n"/>
      <c r="L2394" s="123" t="n"/>
      <c r="M2394" s="123">
        <f>IF(AND(B2394&lt;&gt;"",OR($C$4="",ISNUMBER(SEARCH($C$4,C2394&amp;" "&amp;E2394&amp;" "&amp;G2394&amp;" "&amp;H2394&amp;" "&amp;I2394&amp;" "&amp;J2394&amp;" "&amp;K2394&amp;" "&amp;L2394))),OR($C$5="Semua",$C$5="",G2394=$C$5),OR($C$6="Semua",$C$6="",H2394=$C$6,H2394="Pengeluaran "&amp;$C$6,AND($C$6="Uang Kos Mama",H2394="Pengeluaran Uang Kos")),OR($C$7="Semua",$C$7="",I2394=$C$7),OR($C$8="Semua",$C$8="",C2394=$C$8,E2394=$C$8),OR($C$9="Semua",$C$9="",D2394=$C$9),OR($C$10="",B2394&gt;=$C$10),OR($C$11="",B2394&lt;=$C$11),OR($C$12&lt;&gt;"Ya",K2394&lt;&gt;""),OR($C$13="Semua",$C$13="",L2394=$C$13)),"✓","")</f>
        <v/>
      </c>
      <c r="N2394" s="93">
        <f>N(N2393)+IF(M2394="✓",1,0)</f>
        <v/>
      </c>
      <c r="O2394" s="93">
        <f>N(O2393)+IF(AND(B2394&lt;&gt;"",B2394&gt;='Uang Riba'!$H$30,B2394&lt;='Uang Riba'!$I$30,OR(H2394="Dana riba",H2394="Pinjam uang riba",I2394="Pinjam dari uang riba",I2394="Ganti uang riba",I2394="Kelebihan ganti dikembalikan",AND(C2394="Kantong Uang Riba",G2394="Pengeluaran"))),1,0)</f>
        <v/>
      </c>
      <c r="X2394" s="93">
        <f>IF(AND(B2394&lt;&gt;"",B2394&gt;='Buku Akun'!$H$4,B2394&lt;='Buku Akun'!$H$5,OR(C2394='Buku Akun'!$C$4,AND(D2394="Pindah",E2394='Buku Akun'!$C$4))),B2394+IF(AND(I2394="Selisih bunga",DAY(B2394)=1),0,0.01)+ROW()/10000000,"")</f>
        <v/>
      </c>
    </row>
    <row r="2395" outlineLevel="1" ht="15" customHeight="1" s="94">
      <c r="A2395" s="123">
        <f>IF(B2395="","",ROW()-15)</f>
        <v/>
      </c>
      <c r="B2395" s="124" t="n"/>
      <c r="C2395" s="123" t="n"/>
      <c r="D2395" s="123" t="n"/>
      <c r="E2395" s="123" t="n"/>
      <c r="F2395" s="125" t="n"/>
      <c r="G2395" s="123" t="n"/>
      <c r="H2395" s="123" t="n"/>
      <c r="I2395" s="123" t="n"/>
      <c r="J2395" s="123" t="n"/>
      <c r="K2395" s="123" t="n"/>
      <c r="L2395" s="123" t="n"/>
      <c r="M2395" s="123">
        <f>IF(AND(B2395&lt;&gt;"",OR($C$4="",ISNUMBER(SEARCH($C$4,C2395&amp;" "&amp;E2395&amp;" "&amp;G2395&amp;" "&amp;H2395&amp;" "&amp;I2395&amp;" "&amp;J2395&amp;" "&amp;K2395&amp;" "&amp;L2395))),OR($C$5="Semua",$C$5="",G2395=$C$5),OR($C$6="Semua",$C$6="",H2395=$C$6,H2395="Pengeluaran "&amp;$C$6,AND($C$6="Uang Kos Mama",H2395="Pengeluaran Uang Kos")),OR($C$7="Semua",$C$7="",I2395=$C$7),OR($C$8="Semua",$C$8="",C2395=$C$8,E2395=$C$8),OR($C$9="Semua",$C$9="",D2395=$C$9),OR($C$10="",B2395&gt;=$C$10),OR($C$11="",B2395&lt;=$C$11),OR($C$12&lt;&gt;"Ya",K2395&lt;&gt;""),OR($C$13="Semua",$C$13="",L2395=$C$13)),"✓","")</f>
        <v/>
      </c>
      <c r="N2395" s="93">
        <f>N(N2394)+IF(M2395="✓",1,0)</f>
        <v/>
      </c>
      <c r="O2395" s="93">
        <f>N(O2394)+IF(AND(B2395&lt;&gt;"",B2395&gt;='Uang Riba'!$H$30,B2395&lt;='Uang Riba'!$I$30,OR(H2395="Dana riba",H2395="Pinjam uang riba",I2395="Pinjam dari uang riba",I2395="Ganti uang riba",I2395="Kelebihan ganti dikembalikan",AND(C2395="Kantong Uang Riba",G2395="Pengeluaran"))),1,0)</f>
        <v/>
      </c>
      <c r="X2395" s="93">
        <f>IF(AND(B2395&lt;&gt;"",B2395&gt;='Buku Akun'!$H$4,B2395&lt;='Buku Akun'!$H$5,OR(C2395='Buku Akun'!$C$4,AND(D2395="Pindah",E2395='Buku Akun'!$C$4))),B2395+IF(AND(I2395="Selisih bunga",DAY(B2395)=1),0,0.01)+ROW()/10000000,"")</f>
        <v/>
      </c>
    </row>
    <row r="2396" outlineLevel="1" ht="15" customHeight="1" s="94">
      <c r="A2396" s="123">
        <f>IF(B2396="","",ROW()-15)</f>
        <v/>
      </c>
      <c r="B2396" s="124" t="n"/>
      <c r="C2396" s="123" t="n"/>
      <c r="D2396" s="123" t="n"/>
      <c r="E2396" s="123" t="n"/>
      <c r="F2396" s="125" t="n"/>
      <c r="G2396" s="123" t="n"/>
      <c r="H2396" s="123" t="n"/>
      <c r="I2396" s="123" t="n"/>
      <c r="J2396" s="123" t="n"/>
      <c r="K2396" s="123" t="n"/>
      <c r="L2396" s="123" t="n"/>
      <c r="M2396" s="123">
        <f>IF(AND(B2396&lt;&gt;"",OR($C$4="",ISNUMBER(SEARCH($C$4,C2396&amp;" "&amp;E2396&amp;" "&amp;G2396&amp;" "&amp;H2396&amp;" "&amp;I2396&amp;" "&amp;J2396&amp;" "&amp;K2396&amp;" "&amp;L2396))),OR($C$5="Semua",$C$5="",G2396=$C$5),OR($C$6="Semua",$C$6="",H2396=$C$6,H2396="Pengeluaran "&amp;$C$6,AND($C$6="Uang Kos Mama",H2396="Pengeluaran Uang Kos")),OR($C$7="Semua",$C$7="",I2396=$C$7),OR($C$8="Semua",$C$8="",C2396=$C$8,E2396=$C$8),OR($C$9="Semua",$C$9="",D2396=$C$9),OR($C$10="",B2396&gt;=$C$10),OR($C$11="",B2396&lt;=$C$11),OR($C$12&lt;&gt;"Ya",K2396&lt;&gt;""),OR($C$13="Semua",$C$13="",L2396=$C$13)),"✓","")</f>
        <v/>
      </c>
      <c r="N2396" s="93">
        <f>N(N2395)+IF(M2396="✓",1,0)</f>
        <v/>
      </c>
      <c r="O2396" s="93">
        <f>N(O2395)+IF(AND(B2396&lt;&gt;"",B2396&gt;='Uang Riba'!$H$30,B2396&lt;='Uang Riba'!$I$30,OR(H2396="Dana riba",H2396="Pinjam uang riba",I2396="Pinjam dari uang riba",I2396="Ganti uang riba",I2396="Kelebihan ganti dikembalikan",AND(C2396="Kantong Uang Riba",G2396="Pengeluaran"))),1,0)</f>
        <v/>
      </c>
      <c r="X2396" s="93">
        <f>IF(AND(B2396&lt;&gt;"",B2396&gt;='Buku Akun'!$H$4,B2396&lt;='Buku Akun'!$H$5,OR(C2396='Buku Akun'!$C$4,AND(D2396="Pindah",E2396='Buku Akun'!$C$4))),B2396+IF(AND(I2396="Selisih bunga",DAY(B2396)=1),0,0.01)+ROW()/10000000,"")</f>
        <v/>
      </c>
    </row>
    <row r="2397" outlineLevel="1" ht="15" customHeight="1" s="94">
      <c r="A2397" s="123">
        <f>IF(B2397="","",ROW()-15)</f>
        <v/>
      </c>
      <c r="B2397" s="124" t="n"/>
      <c r="C2397" s="123" t="n"/>
      <c r="D2397" s="123" t="n"/>
      <c r="E2397" s="123" t="n"/>
      <c r="F2397" s="125" t="n"/>
      <c r="G2397" s="123" t="n"/>
      <c r="H2397" s="123" t="n"/>
      <c r="I2397" s="123" t="n"/>
      <c r="J2397" s="123" t="n"/>
      <c r="K2397" s="123" t="n"/>
      <c r="L2397" s="123" t="n"/>
      <c r="M2397" s="123">
        <f>IF(AND(B2397&lt;&gt;"",OR($C$4="",ISNUMBER(SEARCH($C$4,C2397&amp;" "&amp;E2397&amp;" "&amp;G2397&amp;" "&amp;H2397&amp;" "&amp;I2397&amp;" "&amp;J2397&amp;" "&amp;K2397&amp;" "&amp;L2397))),OR($C$5="Semua",$C$5="",G2397=$C$5),OR($C$6="Semua",$C$6="",H2397=$C$6,H2397="Pengeluaran "&amp;$C$6,AND($C$6="Uang Kos Mama",H2397="Pengeluaran Uang Kos")),OR($C$7="Semua",$C$7="",I2397=$C$7),OR($C$8="Semua",$C$8="",C2397=$C$8,E2397=$C$8),OR($C$9="Semua",$C$9="",D2397=$C$9),OR($C$10="",B2397&gt;=$C$10),OR($C$11="",B2397&lt;=$C$11),OR($C$12&lt;&gt;"Ya",K2397&lt;&gt;""),OR($C$13="Semua",$C$13="",L2397=$C$13)),"✓","")</f>
        <v/>
      </c>
      <c r="N2397" s="93">
        <f>N(N2396)+IF(M2397="✓",1,0)</f>
        <v/>
      </c>
      <c r="O2397" s="93">
        <f>N(O2396)+IF(AND(B2397&lt;&gt;"",B2397&gt;='Uang Riba'!$H$30,B2397&lt;='Uang Riba'!$I$30,OR(H2397="Dana riba",H2397="Pinjam uang riba",I2397="Pinjam dari uang riba",I2397="Ganti uang riba",I2397="Kelebihan ganti dikembalikan",AND(C2397="Kantong Uang Riba",G2397="Pengeluaran"))),1,0)</f>
        <v/>
      </c>
      <c r="X2397" s="93">
        <f>IF(AND(B2397&lt;&gt;"",B2397&gt;='Buku Akun'!$H$4,B2397&lt;='Buku Akun'!$H$5,OR(C2397='Buku Akun'!$C$4,AND(D2397="Pindah",E2397='Buku Akun'!$C$4))),B2397+IF(AND(I2397="Selisih bunga",DAY(B2397)=1),0,0.01)+ROW()/10000000,"")</f>
        <v/>
      </c>
    </row>
    <row r="2398" outlineLevel="1" ht="15" customHeight="1" s="94">
      <c r="A2398" s="123">
        <f>IF(B2398="","",ROW()-15)</f>
        <v/>
      </c>
      <c r="B2398" s="124" t="n"/>
      <c r="C2398" s="123" t="n"/>
      <c r="D2398" s="123" t="n"/>
      <c r="E2398" s="123" t="n"/>
      <c r="F2398" s="125" t="n"/>
      <c r="G2398" s="123" t="n"/>
      <c r="H2398" s="123" t="n"/>
      <c r="I2398" s="123" t="n"/>
      <c r="J2398" s="123" t="n"/>
      <c r="K2398" s="123" t="n"/>
      <c r="L2398" s="123" t="n"/>
      <c r="M2398" s="123">
        <f>IF(AND(B2398&lt;&gt;"",OR($C$4="",ISNUMBER(SEARCH($C$4,C2398&amp;" "&amp;E2398&amp;" "&amp;G2398&amp;" "&amp;H2398&amp;" "&amp;I2398&amp;" "&amp;J2398&amp;" "&amp;K2398&amp;" "&amp;L2398))),OR($C$5="Semua",$C$5="",G2398=$C$5),OR($C$6="Semua",$C$6="",H2398=$C$6,H2398="Pengeluaran "&amp;$C$6,AND($C$6="Uang Kos Mama",H2398="Pengeluaran Uang Kos")),OR($C$7="Semua",$C$7="",I2398=$C$7),OR($C$8="Semua",$C$8="",C2398=$C$8,E2398=$C$8),OR($C$9="Semua",$C$9="",D2398=$C$9),OR($C$10="",B2398&gt;=$C$10),OR($C$11="",B2398&lt;=$C$11),OR($C$12&lt;&gt;"Ya",K2398&lt;&gt;""),OR($C$13="Semua",$C$13="",L2398=$C$13)),"✓","")</f>
        <v/>
      </c>
      <c r="N2398" s="93">
        <f>N(N2397)+IF(M2398="✓",1,0)</f>
        <v/>
      </c>
      <c r="O2398" s="93">
        <f>N(O2397)+IF(AND(B2398&lt;&gt;"",B2398&gt;='Uang Riba'!$H$30,B2398&lt;='Uang Riba'!$I$30,OR(H2398="Dana riba",H2398="Pinjam uang riba",I2398="Pinjam dari uang riba",I2398="Ganti uang riba",I2398="Kelebihan ganti dikembalikan",AND(C2398="Kantong Uang Riba",G2398="Pengeluaran"))),1,0)</f>
        <v/>
      </c>
      <c r="X2398" s="93">
        <f>IF(AND(B2398&lt;&gt;"",B2398&gt;='Buku Akun'!$H$4,B2398&lt;='Buku Akun'!$H$5,OR(C2398='Buku Akun'!$C$4,AND(D2398="Pindah",E2398='Buku Akun'!$C$4))),B2398+IF(AND(I2398="Selisih bunga",DAY(B2398)=1),0,0.01)+ROW()/10000000,"")</f>
        <v/>
      </c>
    </row>
    <row r="2399" outlineLevel="1" ht="15" customHeight="1" s="94">
      <c r="A2399" s="123">
        <f>IF(B2399="","",ROW()-15)</f>
        <v/>
      </c>
      <c r="B2399" s="124" t="n"/>
      <c r="C2399" s="123" t="n"/>
      <c r="D2399" s="123" t="n"/>
      <c r="E2399" s="123" t="n"/>
      <c r="F2399" s="125" t="n"/>
      <c r="G2399" s="123" t="n"/>
      <c r="H2399" s="123" t="n"/>
      <c r="I2399" s="123" t="n"/>
      <c r="J2399" s="123" t="n"/>
      <c r="K2399" s="123" t="n"/>
      <c r="L2399" s="123" t="n"/>
      <c r="M2399" s="123">
        <f>IF(AND(B2399&lt;&gt;"",OR($C$4="",ISNUMBER(SEARCH($C$4,C2399&amp;" "&amp;E2399&amp;" "&amp;G2399&amp;" "&amp;H2399&amp;" "&amp;I2399&amp;" "&amp;J2399&amp;" "&amp;K2399&amp;" "&amp;L2399))),OR($C$5="Semua",$C$5="",G2399=$C$5),OR($C$6="Semua",$C$6="",H2399=$C$6,H2399="Pengeluaran "&amp;$C$6,AND($C$6="Uang Kos Mama",H2399="Pengeluaran Uang Kos")),OR($C$7="Semua",$C$7="",I2399=$C$7),OR($C$8="Semua",$C$8="",C2399=$C$8,E2399=$C$8),OR($C$9="Semua",$C$9="",D2399=$C$9),OR($C$10="",B2399&gt;=$C$10),OR($C$11="",B2399&lt;=$C$11),OR($C$12&lt;&gt;"Ya",K2399&lt;&gt;""),OR($C$13="Semua",$C$13="",L2399=$C$13)),"✓","")</f>
        <v/>
      </c>
      <c r="N2399" s="93">
        <f>N(N2398)+IF(M2399="✓",1,0)</f>
        <v/>
      </c>
      <c r="O2399" s="93">
        <f>N(O2398)+IF(AND(B2399&lt;&gt;"",B2399&gt;='Uang Riba'!$H$30,B2399&lt;='Uang Riba'!$I$30,OR(H2399="Dana riba",H2399="Pinjam uang riba",I2399="Pinjam dari uang riba",I2399="Ganti uang riba",I2399="Kelebihan ganti dikembalikan",AND(C2399="Kantong Uang Riba",G2399="Pengeluaran"))),1,0)</f>
        <v/>
      </c>
      <c r="X2399" s="93">
        <f>IF(AND(B2399&lt;&gt;"",B2399&gt;='Buku Akun'!$H$4,B2399&lt;='Buku Akun'!$H$5,OR(C2399='Buku Akun'!$C$4,AND(D2399="Pindah",E2399='Buku Akun'!$C$4))),B2399+IF(AND(I2399="Selisih bunga",DAY(B2399)=1),0,0.01)+ROW()/10000000,"")</f>
        <v/>
      </c>
    </row>
    <row r="2400" outlineLevel="1" ht="15" customHeight="1" s="94">
      <c r="A2400" s="123">
        <f>IF(B2400="","",ROW()-15)</f>
        <v/>
      </c>
      <c r="B2400" s="124" t="n"/>
      <c r="C2400" s="123" t="n"/>
      <c r="D2400" s="123" t="n"/>
      <c r="E2400" s="123" t="n"/>
      <c r="F2400" s="125" t="n"/>
      <c r="G2400" s="123" t="n"/>
      <c r="H2400" s="123" t="n"/>
      <c r="I2400" s="123" t="n"/>
      <c r="J2400" s="123" t="n"/>
      <c r="K2400" s="123" t="n"/>
      <c r="L2400" s="123" t="n"/>
      <c r="M2400" s="123">
        <f>IF(AND(B2400&lt;&gt;"",OR($C$4="",ISNUMBER(SEARCH($C$4,C2400&amp;" "&amp;E2400&amp;" "&amp;G2400&amp;" "&amp;H2400&amp;" "&amp;I2400&amp;" "&amp;J2400&amp;" "&amp;K2400&amp;" "&amp;L2400))),OR($C$5="Semua",$C$5="",G2400=$C$5),OR($C$6="Semua",$C$6="",H2400=$C$6,H2400="Pengeluaran "&amp;$C$6,AND($C$6="Uang Kos Mama",H2400="Pengeluaran Uang Kos")),OR($C$7="Semua",$C$7="",I2400=$C$7),OR($C$8="Semua",$C$8="",C2400=$C$8,E2400=$C$8),OR($C$9="Semua",$C$9="",D2400=$C$9),OR($C$10="",B2400&gt;=$C$10),OR($C$11="",B2400&lt;=$C$11),OR($C$12&lt;&gt;"Ya",K2400&lt;&gt;""),OR($C$13="Semua",$C$13="",L2400=$C$13)),"✓","")</f>
        <v/>
      </c>
      <c r="N2400" s="93">
        <f>N(N2399)+IF(M2400="✓",1,0)</f>
        <v/>
      </c>
      <c r="O2400" s="93">
        <f>N(O2399)+IF(AND(B2400&lt;&gt;"",B2400&gt;='Uang Riba'!$H$30,B2400&lt;='Uang Riba'!$I$30,OR(H2400="Dana riba",H2400="Pinjam uang riba",I2400="Pinjam dari uang riba",I2400="Ganti uang riba",I2400="Kelebihan ganti dikembalikan",AND(C2400="Kantong Uang Riba",G2400="Pengeluaran"))),1,0)</f>
        <v/>
      </c>
      <c r="X2400" s="93">
        <f>IF(AND(B2400&lt;&gt;"",B2400&gt;='Buku Akun'!$H$4,B2400&lt;='Buku Akun'!$H$5,OR(C2400='Buku Akun'!$C$4,AND(D2400="Pindah",E2400='Buku Akun'!$C$4))),B2400+IF(AND(I2400="Selisih bunga",DAY(B2400)=1),0,0.01)+ROW()/10000000,"")</f>
        <v/>
      </c>
    </row>
    <row r="2401" outlineLevel="1" ht="15" customHeight="1" s="94">
      <c r="A2401" s="123">
        <f>IF(B2401="","",ROW()-15)</f>
        <v/>
      </c>
      <c r="B2401" s="124" t="n"/>
      <c r="C2401" s="123" t="n"/>
      <c r="D2401" s="123" t="n"/>
      <c r="E2401" s="123" t="n"/>
      <c r="F2401" s="125" t="n"/>
      <c r="G2401" s="123" t="n"/>
      <c r="H2401" s="123" t="n"/>
      <c r="I2401" s="123" t="n"/>
      <c r="J2401" s="123" t="n"/>
      <c r="K2401" s="123" t="n"/>
      <c r="L2401" s="123" t="n"/>
      <c r="M2401" s="123">
        <f>IF(AND(B2401&lt;&gt;"",OR($C$4="",ISNUMBER(SEARCH($C$4,C2401&amp;" "&amp;E2401&amp;" "&amp;G2401&amp;" "&amp;H2401&amp;" "&amp;I2401&amp;" "&amp;J2401&amp;" "&amp;K2401&amp;" "&amp;L2401))),OR($C$5="Semua",$C$5="",G2401=$C$5),OR($C$6="Semua",$C$6="",H2401=$C$6,H2401="Pengeluaran "&amp;$C$6,AND($C$6="Uang Kos Mama",H2401="Pengeluaran Uang Kos")),OR($C$7="Semua",$C$7="",I2401=$C$7),OR($C$8="Semua",$C$8="",C2401=$C$8,E2401=$C$8),OR($C$9="Semua",$C$9="",D2401=$C$9),OR($C$10="",B2401&gt;=$C$10),OR($C$11="",B2401&lt;=$C$11),OR($C$12&lt;&gt;"Ya",K2401&lt;&gt;""),OR($C$13="Semua",$C$13="",L2401=$C$13)),"✓","")</f>
        <v/>
      </c>
      <c r="N2401" s="93">
        <f>N(N2400)+IF(M2401="✓",1,0)</f>
        <v/>
      </c>
      <c r="O2401" s="93">
        <f>N(O2400)+IF(AND(B2401&lt;&gt;"",B2401&gt;='Uang Riba'!$H$30,B2401&lt;='Uang Riba'!$I$30,OR(H2401="Dana riba",H2401="Pinjam uang riba",I2401="Pinjam dari uang riba",I2401="Ganti uang riba",I2401="Kelebihan ganti dikembalikan",AND(C2401="Kantong Uang Riba",G2401="Pengeluaran"))),1,0)</f>
        <v/>
      </c>
      <c r="X2401" s="93">
        <f>IF(AND(B2401&lt;&gt;"",B2401&gt;='Buku Akun'!$H$4,B2401&lt;='Buku Akun'!$H$5,OR(C2401='Buku Akun'!$C$4,AND(D2401="Pindah",E2401='Buku Akun'!$C$4))),B2401+IF(AND(I2401="Selisih bunga",DAY(B2401)=1),0,0.01)+ROW()/10000000,"")</f>
        <v/>
      </c>
    </row>
    <row r="2402" outlineLevel="1" ht="15" customHeight="1" s="94">
      <c r="A2402" s="123">
        <f>IF(B2402="","",ROW()-15)</f>
        <v/>
      </c>
      <c r="B2402" s="124" t="n"/>
      <c r="C2402" s="123" t="n"/>
      <c r="D2402" s="123" t="n"/>
      <c r="E2402" s="123" t="n"/>
      <c r="F2402" s="125" t="n"/>
      <c r="G2402" s="123" t="n"/>
      <c r="H2402" s="123" t="n"/>
      <c r="I2402" s="123" t="n"/>
      <c r="J2402" s="123" t="n"/>
      <c r="K2402" s="123" t="n"/>
      <c r="L2402" s="123" t="n"/>
      <c r="M2402" s="123">
        <f>IF(AND(B2402&lt;&gt;"",OR($C$4="",ISNUMBER(SEARCH($C$4,C2402&amp;" "&amp;E2402&amp;" "&amp;G2402&amp;" "&amp;H2402&amp;" "&amp;I2402&amp;" "&amp;J2402&amp;" "&amp;K2402&amp;" "&amp;L2402))),OR($C$5="Semua",$C$5="",G2402=$C$5),OR($C$6="Semua",$C$6="",H2402=$C$6,H2402="Pengeluaran "&amp;$C$6,AND($C$6="Uang Kos Mama",H2402="Pengeluaran Uang Kos")),OR($C$7="Semua",$C$7="",I2402=$C$7),OR($C$8="Semua",$C$8="",C2402=$C$8,E2402=$C$8),OR($C$9="Semua",$C$9="",D2402=$C$9),OR($C$10="",B2402&gt;=$C$10),OR($C$11="",B2402&lt;=$C$11),OR($C$12&lt;&gt;"Ya",K2402&lt;&gt;""),OR($C$13="Semua",$C$13="",L2402=$C$13)),"✓","")</f>
        <v/>
      </c>
      <c r="N2402" s="93">
        <f>N(N2401)+IF(M2402="✓",1,0)</f>
        <v/>
      </c>
      <c r="O2402" s="93">
        <f>N(O2401)+IF(AND(B2402&lt;&gt;"",B2402&gt;='Uang Riba'!$H$30,B2402&lt;='Uang Riba'!$I$30,OR(H2402="Dana riba",H2402="Pinjam uang riba",I2402="Pinjam dari uang riba",I2402="Ganti uang riba",I2402="Kelebihan ganti dikembalikan",AND(C2402="Kantong Uang Riba",G2402="Pengeluaran"))),1,0)</f>
        <v/>
      </c>
      <c r="X2402" s="93">
        <f>IF(AND(B2402&lt;&gt;"",B2402&gt;='Buku Akun'!$H$4,B2402&lt;='Buku Akun'!$H$5,OR(C2402='Buku Akun'!$C$4,AND(D2402="Pindah",E2402='Buku Akun'!$C$4))),B2402+IF(AND(I2402="Selisih bunga",DAY(B2402)=1),0,0.01)+ROW()/10000000,"")</f>
        <v/>
      </c>
    </row>
    <row r="2403" outlineLevel="1" ht="15" customHeight="1" s="94">
      <c r="A2403" s="123">
        <f>IF(B2403="","",ROW()-15)</f>
        <v/>
      </c>
      <c r="B2403" s="124" t="n"/>
      <c r="C2403" s="123" t="n"/>
      <c r="D2403" s="123" t="n"/>
      <c r="E2403" s="123" t="n"/>
      <c r="F2403" s="125" t="n"/>
      <c r="G2403" s="123" t="n"/>
      <c r="H2403" s="123" t="n"/>
      <c r="I2403" s="123" t="n"/>
      <c r="J2403" s="123" t="n"/>
      <c r="K2403" s="123" t="n"/>
      <c r="L2403" s="123" t="n"/>
      <c r="M2403" s="123">
        <f>IF(AND(B2403&lt;&gt;"",OR($C$4="",ISNUMBER(SEARCH($C$4,C2403&amp;" "&amp;E2403&amp;" "&amp;G2403&amp;" "&amp;H2403&amp;" "&amp;I2403&amp;" "&amp;J2403&amp;" "&amp;K2403&amp;" "&amp;L2403))),OR($C$5="Semua",$C$5="",G2403=$C$5),OR($C$6="Semua",$C$6="",H2403=$C$6,H2403="Pengeluaran "&amp;$C$6,AND($C$6="Uang Kos Mama",H2403="Pengeluaran Uang Kos")),OR($C$7="Semua",$C$7="",I2403=$C$7),OR($C$8="Semua",$C$8="",C2403=$C$8,E2403=$C$8),OR($C$9="Semua",$C$9="",D2403=$C$9),OR($C$10="",B2403&gt;=$C$10),OR($C$11="",B2403&lt;=$C$11),OR($C$12&lt;&gt;"Ya",K2403&lt;&gt;""),OR($C$13="Semua",$C$13="",L2403=$C$13)),"✓","")</f>
        <v/>
      </c>
      <c r="N2403" s="93">
        <f>N(N2402)+IF(M2403="✓",1,0)</f>
        <v/>
      </c>
      <c r="O2403" s="93">
        <f>N(O2402)+IF(AND(B2403&lt;&gt;"",B2403&gt;='Uang Riba'!$H$30,B2403&lt;='Uang Riba'!$I$30,OR(H2403="Dana riba",H2403="Pinjam uang riba",I2403="Pinjam dari uang riba",I2403="Ganti uang riba",I2403="Kelebihan ganti dikembalikan",AND(C2403="Kantong Uang Riba",G2403="Pengeluaran"))),1,0)</f>
        <v/>
      </c>
      <c r="X2403" s="93">
        <f>IF(AND(B2403&lt;&gt;"",B2403&gt;='Buku Akun'!$H$4,B2403&lt;='Buku Akun'!$H$5,OR(C2403='Buku Akun'!$C$4,AND(D2403="Pindah",E2403='Buku Akun'!$C$4))),B2403+IF(AND(I2403="Selisih bunga",DAY(B2403)=1),0,0.01)+ROW()/10000000,"")</f>
        <v/>
      </c>
    </row>
    <row r="2404" outlineLevel="1" ht="15" customHeight="1" s="94">
      <c r="A2404" s="123">
        <f>IF(B2404="","",ROW()-15)</f>
        <v/>
      </c>
      <c r="B2404" s="124" t="n"/>
      <c r="C2404" s="123" t="n"/>
      <c r="D2404" s="123" t="n"/>
      <c r="E2404" s="123" t="n"/>
      <c r="F2404" s="125" t="n"/>
      <c r="G2404" s="123" t="n"/>
      <c r="H2404" s="123" t="n"/>
      <c r="I2404" s="123" t="n"/>
      <c r="J2404" s="123" t="n"/>
      <c r="K2404" s="123" t="n"/>
      <c r="L2404" s="123" t="n"/>
      <c r="M2404" s="123">
        <f>IF(AND(B2404&lt;&gt;"",OR($C$4="",ISNUMBER(SEARCH($C$4,C2404&amp;" "&amp;E2404&amp;" "&amp;G2404&amp;" "&amp;H2404&amp;" "&amp;I2404&amp;" "&amp;J2404&amp;" "&amp;K2404&amp;" "&amp;L2404))),OR($C$5="Semua",$C$5="",G2404=$C$5),OR($C$6="Semua",$C$6="",H2404=$C$6,H2404="Pengeluaran "&amp;$C$6,AND($C$6="Uang Kos Mama",H2404="Pengeluaran Uang Kos")),OR($C$7="Semua",$C$7="",I2404=$C$7),OR($C$8="Semua",$C$8="",C2404=$C$8,E2404=$C$8),OR($C$9="Semua",$C$9="",D2404=$C$9),OR($C$10="",B2404&gt;=$C$10),OR($C$11="",B2404&lt;=$C$11),OR($C$12&lt;&gt;"Ya",K2404&lt;&gt;""),OR($C$13="Semua",$C$13="",L2404=$C$13)),"✓","")</f>
        <v/>
      </c>
      <c r="N2404" s="93">
        <f>N(N2403)+IF(M2404="✓",1,0)</f>
        <v/>
      </c>
      <c r="O2404" s="93">
        <f>N(O2403)+IF(AND(B2404&lt;&gt;"",B2404&gt;='Uang Riba'!$H$30,B2404&lt;='Uang Riba'!$I$30,OR(H2404="Dana riba",H2404="Pinjam uang riba",I2404="Pinjam dari uang riba",I2404="Ganti uang riba",I2404="Kelebihan ganti dikembalikan",AND(C2404="Kantong Uang Riba",G2404="Pengeluaran"))),1,0)</f>
        <v/>
      </c>
      <c r="X2404" s="93">
        <f>IF(AND(B2404&lt;&gt;"",B2404&gt;='Buku Akun'!$H$4,B2404&lt;='Buku Akun'!$H$5,OR(C2404='Buku Akun'!$C$4,AND(D2404="Pindah",E2404='Buku Akun'!$C$4))),B2404+IF(AND(I2404="Selisih bunga",DAY(B2404)=1),0,0.01)+ROW()/10000000,"")</f>
        <v/>
      </c>
    </row>
    <row r="2405" outlineLevel="1" ht="15" customHeight="1" s="94">
      <c r="A2405" s="123">
        <f>IF(B2405="","",ROW()-15)</f>
        <v/>
      </c>
      <c r="B2405" s="124" t="n"/>
      <c r="C2405" s="123" t="n"/>
      <c r="D2405" s="123" t="n"/>
      <c r="E2405" s="123" t="n"/>
      <c r="F2405" s="125" t="n"/>
      <c r="G2405" s="123" t="n"/>
      <c r="H2405" s="123" t="n"/>
      <c r="I2405" s="123" t="n"/>
      <c r="J2405" s="123" t="n"/>
      <c r="K2405" s="123" t="n"/>
      <c r="L2405" s="123" t="n"/>
      <c r="M2405" s="123">
        <f>IF(AND(B2405&lt;&gt;"",OR($C$4="",ISNUMBER(SEARCH($C$4,C2405&amp;" "&amp;E2405&amp;" "&amp;G2405&amp;" "&amp;H2405&amp;" "&amp;I2405&amp;" "&amp;J2405&amp;" "&amp;K2405&amp;" "&amp;L2405))),OR($C$5="Semua",$C$5="",G2405=$C$5),OR($C$6="Semua",$C$6="",H2405=$C$6,H2405="Pengeluaran "&amp;$C$6,AND($C$6="Uang Kos Mama",H2405="Pengeluaran Uang Kos")),OR($C$7="Semua",$C$7="",I2405=$C$7),OR($C$8="Semua",$C$8="",C2405=$C$8,E2405=$C$8),OR($C$9="Semua",$C$9="",D2405=$C$9),OR($C$10="",B2405&gt;=$C$10),OR($C$11="",B2405&lt;=$C$11),OR($C$12&lt;&gt;"Ya",K2405&lt;&gt;""),OR($C$13="Semua",$C$13="",L2405=$C$13)),"✓","")</f>
        <v/>
      </c>
      <c r="N2405" s="93">
        <f>N(N2404)+IF(M2405="✓",1,0)</f>
        <v/>
      </c>
      <c r="O2405" s="93">
        <f>N(O2404)+IF(AND(B2405&lt;&gt;"",B2405&gt;='Uang Riba'!$H$30,B2405&lt;='Uang Riba'!$I$30,OR(H2405="Dana riba",H2405="Pinjam uang riba",I2405="Pinjam dari uang riba",I2405="Ganti uang riba",I2405="Kelebihan ganti dikembalikan",AND(C2405="Kantong Uang Riba",G2405="Pengeluaran"))),1,0)</f>
        <v/>
      </c>
      <c r="X2405" s="93">
        <f>IF(AND(B2405&lt;&gt;"",B2405&gt;='Buku Akun'!$H$4,B2405&lt;='Buku Akun'!$H$5,OR(C2405='Buku Akun'!$C$4,AND(D2405="Pindah",E2405='Buku Akun'!$C$4))),B2405+IF(AND(I2405="Selisih bunga",DAY(B2405)=1),0,0.01)+ROW()/10000000,"")</f>
        <v/>
      </c>
    </row>
    <row r="2406" outlineLevel="1" ht="15" customHeight="1" s="94">
      <c r="A2406" s="123">
        <f>IF(B2406="","",ROW()-15)</f>
        <v/>
      </c>
      <c r="B2406" s="124" t="n"/>
      <c r="C2406" s="123" t="n"/>
      <c r="D2406" s="123" t="n"/>
      <c r="E2406" s="123" t="n"/>
      <c r="F2406" s="125" t="n"/>
      <c r="G2406" s="123" t="n"/>
      <c r="H2406" s="123" t="n"/>
      <c r="I2406" s="123" t="n"/>
      <c r="J2406" s="123" t="n"/>
      <c r="K2406" s="123" t="n"/>
      <c r="L2406" s="123" t="n"/>
      <c r="M2406" s="123">
        <f>IF(AND(B2406&lt;&gt;"",OR($C$4="",ISNUMBER(SEARCH($C$4,C2406&amp;" "&amp;E2406&amp;" "&amp;G2406&amp;" "&amp;H2406&amp;" "&amp;I2406&amp;" "&amp;J2406&amp;" "&amp;K2406&amp;" "&amp;L2406))),OR($C$5="Semua",$C$5="",G2406=$C$5),OR($C$6="Semua",$C$6="",H2406=$C$6,H2406="Pengeluaran "&amp;$C$6,AND($C$6="Uang Kos Mama",H2406="Pengeluaran Uang Kos")),OR($C$7="Semua",$C$7="",I2406=$C$7),OR($C$8="Semua",$C$8="",C2406=$C$8,E2406=$C$8),OR($C$9="Semua",$C$9="",D2406=$C$9),OR($C$10="",B2406&gt;=$C$10),OR($C$11="",B2406&lt;=$C$11),OR($C$12&lt;&gt;"Ya",K2406&lt;&gt;""),OR($C$13="Semua",$C$13="",L2406=$C$13)),"✓","")</f>
        <v/>
      </c>
      <c r="N2406" s="93">
        <f>N(N2405)+IF(M2406="✓",1,0)</f>
        <v/>
      </c>
      <c r="O2406" s="93">
        <f>N(O2405)+IF(AND(B2406&lt;&gt;"",B2406&gt;='Uang Riba'!$H$30,B2406&lt;='Uang Riba'!$I$30,OR(H2406="Dana riba",H2406="Pinjam uang riba",I2406="Pinjam dari uang riba",I2406="Ganti uang riba",I2406="Kelebihan ganti dikembalikan",AND(C2406="Kantong Uang Riba",G2406="Pengeluaran"))),1,0)</f>
        <v/>
      </c>
      <c r="X2406" s="93">
        <f>IF(AND(B2406&lt;&gt;"",B2406&gt;='Buku Akun'!$H$4,B2406&lt;='Buku Akun'!$H$5,OR(C2406='Buku Akun'!$C$4,AND(D2406="Pindah",E2406='Buku Akun'!$C$4))),B2406+IF(AND(I2406="Selisih bunga",DAY(B2406)=1),0,0.01)+ROW()/10000000,"")</f>
        <v/>
      </c>
    </row>
    <row r="2407" outlineLevel="1" ht="15" customHeight="1" s="94">
      <c r="A2407" s="123">
        <f>IF(B2407="","",ROW()-15)</f>
        <v/>
      </c>
      <c r="B2407" s="124" t="n"/>
      <c r="C2407" s="123" t="n"/>
      <c r="D2407" s="123" t="n"/>
      <c r="E2407" s="123" t="n"/>
      <c r="F2407" s="125" t="n"/>
      <c r="G2407" s="123" t="n"/>
      <c r="H2407" s="123" t="n"/>
      <c r="I2407" s="123" t="n"/>
      <c r="J2407" s="123" t="n"/>
      <c r="K2407" s="123" t="n"/>
      <c r="L2407" s="123" t="n"/>
      <c r="M2407" s="123">
        <f>IF(AND(B2407&lt;&gt;"",OR($C$4="",ISNUMBER(SEARCH($C$4,C2407&amp;" "&amp;E2407&amp;" "&amp;G2407&amp;" "&amp;H2407&amp;" "&amp;I2407&amp;" "&amp;J2407&amp;" "&amp;K2407&amp;" "&amp;L2407))),OR($C$5="Semua",$C$5="",G2407=$C$5),OR($C$6="Semua",$C$6="",H2407=$C$6,H2407="Pengeluaran "&amp;$C$6,AND($C$6="Uang Kos Mama",H2407="Pengeluaran Uang Kos")),OR($C$7="Semua",$C$7="",I2407=$C$7),OR($C$8="Semua",$C$8="",C2407=$C$8,E2407=$C$8),OR($C$9="Semua",$C$9="",D2407=$C$9),OR($C$10="",B2407&gt;=$C$10),OR($C$11="",B2407&lt;=$C$11),OR($C$12&lt;&gt;"Ya",K2407&lt;&gt;""),OR($C$13="Semua",$C$13="",L2407=$C$13)),"✓","")</f>
        <v/>
      </c>
      <c r="N2407" s="93">
        <f>N(N2406)+IF(M2407="✓",1,0)</f>
        <v/>
      </c>
      <c r="O2407" s="93">
        <f>N(O2406)+IF(AND(B2407&lt;&gt;"",B2407&gt;='Uang Riba'!$H$30,B2407&lt;='Uang Riba'!$I$30,OR(H2407="Dana riba",H2407="Pinjam uang riba",I2407="Pinjam dari uang riba",I2407="Ganti uang riba",I2407="Kelebihan ganti dikembalikan",AND(C2407="Kantong Uang Riba",G2407="Pengeluaran"))),1,0)</f>
        <v/>
      </c>
      <c r="X2407" s="93">
        <f>IF(AND(B2407&lt;&gt;"",B2407&gt;='Buku Akun'!$H$4,B2407&lt;='Buku Akun'!$H$5,OR(C2407='Buku Akun'!$C$4,AND(D2407="Pindah",E2407='Buku Akun'!$C$4))),B2407+IF(AND(I2407="Selisih bunga",DAY(B2407)=1),0,0.01)+ROW()/10000000,"")</f>
        <v/>
      </c>
    </row>
    <row r="2408" outlineLevel="1" ht="15" customHeight="1" s="94">
      <c r="A2408" s="123">
        <f>IF(B2408="","",ROW()-15)</f>
        <v/>
      </c>
      <c r="B2408" s="124" t="n"/>
      <c r="C2408" s="123" t="n"/>
      <c r="D2408" s="123" t="n"/>
      <c r="E2408" s="123" t="n"/>
      <c r="F2408" s="125" t="n"/>
      <c r="G2408" s="123" t="n"/>
      <c r="H2408" s="123" t="n"/>
      <c r="I2408" s="123" t="n"/>
      <c r="J2408" s="123" t="n"/>
      <c r="K2408" s="123" t="n"/>
      <c r="L2408" s="123" t="n"/>
      <c r="M2408" s="123">
        <f>IF(AND(B2408&lt;&gt;"",OR($C$4="",ISNUMBER(SEARCH($C$4,C2408&amp;" "&amp;E2408&amp;" "&amp;G2408&amp;" "&amp;H2408&amp;" "&amp;I2408&amp;" "&amp;J2408&amp;" "&amp;K2408&amp;" "&amp;L2408))),OR($C$5="Semua",$C$5="",G2408=$C$5),OR($C$6="Semua",$C$6="",H2408=$C$6,H2408="Pengeluaran "&amp;$C$6,AND($C$6="Uang Kos Mama",H2408="Pengeluaran Uang Kos")),OR($C$7="Semua",$C$7="",I2408=$C$7),OR($C$8="Semua",$C$8="",C2408=$C$8,E2408=$C$8),OR($C$9="Semua",$C$9="",D2408=$C$9),OR($C$10="",B2408&gt;=$C$10),OR($C$11="",B2408&lt;=$C$11),OR($C$12&lt;&gt;"Ya",K2408&lt;&gt;""),OR($C$13="Semua",$C$13="",L2408=$C$13)),"✓","")</f>
        <v/>
      </c>
      <c r="N2408" s="93">
        <f>N(N2407)+IF(M2408="✓",1,0)</f>
        <v/>
      </c>
      <c r="O2408" s="93">
        <f>N(O2407)+IF(AND(B2408&lt;&gt;"",B2408&gt;='Uang Riba'!$H$30,B2408&lt;='Uang Riba'!$I$30,OR(H2408="Dana riba",H2408="Pinjam uang riba",I2408="Pinjam dari uang riba",I2408="Ganti uang riba",I2408="Kelebihan ganti dikembalikan",AND(C2408="Kantong Uang Riba",G2408="Pengeluaran"))),1,0)</f>
        <v/>
      </c>
      <c r="X2408" s="93">
        <f>IF(AND(B2408&lt;&gt;"",B2408&gt;='Buku Akun'!$H$4,B2408&lt;='Buku Akun'!$H$5,OR(C2408='Buku Akun'!$C$4,AND(D2408="Pindah",E2408='Buku Akun'!$C$4))),B2408+IF(AND(I2408="Selisih bunga",DAY(B2408)=1),0,0.01)+ROW()/10000000,"")</f>
        <v/>
      </c>
    </row>
    <row r="2409" outlineLevel="1" ht="15" customHeight="1" s="94">
      <c r="A2409" s="123">
        <f>IF(B2409="","",ROW()-15)</f>
        <v/>
      </c>
      <c r="B2409" s="124" t="n"/>
      <c r="C2409" s="123" t="n"/>
      <c r="D2409" s="123" t="n"/>
      <c r="E2409" s="123" t="n"/>
      <c r="F2409" s="125" t="n"/>
      <c r="G2409" s="123" t="n"/>
      <c r="H2409" s="123" t="n"/>
      <c r="I2409" s="123" t="n"/>
      <c r="J2409" s="123" t="n"/>
      <c r="K2409" s="123" t="n"/>
      <c r="L2409" s="123" t="n"/>
      <c r="M2409" s="123">
        <f>IF(AND(B2409&lt;&gt;"",OR($C$4="",ISNUMBER(SEARCH($C$4,C2409&amp;" "&amp;E2409&amp;" "&amp;G2409&amp;" "&amp;H2409&amp;" "&amp;I2409&amp;" "&amp;J2409&amp;" "&amp;K2409&amp;" "&amp;L2409))),OR($C$5="Semua",$C$5="",G2409=$C$5),OR($C$6="Semua",$C$6="",H2409=$C$6,H2409="Pengeluaran "&amp;$C$6,AND($C$6="Uang Kos Mama",H2409="Pengeluaran Uang Kos")),OR($C$7="Semua",$C$7="",I2409=$C$7),OR($C$8="Semua",$C$8="",C2409=$C$8,E2409=$C$8),OR($C$9="Semua",$C$9="",D2409=$C$9),OR($C$10="",B2409&gt;=$C$10),OR($C$11="",B2409&lt;=$C$11),OR($C$12&lt;&gt;"Ya",K2409&lt;&gt;""),OR($C$13="Semua",$C$13="",L2409=$C$13)),"✓","")</f>
        <v/>
      </c>
      <c r="N2409" s="93">
        <f>N(N2408)+IF(M2409="✓",1,0)</f>
        <v/>
      </c>
      <c r="O2409" s="93">
        <f>N(O2408)+IF(AND(B2409&lt;&gt;"",B2409&gt;='Uang Riba'!$H$30,B2409&lt;='Uang Riba'!$I$30,OR(H2409="Dana riba",H2409="Pinjam uang riba",I2409="Pinjam dari uang riba",I2409="Ganti uang riba",I2409="Kelebihan ganti dikembalikan",AND(C2409="Kantong Uang Riba",G2409="Pengeluaran"))),1,0)</f>
        <v/>
      </c>
      <c r="X2409" s="93">
        <f>IF(AND(B2409&lt;&gt;"",B2409&gt;='Buku Akun'!$H$4,B2409&lt;='Buku Akun'!$H$5,OR(C2409='Buku Akun'!$C$4,AND(D2409="Pindah",E2409='Buku Akun'!$C$4))),B2409+IF(AND(I2409="Selisih bunga",DAY(B2409)=1),0,0.01)+ROW()/10000000,"")</f>
        <v/>
      </c>
    </row>
    <row r="2410" outlineLevel="1" ht="15" customHeight="1" s="94">
      <c r="A2410" s="123">
        <f>IF(B2410="","",ROW()-15)</f>
        <v/>
      </c>
      <c r="B2410" s="124" t="n"/>
      <c r="C2410" s="123" t="n"/>
      <c r="D2410" s="123" t="n"/>
      <c r="E2410" s="123" t="n"/>
      <c r="F2410" s="125" t="n"/>
      <c r="G2410" s="123" t="n"/>
      <c r="H2410" s="123" t="n"/>
      <c r="I2410" s="123" t="n"/>
      <c r="J2410" s="123" t="n"/>
      <c r="K2410" s="123" t="n"/>
      <c r="L2410" s="123" t="n"/>
      <c r="M2410" s="123">
        <f>IF(AND(B2410&lt;&gt;"",OR($C$4="",ISNUMBER(SEARCH($C$4,C2410&amp;" "&amp;E2410&amp;" "&amp;G2410&amp;" "&amp;H2410&amp;" "&amp;I2410&amp;" "&amp;J2410&amp;" "&amp;K2410&amp;" "&amp;L2410))),OR($C$5="Semua",$C$5="",G2410=$C$5),OR($C$6="Semua",$C$6="",H2410=$C$6,H2410="Pengeluaran "&amp;$C$6,AND($C$6="Uang Kos Mama",H2410="Pengeluaran Uang Kos")),OR($C$7="Semua",$C$7="",I2410=$C$7),OR($C$8="Semua",$C$8="",C2410=$C$8,E2410=$C$8),OR($C$9="Semua",$C$9="",D2410=$C$9),OR($C$10="",B2410&gt;=$C$10),OR($C$11="",B2410&lt;=$C$11),OR($C$12&lt;&gt;"Ya",K2410&lt;&gt;""),OR($C$13="Semua",$C$13="",L2410=$C$13)),"✓","")</f>
        <v/>
      </c>
      <c r="N2410" s="93">
        <f>N(N2409)+IF(M2410="✓",1,0)</f>
        <v/>
      </c>
      <c r="O2410" s="93">
        <f>N(O2409)+IF(AND(B2410&lt;&gt;"",B2410&gt;='Uang Riba'!$H$30,B2410&lt;='Uang Riba'!$I$30,OR(H2410="Dana riba",H2410="Pinjam uang riba",I2410="Pinjam dari uang riba",I2410="Ganti uang riba",I2410="Kelebihan ganti dikembalikan",AND(C2410="Kantong Uang Riba",G2410="Pengeluaran"))),1,0)</f>
        <v/>
      </c>
      <c r="X2410" s="93">
        <f>IF(AND(B2410&lt;&gt;"",B2410&gt;='Buku Akun'!$H$4,B2410&lt;='Buku Akun'!$H$5,OR(C2410='Buku Akun'!$C$4,AND(D2410="Pindah",E2410='Buku Akun'!$C$4))),B2410+IF(AND(I2410="Selisih bunga",DAY(B2410)=1),0,0.01)+ROW()/10000000,"")</f>
        <v/>
      </c>
    </row>
    <row r="2411" outlineLevel="1" ht="15" customHeight="1" s="94">
      <c r="A2411" s="123">
        <f>IF(B2411="","",ROW()-15)</f>
        <v/>
      </c>
      <c r="B2411" s="124" t="n"/>
      <c r="C2411" s="123" t="n"/>
      <c r="D2411" s="123" t="n"/>
      <c r="E2411" s="123" t="n"/>
      <c r="F2411" s="125" t="n"/>
      <c r="G2411" s="123" t="n"/>
      <c r="H2411" s="123" t="n"/>
      <c r="I2411" s="123" t="n"/>
      <c r="J2411" s="123" t="n"/>
      <c r="K2411" s="123" t="n"/>
      <c r="L2411" s="123" t="n"/>
      <c r="M2411" s="123">
        <f>IF(AND(B2411&lt;&gt;"",OR($C$4="",ISNUMBER(SEARCH($C$4,C2411&amp;" "&amp;E2411&amp;" "&amp;G2411&amp;" "&amp;H2411&amp;" "&amp;I2411&amp;" "&amp;J2411&amp;" "&amp;K2411&amp;" "&amp;L2411))),OR($C$5="Semua",$C$5="",G2411=$C$5),OR($C$6="Semua",$C$6="",H2411=$C$6,H2411="Pengeluaran "&amp;$C$6,AND($C$6="Uang Kos Mama",H2411="Pengeluaran Uang Kos")),OR($C$7="Semua",$C$7="",I2411=$C$7),OR($C$8="Semua",$C$8="",C2411=$C$8,E2411=$C$8),OR($C$9="Semua",$C$9="",D2411=$C$9),OR($C$10="",B2411&gt;=$C$10),OR($C$11="",B2411&lt;=$C$11),OR($C$12&lt;&gt;"Ya",K2411&lt;&gt;""),OR($C$13="Semua",$C$13="",L2411=$C$13)),"✓","")</f>
        <v/>
      </c>
      <c r="N2411" s="93">
        <f>N(N2410)+IF(M2411="✓",1,0)</f>
        <v/>
      </c>
      <c r="O2411" s="93">
        <f>N(O2410)+IF(AND(B2411&lt;&gt;"",B2411&gt;='Uang Riba'!$H$30,B2411&lt;='Uang Riba'!$I$30,OR(H2411="Dana riba",H2411="Pinjam uang riba",I2411="Pinjam dari uang riba",I2411="Ganti uang riba",I2411="Kelebihan ganti dikembalikan",AND(C2411="Kantong Uang Riba",G2411="Pengeluaran"))),1,0)</f>
        <v/>
      </c>
      <c r="X2411" s="93">
        <f>IF(AND(B2411&lt;&gt;"",B2411&gt;='Buku Akun'!$H$4,B2411&lt;='Buku Akun'!$H$5,OR(C2411='Buku Akun'!$C$4,AND(D2411="Pindah",E2411='Buku Akun'!$C$4))),B2411+IF(AND(I2411="Selisih bunga",DAY(B2411)=1),0,0.01)+ROW()/10000000,"")</f>
        <v/>
      </c>
    </row>
    <row r="2412" outlineLevel="1" ht="15" customHeight="1" s="94">
      <c r="A2412" s="123">
        <f>IF(B2412="","",ROW()-15)</f>
        <v/>
      </c>
      <c r="B2412" s="124" t="n"/>
      <c r="C2412" s="123" t="n"/>
      <c r="D2412" s="123" t="n"/>
      <c r="E2412" s="123" t="n"/>
      <c r="F2412" s="125" t="n"/>
      <c r="G2412" s="123" t="n"/>
      <c r="H2412" s="123" t="n"/>
      <c r="I2412" s="123" t="n"/>
      <c r="J2412" s="123" t="n"/>
      <c r="K2412" s="123" t="n"/>
      <c r="L2412" s="123" t="n"/>
      <c r="M2412" s="123">
        <f>IF(AND(B2412&lt;&gt;"",OR($C$4="",ISNUMBER(SEARCH($C$4,C2412&amp;" "&amp;E2412&amp;" "&amp;G2412&amp;" "&amp;H2412&amp;" "&amp;I2412&amp;" "&amp;J2412&amp;" "&amp;K2412&amp;" "&amp;L2412))),OR($C$5="Semua",$C$5="",G2412=$C$5),OR($C$6="Semua",$C$6="",H2412=$C$6,H2412="Pengeluaran "&amp;$C$6,AND($C$6="Uang Kos Mama",H2412="Pengeluaran Uang Kos")),OR($C$7="Semua",$C$7="",I2412=$C$7),OR($C$8="Semua",$C$8="",C2412=$C$8,E2412=$C$8),OR($C$9="Semua",$C$9="",D2412=$C$9),OR($C$10="",B2412&gt;=$C$10),OR($C$11="",B2412&lt;=$C$11),OR($C$12&lt;&gt;"Ya",K2412&lt;&gt;""),OR($C$13="Semua",$C$13="",L2412=$C$13)),"✓","")</f>
        <v/>
      </c>
      <c r="N2412" s="93">
        <f>N(N2411)+IF(M2412="✓",1,0)</f>
        <v/>
      </c>
      <c r="O2412" s="93">
        <f>N(O2411)+IF(AND(B2412&lt;&gt;"",B2412&gt;='Uang Riba'!$H$30,B2412&lt;='Uang Riba'!$I$30,OR(H2412="Dana riba",H2412="Pinjam uang riba",I2412="Pinjam dari uang riba",I2412="Ganti uang riba",I2412="Kelebihan ganti dikembalikan",AND(C2412="Kantong Uang Riba",G2412="Pengeluaran"))),1,0)</f>
        <v/>
      </c>
      <c r="X2412" s="93">
        <f>IF(AND(B2412&lt;&gt;"",B2412&gt;='Buku Akun'!$H$4,B2412&lt;='Buku Akun'!$H$5,OR(C2412='Buku Akun'!$C$4,AND(D2412="Pindah",E2412='Buku Akun'!$C$4))),B2412+IF(AND(I2412="Selisih bunga",DAY(B2412)=1),0,0.01)+ROW()/10000000,"")</f>
        <v/>
      </c>
    </row>
    <row r="2413" outlineLevel="1" ht="15" customHeight="1" s="94">
      <c r="A2413" s="123">
        <f>IF(B2413="","",ROW()-15)</f>
        <v/>
      </c>
      <c r="B2413" s="124" t="n"/>
      <c r="C2413" s="123" t="n"/>
      <c r="D2413" s="123" t="n"/>
      <c r="E2413" s="123" t="n"/>
      <c r="F2413" s="125" t="n"/>
      <c r="G2413" s="123" t="n"/>
      <c r="H2413" s="123" t="n"/>
      <c r="I2413" s="123" t="n"/>
      <c r="J2413" s="123" t="n"/>
      <c r="K2413" s="123" t="n"/>
      <c r="L2413" s="123" t="n"/>
      <c r="M2413" s="123">
        <f>IF(AND(B2413&lt;&gt;"",OR($C$4="",ISNUMBER(SEARCH($C$4,C2413&amp;" "&amp;E2413&amp;" "&amp;G2413&amp;" "&amp;H2413&amp;" "&amp;I2413&amp;" "&amp;J2413&amp;" "&amp;K2413&amp;" "&amp;L2413))),OR($C$5="Semua",$C$5="",G2413=$C$5),OR($C$6="Semua",$C$6="",H2413=$C$6,H2413="Pengeluaran "&amp;$C$6,AND($C$6="Uang Kos Mama",H2413="Pengeluaran Uang Kos")),OR($C$7="Semua",$C$7="",I2413=$C$7),OR($C$8="Semua",$C$8="",C2413=$C$8,E2413=$C$8),OR($C$9="Semua",$C$9="",D2413=$C$9),OR($C$10="",B2413&gt;=$C$10),OR($C$11="",B2413&lt;=$C$11),OR($C$12&lt;&gt;"Ya",K2413&lt;&gt;""),OR($C$13="Semua",$C$13="",L2413=$C$13)),"✓","")</f>
        <v/>
      </c>
      <c r="N2413" s="93">
        <f>N(N2412)+IF(M2413="✓",1,0)</f>
        <v/>
      </c>
      <c r="O2413" s="93">
        <f>N(O2412)+IF(AND(B2413&lt;&gt;"",B2413&gt;='Uang Riba'!$H$30,B2413&lt;='Uang Riba'!$I$30,OR(H2413="Dana riba",H2413="Pinjam uang riba",I2413="Pinjam dari uang riba",I2413="Ganti uang riba",I2413="Kelebihan ganti dikembalikan",AND(C2413="Kantong Uang Riba",G2413="Pengeluaran"))),1,0)</f>
        <v/>
      </c>
      <c r="X2413" s="93">
        <f>IF(AND(B2413&lt;&gt;"",B2413&gt;='Buku Akun'!$H$4,B2413&lt;='Buku Akun'!$H$5,OR(C2413='Buku Akun'!$C$4,AND(D2413="Pindah",E2413='Buku Akun'!$C$4))),B2413+IF(AND(I2413="Selisih bunga",DAY(B2413)=1),0,0.01)+ROW()/10000000,"")</f>
        <v/>
      </c>
    </row>
    <row r="2414" outlineLevel="1" ht="15" customHeight="1" s="94">
      <c r="A2414" s="123">
        <f>IF(B2414="","",ROW()-15)</f>
        <v/>
      </c>
      <c r="B2414" s="124" t="n"/>
      <c r="C2414" s="123" t="n"/>
      <c r="D2414" s="123" t="n"/>
      <c r="E2414" s="123" t="n"/>
      <c r="F2414" s="125" t="n"/>
      <c r="G2414" s="123" t="n"/>
      <c r="H2414" s="123" t="n"/>
      <c r="I2414" s="123" t="n"/>
      <c r="J2414" s="123" t="n"/>
      <c r="K2414" s="123" t="n"/>
      <c r="L2414" s="123" t="n"/>
      <c r="M2414" s="123">
        <f>IF(AND(B2414&lt;&gt;"",OR($C$4="",ISNUMBER(SEARCH($C$4,C2414&amp;" "&amp;E2414&amp;" "&amp;G2414&amp;" "&amp;H2414&amp;" "&amp;I2414&amp;" "&amp;J2414&amp;" "&amp;K2414&amp;" "&amp;L2414))),OR($C$5="Semua",$C$5="",G2414=$C$5),OR($C$6="Semua",$C$6="",H2414=$C$6,H2414="Pengeluaran "&amp;$C$6,AND($C$6="Uang Kos Mama",H2414="Pengeluaran Uang Kos")),OR($C$7="Semua",$C$7="",I2414=$C$7),OR($C$8="Semua",$C$8="",C2414=$C$8,E2414=$C$8),OR($C$9="Semua",$C$9="",D2414=$C$9),OR($C$10="",B2414&gt;=$C$10),OR($C$11="",B2414&lt;=$C$11),OR($C$12&lt;&gt;"Ya",K2414&lt;&gt;""),OR($C$13="Semua",$C$13="",L2414=$C$13)),"✓","")</f>
        <v/>
      </c>
      <c r="N2414" s="93">
        <f>N(N2413)+IF(M2414="✓",1,0)</f>
        <v/>
      </c>
      <c r="O2414" s="93">
        <f>N(O2413)+IF(AND(B2414&lt;&gt;"",B2414&gt;='Uang Riba'!$H$30,B2414&lt;='Uang Riba'!$I$30,OR(H2414="Dana riba",H2414="Pinjam uang riba",I2414="Pinjam dari uang riba",I2414="Ganti uang riba",I2414="Kelebihan ganti dikembalikan",AND(C2414="Kantong Uang Riba",G2414="Pengeluaran"))),1,0)</f>
        <v/>
      </c>
      <c r="X2414" s="93">
        <f>IF(AND(B2414&lt;&gt;"",B2414&gt;='Buku Akun'!$H$4,B2414&lt;='Buku Akun'!$H$5,OR(C2414='Buku Akun'!$C$4,AND(D2414="Pindah",E2414='Buku Akun'!$C$4))),B2414+IF(AND(I2414="Selisih bunga",DAY(B2414)=1),0,0.01)+ROW()/10000000,"")</f>
        <v/>
      </c>
    </row>
    <row r="2415" outlineLevel="1" ht="15" customHeight="1" s="94">
      <c r="A2415" s="123">
        <f>IF(B2415="","",ROW()-15)</f>
        <v/>
      </c>
      <c r="B2415" s="124" t="n"/>
      <c r="C2415" s="123" t="n"/>
      <c r="D2415" s="123" t="n"/>
      <c r="E2415" s="123" t="n"/>
      <c r="F2415" s="125" t="n"/>
      <c r="G2415" s="123" t="n"/>
      <c r="H2415" s="123" t="n"/>
      <c r="I2415" s="123" t="n"/>
      <c r="J2415" s="123" t="n"/>
      <c r="K2415" s="123" t="n"/>
      <c r="L2415" s="123" t="n"/>
      <c r="M2415" s="123">
        <f>IF(AND(B2415&lt;&gt;"",OR($C$4="",ISNUMBER(SEARCH($C$4,C2415&amp;" "&amp;E2415&amp;" "&amp;G2415&amp;" "&amp;H2415&amp;" "&amp;I2415&amp;" "&amp;J2415&amp;" "&amp;K2415&amp;" "&amp;L2415))),OR($C$5="Semua",$C$5="",G2415=$C$5),OR($C$6="Semua",$C$6="",H2415=$C$6,H2415="Pengeluaran "&amp;$C$6,AND($C$6="Uang Kos Mama",H2415="Pengeluaran Uang Kos")),OR($C$7="Semua",$C$7="",I2415=$C$7),OR($C$8="Semua",$C$8="",C2415=$C$8,E2415=$C$8),OR($C$9="Semua",$C$9="",D2415=$C$9),OR($C$10="",B2415&gt;=$C$10),OR($C$11="",B2415&lt;=$C$11),OR($C$12&lt;&gt;"Ya",K2415&lt;&gt;""),OR($C$13="Semua",$C$13="",L2415=$C$13)),"✓","")</f>
        <v/>
      </c>
      <c r="N2415" s="93">
        <f>N(N2414)+IF(M2415="✓",1,0)</f>
        <v/>
      </c>
      <c r="O2415" s="93">
        <f>N(O2414)+IF(AND(B2415&lt;&gt;"",B2415&gt;='Uang Riba'!$H$30,B2415&lt;='Uang Riba'!$I$30,OR(H2415="Dana riba",H2415="Pinjam uang riba",I2415="Pinjam dari uang riba",I2415="Ganti uang riba",I2415="Kelebihan ganti dikembalikan",AND(C2415="Kantong Uang Riba",G2415="Pengeluaran"))),1,0)</f>
        <v/>
      </c>
      <c r="X2415" s="93">
        <f>IF(AND(B2415&lt;&gt;"",B2415&gt;='Buku Akun'!$H$4,B2415&lt;='Buku Akun'!$H$5,OR(C2415='Buku Akun'!$C$4,AND(D2415="Pindah",E2415='Buku Akun'!$C$4))),B2415+IF(AND(I2415="Selisih bunga",DAY(B2415)=1),0,0.01)+ROW()/10000000,"")</f>
        <v/>
      </c>
    </row>
    <row r="2416" outlineLevel="1" ht="15" customHeight="1" s="94">
      <c r="A2416" s="123">
        <f>IF(B2416="","",ROW()-15)</f>
        <v/>
      </c>
      <c r="B2416" s="124" t="n"/>
      <c r="C2416" s="123" t="n"/>
      <c r="D2416" s="123" t="n"/>
      <c r="E2416" s="123" t="n"/>
      <c r="F2416" s="125" t="n"/>
      <c r="G2416" s="123" t="n"/>
      <c r="H2416" s="123" t="n"/>
      <c r="I2416" s="123" t="n"/>
      <c r="J2416" s="123" t="n"/>
      <c r="K2416" s="123" t="n"/>
      <c r="L2416" s="123" t="n"/>
      <c r="M2416" s="123">
        <f>IF(AND(B2416&lt;&gt;"",OR($C$4="",ISNUMBER(SEARCH($C$4,C2416&amp;" "&amp;E2416&amp;" "&amp;G2416&amp;" "&amp;H2416&amp;" "&amp;I2416&amp;" "&amp;J2416&amp;" "&amp;K2416&amp;" "&amp;L2416))),OR($C$5="Semua",$C$5="",G2416=$C$5),OR($C$6="Semua",$C$6="",H2416=$C$6,H2416="Pengeluaran "&amp;$C$6,AND($C$6="Uang Kos Mama",H2416="Pengeluaran Uang Kos")),OR($C$7="Semua",$C$7="",I2416=$C$7),OR($C$8="Semua",$C$8="",C2416=$C$8,E2416=$C$8),OR($C$9="Semua",$C$9="",D2416=$C$9),OR($C$10="",B2416&gt;=$C$10),OR($C$11="",B2416&lt;=$C$11),OR($C$12&lt;&gt;"Ya",K2416&lt;&gt;""),OR($C$13="Semua",$C$13="",L2416=$C$13)),"✓","")</f>
        <v/>
      </c>
      <c r="N2416" s="93">
        <f>N(N2415)+IF(M2416="✓",1,0)</f>
        <v/>
      </c>
      <c r="O2416" s="93">
        <f>N(O2415)+IF(AND(B2416&lt;&gt;"",B2416&gt;='Uang Riba'!$H$30,B2416&lt;='Uang Riba'!$I$30,OR(H2416="Dana riba",H2416="Pinjam uang riba",I2416="Pinjam dari uang riba",I2416="Ganti uang riba",I2416="Kelebihan ganti dikembalikan",AND(C2416="Kantong Uang Riba",G2416="Pengeluaran"))),1,0)</f>
        <v/>
      </c>
      <c r="X2416" s="93">
        <f>IF(AND(B2416&lt;&gt;"",B2416&gt;='Buku Akun'!$H$4,B2416&lt;='Buku Akun'!$H$5,OR(C2416='Buku Akun'!$C$4,AND(D2416="Pindah",E2416='Buku Akun'!$C$4))),B2416+IF(AND(I2416="Selisih bunga",DAY(B2416)=1),0,0.01)+ROW()/10000000,"")</f>
        <v/>
      </c>
    </row>
    <row r="2417" outlineLevel="1" ht="15" customHeight="1" s="94">
      <c r="A2417" s="123">
        <f>IF(B2417="","",ROW()-15)</f>
        <v/>
      </c>
      <c r="B2417" s="124" t="n"/>
      <c r="C2417" s="123" t="n"/>
      <c r="D2417" s="123" t="n"/>
      <c r="E2417" s="123" t="n"/>
      <c r="F2417" s="125" t="n"/>
      <c r="G2417" s="123" t="n"/>
      <c r="H2417" s="123" t="n"/>
      <c r="I2417" s="123" t="n"/>
      <c r="J2417" s="123" t="n"/>
      <c r="K2417" s="123" t="n"/>
      <c r="L2417" s="123" t="n"/>
      <c r="M2417" s="123">
        <f>IF(AND(B2417&lt;&gt;"",OR($C$4="",ISNUMBER(SEARCH($C$4,C2417&amp;" "&amp;E2417&amp;" "&amp;G2417&amp;" "&amp;H2417&amp;" "&amp;I2417&amp;" "&amp;J2417&amp;" "&amp;K2417&amp;" "&amp;L2417))),OR($C$5="Semua",$C$5="",G2417=$C$5),OR($C$6="Semua",$C$6="",H2417=$C$6,H2417="Pengeluaran "&amp;$C$6,AND($C$6="Uang Kos Mama",H2417="Pengeluaran Uang Kos")),OR($C$7="Semua",$C$7="",I2417=$C$7),OR($C$8="Semua",$C$8="",C2417=$C$8,E2417=$C$8),OR($C$9="Semua",$C$9="",D2417=$C$9),OR($C$10="",B2417&gt;=$C$10),OR($C$11="",B2417&lt;=$C$11),OR($C$12&lt;&gt;"Ya",K2417&lt;&gt;""),OR($C$13="Semua",$C$13="",L2417=$C$13)),"✓","")</f>
        <v/>
      </c>
      <c r="N2417" s="93">
        <f>N(N2416)+IF(M2417="✓",1,0)</f>
        <v/>
      </c>
      <c r="O2417" s="93">
        <f>N(O2416)+IF(AND(B2417&lt;&gt;"",B2417&gt;='Uang Riba'!$H$30,B2417&lt;='Uang Riba'!$I$30,OR(H2417="Dana riba",H2417="Pinjam uang riba",I2417="Pinjam dari uang riba",I2417="Ganti uang riba",I2417="Kelebihan ganti dikembalikan",AND(C2417="Kantong Uang Riba",G2417="Pengeluaran"))),1,0)</f>
        <v/>
      </c>
      <c r="X2417" s="93">
        <f>IF(AND(B2417&lt;&gt;"",B2417&gt;='Buku Akun'!$H$4,B2417&lt;='Buku Akun'!$H$5,OR(C2417='Buku Akun'!$C$4,AND(D2417="Pindah",E2417='Buku Akun'!$C$4))),B2417+IF(AND(I2417="Selisih bunga",DAY(B2417)=1),0,0.01)+ROW()/10000000,"")</f>
        <v/>
      </c>
    </row>
    <row r="2418" outlineLevel="1" ht="15" customHeight="1" s="94">
      <c r="A2418" s="123">
        <f>IF(B2418="","",ROW()-15)</f>
        <v/>
      </c>
      <c r="B2418" s="124" t="n"/>
      <c r="C2418" s="123" t="n"/>
      <c r="D2418" s="123" t="n"/>
      <c r="E2418" s="123" t="n"/>
      <c r="F2418" s="125" t="n"/>
      <c r="G2418" s="123" t="n"/>
      <c r="H2418" s="123" t="n"/>
      <c r="I2418" s="123" t="n"/>
      <c r="J2418" s="123" t="n"/>
      <c r="K2418" s="123" t="n"/>
      <c r="L2418" s="123" t="n"/>
      <c r="M2418" s="123">
        <f>IF(AND(B2418&lt;&gt;"",OR($C$4="",ISNUMBER(SEARCH($C$4,C2418&amp;" "&amp;E2418&amp;" "&amp;G2418&amp;" "&amp;H2418&amp;" "&amp;I2418&amp;" "&amp;J2418&amp;" "&amp;K2418&amp;" "&amp;L2418))),OR($C$5="Semua",$C$5="",G2418=$C$5),OR($C$6="Semua",$C$6="",H2418=$C$6,H2418="Pengeluaran "&amp;$C$6,AND($C$6="Uang Kos Mama",H2418="Pengeluaran Uang Kos")),OR($C$7="Semua",$C$7="",I2418=$C$7),OR($C$8="Semua",$C$8="",C2418=$C$8,E2418=$C$8),OR($C$9="Semua",$C$9="",D2418=$C$9),OR($C$10="",B2418&gt;=$C$10),OR($C$11="",B2418&lt;=$C$11),OR($C$12&lt;&gt;"Ya",K2418&lt;&gt;""),OR($C$13="Semua",$C$13="",L2418=$C$13)),"✓","")</f>
        <v/>
      </c>
      <c r="N2418" s="93">
        <f>N(N2417)+IF(M2418="✓",1,0)</f>
        <v/>
      </c>
      <c r="O2418" s="93">
        <f>N(O2417)+IF(AND(B2418&lt;&gt;"",B2418&gt;='Uang Riba'!$H$30,B2418&lt;='Uang Riba'!$I$30,OR(H2418="Dana riba",H2418="Pinjam uang riba",I2418="Pinjam dari uang riba",I2418="Ganti uang riba",I2418="Kelebihan ganti dikembalikan",AND(C2418="Kantong Uang Riba",G2418="Pengeluaran"))),1,0)</f>
        <v/>
      </c>
      <c r="X2418" s="93">
        <f>IF(AND(B2418&lt;&gt;"",B2418&gt;='Buku Akun'!$H$4,B2418&lt;='Buku Akun'!$H$5,OR(C2418='Buku Akun'!$C$4,AND(D2418="Pindah",E2418='Buku Akun'!$C$4))),B2418+IF(AND(I2418="Selisih bunga",DAY(B2418)=1),0,0.01)+ROW()/10000000,"")</f>
        <v/>
      </c>
    </row>
    <row r="2419" outlineLevel="1" ht="15" customHeight="1" s="94">
      <c r="A2419" s="123">
        <f>IF(B2419="","",ROW()-15)</f>
        <v/>
      </c>
      <c r="B2419" s="124" t="n"/>
      <c r="C2419" s="123" t="n"/>
      <c r="D2419" s="123" t="n"/>
      <c r="E2419" s="123" t="n"/>
      <c r="F2419" s="125" t="n"/>
      <c r="G2419" s="123" t="n"/>
      <c r="H2419" s="123" t="n"/>
      <c r="I2419" s="123" t="n"/>
      <c r="J2419" s="123" t="n"/>
      <c r="K2419" s="123" t="n"/>
      <c r="L2419" s="123" t="n"/>
      <c r="M2419" s="123">
        <f>IF(AND(B2419&lt;&gt;"",OR($C$4="",ISNUMBER(SEARCH($C$4,C2419&amp;" "&amp;E2419&amp;" "&amp;G2419&amp;" "&amp;H2419&amp;" "&amp;I2419&amp;" "&amp;J2419&amp;" "&amp;K2419&amp;" "&amp;L2419))),OR($C$5="Semua",$C$5="",G2419=$C$5),OR($C$6="Semua",$C$6="",H2419=$C$6,H2419="Pengeluaran "&amp;$C$6,AND($C$6="Uang Kos Mama",H2419="Pengeluaran Uang Kos")),OR($C$7="Semua",$C$7="",I2419=$C$7),OR($C$8="Semua",$C$8="",C2419=$C$8,E2419=$C$8),OR($C$9="Semua",$C$9="",D2419=$C$9),OR($C$10="",B2419&gt;=$C$10),OR($C$11="",B2419&lt;=$C$11),OR($C$12&lt;&gt;"Ya",K2419&lt;&gt;""),OR($C$13="Semua",$C$13="",L2419=$C$13)),"✓","")</f>
        <v/>
      </c>
      <c r="N2419" s="93">
        <f>N(N2418)+IF(M2419="✓",1,0)</f>
        <v/>
      </c>
      <c r="O2419" s="93">
        <f>N(O2418)+IF(AND(B2419&lt;&gt;"",B2419&gt;='Uang Riba'!$H$30,B2419&lt;='Uang Riba'!$I$30,OR(H2419="Dana riba",H2419="Pinjam uang riba",I2419="Pinjam dari uang riba",I2419="Ganti uang riba",I2419="Kelebihan ganti dikembalikan",AND(C2419="Kantong Uang Riba",G2419="Pengeluaran"))),1,0)</f>
        <v/>
      </c>
      <c r="X2419" s="93">
        <f>IF(AND(B2419&lt;&gt;"",B2419&gt;='Buku Akun'!$H$4,B2419&lt;='Buku Akun'!$H$5,OR(C2419='Buku Akun'!$C$4,AND(D2419="Pindah",E2419='Buku Akun'!$C$4))),B2419+IF(AND(I2419="Selisih bunga",DAY(B2419)=1),0,0.01)+ROW()/10000000,"")</f>
        <v/>
      </c>
    </row>
    <row r="2420" outlineLevel="1" ht="15" customHeight="1" s="94">
      <c r="A2420" s="123">
        <f>IF(B2420="","",ROW()-15)</f>
        <v/>
      </c>
      <c r="B2420" s="124" t="n"/>
      <c r="C2420" s="123" t="n"/>
      <c r="D2420" s="123" t="n"/>
      <c r="E2420" s="123" t="n"/>
      <c r="F2420" s="125" t="n"/>
      <c r="G2420" s="123" t="n"/>
      <c r="H2420" s="123" t="n"/>
      <c r="I2420" s="123" t="n"/>
      <c r="J2420" s="123" t="n"/>
      <c r="K2420" s="123" t="n"/>
      <c r="L2420" s="123" t="n"/>
      <c r="M2420" s="123">
        <f>IF(AND(B2420&lt;&gt;"",OR($C$4="",ISNUMBER(SEARCH($C$4,C2420&amp;" "&amp;E2420&amp;" "&amp;G2420&amp;" "&amp;H2420&amp;" "&amp;I2420&amp;" "&amp;J2420&amp;" "&amp;K2420&amp;" "&amp;L2420))),OR($C$5="Semua",$C$5="",G2420=$C$5),OR($C$6="Semua",$C$6="",H2420=$C$6,H2420="Pengeluaran "&amp;$C$6,AND($C$6="Uang Kos Mama",H2420="Pengeluaran Uang Kos")),OR($C$7="Semua",$C$7="",I2420=$C$7),OR($C$8="Semua",$C$8="",C2420=$C$8,E2420=$C$8),OR($C$9="Semua",$C$9="",D2420=$C$9),OR($C$10="",B2420&gt;=$C$10),OR($C$11="",B2420&lt;=$C$11),OR($C$12&lt;&gt;"Ya",K2420&lt;&gt;""),OR($C$13="Semua",$C$13="",L2420=$C$13)),"✓","")</f>
        <v/>
      </c>
      <c r="N2420" s="93">
        <f>N(N2419)+IF(M2420="✓",1,0)</f>
        <v/>
      </c>
      <c r="O2420" s="93">
        <f>N(O2419)+IF(AND(B2420&lt;&gt;"",B2420&gt;='Uang Riba'!$H$30,B2420&lt;='Uang Riba'!$I$30,OR(H2420="Dana riba",H2420="Pinjam uang riba",I2420="Pinjam dari uang riba",I2420="Ganti uang riba",I2420="Kelebihan ganti dikembalikan",AND(C2420="Kantong Uang Riba",G2420="Pengeluaran"))),1,0)</f>
        <v/>
      </c>
      <c r="X2420" s="93">
        <f>IF(AND(B2420&lt;&gt;"",B2420&gt;='Buku Akun'!$H$4,B2420&lt;='Buku Akun'!$H$5,OR(C2420='Buku Akun'!$C$4,AND(D2420="Pindah",E2420='Buku Akun'!$C$4))),B2420+IF(AND(I2420="Selisih bunga",DAY(B2420)=1),0,0.01)+ROW()/10000000,"")</f>
        <v/>
      </c>
    </row>
    <row r="2421" outlineLevel="1" ht="15" customHeight="1" s="94">
      <c r="A2421" s="123">
        <f>IF(B2421="","",ROW()-15)</f>
        <v/>
      </c>
      <c r="B2421" s="124" t="n"/>
      <c r="C2421" s="123" t="n"/>
      <c r="D2421" s="123" t="n"/>
      <c r="E2421" s="123" t="n"/>
      <c r="F2421" s="125" t="n"/>
      <c r="G2421" s="123" t="n"/>
      <c r="H2421" s="123" t="n"/>
      <c r="I2421" s="123" t="n"/>
      <c r="J2421" s="123" t="n"/>
      <c r="K2421" s="123" t="n"/>
      <c r="L2421" s="123" t="n"/>
      <c r="M2421" s="123">
        <f>IF(AND(B2421&lt;&gt;"",OR($C$4="",ISNUMBER(SEARCH($C$4,C2421&amp;" "&amp;E2421&amp;" "&amp;G2421&amp;" "&amp;H2421&amp;" "&amp;I2421&amp;" "&amp;J2421&amp;" "&amp;K2421&amp;" "&amp;L2421))),OR($C$5="Semua",$C$5="",G2421=$C$5),OR($C$6="Semua",$C$6="",H2421=$C$6,H2421="Pengeluaran "&amp;$C$6,AND($C$6="Uang Kos Mama",H2421="Pengeluaran Uang Kos")),OR($C$7="Semua",$C$7="",I2421=$C$7),OR($C$8="Semua",$C$8="",C2421=$C$8,E2421=$C$8),OR($C$9="Semua",$C$9="",D2421=$C$9),OR($C$10="",B2421&gt;=$C$10),OR($C$11="",B2421&lt;=$C$11),OR($C$12&lt;&gt;"Ya",K2421&lt;&gt;""),OR($C$13="Semua",$C$13="",L2421=$C$13)),"✓","")</f>
        <v/>
      </c>
      <c r="N2421" s="93">
        <f>N(N2420)+IF(M2421="✓",1,0)</f>
        <v/>
      </c>
      <c r="O2421" s="93">
        <f>N(O2420)+IF(AND(B2421&lt;&gt;"",B2421&gt;='Uang Riba'!$H$30,B2421&lt;='Uang Riba'!$I$30,OR(H2421="Dana riba",H2421="Pinjam uang riba",I2421="Pinjam dari uang riba",I2421="Ganti uang riba",I2421="Kelebihan ganti dikembalikan",AND(C2421="Kantong Uang Riba",G2421="Pengeluaran"))),1,0)</f>
        <v/>
      </c>
      <c r="X2421" s="93">
        <f>IF(AND(B2421&lt;&gt;"",B2421&gt;='Buku Akun'!$H$4,B2421&lt;='Buku Akun'!$H$5,OR(C2421='Buku Akun'!$C$4,AND(D2421="Pindah",E2421='Buku Akun'!$C$4))),B2421+IF(AND(I2421="Selisih bunga",DAY(B2421)=1),0,0.01)+ROW()/10000000,"")</f>
        <v/>
      </c>
    </row>
    <row r="2422" outlineLevel="1" ht="15" customHeight="1" s="94">
      <c r="A2422" s="123">
        <f>IF(B2422="","",ROW()-15)</f>
        <v/>
      </c>
      <c r="B2422" s="124" t="n"/>
      <c r="C2422" s="123" t="n"/>
      <c r="D2422" s="123" t="n"/>
      <c r="E2422" s="123" t="n"/>
      <c r="F2422" s="125" t="n"/>
      <c r="G2422" s="123" t="n"/>
      <c r="H2422" s="123" t="n"/>
      <c r="I2422" s="123" t="n"/>
      <c r="J2422" s="123" t="n"/>
      <c r="K2422" s="123" t="n"/>
      <c r="L2422" s="123" t="n"/>
      <c r="M2422" s="123">
        <f>IF(AND(B2422&lt;&gt;"",OR($C$4="",ISNUMBER(SEARCH($C$4,C2422&amp;" "&amp;E2422&amp;" "&amp;G2422&amp;" "&amp;H2422&amp;" "&amp;I2422&amp;" "&amp;J2422&amp;" "&amp;K2422&amp;" "&amp;L2422))),OR($C$5="Semua",$C$5="",G2422=$C$5),OR($C$6="Semua",$C$6="",H2422=$C$6,H2422="Pengeluaran "&amp;$C$6,AND($C$6="Uang Kos Mama",H2422="Pengeluaran Uang Kos")),OR($C$7="Semua",$C$7="",I2422=$C$7),OR($C$8="Semua",$C$8="",C2422=$C$8,E2422=$C$8),OR($C$9="Semua",$C$9="",D2422=$C$9),OR($C$10="",B2422&gt;=$C$10),OR($C$11="",B2422&lt;=$C$11),OR($C$12&lt;&gt;"Ya",K2422&lt;&gt;""),OR($C$13="Semua",$C$13="",L2422=$C$13)),"✓","")</f>
        <v/>
      </c>
      <c r="N2422" s="93">
        <f>N(N2421)+IF(M2422="✓",1,0)</f>
        <v/>
      </c>
      <c r="O2422" s="93">
        <f>N(O2421)+IF(AND(B2422&lt;&gt;"",B2422&gt;='Uang Riba'!$H$30,B2422&lt;='Uang Riba'!$I$30,OR(H2422="Dana riba",H2422="Pinjam uang riba",I2422="Pinjam dari uang riba",I2422="Ganti uang riba",I2422="Kelebihan ganti dikembalikan",AND(C2422="Kantong Uang Riba",G2422="Pengeluaran"))),1,0)</f>
        <v/>
      </c>
      <c r="X2422" s="93">
        <f>IF(AND(B2422&lt;&gt;"",B2422&gt;='Buku Akun'!$H$4,B2422&lt;='Buku Akun'!$H$5,OR(C2422='Buku Akun'!$C$4,AND(D2422="Pindah",E2422='Buku Akun'!$C$4))),B2422+IF(AND(I2422="Selisih bunga",DAY(B2422)=1),0,0.01)+ROW()/10000000,"")</f>
        <v/>
      </c>
    </row>
    <row r="2423" outlineLevel="1" ht="15" customHeight="1" s="94">
      <c r="A2423" s="123">
        <f>IF(B2423="","",ROW()-15)</f>
        <v/>
      </c>
      <c r="B2423" s="124" t="n"/>
      <c r="C2423" s="123" t="n"/>
      <c r="D2423" s="123" t="n"/>
      <c r="E2423" s="123" t="n"/>
      <c r="F2423" s="125" t="n"/>
      <c r="G2423" s="123" t="n"/>
      <c r="H2423" s="123" t="n"/>
      <c r="I2423" s="123" t="n"/>
      <c r="J2423" s="123" t="n"/>
      <c r="K2423" s="123" t="n"/>
      <c r="L2423" s="123" t="n"/>
      <c r="M2423" s="123">
        <f>IF(AND(B2423&lt;&gt;"",OR($C$4="",ISNUMBER(SEARCH($C$4,C2423&amp;" "&amp;E2423&amp;" "&amp;G2423&amp;" "&amp;H2423&amp;" "&amp;I2423&amp;" "&amp;J2423&amp;" "&amp;K2423&amp;" "&amp;L2423))),OR($C$5="Semua",$C$5="",G2423=$C$5),OR($C$6="Semua",$C$6="",H2423=$C$6,H2423="Pengeluaran "&amp;$C$6,AND($C$6="Uang Kos Mama",H2423="Pengeluaran Uang Kos")),OR($C$7="Semua",$C$7="",I2423=$C$7),OR($C$8="Semua",$C$8="",C2423=$C$8,E2423=$C$8),OR($C$9="Semua",$C$9="",D2423=$C$9),OR($C$10="",B2423&gt;=$C$10),OR($C$11="",B2423&lt;=$C$11),OR($C$12&lt;&gt;"Ya",K2423&lt;&gt;""),OR($C$13="Semua",$C$13="",L2423=$C$13)),"✓","")</f>
        <v/>
      </c>
      <c r="N2423" s="93">
        <f>N(N2422)+IF(M2423="✓",1,0)</f>
        <v/>
      </c>
      <c r="O2423" s="93">
        <f>N(O2422)+IF(AND(B2423&lt;&gt;"",B2423&gt;='Uang Riba'!$H$30,B2423&lt;='Uang Riba'!$I$30,OR(H2423="Dana riba",H2423="Pinjam uang riba",I2423="Pinjam dari uang riba",I2423="Ganti uang riba",I2423="Kelebihan ganti dikembalikan",AND(C2423="Kantong Uang Riba",G2423="Pengeluaran"))),1,0)</f>
        <v/>
      </c>
      <c r="X2423" s="93">
        <f>IF(AND(B2423&lt;&gt;"",B2423&gt;='Buku Akun'!$H$4,B2423&lt;='Buku Akun'!$H$5,OR(C2423='Buku Akun'!$C$4,AND(D2423="Pindah",E2423='Buku Akun'!$C$4))),B2423+IF(AND(I2423="Selisih bunga",DAY(B2423)=1),0,0.01)+ROW()/10000000,"")</f>
        <v/>
      </c>
    </row>
    <row r="2424" outlineLevel="1" ht="15" customHeight="1" s="94">
      <c r="A2424" s="123">
        <f>IF(B2424="","",ROW()-15)</f>
        <v/>
      </c>
      <c r="B2424" s="124" t="n"/>
      <c r="C2424" s="123" t="n"/>
      <c r="D2424" s="123" t="n"/>
      <c r="E2424" s="123" t="n"/>
      <c r="F2424" s="125" t="n"/>
      <c r="G2424" s="123" t="n"/>
      <c r="H2424" s="123" t="n"/>
      <c r="I2424" s="123" t="n"/>
      <c r="J2424" s="123" t="n"/>
      <c r="K2424" s="123" t="n"/>
      <c r="L2424" s="123" t="n"/>
      <c r="M2424" s="123">
        <f>IF(AND(B2424&lt;&gt;"",OR($C$4="",ISNUMBER(SEARCH($C$4,C2424&amp;" "&amp;E2424&amp;" "&amp;G2424&amp;" "&amp;H2424&amp;" "&amp;I2424&amp;" "&amp;J2424&amp;" "&amp;K2424&amp;" "&amp;L2424))),OR($C$5="Semua",$C$5="",G2424=$C$5),OR($C$6="Semua",$C$6="",H2424=$C$6,H2424="Pengeluaran "&amp;$C$6,AND($C$6="Uang Kos Mama",H2424="Pengeluaran Uang Kos")),OR($C$7="Semua",$C$7="",I2424=$C$7),OR($C$8="Semua",$C$8="",C2424=$C$8,E2424=$C$8),OR($C$9="Semua",$C$9="",D2424=$C$9),OR($C$10="",B2424&gt;=$C$10),OR($C$11="",B2424&lt;=$C$11),OR($C$12&lt;&gt;"Ya",K2424&lt;&gt;""),OR($C$13="Semua",$C$13="",L2424=$C$13)),"✓","")</f>
        <v/>
      </c>
      <c r="N2424" s="93">
        <f>N(N2423)+IF(M2424="✓",1,0)</f>
        <v/>
      </c>
      <c r="O2424" s="93">
        <f>N(O2423)+IF(AND(B2424&lt;&gt;"",B2424&gt;='Uang Riba'!$H$30,B2424&lt;='Uang Riba'!$I$30,OR(H2424="Dana riba",H2424="Pinjam uang riba",I2424="Pinjam dari uang riba",I2424="Ganti uang riba",I2424="Kelebihan ganti dikembalikan",AND(C2424="Kantong Uang Riba",G2424="Pengeluaran"))),1,0)</f>
        <v/>
      </c>
      <c r="X2424" s="93">
        <f>IF(AND(B2424&lt;&gt;"",B2424&gt;='Buku Akun'!$H$4,B2424&lt;='Buku Akun'!$H$5,OR(C2424='Buku Akun'!$C$4,AND(D2424="Pindah",E2424='Buku Akun'!$C$4))),B2424+IF(AND(I2424="Selisih bunga",DAY(B2424)=1),0,0.01)+ROW()/10000000,"")</f>
        <v/>
      </c>
    </row>
    <row r="2425" outlineLevel="1" ht="15" customHeight="1" s="94">
      <c r="A2425" s="123">
        <f>IF(B2425="","",ROW()-15)</f>
        <v/>
      </c>
      <c r="B2425" s="124" t="n"/>
      <c r="C2425" s="123" t="n"/>
      <c r="D2425" s="123" t="n"/>
      <c r="E2425" s="123" t="n"/>
      <c r="F2425" s="125" t="n"/>
      <c r="G2425" s="123" t="n"/>
      <c r="H2425" s="123" t="n"/>
      <c r="I2425" s="123" t="n"/>
      <c r="J2425" s="123" t="n"/>
      <c r="K2425" s="123" t="n"/>
      <c r="L2425" s="123" t="n"/>
      <c r="M2425" s="123">
        <f>IF(AND(B2425&lt;&gt;"",OR($C$4="",ISNUMBER(SEARCH($C$4,C2425&amp;" "&amp;E2425&amp;" "&amp;G2425&amp;" "&amp;H2425&amp;" "&amp;I2425&amp;" "&amp;J2425&amp;" "&amp;K2425&amp;" "&amp;L2425))),OR($C$5="Semua",$C$5="",G2425=$C$5),OR($C$6="Semua",$C$6="",H2425=$C$6,H2425="Pengeluaran "&amp;$C$6,AND($C$6="Uang Kos Mama",H2425="Pengeluaran Uang Kos")),OR($C$7="Semua",$C$7="",I2425=$C$7),OR($C$8="Semua",$C$8="",C2425=$C$8,E2425=$C$8),OR($C$9="Semua",$C$9="",D2425=$C$9),OR($C$10="",B2425&gt;=$C$10),OR($C$11="",B2425&lt;=$C$11),OR($C$12&lt;&gt;"Ya",K2425&lt;&gt;""),OR($C$13="Semua",$C$13="",L2425=$C$13)),"✓","")</f>
        <v/>
      </c>
      <c r="N2425" s="93">
        <f>N(N2424)+IF(M2425="✓",1,0)</f>
        <v/>
      </c>
      <c r="O2425" s="93">
        <f>N(O2424)+IF(AND(B2425&lt;&gt;"",B2425&gt;='Uang Riba'!$H$30,B2425&lt;='Uang Riba'!$I$30,OR(H2425="Dana riba",H2425="Pinjam uang riba",I2425="Pinjam dari uang riba",I2425="Ganti uang riba",I2425="Kelebihan ganti dikembalikan",AND(C2425="Kantong Uang Riba",G2425="Pengeluaran"))),1,0)</f>
        <v/>
      </c>
      <c r="X2425" s="93">
        <f>IF(AND(B2425&lt;&gt;"",B2425&gt;='Buku Akun'!$H$4,B2425&lt;='Buku Akun'!$H$5,OR(C2425='Buku Akun'!$C$4,AND(D2425="Pindah",E2425='Buku Akun'!$C$4))),B2425+IF(AND(I2425="Selisih bunga",DAY(B2425)=1),0,0.01)+ROW()/10000000,"")</f>
        <v/>
      </c>
    </row>
    <row r="2426" outlineLevel="1" ht="15" customHeight="1" s="94">
      <c r="A2426" s="123">
        <f>IF(B2426="","",ROW()-15)</f>
        <v/>
      </c>
      <c r="B2426" s="124" t="n"/>
      <c r="C2426" s="123" t="n"/>
      <c r="D2426" s="123" t="n"/>
      <c r="E2426" s="123" t="n"/>
      <c r="F2426" s="125" t="n"/>
      <c r="G2426" s="123" t="n"/>
      <c r="H2426" s="123" t="n"/>
      <c r="I2426" s="123" t="n"/>
      <c r="J2426" s="123" t="n"/>
      <c r="K2426" s="123" t="n"/>
      <c r="L2426" s="123" t="n"/>
      <c r="M2426" s="123">
        <f>IF(AND(B2426&lt;&gt;"",OR($C$4="",ISNUMBER(SEARCH($C$4,C2426&amp;" "&amp;E2426&amp;" "&amp;G2426&amp;" "&amp;H2426&amp;" "&amp;I2426&amp;" "&amp;J2426&amp;" "&amp;K2426&amp;" "&amp;L2426))),OR($C$5="Semua",$C$5="",G2426=$C$5),OR($C$6="Semua",$C$6="",H2426=$C$6,H2426="Pengeluaran "&amp;$C$6,AND($C$6="Uang Kos Mama",H2426="Pengeluaran Uang Kos")),OR($C$7="Semua",$C$7="",I2426=$C$7),OR($C$8="Semua",$C$8="",C2426=$C$8,E2426=$C$8),OR($C$9="Semua",$C$9="",D2426=$C$9),OR($C$10="",B2426&gt;=$C$10),OR($C$11="",B2426&lt;=$C$11),OR($C$12&lt;&gt;"Ya",K2426&lt;&gt;""),OR($C$13="Semua",$C$13="",L2426=$C$13)),"✓","")</f>
        <v/>
      </c>
      <c r="N2426" s="93">
        <f>N(N2425)+IF(M2426="✓",1,0)</f>
        <v/>
      </c>
      <c r="O2426" s="93">
        <f>N(O2425)+IF(AND(B2426&lt;&gt;"",B2426&gt;='Uang Riba'!$H$30,B2426&lt;='Uang Riba'!$I$30,OR(H2426="Dana riba",H2426="Pinjam uang riba",I2426="Pinjam dari uang riba",I2426="Ganti uang riba",I2426="Kelebihan ganti dikembalikan",AND(C2426="Kantong Uang Riba",G2426="Pengeluaran"))),1,0)</f>
        <v/>
      </c>
      <c r="X2426" s="93">
        <f>IF(AND(B2426&lt;&gt;"",B2426&gt;='Buku Akun'!$H$4,B2426&lt;='Buku Akun'!$H$5,OR(C2426='Buku Akun'!$C$4,AND(D2426="Pindah",E2426='Buku Akun'!$C$4))),B2426+IF(AND(I2426="Selisih bunga",DAY(B2426)=1),0,0.01)+ROW()/10000000,"")</f>
        <v/>
      </c>
    </row>
    <row r="2427" outlineLevel="1" ht="15" customHeight="1" s="94">
      <c r="A2427" s="123">
        <f>IF(B2427="","",ROW()-15)</f>
        <v/>
      </c>
      <c r="B2427" s="124" t="n"/>
      <c r="C2427" s="123" t="n"/>
      <c r="D2427" s="123" t="n"/>
      <c r="E2427" s="123" t="n"/>
      <c r="F2427" s="125" t="n"/>
      <c r="G2427" s="123" t="n"/>
      <c r="H2427" s="123" t="n"/>
      <c r="I2427" s="123" t="n"/>
      <c r="J2427" s="123" t="n"/>
      <c r="K2427" s="123" t="n"/>
      <c r="L2427" s="123" t="n"/>
      <c r="M2427" s="123">
        <f>IF(AND(B2427&lt;&gt;"",OR($C$4="",ISNUMBER(SEARCH($C$4,C2427&amp;" "&amp;E2427&amp;" "&amp;G2427&amp;" "&amp;H2427&amp;" "&amp;I2427&amp;" "&amp;J2427&amp;" "&amp;K2427&amp;" "&amp;L2427))),OR($C$5="Semua",$C$5="",G2427=$C$5),OR($C$6="Semua",$C$6="",H2427=$C$6,H2427="Pengeluaran "&amp;$C$6,AND($C$6="Uang Kos Mama",H2427="Pengeluaran Uang Kos")),OR($C$7="Semua",$C$7="",I2427=$C$7),OR($C$8="Semua",$C$8="",C2427=$C$8,E2427=$C$8),OR($C$9="Semua",$C$9="",D2427=$C$9),OR($C$10="",B2427&gt;=$C$10),OR($C$11="",B2427&lt;=$C$11),OR($C$12&lt;&gt;"Ya",K2427&lt;&gt;""),OR($C$13="Semua",$C$13="",L2427=$C$13)),"✓","")</f>
        <v/>
      </c>
      <c r="N2427" s="93">
        <f>N(N2426)+IF(M2427="✓",1,0)</f>
        <v/>
      </c>
      <c r="O2427" s="93">
        <f>N(O2426)+IF(AND(B2427&lt;&gt;"",B2427&gt;='Uang Riba'!$H$30,B2427&lt;='Uang Riba'!$I$30,OR(H2427="Dana riba",H2427="Pinjam uang riba",I2427="Pinjam dari uang riba",I2427="Ganti uang riba",I2427="Kelebihan ganti dikembalikan",AND(C2427="Kantong Uang Riba",G2427="Pengeluaran"))),1,0)</f>
        <v/>
      </c>
      <c r="X2427" s="93">
        <f>IF(AND(B2427&lt;&gt;"",B2427&gt;='Buku Akun'!$H$4,B2427&lt;='Buku Akun'!$H$5,OR(C2427='Buku Akun'!$C$4,AND(D2427="Pindah",E2427='Buku Akun'!$C$4))),B2427+IF(AND(I2427="Selisih bunga",DAY(B2427)=1),0,0.01)+ROW()/10000000,"")</f>
        <v/>
      </c>
    </row>
    <row r="2428" outlineLevel="1" ht="15" customHeight="1" s="94">
      <c r="A2428" s="123">
        <f>IF(B2428="","",ROW()-15)</f>
        <v/>
      </c>
      <c r="B2428" s="124" t="n"/>
      <c r="C2428" s="123" t="n"/>
      <c r="D2428" s="123" t="n"/>
      <c r="E2428" s="123" t="n"/>
      <c r="F2428" s="125" t="n"/>
      <c r="G2428" s="123" t="n"/>
      <c r="H2428" s="123" t="n"/>
      <c r="I2428" s="123" t="n"/>
      <c r="J2428" s="123" t="n"/>
      <c r="K2428" s="123" t="n"/>
      <c r="L2428" s="123" t="n"/>
      <c r="M2428" s="123">
        <f>IF(AND(B2428&lt;&gt;"",OR($C$4="",ISNUMBER(SEARCH($C$4,C2428&amp;" "&amp;E2428&amp;" "&amp;G2428&amp;" "&amp;H2428&amp;" "&amp;I2428&amp;" "&amp;J2428&amp;" "&amp;K2428&amp;" "&amp;L2428))),OR($C$5="Semua",$C$5="",G2428=$C$5),OR($C$6="Semua",$C$6="",H2428=$C$6,H2428="Pengeluaran "&amp;$C$6,AND($C$6="Uang Kos Mama",H2428="Pengeluaran Uang Kos")),OR($C$7="Semua",$C$7="",I2428=$C$7),OR($C$8="Semua",$C$8="",C2428=$C$8,E2428=$C$8),OR($C$9="Semua",$C$9="",D2428=$C$9),OR($C$10="",B2428&gt;=$C$10),OR($C$11="",B2428&lt;=$C$11),OR($C$12&lt;&gt;"Ya",K2428&lt;&gt;""),OR($C$13="Semua",$C$13="",L2428=$C$13)),"✓","")</f>
        <v/>
      </c>
      <c r="N2428" s="93">
        <f>N(N2427)+IF(M2428="✓",1,0)</f>
        <v/>
      </c>
      <c r="O2428" s="93">
        <f>N(O2427)+IF(AND(B2428&lt;&gt;"",B2428&gt;='Uang Riba'!$H$30,B2428&lt;='Uang Riba'!$I$30,OR(H2428="Dana riba",H2428="Pinjam uang riba",I2428="Pinjam dari uang riba",I2428="Ganti uang riba",I2428="Kelebihan ganti dikembalikan",AND(C2428="Kantong Uang Riba",G2428="Pengeluaran"))),1,0)</f>
        <v/>
      </c>
      <c r="X2428" s="93">
        <f>IF(AND(B2428&lt;&gt;"",B2428&gt;='Buku Akun'!$H$4,B2428&lt;='Buku Akun'!$H$5,OR(C2428='Buku Akun'!$C$4,AND(D2428="Pindah",E2428='Buku Akun'!$C$4))),B2428+IF(AND(I2428="Selisih bunga",DAY(B2428)=1),0,0.01)+ROW()/10000000,"")</f>
        <v/>
      </c>
    </row>
    <row r="2429" outlineLevel="1" ht="15" customHeight="1" s="94">
      <c r="A2429" s="123">
        <f>IF(B2429="","",ROW()-15)</f>
        <v/>
      </c>
      <c r="B2429" s="124" t="n"/>
      <c r="C2429" s="123" t="n"/>
      <c r="D2429" s="123" t="n"/>
      <c r="E2429" s="123" t="n"/>
      <c r="F2429" s="125" t="n"/>
      <c r="G2429" s="123" t="n"/>
      <c r="H2429" s="123" t="n"/>
      <c r="I2429" s="123" t="n"/>
      <c r="J2429" s="123" t="n"/>
      <c r="K2429" s="123" t="n"/>
      <c r="L2429" s="123" t="n"/>
      <c r="M2429" s="123">
        <f>IF(AND(B2429&lt;&gt;"",OR($C$4="",ISNUMBER(SEARCH($C$4,C2429&amp;" "&amp;E2429&amp;" "&amp;G2429&amp;" "&amp;H2429&amp;" "&amp;I2429&amp;" "&amp;J2429&amp;" "&amp;K2429&amp;" "&amp;L2429))),OR($C$5="Semua",$C$5="",G2429=$C$5),OR($C$6="Semua",$C$6="",H2429=$C$6,H2429="Pengeluaran "&amp;$C$6,AND($C$6="Uang Kos Mama",H2429="Pengeluaran Uang Kos")),OR($C$7="Semua",$C$7="",I2429=$C$7),OR($C$8="Semua",$C$8="",C2429=$C$8,E2429=$C$8),OR($C$9="Semua",$C$9="",D2429=$C$9),OR($C$10="",B2429&gt;=$C$10),OR($C$11="",B2429&lt;=$C$11),OR($C$12&lt;&gt;"Ya",K2429&lt;&gt;""),OR($C$13="Semua",$C$13="",L2429=$C$13)),"✓","")</f>
        <v/>
      </c>
      <c r="N2429" s="93">
        <f>N(N2428)+IF(M2429="✓",1,0)</f>
        <v/>
      </c>
      <c r="O2429" s="93">
        <f>N(O2428)+IF(AND(B2429&lt;&gt;"",B2429&gt;='Uang Riba'!$H$30,B2429&lt;='Uang Riba'!$I$30,OR(H2429="Dana riba",H2429="Pinjam uang riba",I2429="Pinjam dari uang riba",I2429="Ganti uang riba",I2429="Kelebihan ganti dikembalikan",AND(C2429="Kantong Uang Riba",G2429="Pengeluaran"))),1,0)</f>
        <v/>
      </c>
      <c r="X2429" s="93">
        <f>IF(AND(B2429&lt;&gt;"",B2429&gt;='Buku Akun'!$H$4,B2429&lt;='Buku Akun'!$H$5,OR(C2429='Buku Akun'!$C$4,AND(D2429="Pindah",E2429='Buku Akun'!$C$4))),B2429+IF(AND(I2429="Selisih bunga",DAY(B2429)=1),0,0.01)+ROW()/10000000,"")</f>
        <v/>
      </c>
    </row>
    <row r="2430" outlineLevel="1" ht="15" customHeight="1" s="94">
      <c r="A2430" s="123">
        <f>IF(B2430="","",ROW()-15)</f>
        <v/>
      </c>
      <c r="B2430" s="124" t="n"/>
      <c r="C2430" s="123" t="n"/>
      <c r="D2430" s="123" t="n"/>
      <c r="E2430" s="123" t="n"/>
      <c r="F2430" s="125" t="n"/>
      <c r="G2430" s="123" t="n"/>
      <c r="H2430" s="123" t="n"/>
      <c r="I2430" s="123" t="n"/>
      <c r="J2430" s="123" t="n"/>
      <c r="K2430" s="123" t="n"/>
      <c r="L2430" s="123" t="n"/>
      <c r="M2430" s="123">
        <f>IF(AND(B2430&lt;&gt;"",OR($C$4="",ISNUMBER(SEARCH($C$4,C2430&amp;" "&amp;E2430&amp;" "&amp;G2430&amp;" "&amp;H2430&amp;" "&amp;I2430&amp;" "&amp;J2430&amp;" "&amp;K2430&amp;" "&amp;L2430))),OR($C$5="Semua",$C$5="",G2430=$C$5),OR($C$6="Semua",$C$6="",H2430=$C$6,H2430="Pengeluaran "&amp;$C$6,AND($C$6="Uang Kos Mama",H2430="Pengeluaran Uang Kos")),OR($C$7="Semua",$C$7="",I2430=$C$7),OR($C$8="Semua",$C$8="",C2430=$C$8,E2430=$C$8),OR($C$9="Semua",$C$9="",D2430=$C$9),OR($C$10="",B2430&gt;=$C$10),OR($C$11="",B2430&lt;=$C$11),OR($C$12&lt;&gt;"Ya",K2430&lt;&gt;""),OR($C$13="Semua",$C$13="",L2430=$C$13)),"✓","")</f>
        <v/>
      </c>
      <c r="N2430" s="93">
        <f>N(N2429)+IF(M2430="✓",1,0)</f>
        <v/>
      </c>
      <c r="O2430" s="93">
        <f>N(O2429)+IF(AND(B2430&lt;&gt;"",B2430&gt;='Uang Riba'!$H$30,B2430&lt;='Uang Riba'!$I$30,OR(H2430="Dana riba",H2430="Pinjam uang riba",I2430="Pinjam dari uang riba",I2430="Ganti uang riba",I2430="Kelebihan ganti dikembalikan",AND(C2430="Kantong Uang Riba",G2430="Pengeluaran"))),1,0)</f>
        <v/>
      </c>
      <c r="X2430" s="93">
        <f>IF(AND(B2430&lt;&gt;"",B2430&gt;='Buku Akun'!$H$4,B2430&lt;='Buku Akun'!$H$5,OR(C2430='Buku Akun'!$C$4,AND(D2430="Pindah",E2430='Buku Akun'!$C$4))),B2430+IF(AND(I2430="Selisih bunga",DAY(B2430)=1),0,0.01)+ROW()/10000000,"")</f>
        <v/>
      </c>
    </row>
    <row r="2431" outlineLevel="1" ht="15" customHeight="1" s="94">
      <c r="A2431" s="123">
        <f>IF(B2431="","",ROW()-15)</f>
        <v/>
      </c>
      <c r="B2431" s="124" t="n"/>
      <c r="C2431" s="123" t="n"/>
      <c r="D2431" s="123" t="n"/>
      <c r="E2431" s="123" t="n"/>
      <c r="F2431" s="125" t="n"/>
      <c r="G2431" s="123" t="n"/>
      <c r="H2431" s="123" t="n"/>
      <c r="I2431" s="123" t="n"/>
      <c r="J2431" s="123" t="n"/>
      <c r="K2431" s="123" t="n"/>
      <c r="L2431" s="123" t="n"/>
      <c r="M2431" s="123">
        <f>IF(AND(B2431&lt;&gt;"",OR($C$4="",ISNUMBER(SEARCH($C$4,C2431&amp;" "&amp;E2431&amp;" "&amp;G2431&amp;" "&amp;H2431&amp;" "&amp;I2431&amp;" "&amp;J2431&amp;" "&amp;K2431&amp;" "&amp;L2431))),OR($C$5="Semua",$C$5="",G2431=$C$5),OR($C$6="Semua",$C$6="",H2431=$C$6,H2431="Pengeluaran "&amp;$C$6,AND($C$6="Uang Kos Mama",H2431="Pengeluaran Uang Kos")),OR($C$7="Semua",$C$7="",I2431=$C$7),OR($C$8="Semua",$C$8="",C2431=$C$8,E2431=$C$8),OR($C$9="Semua",$C$9="",D2431=$C$9),OR($C$10="",B2431&gt;=$C$10),OR($C$11="",B2431&lt;=$C$11),OR($C$12&lt;&gt;"Ya",K2431&lt;&gt;""),OR($C$13="Semua",$C$13="",L2431=$C$13)),"✓","")</f>
        <v/>
      </c>
      <c r="N2431" s="93">
        <f>N(N2430)+IF(M2431="✓",1,0)</f>
        <v/>
      </c>
      <c r="O2431" s="93">
        <f>N(O2430)+IF(AND(B2431&lt;&gt;"",B2431&gt;='Uang Riba'!$H$30,B2431&lt;='Uang Riba'!$I$30,OR(H2431="Dana riba",H2431="Pinjam uang riba",I2431="Pinjam dari uang riba",I2431="Ganti uang riba",I2431="Kelebihan ganti dikembalikan",AND(C2431="Kantong Uang Riba",G2431="Pengeluaran"))),1,0)</f>
        <v/>
      </c>
      <c r="X2431" s="93">
        <f>IF(AND(B2431&lt;&gt;"",B2431&gt;='Buku Akun'!$H$4,B2431&lt;='Buku Akun'!$H$5,OR(C2431='Buku Akun'!$C$4,AND(D2431="Pindah",E2431='Buku Akun'!$C$4))),B2431+IF(AND(I2431="Selisih bunga",DAY(B2431)=1),0,0.01)+ROW()/10000000,"")</f>
        <v/>
      </c>
    </row>
    <row r="2432" outlineLevel="1" ht="15" customHeight="1" s="94">
      <c r="A2432" s="123">
        <f>IF(B2432="","",ROW()-15)</f>
        <v/>
      </c>
      <c r="B2432" s="124" t="n"/>
      <c r="C2432" s="123" t="n"/>
      <c r="D2432" s="123" t="n"/>
      <c r="E2432" s="123" t="n"/>
      <c r="F2432" s="125" t="n"/>
      <c r="G2432" s="123" t="n"/>
      <c r="H2432" s="123" t="n"/>
      <c r="I2432" s="123" t="n"/>
      <c r="J2432" s="123" t="n"/>
      <c r="K2432" s="123" t="n"/>
      <c r="L2432" s="123" t="n"/>
      <c r="M2432" s="123">
        <f>IF(AND(B2432&lt;&gt;"",OR($C$4="",ISNUMBER(SEARCH($C$4,C2432&amp;" "&amp;E2432&amp;" "&amp;G2432&amp;" "&amp;H2432&amp;" "&amp;I2432&amp;" "&amp;J2432&amp;" "&amp;K2432&amp;" "&amp;L2432))),OR($C$5="Semua",$C$5="",G2432=$C$5),OR($C$6="Semua",$C$6="",H2432=$C$6,H2432="Pengeluaran "&amp;$C$6,AND($C$6="Uang Kos Mama",H2432="Pengeluaran Uang Kos")),OR($C$7="Semua",$C$7="",I2432=$C$7),OR($C$8="Semua",$C$8="",C2432=$C$8,E2432=$C$8),OR($C$9="Semua",$C$9="",D2432=$C$9),OR($C$10="",B2432&gt;=$C$10),OR($C$11="",B2432&lt;=$C$11),OR($C$12&lt;&gt;"Ya",K2432&lt;&gt;""),OR($C$13="Semua",$C$13="",L2432=$C$13)),"✓","")</f>
        <v/>
      </c>
      <c r="N2432" s="93">
        <f>N(N2431)+IF(M2432="✓",1,0)</f>
        <v/>
      </c>
      <c r="O2432" s="93">
        <f>N(O2431)+IF(AND(B2432&lt;&gt;"",B2432&gt;='Uang Riba'!$H$30,B2432&lt;='Uang Riba'!$I$30,OR(H2432="Dana riba",H2432="Pinjam uang riba",I2432="Pinjam dari uang riba",I2432="Ganti uang riba",I2432="Kelebihan ganti dikembalikan",AND(C2432="Kantong Uang Riba",G2432="Pengeluaran"))),1,0)</f>
        <v/>
      </c>
      <c r="X2432" s="93">
        <f>IF(AND(B2432&lt;&gt;"",B2432&gt;='Buku Akun'!$H$4,B2432&lt;='Buku Akun'!$H$5,OR(C2432='Buku Akun'!$C$4,AND(D2432="Pindah",E2432='Buku Akun'!$C$4))),B2432+IF(AND(I2432="Selisih bunga",DAY(B2432)=1),0,0.01)+ROW()/10000000,"")</f>
        <v/>
      </c>
    </row>
    <row r="2433" outlineLevel="1" ht="15" customHeight="1" s="94">
      <c r="A2433" s="123">
        <f>IF(B2433="","",ROW()-15)</f>
        <v/>
      </c>
      <c r="B2433" s="124" t="n"/>
      <c r="C2433" s="123" t="n"/>
      <c r="D2433" s="123" t="n"/>
      <c r="E2433" s="123" t="n"/>
      <c r="F2433" s="125" t="n"/>
      <c r="G2433" s="123" t="n"/>
      <c r="H2433" s="123" t="n"/>
      <c r="I2433" s="123" t="n"/>
      <c r="J2433" s="123" t="n"/>
      <c r="K2433" s="123" t="n"/>
      <c r="L2433" s="123" t="n"/>
      <c r="M2433" s="123">
        <f>IF(AND(B2433&lt;&gt;"",OR($C$4="",ISNUMBER(SEARCH($C$4,C2433&amp;" "&amp;E2433&amp;" "&amp;G2433&amp;" "&amp;H2433&amp;" "&amp;I2433&amp;" "&amp;J2433&amp;" "&amp;K2433&amp;" "&amp;L2433))),OR($C$5="Semua",$C$5="",G2433=$C$5),OR($C$6="Semua",$C$6="",H2433=$C$6,H2433="Pengeluaran "&amp;$C$6,AND($C$6="Uang Kos Mama",H2433="Pengeluaran Uang Kos")),OR($C$7="Semua",$C$7="",I2433=$C$7),OR($C$8="Semua",$C$8="",C2433=$C$8,E2433=$C$8),OR($C$9="Semua",$C$9="",D2433=$C$9),OR($C$10="",B2433&gt;=$C$10),OR($C$11="",B2433&lt;=$C$11),OR($C$12&lt;&gt;"Ya",K2433&lt;&gt;""),OR($C$13="Semua",$C$13="",L2433=$C$13)),"✓","")</f>
        <v/>
      </c>
      <c r="N2433" s="93">
        <f>N(N2432)+IF(M2433="✓",1,0)</f>
        <v/>
      </c>
      <c r="O2433" s="93">
        <f>N(O2432)+IF(AND(B2433&lt;&gt;"",B2433&gt;='Uang Riba'!$H$30,B2433&lt;='Uang Riba'!$I$30,OR(H2433="Dana riba",H2433="Pinjam uang riba",I2433="Pinjam dari uang riba",I2433="Ganti uang riba",I2433="Kelebihan ganti dikembalikan",AND(C2433="Kantong Uang Riba",G2433="Pengeluaran"))),1,0)</f>
        <v/>
      </c>
      <c r="X2433" s="93">
        <f>IF(AND(B2433&lt;&gt;"",B2433&gt;='Buku Akun'!$H$4,B2433&lt;='Buku Akun'!$H$5,OR(C2433='Buku Akun'!$C$4,AND(D2433="Pindah",E2433='Buku Akun'!$C$4))),B2433+IF(AND(I2433="Selisih bunga",DAY(B2433)=1),0,0.01)+ROW()/10000000,"")</f>
        <v/>
      </c>
    </row>
    <row r="2434" outlineLevel="1" ht="15" customHeight="1" s="94">
      <c r="A2434" s="123">
        <f>IF(B2434="","",ROW()-15)</f>
        <v/>
      </c>
      <c r="B2434" s="124" t="n"/>
      <c r="C2434" s="123" t="n"/>
      <c r="D2434" s="123" t="n"/>
      <c r="E2434" s="123" t="n"/>
      <c r="F2434" s="125" t="n"/>
      <c r="G2434" s="123" t="n"/>
      <c r="H2434" s="123" t="n"/>
      <c r="I2434" s="123" t="n"/>
      <c r="J2434" s="123" t="n"/>
      <c r="K2434" s="123" t="n"/>
      <c r="L2434" s="123" t="n"/>
      <c r="M2434" s="123">
        <f>IF(AND(B2434&lt;&gt;"",OR($C$4="",ISNUMBER(SEARCH($C$4,C2434&amp;" "&amp;E2434&amp;" "&amp;G2434&amp;" "&amp;H2434&amp;" "&amp;I2434&amp;" "&amp;J2434&amp;" "&amp;K2434&amp;" "&amp;L2434))),OR($C$5="Semua",$C$5="",G2434=$C$5),OR($C$6="Semua",$C$6="",H2434=$C$6,H2434="Pengeluaran "&amp;$C$6,AND($C$6="Uang Kos Mama",H2434="Pengeluaran Uang Kos")),OR($C$7="Semua",$C$7="",I2434=$C$7),OR($C$8="Semua",$C$8="",C2434=$C$8,E2434=$C$8),OR($C$9="Semua",$C$9="",D2434=$C$9),OR($C$10="",B2434&gt;=$C$10),OR($C$11="",B2434&lt;=$C$11),OR($C$12&lt;&gt;"Ya",K2434&lt;&gt;""),OR($C$13="Semua",$C$13="",L2434=$C$13)),"✓","")</f>
        <v/>
      </c>
      <c r="N2434" s="93">
        <f>N(N2433)+IF(M2434="✓",1,0)</f>
        <v/>
      </c>
      <c r="O2434" s="93">
        <f>N(O2433)+IF(AND(B2434&lt;&gt;"",B2434&gt;='Uang Riba'!$H$30,B2434&lt;='Uang Riba'!$I$30,OR(H2434="Dana riba",H2434="Pinjam uang riba",I2434="Pinjam dari uang riba",I2434="Ganti uang riba",I2434="Kelebihan ganti dikembalikan",AND(C2434="Kantong Uang Riba",G2434="Pengeluaran"))),1,0)</f>
        <v/>
      </c>
      <c r="X2434" s="93">
        <f>IF(AND(B2434&lt;&gt;"",B2434&gt;='Buku Akun'!$H$4,B2434&lt;='Buku Akun'!$H$5,OR(C2434='Buku Akun'!$C$4,AND(D2434="Pindah",E2434='Buku Akun'!$C$4))),B2434+IF(AND(I2434="Selisih bunga",DAY(B2434)=1),0,0.01)+ROW()/10000000,"")</f>
        <v/>
      </c>
    </row>
    <row r="2435" outlineLevel="1" ht="15" customHeight="1" s="94">
      <c r="A2435" s="123">
        <f>IF(B2435="","",ROW()-15)</f>
        <v/>
      </c>
      <c r="B2435" s="124" t="n"/>
      <c r="C2435" s="123" t="n"/>
      <c r="D2435" s="123" t="n"/>
      <c r="E2435" s="123" t="n"/>
      <c r="F2435" s="125" t="n"/>
      <c r="G2435" s="123" t="n"/>
      <c r="H2435" s="123" t="n"/>
      <c r="I2435" s="123" t="n"/>
      <c r="J2435" s="123" t="n"/>
      <c r="K2435" s="123" t="n"/>
      <c r="L2435" s="123" t="n"/>
      <c r="M2435" s="123">
        <f>IF(AND(B2435&lt;&gt;"",OR($C$4="",ISNUMBER(SEARCH($C$4,C2435&amp;" "&amp;E2435&amp;" "&amp;G2435&amp;" "&amp;H2435&amp;" "&amp;I2435&amp;" "&amp;J2435&amp;" "&amp;K2435&amp;" "&amp;L2435))),OR($C$5="Semua",$C$5="",G2435=$C$5),OR($C$6="Semua",$C$6="",H2435=$C$6,H2435="Pengeluaran "&amp;$C$6,AND($C$6="Uang Kos Mama",H2435="Pengeluaran Uang Kos")),OR($C$7="Semua",$C$7="",I2435=$C$7),OR($C$8="Semua",$C$8="",C2435=$C$8,E2435=$C$8),OR($C$9="Semua",$C$9="",D2435=$C$9),OR($C$10="",B2435&gt;=$C$10),OR($C$11="",B2435&lt;=$C$11),OR($C$12&lt;&gt;"Ya",K2435&lt;&gt;""),OR($C$13="Semua",$C$13="",L2435=$C$13)),"✓","")</f>
        <v/>
      </c>
      <c r="N2435" s="93">
        <f>N(N2434)+IF(M2435="✓",1,0)</f>
        <v/>
      </c>
      <c r="O2435" s="93">
        <f>N(O2434)+IF(AND(B2435&lt;&gt;"",B2435&gt;='Uang Riba'!$H$30,B2435&lt;='Uang Riba'!$I$30,OR(H2435="Dana riba",H2435="Pinjam uang riba",I2435="Pinjam dari uang riba",I2435="Ganti uang riba",I2435="Kelebihan ganti dikembalikan",AND(C2435="Kantong Uang Riba",G2435="Pengeluaran"))),1,0)</f>
        <v/>
      </c>
      <c r="X2435" s="93">
        <f>IF(AND(B2435&lt;&gt;"",B2435&gt;='Buku Akun'!$H$4,B2435&lt;='Buku Akun'!$H$5,OR(C2435='Buku Akun'!$C$4,AND(D2435="Pindah",E2435='Buku Akun'!$C$4))),B2435+IF(AND(I2435="Selisih bunga",DAY(B2435)=1),0,0.01)+ROW()/10000000,"")</f>
        <v/>
      </c>
    </row>
    <row r="2436" outlineLevel="1" ht="15" customHeight="1" s="94">
      <c r="A2436" s="123">
        <f>IF(B2436="","",ROW()-15)</f>
        <v/>
      </c>
      <c r="B2436" s="124" t="n"/>
      <c r="C2436" s="123" t="n"/>
      <c r="D2436" s="123" t="n"/>
      <c r="E2436" s="123" t="n"/>
      <c r="F2436" s="125" t="n"/>
      <c r="G2436" s="123" t="n"/>
      <c r="H2436" s="123" t="n"/>
      <c r="I2436" s="123" t="n"/>
      <c r="J2436" s="123" t="n"/>
      <c r="K2436" s="123" t="n"/>
      <c r="L2436" s="123" t="n"/>
      <c r="M2436" s="123">
        <f>IF(AND(B2436&lt;&gt;"",OR($C$4="",ISNUMBER(SEARCH($C$4,C2436&amp;" "&amp;E2436&amp;" "&amp;G2436&amp;" "&amp;H2436&amp;" "&amp;I2436&amp;" "&amp;J2436&amp;" "&amp;K2436&amp;" "&amp;L2436))),OR($C$5="Semua",$C$5="",G2436=$C$5),OR($C$6="Semua",$C$6="",H2436=$C$6,H2436="Pengeluaran "&amp;$C$6,AND($C$6="Uang Kos Mama",H2436="Pengeluaran Uang Kos")),OR($C$7="Semua",$C$7="",I2436=$C$7),OR($C$8="Semua",$C$8="",C2436=$C$8,E2436=$C$8),OR($C$9="Semua",$C$9="",D2436=$C$9),OR($C$10="",B2436&gt;=$C$10),OR($C$11="",B2436&lt;=$C$11),OR($C$12&lt;&gt;"Ya",K2436&lt;&gt;""),OR($C$13="Semua",$C$13="",L2436=$C$13)),"✓","")</f>
        <v/>
      </c>
      <c r="N2436" s="93">
        <f>N(N2435)+IF(M2436="✓",1,0)</f>
        <v/>
      </c>
      <c r="O2436" s="93">
        <f>N(O2435)+IF(AND(B2436&lt;&gt;"",B2436&gt;='Uang Riba'!$H$30,B2436&lt;='Uang Riba'!$I$30,OR(H2436="Dana riba",H2436="Pinjam uang riba",I2436="Pinjam dari uang riba",I2436="Ganti uang riba",I2436="Kelebihan ganti dikembalikan",AND(C2436="Kantong Uang Riba",G2436="Pengeluaran"))),1,0)</f>
        <v/>
      </c>
      <c r="X2436" s="93">
        <f>IF(AND(B2436&lt;&gt;"",B2436&gt;='Buku Akun'!$H$4,B2436&lt;='Buku Akun'!$H$5,OR(C2436='Buku Akun'!$C$4,AND(D2436="Pindah",E2436='Buku Akun'!$C$4))),B2436+IF(AND(I2436="Selisih bunga",DAY(B2436)=1),0,0.01)+ROW()/10000000,"")</f>
        <v/>
      </c>
    </row>
    <row r="2437" outlineLevel="1" ht="15" customHeight="1" s="94">
      <c r="A2437" s="123">
        <f>IF(B2437="","",ROW()-15)</f>
        <v/>
      </c>
      <c r="B2437" s="124" t="n"/>
      <c r="C2437" s="123" t="n"/>
      <c r="D2437" s="123" t="n"/>
      <c r="E2437" s="123" t="n"/>
      <c r="F2437" s="125" t="n"/>
      <c r="G2437" s="123" t="n"/>
      <c r="H2437" s="123" t="n"/>
      <c r="I2437" s="123" t="n"/>
      <c r="J2437" s="123" t="n"/>
      <c r="K2437" s="123" t="n"/>
      <c r="L2437" s="123" t="n"/>
      <c r="M2437" s="123">
        <f>IF(AND(B2437&lt;&gt;"",OR($C$4="",ISNUMBER(SEARCH($C$4,C2437&amp;" "&amp;E2437&amp;" "&amp;G2437&amp;" "&amp;H2437&amp;" "&amp;I2437&amp;" "&amp;J2437&amp;" "&amp;K2437&amp;" "&amp;L2437))),OR($C$5="Semua",$C$5="",G2437=$C$5),OR($C$6="Semua",$C$6="",H2437=$C$6,H2437="Pengeluaran "&amp;$C$6,AND($C$6="Uang Kos Mama",H2437="Pengeluaran Uang Kos")),OR($C$7="Semua",$C$7="",I2437=$C$7),OR($C$8="Semua",$C$8="",C2437=$C$8,E2437=$C$8),OR($C$9="Semua",$C$9="",D2437=$C$9),OR($C$10="",B2437&gt;=$C$10),OR($C$11="",B2437&lt;=$C$11),OR($C$12&lt;&gt;"Ya",K2437&lt;&gt;""),OR($C$13="Semua",$C$13="",L2437=$C$13)),"✓","")</f>
        <v/>
      </c>
      <c r="N2437" s="93">
        <f>N(N2436)+IF(M2437="✓",1,0)</f>
        <v/>
      </c>
      <c r="O2437" s="93">
        <f>N(O2436)+IF(AND(B2437&lt;&gt;"",B2437&gt;='Uang Riba'!$H$30,B2437&lt;='Uang Riba'!$I$30,OR(H2437="Dana riba",H2437="Pinjam uang riba",I2437="Pinjam dari uang riba",I2437="Ganti uang riba",I2437="Kelebihan ganti dikembalikan",AND(C2437="Kantong Uang Riba",G2437="Pengeluaran"))),1,0)</f>
        <v/>
      </c>
      <c r="X2437" s="93">
        <f>IF(AND(B2437&lt;&gt;"",B2437&gt;='Buku Akun'!$H$4,B2437&lt;='Buku Akun'!$H$5,OR(C2437='Buku Akun'!$C$4,AND(D2437="Pindah",E2437='Buku Akun'!$C$4))),B2437+IF(AND(I2437="Selisih bunga",DAY(B2437)=1),0,0.01)+ROW()/10000000,"")</f>
        <v/>
      </c>
    </row>
    <row r="2438" outlineLevel="1" ht="15" customHeight="1" s="94">
      <c r="A2438" s="123">
        <f>IF(B2438="","",ROW()-15)</f>
        <v/>
      </c>
      <c r="B2438" s="124" t="n"/>
      <c r="C2438" s="123" t="n"/>
      <c r="D2438" s="123" t="n"/>
      <c r="E2438" s="123" t="n"/>
      <c r="F2438" s="125" t="n"/>
      <c r="G2438" s="123" t="n"/>
      <c r="H2438" s="123" t="n"/>
      <c r="I2438" s="123" t="n"/>
      <c r="J2438" s="123" t="n"/>
      <c r="K2438" s="123" t="n"/>
      <c r="L2438" s="123" t="n"/>
      <c r="M2438" s="123">
        <f>IF(AND(B2438&lt;&gt;"",OR($C$4="",ISNUMBER(SEARCH($C$4,C2438&amp;" "&amp;E2438&amp;" "&amp;G2438&amp;" "&amp;H2438&amp;" "&amp;I2438&amp;" "&amp;J2438&amp;" "&amp;K2438&amp;" "&amp;L2438))),OR($C$5="Semua",$C$5="",G2438=$C$5),OR($C$6="Semua",$C$6="",H2438=$C$6,H2438="Pengeluaran "&amp;$C$6,AND($C$6="Uang Kos Mama",H2438="Pengeluaran Uang Kos")),OR($C$7="Semua",$C$7="",I2438=$C$7),OR($C$8="Semua",$C$8="",C2438=$C$8,E2438=$C$8),OR($C$9="Semua",$C$9="",D2438=$C$9),OR($C$10="",B2438&gt;=$C$10),OR($C$11="",B2438&lt;=$C$11),OR($C$12&lt;&gt;"Ya",K2438&lt;&gt;""),OR($C$13="Semua",$C$13="",L2438=$C$13)),"✓","")</f>
        <v/>
      </c>
      <c r="N2438" s="93">
        <f>N(N2437)+IF(M2438="✓",1,0)</f>
        <v/>
      </c>
      <c r="O2438" s="93">
        <f>N(O2437)+IF(AND(B2438&lt;&gt;"",B2438&gt;='Uang Riba'!$H$30,B2438&lt;='Uang Riba'!$I$30,OR(H2438="Dana riba",H2438="Pinjam uang riba",I2438="Pinjam dari uang riba",I2438="Ganti uang riba",I2438="Kelebihan ganti dikembalikan",AND(C2438="Kantong Uang Riba",G2438="Pengeluaran"))),1,0)</f>
        <v/>
      </c>
      <c r="X2438" s="93">
        <f>IF(AND(B2438&lt;&gt;"",B2438&gt;='Buku Akun'!$H$4,B2438&lt;='Buku Akun'!$H$5,OR(C2438='Buku Akun'!$C$4,AND(D2438="Pindah",E2438='Buku Akun'!$C$4))),B2438+IF(AND(I2438="Selisih bunga",DAY(B2438)=1),0,0.01)+ROW()/10000000,"")</f>
        <v/>
      </c>
    </row>
    <row r="2439" outlineLevel="1" ht="15" customHeight="1" s="94">
      <c r="A2439" s="123">
        <f>IF(B2439="","",ROW()-15)</f>
        <v/>
      </c>
      <c r="B2439" s="124" t="n"/>
      <c r="C2439" s="123" t="n"/>
      <c r="D2439" s="123" t="n"/>
      <c r="E2439" s="123" t="n"/>
      <c r="F2439" s="125" t="n"/>
      <c r="G2439" s="123" t="n"/>
      <c r="H2439" s="123" t="n"/>
      <c r="I2439" s="123" t="n"/>
      <c r="J2439" s="123" t="n"/>
      <c r="K2439" s="123" t="n"/>
      <c r="L2439" s="123" t="n"/>
      <c r="M2439" s="123">
        <f>IF(AND(B2439&lt;&gt;"",OR($C$4="",ISNUMBER(SEARCH($C$4,C2439&amp;" "&amp;E2439&amp;" "&amp;G2439&amp;" "&amp;H2439&amp;" "&amp;I2439&amp;" "&amp;J2439&amp;" "&amp;K2439&amp;" "&amp;L2439))),OR($C$5="Semua",$C$5="",G2439=$C$5),OR($C$6="Semua",$C$6="",H2439=$C$6,H2439="Pengeluaran "&amp;$C$6,AND($C$6="Uang Kos Mama",H2439="Pengeluaran Uang Kos")),OR($C$7="Semua",$C$7="",I2439=$C$7),OR($C$8="Semua",$C$8="",C2439=$C$8,E2439=$C$8),OR($C$9="Semua",$C$9="",D2439=$C$9),OR($C$10="",B2439&gt;=$C$10),OR($C$11="",B2439&lt;=$C$11),OR($C$12&lt;&gt;"Ya",K2439&lt;&gt;""),OR($C$13="Semua",$C$13="",L2439=$C$13)),"✓","")</f>
        <v/>
      </c>
      <c r="N2439" s="93">
        <f>N(N2438)+IF(M2439="✓",1,0)</f>
        <v/>
      </c>
      <c r="O2439" s="93">
        <f>N(O2438)+IF(AND(B2439&lt;&gt;"",B2439&gt;='Uang Riba'!$H$30,B2439&lt;='Uang Riba'!$I$30,OR(H2439="Dana riba",H2439="Pinjam uang riba",I2439="Pinjam dari uang riba",I2439="Ganti uang riba",I2439="Kelebihan ganti dikembalikan",AND(C2439="Kantong Uang Riba",G2439="Pengeluaran"))),1,0)</f>
        <v/>
      </c>
      <c r="X2439" s="93">
        <f>IF(AND(B2439&lt;&gt;"",B2439&gt;='Buku Akun'!$H$4,B2439&lt;='Buku Akun'!$H$5,OR(C2439='Buku Akun'!$C$4,AND(D2439="Pindah",E2439='Buku Akun'!$C$4))),B2439+IF(AND(I2439="Selisih bunga",DAY(B2439)=1),0,0.01)+ROW()/10000000,"")</f>
        <v/>
      </c>
    </row>
    <row r="2440" outlineLevel="1" ht="15" customHeight="1" s="94">
      <c r="A2440" s="123">
        <f>IF(B2440="","",ROW()-15)</f>
        <v/>
      </c>
      <c r="B2440" s="124" t="n"/>
      <c r="C2440" s="123" t="n"/>
      <c r="D2440" s="123" t="n"/>
      <c r="E2440" s="123" t="n"/>
      <c r="F2440" s="125" t="n"/>
      <c r="G2440" s="123" t="n"/>
      <c r="H2440" s="123" t="n"/>
      <c r="I2440" s="123" t="n"/>
      <c r="J2440" s="123" t="n"/>
      <c r="K2440" s="123" t="n"/>
      <c r="L2440" s="123" t="n"/>
      <c r="M2440" s="123">
        <f>IF(AND(B2440&lt;&gt;"",OR($C$4="",ISNUMBER(SEARCH($C$4,C2440&amp;" "&amp;E2440&amp;" "&amp;G2440&amp;" "&amp;H2440&amp;" "&amp;I2440&amp;" "&amp;J2440&amp;" "&amp;K2440&amp;" "&amp;L2440))),OR($C$5="Semua",$C$5="",G2440=$C$5),OR($C$6="Semua",$C$6="",H2440=$C$6,H2440="Pengeluaran "&amp;$C$6,AND($C$6="Uang Kos Mama",H2440="Pengeluaran Uang Kos")),OR($C$7="Semua",$C$7="",I2440=$C$7),OR($C$8="Semua",$C$8="",C2440=$C$8,E2440=$C$8),OR($C$9="Semua",$C$9="",D2440=$C$9),OR($C$10="",B2440&gt;=$C$10),OR($C$11="",B2440&lt;=$C$11),OR($C$12&lt;&gt;"Ya",K2440&lt;&gt;""),OR($C$13="Semua",$C$13="",L2440=$C$13)),"✓","")</f>
        <v/>
      </c>
      <c r="N2440" s="93">
        <f>N(N2439)+IF(M2440="✓",1,0)</f>
        <v/>
      </c>
      <c r="O2440" s="93">
        <f>N(O2439)+IF(AND(B2440&lt;&gt;"",B2440&gt;='Uang Riba'!$H$30,B2440&lt;='Uang Riba'!$I$30,OR(H2440="Dana riba",H2440="Pinjam uang riba",I2440="Pinjam dari uang riba",I2440="Ganti uang riba",I2440="Kelebihan ganti dikembalikan",AND(C2440="Kantong Uang Riba",G2440="Pengeluaran"))),1,0)</f>
        <v/>
      </c>
      <c r="X2440" s="93">
        <f>IF(AND(B2440&lt;&gt;"",B2440&gt;='Buku Akun'!$H$4,B2440&lt;='Buku Akun'!$H$5,OR(C2440='Buku Akun'!$C$4,AND(D2440="Pindah",E2440='Buku Akun'!$C$4))),B2440+IF(AND(I2440="Selisih bunga",DAY(B2440)=1),0,0.01)+ROW()/10000000,"")</f>
        <v/>
      </c>
    </row>
    <row r="2441" outlineLevel="1" ht="15" customHeight="1" s="94">
      <c r="A2441" s="123">
        <f>IF(B2441="","",ROW()-15)</f>
        <v/>
      </c>
      <c r="B2441" s="124" t="n"/>
      <c r="C2441" s="123" t="n"/>
      <c r="D2441" s="123" t="n"/>
      <c r="E2441" s="123" t="n"/>
      <c r="F2441" s="125" t="n"/>
      <c r="G2441" s="123" t="n"/>
      <c r="H2441" s="123" t="n"/>
      <c r="I2441" s="123" t="n"/>
      <c r="J2441" s="123" t="n"/>
      <c r="K2441" s="123" t="n"/>
      <c r="L2441" s="123" t="n"/>
      <c r="M2441" s="123">
        <f>IF(AND(B2441&lt;&gt;"",OR($C$4="",ISNUMBER(SEARCH($C$4,C2441&amp;" "&amp;E2441&amp;" "&amp;G2441&amp;" "&amp;H2441&amp;" "&amp;I2441&amp;" "&amp;J2441&amp;" "&amp;K2441&amp;" "&amp;L2441))),OR($C$5="Semua",$C$5="",G2441=$C$5),OR($C$6="Semua",$C$6="",H2441=$C$6,H2441="Pengeluaran "&amp;$C$6,AND($C$6="Uang Kos Mama",H2441="Pengeluaran Uang Kos")),OR($C$7="Semua",$C$7="",I2441=$C$7),OR($C$8="Semua",$C$8="",C2441=$C$8,E2441=$C$8),OR($C$9="Semua",$C$9="",D2441=$C$9),OR($C$10="",B2441&gt;=$C$10),OR($C$11="",B2441&lt;=$C$11),OR($C$12&lt;&gt;"Ya",K2441&lt;&gt;""),OR($C$13="Semua",$C$13="",L2441=$C$13)),"✓","")</f>
        <v/>
      </c>
      <c r="N2441" s="93">
        <f>N(N2440)+IF(M2441="✓",1,0)</f>
        <v/>
      </c>
      <c r="O2441" s="93">
        <f>N(O2440)+IF(AND(B2441&lt;&gt;"",B2441&gt;='Uang Riba'!$H$30,B2441&lt;='Uang Riba'!$I$30,OR(H2441="Dana riba",H2441="Pinjam uang riba",I2441="Pinjam dari uang riba",I2441="Ganti uang riba",I2441="Kelebihan ganti dikembalikan",AND(C2441="Kantong Uang Riba",G2441="Pengeluaran"))),1,0)</f>
        <v/>
      </c>
      <c r="X2441" s="93">
        <f>IF(AND(B2441&lt;&gt;"",B2441&gt;='Buku Akun'!$H$4,B2441&lt;='Buku Akun'!$H$5,OR(C2441='Buku Akun'!$C$4,AND(D2441="Pindah",E2441='Buku Akun'!$C$4))),B2441+IF(AND(I2441="Selisih bunga",DAY(B2441)=1),0,0.01)+ROW()/10000000,"")</f>
        <v/>
      </c>
    </row>
    <row r="2442" outlineLevel="1" ht="15" customHeight="1" s="94">
      <c r="A2442" s="123">
        <f>IF(B2442="","",ROW()-15)</f>
        <v/>
      </c>
      <c r="B2442" s="124" t="n"/>
      <c r="C2442" s="123" t="n"/>
      <c r="D2442" s="123" t="n"/>
      <c r="E2442" s="123" t="n"/>
      <c r="F2442" s="125" t="n"/>
      <c r="G2442" s="123" t="n"/>
      <c r="H2442" s="123" t="n"/>
      <c r="I2442" s="123" t="n"/>
      <c r="J2442" s="123" t="n"/>
      <c r="K2442" s="123" t="n"/>
      <c r="L2442" s="123" t="n"/>
      <c r="M2442" s="123">
        <f>IF(AND(B2442&lt;&gt;"",OR($C$4="",ISNUMBER(SEARCH($C$4,C2442&amp;" "&amp;E2442&amp;" "&amp;G2442&amp;" "&amp;H2442&amp;" "&amp;I2442&amp;" "&amp;J2442&amp;" "&amp;K2442&amp;" "&amp;L2442))),OR($C$5="Semua",$C$5="",G2442=$C$5),OR($C$6="Semua",$C$6="",H2442=$C$6,H2442="Pengeluaran "&amp;$C$6,AND($C$6="Uang Kos Mama",H2442="Pengeluaran Uang Kos")),OR($C$7="Semua",$C$7="",I2442=$C$7),OR($C$8="Semua",$C$8="",C2442=$C$8,E2442=$C$8),OR($C$9="Semua",$C$9="",D2442=$C$9),OR($C$10="",B2442&gt;=$C$10),OR($C$11="",B2442&lt;=$C$11),OR($C$12&lt;&gt;"Ya",K2442&lt;&gt;""),OR($C$13="Semua",$C$13="",L2442=$C$13)),"✓","")</f>
        <v/>
      </c>
      <c r="N2442" s="93">
        <f>N(N2441)+IF(M2442="✓",1,0)</f>
        <v/>
      </c>
      <c r="O2442" s="93">
        <f>N(O2441)+IF(AND(B2442&lt;&gt;"",B2442&gt;='Uang Riba'!$H$30,B2442&lt;='Uang Riba'!$I$30,OR(H2442="Dana riba",H2442="Pinjam uang riba",I2442="Pinjam dari uang riba",I2442="Ganti uang riba",I2442="Kelebihan ganti dikembalikan",AND(C2442="Kantong Uang Riba",G2442="Pengeluaran"))),1,0)</f>
        <v/>
      </c>
      <c r="X2442" s="93">
        <f>IF(AND(B2442&lt;&gt;"",B2442&gt;='Buku Akun'!$H$4,B2442&lt;='Buku Akun'!$H$5,OR(C2442='Buku Akun'!$C$4,AND(D2442="Pindah",E2442='Buku Akun'!$C$4))),B2442+IF(AND(I2442="Selisih bunga",DAY(B2442)=1),0,0.01)+ROW()/10000000,"")</f>
        <v/>
      </c>
    </row>
    <row r="2443" outlineLevel="1" ht="15" customHeight="1" s="94">
      <c r="A2443" s="123">
        <f>IF(B2443="","",ROW()-15)</f>
        <v/>
      </c>
      <c r="B2443" s="124" t="n"/>
      <c r="C2443" s="123" t="n"/>
      <c r="D2443" s="123" t="n"/>
      <c r="E2443" s="123" t="n"/>
      <c r="F2443" s="125" t="n"/>
      <c r="G2443" s="123" t="n"/>
      <c r="H2443" s="123" t="n"/>
      <c r="I2443" s="123" t="n"/>
      <c r="J2443" s="123" t="n"/>
      <c r="K2443" s="123" t="n"/>
      <c r="L2443" s="123" t="n"/>
      <c r="M2443" s="123">
        <f>IF(AND(B2443&lt;&gt;"",OR($C$4="",ISNUMBER(SEARCH($C$4,C2443&amp;" "&amp;E2443&amp;" "&amp;G2443&amp;" "&amp;H2443&amp;" "&amp;I2443&amp;" "&amp;J2443&amp;" "&amp;K2443&amp;" "&amp;L2443))),OR($C$5="Semua",$C$5="",G2443=$C$5),OR($C$6="Semua",$C$6="",H2443=$C$6,H2443="Pengeluaran "&amp;$C$6,AND($C$6="Uang Kos Mama",H2443="Pengeluaran Uang Kos")),OR($C$7="Semua",$C$7="",I2443=$C$7),OR($C$8="Semua",$C$8="",C2443=$C$8,E2443=$C$8),OR($C$9="Semua",$C$9="",D2443=$C$9),OR($C$10="",B2443&gt;=$C$10),OR($C$11="",B2443&lt;=$C$11),OR($C$12&lt;&gt;"Ya",K2443&lt;&gt;""),OR($C$13="Semua",$C$13="",L2443=$C$13)),"✓","")</f>
        <v/>
      </c>
      <c r="N2443" s="93">
        <f>N(N2442)+IF(M2443="✓",1,0)</f>
        <v/>
      </c>
      <c r="O2443" s="93">
        <f>N(O2442)+IF(AND(B2443&lt;&gt;"",B2443&gt;='Uang Riba'!$H$30,B2443&lt;='Uang Riba'!$I$30,OR(H2443="Dana riba",H2443="Pinjam uang riba",I2443="Pinjam dari uang riba",I2443="Ganti uang riba",I2443="Kelebihan ganti dikembalikan",AND(C2443="Kantong Uang Riba",G2443="Pengeluaran"))),1,0)</f>
        <v/>
      </c>
      <c r="X2443" s="93">
        <f>IF(AND(B2443&lt;&gt;"",B2443&gt;='Buku Akun'!$H$4,B2443&lt;='Buku Akun'!$H$5,OR(C2443='Buku Akun'!$C$4,AND(D2443="Pindah",E2443='Buku Akun'!$C$4))),B2443+IF(AND(I2443="Selisih bunga",DAY(B2443)=1),0,0.01)+ROW()/10000000,"")</f>
        <v/>
      </c>
    </row>
    <row r="2444" outlineLevel="1" ht="15" customHeight="1" s="94">
      <c r="A2444" s="123">
        <f>IF(B2444="","",ROW()-15)</f>
        <v/>
      </c>
      <c r="B2444" s="124" t="n"/>
      <c r="C2444" s="123" t="n"/>
      <c r="D2444" s="123" t="n"/>
      <c r="E2444" s="123" t="n"/>
      <c r="F2444" s="125" t="n"/>
      <c r="G2444" s="123" t="n"/>
      <c r="H2444" s="123" t="n"/>
      <c r="I2444" s="123" t="n"/>
      <c r="J2444" s="123" t="n"/>
      <c r="K2444" s="123" t="n"/>
      <c r="L2444" s="123" t="n"/>
      <c r="M2444" s="123">
        <f>IF(AND(B2444&lt;&gt;"",OR($C$4="",ISNUMBER(SEARCH($C$4,C2444&amp;" "&amp;E2444&amp;" "&amp;G2444&amp;" "&amp;H2444&amp;" "&amp;I2444&amp;" "&amp;J2444&amp;" "&amp;K2444&amp;" "&amp;L2444))),OR($C$5="Semua",$C$5="",G2444=$C$5),OR($C$6="Semua",$C$6="",H2444=$C$6,H2444="Pengeluaran "&amp;$C$6,AND($C$6="Uang Kos Mama",H2444="Pengeluaran Uang Kos")),OR($C$7="Semua",$C$7="",I2444=$C$7),OR($C$8="Semua",$C$8="",C2444=$C$8,E2444=$C$8),OR($C$9="Semua",$C$9="",D2444=$C$9),OR($C$10="",B2444&gt;=$C$10),OR($C$11="",B2444&lt;=$C$11),OR($C$12&lt;&gt;"Ya",K2444&lt;&gt;""),OR($C$13="Semua",$C$13="",L2444=$C$13)),"✓","")</f>
        <v/>
      </c>
      <c r="N2444" s="93">
        <f>N(N2443)+IF(M2444="✓",1,0)</f>
        <v/>
      </c>
      <c r="O2444" s="93">
        <f>N(O2443)+IF(AND(B2444&lt;&gt;"",B2444&gt;='Uang Riba'!$H$30,B2444&lt;='Uang Riba'!$I$30,OR(H2444="Dana riba",H2444="Pinjam uang riba",I2444="Pinjam dari uang riba",I2444="Ganti uang riba",I2444="Kelebihan ganti dikembalikan",AND(C2444="Kantong Uang Riba",G2444="Pengeluaran"))),1,0)</f>
        <v/>
      </c>
      <c r="X2444" s="93">
        <f>IF(AND(B2444&lt;&gt;"",B2444&gt;='Buku Akun'!$H$4,B2444&lt;='Buku Akun'!$H$5,OR(C2444='Buku Akun'!$C$4,AND(D2444="Pindah",E2444='Buku Akun'!$C$4))),B2444+IF(AND(I2444="Selisih bunga",DAY(B2444)=1),0,0.01)+ROW()/10000000,"")</f>
        <v/>
      </c>
    </row>
    <row r="2445" outlineLevel="1" ht="15" customHeight="1" s="94">
      <c r="A2445" s="123">
        <f>IF(B2445="","",ROW()-15)</f>
        <v/>
      </c>
      <c r="B2445" s="124" t="n"/>
      <c r="C2445" s="123" t="n"/>
      <c r="D2445" s="123" t="n"/>
      <c r="E2445" s="123" t="n"/>
      <c r="F2445" s="125" t="n"/>
      <c r="G2445" s="123" t="n"/>
      <c r="H2445" s="123" t="n"/>
      <c r="I2445" s="123" t="n"/>
      <c r="J2445" s="123" t="n"/>
      <c r="K2445" s="123" t="n"/>
      <c r="L2445" s="123" t="n"/>
      <c r="M2445" s="123">
        <f>IF(AND(B2445&lt;&gt;"",OR($C$4="",ISNUMBER(SEARCH($C$4,C2445&amp;" "&amp;E2445&amp;" "&amp;G2445&amp;" "&amp;H2445&amp;" "&amp;I2445&amp;" "&amp;J2445&amp;" "&amp;K2445&amp;" "&amp;L2445))),OR($C$5="Semua",$C$5="",G2445=$C$5),OR($C$6="Semua",$C$6="",H2445=$C$6,H2445="Pengeluaran "&amp;$C$6,AND($C$6="Uang Kos Mama",H2445="Pengeluaran Uang Kos")),OR($C$7="Semua",$C$7="",I2445=$C$7),OR($C$8="Semua",$C$8="",C2445=$C$8,E2445=$C$8),OR($C$9="Semua",$C$9="",D2445=$C$9),OR($C$10="",B2445&gt;=$C$10),OR($C$11="",B2445&lt;=$C$11),OR($C$12&lt;&gt;"Ya",K2445&lt;&gt;""),OR($C$13="Semua",$C$13="",L2445=$C$13)),"✓","")</f>
        <v/>
      </c>
      <c r="N2445" s="93">
        <f>N(N2444)+IF(M2445="✓",1,0)</f>
        <v/>
      </c>
      <c r="O2445" s="93">
        <f>N(O2444)+IF(AND(B2445&lt;&gt;"",B2445&gt;='Uang Riba'!$H$30,B2445&lt;='Uang Riba'!$I$30,OR(H2445="Dana riba",H2445="Pinjam uang riba",I2445="Pinjam dari uang riba",I2445="Ganti uang riba",I2445="Kelebihan ganti dikembalikan",AND(C2445="Kantong Uang Riba",G2445="Pengeluaran"))),1,0)</f>
        <v/>
      </c>
      <c r="X2445" s="93">
        <f>IF(AND(B2445&lt;&gt;"",B2445&gt;='Buku Akun'!$H$4,B2445&lt;='Buku Akun'!$H$5,OR(C2445='Buku Akun'!$C$4,AND(D2445="Pindah",E2445='Buku Akun'!$C$4))),B2445+IF(AND(I2445="Selisih bunga",DAY(B2445)=1),0,0.01)+ROW()/10000000,"")</f>
        <v/>
      </c>
    </row>
    <row r="2446" outlineLevel="1" ht="15" customHeight="1" s="94">
      <c r="A2446" s="123">
        <f>IF(B2446="","",ROW()-15)</f>
        <v/>
      </c>
      <c r="B2446" s="124" t="n"/>
      <c r="C2446" s="123" t="n"/>
      <c r="D2446" s="123" t="n"/>
      <c r="E2446" s="123" t="n"/>
      <c r="F2446" s="125" t="n"/>
      <c r="G2446" s="123" t="n"/>
      <c r="H2446" s="123" t="n"/>
      <c r="I2446" s="123" t="n"/>
      <c r="J2446" s="123" t="n"/>
      <c r="K2446" s="123" t="n"/>
      <c r="L2446" s="123" t="n"/>
      <c r="M2446" s="123">
        <f>IF(AND(B2446&lt;&gt;"",OR($C$4="",ISNUMBER(SEARCH($C$4,C2446&amp;" "&amp;E2446&amp;" "&amp;G2446&amp;" "&amp;H2446&amp;" "&amp;I2446&amp;" "&amp;J2446&amp;" "&amp;K2446&amp;" "&amp;L2446))),OR($C$5="Semua",$C$5="",G2446=$C$5),OR($C$6="Semua",$C$6="",H2446=$C$6,H2446="Pengeluaran "&amp;$C$6,AND($C$6="Uang Kos Mama",H2446="Pengeluaran Uang Kos")),OR($C$7="Semua",$C$7="",I2446=$C$7),OR($C$8="Semua",$C$8="",C2446=$C$8,E2446=$C$8),OR($C$9="Semua",$C$9="",D2446=$C$9),OR($C$10="",B2446&gt;=$C$10),OR($C$11="",B2446&lt;=$C$11),OR($C$12&lt;&gt;"Ya",K2446&lt;&gt;""),OR($C$13="Semua",$C$13="",L2446=$C$13)),"✓","")</f>
        <v/>
      </c>
      <c r="N2446" s="93">
        <f>N(N2445)+IF(M2446="✓",1,0)</f>
        <v/>
      </c>
      <c r="O2446" s="93">
        <f>N(O2445)+IF(AND(B2446&lt;&gt;"",B2446&gt;='Uang Riba'!$H$30,B2446&lt;='Uang Riba'!$I$30,OR(H2446="Dana riba",H2446="Pinjam uang riba",I2446="Pinjam dari uang riba",I2446="Ganti uang riba",I2446="Kelebihan ganti dikembalikan",AND(C2446="Kantong Uang Riba",G2446="Pengeluaran"))),1,0)</f>
        <v/>
      </c>
      <c r="X2446" s="93">
        <f>IF(AND(B2446&lt;&gt;"",B2446&gt;='Buku Akun'!$H$4,B2446&lt;='Buku Akun'!$H$5,OR(C2446='Buku Akun'!$C$4,AND(D2446="Pindah",E2446='Buku Akun'!$C$4))),B2446+IF(AND(I2446="Selisih bunga",DAY(B2446)=1),0,0.01)+ROW()/10000000,"")</f>
        <v/>
      </c>
    </row>
    <row r="2447" outlineLevel="1" ht="15" customHeight="1" s="94">
      <c r="A2447" s="123">
        <f>IF(B2447="","",ROW()-15)</f>
        <v/>
      </c>
      <c r="B2447" s="124" t="n"/>
      <c r="C2447" s="123" t="n"/>
      <c r="D2447" s="123" t="n"/>
      <c r="E2447" s="123" t="n"/>
      <c r="F2447" s="125" t="n"/>
      <c r="G2447" s="123" t="n"/>
      <c r="H2447" s="123" t="n"/>
      <c r="I2447" s="123" t="n"/>
      <c r="J2447" s="123" t="n"/>
      <c r="K2447" s="123" t="n"/>
      <c r="L2447" s="123" t="n"/>
      <c r="M2447" s="123">
        <f>IF(AND(B2447&lt;&gt;"",OR($C$4="",ISNUMBER(SEARCH($C$4,C2447&amp;" "&amp;E2447&amp;" "&amp;G2447&amp;" "&amp;H2447&amp;" "&amp;I2447&amp;" "&amp;J2447&amp;" "&amp;K2447&amp;" "&amp;L2447))),OR($C$5="Semua",$C$5="",G2447=$C$5),OR($C$6="Semua",$C$6="",H2447=$C$6,H2447="Pengeluaran "&amp;$C$6,AND($C$6="Uang Kos Mama",H2447="Pengeluaran Uang Kos")),OR($C$7="Semua",$C$7="",I2447=$C$7),OR($C$8="Semua",$C$8="",C2447=$C$8,E2447=$C$8),OR($C$9="Semua",$C$9="",D2447=$C$9),OR($C$10="",B2447&gt;=$C$10),OR($C$11="",B2447&lt;=$C$11),OR($C$12&lt;&gt;"Ya",K2447&lt;&gt;""),OR($C$13="Semua",$C$13="",L2447=$C$13)),"✓","")</f>
        <v/>
      </c>
      <c r="N2447" s="93">
        <f>N(N2446)+IF(M2447="✓",1,0)</f>
        <v/>
      </c>
      <c r="O2447" s="93">
        <f>N(O2446)+IF(AND(B2447&lt;&gt;"",B2447&gt;='Uang Riba'!$H$30,B2447&lt;='Uang Riba'!$I$30,OR(H2447="Dana riba",H2447="Pinjam uang riba",I2447="Pinjam dari uang riba",I2447="Ganti uang riba",I2447="Kelebihan ganti dikembalikan",AND(C2447="Kantong Uang Riba",G2447="Pengeluaran"))),1,0)</f>
        <v/>
      </c>
      <c r="X2447" s="93">
        <f>IF(AND(B2447&lt;&gt;"",B2447&gt;='Buku Akun'!$H$4,B2447&lt;='Buku Akun'!$H$5,OR(C2447='Buku Akun'!$C$4,AND(D2447="Pindah",E2447='Buku Akun'!$C$4))),B2447+IF(AND(I2447="Selisih bunga",DAY(B2447)=1),0,0.01)+ROW()/10000000,"")</f>
        <v/>
      </c>
    </row>
    <row r="2448" outlineLevel="1" ht="15" customHeight="1" s="94">
      <c r="A2448" s="123">
        <f>IF(B2448="","",ROW()-15)</f>
        <v/>
      </c>
      <c r="B2448" s="124" t="n"/>
      <c r="C2448" s="123" t="n"/>
      <c r="D2448" s="123" t="n"/>
      <c r="E2448" s="123" t="n"/>
      <c r="F2448" s="125" t="n"/>
      <c r="G2448" s="123" t="n"/>
      <c r="H2448" s="123" t="n"/>
      <c r="I2448" s="123" t="n"/>
      <c r="J2448" s="123" t="n"/>
      <c r="K2448" s="123" t="n"/>
      <c r="L2448" s="123" t="n"/>
      <c r="M2448" s="123">
        <f>IF(AND(B2448&lt;&gt;"",OR($C$4="",ISNUMBER(SEARCH($C$4,C2448&amp;" "&amp;E2448&amp;" "&amp;G2448&amp;" "&amp;H2448&amp;" "&amp;I2448&amp;" "&amp;J2448&amp;" "&amp;K2448&amp;" "&amp;L2448))),OR($C$5="Semua",$C$5="",G2448=$C$5),OR($C$6="Semua",$C$6="",H2448=$C$6,H2448="Pengeluaran "&amp;$C$6,AND($C$6="Uang Kos Mama",H2448="Pengeluaran Uang Kos")),OR($C$7="Semua",$C$7="",I2448=$C$7),OR($C$8="Semua",$C$8="",C2448=$C$8,E2448=$C$8),OR($C$9="Semua",$C$9="",D2448=$C$9),OR($C$10="",B2448&gt;=$C$10),OR($C$11="",B2448&lt;=$C$11),OR($C$12&lt;&gt;"Ya",K2448&lt;&gt;""),OR($C$13="Semua",$C$13="",L2448=$C$13)),"✓","")</f>
        <v/>
      </c>
      <c r="N2448" s="93">
        <f>N(N2447)+IF(M2448="✓",1,0)</f>
        <v/>
      </c>
      <c r="O2448" s="93">
        <f>N(O2447)+IF(AND(B2448&lt;&gt;"",B2448&gt;='Uang Riba'!$H$30,B2448&lt;='Uang Riba'!$I$30,OR(H2448="Dana riba",H2448="Pinjam uang riba",I2448="Pinjam dari uang riba",I2448="Ganti uang riba",I2448="Kelebihan ganti dikembalikan",AND(C2448="Kantong Uang Riba",G2448="Pengeluaran"))),1,0)</f>
        <v/>
      </c>
      <c r="X2448" s="93">
        <f>IF(AND(B2448&lt;&gt;"",B2448&gt;='Buku Akun'!$H$4,B2448&lt;='Buku Akun'!$H$5,OR(C2448='Buku Akun'!$C$4,AND(D2448="Pindah",E2448='Buku Akun'!$C$4))),B2448+IF(AND(I2448="Selisih bunga",DAY(B2448)=1),0,0.01)+ROW()/10000000,"")</f>
        <v/>
      </c>
    </row>
    <row r="2449" outlineLevel="1" ht="15" customHeight="1" s="94">
      <c r="A2449" s="123">
        <f>IF(B2449="","",ROW()-15)</f>
        <v/>
      </c>
      <c r="B2449" s="124" t="n"/>
      <c r="C2449" s="123" t="n"/>
      <c r="D2449" s="123" t="n"/>
      <c r="E2449" s="123" t="n"/>
      <c r="F2449" s="125" t="n"/>
      <c r="G2449" s="123" t="n"/>
      <c r="H2449" s="123" t="n"/>
      <c r="I2449" s="123" t="n"/>
      <c r="J2449" s="123" t="n"/>
      <c r="K2449" s="123" t="n"/>
      <c r="L2449" s="123" t="n"/>
      <c r="M2449" s="123">
        <f>IF(AND(B2449&lt;&gt;"",OR($C$4="",ISNUMBER(SEARCH($C$4,C2449&amp;" "&amp;E2449&amp;" "&amp;G2449&amp;" "&amp;H2449&amp;" "&amp;I2449&amp;" "&amp;J2449&amp;" "&amp;K2449&amp;" "&amp;L2449))),OR($C$5="Semua",$C$5="",G2449=$C$5),OR($C$6="Semua",$C$6="",H2449=$C$6,H2449="Pengeluaran "&amp;$C$6,AND($C$6="Uang Kos Mama",H2449="Pengeluaran Uang Kos")),OR($C$7="Semua",$C$7="",I2449=$C$7),OR($C$8="Semua",$C$8="",C2449=$C$8,E2449=$C$8),OR($C$9="Semua",$C$9="",D2449=$C$9),OR($C$10="",B2449&gt;=$C$10),OR($C$11="",B2449&lt;=$C$11),OR($C$12&lt;&gt;"Ya",K2449&lt;&gt;""),OR($C$13="Semua",$C$13="",L2449=$C$13)),"✓","")</f>
        <v/>
      </c>
      <c r="N2449" s="93">
        <f>N(N2448)+IF(M2449="✓",1,0)</f>
        <v/>
      </c>
      <c r="O2449" s="93">
        <f>N(O2448)+IF(AND(B2449&lt;&gt;"",B2449&gt;='Uang Riba'!$H$30,B2449&lt;='Uang Riba'!$I$30,OR(H2449="Dana riba",H2449="Pinjam uang riba",I2449="Pinjam dari uang riba",I2449="Ganti uang riba",I2449="Kelebihan ganti dikembalikan",AND(C2449="Kantong Uang Riba",G2449="Pengeluaran"))),1,0)</f>
        <v/>
      </c>
      <c r="X2449" s="93">
        <f>IF(AND(B2449&lt;&gt;"",B2449&gt;='Buku Akun'!$H$4,B2449&lt;='Buku Akun'!$H$5,OR(C2449='Buku Akun'!$C$4,AND(D2449="Pindah",E2449='Buku Akun'!$C$4))),B2449+IF(AND(I2449="Selisih bunga",DAY(B2449)=1),0,0.01)+ROW()/10000000,"")</f>
        <v/>
      </c>
    </row>
    <row r="2450" outlineLevel="1" ht="15" customHeight="1" s="94">
      <c r="A2450" s="123">
        <f>IF(B2450="","",ROW()-15)</f>
        <v/>
      </c>
      <c r="B2450" s="124" t="n"/>
      <c r="C2450" s="123" t="n"/>
      <c r="D2450" s="123" t="n"/>
      <c r="E2450" s="123" t="n"/>
      <c r="F2450" s="125" t="n"/>
      <c r="G2450" s="123" t="n"/>
      <c r="H2450" s="123" t="n"/>
      <c r="I2450" s="123" t="n"/>
      <c r="J2450" s="123" t="n"/>
      <c r="K2450" s="123" t="n"/>
      <c r="L2450" s="123" t="n"/>
      <c r="M2450" s="123">
        <f>IF(AND(B2450&lt;&gt;"",OR($C$4="",ISNUMBER(SEARCH($C$4,C2450&amp;" "&amp;E2450&amp;" "&amp;G2450&amp;" "&amp;H2450&amp;" "&amp;I2450&amp;" "&amp;J2450&amp;" "&amp;K2450&amp;" "&amp;L2450))),OR($C$5="Semua",$C$5="",G2450=$C$5),OR($C$6="Semua",$C$6="",H2450=$C$6,H2450="Pengeluaran "&amp;$C$6,AND($C$6="Uang Kos Mama",H2450="Pengeluaran Uang Kos")),OR($C$7="Semua",$C$7="",I2450=$C$7),OR($C$8="Semua",$C$8="",C2450=$C$8,E2450=$C$8),OR($C$9="Semua",$C$9="",D2450=$C$9),OR($C$10="",B2450&gt;=$C$10),OR($C$11="",B2450&lt;=$C$11),OR($C$12&lt;&gt;"Ya",K2450&lt;&gt;""),OR($C$13="Semua",$C$13="",L2450=$C$13)),"✓","")</f>
        <v/>
      </c>
      <c r="N2450" s="93">
        <f>N(N2449)+IF(M2450="✓",1,0)</f>
        <v/>
      </c>
      <c r="O2450" s="93">
        <f>N(O2449)+IF(AND(B2450&lt;&gt;"",B2450&gt;='Uang Riba'!$H$30,B2450&lt;='Uang Riba'!$I$30,OR(H2450="Dana riba",H2450="Pinjam uang riba",I2450="Pinjam dari uang riba",I2450="Ganti uang riba",I2450="Kelebihan ganti dikembalikan",AND(C2450="Kantong Uang Riba",G2450="Pengeluaran"))),1,0)</f>
        <v/>
      </c>
      <c r="X2450" s="93">
        <f>IF(AND(B2450&lt;&gt;"",B2450&gt;='Buku Akun'!$H$4,B2450&lt;='Buku Akun'!$H$5,OR(C2450='Buku Akun'!$C$4,AND(D2450="Pindah",E2450='Buku Akun'!$C$4))),B2450+IF(AND(I2450="Selisih bunga",DAY(B2450)=1),0,0.01)+ROW()/10000000,"")</f>
        <v/>
      </c>
    </row>
    <row r="2451" outlineLevel="1" ht="15" customHeight="1" s="94">
      <c r="A2451" s="123">
        <f>IF(B2451="","",ROW()-15)</f>
        <v/>
      </c>
      <c r="B2451" s="124" t="n"/>
      <c r="C2451" s="123" t="n"/>
      <c r="D2451" s="123" t="n"/>
      <c r="E2451" s="123" t="n"/>
      <c r="F2451" s="125" t="n"/>
      <c r="G2451" s="123" t="n"/>
      <c r="H2451" s="123" t="n"/>
      <c r="I2451" s="123" t="n"/>
      <c r="J2451" s="123" t="n"/>
      <c r="K2451" s="123" t="n"/>
      <c r="L2451" s="123" t="n"/>
      <c r="M2451" s="123">
        <f>IF(AND(B2451&lt;&gt;"",OR($C$4="",ISNUMBER(SEARCH($C$4,C2451&amp;" "&amp;E2451&amp;" "&amp;G2451&amp;" "&amp;H2451&amp;" "&amp;I2451&amp;" "&amp;J2451&amp;" "&amp;K2451&amp;" "&amp;L2451))),OR($C$5="Semua",$C$5="",G2451=$C$5),OR($C$6="Semua",$C$6="",H2451=$C$6,H2451="Pengeluaran "&amp;$C$6,AND($C$6="Uang Kos Mama",H2451="Pengeluaran Uang Kos")),OR($C$7="Semua",$C$7="",I2451=$C$7),OR($C$8="Semua",$C$8="",C2451=$C$8,E2451=$C$8),OR($C$9="Semua",$C$9="",D2451=$C$9),OR($C$10="",B2451&gt;=$C$10),OR($C$11="",B2451&lt;=$C$11),OR($C$12&lt;&gt;"Ya",K2451&lt;&gt;""),OR($C$13="Semua",$C$13="",L2451=$C$13)),"✓","")</f>
        <v/>
      </c>
      <c r="N2451" s="93">
        <f>N(N2450)+IF(M2451="✓",1,0)</f>
        <v/>
      </c>
      <c r="O2451" s="93">
        <f>N(O2450)+IF(AND(B2451&lt;&gt;"",B2451&gt;='Uang Riba'!$H$30,B2451&lt;='Uang Riba'!$I$30,OR(H2451="Dana riba",H2451="Pinjam uang riba",I2451="Pinjam dari uang riba",I2451="Ganti uang riba",I2451="Kelebihan ganti dikembalikan",AND(C2451="Kantong Uang Riba",G2451="Pengeluaran"))),1,0)</f>
        <v/>
      </c>
      <c r="X2451" s="93">
        <f>IF(AND(B2451&lt;&gt;"",B2451&gt;='Buku Akun'!$H$4,B2451&lt;='Buku Akun'!$H$5,OR(C2451='Buku Akun'!$C$4,AND(D2451="Pindah",E2451='Buku Akun'!$C$4))),B2451+IF(AND(I2451="Selisih bunga",DAY(B2451)=1),0,0.01)+ROW()/10000000,"")</f>
        <v/>
      </c>
    </row>
    <row r="2452" outlineLevel="1" ht="15" customHeight="1" s="94">
      <c r="A2452" s="123">
        <f>IF(B2452="","",ROW()-15)</f>
        <v/>
      </c>
      <c r="B2452" s="124" t="n"/>
      <c r="C2452" s="123" t="n"/>
      <c r="D2452" s="123" t="n"/>
      <c r="E2452" s="123" t="n"/>
      <c r="F2452" s="125" t="n"/>
      <c r="G2452" s="123" t="n"/>
      <c r="H2452" s="123" t="n"/>
      <c r="I2452" s="123" t="n"/>
      <c r="J2452" s="123" t="n"/>
      <c r="K2452" s="123" t="n"/>
      <c r="L2452" s="123" t="n"/>
      <c r="M2452" s="123">
        <f>IF(AND(B2452&lt;&gt;"",OR($C$4="",ISNUMBER(SEARCH($C$4,C2452&amp;" "&amp;E2452&amp;" "&amp;G2452&amp;" "&amp;H2452&amp;" "&amp;I2452&amp;" "&amp;J2452&amp;" "&amp;K2452&amp;" "&amp;L2452))),OR($C$5="Semua",$C$5="",G2452=$C$5),OR($C$6="Semua",$C$6="",H2452=$C$6,H2452="Pengeluaran "&amp;$C$6,AND($C$6="Uang Kos Mama",H2452="Pengeluaran Uang Kos")),OR($C$7="Semua",$C$7="",I2452=$C$7),OR($C$8="Semua",$C$8="",C2452=$C$8,E2452=$C$8),OR($C$9="Semua",$C$9="",D2452=$C$9),OR($C$10="",B2452&gt;=$C$10),OR($C$11="",B2452&lt;=$C$11),OR($C$12&lt;&gt;"Ya",K2452&lt;&gt;""),OR($C$13="Semua",$C$13="",L2452=$C$13)),"✓","")</f>
        <v/>
      </c>
      <c r="N2452" s="93">
        <f>N(N2451)+IF(M2452="✓",1,0)</f>
        <v/>
      </c>
      <c r="O2452" s="93">
        <f>N(O2451)+IF(AND(B2452&lt;&gt;"",B2452&gt;='Uang Riba'!$H$30,B2452&lt;='Uang Riba'!$I$30,OR(H2452="Dana riba",H2452="Pinjam uang riba",I2452="Pinjam dari uang riba",I2452="Ganti uang riba",I2452="Kelebihan ganti dikembalikan",AND(C2452="Kantong Uang Riba",G2452="Pengeluaran"))),1,0)</f>
        <v/>
      </c>
      <c r="X2452" s="93">
        <f>IF(AND(B2452&lt;&gt;"",B2452&gt;='Buku Akun'!$H$4,B2452&lt;='Buku Akun'!$H$5,OR(C2452='Buku Akun'!$C$4,AND(D2452="Pindah",E2452='Buku Akun'!$C$4))),B2452+IF(AND(I2452="Selisih bunga",DAY(B2452)=1),0,0.01)+ROW()/10000000,"")</f>
        <v/>
      </c>
    </row>
    <row r="2453" outlineLevel="1" ht="15" customHeight="1" s="94">
      <c r="A2453" s="123">
        <f>IF(B2453="","",ROW()-15)</f>
        <v/>
      </c>
      <c r="B2453" s="124" t="n"/>
      <c r="C2453" s="123" t="n"/>
      <c r="D2453" s="123" t="n"/>
      <c r="E2453" s="123" t="n"/>
      <c r="F2453" s="125" t="n"/>
      <c r="G2453" s="123" t="n"/>
      <c r="H2453" s="123" t="n"/>
      <c r="I2453" s="123" t="n"/>
      <c r="J2453" s="123" t="n"/>
      <c r="K2453" s="123" t="n"/>
      <c r="L2453" s="123" t="n"/>
      <c r="M2453" s="123">
        <f>IF(AND(B2453&lt;&gt;"",OR($C$4="",ISNUMBER(SEARCH($C$4,C2453&amp;" "&amp;E2453&amp;" "&amp;G2453&amp;" "&amp;H2453&amp;" "&amp;I2453&amp;" "&amp;J2453&amp;" "&amp;K2453&amp;" "&amp;L2453))),OR($C$5="Semua",$C$5="",G2453=$C$5),OR($C$6="Semua",$C$6="",H2453=$C$6,H2453="Pengeluaran "&amp;$C$6,AND($C$6="Uang Kos Mama",H2453="Pengeluaran Uang Kos")),OR($C$7="Semua",$C$7="",I2453=$C$7),OR($C$8="Semua",$C$8="",C2453=$C$8,E2453=$C$8),OR($C$9="Semua",$C$9="",D2453=$C$9),OR($C$10="",B2453&gt;=$C$10),OR($C$11="",B2453&lt;=$C$11),OR($C$12&lt;&gt;"Ya",K2453&lt;&gt;""),OR($C$13="Semua",$C$13="",L2453=$C$13)),"✓","")</f>
        <v/>
      </c>
      <c r="N2453" s="93">
        <f>N(N2452)+IF(M2453="✓",1,0)</f>
        <v/>
      </c>
      <c r="O2453" s="93">
        <f>N(O2452)+IF(AND(B2453&lt;&gt;"",B2453&gt;='Uang Riba'!$H$30,B2453&lt;='Uang Riba'!$I$30,OR(H2453="Dana riba",H2453="Pinjam uang riba",I2453="Pinjam dari uang riba",I2453="Ganti uang riba",I2453="Kelebihan ganti dikembalikan",AND(C2453="Kantong Uang Riba",G2453="Pengeluaran"))),1,0)</f>
        <v/>
      </c>
      <c r="X2453" s="93">
        <f>IF(AND(B2453&lt;&gt;"",B2453&gt;='Buku Akun'!$H$4,B2453&lt;='Buku Akun'!$H$5,OR(C2453='Buku Akun'!$C$4,AND(D2453="Pindah",E2453='Buku Akun'!$C$4))),B2453+IF(AND(I2453="Selisih bunga",DAY(B2453)=1),0,0.01)+ROW()/10000000,"")</f>
        <v/>
      </c>
    </row>
    <row r="2454" outlineLevel="1" ht="15" customHeight="1" s="94">
      <c r="A2454" s="123">
        <f>IF(B2454="","",ROW()-15)</f>
        <v/>
      </c>
      <c r="B2454" s="124" t="n"/>
      <c r="C2454" s="123" t="n"/>
      <c r="D2454" s="123" t="n"/>
      <c r="E2454" s="123" t="n"/>
      <c r="F2454" s="125" t="n"/>
      <c r="G2454" s="123" t="n"/>
      <c r="H2454" s="123" t="n"/>
      <c r="I2454" s="123" t="n"/>
      <c r="J2454" s="123" t="n"/>
      <c r="K2454" s="123" t="n"/>
      <c r="L2454" s="123" t="n"/>
      <c r="M2454" s="123">
        <f>IF(AND(B2454&lt;&gt;"",OR($C$4="",ISNUMBER(SEARCH($C$4,C2454&amp;" "&amp;E2454&amp;" "&amp;G2454&amp;" "&amp;H2454&amp;" "&amp;I2454&amp;" "&amp;J2454&amp;" "&amp;K2454&amp;" "&amp;L2454))),OR($C$5="Semua",$C$5="",G2454=$C$5),OR($C$6="Semua",$C$6="",H2454=$C$6,H2454="Pengeluaran "&amp;$C$6,AND($C$6="Uang Kos Mama",H2454="Pengeluaran Uang Kos")),OR($C$7="Semua",$C$7="",I2454=$C$7),OR($C$8="Semua",$C$8="",C2454=$C$8,E2454=$C$8),OR($C$9="Semua",$C$9="",D2454=$C$9),OR($C$10="",B2454&gt;=$C$10),OR($C$11="",B2454&lt;=$C$11),OR($C$12&lt;&gt;"Ya",K2454&lt;&gt;""),OR($C$13="Semua",$C$13="",L2454=$C$13)),"✓","")</f>
        <v/>
      </c>
      <c r="N2454" s="93">
        <f>N(N2453)+IF(M2454="✓",1,0)</f>
        <v/>
      </c>
      <c r="O2454" s="93">
        <f>N(O2453)+IF(AND(B2454&lt;&gt;"",B2454&gt;='Uang Riba'!$H$30,B2454&lt;='Uang Riba'!$I$30,OR(H2454="Dana riba",H2454="Pinjam uang riba",I2454="Pinjam dari uang riba",I2454="Ganti uang riba",I2454="Kelebihan ganti dikembalikan",AND(C2454="Kantong Uang Riba",G2454="Pengeluaran"))),1,0)</f>
        <v/>
      </c>
      <c r="X2454" s="93">
        <f>IF(AND(B2454&lt;&gt;"",B2454&gt;='Buku Akun'!$H$4,B2454&lt;='Buku Akun'!$H$5,OR(C2454='Buku Akun'!$C$4,AND(D2454="Pindah",E2454='Buku Akun'!$C$4))),B2454+IF(AND(I2454="Selisih bunga",DAY(B2454)=1),0,0.01)+ROW()/10000000,"")</f>
        <v/>
      </c>
    </row>
    <row r="2455" outlineLevel="1" ht="15" customHeight="1" s="94">
      <c r="A2455" s="123">
        <f>IF(B2455="","",ROW()-15)</f>
        <v/>
      </c>
      <c r="B2455" s="124" t="n"/>
      <c r="C2455" s="123" t="n"/>
      <c r="D2455" s="123" t="n"/>
      <c r="E2455" s="123" t="n"/>
      <c r="F2455" s="125" t="n"/>
      <c r="G2455" s="123" t="n"/>
      <c r="H2455" s="123" t="n"/>
      <c r="I2455" s="123" t="n"/>
      <c r="J2455" s="123" t="n"/>
      <c r="K2455" s="123" t="n"/>
      <c r="L2455" s="123" t="n"/>
      <c r="M2455" s="123">
        <f>IF(AND(B2455&lt;&gt;"",OR($C$4="",ISNUMBER(SEARCH($C$4,C2455&amp;" "&amp;E2455&amp;" "&amp;G2455&amp;" "&amp;H2455&amp;" "&amp;I2455&amp;" "&amp;J2455&amp;" "&amp;K2455&amp;" "&amp;L2455))),OR($C$5="Semua",$C$5="",G2455=$C$5),OR($C$6="Semua",$C$6="",H2455=$C$6,H2455="Pengeluaran "&amp;$C$6,AND($C$6="Uang Kos Mama",H2455="Pengeluaran Uang Kos")),OR($C$7="Semua",$C$7="",I2455=$C$7),OR($C$8="Semua",$C$8="",C2455=$C$8,E2455=$C$8),OR($C$9="Semua",$C$9="",D2455=$C$9),OR($C$10="",B2455&gt;=$C$10),OR($C$11="",B2455&lt;=$C$11),OR($C$12&lt;&gt;"Ya",K2455&lt;&gt;""),OR($C$13="Semua",$C$13="",L2455=$C$13)),"✓","")</f>
        <v/>
      </c>
      <c r="N2455" s="93">
        <f>N(N2454)+IF(M2455="✓",1,0)</f>
        <v/>
      </c>
      <c r="O2455" s="93">
        <f>N(O2454)+IF(AND(B2455&lt;&gt;"",B2455&gt;='Uang Riba'!$H$30,B2455&lt;='Uang Riba'!$I$30,OR(H2455="Dana riba",H2455="Pinjam uang riba",I2455="Pinjam dari uang riba",I2455="Ganti uang riba",I2455="Kelebihan ganti dikembalikan",AND(C2455="Kantong Uang Riba",G2455="Pengeluaran"))),1,0)</f>
        <v/>
      </c>
      <c r="X2455" s="93">
        <f>IF(AND(B2455&lt;&gt;"",B2455&gt;='Buku Akun'!$H$4,B2455&lt;='Buku Akun'!$H$5,OR(C2455='Buku Akun'!$C$4,AND(D2455="Pindah",E2455='Buku Akun'!$C$4))),B2455+IF(AND(I2455="Selisih bunga",DAY(B2455)=1),0,0.01)+ROW()/10000000,"")</f>
        <v/>
      </c>
    </row>
    <row r="2456" outlineLevel="1" ht="15" customHeight="1" s="94">
      <c r="A2456" s="123">
        <f>IF(B2456="","",ROW()-15)</f>
        <v/>
      </c>
      <c r="B2456" s="124" t="n"/>
      <c r="C2456" s="123" t="n"/>
      <c r="D2456" s="123" t="n"/>
      <c r="E2456" s="123" t="n"/>
      <c r="F2456" s="125" t="n"/>
      <c r="G2456" s="123" t="n"/>
      <c r="H2456" s="123" t="n"/>
      <c r="I2456" s="123" t="n"/>
      <c r="J2456" s="123" t="n"/>
      <c r="K2456" s="123" t="n"/>
      <c r="L2456" s="123" t="n"/>
      <c r="M2456" s="123">
        <f>IF(AND(B2456&lt;&gt;"",OR($C$4="",ISNUMBER(SEARCH($C$4,C2456&amp;" "&amp;E2456&amp;" "&amp;G2456&amp;" "&amp;H2456&amp;" "&amp;I2456&amp;" "&amp;J2456&amp;" "&amp;K2456&amp;" "&amp;L2456))),OR($C$5="Semua",$C$5="",G2456=$C$5),OR($C$6="Semua",$C$6="",H2456=$C$6,H2456="Pengeluaran "&amp;$C$6,AND($C$6="Uang Kos Mama",H2456="Pengeluaran Uang Kos")),OR($C$7="Semua",$C$7="",I2456=$C$7),OR($C$8="Semua",$C$8="",C2456=$C$8,E2456=$C$8),OR($C$9="Semua",$C$9="",D2456=$C$9),OR($C$10="",B2456&gt;=$C$10),OR($C$11="",B2456&lt;=$C$11),OR($C$12&lt;&gt;"Ya",K2456&lt;&gt;""),OR($C$13="Semua",$C$13="",L2456=$C$13)),"✓","")</f>
        <v/>
      </c>
      <c r="N2456" s="93">
        <f>N(N2455)+IF(M2456="✓",1,0)</f>
        <v/>
      </c>
      <c r="O2456" s="93">
        <f>N(O2455)+IF(AND(B2456&lt;&gt;"",B2456&gt;='Uang Riba'!$H$30,B2456&lt;='Uang Riba'!$I$30,OR(H2456="Dana riba",H2456="Pinjam uang riba",I2456="Pinjam dari uang riba",I2456="Ganti uang riba",I2456="Kelebihan ganti dikembalikan",AND(C2456="Kantong Uang Riba",G2456="Pengeluaran"))),1,0)</f>
        <v/>
      </c>
      <c r="X2456" s="93">
        <f>IF(AND(B2456&lt;&gt;"",B2456&gt;='Buku Akun'!$H$4,B2456&lt;='Buku Akun'!$H$5,OR(C2456='Buku Akun'!$C$4,AND(D2456="Pindah",E2456='Buku Akun'!$C$4))),B2456+IF(AND(I2456="Selisih bunga",DAY(B2456)=1),0,0.01)+ROW()/10000000,"")</f>
        <v/>
      </c>
    </row>
    <row r="2457" outlineLevel="1" ht="15" customHeight="1" s="94">
      <c r="A2457" s="123">
        <f>IF(B2457="","",ROW()-15)</f>
        <v/>
      </c>
      <c r="B2457" s="124" t="n"/>
      <c r="C2457" s="123" t="n"/>
      <c r="D2457" s="123" t="n"/>
      <c r="E2457" s="123" t="n"/>
      <c r="F2457" s="125" t="n"/>
      <c r="G2457" s="123" t="n"/>
      <c r="H2457" s="123" t="n"/>
      <c r="I2457" s="123" t="n"/>
      <c r="J2457" s="123" t="n"/>
      <c r="K2457" s="123" t="n"/>
      <c r="L2457" s="123" t="n"/>
      <c r="M2457" s="123">
        <f>IF(AND(B2457&lt;&gt;"",OR($C$4="",ISNUMBER(SEARCH($C$4,C2457&amp;" "&amp;E2457&amp;" "&amp;G2457&amp;" "&amp;H2457&amp;" "&amp;I2457&amp;" "&amp;J2457&amp;" "&amp;K2457&amp;" "&amp;L2457))),OR($C$5="Semua",$C$5="",G2457=$C$5),OR($C$6="Semua",$C$6="",H2457=$C$6,H2457="Pengeluaran "&amp;$C$6,AND($C$6="Uang Kos Mama",H2457="Pengeluaran Uang Kos")),OR($C$7="Semua",$C$7="",I2457=$C$7),OR($C$8="Semua",$C$8="",C2457=$C$8,E2457=$C$8),OR($C$9="Semua",$C$9="",D2457=$C$9),OR($C$10="",B2457&gt;=$C$10),OR($C$11="",B2457&lt;=$C$11),OR($C$12&lt;&gt;"Ya",K2457&lt;&gt;""),OR($C$13="Semua",$C$13="",L2457=$C$13)),"✓","")</f>
        <v/>
      </c>
      <c r="N2457" s="93">
        <f>N(N2456)+IF(M2457="✓",1,0)</f>
        <v/>
      </c>
      <c r="O2457" s="93">
        <f>N(O2456)+IF(AND(B2457&lt;&gt;"",B2457&gt;='Uang Riba'!$H$30,B2457&lt;='Uang Riba'!$I$30,OR(H2457="Dana riba",H2457="Pinjam uang riba",I2457="Pinjam dari uang riba",I2457="Ganti uang riba",I2457="Kelebihan ganti dikembalikan",AND(C2457="Kantong Uang Riba",G2457="Pengeluaran"))),1,0)</f>
        <v/>
      </c>
      <c r="X2457" s="93">
        <f>IF(AND(B2457&lt;&gt;"",B2457&gt;='Buku Akun'!$H$4,B2457&lt;='Buku Akun'!$H$5,OR(C2457='Buku Akun'!$C$4,AND(D2457="Pindah",E2457='Buku Akun'!$C$4))),B2457+IF(AND(I2457="Selisih bunga",DAY(B2457)=1),0,0.01)+ROW()/10000000,"")</f>
        <v/>
      </c>
    </row>
    <row r="2458" outlineLevel="1" ht="15" customHeight="1" s="94">
      <c r="A2458" s="123">
        <f>IF(B2458="","",ROW()-15)</f>
        <v/>
      </c>
      <c r="B2458" s="124" t="n"/>
      <c r="C2458" s="123" t="n"/>
      <c r="D2458" s="123" t="n"/>
      <c r="E2458" s="123" t="n"/>
      <c r="F2458" s="125" t="n"/>
      <c r="G2458" s="123" t="n"/>
      <c r="H2458" s="123" t="n"/>
      <c r="I2458" s="123" t="n"/>
      <c r="J2458" s="123" t="n"/>
      <c r="K2458" s="123" t="n"/>
      <c r="L2458" s="123" t="n"/>
      <c r="M2458" s="123">
        <f>IF(AND(B2458&lt;&gt;"",OR($C$4="",ISNUMBER(SEARCH($C$4,C2458&amp;" "&amp;E2458&amp;" "&amp;G2458&amp;" "&amp;H2458&amp;" "&amp;I2458&amp;" "&amp;J2458&amp;" "&amp;K2458&amp;" "&amp;L2458))),OR($C$5="Semua",$C$5="",G2458=$C$5),OR($C$6="Semua",$C$6="",H2458=$C$6,H2458="Pengeluaran "&amp;$C$6,AND($C$6="Uang Kos Mama",H2458="Pengeluaran Uang Kos")),OR($C$7="Semua",$C$7="",I2458=$C$7),OR($C$8="Semua",$C$8="",C2458=$C$8,E2458=$C$8),OR($C$9="Semua",$C$9="",D2458=$C$9),OR($C$10="",B2458&gt;=$C$10),OR($C$11="",B2458&lt;=$C$11),OR($C$12&lt;&gt;"Ya",K2458&lt;&gt;""),OR($C$13="Semua",$C$13="",L2458=$C$13)),"✓","")</f>
        <v/>
      </c>
      <c r="N2458" s="93">
        <f>N(N2457)+IF(M2458="✓",1,0)</f>
        <v/>
      </c>
      <c r="O2458" s="93">
        <f>N(O2457)+IF(AND(B2458&lt;&gt;"",B2458&gt;='Uang Riba'!$H$30,B2458&lt;='Uang Riba'!$I$30,OR(H2458="Dana riba",H2458="Pinjam uang riba",I2458="Pinjam dari uang riba",I2458="Ganti uang riba",I2458="Kelebihan ganti dikembalikan",AND(C2458="Kantong Uang Riba",G2458="Pengeluaran"))),1,0)</f>
        <v/>
      </c>
      <c r="X2458" s="93">
        <f>IF(AND(B2458&lt;&gt;"",B2458&gt;='Buku Akun'!$H$4,B2458&lt;='Buku Akun'!$H$5,OR(C2458='Buku Akun'!$C$4,AND(D2458="Pindah",E2458='Buku Akun'!$C$4))),B2458+IF(AND(I2458="Selisih bunga",DAY(B2458)=1),0,0.01)+ROW()/10000000,"")</f>
        <v/>
      </c>
    </row>
    <row r="2459" outlineLevel="1" ht="15" customHeight="1" s="94">
      <c r="A2459" s="123">
        <f>IF(B2459="","",ROW()-15)</f>
        <v/>
      </c>
      <c r="B2459" s="124" t="n"/>
      <c r="C2459" s="123" t="n"/>
      <c r="D2459" s="123" t="n"/>
      <c r="E2459" s="123" t="n"/>
      <c r="F2459" s="125" t="n"/>
      <c r="G2459" s="123" t="n"/>
      <c r="H2459" s="123" t="n"/>
      <c r="I2459" s="123" t="n"/>
      <c r="J2459" s="123" t="n"/>
      <c r="K2459" s="123" t="n"/>
      <c r="L2459" s="123" t="n"/>
      <c r="M2459" s="123">
        <f>IF(AND(B2459&lt;&gt;"",OR($C$4="",ISNUMBER(SEARCH($C$4,C2459&amp;" "&amp;E2459&amp;" "&amp;G2459&amp;" "&amp;H2459&amp;" "&amp;I2459&amp;" "&amp;J2459&amp;" "&amp;K2459&amp;" "&amp;L2459))),OR($C$5="Semua",$C$5="",G2459=$C$5),OR($C$6="Semua",$C$6="",H2459=$C$6,H2459="Pengeluaran "&amp;$C$6,AND($C$6="Uang Kos Mama",H2459="Pengeluaran Uang Kos")),OR($C$7="Semua",$C$7="",I2459=$C$7),OR($C$8="Semua",$C$8="",C2459=$C$8,E2459=$C$8),OR($C$9="Semua",$C$9="",D2459=$C$9),OR($C$10="",B2459&gt;=$C$10),OR($C$11="",B2459&lt;=$C$11),OR($C$12&lt;&gt;"Ya",K2459&lt;&gt;""),OR($C$13="Semua",$C$13="",L2459=$C$13)),"✓","")</f>
        <v/>
      </c>
      <c r="N2459" s="93">
        <f>N(N2458)+IF(M2459="✓",1,0)</f>
        <v/>
      </c>
      <c r="O2459" s="93">
        <f>N(O2458)+IF(AND(B2459&lt;&gt;"",B2459&gt;='Uang Riba'!$H$30,B2459&lt;='Uang Riba'!$I$30,OR(H2459="Dana riba",H2459="Pinjam uang riba",I2459="Pinjam dari uang riba",I2459="Ganti uang riba",I2459="Kelebihan ganti dikembalikan",AND(C2459="Kantong Uang Riba",G2459="Pengeluaran"))),1,0)</f>
        <v/>
      </c>
      <c r="X2459" s="93">
        <f>IF(AND(B2459&lt;&gt;"",B2459&gt;='Buku Akun'!$H$4,B2459&lt;='Buku Akun'!$H$5,OR(C2459='Buku Akun'!$C$4,AND(D2459="Pindah",E2459='Buku Akun'!$C$4))),B2459+IF(AND(I2459="Selisih bunga",DAY(B2459)=1),0,0.01)+ROW()/10000000,"")</f>
        <v/>
      </c>
    </row>
    <row r="2460" outlineLevel="1" ht="15" customHeight="1" s="94">
      <c r="A2460" s="123">
        <f>IF(B2460="","",ROW()-15)</f>
        <v/>
      </c>
      <c r="B2460" s="124" t="n"/>
      <c r="C2460" s="123" t="n"/>
      <c r="D2460" s="123" t="n"/>
      <c r="E2460" s="123" t="n"/>
      <c r="F2460" s="125" t="n"/>
      <c r="G2460" s="123" t="n"/>
      <c r="H2460" s="123" t="n"/>
      <c r="I2460" s="123" t="n"/>
      <c r="J2460" s="123" t="n"/>
      <c r="K2460" s="123" t="n"/>
      <c r="L2460" s="123" t="n"/>
      <c r="M2460" s="123">
        <f>IF(AND(B2460&lt;&gt;"",OR($C$4="",ISNUMBER(SEARCH($C$4,C2460&amp;" "&amp;E2460&amp;" "&amp;G2460&amp;" "&amp;H2460&amp;" "&amp;I2460&amp;" "&amp;J2460&amp;" "&amp;K2460&amp;" "&amp;L2460))),OR($C$5="Semua",$C$5="",G2460=$C$5),OR($C$6="Semua",$C$6="",H2460=$C$6,H2460="Pengeluaran "&amp;$C$6,AND($C$6="Uang Kos Mama",H2460="Pengeluaran Uang Kos")),OR($C$7="Semua",$C$7="",I2460=$C$7),OR($C$8="Semua",$C$8="",C2460=$C$8,E2460=$C$8),OR($C$9="Semua",$C$9="",D2460=$C$9),OR($C$10="",B2460&gt;=$C$10),OR($C$11="",B2460&lt;=$C$11),OR($C$12&lt;&gt;"Ya",K2460&lt;&gt;""),OR($C$13="Semua",$C$13="",L2460=$C$13)),"✓","")</f>
        <v/>
      </c>
      <c r="N2460" s="93">
        <f>N(N2459)+IF(M2460="✓",1,0)</f>
        <v/>
      </c>
      <c r="O2460" s="93">
        <f>N(O2459)+IF(AND(B2460&lt;&gt;"",B2460&gt;='Uang Riba'!$H$30,B2460&lt;='Uang Riba'!$I$30,OR(H2460="Dana riba",H2460="Pinjam uang riba",I2460="Pinjam dari uang riba",I2460="Ganti uang riba",I2460="Kelebihan ganti dikembalikan",AND(C2460="Kantong Uang Riba",G2460="Pengeluaran"))),1,0)</f>
        <v/>
      </c>
      <c r="X2460" s="93">
        <f>IF(AND(B2460&lt;&gt;"",B2460&gt;='Buku Akun'!$H$4,B2460&lt;='Buku Akun'!$H$5,OR(C2460='Buku Akun'!$C$4,AND(D2460="Pindah",E2460='Buku Akun'!$C$4))),B2460+IF(AND(I2460="Selisih bunga",DAY(B2460)=1),0,0.01)+ROW()/10000000,"")</f>
        <v/>
      </c>
    </row>
    <row r="2461" outlineLevel="1" ht="15" customHeight="1" s="94">
      <c r="A2461" s="123">
        <f>IF(B2461="","",ROW()-15)</f>
        <v/>
      </c>
      <c r="B2461" s="124" t="n"/>
      <c r="C2461" s="123" t="n"/>
      <c r="D2461" s="123" t="n"/>
      <c r="E2461" s="123" t="n"/>
      <c r="F2461" s="125" t="n"/>
      <c r="G2461" s="123" t="n"/>
      <c r="H2461" s="123" t="n"/>
      <c r="I2461" s="123" t="n"/>
      <c r="J2461" s="123" t="n"/>
      <c r="K2461" s="123" t="n"/>
      <c r="L2461" s="123" t="n"/>
      <c r="M2461" s="123">
        <f>IF(AND(B2461&lt;&gt;"",OR($C$4="",ISNUMBER(SEARCH($C$4,C2461&amp;" "&amp;E2461&amp;" "&amp;G2461&amp;" "&amp;H2461&amp;" "&amp;I2461&amp;" "&amp;J2461&amp;" "&amp;K2461&amp;" "&amp;L2461))),OR($C$5="Semua",$C$5="",G2461=$C$5),OR($C$6="Semua",$C$6="",H2461=$C$6,H2461="Pengeluaran "&amp;$C$6,AND($C$6="Uang Kos Mama",H2461="Pengeluaran Uang Kos")),OR($C$7="Semua",$C$7="",I2461=$C$7),OR($C$8="Semua",$C$8="",C2461=$C$8,E2461=$C$8),OR($C$9="Semua",$C$9="",D2461=$C$9),OR($C$10="",B2461&gt;=$C$10),OR($C$11="",B2461&lt;=$C$11),OR($C$12&lt;&gt;"Ya",K2461&lt;&gt;""),OR($C$13="Semua",$C$13="",L2461=$C$13)),"✓","")</f>
        <v/>
      </c>
      <c r="N2461" s="93">
        <f>N(N2460)+IF(M2461="✓",1,0)</f>
        <v/>
      </c>
      <c r="O2461" s="93">
        <f>N(O2460)+IF(AND(B2461&lt;&gt;"",B2461&gt;='Uang Riba'!$H$30,B2461&lt;='Uang Riba'!$I$30,OR(H2461="Dana riba",H2461="Pinjam uang riba",I2461="Pinjam dari uang riba",I2461="Ganti uang riba",I2461="Kelebihan ganti dikembalikan",AND(C2461="Kantong Uang Riba",G2461="Pengeluaran"))),1,0)</f>
        <v/>
      </c>
      <c r="X2461" s="93">
        <f>IF(AND(B2461&lt;&gt;"",B2461&gt;='Buku Akun'!$H$4,B2461&lt;='Buku Akun'!$H$5,OR(C2461='Buku Akun'!$C$4,AND(D2461="Pindah",E2461='Buku Akun'!$C$4))),B2461+IF(AND(I2461="Selisih bunga",DAY(B2461)=1),0,0.01)+ROW()/10000000,"")</f>
        <v/>
      </c>
    </row>
    <row r="2462" outlineLevel="1" ht="15" customHeight="1" s="94">
      <c r="A2462" s="123">
        <f>IF(B2462="","",ROW()-15)</f>
        <v/>
      </c>
      <c r="B2462" s="124" t="n"/>
      <c r="C2462" s="123" t="n"/>
      <c r="D2462" s="123" t="n"/>
      <c r="E2462" s="123" t="n"/>
      <c r="F2462" s="125" t="n"/>
      <c r="G2462" s="123" t="n"/>
      <c r="H2462" s="123" t="n"/>
      <c r="I2462" s="123" t="n"/>
      <c r="J2462" s="123" t="n"/>
      <c r="K2462" s="123" t="n"/>
      <c r="L2462" s="123" t="n"/>
      <c r="M2462" s="123">
        <f>IF(AND(B2462&lt;&gt;"",OR($C$4="",ISNUMBER(SEARCH($C$4,C2462&amp;" "&amp;E2462&amp;" "&amp;G2462&amp;" "&amp;H2462&amp;" "&amp;I2462&amp;" "&amp;J2462&amp;" "&amp;K2462&amp;" "&amp;L2462))),OR($C$5="Semua",$C$5="",G2462=$C$5),OR($C$6="Semua",$C$6="",H2462=$C$6,H2462="Pengeluaran "&amp;$C$6,AND($C$6="Uang Kos Mama",H2462="Pengeluaran Uang Kos")),OR($C$7="Semua",$C$7="",I2462=$C$7),OR($C$8="Semua",$C$8="",C2462=$C$8,E2462=$C$8),OR($C$9="Semua",$C$9="",D2462=$C$9),OR($C$10="",B2462&gt;=$C$10),OR($C$11="",B2462&lt;=$C$11),OR($C$12&lt;&gt;"Ya",K2462&lt;&gt;""),OR($C$13="Semua",$C$13="",L2462=$C$13)),"✓","")</f>
        <v/>
      </c>
      <c r="N2462" s="93">
        <f>N(N2461)+IF(M2462="✓",1,0)</f>
        <v/>
      </c>
      <c r="O2462" s="93">
        <f>N(O2461)+IF(AND(B2462&lt;&gt;"",B2462&gt;='Uang Riba'!$H$30,B2462&lt;='Uang Riba'!$I$30,OR(H2462="Dana riba",H2462="Pinjam uang riba",I2462="Pinjam dari uang riba",I2462="Ganti uang riba",I2462="Kelebihan ganti dikembalikan",AND(C2462="Kantong Uang Riba",G2462="Pengeluaran"))),1,0)</f>
        <v/>
      </c>
      <c r="X2462" s="93">
        <f>IF(AND(B2462&lt;&gt;"",B2462&gt;='Buku Akun'!$H$4,B2462&lt;='Buku Akun'!$H$5,OR(C2462='Buku Akun'!$C$4,AND(D2462="Pindah",E2462='Buku Akun'!$C$4))),B2462+IF(AND(I2462="Selisih bunga",DAY(B2462)=1),0,0.01)+ROW()/10000000,"")</f>
        <v/>
      </c>
    </row>
    <row r="2463" outlineLevel="1" ht="15" customHeight="1" s="94">
      <c r="A2463" s="123">
        <f>IF(B2463="","",ROW()-15)</f>
        <v/>
      </c>
      <c r="B2463" s="124" t="n"/>
      <c r="C2463" s="123" t="n"/>
      <c r="D2463" s="123" t="n"/>
      <c r="E2463" s="123" t="n"/>
      <c r="F2463" s="125" t="n"/>
      <c r="G2463" s="123" t="n"/>
      <c r="H2463" s="123" t="n"/>
      <c r="I2463" s="123" t="n"/>
      <c r="J2463" s="123" t="n"/>
      <c r="K2463" s="123" t="n"/>
      <c r="L2463" s="123" t="n"/>
      <c r="M2463" s="123">
        <f>IF(AND(B2463&lt;&gt;"",OR($C$4="",ISNUMBER(SEARCH($C$4,C2463&amp;" "&amp;E2463&amp;" "&amp;G2463&amp;" "&amp;H2463&amp;" "&amp;I2463&amp;" "&amp;J2463&amp;" "&amp;K2463&amp;" "&amp;L2463))),OR($C$5="Semua",$C$5="",G2463=$C$5),OR($C$6="Semua",$C$6="",H2463=$C$6,H2463="Pengeluaran "&amp;$C$6,AND($C$6="Uang Kos Mama",H2463="Pengeluaran Uang Kos")),OR($C$7="Semua",$C$7="",I2463=$C$7),OR($C$8="Semua",$C$8="",C2463=$C$8,E2463=$C$8),OR($C$9="Semua",$C$9="",D2463=$C$9),OR($C$10="",B2463&gt;=$C$10),OR($C$11="",B2463&lt;=$C$11),OR($C$12&lt;&gt;"Ya",K2463&lt;&gt;""),OR($C$13="Semua",$C$13="",L2463=$C$13)),"✓","")</f>
        <v/>
      </c>
      <c r="N2463" s="93">
        <f>N(N2462)+IF(M2463="✓",1,0)</f>
        <v/>
      </c>
      <c r="O2463" s="93">
        <f>N(O2462)+IF(AND(B2463&lt;&gt;"",B2463&gt;='Uang Riba'!$H$30,B2463&lt;='Uang Riba'!$I$30,OR(H2463="Dana riba",H2463="Pinjam uang riba",I2463="Pinjam dari uang riba",I2463="Ganti uang riba",I2463="Kelebihan ganti dikembalikan",AND(C2463="Kantong Uang Riba",G2463="Pengeluaran"))),1,0)</f>
        <v/>
      </c>
      <c r="X2463" s="93">
        <f>IF(AND(B2463&lt;&gt;"",B2463&gt;='Buku Akun'!$H$4,B2463&lt;='Buku Akun'!$H$5,OR(C2463='Buku Akun'!$C$4,AND(D2463="Pindah",E2463='Buku Akun'!$C$4))),B2463+IF(AND(I2463="Selisih bunga",DAY(B2463)=1),0,0.01)+ROW()/10000000,"")</f>
        <v/>
      </c>
    </row>
    <row r="2464" outlineLevel="1" ht="15" customHeight="1" s="94">
      <c r="A2464" s="123">
        <f>IF(B2464="","",ROW()-15)</f>
        <v/>
      </c>
      <c r="B2464" s="124" t="n"/>
      <c r="C2464" s="123" t="n"/>
      <c r="D2464" s="123" t="n"/>
      <c r="E2464" s="123" t="n"/>
      <c r="F2464" s="125" t="n"/>
      <c r="G2464" s="123" t="n"/>
      <c r="H2464" s="123" t="n"/>
      <c r="I2464" s="123" t="n"/>
      <c r="J2464" s="123" t="n"/>
      <c r="K2464" s="123" t="n"/>
      <c r="L2464" s="123" t="n"/>
      <c r="M2464" s="123">
        <f>IF(AND(B2464&lt;&gt;"",OR($C$4="",ISNUMBER(SEARCH($C$4,C2464&amp;" "&amp;E2464&amp;" "&amp;G2464&amp;" "&amp;H2464&amp;" "&amp;I2464&amp;" "&amp;J2464&amp;" "&amp;K2464&amp;" "&amp;L2464))),OR($C$5="Semua",$C$5="",G2464=$C$5),OR($C$6="Semua",$C$6="",H2464=$C$6,H2464="Pengeluaran "&amp;$C$6,AND($C$6="Uang Kos Mama",H2464="Pengeluaran Uang Kos")),OR($C$7="Semua",$C$7="",I2464=$C$7),OR($C$8="Semua",$C$8="",C2464=$C$8,E2464=$C$8),OR($C$9="Semua",$C$9="",D2464=$C$9),OR($C$10="",B2464&gt;=$C$10),OR($C$11="",B2464&lt;=$C$11),OR($C$12&lt;&gt;"Ya",K2464&lt;&gt;""),OR($C$13="Semua",$C$13="",L2464=$C$13)),"✓","")</f>
        <v/>
      </c>
      <c r="N2464" s="93">
        <f>N(N2463)+IF(M2464="✓",1,0)</f>
        <v/>
      </c>
      <c r="O2464" s="93">
        <f>N(O2463)+IF(AND(B2464&lt;&gt;"",B2464&gt;='Uang Riba'!$H$30,B2464&lt;='Uang Riba'!$I$30,OR(H2464="Dana riba",H2464="Pinjam uang riba",I2464="Pinjam dari uang riba",I2464="Ganti uang riba",I2464="Kelebihan ganti dikembalikan",AND(C2464="Kantong Uang Riba",G2464="Pengeluaran"))),1,0)</f>
        <v/>
      </c>
      <c r="X2464" s="93">
        <f>IF(AND(B2464&lt;&gt;"",B2464&gt;='Buku Akun'!$H$4,B2464&lt;='Buku Akun'!$H$5,OR(C2464='Buku Akun'!$C$4,AND(D2464="Pindah",E2464='Buku Akun'!$C$4))),B2464+IF(AND(I2464="Selisih bunga",DAY(B2464)=1),0,0.01)+ROW()/10000000,"")</f>
        <v/>
      </c>
    </row>
    <row r="2465" outlineLevel="1" ht="15" customHeight="1" s="94">
      <c r="A2465" s="123">
        <f>IF(B2465="","",ROW()-15)</f>
        <v/>
      </c>
      <c r="B2465" s="124" t="n"/>
      <c r="C2465" s="123" t="n"/>
      <c r="D2465" s="123" t="n"/>
      <c r="E2465" s="123" t="n"/>
      <c r="F2465" s="125" t="n"/>
      <c r="G2465" s="123" t="n"/>
      <c r="H2465" s="123" t="n"/>
      <c r="I2465" s="123" t="n"/>
      <c r="J2465" s="123" t="n"/>
      <c r="K2465" s="123" t="n"/>
      <c r="L2465" s="123" t="n"/>
      <c r="M2465" s="123">
        <f>IF(AND(B2465&lt;&gt;"",OR($C$4="",ISNUMBER(SEARCH($C$4,C2465&amp;" "&amp;E2465&amp;" "&amp;G2465&amp;" "&amp;H2465&amp;" "&amp;I2465&amp;" "&amp;J2465&amp;" "&amp;K2465&amp;" "&amp;L2465))),OR($C$5="Semua",$C$5="",G2465=$C$5),OR($C$6="Semua",$C$6="",H2465=$C$6,H2465="Pengeluaran "&amp;$C$6,AND($C$6="Uang Kos Mama",H2465="Pengeluaran Uang Kos")),OR($C$7="Semua",$C$7="",I2465=$C$7),OR($C$8="Semua",$C$8="",C2465=$C$8,E2465=$C$8),OR($C$9="Semua",$C$9="",D2465=$C$9),OR($C$10="",B2465&gt;=$C$10),OR($C$11="",B2465&lt;=$C$11),OR($C$12&lt;&gt;"Ya",K2465&lt;&gt;""),OR($C$13="Semua",$C$13="",L2465=$C$13)),"✓","")</f>
        <v/>
      </c>
      <c r="N2465" s="93">
        <f>N(N2464)+IF(M2465="✓",1,0)</f>
        <v/>
      </c>
      <c r="O2465" s="93">
        <f>N(O2464)+IF(AND(B2465&lt;&gt;"",B2465&gt;='Uang Riba'!$H$30,B2465&lt;='Uang Riba'!$I$30,OR(H2465="Dana riba",H2465="Pinjam uang riba",I2465="Pinjam dari uang riba",I2465="Ganti uang riba",I2465="Kelebihan ganti dikembalikan",AND(C2465="Kantong Uang Riba",G2465="Pengeluaran"))),1,0)</f>
        <v/>
      </c>
      <c r="X2465" s="93">
        <f>IF(AND(B2465&lt;&gt;"",B2465&gt;='Buku Akun'!$H$4,B2465&lt;='Buku Akun'!$H$5,OR(C2465='Buku Akun'!$C$4,AND(D2465="Pindah",E2465='Buku Akun'!$C$4))),B2465+IF(AND(I2465="Selisih bunga",DAY(B2465)=1),0,0.01)+ROW()/10000000,"")</f>
        <v/>
      </c>
    </row>
    <row r="2466" outlineLevel="1" ht="15" customHeight="1" s="94">
      <c r="A2466" s="123">
        <f>IF(B2466="","",ROW()-15)</f>
        <v/>
      </c>
      <c r="B2466" s="124" t="n"/>
      <c r="C2466" s="123" t="n"/>
      <c r="D2466" s="123" t="n"/>
      <c r="E2466" s="123" t="n"/>
      <c r="F2466" s="125" t="n"/>
      <c r="G2466" s="123" t="n"/>
      <c r="H2466" s="123" t="n"/>
      <c r="I2466" s="123" t="n"/>
      <c r="J2466" s="123" t="n"/>
      <c r="K2466" s="123" t="n"/>
      <c r="L2466" s="123" t="n"/>
      <c r="M2466" s="123">
        <f>IF(AND(B2466&lt;&gt;"",OR($C$4="",ISNUMBER(SEARCH($C$4,C2466&amp;" "&amp;E2466&amp;" "&amp;G2466&amp;" "&amp;H2466&amp;" "&amp;I2466&amp;" "&amp;J2466&amp;" "&amp;K2466&amp;" "&amp;L2466))),OR($C$5="Semua",$C$5="",G2466=$C$5),OR($C$6="Semua",$C$6="",H2466=$C$6,H2466="Pengeluaran "&amp;$C$6,AND($C$6="Uang Kos Mama",H2466="Pengeluaran Uang Kos")),OR($C$7="Semua",$C$7="",I2466=$C$7),OR($C$8="Semua",$C$8="",C2466=$C$8,E2466=$C$8),OR($C$9="Semua",$C$9="",D2466=$C$9),OR($C$10="",B2466&gt;=$C$10),OR($C$11="",B2466&lt;=$C$11),OR($C$12&lt;&gt;"Ya",K2466&lt;&gt;""),OR($C$13="Semua",$C$13="",L2466=$C$13)),"✓","")</f>
        <v/>
      </c>
      <c r="N2466" s="93">
        <f>N(N2465)+IF(M2466="✓",1,0)</f>
        <v/>
      </c>
      <c r="O2466" s="93">
        <f>N(O2465)+IF(AND(B2466&lt;&gt;"",B2466&gt;='Uang Riba'!$H$30,B2466&lt;='Uang Riba'!$I$30,OR(H2466="Dana riba",H2466="Pinjam uang riba",I2466="Pinjam dari uang riba",I2466="Ganti uang riba",I2466="Kelebihan ganti dikembalikan",AND(C2466="Kantong Uang Riba",G2466="Pengeluaran"))),1,0)</f>
        <v/>
      </c>
      <c r="X2466" s="93">
        <f>IF(AND(B2466&lt;&gt;"",B2466&gt;='Buku Akun'!$H$4,B2466&lt;='Buku Akun'!$H$5,OR(C2466='Buku Akun'!$C$4,AND(D2466="Pindah",E2466='Buku Akun'!$C$4))),B2466+IF(AND(I2466="Selisih bunga",DAY(B2466)=1),0,0.01)+ROW()/10000000,"")</f>
        <v/>
      </c>
    </row>
    <row r="2467" outlineLevel="1" ht="15" customHeight="1" s="94">
      <c r="A2467" s="123">
        <f>IF(B2467="","",ROW()-15)</f>
        <v/>
      </c>
      <c r="B2467" s="124" t="n"/>
      <c r="C2467" s="123" t="n"/>
      <c r="D2467" s="123" t="n"/>
      <c r="E2467" s="123" t="n"/>
      <c r="F2467" s="125" t="n"/>
      <c r="G2467" s="123" t="n"/>
      <c r="H2467" s="123" t="n"/>
      <c r="I2467" s="123" t="n"/>
      <c r="J2467" s="123" t="n"/>
      <c r="K2467" s="123" t="n"/>
      <c r="L2467" s="123" t="n"/>
      <c r="M2467" s="123">
        <f>IF(AND(B2467&lt;&gt;"",OR($C$4="",ISNUMBER(SEARCH($C$4,C2467&amp;" "&amp;E2467&amp;" "&amp;G2467&amp;" "&amp;H2467&amp;" "&amp;I2467&amp;" "&amp;J2467&amp;" "&amp;K2467&amp;" "&amp;L2467))),OR($C$5="Semua",$C$5="",G2467=$C$5),OR($C$6="Semua",$C$6="",H2467=$C$6,H2467="Pengeluaran "&amp;$C$6,AND($C$6="Uang Kos Mama",H2467="Pengeluaran Uang Kos")),OR($C$7="Semua",$C$7="",I2467=$C$7),OR($C$8="Semua",$C$8="",C2467=$C$8,E2467=$C$8),OR($C$9="Semua",$C$9="",D2467=$C$9),OR($C$10="",B2467&gt;=$C$10),OR($C$11="",B2467&lt;=$C$11),OR($C$12&lt;&gt;"Ya",K2467&lt;&gt;""),OR($C$13="Semua",$C$13="",L2467=$C$13)),"✓","")</f>
        <v/>
      </c>
      <c r="N2467" s="93">
        <f>N(N2466)+IF(M2467="✓",1,0)</f>
        <v/>
      </c>
      <c r="O2467" s="93">
        <f>N(O2466)+IF(AND(B2467&lt;&gt;"",B2467&gt;='Uang Riba'!$H$30,B2467&lt;='Uang Riba'!$I$30,OR(H2467="Dana riba",H2467="Pinjam uang riba",I2467="Pinjam dari uang riba",I2467="Ganti uang riba",I2467="Kelebihan ganti dikembalikan",AND(C2467="Kantong Uang Riba",G2467="Pengeluaran"))),1,0)</f>
        <v/>
      </c>
      <c r="X2467" s="93">
        <f>IF(AND(B2467&lt;&gt;"",B2467&gt;='Buku Akun'!$H$4,B2467&lt;='Buku Akun'!$H$5,OR(C2467='Buku Akun'!$C$4,AND(D2467="Pindah",E2467='Buku Akun'!$C$4))),B2467+IF(AND(I2467="Selisih bunga",DAY(B2467)=1),0,0.01)+ROW()/10000000,"")</f>
        <v/>
      </c>
    </row>
    <row r="2468" outlineLevel="1" ht="15" customHeight="1" s="94">
      <c r="A2468" s="123">
        <f>IF(B2468="","",ROW()-15)</f>
        <v/>
      </c>
      <c r="B2468" s="124" t="n"/>
      <c r="C2468" s="123" t="n"/>
      <c r="D2468" s="123" t="n"/>
      <c r="E2468" s="123" t="n"/>
      <c r="F2468" s="125" t="n"/>
      <c r="G2468" s="123" t="n"/>
      <c r="H2468" s="123" t="n"/>
      <c r="I2468" s="123" t="n"/>
      <c r="J2468" s="123" t="n"/>
      <c r="K2468" s="123" t="n"/>
      <c r="L2468" s="123" t="n"/>
      <c r="M2468" s="123">
        <f>IF(AND(B2468&lt;&gt;"",OR($C$4="",ISNUMBER(SEARCH($C$4,C2468&amp;" "&amp;E2468&amp;" "&amp;G2468&amp;" "&amp;H2468&amp;" "&amp;I2468&amp;" "&amp;J2468&amp;" "&amp;K2468&amp;" "&amp;L2468))),OR($C$5="Semua",$C$5="",G2468=$C$5),OR($C$6="Semua",$C$6="",H2468=$C$6,H2468="Pengeluaran "&amp;$C$6,AND($C$6="Uang Kos Mama",H2468="Pengeluaran Uang Kos")),OR($C$7="Semua",$C$7="",I2468=$C$7),OR($C$8="Semua",$C$8="",C2468=$C$8,E2468=$C$8),OR($C$9="Semua",$C$9="",D2468=$C$9),OR($C$10="",B2468&gt;=$C$10),OR($C$11="",B2468&lt;=$C$11),OR($C$12&lt;&gt;"Ya",K2468&lt;&gt;""),OR($C$13="Semua",$C$13="",L2468=$C$13)),"✓","")</f>
        <v/>
      </c>
      <c r="N2468" s="93">
        <f>N(N2467)+IF(M2468="✓",1,0)</f>
        <v/>
      </c>
      <c r="O2468" s="93">
        <f>N(O2467)+IF(AND(B2468&lt;&gt;"",B2468&gt;='Uang Riba'!$H$30,B2468&lt;='Uang Riba'!$I$30,OR(H2468="Dana riba",H2468="Pinjam uang riba",I2468="Pinjam dari uang riba",I2468="Ganti uang riba",I2468="Kelebihan ganti dikembalikan",AND(C2468="Kantong Uang Riba",G2468="Pengeluaran"))),1,0)</f>
        <v/>
      </c>
      <c r="X2468" s="93">
        <f>IF(AND(B2468&lt;&gt;"",B2468&gt;='Buku Akun'!$H$4,B2468&lt;='Buku Akun'!$H$5,OR(C2468='Buku Akun'!$C$4,AND(D2468="Pindah",E2468='Buku Akun'!$C$4))),B2468+IF(AND(I2468="Selisih bunga",DAY(B2468)=1),0,0.01)+ROW()/10000000,"")</f>
        <v/>
      </c>
    </row>
    <row r="2469" outlineLevel="1" ht="15" customHeight="1" s="94">
      <c r="A2469" s="123">
        <f>IF(B2469="","",ROW()-15)</f>
        <v/>
      </c>
      <c r="B2469" s="124" t="n"/>
      <c r="C2469" s="123" t="n"/>
      <c r="D2469" s="123" t="n"/>
      <c r="E2469" s="123" t="n"/>
      <c r="F2469" s="125" t="n"/>
      <c r="G2469" s="123" t="n"/>
      <c r="H2469" s="123" t="n"/>
      <c r="I2469" s="123" t="n"/>
      <c r="J2469" s="123" t="n"/>
      <c r="K2469" s="123" t="n"/>
      <c r="L2469" s="123" t="n"/>
      <c r="M2469" s="123">
        <f>IF(AND(B2469&lt;&gt;"",OR($C$4="",ISNUMBER(SEARCH($C$4,C2469&amp;" "&amp;E2469&amp;" "&amp;G2469&amp;" "&amp;H2469&amp;" "&amp;I2469&amp;" "&amp;J2469&amp;" "&amp;K2469&amp;" "&amp;L2469))),OR($C$5="Semua",$C$5="",G2469=$C$5),OR($C$6="Semua",$C$6="",H2469=$C$6,H2469="Pengeluaran "&amp;$C$6,AND($C$6="Uang Kos Mama",H2469="Pengeluaran Uang Kos")),OR($C$7="Semua",$C$7="",I2469=$C$7),OR($C$8="Semua",$C$8="",C2469=$C$8,E2469=$C$8),OR($C$9="Semua",$C$9="",D2469=$C$9),OR($C$10="",B2469&gt;=$C$10),OR($C$11="",B2469&lt;=$C$11),OR($C$12&lt;&gt;"Ya",K2469&lt;&gt;""),OR($C$13="Semua",$C$13="",L2469=$C$13)),"✓","")</f>
        <v/>
      </c>
      <c r="N2469" s="93">
        <f>N(N2468)+IF(M2469="✓",1,0)</f>
        <v/>
      </c>
      <c r="O2469" s="93">
        <f>N(O2468)+IF(AND(B2469&lt;&gt;"",B2469&gt;='Uang Riba'!$H$30,B2469&lt;='Uang Riba'!$I$30,OR(H2469="Dana riba",H2469="Pinjam uang riba",I2469="Pinjam dari uang riba",I2469="Ganti uang riba",I2469="Kelebihan ganti dikembalikan",AND(C2469="Kantong Uang Riba",G2469="Pengeluaran"))),1,0)</f>
        <v/>
      </c>
      <c r="X2469" s="93">
        <f>IF(AND(B2469&lt;&gt;"",B2469&gt;='Buku Akun'!$H$4,B2469&lt;='Buku Akun'!$H$5,OR(C2469='Buku Akun'!$C$4,AND(D2469="Pindah",E2469='Buku Akun'!$C$4))),B2469+IF(AND(I2469="Selisih bunga",DAY(B2469)=1),0,0.01)+ROW()/10000000,"")</f>
        <v/>
      </c>
    </row>
    <row r="2470" outlineLevel="1" ht="15" customHeight="1" s="94">
      <c r="A2470" s="123">
        <f>IF(B2470="","",ROW()-15)</f>
        <v/>
      </c>
      <c r="B2470" s="124" t="n"/>
      <c r="C2470" s="123" t="n"/>
      <c r="D2470" s="123" t="n"/>
      <c r="E2470" s="123" t="n"/>
      <c r="F2470" s="125" t="n"/>
      <c r="G2470" s="123" t="n"/>
      <c r="H2470" s="123" t="n"/>
      <c r="I2470" s="123" t="n"/>
      <c r="J2470" s="123" t="n"/>
      <c r="K2470" s="123" t="n"/>
      <c r="L2470" s="123" t="n"/>
      <c r="M2470" s="123">
        <f>IF(AND(B2470&lt;&gt;"",OR($C$4="",ISNUMBER(SEARCH($C$4,C2470&amp;" "&amp;E2470&amp;" "&amp;G2470&amp;" "&amp;H2470&amp;" "&amp;I2470&amp;" "&amp;J2470&amp;" "&amp;K2470&amp;" "&amp;L2470))),OR($C$5="Semua",$C$5="",G2470=$C$5),OR($C$6="Semua",$C$6="",H2470=$C$6,H2470="Pengeluaran "&amp;$C$6,AND($C$6="Uang Kos Mama",H2470="Pengeluaran Uang Kos")),OR($C$7="Semua",$C$7="",I2470=$C$7),OR($C$8="Semua",$C$8="",C2470=$C$8,E2470=$C$8),OR($C$9="Semua",$C$9="",D2470=$C$9),OR($C$10="",B2470&gt;=$C$10),OR($C$11="",B2470&lt;=$C$11),OR($C$12&lt;&gt;"Ya",K2470&lt;&gt;""),OR($C$13="Semua",$C$13="",L2470=$C$13)),"✓","")</f>
        <v/>
      </c>
      <c r="N2470" s="93">
        <f>N(N2469)+IF(M2470="✓",1,0)</f>
        <v/>
      </c>
      <c r="O2470" s="93">
        <f>N(O2469)+IF(AND(B2470&lt;&gt;"",B2470&gt;='Uang Riba'!$H$30,B2470&lt;='Uang Riba'!$I$30,OR(H2470="Dana riba",H2470="Pinjam uang riba",I2470="Pinjam dari uang riba",I2470="Ganti uang riba",I2470="Kelebihan ganti dikembalikan",AND(C2470="Kantong Uang Riba",G2470="Pengeluaran"))),1,0)</f>
        <v/>
      </c>
      <c r="X2470" s="93">
        <f>IF(AND(B2470&lt;&gt;"",B2470&gt;='Buku Akun'!$H$4,B2470&lt;='Buku Akun'!$H$5,OR(C2470='Buku Akun'!$C$4,AND(D2470="Pindah",E2470='Buku Akun'!$C$4))),B2470+IF(AND(I2470="Selisih bunga",DAY(B2470)=1),0,0.01)+ROW()/10000000,"")</f>
        <v/>
      </c>
    </row>
    <row r="2471" outlineLevel="1" ht="15" customHeight="1" s="94">
      <c r="A2471" s="123">
        <f>IF(B2471="","",ROW()-15)</f>
        <v/>
      </c>
      <c r="B2471" s="124" t="n"/>
      <c r="C2471" s="123" t="n"/>
      <c r="D2471" s="123" t="n"/>
      <c r="E2471" s="123" t="n"/>
      <c r="F2471" s="125" t="n"/>
      <c r="G2471" s="123" t="n"/>
      <c r="H2471" s="123" t="n"/>
      <c r="I2471" s="123" t="n"/>
      <c r="J2471" s="123" t="n"/>
      <c r="K2471" s="123" t="n"/>
      <c r="L2471" s="123" t="n"/>
      <c r="M2471" s="123">
        <f>IF(AND(B2471&lt;&gt;"",OR($C$4="",ISNUMBER(SEARCH($C$4,C2471&amp;" "&amp;E2471&amp;" "&amp;G2471&amp;" "&amp;H2471&amp;" "&amp;I2471&amp;" "&amp;J2471&amp;" "&amp;K2471&amp;" "&amp;L2471))),OR($C$5="Semua",$C$5="",G2471=$C$5),OR($C$6="Semua",$C$6="",H2471=$C$6,H2471="Pengeluaran "&amp;$C$6,AND($C$6="Uang Kos Mama",H2471="Pengeluaran Uang Kos")),OR($C$7="Semua",$C$7="",I2471=$C$7),OR($C$8="Semua",$C$8="",C2471=$C$8,E2471=$C$8),OR($C$9="Semua",$C$9="",D2471=$C$9),OR($C$10="",B2471&gt;=$C$10),OR($C$11="",B2471&lt;=$C$11),OR($C$12&lt;&gt;"Ya",K2471&lt;&gt;""),OR($C$13="Semua",$C$13="",L2471=$C$13)),"✓","")</f>
        <v/>
      </c>
      <c r="N2471" s="93">
        <f>N(N2470)+IF(M2471="✓",1,0)</f>
        <v/>
      </c>
      <c r="O2471" s="93">
        <f>N(O2470)+IF(AND(B2471&lt;&gt;"",B2471&gt;='Uang Riba'!$H$30,B2471&lt;='Uang Riba'!$I$30,OR(H2471="Dana riba",H2471="Pinjam uang riba",I2471="Pinjam dari uang riba",I2471="Ganti uang riba",I2471="Kelebihan ganti dikembalikan",AND(C2471="Kantong Uang Riba",G2471="Pengeluaran"))),1,0)</f>
        <v/>
      </c>
      <c r="X2471" s="93">
        <f>IF(AND(B2471&lt;&gt;"",B2471&gt;='Buku Akun'!$H$4,B2471&lt;='Buku Akun'!$H$5,OR(C2471='Buku Akun'!$C$4,AND(D2471="Pindah",E2471='Buku Akun'!$C$4))),B2471+IF(AND(I2471="Selisih bunga",DAY(B2471)=1),0,0.01)+ROW()/10000000,"")</f>
        <v/>
      </c>
    </row>
    <row r="2472" outlineLevel="1" ht="15" customHeight="1" s="94">
      <c r="A2472" s="123">
        <f>IF(B2472="","",ROW()-15)</f>
        <v/>
      </c>
      <c r="B2472" s="124" t="n"/>
      <c r="C2472" s="123" t="n"/>
      <c r="D2472" s="123" t="n"/>
      <c r="E2472" s="123" t="n"/>
      <c r="F2472" s="125" t="n"/>
      <c r="G2472" s="123" t="n"/>
      <c r="H2472" s="123" t="n"/>
      <c r="I2472" s="123" t="n"/>
      <c r="J2472" s="123" t="n"/>
      <c r="K2472" s="123" t="n"/>
      <c r="L2472" s="123" t="n"/>
      <c r="M2472" s="123">
        <f>IF(AND(B2472&lt;&gt;"",OR($C$4="",ISNUMBER(SEARCH($C$4,C2472&amp;" "&amp;E2472&amp;" "&amp;G2472&amp;" "&amp;H2472&amp;" "&amp;I2472&amp;" "&amp;J2472&amp;" "&amp;K2472&amp;" "&amp;L2472))),OR($C$5="Semua",$C$5="",G2472=$C$5),OR($C$6="Semua",$C$6="",H2472=$C$6,H2472="Pengeluaran "&amp;$C$6,AND($C$6="Uang Kos Mama",H2472="Pengeluaran Uang Kos")),OR($C$7="Semua",$C$7="",I2472=$C$7),OR($C$8="Semua",$C$8="",C2472=$C$8,E2472=$C$8),OR($C$9="Semua",$C$9="",D2472=$C$9),OR($C$10="",B2472&gt;=$C$10),OR($C$11="",B2472&lt;=$C$11),OR($C$12&lt;&gt;"Ya",K2472&lt;&gt;""),OR($C$13="Semua",$C$13="",L2472=$C$13)),"✓","")</f>
        <v/>
      </c>
      <c r="N2472" s="93">
        <f>N(N2471)+IF(M2472="✓",1,0)</f>
        <v/>
      </c>
      <c r="O2472" s="93">
        <f>N(O2471)+IF(AND(B2472&lt;&gt;"",B2472&gt;='Uang Riba'!$H$30,B2472&lt;='Uang Riba'!$I$30,OR(H2472="Dana riba",H2472="Pinjam uang riba",I2472="Pinjam dari uang riba",I2472="Ganti uang riba",I2472="Kelebihan ganti dikembalikan",AND(C2472="Kantong Uang Riba",G2472="Pengeluaran"))),1,0)</f>
        <v/>
      </c>
      <c r="X2472" s="93">
        <f>IF(AND(B2472&lt;&gt;"",B2472&gt;='Buku Akun'!$H$4,B2472&lt;='Buku Akun'!$H$5,OR(C2472='Buku Akun'!$C$4,AND(D2472="Pindah",E2472='Buku Akun'!$C$4))),B2472+IF(AND(I2472="Selisih bunga",DAY(B2472)=1),0,0.01)+ROW()/10000000,"")</f>
        <v/>
      </c>
    </row>
    <row r="2473" outlineLevel="1" ht="15" customHeight="1" s="94">
      <c r="A2473" s="123">
        <f>IF(B2473="","",ROW()-15)</f>
        <v/>
      </c>
      <c r="B2473" s="124" t="n"/>
      <c r="C2473" s="123" t="n"/>
      <c r="D2473" s="123" t="n"/>
      <c r="E2473" s="123" t="n"/>
      <c r="F2473" s="125" t="n"/>
      <c r="G2473" s="123" t="n"/>
      <c r="H2473" s="123" t="n"/>
      <c r="I2473" s="123" t="n"/>
      <c r="J2473" s="123" t="n"/>
      <c r="K2473" s="123" t="n"/>
      <c r="L2473" s="123" t="n"/>
      <c r="M2473" s="123">
        <f>IF(AND(B2473&lt;&gt;"",OR($C$4="",ISNUMBER(SEARCH($C$4,C2473&amp;" "&amp;E2473&amp;" "&amp;G2473&amp;" "&amp;H2473&amp;" "&amp;I2473&amp;" "&amp;J2473&amp;" "&amp;K2473&amp;" "&amp;L2473))),OR($C$5="Semua",$C$5="",G2473=$C$5),OR($C$6="Semua",$C$6="",H2473=$C$6,H2473="Pengeluaran "&amp;$C$6,AND($C$6="Uang Kos Mama",H2473="Pengeluaran Uang Kos")),OR($C$7="Semua",$C$7="",I2473=$C$7),OR($C$8="Semua",$C$8="",C2473=$C$8,E2473=$C$8),OR($C$9="Semua",$C$9="",D2473=$C$9),OR($C$10="",B2473&gt;=$C$10),OR($C$11="",B2473&lt;=$C$11),OR($C$12&lt;&gt;"Ya",K2473&lt;&gt;""),OR($C$13="Semua",$C$13="",L2473=$C$13)),"✓","")</f>
        <v/>
      </c>
      <c r="N2473" s="93">
        <f>N(N2472)+IF(M2473="✓",1,0)</f>
        <v/>
      </c>
      <c r="O2473" s="93">
        <f>N(O2472)+IF(AND(B2473&lt;&gt;"",B2473&gt;='Uang Riba'!$H$30,B2473&lt;='Uang Riba'!$I$30,OR(H2473="Dana riba",H2473="Pinjam uang riba",I2473="Pinjam dari uang riba",I2473="Ganti uang riba",I2473="Kelebihan ganti dikembalikan",AND(C2473="Kantong Uang Riba",G2473="Pengeluaran"))),1,0)</f>
        <v/>
      </c>
      <c r="X2473" s="93">
        <f>IF(AND(B2473&lt;&gt;"",B2473&gt;='Buku Akun'!$H$4,B2473&lt;='Buku Akun'!$H$5,OR(C2473='Buku Akun'!$C$4,AND(D2473="Pindah",E2473='Buku Akun'!$C$4))),B2473+IF(AND(I2473="Selisih bunga",DAY(B2473)=1),0,0.01)+ROW()/10000000,"")</f>
        <v/>
      </c>
    </row>
    <row r="2474" outlineLevel="1" ht="15" customHeight="1" s="94">
      <c r="A2474" s="123">
        <f>IF(B2474="","",ROW()-15)</f>
        <v/>
      </c>
      <c r="B2474" s="124" t="n"/>
      <c r="C2474" s="123" t="n"/>
      <c r="D2474" s="123" t="n"/>
      <c r="E2474" s="123" t="n"/>
      <c r="F2474" s="125" t="n"/>
      <c r="G2474" s="123" t="n"/>
      <c r="H2474" s="123" t="n"/>
      <c r="I2474" s="123" t="n"/>
      <c r="J2474" s="123" t="n"/>
      <c r="K2474" s="123" t="n"/>
      <c r="L2474" s="123" t="n"/>
      <c r="M2474" s="123">
        <f>IF(AND(B2474&lt;&gt;"",OR($C$4="",ISNUMBER(SEARCH($C$4,C2474&amp;" "&amp;E2474&amp;" "&amp;G2474&amp;" "&amp;H2474&amp;" "&amp;I2474&amp;" "&amp;J2474&amp;" "&amp;K2474&amp;" "&amp;L2474))),OR($C$5="Semua",$C$5="",G2474=$C$5),OR($C$6="Semua",$C$6="",H2474=$C$6,H2474="Pengeluaran "&amp;$C$6,AND($C$6="Uang Kos Mama",H2474="Pengeluaran Uang Kos")),OR($C$7="Semua",$C$7="",I2474=$C$7),OR($C$8="Semua",$C$8="",C2474=$C$8,E2474=$C$8),OR($C$9="Semua",$C$9="",D2474=$C$9),OR($C$10="",B2474&gt;=$C$10),OR($C$11="",B2474&lt;=$C$11),OR($C$12&lt;&gt;"Ya",K2474&lt;&gt;""),OR($C$13="Semua",$C$13="",L2474=$C$13)),"✓","")</f>
        <v/>
      </c>
      <c r="N2474" s="93">
        <f>N(N2473)+IF(M2474="✓",1,0)</f>
        <v/>
      </c>
      <c r="O2474" s="93">
        <f>N(O2473)+IF(AND(B2474&lt;&gt;"",B2474&gt;='Uang Riba'!$H$30,B2474&lt;='Uang Riba'!$I$30,OR(H2474="Dana riba",H2474="Pinjam uang riba",I2474="Pinjam dari uang riba",I2474="Ganti uang riba",I2474="Kelebihan ganti dikembalikan",AND(C2474="Kantong Uang Riba",G2474="Pengeluaran"))),1,0)</f>
        <v/>
      </c>
      <c r="X2474" s="93">
        <f>IF(AND(B2474&lt;&gt;"",B2474&gt;='Buku Akun'!$H$4,B2474&lt;='Buku Akun'!$H$5,OR(C2474='Buku Akun'!$C$4,AND(D2474="Pindah",E2474='Buku Akun'!$C$4))),B2474+IF(AND(I2474="Selisih bunga",DAY(B2474)=1),0,0.01)+ROW()/10000000,"")</f>
        <v/>
      </c>
    </row>
    <row r="2475" outlineLevel="1" ht="15" customHeight="1" s="94">
      <c r="A2475" s="123">
        <f>IF(B2475="","",ROW()-15)</f>
        <v/>
      </c>
      <c r="B2475" s="124" t="n"/>
      <c r="C2475" s="123" t="n"/>
      <c r="D2475" s="123" t="n"/>
      <c r="E2475" s="123" t="n"/>
      <c r="F2475" s="125" t="n"/>
      <c r="G2475" s="123" t="n"/>
      <c r="H2475" s="123" t="n"/>
      <c r="I2475" s="123" t="n"/>
      <c r="J2475" s="123" t="n"/>
      <c r="K2475" s="123" t="n"/>
      <c r="L2475" s="123" t="n"/>
      <c r="M2475" s="123">
        <f>IF(AND(B2475&lt;&gt;"",OR($C$4="",ISNUMBER(SEARCH($C$4,C2475&amp;" "&amp;E2475&amp;" "&amp;G2475&amp;" "&amp;H2475&amp;" "&amp;I2475&amp;" "&amp;J2475&amp;" "&amp;K2475&amp;" "&amp;L2475))),OR($C$5="Semua",$C$5="",G2475=$C$5),OR($C$6="Semua",$C$6="",H2475=$C$6,H2475="Pengeluaran "&amp;$C$6,AND($C$6="Uang Kos Mama",H2475="Pengeluaran Uang Kos")),OR($C$7="Semua",$C$7="",I2475=$C$7),OR($C$8="Semua",$C$8="",C2475=$C$8,E2475=$C$8),OR($C$9="Semua",$C$9="",D2475=$C$9),OR($C$10="",B2475&gt;=$C$10),OR($C$11="",B2475&lt;=$C$11),OR($C$12&lt;&gt;"Ya",K2475&lt;&gt;""),OR($C$13="Semua",$C$13="",L2475=$C$13)),"✓","")</f>
        <v/>
      </c>
      <c r="N2475" s="93">
        <f>N(N2474)+IF(M2475="✓",1,0)</f>
        <v/>
      </c>
      <c r="O2475" s="93">
        <f>N(O2474)+IF(AND(B2475&lt;&gt;"",B2475&gt;='Uang Riba'!$H$30,B2475&lt;='Uang Riba'!$I$30,OR(H2475="Dana riba",H2475="Pinjam uang riba",I2475="Pinjam dari uang riba",I2475="Ganti uang riba",I2475="Kelebihan ganti dikembalikan",AND(C2475="Kantong Uang Riba",G2475="Pengeluaran"))),1,0)</f>
        <v/>
      </c>
      <c r="X2475" s="93">
        <f>IF(AND(B2475&lt;&gt;"",B2475&gt;='Buku Akun'!$H$4,B2475&lt;='Buku Akun'!$H$5,OR(C2475='Buku Akun'!$C$4,AND(D2475="Pindah",E2475='Buku Akun'!$C$4))),B2475+IF(AND(I2475="Selisih bunga",DAY(B2475)=1),0,0.01)+ROW()/10000000,"")</f>
        <v/>
      </c>
    </row>
    <row r="2476" outlineLevel="1" ht="15" customHeight="1" s="94">
      <c r="A2476" s="123">
        <f>IF(B2476="","",ROW()-15)</f>
        <v/>
      </c>
      <c r="B2476" s="124" t="n"/>
      <c r="C2476" s="123" t="n"/>
      <c r="D2476" s="123" t="n"/>
      <c r="E2476" s="123" t="n"/>
      <c r="F2476" s="125" t="n"/>
      <c r="G2476" s="123" t="n"/>
      <c r="H2476" s="123" t="n"/>
      <c r="I2476" s="123" t="n"/>
      <c r="J2476" s="123" t="n"/>
      <c r="K2476" s="123" t="n"/>
      <c r="L2476" s="123" t="n"/>
      <c r="M2476" s="123">
        <f>IF(AND(B2476&lt;&gt;"",OR($C$4="",ISNUMBER(SEARCH($C$4,C2476&amp;" "&amp;E2476&amp;" "&amp;G2476&amp;" "&amp;H2476&amp;" "&amp;I2476&amp;" "&amp;J2476&amp;" "&amp;K2476&amp;" "&amp;L2476))),OR($C$5="Semua",$C$5="",G2476=$C$5),OR($C$6="Semua",$C$6="",H2476=$C$6,H2476="Pengeluaran "&amp;$C$6,AND($C$6="Uang Kos Mama",H2476="Pengeluaran Uang Kos")),OR($C$7="Semua",$C$7="",I2476=$C$7),OR($C$8="Semua",$C$8="",C2476=$C$8,E2476=$C$8),OR($C$9="Semua",$C$9="",D2476=$C$9),OR($C$10="",B2476&gt;=$C$10),OR($C$11="",B2476&lt;=$C$11),OR($C$12&lt;&gt;"Ya",K2476&lt;&gt;""),OR($C$13="Semua",$C$13="",L2476=$C$13)),"✓","")</f>
        <v/>
      </c>
      <c r="N2476" s="93">
        <f>N(N2475)+IF(M2476="✓",1,0)</f>
        <v/>
      </c>
      <c r="O2476" s="93">
        <f>N(O2475)+IF(AND(B2476&lt;&gt;"",B2476&gt;='Uang Riba'!$H$30,B2476&lt;='Uang Riba'!$I$30,OR(H2476="Dana riba",H2476="Pinjam uang riba",I2476="Pinjam dari uang riba",I2476="Ganti uang riba",I2476="Kelebihan ganti dikembalikan",AND(C2476="Kantong Uang Riba",G2476="Pengeluaran"))),1,0)</f>
        <v/>
      </c>
      <c r="X2476" s="93">
        <f>IF(AND(B2476&lt;&gt;"",B2476&gt;='Buku Akun'!$H$4,B2476&lt;='Buku Akun'!$H$5,OR(C2476='Buku Akun'!$C$4,AND(D2476="Pindah",E2476='Buku Akun'!$C$4))),B2476+IF(AND(I2476="Selisih bunga",DAY(B2476)=1),0,0.01)+ROW()/10000000,"")</f>
        <v/>
      </c>
    </row>
    <row r="2477" outlineLevel="1" ht="15" customHeight="1" s="94">
      <c r="A2477" s="123">
        <f>IF(B2477="","",ROW()-15)</f>
        <v/>
      </c>
      <c r="B2477" s="124" t="n"/>
      <c r="C2477" s="123" t="n"/>
      <c r="D2477" s="123" t="n"/>
      <c r="E2477" s="123" t="n"/>
      <c r="F2477" s="125" t="n"/>
      <c r="G2477" s="123" t="n"/>
      <c r="H2477" s="123" t="n"/>
      <c r="I2477" s="123" t="n"/>
      <c r="J2477" s="123" t="n"/>
      <c r="K2477" s="123" t="n"/>
      <c r="L2477" s="123" t="n"/>
      <c r="M2477" s="123">
        <f>IF(AND(B2477&lt;&gt;"",OR($C$4="",ISNUMBER(SEARCH($C$4,C2477&amp;" "&amp;E2477&amp;" "&amp;G2477&amp;" "&amp;H2477&amp;" "&amp;I2477&amp;" "&amp;J2477&amp;" "&amp;K2477&amp;" "&amp;L2477))),OR($C$5="Semua",$C$5="",G2477=$C$5),OR($C$6="Semua",$C$6="",H2477=$C$6,H2477="Pengeluaran "&amp;$C$6,AND($C$6="Uang Kos Mama",H2477="Pengeluaran Uang Kos")),OR($C$7="Semua",$C$7="",I2477=$C$7),OR($C$8="Semua",$C$8="",C2477=$C$8,E2477=$C$8),OR($C$9="Semua",$C$9="",D2477=$C$9),OR($C$10="",B2477&gt;=$C$10),OR($C$11="",B2477&lt;=$C$11),OR($C$12&lt;&gt;"Ya",K2477&lt;&gt;""),OR($C$13="Semua",$C$13="",L2477=$C$13)),"✓","")</f>
        <v/>
      </c>
      <c r="N2477" s="93">
        <f>N(N2476)+IF(M2477="✓",1,0)</f>
        <v/>
      </c>
      <c r="O2477" s="93">
        <f>N(O2476)+IF(AND(B2477&lt;&gt;"",B2477&gt;='Uang Riba'!$H$30,B2477&lt;='Uang Riba'!$I$30,OR(H2477="Dana riba",H2477="Pinjam uang riba",I2477="Pinjam dari uang riba",I2477="Ganti uang riba",I2477="Kelebihan ganti dikembalikan",AND(C2477="Kantong Uang Riba",G2477="Pengeluaran"))),1,0)</f>
        <v/>
      </c>
      <c r="X2477" s="93">
        <f>IF(AND(B2477&lt;&gt;"",B2477&gt;='Buku Akun'!$H$4,B2477&lt;='Buku Akun'!$H$5,OR(C2477='Buku Akun'!$C$4,AND(D2477="Pindah",E2477='Buku Akun'!$C$4))),B2477+IF(AND(I2477="Selisih bunga",DAY(B2477)=1),0,0.01)+ROW()/10000000,"")</f>
        <v/>
      </c>
    </row>
    <row r="2478" outlineLevel="1" ht="15" customHeight="1" s="94">
      <c r="A2478" s="123">
        <f>IF(B2478="","",ROW()-15)</f>
        <v/>
      </c>
      <c r="B2478" s="124" t="n"/>
      <c r="C2478" s="123" t="n"/>
      <c r="D2478" s="123" t="n"/>
      <c r="E2478" s="123" t="n"/>
      <c r="F2478" s="125" t="n"/>
      <c r="G2478" s="123" t="n"/>
      <c r="H2478" s="123" t="n"/>
      <c r="I2478" s="123" t="n"/>
      <c r="J2478" s="123" t="n"/>
      <c r="K2478" s="123" t="n"/>
      <c r="L2478" s="123" t="n"/>
      <c r="M2478" s="123">
        <f>IF(AND(B2478&lt;&gt;"",OR($C$4="",ISNUMBER(SEARCH($C$4,C2478&amp;" "&amp;E2478&amp;" "&amp;G2478&amp;" "&amp;H2478&amp;" "&amp;I2478&amp;" "&amp;J2478&amp;" "&amp;K2478&amp;" "&amp;L2478))),OR($C$5="Semua",$C$5="",G2478=$C$5),OR($C$6="Semua",$C$6="",H2478=$C$6,H2478="Pengeluaran "&amp;$C$6,AND($C$6="Uang Kos Mama",H2478="Pengeluaran Uang Kos")),OR($C$7="Semua",$C$7="",I2478=$C$7),OR($C$8="Semua",$C$8="",C2478=$C$8,E2478=$C$8),OR($C$9="Semua",$C$9="",D2478=$C$9),OR($C$10="",B2478&gt;=$C$10),OR($C$11="",B2478&lt;=$C$11),OR($C$12&lt;&gt;"Ya",K2478&lt;&gt;""),OR($C$13="Semua",$C$13="",L2478=$C$13)),"✓","")</f>
        <v/>
      </c>
      <c r="N2478" s="93">
        <f>N(N2477)+IF(M2478="✓",1,0)</f>
        <v/>
      </c>
      <c r="O2478" s="93">
        <f>N(O2477)+IF(AND(B2478&lt;&gt;"",B2478&gt;='Uang Riba'!$H$30,B2478&lt;='Uang Riba'!$I$30,OR(H2478="Dana riba",H2478="Pinjam uang riba",I2478="Pinjam dari uang riba",I2478="Ganti uang riba",I2478="Kelebihan ganti dikembalikan",AND(C2478="Kantong Uang Riba",G2478="Pengeluaran"))),1,0)</f>
        <v/>
      </c>
      <c r="X2478" s="93">
        <f>IF(AND(B2478&lt;&gt;"",B2478&gt;='Buku Akun'!$H$4,B2478&lt;='Buku Akun'!$H$5,OR(C2478='Buku Akun'!$C$4,AND(D2478="Pindah",E2478='Buku Akun'!$C$4))),B2478+IF(AND(I2478="Selisih bunga",DAY(B2478)=1),0,0.01)+ROW()/10000000,"")</f>
        <v/>
      </c>
    </row>
    <row r="2479" outlineLevel="1" ht="15" customHeight="1" s="94">
      <c r="A2479" s="123">
        <f>IF(B2479="","",ROW()-15)</f>
        <v/>
      </c>
      <c r="B2479" s="124" t="n"/>
      <c r="C2479" s="123" t="n"/>
      <c r="D2479" s="123" t="n"/>
      <c r="E2479" s="123" t="n"/>
      <c r="F2479" s="125" t="n"/>
      <c r="G2479" s="123" t="n"/>
      <c r="H2479" s="123" t="n"/>
      <c r="I2479" s="123" t="n"/>
      <c r="J2479" s="123" t="n"/>
      <c r="K2479" s="123" t="n"/>
      <c r="L2479" s="123" t="n"/>
      <c r="M2479" s="123">
        <f>IF(AND(B2479&lt;&gt;"",OR($C$4="",ISNUMBER(SEARCH($C$4,C2479&amp;" "&amp;E2479&amp;" "&amp;G2479&amp;" "&amp;H2479&amp;" "&amp;I2479&amp;" "&amp;J2479&amp;" "&amp;K2479&amp;" "&amp;L2479))),OR($C$5="Semua",$C$5="",G2479=$C$5),OR($C$6="Semua",$C$6="",H2479=$C$6,H2479="Pengeluaran "&amp;$C$6,AND($C$6="Uang Kos Mama",H2479="Pengeluaran Uang Kos")),OR($C$7="Semua",$C$7="",I2479=$C$7),OR($C$8="Semua",$C$8="",C2479=$C$8,E2479=$C$8),OR($C$9="Semua",$C$9="",D2479=$C$9),OR($C$10="",B2479&gt;=$C$10),OR($C$11="",B2479&lt;=$C$11),OR($C$12&lt;&gt;"Ya",K2479&lt;&gt;""),OR($C$13="Semua",$C$13="",L2479=$C$13)),"✓","")</f>
        <v/>
      </c>
      <c r="N2479" s="93">
        <f>N(N2478)+IF(M2479="✓",1,0)</f>
        <v/>
      </c>
      <c r="O2479" s="93">
        <f>N(O2478)+IF(AND(B2479&lt;&gt;"",B2479&gt;='Uang Riba'!$H$30,B2479&lt;='Uang Riba'!$I$30,OR(H2479="Dana riba",H2479="Pinjam uang riba",I2479="Pinjam dari uang riba",I2479="Ganti uang riba",I2479="Kelebihan ganti dikembalikan",AND(C2479="Kantong Uang Riba",G2479="Pengeluaran"))),1,0)</f>
        <v/>
      </c>
      <c r="X2479" s="93">
        <f>IF(AND(B2479&lt;&gt;"",B2479&gt;='Buku Akun'!$H$4,B2479&lt;='Buku Akun'!$H$5,OR(C2479='Buku Akun'!$C$4,AND(D2479="Pindah",E2479='Buku Akun'!$C$4))),B2479+IF(AND(I2479="Selisih bunga",DAY(B2479)=1),0,0.01)+ROW()/10000000,"")</f>
        <v/>
      </c>
    </row>
    <row r="2480" outlineLevel="1" ht="15" customHeight="1" s="94">
      <c r="A2480" s="123">
        <f>IF(B2480="","",ROW()-15)</f>
        <v/>
      </c>
      <c r="B2480" s="124" t="n"/>
      <c r="C2480" s="123" t="n"/>
      <c r="D2480" s="123" t="n"/>
      <c r="E2480" s="123" t="n"/>
      <c r="F2480" s="125" t="n"/>
      <c r="G2480" s="123" t="n"/>
      <c r="H2480" s="123" t="n"/>
      <c r="I2480" s="123" t="n"/>
      <c r="J2480" s="123" t="n"/>
      <c r="K2480" s="123" t="n"/>
      <c r="L2480" s="123" t="n"/>
      <c r="M2480" s="123">
        <f>IF(AND(B2480&lt;&gt;"",OR($C$4="",ISNUMBER(SEARCH($C$4,C2480&amp;" "&amp;E2480&amp;" "&amp;G2480&amp;" "&amp;H2480&amp;" "&amp;I2480&amp;" "&amp;J2480&amp;" "&amp;K2480&amp;" "&amp;L2480))),OR($C$5="Semua",$C$5="",G2480=$C$5),OR($C$6="Semua",$C$6="",H2480=$C$6,H2480="Pengeluaran "&amp;$C$6,AND($C$6="Uang Kos Mama",H2480="Pengeluaran Uang Kos")),OR($C$7="Semua",$C$7="",I2480=$C$7),OR($C$8="Semua",$C$8="",C2480=$C$8,E2480=$C$8),OR($C$9="Semua",$C$9="",D2480=$C$9),OR($C$10="",B2480&gt;=$C$10),OR($C$11="",B2480&lt;=$C$11),OR($C$12&lt;&gt;"Ya",K2480&lt;&gt;""),OR($C$13="Semua",$C$13="",L2480=$C$13)),"✓","")</f>
        <v/>
      </c>
      <c r="N2480" s="93">
        <f>N(N2479)+IF(M2480="✓",1,0)</f>
        <v/>
      </c>
      <c r="O2480" s="93">
        <f>N(O2479)+IF(AND(B2480&lt;&gt;"",B2480&gt;='Uang Riba'!$H$30,B2480&lt;='Uang Riba'!$I$30,OR(H2480="Dana riba",H2480="Pinjam uang riba",I2480="Pinjam dari uang riba",I2480="Ganti uang riba",I2480="Kelebihan ganti dikembalikan",AND(C2480="Kantong Uang Riba",G2480="Pengeluaran"))),1,0)</f>
        <v/>
      </c>
      <c r="X2480" s="93">
        <f>IF(AND(B2480&lt;&gt;"",B2480&gt;='Buku Akun'!$H$4,B2480&lt;='Buku Akun'!$H$5,OR(C2480='Buku Akun'!$C$4,AND(D2480="Pindah",E2480='Buku Akun'!$C$4))),B2480+IF(AND(I2480="Selisih bunga",DAY(B2480)=1),0,0.01)+ROW()/10000000,"")</f>
        <v/>
      </c>
    </row>
    <row r="2481" outlineLevel="1" ht="15" customHeight="1" s="94">
      <c r="A2481" s="123">
        <f>IF(B2481="","",ROW()-15)</f>
        <v/>
      </c>
      <c r="B2481" s="124" t="n"/>
      <c r="C2481" s="123" t="n"/>
      <c r="D2481" s="123" t="n"/>
      <c r="E2481" s="123" t="n"/>
      <c r="F2481" s="125" t="n"/>
      <c r="G2481" s="123" t="n"/>
      <c r="H2481" s="123" t="n"/>
      <c r="I2481" s="123" t="n"/>
      <c r="J2481" s="123" t="n"/>
      <c r="K2481" s="123" t="n"/>
      <c r="L2481" s="123" t="n"/>
      <c r="M2481" s="123">
        <f>IF(AND(B2481&lt;&gt;"",OR($C$4="",ISNUMBER(SEARCH($C$4,C2481&amp;" "&amp;E2481&amp;" "&amp;G2481&amp;" "&amp;H2481&amp;" "&amp;I2481&amp;" "&amp;J2481&amp;" "&amp;K2481&amp;" "&amp;L2481))),OR($C$5="Semua",$C$5="",G2481=$C$5),OR($C$6="Semua",$C$6="",H2481=$C$6,H2481="Pengeluaran "&amp;$C$6,AND($C$6="Uang Kos Mama",H2481="Pengeluaran Uang Kos")),OR($C$7="Semua",$C$7="",I2481=$C$7),OR($C$8="Semua",$C$8="",C2481=$C$8,E2481=$C$8),OR($C$9="Semua",$C$9="",D2481=$C$9),OR($C$10="",B2481&gt;=$C$10),OR($C$11="",B2481&lt;=$C$11),OR($C$12&lt;&gt;"Ya",K2481&lt;&gt;""),OR($C$13="Semua",$C$13="",L2481=$C$13)),"✓","")</f>
        <v/>
      </c>
      <c r="N2481" s="93">
        <f>N(N2480)+IF(M2481="✓",1,0)</f>
        <v/>
      </c>
      <c r="O2481" s="93">
        <f>N(O2480)+IF(AND(B2481&lt;&gt;"",B2481&gt;='Uang Riba'!$H$30,B2481&lt;='Uang Riba'!$I$30,OR(H2481="Dana riba",H2481="Pinjam uang riba",I2481="Pinjam dari uang riba",I2481="Ganti uang riba",I2481="Kelebihan ganti dikembalikan",AND(C2481="Kantong Uang Riba",G2481="Pengeluaran"))),1,0)</f>
        <v/>
      </c>
      <c r="X2481" s="93">
        <f>IF(AND(B2481&lt;&gt;"",B2481&gt;='Buku Akun'!$H$4,B2481&lt;='Buku Akun'!$H$5,OR(C2481='Buku Akun'!$C$4,AND(D2481="Pindah",E2481='Buku Akun'!$C$4))),B2481+IF(AND(I2481="Selisih bunga",DAY(B2481)=1),0,0.01)+ROW()/10000000,"")</f>
        <v/>
      </c>
    </row>
    <row r="2482" outlineLevel="1" ht="15" customHeight="1" s="94">
      <c r="A2482" s="123">
        <f>IF(B2482="","",ROW()-15)</f>
        <v/>
      </c>
      <c r="B2482" s="124" t="n"/>
      <c r="C2482" s="123" t="n"/>
      <c r="D2482" s="123" t="n"/>
      <c r="E2482" s="123" t="n"/>
      <c r="F2482" s="125" t="n"/>
      <c r="G2482" s="123" t="n"/>
      <c r="H2482" s="123" t="n"/>
      <c r="I2482" s="123" t="n"/>
      <c r="J2482" s="123" t="n"/>
      <c r="K2482" s="123" t="n"/>
      <c r="L2482" s="123" t="n"/>
      <c r="M2482" s="123">
        <f>IF(AND(B2482&lt;&gt;"",OR($C$4="",ISNUMBER(SEARCH($C$4,C2482&amp;" "&amp;E2482&amp;" "&amp;G2482&amp;" "&amp;H2482&amp;" "&amp;I2482&amp;" "&amp;J2482&amp;" "&amp;K2482&amp;" "&amp;L2482))),OR($C$5="Semua",$C$5="",G2482=$C$5),OR($C$6="Semua",$C$6="",H2482=$C$6,H2482="Pengeluaran "&amp;$C$6,AND($C$6="Uang Kos Mama",H2482="Pengeluaran Uang Kos")),OR($C$7="Semua",$C$7="",I2482=$C$7),OR($C$8="Semua",$C$8="",C2482=$C$8,E2482=$C$8),OR($C$9="Semua",$C$9="",D2482=$C$9),OR($C$10="",B2482&gt;=$C$10),OR($C$11="",B2482&lt;=$C$11),OR($C$12&lt;&gt;"Ya",K2482&lt;&gt;""),OR($C$13="Semua",$C$13="",L2482=$C$13)),"✓","")</f>
        <v/>
      </c>
      <c r="N2482" s="93">
        <f>N(N2481)+IF(M2482="✓",1,0)</f>
        <v/>
      </c>
      <c r="O2482" s="93">
        <f>N(O2481)+IF(AND(B2482&lt;&gt;"",B2482&gt;='Uang Riba'!$H$30,B2482&lt;='Uang Riba'!$I$30,OR(H2482="Dana riba",H2482="Pinjam uang riba",I2482="Pinjam dari uang riba",I2482="Ganti uang riba",I2482="Kelebihan ganti dikembalikan",AND(C2482="Kantong Uang Riba",G2482="Pengeluaran"))),1,0)</f>
        <v/>
      </c>
      <c r="X2482" s="93">
        <f>IF(AND(B2482&lt;&gt;"",B2482&gt;='Buku Akun'!$H$4,B2482&lt;='Buku Akun'!$H$5,OR(C2482='Buku Akun'!$C$4,AND(D2482="Pindah",E2482='Buku Akun'!$C$4))),B2482+IF(AND(I2482="Selisih bunga",DAY(B2482)=1),0,0.01)+ROW()/10000000,"")</f>
        <v/>
      </c>
    </row>
    <row r="2483" outlineLevel="1" ht="15" customHeight="1" s="94">
      <c r="A2483" s="123">
        <f>IF(B2483="","",ROW()-15)</f>
        <v/>
      </c>
      <c r="B2483" s="124" t="n"/>
      <c r="C2483" s="123" t="n"/>
      <c r="D2483" s="123" t="n"/>
      <c r="E2483" s="123" t="n"/>
      <c r="F2483" s="125" t="n"/>
      <c r="G2483" s="123" t="n"/>
      <c r="H2483" s="123" t="n"/>
      <c r="I2483" s="123" t="n"/>
      <c r="J2483" s="123" t="n"/>
      <c r="K2483" s="123" t="n"/>
      <c r="L2483" s="123" t="n"/>
      <c r="M2483" s="123">
        <f>IF(AND(B2483&lt;&gt;"",OR($C$4="",ISNUMBER(SEARCH($C$4,C2483&amp;" "&amp;E2483&amp;" "&amp;G2483&amp;" "&amp;H2483&amp;" "&amp;I2483&amp;" "&amp;J2483&amp;" "&amp;K2483&amp;" "&amp;L2483))),OR($C$5="Semua",$C$5="",G2483=$C$5),OR($C$6="Semua",$C$6="",H2483=$C$6,H2483="Pengeluaran "&amp;$C$6,AND($C$6="Uang Kos Mama",H2483="Pengeluaran Uang Kos")),OR($C$7="Semua",$C$7="",I2483=$C$7),OR($C$8="Semua",$C$8="",C2483=$C$8,E2483=$C$8),OR($C$9="Semua",$C$9="",D2483=$C$9),OR($C$10="",B2483&gt;=$C$10),OR($C$11="",B2483&lt;=$C$11),OR($C$12&lt;&gt;"Ya",K2483&lt;&gt;""),OR($C$13="Semua",$C$13="",L2483=$C$13)),"✓","")</f>
        <v/>
      </c>
      <c r="N2483" s="93">
        <f>N(N2482)+IF(M2483="✓",1,0)</f>
        <v/>
      </c>
      <c r="O2483" s="93">
        <f>N(O2482)+IF(AND(B2483&lt;&gt;"",B2483&gt;='Uang Riba'!$H$30,B2483&lt;='Uang Riba'!$I$30,OR(H2483="Dana riba",H2483="Pinjam uang riba",I2483="Pinjam dari uang riba",I2483="Ganti uang riba",I2483="Kelebihan ganti dikembalikan",AND(C2483="Kantong Uang Riba",G2483="Pengeluaran"))),1,0)</f>
        <v/>
      </c>
      <c r="X2483" s="93">
        <f>IF(AND(B2483&lt;&gt;"",B2483&gt;='Buku Akun'!$H$4,B2483&lt;='Buku Akun'!$H$5,OR(C2483='Buku Akun'!$C$4,AND(D2483="Pindah",E2483='Buku Akun'!$C$4))),B2483+IF(AND(I2483="Selisih bunga",DAY(B2483)=1),0,0.01)+ROW()/10000000,"")</f>
        <v/>
      </c>
    </row>
    <row r="2484" outlineLevel="1" ht="15" customHeight="1" s="94">
      <c r="A2484" s="123">
        <f>IF(B2484="","",ROW()-15)</f>
        <v/>
      </c>
      <c r="B2484" s="124" t="n"/>
      <c r="C2484" s="123" t="n"/>
      <c r="D2484" s="123" t="n"/>
      <c r="E2484" s="123" t="n"/>
      <c r="F2484" s="125" t="n"/>
      <c r="G2484" s="123" t="n"/>
      <c r="H2484" s="123" t="n"/>
      <c r="I2484" s="123" t="n"/>
      <c r="J2484" s="123" t="n"/>
      <c r="K2484" s="123" t="n"/>
      <c r="L2484" s="123" t="n"/>
      <c r="M2484" s="123">
        <f>IF(AND(B2484&lt;&gt;"",OR($C$4="",ISNUMBER(SEARCH($C$4,C2484&amp;" "&amp;E2484&amp;" "&amp;G2484&amp;" "&amp;H2484&amp;" "&amp;I2484&amp;" "&amp;J2484&amp;" "&amp;K2484&amp;" "&amp;L2484))),OR($C$5="Semua",$C$5="",G2484=$C$5),OR($C$6="Semua",$C$6="",H2484=$C$6,H2484="Pengeluaran "&amp;$C$6,AND($C$6="Uang Kos Mama",H2484="Pengeluaran Uang Kos")),OR($C$7="Semua",$C$7="",I2484=$C$7),OR($C$8="Semua",$C$8="",C2484=$C$8,E2484=$C$8),OR($C$9="Semua",$C$9="",D2484=$C$9),OR($C$10="",B2484&gt;=$C$10),OR($C$11="",B2484&lt;=$C$11),OR($C$12&lt;&gt;"Ya",K2484&lt;&gt;""),OR($C$13="Semua",$C$13="",L2484=$C$13)),"✓","")</f>
        <v/>
      </c>
      <c r="N2484" s="93">
        <f>N(N2483)+IF(M2484="✓",1,0)</f>
        <v/>
      </c>
      <c r="O2484" s="93">
        <f>N(O2483)+IF(AND(B2484&lt;&gt;"",B2484&gt;='Uang Riba'!$H$30,B2484&lt;='Uang Riba'!$I$30,OR(H2484="Dana riba",H2484="Pinjam uang riba",I2484="Pinjam dari uang riba",I2484="Ganti uang riba",I2484="Kelebihan ganti dikembalikan",AND(C2484="Kantong Uang Riba",G2484="Pengeluaran"))),1,0)</f>
        <v/>
      </c>
      <c r="X2484" s="93">
        <f>IF(AND(B2484&lt;&gt;"",B2484&gt;='Buku Akun'!$H$4,B2484&lt;='Buku Akun'!$H$5,OR(C2484='Buku Akun'!$C$4,AND(D2484="Pindah",E2484='Buku Akun'!$C$4))),B2484+IF(AND(I2484="Selisih bunga",DAY(B2484)=1),0,0.01)+ROW()/10000000,"")</f>
        <v/>
      </c>
    </row>
    <row r="2485" outlineLevel="1" ht="15" customHeight="1" s="94">
      <c r="A2485" s="123">
        <f>IF(B2485="","",ROW()-15)</f>
        <v/>
      </c>
      <c r="B2485" s="124" t="n"/>
      <c r="C2485" s="123" t="n"/>
      <c r="D2485" s="123" t="n"/>
      <c r="E2485" s="123" t="n"/>
      <c r="F2485" s="125" t="n"/>
      <c r="G2485" s="123" t="n"/>
      <c r="H2485" s="123" t="n"/>
      <c r="I2485" s="123" t="n"/>
      <c r="J2485" s="123" t="n"/>
      <c r="K2485" s="123" t="n"/>
      <c r="L2485" s="123" t="n"/>
      <c r="M2485" s="123">
        <f>IF(AND(B2485&lt;&gt;"",OR($C$4="",ISNUMBER(SEARCH($C$4,C2485&amp;" "&amp;E2485&amp;" "&amp;G2485&amp;" "&amp;H2485&amp;" "&amp;I2485&amp;" "&amp;J2485&amp;" "&amp;K2485&amp;" "&amp;L2485))),OR($C$5="Semua",$C$5="",G2485=$C$5),OR($C$6="Semua",$C$6="",H2485=$C$6,H2485="Pengeluaran "&amp;$C$6,AND($C$6="Uang Kos Mama",H2485="Pengeluaran Uang Kos")),OR($C$7="Semua",$C$7="",I2485=$C$7),OR($C$8="Semua",$C$8="",C2485=$C$8,E2485=$C$8),OR($C$9="Semua",$C$9="",D2485=$C$9),OR($C$10="",B2485&gt;=$C$10),OR($C$11="",B2485&lt;=$C$11),OR($C$12&lt;&gt;"Ya",K2485&lt;&gt;""),OR($C$13="Semua",$C$13="",L2485=$C$13)),"✓","")</f>
        <v/>
      </c>
      <c r="N2485" s="93">
        <f>N(N2484)+IF(M2485="✓",1,0)</f>
        <v/>
      </c>
      <c r="O2485" s="93">
        <f>N(O2484)+IF(AND(B2485&lt;&gt;"",B2485&gt;='Uang Riba'!$H$30,B2485&lt;='Uang Riba'!$I$30,OR(H2485="Dana riba",H2485="Pinjam uang riba",I2485="Pinjam dari uang riba",I2485="Ganti uang riba",I2485="Kelebihan ganti dikembalikan",AND(C2485="Kantong Uang Riba",G2485="Pengeluaran"))),1,0)</f>
        <v/>
      </c>
      <c r="X2485" s="93">
        <f>IF(AND(B2485&lt;&gt;"",B2485&gt;='Buku Akun'!$H$4,B2485&lt;='Buku Akun'!$H$5,OR(C2485='Buku Akun'!$C$4,AND(D2485="Pindah",E2485='Buku Akun'!$C$4))),B2485+IF(AND(I2485="Selisih bunga",DAY(B2485)=1),0,0.01)+ROW()/10000000,"")</f>
        <v/>
      </c>
    </row>
    <row r="2486" outlineLevel="1" ht="15" customHeight="1" s="94">
      <c r="A2486" s="123">
        <f>IF(B2486="","",ROW()-15)</f>
        <v/>
      </c>
      <c r="B2486" s="124" t="n"/>
      <c r="C2486" s="123" t="n"/>
      <c r="D2486" s="123" t="n"/>
      <c r="E2486" s="123" t="n"/>
      <c r="F2486" s="125" t="n"/>
      <c r="G2486" s="123" t="n"/>
      <c r="H2486" s="123" t="n"/>
      <c r="I2486" s="123" t="n"/>
      <c r="J2486" s="123" t="n"/>
      <c r="K2486" s="123" t="n"/>
      <c r="L2486" s="123" t="n"/>
      <c r="M2486" s="123">
        <f>IF(AND(B2486&lt;&gt;"",OR($C$4="",ISNUMBER(SEARCH($C$4,C2486&amp;" "&amp;E2486&amp;" "&amp;G2486&amp;" "&amp;H2486&amp;" "&amp;I2486&amp;" "&amp;J2486&amp;" "&amp;K2486&amp;" "&amp;L2486))),OR($C$5="Semua",$C$5="",G2486=$C$5),OR($C$6="Semua",$C$6="",H2486=$C$6,H2486="Pengeluaran "&amp;$C$6,AND($C$6="Uang Kos Mama",H2486="Pengeluaran Uang Kos")),OR($C$7="Semua",$C$7="",I2486=$C$7),OR($C$8="Semua",$C$8="",C2486=$C$8,E2486=$C$8),OR($C$9="Semua",$C$9="",D2486=$C$9),OR($C$10="",B2486&gt;=$C$10),OR($C$11="",B2486&lt;=$C$11),OR($C$12&lt;&gt;"Ya",K2486&lt;&gt;""),OR($C$13="Semua",$C$13="",L2486=$C$13)),"✓","")</f>
        <v/>
      </c>
      <c r="N2486" s="93">
        <f>N(N2485)+IF(M2486="✓",1,0)</f>
        <v/>
      </c>
      <c r="O2486" s="93">
        <f>N(O2485)+IF(AND(B2486&lt;&gt;"",B2486&gt;='Uang Riba'!$H$30,B2486&lt;='Uang Riba'!$I$30,OR(H2486="Dana riba",H2486="Pinjam uang riba",I2486="Pinjam dari uang riba",I2486="Ganti uang riba",I2486="Kelebihan ganti dikembalikan",AND(C2486="Kantong Uang Riba",G2486="Pengeluaran"))),1,0)</f>
        <v/>
      </c>
      <c r="X2486" s="93">
        <f>IF(AND(B2486&lt;&gt;"",B2486&gt;='Buku Akun'!$H$4,B2486&lt;='Buku Akun'!$H$5,OR(C2486='Buku Akun'!$C$4,AND(D2486="Pindah",E2486='Buku Akun'!$C$4))),B2486+IF(AND(I2486="Selisih bunga",DAY(B2486)=1),0,0.01)+ROW()/10000000,"")</f>
        <v/>
      </c>
    </row>
    <row r="2487" outlineLevel="1" ht="15" customHeight="1" s="94">
      <c r="A2487" s="123">
        <f>IF(B2487="","",ROW()-15)</f>
        <v/>
      </c>
      <c r="B2487" s="124" t="n"/>
      <c r="C2487" s="123" t="n"/>
      <c r="D2487" s="123" t="n"/>
      <c r="E2487" s="123" t="n"/>
      <c r="F2487" s="125" t="n"/>
      <c r="G2487" s="123" t="n"/>
      <c r="H2487" s="123" t="n"/>
      <c r="I2487" s="123" t="n"/>
      <c r="J2487" s="123" t="n"/>
      <c r="K2487" s="123" t="n"/>
      <c r="L2487" s="123" t="n"/>
      <c r="M2487" s="123">
        <f>IF(AND(B2487&lt;&gt;"",OR($C$4="",ISNUMBER(SEARCH($C$4,C2487&amp;" "&amp;E2487&amp;" "&amp;G2487&amp;" "&amp;H2487&amp;" "&amp;I2487&amp;" "&amp;J2487&amp;" "&amp;K2487&amp;" "&amp;L2487))),OR($C$5="Semua",$C$5="",G2487=$C$5),OR($C$6="Semua",$C$6="",H2487=$C$6,H2487="Pengeluaran "&amp;$C$6,AND($C$6="Uang Kos Mama",H2487="Pengeluaran Uang Kos")),OR($C$7="Semua",$C$7="",I2487=$C$7),OR($C$8="Semua",$C$8="",C2487=$C$8,E2487=$C$8),OR($C$9="Semua",$C$9="",D2487=$C$9),OR($C$10="",B2487&gt;=$C$10),OR($C$11="",B2487&lt;=$C$11),OR($C$12&lt;&gt;"Ya",K2487&lt;&gt;""),OR($C$13="Semua",$C$13="",L2487=$C$13)),"✓","")</f>
        <v/>
      </c>
      <c r="N2487" s="93">
        <f>N(N2486)+IF(M2487="✓",1,0)</f>
        <v/>
      </c>
      <c r="O2487" s="93">
        <f>N(O2486)+IF(AND(B2487&lt;&gt;"",B2487&gt;='Uang Riba'!$H$30,B2487&lt;='Uang Riba'!$I$30,OR(H2487="Dana riba",H2487="Pinjam uang riba",I2487="Pinjam dari uang riba",I2487="Ganti uang riba",I2487="Kelebihan ganti dikembalikan",AND(C2487="Kantong Uang Riba",G2487="Pengeluaran"))),1,0)</f>
        <v/>
      </c>
      <c r="X2487" s="93">
        <f>IF(AND(B2487&lt;&gt;"",B2487&gt;='Buku Akun'!$H$4,B2487&lt;='Buku Akun'!$H$5,OR(C2487='Buku Akun'!$C$4,AND(D2487="Pindah",E2487='Buku Akun'!$C$4))),B2487+IF(AND(I2487="Selisih bunga",DAY(B2487)=1),0,0.01)+ROW()/10000000,"")</f>
        <v/>
      </c>
    </row>
    <row r="2488" outlineLevel="1" ht="15" customHeight="1" s="94">
      <c r="A2488" s="123">
        <f>IF(B2488="","",ROW()-15)</f>
        <v/>
      </c>
      <c r="B2488" s="124" t="n"/>
      <c r="C2488" s="123" t="n"/>
      <c r="D2488" s="123" t="n"/>
      <c r="E2488" s="123" t="n"/>
      <c r="F2488" s="125" t="n"/>
      <c r="G2488" s="123" t="n"/>
      <c r="H2488" s="123" t="n"/>
      <c r="I2488" s="123" t="n"/>
      <c r="J2488" s="123" t="n"/>
      <c r="K2488" s="123" t="n"/>
      <c r="L2488" s="123" t="n"/>
      <c r="M2488" s="123">
        <f>IF(AND(B2488&lt;&gt;"",OR($C$4="",ISNUMBER(SEARCH($C$4,C2488&amp;" "&amp;E2488&amp;" "&amp;G2488&amp;" "&amp;H2488&amp;" "&amp;I2488&amp;" "&amp;J2488&amp;" "&amp;K2488&amp;" "&amp;L2488))),OR($C$5="Semua",$C$5="",G2488=$C$5),OR($C$6="Semua",$C$6="",H2488=$C$6,H2488="Pengeluaran "&amp;$C$6,AND($C$6="Uang Kos Mama",H2488="Pengeluaran Uang Kos")),OR($C$7="Semua",$C$7="",I2488=$C$7),OR($C$8="Semua",$C$8="",C2488=$C$8,E2488=$C$8),OR($C$9="Semua",$C$9="",D2488=$C$9),OR($C$10="",B2488&gt;=$C$10),OR($C$11="",B2488&lt;=$C$11),OR($C$12&lt;&gt;"Ya",K2488&lt;&gt;""),OR($C$13="Semua",$C$13="",L2488=$C$13)),"✓","")</f>
        <v/>
      </c>
      <c r="N2488" s="93">
        <f>N(N2487)+IF(M2488="✓",1,0)</f>
        <v/>
      </c>
      <c r="O2488" s="93">
        <f>N(O2487)+IF(AND(B2488&lt;&gt;"",B2488&gt;='Uang Riba'!$H$30,B2488&lt;='Uang Riba'!$I$30,OR(H2488="Dana riba",H2488="Pinjam uang riba",I2488="Pinjam dari uang riba",I2488="Ganti uang riba",I2488="Kelebihan ganti dikembalikan",AND(C2488="Kantong Uang Riba",G2488="Pengeluaran"))),1,0)</f>
        <v/>
      </c>
      <c r="X2488" s="93">
        <f>IF(AND(B2488&lt;&gt;"",B2488&gt;='Buku Akun'!$H$4,B2488&lt;='Buku Akun'!$H$5,OR(C2488='Buku Akun'!$C$4,AND(D2488="Pindah",E2488='Buku Akun'!$C$4))),B2488+IF(AND(I2488="Selisih bunga",DAY(B2488)=1),0,0.01)+ROW()/10000000,"")</f>
        <v/>
      </c>
    </row>
    <row r="2489" outlineLevel="1" ht="15" customHeight="1" s="94">
      <c r="A2489" s="123">
        <f>IF(B2489="","",ROW()-15)</f>
        <v/>
      </c>
      <c r="B2489" s="124" t="n"/>
      <c r="C2489" s="123" t="n"/>
      <c r="D2489" s="123" t="n"/>
      <c r="E2489" s="123" t="n"/>
      <c r="F2489" s="125" t="n"/>
      <c r="G2489" s="123" t="n"/>
      <c r="H2489" s="123" t="n"/>
      <c r="I2489" s="123" t="n"/>
      <c r="J2489" s="123" t="n"/>
      <c r="K2489" s="123" t="n"/>
      <c r="L2489" s="123" t="n"/>
      <c r="M2489" s="123">
        <f>IF(AND(B2489&lt;&gt;"",OR($C$4="",ISNUMBER(SEARCH($C$4,C2489&amp;" "&amp;E2489&amp;" "&amp;G2489&amp;" "&amp;H2489&amp;" "&amp;I2489&amp;" "&amp;J2489&amp;" "&amp;K2489&amp;" "&amp;L2489))),OR($C$5="Semua",$C$5="",G2489=$C$5),OR($C$6="Semua",$C$6="",H2489=$C$6,H2489="Pengeluaran "&amp;$C$6,AND($C$6="Uang Kos Mama",H2489="Pengeluaran Uang Kos")),OR($C$7="Semua",$C$7="",I2489=$C$7),OR($C$8="Semua",$C$8="",C2489=$C$8,E2489=$C$8),OR($C$9="Semua",$C$9="",D2489=$C$9),OR($C$10="",B2489&gt;=$C$10),OR($C$11="",B2489&lt;=$C$11),OR($C$12&lt;&gt;"Ya",K2489&lt;&gt;""),OR($C$13="Semua",$C$13="",L2489=$C$13)),"✓","")</f>
        <v/>
      </c>
      <c r="N2489" s="93">
        <f>N(N2488)+IF(M2489="✓",1,0)</f>
        <v/>
      </c>
      <c r="O2489" s="93">
        <f>N(O2488)+IF(AND(B2489&lt;&gt;"",B2489&gt;='Uang Riba'!$H$30,B2489&lt;='Uang Riba'!$I$30,OR(H2489="Dana riba",H2489="Pinjam uang riba",I2489="Pinjam dari uang riba",I2489="Ganti uang riba",I2489="Kelebihan ganti dikembalikan",AND(C2489="Kantong Uang Riba",G2489="Pengeluaran"))),1,0)</f>
        <v/>
      </c>
      <c r="X2489" s="93">
        <f>IF(AND(B2489&lt;&gt;"",B2489&gt;='Buku Akun'!$H$4,B2489&lt;='Buku Akun'!$H$5,OR(C2489='Buku Akun'!$C$4,AND(D2489="Pindah",E2489='Buku Akun'!$C$4))),B2489+IF(AND(I2489="Selisih bunga",DAY(B2489)=1),0,0.01)+ROW()/10000000,"")</f>
        <v/>
      </c>
    </row>
    <row r="2490" outlineLevel="1" ht="15" customHeight="1" s="94">
      <c r="A2490" s="123">
        <f>IF(B2490="","",ROW()-15)</f>
        <v/>
      </c>
      <c r="B2490" s="124" t="n"/>
      <c r="C2490" s="123" t="n"/>
      <c r="D2490" s="123" t="n"/>
      <c r="E2490" s="123" t="n"/>
      <c r="F2490" s="125" t="n"/>
      <c r="G2490" s="123" t="n"/>
      <c r="H2490" s="123" t="n"/>
      <c r="I2490" s="123" t="n"/>
      <c r="J2490" s="123" t="n"/>
      <c r="K2490" s="123" t="n"/>
      <c r="L2490" s="123" t="n"/>
      <c r="M2490" s="123">
        <f>IF(AND(B2490&lt;&gt;"",OR($C$4="",ISNUMBER(SEARCH($C$4,C2490&amp;" "&amp;E2490&amp;" "&amp;G2490&amp;" "&amp;H2490&amp;" "&amp;I2490&amp;" "&amp;J2490&amp;" "&amp;K2490&amp;" "&amp;L2490))),OR($C$5="Semua",$C$5="",G2490=$C$5),OR($C$6="Semua",$C$6="",H2490=$C$6,H2490="Pengeluaran "&amp;$C$6,AND($C$6="Uang Kos Mama",H2490="Pengeluaran Uang Kos")),OR($C$7="Semua",$C$7="",I2490=$C$7),OR($C$8="Semua",$C$8="",C2490=$C$8,E2490=$C$8),OR($C$9="Semua",$C$9="",D2490=$C$9),OR($C$10="",B2490&gt;=$C$10),OR($C$11="",B2490&lt;=$C$11),OR($C$12&lt;&gt;"Ya",K2490&lt;&gt;""),OR($C$13="Semua",$C$13="",L2490=$C$13)),"✓","")</f>
        <v/>
      </c>
      <c r="N2490" s="93">
        <f>N(N2489)+IF(M2490="✓",1,0)</f>
        <v/>
      </c>
      <c r="O2490" s="93">
        <f>N(O2489)+IF(AND(B2490&lt;&gt;"",B2490&gt;='Uang Riba'!$H$30,B2490&lt;='Uang Riba'!$I$30,OR(H2490="Dana riba",H2490="Pinjam uang riba",I2490="Pinjam dari uang riba",I2490="Ganti uang riba",I2490="Kelebihan ganti dikembalikan",AND(C2490="Kantong Uang Riba",G2490="Pengeluaran"))),1,0)</f>
        <v/>
      </c>
      <c r="X2490" s="93">
        <f>IF(AND(B2490&lt;&gt;"",B2490&gt;='Buku Akun'!$H$4,B2490&lt;='Buku Akun'!$H$5,OR(C2490='Buku Akun'!$C$4,AND(D2490="Pindah",E2490='Buku Akun'!$C$4))),B2490+IF(AND(I2490="Selisih bunga",DAY(B2490)=1),0,0.01)+ROW()/10000000,"")</f>
        <v/>
      </c>
    </row>
    <row r="2491" outlineLevel="1" ht="15" customHeight="1" s="94">
      <c r="A2491" s="123">
        <f>IF(B2491="","",ROW()-15)</f>
        <v/>
      </c>
      <c r="B2491" s="124" t="n"/>
      <c r="C2491" s="123" t="n"/>
      <c r="D2491" s="123" t="n"/>
      <c r="E2491" s="123" t="n"/>
      <c r="F2491" s="125" t="n"/>
      <c r="G2491" s="123" t="n"/>
      <c r="H2491" s="123" t="n"/>
      <c r="I2491" s="123" t="n"/>
      <c r="J2491" s="123" t="n"/>
      <c r="K2491" s="123" t="n"/>
      <c r="L2491" s="123" t="n"/>
      <c r="M2491" s="123">
        <f>IF(AND(B2491&lt;&gt;"",OR($C$4="",ISNUMBER(SEARCH($C$4,C2491&amp;" "&amp;E2491&amp;" "&amp;G2491&amp;" "&amp;H2491&amp;" "&amp;I2491&amp;" "&amp;J2491&amp;" "&amp;K2491&amp;" "&amp;L2491))),OR($C$5="Semua",$C$5="",G2491=$C$5),OR($C$6="Semua",$C$6="",H2491=$C$6,H2491="Pengeluaran "&amp;$C$6,AND($C$6="Uang Kos Mama",H2491="Pengeluaran Uang Kos")),OR($C$7="Semua",$C$7="",I2491=$C$7),OR($C$8="Semua",$C$8="",C2491=$C$8,E2491=$C$8),OR($C$9="Semua",$C$9="",D2491=$C$9),OR($C$10="",B2491&gt;=$C$10),OR($C$11="",B2491&lt;=$C$11),OR($C$12&lt;&gt;"Ya",K2491&lt;&gt;""),OR($C$13="Semua",$C$13="",L2491=$C$13)),"✓","")</f>
        <v/>
      </c>
      <c r="N2491" s="93">
        <f>N(N2490)+IF(M2491="✓",1,0)</f>
        <v/>
      </c>
      <c r="O2491" s="93">
        <f>N(O2490)+IF(AND(B2491&lt;&gt;"",B2491&gt;='Uang Riba'!$H$30,B2491&lt;='Uang Riba'!$I$30,OR(H2491="Dana riba",H2491="Pinjam uang riba",I2491="Pinjam dari uang riba",I2491="Ganti uang riba",I2491="Kelebihan ganti dikembalikan",AND(C2491="Kantong Uang Riba",G2491="Pengeluaran"))),1,0)</f>
        <v/>
      </c>
      <c r="X2491" s="93">
        <f>IF(AND(B2491&lt;&gt;"",B2491&gt;='Buku Akun'!$H$4,B2491&lt;='Buku Akun'!$H$5,OR(C2491='Buku Akun'!$C$4,AND(D2491="Pindah",E2491='Buku Akun'!$C$4))),B2491+IF(AND(I2491="Selisih bunga",DAY(B2491)=1),0,0.01)+ROW()/10000000,"")</f>
        <v/>
      </c>
    </row>
    <row r="2492" outlineLevel="1" ht="15" customHeight="1" s="94">
      <c r="A2492" s="123">
        <f>IF(B2492="","",ROW()-15)</f>
        <v/>
      </c>
      <c r="B2492" s="124" t="n"/>
      <c r="C2492" s="123" t="n"/>
      <c r="D2492" s="123" t="n"/>
      <c r="E2492" s="123" t="n"/>
      <c r="F2492" s="125" t="n"/>
      <c r="G2492" s="123" t="n"/>
      <c r="H2492" s="123" t="n"/>
      <c r="I2492" s="123" t="n"/>
      <c r="J2492" s="123" t="n"/>
      <c r="K2492" s="123" t="n"/>
      <c r="L2492" s="123" t="n"/>
      <c r="M2492" s="123">
        <f>IF(AND(B2492&lt;&gt;"",OR($C$4="",ISNUMBER(SEARCH($C$4,C2492&amp;" "&amp;E2492&amp;" "&amp;G2492&amp;" "&amp;H2492&amp;" "&amp;I2492&amp;" "&amp;J2492&amp;" "&amp;K2492&amp;" "&amp;L2492))),OR($C$5="Semua",$C$5="",G2492=$C$5),OR($C$6="Semua",$C$6="",H2492=$C$6,H2492="Pengeluaran "&amp;$C$6,AND($C$6="Uang Kos Mama",H2492="Pengeluaran Uang Kos")),OR($C$7="Semua",$C$7="",I2492=$C$7),OR($C$8="Semua",$C$8="",C2492=$C$8,E2492=$C$8),OR($C$9="Semua",$C$9="",D2492=$C$9),OR($C$10="",B2492&gt;=$C$10),OR($C$11="",B2492&lt;=$C$11),OR($C$12&lt;&gt;"Ya",K2492&lt;&gt;""),OR($C$13="Semua",$C$13="",L2492=$C$13)),"✓","")</f>
        <v/>
      </c>
      <c r="N2492" s="93">
        <f>N(N2491)+IF(M2492="✓",1,0)</f>
        <v/>
      </c>
      <c r="O2492" s="93">
        <f>N(O2491)+IF(AND(B2492&lt;&gt;"",B2492&gt;='Uang Riba'!$H$30,B2492&lt;='Uang Riba'!$I$30,OR(H2492="Dana riba",H2492="Pinjam uang riba",I2492="Pinjam dari uang riba",I2492="Ganti uang riba",I2492="Kelebihan ganti dikembalikan",AND(C2492="Kantong Uang Riba",G2492="Pengeluaran"))),1,0)</f>
        <v/>
      </c>
      <c r="X2492" s="93">
        <f>IF(AND(B2492&lt;&gt;"",B2492&gt;='Buku Akun'!$H$4,B2492&lt;='Buku Akun'!$H$5,OR(C2492='Buku Akun'!$C$4,AND(D2492="Pindah",E2492='Buku Akun'!$C$4))),B2492+IF(AND(I2492="Selisih bunga",DAY(B2492)=1),0,0.01)+ROW()/10000000,"")</f>
        <v/>
      </c>
    </row>
    <row r="2493" outlineLevel="1" ht="15" customHeight="1" s="94">
      <c r="A2493" s="123">
        <f>IF(B2493="","",ROW()-15)</f>
        <v/>
      </c>
      <c r="B2493" s="124" t="n"/>
      <c r="C2493" s="123" t="n"/>
      <c r="D2493" s="123" t="n"/>
      <c r="E2493" s="123" t="n"/>
      <c r="F2493" s="125" t="n"/>
      <c r="G2493" s="123" t="n"/>
      <c r="H2493" s="123" t="n"/>
      <c r="I2493" s="123" t="n"/>
      <c r="J2493" s="123" t="n"/>
      <c r="K2493" s="123" t="n"/>
      <c r="L2493" s="123" t="n"/>
      <c r="M2493" s="123">
        <f>IF(AND(B2493&lt;&gt;"",OR($C$4="",ISNUMBER(SEARCH($C$4,C2493&amp;" "&amp;E2493&amp;" "&amp;G2493&amp;" "&amp;H2493&amp;" "&amp;I2493&amp;" "&amp;J2493&amp;" "&amp;K2493&amp;" "&amp;L2493))),OR($C$5="Semua",$C$5="",G2493=$C$5),OR($C$6="Semua",$C$6="",H2493=$C$6,H2493="Pengeluaran "&amp;$C$6,AND($C$6="Uang Kos Mama",H2493="Pengeluaran Uang Kos")),OR($C$7="Semua",$C$7="",I2493=$C$7),OR($C$8="Semua",$C$8="",C2493=$C$8,E2493=$C$8),OR($C$9="Semua",$C$9="",D2493=$C$9),OR($C$10="",B2493&gt;=$C$10),OR($C$11="",B2493&lt;=$C$11),OR($C$12&lt;&gt;"Ya",K2493&lt;&gt;""),OR($C$13="Semua",$C$13="",L2493=$C$13)),"✓","")</f>
        <v/>
      </c>
      <c r="N2493" s="93">
        <f>N(N2492)+IF(M2493="✓",1,0)</f>
        <v/>
      </c>
      <c r="O2493" s="93">
        <f>N(O2492)+IF(AND(B2493&lt;&gt;"",B2493&gt;='Uang Riba'!$H$30,B2493&lt;='Uang Riba'!$I$30,OR(H2493="Dana riba",H2493="Pinjam uang riba",I2493="Pinjam dari uang riba",I2493="Ganti uang riba",I2493="Kelebihan ganti dikembalikan",AND(C2493="Kantong Uang Riba",G2493="Pengeluaran"))),1,0)</f>
        <v/>
      </c>
      <c r="X2493" s="93">
        <f>IF(AND(B2493&lt;&gt;"",B2493&gt;='Buku Akun'!$H$4,B2493&lt;='Buku Akun'!$H$5,OR(C2493='Buku Akun'!$C$4,AND(D2493="Pindah",E2493='Buku Akun'!$C$4))),B2493+IF(AND(I2493="Selisih bunga",DAY(B2493)=1),0,0.01)+ROW()/10000000,"")</f>
        <v/>
      </c>
    </row>
    <row r="2494" outlineLevel="1" ht="15" customHeight="1" s="94">
      <c r="A2494" s="123">
        <f>IF(B2494="","",ROW()-15)</f>
        <v/>
      </c>
      <c r="B2494" s="124" t="n"/>
      <c r="C2494" s="123" t="n"/>
      <c r="D2494" s="123" t="n"/>
      <c r="E2494" s="123" t="n"/>
      <c r="F2494" s="125" t="n"/>
      <c r="G2494" s="123" t="n"/>
      <c r="H2494" s="123" t="n"/>
      <c r="I2494" s="123" t="n"/>
      <c r="J2494" s="123" t="n"/>
      <c r="K2494" s="123" t="n"/>
      <c r="L2494" s="123" t="n"/>
      <c r="M2494" s="123">
        <f>IF(AND(B2494&lt;&gt;"",OR($C$4="",ISNUMBER(SEARCH($C$4,C2494&amp;" "&amp;E2494&amp;" "&amp;G2494&amp;" "&amp;H2494&amp;" "&amp;I2494&amp;" "&amp;J2494&amp;" "&amp;K2494&amp;" "&amp;L2494))),OR($C$5="Semua",$C$5="",G2494=$C$5),OR($C$6="Semua",$C$6="",H2494=$C$6,H2494="Pengeluaran "&amp;$C$6,AND($C$6="Uang Kos Mama",H2494="Pengeluaran Uang Kos")),OR($C$7="Semua",$C$7="",I2494=$C$7),OR($C$8="Semua",$C$8="",C2494=$C$8,E2494=$C$8),OR($C$9="Semua",$C$9="",D2494=$C$9),OR($C$10="",B2494&gt;=$C$10),OR($C$11="",B2494&lt;=$C$11),OR($C$12&lt;&gt;"Ya",K2494&lt;&gt;""),OR($C$13="Semua",$C$13="",L2494=$C$13)),"✓","")</f>
        <v/>
      </c>
      <c r="N2494" s="93">
        <f>N(N2493)+IF(M2494="✓",1,0)</f>
        <v/>
      </c>
      <c r="O2494" s="93">
        <f>N(O2493)+IF(AND(B2494&lt;&gt;"",B2494&gt;='Uang Riba'!$H$30,B2494&lt;='Uang Riba'!$I$30,OR(H2494="Dana riba",H2494="Pinjam uang riba",I2494="Pinjam dari uang riba",I2494="Ganti uang riba",I2494="Kelebihan ganti dikembalikan",AND(C2494="Kantong Uang Riba",G2494="Pengeluaran"))),1,0)</f>
        <v/>
      </c>
      <c r="X2494" s="93">
        <f>IF(AND(B2494&lt;&gt;"",B2494&gt;='Buku Akun'!$H$4,B2494&lt;='Buku Akun'!$H$5,OR(C2494='Buku Akun'!$C$4,AND(D2494="Pindah",E2494='Buku Akun'!$C$4))),B2494+IF(AND(I2494="Selisih bunga",DAY(B2494)=1),0,0.01)+ROW()/10000000,"")</f>
        <v/>
      </c>
    </row>
    <row r="2495" outlineLevel="1" ht="15" customHeight="1" s="94">
      <c r="A2495" s="123">
        <f>IF(B2495="","",ROW()-15)</f>
        <v/>
      </c>
      <c r="B2495" s="124" t="n"/>
      <c r="C2495" s="123" t="n"/>
      <c r="D2495" s="123" t="n"/>
      <c r="E2495" s="123" t="n"/>
      <c r="F2495" s="125" t="n"/>
      <c r="G2495" s="123" t="n"/>
      <c r="H2495" s="123" t="n"/>
      <c r="I2495" s="123" t="n"/>
      <c r="J2495" s="123" t="n"/>
      <c r="K2495" s="123" t="n"/>
      <c r="L2495" s="123" t="n"/>
      <c r="M2495" s="123">
        <f>IF(AND(B2495&lt;&gt;"",OR($C$4="",ISNUMBER(SEARCH($C$4,C2495&amp;" "&amp;E2495&amp;" "&amp;G2495&amp;" "&amp;H2495&amp;" "&amp;I2495&amp;" "&amp;J2495&amp;" "&amp;K2495&amp;" "&amp;L2495))),OR($C$5="Semua",$C$5="",G2495=$C$5),OR($C$6="Semua",$C$6="",H2495=$C$6,H2495="Pengeluaran "&amp;$C$6,AND($C$6="Uang Kos Mama",H2495="Pengeluaran Uang Kos")),OR($C$7="Semua",$C$7="",I2495=$C$7),OR($C$8="Semua",$C$8="",C2495=$C$8,E2495=$C$8),OR($C$9="Semua",$C$9="",D2495=$C$9),OR($C$10="",B2495&gt;=$C$10),OR($C$11="",B2495&lt;=$C$11),OR($C$12&lt;&gt;"Ya",K2495&lt;&gt;""),OR($C$13="Semua",$C$13="",L2495=$C$13)),"✓","")</f>
        <v/>
      </c>
      <c r="N2495" s="93">
        <f>N(N2494)+IF(M2495="✓",1,0)</f>
        <v/>
      </c>
      <c r="O2495" s="93">
        <f>N(O2494)+IF(AND(B2495&lt;&gt;"",B2495&gt;='Uang Riba'!$H$30,B2495&lt;='Uang Riba'!$I$30,OR(H2495="Dana riba",H2495="Pinjam uang riba",I2495="Pinjam dari uang riba",I2495="Ganti uang riba",I2495="Kelebihan ganti dikembalikan",AND(C2495="Kantong Uang Riba",G2495="Pengeluaran"))),1,0)</f>
        <v/>
      </c>
      <c r="X2495" s="93">
        <f>IF(AND(B2495&lt;&gt;"",B2495&gt;='Buku Akun'!$H$4,B2495&lt;='Buku Akun'!$H$5,OR(C2495='Buku Akun'!$C$4,AND(D2495="Pindah",E2495='Buku Akun'!$C$4))),B2495+IF(AND(I2495="Selisih bunga",DAY(B2495)=1),0,0.01)+ROW()/10000000,"")</f>
        <v/>
      </c>
    </row>
    <row r="2496" outlineLevel="1" ht="15" customHeight="1" s="94">
      <c r="A2496" s="123">
        <f>IF(B2496="","",ROW()-15)</f>
        <v/>
      </c>
      <c r="B2496" s="124" t="n"/>
      <c r="C2496" s="123" t="n"/>
      <c r="D2496" s="123" t="n"/>
      <c r="E2496" s="123" t="n"/>
      <c r="F2496" s="125" t="n"/>
      <c r="G2496" s="123" t="n"/>
      <c r="H2496" s="123" t="n"/>
      <c r="I2496" s="123" t="n"/>
      <c r="J2496" s="123" t="n"/>
      <c r="K2496" s="123" t="n"/>
      <c r="L2496" s="123" t="n"/>
      <c r="M2496" s="123">
        <f>IF(AND(B2496&lt;&gt;"",OR($C$4="",ISNUMBER(SEARCH($C$4,C2496&amp;" "&amp;E2496&amp;" "&amp;G2496&amp;" "&amp;H2496&amp;" "&amp;I2496&amp;" "&amp;J2496&amp;" "&amp;K2496&amp;" "&amp;L2496))),OR($C$5="Semua",$C$5="",G2496=$C$5),OR($C$6="Semua",$C$6="",H2496=$C$6,H2496="Pengeluaran "&amp;$C$6,AND($C$6="Uang Kos Mama",H2496="Pengeluaran Uang Kos")),OR($C$7="Semua",$C$7="",I2496=$C$7),OR($C$8="Semua",$C$8="",C2496=$C$8,E2496=$C$8),OR($C$9="Semua",$C$9="",D2496=$C$9),OR($C$10="",B2496&gt;=$C$10),OR($C$11="",B2496&lt;=$C$11),OR($C$12&lt;&gt;"Ya",K2496&lt;&gt;""),OR($C$13="Semua",$C$13="",L2496=$C$13)),"✓","")</f>
        <v/>
      </c>
      <c r="N2496" s="93">
        <f>N(N2495)+IF(M2496="✓",1,0)</f>
        <v/>
      </c>
      <c r="O2496" s="93">
        <f>N(O2495)+IF(AND(B2496&lt;&gt;"",B2496&gt;='Uang Riba'!$H$30,B2496&lt;='Uang Riba'!$I$30,OR(H2496="Dana riba",H2496="Pinjam uang riba",I2496="Pinjam dari uang riba",I2496="Ganti uang riba",I2496="Kelebihan ganti dikembalikan",AND(C2496="Kantong Uang Riba",G2496="Pengeluaran"))),1,0)</f>
        <v/>
      </c>
      <c r="X2496" s="93">
        <f>IF(AND(B2496&lt;&gt;"",B2496&gt;='Buku Akun'!$H$4,B2496&lt;='Buku Akun'!$H$5,OR(C2496='Buku Akun'!$C$4,AND(D2496="Pindah",E2496='Buku Akun'!$C$4))),B2496+IF(AND(I2496="Selisih bunga",DAY(B2496)=1),0,0.01)+ROW()/10000000,"")</f>
        <v/>
      </c>
    </row>
    <row r="2497" outlineLevel="1" ht="15" customHeight="1" s="94">
      <c r="A2497" s="123">
        <f>IF(B2497="","",ROW()-15)</f>
        <v/>
      </c>
      <c r="B2497" s="124" t="n"/>
      <c r="C2497" s="123" t="n"/>
      <c r="D2497" s="123" t="n"/>
      <c r="E2497" s="123" t="n"/>
      <c r="F2497" s="125" t="n"/>
      <c r="G2497" s="123" t="n"/>
      <c r="H2497" s="123" t="n"/>
      <c r="I2497" s="123" t="n"/>
      <c r="J2497" s="123" t="n"/>
      <c r="K2497" s="123" t="n"/>
      <c r="L2497" s="123" t="n"/>
      <c r="M2497" s="123">
        <f>IF(AND(B2497&lt;&gt;"",OR($C$4="",ISNUMBER(SEARCH($C$4,C2497&amp;" "&amp;E2497&amp;" "&amp;G2497&amp;" "&amp;H2497&amp;" "&amp;I2497&amp;" "&amp;J2497&amp;" "&amp;K2497&amp;" "&amp;L2497))),OR($C$5="Semua",$C$5="",G2497=$C$5),OR($C$6="Semua",$C$6="",H2497=$C$6,H2497="Pengeluaran "&amp;$C$6,AND($C$6="Uang Kos Mama",H2497="Pengeluaran Uang Kos")),OR($C$7="Semua",$C$7="",I2497=$C$7),OR($C$8="Semua",$C$8="",C2497=$C$8,E2497=$C$8),OR($C$9="Semua",$C$9="",D2497=$C$9),OR($C$10="",B2497&gt;=$C$10),OR($C$11="",B2497&lt;=$C$11),OR($C$12&lt;&gt;"Ya",K2497&lt;&gt;""),OR($C$13="Semua",$C$13="",L2497=$C$13)),"✓","")</f>
        <v/>
      </c>
      <c r="N2497" s="93">
        <f>N(N2496)+IF(M2497="✓",1,0)</f>
        <v/>
      </c>
      <c r="O2497" s="93">
        <f>N(O2496)+IF(AND(B2497&lt;&gt;"",B2497&gt;='Uang Riba'!$H$30,B2497&lt;='Uang Riba'!$I$30,OR(H2497="Dana riba",H2497="Pinjam uang riba",I2497="Pinjam dari uang riba",I2497="Ganti uang riba",I2497="Kelebihan ganti dikembalikan",AND(C2497="Kantong Uang Riba",G2497="Pengeluaran"))),1,0)</f>
        <v/>
      </c>
      <c r="X2497" s="93">
        <f>IF(AND(B2497&lt;&gt;"",B2497&gt;='Buku Akun'!$H$4,B2497&lt;='Buku Akun'!$H$5,OR(C2497='Buku Akun'!$C$4,AND(D2497="Pindah",E2497='Buku Akun'!$C$4))),B2497+IF(AND(I2497="Selisih bunga",DAY(B2497)=1),0,0.01)+ROW()/10000000,"")</f>
        <v/>
      </c>
    </row>
    <row r="2498" outlineLevel="1" ht="15" customHeight="1" s="94">
      <c r="A2498" s="123">
        <f>IF(B2498="","",ROW()-15)</f>
        <v/>
      </c>
      <c r="B2498" s="124" t="n"/>
      <c r="C2498" s="123" t="n"/>
      <c r="D2498" s="123" t="n"/>
      <c r="E2498" s="123" t="n"/>
      <c r="F2498" s="125" t="n"/>
      <c r="G2498" s="123" t="n"/>
      <c r="H2498" s="123" t="n"/>
      <c r="I2498" s="123" t="n"/>
      <c r="J2498" s="123" t="n"/>
      <c r="K2498" s="123" t="n"/>
      <c r="L2498" s="123" t="n"/>
      <c r="M2498" s="123">
        <f>IF(AND(B2498&lt;&gt;"",OR($C$4="",ISNUMBER(SEARCH($C$4,C2498&amp;" "&amp;E2498&amp;" "&amp;G2498&amp;" "&amp;H2498&amp;" "&amp;I2498&amp;" "&amp;J2498&amp;" "&amp;K2498&amp;" "&amp;L2498))),OR($C$5="Semua",$C$5="",G2498=$C$5),OR($C$6="Semua",$C$6="",H2498=$C$6,H2498="Pengeluaran "&amp;$C$6,AND($C$6="Uang Kos Mama",H2498="Pengeluaran Uang Kos")),OR($C$7="Semua",$C$7="",I2498=$C$7),OR($C$8="Semua",$C$8="",C2498=$C$8,E2498=$C$8),OR($C$9="Semua",$C$9="",D2498=$C$9),OR($C$10="",B2498&gt;=$C$10),OR($C$11="",B2498&lt;=$C$11),OR($C$12&lt;&gt;"Ya",K2498&lt;&gt;""),OR($C$13="Semua",$C$13="",L2498=$C$13)),"✓","")</f>
        <v/>
      </c>
      <c r="N2498" s="93">
        <f>N(N2497)+IF(M2498="✓",1,0)</f>
        <v/>
      </c>
      <c r="O2498" s="93">
        <f>N(O2497)+IF(AND(B2498&lt;&gt;"",B2498&gt;='Uang Riba'!$H$30,B2498&lt;='Uang Riba'!$I$30,OR(H2498="Dana riba",H2498="Pinjam uang riba",I2498="Pinjam dari uang riba",I2498="Ganti uang riba",I2498="Kelebihan ganti dikembalikan",AND(C2498="Kantong Uang Riba",G2498="Pengeluaran"))),1,0)</f>
        <v/>
      </c>
      <c r="X2498" s="93">
        <f>IF(AND(B2498&lt;&gt;"",B2498&gt;='Buku Akun'!$H$4,B2498&lt;='Buku Akun'!$H$5,OR(C2498='Buku Akun'!$C$4,AND(D2498="Pindah",E2498='Buku Akun'!$C$4))),B2498+IF(AND(I2498="Selisih bunga",DAY(B2498)=1),0,0.01)+ROW()/10000000,"")</f>
        <v/>
      </c>
    </row>
    <row r="2499" outlineLevel="1" ht="15" customHeight="1" s="94">
      <c r="A2499" s="123">
        <f>IF(B2499="","",ROW()-15)</f>
        <v/>
      </c>
      <c r="B2499" s="124" t="n"/>
      <c r="C2499" s="123" t="n"/>
      <c r="D2499" s="123" t="n"/>
      <c r="E2499" s="123" t="n"/>
      <c r="F2499" s="125" t="n"/>
      <c r="G2499" s="123" t="n"/>
      <c r="H2499" s="123" t="n"/>
      <c r="I2499" s="123" t="n"/>
      <c r="J2499" s="123" t="n"/>
      <c r="K2499" s="123" t="n"/>
      <c r="L2499" s="123" t="n"/>
      <c r="M2499" s="123">
        <f>IF(AND(B2499&lt;&gt;"",OR($C$4="",ISNUMBER(SEARCH($C$4,C2499&amp;" "&amp;E2499&amp;" "&amp;G2499&amp;" "&amp;H2499&amp;" "&amp;I2499&amp;" "&amp;J2499&amp;" "&amp;K2499&amp;" "&amp;L2499))),OR($C$5="Semua",$C$5="",G2499=$C$5),OR($C$6="Semua",$C$6="",H2499=$C$6,H2499="Pengeluaran "&amp;$C$6,AND($C$6="Uang Kos Mama",H2499="Pengeluaran Uang Kos")),OR($C$7="Semua",$C$7="",I2499=$C$7),OR($C$8="Semua",$C$8="",C2499=$C$8,E2499=$C$8),OR($C$9="Semua",$C$9="",D2499=$C$9),OR($C$10="",B2499&gt;=$C$10),OR($C$11="",B2499&lt;=$C$11),OR($C$12&lt;&gt;"Ya",K2499&lt;&gt;""),OR($C$13="Semua",$C$13="",L2499=$C$13)),"✓","")</f>
        <v/>
      </c>
      <c r="N2499" s="93">
        <f>N(N2498)+IF(M2499="✓",1,0)</f>
        <v/>
      </c>
      <c r="O2499" s="93">
        <f>N(O2498)+IF(AND(B2499&lt;&gt;"",B2499&gt;='Uang Riba'!$H$30,B2499&lt;='Uang Riba'!$I$30,OR(H2499="Dana riba",H2499="Pinjam uang riba",I2499="Pinjam dari uang riba",I2499="Ganti uang riba",I2499="Kelebihan ganti dikembalikan",AND(C2499="Kantong Uang Riba",G2499="Pengeluaran"))),1,0)</f>
        <v/>
      </c>
      <c r="X2499" s="93">
        <f>IF(AND(B2499&lt;&gt;"",B2499&gt;='Buku Akun'!$H$4,B2499&lt;='Buku Akun'!$H$5,OR(C2499='Buku Akun'!$C$4,AND(D2499="Pindah",E2499='Buku Akun'!$C$4))),B2499+IF(AND(I2499="Selisih bunga",DAY(B2499)=1),0,0.01)+ROW()/10000000,"")</f>
        <v/>
      </c>
    </row>
    <row r="2500" outlineLevel="1" ht="15" customHeight="1" s="94">
      <c r="A2500" s="123">
        <f>IF(B2500="","",ROW()-15)</f>
        <v/>
      </c>
      <c r="B2500" s="124" t="n"/>
      <c r="C2500" s="123" t="n"/>
      <c r="D2500" s="123" t="n"/>
      <c r="E2500" s="123" t="n"/>
      <c r="F2500" s="125" t="n"/>
      <c r="G2500" s="123" t="n"/>
      <c r="H2500" s="123" t="n"/>
      <c r="I2500" s="123" t="n"/>
      <c r="J2500" s="123" t="n"/>
      <c r="K2500" s="123" t="n"/>
      <c r="L2500" s="123" t="n"/>
      <c r="M2500" s="123">
        <f>IF(AND(B2500&lt;&gt;"",OR($C$4="",ISNUMBER(SEARCH($C$4,C2500&amp;" "&amp;E2500&amp;" "&amp;G2500&amp;" "&amp;H2500&amp;" "&amp;I2500&amp;" "&amp;J2500&amp;" "&amp;K2500&amp;" "&amp;L2500))),OR($C$5="Semua",$C$5="",G2500=$C$5),OR($C$6="Semua",$C$6="",H2500=$C$6,H2500="Pengeluaran "&amp;$C$6,AND($C$6="Uang Kos Mama",H2500="Pengeluaran Uang Kos")),OR($C$7="Semua",$C$7="",I2500=$C$7),OR($C$8="Semua",$C$8="",C2500=$C$8,E2500=$C$8),OR($C$9="Semua",$C$9="",D2500=$C$9),OR($C$10="",B2500&gt;=$C$10),OR($C$11="",B2500&lt;=$C$11),OR($C$12&lt;&gt;"Ya",K2500&lt;&gt;""),OR($C$13="Semua",$C$13="",L2500=$C$13)),"✓","")</f>
        <v/>
      </c>
      <c r="N2500" s="93">
        <f>N(N2499)+IF(M2500="✓",1,0)</f>
        <v/>
      </c>
      <c r="O2500" s="93">
        <f>N(O2499)+IF(AND(B2500&lt;&gt;"",B2500&gt;='Uang Riba'!$H$30,B2500&lt;='Uang Riba'!$I$30,OR(H2500="Dana riba",H2500="Pinjam uang riba",I2500="Pinjam dari uang riba",I2500="Ganti uang riba",I2500="Kelebihan ganti dikembalikan",AND(C2500="Kantong Uang Riba",G2500="Pengeluaran"))),1,0)</f>
        <v/>
      </c>
      <c r="X2500" s="93">
        <f>IF(AND(B2500&lt;&gt;"",B2500&gt;='Buku Akun'!$H$4,B2500&lt;='Buku Akun'!$H$5,OR(C2500='Buku Akun'!$C$4,AND(D2500="Pindah",E2500='Buku Akun'!$C$4))),B2500+IF(AND(I2500="Selisih bunga",DAY(B2500)=1),0,0.01)+ROW()/10000000,"")</f>
        <v/>
      </c>
    </row>
    <row r="2501" outlineLevel="1" ht="15" customHeight="1" s="94">
      <c r="A2501" s="123">
        <f>IF(B2501="","",ROW()-15)</f>
        <v/>
      </c>
      <c r="B2501" s="124" t="n"/>
      <c r="C2501" s="123" t="n"/>
      <c r="D2501" s="123" t="n"/>
      <c r="E2501" s="123" t="n"/>
      <c r="F2501" s="125" t="n"/>
      <c r="G2501" s="123" t="n"/>
      <c r="H2501" s="123" t="n"/>
      <c r="I2501" s="123" t="n"/>
      <c r="J2501" s="123" t="n"/>
      <c r="K2501" s="123" t="n"/>
      <c r="L2501" s="123" t="n"/>
      <c r="M2501" s="123">
        <f>IF(AND(B2501&lt;&gt;"",OR($C$4="",ISNUMBER(SEARCH($C$4,C2501&amp;" "&amp;E2501&amp;" "&amp;G2501&amp;" "&amp;H2501&amp;" "&amp;I2501&amp;" "&amp;J2501&amp;" "&amp;K2501&amp;" "&amp;L2501))),OR($C$5="Semua",$C$5="",G2501=$C$5),OR($C$6="Semua",$C$6="",H2501=$C$6,H2501="Pengeluaran "&amp;$C$6,AND($C$6="Uang Kos Mama",H2501="Pengeluaran Uang Kos")),OR($C$7="Semua",$C$7="",I2501=$C$7),OR($C$8="Semua",$C$8="",C2501=$C$8,E2501=$C$8),OR($C$9="Semua",$C$9="",D2501=$C$9),OR($C$10="",B2501&gt;=$C$10),OR($C$11="",B2501&lt;=$C$11),OR($C$12&lt;&gt;"Ya",K2501&lt;&gt;""),OR($C$13="Semua",$C$13="",L2501=$C$13)),"✓","")</f>
        <v/>
      </c>
      <c r="N2501" s="93">
        <f>N(N2500)+IF(M2501="✓",1,0)</f>
        <v/>
      </c>
      <c r="O2501" s="93">
        <f>N(O2500)+IF(AND(B2501&lt;&gt;"",B2501&gt;='Uang Riba'!$H$30,B2501&lt;='Uang Riba'!$I$30,OR(H2501="Dana riba",H2501="Pinjam uang riba",I2501="Pinjam dari uang riba",I2501="Ganti uang riba",I2501="Kelebihan ganti dikembalikan",AND(C2501="Kantong Uang Riba",G2501="Pengeluaran"))),1,0)</f>
        <v/>
      </c>
      <c r="X2501" s="93">
        <f>IF(AND(B2501&lt;&gt;"",B2501&gt;='Buku Akun'!$H$4,B2501&lt;='Buku Akun'!$H$5,OR(C2501='Buku Akun'!$C$4,AND(D2501="Pindah",E2501='Buku Akun'!$C$4))),B2501+IF(AND(I2501="Selisih bunga",DAY(B2501)=1),0,0.01)+ROW()/10000000,"")</f>
        <v/>
      </c>
    </row>
    <row r="2502" outlineLevel="1" ht="15" customHeight="1" s="94">
      <c r="A2502" s="123">
        <f>IF(B2502="","",ROW()-15)</f>
        <v/>
      </c>
      <c r="B2502" s="124" t="n"/>
      <c r="C2502" s="123" t="n"/>
      <c r="D2502" s="123" t="n"/>
      <c r="E2502" s="123" t="n"/>
      <c r="F2502" s="125" t="n"/>
      <c r="G2502" s="123" t="n"/>
      <c r="H2502" s="123" t="n"/>
      <c r="I2502" s="123" t="n"/>
      <c r="J2502" s="123" t="n"/>
      <c r="K2502" s="123" t="n"/>
      <c r="L2502" s="123" t="n"/>
      <c r="M2502" s="123">
        <f>IF(AND(B2502&lt;&gt;"",OR($C$4="",ISNUMBER(SEARCH($C$4,C2502&amp;" "&amp;E2502&amp;" "&amp;G2502&amp;" "&amp;H2502&amp;" "&amp;I2502&amp;" "&amp;J2502&amp;" "&amp;K2502&amp;" "&amp;L2502))),OR($C$5="Semua",$C$5="",G2502=$C$5),OR($C$6="Semua",$C$6="",H2502=$C$6,H2502="Pengeluaran "&amp;$C$6,AND($C$6="Uang Kos Mama",H2502="Pengeluaran Uang Kos")),OR($C$7="Semua",$C$7="",I2502=$C$7),OR($C$8="Semua",$C$8="",C2502=$C$8,E2502=$C$8),OR($C$9="Semua",$C$9="",D2502=$C$9),OR($C$10="",B2502&gt;=$C$10),OR($C$11="",B2502&lt;=$C$11),OR($C$12&lt;&gt;"Ya",K2502&lt;&gt;""),OR($C$13="Semua",$C$13="",L2502=$C$13)),"✓","")</f>
        <v/>
      </c>
      <c r="N2502" s="93">
        <f>N(N2501)+IF(M2502="✓",1,0)</f>
        <v/>
      </c>
      <c r="O2502" s="93">
        <f>N(O2501)+IF(AND(B2502&lt;&gt;"",B2502&gt;='Uang Riba'!$H$30,B2502&lt;='Uang Riba'!$I$30,OR(H2502="Dana riba",H2502="Pinjam uang riba",I2502="Pinjam dari uang riba",I2502="Ganti uang riba",I2502="Kelebihan ganti dikembalikan",AND(C2502="Kantong Uang Riba",G2502="Pengeluaran"))),1,0)</f>
        <v/>
      </c>
      <c r="X2502" s="93">
        <f>IF(AND(B2502&lt;&gt;"",B2502&gt;='Buku Akun'!$H$4,B2502&lt;='Buku Akun'!$H$5,OR(C2502='Buku Akun'!$C$4,AND(D2502="Pindah",E2502='Buku Akun'!$C$4))),B2502+IF(AND(I2502="Selisih bunga",DAY(B2502)=1),0,0.01)+ROW()/10000000,"")</f>
        <v/>
      </c>
    </row>
    <row r="2503" outlineLevel="1" ht="15" customHeight="1" s="94">
      <c r="A2503" s="123">
        <f>IF(B2503="","",ROW()-15)</f>
        <v/>
      </c>
      <c r="B2503" s="124" t="n"/>
      <c r="C2503" s="123" t="n"/>
      <c r="D2503" s="123" t="n"/>
      <c r="E2503" s="123" t="n"/>
      <c r="F2503" s="125" t="n"/>
      <c r="G2503" s="123" t="n"/>
      <c r="H2503" s="123" t="n"/>
      <c r="I2503" s="123" t="n"/>
      <c r="J2503" s="123" t="n"/>
      <c r="K2503" s="123" t="n"/>
      <c r="L2503" s="123" t="n"/>
      <c r="M2503" s="123">
        <f>IF(AND(B2503&lt;&gt;"",OR($C$4="",ISNUMBER(SEARCH($C$4,C2503&amp;" "&amp;E2503&amp;" "&amp;G2503&amp;" "&amp;H2503&amp;" "&amp;I2503&amp;" "&amp;J2503&amp;" "&amp;K2503&amp;" "&amp;L2503))),OR($C$5="Semua",$C$5="",G2503=$C$5),OR($C$6="Semua",$C$6="",H2503=$C$6,H2503="Pengeluaran "&amp;$C$6,AND($C$6="Uang Kos Mama",H2503="Pengeluaran Uang Kos")),OR($C$7="Semua",$C$7="",I2503=$C$7),OR($C$8="Semua",$C$8="",C2503=$C$8,E2503=$C$8),OR($C$9="Semua",$C$9="",D2503=$C$9),OR($C$10="",B2503&gt;=$C$10),OR($C$11="",B2503&lt;=$C$11),OR($C$12&lt;&gt;"Ya",K2503&lt;&gt;""),OR($C$13="Semua",$C$13="",L2503=$C$13)),"✓","")</f>
        <v/>
      </c>
      <c r="N2503" s="93">
        <f>N(N2502)+IF(M2503="✓",1,0)</f>
        <v/>
      </c>
      <c r="O2503" s="93">
        <f>N(O2502)+IF(AND(B2503&lt;&gt;"",B2503&gt;='Uang Riba'!$H$30,B2503&lt;='Uang Riba'!$I$30,OR(H2503="Dana riba",H2503="Pinjam uang riba",I2503="Pinjam dari uang riba",I2503="Ganti uang riba",I2503="Kelebihan ganti dikembalikan",AND(C2503="Kantong Uang Riba",G2503="Pengeluaran"))),1,0)</f>
        <v/>
      </c>
      <c r="X2503" s="93">
        <f>IF(AND(B2503&lt;&gt;"",B2503&gt;='Buku Akun'!$H$4,B2503&lt;='Buku Akun'!$H$5,OR(C2503='Buku Akun'!$C$4,AND(D2503="Pindah",E2503='Buku Akun'!$C$4))),B2503+IF(AND(I2503="Selisih bunga",DAY(B2503)=1),0,0.01)+ROW()/10000000,"")</f>
        <v/>
      </c>
    </row>
    <row r="2504" outlineLevel="1" ht="15" customHeight="1" s="94">
      <c r="A2504" s="123">
        <f>IF(B2504="","",ROW()-15)</f>
        <v/>
      </c>
      <c r="B2504" s="124" t="n"/>
      <c r="C2504" s="123" t="n"/>
      <c r="D2504" s="123" t="n"/>
      <c r="E2504" s="123" t="n"/>
      <c r="F2504" s="125" t="n"/>
      <c r="G2504" s="123" t="n"/>
      <c r="H2504" s="123" t="n"/>
      <c r="I2504" s="123" t="n"/>
      <c r="J2504" s="123" t="n"/>
      <c r="K2504" s="123" t="n"/>
      <c r="L2504" s="123" t="n"/>
      <c r="M2504" s="123">
        <f>IF(AND(B2504&lt;&gt;"",OR($C$4="",ISNUMBER(SEARCH($C$4,C2504&amp;" "&amp;E2504&amp;" "&amp;G2504&amp;" "&amp;H2504&amp;" "&amp;I2504&amp;" "&amp;J2504&amp;" "&amp;K2504&amp;" "&amp;L2504))),OR($C$5="Semua",$C$5="",G2504=$C$5),OR($C$6="Semua",$C$6="",H2504=$C$6,H2504="Pengeluaran "&amp;$C$6,AND($C$6="Uang Kos Mama",H2504="Pengeluaran Uang Kos")),OR($C$7="Semua",$C$7="",I2504=$C$7),OR($C$8="Semua",$C$8="",C2504=$C$8,E2504=$C$8),OR($C$9="Semua",$C$9="",D2504=$C$9),OR($C$10="",B2504&gt;=$C$10),OR($C$11="",B2504&lt;=$C$11),OR($C$12&lt;&gt;"Ya",K2504&lt;&gt;""),OR($C$13="Semua",$C$13="",L2504=$C$13)),"✓","")</f>
        <v/>
      </c>
      <c r="N2504" s="93">
        <f>N(N2503)+IF(M2504="✓",1,0)</f>
        <v/>
      </c>
      <c r="O2504" s="93">
        <f>N(O2503)+IF(AND(B2504&lt;&gt;"",B2504&gt;='Uang Riba'!$H$30,B2504&lt;='Uang Riba'!$I$30,OR(H2504="Dana riba",H2504="Pinjam uang riba",I2504="Pinjam dari uang riba",I2504="Ganti uang riba",I2504="Kelebihan ganti dikembalikan",AND(C2504="Kantong Uang Riba",G2504="Pengeluaran"))),1,0)</f>
        <v/>
      </c>
      <c r="X2504" s="93">
        <f>IF(AND(B2504&lt;&gt;"",B2504&gt;='Buku Akun'!$H$4,B2504&lt;='Buku Akun'!$H$5,OR(C2504='Buku Akun'!$C$4,AND(D2504="Pindah",E2504='Buku Akun'!$C$4))),B2504+IF(AND(I2504="Selisih bunga",DAY(B2504)=1),0,0.01)+ROW()/10000000,"")</f>
        <v/>
      </c>
    </row>
    <row r="2505" outlineLevel="1" ht="15" customHeight="1" s="94">
      <c r="A2505" s="123">
        <f>IF(B2505="","",ROW()-15)</f>
        <v/>
      </c>
      <c r="B2505" s="124" t="n"/>
      <c r="C2505" s="123" t="n"/>
      <c r="D2505" s="123" t="n"/>
      <c r="E2505" s="123" t="n"/>
      <c r="F2505" s="125" t="n"/>
      <c r="G2505" s="123" t="n"/>
      <c r="H2505" s="123" t="n"/>
      <c r="I2505" s="123" t="n"/>
      <c r="J2505" s="123" t="n"/>
      <c r="K2505" s="123" t="n"/>
      <c r="L2505" s="123" t="n"/>
      <c r="M2505" s="123">
        <f>IF(AND(B2505&lt;&gt;"",OR($C$4="",ISNUMBER(SEARCH($C$4,C2505&amp;" "&amp;E2505&amp;" "&amp;G2505&amp;" "&amp;H2505&amp;" "&amp;I2505&amp;" "&amp;J2505&amp;" "&amp;K2505&amp;" "&amp;L2505))),OR($C$5="Semua",$C$5="",G2505=$C$5),OR($C$6="Semua",$C$6="",H2505=$C$6,H2505="Pengeluaran "&amp;$C$6,AND($C$6="Uang Kos Mama",H2505="Pengeluaran Uang Kos")),OR($C$7="Semua",$C$7="",I2505=$C$7),OR($C$8="Semua",$C$8="",C2505=$C$8,E2505=$C$8),OR($C$9="Semua",$C$9="",D2505=$C$9),OR($C$10="",B2505&gt;=$C$10),OR($C$11="",B2505&lt;=$C$11),OR($C$12&lt;&gt;"Ya",K2505&lt;&gt;""),OR($C$13="Semua",$C$13="",L2505=$C$13)),"✓","")</f>
        <v/>
      </c>
      <c r="N2505" s="93">
        <f>N(N2504)+IF(M2505="✓",1,0)</f>
        <v/>
      </c>
      <c r="O2505" s="93">
        <f>N(O2504)+IF(AND(B2505&lt;&gt;"",B2505&gt;='Uang Riba'!$H$30,B2505&lt;='Uang Riba'!$I$30,OR(H2505="Dana riba",H2505="Pinjam uang riba",I2505="Pinjam dari uang riba",I2505="Ganti uang riba",I2505="Kelebihan ganti dikembalikan",AND(C2505="Kantong Uang Riba",G2505="Pengeluaran"))),1,0)</f>
        <v/>
      </c>
      <c r="X2505" s="93">
        <f>IF(AND(B2505&lt;&gt;"",B2505&gt;='Buku Akun'!$H$4,B2505&lt;='Buku Akun'!$H$5,OR(C2505='Buku Akun'!$C$4,AND(D2505="Pindah",E2505='Buku Akun'!$C$4))),B2505+IF(AND(I2505="Selisih bunga",DAY(B2505)=1),0,0.01)+ROW()/10000000,"")</f>
        <v/>
      </c>
    </row>
    <row r="2506" outlineLevel="1" ht="15" customHeight="1" s="94">
      <c r="A2506" s="123">
        <f>IF(B2506="","",ROW()-15)</f>
        <v/>
      </c>
      <c r="B2506" s="124" t="n"/>
      <c r="C2506" s="123" t="n"/>
      <c r="D2506" s="123" t="n"/>
      <c r="E2506" s="123" t="n"/>
      <c r="F2506" s="125" t="n"/>
      <c r="G2506" s="123" t="n"/>
      <c r="H2506" s="123" t="n"/>
      <c r="I2506" s="123" t="n"/>
      <c r="J2506" s="123" t="n"/>
      <c r="K2506" s="123" t="n"/>
      <c r="L2506" s="123" t="n"/>
      <c r="M2506" s="123">
        <f>IF(AND(B2506&lt;&gt;"",OR($C$4="",ISNUMBER(SEARCH($C$4,C2506&amp;" "&amp;E2506&amp;" "&amp;G2506&amp;" "&amp;H2506&amp;" "&amp;I2506&amp;" "&amp;J2506&amp;" "&amp;K2506&amp;" "&amp;L2506))),OR($C$5="Semua",$C$5="",G2506=$C$5),OR($C$6="Semua",$C$6="",H2506=$C$6,H2506="Pengeluaran "&amp;$C$6,AND($C$6="Uang Kos Mama",H2506="Pengeluaran Uang Kos")),OR($C$7="Semua",$C$7="",I2506=$C$7),OR($C$8="Semua",$C$8="",C2506=$C$8,E2506=$C$8),OR($C$9="Semua",$C$9="",D2506=$C$9),OR($C$10="",B2506&gt;=$C$10),OR($C$11="",B2506&lt;=$C$11),OR($C$12&lt;&gt;"Ya",K2506&lt;&gt;""),OR($C$13="Semua",$C$13="",L2506=$C$13)),"✓","")</f>
        <v/>
      </c>
      <c r="N2506" s="93">
        <f>N(N2505)+IF(M2506="✓",1,0)</f>
        <v/>
      </c>
      <c r="O2506" s="93">
        <f>N(O2505)+IF(AND(B2506&lt;&gt;"",B2506&gt;='Uang Riba'!$H$30,B2506&lt;='Uang Riba'!$I$30,OR(H2506="Dana riba",H2506="Pinjam uang riba",I2506="Pinjam dari uang riba",I2506="Ganti uang riba",I2506="Kelebihan ganti dikembalikan",AND(C2506="Kantong Uang Riba",G2506="Pengeluaran"))),1,0)</f>
        <v/>
      </c>
      <c r="X2506" s="93">
        <f>IF(AND(B2506&lt;&gt;"",B2506&gt;='Buku Akun'!$H$4,B2506&lt;='Buku Akun'!$H$5,OR(C2506='Buku Akun'!$C$4,AND(D2506="Pindah",E2506='Buku Akun'!$C$4))),B2506+IF(AND(I2506="Selisih bunga",DAY(B2506)=1),0,0.01)+ROW()/10000000,"")</f>
        <v/>
      </c>
    </row>
    <row r="2507" outlineLevel="1" ht="15" customHeight="1" s="94">
      <c r="A2507" s="123">
        <f>IF(B2507="","",ROW()-15)</f>
        <v/>
      </c>
      <c r="B2507" s="124" t="n"/>
      <c r="C2507" s="123" t="n"/>
      <c r="D2507" s="123" t="n"/>
      <c r="E2507" s="123" t="n"/>
      <c r="F2507" s="125" t="n"/>
      <c r="G2507" s="123" t="n"/>
      <c r="H2507" s="123" t="n"/>
      <c r="I2507" s="123" t="n"/>
      <c r="J2507" s="123" t="n"/>
      <c r="K2507" s="123" t="n"/>
      <c r="L2507" s="123" t="n"/>
      <c r="M2507" s="123">
        <f>IF(AND(B2507&lt;&gt;"",OR($C$4="",ISNUMBER(SEARCH($C$4,C2507&amp;" "&amp;E2507&amp;" "&amp;G2507&amp;" "&amp;H2507&amp;" "&amp;I2507&amp;" "&amp;J2507&amp;" "&amp;K2507&amp;" "&amp;L2507))),OR($C$5="Semua",$C$5="",G2507=$C$5),OR($C$6="Semua",$C$6="",H2507=$C$6,H2507="Pengeluaran "&amp;$C$6,AND($C$6="Uang Kos Mama",H2507="Pengeluaran Uang Kos")),OR($C$7="Semua",$C$7="",I2507=$C$7),OR($C$8="Semua",$C$8="",C2507=$C$8,E2507=$C$8),OR($C$9="Semua",$C$9="",D2507=$C$9),OR($C$10="",B2507&gt;=$C$10),OR($C$11="",B2507&lt;=$C$11),OR($C$12&lt;&gt;"Ya",K2507&lt;&gt;""),OR($C$13="Semua",$C$13="",L2507=$C$13)),"✓","")</f>
        <v/>
      </c>
      <c r="N2507" s="93">
        <f>N(N2506)+IF(M2507="✓",1,0)</f>
        <v/>
      </c>
      <c r="O2507" s="93">
        <f>N(O2506)+IF(AND(B2507&lt;&gt;"",B2507&gt;='Uang Riba'!$H$30,B2507&lt;='Uang Riba'!$I$30,OR(H2507="Dana riba",H2507="Pinjam uang riba",I2507="Pinjam dari uang riba",I2507="Ganti uang riba",I2507="Kelebihan ganti dikembalikan",AND(C2507="Kantong Uang Riba",G2507="Pengeluaran"))),1,0)</f>
        <v/>
      </c>
      <c r="X2507" s="93">
        <f>IF(AND(B2507&lt;&gt;"",B2507&gt;='Buku Akun'!$H$4,B2507&lt;='Buku Akun'!$H$5,OR(C2507='Buku Akun'!$C$4,AND(D2507="Pindah",E2507='Buku Akun'!$C$4))),B2507+IF(AND(I2507="Selisih bunga",DAY(B2507)=1),0,0.01)+ROW()/10000000,"")</f>
        <v/>
      </c>
    </row>
    <row r="2508" outlineLevel="1" ht="15" customHeight="1" s="94">
      <c r="A2508" s="123">
        <f>IF(B2508="","",ROW()-15)</f>
        <v/>
      </c>
      <c r="B2508" s="124" t="n"/>
      <c r="C2508" s="123" t="n"/>
      <c r="D2508" s="123" t="n"/>
      <c r="E2508" s="123" t="n"/>
      <c r="F2508" s="125" t="n"/>
      <c r="G2508" s="123" t="n"/>
      <c r="H2508" s="123" t="n"/>
      <c r="I2508" s="123" t="n"/>
      <c r="J2508" s="123" t="n"/>
      <c r="K2508" s="123" t="n"/>
      <c r="L2508" s="123" t="n"/>
      <c r="M2508" s="123">
        <f>IF(AND(B2508&lt;&gt;"",OR($C$4="",ISNUMBER(SEARCH($C$4,C2508&amp;" "&amp;E2508&amp;" "&amp;G2508&amp;" "&amp;H2508&amp;" "&amp;I2508&amp;" "&amp;J2508&amp;" "&amp;K2508&amp;" "&amp;L2508))),OR($C$5="Semua",$C$5="",G2508=$C$5),OR($C$6="Semua",$C$6="",H2508=$C$6,H2508="Pengeluaran "&amp;$C$6,AND($C$6="Uang Kos Mama",H2508="Pengeluaran Uang Kos")),OR($C$7="Semua",$C$7="",I2508=$C$7),OR($C$8="Semua",$C$8="",C2508=$C$8,E2508=$C$8),OR($C$9="Semua",$C$9="",D2508=$C$9),OR($C$10="",B2508&gt;=$C$10),OR($C$11="",B2508&lt;=$C$11),OR($C$12&lt;&gt;"Ya",K2508&lt;&gt;""),OR($C$13="Semua",$C$13="",L2508=$C$13)),"✓","")</f>
        <v/>
      </c>
      <c r="N2508" s="93">
        <f>N(N2507)+IF(M2508="✓",1,0)</f>
        <v/>
      </c>
      <c r="O2508" s="93">
        <f>N(O2507)+IF(AND(B2508&lt;&gt;"",B2508&gt;='Uang Riba'!$H$30,B2508&lt;='Uang Riba'!$I$30,OR(H2508="Dana riba",H2508="Pinjam uang riba",I2508="Pinjam dari uang riba",I2508="Ganti uang riba",I2508="Kelebihan ganti dikembalikan",AND(C2508="Kantong Uang Riba",G2508="Pengeluaran"))),1,0)</f>
        <v/>
      </c>
      <c r="X2508" s="93">
        <f>IF(AND(B2508&lt;&gt;"",B2508&gt;='Buku Akun'!$H$4,B2508&lt;='Buku Akun'!$H$5,OR(C2508='Buku Akun'!$C$4,AND(D2508="Pindah",E2508='Buku Akun'!$C$4))),B2508+IF(AND(I2508="Selisih bunga",DAY(B2508)=1),0,0.01)+ROW()/10000000,"")</f>
        <v/>
      </c>
    </row>
    <row r="2509" outlineLevel="1" ht="15" customHeight="1" s="94">
      <c r="A2509" s="123">
        <f>IF(B2509="","",ROW()-15)</f>
        <v/>
      </c>
      <c r="B2509" s="124" t="n"/>
      <c r="C2509" s="123" t="n"/>
      <c r="D2509" s="123" t="n"/>
      <c r="E2509" s="123" t="n"/>
      <c r="F2509" s="125" t="n"/>
      <c r="G2509" s="123" t="n"/>
      <c r="H2509" s="123" t="n"/>
      <c r="I2509" s="123" t="n"/>
      <c r="J2509" s="123" t="n"/>
      <c r="K2509" s="123" t="n"/>
      <c r="L2509" s="123" t="n"/>
      <c r="M2509" s="123">
        <f>IF(AND(B2509&lt;&gt;"",OR($C$4="",ISNUMBER(SEARCH($C$4,C2509&amp;" "&amp;E2509&amp;" "&amp;G2509&amp;" "&amp;H2509&amp;" "&amp;I2509&amp;" "&amp;J2509&amp;" "&amp;K2509&amp;" "&amp;L2509))),OR($C$5="Semua",$C$5="",G2509=$C$5),OR($C$6="Semua",$C$6="",H2509=$C$6,H2509="Pengeluaran "&amp;$C$6,AND($C$6="Uang Kos Mama",H2509="Pengeluaran Uang Kos")),OR($C$7="Semua",$C$7="",I2509=$C$7),OR($C$8="Semua",$C$8="",C2509=$C$8,E2509=$C$8),OR($C$9="Semua",$C$9="",D2509=$C$9),OR($C$10="",B2509&gt;=$C$10),OR($C$11="",B2509&lt;=$C$11),OR($C$12&lt;&gt;"Ya",K2509&lt;&gt;""),OR($C$13="Semua",$C$13="",L2509=$C$13)),"✓","")</f>
        <v/>
      </c>
      <c r="N2509" s="93">
        <f>N(N2508)+IF(M2509="✓",1,0)</f>
        <v/>
      </c>
      <c r="O2509" s="93">
        <f>N(O2508)+IF(AND(B2509&lt;&gt;"",B2509&gt;='Uang Riba'!$H$30,B2509&lt;='Uang Riba'!$I$30,OR(H2509="Dana riba",H2509="Pinjam uang riba",I2509="Pinjam dari uang riba",I2509="Ganti uang riba",I2509="Kelebihan ganti dikembalikan",AND(C2509="Kantong Uang Riba",G2509="Pengeluaran"))),1,0)</f>
        <v/>
      </c>
      <c r="X2509" s="93">
        <f>IF(AND(B2509&lt;&gt;"",B2509&gt;='Buku Akun'!$H$4,B2509&lt;='Buku Akun'!$H$5,OR(C2509='Buku Akun'!$C$4,AND(D2509="Pindah",E2509='Buku Akun'!$C$4))),B2509+IF(AND(I2509="Selisih bunga",DAY(B2509)=1),0,0.01)+ROW()/10000000,"")</f>
        <v/>
      </c>
    </row>
    <row r="2510" outlineLevel="1" ht="15" customHeight="1" s="94">
      <c r="A2510" s="123">
        <f>IF(B2510="","",ROW()-15)</f>
        <v/>
      </c>
      <c r="B2510" s="124" t="n"/>
      <c r="C2510" s="123" t="n"/>
      <c r="D2510" s="123" t="n"/>
      <c r="E2510" s="123" t="n"/>
      <c r="F2510" s="125" t="n"/>
      <c r="G2510" s="123" t="n"/>
      <c r="H2510" s="123" t="n"/>
      <c r="I2510" s="123" t="n"/>
      <c r="J2510" s="123" t="n"/>
      <c r="K2510" s="123" t="n"/>
      <c r="L2510" s="123" t="n"/>
      <c r="M2510" s="123">
        <f>IF(AND(B2510&lt;&gt;"",OR($C$4="",ISNUMBER(SEARCH($C$4,C2510&amp;" "&amp;E2510&amp;" "&amp;G2510&amp;" "&amp;H2510&amp;" "&amp;I2510&amp;" "&amp;J2510&amp;" "&amp;K2510&amp;" "&amp;L2510))),OR($C$5="Semua",$C$5="",G2510=$C$5),OR($C$6="Semua",$C$6="",H2510=$C$6,H2510="Pengeluaran "&amp;$C$6,AND($C$6="Uang Kos Mama",H2510="Pengeluaran Uang Kos")),OR($C$7="Semua",$C$7="",I2510=$C$7),OR($C$8="Semua",$C$8="",C2510=$C$8,E2510=$C$8),OR($C$9="Semua",$C$9="",D2510=$C$9),OR($C$10="",B2510&gt;=$C$10),OR($C$11="",B2510&lt;=$C$11),OR($C$12&lt;&gt;"Ya",K2510&lt;&gt;""),OR($C$13="Semua",$C$13="",L2510=$C$13)),"✓","")</f>
        <v/>
      </c>
      <c r="N2510" s="93">
        <f>N(N2509)+IF(M2510="✓",1,0)</f>
        <v/>
      </c>
      <c r="O2510" s="93">
        <f>N(O2509)+IF(AND(B2510&lt;&gt;"",B2510&gt;='Uang Riba'!$H$30,B2510&lt;='Uang Riba'!$I$30,OR(H2510="Dana riba",H2510="Pinjam uang riba",I2510="Pinjam dari uang riba",I2510="Ganti uang riba",I2510="Kelebihan ganti dikembalikan",AND(C2510="Kantong Uang Riba",G2510="Pengeluaran"))),1,0)</f>
        <v/>
      </c>
      <c r="X2510" s="93">
        <f>IF(AND(B2510&lt;&gt;"",B2510&gt;='Buku Akun'!$H$4,B2510&lt;='Buku Akun'!$H$5,OR(C2510='Buku Akun'!$C$4,AND(D2510="Pindah",E2510='Buku Akun'!$C$4))),B2510+IF(AND(I2510="Selisih bunga",DAY(B2510)=1),0,0.01)+ROW()/10000000,"")</f>
        <v/>
      </c>
    </row>
    <row r="2511" outlineLevel="1" ht="15" customHeight="1" s="94">
      <c r="A2511" s="123">
        <f>IF(B2511="","",ROW()-15)</f>
        <v/>
      </c>
      <c r="B2511" s="124" t="n"/>
      <c r="C2511" s="123" t="n"/>
      <c r="D2511" s="123" t="n"/>
      <c r="E2511" s="123" t="n"/>
      <c r="F2511" s="125" t="n"/>
      <c r="G2511" s="123" t="n"/>
      <c r="H2511" s="123" t="n"/>
      <c r="I2511" s="123" t="n"/>
      <c r="J2511" s="123" t="n"/>
      <c r="K2511" s="123" t="n"/>
      <c r="L2511" s="123" t="n"/>
      <c r="M2511" s="123">
        <f>IF(AND(B2511&lt;&gt;"",OR($C$4="",ISNUMBER(SEARCH($C$4,C2511&amp;" "&amp;E2511&amp;" "&amp;G2511&amp;" "&amp;H2511&amp;" "&amp;I2511&amp;" "&amp;J2511&amp;" "&amp;K2511&amp;" "&amp;L2511))),OR($C$5="Semua",$C$5="",G2511=$C$5),OR($C$6="Semua",$C$6="",H2511=$C$6,H2511="Pengeluaran "&amp;$C$6,AND($C$6="Uang Kos Mama",H2511="Pengeluaran Uang Kos")),OR($C$7="Semua",$C$7="",I2511=$C$7),OR($C$8="Semua",$C$8="",C2511=$C$8,E2511=$C$8),OR($C$9="Semua",$C$9="",D2511=$C$9),OR($C$10="",B2511&gt;=$C$10),OR($C$11="",B2511&lt;=$C$11),OR($C$12&lt;&gt;"Ya",K2511&lt;&gt;""),OR($C$13="Semua",$C$13="",L2511=$C$13)),"✓","")</f>
        <v/>
      </c>
      <c r="N2511" s="93">
        <f>N(N2510)+IF(M2511="✓",1,0)</f>
        <v/>
      </c>
      <c r="O2511" s="93">
        <f>N(O2510)+IF(AND(B2511&lt;&gt;"",B2511&gt;='Uang Riba'!$H$30,B2511&lt;='Uang Riba'!$I$30,OR(H2511="Dana riba",H2511="Pinjam uang riba",I2511="Pinjam dari uang riba",I2511="Ganti uang riba",I2511="Kelebihan ganti dikembalikan",AND(C2511="Kantong Uang Riba",G2511="Pengeluaran"))),1,0)</f>
        <v/>
      </c>
      <c r="X2511" s="93">
        <f>IF(AND(B2511&lt;&gt;"",B2511&gt;='Buku Akun'!$H$4,B2511&lt;='Buku Akun'!$H$5,OR(C2511='Buku Akun'!$C$4,AND(D2511="Pindah",E2511='Buku Akun'!$C$4))),B2511+IF(AND(I2511="Selisih bunga",DAY(B2511)=1),0,0.01)+ROW()/10000000,"")</f>
        <v/>
      </c>
    </row>
    <row r="2512" outlineLevel="1" ht="15" customHeight="1" s="94">
      <c r="A2512" s="123">
        <f>IF(B2512="","",ROW()-15)</f>
        <v/>
      </c>
      <c r="B2512" s="124" t="n"/>
      <c r="C2512" s="123" t="n"/>
      <c r="D2512" s="123" t="n"/>
      <c r="E2512" s="123" t="n"/>
      <c r="F2512" s="125" t="n"/>
      <c r="G2512" s="123" t="n"/>
      <c r="H2512" s="123" t="n"/>
      <c r="I2512" s="123" t="n"/>
      <c r="J2512" s="123" t="n"/>
      <c r="K2512" s="123" t="n"/>
      <c r="L2512" s="123" t="n"/>
      <c r="M2512" s="123">
        <f>IF(AND(B2512&lt;&gt;"",OR($C$4="",ISNUMBER(SEARCH($C$4,C2512&amp;" "&amp;E2512&amp;" "&amp;G2512&amp;" "&amp;H2512&amp;" "&amp;I2512&amp;" "&amp;J2512&amp;" "&amp;K2512&amp;" "&amp;L2512))),OR($C$5="Semua",$C$5="",G2512=$C$5),OR($C$6="Semua",$C$6="",H2512=$C$6,H2512="Pengeluaran "&amp;$C$6,AND($C$6="Uang Kos Mama",H2512="Pengeluaran Uang Kos")),OR($C$7="Semua",$C$7="",I2512=$C$7),OR($C$8="Semua",$C$8="",C2512=$C$8,E2512=$C$8),OR($C$9="Semua",$C$9="",D2512=$C$9),OR($C$10="",B2512&gt;=$C$10),OR($C$11="",B2512&lt;=$C$11),OR($C$12&lt;&gt;"Ya",K2512&lt;&gt;""),OR($C$13="Semua",$C$13="",L2512=$C$13)),"✓","")</f>
        <v/>
      </c>
      <c r="N2512" s="93">
        <f>N(N2511)+IF(M2512="✓",1,0)</f>
        <v/>
      </c>
      <c r="O2512" s="93">
        <f>N(O2511)+IF(AND(B2512&lt;&gt;"",B2512&gt;='Uang Riba'!$H$30,B2512&lt;='Uang Riba'!$I$30,OR(H2512="Dana riba",H2512="Pinjam uang riba",I2512="Pinjam dari uang riba",I2512="Ganti uang riba",I2512="Kelebihan ganti dikembalikan",AND(C2512="Kantong Uang Riba",G2512="Pengeluaran"))),1,0)</f>
        <v/>
      </c>
      <c r="X2512" s="93">
        <f>IF(AND(B2512&lt;&gt;"",B2512&gt;='Buku Akun'!$H$4,B2512&lt;='Buku Akun'!$H$5,OR(C2512='Buku Akun'!$C$4,AND(D2512="Pindah",E2512='Buku Akun'!$C$4))),B2512+IF(AND(I2512="Selisih bunga",DAY(B2512)=1),0,0.01)+ROW()/10000000,"")</f>
        <v/>
      </c>
    </row>
    <row r="2513" outlineLevel="1" ht="15" customHeight="1" s="94">
      <c r="A2513" s="123">
        <f>IF(B2513="","",ROW()-15)</f>
        <v/>
      </c>
      <c r="B2513" s="124" t="n"/>
      <c r="C2513" s="123" t="n"/>
      <c r="D2513" s="123" t="n"/>
      <c r="E2513" s="123" t="n"/>
      <c r="F2513" s="125" t="n"/>
      <c r="G2513" s="123" t="n"/>
      <c r="H2513" s="123" t="n"/>
      <c r="I2513" s="123" t="n"/>
      <c r="J2513" s="123" t="n"/>
      <c r="K2513" s="123" t="n"/>
      <c r="L2513" s="123" t="n"/>
      <c r="M2513" s="123">
        <f>IF(AND(B2513&lt;&gt;"",OR($C$4="",ISNUMBER(SEARCH($C$4,C2513&amp;" "&amp;E2513&amp;" "&amp;G2513&amp;" "&amp;H2513&amp;" "&amp;I2513&amp;" "&amp;J2513&amp;" "&amp;K2513&amp;" "&amp;L2513))),OR($C$5="Semua",$C$5="",G2513=$C$5),OR($C$6="Semua",$C$6="",H2513=$C$6,H2513="Pengeluaran "&amp;$C$6,AND($C$6="Uang Kos Mama",H2513="Pengeluaran Uang Kos")),OR($C$7="Semua",$C$7="",I2513=$C$7),OR($C$8="Semua",$C$8="",C2513=$C$8,E2513=$C$8),OR($C$9="Semua",$C$9="",D2513=$C$9),OR($C$10="",B2513&gt;=$C$10),OR($C$11="",B2513&lt;=$C$11),OR($C$12&lt;&gt;"Ya",K2513&lt;&gt;""),OR($C$13="Semua",$C$13="",L2513=$C$13)),"✓","")</f>
        <v/>
      </c>
      <c r="N2513" s="93">
        <f>N(N2512)+IF(M2513="✓",1,0)</f>
        <v/>
      </c>
      <c r="O2513" s="93">
        <f>N(O2512)+IF(AND(B2513&lt;&gt;"",B2513&gt;='Uang Riba'!$H$30,B2513&lt;='Uang Riba'!$I$30,OR(H2513="Dana riba",H2513="Pinjam uang riba",I2513="Pinjam dari uang riba",I2513="Ganti uang riba",I2513="Kelebihan ganti dikembalikan",AND(C2513="Kantong Uang Riba",G2513="Pengeluaran"))),1,0)</f>
        <v/>
      </c>
      <c r="X2513" s="93">
        <f>IF(AND(B2513&lt;&gt;"",B2513&gt;='Buku Akun'!$H$4,B2513&lt;='Buku Akun'!$H$5,OR(C2513='Buku Akun'!$C$4,AND(D2513="Pindah",E2513='Buku Akun'!$C$4))),B2513+IF(AND(I2513="Selisih bunga",DAY(B2513)=1),0,0.01)+ROW()/10000000,"")</f>
        <v/>
      </c>
    </row>
    <row r="2514" outlineLevel="1" ht="15" customHeight="1" s="94">
      <c r="A2514" s="123">
        <f>IF(B2514="","",ROW()-15)</f>
        <v/>
      </c>
      <c r="B2514" s="124" t="n"/>
      <c r="C2514" s="123" t="n"/>
      <c r="D2514" s="123" t="n"/>
      <c r="E2514" s="123" t="n"/>
      <c r="F2514" s="125" t="n"/>
      <c r="G2514" s="123" t="n"/>
      <c r="H2514" s="123" t="n"/>
      <c r="I2514" s="123" t="n"/>
      <c r="J2514" s="123" t="n"/>
      <c r="K2514" s="123" t="n"/>
      <c r="L2514" s="123" t="n"/>
      <c r="M2514" s="123">
        <f>IF(AND(B2514&lt;&gt;"",OR($C$4="",ISNUMBER(SEARCH($C$4,C2514&amp;" "&amp;E2514&amp;" "&amp;G2514&amp;" "&amp;H2514&amp;" "&amp;I2514&amp;" "&amp;J2514&amp;" "&amp;K2514&amp;" "&amp;L2514))),OR($C$5="Semua",$C$5="",G2514=$C$5),OR($C$6="Semua",$C$6="",H2514=$C$6,H2514="Pengeluaran "&amp;$C$6,AND($C$6="Uang Kos Mama",H2514="Pengeluaran Uang Kos")),OR($C$7="Semua",$C$7="",I2514=$C$7),OR($C$8="Semua",$C$8="",C2514=$C$8,E2514=$C$8),OR($C$9="Semua",$C$9="",D2514=$C$9),OR($C$10="",B2514&gt;=$C$10),OR($C$11="",B2514&lt;=$C$11),OR($C$12&lt;&gt;"Ya",K2514&lt;&gt;""),OR($C$13="Semua",$C$13="",L2514=$C$13)),"✓","")</f>
        <v/>
      </c>
      <c r="N2514" s="93">
        <f>N(N2513)+IF(M2514="✓",1,0)</f>
        <v/>
      </c>
      <c r="O2514" s="93">
        <f>N(O2513)+IF(AND(B2514&lt;&gt;"",B2514&gt;='Uang Riba'!$H$30,B2514&lt;='Uang Riba'!$I$30,OR(H2514="Dana riba",H2514="Pinjam uang riba",I2514="Pinjam dari uang riba",I2514="Ganti uang riba",I2514="Kelebihan ganti dikembalikan",AND(C2514="Kantong Uang Riba",G2514="Pengeluaran"))),1,0)</f>
        <v/>
      </c>
      <c r="X2514" s="93">
        <f>IF(AND(B2514&lt;&gt;"",B2514&gt;='Buku Akun'!$H$4,B2514&lt;='Buku Akun'!$H$5,OR(C2514='Buku Akun'!$C$4,AND(D2514="Pindah",E2514='Buku Akun'!$C$4))),B2514+IF(AND(I2514="Selisih bunga",DAY(B2514)=1),0,0.01)+ROW()/10000000,"")</f>
        <v/>
      </c>
    </row>
    <row r="2515" outlineLevel="1" ht="15" customHeight="1" s="94">
      <c r="A2515" s="123">
        <f>IF(B2515="","",ROW()-15)</f>
        <v/>
      </c>
      <c r="B2515" s="124" t="n"/>
      <c r="C2515" s="123" t="n"/>
      <c r="D2515" s="123" t="n"/>
      <c r="E2515" s="123" t="n"/>
      <c r="F2515" s="125" t="n"/>
      <c r="G2515" s="123" t="n"/>
      <c r="H2515" s="123" t="n"/>
      <c r="I2515" s="123" t="n"/>
      <c r="J2515" s="123" t="n"/>
      <c r="K2515" s="123" t="n"/>
      <c r="L2515" s="123" t="n"/>
      <c r="M2515" s="123">
        <f>IF(AND(B2515&lt;&gt;"",OR($C$4="",ISNUMBER(SEARCH($C$4,C2515&amp;" "&amp;E2515&amp;" "&amp;G2515&amp;" "&amp;H2515&amp;" "&amp;I2515&amp;" "&amp;J2515&amp;" "&amp;K2515&amp;" "&amp;L2515))),OR($C$5="Semua",$C$5="",G2515=$C$5),OR($C$6="Semua",$C$6="",H2515=$C$6,H2515="Pengeluaran "&amp;$C$6,AND($C$6="Uang Kos Mama",H2515="Pengeluaran Uang Kos")),OR($C$7="Semua",$C$7="",I2515=$C$7),OR($C$8="Semua",$C$8="",C2515=$C$8,E2515=$C$8),OR($C$9="Semua",$C$9="",D2515=$C$9),OR($C$10="",B2515&gt;=$C$10),OR($C$11="",B2515&lt;=$C$11),OR($C$12&lt;&gt;"Ya",K2515&lt;&gt;""),OR($C$13="Semua",$C$13="",L2515=$C$13)),"✓","")</f>
        <v/>
      </c>
      <c r="N2515" s="93">
        <f>N(N2514)+IF(M2515="✓",1,0)</f>
        <v/>
      </c>
      <c r="O2515" s="93">
        <f>N(O2514)+IF(AND(B2515&lt;&gt;"",B2515&gt;='Uang Riba'!$H$30,B2515&lt;='Uang Riba'!$I$30,OR(H2515="Dana riba",H2515="Pinjam uang riba",I2515="Pinjam dari uang riba",I2515="Ganti uang riba",I2515="Kelebihan ganti dikembalikan",AND(C2515="Kantong Uang Riba",G2515="Pengeluaran"))),1,0)</f>
        <v/>
      </c>
      <c r="X2515" s="93">
        <f>IF(AND(B2515&lt;&gt;"",B2515&gt;='Buku Akun'!$H$4,B2515&lt;='Buku Akun'!$H$5,OR(C2515='Buku Akun'!$C$4,AND(D2515="Pindah",E2515='Buku Akun'!$C$4))),B2515+IF(AND(I2515="Selisih bunga",DAY(B2515)=1),0,0.01)+ROW()/10000000,"")</f>
        <v/>
      </c>
    </row>
    <row r="2516" outlineLevel="1" ht="15" customHeight="1" s="94">
      <c r="A2516" s="123">
        <f>IF(B2516="","",ROW()-15)</f>
        <v/>
      </c>
      <c r="B2516" s="124" t="n"/>
      <c r="C2516" s="123" t="n"/>
      <c r="D2516" s="123" t="n"/>
      <c r="E2516" s="123" t="n"/>
      <c r="F2516" s="125" t="n"/>
      <c r="G2516" s="123" t="n"/>
      <c r="H2516" s="123" t="n"/>
      <c r="I2516" s="123" t="n"/>
      <c r="J2516" s="123" t="n"/>
      <c r="K2516" s="123" t="n"/>
      <c r="L2516" s="123" t="n"/>
      <c r="M2516" s="123">
        <f>IF(AND(B2516&lt;&gt;"",OR($C$4="",ISNUMBER(SEARCH($C$4,C2516&amp;" "&amp;E2516&amp;" "&amp;G2516&amp;" "&amp;H2516&amp;" "&amp;I2516&amp;" "&amp;J2516&amp;" "&amp;K2516&amp;" "&amp;L2516))),OR($C$5="Semua",$C$5="",G2516=$C$5),OR($C$6="Semua",$C$6="",H2516=$C$6,H2516="Pengeluaran "&amp;$C$6,AND($C$6="Uang Kos Mama",H2516="Pengeluaran Uang Kos")),OR($C$7="Semua",$C$7="",I2516=$C$7),OR($C$8="Semua",$C$8="",C2516=$C$8,E2516=$C$8),OR($C$9="Semua",$C$9="",D2516=$C$9),OR($C$10="",B2516&gt;=$C$10),OR($C$11="",B2516&lt;=$C$11),OR($C$12&lt;&gt;"Ya",K2516&lt;&gt;""),OR($C$13="Semua",$C$13="",L2516=$C$13)),"✓","")</f>
        <v/>
      </c>
      <c r="N2516" s="93">
        <f>N(N2515)+IF(M2516="✓",1,0)</f>
        <v/>
      </c>
      <c r="O2516" s="93">
        <f>N(O2515)+IF(AND(B2516&lt;&gt;"",B2516&gt;='Uang Riba'!$H$30,B2516&lt;='Uang Riba'!$I$30,OR(H2516="Dana riba",H2516="Pinjam uang riba",I2516="Pinjam dari uang riba",I2516="Ganti uang riba",I2516="Kelebihan ganti dikembalikan",AND(C2516="Kantong Uang Riba",G2516="Pengeluaran"))),1,0)</f>
        <v/>
      </c>
      <c r="X2516" s="93">
        <f>IF(AND(B2516&lt;&gt;"",B2516&gt;='Buku Akun'!$H$4,B2516&lt;='Buku Akun'!$H$5,OR(C2516='Buku Akun'!$C$4,AND(D2516="Pindah",E2516='Buku Akun'!$C$4))),B2516+IF(AND(I2516="Selisih bunga",DAY(B2516)=1),0,0.01)+ROW()/10000000,"")</f>
        <v/>
      </c>
    </row>
    <row r="2517" outlineLevel="1" ht="15" customHeight="1" s="94">
      <c r="A2517" s="123">
        <f>IF(B2517="","",ROW()-15)</f>
        <v/>
      </c>
      <c r="B2517" s="124" t="n"/>
      <c r="C2517" s="123" t="n"/>
      <c r="D2517" s="123" t="n"/>
      <c r="E2517" s="123" t="n"/>
      <c r="F2517" s="125" t="n"/>
      <c r="G2517" s="123" t="n"/>
      <c r="H2517" s="123" t="n"/>
      <c r="I2517" s="123" t="n"/>
      <c r="J2517" s="123" t="n"/>
      <c r="K2517" s="123" t="n"/>
      <c r="L2517" s="123" t="n"/>
      <c r="M2517" s="123">
        <f>IF(AND(B2517&lt;&gt;"",OR($C$4="",ISNUMBER(SEARCH($C$4,C2517&amp;" "&amp;E2517&amp;" "&amp;G2517&amp;" "&amp;H2517&amp;" "&amp;I2517&amp;" "&amp;J2517&amp;" "&amp;K2517&amp;" "&amp;L2517))),OR($C$5="Semua",$C$5="",G2517=$C$5),OR($C$6="Semua",$C$6="",H2517=$C$6,H2517="Pengeluaran "&amp;$C$6,AND($C$6="Uang Kos Mama",H2517="Pengeluaran Uang Kos")),OR($C$7="Semua",$C$7="",I2517=$C$7),OR($C$8="Semua",$C$8="",C2517=$C$8,E2517=$C$8),OR($C$9="Semua",$C$9="",D2517=$C$9),OR($C$10="",B2517&gt;=$C$10),OR($C$11="",B2517&lt;=$C$11),OR($C$12&lt;&gt;"Ya",K2517&lt;&gt;""),OR($C$13="Semua",$C$13="",L2517=$C$13)),"✓","")</f>
        <v/>
      </c>
      <c r="N2517" s="93">
        <f>N(N2516)+IF(M2517="✓",1,0)</f>
        <v/>
      </c>
      <c r="O2517" s="93">
        <f>N(O2516)+IF(AND(B2517&lt;&gt;"",B2517&gt;='Uang Riba'!$H$30,B2517&lt;='Uang Riba'!$I$30,OR(H2517="Dana riba",H2517="Pinjam uang riba",I2517="Pinjam dari uang riba",I2517="Ganti uang riba",I2517="Kelebihan ganti dikembalikan",AND(C2517="Kantong Uang Riba",G2517="Pengeluaran"))),1,0)</f>
        <v/>
      </c>
      <c r="X2517" s="93">
        <f>IF(AND(B2517&lt;&gt;"",B2517&gt;='Buku Akun'!$H$4,B2517&lt;='Buku Akun'!$H$5,OR(C2517='Buku Akun'!$C$4,AND(D2517="Pindah",E2517='Buku Akun'!$C$4))),B2517+IF(AND(I2517="Selisih bunga",DAY(B2517)=1),0,0.01)+ROW()/10000000,"")</f>
        <v/>
      </c>
    </row>
    <row r="2518" outlineLevel="1" ht="15" customHeight="1" s="94">
      <c r="A2518" s="123">
        <f>IF(B2518="","",ROW()-15)</f>
        <v/>
      </c>
      <c r="B2518" s="124" t="n"/>
      <c r="C2518" s="123" t="n"/>
      <c r="D2518" s="123" t="n"/>
      <c r="E2518" s="123" t="n"/>
      <c r="F2518" s="125" t="n"/>
      <c r="G2518" s="123" t="n"/>
      <c r="H2518" s="123" t="n"/>
      <c r="I2518" s="123" t="n"/>
      <c r="J2518" s="123" t="n"/>
      <c r="K2518" s="123" t="n"/>
      <c r="L2518" s="123" t="n"/>
      <c r="M2518" s="123">
        <f>IF(AND(B2518&lt;&gt;"",OR($C$4="",ISNUMBER(SEARCH($C$4,C2518&amp;" "&amp;E2518&amp;" "&amp;G2518&amp;" "&amp;H2518&amp;" "&amp;I2518&amp;" "&amp;J2518&amp;" "&amp;K2518&amp;" "&amp;L2518))),OR($C$5="Semua",$C$5="",G2518=$C$5),OR($C$6="Semua",$C$6="",H2518=$C$6,H2518="Pengeluaran "&amp;$C$6,AND($C$6="Uang Kos Mama",H2518="Pengeluaran Uang Kos")),OR($C$7="Semua",$C$7="",I2518=$C$7),OR($C$8="Semua",$C$8="",C2518=$C$8,E2518=$C$8),OR($C$9="Semua",$C$9="",D2518=$C$9),OR($C$10="",B2518&gt;=$C$10),OR($C$11="",B2518&lt;=$C$11),OR($C$12&lt;&gt;"Ya",K2518&lt;&gt;""),OR($C$13="Semua",$C$13="",L2518=$C$13)),"✓","")</f>
        <v/>
      </c>
      <c r="N2518" s="93">
        <f>N(N2517)+IF(M2518="✓",1,0)</f>
        <v/>
      </c>
      <c r="O2518" s="93">
        <f>N(O2517)+IF(AND(B2518&lt;&gt;"",B2518&gt;='Uang Riba'!$H$30,B2518&lt;='Uang Riba'!$I$30,OR(H2518="Dana riba",H2518="Pinjam uang riba",I2518="Pinjam dari uang riba",I2518="Ganti uang riba",I2518="Kelebihan ganti dikembalikan",AND(C2518="Kantong Uang Riba",G2518="Pengeluaran"))),1,0)</f>
        <v/>
      </c>
      <c r="X2518" s="93">
        <f>IF(AND(B2518&lt;&gt;"",B2518&gt;='Buku Akun'!$H$4,B2518&lt;='Buku Akun'!$H$5,OR(C2518='Buku Akun'!$C$4,AND(D2518="Pindah",E2518='Buku Akun'!$C$4))),B2518+IF(AND(I2518="Selisih bunga",DAY(B2518)=1),0,0.01)+ROW()/10000000,"")</f>
        <v/>
      </c>
    </row>
    <row r="2519" outlineLevel="1" ht="15" customHeight="1" s="94">
      <c r="A2519" s="123">
        <f>IF(B2519="","",ROW()-15)</f>
        <v/>
      </c>
      <c r="B2519" s="124" t="n"/>
      <c r="C2519" s="123" t="n"/>
      <c r="D2519" s="123" t="n"/>
      <c r="E2519" s="123" t="n"/>
      <c r="F2519" s="125" t="n"/>
      <c r="G2519" s="123" t="n"/>
      <c r="H2519" s="123" t="n"/>
      <c r="I2519" s="123" t="n"/>
      <c r="J2519" s="123" t="n"/>
      <c r="K2519" s="123" t="n"/>
      <c r="L2519" s="123" t="n"/>
      <c r="M2519" s="123">
        <f>IF(AND(B2519&lt;&gt;"",OR($C$4="",ISNUMBER(SEARCH($C$4,C2519&amp;" "&amp;E2519&amp;" "&amp;G2519&amp;" "&amp;H2519&amp;" "&amp;I2519&amp;" "&amp;J2519&amp;" "&amp;K2519&amp;" "&amp;L2519))),OR($C$5="Semua",$C$5="",G2519=$C$5),OR($C$6="Semua",$C$6="",H2519=$C$6,H2519="Pengeluaran "&amp;$C$6,AND($C$6="Uang Kos Mama",H2519="Pengeluaran Uang Kos")),OR($C$7="Semua",$C$7="",I2519=$C$7),OR($C$8="Semua",$C$8="",C2519=$C$8,E2519=$C$8),OR($C$9="Semua",$C$9="",D2519=$C$9),OR($C$10="",B2519&gt;=$C$10),OR($C$11="",B2519&lt;=$C$11),OR($C$12&lt;&gt;"Ya",K2519&lt;&gt;""),OR($C$13="Semua",$C$13="",L2519=$C$13)),"✓","")</f>
        <v/>
      </c>
      <c r="N2519" s="93">
        <f>N(N2518)+IF(M2519="✓",1,0)</f>
        <v/>
      </c>
      <c r="O2519" s="93">
        <f>N(O2518)+IF(AND(B2519&lt;&gt;"",B2519&gt;='Uang Riba'!$H$30,B2519&lt;='Uang Riba'!$I$30,OR(H2519="Dana riba",H2519="Pinjam uang riba",I2519="Pinjam dari uang riba",I2519="Ganti uang riba",I2519="Kelebihan ganti dikembalikan",AND(C2519="Kantong Uang Riba",G2519="Pengeluaran"))),1,0)</f>
        <v/>
      </c>
      <c r="X2519" s="93">
        <f>IF(AND(B2519&lt;&gt;"",B2519&gt;='Buku Akun'!$H$4,B2519&lt;='Buku Akun'!$H$5,OR(C2519='Buku Akun'!$C$4,AND(D2519="Pindah",E2519='Buku Akun'!$C$4))),B2519+IF(AND(I2519="Selisih bunga",DAY(B2519)=1),0,0.01)+ROW()/10000000,"")</f>
        <v/>
      </c>
    </row>
    <row r="2520" outlineLevel="1" ht="15" customHeight="1" s="94">
      <c r="A2520" s="123">
        <f>IF(B2520="","",ROW()-15)</f>
        <v/>
      </c>
      <c r="B2520" s="124" t="n"/>
      <c r="C2520" s="123" t="n"/>
      <c r="D2520" s="123" t="n"/>
      <c r="E2520" s="123" t="n"/>
      <c r="F2520" s="125" t="n"/>
      <c r="G2520" s="123" t="n"/>
      <c r="H2520" s="123" t="n"/>
      <c r="I2520" s="123" t="n"/>
      <c r="J2520" s="123" t="n"/>
      <c r="K2520" s="123" t="n"/>
      <c r="L2520" s="123" t="n"/>
      <c r="M2520" s="123">
        <f>IF(AND(B2520&lt;&gt;"",OR($C$4="",ISNUMBER(SEARCH($C$4,C2520&amp;" "&amp;E2520&amp;" "&amp;G2520&amp;" "&amp;H2520&amp;" "&amp;I2520&amp;" "&amp;J2520&amp;" "&amp;K2520&amp;" "&amp;L2520))),OR($C$5="Semua",$C$5="",G2520=$C$5),OR($C$6="Semua",$C$6="",H2520=$C$6,H2520="Pengeluaran "&amp;$C$6,AND($C$6="Uang Kos Mama",H2520="Pengeluaran Uang Kos")),OR($C$7="Semua",$C$7="",I2520=$C$7),OR($C$8="Semua",$C$8="",C2520=$C$8,E2520=$C$8),OR($C$9="Semua",$C$9="",D2520=$C$9),OR($C$10="",B2520&gt;=$C$10),OR($C$11="",B2520&lt;=$C$11),OR($C$12&lt;&gt;"Ya",K2520&lt;&gt;""),OR($C$13="Semua",$C$13="",L2520=$C$13)),"✓","")</f>
        <v/>
      </c>
      <c r="N2520" s="93">
        <f>N(N2519)+IF(M2520="✓",1,0)</f>
        <v/>
      </c>
      <c r="O2520" s="93">
        <f>N(O2519)+IF(AND(B2520&lt;&gt;"",B2520&gt;='Uang Riba'!$H$30,B2520&lt;='Uang Riba'!$I$30,OR(H2520="Dana riba",H2520="Pinjam uang riba",I2520="Pinjam dari uang riba",I2520="Ganti uang riba",I2520="Kelebihan ganti dikembalikan",AND(C2520="Kantong Uang Riba",G2520="Pengeluaran"))),1,0)</f>
        <v/>
      </c>
      <c r="X2520" s="93">
        <f>IF(AND(B2520&lt;&gt;"",B2520&gt;='Buku Akun'!$H$4,B2520&lt;='Buku Akun'!$H$5,OR(C2520='Buku Akun'!$C$4,AND(D2520="Pindah",E2520='Buku Akun'!$C$4))),B2520+IF(AND(I2520="Selisih bunga",DAY(B2520)=1),0,0.01)+ROW()/10000000,"")</f>
        <v/>
      </c>
    </row>
    <row r="2521" outlineLevel="1" ht="15" customHeight="1" s="94">
      <c r="A2521" s="123">
        <f>IF(B2521="","",ROW()-15)</f>
        <v/>
      </c>
      <c r="B2521" s="124" t="n"/>
      <c r="C2521" s="123" t="n"/>
      <c r="D2521" s="123" t="n"/>
      <c r="E2521" s="123" t="n"/>
      <c r="F2521" s="125" t="n"/>
      <c r="G2521" s="123" t="n"/>
      <c r="H2521" s="123" t="n"/>
      <c r="I2521" s="123" t="n"/>
      <c r="J2521" s="123" t="n"/>
      <c r="K2521" s="123" t="n"/>
      <c r="L2521" s="123" t="n"/>
      <c r="M2521" s="123">
        <f>IF(AND(B2521&lt;&gt;"",OR($C$4="",ISNUMBER(SEARCH($C$4,C2521&amp;" "&amp;E2521&amp;" "&amp;G2521&amp;" "&amp;H2521&amp;" "&amp;I2521&amp;" "&amp;J2521&amp;" "&amp;K2521&amp;" "&amp;L2521))),OR($C$5="Semua",$C$5="",G2521=$C$5),OR($C$6="Semua",$C$6="",H2521=$C$6,H2521="Pengeluaran "&amp;$C$6,AND($C$6="Uang Kos Mama",H2521="Pengeluaran Uang Kos")),OR($C$7="Semua",$C$7="",I2521=$C$7),OR($C$8="Semua",$C$8="",C2521=$C$8,E2521=$C$8),OR($C$9="Semua",$C$9="",D2521=$C$9),OR($C$10="",B2521&gt;=$C$10),OR($C$11="",B2521&lt;=$C$11),OR($C$12&lt;&gt;"Ya",K2521&lt;&gt;""),OR($C$13="Semua",$C$13="",L2521=$C$13)),"✓","")</f>
        <v/>
      </c>
      <c r="N2521" s="93">
        <f>N(N2520)+IF(M2521="✓",1,0)</f>
        <v/>
      </c>
      <c r="O2521" s="93">
        <f>N(O2520)+IF(AND(B2521&lt;&gt;"",B2521&gt;='Uang Riba'!$H$30,B2521&lt;='Uang Riba'!$I$30,OR(H2521="Dana riba",H2521="Pinjam uang riba",I2521="Pinjam dari uang riba",I2521="Ganti uang riba",I2521="Kelebihan ganti dikembalikan",AND(C2521="Kantong Uang Riba",G2521="Pengeluaran"))),1,0)</f>
        <v/>
      </c>
      <c r="X2521" s="93">
        <f>IF(AND(B2521&lt;&gt;"",B2521&gt;='Buku Akun'!$H$4,B2521&lt;='Buku Akun'!$H$5,OR(C2521='Buku Akun'!$C$4,AND(D2521="Pindah",E2521='Buku Akun'!$C$4))),B2521+IF(AND(I2521="Selisih bunga",DAY(B2521)=1),0,0.01)+ROW()/10000000,"")</f>
        <v/>
      </c>
    </row>
    <row r="2522" outlineLevel="1" ht="15" customHeight="1" s="94">
      <c r="A2522" s="123">
        <f>IF(B2522="","",ROW()-15)</f>
        <v/>
      </c>
      <c r="B2522" s="124" t="n"/>
      <c r="C2522" s="123" t="n"/>
      <c r="D2522" s="123" t="n"/>
      <c r="E2522" s="123" t="n"/>
      <c r="F2522" s="125" t="n"/>
      <c r="G2522" s="123" t="n"/>
      <c r="H2522" s="123" t="n"/>
      <c r="I2522" s="123" t="n"/>
      <c r="J2522" s="123" t="n"/>
      <c r="K2522" s="123" t="n"/>
      <c r="L2522" s="123" t="n"/>
      <c r="M2522" s="123">
        <f>IF(AND(B2522&lt;&gt;"",OR($C$4="",ISNUMBER(SEARCH($C$4,C2522&amp;" "&amp;E2522&amp;" "&amp;G2522&amp;" "&amp;H2522&amp;" "&amp;I2522&amp;" "&amp;J2522&amp;" "&amp;K2522&amp;" "&amp;L2522))),OR($C$5="Semua",$C$5="",G2522=$C$5),OR($C$6="Semua",$C$6="",H2522=$C$6,H2522="Pengeluaran "&amp;$C$6,AND($C$6="Uang Kos Mama",H2522="Pengeluaran Uang Kos")),OR($C$7="Semua",$C$7="",I2522=$C$7),OR($C$8="Semua",$C$8="",C2522=$C$8,E2522=$C$8),OR($C$9="Semua",$C$9="",D2522=$C$9),OR($C$10="",B2522&gt;=$C$10),OR($C$11="",B2522&lt;=$C$11),OR($C$12&lt;&gt;"Ya",K2522&lt;&gt;""),OR($C$13="Semua",$C$13="",L2522=$C$13)),"✓","")</f>
        <v/>
      </c>
      <c r="N2522" s="93">
        <f>N(N2521)+IF(M2522="✓",1,0)</f>
        <v/>
      </c>
      <c r="O2522" s="93">
        <f>N(O2521)+IF(AND(B2522&lt;&gt;"",B2522&gt;='Uang Riba'!$H$30,B2522&lt;='Uang Riba'!$I$30,OR(H2522="Dana riba",H2522="Pinjam uang riba",I2522="Pinjam dari uang riba",I2522="Ganti uang riba",I2522="Kelebihan ganti dikembalikan",AND(C2522="Kantong Uang Riba",G2522="Pengeluaran"))),1,0)</f>
        <v/>
      </c>
      <c r="X2522" s="93">
        <f>IF(AND(B2522&lt;&gt;"",B2522&gt;='Buku Akun'!$H$4,B2522&lt;='Buku Akun'!$H$5,OR(C2522='Buku Akun'!$C$4,AND(D2522="Pindah",E2522='Buku Akun'!$C$4))),B2522+IF(AND(I2522="Selisih bunga",DAY(B2522)=1),0,0.01)+ROW()/10000000,"")</f>
        <v/>
      </c>
    </row>
    <row r="2523" outlineLevel="1" ht="15" customHeight="1" s="94">
      <c r="A2523" s="123">
        <f>IF(B2523="","",ROW()-15)</f>
        <v/>
      </c>
      <c r="B2523" s="124" t="n"/>
      <c r="C2523" s="123" t="n"/>
      <c r="D2523" s="123" t="n"/>
      <c r="E2523" s="123" t="n"/>
      <c r="F2523" s="125" t="n"/>
      <c r="G2523" s="123" t="n"/>
      <c r="H2523" s="123" t="n"/>
      <c r="I2523" s="123" t="n"/>
      <c r="J2523" s="123" t="n"/>
      <c r="K2523" s="123" t="n"/>
      <c r="L2523" s="123" t="n"/>
      <c r="M2523" s="123">
        <f>IF(AND(B2523&lt;&gt;"",OR($C$4="",ISNUMBER(SEARCH($C$4,C2523&amp;" "&amp;E2523&amp;" "&amp;G2523&amp;" "&amp;H2523&amp;" "&amp;I2523&amp;" "&amp;J2523&amp;" "&amp;K2523&amp;" "&amp;L2523))),OR($C$5="Semua",$C$5="",G2523=$C$5),OR($C$6="Semua",$C$6="",H2523=$C$6,H2523="Pengeluaran "&amp;$C$6,AND($C$6="Uang Kos Mama",H2523="Pengeluaran Uang Kos")),OR($C$7="Semua",$C$7="",I2523=$C$7),OR($C$8="Semua",$C$8="",C2523=$C$8,E2523=$C$8),OR($C$9="Semua",$C$9="",D2523=$C$9),OR($C$10="",B2523&gt;=$C$10),OR($C$11="",B2523&lt;=$C$11),OR($C$12&lt;&gt;"Ya",K2523&lt;&gt;""),OR($C$13="Semua",$C$13="",L2523=$C$13)),"✓","")</f>
        <v/>
      </c>
      <c r="N2523" s="93">
        <f>N(N2522)+IF(M2523="✓",1,0)</f>
        <v/>
      </c>
      <c r="O2523" s="93">
        <f>N(O2522)+IF(AND(B2523&lt;&gt;"",B2523&gt;='Uang Riba'!$H$30,B2523&lt;='Uang Riba'!$I$30,OR(H2523="Dana riba",H2523="Pinjam uang riba",I2523="Pinjam dari uang riba",I2523="Ganti uang riba",I2523="Kelebihan ganti dikembalikan",AND(C2523="Kantong Uang Riba",G2523="Pengeluaran"))),1,0)</f>
        <v/>
      </c>
      <c r="X2523" s="93">
        <f>IF(AND(B2523&lt;&gt;"",B2523&gt;='Buku Akun'!$H$4,B2523&lt;='Buku Akun'!$H$5,OR(C2523='Buku Akun'!$C$4,AND(D2523="Pindah",E2523='Buku Akun'!$C$4))),B2523+IF(AND(I2523="Selisih bunga",DAY(B2523)=1),0,0.01)+ROW()/10000000,"")</f>
        <v/>
      </c>
    </row>
    <row r="2524" outlineLevel="1" ht="15" customHeight="1" s="94">
      <c r="A2524" s="123">
        <f>IF(B2524="","",ROW()-15)</f>
        <v/>
      </c>
      <c r="B2524" s="124" t="n"/>
      <c r="C2524" s="123" t="n"/>
      <c r="D2524" s="123" t="n"/>
      <c r="E2524" s="123" t="n"/>
      <c r="F2524" s="125" t="n"/>
      <c r="G2524" s="123" t="n"/>
      <c r="H2524" s="123" t="n"/>
      <c r="I2524" s="123" t="n"/>
      <c r="J2524" s="123" t="n"/>
      <c r="K2524" s="123" t="n"/>
      <c r="L2524" s="123" t="n"/>
      <c r="M2524" s="123">
        <f>IF(AND(B2524&lt;&gt;"",OR($C$4="",ISNUMBER(SEARCH($C$4,C2524&amp;" "&amp;E2524&amp;" "&amp;G2524&amp;" "&amp;H2524&amp;" "&amp;I2524&amp;" "&amp;J2524&amp;" "&amp;K2524&amp;" "&amp;L2524))),OR($C$5="Semua",$C$5="",G2524=$C$5),OR($C$6="Semua",$C$6="",H2524=$C$6,H2524="Pengeluaran "&amp;$C$6,AND($C$6="Uang Kos Mama",H2524="Pengeluaran Uang Kos")),OR($C$7="Semua",$C$7="",I2524=$C$7),OR($C$8="Semua",$C$8="",C2524=$C$8,E2524=$C$8),OR($C$9="Semua",$C$9="",D2524=$C$9),OR($C$10="",B2524&gt;=$C$10),OR($C$11="",B2524&lt;=$C$11),OR($C$12&lt;&gt;"Ya",K2524&lt;&gt;""),OR($C$13="Semua",$C$13="",L2524=$C$13)),"✓","")</f>
        <v/>
      </c>
      <c r="N2524" s="93">
        <f>N(N2523)+IF(M2524="✓",1,0)</f>
        <v/>
      </c>
      <c r="O2524" s="93">
        <f>N(O2523)+IF(AND(B2524&lt;&gt;"",B2524&gt;='Uang Riba'!$H$30,B2524&lt;='Uang Riba'!$I$30,OR(H2524="Dana riba",H2524="Pinjam uang riba",I2524="Pinjam dari uang riba",I2524="Ganti uang riba",I2524="Kelebihan ganti dikembalikan",AND(C2524="Kantong Uang Riba",G2524="Pengeluaran"))),1,0)</f>
        <v/>
      </c>
      <c r="X2524" s="93">
        <f>IF(AND(B2524&lt;&gt;"",B2524&gt;='Buku Akun'!$H$4,B2524&lt;='Buku Akun'!$H$5,OR(C2524='Buku Akun'!$C$4,AND(D2524="Pindah",E2524='Buku Akun'!$C$4))),B2524+IF(AND(I2524="Selisih bunga",DAY(B2524)=1),0,0.01)+ROW()/10000000,"")</f>
        <v/>
      </c>
    </row>
    <row r="2525" outlineLevel="1" ht="15" customHeight="1" s="94">
      <c r="A2525" s="123">
        <f>IF(B2525="","",ROW()-15)</f>
        <v/>
      </c>
      <c r="B2525" s="124" t="n"/>
      <c r="C2525" s="123" t="n"/>
      <c r="D2525" s="123" t="n"/>
      <c r="E2525" s="123" t="n"/>
      <c r="F2525" s="125" t="n"/>
      <c r="G2525" s="123" t="n"/>
      <c r="H2525" s="123" t="n"/>
      <c r="I2525" s="123" t="n"/>
      <c r="J2525" s="123" t="n"/>
      <c r="K2525" s="123" t="n"/>
      <c r="L2525" s="123" t="n"/>
      <c r="M2525" s="123">
        <f>IF(AND(B2525&lt;&gt;"",OR($C$4="",ISNUMBER(SEARCH($C$4,C2525&amp;" "&amp;E2525&amp;" "&amp;G2525&amp;" "&amp;H2525&amp;" "&amp;I2525&amp;" "&amp;J2525&amp;" "&amp;K2525&amp;" "&amp;L2525))),OR($C$5="Semua",$C$5="",G2525=$C$5),OR($C$6="Semua",$C$6="",H2525=$C$6,H2525="Pengeluaran "&amp;$C$6,AND($C$6="Uang Kos Mama",H2525="Pengeluaran Uang Kos")),OR($C$7="Semua",$C$7="",I2525=$C$7),OR($C$8="Semua",$C$8="",C2525=$C$8,E2525=$C$8),OR($C$9="Semua",$C$9="",D2525=$C$9),OR($C$10="",B2525&gt;=$C$10),OR($C$11="",B2525&lt;=$C$11),OR($C$12&lt;&gt;"Ya",K2525&lt;&gt;""),OR($C$13="Semua",$C$13="",L2525=$C$13)),"✓","")</f>
        <v/>
      </c>
      <c r="N2525" s="93">
        <f>N(N2524)+IF(M2525="✓",1,0)</f>
        <v/>
      </c>
      <c r="O2525" s="93">
        <f>N(O2524)+IF(AND(B2525&lt;&gt;"",B2525&gt;='Uang Riba'!$H$30,B2525&lt;='Uang Riba'!$I$30,OR(H2525="Dana riba",H2525="Pinjam uang riba",I2525="Pinjam dari uang riba",I2525="Ganti uang riba",I2525="Kelebihan ganti dikembalikan",AND(C2525="Kantong Uang Riba",G2525="Pengeluaran"))),1,0)</f>
        <v/>
      </c>
      <c r="X2525" s="93">
        <f>IF(AND(B2525&lt;&gt;"",B2525&gt;='Buku Akun'!$H$4,B2525&lt;='Buku Akun'!$H$5,OR(C2525='Buku Akun'!$C$4,AND(D2525="Pindah",E2525='Buku Akun'!$C$4))),B2525+IF(AND(I2525="Selisih bunga",DAY(B2525)=1),0,0.01)+ROW()/10000000,"")</f>
        <v/>
      </c>
    </row>
    <row r="2526" outlineLevel="1" ht="15" customHeight="1" s="94">
      <c r="A2526" s="123">
        <f>IF(B2526="","",ROW()-15)</f>
        <v/>
      </c>
      <c r="B2526" s="124" t="n"/>
      <c r="C2526" s="123" t="n"/>
      <c r="D2526" s="123" t="n"/>
      <c r="E2526" s="123" t="n"/>
      <c r="F2526" s="125" t="n"/>
      <c r="G2526" s="123" t="n"/>
      <c r="H2526" s="123" t="n"/>
      <c r="I2526" s="123" t="n"/>
      <c r="J2526" s="123" t="n"/>
      <c r="K2526" s="123" t="n"/>
      <c r="L2526" s="123" t="n"/>
      <c r="M2526" s="123">
        <f>IF(AND(B2526&lt;&gt;"",OR($C$4="",ISNUMBER(SEARCH($C$4,C2526&amp;" "&amp;E2526&amp;" "&amp;G2526&amp;" "&amp;H2526&amp;" "&amp;I2526&amp;" "&amp;J2526&amp;" "&amp;K2526&amp;" "&amp;L2526))),OR($C$5="Semua",$C$5="",G2526=$C$5),OR($C$6="Semua",$C$6="",H2526=$C$6,H2526="Pengeluaran "&amp;$C$6,AND($C$6="Uang Kos Mama",H2526="Pengeluaran Uang Kos")),OR($C$7="Semua",$C$7="",I2526=$C$7),OR($C$8="Semua",$C$8="",C2526=$C$8,E2526=$C$8),OR($C$9="Semua",$C$9="",D2526=$C$9),OR($C$10="",B2526&gt;=$C$10),OR($C$11="",B2526&lt;=$C$11),OR($C$12&lt;&gt;"Ya",K2526&lt;&gt;""),OR($C$13="Semua",$C$13="",L2526=$C$13)),"✓","")</f>
        <v/>
      </c>
      <c r="N2526" s="93">
        <f>N(N2525)+IF(M2526="✓",1,0)</f>
        <v/>
      </c>
      <c r="O2526" s="93">
        <f>N(O2525)+IF(AND(B2526&lt;&gt;"",B2526&gt;='Uang Riba'!$H$30,B2526&lt;='Uang Riba'!$I$30,OR(H2526="Dana riba",H2526="Pinjam uang riba",I2526="Pinjam dari uang riba",I2526="Ganti uang riba",I2526="Kelebihan ganti dikembalikan",AND(C2526="Kantong Uang Riba",G2526="Pengeluaran"))),1,0)</f>
        <v/>
      </c>
      <c r="X2526" s="93">
        <f>IF(AND(B2526&lt;&gt;"",B2526&gt;='Buku Akun'!$H$4,B2526&lt;='Buku Akun'!$H$5,OR(C2526='Buku Akun'!$C$4,AND(D2526="Pindah",E2526='Buku Akun'!$C$4))),B2526+IF(AND(I2526="Selisih bunga",DAY(B2526)=1),0,0.01)+ROW()/10000000,"")</f>
        <v/>
      </c>
    </row>
    <row r="2527" outlineLevel="1" ht="15" customHeight="1" s="94">
      <c r="A2527" s="123">
        <f>IF(B2527="","",ROW()-15)</f>
        <v/>
      </c>
      <c r="B2527" s="124" t="n"/>
      <c r="C2527" s="123" t="n"/>
      <c r="D2527" s="123" t="n"/>
      <c r="E2527" s="123" t="n"/>
      <c r="F2527" s="125" t="n"/>
      <c r="G2527" s="123" t="n"/>
      <c r="H2527" s="123" t="n"/>
      <c r="I2527" s="123" t="n"/>
      <c r="J2527" s="123" t="n"/>
      <c r="K2527" s="123" t="n"/>
      <c r="L2527" s="123" t="n"/>
      <c r="M2527" s="123">
        <f>IF(AND(B2527&lt;&gt;"",OR($C$4="",ISNUMBER(SEARCH($C$4,C2527&amp;" "&amp;E2527&amp;" "&amp;G2527&amp;" "&amp;H2527&amp;" "&amp;I2527&amp;" "&amp;J2527&amp;" "&amp;K2527&amp;" "&amp;L2527))),OR($C$5="Semua",$C$5="",G2527=$C$5),OR($C$6="Semua",$C$6="",H2527=$C$6,H2527="Pengeluaran "&amp;$C$6,AND($C$6="Uang Kos Mama",H2527="Pengeluaran Uang Kos")),OR($C$7="Semua",$C$7="",I2527=$C$7),OR($C$8="Semua",$C$8="",C2527=$C$8,E2527=$C$8),OR($C$9="Semua",$C$9="",D2527=$C$9),OR($C$10="",B2527&gt;=$C$10),OR($C$11="",B2527&lt;=$C$11),OR($C$12&lt;&gt;"Ya",K2527&lt;&gt;""),OR($C$13="Semua",$C$13="",L2527=$C$13)),"✓","")</f>
        <v/>
      </c>
      <c r="N2527" s="93">
        <f>N(N2526)+IF(M2527="✓",1,0)</f>
        <v/>
      </c>
      <c r="O2527" s="93">
        <f>N(O2526)+IF(AND(B2527&lt;&gt;"",B2527&gt;='Uang Riba'!$H$30,B2527&lt;='Uang Riba'!$I$30,OR(H2527="Dana riba",H2527="Pinjam uang riba",I2527="Pinjam dari uang riba",I2527="Ganti uang riba",I2527="Kelebihan ganti dikembalikan",AND(C2527="Kantong Uang Riba",G2527="Pengeluaran"))),1,0)</f>
        <v/>
      </c>
      <c r="X2527" s="93">
        <f>IF(AND(B2527&lt;&gt;"",B2527&gt;='Buku Akun'!$H$4,B2527&lt;='Buku Akun'!$H$5,OR(C2527='Buku Akun'!$C$4,AND(D2527="Pindah",E2527='Buku Akun'!$C$4))),B2527+IF(AND(I2527="Selisih bunga",DAY(B2527)=1),0,0.01)+ROW()/10000000,"")</f>
        <v/>
      </c>
    </row>
    <row r="2528" outlineLevel="1" ht="15" customHeight="1" s="94">
      <c r="A2528" s="123">
        <f>IF(B2528="","",ROW()-15)</f>
        <v/>
      </c>
      <c r="B2528" s="124" t="n"/>
      <c r="C2528" s="123" t="n"/>
      <c r="D2528" s="123" t="n"/>
      <c r="E2528" s="123" t="n"/>
      <c r="F2528" s="125" t="n"/>
      <c r="G2528" s="123" t="n"/>
      <c r="H2528" s="123" t="n"/>
      <c r="I2528" s="123" t="n"/>
      <c r="J2528" s="123" t="n"/>
      <c r="K2528" s="123" t="n"/>
      <c r="L2528" s="123" t="n"/>
      <c r="M2528" s="123">
        <f>IF(AND(B2528&lt;&gt;"",OR($C$4="",ISNUMBER(SEARCH($C$4,C2528&amp;" "&amp;E2528&amp;" "&amp;G2528&amp;" "&amp;H2528&amp;" "&amp;I2528&amp;" "&amp;J2528&amp;" "&amp;K2528&amp;" "&amp;L2528))),OR($C$5="Semua",$C$5="",G2528=$C$5),OR($C$6="Semua",$C$6="",H2528=$C$6,H2528="Pengeluaran "&amp;$C$6,AND($C$6="Uang Kos Mama",H2528="Pengeluaran Uang Kos")),OR($C$7="Semua",$C$7="",I2528=$C$7),OR($C$8="Semua",$C$8="",C2528=$C$8,E2528=$C$8),OR($C$9="Semua",$C$9="",D2528=$C$9),OR($C$10="",B2528&gt;=$C$10),OR($C$11="",B2528&lt;=$C$11),OR($C$12&lt;&gt;"Ya",K2528&lt;&gt;""),OR($C$13="Semua",$C$13="",L2528=$C$13)),"✓","")</f>
        <v/>
      </c>
      <c r="N2528" s="93">
        <f>N(N2527)+IF(M2528="✓",1,0)</f>
        <v/>
      </c>
      <c r="O2528" s="93">
        <f>N(O2527)+IF(AND(B2528&lt;&gt;"",B2528&gt;='Uang Riba'!$H$30,B2528&lt;='Uang Riba'!$I$30,OR(H2528="Dana riba",H2528="Pinjam uang riba",I2528="Pinjam dari uang riba",I2528="Ganti uang riba",I2528="Kelebihan ganti dikembalikan",AND(C2528="Kantong Uang Riba",G2528="Pengeluaran"))),1,0)</f>
        <v/>
      </c>
      <c r="X2528" s="93">
        <f>IF(AND(B2528&lt;&gt;"",B2528&gt;='Buku Akun'!$H$4,B2528&lt;='Buku Akun'!$H$5,OR(C2528='Buku Akun'!$C$4,AND(D2528="Pindah",E2528='Buku Akun'!$C$4))),B2528+IF(AND(I2528="Selisih bunga",DAY(B2528)=1),0,0.01)+ROW()/10000000,"")</f>
        <v/>
      </c>
    </row>
    <row r="2529" outlineLevel="1" ht="15" customHeight="1" s="94">
      <c r="A2529" s="123">
        <f>IF(B2529="","",ROW()-15)</f>
        <v/>
      </c>
      <c r="B2529" s="124" t="n"/>
      <c r="C2529" s="123" t="n"/>
      <c r="D2529" s="123" t="n"/>
      <c r="E2529" s="123" t="n"/>
      <c r="F2529" s="125" t="n"/>
      <c r="G2529" s="123" t="n"/>
      <c r="H2529" s="123" t="n"/>
      <c r="I2529" s="123" t="n"/>
      <c r="J2529" s="123" t="n"/>
      <c r="K2529" s="123" t="n"/>
      <c r="L2529" s="123" t="n"/>
      <c r="M2529" s="123">
        <f>IF(AND(B2529&lt;&gt;"",OR($C$4="",ISNUMBER(SEARCH($C$4,C2529&amp;" "&amp;E2529&amp;" "&amp;G2529&amp;" "&amp;H2529&amp;" "&amp;I2529&amp;" "&amp;J2529&amp;" "&amp;K2529&amp;" "&amp;L2529))),OR($C$5="Semua",$C$5="",G2529=$C$5),OR($C$6="Semua",$C$6="",H2529=$C$6,H2529="Pengeluaran "&amp;$C$6,AND($C$6="Uang Kos Mama",H2529="Pengeluaran Uang Kos")),OR($C$7="Semua",$C$7="",I2529=$C$7),OR($C$8="Semua",$C$8="",C2529=$C$8,E2529=$C$8),OR($C$9="Semua",$C$9="",D2529=$C$9),OR($C$10="",B2529&gt;=$C$10),OR($C$11="",B2529&lt;=$C$11),OR($C$12&lt;&gt;"Ya",K2529&lt;&gt;""),OR($C$13="Semua",$C$13="",L2529=$C$13)),"✓","")</f>
        <v/>
      </c>
      <c r="N2529" s="93">
        <f>N(N2528)+IF(M2529="✓",1,0)</f>
        <v/>
      </c>
      <c r="O2529" s="93">
        <f>N(O2528)+IF(AND(B2529&lt;&gt;"",B2529&gt;='Uang Riba'!$H$30,B2529&lt;='Uang Riba'!$I$30,OR(H2529="Dana riba",H2529="Pinjam uang riba",I2529="Pinjam dari uang riba",I2529="Ganti uang riba",I2529="Kelebihan ganti dikembalikan",AND(C2529="Kantong Uang Riba",G2529="Pengeluaran"))),1,0)</f>
        <v/>
      </c>
      <c r="X2529" s="93">
        <f>IF(AND(B2529&lt;&gt;"",B2529&gt;='Buku Akun'!$H$4,B2529&lt;='Buku Akun'!$H$5,OR(C2529='Buku Akun'!$C$4,AND(D2529="Pindah",E2529='Buku Akun'!$C$4))),B2529+IF(AND(I2529="Selisih bunga",DAY(B2529)=1),0,0.01)+ROW()/10000000,"")</f>
        <v/>
      </c>
    </row>
    <row r="2530" outlineLevel="1" ht="15" customHeight="1" s="94">
      <c r="A2530" s="123">
        <f>IF(B2530="","",ROW()-15)</f>
        <v/>
      </c>
      <c r="B2530" s="124" t="n"/>
      <c r="C2530" s="123" t="n"/>
      <c r="D2530" s="123" t="n"/>
      <c r="E2530" s="123" t="n"/>
      <c r="F2530" s="125" t="n"/>
      <c r="G2530" s="123" t="n"/>
      <c r="H2530" s="123" t="n"/>
      <c r="I2530" s="123" t="n"/>
      <c r="J2530" s="123" t="n"/>
      <c r="K2530" s="123" t="n"/>
      <c r="L2530" s="123" t="n"/>
      <c r="M2530" s="123">
        <f>IF(AND(B2530&lt;&gt;"",OR($C$4="",ISNUMBER(SEARCH($C$4,C2530&amp;" "&amp;E2530&amp;" "&amp;G2530&amp;" "&amp;H2530&amp;" "&amp;I2530&amp;" "&amp;J2530&amp;" "&amp;K2530&amp;" "&amp;L2530))),OR($C$5="Semua",$C$5="",G2530=$C$5),OR($C$6="Semua",$C$6="",H2530=$C$6,H2530="Pengeluaran "&amp;$C$6,AND($C$6="Uang Kos Mama",H2530="Pengeluaran Uang Kos")),OR($C$7="Semua",$C$7="",I2530=$C$7),OR($C$8="Semua",$C$8="",C2530=$C$8,E2530=$C$8),OR($C$9="Semua",$C$9="",D2530=$C$9),OR($C$10="",B2530&gt;=$C$10),OR($C$11="",B2530&lt;=$C$11),OR($C$12&lt;&gt;"Ya",K2530&lt;&gt;""),OR($C$13="Semua",$C$13="",L2530=$C$13)),"✓","")</f>
        <v/>
      </c>
      <c r="N2530" s="93">
        <f>N(N2529)+IF(M2530="✓",1,0)</f>
        <v/>
      </c>
      <c r="O2530" s="93">
        <f>N(O2529)+IF(AND(B2530&lt;&gt;"",B2530&gt;='Uang Riba'!$H$30,B2530&lt;='Uang Riba'!$I$30,OR(H2530="Dana riba",H2530="Pinjam uang riba",I2530="Pinjam dari uang riba",I2530="Ganti uang riba",I2530="Kelebihan ganti dikembalikan",AND(C2530="Kantong Uang Riba",G2530="Pengeluaran"))),1,0)</f>
        <v/>
      </c>
      <c r="X2530" s="93">
        <f>IF(AND(B2530&lt;&gt;"",B2530&gt;='Buku Akun'!$H$4,B2530&lt;='Buku Akun'!$H$5,OR(C2530='Buku Akun'!$C$4,AND(D2530="Pindah",E2530='Buku Akun'!$C$4))),B2530+IF(AND(I2530="Selisih bunga",DAY(B2530)=1),0,0.01)+ROW()/10000000,"")</f>
        <v/>
      </c>
    </row>
    <row r="2531" outlineLevel="1" ht="15" customHeight="1" s="94">
      <c r="A2531" s="123">
        <f>IF(B2531="","",ROW()-15)</f>
        <v/>
      </c>
      <c r="B2531" s="124" t="n"/>
      <c r="C2531" s="123" t="n"/>
      <c r="D2531" s="123" t="n"/>
      <c r="E2531" s="123" t="n"/>
      <c r="F2531" s="125" t="n"/>
      <c r="G2531" s="123" t="n"/>
      <c r="H2531" s="123" t="n"/>
      <c r="I2531" s="123" t="n"/>
      <c r="J2531" s="123" t="n"/>
      <c r="K2531" s="123" t="n"/>
      <c r="L2531" s="123" t="n"/>
      <c r="M2531" s="123">
        <f>IF(AND(B2531&lt;&gt;"",OR($C$4="",ISNUMBER(SEARCH($C$4,C2531&amp;" "&amp;E2531&amp;" "&amp;G2531&amp;" "&amp;H2531&amp;" "&amp;I2531&amp;" "&amp;J2531&amp;" "&amp;K2531&amp;" "&amp;L2531))),OR($C$5="Semua",$C$5="",G2531=$C$5),OR($C$6="Semua",$C$6="",H2531=$C$6,H2531="Pengeluaran "&amp;$C$6,AND($C$6="Uang Kos Mama",H2531="Pengeluaran Uang Kos")),OR($C$7="Semua",$C$7="",I2531=$C$7),OR($C$8="Semua",$C$8="",C2531=$C$8,E2531=$C$8),OR($C$9="Semua",$C$9="",D2531=$C$9),OR($C$10="",B2531&gt;=$C$10),OR($C$11="",B2531&lt;=$C$11),OR($C$12&lt;&gt;"Ya",K2531&lt;&gt;""),OR($C$13="Semua",$C$13="",L2531=$C$13)),"✓","")</f>
        <v/>
      </c>
      <c r="N2531" s="93">
        <f>N(N2530)+IF(M2531="✓",1,0)</f>
        <v/>
      </c>
      <c r="O2531" s="93">
        <f>N(O2530)+IF(AND(B2531&lt;&gt;"",B2531&gt;='Uang Riba'!$H$30,B2531&lt;='Uang Riba'!$I$30,OR(H2531="Dana riba",H2531="Pinjam uang riba",I2531="Pinjam dari uang riba",I2531="Ganti uang riba",I2531="Kelebihan ganti dikembalikan",AND(C2531="Kantong Uang Riba",G2531="Pengeluaran"))),1,0)</f>
        <v/>
      </c>
      <c r="X2531" s="93">
        <f>IF(AND(B2531&lt;&gt;"",B2531&gt;='Buku Akun'!$H$4,B2531&lt;='Buku Akun'!$H$5,OR(C2531='Buku Akun'!$C$4,AND(D2531="Pindah",E2531='Buku Akun'!$C$4))),B2531+IF(AND(I2531="Selisih bunga",DAY(B2531)=1),0,0.01)+ROW()/10000000,"")</f>
        <v/>
      </c>
    </row>
    <row r="2532" outlineLevel="1" ht="15" customHeight="1" s="94">
      <c r="A2532" s="123">
        <f>IF(B2532="","",ROW()-15)</f>
        <v/>
      </c>
      <c r="B2532" s="124" t="n"/>
      <c r="C2532" s="123" t="n"/>
      <c r="D2532" s="123" t="n"/>
      <c r="E2532" s="123" t="n"/>
      <c r="F2532" s="125" t="n"/>
      <c r="G2532" s="123" t="n"/>
      <c r="H2532" s="123" t="n"/>
      <c r="I2532" s="123" t="n"/>
      <c r="J2532" s="123" t="n"/>
      <c r="K2532" s="123" t="n"/>
      <c r="L2532" s="123" t="n"/>
      <c r="M2532" s="123">
        <f>IF(AND(B2532&lt;&gt;"",OR($C$4="",ISNUMBER(SEARCH($C$4,C2532&amp;" "&amp;E2532&amp;" "&amp;G2532&amp;" "&amp;H2532&amp;" "&amp;I2532&amp;" "&amp;J2532&amp;" "&amp;K2532&amp;" "&amp;L2532))),OR($C$5="Semua",$C$5="",G2532=$C$5),OR($C$6="Semua",$C$6="",H2532=$C$6,H2532="Pengeluaran "&amp;$C$6,AND($C$6="Uang Kos Mama",H2532="Pengeluaran Uang Kos")),OR($C$7="Semua",$C$7="",I2532=$C$7),OR($C$8="Semua",$C$8="",C2532=$C$8,E2532=$C$8),OR($C$9="Semua",$C$9="",D2532=$C$9),OR($C$10="",B2532&gt;=$C$10),OR($C$11="",B2532&lt;=$C$11),OR($C$12&lt;&gt;"Ya",K2532&lt;&gt;""),OR($C$13="Semua",$C$13="",L2532=$C$13)),"✓","")</f>
        <v/>
      </c>
      <c r="N2532" s="93">
        <f>N(N2531)+IF(M2532="✓",1,0)</f>
        <v/>
      </c>
      <c r="O2532" s="93">
        <f>N(O2531)+IF(AND(B2532&lt;&gt;"",B2532&gt;='Uang Riba'!$H$30,B2532&lt;='Uang Riba'!$I$30,OR(H2532="Dana riba",H2532="Pinjam uang riba",I2532="Pinjam dari uang riba",I2532="Ganti uang riba",I2532="Kelebihan ganti dikembalikan",AND(C2532="Kantong Uang Riba",G2532="Pengeluaran"))),1,0)</f>
        <v/>
      </c>
      <c r="X2532" s="93">
        <f>IF(AND(B2532&lt;&gt;"",B2532&gt;='Buku Akun'!$H$4,B2532&lt;='Buku Akun'!$H$5,OR(C2532='Buku Akun'!$C$4,AND(D2532="Pindah",E2532='Buku Akun'!$C$4))),B2532+IF(AND(I2532="Selisih bunga",DAY(B2532)=1),0,0.01)+ROW()/10000000,"")</f>
        <v/>
      </c>
    </row>
    <row r="2533" outlineLevel="1" ht="15" customHeight="1" s="94">
      <c r="A2533" s="123">
        <f>IF(B2533="","",ROW()-15)</f>
        <v/>
      </c>
      <c r="B2533" s="124" t="n"/>
      <c r="C2533" s="123" t="n"/>
      <c r="D2533" s="123" t="n"/>
      <c r="E2533" s="123" t="n"/>
      <c r="F2533" s="125" t="n"/>
      <c r="G2533" s="123" t="n"/>
      <c r="H2533" s="123" t="n"/>
      <c r="I2533" s="123" t="n"/>
      <c r="J2533" s="123" t="n"/>
      <c r="K2533" s="123" t="n"/>
      <c r="L2533" s="123" t="n"/>
      <c r="M2533" s="123">
        <f>IF(AND(B2533&lt;&gt;"",OR($C$4="",ISNUMBER(SEARCH($C$4,C2533&amp;" "&amp;E2533&amp;" "&amp;G2533&amp;" "&amp;H2533&amp;" "&amp;I2533&amp;" "&amp;J2533&amp;" "&amp;K2533&amp;" "&amp;L2533))),OR($C$5="Semua",$C$5="",G2533=$C$5),OR($C$6="Semua",$C$6="",H2533=$C$6,H2533="Pengeluaran "&amp;$C$6,AND($C$6="Uang Kos Mama",H2533="Pengeluaran Uang Kos")),OR($C$7="Semua",$C$7="",I2533=$C$7),OR($C$8="Semua",$C$8="",C2533=$C$8,E2533=$C$8),OR($C$9="Semua",$C$9="",D2533=$C$9),OR($C$10="",B2533&gt;=$C$10),OR($C$11="",B2533&lt;=$C$11),OR($C$12&lt;&gt;"Ya",K2533&lt;&gt;""),OR($C$13="Semua",$C$13="",L2533=$C$13)),"✓","")</f>
        <v/>
      </c>
      <c r="N2533" s="93">
        <f>N(N2532)+IF(M2533="✓",1,0)</f>
        <v/>
      </c>
      <c r="O2533" s="93">
        <f>N(O2532)+IF(AND(B2533&lt;&gt;"",B2533&gt;='Uang Riba'!$H$30,B2533&lt;='Uang Riba'!$I$30,OR(H2533="Dana riba",H2533="Pinjam uang riba",I2533="Pinjam dari uang riba",I2533="Ganti uang riba",I2533="Kelebihan ganti dikembalikan",AND(C2533="Kantong Uang Riba",G2533="Pengeluaran"))),1,0)</f>
        <v/>
      </c>
      <c r="X2533" s="93">
        <f>IF(AND(B2533&lt;&gt;"",B2533&gt;='Buku Akun'!$H$4,B2533&lt;='Buku Akun'!$H$5,OR(C2533='Buku Akun'!$C$4,AND(D2533="Pindah",E2533='Buku Akun'!$C$4))),B2533+IF(AND(I2533="Selisih bunga",DAY(B2533)=1),0,0.01)+ROW()/10000000,"")</f>
        <v/>
      </c>
    </row>
    <row r="2534" outlineLevel="1" ht="15" customHeight="1" s="94">
      <c r="A2534" s="123">
        <f>IF(B2534="","",ROW()-15)</f>
        <v/>
      </c>
      <c r="B2534" s="124" t="n"/>
      <c r="C2534" s="123" t="n"/>
      <c r="D2534" s="123" t="n"/>
      <c r="E2534" s="123" t="n"/>
      <c r="F2534" s="125" t="n"/>
      <c r="G2534" s="123" t="n"/>
      <c r="H2534" s="123" t="n"/>
      <c r="I2534" s="123" t="n"/>
      <c r="J2534" s="123" t="n"/>
      <c r="K2534" s="123" t="n"/>
      <c r="L2534" s="123" t="n"/>
      <c r="M2534" s="123">
        <f>IF(AND(B2534&lt;&gt;"",OR($C$4="",ISNUMBER(SEARCH($C$4,C2534&amp;" "&amp;E2534&amp;" "&amp;G2534&amp;" "&amp;H2534&amp;" "&amp;I2534&amp;" "&amp;J2534&amp;" "&amp;K2534&amp;" "&amp;L2534))),OR($C$5="Semua",$C$5="",G2534=$C$5),OR($C$6="Semua",$C$6="",H2534=$C$6,H2534="Pengeluaran "&amp;$C$6,AND($C$6="Uang Kos Mama",H2534="Pengeluaran Uang Kos")),OR($C$7="Semua",$C$7="",I2534=$C$7),OR($C$8="Semua",$C$8="",C2534=$C$8,E2534=$C$8),OR($C$9="Semua",$C$9="",D2534=$C$9),OR($C$10="",B2534&gt;=$C$10),OR($C$11="",B2534&lt;=$C$11),OR($C$12&lt;&gt;"Ya",K2534&lt;&gt;""),OR($C$13="Semua",$C$13="",L2534=$C$13)),"✓","")</f>
        <v/>
      </c>
      <c r="N2534" s="93">
        <f>N(N2533)+IF(M2534="✓",1,0)</f>
        <v/>
      </c>
      <c r="O2534" s="93">
        <f>N(O2533)+IF(AND(B2534&lt;&gt;"",B2534&gt;='Uang Riba'!$H$30,B2534&lt;='Uang Riba'!$I$30,OR(H2534="Dana riba",H2534="Pinjam uang riba",I2534="Pinjam dari uang riba",I2534="Ganti uang riba",I2534="Kelebihan ganti dikembalikan",AND(C2534="Kantong Uang Riba",G2534="Pengeluaran"))),1,0)</f>
        <v/>
      </c>
      <c r="X2534" s="93">
        <f>IF(AND(B2534&lt;&gt;"",B2534&gt;='Buku Akun'!$H$4,B2534&lt;='Buku Akun'!$H$5,OR(C2534='Buku Akun'!$C$4,AND(D2534="Pindah",E2534='Buku Akun'!$C$4))),B2534+IF(AND(I2534="Selisih bunga",DAY(B2534)=1),0,0.01)+ROW()/10000000,"")</f>
        <v/>
      </c>
    </row>
    <row r="2535" outlineLevel="1" ht="15" customHeight="1" s="94">
      <c r="A2535" s="123">
        <f>IF(B2535="","",ROW()-15)</f>
        <v/>
      </c>
      <c r="B2535" s="124" t="n"/>
      <c r="C2535" s="123" t="n"/>
      <c r="D2535" s="123" t="n"/>
      <c r="E2535" s="123" t="n"/>
      <c r="F2535" s="125" t="n"/>
      <c r="G2535" s="123" t="n"/>
      <c r="H2535" s="123" t="n"/>
      <c r="I2535" s="123" t="n"/>
      <c r="J2535" s="123" t="n"/>
      <c r="K2535" s="123" t="n"/>
      <c r="L2535" s="123" t="n"/>
      <c r="M2535" s="123">
        <f>IF(AND(B2535&lt;&gt;"",OR($C$4="",ISNUMBER(SEARCH($C$4,C2535&amp;" "&amp;E2535&amp;" "&amp;G2535&amp;" "&amp;H2535&amp;" "&amp;I2535&amp;" "&amp;J2535&amp;" "&amp;K2535&amp;" "&amp;L2535))),OR($C$5="Semua",$C$5="",G2535=$C$5),OR($C$6="Semua",$C$6="",H2535=$C$6,H2535="Pengeluaran "&amp;$C$6,AND($C$6="Uang Kos Mama",H2535="Pengeluaran Uang Kos")),OR($C$7="Semua",$C$7="",I2535=$C$7),OR($C$8="Semua",$C$8="",C2535=$C$8,E2535=$C$8),OR($C$9="Semua",$C$9="",D2535=$C$9),OR($C$10="",B2535&gt;=$C$10),OR($C$11="",B2535&lt;=$C$11),OR($C$12&lt;&gt;"Ya",K2535&lt;&gt;""),OR($C$13="Semua",$C$13="",L2535=$C$13)),"✓","")</f>
        <v/>
      </c>
      <c r="N2535" s="93">
        <f>N(N2534)+IF(M2535="✓",1,0)</f>
        <v/>
      </c>
      <c r="O2535" s="93">
        <f>N(O2534)+IF(AND(B2535&lt;&gt;"",B2535&gt;='Uang Riba'!$H$30,B2535&lt;='Uang Riba'!$I$30,OR(H2535="Dana riba",H2535="Pinjam uang riba",I2535="Pinjam dari uang riba",I2535="Ganti uang riba",I2535="Kelebihan ganti dikembalikan",AND(C2535="Kantong Uang Riba",G2535="Pengeluaran"))),1,0)</f>
        <v/>
      </c>
      <c r="X2535" s="93">
        <f>IF(AND(B2535&lt;&gt;"",B2535&gt;='Buku Akun'!$H$4,B2535&lt;='Buku Akun'!$H$5,OR(C2535='Buku Akun'!$C$4,AND(D2535="Pindah",E2535='Buku Akun'!$C$4))),B2535+IF(AND(I2535="Selisih bunga",DAY(B2535)=1),0,0.01)+ROW()/10000000,"")</f>
        <v/>
      </c>
    </row>
    <row r="2536" outlineLevel="1" ht="15" customHeight="1" s="94">
      <c r="A2536" s="123">
        <f>IF(B2536="","",ROW()-15)</f>
        <v/>
      </c>
      <c r="B2536" s="124" t="n"/>
      <c r="C2536" s="123" t="n"/>
      <c r="D2536" s="123" t="n"/>
      <c r="E2536" s="123" t="n"/>
      <c r="F2536" s="125" t="n"/>
      <c r="G2536" s="123" t="n"/>
      <c r="H2536" s="123" t="n"/>
      <c r="I2536" s="123" t="n"/>
      <c r="J2536" s="123" t="n"/>
      <c r="K2536" s="123" t="n"/>
      <c r="L2536" s="123" t="n"/>
      <c r="M2536" s="123">
        <f>IF(AND(B2536&lt;&gt;"",OR($C$4="",ISNUMBER(SEARCH($C$4,C2536&amp;" "&amp;E2536&amp;" "&amp;G2536&amp;" "&amp;H2536&amp;" "&amp;I2536&amp;" "&amp;J2536&amp;" "&amp;K2536&amp;" "&amp;L2536))),OR($C$5="Semua",$C$5="",G2536=$C$5),OR($C$6="Semua",$C$6="",H2536=$C$6,H2536="Pengeluaran "&amp;$C$6,AND($C$6="Uang Kos Mama",H2536="Pengeluaran Uang Kos")),OR($C$7="Semua",$C$7="",I2536=$C$7),OR($C$8="Semua",$C$8="",C2536=$C$8,E2536=$C$8),OR($C$9="Semua",$C$9="",D2536=$C$9),OR($C$10="",B2536&gt;=$C$10),OR($C$11="",B2536&lt;=$C$11),OR($C$12&lt;&gt;"Ya",K2536&lt;&gt;""),OR($C$13="Semua",$C$13="",L2536=$C$13)),"✓","")</f>
        <v/>
      </c>
      <c r="N2536" s="93">
        <f>N(N2535)+IF(M2536="✓",1,0)</f>
        <v/>
      </c>
      <c r="O2536" s="93">
        <f>N(O2535)+IF(AND(B2536&lt;&gt;"",B2536&gt;='Uang Riba'!$H$30,B2536&lt;='Uang Riba'!$I$30,OR(H2536="Dana riba",H2536="Pinjam uang riba",I2536="Pinjam dari uang riba",I2536="Ganti uang riba",I2536="Kelebihan ganti dikembalikan",AND(C2536="Kantong Uang Riba",G2536="Pengeluaran"))),1,0)</f>
        <v/>
      </c>
      <c r="X2536" s="93">
        <f>IF(AND(B2536&lt;&gt;"",B2536&gt;='Buku Akun'!$H$4,B2536&lt;='Buku Akun'!$H$5,OR(C2536='Buku Akun'!$C$4,AND(D2536="Pindah",E2536='Buku Akun'!$C$4))),B2536+IF(AND(I2536="Selisih bunga",DAY(B2536)=1),0,0.01)+ROW()/10000000,"")</f>
        <v/>
      </c>
    </row>
    <row r="2537" outlineLevel="1" ht="15" customHeight="1" s="94">
      <c r="A2537" s="123">
        <f>IF(B2537="","",ROW()-15)</f>
        <v/>
      </c>
      <c r="B2537" s="124" t="n"/>
      <c r="C2537" s="123" t="n"/>
      <c r="D2537" s="123" t="n"/>
      <c r="E2537" s="123" t="n"/>
      <c r="F2537" s="125" t="n"/>
      <c r="G2537" s="123" t="n"/>
      <c r="H2537" s="123" t="n"/>
      <c r="I2537" s="123" t="n"/>
      <c r="J2537" s="123" t="n"/>
      <c r="K2537" s="123" t="n"/>
      <c r="L2537" s="123" t="n"/>
      <c r="M2537" s="123">
        <f>IF(AND(B2537&lt;&gt;"",OR($C$4="",ISNUMBER(SEARCH($C$4,C2537&amp;" "&amp;E2537&amp;" "&amp;G2537&amp;" "&amp;H2537&amp;" "&amp;I2537&amp;" "&amp;J2537&amp;" "&amp;K2537&amp;" "&amp;L2537))),OR($C$5="Semua",$C$5="",G2537=$C$5),OR($C$6="Semua",$C$6="",H2537=$C$6,H2537="Pengeluaran "&amp;$C$6,AND($C$6="Uang Kos Mama",H2537="Pengeluaran Uang Kos")),OR($C$7="Semua",$C$7="",I2537=$C$7),OR($C$8="Semua",$C$8="",C2537=$C$8,E2537=$C$8),OR($C$9="Semua",$C$9="",D2537=$C$9),OR($C$10="",B2537&gt;=$C$10),OR($C$11="",B2537&lt;=$C$11),OR($C$12&lt;&gt;"Ya",K2537&lt;&gt;""),OR($C$13="Semua",$C$13="",L2537=$C$13)),"✓","")</f>
        <v/>
      </c>
      <c r="N2537" s="93">
        <f>N(N2536)+IF(M2537="✓",1,0)</f>
        <v/>
      </c>
      <c r="O2537" s="93">
        <f>N(O2536)+IF(AND(B2537&lt;&gt;"",B2537&gt;='Uang Riba'!$H$30,B2537&lt;='Uang Riba'!$I$30,OR(H2537="Dana riba",H2537="Pinjam uang riba",I2537="Pinjam dari uang riba",I2537="Ganti uang riba",I2537="Kelebihan ganti dikembalikan",AND(C2537="Kantong Uang Riba",G2537="Pengeluaran"))),1,0)</f>
        <v/>
      </c>
      <c r="X2537" s="93">
        <f>IF(AND(B2537&lt;&gt;"",B2537&gt;='Buku Akun'!$H$4,B2537&lt;='Buku Akun'!$H$5,OR(C2537='Buku Akun'!$C$4,AND(D2537="Pindah",E2537='Buku Akun'!$C$4))),B2537+IF(AND(I2537="Selisih bunga",DAY(B2537)=1),0,0.01)+ROW()/10000000,"")</f>
        <v/>
      </c>
    </row>
    <row r="2538" outlineLevel="1" ht="15" customHeight="1" s="94">
      <c r="A2538" s="123">
        <f>IF(B2538="","",ROW()-15)</f>
        <v/>
      </c>
      <c r="B2538" s="124" t="n"/>
      <c r="C2538" s="123" t="n"/>
      <c r="D2538" s="123" t="n"/>
      <c r="E2538" s="123" t="n"/>
      <c r="F2538" s="125" t="n"/>
      <c r="G2538" s="123" t="n"/>
      <c r="H2538" s="123" t="n"/>
      <c r="I2538" s="123" t="n"/>
      <c r="J2538" s="123" t="n"/>
      <c r="K2538" s="123" t="n"/>
      <c r="L2538" s="123" t="n"/>
      <c r="M2538" s="123">
        <f>IF(AND(B2538&lt;&gt;"",OR($C$4="",ISNUMBER(SEARCH($C$4,C2538&amp;" "&amp;E2538&amp;" "&amp;G2538&amp;" "&amp;H2538&amp;" "&amp;I2538&amp;" "&amp;J2538&amp;" "&amp;K2538&amp;" "&amp;L2538))),OR($C$5="Semua",$C$5="",G2538=$C$5),OR($C$6="Semua",$C$6="",H2538=$C$6,H2538="Pengeluaran "&amp;$C$6,AND($C$6="Uang Kos Mama",H2538="Pengeluaran Uang Kos")),OR($C$7="Semua",$C$7="",I2538=$C$7),OR($C$8="Semua",$C$8="",C2538=$C$8,E2538=$C$8),OR($C$9="Semua",$C$9="",D2538=$C$9),OR($C$10="",B2538&gt;=$C$10),OR($C$11="",B2538&lt;=$C$11),OR($C$12&lt;&gt;"Ya",K2538&lt;&gt;""),OR($C$13="Semua",$C$13="",L2538=$C$13)),"✓","")</f>
        <v/>
      </c>
      <c r="N2538" s="93">
        <f>N(N2537)+IF(M2538="✓",1,0)</f>
        <v/>
      </c>
      <c r="O2538" s="93">
        <f>N(O2537)+IF(AND(B2538&lt;&gt;"",B2538&gt;='Uang Riba'!$H$30,B2538&lt;='Uang Riba'!$I$30,OR(H2538="Dana riba",H2538="Pinjam uang riba",I2538="Pinjam dari uang riba",I2538="Ganti uang riba",I2538="Kelebihan ganti dikembalikan",AND(C2538="Kantong Uang Riba",G2538="Pengeluaran"))),1,0)</f>
        <v/>
      </c>
      <c r="X2538" s="93">
        <f>IF(AND(B2538&lt;&gt;"",B2538&gt;='Buku Akun'!$H$4,B2538&lt;='Buku Akun'!$H$5,OR(C2538='Buku Akun'!$C$4,AND(D2538="Pindah",E2538='Buku Akun'!$C$4))),B2538+IF(AND(I2538="Selisih bunga",DAY(B2538)=1),0,0.01)+ROW()/10000000,"")</f>
        <v/>
      </c>
    </row>
    <row r="2539" outlineLevel="1" ht="15" customHeight="1" s="94">
      <c r="A2539" s="123">
        <f>IF(B2539="","",ROW()-15)</f>
        <v/>
      </c>
      <c r="B2539" s="124" t="n"/>
      <c r="C2539" s="123" t="n"/>
      <c r="D2539" s="123" t="n"/>
      <c r="E2539" s="123" t="n"/>
      <c r="F2539" s="125" t="n"/>
      <c r="G2539" s="123" t="n"/>
      <c r="H2539" s="123" t="n"/>
      <c r="I2539" s="123" t="n"/>
      <c r="J2539" s="123" t="n"/>
      <c r="K2539" s="123" t="n"/>
      <c r="L2539" s="123" t="n"/>
      <c r="M2539" s="123">
        <f>IF(AND(B2539&lt;&gt;"",OR($C$4="",ISNUMBER(SEARCH($C$4,C2539&amp;" "&amp;E2539&amp;" "&amp;G2539&amp;" "&amp;H2539&amp;" "&amp;I2539&amp;" "&amp;J2539&amp;" "&amp;K2539&amp;" "&amp;L2539))),OR($C$5="Semua",$C$5="",G2539=$C$5),OR($C$6="Semua",$C$6="",H2539=$C$6,H2539="Pengeluaran "&amp;$C$6,AND($C$6="Uang Kos Mama",H2539="Pengeluaran Uang Kos")),OR($C$7="Semua",$C$7="",I2539=$C$7),OR($C$8="Semua",$C$8="",C2539=$C$8,E2539=$C$8),OR($C$9="Semua",$C$9="",D2539=$C$9),OR($C$10="",B2539&gt;=$C$10),OR($C$11="",B2539&lt;=$C$11),OR($C$12&lt;&gt;"Ya",K2539&lt;&gt;""),OR($C$13="Semua",$C$13="",L2539=$C$13)),"✓","")</f>
        <v/>
      </c>
      <c r="N2539" s="93">
        <f>N(N2538)+IF(M2539="✓",1,0)</f>
        <v/>
      </c>
      <c r="O2539" s="93">
        <f>N(O2538)+IF(AND(B2539&lt;&gt;"",B2539&gt;='Uang Riba'!$H$30,B2539&lt;='Uang Riba'!$I$30,OR(H2539="Dana riba",H2539="Pinjam uang riba",I2539="Pinjam dari uang riba",I2539="Ganti uang riba",I2539="Kelebihan ganti dikembalikan",AND(C2539="Kantong Uang Riba",G2539="Pengeluaran"))),1,0)</f>
        <v/>
      </c>
      <c r="X2539" s="93">
        <f>IF(AND(B2539&lt;&gt;"",B2539&gt;='Buku Akun'!$H$4,B2539&lt;='Buku Akun'!$H$5,OR(C2539='Buku Akun'!$C$4,AND(D2539="Pindah",E2539='Buku Akun'!$C$4))),B2539+IF(AND(I2539="Selisih bunga",DAY(B2539)=1),0,0.01)+ROW()/10000000,"")</f>
        <v/>
      </c>
    </row>
    <row r="2540" outlineLevel="1" ht="15" customHeight="1" s="94">
      <c r="A2540" s="123">
        <f>IF(B2540="","",ROW()-15)</f>
        <v/>
      </c>
      <c r="B2540" s="124" t="n"/>
      <c r="C2540" s="123" t="n"/>
      <c r="D2540" s="123" t="n"/>
      <c r="E2540" s="123" t="n"/>
      <c r="F2540" s="125" t="n"/>
      <c r="G2540" s="123" t="n"/>
      <c r="H2540" s="123" t="n"/>
      <c r="I2540" s="123" t="n"/>
      <c r="J2540" s="123" t="n"/>
      <c r="K2540" s="123" t="n"/>
      <c r="L2540" s="123" t="n"/>
      <c r="M2540" s="123">
        <f>IF(AND(B2540&lt;&gt;"",OR($C$4="",ISNUMBER(SEARCH($C$4,C2540&amp;" "&amp;E2540&amp;" "&amp;G2540&amp;" "&amp;H2540&amp;" "&amp;I2540&amp;" "&amp;J2540&amp;" "&amp;K2540&amp;" "&amp;L2540))),OR($C$5="Semua",$C$5="",G2540=$C$5),OR($C$6="Semua",$C$6="",H2540=$C$6,H2540="Pengeluaran "&amp;$C$6,AND($C$6="Uang Kos Mama",H2540="Pengeluaran Uang Kos")),OR($C$7="Semua",$C$7="",I2540=$C$7),OR($C$8="Semua",$C$8="",C2540=$C$8,E2540=$C$8),OR($C$9="Semua",$C$9="",D2540=$C$9),OR($C$10="",B2540&gt;=$C$10),OR($C$11="",B2540&lt;=$C$11),OR($C$12&lt;&gt;"Ya",K2540&lt;&gt;""),OR($C$13="Semua",$C$13="",L2540=$C$13)),"✓","")</f>
        <v/>
      </c>
      <c r="N2540" s="93">
        <f>N(N2539)+IF(M2540="✓",1,0)</f>
        <v/>
      </c>
      <c r="O2540" s="93">
        <f>N(O2539)+IF(AND(B2540&lt;&gt;"",B2540&gt;='Uang Riba'!$H$30,B2540&lt;='Uang Riba'!$I$30,OR(H2540="Dana riba",H2540="Pinjam uang riba",I2540="Pinjam dari uang riba",I2540="Ganti uang riba",I2540="Kelebihan ganti dikembalikan",AND(C2540="Kantong Uang Riba",G2540="Pengeluaran"))),1,0)</f>
        <v/>
      </c>
      <c r="X2540" s="93">
        <f>IF(AND(B2540&lt;&gt;"",B2540&gt;='Buku Akun'!$H$4,B2540&lt;='Buku Akun'!$H$5,OR(C2540='Buku Akun'!$C$4,AND(D2540="Pindah",E2540='Buku Akun'!$C$4))),B2540+IF(AND(I2540="Selisih bunga",DAY(B2540)=1),0,0.01)+ROW()/10000000,"")</f>
        <v/>
      </c>
    </row>
    <row r="2541" outlineLevel="1" ht="15" customHeight="1" s="94">
      <c r="A2541" s="123">
        <f>IF(B2541="","",ROW()-15)</f>
        <v/>
      </c>
      <c r="B2541" s="124" t="n"/>
      <c r="C2541" s="123" t="n"/>
      <c r="D2541" s="123" t="n"/>
      <c r="E2541" s="123" t="n"/>
      <c r="F2541" s="125" t="n"/>
      <c r="G2541" s="123" t="n"/>
      <c r="H2541" s="123" t="n"/>
      <c r="I2541" s="123" t="n"/>
      <c r="J2541" s="123" t="n"/>
      <c r="K2541" s="123" t="n"/>
      <c r="L2541" s="123" t="n"/>
      <c r="M2541" s="123">
        <f>IF(AND(B2541&lt;&gt;"",OR($C$4="",ISNUMBER(SEARCH($C$4,C2541&amp;" "&amp;E2541&amp;" "&amp;G2541&amp;" "&amp;H2541&amp;" "&amp;I2541&amp;" "&amp;J2541&amp;" "&amp;K2541&amp;" "&amp;L2541))),OR($C$5="Semua",$C$5="",G2541=$C$5),OR($C$6="Semua",$C$6="",H2541=$C$6,H2541="Pengeluaran "&amp;$C$6,AND($C$6="Uang Kos Mama",H2541="Pengeluaran Uang Kos")),OR($C$7="Semua",$C$7="",I2541=$C$7),OR($C$8="Semua",$C$8="",C2541=$C$8,E2541=$C$8),OR($C$9="Semua",$C$9="",D2541=$C$9),OR($C$10="",B2541&gt;=$C$10),OR($C$11="",B2541&lt;=$C$11),OR($C$12&lt;&gt;"Ya",K2541&lt;&gt;""),OR($C$13="Semua",$C$13="",L2541=$C$13)),"✓","")</f>
        <v/>
      </c>
      <c r="N2541" s="93">
        <f>N(N2540)+IF(M2541="✓",1,0)</f>
        <v/>
      </c>
      <c r="O2541" s="93">
        <f>N(O2540)+IF(AND(B2541&lt;&gt;"",B2541&gt;='Uang Riba'!$H$30,B2541&lt;='Uang Riba'!$I$30,OR(H2541="Dana riba",H2541="Pinjam uang riba",I2541="Pinjam dari uang riba",I2541="Ganti uang riba",I2541="Kelebihan ganti dikembalikan",AND(C2541="Kantong Uang Riba",G2541="Pengeluaran"))),1,0)</f>
        <v/>
      </c>
      <c r="X2541" s="93">
        <f>IF(AND(B2541&lt;&gt;"",B2541&gt;='Buku Akun'!$H$4,B2541&lt;='Buku Akun'!$H$5,OR(C2541='Buku Akun'!$C$4,AND(D2541="Pindah",E2541='Buku Akun'!$C$4))),B2541+IF(AND(I2541="Selisih bunga",DAY(B2541)=1),0,0.01)+ROW()/10000000,"")</f>
        <v/>
      </c>
    </row>
    <row r="2542" outlineLevel="1" ht="15" customHeight="1" s="94">
      <c r="A2542" s="123">
        <f>IF(B2542="","",ROW()-15)</f>
        <v/>
      </c>
      <c r="B2542" s="124" t="n"/>
      <c r="C2542" s="123" t="n"/>
      <c r="D2542" s="123" t="n"/>
      <c r="E2542" s="123" t="n"/>
      <c r="F2542" s="125" t="n"/>
      <c r="G2542" s="123" t="n"/>
      <c r="H2542" s="123" t="n"/>
      <c r="I2542" s="123" t="n"/>
      <c r="J2542" s="123" t="n"/>
      <c r="K2542" s="123" t="n"/>
      <c r="L2542" s="123" t="n"/>
      <c r="M2542" s="123">
        <f>IF(AND(B2542&lt;&gt;"",OR($C$4="",ISNUMBER(SEARCH($C$4,C2542&amp;" "&amp;E2542&amp;" "&amp;G2542&amp;" "&amp;H2542&amp;" "&amp;I2542&amp;" "&amp;J2542&amp;" "&amp;K2542&amp;" "&amp;L2542))),OR($C$5="Semua",$C$5="",G2542=$C$5),OR($C$6="Semua",$C$6="",H2542=$C$6,H2542="Pengeluaran "&amp;$C$6,AND($C$6="Uang Kos Mama",H2542="Pengeluaran Uang Kos")),OR($C$7="Semua",$C$7="",I2542=$C$7),OR($C$8="Semua",$C$8="",C2542=$C$8,E2542=$C$8),OR($C$9="Semua",$C$9="",D2542=$C$9),OR($C$10="",B2542&gt;=$C$10),OR($C$11="",B2542&lt;=$C$11),OR($C$12&lt;&gt;"Ya",K2542&lt;&gt;""),OR($C$13="Semua",$C$13="",L2542=$C$13)),"✓","")</f>
        <v/>
      </c>
      <c r="N2542" s="93">
        <f>N(N2541)+IF(M2542="✓",1,0)</f>
        <v/>
      </c>
      <c r="O2542" s="93">
        <f>N(O2541)+IF(AND(B2542&lt;&gt;"",B2542&gt;='Uang Riba'!$H$30,B2542&lt;='Uang Riba'!$I$30,OR(H2542="Dana riba",H2542="Pinjam uang riba",I2542="Pinjam dari uang riba",I2542="Ganti uang riba",I2542="Kelebihan ganti dikembalikan",AND(C2542="Kantong Uang Riba",G2542="Pengeluaran"))),1,0)</f>
        <v/>
      </c>
      <c r="X2542" s="93">
        <f>IF(AND(B2542&lt;&gt;"",B2542&gt;='Buku Akun'!$H$4,B2542&lt;='Buku Akun'!$H$5,OR(C2542='Buku Akun'!$C$4,AND(D2542="Pindah",E2542='Buku Akun'!$C$4))),B2542+IF(AND(I2542="Selisih bunga",DAY(B2542)=1),0,0.01)+ROW()/10000000,"")</f>
        <v/>
      </c>
    </row>
    <row r="2543" outlineLevel="1" ht="15" customHeight="1" s="94">
      <c r="A2543" s="123">
        <f>IF(B2543="","",ROW()-15)</f>
        <v/>
      </c>
      <c r="B2543" s="124" t="n"/>
      <c r="C2543" s="123" t="n"/>
      <c r="D2543" s="123" t="n"/>
      <c r="E2543" s="123" t="n"/>
      <c r="F2543" s="125" t="n"/>
      <c r="G2543" s="123" t="n"/>
      <c r="H2543" s="123" t="n"/>
      <c r="I2543" s="123" t="n"/>
      <c r="J2543" s="123" t="n"/>
      <c r="K2543" s="123" t="n"/>
      <c r="L2543" s="123" t="n"/>
      <c r="M2543" s="123">
        <f>IF(AND(B2543&lt;&gt;"",OR($C$4="",ISNUMBER(SEARCH($C$4,C2543&amp;" "&amp;E2543&amp;" "&amp;G2543&amp;" "&amp;H2543&amp;" "&amp;I2543&amp;" "&amp;J2543&amp;" "&amp;K2543&amp;" "&amp;L2543))),OR($C$5="Semua",$C$5="",G2543=$C$5),OR($C$6="Semua",$C$6="",H2543=$C$6,H2543="Pengeluaran "&amp;$C$6,AND($C$6="Uang Kos Mama",H2543="Pengeluaran Uang Kos")),OR($C$7="Semua",$C$7="",I2543=$C$7),OR($C$8="Semua",$C$8="",C2543=$C$8,E2543=$C$8),OR($C$9="Semua",$C$9="",D2543=$C$9),OR($C$10="",B2543&gt;=$C$10),OR($C$11="",B2543&lt;=$C$11),OR($C$12&lt;&gt;"Ya",K2543&lt;&gt;""),OR($C$13="Semua",$C$13="",L2543=$C$13)),"✓","")</f>
        <v/>
      </c>
      <c r="N2543" s="93">
        <f>N(N2542)+IF(M2543="✓",1,0)</f>
        <v/>
      </c>
      <c r="O2543" s="93">
        <f>N(O2542)+IF(AND(B2543&lt;&gt;"",B2543&gt;='Uang Riba'!$H$30,B2543&lt;='Uang Riba'!$I$30,OR(H2543="Dana riba",H2543="Pinjam uang riba",I2543="Pinjam dari uang riba",I2543="Ganti uang riba",I2543="Kelebihan ganti dikembalikan",AND(C2543="Kantong Uang Riba",G2543="Pengeluaran"))),1,0)</f>
        <v/>
      </c>
      <c r="X2543" s="93">
        <f>IF(AND(B2543&lt;&gt;"",B2543&gt;='Buku Akun'!$H$4,B2543&lt;='Buku Akun'!$H$5,OR(C2543='Buku Akun'!$C$4,AND(D2543="Pindah",E2543='Buku Akun'!$C$4))),B2543+IF(AND(I2543="Selisih bunga",DAY(B2543)=1),0,0.01)+ROW()/10000000,"")</f>
        <v/>
      </c>
    </row>
    <row r="2544" outlineLevel="1" ht="15" customHeight="1" s="94">
      <c r="A2544" s="123">
        <f>IF(B2544="","",ROW()-15)</f>
        <v/>
      </c>
      <c r="B2544" s="124" t="n"/>
      <c r="C2544" s="123" t="n"/>
      <c r="D2544" s="123" t="n"/>
      <c r="E2544" s="123" t="n"/>
      <c r="F2544" s="125" t="n"/>
      <c r="G2544" s="123" t="n"/>
      <c r="H2544" s="123" t="n"/>
      <c r="I2544" s="123" t="n"/>
      <c r="J2544" s="123" t="n"/>
      <c r="K2544" s="123" t="n"/>
      <c r="L2544" s="123" t="n"/>
      <c r="M2544" s="123">
        <f>IF(AND(B2544&lt;&gt;"",OR($C$4="",ISNUMBER(SEARCH($C$4,C2544&amp;" "&amp;E2544&amp;" "&amp;G2544&amp;" "&amp;H2544&amp;" "&amp;I2544&amp;" "&amp;J2544&amp;" "&amp;K2544&amp;" "&amp;L2544))),OR($C$5="Semua",$C$5="",G2544=$C$5),OR($C$6="Semua",$C$6="",H2544=$C$6,H2544="Pengeluaran "&amp;$C$6,AND($C$6="Uang Kos Mama",H2544="Pengeluaran Uang Kos")),OR($C$7="Semua",$C$7="",I2544=$C$7),OR($C$8="Semua",$C$8="",C2544=$C$8,E2544=$C$8),OR($C$9="Semua",$C$9="",D2544=$C$9),OR($C$10="",B2544&gt;=$C$10),OR($C$11="",B2544&lt;=$C$11),OR($C$12&lt;&gt;"Ya",K2544&lt;&gt;""),OR($C$13="Semua",$C$13="",L2544=$C$13)),"✓","")</f>
        <v/>
      </c>
      <c r="N2544" s="93">
        <f>N(N2543)+IF(M2544="✓",1,0)</f>
        <v/>
      </c>
      <c r="O2544" s="93">
        <f>N(O2543)+IF(AND(B2544&lt;&gt;"",B2544&gt;='Uang Riba'!$H$30,B2544&lt;='Uang Riba'!$I$30,OR(H2544="Dana riba",H2544="Pinjam uang riba",I2544="Pinjam dari uang riba",I2544="Ganti uang riba",I2544="Kelebihan ganti dikembalikan",AND(C2544="Kantong Uang Riba",G2544="Pengeluaran"))),1,0)</f>
        <v/>
      </c>
      <c r="X2544" s="93">
        <f>IF(AND(B2544&lt;&gt;"",B2544&gt;='Buku Akun'!$H$4,B2544&lt;='Buku Akun'!$H$5,OR(C2544='Buku Akun'!$C$4,AND(D2544="Pindah",E2544='Buku Akun'!$C$4))),B2544+IF(AND(I2544="Selisih bunga",DAY(B2544)=1),0,0.01)+ROW()/10000000,"")</f>
        <v/>
      </c>
    </row>
    <row r="2545" outlineLevel="1" ht="15" customHeight="1" s="94">
      <c r="A2545" s="123">
        <f>IF(B2545="","",ROW()-15)</f>
        <v/>
      </c>
      <c r="B2545" s="124" t="n"/>
      <c r="C2545" s="123" t="n"/>
      <c r="D2545" s="123" t="n"/>
      <c r="E2545" s="123" t="n"/>
      <c r="F2545" s="125" t="n"/>
      <c r="G2545" s="123" t="n"/>
      <c r="H2545" s="123" t="n"/>
      <c r="I2545" s="123" t="n"/>
      <c r="J2545" s="123" t="n"/>
      <c r="K2545" s="123" t="n"/>
      <c r="L2545" s="123" t="n"/>
      <c r="M2545" s="123">
        <f>IF(AND(B2545&lt;&gt;"",OR($C$4="",ISNUMBER(SEARCH($C$4,C2545&amp;" "&amp;E2545&amp;" "&amp;G2545&amp;" "&amp;H2545&amp;" "&amp;I2545&amp;" "&amp;J2545&amp;" "&amp;K2545&amp;" "&amp;L2545))),OR($C$5="Semua",$C$5="",G2545=$C$5),OR($C$6="Semua",$C$6="",H2545=$C$6,H2545="Pengeluaran "&amp;$C$6,AND($C$6="Uang Kos Mama",H2545="Pengeluaran Uang Kos")),OR($C$7="Semua",$C$7="",I2545=$C$7),OR($C$8="Semua",$C$8="",C2545=$C$8,E2545=$C$8),OR($C$9="Semua",$C$9="",D2545=$C$9),OR($C$10="",B2545&gt;=$C$10),OR($C$11="",B2545&lt;=$C$11),OR($C$12&lt;&gt;"Ya",K2545&lt;&gt;""),OR($C$13="Semua",$C$13="",L2545=$C$13)),"✓","")</f>
        <v/>
      </c>
      <c r="N2545" s="93">
        <f>N(N2544)+IF(M2545="✓",1,0)</f>
        <v/>
      </c>
      <c r="O2545" s="93">
        <f>N(O2544)+IF(AND(B2545&lt;&gt;"",B2545&gt;='Uang Riba'!$H$30,B2545&lt;='Uang Riba'!$I$30,OR(H2545="Dana riba",H2545="Pinjam uang riba",I2545="Pinjam dari uang riba",I2545="Ganti uang riba",I2545="Kelebihan ganti dikembalikan",AND(C2545="Kantong Uang Riba",G2545="Pengeluaran"))),1,0)</f>
        <v/>
      </c>
      <c r="X2545" s="93">
        <f>IF(AND(B2545&lt;&gt;"",B2545&gt;='Buku Akun'!$H$4,B2545&lt;='Buku Akun'!$H$5,OR(C2545='Buku Akun'!$C$4,AND(D2545="Pindah",E2545='Buku Akun'!$C$4))),B2545+IF(AND(I2545="Selisih bunga",DAY(B2545)=1),0,0.01)+ROW()/10000000,"")</f>
        <v/>
      </c>
    </row>
    <row r="2546" outlineLevel="1" ht="15" customHeight="1" s="94">
      <c r="A2546" s="123">
        <f>IF(B2546="","",ROW()-15)</f>
        <v/>
      </c>
      <c r="B2546" s="124" t="n"/>
      <c r="C2546" s="123" t="n"/>
      <c r="D2546" s="123" t="n"/>
      <c r="E2546" s="123" t="n"/>
      <c r="F2546" s="125" t="n"/>
      <c r="G2546" s="123" t="n"/>
      <c r="H2546" s="123" t="n"/>
      <c r="I2546" s="123" t="n"/>
      <c r="J2546" s="123" t="n"/>
      <c r="K2546" s="123" t="n"/>
      <c r="L2546" s="123" t="n"/>
      <c r="M2546" s="123">
        <f>IF(AND(B2546&lt;&gt;"",OR($C$4="",ISNUMBER(SEARCH($C$4,C2546&amp;" "&amp;E2546&amp;" "&amp;G2546&amp;" "&amp;H2546&amp;" "&amp;I2546&amp;" "&amp;J2546&amp;" "&amp;K2546&amp;" "&amp;L2546))),OR($C$5="Semua",$C$5="",G2546=$C$5),OR($C$6="Semua",$C$6="",H2546=$C$6,H2546="Pengeluaran "&amp;$C$6,AND($C$6="Uang Kos Mama",H2546="Pengeluaran Uang Kos")),OR($C$7="Semua",$C$7="",I2546=$C$7),OR($C$8="Semua",$C$8="",C2546=$C$8,E2546=$C$8),OR($C$9="Semua",$C$9="",D2546=$C$9),OR($C$10="",B2546&gt;=$C$10),OR($C$11="",B2546&lt;=$C$11),OR($C$12&lt;&gt;"Ya",K2546&lt;&gt;""),OR($C$13="Semua",$C$13="",L2546=$C$13)),"✓","")</f>
        <v/>
      </c>
      <c r="N2546" s="93">
        <f>N(N2545)+IF(M2546="✓",1,0)</f>
        <v/>
      </c>
      <c r="O2546" s="93">
        <f>N(O2545)+IF(AND(B2546&lt;&gt;"",B2546&gt;='Uang Riba'!$H$30,B2546&lt;='Uang Riba'!$I$30,OR(H2546="Dana riba",H2546="Pinjam uang riba",I2546="Pinjam dari uang riba",I2546="Ganti uang riba",I2546="Kelebihan ganti dikembalikan",AND(C2546="Kantong Uang Riba",G2546="Pengeluaran"))),1,0)</f>
        <v/>
      </c>
      <c r="X2546" s="93">
        <f>IF(AND(B2546&lt;&gt;"",B2546&gt;='Buku Akun'!$H$4,B2546&lt;='Buku Akun'!$H$5,OR(C2546='Buku Akun'!$C$4,AND(D2546="Pindah",E2546='Buku Akun'!$C$4))),B2546+IF(AND(I2546="Selisih bunga",DAY(B2546)=1),0,0.01)+ROW()/10000000,"")</f>
        <v/>
      </c>
    </row>
    <row r="2547" outlineLevel="1" ht="15" customHeight="1" s="94">
      <c r="A2547" s="123">
        <f>IF(B2547="","",ROW()-15)</f>
        <v/>
      </c>
      <c r="B2547" s="124" t="n"/>
      <c r="C2547" s="123" t="n"/>
      <c r="D2547" s="123" t="n"/>
      <c r="E2547" s="123" t="n"/>
      <c r="F2547" s="125" t="n"/>
      <c r="G2547" s="123" t="n"/>
      <c r="H2547" s="123" t="n"/>
      <c r="I2547" s="123" t="n"/>
      <c r="J2547" s="123" t="n"/>
      <c r="K2547" s="123" t="n"/>
      <c r="L2547" s="123" t="n"/>
      <c r="M2547" s="123">
        <f>IF(AND(B2547&lt;&gt;"",OR($C$4="",ISNUMBER(SEARCH($C$4,C2547&amp;" "&amp;E2547&amp;" "&amp;G2547&amp;" "&amp;H2547&amp;" "&amp;I2547&amp;" "&amp;J2547&amp;" "&amp;K2547&amp;" "&amp;L2547))),OR($C$5="Semua",$C$5="",G2547=$C$5),OR($C$6="Semua",$C$6="",H2547=$C$6,H2547="Pengeluaran "&amp;$C$6,AND($C$6="Uang Kos Mama",H2547="Pengeluaran Uang Kos")),OR($C$7="Semua",$C$7="",I2547=$C$7),OR($C$8="Semua",$C$8="",C2547=$C$8,E2547=$C$8),OR($C$9="Semua",$C$9="",D2547=$C$9),OR($C$10="",B2547&gt;=$C$10),OR($C$11="",B2547&lt;=$C$11),OR($C$12&lt;&gt;"Ya",K2547&lt;&gt;""),OR($C$13="Semua",$C$13="",L2547=$C$13)),"✓","")</f>
        <v/>
      </c>
      <c r="N2547" s="93">
        <f>N(N2546)+IF(M2547="✓",1,0)</f>
        <v/>
      </c>
      <c r="O2547" s="93">
        <f>N(O2546)+IF(AND(B2547&lt;&gt;"",B2547&gt;='Uang Riba'!$H$30,B2547&lt;='Uang Riba'!$I$30,OR(H2547="Dana riba",H2547="Pinjam uang riba",I2547="Pinjam dari uang riba",I2547="Ganti uang riba",I2547="Kelebihan ganti dikembalikan",AND(C2547="Kantong Uang Riba",G2547="Pengeluaran"))),1,0)</f>
        <v/>
      </c>
      <c r="X2547" s="93">
        <f>IF(AND(B2547&lt;&gt;"",B2547&gt;='Buku Akun'!$H$4,B2547&lt;='Buku Akun'!$H$5,OR(C2547='Buku Akun'!$C$4,AND(D2547="Pindah",E2547='Buku Akun'!$C$4))),B2547+IF(AND(I2547="Selisih bunga",DAY(B2547)=1),0,0.01)+ROW()/10000000,"")</f>
        <v/>
      </c>
    </row>
    <row r="2548" outlineLevel="1" ht="15" customHeight="1" s="94">
      <c r="A2548" s="123">
        <f>IF(B2548="","",ROW()-15)</f>
        <v/>
      </c>
      <c r="B2548" s="124" t="n"/>
      <c r="C2548" s="123" t="n"/>
      <c r="D2548" s="123" t="n"/>
      <c r="E2548" s="123" t="n"/>
      <c r="F2548" s="125" t="n"/>
      <c r="G2548" s="123" t="n"/>
      <c r="H2548" s="123" t="n"/>
      <c r="I2548" s="123" t="n"/>
      <c r="J2548" s="123" t="n"/>
      <c r="K2548" s="123" t="n"/>
      <c r="L2548" s="123" t="n"/>
      <c r="M2548" s="123">
        <f>IF(AND(B2548&lt;&gt;"",OR($C$4="",ISNUMBER(SEARCH($C$4,C2548&amp;" "&amp;E2548&amp;" "&amp;G2548&amp;" "&amp;H2548&amp;" "&amp;I2548&amp;" "&amp;J2548&amp;" "&amp;K2548&amp;" "&amp;L2548))),OR($C$5="Semua",$C$5="",G2548=$C$5),OR($C$6="Semua",$C$6="",H2548=$C$6,H2548="Pengeluaran "&amp;$C$6,AND($C$6="Uang Kos Mama",H2548="Pengeluaran Uang Kos")),OR($C$7="Semua",$C$7="",I2548=$C$7),OR($C$8="Semua",$C$8="",C2548=$C$8,E2548=$C$8),OR($C$9="Semua",$C$9="",D2548=$C$9),OR($C$10="",B2548&gt;=$C$10),OR($C$11="",B2548&lt;=$C$11),OR($C$12&lt;&gt;"Ya",K2548&lt;&gt;""),OR($C$13="Semua",$C$13="",L2548=$C$13)),"✓","")</f>
        <v/>
      </c>
      <c r="N2548" s="93">
        <f>N(N2547)+IF(M2548="✓",1,0)</f>
        <v/>
      </c>
      <c r="O2548" s="93">
        <f>N(O2547)+IF(AND(B2548&lt;&gt;"",B2548&gt;='Uang Riba'!$H$30,B2548&lt;='Uang Riba'!$I$30,OR(H2548="Dana riba",H2548="Pinjam uang riba",I2548="Pinjam dari uang riba",I2548="Ganti uang riba",I2548="Kelebihan ganti dikembalikan",AND(C2548="Kantong Uang Riba",G2548="Pengeluaran"))),1,0)</f>
        <v/>
      </c>
      <c r="X2548" s="93">
        <f>IF(AND(B2548&lt;&gt;"",B2548&gt;='Buku Akun'!$H$4,B2548&lt;='Buku Akun'!$H$5,OR(C2548='Buku Akun'!$C$4,AND(D2548="Pindah",E2548='Buku Akun'!$C$4))),B2548+IF(AND(I2548="Selisih bunga",DAY(B2548)=1),0,0.01)+ROW()/10000000,"")</f>
        <v/>
      </c>
    </row>
    <row r="2549" outlineLevel="1" ht="15" customHeight="1" s="94">
      <c r="A2549" s="123">
        <f>IF(B2549="","",ROW()-15)</f>
        <v/>
      </c>
      <c r="B2549" s="124" t="n"/>
      <c r="C2549" s="123" t="n"/>
      <c r="D2549" s="123" t="n"/>
      <c r="E2549" s="123" t="n"/>
      <c r="F2549" s="125" t="n"/>
      <c r="G2549" s="123" t="n"/>
      <c r="H2549" s="123" t="n"/>
      <c r="I2549" s="123" t="n"/>
      <c r="J2549" s="123" t="n"/>
      <c r="K2549" s="123" t="n"/>
      <c r="L2549" s="123" t="n"/>
      <c r="M2549" s="123">
        <f>IF(AND(B2549&lt;&gt;"",OR($C$4="",ISNUMBER(SEARCH($C$4,C2549&amp;" "&amp;E2549&amp;" "&amp;G2549&amp;" "&amp;H2549&amp;" "&amp;I2549&amp;" "&amp;J2549&amp;" "&amp;K2549&amp;" "&amp;L2549))),OR($C$5="Semua",$C$5="",G2549=$C$5),OR($C$6="Semua",$C$6="",H2549=$C$6,H2549="Pengeluaran "&amp;$C$6,AND($C$6="Uang Kos Mama",H2549="Pengeluaran Uang Kos")),OR($C$7="Semua",$C$7="",I2549=$C$7),OR($C$8="Semua",$C$8="",C2549=$C$8,E2549=$C$8),OR($C$9="Semua",$C$9="",D2549=$C$9),OR($C$10="",B2549&gt;=$C$10),OR($C$11="",B2549&lt;=$C$11),OR($C$12&lt;&gt;"Ya",K2549&lt;&gt;""),OR($C$13="Semua",$C$13="",L2549=$C$13)),"✓","")</f>
        <v/>
      </c>
      <c r="N2549" s="93">
        <f>N(N2548)+IF(M2549="✓",1,0)</f>
        <v/>
      </c>
      <c r="O2549" s="93">
        <f>N(O2548)+IF(AND(B2549&lt;&gt;"",B2549&gt;='Uang Riba'!$H$30,B2549&lt;='Uang Riba'!$I$30,OR(H2549="Dana riba",H2549="Pinjam uang riba",I2549="Pinjam dari uang riba",I2549="Ganti uang riba",I2549="Kelebihan ganti dikembalikan",AND(C2549="Kantong Uang Riba",G2549="Pengeluaran"))),1,0)</f>
        <v/>
      </c>
      <c r="X2549" s="93">
        <f>IF(AND(B2549&lt;&gt;"",B2549&gt;='Buku Akun'!$H$4,B2549&lt;='Buku Akun'!$H$5,OR(C2549='Buku Akun'!$C$4,AND(D2549="Pindah",E2549='Buku Akun'!$C$4))),B2549+IF(AND(I2549="Selisih bunga",DAY(B2549)=1),0,0.01)+ROW()/10000000,"")</f>
        <v/>
      </c>
    </row>
    <row r="2550" outlineLevel="1" ht="15" customHeight="1" s="94">
      <c r="A2550" s="123">
        <f>IF(B2550="","",ROW()-15)</f>
        <v/>
      </c>
      <c r="B2550" s="124" t="n"/>
      <c r="C2550" s="123" t="n"/>
      <c r="D2550" s="123" t="n"/>
      <c r="E2550" s="123" t="n"/>
      <c r="F2550" s="125" t="n"/>
      <c r="G2550" s="123" t="n"/>
      <c r="H2550" s="123" t="n"/>
      <c r="I2550" s="123" t="n"/>
      <c r="J2550" s="123" t="n"/>
      <c r="K2550" s="123" t="n"/>
      <c r="L2550" s="123" t="n"/>
      <c r="M2550" s="123">
        <f>IF(AND(B2550&lt;&gt;"",OR($C$4="",ISNUMBER(SEARCH($C$4,C2550&amp;" "&amp;E2550&amp;" "&amp;G2550&amp;" "&amp;H2550&amp;" "&amp;I2550&amp;" "&amp;J2550&amp;" "&amp;K2550&amp;" "&amp;L2550))),OR($C$5="Semua",$C$5="",G2550=$C$5),OR($C$6="Semua",$C$6="",H2550=$C$6,H2550="Pengeluaran "&amp;$C$6,AND($C$6="Uang Kos Mama",H2550="Pengeluaran Uang Kos")),OR($C$7="Semua",$C$7="",I2550=$C$7),OR($C$8="Semua",$C$8="",C2550=$C$8,E2550=$C$8),OR($C$9="Semua",$C$9="",D2550=$C$9),OR($C$10="",B2550&gt;=$C$10),OR($C$11="",B2550&lt;=$C$11),OR($C$12&lt;&gt;"Ya",K2550&lt;&gt;""),OR($C$13="Semua",$C$13="",L2550=$C$13)),"✓","")</f>
        <v/>
      </c>
      <c r="N2550" s="93">
        <f>N(N2549)+IF(M2550="✓",1,0)</f>
        <v/>
      </c>
      <c r="O2550" s="93">
        <f>N(O2549)+IF(AND(B2550&lt;&gt;"",B2550&gt;='Uang Riba'!$H$30,B2550&lt;='Uang Riba'!$I$30,OR(H2550="Dana riba",H2550="Pinjam uang riba",I2550="Pinjam dari uang riba",I2550="Ganti uang riba",I2550="Kelebihan ganti dikembalikan",AND(C2550="Kantong Uang Riba",G2550="Pengeluaran"))),1,0)</f>
        <v/>
      </c>
      <c r="X2550" s="93">
        <f>IF(AND(B2550&lt;&gt;"",B2550&gt;='Buku Akun'!$H$4,B2550&lt;='Buku Akun'!$H$5,OR(C2550='Buku Akun'!$C$4,AND(D2550="Pindah",E2550='Buku Akun'!$C$4))),B2550+IF(AND(I2550="Selisih bunga",DAY(B2550)=1),0,0.01)+ROW()/10000000,"")</f>
        <v/>
      </c>
    </row>
    <row r="2551" outlineLevel="1" ht="15" customHeight="1" s="94">
      <c r="A2551" s="123">
        <f>IF(B2551="","",ROW()-15)</f>
        <v/>
      </c>
      <c r="B2551" s="124" t="n"/>
      <c r="C2551" s="123" t="n"/>
      <c r="D2551" s="123" t="n"/>
      <c r="E2551" s="123" t="n"/>
      <c r="F2551" s="125" t="n"/>
      <c r="G2551" s="123" t="n"/>
      <c r="H2551" s="123" t="n"/>
      <c r="I2551" s="123" t="n"/>
      <c r="J2551" s="123" t="n"/>
      <c r="K2551" s="123" t="n"/>
      <c r="L2551" s="123" t="n"/>
      <c r="M2551" s="123">
        <f>IF(AND(B2551&lt;&gt;"",OR($C$4="",ISNUMBER(SEARCH($C$4,C2551&amp;" "&amp;E2551&amp;" "&amp;G2551&amp;" "&amp;H2551&amp;" "&amp;I2551&amp;" "&amp;J2551&amp;" "&amp;K2551&amp;" "&amp;L2551))),OR($C$5="Semua",$C$5="",G2551=$C$5),OR($C$6="Semua",$C$6="",H2551=$C$6,H2551="Pengeluaran "&amp;$C$6,AND($C$6="Uang Kos Mama",H2551="Pengeluaran Uang Kos")),OR($C$7="Semua",$C$7="",I2551=$C$7),OR($C$8="Semua",$C$8="",C2551=$C$8,E2551=$C$8),OR($C$9="Semua",$C$9="",D2551=$C$9),OR($C$10="",B2551&gt;=$C$10),OR($C$11="",B2551&lt;=$C$11),OR($C$12&lt;&gt;"Ya",K2551&lt;&gt;""),OR($C$13="Semua",$C$13="",L2551=$C$13)),"✓","")</f>
        <v/>
      </c>
      <c r="N2551" s="93">
        <f>N(N2550)+IF(M2551="✓",1,0)</f>
        <v/>
      </c>
      <c r="O2551" s="93">
        <f>N(O2550)+IF(AND(B2551&lt;&gt;"",B2551&gt;='Uang Riba'!$H$30,B2551&lt;='Uang Riba'!$I$30,OR(H2551="Dana riba",H2551="Pinjam uang riba",I2551="Pinjam dari uang riba",I2551="Ganti uang riba",I2551="Kelebihan ganti dikembalikan",AND(C2551="Kantong Uang Riba",G2551="Pengeluaran"))),1,0)</f>
        <v/>
      </c>
      <c r="X2551" s="93">
        <f>IF(AND(B2551&lt;&gt;"",B2551&gt;='Buku Akun'!$H$4,B2551&lt;='Buku Akun'!$H$5,OR(C2551='Buku Akun'!$C$4,AND(D2551="Pindah",E2551='Buku Akun'!$C$4))),B2551+IF(AND(I2551="Selisih bunga",DAY(B2551)=1),0,0.01)+ROW()/10000000,"")</f>
        <v/>
      </c>
    </row>
    <row r="2552" outlineLevel="1" ht="15" customHeight="1" s="94">
      <c r="A2552" s="123">
        <f>IF(B2552="","",ROW()-15)</f>
        <v/>
      </c>
      <c r="B2552" s="124" t="n"/>
      <c r="C2552" s="123" t="n"/>
      <c r="D2552" s="123" t="n"/>
      <c r="E2552" s="123" t="n"/>
      <c r="F2552" s="125" t="n"/>
      <c r="G2552" s="123" t="n"/>
      <c r="H2552" s="123" t="n"/>
      <c r="I2552" s="123" t="n"/>
      <c r="J2552" s="123" t="n"/>
      <c r="K2552" s="123" t="n"/>
      <c r="L2552" s="123" t="n"/>
      <c r="M2552" s="123">
        <f>IF(AND(B2552&lt;&gt;"",OR($C$4="",ISNUMBER(SEARCH($C$4,C2552&amp;" "&amp;E2552&amp;" "&amp;G2552&amp;" "&amp;H2552&amp;" "&amp;I2552&amp;" "&amp;J2552&amp;" "&amp;K2552&amp;" "&amp;L2552))),OR($C$5="Semua",$C$5="",G2552=$C$5),OR($C$6="Semua",$C$6="",H2552=$C$6,H2552="Pengeluaran "&amp;$C$6,AND($C$6="Uang Kos Mama",H2552="Pengeluaran Uang Kos")),OR($C$7="Semua",$C$7="",I2552=$C$7),OR($C$8="Semua",$C$8="",C2552=$C$8,E2552=$C$8),OR($C$9="Semua",$C$9="",D2552=$C$9),OR($C$10="",B2552&gt;=$C$10),OR($C$11="",B2552&lt;=$C$11),OR($C$12&lt;&gt;"Ya",K2552&lt;&gt;""),OR($C$13="Semua",$C$13="",L2552=$C$13)),"✓","")</f>
        <v/>
      </c>
      <c r="N2552" s="93">
        <f>N(N2551)+IF(M2552="✓",1,0)</f>
        <v/>
      </c>
      <c r="O2552" s="93">
        <f>N(O2551)+IF(AND(B2552&lt;&gt;"",B2552&gt;='Uang Riba'!$H$30,B2552&lt;='Uang Riba'!$I$30,OR(H2552="Dana riba",H2552="Pinjam uang riba",I2552="Pinjam dari uang riba",I2552="Ganti uang riba",I2552="Kelebihan ganti dikembalikan",AND(C2552="Kantong Uang Riba",G2552="Pengeluaran"))),1,0)</f>
        <v/>
      </c>
      <c r="X2552" s="93">
        <f>IF(AND(B2552&lt;&gt;"",B2552&gt;='Buku Akun'!$H$4,B2552&lt;='Buku Akun'!$H$5,OR(C2552='Buku Akun'!$C$4,AND(D2552="Pindah",E2552='Buku Akun'!$C$4))),B2552+IF(AND(I2552="Selisih bunga",DAY(B2552)=1),0,0.01)+ROW()/10000000,"")</f>
        <v/>
      </c>
    </row>
    <row r="2553" outlineLevel="1" ht="15" customHeight="1" s="94">
      <c r="A2553" s="123">
        <f>IF(B2553="","",ROW()-15)</f>
        <v/>
      </c>
      <c r="B2553" s="124" t="n"/>
      <c r="C2553" s="123" t="n"/>
      <c r="D2553" s="123" t="n"/>
      <c r="E2553" s="123" t="n"/>
      <c r="F2553" s="125" t="n"/>
      <c r="G2553" s="123" t="n"/>
      <c r="H2553" s="123" t="n"/>
      <c r="I2553" s="123" t="n"/>
      <c r="J2553" s="123" t="n"/>
      <c r="K2553" s="123" t="n"/>
      <c r="L2553" s="123" t="n"/>
      <c r="M2553" s="123">
        <f>IF(AND(B2553&lt;&gt;"",OR($C$4="",ISNUMBER(SEARCH($C$4,C2553&amp;" "&amp;E2553&amp;" "&amp;G2553&amp;" "&amp;H2553&amp;" "&amp;I2553&amp;" "&amp;J2553&amp;" "&amp;K2553&amp;" "&amp;L2553))),OR($C$5="Semua",$C$5="",G2553=$C$5),OR($C$6="Semua",$C$6="",H2553=$C$6,H2553="Pengeluaran "&amp;$C$6,AND($C$6="Uang Kos Mama",H2553="Pengeluaran Uang Kos")),OR($C$7="Semua",$C$7="",I2553=$C$7),OR($C$8="Semua",$C$8="",C2553=$C$8,E2553=$C$8),OR($C$9="Semua",$C$9="",D2553=$C$9),OR($C$10="",B2553&gt;=$C$10),OR($C$11="",B2553&lt;=$C$11),OR($C$12&lt;&gt;"Ya",K2553&lt;&gt;""),OR($C$13="Semua",$C$13="",L2553=$C$13)),"✓","")</f>
        <v/>
      </c>
      <c r="N2553" s="93">
        <f>N(N2552)+IF(M2553="✓",1,0)</f>
        <v/>
      </c>
      <c r="O2553" s="93">
        <f>N(O2552)+IF(AND(B2553&lt;&gt;"",B2553&gt;='Uang Riba'!$H$30,B2553&lt;='Uang Riba'!$I$30,OR(H2553="Dana riba",H2553="Pinjam uang riba",I2553="Pinjam dari uang riba",I2553="Ganti uang riba",I2553="Kelebihan ganti dikembalikan",AND(C2553="Kantong Uang Riba",G2553="Pengeluaran"))),1,0)</f>
        <v/>
      </c>
      <c r="X2553" s="93">
        <f>IF(AND(B2553&lt;&gt;"",B2553&gt;='Buku Akun'!$H$4,B2553&lt;='Buku Akun'!$H$5,OR(C2553='Buku Akun'!$C$4,AND(D2553="Pindah",E2553='Buku Akun'!$C$4))),B2553+IF(AND(I2553="Selisih bunga",DAY(B2553)=1),0,0.01)+ROW()/10000000,"")</f>
        <v/>
      </c>
    </row>
    <row r="2554" outlineLevel="1" ht="15" customHeight="1" s="94">
      <c r="A2554" s="123">
        <f>IF(B2554="","",ROW()-15)</f>
        <v/>
      </c>
      <c r="B2554" s="124" t="n"/>
      <c r="C2554" s="123" t="n"/>
      <c r="D2554" s="123" t="n"/>
      <c r="E2554" s="123" t="n"/>
      <c r="F2554" s="125" t="n"/>
      <c r="G2554" s="123" t="n"/>
      <c r="H2554" s="123" t="n"/>
      <c r="I2554" s="123" t="n"/>
      <c r="J2554" s="123" t="n"/>
      <c r="K2554" s="123" t="n"/>
      <c r="L2554" s="123" t="n"/>
      <c r="M2554" s="123">
        <f>IF(AND(B2554&lt;&gt;"",OR($C$4="",ISNUMBER(SEARCH($C$4,C2554&amp;" "&amp;E2554&amp;" "&amp;G2554&amp;" "&amp;H2554&amp;" "&amp;I2554&amp;" "&amp;J2554&amp;" "&amp;K2554&amp;" "&amp;L2554))),OR($C$5="Semua",$C$5="",G2554=$C$5),OR($C$6="Semua",$C$6="",H2554=$C$6,H2554="Pengeluaran "&amp;$C$6,AND($C$6="Uang Kos Mama",H2554="Pengeluaran Uang Kos")),OR($C$7="Semua",$C$7="",I2554=$C$7),OR($C$8="Semua",$C$8="",C2554=$C$8,E2554=$C$8),OR($C$9="Semua",$C$9="",D2554=$C$9),OR($C$10="",B2554&gt;=$C$10),OR($C$11="",B2554&lt;=$C$11),OR($C$12&lt;&gt;"Ya",K2554&lt;&gt;""),OR($C$13="Semua",$C$13="",L2554=$C$13)),"✓","")</f>
        <v/>
      </c>
      <c r="N2554" s="93">
        <f>N(N2553)+IF(M2554="✓",1,0)</f>
        <v/>
      </c>
      <c r="O2554" s="93">
        <f>N(O2553)+IF(AND(B2554&lt;&gt;"",B2554&gt;='Uang Riba'!$H$30,B2554&lt;='Uang Riba'!$I$30,OR(H2554="Dana riba",H2554="Pinjam uang riba",I2554="Pinjam dari uang riba",I2554="Ganti uang riba",I2554="Kelebihan ganti dikembalikan",AND(C2554="Kantong Uang Riba",G2554="Pengeluaran"))),1,0)</f>
        <v/>
      </c>
      <c r="X2554" s="93">
        <f>IF(AND(B2554&lt;&gt;"",B2554&gt;='Buku Akun'!$H$4,B2554&lt;='Buku Akun'!$H$5,OR(C2554='Buku Akun'!$C$4,AND(D2554="Pindah",E2554='Buku Akun'!$C$4))),B2554+IF(AND(I2554="Selisih bunga",DAY(B2554)=1),0,0.01)+ROW()/10000000,"")</f>
        <v/>
      </c>
    </row>
    <row r="2555" outlineLevel="1" ht="15" customHeight="1" s="94">
      <c r="A2555" s="123">
        <f>IF(B2555="","",ROW()-15)</f>
        <v/>
      </c>
      <c r="B2555" s="124" t="n"/>
      <c r="C2555" s="123" t="n"/>
      <c r="D2555" s="123" t="n"/>
      <c r="E2555" s="123" t="n"/>
      <c r="F2555" s="125" t="n"/>
      <c r="G2555" s="123" t="n"/>
      <c r="H2555" s="123" t="n"/>
      <c r="I2555" s="123" t="n"/>
      <c r="J2555" s="123" t="n"/>
      <c r="K2555" s="123" t="n"/>
      <c r="L2555" s="123" t="n"/>
      <c r="M2555" s="123">
        <f>IF(AND(B2555&lt;&gt;"",OR($C$4="",ISNUMBER(SEARCH($C$4,C2555&amp;" "&amp;E2555&amp;" "&amp;G2555&amp;" "&amp;H2555&amp;" "&amp;I2555&amp;" "&amp;J2555&amp;" "&amp;K2555&amp;" "&amp;L2555))),OR($C$5="Semua",$C$5="",G2555=$C$5),OR($C$6="Semua",$C$6="",H2555=$C$6,H2555="Pengeluaran "&amp;$C$6,AND($C$6="Uang Kos Mama",H2555="Pengeluaran Uang Kos")),OR($C$7="Semua",$C$7="",I2555=$C$7),OR($C$8="Semua",$C$8="",C2555=$C$8,E2555=$C$8),OR($C$9="Semua",$C$9="",D2555=$C$9),OR($C$10="",B2555&gt;=$C$10),OR($C$11="",B2555&lt;=$C$11),OR($C$12&lt;&gt;"Ya",K2555&lt;&gt;""),OR($C$13="Semua",$C$13="",L2555=$C$13)),"✓","")</f>
        <v/>
      </c>
      <c r="N2555" s="93">
        <f>N(N2554)+IF(M2555="✓",1,0)</f>
        <v/>
      </c>
      <c r="O2555" s="93">
        <f>N(O2554)+IF(AND(B2555&lt;&gt;"",B2555&gt;='Uang Riba'!$H$30,B2555&lt;='Uang Riba'!$I$30,OR(H2555="Dana riba",H2555="Pinjam uang riba",I2555="Pinjam dari uang riba",I2555="Ganti uang riba",I2555="Kelebihan ganti dikembalikan",AND(C2555="Kantong Uang Riba",G2555="Pengeluaran"))),1,0)</f>
        <v/>
      </c>
      <c r="X2555" s="93">
        <f>IF(AND(B2555&lt;&gt;"",B2555&gt;='Buku Akun'!$H$4,B2555&lt;='Buku Akun'!$H$5,OR(C2555='Buku Akun'!$C$4,AND(D2555="Pindah",E2555='Buku Akun'!$C$4))),B2555+IF(AND(I2555="Selisih bunga",DAY(B2555)=1),0,0.01)+ROW()/10000000,"")</f>
        <v/>
      </c>
    </row>
    <row r="2556" outlineLevel="1" ht="15" customHeight="1" s="94">
      <c r="A2556" s="123">
        <f>IF(B2556="","",ROW()-15)</f>
        <v/>
      </c>
      <c r="B2556" s="124" t="n"/>
      <c r="C2556" s="123" t="n"/>
      <c r="D2556" s="123" t="n"/>
      <c r="E2556" s="123" t="n"/>
      <c r="F2556" s="125" t="n"/>
      <c r="G2556" s="123" t="n"/>
      <c r="H2556" s="123" t="n"/>
      <c r="I2556" s="123" t="n"/>
      <c r="J2556" s="123" t="n"/>
      <c r="K2556" s="123" t="n"/>
      <c r="L2556" s="123" t="n"/>
      <c r="M2556" s="123">
        <f>IF(AND(B2556&lt;&gt;"",OR($C$4="",ISNUMBER(SEARCH($C$4,C2556&amp;" "&amp;E2556&amp;" "&amp;G2556&amp;" "&amp;H2556&amp;" "&amp;I2556&amp;" "&amp;J2556&amp;" "&amp;K2556&amp;" "&amp;L2556))),OR($C$5="Semua",$C$5="",G2556=$C$5),OR($C$6="Semua",$C$6="",H2556=$C$6,H2556="Pengeluaran "&amp;$C$6,AND($C$6="Uang Kos Mama",H2556="Pengeluaran Uang Kos")),OR($C$7="Semua",$C$7="",I2556=$C$7),OR($C$8="Semua",$C$8="",C2556=$C$8,E2556=$C$8),OR($C$9="Semua",$C$9="",D2556=$C$9),OR($C$10="",B2556&gt;=$C$10),OR($C$11="",B2556&lt;=$C$11),OR($C$12&lt;&gt;"Ya",K2556&lt;&gt;""),OR($C$13="Semua",$C$13="",L2556=$C$13)),"✓","")</f>
        <v/>
      </c>
      <c r="N2556" s="93">
        <f>N(N2555)+IF(M2556="✓",1,0)</f>
        <v/>
      </c>
      <c r="O2556" s="93">
        <f>N(O2555)+IF(AND(B2556&lt;&gt;"",B2556&gt;='Uang Riba'!$H$30,B2556&lt;='Uang Riba'!$I$30,OR(H2556="Dana riba",H2556="Pinjam uang riba",I2556="Pinjam dari uang riba",I2556="Ganti uang riba",I2556="Kelebihan ganti dikembalikan",AND(C2556="Kantong Uang Riba",G2556="Pengeluaran"))),1,0)</f>
        <v/>
      </c>
      <c r="X2556" s="93">
        <f>IF(AND(B2556&lt;&gt;"",B2556&gt;='Buku Akun'!$H$4,B2556&lt;='Buku Akun'!$H$5,OR(C2556='Buku Akun'!$C$4,AND(D2556="Pindah",E2556='Buku Akun'!$C$4))),B2556+IF(AND(I2556="Selisih bunga",DAY(B2556)=1),0,0.01)+ROW()/10000000,"")</f>
        <v/>
      </c>
    </row>
    <row r="2557" outlineLevel="1" ht="15" customHeight="1" s="94">
      <c r="A2557" s="123">
        <f>IF(B2557="","",ROW()-15)</f>
        <v/>
      </c>
      <c r="B2557" s="124" t="n"/>
      <c r="C2557" s="123" t="n"/>
      <c r="D2557" s="123" t="n"/>
      <c r="E2557" s="123" t="n"/>
      <c r="F2557" s="125" t="n"/>
      <c r="G2557" s="123" t="n"/>
      <c r="H2557" s="123" t="n"/>
      <c r="I2557" s="123" t="n"/>
      <c r="J2557" s="123" t="n"/>
      <c r="K2557" s="123" t="n"/>
      <c r="L2557" s="123" t="n"/>
      <c r="M2557" s="123">
        <f>IF(AND(B2557&lt;&gt;"",OR($C$4="",ISNUMBER(SEARCH($C$4,C2557&amp;" "&amp;E2557&amp;" "&amp;G2557&amp;" "&amp;H2557&amp;" "&amp;I2557&amp;" "&amp;J2557&amp;" "&amp;K2557&amp;" "&amp;L2557))),OR($C$5="Semua",$C$5="",G2557=$C$5),OR($C$6="Semua",$C$6="",H2557=$C$6,H2557="Pengeluaran "&amp;$C$6,AND($C$6="Uang Kos Mama",H2557="Pengeluaran Uang Kos")),OR($C$7="Semua",$C$7="",I2557=$C$7),OR($C$8="Semua",$C$8="",C2557=$C$8,E2557=$C$8),OR($C$9="Semua",$C$9="",D2557=$C$9),OR($C$10="",B2557&gt;=$C$10),OR($C$11="",B2557&lt;=$C$11),OR($C$12&lt;&gt;"Ya",K2557&lt;&gt;""),OR($C$13="Semua",$C$13="",L2557=$C$13)),"✓","")</f>
        <v/>
      </c>
      <c r="N2557" s="93">
        <f>N(N2556)+IF(M2557="✓",1,0)</f>
        <v/>
      </c>
      <c r="O2557" s="93">
        <f>N(O2556)+IF(AND(B2557&lt;&gt;"",B2557&gt;='Uang Riba'!$H$30,B2557&lt;='Uang Riba'!$I$30,OR(H2557="Dana riba",H2557="Pinjam uang riba",I2557="Pinjam dari uang riba",I2557="Ganti uang riba",I2557="Kelebihan ganti dikembalikan",AND(C2557="Kantong Uang Riba",G2557="Pengeluaran"))),1,0)</f>
        <v/>
      </c>
      <c r="X2557" s="93">
        <f>IF(AND(B2557&lt;&gt;"",B2557&gt;='Buku Akun'!$H$4,B2557&lt;='Buku Akun'!$H$5,OR(C2557='Buku Akun'!$C$4,AND(D2557="Pindah",E2557='Buku Akun'!$C$4))),B2557+IF(AND(I2557="Selisih bunga",DAY(B2557)=1),0,0.01)+ROW()/10000000,"")</f>
        <v/>
      </c>
    </row>
    <row r="2558" outlineLevel="1" ht="15" customHeight="1" s="94">
      <c r="A2558" s="123">
        <f>IF(B2558="","",ROW()-15)</f>
        <v/>
      </c>
      <c r="B2558" s="124" t="n"/>
      <c r="C2558" s="123" t="n"/>
      <c r="D2558" s="123" t="n"/>
      <c r="E2558" s="123" t="n"/>
      <c r="F2558" s="125" t="n"/>
      <c r="G2558" s="123" t="n"/>
      <c r="H2558" s="123" t="n"/>
      <c r="I2558" s="123" t="n"/>
      <c r="J2558" s="123" t="n"/>
      <c r="K2558" s="123" t="n"/>
      <c r="L2558" s="123" t="n"/>
      <c r="M2558" s="123">
        <f>IF(AND(B2558&lt;&gt;"",OR($C$4="",ISNUMBER(SEARCH($C$4,C2558&amp;" "&amp;E2558&amp;" "&amp;G2558&amp;" "&amp;H2558&amp;" "&amp;I2558&amp;" "&amp;J2558&amp;" "&amp;K2558&amp;" "&amp;L2558))),OR($C$5="Semua",$C$5="",G2558=$C$5),OR($C$6="Semua",$C$6="",H2558=$C$6,H2558="Pengeluaran "&amp;$C$6,AND($C$6="Uang Kos Mama",H2558="Pengeluaran Uang Kos")),OR($C$7="Semua",$C$7="",I2558=$C$7),OR($C$8="Semua",$C$8="",C2558=$C$8,E2558=$C$8),OR($C$9="Semua",$C$9="",D2558=$C$9),OR($C$10="",B2558&gt;=$C$10),OR($C$11="",B2558&lt;=$C$11),OR($C$12&lt;&gt;"Ya",K2558&lt;&gt;""),OR($C$13="Semua",$C$13="",L2558=$C$13)),"✓","")</f>
        <v/>
      </c>
      <c r="N2558" s="93">
        <f>N(N2557)+IF(M2558="✓",1,0)</f>
        <v/>
      </c>
      <c r="O2558" s="93">
        <f>N(O2557)+IF(AND(B2558&lt;&gt;"",B2558&gt;='Uang Riba'!$H$30,B2558&lt;='Uang Riba'!$I$30,OR(H2558="Dana riba",H2558="Pinjam uang riba",I2558="Pinjam dari uang riba",I2558="Ganti uang riba",I2558="Kelebihan ganti dikembalikan",AND(C2558="Kantong Uang Riba",G2558="Pengeluaran"))),1,0)</f>
        <v/>
      </c>
      <c r="X2558" s="93">
        <f>IF(AND(B2558&lt;&gt;"",B2558&gt;='Buku Akun'!$H$4,B2558&lt;='Buku Akun'!$H$5,OR(C2558='Buku Akun'!$C$4,AND(D2558="Pindah",E2558='Buku Akun'!$C$4))),B2558+IF(AND(I2558="Selisih bunga",DAY(B2558)=1),0,0.01)+ROW()/10000000,"")</f>
        <v/>
      </c>
    </row>
    <row r="2559" outlineLevel="1" ht="15" customHeight="1" s="94">
      <c r="A2559" s="123">
        <f>IF(B2559="","",ROW()-15)</f>
        <v/>
      </c>
      <c r="B2559" s="124" t="n"/>
      <c r="C2559" s="123" t="n"/>
      <c r="D2559" s="123" t="n"/>
      <c r="E2559" s="123" t="n"/>
      <c r="F2559" s="125" t="n"/>
      <c r="G2559" s="123" t="n"/>
      <c r="H2559" s="123" t="n"/>
      <c r="I2559" s="123" t="n"/>
      <c r="J2559" s="123" t="n"/>
      <c r="K2559" s="123" t="n"/>
      <c r="L2559" s="123" t="n"/>
      <c r="M2559" s="123">
        <f>IF(AND(B2559&lt;&gt;"",OR($C$4="",ISNUMBER(SEARCH($C$4,C2559&amp;" "&amp;E2559&amp;" "&amp;G2559&amp;" "&amp;H2559&amp;" "&amp;I2559&amp;" "&amp;J2559&amp;" "&amp;K2559&amp;" "&amp;L2559))),OR($C$5="Semua",$C$5="",G2559=$C$5),OR($C$6="Semua",$C$6="",H2559=$C$6,H2559="Pengeluaran "&amp;$C$6,AND($C$6="Uang Kos Mama",H2559="Pengeluaran Uang Kos")),OR($C$7="Semua",$C$7="",I2559=$C$7),OR($C$8="Semua",$C$8="",C2559=$C$8,E2559=$C$8),OR($C$9="Semua",$C$9="",D2559=$C$9),OR($C$10="",B2559&gt;=$C$10),OR($C$11="",B2559&lt;=$C$11),OR($C$12&lt;&gt;"Ya",K2559&lt;&gt;""),OR($C$13="Semua",$C$13="",L2559=$C$13)),"✓","")</f>
        <v/>
      </c>
      <c r="N2559" s="93">
        <f>N(N2558)+IF(M2559="✓",1,0)</f>
        <v/>
      </c>
      <c r="O2559" s="93">
        <f>N(O2558)+IF(AND(B2559&lt;&gt;"",B2559&gt;='Uang Riba'!$H$30,B2559&lt;='Uang Riba'!$I$30,OR(H2559="Dana riba",H2559="Pinjam uang riba",I2559="Pinjam dari uang riba",I2559="Ganti uang riba",I2559="Kelebihan ganti dikembalikan",AND(C2559="Kantong Uang Riba",G2559="Pengeluaran"))),1,0)</f>
        <v/>
      </c>
      <c r="X2559" s="93">
        <f>IF(AND(B2559&lt;&gt;"",B2559&gt;='Buku Akun'!$H$4,B2559&lt;='Buku Akun'!$H$5,OR(C2559='Buku Akun'!$C$4,AND(D2559="Pindah",E2559='Buku Akun'!$C$4))),B2559+IF(AND(I2559="Selisih bunga",DAY(B2559)=1),0,0.01)+ROW()/10000000,"")</f>
        <v/>
      </c>
    </row>
    <row r="2560" outlineLevel="1" ht="15" customHeight="1" s="94">
      <c r="A2560" s="123">
        <f>IF(B2560="","",ROW()-15)</f>
        <v/>
      </c>
      <c r="B2560" s="124" t="n"/>
      <c r="C2560" s="123" t="n"/>
      <c r="D2560" s="123" t="n"/>
      <c r="E2560" s="123" t="n"/>
      <c r="F2560" s="125" t="n"/>
      <c r="G2560" s="123" t="n"/>
      <c r="H2560" s="123" t="n"/>
      <c r="I2560" s="123" t="n"/>
      <c r="J2560" s="123" t="n"/>
      <c r="K2560" s="123" t="n"/>
      <c r="L2560" s="123" t="n"/>
      <c r="M2560" s="123">
        <f>IF(AND(B2560&lt;&gt;"",OR($C$4="",ISNUMBER(SEARCH($C$4,C2560&amp;" "&amp;E2560&amp;" "&amp;G2560&amp;" "&amp;H2560&amp;" "&amp;I2560&amp;" "&amp;J2560&amp;" "&amp;K2560&amp;" "&amp;L2560))),OR($C$5="Semua",$C$5="",G2560=$C$5),OR($C$6="Semua",$C$6="",H2560=$C$6,H2560="Pengeluaran "&amp;$C$6,AND($C$6="Uang Kos Mama",H2560="Pengeluaran Uang Kos")),OR($C$7="Semua",$C$7="",I2560=$C$7),OR($C$8="Semua",$C$8="",C2560=$C$8,E2560=$C$8),OR($C$9="Semua",$C$9="",D2560=$C$9),OR($C$10="",B2560&gt;=$C$10),OR($C$11="",B2560&lt;=$C$11),OR($C$12&lt;&gt;"Ya",K2560&lt;&gt;""),OR($C$13="Semua",$C$13="",L2560=$C$13)),"✓","")</f>
        <v/>
      </c>
      <c r="N2560" s="93">
        <f>N(N2559)+IF(M2560="✓",1,0)</f>
        <v/>
      </c>
      <c r="O2560" s="93">
        <f>N(O2559)+IF(AND(B2560&lt;&gt;"",B2560&gt;='Uang Riba'!$H$30,B2560&lt;='Uang Riba'!$I$30,OR(H2560="Dana riba",H2560="Pinjam uang riba",I2560="Pinjam dari uang riba",I2560="Ganti uang riba",I2560="Kelebihan ganti dikembalikan",AND(C2560="Kantong Uang Riba",G2560="Pengeluaran"))),1,0)</f>
        <v/>
      </c>
      <c r="X2560" s="93">
        <f>IF(AND(B2560&lt;&gt;"",B2560&gt;='Buku Akun'!$H$4,B2560&lt;='Buku Akun'!$H$5,OR(C2560='Buku Akun'!$C$4,AND(D2560="Pindah",E2560='Buku Akun'!$C$4))),B2560+IF(AND(I2560="Selisih bunga",DAY(B2560)=1),0,0.01)+ROW()/10000000,"")</f>
        <v/>
      </c>
    </row>
    <row r="2561" outlineLevel="1" ht="15" customHeight="1" s="94">
      <c r="A2561" s="123">
        <f>IF(B2561="","",ROW()-15)</f>
        <v/>
      </c>
      <c r="B2561" s="124" t="n"/>
      <c r="C2561" s="123" t="n"/>
      <c r="D2561" s="123" t="n"/>
      <c r="E2561" s="123" t="n"/>
      <c r="F2561" s="125" t="n"/>
      <c r="G2561" s="123" t="n"/>
      <c r="H2561" s="123" t="n"/>
      <c r="I2561" s="123" t="n"/>
      <c r="J2561" s="123" t="n"/>
      <c r="K2561" s="123" t="n"/>
      <c r="L2561" s="123" t="n"/>
      <c r="M2561" s="123">
        <f>IF(AND(B2561&lt;&gt;"",OR($C$4="",ISNUMBER(SEARCH($C$4,C2561&amp;" "&amp;E2561&amp;" "&amp;G2561&amp;" "&amp;H2561&amp;" "&amp;I2561&amp;" "&amp;J2561&amp;" "&amp;K2561&amp;" "&amp;L2561))),OR($C$5="Semua",$C$5="",G2561=$C$5),OR($C$6="Semua",$C$6="",H2561=$C$6,H2561="Pengeluaran "&amp;$C$6,AND($C$6="Uang Kos Mama",H2561="Pengeluaran Uang Kos")),OR($C$7="Semua",$C$7="",I2561=$C$7),OR($C$8="Semua",$C$8="",C2561=$C$8,E2561=$C$8),OR($C$9="Semua",$C$9="",D2561=$C$9),OR($C$10="",B2561&gt;=$C$10),OR($C$11="",B2561&lt;=$C$11),OR($C$12&lt;&gt;"Ya",K2561&lt;&gt;""),OR($C$13="Semua",$C$13="",L2561=$C$13)),"✓","")</f>
        <v/>
      </c>
      <c r="N2561" s="93">
        <f>N(N2560)+IF(M2561="✓",1,0)</f>
        <v/>
      </c>
      <c r="O2561" s="93">
        <f>N(O2560)+IF(AND(B2561&lt;&gt;"",B2561&gt;='Uang Riba'!$H$30,B2561&lt;='Uang Riba'!$I$30,OR(H2561="Dana riba",H2561="Pinjam uang riba",I2561="Pinjam dari uang riba",I2561="Ganti uang riba",I2561="Kelebihan ganti dikembalikan",AND(C2561="Kantong Uang Riba",G2561="Pengeluaran"))),1,0)</f>
        <v/>
      </c>
      <c r="X2561" s="93">
        <f>IF(AND(B2561&lt;&gt;"",B2561&gt;='Buku Akun'!$H$4,B2561&lt;='Buku Akun'!$H$5,OR(C2561='Buku Akun'!$C$4,AND(D2561="Pindah",E2561='Buku Akun'!$C$4))),B2561+IF(AND(I2561="Selisih bunga",DAY(B2561)=1),0,0.01)+ROW()/10000000,"")</f>
        <v/>
      </c>
    </row>
    <row r="2562" outlineLevel="1" ht="15" customHeight="1" s="94">
      <c r="A2562" s="123">
        <f>IF(B2562="","",ROW()-15)</f>
        <v/>
      </c>
      <c r="B2562" s="124" t="n"/>
      <c r="C2562" s="123" t="n"/>
      <c r="D2562" s="123" t="n"/>
      <c r="E2562" s="123" t="n"/>
      <c r="F2562" s="125" t="n"/>
      <c r="G2562" s="123" t="n"/>
      <c r="H2562" s="123" t="n"/>
      <c r="I2562" s="123" t="n"/>
      <c r="J2562" s="123" t="n"/>
      <c r="K2562" s="123" t="n"/>
      <c r="L2562" s="123" t="n"/>
      <c r="M2562" s="123">
        <f>IF(AND(B2562&lt;&gt;"",OR($C$4="",ISNUMBER(SEARCH($C$4,C2562&amp;" "&amp;E2562&amp;" "&amp;G2562&amp;" "&amp;H2562&amp;" "&amp;I2562&amp;" "&amp;J2562&amp;" "&amp;K2562&amp;" "&amp;L2562))),OR($C$5="Semua",$C$5="",G2562=$C$5),OR($C$6="Semua",$C$6="",H2562=$C$6,H2562="Pengeluaran "&amp;$C$6,AND($C$6="Uang Kos Mama",H2562="Pengeluaran Uang Kos")),OR($C$7="Semua",$C$7="",I2562=$C$7),OR($C$8="Semua",$C$8="",C2562=$C$8,E2562=$C$8),OR($C$9="Semua",$C$9="",D2562=$C$9),OR($C$10="",B2562&gt;=$C$10),OR($C$11="",B2562&lt;=$C$11),OR($C$12&lt;&gt;"Ya",K2562&lt;&gt;""),OR($C$13="Semua",$C$13="",L2562=$C$13)),"✓","")</f>
        <v/>
      </c>
      <c r="N2562" s="93">
        <f>N(N2561)+IF(M2562="✓",1,0)</f>
        <v/>
      </c>
      <c r="O2562" s="93">
        <f>N(O2561)+IF(AND(B2562&lt;&gt;"",B2562&gt;='Uang Riba'!$H$30,B2562&lt;='Uang Riba'!$I$30,OR(H2562="Dana riba",H2562="Pinjam uang riba",I2562="Pinjam dari uang riba",I2562="Ganti uang riba",I2562="Kelebihan ganti dikembalikan",AND(C2562="Kantong Uang Riba",G2562="Pengeluaran"))),1,0)</f>
        <v/>
      </c>
      <c r="X2562" s="93">
        <f>IF(AND(B2562&lt;&gt;"",B2562&gt;='Buku Akun'!$H$4,B2562&lt;='Buku Akun'!$H$5,OR(C2562='Buku Akun'!$C$4,AND(D2562="Pindah",E2562='Buku Akun'!$C$4))),B2562+IF(AND(I2562="Selisih bunga",DAY(B2562)=1),0,0.01)+ROW()/10000000,"")</f>
        <v/>
      </c>
    </row>
    <row r="2563" outlineLevel="1" ht="15" customHeight="1" s="94">
      <c r="A2563" s="123">
        <f>IF(B2563="","",ROW()-15)</f>
        <v/>
      </c>
      <c r="B2563" s="124" t="n"/>
      <c r="C2563" s="123" t="n"/>
      <c r="D2563" s="123" t="n"/>
      <c r="E2563" s="123" t="n"/>
      <c r="F2563" s="125" t="n"/>
      <c r="G2563" s="123" t="n"/>
      <c r="H2563" s="123" t="n"/>
      <c r="I2563" s="123" t="n"/>
      <c r="J2563" s="123" t="n"/>
      <c r="K2563" s="123" t="n"/>
      <c r="L2563" s="123" t="n"/>
      <c r="M2563" s="123">
        <f>IF(AND(B2563&lt;&gt;"",OR($C$4="",ISNUMBER(SEARCH($C$4,C2563&amp;" "&amp;E2563&amp;" "&amp;G2563&amp;" "&amp;H2563&amp;" "&amp;I2563&amp;" "&amp;J2563&amp;" "&amp;K2563&amp;" "&amp;L2563))),OR($C$5="Semua",$C$5="",G2563=$C$5),OR($C$6="Semua",$C$6="",H2563=$C$6,H2563="Pengeluaran "&amp;$C$6,AND($C$6="Uang Kos Mama",H2563="Pengeluaran Uang Kos")),OR($C$7="Semua",$C$7="",I2563=$C$7),OR($C$8="Semua",$C$8="",C2563=$C$8,E2563=$C$8),OR($C$9="Semua",$C$9="",D2563=$C$9),OR($C$10="",B2563&gt;=$C$10),OR($C$11="",B2563&lt;=$C$11),OR($C$12&lt;&gt;"Ya",K2563&lt;&gt;""),OR($C$13="Semua",$C$13="",L2563=$C$13)),"✓","")</f>
        <v/>
      </c>
      <c r="N2563" s="93">
        <f>N(N2562)+IF(M2563="✓",1,0)</f>
        <v/>
      </c>
      <c r="O2563" s="93">
        <f>N(O2562)+IF(AND(B2563&lt;&gt;"",B2563&gt;='Uang Riba'!$H$30,B2563&lt;='Uang Riba'!$I$30,OR(H2563="Dana riba",H2563="Pinjam uang riba",I2563="Pinjam dari uang riba",I2563="Ganti uang riba",I2563="Kelebihan ganti dikembalikan",AND(C2563="Kantong Uang Riba",G2563="Pengeluaran"))),1,0)</f>
        <v/>
      </c>
      <c r="X2563" s="93">
        <f>IF(AND(B2563&lt;&gt;"",B2563&gt;='Buku Akun'!$H$4,B2563&lt;='Buku Akun'!$H$5,OR(C2563='Buku Akun'!$C$4,AND(D2563="Pindah",E2563='Buku Akun'!$C$4))),B2563+IF(AND(I2563="Selisih bunga",DAY(B2563)=1),0,0.01)+ROW()/10000000,"")</f>
        <v/>
      </c>
    </row>
    <row r="2564" outlineLevel="1" ht="15" customHeight="1" s="94">
      <c r="A2564" s="123">
        <f>IF(B2564="","",ROW()-15)</f>
        <v/>
      </c>
      <c r="B2564" s="124" t="n"/>
      <c r="C2564" s="123" t="n"/>
      <c r="D2564" s="123" t="n"/>
      <c r="E2564" s="123" t="n"/>
      <c r="F2564" s="125" t="n"/>
      <c r="G2564" s="123" t="n"/>
      <c r="H2564" s="123" t="n"/>
      <c r="I2564" s="123" t="n"/>
      <c r="J2564" s="123" t="n"/>
      <c r="K2564" s="123" t="n"/>
      <c r="L2564" s="123" t="n"/>
      <c r="M2564" s="123">
        <f>IF(AND(B2564&lt;&gt;"",OR($C$4="",ISNUMBER(SEARCH($C$4,C2564&amp;" "&amp;E2564&amp;" "&amp;G2564&amp;" "&amp;H2564&amp;" "&amp;I2564&amp;" "&amp;J2564&amp;" "&amp;K2564&amp;" "&amp;L2564))),OR($C$5="Semua",$C$5="",G2564=$C$5),OR($C$6="Semua",$C$6="",H2564=$C$6,H2564="Pengeluaran "&amp;$C$6,AND($C$6="Uang Kos Mama",H2564="Pengeluaran Uang Kos")),OR($C$7="Semua",$C$7="",I2564=$C$7),OR($C$8="Semua",$C$8="",C2564=$C$8,E2564=$C$8),OR($C$9="Semua",$C$9="",D2564=$C$9),OR($C$10="",B2564&gt;=$C$10),OR($C$11="",B2564&lt;=$C$11),OR($C$12&lt;&gt;"Ya",K2564&lt;&gt;""),OR($C$13="Semua",$C$13="",L2564=$C$13)),"✓","")</f>
        <v/>
      </c>
      <c r="N2564" s="93">
        <f>N(N2563)+IF(M2564="✓",1,0)</f>
        <v/>
      </c>
      <c r="O2564" s="93">
        <f>N(O2563)+IF(AND(B2564&lt;&gt;"",B2564&gt;='Uang Riba'!$H$30,B2564&lt;='Uang Riba'!$I$30,OR(H2564="Dana riba",H2564="Pinjam uang riba",I2564="Pinjam dari uang riba",I2564="Ganti uang riba",I2564="Kelebihan ganti dikembalikan",AND(C2564="Kantong Uang Riba",G2564="Pengeluaran"))),1,0)</f>
        <v/>
      </c>
      <c r="X2564" s="93">
        <f>IF(AND(B2564&lt;&gt;"",B2564&gt;='Buku Akun'!$H$4,B2564&lt;='Buku Akun'!$H$5,OR(C2564='Buku Akun'!$C$4,AND(D2564="Pindah",E2564='Buku Akun'!$C$4))),B2564+IF(AND(I2564="Selisih bunga",DAY(B2564)=1),0,0.01)+ROW()/10000000,"")</f>
        <v/>
      </c>
    </row>
    <row r="2565" outlineLevel="1" ht="15" customHeight="1" s="94">
      <c r="A2565" s="123">
        <f>IF(B2565="","",ROW()-15)</f>
        <v/>
      </c>
      <c r="B2565" s="124" t="n"/>
      <c r="C2565" s="123" t="n"/>
      <c r="D2565" s="123" t="n"/>
      <c r="E2565" s="123" t="n"/>
      <c r="F2565" s="125" t="n"/>
      <c r="G2565" s="123" t="n"/>
      <c r="H2565" s="123" t="n"/>
      <c r="I2565" s="123" t="n"/>
      <c r="J2565" s="123" t="n"/>
      <c r="K2565" s="123" t="n"/>
      <c r="L2565" s="123" t="n"/>
      <c r="M2565" s="123">
        <f>IF(AND(B2565&lt;&gt;"",OR($C$4="",ISNUMBER(SEARCH($C$4,C2565&amp;" "&amp;E2565&amp;" "&amp;G2565&amp;" "&amp;H2565&amp;" "&amp;I2565&amp;" "&amp;J2565&amp;" "&amp;K2565&amp;" "&amp;L2565))),OR($C$5="Semua",$C$5="",G2565=$C$5),OR($C$6="Semua",$C$6="",H2565=$C$6,H2565="Pengeluaran "&amp;$C$6,AND($C$6="Uang Kos Mama",H2565="Pengeluaran Uang Kos")),OR($C$7="Semua",$C$7="",I2565=$C$7),OR($C$8="Semua",$C$8="",C2565=$C$8,E2565=$C$8),OR($C$9="Semua",$C$9="",D2565=$C$9),OR($C$10="",B2565&gt;=$C$10),OR($C$11="",B2565&lt;=$C$11),OR($C$12&lt;&gt;"Ya",K2565&lt;&gt;""),OR($C$13="Semua",$C$13="",L2565=$C$13)),"✓","")</f>
        <v/>
      </c>
      <c r="N2565" s="93">
        <f>N(N2564)+IF(M2565="✓",1,0)</f>
        <v/>
      </c>
      <c r="O2565" s="93">
        <f>N(O2564)+IF(AND(B2565&lt;&gt;"",B2565&gt;='Uang Riba'!$H$30,B2565&lt;='Uang Riba'!$I$30,OR(H2565="Dana riba",H2565="Pinjam uang riba",I2565="Pinjam dari uang riba",I2565="Ganti uang riba",I2565="Kelebihan ganti dikembalikan",AND(C2565="Kantong Uang Riba",G2565="Pengeluaran"))),1,0)</f>
        <v/>
      </c>
      <c r="X2565" s="93">
        <f>IF(AND(B2565&lt;&gt;"",B2565&gt;='Buku Akun'!$H$4,B2565&lt;='Buku Akun'!$H$5,OR(C2565='Buku Akun'!$C$4,AND(D2565="Pindah",E2565='Buku Akun'!$C$4))),B2565+IF(AND(I2565="Selisih bunga",DAY(B2565)=1),0,0.01)+ROW()/10000000,"")</f>
        <v/>
      </c>
    </row>
    <row r="2566" outlineLevel="1" ht="15" customHeight="1" s="94">
      <c r="A2566" s="123">
        <f>IF(B2566="","",ROW()-15)</f>
        <v/>
      </c>
      <c r="B2566" s="124" t="n"/>
      <c r="C2566" s="123" t="n"/>
      <c r="D2566" s="123" t="n"/>
      <c r="E2566" s="123" t="n"/>
      <c r="F2566" s="125" t="n"/>
      <c r="G2566" s="123" t="n"/>
      <c r="H2566" s="123" t="n"/>
      <c r="I2566" s="123" t="n"/>
      <c r="J2566" s="123" t="n"/>
      <c r="K2566" s="123" t="n"/>
      <c r="L2566" s="123" t="n"/>
      <c r="M2566" s="123">
        <f>IF(AND(B2566&lt;&gt;"",OR($C$4="",ISNUMBER(SEARCH($C$4,C2566&amp;" "&amp;E2566&amp;" "&amp;G2566&amp;" "&amp;H2566&amp;" "&amp;I2566&amp;" "&amp;J2566&amp;" "&amp;K2566&amp;" "&amp;L2566))),OR($C$5="Semua",$C$5="",G2566=$C$5),OR($C$6="Semua",$C$6="",H2566=$C$6,H2566="Pengeluaran "&amp;$C$6,AND($C$6="Uang Kos Mama",H2566="Pengeluaran Uang Kos")),OR($C$7="Semua",$C$7="",I2566=$C$7),OR($C$8="Semua",$C$8="",C2566=$C$8,E2566=$C$8),OR($C$9="Semua",$C$9="",D2566=$C$9),OR($C$10="",B2566&gt;=$C$10),OR($C$11="",B2566&lt;=$C$11),OR($C$12&lt;&gt;"Ya",K2566&lt;&gt;""),OR($C$13="Semua",$C$13="",L2566=$C$13)),"✓","")</f>
        <v/>
      </c>
      <c r="N2566" s="93">
        <f>N(N2565)+IF(M2566="✓",1,0)</f>
        <v/>
      </c>
      <c r="O2566" s="93">
        <f>N(O2565)+IF(AND(B2566&lt;&gt;"",B2566&gt;='Uang Riba'!$H$30,B2566&lt;='Uang Riba'!$I$30,OR(H2566="Dana riba",H2566="Pinjam uang riba",I2566="Pinjam dari uang riba",I2566="Ganti uang riba",I2566="Kelebihan ganti dikembalikan",AND(C2566="Kantong Uang Riba",G2566="Pengeluaran"))),1,0)</f>
        <v/>
      </c>
      <c r="X2566" s="93">
        <f>IF(AND(B2566&lt;&gt;"",B2566&gt;='Buku Akun'!$H$4,B2566&lt;='Buku Akun'!$H$5,OR(C2566='Buku Akun'!$C$4,AND(D2566="Pindah",E2566='Buku Akun'!$C$4))),B2566+IF(AND(I2566="Selisih bunga",DAY(B2566)=1),0,0.01)+ROW()/10000000,"")</f>
        <v/>
      </c>
    </row>
    <row r="2567" outlineLevel="1" ht="15" customHeight="1" s="94">
      <c r="A2567" s="123">
        <f>IF(B2567="","",ROW()-15)</f>
        <v/>
      </c>
      <c r="B2567" s="124" t="n"/>
      <c r="C2567" s="123" t="n"/>
      <c r="D2567" s="123" t="n"/>
      <c r="E2567" s="123" t="n"/>
      <c r="F2567" s="125" t="n"/>
      <c r="G2567" s="123" t="n"/>
      <c r="H2567" s="123" t="n"/>
      <c r="I2567" s="123" t="n"/>
      <c r="J2567" s="123" t="n"/>
      <c r="K2567" s="123" t="n"/>
      <c r="L2567" s="123" t="n"/>
      <c r="M2567" s="123">
        <f>IF(AND(B2567&lt;&gt;"",OR($C$4="",ISNUMBER(SEARCH($C$4,C2567&amp;" "&amp;E2567&amp;" "&amp;G2567&amp;" "&amp;H2567&amp;" "&amp;I2567&amp;" "&amp;J2567&amp;" "&amp;K2567&amp;" "&amp;L2567))),OR($C$5="Semua",$C$5="",G2567=$C$5),OR($C$6="Semua",$C$6="",H2567=$C$6,H2567="Pengeluaran "&amp;$C$6,AND($C$6="Uang Kos Mama",H2567="Pengeluaran Uang Kos")),OR($C$7="Semua",$C$7="",I2567=$C$7),OR($C$8="Semua",$C$8="",C2567=$C$8,E2567=$C$8),OR($C$9="Semua",$C$9="",D2567=$C$9),OR($C$10="",B2567&gt;=$C$10),OR($C$11="",B2567&lt;=$C$11),OR($C$12&lt;&gt;"Ya",K2567&lt;&gt;""),OR($C$13="Semua",$C$13="",L2567=$C$13)),"✓","")</f>
        <v/>
      </c>
      <c r="N2567" s="93">
        <f>N(N2566)+IF(M2567="✓",1,0)</f>
        <v/>
      </c>
      <c r="O2567" s="93">
        <f>N(O2566)+IF(AND(B2567&lt;&gt;"",B2567&gt;='Uang Riba'!$H$30,B2567&lt;='Uang Riba'!$I$30,OR(H2567="Dana riba",H2567="Pinjam uang riba",I2567="Pinjam dari uang riba",I2567="Ganti uang riba",I2567="Kelebihan ganti dikembalikan",AND(C2567="Kantong Uang Riba",G2567="Pengeluaran"))),1,0)</f>
        <v/>
      </c>
      <c r="X2567" s="93">
        <f>IF(AND(B2567&lt;&gt;"",B2567&gt;='Buku Akun'!$H$4,B2567&lt;='Buku Akun'!$H$5,OR(C2567='Buku Akun'!$C$4,AND(D2567="Pindah",E2567='Buku Akun'!$C$4))),B2567+IF(AND(I2567="Selisih bunga",DAY(B2567)=1),0,0.01)+ROW()/10000000,"")</f>
        <v/>
      </c>
    </row>
    <row r="2568" outlineLevel="1" ht="15" customHeight="1" s="94">
      <c r="A2568" s="123">
        <f>IF(B2568="","",ROW()-15)</f>
        <v/>
      </c>
      <c r="B2568" s="124" t="n"/>
      <c r="C2568" s="123" t="n"/>
      <c r="D2568" s="123" t="n"/>
      <c r="E2568" s="123" t="n"/>
      <c r="F2568" s="125" t="n"/>
      <c r="G2568" s="123" t="n"/>
      <c r="H2568" s="123" t="n"/>
      <c r="I2568" s="123" t="n"/>
      <c r="J2568" s="123" t="n"/>
      <c r="K2568" s="123" t="n"/>
      <c r="L2568" s="123" t="n"/>
      <c r="M2568" s="123">
        <f>IF(AND(B2568&lt;&gt;"",OR($C$4="",ISNUMBER(SEARCH($C$4,C2568&amp;" "&amp;E2568&amp;" "&amp;G2568&amp;" "&amp;H2568&amp;" "&amp;I2568&amp;" "&amp;J2568&amp;" "&amp;K2568&amp;" "&amp;L2568))),OR($C$5="Semua",$C$5="",G2568=$C$5),OR($C$6="Semua",$C$6="",H2568=$C$6,H2568="Pengeluaran "&amp;$C$6,AND($C$6="Uang Kos Mama",H2568="Pengeluaran Uang Kos")),OR($C$7="Semua",$C$7="",I2568=$C$7),OR($C$8="Semua",$C$8="",C2568=$C$8,E2568=$C$8),OR($C$9="Semua",$C$9="",D2568=$C$9),OR($C$10="",B2568&gt;=$C$10),OR($C$11="",B2568&lt;=$C$11),OR($C$12&lt;&gt;"Ya",K2568&lt;&gt;""),OR($C$13="Semua",$C$13="",L2568=$C$13)),"✓","")</f>
        <v/>
      </c>
      <c r="N2568" s="93">
        <f>N(N2567)+IF(M2568="✓",1,0)</f>
        <v/>
      </c>
      <c r="O2568" s="93">
        <f>N(O2567)+IF(AND(B2568&lt;&gt;"",B2568&gt;='Uang Riba'!$H$30,B2568&lt;='Uang Riba'!$I$30,OR(H2568="Dana riba",H2568="Pinjam uang riba",I2568="Pinjam dari uang riba",I2568="Ganti uang riba",I2568="Kelebihan ganti dikembalikan",AND(C2568="Kantong Uang Riba",G2568="Pengeluaran"))),1,0)</f>
        <v/>
      </c>
      <c r="X2568" s="93">
        <f>IF(AND(B2568&lt;&gt;"",B2568&gt;='Buku Akun'!$H$4,B2568&lt;='Buku Akun'!$H$5,OR(C2568='Buku Akun'!$C$4,AND(D2568="Pindah",E2568='Buku Akun'!$C$4))),B2568+IF(AND(I2568="Selisih bunga",DAY(B2568)=1),0,0.01)+ROW()/10000000,"")</f>
        <v/>
      </c>
    </row>
    <row r="2569" outlineLevel="1" ht="15" customHeight="1" s="94">
      <c r="A2569" s="123">
        <f>IF(B2569="","",ROW()-15)</f>
        <v/>
      </c>
      <c r="B2569" s="124" t="n"/>
      <c r="C2569" s="123" t="n"/>
      <c r="D2569" s="123" t="n"/>
      <c r="E2569" s="123" t="n"/>
      <c r="F2569" s="125" t="n"/>
      <c r="G2569" s="123" t="n"/>
      <c r="H2569" s="123" t="n"/>
      <c r="I2569" s="123" t="n"/>
      <c r="J2569" s="123" t="n"/>
      <c r="K2569" s="123" t="n"/>
      <c r="L2569" s="123" t="n"/>
      <c r="M2569" s="123">
        <f>IF(AND(B2569&lt;&gt;"",OR($C$4="",ISNUMBER(SEARCH($C$4,C2569&amp;" "&amp;E2569&amp;" "&amp;G2569&amp;" "&amp;H2569&amp;" "&amp;I2569&amp;" "&amp;J2569&amp;" "&amp;K2569&amp;" "&amp;L2569))),OR($C$5="Semua",$C$5="",G2569=$C$5),OR($C$6="Semua",$C$6="",H2569=$C$6,H2569="Pengeluaran "&amp;$C$6,AND($C$6="Uang Kos Mama",H2569="Pengeluaran Uang Kos")),OR($C$7="Semua",$C$7="",I2569=$C$7),OR($C$8="Semua",$C$8="",C2569=$C$8,E2569=$C$8),OR($C$9="Semua",$C$9="",D2569=$C$9),OR($C$10="",B2569&gt;=$C$10),OR($C$11="",B2569&lt;=$C$11),OR($C$12&lt;&gt;"Ya",K2569&lt;&gt;""),OR($C$13="Semua",$C$13="",L2569=$C$13)),"✓","")</f>
        <v/>
      </c>
      <c r="N2569" s="93">
        <f>N(N2568)+IF(M2569="✓",1,0)</f>
        <v/>
      </c>
      <c r="O2569" s="93">
        <f>N(O2568)+IF(AND(B2569&lt;&gt;"",B2569&gt;='Uang Riba'!$H$30,B2569&lt;='Uang Riba'!$I$30,OR(H2569="Dana riba",H2569="Pinjam uang riba",I2569="Pinjam dari uang riba",I2569="Ganti uang riba",I2569="Kelebihan ganti dikembalikan",AND(C2569="Kantong Uang Riba",G2569="Pengeluaran"))),1,0)</f>
        <v/>
      </c>
      <c r="X2569" s="93">
        <f>IF(AND(B2569&lt;&gt;"",B2569&gt;='Buku Akun'!$H$4,B2569&lt;='Buku Akun'!$H$5,OR(C2569='Buku Akun'!$C$4,AND(D2569="Pindah",E2569='Buku Akun'!$C$4))),B2569+IF(AND(I2569="Selisih bunga",DAY(B2569)=1),0,0.01)+ROW()/10000000,"")</f>
        <v/>
      </c>
    </row>
    <row r="2570" outlineLevel="1" ht="15" customHeight="1" s="94">
      <c r="A2570" s="123">
        <f>IF(B2570="","",ROW()-15)</f>
        <v/>
      </c>
      <c r="B2570" s="124" t="n"/>
      <c r="C2570" s="123" t="n"/>
      <c r="D2570" s="123" t="n"/>
      <c r="E2570" s="123" t="n"/>
      <c r="F2570" s="125" t="n"/>
      <c r="G2570" s="123" t="n"/>
      <c r="H2570" s="123" t="n"/>
      <c r="I2570" s="123" t="n"/>
      <c r="J2570" s="123" t="n"/>
      <c r="K2570" s="123" t="n"/>
      <c r="L2570" s="123" t="n"/>
      <c r="M2570" s="123">
        <f>IF(AND(B2570&lt;&gt;"",OR($C$4="",ISNUMBER(SEARCH($C$4,C2570&amp;" "&amp;E2570&amp;" "&amp;G2570&amp;" "&amp;H2570&amp;" "&amp;I2570&amp;" "&amp;J2570&amp;" "&amp;K2570&amp;" "&amp;L2570))),OR($C$5="Semua",$C$5="",G2570=$C$5),OR($C$6="Semua",$C$6="",H2570=$C$6,H2570="Pengeluaran "&amp;$C$6,AND($C$6="Uang Kos Mama",H2570="Pengeluaran Uang Kos")),OR($C$7="Semua",$C$7="",I2570=$C$7),OR($C$8="Semua",$C$8="",C2570=$C$8,E2570=$C$8),OR($C$9="Semua",$C$9="",D2570=$C$9),OR($C$10="",B2570&gt;=$C$10),OR($C$11="",B2570&lt;=$C$11),OR($C$12&lt;&gt;"Ya",K2570&lt;&gt;""),OR($C$13="Semua",$C$13="",L2570=$C$13)),"✓","")</f>
        <v/>
      </c>
      <c r="N2570" s="93">
        <f>N(N2569)+IF(M2570="✓",1,0)</f>
        <v/>
      </c>
      <c r="O2570" s="93">
        <f>N(O2569)+IF(AND(B2570&lt;&gt;"",B2570&gt;='Uang Riba'!$H$30,B2570&lt;='Uang Riba'!$I$30,OR(H2570="Dana riba",H2570="Pinjam uang riba",I2570="Pinjam dari uang riba",I2570="Ganti uang riba",I2570="Kelebihan ganti dikembalikan",AND(C2570="Kantong Uang Riba",G2570="Pengeluaran"))),1,0)</f>
        <v/>
      </c>
      <c r="X2570" s="93">
        <f>IF(AND(B2570&lt;&gt;"",B2570&gt;='Buku Akun'!$H$4,B2570&lt;='Buku Akun'!$H$5,OR(C2570='Buku Akun'!$C$4,AND(D2570="Pindah",E2570='Buku Akun'!$C$4))),B2570+IF(AND(I2570="Selisih bunga",DAY(B2570)=1),0,0.01)+ROW()/10000000,"")</f>
        <v/>
      </c>
    </row>
    <row r="2571" outlineLevel="1" ht="15" customHeight="1" s="94">
      <c r="A2571" s="123">
        <f>IF(B2571="","",ROW()-15)</f>
        <v/>
      </c>
      <c r="B2571" s="124" t="n"/>
      <c r="C2571" s="123" t="n"/>
      <c r="D2571" s="123" t="n"/>
      <c r="E2571" s="123" t="n"/>
      <c r="F2571" s="125" t="n"/>
      <c r="G2571" s="123" t="n"/>
      <c r="H2571" s="123" t="n"/>
      <c r="I2571" s="123" t="n"/>
      <c r="J2571" s="123" t="n"/>
      <c r="K2571" s="123" t="n"/>
      <c r="L2571" s="123" t="n"/>
      <c r="M2571" s="123">
        <f>IF(AND(B2571&lt;&gt;"",OR($C$4="",ISNUMBER(SEARCH($C$4,C2571&amp;" "&amp;E2571&amp;" "&amp;G2571&amp;" "&amp;H2571&amp;" "&amp;I2571&amp;" "&amp;J2571&amp;" "&amp;K2571&amp;" "&amp;L2571))),OR($C$5="Semua",$C$5="",G2571=$C$5),OR($C$6="Semua",$C$6="",H2571=$C$6,H2571="Pengeluaran "&amp;$C$6,AND($C$6="Uang Kos Mama",H2571="Pengeluaran Uang Kos")),OR($C$7="Semua",$C$7="",I2571=$C$7),OR($C$8="Semua",$C$8="",C2571=$C$8,E2571=$C$8),OR($C$9="Semua",$C$9="",D2571=$C$9),OR($C$10="",B2571&gt;=$C$10),OR($C$11="",B2571&lt;=$C$11),OR($C$12&lt;&gt;"Ya",K2571&lt;&gt;""),OR($C$13="Semua",$C$13="",L2571=$C$13)),"✓","")</f>
        <v/>
      </c>
      <c r="N2571" s="93">
        <f>N(N2570)+IF(M2571="✓",1,0)</f>
        <v/>
      </c>
      <c r="O2571" s="93">
        <f>N(O2570)+IF(AND(B2571&lt;&gt;"",B2571&gt;='Uang Riba'!$H$30,B2571&lt;='Uang Riba'!$I$30,OR(H2571="Dana riba",H2571="Pinjam uang riba",I2571="Pinjam dari uang riba",I2571="Ganti uang riba",I2571="Kelebihan ganti dikembalikan",AND(C2571="Kantong Uang Riba",G2571="Pengeluaran"))),1,0)</f>
        <v/>
      </c>
      <c r="X2571" s="93">
        <f>IF(AND(B2571&lt;&gt;"",B2571&gt;='Buku Akun'!$H$4,B2571&lt;='Buku Akun'!$H$5,OR(C2571='Buku Akun'!$C$4,AND(D2571="Pindah",E2571='Buku Akun'!$C$4))),B2571+IF(AND(I2571="Selisih bunga",DAY(B2571)=1),0,0.01)+ROW()/10000000,"")</f>
        <v/>
      </c>
    </row>
    <row r="2572" outlineLevel="1" ht="15" customHeight="1" s="94">
      <c r="A2572" s="123">
        <f>IF(B2572="","",ROW()-15)</f>
        <v/>
      </c>
      <c r="B2572" s="124" t="n"/>
      <c r="C2572" s="123" t="n"/>
      <c r="D2572" s="123" t="n"/>
      <c r="E2572" s="123" t="n"/>
      <c r="F2572" s="125" t="n"/>
      <c r="G2572" s="123" t="n"/>
      <c r="H2572" s="123" t="n"/>
      <c r="I2572" s="123" t="n"/>
      <c r="J2572" s="123" t="n"/>
      <c r="K2572" s="123" t="n"/>
      <c r="L2572" s="123" t="n"/>
      <c r="M2572" s="123">
        <f>IF(AND(B2572&lt;&gt;"",OR($C$4="",ISNUMBER(SEARCH($C$4,C2572&amp;" "&amp;E2572&amp;" "&amp;G2572&amp;" "&amp;H2572&amp;" "&amp;I2572&amp;" "&amp;J2572&amp;" "&amp;K2572&amp;" "&amp;L2572))),OR($C$5="Semua",$C$5="",G2572=$C$5),OR($C$6="Semua",$C$6="",H2572=$C$6,H2572="Pengeluaran "&amp;$C$6,AND($C$6="Uang Kos Mama",H2572="Pengeluaran Uang Kos")),OR($C$7="Semua",$C$7="",I2572=$C$7),OR($C$8="Semua",$C$8="",C2572=$C$8,E2572=$C$8),OR($C$9="Semua",$C$9="",D2572=$C$9),OR($C$10="",B2572&gt;=$C$10),OR($C$11="",B2572&lt;=$C$11),OR($C$12&lt;&gt;"Ya",K2572&lt;&gt;""),OR($C$13="Semua",$C$13="",L2572=$C$13)),"✓","")</f>
        <v/>
      </c>
      <c r="N2572" s="93">
        <f>N(N2571)+IF(M2572="✓",1,0)</f>
        <v/>
      </c>
      <c r="O2572" s="93">
        <f>N(O2571)+IF(AND(B2572&lt;&gt;"",B2572&gt;='Uang Riba'!$H$30,B2572&lt;='Uang Riba'!$I$30,OR(H2572="Dana riba",H2572="Pinjam uang riba",I2572="Pinjam dari uang riba",I2572="Ganti uang riba",I2572="Kelebihan ganti dikembalikan",AND(C2572="Kantong Uang Riba",G2572="Pengeluaran"))),1,0)</f>
        <v/>
      </c>
      <c r="X2572" s="93">
        <f>IF(AND(B2572&lt;&gt;"",B2572&gt;='Buku Akun'!$H$4,B2572&lt;='Buku Akun'!$H$5,OR(C2572='Buku Akun'!$C$4,AND(D2572="Pindah",E2572='Buku Akun'!$C$4))),B2572+IF(AND(I2572="Selisih bunga",DAY(B2572)=1),0,0.01)+ROW()/10000000,"")</f>
        <v/>
      </c>
    </row>
    <row r="2573" outlineLevel="1" ht="15" customHeight="1" s="94">
      <c r="A2573" s="123">
        <f>IF(B2573="","",ROW()-15)</f>
        <v/>
      </c>
      <c r="B2573" s="124" t="n"/>
      <c r="C2573" s="123" t="n"/>
      <c r="D2573" s="123" t="n"/>
      <c r="E2573" s="123" t="n"/>
      <c r="F2573" s="125" t="n"/>
      <c r="G2573" s="123" t="n"/>
      <c r="H2573" s="123" t="n"/>
      <c r="I2573" s="123" t="n"/>
      <c r="J2573" s="123" t="n"/>
      <c r="K2573" s="123" t="n"/>
      <c r="L2573" s="123" t="n"/>
      <c r="M2573" s="123">
        <f>IF(AND(B2573&lt;&gt;"",OR($C$4="",ISNUMBER(SEARCH($C$4,C2573&amp;" "&amp;E2573&amp;" "&amp;G2573&amp;" "&amp;H2573&amp;" "&amp;I2573&amp;" "&amp;J2573&amp;" "&amp;K2573&amp;" "&amp;L2573))),OR($C$5="Semua",$C$5="",G2573=$C$5),OR($C$6="Semua",$C$6="",H2573=$C$6,H2573="Pengeluaran "&amp;$C$6,AND($C$6="Uang Kos Mama",H2573="Pengeluaran Uang Kos")),OR($C$7="Semua",$C$7="",I2573=$C$7),OR($C$8="Semua",$C$8="",C2573=$C$8,E2573=$C$8),OR($C$9="Semua",$C$9="",D2573=$C$9),OR($C$10="",B2573&gt;=$C$10),OR($C$11="",B2573&lt;=$C$11),OR($C$12&lt;&gt;"Ya",K2573&lt;&gt;""),OR($C$13="Semua",$C$13="",L2573=$C$13)),"✓","")</f>
        <v/>
      </c>
      <c r="N2573" s="93">
        <f>N(N2572)+IF(M2573="✓",1,0)</f>
        <v/>
      </c>
      <c r="O2573" s="93">
        <f>N(O2572)+IF(AND(B2573&lt;&gt;"",B2573&gt;='Uang Riba'!$H$30,B2573&lt;='Uang Riba'!$I$30,OR(H2573="Dana riba",H2573="Pinjam uang riba",I2573="Pinjam dari uang riba",I2573="Ganti uang riba",I2573="Kelebihan ganti dikembalikan",AND(C2573="Kantong Uang Riba",G2573="Pengeluaran"))),1,0)</f>
        <v/>
      </c>
      <c r="X2573" s="93">
        <f>IF(AND(B2573&lt;&gt;"",B2573&gt;='Buku Akun'!$H$4,B2573&lt;='Buku Akun'!$H$5,OR(C2573='Buku Akun'!$C$4,AND(D2573="Pindah",E2573='Buku Akun'!$C$4))),B2573+IF(AND(I2573="Selisih bunga",DAY(B2573)=1),0,0.01)+ROW()/10000000,"")</f>
        <v/>
      </c>
    </row>
    <row r="2574" outlineLevel="1" ht="15" customHeight="1" s="94">
      <c r="A2574" s="123">
        <f>IF(B2574="","",ROW()-15)</f>
        <v/>
      </c>
      <c r="B2574" s="124" t="n"/>
      <c r="C2574" s="123" t="n"/>
      <c r="D2574" s="123" t="n"/>
      <c r="E2574" s="123" t="n"/>
      <c r="F2574" s="125" t="n"/>
      <c r="G2574" s="123" t="n"/>
      <c r="H2574" s="123" t="n"/>
      <c r="I2574" s="123" t="n"/>
      <c r="J2574" s="123" t="n"/>
      <c r="K2574" s="123" t="n"/>
      <c r="L2574" s="123" t="n"/>
      <c r="M2574" s="123">
        <f>IF(AND(B2574&lt;&gt;"",OR($C$4="",ISNUMBER(SEARCH($C$4,C2574&amp;" "&amp;E2574&amp;" "&amp;G2574&amp;" "&amp;H2574&amp;" "&amp;I2574&amp;" "&amp;J2574&amp;" "&amp;K2574&amp;" "&amp;L2574))),OR($C$5="Semua",$C$5="",G2574=$C$5),OR($C$6="Semua",$C$6="",H2574=$C$6,H2574="Pengeluaran "&amp;$C$6,AND($C$6="Uang Kos Mama",H2574="Pengeluaran Uang Kos")),OR($C$7="Semua",$C$7="",I2574=$C$7),OR($C$8="Semua",$C$8="",C2574=$C$8,E2574=$C$8),OR($C$9="Semua",$C$9="",D2574=$C$9),OR($C$10="",B2574&gt;=$C$10),OR($C$11="",B2574&lt;=$C$11),OR($C$12&lt;&gt;"Ya",K2574&lt;&gt;""),OR($C$13="Semua",$C$13="",L2574=$C$13)),"✓","")</f>
        <v/>
      </c>
      <c r="N2574" s="93">
        <f>N(N2573)+IF(M2574="✓",1,0)</f>
        <v/>
      </c>
      <c r="O2574" s="93">
        <f>N(O2573)+IF(AND(B2574&lt;&gt;"",B2574&gt;='Uang Riba'!$H$30,B2574&lt;='Uang Riba'!$I$30,OR(H2574="Dana riba",H2574="Pinjam uang riba",I2574="Pinjam dari uang riba",I2574="Ganti uang riba",I2574="Kelebihan ganti dikembalikan",AND(C2574="Kantong Uang Riba",G2574="Pengeluaran"))),1,0)</f>
        <v/>
      </c>
      <c r="X2574" s="93">
        <f>IF(AND(B2574&lt;&gt;"",B2574&gt;='Buku Akun'!$H$4,B2574&lt;='Buku Akun'!$H$5,OR(C2574='Buku Akun'!$C$4,AND(D2574="Pindah",E2574='Buku Akun'!$C$4))),B2574+IF(AND(I2574="Selisih bunga",DAY(B2574)=1),0,0.01)+ROW()/10000000,"")</f>
        <v/>
      </c>
    </row>
    <row r="2575" outlineLevel="1" ht="15" customHeight="1" s="94">
      <c r="A2575" s="123">
        <f>IF(B2575="","",ROW()-15)</f>
        <v/>
      </c>
      <c r="B2575" s="124" t="n"/>
      <c r="C2575" s="123" t="n"/>
      <c r="D2575" s="123" t="n"/>
      <c r="E2575" s="123" t="n"/>
      <c r="F2575" s="125" t="n"/>
      <c r="G2575" s="123" t="n"/>
      <c r="H2575" s="123" t="n"/>
      <c r="I2575" s="123" t="n"/>
      <c r="J2575" s="123" t="n"/>
      <c r="K2575" s="123" t="n"/>
      <c r="L2575" s="123" t="n"/>
      <c r="M2575" s="123">
        <f>IF(AND(B2575&lt;&gt;"",OR($C$4="",ISNUMBER(SEARCH($C$4,C2575&amp;" "&amp;E2575&amp;" "&amp;G2575&amp;" "&amp;H2575&amp;" "&amp;I2575&amp;" "&amp;J2575&amp;" "&amp;K2575&amp;" "&amp;L2575))),OR($C$5="Semua",$C$5="",G2575=$C$5),OR($C$6="Semua",$C$6="",H2575=$C$6,H2575="Pengeluaran "&amp;$C$6,AND($C$6="Uang Kos Mama",H2575="Pengeluaran Uang Kos")),OR($C$7="Semua",$C$7="",I2575=$C$7),OR($C$8="Semua",$C$8="",C2575=$C$8,E2575=$C$8),OR($C$9="Semua",$C$9="",D2575=$C$9),OR($C$10="",B2575&gt;=$C$10),OR($C$11="",B2575&lt;=$C$11),OR($C$12&lt;&gt;"Ya",K2575&lt;&gt;""),OR($C$13="Semua",$C$13="",L2575=$C$13)),"✓","")</f>
        <v/>
      </c>
      <c r="N2575" s="93">
        <f>N(N2574)+IF(M2575="✓",1,0)</f>
        <v/>
      </c>
      <c r="O2575" s="93">
        <f>N(O2574)+IF(AND(B2575&lt;&gt;"",B2575&gt;='Uang Riba'!$H$30,B2575&lt;='Uang Riba'!$I$30,OR(H2575="Dana riba",H2575="Pinjam uang riba",I2575="Pinjam dari uang riba",I2575="Ganti uang riba",I2575="Kelebihan ganti dikembalikan",AND(C2575="Kantong Uang Riba",G2575="Pengeluaran"))),1,0)</f>
        <v/>
      </c>
      <c r="X2575" s="93">
        <f>IF(AND(B2575&lt;&gt;"",B2575&gt;='Buku Akun'!$H$4,B2575&lt;='Buku Akun'!$H$5,OR(C2575='Buku Akun'!$C$4,AND(D2575="Pindah",E2575='Buku Akun'!$C$4))),B2575+IF(AND(I2575="Selisih bunga",DAY(B2575)=1),0,0.01)+ROW()/10000000,"")</f>
        <v/>
      </c>
    </row>
    <row r="2576" outlineLevel="1" ht="15" customHeight="1" s="94">
      <c r="A2576" s="123">
        <f>IF(B2576="","",ROW()-15)</f>
        <v/>
      </c>
      <c r="B2576" s="124" t="n"/>
      <c r="C2576" s="123" t="n"/>
      <c r="D2576" s="123" t="n"/>
      <c r="E2576" s="123" t="n"/>
      <c r="F2576" s="125" t="n"/>
      <c r="G2576" s="123" t="n"/>
      <c r="H2576" s="123" t="n"/>
      <c r="I2576" s="123" t="n"/>
      <c r="J2576" s="123" t="n"/>
      <c r="K2576" s="123" t="n"/>
      <c r="L2576" s="123" t="n"/>
      <c r="M2576" s="123">
        <f>IF(AND(B2576&lt;&gt;"",OR($C$4="",ISNUMBER(SEARCH($C$4,C2576&amp;" "&amp;E2576&amp;" "&amp;G2576&amp;" "&amp;H2576&amp;" "&amp;I2576&amp;" "&amp;J2576&amp;" "&amp;K2576&amp;" "&amp;L2576))),OR($C$5="Semua",$C$5="",G2576=$C$5),OR($C$6="Semua",$C$6="",H2576=$C$6,H2576="Pengeluaran "&amp;$C$6,AND($C$6="Uang Kos Mama",H2576="Pengeluaran Uang Kos")),OR($C$7="Semua",$C$7="",I2576=$C$7),OR($C$8="Semua",$C$8="",C2576=$C$8,E2576=$C$8),OR($C$9="Semua",$C$9="",D2576=$C$9),OR($C$10="",B2576&gt;=$C$10),OR($C$11="",B2576&lt;=$C$11),OR($C$12&lt;&gt;"Ya",K2576&lt;&gt;""),OR($C$13="Semua",$C$13="",L2576=$C$13)),"✓","")</f>
        <v/>
      </c>
      <c r="N2576" s="93">
        <f>N(N2575)+IF(M2576="✓",1,0)</f>
        <v/>
      </c>
      <c r="O2576" s="93">
        <f>N(O2575)+IF(AND(B2576&lt;&gt;"",B2576&gt;='Uang Riba'!$H$30,B2576&lt;='Uang Riba'!$I$30,OR(H2576="Dana riba",H2576="Pinjam uang riba",I2576="Pinjam dari uang riba",I2576="Ganti uang riba",I2576="Kelebihan ganti dikembalikan",AND(C2576="Kantong Uang Riba",G2576="Pengeluaran"))),1,0)</f>
        <v/>
      </c>
      <c r="X2576" s="93">
        <f>IF(AND(B2576&lt;&gt;"",B2576&gt;='Buku Akun'!$H$4,B2576&lt;='Buku Akun'!$H$5,OR(C2576='Buku Akun'!$C$4,AND(D2576="Pindah",E2576='Buku Akun'!$C$4))),B2576+IF(AND(I2576="Selisih bunga",DAY(B2576)=1),0,0.01)+ROW()/10000000,"")</f>
        <v/>
      </c>
    </row>
    <row r="2577" outlineLevel="1" ht="15" customHeight="1" s="94">
      <c r="A2577" s="123">
        <f>IF(B2577="","",ROW()-15)</f>
        <v/>
      </c>
      <c r="B2577" s="124" t="n"/>
      <c r="C2577" s="123" t="n"/>
      <c r="D2577" s="123" t="n"/>
      <c r="E2577" s="123" t="n"/>
      <c r="F2577" s="125" t="n"/>
      <c r="G2577" s="123" t="n"/>
      <c r="H2577" s="123" t="n"/>
      <c r="I2577" s="123" t="n"/>
      <c r="J2577" s="123" t="n"/>
      <c r="K2577" s="123" t="n"/>
      <c r="L2577" s="123" t="n"/>
      <c r="M2577" s="123">
        <f>IF(AND(B2577&lt;&gt;"",OR($C$4="",ISNUMBER(SEARCH($C$4,C2577&amp;" "&amp;E2577&amp;" "&amp;G2577&amp;" "&amp;H2577&amp;" "&amp;I2577&amp;" "&amp;J2577&amp;" "&amp;K2577&amp;" "&amp;L2577))),OR($C$5="Semua",$C$5="",G2577=$C$5),OR($C$6="Semua",$C$6="",H2577=$C$6,H2577="Pengeluaran "&amp;$C$6,AND($C$6="Uang Kos Mama",H2577="Pengeluaran Uang Kos")),OR($C$7="Semua",$C$7="",I2577=$C$7),OR($C$8="Semua",$C$8="",C2577=$C$8,E2577=$C$8),OR($C$9="Semua",$C$9="",D2577=$C$9),OR($C$10="",B2577&gt;=$C$10),OR($C$11="",B2577&lt;=$C$11),OR($C$12&lt;&gt;"Ya",K2577&lt;&gt;""),OR($C$13="Semua",$C$13="",L2577=$C$13)),"✓","")</f>
        <v/>
      </c>
      <c r="N2577" s="93">
        <f>N(N2576)+IF(M2577="✓",1,0)</f>
        <v/>
      </c>
      <c r="O2577" s="93">
        <f>N(O2576)+IF(AND(B2577&lt;&gt;"",B2577&gt;='Uang Riba'!$H$30,B2577&lt;='Uang Riba'!$I$30,OR(H2577="Dana riba",H2577="Pinjam uang riba",I2577="Pinjam dari uang riba",I2577="Ganti uang riba",I2577="Kelebihan ganti dikembalikan",AND(C2577="Kantong Uang Riba",G2577="Pengeluaran"))),1,0)</f>
        <v/>
      </c>
      <c r="X2577" s="93">
        <f>IF(AND(B2577&lt;&gt;"",B2577&gt;='Buku Akun'!$H$4,B2577&lt;='Buku Akun'!$H$5,OR(C2577='Buku Akun'!$C$4,AND(D2577="Pindah",E2577='Buku Akun'!$C$4))),B2577+IF(AND(I2577="Selisih bunga",DAY(B2577)=1),0,0.01)+ROW()/10000000,"")</f>
        <v/>
      </c>
    </row>
    <row r="2578" outlineLevel="1" ht="15" customHeight="1" s="94">
      <c r="A2578" s="123">
        <f>IF(B2578="","",ROW()-15)</f>
        <v/>
      </c>
      <c r="B2578" s="124" t="n"/>
      <c r="C2578" s="123" t="n"/>
      <c r="D2578" s="123" t="n"/>
      <c r="E2578" s="123" t="n"/>
      <c r="F2578" s="125" t="n"/>
      <c r="G2578" s="123" t="n"/>
      <c r="H2578" s="123" t="n"/>
      <c r="I2578" s="123" t="n"/>
      <c r="J2578" s="123" t="n"/>
      <c r="K2578" s="123" t="n"/>
      <c r="L2578" s="123" t="n"/>
      <c r="M2578" s="123">
        <f>IF(AND(B2578&lt;&gt;"",OR($C$4="",ISNUMBER(SEARCH($C$4,C2578&amp;" "&amp;E2578&amp;" "&amp;G2578&amp;" "&amp;H2578&amp;" "&amp;I2578&amp;" "&amp;J2578&amp;" "&amp;K2578&amp;" "&amp;L2578))),OR($C$5="Semua",$C$5="",G2578=$C$5),OR($C$6="Semua",$C$6="",H2578=$C$6,H2578="Pengeluaran "&amp;$C$6,AND($C$6="Uang Kos Mama",H2578="Pengeluaran Uang Kos")),OR($C$7="Semua",$C$7="",I2578=$C$7),OR($C$8="Semua",$C$8="",C2578=$C$8,E2578=$C$8),OR($C$9="Semua",$C$9="",D2578=$C$9),OR($C$10="",B2578&gt;=$C$10),OR($C$11="",B2578&lt;=$C$11),OR($C$12&lt;&gt;"Ya",K2578&lt;&gt;""),OR($C$13="Semua",$C$13="",L2578=$C$13)),"✓","")</f>
        <v/>
      </c>
      <c r="N2578" s="93">
        <f>N(N2577)+IF(M2578="✓",1,0)</f>
        <v/>
      </c>
      <c r="O2578" s="93">
        <f>N(O2577)+IF(AND(B2578&lt;&gt;"",B2578&gt;='Uang Riba'!$H$30,B2578&lt;='Uang Riba'!$I$30,OR(H2578="Dana riba",H2578="Pinjam uang riba",I2578="Pinjam dari uang riba",I2578="Ganti uang riba",I2578="Kelebihan ganti dikembalikan",AND(C2578="Kantong Uang Riba",G2578="Pengeluaran"))),1,0)</f>
        <v/>
      </c>
      <c r="X2578" s="93">
        <f>IF(AND(B2578&lt;&gt;"",B2578&gt;='Buku Akun'!$H$4,B2578&lt;='Buku Akun'!$H$5,OR(C2578='Buku Akun'!$C$4,AND(D2578="Pindah",E2578='Buku Akun'!$C$4))),B2578+IF(AND(I2578="Selisih bunga",DAY(B2578)=1),0,0.01)+ROW()/10000000,"")</f>
        <v/>
      </c>
    </row>
    <row r="2579" outlineLevel="1" ht="15" customHeight="1" s="94">
      <c r="A2579" s="123">
        <f>IF(B2579="","",ROW()-15)</f>
        <v/>
      </c>
      <c r="B2579" s="124" t="n"/>
      <c r="C2579" s="123" t="n"/>
      <c r="D2579" s="123" t="n"/>
      <c r="E2579" s="123" t="n"/>
      <c r="F2579" s="125" t="n"/>
      <c r="G2579" s="123" t="n"/>
      <c r="H2579" s="123" t="n"/>
      <c r="I2579" s="123" t="n"/>
      <c r="J2579" s="123" t="n"/>
      <c r="K2579" s="123" t="n"/>
      <c r="L2579" s="123" t="n"/>
      <c r="M2579" s="123">
        <f>IF(AND(B2579&lt;&gt;"",OR($C$4="",ISNUMBER(SEARCH($C$4,C2579&amp;" "&amp;E2579&amp;" "&amp;G2579&amp;" "&amp;H2579&amp;" "&amp;I2579&amp;" "&amp;J2579&amp;" "&amp;K2579&amp;" "&amp;L2579))),OR($C$5="Semua",$C$5="",G2579=$C$5),OR($C$6="Semua",$C$6="",H2579=$C$6,H2579="Pengeluaran "&amp;$C$6,AND($C$6="Uang Kos Mama",H2579="Pengeluaran Uang Kos")),OR($C$7="Semua",$C$7="",I2579=$C$7),OR($C$8="Semua",$C$8="",C2579=$C$8,E2579=$C$8),OR($C$9="Semua",$C$9="",D2579=$C$9),OR($C$10="",B2579&gt;=$C$10),OR($C$11="",B2579&lt;=$C$11),OR($C$12&lt;&gt;"Ya",K2579&lt;&gt;""),OR($C$13="Semua",$C$13="",L2579=$C$13)),"✓","")</f>
        <v/>
      </c>
      <c r="N2579" s="93">
        <f>N(N2578)+IF(M2579="✓",1,0)</f>
        <v/>
      </c>
      <c r="O2579" s="93">
        <f>N(O2578)+IF(AND(B2579&lt;&gt;"",B2579&gt;='Uang Riba'!$H$30,B2579&lt;='Uang Riba'!$I$30,OR(H2579="Dana riba",H2579="Pinjam uang riba",I2579="Pinjam dari uang riba",I2579="Ganti uang riba",I2579="Kelebihan ganti dikembalikan",AND(C2579="Kantong Uang Riba",G2579="Pengeluaran"))),1,0)</f>
        <v/>
      </c>
      <c r="X2579" s="93">
        <f>IF(AND(B2579&lt;&gt;"",B2579&gt;='Buku Akun'!$H$4,B2579&lt;='Buku Akun'!$H$5,OR(C2579='Buku Akun'!$C$4,AND(D2579="Pindah",E2579='Buku Akun'!$C$4))),B2579+IF(AND(I2579="Selisih bunga",DAY(B2579)=1),0,0.01)+ROW()/10000000,"")</f>
        <v/>
      </c>
    </row>
    <row r="2580" outlineLevel="1" ht="15" customHeight="1" s="94">
      <c r="A2580" s="123">
        <f>IF(B2580="","",ROW()-15)</f>
        <v/>
      </c>
      <c r="B2580" s="124" t="n"/>
      <c r="C2580" s="123" t="n"/>
      <c r="D2580" s="123" t="n"/>
      <c r="E2580" s="123" t="n"/>
      <c r="F2580" s="125" t="n"/>
      <c r="G2580" s="123" t="n"/>
      <c r="H2580" s="123" t="n"/>
      <c r="I2580" s="123" t="n"/>
      <c r="J2580" s="123" t="n"/>
      <c r="K2580" s="123" t="n"/>
      <c r="L2580" s="123" t="n"/>
      <c r="M2580" s="123">
        <f>IF(AND(B2580&lt;&gt;"",OR($C$4="",ISNUMBER(SEARCH($C$4,C2580&amp;" "&amp;E2580&amp;" "&amp;G2580&amp;" "&amp;H2580&amp;" "&amp;I2580&amp;" "&amp;J2580&amp;" "&amp;K2580&amp;" "&amp;L2580))),OR($C$5="Semua",$C$5="",G2580=$C$5),OR($C$6="Semua",$C$6="",H2580=$C$6,H2580="Pengeluaran "&amp;$C$6,AND($C$6="Uang Kos Mama",H2580="Pengeluaran Uang Kos")),OR($C$7="Semua",$C$7="",I2580=$C$7),OR($C$8="Semua",$C$8="",C2580=$C$8,E2580=$C$8),OR($C$9="Semua",$C$9="",D2580=$C$9),OR($C$10="",B2580&gt;=$C$10),OR($C$11="",B2580&lt;=$C$11),OR($C$12&lt;&gt;"Ya",K2580&lt;&gt;""),OR($C$13="Semua",$C$13="",L2580=$C$13)),"✓","")</f>
        <v/>
      </c>
      <c r="N2580" s="93">
        <f>N(N2579)+IF(M2580="✓",1,0)</f>
        <v/>
      </c>
      <c r="O2580" s="93">
        <f>N(O2579)+IF(AND(B2580&lt;&gt;"",B2580&gt;='Uang Riba'!$H$30,B2580&lt;='Uang Riba'!$I$30,OR(H2580="Dana riba",H2580="Pinjam uang riba",I2580="Pinjam dari uang riba",I2580="Ganti uang riba",I2580="Kelebihan ganti dikembalikan",AND(C2580="Kantong Uang Riba",G2580="Pengeluaran"))),1,0)</f>
        <v/>
      </c>
      <c r="X2580" s="93">
        <f>IF(AND(B2580&lt;&gt;"",B2580&gt;='Buku Akun'!$H$4,B2580&lt;='Buku Akun'!$H$5,OR(C2580='Buku Akun'!$C$4,AND(D2580="Pindah",E2580='Buku Akun'!$C$4))),B2580+IF(AND(I2580="Selisih bunga",DAY(B2580)=1),0,0.01)+ROW()/10000000,"")</f>
        <v/>
      </c>
    </row>
    <row r="2581" outlineLevel="1" ht="15" customHeight="1" s="94">
      <c r="A2581" s="123">
        <f>IF(B2581="","",ROW()-15)</f>
        <v/>
      </c>
      <c r="B2581" s="124" t="n"/>
      <c r="C2581" s="123" t="n"/>
      <c r="D2581" s="123" t="n"/>
      <c r="E2581" s="123" t="n"/>
      <c r="F2581" s="125" t="n"/>
      <c r="G2581" s="123" t="n"/>
      <c r="H2581" s="123" t="n"/>
      <c r="I2581" s="123" t="n"/>
      <c r="J2581" s="123" t="n"/>
      <c r="K2581" s="123" t="n"/>
      <c r="L2581" s="123" t="n"/>
      <c r="M2581" s="123">
        <f>IF(AND(B2581&lt;&gt;"",OR($C$4="",ISNUMBER(SEARCH($C$4,C2581&amp;" "&amp;E2581&amp;" "&amp;G2581&amp;" "&amp;H2581&amp;" "&amp;I2581&amp;" "&amp;J2581&amp;" "&amp;K2581&amp;" "&amp;L2581))),OR($C$5="Semua",$C$5="",G2581=$C$5),OR($C$6="Semua",$C$6="",H2581=$C$6,H2581="Pengeluaran "&amp;$C$6,AND($C$6="Uang Kos Mama",H2581="Pengeluaran Uang Kos")),OR($C$7="Semua",$C$7="",I2581=$C$7),OR($C$8="Semua",$C$8="",C2581=$C$8,E2581=$C$8),OR($C$9="Semua",$C$9="",D2581=$C$9),OR($C$10="",B2581&gt;=$C$10),OR($C$11="",B2581&lt;=$C$11),OR($C$12&lt;&gt;"Ya",K2581&lt;&gt;""),OR($C$13="Semua",$C$13="",L2581=$C$13)),"✓","")</f>
        <v/>
      </c>
      <c r="N2581" s="93">
        <f>N(N2580)+IF(M2581="✓",1,0)</f>
        <v/>
      </c>
      <c r="O2581" s="93">
        <f>N(O2580)+IF(AND(B2581&lt;&gt;"",B2581&gt;='Uang Riba'!$H$30,B2581&lt;='Uang Riba'!$I$30,OR(H2581="Dana riba",H2581="Pinjam uang riba",I2581="Pinjam dari uang riba",I2581="Ganti uang riba",I2581="Kelebihan ganti dikembalikan",AND(C2581="Kantong Uang Riba",G2581="Pengeluaran"))),1,0)</f>
        <v/>
      </c>
      <c r="X2581" s="93">
        <f>IF(AND(B2581&lt;&gt;"",B2581&gt;='Buku Akun'!$H$4,B2581&lt;='Buku Akun'!$H$5,OR(C2581='Buku Akun'!$C$4,AND(D2581="Pindah",E2581='Buku Akun'!$C$4))),B2581+IF(AND(I2581="Selisih bunga",DAY(B2581)=1),0,0.01)+ROW()/10000000,"")</f>
        <v/>
      </c>
    </row>
    <row r="2582" outlineLevel="1" ht="15" customHeight="1" s="94">
      <c r="A2582" s="123">
        <f>IF(B2582="","",ROW()-15)</f>
        <v/>
      </c>
      <c r="B2582" s="124" t="n"/>
      <c r="C2582" s="123" t="n"/>
      <c r="D2582" s="123" t="n"/>
      <c r="E2582" s="123" t="n"/>
      <c r="F2582" s="125" t="n"/>
      <c r="G2582" s="123" t="n"/>
      <c r="H2582" s="123" t="n"/>
      <c r="I2582" s="123" t="n"/>
      <c r="J2582" s="123" t="n"/>
      <c r="K2582" s="123" t="n"/>
      <c r="L2582" s="123" t="n"/>
      <c r="M2582" s="123">
        <f>IF(AND(B2582&lt;&gt;"",OR($C$4="",ISNUMBER(SEARCH($C$4,C2582&amp;" "&amp;E2582&amp;" "&amp;G2582&amp;" "&amp;H2582&amp;" "&amp;I2582&amp;" "&amp;J2582&amp;" "&amp;K2582&amp;" "&amp;L2582))),OR($C$5="Semua",$C$5="",G2582=$C$5),OR($C$6="Semua",$C$6="",H2582=$C$6,H2582="Pengeluaran "&amp;$C$6,AND($C$6="Uang Kos Mama",H2582="Pengeluaran Uang Kos")),OR($C$7="Semua",$C$7="",I2582=$C$7),OR($C$8="Semua",$C$8="",C2582=$C$8,E2582=$C$8),OR($C$9="Semua",$C$9="",D2582=$C$9),OR($C$10="",B2582&gt;=$C$10),OR($C$11="",B2582&lt;=$C$11),OR($C$12&lt;&gt;"Ya",K2582&lt;&gt;""),OR($C$13="Semua",$C$13="",L2582=$C$13)),"✓","")</f>
        <v/>
      </c>
      <c r="N2582" s="93">
        <f>N(N2581)+IF(M2582="✓",1,0)</f>
        <v/>
      </c>
      <c r="O2582" s="93">
        <f>N(O2581)+IF(AND(B2582&lt;&gt;"",B2582&gt;='Uang Riba'!$H$30,B2582&lt;='Uang Riba'!$I$30,OR(H2582="Dana riba",H2582="Pinjam uang riba",I2582="Pinjam dari uang riba",I2582="Ganti uang riba",I2582="Kelebihan ganti dikembalikan",AND(C2582="Kantong Uang Riba",G2582="Pengeluaran"))),1,0)</f>
        <v/>
      </c>
      <c r="X2582" s="93">
        <f>IF(AND(B2582&lt;&gt;"",B2582&gt;='Buku Akun'!$H$4,B2582&lt;='Buku Akun'!$H$5,OR(C2582='Buku Akun'!$C$4,AND(D2582="Pindah",E2582='Buku Akun'!$C$4))),B2582+IF(AND(I2582="Selisih bunga",DAY(B2582)=1),0,0.01)+ROW()/10000000,"")</f>
        <v/>
      </c>
    </row>
    <row r="2583" outlineLevel="1" ht="15" customHeight="1" s="94">
      <c r="A2583" s="123">
        <f>IF(B2583="","",ROW()-15)</f>
        <v/>
      </c>
      <c r="B2583" s="124" t="n"/>
      <c r="C2583" s="123" t="n"/>
      <c r="D2583" s="123" t="n"/>
      <c r="E2583" s="123" t="n"/>
      <c r="F2583" s="125" t="n"/>
      <c r="G2583" s="123" t="n"/>
      <c r="H2583" s="123" t="n"/>
      <c r="I2583" s="123" t="n"/>
      <c r="J2583" s="123" t="n"/>
      <c r="K2583" s="123" t="n"/>
      <c r="L2583" s="123" t="n"/>
      <c r="M2583" s="123">
        <f>IF(AND(B2583&lt;&gt;"",OR($C$4="",ISNUMBER(SEARCH($C$4,C2583&amp;" "&amp;E2583&amp;" "&amp;G2583&amp;" "&amp;H2583&amp;" "&amp;I2583&amp;" "&amp;J2583&amp;" "&amp;K2583&amp;" "&amp;L2583))),OR($C$5="Semua",$C$5="",G2583=$C$5),OR($C$6="Semua",$C$6="",H2583=$C$6,H2583="Pengeluaran "&amp;$C$6,AND($C$6="Uang Kos Mama",H2583="Pengeluaran Uang Kos")),OR($C$7="Semua",$C$7="",I2583=$C$7),OR($C$8="Semua",$C$8="",C2583=$C$8,E2583=$C$8),OR($C$9="Semua",$C$9="",D2583=$C$9),OR($C$10="",B2583&gt;=$C$10),OR($C$11="",B2583&lt;=$C$11),OR($C$12&lt;&gt;"Ya",K2583&lt;&gt;""),OR($C$13="Semua",$C$13="",L2583=$C$13)),"✓","")</f>
        <v/>
      </c>
      <c r="N2583" s="93">
        <f>N(N2582)+IF(M2583="✓",1,0)</f>
        <v/>
      </c>
      <c r="O2583" s="93">
        <f>N(O2582)+IF(AND(B2583&lt;&gt;"",B2583&gt;='Uang Riba'!$H$30,B2583&lt;='Uang Riba'!$I$30,OR(H2583="Dana riba",H2583="Pinjam uang riba",I2583="Pinjam dari uang riba",I2583="Ganti uang riba",I2583="Kelebihan ganti dikembalikan",AND(C2583="Kantong Uang Riba",G2583="Pengeluaran"))),1,0)</f>
        <v/>
      </c>
      <c r="X2583" s="93">
        <f>IF(AND(B2583&lt;&gt;"",B2583&gt;='Buku Akun'!$H$4,B2583&lt;='Buku Akun'!$H$5,OR(C2583='Buku Akun'!$C$4,AND(D2583="Pindah",E2583='Buku Akun'!$C$4))),B2583+IF(AND(I2583="Selisih bunga",DAY(B2583)=1),0,0.01)+ROW()/10000000,"")</f>
        <v/>
      </c>
    </row>
    <row r="2584" outlineLevel="1" ht="15" customHeight="1" s="94">
      <c r="A2584" s="123">
        <f>IF(B2584="","",ROW()-15)</f>
        <v/>
      </c>
      <c r="B2584" s="124" t="n"/>
      <c r="C2584" s="123" t="n"/>
      <c r="D2584" s="123" t="n"/>
      <c r="E2584" s="123" t="n"/>
      <c r="F2584" s="125" t="n"/>
      <c r="G2584" s="123" t="n"/>
      <c r="H2584" s="123" t="n"/>
      <c r="I2584" s="123" t="n"/>
      <c r="J2584" s="123" t="n"/>
      <c r="K2584" s="123" t="n"/>
      <c r="L2584" s="123" t="n"/>
      <c r="M2584" s="123">
        <f>IF(AND(B2584&lt;&gt;"",OR($C$4="",ISNUMBER(SEARCH($C$4,C2584&amp;" "&amp;E2584&amp;" "&amp;G2584&amp;" "&amp;H2584&amp;" "&amp;I2584&amp;" "&amp;J2584&amp;" "&amp;K2584&amp;" "&amp;L2584))),OR($C$5="Semua",$C$5="",G2584=$C$5),OR($C$6="Semua",$C$6="",H2584=$C$6,H2584="Pengeluaran "&amp;$C$6,AND($C$6="Uang Kos Mama",H2584="Pengeluaran Uang Kos")),OR($C$7="Semua",$C$7="",I2584=$C$7),OR($C$8="Semua",$C$8="",C2584=$C$8,E2584=$C$8),OR($C$9="Semua",$C$9="",D2584=$C$9),OR($C$10="",B2584&gt;=$C$10),OR($C$11="",B2584&lt;=$C$11),OR($C$12&lt;&gt;"Ya",K2584&lt;&gt;""),OR($C$13="Semua",$C$13="",L2584=$C$13)),"✓","")</f>
        <v/>
      </c>
      <c r="N2584" s="93">
        <f>N(N2583)+IF(M2584="✓",1,0)</f>
        <v/>
      </c>
      <c r="O2584" s="93">
        <f>N(O2583)+IF(AND(B2584&lt;&gt;"",B2584&gt;='Uang Riba'!$H$30,B2584&lt;='Uang Riba'!$I$30,OR(H2584="Dana riba",H2584="Pinjam uang riba",I2584="Pinjam dari uang riba",I2584="Ganti uang riba",I2584="Kelebihan ganti dikembalikan",AND(C2584="Kantong Uang Riba",G2584="Pengeluaran"))),1,0)</f>
        <v/>
      </c>
      <c r="X2584" s="93">
        <f>IF(AND(B2584&lt;&gt;"",B2584&gt;='Buku Akun'!$H$4,B2584&lt;='Buku Akun'!$H$5,OR(C2584='Buku Akun'!$C$4,AND(D2584="Pindah",E2584='Buku Akun'!$C$4))),B2584+IF(AND(I2584="Selisih bunga",DAY(B2584)=1),0,0.01)+ROW()/10000000,"")</f>
        <v/>
      </c>
    </row>
    <row r="2585" outlineLevel="1" ht="15" customHeight="1" s="94">
      <c r="A2585" s="123">
        <f>IF(B2585="","",ROW()-15)</f>
        <v/>
      </c>
      <c r="B2585" s="124" t="n"/>
      <c r="C2585" s="123" t="n"/>
      <c r="D2585" s="123" t="n"/>
      <c r="E2585" s="123" t="n"/>
      <c r="F2585" s="125" t="n"/>
      <c r="G2585" s="123" t="n"/>
      <c r="H2585" s="123" t="n"/>
      <c r="I2585" s="123" t="n"/>
      <c r="J2585" s="123" t="n"/>
      <c r="K2585" s="123" t="n"/>
      <c r="L2585" s="123" t="n"/>
      <c r="M2585" s="123">
        <f>IF(AND(B2585&lt;&gt;"",OR($C$4="",ISNUMBER(SEARCH($C$4,C2585&amp;" "&amp;E2585&amp;" "&amp;G2585&amp;" "&amp;H2585&amp;" "&amp;I2585&amp;" "&amp;J2585&amp;" "&amp;K2585&amp;" "&amp;L2585))),OR($C$5="Semua",$C$5="",G2585=$C$5),OR($C$6="Semua",$C$6="",H2585=$C$6,H2585="Pengeluaran "&amp;$C$6,AND($C$6="Uang Kos Mama",H2585="Pengeluaran Uang Kos")),OR($C$7="Semua",$C$7="",I2585=$C$7),OR($C$8="Semua",$C$8="",C2585=$C$8,E2585=$C$8),OR($C$9="Semua",$C$9="",D2585=$C$9),OR($C$10="",B2585&gt;=$C$10),OR($C$11="",B2585&lt;=$C$11),OR($C$12&lt;&gt;"Ya",K2585&lt;&gt;""),OR($C$13="Semua",$C$13="",L2585=$C$13)),"✓","")</f>
        <v/>
      </c>
      <c r="N2585" s="93">
        <f>N(N2584)+IF(M2585="✓",1,0)</f>
        <v/>
      </c>
      <c r="O2585" s="93">
        <f>N(O2584)+IF(AND(B2585&lt;&gt;"",B2585&gt;='Uang Riba'!$H$30,B2585&lt;='Uang Riba'!$I$30,OR(H2585="Dana riba",H2585="Pinjam uang riba",I2585="Pinjam dari uang riba",I2585="Ganti uang riba",I2585="Kelebihan ganti dikembalikan",AND(C2585="Kantong Uang Riba",G2585="Pengeluaran"))),1,0)</f>
        <v/>
      </c>
      <c r="X2585" s="93">
        <f>IF(AND(B2585&lt;&gt;"",B2585&gt;='Buku Akun'!$H$4,B2585&lt;='Buku Akun'!$H$5,OR(C2585='Buku Akun'!$C$4,AND(D2585="Pindah",E2585='Buku Akun'!$C$4))),B2585+IF(AND(I2585="Selisih bunga",DAY(B2585)=1),0,0.01)+ROW()/10000000,"")</f>
        <v/>
      </c>
    </row>
    <row r="2586" outlineLevel="1" ht="15" customHeight="1" s="94">
      <c r="A2586" s="123">
        <f>IF(B2586="","",ROW()-15)</f>
        <v/>
      </c>
      <c r="B2586" s="124" t="n"/>
      <c r="C2586" s="123" t="n"/>
      <c r="D2586" s="123" t="n"/>
      <c r="E2586" s="123" t="n"/>
      <c r="F2586" s="125" t="n"/>
      <c r="G2586" s="123" t="n"/>
      <c r="H2586" s="123" t="n"/>
      <c r="I2586" s="123" t="n"/>
      <c r="J2586" s="123" t="n"/>
      <c r="K2586" s="123" t="n"/>
      <c r="L2586" s="123" t="n"/>
      <c r="M2586" s="123">
        <f>IF(AND(B2586&lt;&gt;"",OR($C$4="",ISNUMBER(SEARCH($C$4,C2586&amp;" "&amp;E2586&amp;" "&amp;G2586&amp;" "&amp;H2586&amp;" "&amp;I2586&amp;" "&amp;J2586&amp;" "&amp;K2586&amp;" "&amp;L2586))),OR($C$5="Semua",$C$5="",G2586=$C$5),OR($C$6="Semua",$C$6="",H2586=$C$6,H2586="Pengeluaran "&amp;$C$6,AND($C$6="Uang Kos Mama",H2586="Pengeluaran Uang Kos")),OR($C$7="Semua",$C$7="",I2586=$C$7),OR($C$8="Semua",$C$8="",C2586=$C$8,E2586=$C$8),OR($C$9="Semua",$C$9="",D2586=$C$9),OR($C$10="",B2586&gt;=$C$10),OR($C$11="",B2586&lt;=$C$11),OR($C$12&lt;&gt;"Ya",K2586&lt;&gt;""),OR($C$13="Semua",$C$13="",L2586=$C$13)),"✓","")</f>
        <v/>
      </c>
      <c r="N2586" s="93">
        <f>N(N2585)+IF(M2586="✓",1,0)</f>
        <v/>
      </c>
      <c r="O2586" s="93">
        <f>N(O2585)+IF(AND(B2586&lt;&gt;"",B2586&gt;='Uang Riba'!$H$30,B2586&lt;='Uang Riba'!$I$30,OR(H2586="Dana riba",H2586="Pinjam uang riba",I2586="Pinjam dari uang riba",I2586="Ganti uang riba",I2586="Kelebihan ganti dikembalikan",AND(C2586="Kantong Uang Riba",G2586="Pengeluaran"))),1,0)</f>
        <v/>
      </c>
      <c r="X2586" s="93">
        <f>IF(AND(B2586&lt;&gt;"",B2586&gt;='Buku Akun'!$H$4,B2586&lt;='Buku Akun'!$H$5,OR(C2586='Buku Akun'!$C$4,AND(D2586="Pindah",E2586='Buku Akun'!$C$4))),B2586+IF(AND(I2586="Selisih bunga",DAY(B2586)=1),0,0.01)+ROW()/10000000,"")</f>
        <v/>
      </c>
    </row>
    <row r="2587" outlineLevel="1" ht="15" customHeight="1" s="94">
      <c r="A2587" s="123">
        <f>IF(B2587="","",ROW()-15)</f>
        <v/>
      </c>
      <c r="B2587" s="124" t="n"/>
      <c r="C2587" s="123" t="n"/>
      <c r="D2587" s="123" t="n"/>
      <c r="E2587" s="123" t="n"/>
      <c r="F2587" s="125" t="n"/>
      <c r="G2587" s="123" t="n"/>
      <c r="H2587" s="123" t="n"/>
      <c r="I2587" s="123" t="n"/>
      <c r="J2587" s="123" t="n"/>
      <c r="K2587" s="123" t="n"/>
      <c r="L2587" s="123" t="n"/>
      <c r="M2587" s="123">
        <f>IF(AND(B2587&lt;&gt;"",OR($C$4="",ISNUMBER(SEARCH($C$4,C2587&amp;" "&amp;E2587&amp;" "&amp;G2587&amp;" "&amp;H2587&amp;" "&amp;I2587&amp;" "&amp;J2587&amp;" "&amp;K2587&amp;" "&amp;L2587))),OR($C$5="Semua",$C$5="",G2587=$C$5),OR($C$6="Semua",$C$6="",H2587=$C$6,H2587="Pengeluaran "&amp;$C$6,AND($C$6="Uang Kos Mama",H2587="Pengeluaran Uang Kos")),OR($C$7="Semua",$C$7="",I2587=$C$7),OR($C$8="Semua",$C$8="",C2587=$C$8,E2587=$C$8),OR($C$9="Semua",$C$9="",D2587=$C$9),OR($C$10="",B2587&gt;=$C$10),OR($C$11="",B2587&lt;=$C$11),OR($C$12&lt;&gt;"Ya",K2587&lt;&gt;""),OR($C$13="Semua",$C$13="",L2587=$C$13)),"✓","")</f>
        <v/>
      </c>
      <c r="N2587" s="93">
        <f>N(N2586)+IF(M2587="✓",1,0)</f>
        <v/>
      </c>
      <c r="O2587" s="93">
        <f>N(O2586)+IF(AND(B2587&lt;&gt;"",B2587&gt;='Uang Riba'!$H$30,B2587&lt;='Uang Riba'!$I$30,OR(H2587="Dana riba",H2587="Pinjam uang riba",I2587="Pinjam dari uang riba",I2587="Ganti uang riba",I2587="Kelebihan ganti dikembalikan",AND(C2587="Kantong Uang Riba",G2587="Pengeluaran"))),1,0)</f>
        <v/>
      </c>
      <c r="X2587" s="93">
        <f>IF(AND(B2587&lt;&gt;"",B2587&gt;='Buku Akun'!$H$4,B2587&lt;='Buku Akun'!$H$5,OR(C2587='Buku Akun'!$C$4,AND(D2587="Pindah",E2587='Buku Akun'!$C$4))),B2587+IF(AND(I2587="Selisih bunga",DAY(B2587)=1),0,0.01)+ROW()/10000000,"")</f>
        <v/>
      </c>
    </row>
    <row r="2588" outlineLevel="1" ht="15" customHeight="1" s="94">
      <c r="A2588" s="123">
        <f>IF(B2588="","",ROW()-15)</f>
        <v/>
      </c>
      <c r="B2588" s="124" t="n"/>
      <c r="C2588" s="123" t="n"/>
      <c r="D2588" s="123" t="n"/>
      <c r="E2588" s="123" t="n"/>
      <c r="F2588" s="125" t="n"/>
      <c r="G2588" s="123" t="n"/>
      <c r="H2588" s="123" t="n"/>
      <c r="I2588" s="123" t="n"/>
      <c r="J2588" s="123" t="n"/>
      <c r="K2588" s="123" t="n"/>
      <c r="L2588" s="123" t="n"/>
      <c r="M2588" s="123">
        <f>IF(AND(B2588&lt;&gt;"",OR($C$4="",ISNUMBER(SEARCH($C$4,C2588&amp;" "&amp;E2588&amp;" "&amp;G2588&amp;" "&amp;H2588&amp;" "&amp;I2588&amp;" "&amp;J2588&amp;" "&amp;K2588&amp;" "&amp;L2588))),OR($C$5="Semua",$C$5="",G2588=$C$5),OR($C$6="Semua",$C$6="",H2588=$C$6,H2588="Pengeluaran "&amp;$C$6,AND($C$6="Uang Kos Mama",H2588="Pengeluaran Uang Kos")),OR($C$7="Semua",$C$7="",I2588=$C$7),OR($C$8="Semua",$C$8="",C2588=$C$8,E2588=$C$8),OR($C$9="Semua",$C$9="",D2588=$C$9),OR($C$10="",B2588&gt;=$C$10),OR($C$11="",B2588&lt;=$C$11),OR($C$12&lt;&gt;"Ya",K2588&lt;&gt;""),OR($C$13="Semua",$C$13="",L2588=$C$13)),"✓","")</f>
        <v/>
      </c>
      <c r="N2588" s="93">
        <f>N(N2587)+IF(M2588="✓",1,0)</f>
        <v/>
      </c>
      <c r="O2588" s="93">
        <f>N(O2587)+IF(AND(B2588&lt;&gt;"",B2588&gt;='Uang Riba'!$H$30,B2588&lt;='Uang Riba'!$I$30,OR(H2588="Dana riba",H2588="Pinjam uang riba",I2588="Pinjam dari uang riba",I2588="Ganti uang riba",I2588="Kelebihan ganti dikembalikan",AND(C2588="Kantong Uang Riba",G2588="Pengeluaran"))),1,0)</f>
        <v/>
      </c>
      <c r="X2588" s="93">
        <f>IF(AND(B2588&lt;&gt;"",B2588&gt;='Buku Akun'!$H$4,B2588&lt;='Buku Akun'!$H$5,OR(C2588='Buku Akun'!$C$4,AND(D2588="Pindah",E2588='Buku Akun'!$C$4))),B2588+IF(AND(I2588="Selisih bunga",DAY(B2588)=1),0,0.01)+ROW()/10000000,"")</f>
        <v/>
      </c>
    </row>
    <row r="2589" outlineLevel="1" ht="15" customHeight="1" s="94">
      <c r="A2589" s="123">
        <f>IF(B2589="","",ROW()-15)</f>
        <v/>
      </c>
      <c r="B2589" s="124" t="n"/>
      <c r="C2589" s="123" t="n"/>
      <c r="D2589" s="123" t="n"/>
      <c r="E2589" s="123" t="n"/>
      <c r="F2589" s="125" t="n"/>
      <c r="G2589" s="123" t="n"/>
      <c r="H2589" s="123" t="n"/>
      <c r="I2589" s="123" t="n"/>
      <c r="J2589" s="123" t="n"/>
      <c r="K2589" s="123" t="n"/>
      <c r="L2589" s="123" t="n"/>
      <c r="M2589" s="123">
        <f>IF(AND(B2589&lt;&gt;"",OR($C$4="",ISNUMBER(SEARCH($C$4,C2589&amp;" "&amp;E2589&amp;" "&amp;G2589&amp;" "&amp;H2589&amp;" "&amp;I2589&amp;" "&amp;J2589&amp;" "&amp;K2589&amp;" "&amp;L2589))),OR($C$5="Semua",$C$5="",G2589=$C$5),OR($C$6="Semua",$C$6="",H2589=$C$6,H2589="Pengeluaran "&amp;$C$6,AND($C$6="Uang Kos Mama",H2589="Pengeluaran Uang Kos")),OR($C$7="Semua",$C$7="",I2589=$C$7),OR($C$8="Semua",$C$8="",C2589=$C$8,E2589=$C$8),OR($C$9="Semua",$C$9="",D2589=$C$9),OR($C$10="",B2589&gt;=$C$10),OR($C$11="",B2589&lt;=$C$11),OR($C$12&lt;&gt;"Ya",K2589&lt;&gt;""),OR($C$13="Semua",$C$13="",L2589=$C$13)),"✓","")</f>
        <v/>
      </c>
      <c r="N2589" s="93">
        <f>N(N2588)+IF(M2589="✓",1,0)</f>
        <v/>
      </c>
      <c r="O2589" s="93">
        <f>N(O2588)+IF(AND(B2589&lt;&gt;"",B2589&gt;='Uang Riba'!$H$30,B2589&lt;='Uang Riba'!$I$30,OR(H2589="Dana riba",H2589="Pinjam uang riba",I2589="Pinjam dari uang riba",I2589="Ganti uang riba",I2589="Kelebihan ganti dikembalikan",AND(C2589="Kantong Uang Riba",G2589="Pengeluaran"))),1,0)</f>
        <v/>
      </c>
      <c r="X2589" s="93">
        <f>IF(AND(B2589&lt;&gt;"",B2589&gt;='Buku Akun'!$H$4,B2589&lt;='Buku Akun'!$H$5,OR(C2589='Buku Akun'!$C$4,AND(D2589="Pindah",E2589='Buku Akun'!$C$4))),B2589+IF(AND(I2589="Selisih bunga",DAY(B2589)=1),0,0.01)+ROW()/10000000,"")</f>
        <v/>
      </c>
    </row>
    <row r="2590" outlineLevel="1" ht="15" customHeight="1" s="94">
      <c r="A2590" s="123">
        <f>IF(B2590="","",ROW()-15)</f>
        <v/>
      </c>
      <c r="B2590" s="124" t="n"/>
      <c r="C2590" s="123" t="n"/>
      <c r="D2590" s="123" t="n"/>
      <c r="E2590" s="123" t="n"/>
      <c r="F2590" s="125" t="n"/>
      <c r="G2590" s="123" t="n"/>
      <c r="H2590" s="123" t="n"/>
      <c r="I2590" s="123" t="n"/>
      <c r="J2590" s="123" t="n"/>
      <c r="K2590" s="123" t="n"/>
      <c r="L2590" s="123" t="n"/>
      <c r="M2590" s="123">
        <f>IF(AND(B2590&lt;&gt;"",OR($C$4="",ISNUMBER(SEARCH($C$4,C2590&amp;" "&amp;E2590&amp;" "&amp;G2590&amp;" "&amp;H2590&amp;" "&amp;I2590&amp;" "&amp;J2590&amp;" "&amp;K2590&amp;" "&amp;L2590))),OR($C$5="Semua",$C$5="",G2590=$C$5),OR($C$6="Semua",$C$6="",H2590=$C$6,H2590="Pengeluaran "&amp;$C$6,AND($C$6="Uang Kos Mama",H2590="Pengeluaran Uang Kos")),OR($C$7="Semua",$C$7="",I2590=$C$7),OR($C$8="Semua",$C$8="",C2590=$C$8,E2590=$C$8),OR($C$9="Semua",$C$9="",D2590=$C$9),OR($C$10="",B2590&gt;=$C$10),OR($C$11="",B2590&lt;=$C$11),OR($C$12&lt;&gt;"Ya",K2590&lt;&gt;""),OR($C$13="Semua",$C$13="",L2590=$C$13)),"✓","")</f>
        <v/>
      </c>
      <c r="N2590" s="93">
        <f>N(N2589)+IF(M2590="✓",1,0)</f>
        <v/>
      </c>
      <c r="O2590" s="93">
        <f>N(O2589)+IF(AND(B2590&lt;&gt;"",B2590&gt;='Uang Riba'!$H$30,B2590&lt;='Uang Riba'!$I$30,OR(H2590="Dana riba",H2590="Pinjam uang riba",I2590="Pinjam dari uang riba",I2590="Ganti uang riba",I2590="Kelebihan ganti dikembalikan",AND(C2590="Kantong Uang Riba",G2590="Pengeluaran"))),1,0)</f>
        <v/>
      </c>
      <c r="X2590" s="93">
        <f>IF(AND(B2590&lt;&gt;"",B2590&gt;='Buku Akun'!$H$4,B2590&lt;='Buku Akun'!$H$5,OR(C2590='Buku Akun'!$C$4,AND(D2590="Pindah",E2590='Buku Akun'!$C$4))),B2590+IF(AND(I2590="Selisih bunga",DAY(B2590)=1),0,0.01)+ROW()/10000000,"")</f>
        <v/>
      </c>
    </row>
    <row r="2591" outlineLevel="1" ht="15" customHeight="1" s="94">
      <c r="A2591" s="123">
        <f>IF(B2591="","",ROW()-15)</f>
        <v/>
      </c>
      <c r="B2591" s="124" t="n"/>
      <c r="C2591" s="123" t="n"/>
      <c r="D2591" s="123" t="n"/>
      <c r="E2591" s="123" t="n"/>
      <c r="F2591" s="125" t="n"/>
      <c r="G2591" s="123" t="n"/>
      <c r="H2591" s="123" t="n"/>
      <c r="I2591" s="123" t="n"/>
      <c r="J2591" s="123" t="n"/>
      <c r="K2591" s="123" t="n"/>
      <c r="L2591" s="123" t="n"/>
      <c r="M2591" s="123">
        <f>IF(AND(B2591&lt;&gt;"",OR($C$4="",ISNUMBER(SEARCH($C$4,C2591&amp;" "&amp;E2591&amp;" "&amp;G2591&amp;" "&amp;H2591&amp;" "&amp;I2591&amp;" "&amp;J2591&amp;" "&amp;K2591&amp;" "&amp;L2591))),OR($C$5="Semua",$C$5="",G2591=$C$5),OR($C$6="Semua",$C$6="",H2591=$C$6,H2591="Pengeluaran "&amp;$C$6,AND($C$6="Uang Kos Mama",H2591="Pengeluaran Uang Kos")),OR($C$7="Semua",$C$7="",I2591=$C$7),OR($C$8="Semua",$C$8="",C2591=$C$8,E2591=$C$8),OR($C$9="Semua",$C$9="",D2591=$C$9),OR($C$10="",B2591&gt;=$C$10),OR($C$11="",B2591&lt;=$C$11),OR($C$12&lt;&gt;"Ya",K2591&lt;&gt;""),OR($C$13="Semua",$C$13="",L2591=$C$13)),"✓","")</f>
        <v/>
      </c>
      <c r="N2591" s="93">
        <f>N(N2590)+IF(M2591="✓",1,0)</f>
        <v/>
      </c>
      <c r="O2591" s="93">
        <f>N(O2590)+IF(AND(B2591&lt;&gt;"",B2591&gt;='Uang Riba'!$H$30,B2591&lt;='Uang Riba'!$I$30,OR(H2591="Dana riba",H2591="Pinjam uang riba",I2591="Pinjam dari uang riba",I2591="Ganti uang riba",I2591="Kelebihan ganti dikembalikan",AND(C2591="Kantong Uang Riba",G2591="Pengeluaran"))),1,0)</f>
        <v/>
      </c>
      <c r="X2591" s="93">
        <f>IF(AND(B2591&lt;&gt;"",B2591&gt;='Buku Akun'!$H$4,B2591&lt;='Buku Akun'!$H$5,OR(C2591='Buku Akun'!$C$4,AND(D2591="Pindah",E2591='Buku Akun'!$C$4))),B2591+IF(AND(I2591="Selisih bunga",DAY(B2591)=1),0,0.01)+ROW()/10000000,"")</f>
        <v/>
      </c>
    </row>
    <row r="2592" outlineLevel="1" ht="15" customHeight="1" s="94">
      <c r="A2592" s="123">
        <f>IF(B2592="","",ROW()-15)</f>
        <v/>
      </c>
      <c r="B2592" s="124" t="n"/>
      <c r="C2592" s="123" t="n"/>
      <c r="D2592" s="123" t="n"/>
      <c r="E2592" s="123" t="n"/>
      <c r="F2592" s="125" t="n"/>
      <c r="G2592" s="123" t="n"/>
      <c r="H2592" s="123" t="n"/>
      <c r="I2592" s="123" t="n"/>
      <c r="J2592" s="123" t="n"/>
      <c r="K2592" s="123" t="n"/>
      <c r="L2592" s="123" t="n"/>
      <c r="M2592" s="123">
        <f>IF(AND(B2592&lt;&gt;"",OR($C$4="",ISNUMBER(SEARCH($C$4,C2592&amp;" "&amp;E2592&amp;" "&amp;G2592&amp;" "&amp;H2592&amp;" "&amp;I2592&amp;" "&amp;J2592&amp;" "&amp;K2592&amp;" "&amp;L2592))),OR($C$5="Semua",$C$5="",G2592=$C$5),OR($C$6="Semua",$C$6="",H2592=$C$6,H2592="Pengeluaran "&amp;$C$6,AND($C$6="Uang Kos Mama",H2592="Pengeluaran Uang Kos")),OR($C$7="Semua",$C$7="",I2592=$C$7),OR($C$8="Semua",$C$8="",C2592=$C$8,E2592=$C$8),OR($C$9="Semua",$C$9="",D2592=$C$9),OR($C$10="",B2592&gt;=$C$10),OR($C$11="",B2592&lt;=$C$11),OR($C$12&lt;&gt;"Ya",K2592&lt;&gt;""),OR($C$13="Semua",$C$13="",L2592=$C$13)),"✓","")</f>
        <v/>
      </c>
      <c r="N2592" s="93">
        <f>N(N2591)+IF(M2592="✓",1,0)</f>
        <v/>
      </c>
      <c r="O2592" s="93">
        <f>N(O2591)+IF(AND(B2592&lt;&gt;"",B2592&gt;='Uang Riba'!$H$30,B2592&lt;='Uang Riba'!$I$30,OR(H2592="Dana riba",H2592="Pinjam uang riba",I2592="Pinjam dari uang riba",I2592="Ganti uang riba",I2592="Kelebihan ganti dikembalikan",AND(C2592="Kantong Uang Riba",G2592="Pengeluaran"))),1,0)</f>
        <v/>
      </c>
      <c r="X2592" s="93">
        <f>IF(AND(B2592&lt;&gt;"",B2592&gt;='Buku Akun'!$H$4,B2592&lt;='Buku Akun'!$H$5,OR(C2592='Buku Akun'!$C$4,AND(D2592="Pindah",E2592='Buku Akun'!$C$4))),B2592+IF(AND(I2592="Selisih bunga",DAY(B2592)=1),0,0.01)+ROW()/10000000,"")</f>
        <v/>
      </c>
    </row>
    <row r="2593" outlineLevel="1" ht="15" customHeight="1" s="94">
      <c r="A2593" s="123">
        <f>IF(B2593="","",ROW()-15)</f>
        <v/>
      </c>
      <c r="B2593" s="124" t="n"/>
      <c r="C2593" s="123" t="n"/>
      <c r="D2593" s="123" t="n"/>
      <c r="E2593" s="123" t="n"/>
      <c r="F2593" s="125" t="n"/>
      <c r="G2593" s="123" t="n"/>
      <c r="H2593" s="123" t="n"/>
      <c r="I2593" s="123" t="n"/>
      <c r="J2593" s="123" t="n"/>
      <c r="K2593" s="123" t="n"/>
      <c r="L2593" s="123" t="n"/>
      <c r="M2593" s="123">
        <f>IF(AND(B2593&lt;&gt;"",OR($C$4="",ISNUMBER(SEARCH($C$4,C2593&amp;" "&amp;E2593&amp;" "&amp;G2593&amp;" "&amp;H2593&amp;" "&amp;I2593&amp;" "&amp;J2593&amp;" "&amp;K2593&amp;" "&amp;L2593))),OR($C$5="Semua",$C$5="",G2593=$C$5),OR($C$6="Semua",$C$6="",H2593=$C$6,H2593="Pengeluaran "&amp;$C$6,AND($C$6="Uang Kos Mama",H2593="Pengeluaran Uang Kos")),OR($C$7="Semua",$C$7="",I2593=$C$7),OR($C$8="Semua",$C$8="",C2593=$C$8,E2593=$C$8),OR($C$9="Semua",$C$9="",D2593=$C$9),OR($C$10="",B2593&gt;=$C$10),OR($C$11="",B2593&lt;=$C$11),OR($C$12&lt;&gt;"Ya",K2593&lt;&gt;""),OR($C$13="Semua",$C$13="",L2593=$C$13)),"✓","")</f>
        <v/>
      </c>
      <c r="N2593" s="93">
        <f>N(N2592)+IF(M2593="✓",1,0)</f>
        <v/>
      </c>
      <c r="O2593" s="93">
        <f>N(O2592)+IF(AND(B2593&lt;&gt;"",B2593&gt;='Uang Riba'!$H$30,B2593&lt;='Uang Riba'!$I$30,OR(H2593="Dana riba",H2593="Pinjam uang riba",I2593="Pinjam dari uang riba",I2593="Ganti uang riba",I2593="Kelebihan ganti dikembalikan",AND(C2593="Kantong Uang Riba",G2593="Pengeluaran"))),1,0)</f>
        <v/>
      </c>
      <c r="X2593" s="93">
        <f>IF(AND(B2593&lt;&gt;"",B2593&gt;='Buku Akun'!$H$4,B2593&lt;='Buku Akun'!$H$5,OR(C2593='Buku Akun'!$C$4,AND(D2593="Pindah",E2593='Buku Akun'!$C$4))),B2593+IF(AND(I2593="Selisih bunga",DAY(B2593)=1),0,0.01)+ROW()/10000000,"")</f>
        <v/>
      </c>
    </row>
    <row r="2594" outlineLevel="1" ht="15" customHeight="1" s="94">
      <c r="A2594" s="123">
        <f>IF(B2594="","",ROW()-15)</f>
        <v/>
      </c>
      <c r="B2594" s="124" t="n"/>
      <c r="C2594" s="123" t="n"/>
      <c r="D2594" s="123" t="n"/>
      <c r="E2594" s="123" t="n"/>
      <c r="F2594" s="125" t="n"/>
      <c r="G2594" s="123" t="n"/>
      <c r="H2594" s="123" t="n"/>
      <c r="I2594" s="123" t="n"/>
      <c r="J2594" s="123" t="n"/>
      <c r="K2594" s="123" t="n"/>
      <c r="L2594" s="123" t="n"/>
      <c r="M2594" s="123">
        <f>IF(AND(B2594&lt;&gt;"",OR($C$4="",ISNUMBER(SEARCH($C$4,C2594&amp;" "&amp;E2594&amp;" "&amp;G2594&amp;" "&amp;H2594&amp;" "&amp;I2594&amp;" "&amp;J2594&amp;" "&amp;K2594&amp;" "&amp;L2594))),OR($C$5="Semua",$C$5="",G2594=$C$5),OR($C$6="Semua",$C$6="",H2594=$C$6,H2594="Pengeluaran "&amp;$C$6,AND($C$6="Uang Kos Mama",H2594="Pengeluaran Uang Kos")),OR($C$7="Semua",$C$7="",I2594=$C$7),OR($C$8="Semua",$C$8="",C2594=$C$8,E2594=$C$8),OR($C$9="Semua",$C$9="",D2594=$C$9),OR($C$10="",B2594&gt;=$C$10),OR($C$11="",B2594&lt;=$C$11),OR($C$12&lt;&gt;"Ya",K2594&lt;&gt;""),OR($C$13="Semua",$C$13="",L2594=$C$13)),"✓","")</f>
        <v/>
      </c>
      <c r="N2594" s="93">
        <f>N(N2593)+IF(M2594="✓",1,0)</f>
        <v/>
      </c>
      <c r="O2594" s="93">
        <f>N(O2593)+IF(AND(B2594&lt;&gt;"",B2594&gt;='Uang Riba'!$H$30,B2594&lt;='Uang Riba'!$I$30,OR(H2594="Dana riba",H2594="Pinjam uang riba",I2594="Pinjam dari uang riba",I2594="Ganti uang riba",I2594="Kelebihan ganti dikembalikan",AND(C2594="Kantong Uang Riba",G2594="Pengeluaran"))),1,0)</f>
        <v/>
      </c>
      <c r="X2594" s="93">
        <f>IF(AND(B2594&lt;&gt;"",B2594&gt;='Buku Akun'!$H$4,B2594&lt;='Buku Akun'!$H$5,OR(C2594='Buku Akun'!$C$4,AND(D2594="Pindah",E2594='Buku Akun'!$C$4))),B2594+IF(AND(I2594="Selisih bunga",DAY(B2594)=1),0,0.01)+ROW()/10000000,"")</f>
        <v/>
      </c>
    </row>
    <row r="2595" outlineLevel="1" ht="15" customHeight="1" s="94">
      <c r="A2595" s="123">
        <f>IF(B2595="","",ROW()-15)</f>
        <v/>
      </c>
      <c r="B2595" s="124" t="n"/>
      <c r="C2595" s="123" t="n"/>
      <c r="D2595" s="123" t="n"/>
      <c r="E2595" s="123" t="n"/>
      <c r="F2595" s="125" t="n"/>
      <c r="G2595" s="123" t="n"/>
      <c r="H2595" s="123" t="n"/>
      <c r="I2595" s="123" t="n"/>
      <c r="J2595" s="123" t="n"/>
      <c r="K2595" s="123" t="n"/>
      <c r="L2595" s="123" t="n"/>
      <c r="M2595" s="123">
        <f>IF(AND(B2595&lt;&gt;"",OR($C$4="",ISNUMBER(SEARCH($C$4,C2595&amp;" "&amp;E2595&amp;" "&amp;G2595&amp;" "&amp;H2595&amp;" "&amp;I2595&amp;" "&amp;J2595&amp;" "&amp;K2595&amp;" "&amp;L2595))),OR($C$5="Semua",$C$5="",G2595=$C$5),OR($C$6="Semua",$C$6="",H2595=$C$6,H2595="Pengeluaran "&amp;$C$6,AND($C$6="Uang Kos Mama",H2595="Pengeluaran Uang Kos")),OR($C$7="Semua",$C$7="",I2595=$C$7),OR($C$8="Semua",$C$8="",C2595=$C$8,E2595=$C$8),OR($C$9="Semua",$C$9="",D2595=$C$9),OR($C$10="",B2595&gt;=$C$10),OR($C$11="",B2595&lt;=$C$11),OR($C$12&lt;&gt;"Ya",K2595&lt;&gt;""),OR($C$13="Semua",$C$13="",L2595=$C$13)),"✓","")</f>
        <v/>
      </c>
      <c r="N2595" s="93">
        <f>N(N2594)+IF(M2595="✓",1,0)</f>
        <v/>
      </c>
      <c r="O2595" s="93">
        <f>N(O2594)+IF(AND(B2595&lt;&gt;"",B2595&gt;='Uang Riba'!$H$30,B2595&lt;='Uang Riba'!$I$30,OR(H2595="Dana riba",H2595="Pinjam uang riba",I2595="Pinjam dari uang riba",I2595="Ganti uang riba",I2595="Kelebihan ganti dikembalikan",AND(C2595="Kantong Uang Riba",G2595="Pengeluaran"))),1,0)</f>
        <v/>
      </c>
      <c r="X2595" s="93">
        <f>IF(AND(B2595&lt;&gt;"",B2595&gt;='Buku Akun'!$H$4,B2595&lt;='Buku Akun'!$H$5,OR(C2595='Buku Akun'!$C$4,AND(D2595="Pindah",E2595='Buku Akun'!$C$4))),B2595+IF(AND(I2595="Selisih bunga",DAY(B2595)=1),0,0.01)+ROW()/10000000,"")</f>
        <v/>
      </c>
    </row>
    <row r="2596" outlineLevel="1" ht="15" customHeight="1" s="94">
      <c r="A2596" s="123">
        <f>IF(B2596="","",ROW()-15)</f>
        <v/>
      </c>
      <c r="B2596" s="124" t="n"/>
      <c r="C2596" s="123" t="n"/>
      <c r="D2596" s="123" t="n"/>
      <c r="E2596" s="123" t="n"/>
      <c r="F2596" s="125" t="n"/>
      <c r="G2596" s="123" t="n"/>
      <c r="H2596" s="123" t="n"/>
      <c r="I2596" s="123" t="n"/>
      <c r="J2596" s="123" t="n"/>
      <c r="K2596" s="123" t="n"/>
      <c r="L2596" s="123" t="n"/>
      <c r="M2596" s="123">
        <f>IF(AND(B2596&lt;&gt;"",OR($C$4="",ISNUMBER(SEARCH($C$4,C2596&amp;" "&amp;E2596&amp;" "&amp;G2596&amp;" "&amp;H2596&amp;" "&amp;I2596&amp;" "&amp;J2596&amp;" "&amp;K2596&amp;" "&amp;L2596))),OR($C$5="Semua",$C$5="",G2596=$C$5),OR($C$6="Semua",$C$6="",H2596=$C$6,H2596="Pengeluaran "&amp;$C$6,AND($C$6="Uang Kos Mama",H2596="Pengeluaran Uang Kos")),OR($C$7="Semua",$C$7="",I2596=$C$7),OR($C$8="Semua",$C$8="",C2596=$C$8,E2596=$C$8),OR($C$9="Semua",$C$9="",D2596=$C$9),OR($C$10="",B2596&gt;=$C$10),OR($C$11="",B2596&lt;=$C$11),OR($C$12&lt;&gt;"Ya",K2596&lt;&gt;""),OR($C$13="Semua",$C$13="",L2596=$C$13)),"✓","")</f>
        <v/>
      </c>
      <c r="N2596" s="93">
        <f>N(N2595)+IF(M2596="✓",1,0)</f>
        <v/>
      </c>
      <c r="O2596" s="93">
        <f>N(O2595)+IF(AND(B2596&lt;&gt;"",B2596&gt;='Uang Riba'!$H$30,B2596&lt;='Uang Riba'!$I$30,OR(H2596="Dana riba",H2596="Pinjam uang riba",I2596="Pinjam dari uang riba",I2596="Ganti uang riba",I2596="Kelebihan ganti dikembalikan",AND(C2596="Kantong Uang Riba",G2596="Pengeluaran"))),1,0)</f>
        <v/>
      </c>
      <c r="X2596" s="93">
        <f>IF(AND(B2596&lt;&gt;"",B2596&gt;='Buku Akun'!$H$4,B2596&lt;='Buku Akun'!$H$5,OR(C2596='Buku Akun'!$C$4,AND(D2596="Pindah",E2596='Buku Akun'!$C$4))),B2596+IF(AND(I2596="Selisih bunga",DAY(B2596)=1),0,0.01)+ROW()/10000000,"")</f>
        <v/>
      </c>
    </row>
    <row r="2597" outlineLevel="1" ht="15" customHeight="1" s="94">
      <c r="A2597" s="123">
        <f>IF(B2597="","",ROW()-15)</f>
        <v/>
      </c>
      <c r="B2597" s="124" t="n"/>
      <c r="C2597" s="123" t="n"/>
      <c r="D2597" s="123" t="n"/>
      <c r="E2597" s="123" t="n"/>
      <c r="F2597" s="125" t="n"/>
      <c r="G2597" s="123" t="n"/>
      <c r="H2597" s="123" t="n"/>
      <c r="I2597" s="123" t="n"/>
      <c r="J2597" s="123" t="n"/>
      <c r="K2597" s="123" t="n"/>
      <c r="L2597" s="123" t="n"/>
      <c r="M2597" s="123">
        <f>IF(AND(B2597&lt;&gt;"",OR($C$4="",ISNUMBER(SEARCH($C$4,C2597&amp;" "&amp;E2597&amp;" "&amp;G2597&amp;" "&amp;H2597&amp;" "&amp;I2597&amp;" "&amp;J2597&amp;" "&amp;K2597&amp;" "&amp;L2597))),OR($C$5="Semua",$C$5="",G2597=$C$5),OR($C$6="Semua",$C$6="",H2597=$C$6,H2597="Pengeluaran "&amp;$C$6,AND($C$6="Uang Kos Mama",H2597="Pengeluaran Uang Kos")),OR($C$7="Semua",$C$7="",I2597=$C$7),OR($C$8="Semua",$C$8="",C2597=$C$8,E2597=$C$8),OR($C$9="Semua",$C$9="",D2597=$C$9),OR($C$10="",B2597&gt;=$C$10),OR($C$11="",B2597&lt;=$C$11),OR($C$12&lt;&gt;"Ya",K2597&lt;&gt;""),OR($C$13="Semua",$C$13="",L2597=$C$13)),"✓","")</f>
        <v/>
      </c>
      <c r="N2597" s="93">
        <f>N(N2596)+IF(M2597="✓",1,0)</f>
        <v/>
      </c>
      <c r="O2597" s="93">
        <f>N(O2596)+IF(AND(B2597&lt;&gt;"",B2597&gt;='Uang Riba'!$H$30,B2597&lt;='Uang Riba'!$I$30,OR(H2597="Dana riba",H2597="Pinjam uang riba",I2597="Pinjam dari uang riba",I2597="Ganti uang riba",I2597="Kelebihan ganti dikembalikan",AND(C2597="Kantong Uang Riba",G2597="Pengeluaran"))),1,0)</f>
        <v/>
      </c>
      <c r="X2597" s="93">
        <f>IF(AND(B2597&lt;&gt;"",B2597&gt;='Buku Akun'!$H$4,B2597&lt;='Buku Akun'!$H$5,OR(C2597='Buku Akun'!$C$4,AND(D2597="Pindah",E2597='Buku Akun'!$C$4))),B2597+IF(AND(I2597="Selisih bunga",DAY(B2597)=1),0,0.01)+ROW()/10000000,"")</f>
        <v/>
      </c>
    </row>
    <row r="2598" outlineLevel="1" ht="15" customHeight="1" s="94">
      <c r="A2598" s="123">
        <f>IF(B2598="","",ROW()-15)</f>
        <v/>
      </c>
      <c r="B2598" s="124" t="n"/>
      <c r="C2598" s="123" t="n"/>
      <c r="D2598" s="123" t="n"/>
      <c r="E2598" s="123" t="n"/>
      <c r="F2598" s="125" t="n"/>
      <c r="G2598" s="123" t="n"/>
      <c r="H2598" s="123" t="n"/>
      <c r="I2598" s="123" t="n"/>
      <c r="J2598" s="123" t="n"/>
      <c r="K2598" s="123" t="n"/>
      <c r="L2598" s="123" t="n"/>
      <c r="M2598" s="123">
        <f>IF(AND(B2598&lt;&gt;"",OR($C$4="",ISNUMBER(SEARCH($C$4,C2598&amp;" "&amp;E2598&amp;" "&amp;G2598&amp;" "&amp;H2598&amp;" "&amp;I2598&amp;" "&amp;J2598&amp;" "&amp;K2598&amp;" "&amp;L2598))),OR($C$5="Semua",$C$5="",G2598=$C$5),OR($C$6="Semua",$C$6="",H2598=$C$6,H2598="Pengeluaran "&amp;$C$6,AND($C$6="Uang Kos Mama",H2598="Pengeluaran Uang Kos")),OR($C$7="Semua",$C$7="",I2598=$C$7),OR($C$8="Semua",$C$8="",C2598=$C$8,E2598=$C$8),OR($C$9="Semua",$C$9="",D2598=$C$9),OR($C$10="",B2598&gt;=$C$10),OR($C$11="",B2598&lt;=$C$11),OR($C$12&lt;&gt;"Ya",K2598&lt;&gt;""),OR($C$13="Semua",$C$13="",L2598=$C$13)),"✓","")</f>
        <v/>
      </c>
      <c r="N2598" s="93">
        <f>N(N2597)+IF(M2598="✓",1,0)</f>
        <v/>
      </c>
      <c r="O2598" s="93">
        <f>N(O2597)+IF(AND(B2598&lt;&gt;"",B2598&gt;='Uang Riba'!$H$30,B2598&lt;='Uang Riba'!$I$30,OR(H2598="Dana riba",H2598="Pinjam uang riba",I2598="Pinjam dari uang riba",I2598="Ganti uang riba",I2598="Kelebihan ganti dikembalikan",AND(C2598="Kantong Uang Riba",G2598="Pengeluaran"))),1,0)</f>
        <v/>
      </c>
      <c r="X2598" s="93">
        <f>IF(AND(B2598&lt;&gt;"",B2598&gt;='Buku Akun'!$H$4,B2598&lt;='Buku Akun'!$H$5,OR(C2598='Buku Akun'!$C$4,AND(D2598="Pindah",E2598='Buku Akun'!$C$4))),B2598+IF(AND(I2598="Selisih bunga",DAY(B2598)=1),0,0.01)+ROW()/10000000,"")</f>
        <v/>
      </c>
    </row>
    <row r="2599" outlineLevel="1" ht="15" customHeight="1" s="94">
      <c r="A2599" s="123">
        <f>IF(B2599="","",ROW()-15)</f>
        <v/>
      </c>
      <c r="B2599" s="124" t="n"/>
      <c r="C2599" s="123" t="n"/>
      <c r="D2599" s="123" t="n"/>
      <c r="E2599" s="123" t="n"/>
      <c r="F2599" s="125" t="n"/>
      <c r="G2599" s="123" t="n"/>
      <c r="H2599" s="123" t="n"/>
      <c r="I2599" s="123" t="n"/>
      <c r="J2599" s="123" t="n"/>
      <c r="K2599" s="123" t="n"/>
      <c r="L2599" s="123" t="n"/>
      <c r="M2599" s="123">
        <f>IF(AND(B2599&lt;&gt;"",OR($C$4="",ISNUMBER(SEARCH($C$4,C2599&amp;" "&amp;E2599&amp;" "&amp;G2599&amp;" "&amp;H2599&amp;" "&amp;I2599&amp;" "&amp;J2599&amp;" "&amp;K2599&amp;" "&amp;L2599))),OR($C$5="Semua",$C$5="",G2599=$C$5),OR($C$6="Semua",$C$6="",H2599=$C$6,H2599="Pengeluaran "&amp;$C$6,AND($C$6="Uang Kos Mama",H2599="Pengeluaran Uang Kos")),OR($C$7="Semua",$C$7="",I2599=$C$7),OR($C$8="Semua",$C$8="",C2599=$C$8,E2599=$C$8),OR($C$9="Semua",$C$9="",D2599=$C$9),OR($C$10="",B2599&gt;=$C$10),OR($C$11="",B2599&lt;=$C$11),OR($C$12&lt;&gt;"Ya",K2599&lt;&gt;""),OR($C$13="Semua",$C$13="",L2599=$C$13)),"✓","")</f>
        <v/>
      </c>
      <c r="N2599" s="93">
        <f>N(N2598)+IF(M2599="✓",1,0)</f>
        <v/>
      </c>
      <c r="O2599" s="93">
        <f>N(O2598)+IF(AND(B2599&lt;&gt;"",B2599&gt;='Uang Riba'!$H$30,B2599&lt;='Uang Riba'!$I$30,OR(H2599="Dana riba",H2599="Pinjam uang riba",I2599="Pinjam dari uang riba",I2599="Ganti uang riba",I2599="Kelebihan ganti dikembalikan",AND(C2599="Kantong Uang Riba",G2599="Pengeluaran"))),1,0)</f>
        <v/>
      </c>
      <c r="X2599" s="93">
        <f>IF(AND(B2599&lt;&gt;"",B2599&gt;='Buku Akun'!$H$4,B2599&lt;='Buku Akun'!$H$5,OR(C2599='Buku Akun'!$C$4,AND(D2599="Pindah",E2599='Buku Akun'!$C$4))),B2599+IF(AND(I2599="Selisih bunga",DAY(B2599)=1),0,0.01)+ROW()/10000000,"")</f>
        <v/>
      </c>
    </row>
    <row r="2600" outlineLevel="1" ht="15" customHeight="1" s="94">
      <c r="A2600" s="123">
        <f>IF(B2600="","",ROW()-15)</f>
        <v/>
      </c>
      <c r="B2600" s="124" t="n"/>
      <c r="C2600" s="123" t="n"/>
      <c r="D2600" s="123" t="n"/>
      <c r="E2600" s="123" t="n"/>
      <c r="F2600" s="125" t="n"/>
      <c r="G2600" s="123" t="n"/>
      <c r="H2600" s="123" t="n"/>
      <c r="I2600" s="123" t="n"/>
      <c r="J2600" s="123" t="n"/>
      <c r="K2600" s="123" t="n"/>
      <c r="L2600" s="123" t="n"/>
      <c r="M2600" s="123">
        <f>IF(AND(B2600&lt;&gt;"",OR($C$4="",ISNUMBER(SEARCH($C$4,C2600&amp;" "&amp;E2600&amp;" "&amp;G2600&amp;" "&amp;H2600&amp;" "&amp;I2600&amp;" "&amp;J2600&amp;" "&amp;K2600&amp;" "&amp;L2600))),OR($C$5="Semua",$C$5="",G2600=$C$5),OR($C$6="Semua",$C$6="",H2600=$C$6,H2600="Pengeluaran "&amp;$C$6,AND($C$6="Uang Kos Mama",H2600="Pengeluaran Uang Kos")),OR($C$7="Semua",$C$7="",I2600=$C$7),OR($C$8="Semua",$C$8="",C2600=$C$8,E2600=$C$8),OR($C$9="Semua",$C$9="",D2600=$C$9),OR($C$10="",B2600&gt;=$C$10),OR($C$11="",B2600&lt;=$C$11),OR($C$12&lt;&gt;"Ya",K2600&lt;&gt;""),OR($C$13="Semua",$C$13="",L2600=$C$13)),"✓","")</f>
        <v/>
      </c>
      <c r="N2600" s="93">
        <f>N(N2599)+IF(M2600="✓",1,0)</f>
        <v/>
      </c>
      <c r="O2600" s="93">
        <f>N(O2599)+IF(AND(B2600&lt;&gt;"",B2600&gt;='Uang Riba'!$H$30,B2600&lt;='Uang Riba'!$I$30,OR(H2600="Dana riba",H2600="Pinjam uang riba",I2600="Pinjam dari uang riba",I2600="Ganti uang riba",I2600="Kelebihan ganti dikembalikan",AND(C2600="Kantong Uang Riba",G2600="Pengeluaran"))),1,0)</f>
        <v/>
      </c>
      <c r="X2600" s="93">
        <f>IF(AND(B2600&lt;&gt;"",B2600&gt;='Buku Akun'!$H$4,B2600&lt;='Buku Akun'!$H$5,OR(C2600='Buku Akun'!$C$4,AND(D2600="Pindah",E2600='Buku Akun'!$C$4))),B2600+IF(AND(I2600="Selisih bunga",DAY(B2600)=1),0,0.01)+ROW()/10000000,"")</f>
        <v/>
      </c>
    </row>
    <row r="2601" outlineLevel="1" ht="15" customHeight="1" s="94">
      <c r="A2601" s="123">
        <f>IF(B2601="","",ROW()-15)</f>
        <v/>
      </c>
      <c r="B2601" s="124" t="n"/>
      <c r="C2601" s="123" t="n"/>
      <c r="D2601" s="123" t="n"/>
      <c r="E2601" s="123" t="n"/>
      <c r="F2601" s="125" t="n"/>
      <c r="G2601" s="123" t="n"/>
      <c r="H2601" s="123" t="n"/>
      <c r="I2601" s="123" t="n"/>
      <c r="J2601" s="123" t="n"/>
      <c r="K2601" s="123" t="n"/>
      <c r="L2601" s="123" t="n"/>
      <c r="M2601" s="123">
        <f>IF(AND(B2601&lt;&gt;"",OR($C$4="",ISNUMBER(SEARCH($C$4,C2601&amp;" "&amp;E2601&amp;" "&amp;G2601&amp;" "&amp;H2601&amp;" "&amp;I2601&amp;" "&amp;J2601&amp;" "&amp;K2601&amp;" "&amp;L2601))),OR($C$5="Semua",$C$5="",G2601=$C$5),OR($C$6="Semua",$C$6="",H2601=$C$6,H2601="Pengeluaran "&amp;$C$6,AND($C$6="Uang Kos Mama",H2601="Pengeluaran Uang Kos")),OR($C$7="Semua",$C$7="",I2601=$C$7),OR($C$8="Semua",$C$8="",C2601=$C$8,E2601=$C$8),OR($C$9="Semua",$C$9="",D2601=$C$9),OR($C$10="",B2601&gt;=$C$10),OR($C$11="",B2601&lt;=$C$11),OR($C$12&lt;&gt;"Ya",K2601&lt;&gt;""),OR($C$13="Semua",$C$13="",L2601=$C$13)),"✓","")</f>
        <v/>
      </c>
      <c r="N2601" s="93">
        <f>N(N2600)+IF(M2601="✓",1,0)</f>
        <v/>
      </c>
      <c r="O2601" s="93">
        <f>N(O2600)+IF(AND(B2601&lt;&gt;"",B2601&gt;='Uang Riba'!$H$30,B2601&lt;='Uang Riba'!$I$30,OR(H2601="Dana riba",H2601="Pinjam uang riba",I2601="Pinjam dari uang riba",I2601="Ganti uang riba",I2601="Kelebihan ganti dikembalikan",AND(C2601="Kantong Uang Riba",G2601="Pengeluaran"))),1,0)</f>
        <v/>
      </c>
      <c r="X2601" s="93">
        <f>IF(AND(B2601&lt;&gt;"",B2601&gt;='Buku Akun'!$H$4,B2601&lt;='Buku Akun'!$H$5,OR(C2601='Buku Akun'!$C$4,AND(D2601="Pindah",E2601='Buku Akun'!$C$4))),B2601+IF(AND(I2601="Selisih bunga",DAY(B2601)=1),0,0.01)+ROW()/10000000,"")</f>
        <v/>
      </c>
    </row>
    <row r="2602" outlineLevel="1" ht="15" customHeight="1" s="94">
      <c r="A2602" s="123">
        <f>IF(B2602="","",ROW()-15)</f>
        <v/>
      </c>
      <c r="B2602" s="124" t="n"/>
      <c r="C2602" s="123" t="n"/>
      <c r="D2602" s="123" t="n"/>
      <c r="E2602" s="123" t="n"/>
      <c r="F2602" s="125" t="n"/>
      <c r="G2602" s="123" t="n"/>
      <c r="H2602" s="123" t="n"/>
      <c r="I2602" s="123" t="n"/>
      <c r="J2602" s="123" t="n"/>
      <c r="K2602" s="123" t="n"/>
      <c r="L2602" s="123" t="n"/>
      <c r="M2602" s="123">
        <f>IF(AND(B2602&lt;&gt;"",OR($C$4="",ISNUMBER(SEARCH($C$4,C2602&amp;" "&amp;E2602&amp;" "&amp;G2602&amp;" "&amp;H2602&amp;" "&amp;I2602&amp;" "&amp;J2602&amp;" "&amp;K2602&amp;" "&amp;L2602))),OR($C$5="Semua",$C$5="",G2602=$C$5),OR($C$6="Semua",$C$6="",H2602=$C$6,H2602="Pengeluaran "&amp;$C$6,AND($C$6="Uang Kos Mama",H2602="Pengeluaran Uang Kos")),OR($C$7="Semua",$C$7="",I2602=$C$7),OR($C$8="Semua",$C$8="",C2602=$C$8,E2602=$C$8),OR($C$9="Semua",$C$9="",D2602=$C$9),OR($C$10="",B2602&gt;=$C$10),OR($C$11="",B2602&lt;=$C$11),OR($C$12&lt;&gt;"Ya",K2602&lt;&gt;""),OR($C$13="Semua",$C$13="",L2602=$C$13)),"✓","")</f>
        <v/>
      </c>
      <c r="N2602" s="93">
        <f>N(N2601)+IF(M2602="✓",1,0)</f>
        <v/>
      </c>
      <c r="O2602" s="93">
        <f>N(O2601)+IF(AND(B2602&lt;&gt;"",B2602&gt;='Uang Riba'!$H$30,B2602&lt;='Uang Riba'!$I$30,OR(H2602="Dana riba",H2602="Pinjam uang riba",I2602="Pinjam dari uang riba",I2602="Ganti uang riba",I2602="Kelebihan ganti dikembalikan",AND(C2602="Kantong Uang Riba",G2602="Pengeluaran"))),1,0)</f>
        <v/>
      </c>
      <c r="X2602" s="93">
        <f>IF(AND(B2602&lt;&gt;"",B2602&gt;='Buku Akun'!$H$4,B2602&lt;='Buku Akun'!$H$5,OR(C2602='Buku Akun'!$C$4,AND(D2602="Pindah",E2602='Buku Akun'!$C$4))),B2602+IF(AND(I2602="Selisih bunga",DAY(B2602)=1),0,0.01)+ROW()/10000000,"")</f>
        <v/>
      </c>
    </row>
    <row r="2603" outlineLevel="1" ht="15" customHeight="1" s="94">
      <c r="A2603" s="123">
        <f>IF(B2603="","",ROW()-15)</f>
        <v/>
      </c>
      <c r="B2603" s="124" t="n"/>
      <c r="C2603" s="123" t="n"/>
      <c r="D2603" s="123" t="n"/>
      <c r="E2603" s="123" t="n"/>
      <c r="F2603" s="125" t="n"/>
      <c r="G2603" s="123" t="n"/>
      <c r="H2603" s="123" t="n"/>
      <c r="I2603" s="123" t="n"/>
      <c r="J2603" s="123" t="n"/>
      <c r="K2603" s="123" t="n"/>
      <c r="L2603" s="123" t="n"/>
      <c r="M2603" s="123">
        <f>IF(AND(B2603&lt;&gt;"",OR($C$4="",ISNUMBER(SEARCH($C$4,C2603&amp;" "&amp;E2603&amp;" "&amp;G2603&amp;" "&amp;H2603&amp;" "&amp;I2603&amp;" "&amp;J2603&amp;" "&amp;K2603&amp;" "&amp;L2603))),OR($C$5="Semua",$C$5="",G2603=$C$5),OR($C$6="Semua",$C$6="",H2603=$C$6,H2603="Pengeluaran "&amp;$C$6,AND($C$6="Uang Kos Mama",H2603="Pengeluaran Uang Kos")),OR($C$7="Semua",$C$7="",I2603=$C$7),OR($C$8="Semua",$C$8="",C2603=$C$8,E2603=$C$8),OR($C$9="Semua",$C$9="",D2603=$C$9),OR($C$10="",B2603&gt;=$C$10),OR($C$11="",B2603&lt;=$C$11),OR($C$12&lt;&gt;"Ya",K2603&lt;&gt;""),OR($C$13="Semua",$C$13="",L2603=$C$13)),"✓","")</f>
        <v/>
      </c>
      <c r="N2603" s="93">
        <f>N(N2602)+IF(M2603="✓",1,0)</f>
        <v/>
      </c>
      <c r="O2603" s="93">
        <f>N(O2602)+IF(AND(B2603&lt;&gt;"",B2603&gt;='Uang Riba'!$H$30,B2603&lt;='Uang Riba'!$I$30,OR(H2603="Dana riba",H2603="Pinjam uang riba",I2603="Pinjam dari uang riba",I2603="Ganti uang riba",I2603="Kelebihan ganti dikembalikan",AND(C2603="Kantong Uang Riba",G2603="Pengeluaran"))),1,0)</f>
        <v/>
      </c>
      <c r="X2603" s="93">
        <f>IF(AND(B2603&lt;&gt;"",B2603&gt;='Buku Akun'!$H$4,B2603&lt;='Buku Akun'!$H$5,OR(C2603='Buku Akun'!$C$4,AND(D2603="Pindah",E2603='Buku Akun'!$C$4))),B2603+IF(AND(I2603="Selisih bunga",DAY(B2603)=1),0,0.01)+ROW()/10000000,"")</f>
        <v/>
      </c>
    </row>
    <row r="2604" outlineLevel="1" ht="15" customHeight="1" s="94">
      <c r="A2604" s="123">
        <f>IF(B2604="","",ROW()-15)</f>
        <v/>
      </c>
      <c r="B2604" s="124" t="n"/>
      <c r="C2604" s="123" t="n"/>
      <c r="D2604" s="123" t="n"/>
      <c r="E2604" s="123" t="n"/>
      <c r="F2604" s="125" t="n"/>
      <c r="G2604" s="123" t="n"/>
      <c r="H2604" s="123" t="n"/>
      <c r="I2604" s="123" t="n"/>
      <c r="J2604" s="123" t="n"/>
      <c r="K2604" s="123" t="n"/>
      <c r="L2604" s="123" t="n"/>
      <c r="M2604" s="123">
        <f>IF(AND(B2604&lt;&gt;"",OR($C$4="",ISNUMBER(SEARCH($C$4,C2604&amp;" "&amp;E2604&amp;" "&amp;G2604&amp;" "&amp;H2604&amp;" "&amp;I2604&amp;" "&amp;J2604&amp;" "&amp;K2604&amp;" "&amp;L2604))),OR($C$5="Semua",$C$5="",G2604=$C$5),OR($C$6="Semua",$C$6="",H2604=$C$6,H2604="Pengeluaran "&amp;$C$6,AND($C$6="Uang Kos Mama",H2604="Pengeluaran Uang Kos")),OR($C$7="Semua",$C$7="",I2604=$C$7),OR($C$8="Semua",$C$8="",C2604=$C$8,E2604=$C$8),OR($C$9="Semua",$C$9="",D2604=$C$9),OR($C$10="",B2604&gt;=$C$10),OR($C$11="",B2604&lt;=$C$11),OR($C$12&lt;&gt;"Ya",K2604&lt;&gt;""),OR($C$13="Semua",$C$13="",L2604=$C$13)),"✓","")</f>
        <v/>
      </c>
      <c r="N2604" s="93">
        <f>N(N2603)+IF(M2604="✓",1,0)</f>
        <v/>
      </c>
      <c r="O2604" s="93">
        <f>N(O2603)+IF(AND(B2604&lt;&gt;"",B2604&gt;='Uang Riba'!$H$30,B2604&lt;='Uang Riba'!$I$30,OR(H2604="Dana riba",H2604="Pinjam uang riba",I2604="Pinjam dari uang riba",I2604="Ganti uang riba",I2604="Kelebihan ganti dikembalikan",AND(C2604="Kantong Uang Riba",G2604="Pengeluaran"))),1,0)</f>
        <v/>
      </c>
      <c r="X2604" s="93">
        <f>IF(AND(B2604&lt;&gt;"",B2604&gt;='Buku Akun'!$H$4,B2604&lt;='Buku Akun'!$H$5,OR(C2604='Buku Akun'!$C$4,AND(D2604="Pindah",E2604='Buku Akun'!$C$4))),B2604+IF(AND(I2604="Selisih bunga",DAY(B2604)=1),0,0.01)+ROW()/10000000,"")</f>
        <v/>
      </c>
    </row>
    <row r="2605" outlineLevel="1" ht="15" customHeight="1" s="94">
      <c r="A2605" s="123">
        <f>IF(B2605="","",ROW()-15)</f>
        <v/>
      </c>
      <c r="B2605" s="124" t="n"/>
      <c r="C2605" s="123" t="n"/>
      <c r="D2605" s="123" t="n"/>
      <c r="E2605" s="123" t="n"/>
      <c r="F2605" s="125" t="n"/>
      <c r="G2605" s="123" t="n"/>
      <c r="H2605" s="123" t="n"/>
      <c r="I2605" s="123" t="n"/>
      <c r="J2605" s="123" t="n"/>
      <c r="K2605" s="123" t="n"/>
      <c r="L2605" s="123" t="n"/>
      <c r="M2605" s="123">
        <f>IF(AND(B2605&lt;&gt;"",OR($C$4="",ISNUMBER(SEARCH($C$4,C2605&amp;" "&amp;E2605&amp;" "&amp;G2605&amp;" "&amp;H2605&amp;" "&amp;I2605&amp;" "&amp;J2605&amp;" "&amp;K2605&amp;" "&amp;L2605))),OR($C$5="Semua",$C$5="",G2605=$C$5),OR($C$6="Semua",$C$6="",H2605=$C$6,H2605="Pengeluaran "&amp;$C$6,AND($C$6="Uang Kos Mama",H2605="Pengeluaran Uang Kos")),OR($C$7="Semua",$C$7="",I2605=$C$7),OR($C$8="Semua",$C$8="",C2605=$C$8,E2605=$C$8),OR($C$9="Semua",$C$9="",D2605=$C$9),OR($C$10="",B2605&gt;=$C$10),OR($C$11="",B2605&lt;=$C$11),OR($C$12&lt;&gt;"Ya",K2605&lt;&gt;""),OR($C$13="Semua",$C$13="",L2605=$C$13)),"✓","")</f>
        <v/>
      </c>
      <c r="N2605" s="93">
        <f>N(N2604)+IF(M2605="✓",1,0)</f>
        <v/>
      </c>
      <c r="O2605" s="93">
        <f>N(O2604)+IF(AND(B2605&lt;&gt;"",B2605&gt;='Uang Riba'!$H$30,B2605&lt;='Uang Riba'!$I$30,OR(H2605="Dana riba",H2605="Pinjam uang riba",I2605="Pinjam dari uang riba",I2605="Ganti uang riba",I2605="Kelebihan ganti dikembalikan",AND(C2605="Kantong Uang Riba",G2605="Pengeluaran"))),1,0)</f>
        <v/>
      </c>
      <c r="X2605" s="93">
        <f>IF(AND(B2605&lt;&gt;"",B2605&gt;='Buku Akun'!$H$4,B2605&lt;='Buku Akun'!$H$5,OR(C2605='Buku Akun'!$C$4,AND(D2605="Pindah",E2605='Buku Akun'!$C$4))),B2605+IF(AND(I2605="Selisih bunga",DAY(B2605)=1),0,0.01)+ROW()/10000000,"")</f>
        <v/>
      </c>
    </row>
    <row r="2606" outlineLevel="1" ht="15" customHeight="1" s="94">
      <c r="A2606" s="123">
        <f>IF(B2606="","",ROW()-15)</f>
        <v/>
      </c>
      <c r="B2606" s="124" t="n"/>
      <c r="C2606" s="123" t="n"/>
      <c r="D2606" s="123" t="n"/>
      <c r="E2606" s="123" t="n"/>
      <c r="F2606" s="125" t="n"/>
      <c r="G2606" s="123" t="n"/>
      <c r="H2606" s="123" t="n"/>
      <c r="I2606" s="123" t="n"/>
      <c r="J2606" s="123" t="n"/>
      <c r="K2606" s="123" t="n"/>
      <c r="L2606" s="123" t="n"/>
      <c r="M2606" s="123">
        <f>IF(AND(B2606&lt;&gt;"",OR($C$4="",ISNUMBER(SEARCH($C$4,C2606&amp;" "&amp;E2606&amp;" "&amp;G2606&amp;" "&amp;H2606&amp;" "&amp;I2606&amp;" "&amp;J2606&amp;" "&amp;K2606&amp;" "&amp;L2606))),OR($C$5="Semua",$C$5="",G2606=$C$5),OR($C$6="Semua",$C$6="",H2606=$C$6,H2606="Pengeluaran "&amp;$C$6,AND($C$6="Uang Kos Mama",H2606="Pengeluaran Uang Kos")),OR($C$7="Semua",$C$7="",I2606=$C$7),OR($C$8="Semua",$C$8="",C2606=$C$8,E2606=$C$8),OR($C$9="Semua",$C$9="",D2606=$C$9),OR($C$10="",B2606&gt;=$C$10),OR($C$11="",B2606&lt;=$C$11),OR($C$12&lt;&gt;"Ya",K2606&lt;&gt;""),OR($C$13="Semua",$C$13="",L2606=$C$13)),"✓","")</f>
        <v/>
      </c>
      <c r="N2606" s="93">
        <f>N(N2605)+IF(M2606="✓",1,0)</f>
        <v/>
      </c>
      <c r="O2606" s="93">
        <f>N(O2605)+IF(AND(B2606&lt;&gt;"",B2606&gt;='Uang Riba'!$H$30,B2606&lt;='Uang Riba'!$I$30,OR(H2606="Dana riba",H2606="Pinjam uang riba",I2606="Pinjam dari uang riba",I2606="Ganti uang riba",I2606="Kelebihan ganti dikembalikan",AND(C2606="Kantong Uang Riba",G2606="Pengeluaran"))),1,0)</f>
        <v/>
      </c>
      <c r="X2606" s="93">
        <f>IF(AND(B2606&lt;&gt;"",B2606&gt;='Buku Akun'!$H$4,B2606&lt;='Buku Akun'!$H$5,OR(C2606='Buku Akun'!$C$4,AND(D2606="Pindah",E2606='Buku Akun'!$C$4))),B2606+IF(AND(I2606="Selisih bunga",DAY(B2606)=1),0,0.01)+ROW()/10000000,"")</f>
        <v/>
      </c>
    </row>
    <row r="2607" outlineLevel="1" ht="15" customHeight="1" s="94">
      <c r="A2607" s="123">
        <f>IF(B2607="","",ROW()-15)</f>
        <v/>
      </c>
      <c r="B2607" s="124" t="n"/>
      <c r="C2607" s="123" t="n"/>
      <c r="D2607" s="123" t="n"/>
      <c r="E2607" s="123" t="n"/>
      <c r="F2607" s="125" t="n"/>
      <c r="G2607" s="123" t="n"/>
      <c r="H2607" s="123" t="n"/>
      <c r="I2607" s="123" t="n"/>
      <c r="J2607" s="123" t="n"/>
      <c r="K2607" s="123" t="n"/>
      <c r="L2607" s="123" t="n"/>
      <c r="M2607" s="123">
        <f>IF(AND(B2607&lt;&gt;"",OR($C$4="",ISNUMBER(SEARCH($C$4,C2607&amp;" "&amp;E2607&amp;" "&amp;G2607&amp;" "&amp;H2607&amp;" "&amp;I2607&amp;" "&amp;J2607&amp;" "&amp;K2607&amp;" "&amp;L2607))),OR($C$5="Semua",$C$5="",G2607=$C$5),OR($C$6="Semua",$C$6="",H2607=$C$6,H2607="Pengeluaran "&amp;$C$6,AND($C$6="Uang Kos Mama",H2607="Pengeluaran Uang Kos")),OR($C$7="Semua",$C$7="",I2607=$C$7),OR($C$8="Semua",$C$8="",C2607=$C$8,E2607=$C$8),OR($C$9="Semua",$C$9="",D2607=$C$9),OR($C$10="",B2607&gt;=$C$10),OR($C$11="",B2607&lt;=$C$11),OR($C$12&lt;&gt;"Ya",K2607&lt;&gt;""),OR($C$13="Semua",$C$13="",L2607=$C$13)),"✓","")</f>
        <v/>
      </c>
      <c r="N2607" s="93">
        <f>N(N2606)+IF(M2607="✓",1,0)</f>
        <v/>
      </c>
      <c r="O2607" s="93">
        <f>N(O2606)+IF(AND(B2607&lt;&gt;"",B2607&gt;='Uang Riba'!$H$30,B2607&lt;='Uang Riba'!$I$30,OR(H2607="Dana riba",H2607="Pinjam uang riba",I2607="Pinjam dari uang riba",I2607="Ganti uang riba",I2607="Kelebihan ganti dikembalikan",AND(C2607="Kantong Uang Riba",G2607="Pengeluaran"))),1,0)</f>
        <v/>
      </c>
      <c r="X2607" s="93">
        <f>IF(AND(B2607&lt;&gt;"",B2607&gt;='Buku Akun'!$H$4,B2607&lt;='Buku Akun'!$H$5,OR(C2607='Buku Akun'!$C$4,AND(D2607="Pindah",E2607='Buku Akun'!$C$4))),B2607+IF(AND(I2607="Selisih bunga",DAY(B2607)=1),0,0.01)+ROW()/10000000,"")</f>
        <v/>
      </c>
    </row>
    <row r="2608" outlineLevel="1" ht="15" customHeight="1" s="94">
      <c r="A2608" s="123">
        <f>IF(B2608="","",ROW()-15)</f>
        <v/>
      </c>
      <c r="B2608" s="124" t="n"/>
      <c r="C2608" s="123" t="n"/>
      <c r="D2608" s="123" t="n"/>
      <c r="E2608" s="123" t="n"/>
      <c r="F2608" s="125" t="n"/>
      <c r="G2608" s="123" t="n"/>
      <c r="H2608" s="123" t="n"/>
      <c r="I2608" s="123" t="n"/>
      <c r="J2608" s="123" t="n"/>
      <c r="K2608" s="123" t="n"/>
      <c r="L2608" s="123" t="n"/>
      <c r="M2608" s="123">
        <f>IF(AND(B2608&lt;&gt;"",OR($C$4="",ISNUMBER(SEARCH($C$4,C2608&amp;" "&amp;E2608&amp;" "&amp;G2608&amp;" "&amp;H2608&amp;" "&amp;I2608&amp;" "&amp;J2608&amp;" "&amp;K2608&amp;" "&amp;L2608))),OR($C$5="Semua",$C$5="",G2608=$C$5),OR($C$6="Semua",$C$6="",H2608=$C$6,H2608="Pengeluaran "&amp;$C$6,AND($C$6="Uang Kos Mama",H2608="Pengeluaran Uang Kos")),OR($C$7="Semua",$C$7="",I2608=$C$7),OR($C$8="Semua",$C$8="",C2608=$C$8,E2608=$C$8),OR($C$9="Semua",$C$9="",D2608=$C$9),OR($C$10="",B2608&gt;=$C$10),OR($C$11="",B2608&lt;=$C$11),OR($C$12&lt;&gt;"Ya",K2608&lt;&gt;""),OR($C$13="Semua",$C$13="",L2608=$C$13)),"✓","")</f>
        <v/>
      </c>
      <c r="N2608" s="93">
        <f>N(N2607)+IF(M2608="✓",1,0)</f>
        <v/>
      </c>
      <c r="O2608" s="93">
        <f>N(O2607)+IF(AND(B2608&lt;&gt;"",B2608&gt;='Uang Riba'!$H$30,B2608&lt;='Uang Riba'!$I$30,OR(H2608="Dana riba",H2608="Pinjam uang riba",I2608="Pinjam dari uang riba",I2608="Ganti uang riba",I2608="Kelebihan ganti dikembalikan",AND(C2608="Kantong Uang Riba",G2608="Pengeluaran"))),1,0)</f>
        <v/>
      </c>
      <c r="X2608" s="93">
        <f>IF(AND(B2608&lt;&gt;"",B2608&gt;='Buku Akun'!$H$4,B2608&lt;='Buku Akun'!$H$5,OR(C2608='Buku Akun'!$C$4,AND(D2608="Pindah",E2608='Buku Akun'!$C$4))),B2608+IF(AND(I2608="Selisih bunga",DAY(B2608)=1),0,0.01)+ROW()/10000000,"")</f>
        <v/>
      </c>
    </row>
    <row r="2609" outlineLevel="1" ht="15" customHeight="1" s="94">
      <c r="A2609" s="123">
        <f>IF(B2609="","",ROW()-15)</f>
        <v/>
      </c>
      <c r="B2609" s="124" t="n"/>
      <c r="C2609" s="123" t="n"/>
      <c r="D2609" s="123" t="n"/>
      <c r="E2609" s="123" t="n"/>
      <c r="F2609" s="125" t="n"/>
      <c r="G2609" s="123" t="n"/>
      <c r="H2609" s="123" t="n"/>
      <c r="I2609" s="123" t="n"/>
      <c r="J2609" s="123" t="n"/>
      <c r="K2609" s="123" t="n"/>
      <c r="L2609" s="123" t="n"/>
      <c r="M2609" s="123">
        <f>IF(AND(B2609&lt;&gt;"",OR($C$4="",ISNUMBER(SEARCH($C$4,C2609&amp;" "&amp;E2609&amp;" "&amp;G2609&amp;" "&amp;H2609&amp;" "&amp;I2609&amp;" "&amp;J2609&amp;" "&amp;K2609&amp;" "&amp;L2609))),OR($C$5="Semua",$C$5="",G2609=$C$5),OR($C$6="Semua",$C$6="",H2609=$C$6,H2609="Pengeluaran "&amp;$C$6,AND($C$6="Uang Kos Mama",H2609="Pengeluaran Uang Kos")),OR($C$7="Semua",$C$7="",I2609=$C$7),OR($C$8="Semua",$C$8="",C2609=$C$8,E2609=$C$8),OR($C$9="Semua",$C$9="",D2609=$C$9),OR($C$10="",B2609&gt;=$C$10),OR($C$11="",B2609&lt;=$C$11),OR($C$12&lt;&gt;"Ya",K2609&lt;&gt;""),OR($C$13="Semua",$C$13="",L2609=$C$13)),"✓","")</f>
        <v/>
      </c>
      <c r="N2609" s="93">
        <f>N(N2608)+IF(M2609="✓",1,0)</f>
        <v/>
      </c>
      <c r="O2609" s="93">
        <f>N(O2608)+IF(AND(B2609&lt;&gt;"",B2609&gt;='Uang Riba'!$H$30,B2609&lt;='Uang Riba'!$I$30,OR(H2609="Dana riba",H2609="Pinjam uang riba",I2609="Pinjam dari uang riba",I2609="Ganti uang riba",I2609="Kelebihan ganti dikembalikan",AND(C2609="Kantong Uang Riba",G2609="Pengeluaran"))),1,0)</f>
        <v/>
      </c>
      <c r="X2609" s="93">
        <f>IF(AND(B2609&lt;&gt;"",B2609&gt;='Buku Akun'!$H$4,B2609&lt;='Buku Akun'!$H$5,OR(C2609='Buku Akun'!$C$4,AND(D2609="Pindah",E2609='Buku Akun'!$C$4))),B2609+IF(AND(I2609="Selisih bunga",DAY(B2609)=1),0,0.01)+ROW()/10000000,"")</f>
        <v/>
      </c>
    </row>
    <row r="2610" outlineLevel="1" ht="15" customHeight="1" s="94">
      <c r="A2610" s="123">
        <f>IF(B2610="","",ROW()-15)</f>
        <v/>
      </c>
      <c r="B2610" s="124" t="n"/>
      <c r="C2610" s="123" t="n"/>
      <c r="D2610" s="123" t="n"/>
      <c r="E2610" s="123" t="n"/>
      <c r="F2610" s="125" t="n"/>
      <c r="G2610" s="123" t="n"/>
      <c r="H2610" s="123" t="n"/>
      <c r="I2610" s="123" t="n"/>
      <c r="J2610" s="123" t="n"/>
      <c r="K2610" s="123" t="n"/>
      <c r="L2610" s="123" t="n"/>
      <c r="M2610" s="123">
        <f>IF(AND(B2610&lt;&gt;"",OR($C$4="",ISNUMBER(SEARCH($C$4,C2610&amp;" "&amp;E2610&amp;" "&amp;G2610&amp;" "&amp;H2610&amp;" "&amp;I2610&amp;" "&amp;J2610&amp;" "&amp;K2610&amp;" "&amp;L2610))),OR($C$5="Semua",$C$5="",G2610=$C$5),OR($C$6="Semua",$C$6="",H2610=$C$6,H2610="Pengeluaran "&amp;$C$6,AND($C$6="Uang Kos Mama",H2610="Pengeluaran Uang Kos")),OR($C$7="Semua",$C$7="",I2610=$C$7),OR($C$8="Semua",$C$8="",C2610=$C$8,E2610=$C$8),OR($C$9="Semua",$C$9="",D2610=$C$9),OR($C$10="",B2610&gt;=$C$10),OR($C$11="",B2610&lt;=$C$11),OR($C$12&lt;&gt;"Ya",K2610&lt;&gt;""),OR($C$13="Semua",$C$13="",L2610=$C$13)),"✓","")</f>
        <v/>
      </c>
      <c r="N2610" s="93">
        <f>N(N2609)+IF(M2610="✓",1,0)</f>
        <v/>
      </c>
      <c r="O2610" s="93">
        <f>N(O2609)+IF(AND(B2610&lt;&gt;"",B2610&gt;='Uang Riba'!$H$30,B2610&lt;='Uang Riba'!$I$30,OR(H2610="Dana riba",H2610="Pinjam uang riba",I2610="Pinjam dari uang riba",I2610="Ganti uang riba",I2610="Kelebihan ganti dikembalikan",AND(C2610="Kantong Uang Riba",G2610="Pengeluaran"))),1,0)</f>
        <v/>
      </c>
      <c r="X2610" s="93">
        <f>IF(AND(B2610&lt;&gt;"",B2610&gt;='Buku Akun'!$H$4,B2610&lt;='Buku Akun'!$H$5,OR(C2610='Buku Akun'!$C$4,AND(D2610="Pindah",E2610='Buku Akun'!$C$4))),B2610+IF(AND(I2610="Selisih bunga",DAY(B2610)=1),0,0.01)+ROW()/10000000,"")</f>
        <v/>
      </c>
    </row>
    <row r="2611" outlineLevel="1" ht="15" customHeight="1" s="94">
      <c r="A2611" s="123">
        <f>IF(B2611="","",ROW()-15)</f>
        <v/>
      </c>
      <c r="B2611" s="124" t="n"/>
      <c r="C2611" s="123" t="n"/>
      <c r="D2611" s="123" t="n"/>
      <c r="E2611" s="123" t="n"/>
      <c r="F2611" s="125" t="n"/>
      <c r="G2611" s="123" t="n"/>
      <c r="H2611" s="123" t="n"/>
      <c r="I2611" s="123" t="n"/>
      <c r="J2611" s="123" t="n"/>
      <c r="K2611" s="123" t="n"/>
      <c r="L2611" s="123" t="n"/>
      <c r="M2611" s="123">
        <f>IF(AND(B2611&lt;&gt;"",OR($C$4="",ISNUMBER(SEARCH($C$4,C2611&amp;" "&amp;E2611&amp;" "&amp;G2611&amp;" "&amp;H2611&amp;" "&amp;I2611&amp;" "&amp;J2611&amp;" "&amp;K2611&amp;" "&amp;L2611))),OR($C$5="Semua",$C$5="",G2611=$C$5),OR($C$6="Semua",$C$6="",H2611=$C$6,H2611="Pengeluaran "&amp;$C$6,AND($C$6="Uang Kos Mama",H2611="Pengeluaran Uang Kos")),OR($C$7="Semua",$C$7="",I2611=$C$7),OR($C$8="Semua",$C$8="",C2611=$C$8,E2611=$C$8),OR($C$9="Semua",$C$9="",D2611=$C$9),OR($C$10="",B2611&gt;=$C$10),OR($C$11="",B2611&lt;=$C$11),OR($C$12&lt;&gt;"Ya",K2611&lt;&gt;""),OR($C$13="Semua",$C$13="",L2611=$C$13)),"✓","")</f>
        <v/>
      </c>
      <c r="N2611" s="93">
        <f>N(N2610)+IF(M2611="✓",1,0)</f>
        <v/>
      </c>
      <c r="O2611" s="93">
        <f>N(O2610)+IF(AND(B2611&lt;&gt;"",B2611&gt;='Uang Riba'!$H$30,B2611&lt;='Uang Riba'!$I$30,OR(H2611="Dana riba",H2611="Pinjam uang riba",I2611="Pinjam dari uang riba",I2611="Ganti uang riba",I2611="Kelebihan ganti dikembalikan",AND(C2611="Kantong Uang Riba",G2611="Pengeluaran"))),1,0)</f>
        <v/>
      </c>
      <c r="X2611" s="93">
        <f>IF(AND(B2611&lt;&gt;"",B2611&gt;='Buku Akun'!$H$4,B2611&lt;='Buku Akun'!$H$5,OR(C2611='Buku Akun'!$C$4,AND(D2611="Pindah",E2611='Buku Akun'!$C$4))),B2611+IF(AND(I2611="Selisih bunga",DAY(B2611)=1),0,0.01)+ROW()/10000000,"")</f>
        <v/>
      </c>
    </row>
    <row r="2612" outlineLevel="1" ht="15" customHeight="1" s="94">
      <c r="A2612" s="123">
        <f>IF(B2612="","",ROW()-15)</f>
        <v/>
      </c>
      <c r="B2612" s="124" t="n"/>
      <c r="C2612" s="123" t="n"/>
      <c r="D2612" s="123" t="n"/>
      <c r="E2612" s="123" t="n"/>
      <c r="F2612" s="125" t="n"/>
      <c r="G2612" s="123" t="n"/>
      <c r="H2612" s="123" t="n"/>
      <c r="I2612" s="123" t="n"/>
      <c r="J2612" s="123" t="n"/>
      <c r="K2612" s="123" t="n"/>
      <c r="L2612" s="123" t="n"/>
      <c r="M2612" s="123">
        <f>IF(AND(B2612&lt;&gt;"",OR($C$4="",ISNUMBER(SEARCH($C$4,C2612&amp;" "&amp;E2612&amp;" "&amp;G2612&amp;" "&amp;H2612&amp;" "&amp;I2612&amp;" "&amp;J2612&amp;" "&amp;K2612&amp;" "&amp;L2612))),OR($C$5="Semua",$C$5="",G2612=$C$5),OR($C$6="Semua",$C$6="",H2612=$C$6,H2612="Pengeluaran "&amp;$C$6,AND($C$6="Uang Kos Mama",H2612="Pengeluaran Uang Kos")),OR($C$7="Semua",$C$7="",I2612=$C$7),OR($C$8="Semua",$C$8="",C2612=$C$8,E2612=$C$8),OR($C$9="Semua",$C$9="",D2612=$C$9),OR($C$10="",B2612&gt;=$C$10),OR($C$11="",B2612&lt;=$C$11),OR($C$12&lt;&gt;"Ya",K2612&lt;&gt;""),OR($C$13="Semua",$C$13="",L2612=$C$13)),"✓","")</f>
        <v/>
      </c>
      <c r="N2612" s="93">
        <f>N(N2611)+IF(M2612="✓",1,0)</f>
        <v/>
      </c>
      <c r="O2612" s="93">
        <f>N(O2611)+IF(AND(B2612&lt;&gt;"",B2612&gt;='Uang Riba'!$H$30,B2612&lt;='Uang Riba'!$I$30,OR(H2612="Dana riba",H2612="Pinjam uang riba",I2612="Pinjam dari uang riba",I2612="Ganti uang riba",I2612="Kelebihan ganti dikembalikan",AND(C2612="Kantong Uang Riba",G2612="Pengeluaran"))),1,0)</f>
        <v/>
      </c>
      <c r="X2612" s="93">
        <f>IF(AND(B2612&lt;&gt;"",B2612&gt;='Buku Akun'!$H$4,B2612&lt;='Buku Akun'!$H$5,OR(C2612='Buku Akun'!$C$4,AND(D2612="Pindah",E2612='Buku Akun'!$C$4))),B2612+IF(AND(I2612="Selisih bunga",DAY(B2612)=1),0,0.01)+ROW()/10000000,"")</f>
        <v/>
      </c>
    </row>
    <row r="2613" outlineLevel="1" ht="15" customHeight="1" s="94">
      <c r="A2613" s="123">
        <f>IF(B2613="","",ROW()-15)</f>
        <v/>
      </c>
      <c r="B2613" s="124" t="n"/>
      <c r="C2613" s="123" t="n"/>
      <c r="D2613" s="123" t="n"/>
      <c r="E2613" s="123" t="n"/>
      <c r="F2613" s="125" t="n"/>
      <c r="G2613" s="123" t="n"/>
      <c r="H2613" s="123" t="n"/>
      <c r="I2613" s="123" t="n"/>
      <c r="J2613" s="123" t="n"/>
      <c r="K2613" s="123" t="n"/>
      <c r="L2613" s="123" t="n"/>
      <c r="M2613" s="123">
        <f>IF(AND(B2613&lt;&gt;"",OR($C$4="",ISNUMBER(SEARCH($C$4,C2613&amp;" "&amp;E2613&amp;" "&amp;G2613&amp;" "&amp;H2613&amp;" "&amp;I2613&amp;" "&amp;J2613&amp;" "&amp;K2613&amp;" "&amp;L2613))),OR($C$5="Semua",$C$5="",G2613=$C$5),OR($C$6="Semua",$C$6="",H2613=$C$6,H2613="Pengeluaran "&amp;$C$6,AND($C$6="Uang Kos Mama",H2613="Pengeluaran Uang Kos")),OR($C$7="Semua",$C$7="",I2613=$C$7),OR($C$8="Semua",$C$8="",C2613=$C$8,E2613=$C$8),OR($C$9="Semua",$C$9="",D2613=$C$9),OR($C$10="",B2613&gt;=$C$10),OR($C$11="",B2613&lt;=$C$11),OR($C$12&lt;&gt;"Ya",K2613&lt;&gt;""),OR($C$13="Semua",$C$13="",L2613=$C$13)),"✓","")</f>
        <v/>
      </c>
      <c r="N2613" s="93">
        <f>N(N2612)+IF(M2613="✓",1,0)</f>
        <v/>
      </c>
      <c r="O2613" s="93">
        <f>N(O2612)+IF(AND(B2613&lt;&gt;"",B2613&gt;='Uang Riba'!$H$30,B2613&lt;='Uang Riba'!$I$30,OR(H2613="Dana riba",H2613="Pinjam uang riba",I2613="Pinjam dari uang riba",I2613="Ganti uang riba",I2613="Kelebihan ganti dikembalikan",AND(C2613="Kantong Uang Riba",G2613="Pengeluaran"))),1,0)</f>
        <v/>
      </c>
      <c r="X2613" s="93">
        <f>IF(AND(B2613&lt;&gt;"",B2613&gt;='Buku Akun'!$H$4,B2613&lt;='Buku Akun'!$H$5,OR(C2613='Buku Akun'!$C$4,AND(D2613="Pindah",E2613='Buku Akun'!$C$4))),B2613+IF(AND(I2613="Selisih bunga",DAY(B2613)=1),0,0.01)+ROW()/10000000,"")</f>
        <v/>
      </c>
    </row>
    <row r="2614" outlineLevel="1" ht="15" customHeight="1" s="94">
      <c r="A2614" s="123">
        <f>IF(B2614="","",ROW()-15)</f>
        <v/>
      </c>
      <c r="B2614" s="124" t="n"/>
      <c r="C2614" s="123" t="n"/>
      <c r="D2614" s="123" t="n"/>
      <c r="E2614" s="123" t="n"/>
      <c r="F2614" s="125" t="n"/>
      <c r="G2614" s="123" t="n"/>
      <c r="H2614" s="123" t="n"/>
      <c r="I2614" s="123" t="n"/>
      <c r="J2614" s="123" t="n"/>
      <c r="K2614" s="123" t="n"/>
      <c r="L2614" s="123" t="n"/>
      <c r="M2614" s="123">
        <f>IF(AND(B2614&lt;&gt;"",OR($C$4="",ISNUMBER(SEARCH($C$4,C2614&amp;" "&amp;E2614&amp;" "&amp;G2614&amp;" "&amp;H2614&amp;" "&amp;I2614&amp;" "&amp;J2614&amp;" "&amp;K2614&amp;" "&amp;L2614))),OR($C$5="Semua",$C$5="",G2614=$C$5),OR($C$6="Semua",$C$6="",H2614=$C$6,H2614="Pengeluaran "&amp;$C$6,AND($C$6="Uang Kos Mama",H2614="Pengeluaran Uang Kos")),OR($C$7="Semua",$C$7="",I2614=$C$7),OR($C$8="Semua",$C$8="",C2614=$C$8,E2614=$C$8),OR($C$9="Semua",$C$9="",D2614=$C$9),OR($C$10="",B2614&gt;=$C$10),OR($C$11="",B2614&lt;=$C$11),OR($C$12&lt;&gt;"Ya",K2614&lt;&gt;""),OR($C$13="Semua",$C$13="",L2614=$C$13)),"✓","")</f>
        <v/>
      </c>
      <c r="N2614" s="93">
        <f>N(N2613)+IF(M2614="✓",1,0)</f>
        <v/>
      </c>
      <c r="O2614" s="93">
        <f>N(O2613)+IF(AND(B2614&lt;&gt;"",B2614&gt;='Uang Riba'!$H$30,B2614&lt;='Uang Riba'!$I$30,OR(H2614="Dana riba",H2614="Pinjam uang riba",I2614="Pinjam dari uang riba",I2614="Ganti uang riba",I2614="Kelebihan ganti dikembalikan",AND(C2614="Kantong Uang Riba",G2614="Pengeluaran"))),1,0)</f>
        <v/>
      </c>
      <c r="X2614" s="93">
        <f>IF(AND(B2614&lt;&gt;"",B2614&gt;='Buku Akun'!$H$4,B2614&lt;='Buku Akun'!$H$5,OR(C2614='Buku Akun'!$C$4,AND(D2614="Pindah",E2614='Buku Akun'!$C$4))),B2614+IF(AND(I2614="Selisih bunga",DAY(B2614)=1),0,0.01)+ROW()/10000000,"")</f>
        <v/>
      </c>
    </row>
    <row r="2615" outlineLevel="1" ht="15" customHeight="1" s="94">
      <c r="A2615" s="123">
        <f>IF(B2615="","",ROW()-15)</f>
        <v/>
      </c>
      <c r="B2615" s="124" t="n"/>
      <c r="C2615" s="123" t="n"/>
      <c r="D2615" s="123" t="n"/>
      <c r="E2615" s="123" t="n"/>
      <c r="F2615" s="125" t="n"/>
      <c r="G2615" s="123" t="n"/>
      <c r="H2615" s="123" t="n"/>
      <c r="I2615" s="123" t="n"/>
      <c r="J2615" s="123" t="n"/>
      <c r="K2615" s="123" t="n"/>
      <c r="L2615" s="123" t="n"/>
      <c r="M2615" s="123">
        <f>IF(AND(B2615&lt;&gt;"",OR($C$4="",ISNUMBER(SEARCH($C$4,C2615&amp;" "&amp;E2615&amp;" "&amp;G2615&amp;" "&amp;H2615&amp;" "&amp;I2615&amp;" "&amp;J2615&amp;" "&amp;K2615&amp;" "&amp;L2615))),OR($C$5="Semua",$C$5="",G2615=$C$5),OR($C$6="Semua",$C$6="",H2615=$C$6,H2615="Pengeluaran "&amp;$C$6,AND($C$6="Uang Kos Mama",H2615="Pengeluaran Uang Kos")),OR($C$7="Semua",$C$7="",I2615=$C$7),OR($C$8="Semua",$C$8="",C2615=$C$8,E2615=$C$8),OR($C$9="Semua",$C$9="",D2615=$C$9),OR($C$10="",B2615&gt;=$C$10),OR($C$11="",B2615&lt;=$C$11),OR($C$12&lt;&gt;"Ya",K2615&lt;&gt;""),OR($C$13="Semua",$C$13="",L2615=$C$13)),"✓","")</f>
        <v/>
      </c>
      <c r="N2615" s="93">
        <f>N(N2614)+IF(M2615="✓",1,0)</f>
        <v/>
      </c>
      <c r="O2615" s="93">
        <f>N(O2614)+IF(AND(B2615&lt;&gt;"",B2615&gt;='Uang Riba'!$H$30,B2615&lt;='Uang Riba'!$I$30,OR(H2615="Dana riba",H2615="Pinjam uang riba",I2615="Pinjam dari uang riba",I2615="Ganti uang riba",I2615="Kelebihan ganti dikembalikan",AND(C2615="Kantong Uang Riba",G2615="Pengeluaran"))),1,0)</f>
        <v/>
      </c>
      <c r="X2615" s="93">
        <f>IF(AND(B2615&lt;&gt;"",B2615&gt;='Buku Akun'!$H$4,B2615&lt;='Buku Akun'!$H$5,OR(C2615='Buku Akun'!$C$4,AND(D2615="Pindah",E2615='Buku Akun'!$C$4))),B2615+IF(AND(I2615="Selisih bunga",DAY(B2615)=1),0,0.01)+ROW()/10000000,"")</f>
        <v/>
      </c>
    </row>
    <row r="2616" outlineLevel="1" ht="15" customHeight="1" s="94">
      <c r="A2616" s="123">
        <f>IF(B2616="","",ROW()-15)</f>
        <v/>
      </c>
      <c r="B2616" s="124" t="n"/>
      <c r="C2616" s="123" t="n"/>
      <c r="D2616" s="123" t="n"/>
      <c r="E2616" s="123" t="n"/>
      <c r="F2616" s="125" t="n"/>
      <c r="G2616" s="123" t="n"/>
      <c r="H2616" s="123" t="n"/>
      <c r="I2616" s="123" t="n"/>
      <c r="J2616" s="123" t="n"/>
      <c r="K2616" s="123" t="n"/>
      <c r="L2616" s="123" t="n"/>
      <c r="M2616" s="123">
        <f>IF(AND(B2616&lt;&gt;"",OR($C$4="",ISNUMBER(SEARCH($C$4,C2616&amp;" "&amp;E2616&amp;" "&amp;G2616&amp;" "&amp;H2616&amp;" "&amp;I2616&amp;" "&amp;J2616&amp;" "&amp;K2616&amp;" "&amp;L2616))),OR($C$5="Semua",$C$5="",G2616=$C$5),OR($C$6="Semua",$C$6="",H2616=$C$6,H2616="Pengeluaran "&amp;$C$6,AND($C$6="Uang Kos Mama",H2616="Pengeluaran Uang Kos")),OR($C$7="Semua",$C$7="",I2616=$C$7),OR($C$8="Semua",$C$8="",C2616=$C$8,E2616=$C$8),OR($C$9="Semua",$C$9="",D2616=$C$9),OR($C$10="",B2616&gt;=$C$10),OR($C$11="",B2616&lt;=$C$11),OR($C$12&lt;&gt;"Ya",K2616&lt;&gt;""),OR($C$13="Semua",$C$13="",L2616=$C$13)),"✓","")</f>
        <v/>
      </c>
      <c r="N2616" s="93">
        <f>N(N2615)+IF(M2616="✓",1,0)</f>
        <v/>
      </c>
      <c r="O2616" s="93">
        <f>N(O2615)+IF(AND(B2616&lt;&gt;"",B2616&gt;='Uang Riba'!$H$30,B2616&lt;='Uang Riba'!$I$30,OR(H2616="Dana riba",H2616="Pinjam uang riba",I2616="Pinjam dari uang riba",I2616="Ganti uang riba",I2616="Kelebihan ganti dikembalikan",AND(C2616="Kantong Uang Riba",G2616="Pengeluaran"))),1,0)</f>
        <v/>
      </c>
      <c r="X2616" s="93">
        <f>IF(AND(B2616&lt;&gt;"",B2616&gt;='Buku Akun'!$H$4,B2616&lt;='Buku Akun'!$H$5,OR(C2616='Buku Akun'!$C$4,AND(D2616="Pindah",E2616='Buku Akun'!$C$4))),B2616+IF(AND(I2616="Selisih bunga",DAY(B2616)=1),0,0.01)+ROW()/10000000,"")</f>
        <v/>
      </c>
    </row>
    <row r="2617" outlineLevel="1" ht="15" customHeight="1" s="94">
      <c r="A2617" s="123">
        <f>IF(B2617="","",ROW()-15)</f>
        <v/>
      </c>
      <c r="B2617" s="124" t="n"/>
      <c r="C2617" s="123" t="n"/>
      <c r="D2617" s="123" t="n"/>
      <c r="E2617" s="123" t="n"/>
      <c r="F2617" s="125" t="n"/>
      <c r="G2617" s="123" t="n"/>
      <c r="H2617" s="123" t="n"/>
      <c r="I2617" s="123" t="n"/>
      <c r="J2617" s="123" t="n"/>
      <c r="K2617" s="123" t="n"/>
      <c r="L2617" s="123" t="n"/>
      <c r="M2617" s="123">
        <f>IF(AND(B2617&lt;&gt;"",OR($C$4="",ISNUMBER(SEARCH($C$4,C2617&amp;" "&amp;E2617&amp;" "&amp;G2617&amp;" "&amp;H2617&amp;" "&amp;I2617&amp;" "&amp;J2617&amp;" "&amp;K2617&amp;" "&amp;L2617))),OR($C$5="Semua",$C$5="",G2617=$C$5),OR($C$6="Semua",$C$6="",H2617=$C$6,H2617="Pengeluaran "&amp;$C$6,AND($C$6="Uang Kos Mama",H2617="Pengeluaran Uang Kos")),OR($C$7="Semua",$C$7="",I2617=$C$7),OR($C$8="Semua",$C$8="",C2617=$C$8,E2617=$C$8),OR($C$9="Semua",$C$9="",D2617=$C$9),OR($C$10="",B2617&gt;=$C$10),OR($C$11="",B2617&lt;=$C$11),OR($C$12&lt;&gt;"Ya",K2617&lt;&gt;""),OR($C$13="Semua",$C$13="",L2617=$C$13)),"✓","")</f>
        <v/>
      </c>
      <c r="N2617" s="93">
        <f>N(N2616)+IF(M2617="✓",1,0)</f>
        <v/>
      </c>
      <c r="O2617" s="93">
        <f>N(O2616)+IF(AND(B2617&lt;&gt;"",B2617&gt;='Uang Riba'!$H$30,B2617&lt;='Uang Riba'!$I$30,OR(H2617="Dana riba",H2617="Pinjam uang riba",I2617="Pinjam dari uang riba",I2617="Ganti uang riba",I2617="Kelebihan ganti dikembalikan",AND(C2617="Kantong Uang Riba",G2617="Pengeluaran"))),1,0)</f>
        <v/>
      </c>
      <c r="X2617" s="93">
        <f>IF(AND(B2617&lt;&gt;"",B2617&gt;='Buku Akun'!$H$4,B2617&lt;='Buku Akun'!$H$5,OR(C2617='Buku Akun'!$C$4,AND(D2617="Pindah",E2617='Buku Akun'!$C$4))),B2617+IF(AND(I2617="Selisih bunga",DAY(B2617)=1),0,0.01)+ROW()/10000000,"")</f>
        <v/>
      </c>
    </row>
    <row r="2618" outlineLevel="1" ht="15" customHeight="1" s="94">
      <c r="A2618" s="123">
        <f>IF(B2618="","",ROW()-15)</f>
        <v/>
      </c>
      <c r="B2618" s="124" t="n"/>
      <c r="C2618" s="123" t="n"/>
      <c r="D2618" s="123" t="n"/>
      <c r="E2618" s="123" t="n"/>
      <c r="F2618" s="125" t="n"/>
      <c r="G2618" s="123" t="n"/>
      <c r="H2618" s="123" t="n"/>
      <c r="I2618" s="123" t="n"/>
      <c r="J2618" s="123" t="n"/>
      <c r="K2618" s="123" t="n"/>
      <c r="L2618" s="123" t="n"/>
      <c r="M2618" s="123">
        <f>IF(AND(B2618&lt;&gt;"",OR($C$4="",ISNUMBER(SEARCH($C$4,C2618&amp;" "&amp;E2618&amp;" "&amp;G2618&amp;" "&amp;H2618&amp;" "&amp;I2618&amp;" "&amp;J2618&amp;" "&amp;K2618&amp;" "&amp;L2618))),OR($C$5="Semua",$C$5="",G2618=$C$5),OR($C$6="Semua",$C$6="",H2618=$C$6,H2618="Pengeluaran "&amp;$C$6,AND($C$6="Uang Kos Mama",H2618="Pengeluaran Uang Kos")),OR($C$7="Semua",$C$7="",I2618=$C$7),OR($C$8="Semua",$C$8="",C2618=$C$8,E2618=$C$8),OR($C$9="Semua",$C$9="",D2618=$C$9),OR($C$10="",B2618&gt;=$C$10),OR($C$11="",B2618&lt;=$C$11),OR($C$12&lt;&gt;"Ya",K2618&lt;&gt;""),OR($C$13="Semua",$C$13="",L2618=$C$13)),"✓","")</f>
        <v/>
      </c>
      <c r="N2618" s="93">
        <f>N(N2617)+IF(M2618="✓",1,0)</f>
        <v/>
      </c>
      <c r="O2618" s="93">
        <f>N(O2617)+IF(AND(B2618&lt;&gt;"",B2618&gt;='Uang Riba'!$H$30,B2618&lt;='Uang Riba'!$I$30,OR(H2618="Dana riba",H2618="Pinjam uang riba",I2618="Pinjam dari uang riba",I2618="Ganti uang riba",I2618="Kelebihan ganti dikembalikan",AND(C2618="Kantong Uang Riba",G2618="Pengeluaran"))),1,0)</f>
        <v/>
      </c>
      <c r="X2618" s="93">
        <f>IF(AND(B2618&lt;&gt;"",B2618&gt;='Buku Akun'!$H$4,B2618&lt;='Buku Akun'!$H$5,OR(C2618='Buku Akun'!$C$4,AND(D2618="Pindah",E2618='Buku Akun'!$C$4))),B2618+IF(AND(I2618="Selisih bunga",DAY(B2618)=1),0,0.01)+ROW()/10000000,"")</f>
        <v/>
      </c>
    </row>
    <row r="2619" outlineLevel="1" ht="15" customHeight="1" s="94">
      <c r="A2619" s="123">
        <f>IF(B2619="","",ROW()-15)</f>
        <v/>
      </c>
      <c r="B2619" s="124" t="n"/>
      <c r="C2619" s="123" t="n"/>
      <c r="D2619" s="123" t="n"/>
      <c r="E2619" s="123" t="n"/>
      <c r="F2619" s="125" t="n"/>
      <c r="G2619" s="123" t="n"/>
      <c r="H2619" s="123" t="n"/>
      <c r="I2619" s="123" t="n"/>
      <c r="J2619" s="123" t="n"/>
      <c r="K2619" s="123" t="n"/>
      <c r="L2619" s="123" t="n"/>
      <c r="M2619" s="123">
        <f>IF(AND(B2619&lt;&gt;"",OR($C$4="",ISNUMBER(SEARCH($C$4,C2619&amp;" "&amp;E2619&amp;" "&amp;G2619&amp;" "&amp;H2619&amp;" "&amp;I2619&amp;" "&amp;J2619&amp;" "&amp;K2619&amp;" "&amp;L2619))),OR($C$5="Semua",$C$5="",G2619=$C$5),OR($C$6="Semua",$C$6="",H2619=$C$6,H2619="Pengeluaran "&amp;$C$6,AND($C$6="Uang Kos Mama",H2619="Pengeluaran Uang Kos")),OR($C$7="Semua",$C$7="",I2619=$C$7),OR($C$8="Semua",$C$8="",C2619=$C$8,E2619=$C$8),OR($C$9="Semua",$C$9="",D2619=$C$9),OR($C$10="",B2619&gt;=$C$10),OR($C$11="",B2619&lt;=$C$11),OR($C$12&lt;&gt;"Ya",K2619&lt;&gt;""),OR($C$13="Semua",$C$13="",L2619=$C$13)),"✓","")</f>
        <v/>
      </c>
      <c r="N2619" s="93">
        <f>N(N2618)+IF(M2619="✓",1,0)</f>
        <v/>
      </c>
      <c r="O2619" s="93">
        <f>N(O2618)+IF(AND(B2619&lt;&gt;"",B2619&gt;='Uang Riba'!$H$30,B2619&lt;='Uang Riba'!$I$30,OR(H2619="Dana riba",H2619="Pinjam uang riba",I2619="Pinjam dari uang riba",I2619="Ganti uang riba",I2619="Kelebihan ganti dikembalikan",AND(C2619="Kantong Uang Riba",G2619="Pengeluaran"))),1,0)</f>
        <v/>
      </c>
      <c r="X2619" s="93">
        <f>IF(AND(B2619&lt;&gt;"",B2619&gt;='Buku Akun'!$H$4,B2619&lt;='Buku Akun'!$H$5,OR(C2619='Buku Akun'!$C$4,AND(D2619="Pindah",E2619='Buku Akun'!$C$4))),B2619+IF(AND(I2619="Selisih bunga",DAY(B2619)=1),0,0.01)+ROW()/10000000,"")</f>
        <v/>
      </c>
    </row>
    <row r="2620" outlineLevel="1" ht="15" customHeight="1" s="94">
      <c r="A2620" s="123">
        <f>IF(B2620="","",ROW()-15)</f>
        <v/>
      </c>
      <c r="B2620" s="124" t="n"/>
      <c r="C2620" s="123" t="n"/>
      <c r="D2620" s="123" t="n"/>
      <c r="E2620" s="123" t="n"/>
      <c r="F2620" s="125" t="n"/>
      <c r="G2620" s="123" t="n"/>
      <c r="H2620" s="123" t="n"/>
      <c r="I2620" s="123" t="n"/>
      <c r="J2620" s="123" t="n"/>
      <c r="K2620" s="123" t="n"/>
      <c r="L2620" s="123" t="n"/>
      <c r="M2620" s="123">
        <f>IF(AND(B2620&lt;&gt;"",OR($C$4="",ISNUMBER(SEARCH($C$4,C2620&amp;" "&amp;E2620&amp;" "&amp;G2620&amp;" "&amp;H2620&amp;" "&amp;I2620&amp;" "&amp;J2620&amp;" "&amp;K2620&amp;" "&amp;L2620))),OR($C$5="Semua",$C$5="",G2620=$C$5),OR($C$6="Semua",$C$6="",H2620=$C$6,H2620="Pengeluaran "&amp;$C$6,AND($C$6="Uang Kos Mama",H2620="Pengeluaran Uang Kos")),OR($C$7="Semua",$C$7="",I2620=$C$7),OR($C$8="Semua",$C$8="",C2620=$C$8,E2620=$C$8),OR($C$9="Semua",$C$9="",D2620=$C$9),OR($C$10="",B2620&gt;=$C$10),OR($C$11="",B2620&lt;=$C$11),OR($C$12&lt;&gt;"Ya",K2620&lt;&gt;""),OR($C$13="Semua",$C$13="",L2620=$C$13)),"✓","")</f>
        <v/>
      </c>
      <c r="N2620" s="93">
        <f>N(N2619)+IF(M2620="✓",1,0)</f>
        <v/>
      </c>
      <c r="O2620" s="93">
        <f>N(O2619)+IF(AND(B2620&lt;&gt;"",B2620&gt;='Uang Riba'!$H$30,B2620&lt;='Uang Riba'!$I$30,OR(H2620="Dana riba",H2620="Pinjam uang riba",I2620="Pinjam dari uang riba",I2620="Ganti uang riba",I2620="Kelebihan ganti dikembalikan",AND(C2620="Kantong Uang Riba",G2620="Pengeluaran"))),1,0)</f>
        <v/>
      </c>
      <c r="X2620" s="93">
        <f>IF(AND(B2620&lt;&gt;"",B2620&gt;='Buku Akun'!$H$4,B2620&lt;='Buku Akun'!$H$5,OR(C2620='Buku Akun'!$C$4,AND(D2620="Pindah",E2620='Buku Akun'!$C$4))),B2620+IF(AND(I2620="Selisih bunga",DAY(B2620)=1),0,0.01)+ROW()/10000000,"")</f>
        <v/>
      </c>
    </row>
    <row r="2621" outlineLevel="1" ht="15" customHeight="1" s="94">
      <c r="A2621" s="123">
        <f>IF(B2621="","",ROW()-15)</f>
        <v/>
      </c>
      <c r="B2621" s="124" t="n"/>
      <c r="C2621" s="123" t="n"/>
      <c r="D2621" s="123" t="n"/>
      <c r="E2621" s="123" t="n"/>
      <c r="F2621" s="125" t="n"/>
      <c r="G2621" s="123" t="n"/>
      <c r="H2621" s="123" t="n"/>
      <c r="I2621" s="123" t="n"/>
      <c r="J2621" s="123" t="n"/>
      <c r="K2621" s="123" t="n"/>
      <c r="L2621" s="123" t="n"/>
      <c r="M2621" s="123">
        <f>IF(AND(B2621&lt;&gt;"",OR($C$4="",ISNUMBER(SEARCH($C$4,C2621&amp;" "&amp;E2621&amp;" "&amp;G2621&amp;" "&amp;H2621&amp;" "&amp;I2621&amp;" "&amp;J2621&amp;" "&amp;K2621&amp;" "&amp;L2621))),OR($C$5="Semua",$C$5="",G2621=$C$5),OR($C$6="Semua",$C$6="",H2621=$C$6,H2621="Pengeluaran "&amp;$C$6,AND($C$6="Uang Kos Mama",H2621="Pengeluaran Uang Kos")),OR($C$7="Semua",$C$7="",I2621=$C$7),OR($C$8="Semua",$C$8="",C2621=$C$8,E2621=$C$8),OR($C$9="Semua",$C$9="",D2621=$C$9),OR($C$10="",B2621&gt;=$C$10),OR($C$11="",B2621&lt;=$C$11),OR($C$12&lt;&gt;"Ya",K2621&lt;&gt;""),OR($C$13="Semua",$C$13="",L2621=$C$13)),"✓","")</f>
        <v/>
      </c>
      <c r="N2621" s="93">
        <f>N(N2620)+IF(M2621="✓",1,0)</f>
        <v/>
      </c>
      <c r="O2621" s="93">
        <f>N(O2620)+IF(AND(B2621&lt;&gt;"",B2621&gt;='Uang Riba'!$H$30,B2621&lt;='Uang Riba'!$I$30,OR(H2621="Dana riba",H2621="Pinjam uang riba",I2621="Pinjam dari uang riba",I2621="Ganti uang riba",I2621="Kelebihan ganti dikembalikan",AND(C2621="Kantong Uang Riba",G2621="Pengeluaran"))),1,0)</f>
        <v/>
      </c>
      <c r="X2621" s="93">
        <f>IF(AND(B2621&lt;&gt;"",B2621&gt;='Buku Akun'!$H$4,B2621&lt;='Buku Akun'!$H$5,OR(C2621='Buku Akun'!$C$4,AND(D2621="Pindah",E2621='Buku Akun'!$C$4))),B2621+IF(AND(I2621="Selisih bunga",DAY(B2621)=1),0,0.01)+ROW()/10000000,"")</f>
        <v/>
      </c>
    </row>
    <row r="2622" outlineLevel="1" ht="15" customHeight="1" s="94">
      <c r="A2622" s="123">
        <f>IF(B2622="","",ROW()-15)</f>
        <v/>
      </c>
      <c r="B2622" s="124" t="n"/>
      <c r="C2622" s="123" t="n"/>
      <c r="D2622" s="123" t="n"/>
      <c r="E2622" s="123" t="n"/>
      <c r="F2622" s="125" t="n"/>
      <c r="G2622" s="123" t="n"/>
      <c r="H2622" s="123" t="n"/>
      <c r="I2622" s="123" t="n"/>
      <c r="J2622" s="123" t="n"/>
      <c r="K2622" s="123" t="n"/>
      <c r="L2622" s="123" t="n"/>
      <c r="M2622" s="123">
        <f>IF(AND(B2622&lt;&gt;"",OR($C$4="",ISNUMBER(SEARCH($C$4,C2622&amp;" "&amp;E2622&amp;" "&amp;G2622&amp;" "&amp;H2622&amp;" "&amp;I2622&amp;" "&amp;J2622&amp;" "&amp;K2622&amp;" "&amp;L2622))),OR($C$5="Semua",$C$5="",G2622=$C$5),OR($C$6="Semua",$C$6="",H2622=$C$6,H2622="Pengeluaran "&amp;$C$6,AND($C$6="Uang Kos Mama",H2622="Pengeluaran Uang Kos")),OR($C$7="Semua",$C$7="",I2622=$C$7),OR($C$8="Semua",$C$8="",C2622=$C$8,E2622=$C$8),OR($C$9="Semua",$C$9="",D2622=$C$9),OR($C$10="",B2622&gt;=$C$10),OR($C$11="",B2622&lt;=$C$11),OR($C$12&lt;&gt;"Ya",K2622&lt;&gt;""),OR($C$13="Semua",$C$13="",L2622=$C$13)),"✓","")</f>
        <v/>
      </c>
      <c r="N2622" s="93">
        <f>N(N2621)+IF(M2622="✓",1,0)</f>
        <v/>
      </c>
      <c r="O2622" s="93">
        <f>N(O2621)+IF(AND(B2622&lt;&gt;"",B2622&gt;='Uang Riba'!$H$30,B2622&lt;='Uang Riba'!$I$30,OR(H2622="Dana riba",H2622="Pinjam uang riba",I2622="Pinjam dari uang riba",I2622="Ganti uang riba",I2622="Kelebihan ganti dikembalikan",AND(C2622="Kantong Uang Riba",G2622="Pengeluaran"))),1,0)</f>
        <v/>
      </c>
      <c r="X2622" s="93">
        <f>IF(AND(B2622&lt;&gt;"",B2622&gt;='Buku Akun'!$H$4,B2622&lt;='Buku Akun'!$H$5,OR(C2622='Buku Akun'!$C$4,AND(D2622="Pindah",E2622='Buku Akun'!$C$4))),B2622+IF(AND(I2622="Selisih bunga",DAY(B2622)=1),0,0.01)+ROW()/10000000,"")</f>
        <v/>
      </c>
    </row>
    <row r="2623" outlineLevel="1" ht="15" customHeight="1" s="94">
      <c r="A2623" s="123">
        <f>IF(B2623="","",ROW()-15)</f>
        <v/>
      </c>
      <c r="B2623" s="124" t="n"/>
      <c r="C2623" s="123" t="n"/>
      <c r="D2623" s="123" t="n"/>
      <c r="E2623" s="123" t="n"/>
      <c r="F2623" s="125" t="n"/>
      <c r="G2623" s="123" t="n"/>
      <c r="H2623" s="123" t="n"/>
      <c r="I2623" s="123" t="n"/>
      <c r="J2623" s="123" t="n"/>
      <c r="K2623" s="123" t="n"/>
      <c r="L2623" s="123" t="n"/>
      <c r="M2623" s="123">
        <f>IF(AND(B2623&lt;&gt;"",OR($C$4="",ISNUMBER(SEARCH($C$4,C2623&amp;" "&amp;E2623&amp;" "&amp;G2623&amp;" "&amp;H2623&amp;" "&amp;I2623&amp;" "&amp;J2623&amp;" "&amp;K2623&amp;" "&amp;L2623))),OR($C$5="Semua",$C$5="",G2623=$C$5),OR($C$6="Semua",$C$6="",H2623=$C$6,H2623="Pengeluaran "&amp;$C$6,AND($C$6="Uang Kos Mama",H2623="Pengeluaran Uang Kos")),OR($C$7="Semua",$C$7="",I2623=$C$7),OR($C$8="Semua",$C$8="",C2623=$C$8,E2623=$C$8),OR($C$9="Semua",$C$9="",D2623=$C$9),OR($C$10="",B2623&gt;=$C$10),OR($C$11="",B2623&lt;=$C$11),OR($C$12&lt;&gt;"Ya",K2623&lt;&gt;""),OR($C$13="Semua",$C$13="",L2623=$C$13)),"✓","")</f>
        <v/>
      </c>
      <c r="N2623" s="93">
        <f>N(N2622)+IF(M2623="✓",1,0)</f>
        <v/>
      </c>
      <c r="O2623" s="93">
        <f>N(O2622)+IF(AND(B2623&lt;&gt;"",B2623&gt;='Uang Riba'!$H$30,B2623&lt;='Uang Riba'!$I$30,OR(H2623="Dana riba",H2623="Pinjam uang riba",I2623="Pinjam dari uang riba",I2623="Ganti uang riba",I2623="Kelebihan ganti dikembalikan",AND(C2623="Kantong Uang Riba",G2623="Pengeluaran"))),1,0)</f>
        <v/>
      </c>
      <c r="X2623" s="93">
        <f>IF(AND(B2623&lt;&gt;"",B2623&gt;='Buku Akun'!$H$4,B2623&lt;='Buku Akun'!$H$5,OR(C2623='Buku Akun'!$C$4,AND(D2623="Pindah",E2623='Buku Akun'!$C$4))),B2623+IF(AND(I2623="Selisih bunga",DAY(B2623)=1),0,0.01)+ROW()/10000000,"")</f>
        <v/>
      </c>
    </row>
    <row r="2624" outlineLevel="1" ht="15" customHeight="1" s="94">
      <c r="A2624" s="123">
        <f>IF(B2624="","",ROW()-15)</f>
        <v/>
      </c>
      <c r="B2624" s="124" t="n"/>
      <c r="C2624" s="123" t="n"/>
      <c r="D2624" s="123" t="n"/>
      <c r="E2624" s="123" t="n"/>
      <c r="F2624" s="125" t="n"/>
      <c r="G2624" s="123" t="n"/>
      <c r="H2624" s="123" t="n"/>
      <c r="I2624" s="123" t="n"/>
      <c r="J2624" s="123" t="n"/>
      <c r="K2624" s="123" t="n"/>
      <c r="L2624" s="123" t="n"/>
      <c r="M2624" s="123">
        <f>IF(AND(B2624&lt;&gt;"",OR($C$4="",ISNUMBER(SEARCH($C$4,C2624&amp;" "&amp;E2624&amp;" "&amp;G2624&amp;" "&amp;H2624&amp;" "&amp;I2624&amp;" "&amp;J2624&amp;" "&amp;K2624&amp;" "&amp;L2624))),OR($C$5="Semua",$C$5="",G2624=$C$5),OR($C$6="Semua",$C$6="",H2624=$C$6,H2624="Pengeluaran "&amp;$C$6,AND($C$6="Uang Kos Mama",H2624="Pengeluaran Uang Kos")),OR($C$7="Semua",$C$7="",I2624=$C$7),OR($C$8="Semua",$C$8="",C2624=$C$8,E2624=$C$8),OR($C$9="Semua",$C$9="",D2624=$C$9),OR($C$10="",B2624&gt;=$C$10),OR($C$11="",B2624&lt;=$C$11),OR($C$12&lt;&gt;"Ya",K2624&lt;&gt;""),OR($C$13="Semua",$C$13="",L2624=$C$13)),"✓","")</f>
        <v/>
      </c>
      <c r="N2624" s="93">
        <f>N(N2623)+IF(M2624="✓",1,0)</f>
        <v/>
      </c>
      <c r="O2624" s="93">
        <f>N(O2623)+IF(AND(B2624&lt;&gt;"",B2624&gt;='Uang Riba'!$H$30,B2624&lt;='Uang Riba'!$I$30,OR(H2624="Dana riba",H2624="Pinjam uang riba",I2624="Pinjam dari uang riba",I2624="Ganti uang riba",I2624="Kelebihan ganti dikembalikan",AND(C2624="Kantong Uang Riba",G2624="Pengeluaran"))),1,0)</f>
        <v/>
      </c>
      <c r="X2624" s="93">
        <f>IF(AND(B2624&lt;&gt;"",B2624&gt;='Buku Akun'!$H$4,B2624&lt;='Buku Akun'!$H$5,OR(C2624='Buku Akun'!$C$4,AND(D2624="Pindah",E2624='Buku Akun'!$C$4))),B2624+IF(AND(I2624="Selisih bunga",DAY(B2624)=1),0,0.01)+ROW()/10000000,"")</f>
        <v/>
      </c>
    </row>
    <row r="2625" outlineLevel="1" ht="15" customHeight="1" s="94">
      <c r="A2625" s="123">
        <f>IF(B2625="","",ROW()-15)</f>
        <v/>
      </c>
      <c r="B2625" s="124" t="n"/>
      <c r="C2625" s="123" t="n"/>
      <c r="D2625" s="123" t="n"/>
      <c r="E2625" s="123" t="n"/>
      <c r="F2625" s="125" t="n"/>
      <c r="G2625" s="123" t="n"/>
      <c r="H2625" s="123" t="n"/>
      <c r="I2625" s="123" t="n"/>
      <c r="J2625" s="123" t="n"/>
      <c r="K2625" s="123" t="n"/>
      <c r="L2625" s="123" t="n"/>
      <c r="M2625" s="123">
        <f>IF(AND(B2625&lt;&gt;"",OR($C$4="",ISNUMBER(SEARCH($C$4,C2625&amp;" "&amp;E2625&amp;" "&amp;G2625&amp;" "&amp;H2625&amp;" "&amp;I2625&amp;" "&amp;J2625&amp;" "&amp;K2625&amp;" "&amp;L2625))),OR($C$5="Semua",$C$5="",G2625=$C$5),OR($C$6="Semua",$C$6="",H2625=$C$6,H2625="Pengeluaran "&amp;$C$6,AND($C$6="Uang Kos Mama",H2625="Pengeluaran Uang Kos")),OR($C$7="Semua",$C$7="",I2625=$C$7),OR($C$8="Semua",$C$8="",C2625=$C$8,E2625=$C$8),OR($C$9="Semua",$C$9="",D2625=$C$9),OR($C$10="",B2625&gt;=$C$10),OR($C$11="",B2625&lt;=$C$11),OR($C$12&lt;&gt;"Ya",K2625&lt;&gt;""),OR($C$13="Semua",$C$13="",L2625=$C$13)),"✓","")</f>
        <v/>
      </c>
      <c r="N2625" s="93">
        <f>N(N2624)+IF(M2625="✓",1,0)</f>
        <v/>
      </c>
      <c r="O2625" s="93">
        <f>N(O2624)+IF(AND(B2625&lt;&gt;"",B2625&gt;='Uang Riba'!$H$30,B2625&lt;='Uang Riba'!$I$30,OR(H2625="Dana riba",H2625="Pinjam uang riba",I2625="Pinjam dari uang riba",I2625="Ganti uang riba",I2625="Kelebihan ganti dikembalikan",AND(C2625="Kantong Uang Riba",G2625="Pengeluaran"))),1,0)</f>
        <v/>
      </c>
      <c r="X2625" s="93">
        <f>IF(AND(B2625&lt;&gt;"",B2625&gt;='Buku Akun'!$H$4,B2625&lt;='Buku Akun'!$H$5,OR(C2625='Buku Akun'!$C$4,AND(D2625="Pindah",E2625='Buku Akun'!$C$4))),B2625+IF(AND(I2625="Selisih bunga",DAY(B2625)=1),0,0.01)+ROW()/10000000,"")</f>
        <v/>
      </c>
    </row>
    <row r="2626" outlineLevel="1" ht="15" customHeight="1" s="94">
      <c r="A2626" s="123">
        <f>IF(B2626="","",ROW()-15)</f>
        <v/>
      </c>
      <c r="B2626" s="124" t="n"/>
      <c r="C2626" s="123" t="n"/>
      <c r="D2626" s="123" t="n"/>
      <c r="E2626" s="123" t="n"/>
      <c r="F2626" s="125" t="n"/>
      <c r="G2626" s="123" t="n"/>
      <c r="H2626" s="123" t="n"/>
      <c r="I2626" s="123" t="n"/>
      <c r="J2626" s="123" t="n"/>
      <c r="K2626" s="123" t="n"/>
      <c r="L2626" s="123" t="n"/>
      <c r="M2626" s="123">
        <f>IF(AND(B2626&lt;&gt;"",OR($C$4="",ISNUMBER(SEARCH($C$4,C2626&amp;" "&amp;E2626&amp;" "&amp;G2626&amp;" "&amp;H2626&amp;" "&amp;I2626&amp;" "&amp;J2626&amp;" "&amp;K2626&amp;" "&amp;L2626))),OR($C$5="Semua",$C$5="",G2626=$C$5),OR($C$6="Semua",$C$6="",H2626=$C$6,H2626="Pengeluaran "&amp;$C$6,AND($C$6="Uang Kos Mama",H2626="Pengeluaran Uang Kos")),OR($C$7="Semua",$C$7="",I2626=$C$7),OR($C$8="Semua",$C$8="",C2626=$C$8,E2626=$C$8),OR($C$9="Semua",$C$9="",D2626=$C$9),OR($C$10="",B2626&gt;=$C$10),OR($C$11="",B2626&lt;=$C$11),OR($C$12&lt;&gt;"Ya",K2626&lt;&gt;""),OR($C$13="Semua",$C$13="",L2626=$C$13)),"✓","")</f>
        <v/>
      </c>
      <c r="N2626" s="93">
        <f>N(N2625)+IF(M2626="✓",1,0)</f>
        <v/>
      </c>
      <c r="O2626" s="93">
        <f>N(O2625)+IF(AND(B2626&lt;&gt;"",B2626&gt;='Uang Riba'!$H$30,B2626&lt;='Uang Riba'!$I$30,OR(H2626="Dana riba",H2626="Pinjam uang riba",I2626="Pinjam dari uang riba",I2626="Ganti uang riba",I2626="Kelebihan ganti dikembalikan",AND(C2626="Kantong Uang Riba",G2626="Pengeluaran"))),1,0)</f>
        <v/>
      </c>
      <c r="X2626" s="93">
        <f>IF(AND(B2626&lt;&gt;"",B2626&gt;='Buku Akun'!$H$4,B2626&lt;='Buku Akun'!$H$5,OR(C2626='Buku Akun'!$C$4,AND(D2626="Pindah",E2626='Buku Akun'!$C$4))),B2626+IF(AND(I2626="Selisih bunga",DAY(B2626)=1),0,0.01)+ROW()/10000000,"")</f>
        <v/>
      </c>
    </row>
    <row r="2627" outlineLevel="1" ht="15" customHeight="1" s="94">
      <c r="A2627" s="123">
        <f>IF(B2627="","",ROW()-15)</f>
        <v/>
      </c>
      <c r="B2627" s="124" t="n"/>
      <c r="C2627" s="123" t="n"/>
      <c r="D2627" s="123" t="n"/>
      <c r="E2627" s="123" t="n"/>
      <c r="F2627" s="125" t="n"/>
      <c r="G2627" s="123" t="n"/>
      <c r="H2627" s="123" t="n"/>
      <c r="I2627" s="123" t="n"/>
      <c r="J2627" s="123" t="n"/>
      <c r="K2627" s="123" t="n"/>
      <c r="L2627" s="123" t="n"/>
      <c r="M2627" s="123">
        <f>IF(AND(B2627&lt;&gt;"",OR($C$4="",ISNUMBER(SEARCH($C$4,C2627&amp;" "&amp;E2627&amp;" "&amp;G2627&amp;" "&amp;H2627&amp;" "&amp;I2627&amp;" "&amp;J2627&amp;" "&amp;K2627&amp;" "&amp;L2627))),OR($C$5="Semua",$C$5="",G2627=$C$5),OR($C$6="Semua",$C$6="",H2627=$C$6,H2627="Pengeluaran "&amp;$C$6,AND($C$6="Uang Kos Mama",H2627="Pengeluaran Uang Kos")),OR($C$7="Semua",$C$7="",I2627=$C$7),OR($C$8="Semua",$C$8="",C2627=$C$8,E2627=$C$8),OR($C$9="Semua",$C$9="",D2627=$C$9),OR($C$10="",B2627&gt;=$C$10),OR($C$11="",B2627&lt;=$C$11),OR($C$12&lt;&gt;"Ya",K2627&lt;&gt;""),OR($C$13="Semua",$C$13="",L2627=$C$13)),"✓","")</f>
        <v/>
      </c>
      <c r="N2627" s="93">
        <f>N(N2626)+IF(M2627="✓",1,0)</f>
        <v/>
      </c>
      <c r="O2627" s="93">
        <f>N(O2626)+IF(AND(B2627&lt;&gt;"",B2627&gt;='Uang Riba'!$H$30,B2627&lt;='Uang Riba'!$I$30,OR(H2627="Dana riba",H2627="Pinjam uang riba",I2627="Pinjam dari uang riba",I2627="Ganti uang riba",I2627="Kelebihan ganti dikembalikan",AND(C2627="Kantong Uang Riba",G2627="Pengeluaran"))),1,0)</f>
        <v/>
      </c>
      <c r="X2627" s="93">
        <f>IF(AND(B2627&lt;&gt;"",B2627&gt;='Buku Akun'!$H$4,B2627&lt;='Buku Akun'!$H$5,OR(C2627='Buku Akun'!$C$4,AND(D2627="Pindah",E2627='Buku Akun'!$C$4))),B2627+IF(AND(I2627="Selisih bunga",DAY(B2627)=1),0,0.01)+ROW()/10000000,"")</f>
        <v/>
      </c>
    </row>
    <row r="2628" outlineLevel="1" ht="15" customHeight="1" s="94">
      <c r="A2628" s="123">
        <f>IF(B2628="","",ROW()-15)</f>
        <v/>
      </c>
      <c r="B2628" s="124" t="n"/>
      <c r="C2628" s="123" t="n"/>
      <c r="D2628" s="123" t="n"/>
      <c r="E2628" s="123" t="n"/>
      <c r="F2628" s="125" t="n"/>
      <c r="G2628" s="123" t="n"/>
      <c r="H2628" s="123" t="n"/>
      <c r="I2628" s="123" t="n"/>
      <c r="J2628" s="123" t="n"/>
      <c r="K2628" s="123" t="n"/>
      <c r="L2628" s="123" t="n"/>
      <c r="M2628" s="123">
        <f>IF(AND(B2628&lt;&gt;"",OR($C$4="",ISNUMBER(SEARCH($C$4,C2628&amp;" "&amp;E2628&amp;" "&amp;G2628&amp;" "&amp;H2628&amp;" "&amp;I2628&amp;" "&amp;J2628&amp;" "&amp;K2628&amp;" "&amp;L2628))),OR($C$5="Semua",$C$5="",G2628=$C$5),OR($C$6="Semua",$C$6="",H2628=$C$6,H2628="Pengeluaran "&amp;$C$6,AND($C$6="Uang Kos Mama",H2628="Pengeluaran Uang Kos")),OR($C$7="Semua",$C$7="",I2628=$C$7),OR($C$8="Semua",$C$8="",C2628=$C$8,E2628=$C$8),OR($C$9="Semua",$C$9="",D2628=$C$9),OR($C$10="",B2628&gt;=$C$10),OR($C$11="",B2628&lt;=$C$11),OR($C$12&lt;&gt;"Ya",K2628&lt;&gt;""),OR($C$13="Semua",$C$13="",L2628=$C$13)),"✓","")</f>
        <v/>
      </c>
      <c r="N2628" s="93">
        <f>N(N2627)+IF(M2628="✓",1,0)</f>
        <v/>
      </c>
      <c r="O2628" s="93">
        <f>N(O2627)+IF(AND(B2628&lt;&gt;"",B2628&gt;='Uang Riba'!$H$30,B2628&lt;='Uang Riba'!$I$30,OR(H2628="Dana riba",H2628="Pinjam uang riba",I2628="Pinjam dari uang riba",I2628="Ganti uang riba",I2628="Kelebihan ganti dikembalikan",AND(C2628="Kantong Uang Riba",G2628="Pengeluaran"))),1,0)</f>
        <v/>
      </c>
      <c r="X2628" s="93">
        <f>IF(AND(B2628&lt;&gt;"",B2628&gt;='Buku Akun'!$H$4,B2628&lt;='Buku Akun'!$H$5,OR(C2628='Buku Akun'!$C$4,AND(D2628="Pindah",E2628='Buku Akun'!$C$4))),B2628+IF(AND(I2628="Selisih bunga",DAY(B2628)=1),0,0.01)+ROW()/10000000,"")</f>
        <v/>
      </c>
    </row>
    <row r="2629" outlineLevel="1" ht="15" customHeight="1" s="94">
      <c r="A2629" s="123">
        <f>IF(B2629="","",ROW()-15)</f>
        <v/>
      </c>
      <c r="B2629" s="124" t="n"/>
      <c r="C2629" s="123" t="n"/>
      <c r="D2629" s="123" t="n"/>
      <c r="E2629" s="123" t="n"/>
      <c r="F2629" s="125" t="n"/>
      <c r="G2629" s="123" t="n"/>
      <c r="H2629" s="123" t="n"/>
      <c r="I2629" s="123" t="n"/>
      <c r="J2629" s="123" t="n"/>
      <c r="K2629" s="123" t="n"/>
      <c r="L2629" s="123" t="n"/>
      <c r="M2629" s="123">
        <f>IF(AND(B2629&lt;&gt;"",OR($C$4="",ISNUMBER(SEARCH($C$4,C2629&amp;" "&amp;E2629&amp;" "&amp;G2629&amp;" "&amp;H2629&amp;" "&amp;I2629&amp;" "&amp;J2629&amp;" "&amp;K2629&amp;" "&amp;L2629))),OR($C$5="Semua",$C$5="",G2629=$C$5),OR($C$6="Semua",$C$6="",H2629=$C$6,H2629="Pengeluaran "&amp;$C$6,AND($C$6="Uang Kos Mama",H2629="Pengeluaran Uang Kos")),OR($C$7="Semua",$C$7="",I2629=$C$7),OR($C$8="Semua",$C$8="",C2629=$C$8,E2629=$C$8),OR($C$9="Semua",$C$9="",D2629=$C$9),OR($C$10="",B2629&gt;=$C$10),OR($C$11="",B2629&lt;=$C$11),OR($C$12&lt;&gt;"Ya",K2629&lt;&gt;""),OR($C$13="Semua",$C$13="",L2629=$C$13)),"✓","")</f>
        <v/>
      </c>
      <c r="N2629" s="93">
        <f>N(N2628)+IF(M2629="✓",1,0)</f>
        <v/>
      </c>
      <c r="O2629" s="93">
        <f>N(O2628)+IF(AND(B2629&lt;&gt;"",B2629&gt;='Uang Riba'!$H$30,B2629&lt;='Uang Riba'!$I$30,OR(H2629="Dana riba",H2629="Pinjam uang riba",I2629="Pinjam dari uang riba",I2629="Ganti uang riba",I2629="Kelebihan ganti dikembalikan",AND(C2629="Kantong Uang Riba",G2629="Pengeluaran"))),1,0)</f>
        <v/>
      </c>
      <c r="X2629" s="93">
        <f>IF(AND(B2629&lt;&gt;"",B2629&gt;='Buku Akun'!$H$4,B2629&lt;='Buku Akun'!$H$5,OR(C2629='Buku Akun'!$C$4,AND(D2629="Pindah",E2629='Buku Akun'!$C$4))),B2629+IF(AND(I2629="Selisih bunga",DAY(B2629)=1),0,0.01)+ROW()/10000000,"")</f>
        <v/>
      </c>
    </row>
    <row r="2630" outlineLevel="1" ht="15" customHeight="1" s="94">
      <c r="A2630" s="123">
        <f>IF(B2630="","",ROW()-15)</f>
        <v/>
      </c>
      <c r="B2630" s="124" t="n"/>
      <c r="C2630" s="123" t="n"/>
      <c r="D2630" s="123" t="n"/>
      <c r="E2630" s="123" t="n"/>
      <c r="F2630" s="125" t="n"/>
      <c r="G2630" s="123" t="n"/>
      <c r="H2630" s="123" t="n"/>
      <c r="I2630" s="123" t="n"/>
      <c r="J2630" s="123" t="n"/>
      <c r="K2630" s="123" t="n"/>
      <c r="L2630" s="123" t="n"/>
      <c r="M2630" s="123">
        <f>IF(AND(B2630&lt;&gt;"",OR($C$4="",ISNUMBER(SEARCH($C$4,C2630&amp;" "&amp;E2630&amp;" "&amp;G2630&amp;" "&amp;H2630&amp;" "&amp;I2630&amp;" "&amp;J2630&amp;" "&amp;K2630&amp;" "&amp;L2630))),OR($C$5="Semua",$C$5="",G2630=$C$5),OR($C$6="Semua",$C$6="",H2630=$C$6,H2630="Pengeluaran "&amp;$C$6,AND($C$6="Uang Kos Mama",H2630="Pengeluaran Uang Kos")),OR($C$7="Semua",$C$7="",I2630=$C$7),OR($C$8="Semua",$C$8="",C2630=$C$8,E2630=$C$8),OR($C$9="Semua",$C$9="",D2630=$C$9),OR($C$10="",B2630&gt;=$C$10),OR($C$11="",B2630&lt;=$C$11),OR($C$12&lt;&gt;"Ya",K2630&lt;&gt;""),OR($C$13="Semua",$C$13="",L2630=$C$13)),"✓","")</f>
        <v/>
      </c>
      <c r="N2630" s="93">
        <f>N(N2629)+IF(M2630="✓",1,0)</f>
        <v/>
      </c>
      <c r="O2630" s="93">
        <f>N(O2629)+IF(AND(B2630&lt;&gt;"",B2630&gt;='Uang Riba'!$H$30,B2630&lt;='Uang Riba'!$I$30,OR(H2630="Dana riba",H2630="Pinjam uang riba",I2630="Pinjam dari uang riba",I2630="Ganti uang riba",I2630="Kelebihan ganti dikembalikan",AND(C2630="Kantong Uang Riba",G2630="Pengeluaran"))),1,0)</f>
        <v/>
      </c>
      <c r="X2630" s="93">
        <f>IF(AND(B2630&lt;&gt;"",B2630&gt;='Buku Akun'!$H$4,B2630&lt;='Buku Akun'!$H$5,OR(C2630='Buku Akun'!$C$4,AND(D2630="Pindah",E2630='Buku Akun'!$C$4))),B2630+IF(AND(I2630="Selisih bunga",DAY(B2630)=1),0,0.01)+ROW()/10000000,"")</f>
        <v/>
      </c>
    </row>
    <row r="2631" outlineLevel="1" ht="15" customHeight="1" s="94">
      <c r="A2631" s="123">
        <f>IF(B2631="","",ROW()-15)</f>
        <v/>
      </c>
      <c r="B2631" s="124" t="n"/>
      <c r="C2631" s="123" t="n"/>
      <c r="D2631" s="123" t="n"/>
      <c r="E2631" s="123" t="n"/>
      <c r="F2631" s="125" t="n"/>
      <c r="G2631" s="123" t="n"/>
      <c r="H2631" s="123" t="n"/>
      <c r="I2631" s="123" t="n"/>
      <c r="J2631" s="123" t="n"/>
      <c r="K2631" s="123" t="n"/>
      <c r="L2631" s="123" t="n"/>
      <c r="M2631" s="123">
        <f>IF(AND(B2631&lt;&gt;"",OR($C$4="",ISNUMBER(SEARCH($C$4,C2631&amp;" "&amp;E2631&amp;" "&amp;G2631&amp;" "&amp;H2631&amp;" "&amp;I2631&amp;" "&amp;J2631&amp;" "&amp;K2631&amp;" "&amp;L2631))),OR($C$5="Semua",$C$5="",G2631=$C$5),OR($C$6="Semua",$C$6="",H2631=$C$6,H2631="Pengeluaran "&amp;$C$6,AND($C$6="Uang Kos Mama",H2631="Pengeluaran Uang Kos")),OR($C$7="Semua",$C$7="",I2631=$C$7),OR($C$8="Semua",$C$8="",C2631=$C$8,E2631=$C$8),OR($C$9="Semua",$C$9="",D2631=$C$9),OR($C$10="",B2631&gt;=$C$10),OR($C$11="",B2631&lt;=$C$11),OR($C$12&lt;&gt;"Ya",K2631&lt;&gt;""),OR($C$13="Semua",$C$13="",L2631=$C$13)),"✓","")</f>
        <v/>
      </c>
      <c r="N2631" s="93">
        <f>N(N2630)+IF(M2631="✓",1,0)</f>
        <v/>
      </c>
      <c r="O2631" s="93">
        <f>N(O2630)+IF(AND(B2631&lt;&gt;"",B2631&gt;='Uang Riba'!$H$30,B2631&lt;='Uang Riba'!$I$30,OR(H2631="Dana riba",H2631="Pinjam uang riba",I2631="Pinjam dari uang riba",I2631="Ganti uang riba",I2631="Kelebihan ganti dikembalikan",AND(C2631="Kantong Uang Riba",G2631="Pengeluaran"))),1,0)</f>
        <v/>
      </c>
      <c r="X2631" s="93">
        <f>IF(AND(B2631&lt;&gt;"",B2631&gt;='Buku Akun'!$H$4,B2631&lt;='Buku Akun'!$H$5,OR(C2631='Buku Akun'!$C$4,AND(D2631="Pindah",E2631='Buku Akun'!$C$4))),B2631+IF(AND(I2631="Selisih bunga",DAY(B2631)=1),0,0.01)+ROW()/10000000,"")</f>
        <v/>
      </c>
    </row>
    <row r="2632" outlineLevel="1" ht="15" customHeight="1" s="94">
      <c r="A2632" s="123">
        <f>IF(B2632="","",ROW()-15)</f>
        <v/>
      </c>
      <c r="B2632" s="124" t="n"/>
      <c r="C2632" s="123" t="n"/>
      <c r="D2632" s="123" t="n"/>
      <c r="E2632" s="123" t="n"/>
      <c r="F2632" s="125" t="n"/>
      <c r="G2632" s="123" t="n"/>
      <c r="H2632" s="123" t="n"/>
      <c r="I2632" s="123" t="n"/>
      <c r="J2632" s="123" t="n"/>
      <c r="K2632" s="123" t="n"/>
      <c r="L2632" s="123" t="n"/>
      <c r="M2632" s="123">
        <f>IF(AND(B2632&lt;&gt;"",OR($C$4="",ISNUMBER(SEARCH($C$4,C2632&amp;" "&amp;E2632&amp;" "&amp;G2632&amp;" "&amp;H2632&amp;" "&amp;I2632&amp;" "&amp;J2632&amp;" "&amp;K2632&amp;" "&amp;L2632))),OR($C$5="Semua",$C$5="",G2632=$C$5),OR($C$6="Semua",$C$6="",H2632=$C$6,H2632="Pengeluaran "&amp;$C$6,AND($C$6="Uang Kos Mama",H2632="Pengeluaran Uang Kos")),OR($C$7="Semua",$C$7="",I2632=$C$7),OR($C$8="Semua",$C$8="",C2632=$C$8,E2632=$C$8),OR($C$9="Semua",$C$9="",D2632=$C$9),OR($C$10="",B2632&gt;=$C$10),OR($C$11="",B2632&lt;=$C$11),OR($C$12&lt;&gt;"Ya",K2632&lt;&gt;""),OR($C$13="Semua",$C$13="",L2632=$C$13)),"✓","")</f>
        <v/>
      </c>
      <c r="N2632" s="93">
        <f>N(N2631)+IF(M2632="✓",1,0)</f>
        <v/>
      </c>
      <c r="O2632" s="93">
        <f>N(O2631)+IF(AND(B2632&lt;&gt;"",B2632&gt;='Uang Riba'!$H$30,B2632&lt;='Uang Riba'!$I$30,OR(H2632="Dana riba",H2632="Pinjam uang riba",I2632="Pinjam dari uang riba",I2632="Ganti uang riba",I2632="Kelebihan ganti dikembalikan",AND(C2632="Kantong Uang Riba",G2632="Pengeluaran"))),1,0)</f>
        <v/>
      </c>
      <c r="X2632" s="93">
        <f>IF(AND(B2632&lt;&gt;"",B2632&gt;='Buku Akun'!$H$4,B2632&lt;='Buku Akun'!$H$5,OR(C2632='Buku Akun'!$C$4,AND(D2632="Pindah",E2632='Buku Akun'!$C$4))),B2632+IF(AND(I2632="Selisih bunga",DAY(B2632)=1),0,0.01)+ROW()/10000000,"")</f>
        <v/>
      </c>
    </row>
    <row r="2633" outlineLevel="1" ht="15" customHeight="1" s="94">
      <c r="A2633" s="123">
        <f>IF(B2633="","",ROW()-15)</f>
        <v/>
      </c>
      <c r="B2633" s="124" t="n"/>
      <c r="C2633" s="123" t="n"/>
      <c r="D2633" s="123" t="n"/>
      <c r="E2633" s="123" t="n"/>
      <c r="F2633" s="125" t="n"/>
      <c r="G2633" s="123" t="n"/>
      <c r="H2633" s="123" t="n"/>
      <c r="I2633" s="123" t="n"/>
      <c r="J2633" s="123" t="n"/>
      <c r="K2633" s="123" t="n"/>
      <c r="L2633" s="123" t="n"/>
      <c r="M2633" s="123">
        <f>IF(AND(B2633&lt;&gt;"",OR($C$4="",ISNUMBER(SEARCH($C$4,C2633&amp;" "&amp;E2633&amp;" "&amp;G2633&amp;" "&amp;H2633&amp;" "&amp;I2633&amp;" "&amp;J2633&amp;" "&amp;K2633&amp;" "&amp;L2633))),OR($C$5="Semua",$C$5="",G2633=$C$5),OR($C$6="Semua",$C$6="",H2633=$C$6,H2633="Pengeluaran "&amp;$C$6,AND($C$6="Uang Kos Mama",H2633="Pengeluaran Uang Kos")),OR($C$7="Semua",$C$7="",I2633=$C$7),OR($C$8="Semua",$C$8="",C2633=$C$8,E2633=$C$8),OR($C$9="Semua",$C$9="",D2633=$C$9),OR($C$10="",B2633&gt;=$C$10),OR($C$11="",B2633&lt;=$C$11),OR($C$12&lt;&gt;"Ya",K2633&lt;&gt;""),OR($C$13="Semua",$C$13="",L2633=$C$13)),"✓","")</f>
        <v/>
      </c>
      <c r="N2633" s="93">
        <f>N(N2632)+IF(M2633="✓",1,0)</f>
        <v/>
      </c>
      <c r="O2633" s="93">
        <f>N(O2632)+IF(AND(B2633&lt;&gt;"",B2633&gt;='Uang Riba'!$H$30,B2633&lt;='Uang Riba'!$I$30,OR(H2633="Dana riba",H2633="Pinjam uang riba",I2633="Pinjam dari uang riba",I2633="Ganti uang riba",I2633="Kelebihan ganti dikembalikan",AND(C2633="Kantong Uang Riba",G2633="Pengeluaran"))),1,0)</f>
        <v/>
      </c>
      <c r="X2633" s="93">
        <f>IF(AND(B2633&lt;&gt;"",B2633&gt;='Buku Akun'!$H$4,B2633&lt;='Buku Akun'!$H$5,OR(C2633='Buku Akun'!$C$4,AND(D2633="Pindah",E2633='Buku Akun'!$C$4))),B2633+IF(AND(I2633="Selisih bunga",DAY(B2633)=1),0,0.01)+ROW()/10000000,"")</f>
        <v/>
      </c>
    </row>
    <row r="2634" outlineLevel="1" ht="15" customHeight="1" s="94">
      <c r="A2634" s="123">
        <f>IF(B2634="","",ROW()-15)</f>
        <v/>
      </c>
      <c r="B2634" s="124" t="n"/>
      <c r="C2634" s="123" t="n"/>
      <c r="D2634" s="123" t="n"/>
      <c r="E2634" s="123" t="n"/>
      <c r="F2634" s="125" t="n"/>
      <c r="G2634" s="123" t="n"/>
      <c r="H2634" s="123" t="n"/>
      <c r="I2634" s="123" t="n"/>
      <c r="J2634" s="123" t="n"/>
      <c r="K2634" s="123" t="n"/>
      <c r="L2634" s="123" t="n"/>
      <c r="M2634" s="123">
        <f>IF(AND(B2634&lt;&gt;"",OR($C$4="",ISNUMBER(SEARCH($C$4,C2634&amp;" "&amp;E2634&amp;" "&amp;G2634&amp;" "&amp;H2634&amp;" "&amp;I2634&amp;" "&amp;J2634&amp;" "&amp;K2634&amp;" "&amp;L2634))),OR($C$5="Semua",$C$5="",G2634=$C$5),OR($C$6="Semua",$C$6="",H2634=$C$6,H2634="Pengeluaran "&amp;$C$6,AND($C$6="Uang Kos Mama",H2634="Pengeluaran Uang Kos")),OR($C$7="Semua",$C$7="",I2634=$C$7),OR($C$8="Semua",$C$8="",C2634=$C$8,E2634=$C$8),OR($C$9="Semua",$C$9="",D2634=$C$9),OR($C$10="",B2634&gt;=$C$10),OR($C$11="",B2634&lt;=$C$11),OR($C$12&lt;&gt;"Ya",K2634&lt;&gt;""),OR($C$13="Semua",$C$13="",L2634=$C$13)),"✓","")</f>
        <v/>
      </c>
      <c r="N2634" s="93">
        <f>N(N2633)+IF(M2634="✓",1,0)</f>
        <v/>
      </c>
      <c r="O2634" s="93">
        <f>N(O2633)+IF(AND(B2634&lt;&gt;"",B2634&gt;='Uang Riba'!$H$30,B2634&lt;='Uang Riba'!$I$30,OR(H2634="Dana riba",H2634="Pinjam uang riba",I2634="Pinjam dari uang riba",I2634="Ganti uang riba",I2634="Kelebihan ganti dikembalikan",AND(C2634="Kantong Uang Riba",G2634="Pengeluaran"))),1,0)</f>
        <v/>
      </c>
      <c r="X2634" s="93">
        <f>IF(AND(B2634&lt;&gt;"",B2634&gt;='Buku Akun'!$H$4,B2634&lt;='Buku Akun'!$H$5,OR(C2634='Buku Akun'!$C$4,AND(D2634="Pindah",E2634='Buku Akun'!$C$4))),B2634+IF(AND(I2634="Selisih bunga",DAY(B2634)=1),0,0.01)+ROW()/10000000,"")</f>
        <v/>
      </c>
    </row>
    <row r="2635" outlineLevel="1" ht="15" customHeight="1" s="94">
      <c r="A2635" s="123">
        <f>IF(B2635="","",ROW()-15)</f>
        <v/>
      </c>
      <c r="B2635" s="124" t="n"/>
      <c r="C2635" s="123" t="n"/>
      <c r="D2635" s="123" t="n"/>
      <c r="E2635" s="123" t="n"/>
      <c r="F2635" s="125" t="n"/>
      <c r="G2635" s="123" t="n"/>
      <c r="H2635" s="123" t="n"/>
      <c r="I2635" s="123" t="n"/>
      <c r="J2635" s="123" t="n"/>
      <c r="K2635" s="123" t="n"/>
      <c r="L2635" s="123" t="n"/>
      <c r="M2635" s="123">
        <f>IF(AND(B2635&lt;&gt;"",OR($C$4="",ISNUMBER(SEARCH($C$4,C2635&amp;" "&amp;E2635&amp;" "&amp;G2635&amp;" "&amp;H2635&amp;" "&amp;I2635&amp;" "&amp;J2635&amp;" "&amp;K2635&amp;" "&amp;L2635))),OR($C$5="Semua",$C$5="",G2635=$C$5),OR($C$6="Semua",$C$6="",H2635=$C$6,H2635="Pengeluaran "&amp;$C$6,AND($C$6="Uang Kos Mama",H2635="Pengeluaran Uang Kos")),OR($C$7="Semua",$C$7="",I2635=$C$7),OR($C$8="Semua",$C$8="",C2635=$C$8,E2635=$C$8),OR($C$9="Semua",$C$9="",D2635=$C$9),OR($C$10="",B2635&gt;=$C$10),OR($C$11="",B2635&lt;=$C$11),OR($C$12&lt;&gt;"Ya",K2635&lt;&gt;""),OR($C$13="Semua",$C$13="",L2635=$C$13)),"✓","")</f>
        <v/>
      </c>
      <c r="N2635" s="93">
        <f>N(N2634)+IF(M2635="✓",1,0)</f>
        <v/>
      </c>
      <c r="O2635" s="93">
        <f>N(O2634)+IF(AND(B2635&lt;&gt;"",B2635&gt;='Uang Riba'!$H$30,B2635&lt;='Uang Riba'!$I$30,OR(H2635="Dana riba",H2635="Pinjam uang riba",I2635="Pinjam dari uang riba",I2635="Ganti uang riba",I2635="Kelebihan ganti dikembalikan",AND(C2635="Kantong Uang Riba",G2635="Pengeluaran"))),1,0)</f>
        <v/>
      </c>
      <c r="X2635" s="93">
        <f>IF(AND(B2635&lt;&gt;"",B2635&gt;='Buku Akun'!$H$4,B2635&lt;='Buku Akun'!$H$5,OR(C2635='Buku Akun'!$C$4,AND(D2635="Pindah",E2635='Buku Akun'!$C$4))),B2635+IF(AND(I2635="Selisih bunga",DAY(B2635)=1),0,0.01)+ROW()/10000000,"")</f>
        <v/>
      </c>
    </row>
    <row r="2636" outlineLevel="1" ht="15" customHeight="1" s="94">
      <c r="A2636" s="123">
        <f>IF(B2636="","",ROW()-15)</f>
        <v/>
      </c>
      <c r="B2636" s="124" t="n"/>
      <c r="C2636" s="123" t="n"/>
      <c r="D2636" s="123" t="n"/>
      <c r="E2636" s="123" t="n"/>
      <c r="F2636" s="125" t="n"/>
      <c r="G2636" s="123" t="n"/>
      <c r="H2636" s="123" t="n"/>
      <c r="I2636" s="123" t="n"/>
      <c r="J2636" s="123" t="n"/>
      <c r="K2636" s="123" t="n"/>
      <c r="L2636" s="123" t="n"/>
      <c r="M2636" s="123">
        <f>IF(AND(B2636&lt;&gt;"",OR($C$4="",ISNUMBER(SEARCH($C$4,C2636&amp;" "&amp;E2636&amp;" "&amp;G2636&amp;" "&amp;H2636&amp;" "&amp;I2636&amp;" "&amp;J2636&amp;" "&amp;K2636&amp;" "&amp;L2636))),OR($C$5="Semua",$C$5="",G2636=$C$5),OR($C$6="Semua",$C$6="",H2636=$C$6,H2636="Pengeluaran "&amp;$C$6,AND($C$6="Uang Kos Mama",H2636="Pengeluaran Uang Kos")),OR($C$7="Semua",$C$7="",I2636=$C$7),OR($C$8="Semua",$C$8="",C2636=$C$8,E2636=$C$8),OR($C$9="Semua",$C$9="",D2636=$C$9),OR($C$10="",B2636&gt;=$C$10),OR($C$11="",B2636&lt;=$C$11),OR($C$12&lt;&gt;"Ya",K2636&lt;&gt;""),OR($C$13="Semua",$C$13="",L2636=$C$13)),"✓","")</f>
        <v/>
      </c>
      <c r="N2636" s="93">
        <f>N(N2635)+IF(M2636="✓",1,0)</f>
        <v/>
      </c>
      <c r="O2636" s="93">
        <f>N(O2635)+IF(AND(B2636&lt;&gt;"",B2636&gt;='Uang Riba'!$H$30,B2636&lt;='Uang Riba'!$I$30,OR(H2636="Dana riba",H2636="Pinjam uang riba",I2636="Pinjam dari uang riba",I2636="Ganti uang riba",I2636="Kelebihan ganti dikembalikan",AND(C2636="Kantong Uang Riba",G2636="Pengeluaran"))),1,0)</f>
        <v/>
      </c>
      <c r="X2636" s="93">
        <f>IF(AND(B2636&lt;&gt;"",B2636&gt;='Buku Akun'!$H$4,B2636&lt;='Buku Akun'!$H$5,OR(C2636='Buku Akun'!$C$4,AND(D2636="Pindah",E2636='Buku Akun'!$C$4))),B2636+IF(AND(I2636="Selisih bunga",DAY(B2636)=1),0,0.01)+ROW()/10000000,"")</f>
        <v/>
      </c>
    </row>
    <row r="2637" outlineLevel="1" ht="15" customHeight="1" s="94">
      <c r="A2637" s="123">
        <f>IF(B2637="","",ROW()-15)</f>
        <v/>
      </c>
      <c r="B2637" s="124" t="n"/>
      <c r="C2637" s="123" t="n"/>
      <c r="D2637" s="123" t="n"/>
      <c r="E2637" s="123" t="n"/>
      <c r="F2637" s="125" t="n"/>
      <c r="G2637" s="123" t="n"/>
      <c r="H2637" s="123" t="n"/>
      <c r="I2637" s="123" t="n"/>
      <c r="J2637" s="123" t="n"/>
      <c r="K2637" s="123" t="n"/>
      <c r="L2637" s="123" t="n"/>
      <c r="M2637" s="123">
        <f>IF(AND(B2637&lt;&gt;"",OR($C$4="",ISNUMBER(SEARCH($C$4,C2637&amp;" "&amp;E2637&amp;" "&amp;G2637&amp;" "&amp;H2637&amp;" "&amp;I2637&amp;" "&amp;J2637&amp;" "&amp;K2637&amp;" "&amp;L2637))),OR($C$5="Semua",$C$5="",G2637=$C$5),OR($C$6="Semua",$C$6="",H2637=$C$6,H2637="Pengeluaran "&amp;$C$6,AND($C$6="Uang Kos Mama",H2637="Pengeluaran Uang Kos")),OR($C$7="Semua",$C$7="",I2637=$C$7),OR($C$8="Semua",$C$8="",C2637=$C$8,E2637=$C$8),OR($C$9="Semua",$C$9="",D2637=$C$9),OR($C$10="",B2637&gt;=$C$10),OR($C$11="",B2637&lt;=$C$11),OR($C$12&lt;&gt;"Ya",K2637&lt;&gt;""),OR($C$13="Semua",$C$13="",L2637=$C$13)),"✓","")</f>
        <v/>
      </c>
      <c r="N2637" s="93">
        <f>N(N2636)+IF(M2637="✓",1,0)</f>
        <v/>
      </c>
      <c r="O2637" s="93">
        <f>N(O2636)+IF(AND(B2637&lt;&gt;"",B2637&gt;='Uang Riba'!$H$30,B2637&lt;='Uang Riba'!$I$30,OR(H2637="Dana riba",H2637="Pinjam uang riba",I2637="Pinjam dari uang riba",I2637="Ganti uang riba",I2637="Kelebihan ganti dikembalikan",AND(C2637="Kantong Uang Riba",G2637="Pengeluaran"))),1,0)</f>
        <v/>
      </c>
      <c r="X2637" s="93">
        <f>IF(AND(B2637&lt;&gt;"",B2637&gt;='Buku Akun'!$H$4,B2637&lt;='Buku Akun'!$H$5,OR(C2637='Buku Akun'!$C$4,AND(D2637="Pindah",E2637='Buku Akun'!$C$4))),B2637+IF(AND(I2637="Selisih bunga",DAY(B2637)=1),0,0.01)+ROW()/10000000,"")</f>
        <v/>
      </c>
    </row>
    <row r="2638" outlineLevel="1" ht="15" customHeight="1" s="94">
      <c r="A2638" s="123">
        <f>IF(B2638="","",ROW()-15)</f>
        <v/>
      </c>
      <c r="B2638" s="124" t="n"/>
      <c r="C2638" s="123" t="n"/>
      <c r="D2638" s="123" t="n"/>
      <c r="E2638" s="123" t="n"/>
      <c r="F2638" s="125" t="n"/>
      <c r="G2638" s="123" t="n"/>
      <c r="H2638" s="123" t="n"/>
      <c r="I2638" s="123" t="n"/>
      <c r="J2638" s="123" t="n"/>
      <c r="K2638" s="123" t="n"/>
      <c r="L2638" s="123" t="n"/>
      <c r="M2638" s="123">
        <f>IF(AND(B2638&lt;&gt;"",OR($C$4="",ISNUMBER(SEARCH($C$4,C2638&amp;" "&amp;E2638&amp;" "&amp;G2638&amp;" "&amp;H2638&amp;" "&amp;I2638&amp;" "&amp;J2638&amp;" "&amp;K2638&amp;" "&amp;L2638))),OR($C$5="Semua",$C$5="",G2638=$C$5),OR($C$6="Semua",$C$6="",H2638=$C$6,H2638="Pengeluaran "&amp;$C$6,AND($C$6="Uang Kos Mama",H2638="Pengeluaran Uang Kos")),OR($C$7="Semua",$C$7="",I2638=$C$7),OR($C$8="Semua",$C$8="",C2638=$C$8,E2638=$C$8),OR($C$9="Semua",$C$9="",D2638=$C$9),OR($C$10="",B2638&gt;=$C$10),OR($C$11="",B2638&lt;=$C$11),OR($C$12&lt;&gt;"Ya",K2638&lt;&gt;""),OR($C$13="Semua",$C$13="",L2638=$C$13)),"✓","")</f>
        <v/>
      </c>
      <c r="N2638" s="93">
        <f>N(N2637)+IF(M2638="✓",1,0)</f>
        <v/>
      </c>
      <c r="O2638" s="93">
        <f>N(O2637)+IF(AND(B2638&lt;&gt;"",B2638&gt;='Uang Riba'!$H$30,B2638&lt;='Uang Riba'!$I$30,OR(H2638="Dana riba",H2638="Pinjam uang riba",I2638="Pinjam dari uang riba",I2638="Ganti uang riba",I2638="Kelebihan ganti dikembalikan",AND(C2638="Kantong Uang Riba",G2638="Pengeluaran"))),1,0)</f>
        <v/>
      </c>
      <c r="X2638" s="93">
        <f>IF(AND(B2638&lt;&gt;"",B2638&gt;='Buku Akun'!$H$4,B2638&lt;='Buku Akun'!$H$5,OR(C2638='Buku Akun'!$C$4,AND(D2638="Pindah",E2638='Buku Akun'!$C$4))),B2638+IF(AND(I2638="Selisih bunga",DAY(B2638)=1),0,0.01)+ROW()/10000000,"")</f>
        <v/>
      </c>
    </row>
    <row r="2639" outlineLevel="1" ht="15" customHeight="1" s="94">
      <c r="A2639" s="123">
        <f>IF(B2639="","",ROW()-15)</f>
        <v/>
      </c>
      <c r="B2639" s="124" t="n"/>
      <c r="C2639" s="123" t="n"/>
      <c r="D2639" s="123" t="n"/>
      <c r="E2639" s="123" t="n"/>
      <c r="F2639" s="125" t="n"/>
      <c r="G2639" s="123" t="n"/>
      <c r="H2639" s="123" t="n"/>
      <c r="I2639" s="123" t="n"/>
      <c r="J2639" s="123" t="n"/>
      <c r="K2639" s="123" t="n"/>
      <c r="L2639" s="123" t="n"/>
      <c r="M2639" s="123">
        <f>IF(AND(B2639&lt;&gt;"",OR($C$4="",ISNUMBER(SEARCH($C$4,C2639&amp;" "&amp;E2639&amp;" "&amp;G2639&amp;" "&amp;H2639&amp;" "&amp;I2639&amp;" "&amp;J2639&amp;" "&amp;K2639&amp;" "&amp;L2639))),OR($C$5="Semua",$C$5="",G2639=$C$5),OR($C$6="Semua",$C$6="",H2639=$C$6,H2639="Pengeluaran "&amp;$C$6,AND($C$6="Uang Kos Mama",H2639="Pengeluaran Uang Kos")),OR($C$7="Semua",$C$7="",I2639=$C$7),OR($C$8="Semua",$C$8="",C2639=$C$8,E2639=$C$8),OR($C$9="Semua",$C$9="",D2639=$C$9),OR($C$10="",B2639&gt;=$C$10),OR($C$11="",B2639&lt;=$C$11),OR($C$12&lt;&gt;"Ya",K2639&lt;&gt;""),OR($C$13="Semua",$C$13="",L2639=$C$13)),"✓","")</f>
        <v/>
      </c>
      <c r="N2639" s="93">
        <f>N(N2638)+IF(M2639="✓",1,0)</f>
        <v/>
      </c>
      <c r="O2639" s="93">
        <f>N(O2638)+IF(AND(B2639&lt;&gt;"",B2639&gt;='Uang Riba'!$H$30,B2639&lt;='Uang Riba'!$I$30,OR(H2639="Dana riba",H2639="Pinjam uang riba",I2639="Pinjam dari uang riba",I2639="Ganti uang riba",I2639="Kelebihan ganti dikembalikan",AND(C2639="Kantong Uang Riba",G2639="Pengeluaran"))),1,0)</f>
        <v/>
      </c>
      <c r="X2639" s="93">
        <f>IF(AND(B2639&lt;&gt;"",B2639&gt;='Buku Akun'!$H$4,B2639&lt;='Buku Akun'!$H$5,OR(C2639='Buku Akun'!$C$4,AND(D2639="Pindah",E2639='Buku Akun'!$C$4))),B2639+IF(AND(I2639="Selisih bunga",DAY(B2639)=1),0,0.01)+ROW()/10000000,"")</f>
        <v/>
      </c>
    </row>
    <row r="2640" outlineLevel="1" ht="15" customHeight="1" s="94">
      <c r="A2640" s="123">
        <f>IF(B2640="","",ROW()-15)</f>
        <v/>
      </c>
      <c r="B2640" s="124" t="n"/>
      <c r="C2640" s="123" t="n"/>
      <c r="D2640" s="123" t="n"/>
      <c r="E2640" s="123" t="n"/>
      <c r="F2640" s="125" t="n"/>
      <c r="G2640" s="123" t="n"/>
      <c r="H2640" s="123" t="n"/>
      <c r="I2640" s="123" t="n"/>
      <c r="J2640" s="123" t="n"/>
      <c r="K2640" s="123" t="n"/>
      <c r="L2640" s="123" t="n"/>
      <c r="M2640" s="123">
        <f>IF(AND(B2640&lt;&gt;"",OR($C$4="",ISNUMBER(SEARCH($C$4,C2640&amp;" "&amp;E2640&amp;" "&amp;G2640&amp;" "&amp;H2640&amp;" "&amp;I2640&amp;" "&amp;J2640&amp;" "&amp;K2640&amp;" "&amp;L2640))),OR($C$5="Semua",$C$5="",G2640=$C$5),OR($C$6="Semua",$C$6="",H2640=$C$6,H2640="Pengeluaran "&amp;$C$6,AND($C$6="Uang Kos Mama",H2640="Pengeluaran Uang Kos")),OR($C$7="Semua",$C$7="",I2640=$C$7),OR($C$8="Semua",$C$8="",C2640=$C$8,E2640=$C$8),OR($C$9="Semua",$C$9="",D2640=$C$9),OR($C$10="",B2640&gt;=$C$10),OR($C$11="",B2640&lt;=$C$11),OR($C$12&lt;&gt;"Ya",K2640&lt;&gt;""),OR($C$13="Semua",$C$13="",L2640=$C$13)),"✓","")</f>
        <v/>
      </c>
      <c r="N2640" s="93">
        <f>N(N2639)+IF(M2640="✓",1,0)</f>
        <v/>
      </c>
      <c r="O2640" s="93">
        <f>N(O2639)+IF(AND(B2640&lt;&gt;"",B2640&gt;='Uang Riba'!$H$30,B2640&lt;='Uang Riba'!$I$30,OR(H2640="Dana riba",H2640="Pinjam uang riba",I2640="Pinjam dari uang riba",I2640="Ganti uang riba",I2640="Kelebihan ganti dikembalikan",AND(C2640="Kantong Uang Riba",G2640="Pengeluaran"))),1,0)</f>
        <v/>
      </c>
      <c r="X2640" s="93">
        <f>IF(AND(B2640&lt;&gt;"",B2640&gt;='Buku Akun'!$H$4,B2640&lt;='Buku Akun'!$H$5,OR(C2640='Buku Akun'!$C$4,AND(D2640="Pindah",E2640='Buku Akun'!$C$4))),B2640+IF(AND(I2640="Selisih bunga",DAY(B2640)=1),0,0.01)+ROW()/10000000,"")</f>
        <v/>
      </c>
    </row>
    <row r="2641" outlineLevel="1" ht="15" customHeight="1" s="94">
      <c r="A2641" s="123">
        <f>IF(B2641="","",ROW()-15)</f>
        <v/>
      </c>
      <c r="B2641" s="124" t="n"/>
      <c r="C2641" s="123" t="n"/>
      <c r="D2641" s="123" t="n"/>
      <c r="E2641" s="123" t="n"/>
      <c r="F2641" s="125" t="n"/>
      <c r="G2641" s="123" t="n"/>
      <c r="H2641" s="123" t="n"/>
      <c r="I2641" s="123" t="n"/>
      <c r="J2641" s="123" t="n"/>
      <c r="K2641" s="123" t="n"/>
      <c r="L2641" s="123" t="n"/>
      <c r="M2641" s="123">
        <f>IF(AND(B2641&lt;&gt;"",OR($C$4="",ISNUMBER(SEARCH($C$4,C2641&amp;" "&amp;E2641&amp;" "&amp;G2641&amp;" "&amp;H2641&amp;" "&amp;I2641&amp;" "&amp;J2641&amp;" "&amp;K2641&amp;" "&amp;L2641))),OR($C$5="Semua",$C$5="",G2641=$C$5),OR($C$6="Semua",$C$6="",H2641=$C$6,H2641="Pengeluaran "&amp;$C$6,AND($C$6="Uang Kos Mama",H2641="Pengeluaran Uang Kos")),OR($C$7="Semua",$C$7="",I2641=$C$7),OR($C$8="Semua",$C$8="",C2641=$C$8,E2641=$C$8),OR($C$9="Semua",$C$9="",D2641=$C$9),OR($C$10="",B2641&gt;=$C$10),OR($C$11="",B2641&lt;=$C$11),OR($C$12&lt;&gt;"Ya",K2641&lt;&gt;""),OR($C$13="Semua",$C$13="",L2641=$C$13)),"✓","")</f>
        <v/>
      </c>
      <c r="N2641" s="93">
        <f>N(N2640)+IF(M2641="✓",1,0)</f>
        <v/>
      </c>
      <c r="O2641" s="93">
        <f>N(O2640)+IF(AND(B2641&lt;&gt;"",B2641&gt;='Uang Riba'!$H$30,B2641&lt;='Uang Riba'!$I$30,OR(H2641="Dana riba",H2641="Pinjam uang riba",I2641="Pinjam dari uang riba",I2641="Ganti uang riba",I2641="Kelebihan ganti dikembalikan",AND(C2641="Kantong Uang Riba",G2641="Pengeluaran"))),1,0)</f>
        <v/>
      </c>
      <c r="X2641" s="93">
        <f>IF(AND(B2641&lt;&gt;"",B2641&gt;='Buku Akun'!$H$4,B2641&lt;='Buku Akun'!$H$5,OR(C2641='Buku Akun'!$C$4,AND(D2641="Pindah",E2641='Buku Akun'!$C$4))),B2641+IF(AND(I2641="Selisih bunga",DAY(B2641)=1),0,0.01)+ROW()/10000000,"")</f>
        <v/>
      </c>
    </row>
    <row r="2642" outlineLevel="1" ht="15" customHeight="1" s="94">
      <c r="A2642" s="123">
        <f>IF(B2642="","",ROW()-15)</f>
        <v/>
      </c>
      <c r="B2642" s="124" t="n"/>
      <c r="C2642" s="123" t="n"/>
      <c r="D2642" s="123" t="n"/>
      <c r="E2642" s="123" t="n"/>
      <c r="F2642" s="125" t="n"/>
      <c r="G2642" s="123" t="n"/>
      <c r="H2642" s="123" t="n"/>
      <c r="I2642" s="123" t="n"/>
      <c r="J2642" s="123" t="n"/>
      <c r="K2642" s="123" t="n"/>
      <c r="L2642" s="123" t="n"/>
      <c r="M2642" s="123">
        <f>IF(AND(B2642&lt;&gt;"",OR($C$4="",ISNUMBER(SEARCH($C$4,C2642&amp;" "&amp;E2642&amp;" "&amp;G2642&amp;" "&amp;H2642&amp;" "&amp;I2642&amp;" "&amp;J2642&amp;" "&amp;K2642&amp;" "&amp;L2642))),OR($C$5="Semua",$C$5="",G2642=$C$5),OR($C$6="Semua",$C$6="",H2642=$C$6,H2642="Pengeluaran "&amp;$C$6,AND($C$6="Uang Kos Mama",H2642="Pengeluaran Uang Kos")),OR($C$7="Semua",$C$7="",I2642=$C$7),OR($C$8="Semua",$C$8="",C2642=$C$8,E2642=$C$8),OR($C$9="Semua",$C$9="",D2642=$C$9),OR($C$10="",B2642&gt;=$C$10),OR($C$11="",B2642&lt;=$C$11),OR($C$12&lt;&gt;"Ya",K2642&lt;&gt;""),OR($C$13="Semua",$C$13="",L2642=$C$13)),"✓","")</f>
        <v/>
      </c>
      <c r="N2642" s="93">
        <f>N(N2641)+IF(M2642="✓",1,0)</f>
        <v/>
      </c>
      <c r="O2642" s="93">
        <f>N(O2641)+IF(AND(B2642&lt;&gt;"",B2642&gt;='Uang Riba'!$H$30,B2642&lt;='Uang Riba'!$I$30,OR(H2642="Dana riba",H2642="Pinjam uang riba",I2642="Pinjam dari uang riba",I2642="Ganti uang riba",I2642="Kelebihan ganti dikembalikan",AND(C2642="Kantong Uang Riba",G2642="Pengeluaran"))),1,0)</f>
        <v/>
      </c>
      <c r="X2642" s="93">
        <f>IF(AND(B2642&lt;&gt;"",B2642&gt;='Buku Akun'!$H$4,B2642&lt;='Buku Akun'!$H$5,OR(C2642='Buku Akun'!$C$4,AND(D2642="Pindah",E2642='Buku Akun'!$C$4))),B2642+IF(AND(I2642="Selisih bunga",DAY(B2642)=1),0,0.01)+ROW()/10000000,"")</f>
        <v/>
      </c>
    </row>
    <row r="2643" outlineLevel="1" ht="15" customHeight="1" s="94">
      <c r="A2643" s="123">
        <f>IF(B2643="","",ROW()-15)</f>
        <v/>
      </c>
      <c r="B2643" s="124" t="n"/>
      <c r="C2643" s="123" t="n"/>
      <c r="D2643" s="123" t="n"/>
      <c r="E2643" s="123" t="n"/>
      <c r="F2643" s="125" t="n"/>
      <c r="G2643" s="123" t="n"/>
      <c r="H2643" s="123" t="n"/>
      <c r="I2643" s="123" t="n"/>
      <c r="J2643" s="123" t="n"/>
      <c r="K2643" s="123" t="n"/>
      <c r="L2643" s="123" t="n"/>
      <c r="M2643" s="123">
        <f>IF(AND(B2643&lt;&gt;"",OR($C$4="",ISNUMBER(SEARCH($C$4,C2643&amp;" "&amp;E2643&amp;" "&amp;G2643&amp;" "&amp;H2643&amp;" "&amp;I2643&amp;" "&amp;J2643&amp;" "&amp;K2643&amp;" "&amp;L2643))),OR($C$5="Semua",$C$5="",G2643=$C$5),OR($C$6="Semua",$C$6="",H2643=$C$6,H2643="Pengeluaran "&amp;$C$6,AND($C$6="Uang Kos Mama",H2643="Pengeluaran Uang Kos")),OR($C$7="Semua",$C$7="",I2643=$C$7),OR($C$8="Semua",$C$8="",C2643=$C$8,E2643=$C$8),OR($C$9="Semua",$C$9="",D2643=$C$9),OR($C$10="",B2643&gt;=$C$10),OR($C$11="",B2643&lt;=$C$11),OR($C$12&lt;&gt;"Ya",K2643&lt;&gt;""),OR($C$13="Semua",$C$13="",L2643=$C$13)),"✓","")</f>
        <v/>
      </c>
      <c r="N2643" s="93">
        <f>N(N2642)+IF(M2643="✓",1,0)</f>
        <v/>
      </c>
      <c r="O2643" s="93">
        <f>N(O2642)+IF(AND(B2643&lt;&gt;"",B2643&gt;='Uang Riba'!$H$30,B2643&lt;='Uang Riba'!$I$30,OR(H2643="Dana riba",H2643="Pinjam uang riba",I2643="Pinjam dari uang riba",I2643="Ganti uang riba",I2643="Kelebihan ganti dikembalikan",AND(C2643="Kantong Uang Riba",G2643="Pengeluaran"))),1,0)</f>
        <v/>
      </c>
      <c r="X2643" s="93">
        <f>IF(AND(B2643&lt;&gt;"",B2643&gt;='Buku Akun'!$H$4,B2643&lt;='Buku Akun'!$H$5,OR(C2643='Buku Akun'!$C$4,AND(D2643="Pindah",E2643='Buku Akun'!$C$4))),B2643+IF(AND(I2643="Selisih bunga",DAY(B2643)=1),0,0.01)+ROW()/10000000,"")</f>
        <v/>
      </c>
    </row>
    <row r="2644" outlineLevel="1" ht="15" customHeight="1" s="94">
      <c r="A2644" s="123">
        <f>IF(B2644="","",ROW()-15)</f>
        <v/>
      </c>
      <c r="B2644" s="124" t="n"/>
      <c r="C2644" s="123" t="n"/>
      <c r="D2644" s="123" t="n"/>
      <c r="E2644" s="123" t="n"/>
      <c r="F2644" s="125" t="n"/>
      <c r="G2644" s="123" t="n"/>
      <c r="H2644" s="123" t="n"/>
      <c r="I2644" s="123" t="n"/>
      <c r="J2644" s="123" t="n"/>
      <c r="K2644" s="123" t="n"/>
      <c r="L2644" s="123" t="n"/>
      <c r="M2644" s="123">
        <f>IF(AND(B2644&lt;&gt;"",OR($C$4="",ISNUMBER(SEARCH($C$4,C2644&amp;" "&amp;E2644&amp;" "&amp;G2644&amp;" "&amp;H2644&amp;" "&amp;I2644&amp;" "&amp;J2644&amp;" "&amp;K2644&amp;" "&amp;L2644))),OR($C$5="Semua",$C$5="",G2644=$C$5),OR($C$6="Semua",$C$6="",H2644=$C$6,H2644="Pengeluaran "&amp;$C$6,AND($C$6="Uang Kos Mama",H2644="Pengeluaran Uang Kos")),OR($C$7="Semua",$C$7="",I2644=$C$7),OR($C$8="Semua",$C$8="",C2644=$C$8,E2644=$C$8),OR($C$9="Semua",$C$9="",D2644=$C$9),OR($C$10="",B2644&gt;=$C$10),OR($C$11="",B2644&lt;=$C$11),OR($C$12&lt;&gt;"Ya",K2644&lt;&gt;""),OR($C$13="Semua",$C$13="",L2644=$C$13)),"✓","")</f>
        <v/>
      </c>
      <c r="N2644" s="93">
        <f>N(N2643)+IF(M2644="✓",1,0)</f>
        <v/>
      </c>
      <c r="O2644" s="93">
        <f>N(O2643)+IF(AND(B2644&lt;&gt;"",B2644&gt;='Uang Riba'!$H$30,B2644&lt;='Uang Riba'!$I$30,OR(H2644="Dana riba",H2644="Pinjam uang riba",I2644="Pinjam dari uang riba",I2644="Ganti uang riba",I2644="Kelebihan ganti dikembalikan",AND(C2644="Kantong Uang Riba",G2644="Pengeluaran"))),1,0)</f>
        <v/>
      </c>
      <c r="X2644" s="93">
        <f>IF(AND(B2644&lt;&gt;"",B2644&gt;='Buku Akun'!$H$4,B2644&lt;='Buku Akun'!$H$5,OR(C2644='Buku Akun'!$C$4,AND(D2644="Pindah",E2644='Buku Akun'!$C$4))),B2644+IF(AND(I2644="Selisih bunga",DAY(B2644)=1),0,0.01)+ROW()/10000000,"")</f>
        <v/>
      </c>
    </row>
    <row r="2645" outlineLevel="1" ht="15" customHeight="1" s="94">
      <c r="A2645" s="123">
        <f>IF(B2645="","",ROW()-15)</f>
        <v/>
      </c>
      <c r="B2645" s="124" t="n"/>
      <c r="C2645" s="123" t="n"/>
      <c r="D2645" s="123" t="n"/>
      <c r="E2645" s="123" t="n"/>
      <c r="F2645" s="125" t="n"/>
      <c r="G2645" s="123" t="n"/>
      <c r="H2645" s="123" t="n"/>
      <c r="I2645" s="123" t="n"/>
      <c r="J2645" s="123" t="n"/>
      <c r="K2645" s="123" t="n"/>
      <c r="L2645" s="123" t="n"/>
      <c r="M2645" s="123">
        <f>IF(AND(B2645&lt;&gt;"",OR($C$4="",ISNUMBER(SEARCH($C$4,C2645&amp;" "&amp;E2645&amp;" "&amp;G2645&amp;" "&amp;H2645&amp;" "&amp;I2645&amp;" "&amp;J2645&amp;" "&amp;K2645&amp;" "&amp;L2645))),OR($C$5="Semua",$C$5="",G2645=$C$5),OR($C$6="Semua",$C$6="",H2645=$C$6,H2645="Pengeluaran "&amp;$C$6,AND($C$6="Uang Kos Mama",H2645="Pengeluaran Uang Kos")),OR($C$7="Semua",$C$7="",I2645=$C$7),OR($C$8="Semua",$C$8="",C2645=$C$8,E2645=$C$8),OR($C$9="Semua",$C$9="",D2645=$C$9),OR($C$10="",B2645&gt;=$C$10),OR($C$11="",B2645&lt;=$C$11),OR($C$12&lt;&gt;"Ya",K2645&lt;&gt;""),OR($C$13="Semua",$C$13="",L2645=$C$13)),"✓","")</f>
        <v/>
      </c>
      <c r="N2645" s="93">
        <f>N(N2644)+IF(M2645="✓",1,0)</f>
        <v/>
      </c>
      <c r="O2645" s="93">
        <f>N(O2644)+IF(AND(B2645&lt;&gt;"",B2645&gt;='Uang Riba'!$H$30,B2645&lt;='Uang Riba'!$I$30,OR(H2645="Dana riba",H2645="Pinjam uang riba",I2645="Pinjam dari uang riba",I2645="Ganti uang riba",I2645="Kelebihan ganti dikembalikan",AND(C2645="Kantong Uang Riba",G2645="Pengeluaran"))),1,0)</f>
        <v/>
      </c>
      <c r="X2645" s="93">
        <f>IF(AND(B2645&lt;&gt;"",B2645&gt;='Buku Akun'!$H$4,B2645&lt;='Buku Akun'!$H$5,OR(C2645='Buku Akun'!$C$4,AND(D2645="Pindah",E2645='Buku Akun'!$C$4))),B2645+IF(AND(I2645="Selisih bunga",DAY(B2645)=1),0,0.01)+ROW()/10000000,"")</f>
        <v/>
      </c>
    </row>
    <row r="2646" outlineLevel="1" ht="15" customHeight="1" s="94">
      <c r="A2646" s="123">
        <f>IF(B2646="","",ROW()-15)</f>
        <v/>
      </c>
      <c r="B2646" s="124" t="n"/>
      <c r="C2646" s="123" t="n"/>
      <c r="D2646" s="123" t="n"/>
      <c r="E2646" s="123" t="n"/>
      <c r="F2646" s="125" t="n"/>
      <c r="G2646" s="123" t="n"/>
      <c r="H2646" s="123" t="n"/>
      <c r="I2646" s="123" t="n"/>
      <c r="J2646" s="123" t="n"/>
      <c r="K2646" s="123" t="n"/>
      <c r="L2646" s="123" t="n"/>
      <c r="M2646" s="123">
        <f>IF(AND(B2646&lt;&gt;"",OR($C$4="",ISNUMBER(SEARCH($C$4,C2646&amp;" "&amp;E2646&amp;" "&amp;G2646&amp;" "&amp;H2646&amp;" "&amp;I2646&amp;" "&amp;J2646&amp;" "&amp;K2646&amp;" "&amp;L2646))),OR($C$5="Semua",$C$5="",G2646=$C$5),OR($C$6="Semua",$C$6="",H2646=$C$6,H2646="Pengeluaran "&amp;$C$6,AND($C$6="Uang Kos Mama",H2646="Pengeluaran Uang Kos")),OR($C$7="Semua",$C$7="",I2646=$C$7),OR($C$8="Semua",$C$8="",C2646=$C$8,E2646=$C$8),OR($C$9="Semua",$C$9="",D2646=$C$9),OR($C$10="",B2646&gt;=$C$10),OR($C$11="",B2646&lt;=$C$11),OR($C$12&lt;&gt;"Ya",K2646&lt;&gt;""),OR($C$13="Semua",$C$13="",L2646=$C$13)),"✓","")</f>
        <v/>
      </c>
      <c r="N2646" s="93">
        <f>N(N2645)+IF(M2646="✓",1,0)</f>
        <v/>
      </c>
      <c r="O2646" s="93">
        <f>N(O2645)+IF(AND(B2646&lt;&gt;"",B2646&gt;='Uang Riba'!$H$30,B2646&lt;='Uang Riba'!$I$30,OR(H2646="Dana riba",H2646="Pinjam uang riba",I2646="Pinjam dari uang riba",I2646="Ganti uang riba",I2646="Kelebihan ganti dikembalikan",AND(C2646="Kantong Uang Riba",G2646="Pengeluaran"))),1,0)</f>
        <v/>
      </c>
      <c r="X2646" s="93">
        <f>IF(AND(B2646&lt;&gt;"",B2646&gt;='Buku Akun'!$H$4,B2646&lt;='Buku Akun'!$H$5,OR(C2646='Buku Akun'!$C$4,AND(D2646="Pindah",E2646='Buku Akun'!$C$4))),B2646+IF(AND(I2646="Selisih bunga",DAY(B2646)=1),0,0.01)+ROW()/10000000,"")</f>
        <v/>
      </c>
    </row>
    <row r="2647" outlineLevel="1" ht="15" customHeight="1" s="94">
      <c r="A2647" s="123">
        <f>IF(B2647="","",ROW()-15)</f>
        <v/>
      </c>
      <c r="B2647" s="124" t="n"/>
      <c r="C2647" s="123" t="n"/>
      <c r="D2647" s="123" t="n"/>
      <c r="E2647" s="123" t="n"/>
      <c r="F2647" s="125" t="n"/>
      <c r="G2647" s="123" t="n"/>
      <c r="H2647" s="123" t="n"/>
      <c r="I2647" s="123" t="n"/>
      <c r="J2647" s="123" t="n"/>
      <c r="K2647" s="123" t="n"/>
      <c r="L2647" s="123" t="n"/>
      <c r="M2647" s="123">
        <f>IF(AND(B2647&lt;&gt;"",OR($C$4="",ISNUMBER(SEARCH($C$4,C2647&amp;" "&amp;E2647&amp;" "&amp;G2647&amp;" "&amp;H2647&amp;" "&amp;I2647&amp;" "&amp;J2647&amp;" "&amp;K2647&amp;" "&amp;L2647))),OR($C$5="Semua",$C$5="",G2647=$C$5),OR($C$6="Semua",$C$6="",H2647=$C$6,H2647="Pengeluaran "&amp;$C$6,AND($C$6="Uang Kos Mama",H2647="Pengeluaran Uang Kos")),OR($C$7="Semua",$C$7="",I2647=$C$7),OR($C$8="Semua",$C$8="",C2647=$C$8,E2647=$C$8),OR($C$9="Semua",$C$9="",D2647=$C$9),OR($C$10="",B2647&gt;=$C$10),OR($C$11="",B2647&lt;=$C$11),OR($C$12&lt;&gt;"Ya",K2647&lt;&gt;""),OR($C$13="Semua",$C$13="",L2647=$C$13)),"✓","")</f>
        <v/>
      </c>
      <c r="N2647" s="93">
        <f>N(N2646)+IF(M2647="✓",1,0)</f>
        <v/>
      </c>
      <c r="O2647" s="93">
        <f>N(O2646)+IF(AND(B2647&lt;&gt;"",B2647&gt;='Uang Riba'!$H$30,B2647&lt;='Uang Riba'!$I$30,OR(H2647="Dana riba",H2647="Pinjam uang riba",I2647="Pinjam dari uang riba",I2647="Ganti uang riba",I2647="Kelebihan ganti dikembalikan",AND(C2647="Kantong Uang Riba",G2647="Pengeluaran"))),1,0)</f>
        <v/>
      </c>
      <c r="X2647" s="93">
        <f>IF(AND(B2647&lt;&gt;"",B2647&gt;='Buku Akun'!$H$4,B2647&lt;='Buku Akun'!$H$5,OR(C2647='Buku Akun'!$C$4,AND(D2647="Pindah",E2647='Buku Akun'!$C$4))),B2647+IF(AND(I2647="Selisih bunga",DAY(B2647)=1),0,0.01)+ROW()/10000000,"")</f>
        <v/>
      </c>
    </row>
    <row r="2648" outlineLevel="1" ht="15" customHeight="1" s="94">
      <c r="A2648" s="123">
        <f>IF(B2648="","",ROW()-15)</f>
        <v/>
      </c>
      <c r="B2648" s="124" t="n"/>
      <c r="C2648" s="123" t="n"/>
      <c r="D2648" s="123" t="n"/>
      <c r="E2648" s="123" t="n"/>
      <c r="F2648" s="125" t="n"/>
      <c r="G2648" s="123" t="n"/>
      <c r="H2648" s="123" t="n"/>
      <c r="I2648" s="123" t="n"/>
      <c r="J2648" s="123" t="n"/>
      <c r="K2648" s="123" t="n"/>
      <c r="L2648" s="123" t="n"/>
      <c r="M2648" s="123">
        <f>IF(AND(B2648&lt;&gt;"",OR($C$4="",ISNUMBER(SEARCH($C$4,C2648&amp;" "&amp;E2648&amp;" "&amp;G2648&amp;" "&amp;H2648&amp;" "&amp;I2648&amp;" "&amp;J2648&amp;" "&amp;K2648&amp;" "&amp;L2648))),OR($C$5="Semua",$C$5="",G2648=$C$5),OR($C$6="Semua",$C$6="",H2648=$C$6,H2648="Pengeluaran "&amp;$C$6,AND($C$6="Uang Kos Mama",H2648="Pengeluaran Uang Kos")),OR($C$7="Semua",$C$7="",I2648=$C$7),OR($C$8="Semua",$C$8="",C2648=$C$8,E2648=$C$8),OR($C$9="Semua",$C$9="",D2648=$C$9),OR($C$10="",B2648&gt;=$C$10),OR($C$11="",B2648&lt;=$C$11),OR($C$12&lt;&gt;"Ya",K2648&lt;&gt;""),OR($C$13="Semua",$C$13="",L2648=$C$13)),"✓","")</f>
        <v/>
      </c>
      <c r="N2648" s="93">
        <f>N(N2647)+IF(M2648="✓",1,0)</f>
        <v/>
      </c>
      <c r="O2648" s="93">
        <f>N(O2647)+IF(AND(B2648&lt;&gt;"",B2648&gt;='Uang Riba'!$H$30,B2648&lt;='Uang Riba'!$I$30,OR(H2648="Dana riba",H2648="Pinjam uang riba",I2648="Pinjam dari uang riba",I2648="Ganti uang riba",I2648="Kelebihan ganti dikembalikan",AND(C2648="Kantong Uang Riba",G2648="Pengeluaran"))),1,0)</f>
        <v/>
      </c>
      <c r="X2648" s="93">
        <f>IF(AND(B2648&lt;&gt;"",B2648&gt;='Buku Akun'!$H$4,B2648&lt;='Buku Akun'!$H$5,OR(C2648='Buku Akun'!$C$4,AND(D2648="Pindah",E2648='Buku Akun'!$C$4))),B2648+IF(AND(I2648="Selisih bunga",DAY(B2648)=1),0,0.01)+ROW()/10000000,"")</f>
        <v/>
      </c>
    </row>
    <row r="2649" outlineLevel="1" ht="15" customHeight="1" s="94">
      <c r="A2649" s="123">
        <f>IF(B2649="","",ROW()-15)</f>
        <v/>
      </c>
      <c r="B2649" s="124" t="n"/>
      <c r="C2649" s="123" t="n"/>
      <c r="D2649" s="123" t="n"/>
      <c r="E2649" s="123" t="n"/>
      <c r="F2649" s="125" t="n"/>
      <c r="G2649" s="123" t="n"/>
      <c r="H2649" s="123" t="n"/>
      <c r="I2649" s="123" t="n"/>
      <c r="J2649" s="123" t="n"/>
      <c r="K2649" s="123" t="n"/>
      <c r="L2649" s="123" t="n"/>
      <c r="M2649" s="123">
        <f>IF(AND(B2649&lt;&gt;"",OR($C$4="",ISNUMBER(SEARCH($C$4,C2649&amp;" "&amp;E2649&amp;" "&amp;G2649&amp;" "&amp;H2649&amp;" "&amp;I2649&amp;" "&amp;J2649&amp;" "&amp;K2649&amp;" "&amp;L2649))),OR($C$5="Semua",$C$5="",G2649=$C$5),OR($C$6="Semua",$C$6="",H2649=$C$6,H2649="Pengeluaran "&amp;$C$6,AND($C$6="Uang Kos Mama",H2649="Pengeluaran Uang Kos")),OR($C$7="Semua",$C$7="",I2649=$C$7),OR($C$8="Semua",$C$8="",C2649=$C$8,E2649=$C$8),OR($C$9="Semua",$C$9="",D2649=$C$9),OR($C$10="",B2649&gt;=$C$10),OR($C$11="",B2649&lt;=$C$11),OR($C$12&lt;&gt;"Ya",K2649&lt;&gt;""),OR($C$13="Semua",$C$13="",L2649=$C$13)),"✓","")</f>
        <v/>
      </c>
      <c r="N2649" s="93">
        <f>N(N2648)+IF(M2649="✓",1,0)</f>
        <v/>
      </c>
      <c r="O2649" s="93">
        <f>N(O2648)+IF(AND(B2649&lt;&gt;"",B2649&gt;='Uang Riba'!$H$30,B2649&lt;='Uang Riba'!$I$30,OR(H2649="Dana riba",H2649="Pinjam uang riba",I2649="Pinjam dari uang riba",I2649="Ganti uang riba",I2649="Kelebihan ganti dikembalikan",AND(C2649="Kantong Uang Riba",G2649="Pengeluaran"))),1,0)</f>
        <v/>
      </c>
      <c r="X2649" s="93">
        <f>IF(AND(B2649&lt;&gt;"",B2649&gt;='Buku Akun'!$H$4,B2649&lt;='Buku Akun'!$H$5,OR(C2649='Buku Akun'!$C$4,AND(D2649="Pindah",E2649='Buku Akun'!$C$4))),B2649+IF(AND(I2649="Selisih bunga",DAY(B2649)=1),0,0.01)+ROW()/10000000,"")</f>
        <v/>
      </c>
    </row>
    <row r="2650" outlineLevel="1" ht="15" customHeight="1" s="94">
      <c r="A2650" s="123">
        <f>IF(B2650="","",ROW()-15)</f>
        <v/>
      </c>
      <c r="B2650" s="124" t="n"/>
      <c r="C2650" s="123" t="n"/>
      <c r="D2650" s="123" t="n"/>
      <c r="E2650" s="123" t="n"/>
      <c r="F2650" s="125" t="n"/>
      <c r="G2650" s="123" t="n"/>
      <c r="H2650" s="123" t="n"/>
      <c r="I2650" s="123" t="n"/>
      <c r="J2650" s="123" t="n"/>
      <c r="K2650" s="123" t="n"/>
      <c r="L2650" s="123" t="n"/>
      <c r="M2650" s="123">
        <f>IF(AND(B2650&lt;&gt;"",OR($C$4="",ISNUMBER(SEARCH($C$4,C2650&amp;" "&amp;E2650&amp;" "&amp;G2650&amp;" "&amp;H2650&amp;" "&amp;I2650&amp;" "&amp;J2650&amp;" "&amp;K2650&amp;" "&amp;L2650))),OR($C$5="Semua",$C$5="",G2650=$C$5),OR($C$6="Semua",$C$6="",H2650=$C$6,H2650="Pengeluaran "&amp;$C$6,AND($C$6="Uang Kos Mama",H2650="Pengeluaran Uang Kos")),OR($C$7="Semua",$C$7="",I2650=$C$7),OR($C$8="Semua",$C$8="",C2650=$C$8,E2650=$C$8),OR($C$9="Semua",$C$9="",D2650=$C$9),OR($C$10="",B2650&gt;=$C$10),OR($C$11="",B2650&lt;=$C$11),OR($C$12&lt;&gt;"Ya",K2650&lt;&gt;""),OR($C$13="Semua",$C$13="",L2650=$C$13)),"✓","")</f>
        <v/>
      </c>
      <c r="N2650" s="93">
        <f>N(N2649)+IF(M2650="✓",1,0)</f>
        <v/>
      </c>
      <c r="O2650" s="93">
        <f>N(O2649)+IF(AND(B2650&lt;&gt;"",B2650&gt;='Uang Riba'!$H$30,B2650&lt;='Uang Riba'!$I$30,OR(H2650="Dana riba",H2650="Pinjam uang riba",I2650="Pinjam dari uang riba",I2650="Ganti uang riba",I2650="Kelebihan ganti dikembalikan",AND(C2650="Kantong Uang Riba",G2650="Pengeluaran"))),1,0)</f>
        <v/>
      </c>
      <c r="X2650" s="93">
        <f>IF(AND(B2650&lt;&gt;"",B2650&gt;='Buku Akun'!$H$4,B2650&lt;='Buku Akun'!$H$5,OR(C2650='Buku Akun'!$C$4,AND(D2650="Pindah",E2650='Buku Akun'!$C$4))),B2650+IF(AND(I2650="Selisih bunga",DAY(B2650)=1),0,0.01)+ROW()/10000000,"")</f>
        <v/>
      </c>
    </row>
    <row r="2651" outlineLevel="1" ht="15" customHeight="1" s="94">
      <c r="A2651" s="123">
        <f>IF(B2651="","",ROW()-15)</f>
        <v/>
      </c>
      <c r="B2651" s="124" t="n"/>
      <c r="C2651" s="123" t="n"/>
      <c r="D2651" s="123" t="n"/>
      <c r="E2651" s="123" t="n"/>
      <c r="F2651" s="125" t="n"/>
      <c r="G2651" s="123" t="n"/>
      <c r="H2651" s="123" t="n"/>
      <c r="I2651" s="123" t="n"/>
      <c r="J2651" s="123" t="n"/>
      <c r="K2651" s="123" t="n"/>
      <c r="L2651" s="123" t="n"/>
      <c r="M2651" s="123">
        <f>IF(AND(B2651&lt;&gt;"",OR($C$4="",ISNUMBER(SEARCH($C$4,C2651&amp;" "&amp;E2651&amp;" "&amp;G2651&amp;" "&amp;H2651&amp;" "&amp;I2651&amp;" "&amp;J2651&amp;" "&amp;K2651&amp;" "&amp;L2651))),OR($C$5="Semua",$C$5="",G2651=$C$5),OR($C$6="Semua",$C$6="",H2651=$C$6,H2651="Pengeluaran "&amp;$C$6,AND($C$6="Uang Kos Mama",H2651="Pengeluaran Uang Kos")),OR($C$7="Semua",$C$7="",I2651=$C$7),OR($C$8="Semua",$C$8="",C2651=$C$8,E2651=$C$8),OR($C$9="Semua",$C$9="",D2651=$C$9),OR($C$10="",B2651&gt;=$C$10),OR($C$11="",B2651&lt;=$C$11),OR($C$12&lt;&gt;"Ya",K2651&lt;&gt;""),OR($C$13="Semua",$C$13="",L2651=$C$13)),"✓","")</f>
        <v/>
      </c>
      <c r="N2651" s="93">
        <f>N(N2650)+IF(M2651="✓",1,0)</f>
        <v/>
      </c>
      <c r="O2651" s="93">
        <f>N(O2650)+IF(AND(B2651&lt;&gt;"",B2651&gt;='Uang Riba'!$H$30,B2651&lt;='Uang Riba'!$I$30,OR(H2651="Dana riba",H2651="Pinjam uang riba",I2651="Pinjam dari uang riba",I2651="Ganti uang riba",I2651="Kelebihan ganti dikembalikan",AND(C2651="Kantong Uang Riba",G2651="Pengeluaran"))),1,0)</f>
        <v/>
      </c>
      <c r="X2651" s="93">
        <f>IF(AND(B2651&lt;&gt;"",B2651&gt;='Buku Akun'!$H$4,B2651&lt;='Buku Akun'!$H$5,OR(C2651='Buku Akun'!$C$4,AND(D2651="Pindah",E2651='Buku Akun'!$C$4))),B2651+IF(AND(I2651="Selisih bunga",DAY(B2651)=1),0,0.01)+ROW()/10000000,"")</f>
        <v/>
      </c>
    </row>
    <row r="2652" outlineLevel="1" ht="15" customHeight="1" s="94">
      <c r="A2652" s="123">
        <f>IF(B2652="","",ROW()-15)</f>
        <v/>
      </c>
      <c r="B2652" s="124" t="n"/>
      <c r="C2652" s="123" t="n"/>
      <c r="D2652" s="123" t="n"/>
      <c r="E2652" s="123" t="n"/>
      <c r="F2652" s="125" t="n"/>
      <c r="G2652" s="123" t="n"/>
      <c r="H2652" s="123" t="n"/>
      <c r="I2652" s="123" t="n"/>
      <c r="J2652" s="123" t="n"/>
      <c r="K2652" s="123" t="n"/>
      <c r="L2652" s="123" t="n"/>
      <c r="M2652" s="123">
        <f>IF(AND(B2652&lt;&gt;"",OR($C$4="",ISNUMBER(SEARCH($C$4,C2652&amp;" "&amp;E2652&amp;" "&amp;G2652&amp;" "&amp;H2652&amp;" "&amp;I2652&amp;" "&amp;J2652&amp;" "&amp;K2652&amp;" "&amp;L2652))),OR($C$5="Semua",$C$5="",G2652=$C$5),OR($C$6="Semua",$C$6="",H2652=$C$6,H2652="Pengeluaran "&amp;$C$6,AND($C$6="Uang Kos Mama",H2652="Pengeluaran Uang Kos")),OR($C$7="Semua",$C$7="",I2652=$C$7),OR($C$8="Semua",$C$8="",C2652=$C$8,E2652=$C$8),OR($C$9="Semua",$C$9="",D2652=$C$9),OR($C$10="",B2652&gt;=$C$10),OR($C$11="",B2652&lt;=$C$11),OR($C$12&lt;&gt;"Ya",K2652&lt;&gt;""),OR($C$13="Semua",$C$13="",L2652=$C$13)),"✓","")</f>
        <v/>
      </c>
      <c r="N2652" s="93">
        <f>N(N2651)+IF(M2652="✓",1,0)</f>
        <v/>
      </c>
      <c r="O2652" s="93">
        <f>N(O2651)+IF(AND(B2652&lt;&gt;"",B2652&gt;='Uang Riba'!$H$30,B2652&lt;='Uang Riba'!$I$30,OR(H2652="Dana riba",H2652="Pinjam uang riba",I2652="Pinjam dari uang riba",I2652="Ganti uang riba",I2652="Kelebihan ganti dikembalikan",AND(C2652="Kantong Uang Riba",G2652="Pengeluaran"))),1,0)</f>
        <v/>
      </c>
      <c r="X2652" s="93">
        <f>IF(AND(B2652&lt;&gt;"",B2652&gt;='Buku Akun'!$H$4,B2652&lt;='Buku Akun'!$H$5,OR(C2652='Buku Akun'!$C$4,AND(D2652="Pindah",E2652='Buku Akun'!$C$4))),B2652+IF(AND(I2652="Selisih bunga",DAY(B2652)=1),0,0.01)+ROW()/10000000,"")</f>
        <v/>
      </c>
    </row>
    <row r="2653" outlineLevel="1" ht="15" customHeight="1" s="94">
      <c r="A2653" s="123">
        <f>IF(B2653="","",ROW()-15)</f>
        <v/>
      </c>
      <c r="B2653" s="124" t="n"/>
      <c r="C2653" s="123" t="n"/>
      <c r="D2653" s="123" t="n"/>
      <c r="E2653" s="123" t="n"/>
      <c r="F2653" s="125" t="n"/>
      <c r="G2653" s="123" t="n"/>
      <c r="H2653" s="123" t="n"/>
      <c r="I2653" s="123" t="n"/>
      <c r="J2653" s="123" t="n"/>
      <c r="K2653" s="123" t="n"/>
      <c r="L2653" s="123" t="n"/>
      <c r="M2653" s="123">
        <f>IF(AND(B2653&lt;&gt;"",OR($C$4="",ISNUMBER(SEARCH($C$4,C2653&amp;" "&amp;E2653&amp;" "&amp;G2653&amp;" "&amp;H2653&amp;" "&amp;I2653&amp;" "&amp;J2653&amp;" "&amp;K2653&amp;" "&amp;L2653))),OR($C$5="Semua",$C$5="",G2653=$C$5),OR($C$6="Semua",$C$6="",H2653=$C$6,H2653="Pengeluaran "&amp;$C$6,AND($C$6="Uang Kos Mama",H2653="Pengeluaran Uang Kos")),OR($C$7="Semua",$C$7="",I2653=$C$7),OR($C$8="Semua",$C$8="",C2653=$C$8,E2653=$C$8),OR($C$9="Semua",$C$9="",D2653=$C$9),OR($C$10="",B2653&gt;=$C$10),OR($C$11="",B2653&lt;=$C$11),OR($C$12&lt;&gt;"Ya",K2653&lt;&gt;""),OR($C$13="Semua",$C$13="",L2653=$C$13)),"✓","")</f>
        <v/>
      </c>
      <c r="N2653" s="93">
        <f>N(N2652)+IF(M2653="✓",1,0)</f>
        <v/>
      </c>
      <c r="O2653" s="93">
        <f>N(O2652)+IF(AND(B2653&lt;&gt;"",B2653&gt;='Uang Riba'!$H$30,B2653&lt;='Uang Riba'!$I$30,OR(H2653="Dana riba",H2653="Pinjam uang riba",I2653="Pinjam dari uang riba",I2653="Ganti uang riba",I2653="Kelebihan ganti dikembalikan",AND(C2653="Kantong Uang Riba",G2653="Pengeluaran"))),1,0)</f>
        <v/>
      </c>
      <c r="X2653" s="93">
        <f>IF(AND(B2653&lt;&gt;"",B2653&gt;='Buku Akun'!$H$4,B2653&lt;='Buku Akun'!$H$5,OR(C2653='Buku Akun'!$C$4,AND(D2653="Pindah",E2653='Buku Akun'!$C$4))),B2653+IF(AND(I2653="Selisih bunga",DAY(B2653)=1),0,0.01)+ROW()/10000000,"")</f>
        <v/>
      </c>
    </row>
    <row r="2654" outlineLevel="1" ht="15" customHeight="1" s="94">
      <c r="A2654" s="123">
        <f>IF(B2654="","",ROW()-15)</f>
        <v/>
      </c>
      <c r="B2654" s="124" t="n"/>
      <c r="C2654" s="123" t="n"/>
      <c r="D2654" s="123" t="n"/>
      <c r="E2654" s="123" t="n"/>
      <c r="F2654" s="125" t="n"/>
      <c r="G2654" s="123" t="n"/>
      <c r="H2654" s="123" t="n"/>
      <c r="I2654" s="123" t="n"/>
      <c r="J2654" s="123" t="n"/>
      <c r="K2654" s="123" t="n"/>
      <c r="L2654" s="123" t="n"/>
      <c r="M2654" s="123">
        <f>IF(AND(B2654&lt;&gt;"",OR($C$4="",ISNUMBER(SEARCH($C$4,C2654&amp;" "&amp;E2654&amp;" "&amp;G2654&amp;" "&amp;H2654&amp;" "&amp;I2654&amp;" "&amp;J2654&amp;" "&amp;K2654&amp;" "&amp;L2654))),OR($C$5="Semua",$C$5="",G2654=$C$5),OR($C$6="Semua",$C$6="",H2654=$C$6,H2654="Pengeluaran "&amp;$C$6,AND($C$6="Uang Kos Mama",H2654="Pengeluaran Uang Kos")),OR($C$7="Semua",$C$7="",I2654=$C$7),OR($C$8="Semua",$C$8="",C2654=$C$8,E2654=$C$8),OR($C$9="Semua",$C$9="",D2654=$C$9),OR($C$10="",B2654&gt;=$C$10),OR($C$11="",B2654&lt;=$C$11),OR($C$12&lt;&gt;"Ya",K2654&lt;&gt;""),OR($C$13="Semua",$C$13="",L2654=$C$13)),"✓","")</f>
        <v/>
      </c>
      <c r="N2654" s="93">
        <f>N(N2653)+IF(M2654="✓",1,0)</f>
        <v/>
      </c>
      <c r="O2654" s="93">
        <f>N(O2653)+IF(AND(B2654&lt;&gt;"",B2654&gt;='Uang Riba'!$H$30,B2654&lt;='Uang Riba'!$I$30,OR(H2654="Dana riba",H2654="Pinjam uang riba",I2654="Pinjam dari uang riba",I2654="Ganti uang riba",I2654="Kelebihan ganti dikembalikan",AND(C2654="Kantong Uang Riba",G2654="Pengeluaran"))),1,0)</f>
        <v/>
      </c>
      <c r="X2654" s="93">
        <f>IF(AND(B2654&lt;&gt;"",B2654&gt;='Buku Akun'!$H$4,B2654&lt;='Buku Akun'!$H$5,OR(C2654='Buku Akun'!$C$4,AND(D2654="Pindah",E2654='Buku Akun'!$C$4))),B2654+IF(AND(I2654="Selisih bunga",DAY(B2654)=1),0,0.01)+ROW()/10000000,"")</f>
        <v/>
      </c>
    </row>
    <row r="2655" outlineLevel="1" ht="15" customHeight="1" s="94">
      <c r="A2655" s="123">
        <f>IF(B2655="","",ROW()-15)</f>
        <v/>
      </c>
      <c r="B2655" s="124" t="n"/>
      <c r="C2655" s="123" t="n"/>
      <c r="D2655" s="123" t="n"/>
      <c r="E2655" s="123" t="n"/>
      <c r="F2655" s="125" t="n"/>
      <c r="G2655" s="123" t="n"/>
      <c r="H2655" s="123" t="n"/>
      <c r="I2655" s="123" t="n"/>
      <c r="J2655" s="123" t="n"/>
      <c r="K2655" s="123" t="n"/>
      <c r="L2655" s="123" t="n"/>
      <c r="M2655" s="123">
        <f>IF(AND(B2655&lt;&gt;"",OR($C$4="",ISNUMBER(SEARCH($C$4,C2655&amp;" "&amp;E2655&amp;" "&amp;G2655&amp;" "&amp;H2655&amp;" "&amp;I2655&amp;" "&amp;J2655&amp;" "&amp;K2655&amp;" "&amp;L2655))),OR($C$5="Semua",$C$5="",G2655=$C$5),OR($C$6="Semua",$C$6="",H2655=$C$6,H2655="Pengeluaran "&amp;$C$6,AND($C$6="Uang Kos Mama",H2655="Pengeluaran Uang Kos")),OR($C$7="Semua",$C$7="",I2655=$C$7),OR($C$8="Semua",$C$8="",C2655=$C$8,E2655=$C$8),OR($C$9="Semua",$C$9="",D2655=$C$9),OR($C$10="",B2655&gt;=$C$10),OR($C$11="",B2655&lt;=$C$11),OR($C$12&lt;&gt;"Ya",K2655&lt;&gt;""),OR($C$13="Semua",$C$13="",L2655=$C$13)),"✓","")</f>
        <v/>
      </c>
      <c r="N2655" s="93">
        <f>N(N2654)+IF(M2655="✓",1,0)</f>
        <v/>
      </c>
      <c r="O2655" s="93">
        <f>N(O2654)+IF(AND(B2655&lt;&gt;"",B2655&gt;='Uang Riba'!$H$30,B2655&lt;='Uang Riba'!$I$30,OR(H2655="Dana riba",H2655="Pinjam uang riba",I2655="Pinjam dari uang riba",I2655="Ganti uang riba",I2655="Kelebihan ganti dikembalikan",AND(C2655="Kantong Uang Riba",G2655="Pengeluaran"))),1,0)</f>
        <v/>
      </c>
      <c r="X2655" s="93">
        <f>IF(AND(B2655&lt;&gt;"",B2655&gt;='Buku Akun'!$H$4,B2655&lt;='Buku Akun'!$H$5,OR(C2655='Buku Akun'!$C$4,AND(D2655="Pindah",E2655='Buku Akun'!$C$4))),B2655+IF(AND(I2655="Selisih bunga",DAY(B2655)=1),0,0.01)+ROW()/10000000,"")</f>
        <v/>
      </c>
    </row>
    <row r="2656" outlineLevel="1" ht="15" customHeight="1" s="94">
      <c r="A2656" s="123">
        <f>IF(B2656="","",ROW()-15)</f>
        <v/>
      </c>
      <c r="B2656" s="124" t="n"/>
      <c r="C2656" s="123" t="n"/>
      <c r="D2656" s="123" t="n"/>
      <c r="E2656" s="123" t="n"/>
      <c r="F2656" s="125" t="n"/>
      <c r="G2656" s="123" t="n"/>
      <c r="H2656" s="123" t="n"/>
      <c r="I2656" s="123" t="n"/>
      <c r="J2656" s="123" t="n"/>
      <c r="K2656" s="123" t="n"/>
      <c r="L2656" s="123" t="n"/>
      <c r="M2656" s="123">
        <f>IF(AND(B2656&lt;&gt;"",OR($C$4="",ISNUMBER(SEARCH($C$4,C2656&amp;" "&amp;E2656&amp;" "&amp;G2656&amp;" "&amp;H2656&amp;" "&amp;I2656&amp;" "&amp;J2656&amp;" "&amp;K2656&amp;" "&amp;L2656))),OR($C$5="Semua",$C$5="",G2656=$C$5),OR($C$6="Semua",$C$6="",H2656=$C$6,H2656="Pengeluaran "&amp;$C$6,AND($C$6="Uang Kos Mama",H2656="Pengeluaran Uang Kos")),OR($C$7="Semua",$C$7="",I2656=$C$7),OR($C$8="Semua",$C$8="",C2656=$C$8,E2656=$C$8),OR($C$9="Semua",$C$9="",D2656=$C$9),OR($C$10="",B2656&gt;=$C$10),OR($C$11="",B2656&lt;=$C$11),OR($C$12&lt;&gt;"Ya",K2656&lt;&gt;""),OR($C$13="Semua",$C$13="",L2656=$C$13)),"✓","")</f>
        <v/>
      </c>
      <c r="N2656" s="93">
        <f>N(N2655)+IF(M2656="✓",1,0)</f>
        <v/>
      </c>
      <c r="O2656" s="93">
        <f>N(O2655)+IF(AND(B2656&lt;&gt;"",B2656&gt;='Uang Riba'!$H$30,B2656&lt;='Uang Riba'!$I$30,OR(H2656="Dana riba",H2656="Pinjam uang riba",I2656="Pinjam dari uang riba",I2656="Ganti uang riba",I2656="Kelebihan ganti dikembalikan",AND(C2656="Kantong Uang Riba",G2656="Pengeluaran"))),1,0)</f>
        <v/>
      </c>
      <c r="X2656" s="93">
        <f>IF(AND(B2656&lt;&gt;"",B2656&gt;='Buku Akun'!$H$4,B2656&lt;='Buku Akun'!$H$5,OR(C2656='Buku Akun'!$C$4,AND(D2656="Pindah",E2656='Buku Akun'!$C$4))),B2656+IF(AND(I2656="Selisih bunga",DAY(B2656)=1),0,0.01)+ROW()/10000000,"")</f>
        <v/>
      </c>
    </row>
    <row r="2657" outlineLevel="1" ht="15" customHeight="1" s="94">
      <c r="A2657" s="123">
        <f>IF(B2657="","",ROW()-15)</f>
        <v/>
      </c>
      <c r="B2657" s="124" t="n"/>
      <c r="C2657" s="123" t="n"/>
      <c r="D2657" s="123" t="n"/>
      <c r="E2657" s="123" t="n"/>
      <c r="F2657" s="125" t="n"/>
      <c r="G2657" s="123" t="n"/>
      <c r="H2657" s="123" t="n"/>
      <c r="I2657" s="123" t="n"/>
      <c r="J2657" s="123" t="n"/>
      <c r="K2657" s="123" t="n"/>
      <c r="L2657" s="123" t="n"/>
      <c r="M2657" s="123">
        <f>IF(AND(B2657&lt;&gt;"",OR($C$4="",ISNUMBER(SEARCH($C$4,C2657&amp;" "&amp;E2657&amp;" "&amp;G2657&amp;" "&amp;H2657&amp;" "&amp;I2657&amp;" "&amp;J2657&amp;" "&amp;K2657&amp;" "&amp;L2657))),OR($C$5="Semua",$C$5="",G2657=$C$5),OR($C$6="Semua",$C$6="",H2657=$C$6,H2657="Pengeluaran "&amp;$C$6,AND($C$6="Uang Kos Mama",H2657="Pengeluaran Uang Kos")),OR($C$7="Semua",$C$7="",I2657=$C$7),OR($C$8="Semua",$C$8="",C2657=$C$8,E2657=$C$8),OR($C$9="Semua",$C$9="",D2657=$C$9),OR($C$10="",B2657&gt;=$C$10),OR($C$11="",B2657&lt;=$C$11),OR($C$12&lt;&gt;"Ya",K2657&lt;&gt;""),OR($C$13="Semua",$C$13="",L2657=$C$13)),"✓","")</f>
        <v/>
      </c>
      <c r="N2657" s="93">
        <f>N(N2656)+IF(M2657="✓",1,0)</f>
        <v/>
      </c>
      <c r="O2657" s="93">
        <f>N(O2656)+IF(AND(B2657&lt;&gt;"",B2657&gt;='Uang Riba'!$H$30,B2657&lt;='Uang Riba'!$I$30,OR(H2657="Dana riba",H2657="Pinjam uang riba",I2657="Pinjam dari uang riba",I2657="Ganti uang riba",I2657="Kelebihan ganti dikembalikan",AND(C2657="Kantong Uang Riba",G2657="Pengeluaran"))),1,0)</f>
        <v/>
      </c>
      <c r="X2657" s="93">
        <f>IF(AND(B2657&lt;&gt;"",B2657&gt;='Buku Akun'!$H$4,B2657&lt;='Buku Akun'!$H$5,OR(C2657='Buku Akun'!$C$4,AND(D2657="Pindah",E2657='Buku Akun'!$C$4))),B2657+IF(AND(I2657="Selisih bunga",DAY(B2657)=1),0,0.01)+ROW()/10000000,"")</f>
        <v/>
      </c>
    </row>
    <row r="2658" outlineLevel="1" ht="15" customHeight="1" s="94">
      <c r="A2658" s="123">
        <f>IF(B2658="","",ROW()-15)</f>
        <v/>
      </c>
      <c r="B2658" s="124" t="n"/>
      <c r="C2658" s="123" t="n"/>
      <c r="D2658" s="123" t="n"/>
      <c r="E2658" s="123" t="n"/>
      <c r="F2658" s="125" t="n"/>
      <c r="G2658" s="123" t="n"/>
      <c r="H2658" s="123" t="n"/>
      <c r="I2658" s="123" t="n"/>
      <c r="J2658" s="123" t="n"/>
      <c r="K2658" s="123" t="n"/>
      <c r="L2658" s="123" t="n"/>
      <c r="M2658" s="123">
        <f>IF(AND(B2658&lt;&gt;"",OR($C$4="",ISNUMBER(SEARCH($C$4,C2658&amp;" "&amp;E2658&amp;" "&amp;G2658&amp;" "&amp;H2658&amp;" "&amp;I2658&amp;" "&amp;J2658&amp;" "&amp;K2658&amp;" "&amp;L2658))),OR($C$5="Semua",$C$5="",G2658=$C$5),OR($C$6="Semua",$C$6="",H2658=$C$6,H2658="Pengeluaran "&amp;$C$6,AND($C$6="Uang Kos Mama",H2658="Pengeluaran Uang Kos")),OR($C$7="Semua",$C$7="",I2658=$C$7),OR($C$8="Semua",$C$8="",C2658=$C$8,E2658=$C$8),OR($C$9="Semua",$C$9="",D2658=$C$9),OR($C$10="",B2658&gt;=$C$10),OR($C$11="",B2658&lt;=$C$11),OR($C$12&lt;&gt;"Ya",K2658&lt;&gt;""),OR($C$13="Semua",$C$13="",L2658=$C$13)),"✓","")</f>
        <v/>
      </c>
      <c r="N2658" s="93">
        <f>N(N2657)+IF(M2658="✓",1,0)</f>
        <v/>
      </c>
      <c r="O2658" s="93">
        <f>N(O2657)+IF(AND(B2658&lt;&gt;"",B2658&gt;='Uang Riba'!$H$30,B2658&lt;='Uang Riba'!$I$30,OR(H2658="Dana riba",H2658="Pinjam uang riba",I2658="Pinjam dari uang riba",I2658="Ganti uang riba",I2658="Kelebihan ganti dikembalikan",AND(C2658="Kantong Uang Riba",G2658="Pengeluaran"))),1,0)</f>
        <v/>
      </c>
      <c r="X2658" s="93">
        <f>IF(AND(B2658&lt;&gt;"",B2658&gt;='Buku Akun'!$H$4,B2658&lt;='Buku Akun'!$H$5,OR(C2658='Buku Akun'!$C$4,AND(D2658="Pindah",E2658='Buku Akun'!$C$4))),B2658+IF(AND(I2658="Selisih bunga",DAY(B2658)=1),0,0.01)+ROW()/10000000,"")</f>
        <v/>
      </c>
    </row>
    <row r="2659" outlineLevel="1" ht="15" customHeight="1" s="94">
      <c r="A2659" s="123">
        <f>IF(B2659="","",ROW()-15)</f>
        <v/>
      </c>
      <c r="B2659" s="124" t="n"/>
      <c r="C2659" s="123" t="n"/>
      <c r="D2659" s="123" t="n"/>
      <c r="E2659" s="123" t="n"/>
      <c r="F2659" s="125" t="n"/>
      <c r="G2659" s="123" t="n"/>
      <c r="H2659" s="123" t="n"/>
      <c r="I2659" s="123" t="n"/>
      <c r="J2659" s="123" t="n"/>
      <c r="K2659" s="123" t="n"/>
      <c r="L2659" s="123" t="n"/>
      <c r="M2659" s="123">
        <f>IF(AND(B2659&lt;&gt;"",OR($C$4="",ISNUMBER(SEARCH($C$4,C2659&amp;" "&amp;E2659&amp;" "&amp;G2659&amp;" "&amp;H2659&amp;" "&amp;I2659&amp;" "&amp;J2659&amp;" "&amp;K2659&amp;" "&amp;L2659))),OR($C$5="Semua",$C$5="",G2659=$C$5),OR($C$6="Semua",$C$6="",H2659=$C$6,H2659="Pengeluaran "&amp;$C$6,AND($C$6="Uang Kos Mama",H2659="Pengeluaran Uang Kos")),OR($C$7="Semua",$C$7="",I2659=$C$7),OR($C$8="Semua",$C$8="",C2659=$C$8,E2659=$C$8),OR($C$9="Semua",$C$9="",D2659=$C$9),OR($C$10="",B2659&gt;=$C$10),OR($C$11="",B2659&lt;=$C$11),OR($C$12&lt;&gt;"Ya",K2659&lt;&gt;""),OR($C$13="Semua",$C$13="",L2659=$C$13)),"✓","")</f>
        <v/>
      </c>
      <c r="N2659" s="93">
        <f>N(N2658)+IF(M2659="✓",1,0)</f>
        <v/>
      </c>
      <c r="O2659" s="93">
        <f>N(O2658)+IF(AND(B2659&lt;&gt;"",B2659&gt;='Uang Riba'!$H$30,B2659&lt;='Uang Riba'!$I$30,OR(H2659="Dana riba",H2659="Pinjam uang riba",I2659="Pinjam dari uang riba",I2659="Ganti uang riba",I2659="Kelebihan ganti dikembalikan",AND(C2659="Kantong Uang Riba",G2659="Pengeluaran"))),1,0)</f>
        <v/>
      </c>
      <c r="X2659" s="93">
        <f>IF(AND(B2659&lt;&gt;"",B2659&gt;='Buku Akun'!$H$4,B2659&lt;='Buku Akun'!$H$5,OR(C2659='Buku Akun'!$C$4,AND(D2659="Pindah",E2659='Buku Akun'!$C$4))),B2659+IF(AND(I2659="Selisih bunga",DAY(B2659)=1),0,0.01)+ROW()/10000000,"")</f>
        <v/>
      </c>
    </row>
    <row r="2660" outlineLevel="1" ht="15" customHeight="1" s="94">
      <c r="A2660" s="123">
        <f>IF(B2660="","",ROW()-15)</f>
        <v/>
      </c>
      <c r="B2660" s="124" t="n"/>
      <c r="C2660" s="123" t="n"/>
      <c r="D2660" s="123" t="n"/>
      <c r="E2660" s="123" t="n"/>
      <c r="F2660" s="125" t="n"/>
      <c r="G2660" s="123" t="n"/>
      <c r="H2660" s="123" t="n"/>
      <c r="I2660" s="123" t="n"/>
      <c r="J2660" s="123" t="n"/>
      <c r="K2660" s="123" t="n"/>
      <c r="L2660" s="123" t="n"/>
      <c r="M2660" s="123">
        <f>IF(AND(B2660&lt;&gt;"",OR($C$4="",ISNUMBER(SEARCH($C$4,C2660&amp;" "&amp;E2660&amp;" "&amp;G2660&amp;" "&amp;H2660&amp;" "&amp;I2660&amp;" "&amp;J2660&amp;" "&amp;K2660&amp;" "&amp;L2660))),OR($C$5="Semua",$C$5="",G2660=$C$5),OR($C$6="Semua",$C$6="",H2660=$C$6,H2660="Pengeluaran "&amp;$C$6,AND($C$6="Uang Kos Mama",H2660="Pengeluaran Uang Kos")),OR($C$7="Semua",$C$7="",I2660=$C$7),OR($C$8="Semua",$C$8="",C2660=$C$8,E2660=$C$8),OR($C$9="Semua",$C$9="",D2660=$C$9),OR($C$10="",B2660&gt;=$C$10),OR($C$11="",B2660&lt;=$C$11),OR($C$12&lt;&gt;"Ya",K2660&lt;&gt;""),OR($C$13="Semua",$C$13="",L2660=$C$13)),"✓","")</f>
        <v/>
      </c>
      <c r="N2660" s="93">
        <f>N(N2659)+IF(M2660="✓",1,0)</f>
        <v/>
      </c>
      <c r="O2660" s="93">
        <f>N(O2659)+IF(AND(B2660&lt;&gt;"",B2660&gt;='Uang Riba'!$H$30,B2660&lt;='Uang Riba'!$I$30,OR(H2660="Dana riba",H2660="Pinjam uang riba",I2660="Pinjam dari uang riba",I2660="Ganti uang riba",I2660="Kelebihan ganti dikembalikan",AND(C2660="Kantong Uang Riba",G2660="Pengeluaran"))),1,0)</f>
        <v/>
      </c>
      <c r="X2660" s="93">
        <f>IF(AND(B2660&lt;&gt;"",B2660&gt;='Buku Akun'!$H$4,B2660&lt;='Buku Akun'!$H$5,OR(C2660='Buku Akun'!$C$4,AND(D2660="Pindah",E2660='Buku Akun'!$C$4))),B2660+IF(AND(I2660="Selisih bunga",DAY(B2660)=1),0,0.01)+ROW()/10000000,"")</f>
        <v/>
      </c>
    </row>
    <row r="2661" outlineLevel="1" ht="15" customHeight="1" s="94">
      <c r="A2661" s="123">
        <f>IF(B2661="","",ROW()-15)</f>
        <v/>
      </c>
      <c r="B2661" s="124" t="n"/>
      <c r="C2661" s="123" t="n"/>
      <c r="D2661" s="123" t="n"/>
      <c r="E2661" s="123" t="n"/>
      <c r="F2661" s="125" t="n"/>
      <c r="G2661" s="123" t="n"/>
      <c r="H2661" s="123" t="n"/>
      <c r="I2661" s="123" t="n"/>
      <c r="J2661" s="123" t="n"/>
      <c r="K2661" s="123" t="n"/>
      <c r="L2661" s="123" t="n"/>
      <c r="M2661" s="123">
        <f>IF(AND(B2661&lt;&gt;"",OR($C$4="",ISNUMBER(SEARCH($C$4,C2661&amp;" "&amp;E2661&amp;" "&amp;G2661&amp;" "&amp;H2661&amp;" "&amp;I2661&amp;" "&amp;J2661&amp;" "&amp;K2661&amp;" "&amp;L2661))),OR($C$5="Semua",$C$5="",G2661=$C$5),OR($C$6="Semua",$C$6="",H2661=$C$6,H2661="Pengeluaran "&amp;$C$6,AND($C$6="Uang Kos Mama",H2661="Pengeluaran Uang Kos")),OR($C$7="Semua",$C$7="",I2661=$C$7),OR($C$8="Semua",$C$8="",C2661=$C$8,E2661=$C$8),OR($C$9="Semua",$C$9="",D2661=$C$9),OR($C$10="",B2661&gt;=$C$10),OR($C$11="",B2661&lt;=$C$11),OR($C$12&lt;&gt;"Ya",K2661&lt;&gt;""),OR($C$13="Semua",$C$13="",L2661=$C$13)),"✓","")</f>
        <v/>
      </c>
      <c r="N2661" s="93">
        <f>N(N2660)+IF(M2661="✓",1,0)</f>
        <v/>
      </c>
      <c r="O2661" s="93">
        <f>N(O2660)+IF(AND(B2661&lt;&gt;"",B2661&gt;='Uang Riba'!$H$30,B2661&lt;='Uang Riba'!$I$30,OR(H2661="Dana riba",H2661="Pinjam uang riba",I2661="Pinjam dari uang riba",I2661="Ganti uang riba",I2661="Kelebihan ganti dikembalikan",AND(C2661="Kantong Uang Riba",G2661="Pengeluaran"))),1,0)</f>
        <v/>
      </c>
      <c r="X2661" s="93">
        <f>IF(AND(B2661&lt;&gt;"",B2661&gt;='Buku Akun'!$H$4,B2661&lt;='Buku Akun'!$H$5,OR(C2661='Buku Akun'!$C$4,AND(D2661="Pindah",E2661='Buku Akun'!$C$4))),B2661+IF(AND(I2661="Selisih bunga",DAY(B2661)=1),0,0.01)+ROW()/10000000,"")</f>
        <v/>
      </c>
    </row>
    <row r="2662" outlineLevel="1" ht="15" customHeight="1" s="94">
      <c r="A2662" s="123">
        <f>IF(B2662="","",ROW()-15)</f>
        <v/>
      </c>
      <c r="B2662" s="124" t="n"/>
      <c r="C2662" s="123" t="n"/>
      <c r="D2662" s="123" t="n"/>
      <c r="E2662" s="123" t="n"/>
      <c r="F2662" s="125" t="n"/>
      <c r="G2662" s="123" t="n"/>
      <c r="H2662" s="123" t="n"/>
      <c r="I2662" s="123" t="n"/>
      <c r="J2662" s="123" t="n"/>
      <c r="K2662" s="123" t="n"/>
      <c r="L2662" s="123" t="n"/>
      <c r="M2662" s="123">
        <f>IF(AND(B2662&lt;&gt;"",OR($C$4="",ISNUMBER(SEARCH($C$4,C2662&amp;" "&amp;E2662&amp;" "&amp;G2662&amp;" "&amp;H2662&amp;" "&amp;I2662&amp;" "&amp;J2662&amp;" "&amp;K2662&amp;" "&amp;L2662))),OR($C$5="Semua",$C$5="",G2662=$C$5),OR($C$6="Semua",$C$6="",H2662=$C$6,H2662="Pengeluaran "&amp;$C$6,AND($C$6="Uang Kos Mama",H2662="Pengeluaran Uang Kos")),OR($C$7="Semua",$C$7="",I2662=$C$7),OR($C$8="Semua",$C$8="",C2662=$C$8,E2662=$C$8),OR($C$9="Semua",$C$9="",D2662=$C$9),OR($C$10="",B2662&gt;=$C$10),OR($C$11="",B2662&lt;=$C$11),OR($C$12&lt;&gt;"Ya",K2662&lt;&gt;""),OR($C$13="Semua",$C$13="",L2662=$C$13)),"✓","")</f>
        <v/>
      </c>
      <c r="N2662" s="93">
        <f>N(N2661)+IF(M2662="✓",1,0)</f>
        <v/>
      </c>
      <c r="O2662" s="93">
        <f>N(O2661)+IF(AND(B2662&lt;&gt;"",B2662&gt;='Uang Riba'!$H$30,B2662&lt;='Uang Riba'!$I$30,OR(H2662="Dana riba",H2662="Pinjam uang riba",I2662="Pinjam dari uang riba",I2662="Ganti uang riba",I2662="Kelebihan ganti dikembalikan",AND(C2662="Kantong Uang Riba",G2662="Pengeluaran"))),1,0)</f>
        <v/>
      </c>
      <c r="X2662" s="93">
        <f>IF(AND(B2662&lt;&gt;"",B2662&gt;='Buku Akun'!$H$4,B2662&lt;='Buku Akun'!$H$5,OR(C2662='Buku Akun'!$C$4,AND(D2662="Pindah",E2662='Buku Akun'!$C$4))),B2662+IF(AND(I2662="Selisih bunga",DAY(B2662)=1),0,0.01)+ROW()/10000000,"")</f>
        <v/>
      </c>
    </row>
    <row r="2663" outlineLevel="1" ht="15" customHeight="1" s="94">
      <c r="A2663" s="123">
        <f>IF(B2663="","",ROW()-15)</f>
        <v/>
      </c>
      <c r="B2663" s="124" t="n"/>
      <c r="C2663" s="123" t="n"/>
      <c r="D2663" s="123" t="n"/>
      <c r="E2663" s="123" t="n"/>
      <c r="F2663" s="125" t="n"/>
      <c r="G2663" s="123" t="n"/>
      <c r="H2663" s="123" t="n"/>
      <c r="I2663" s="123" t="n"/>
      <c r="J2663" s="123" t="n"/>
      <c r="K2663" s="123" t="n"/>
      <c r="L2663" s="123" t="n"/>
      <c r="M2663" s="123">
        <f>IF(AND(B2663&lt;&gt;"",OR($C$4="",ISNUMBER(SEARCH($C$4,C2663&amp;" "&amp;E2663&amp;" "&amp;G2663&amp;" "&amp;H2663&amp;" "&amp;I2663&amp;" "&amp;J2663&amp;" "&amp;K2663&amp;" "&amp;L2663))),OR($C$5="Semua",$C$5="",G2663=$C$5),OR($C$6="Semua",$C$6="",H2663=$C$6,H2663="Pengeluaran "&amp;$C$6,AND($C$6="Uang Kos Mama",H2663="Pengeluaran Uang Kos")),OR($C$7="Semua",$C$7="",I2663=$C$7),OR($C$8="Semua",$C$8="",C2663=$C$8,E2663=$C$8),OR($C$9="Semua",$C$9="",D2663=$C$9),OR($C$10="",B2663&gt;=$C$10),OR($C$11="",B2663&lt;=$C$11),OR($C$12&lt;&gt;"Ya",K2663&lt;&gt;""),OR($C$13="Semua",$C$13="",L2663=$C$13)),"✓","")</f>
        <v/>
      </c>
      <c r="N2663" s="93">
        <f>N(N2662)+IF(M2663="✓",1,0)</f>
        <v/>
      </c>
      <c r="O2663" s="93">
        <f>N(O2662)+IF(AND(B2663&lt;&gt;"",B2663&gt;='Uang Riba'!$H$30,B2663&lt;='Uang Riba'!$I$30,OR(H2663="Dana riba",H2663="Pinjam uang riba",I2663="Pinjam dari uang riba",I2663="Ganti uang riba",I2663="Kelebihan ganti dikembalikan",AND(C2663="Kantong Uang Riba",G2663="Pengeluaran"))),1,0)</f>
        <v/>
      </c>
      <c r="X2663" s="93">
        <f>IF(AND(B2663&lt;&gt;"",B2663&gt;='Buku Akun'!$H$4,B2663&lt;='Buku Akun'!$H$5,OR(C2663='Buku Akun'!$C$4,AND(D2663="Pindah",E2663='Buku Akun'!$C$4))),B2663+IF(AND(I2663="Selisih bunga",DAY(B2663)=1),0,0.01)+ROW()/10000000,"")</f>
        <v/>
      </c>
    </row>
    <row r="2664" outlineLevel="1" ht="15" customHeight="1" s="94">
      <c r="A2664" s="123">
        <f>IF(B2664="","",ROW()-15)</f>
        <v/>
      </c>
      <c r="B2664" s="124" t="n"/>
      <c r="C2664" s="123" t="n"/>
      <c r="D2664" s="123" t="n"/>
      <c r="E2664" s="123" t="n"/>
      <c r="F2664" s="125" t="n"/>
      <c r="G2664" s="123" t="n"/>
      <c r="H2664" s="123" t="n"/>
      <c r="I2664" s="123" t="n"/>
      <c r="J2664" s="123" t="n"/>
      <c r="K2664" s="123" t="n"/>
      <c r="L2664" s="123" t="n"/>
      <c r="M2664" s="123">
        <f>IF(AND(B2664&lt;&gt;"",OR($C$4="",ISNUMBER(SEARCH($C$4,C2664&amp;" "&amp;E2664&amp;" "&amp;G2664&amp;" "&amp;H2664&amp;" "&amp;I2664&amp;" "&amp;J2664&amp;" "&amp;K2664&amp;" "&amp;L2664))),OR($C$5="Semua",$C$5="",G2664=$C$5),OR($C$6="Semua",$C$6="",H2664=$C$6,H2664="Pengeluaran "&amp;$C$6,AND($C$6="Uang Kos Mama",H2664="Pengeluaran Uang Kos")),OR($C$7="Semua",$C$7="",I2664=$C$7),OR($C$8="Semua",$C$8="",C2664=$C$8,E2664=$C$8),OR($C$9="Semua",$C$9="",D2664=$C$9),OR($C$10="",B2664&gt;=$C$10),OR($C$11="",B2664&lt;=$C$11),OR($C$12&lt;&gt;"Ya",K2664&lt;&gt;""),OR($C$13="Semua",$C$13="",L2664=$C$13)),"✓","")</f>
        <v/>
      </c>
      <c r="N2664" s="93">
        <f>N(N2663)+IF(M2664="✓",1,0)</f>
        <v/>
      </c>
      <c r="O2664" s="93">
        <f>N(O2663)+IF(AND(B2664&lt;&gt;"",B2664&gt;='Uang Riba'!$H$30,B2664&lt;='Uang Riba'!$I$30,OR(H2664="Dana riba",H2664="Pinjam uang riba",I2664="Pinjam dari uang riba",I2664="Ganti uang riba",I2664="Kelebihan ganti dikembalikan",AND(C2664="Kantong Uang Riba",G2664="Pengeluaran"))),1,0)</f>
        <v/>
      </c>
      <c r="X2664" s="93">
        <f>IF(AND(B2664&lt;&gt;"",B2664&gt;='Buku Akun'!$H$4,B2664&lt;='Buku Akun'!$H$5,OR(C2664='Buku Akun'!$C$4,AND(D2664="Pindah",E2664='Buku Akun'!$C$4))),B2664+IF(AND(I2664="Selisih bunga",DAY(B2664)=1),0,0.01)+ROW()/10000000,"")</f>
        <v/>
      </c>
    </row>
    <row r="2665" outlineLevel="1" ht="15" customHeight="1" s="94">
      <c r="A2665" s="123">
        <f>IF(B2665="","",ROW()-15)</f>
        <v/>
      </c>
      <c r="B2665" s="124" t="n"/>
      <c r="C2665" s="123" t="n"/>
      <c r="D2665" s="123" t="n"/>
      <c r="E2665" s="123" t="n"/>
      <c r="F2665" s="125" t="n"/>
      <c r="G2665" s="123" t="n"/>
      <c r="H2665" s="123" t="n"/>
      <c r="I2665" s="123" t="n"/>
      <c r="J2665" s="123" t="n"/>
      <c r="K2665" s="123" t="n"/>
      <c r="L2665" s="123" t="n"/>
      <c r="M2665" s="123">
        <f>IF(AND(B2665&lt;&gt;"",OR($C$4="",ISNUMBER(SEARCH($C$4,C2665&amp;" "&amp;E2665&amp;" "&amp;G2665&amp;" "&amp;H2665&amp;" "&amp;I2665&amp;" "&amp;J2665&amp;" "&amp;K2665&amp;" "&amp;L2665))),OR($C$5="Semua",$C$5="",G2665=$C$5),OR($C$6="Semua",$C$6="",H2665=$C$6,H2665="Pengeluaran "&amp;$C$6,AND($C$6="Uang Kos Mama",H2665="Pengeluaran Uang Kos")),OR($C$7="Semua",$C$7="",I2665=$C$7),OR($C$8="Semua",$C$8="",C2665=$C$8,E2665=$C$8),OR($C$9="Semua",$C$9="",D2665=$C$9),OR($C$10="",B2665&gt;=$C$10),OR($C$11="",B2665&lt;=$C$11),OR($C$12&lt;&gt;"Ya",K2665&lt;&gt;""),OR($C$13="Semua",$C$13="",L2665=$C$13)),"✓","")</f>
        <v/>
      </c>
      <c r="N2665" s="93">
        <f>N(N2664)+IF(M2665="✓",1,0)</f>
        <v/>
      </c>
      <c r="O2665" s="93">
        <f>N(O2664)+IF(AND(B2665&lt;&gt;"",B2665&gt;='Uang Riba'!$H$30,B2665&lt;='Uang Riba'!$I$30,OR(H2665="Dana riba",H2665="Pinjam uang riba",I2665="Pinjam dari uang riba",I2665="Ganti uang riba",I2665="Kelebihan ganti dikembalikan",AND(C2665="Kantong Uang Riba",G2665="Pengeluaran"))),1,0)</f>
        <v/>
      </c>
      <c r="X2665" s="93">
        <f>IF(AND(B2665&lt;&gt;"",B2665&gt;='Buku Akun'!$H$4,B2665&lt;='Buku Akun'!$H$5,OR(C2665='Buku Akun'!$C$4,AND(D2665="Pindah",E2665='Buku Akun'!$C$4))),B2665+IF(AND(I2665="Selisih bunga",DAY(B2665)=1),0,0.01)+ROW()/10000000,"")</f>
        <v/>
      </c>
    </row>
    <row r="2666" outlineLevel="1" ht="15" customHeight="1" s="94">
      <c r="A2666" s="123">
        <f>IF(B2666="","",ROW()-15)</f>
        <v/>
      </c>
      <c r="B2666" s="124" t="n"/>
      <c r="C2666" s="123" t="n"/>
      <c r="D2666" s="123" t="n"/>
      <c r="E2666" s="123" t="n"/>
      <c r="F2666" s="125" t="n"/>
      <c r="G2666" s="123" t="n"/>
      <c r="H2666" s="123" t="n"/>
      <c r="I2666" s="123" t="n"/>
      <c r="J2666" s="123" t="n"/>
      <c r="K2666" s="123" t="n"/>
      <c r="L2666" s="123" t="n"/>
      <c r="M2666" s="123">
        <f>IF(AND(B2666&lt;&gt;"",OR($C$4="",ISNUMBER(SEARCH($C$4,C2666&amp;" "&amp;E2666&amp;" "&amp;G2666&amp;" "&amp;H2666&amp;" "&amp;I2666&amp;" "&amp;J2666&amp;" "&amp;K2666&amp;" "&amp;L2666))),OR($C$5="Semua",$C$5="",G2666=$C$5),OR($C$6="Semua",$C$6="",H2666=$C$6,H2666="Pengeluaran "&amp;$C$6,AND($C$6="Uang Kos Mama",H2666="Pengeluaran Uang Kos")),OR($C$7="Semua",$C$7="",I2666=$C$7),OR($C$8="Semua",$C$8="",C2666=$C$8,E2666=$C$8),OR($C$9="Semua",$C$9="",D2666=$C$9),OR($C$10="",B2666&gt;=$C$10),OR($C$11="",B2666&lt;=$C$11),OR($C$12&lt;&gt;"Ya",K2666&lt;&gt;""),OR($C$13="Semua",$C$13="",L2666=$C$13)),"✓","")</f>
        <v/>
      </c>
      <c r="N2666" s="93">
        <f>N(N2665)+IF(M2666="✓",1,0)</f>
        <v/>
      </c>
      <c r="O2666" s="93">
        <f>N(O2665)+IF(AND(B2666&lt;&gt;"",B2666&gt;='Uang Riba'!$H$30,B2666&lt;='Uang Riba'!$I$30,OR(H2666="Dana riba",H2666="Pinjam uang riba",I2666="Pinjam dari uang riba",I2666="Ganti uang riba",I2666="Kelebihan ganti dikembalikan",AND(C2666="Kantong Uang Riba",G2666="Pengeluaran"))),1,0)</f>
        <v/>
      </c>
      <c r="X2666" s="93">
        <f>IF(AND(B2666&lt;&gt;"",B2666&gt;='Buku Akun'!$H$4,B2666&lt;='Buku Akun'!$H$5,OR(C2666='Buku Akun'!$C$4,AND(D2666="Pindah",E2666='Buku Akun'!$C$4))),B2666+IF(AND(I2666="Selisih bunga",DAY(B2666)=1),0,0.01)+ROW()/10000000,"")</f>
        <v/>
      </c>
    </row>
    <row r="2667" outlineLevel="1" ht="15" customHeight="1" s="94">
      <c r="A2667" s="123">
        <f>IF(B2667="","",ROW()-15)</f>
        <v/>
      </c>
      <c r="B2667" s="124" t="n"/>
      <c r="C2667" s="123" t="n"/>
      <c r="D2667" s="123" t="n"/>
      <c r="E2667" s="123" t="n"/>
      <c r="F2667" s="125" t="n"/>
      <c r="G2667" s="123" t="n"/>
      <c r="H2667" s="123" t="n"/>
      <c r="I2667" s="123" t="n"/>
      <c r="J2667" s="123" t="n"/>
      <c r="K2667" s="123" t="n"/>
      <c r="L2667" s="123" t="n"/>
      <c r="M2667" s="123">
        <f>IF(AND(B2667&lt;&gt;"",OR($C$4="",ISNUMBER(SEARCH($C$4,C2667&amp;" "&amp;E2667&amp;" "&amp;G2667&amp;" "&amp;H2667&amp;" "&amp;I2667&amp;" "&amp;J2667&amp;" "&amp;K2667&amp;" "&amp;L2667))),OR($C$5="Semua",$C$5="",G2667=$C$5),OR($C$6="Semua",$C$6="",H2667=$C$6,H2667="Pengeluaran "&amp;$C$6,AND($C$6="Uang Kos Mama",H2667="Pengeluaran Uang Kos")),OR($C$7="Semua",$C$7="",I2667=$C$7),OR($C$8="Semua",$C$8="",C2667=$C$8,E2667=$C$8),OR($C$9="Semua",$C$9="",D2667=$C$9),OR($C$10="",B2667&gt;=$C$10),OR($C$11="",B2667&lt;=$C$11),OR($C$12&lt;&gt;"Ya",K2667&lt;&gt;""),OR($C$13="Semua",$C$13="",L2667=$C$13)),"✓","")</f>
        <v/>
      </c>
      <c r="N2667" s="93">
        <f>N(N2666)+IF(M2667="✓",1,0)</f>
        <v/>
      </c>
      <c r="O2667" s="93">
        <f>N(O2666)+IF(AND(B2667&lt;&gt;"",B2667&gt;='Uang Riba'!$H$30,B2667&lt;='Uang Riba'!$I$30,OR(H2667="Dana riba",H2667="Pinjam uang riba",I2667="Pinjam dari uang riba",I2667="Ganti uang riba",I2667="Kelebihan ganti dikembalikan",AND(C2667="Kantong Uang Riba",G2667="Pengeluaran"))),1,0)</f>
        <v/>
      </c>
      <c r="X2667" s="93">
        <f>IF(AND(B2667&lt;&gt;"",B2667&gt;='Buku Akun'!$H$4,B2667&lt;='Buku Akun'!$H$5,OR(C2667='Buku Akun'!$C$4,AND(D2667="Pindah",E2667='Buku Akun'!$C$4))),B2667+IF(AND(I2667="Selisih bunga",DAY(B2667)=1),0,0.01)+ROW()/10000000,"")</f>
        <v/>
      </c>
    </row>
    <row r="2668" outlineLevel="1" ht="15" customHeight="1" s="94">
      <c r="A2668" s="123">
        <f>IF(B2668="","",ROW()-15)</f>
        <v/>
      </c>
      <c r="B2668" s="124" t="n"/>
      <c r="C2668" s="123" t="n"/>
      <c r="D2668" s="123" t="n"/>
      <c r="E2668" s="123" t="n"/>
      <c r="F2668" s="125" t="n"/>
      <c r="G2668" s="123" t="n"/>
      <c r="H2668" s="123" t="n"/>
      <c r="I2668" s="123" t="n"/>
      <c r="J2668" s="123" t="n"/>
      <c r="K2668" s="123" t="n"/>
      <c r="L2668" s="123" t="n"/>
      <c r="M2668" s="123">
        <f>IF(AND(B2668&lt;&gt;"",OR($C$4="",ISNUMBER(SEARCH($C$4,C2668&amp;" "&amp;E2668&amp;" "&amp;G2668&amp;" "&amp;H2668&amp;" "&amp;I2668&amp;" "&amp;J2668&amp;" "&amp;K2668&amp;" "&amp;L2668))),OR($C$5="Semua",$C$5="",G2668=$C$5),OR($C$6="Semua",$C$6="",H2668=$C$6,H2668="Pengeluaran "&amp;$C$6,AND($C$6="Uang Kos Mama",H2668="Pengeluaran Uang Kos")),OR($C$7="Semua",$C$7="",I2668=$C$7),OR($C$8="Semua",$C$8="",C2668=$C$8,E2668=$C$8),OR($C$9="Semua",$C$9="",D2668=$C$9),OR($C$10="",B2668&gt;=$C$10),OR($C$11="",B2668&lt;=$C$11),OR($C$12&lt;&gt;"Ya",K2668&lt;&gt;""),OR($C$13="Semua",$C$13="",L2668=$C$13)),"✓","")</f>
        <v/>
      </c>
      <c r="N2668" s="93">
        <f>N(N2667)+IF(M2668="✓",1,0)</f>
        <v/>
      </c>
      <c r="O2668" s="93">
        <f>N(O2667)+IF(AND(B2668&lt;&gt;"",B2668&gt;='Uang Riba'!$H$30,B2668&lt;='Uang Riba'!$I$30,OR(H2668="Dana riba",H2668="Pinjam uang riba",I2668="Pinjam dari uang riba",I2668="Ganti uang riba",I2668="Kelebihan ganti dikembalikan",AND(C2668="Kantong Uang Riba",G2668="Pengeluaran"))),1,0)</f>
        <v/>
      </c>
      <c r="X2668" s="93">
        <f>IF(AND(B2668&lt;&gt;"",B2668&gt;='Buku Akun'!$H$4,B2668&lt;='Buku Akun'!$H$5,OR(C2668='Buku Akun'!$C$4,AND(D2668="Pindah",E2668='Buku Akun'!$C$4))),B2668+IF(AND(I2668="Selisih bunga",DAY(B2668)=1),0,0.01)+ROW()/10000000,"")</f>
        <v/>
      </c>
    </row>
    <row r="2669" outlineLevel="1" ht="15" customHeight="1" s="94">
      <c r="A2669" s="123">
        <f>IF(B2669="","",ROW()-15)</f>
        <v/>
      </c>
      <c r="B2669" s="124" t="n"/>
      <c r="C2669" s="123" t="n"/>
      <c r="D2669" s="123" t="n"/>
      <c r="E2669" s="123" t="n"/>
      <c r="F2669" s="125" t="n"/>
      <c r="G2669" s="123" t="n"/>
      <c r="H2669" s="123" t="n"/>
      <c r="I2669" s="123" t="n"/>
      <c r="J2669" s="123" t="n"/>
      <c r="K2669" s="123" t="n"/>
      <c r="L2669" s="123" t="n"/>
      <c r="M2669" s="123">
        <f>IF(AND(B2669&lt;&gt;"",OR($C$4="",ISNUMBER(SEARCH($C$4,C2669&amp;" "&amp;E2669&amp;" "&amp;G2669&amp;" "&amp;H2669&amp;" "&amp;I2669&amp;" "&amp;J2669&amp;" "&amp;K2669&amp;" "&amp;L2669))),OR($C$5="Semua",$C$5="",G2669=$C$5),OR($C$6="Semua",$C$6="",H2669=$C$6,H2669="Pengeluaran "&amp;$C$6,AND($C$6="Uang Kos Mama",H2669="Pengeluaran Uang Kos")),OR($C$7="Semua",$C$7="",I2669=$C$7),OR($C$8="Semua",$C$8="",C2669=$C$8,E2669=$C$8),OR($C$9="Semua",$C$9="",D2669=$C$9),OR($C$10="",B2669&gt;=$C$10),OR($C$11="",B2669&lt;=$C$11),OR($C$12&lt;&gt;"Ya",K2669&lt;&gt;""),OR($C$13="Semua",$C$13="",L2669=$C$13)),"✓","")</f>
        <v/>
      </c>
      <c r="N2669" s="93">
        <f>N(N2668)+IF(M2669="✓",1,0)</f>
        <v/>
      </c>
      <c r="O2669" s="93">
        <f>N(O2668)+IF(AND(B2669&lt;&gt;"",B2669&gt;='Uang Riba'!$H$30,B2669&lt;='Uang Riba'!$I$30,OR(H2669="Dana riba",H2669="Pinjam uang riba",I2669="Pinjam dari uang riba",I2669="Ganti uang riba",I2669="Kelebihan ganti dikembalikan",AND(C2669="Kantong Uang Riba",G2669="Pengeluaran"))),1,0)</f>
        <v/>
      </c>
      <c r="X2669" s="93">
        <f>IF(AND(B2669&lt;&gt;"",B2669&gt;='Buku Akun'!$H$4,B2669&lt;='Buku Akun'!$H$5,OR(C2669='Buku Akun'!$C$4,AND(D2669="Pindah",E2669='Buku Akun'!$C$4))),B2669+IF(AND(I2669="Selisih bunga",DAY(B2669)=1),0,0.01)+ROW()/10000000,"")</f>
        <v/>
      </c>
    </row>
    <row r="2670" outlineLevel="1" ht="15" customHeight="1" s="94">
      <c r="A2670" s="123">
        <f>IF(B2670="","",ROW()-15)</f>
        <v/>
      </c>
      <c r="B2670" s="124" t="n"/>
      <c r="C2670" s="123" t="n"/>
      <c r="D2670" s="123" t="n"/>
      <c r="E2670" s="123" t="n"/>
      <c r="F2670" s="125" t="n"/>
      <c r="G2670" s="123" t="n"/>
      <c r="H2670" s="123" t="n"/>
      <c r="I2670" s="123" t="n"/>
      <c r="J2670" s="123" t="n"/>
      <c r="K2670" s="123" t="n"/>
      <c r="L2670" s="123" t="n"/>
      <c r="M2670" s="123">
        <f>IF(AND(B2670&lt;&gt;"",OR($C$4="",ISNUMBER(SEARCH($C$4,C2670&amp;" "&amp;E2670&amp;" "&amp;G2670&amp;" "&amp;H2670&amp;" "&amp;I2670&amp;" "&amp;J2670&amp;" "&amp;K2670&amp;" "&amp;L2670))),OR($C$5="Semua",$C$5="",G2670=$C$5),OR($C$6="Semua",$C$6="",H2670=$C$6,H2670="Pengeluaran "&amp;$C$6,AND($C$6="Uang Kos Mama",H2670="Pengeluaran Uang Kos")),OR($C$7="Semua",$C$7="",I2670=$C$7),OR($C$8="Semua",$C$8="",C2670=$C$8,E2670=$C$8),OR($C$9="Semua",$C$9="",D2670=$C$9),OR($C$10="",B2670&gt;=$C$10),OR($C$11="",B2670&lt;=$C$11),OR($C$12&lt;&gt;"Ya",K2670&lt;&gt;""),OR($C$13="Semua",$C$13="",L2670=$C$13)),"✓","")</f>
        <v/>
      </c>
      <c r="N2670" s="93">
        <f>N(N2669)+IF(M2670="✓",1,0)</f>
        <v/>
      </c>
      <c r="O2670" s="93">
        <f>N(O2669)+IF(AND(B2670&lt;&gt;"",B2670&gt;='Uang Riba'!$H$30,B2670&lt;='Uang Riba'!$I$30,OR(H2670="Dana riba",H2670="Pinjam uang riba",I2670="Pinjam dari uang riba",I2670="Ganti uang riba",I2670="Kelebihan ganti dikembalikan",AND(C2670="Kantong Uang Riba",G2670="Pengeluaran"))),1,0)</f>
        <v/>
      </c>
      <c r="X2670" s="93">
        <f>IF(AND(B2670&lt;&gt;"",B2670&gt;='Buku Akun'!$H$4,B2670&lt;='Buku Akun'!$H$5,OR(C2670='Buku Akun'!$C$4,AND(D2670="Pindah",E2670='Buku Akun'!$C$4))),B2670+IF(AND(I2670="Selisih bunga",DAY(B2670)=1),0,0.01)+ROW()/10000000,"")</f>
        <v/>
      </c>
    </row>
    <row r="2671" outlineLevel="1" ht="15" customHeight="1" s="94">
      <c r="A2671" s="123">
        <f>IF(B2671="","",ROW()-15)</f>
        <v/>
      </c>
      <c r="B2671" s="124" t="n"/>
      <c r="C2671" s="123" t="n"/>
      <c r="D2671" s="123" t="n"/>
      <c r="E2671" s="123" t="n"/>
      <c r="F2671" s="125" t="n"/>
      <c r="G2671" s="123" t="n"/>
      <c r="H2671" s="123" t="n"/>
      <c r="I2671" s="123" t="n"/>
      <c r="J2671" s="123" t="n"/>
      <c r="K2671" s="123" t="n"/>
      <c r="L2671" s="123" t="n"/>
      <c r="M2671" s="123">
        <f>IF(AND(B2671&lt;&gt;"",OR($C$4="",ISNUMBER(SEARCH($C$4,C2671&amp;" "&amp;E2671&amp;" "&amp;G2671&amp;" "&amp;H2671&amp;" "&amp;I2671&amp;" "&amp;J2671&amp;" "&amp;K2671&amp;" "&amp;L2671))),OR($C$5="Semua",$C$5="",G2671=$C$5),OR($C$6="Semua",$C$6="",H2671=$C$6,H2671="Pengeluaran "&amp;$C$6,AND($C$6="Uang Kos Mama",H2671="Pengeluaran Uang Kos")),OR($C$7="Semua",$C$7="",I2671=$C$7),OR($C$8="Semua",$C$8="",C2671=$C$8,E2671=$C$8),OR($C$9="Semua",$C$9="",D2671=$C$9),OR($C$10="",B2671&gt;=$C$10),OR($C$11="",B2671&lt;=$C$11),OR($C$12&lt;&gt;"Ya",K2671&lt;&gt;""),OR($C$13="Semua",$C$13="",L2671=$C$13)),"✓","")</f>
        <v/>
      </c>
      <c r="N2671" s="93">
        <f>N(N2670)+IF(M2671="✓",1,0)</f>
        <v/>
      </c>
      <c r="O2671" s="93">
        <f>N(O2670)+IF(AND(B2671&lt;&gt;"",B2671&gt;='Uang Riba'!$H$30,B2671&lt;='Uang Riba'!$I$30,OR(H2671="Dana riba",H2671="Pinjam uang riba",I2671="Pinjam dari uang riba",I2671="Ganti uang riba",I2671="Kelebihan ganti dikembalikan",AND(C2671="Kantong Uang Riba",G2671="Pengeluaran"))),1,0)</f>
        <v/>
      </c>
      <c r="X2671" s="93">
        <f>IF(AND(B2671&lt;&gt;"",B2671&gt;='Buku Akun'!$H$4,B2671&lt;='Buku Akun'!$H$5,OR(C2671='Buku Akun'!$C$4,AND(D2671="Pindah",E2671='Buku Akun'!$C$4))),B2671+IF(AND(I2671="Selisih bunga",DAY(B2671)=1),0,0.01)+ROW()/10000000,"")</f>
        <v/>
      </c>
    </row>
    <row r="2672" outlineLevel="1" ht="15" customHeight="1" s="94">
      <c r="A2672" s="123">
        <f>IF(B2672="","",ROW()-15)</f>
        <v/>
      </c>
      <c r="B2672" s="124" t="n"/>
      <c r="C2672" s="123" t="n"/>
      <c r="D2672" s="123" t="n"/>
      <c r="E2672" s="123" t="n"/>
      <c r="F2672" s="125" t="n"/>
      <c r="G2672" s="123" t="n"/>
      <c r="H2672" s="123" t="n"/>
      <c r="I2672" s="123" t="n"/>
      <c r="J2672" s="123" t="n"/>
      <c r="K2672" s="123" t="n"/>
      <c r="L2672" s="123" t="n"/>
      <c r="M2672" s="123">
        <f>IF(AND(B2672&lt;&gt;"",OR($C$4="",ISNUMBER(SEARCH($C$4,C2672&amp;" "&amp;E2672&amp;" "&amp;G2672&amp;" "&amp;H2672&amp;" "&amp;I2672&amp;" "&amp;J2672&amp;" "&amp;K2672&amp;" "&amp;L2672))),OR($C$5="Semua",$C$5="",G2672=$C$5),OR($C$6="Semua",$C$6="",H2672=$C$6,H2672="Pengeluaran "&amp;$C$6,AND($C$6="Uang Kos Mama",H2672="Pengeluaran Uang Kos")),OR($C$7="Semua",$C$7="",I2672=$C$7),OR($C$8="Semua",$C$8="",C2672=$C$8,E2672=$C$8),OR($C$9="Semua",$C$9="",D2672=$C$9),OR($C$10="",B2672&gt;=$C$10),OR($C$11="",B2672&lt;=$C$11),OR($C$12&lt;&gt;"Ya",K2672&lt;&gt;""),OR($C$13="Semua",$C$13="",L2672=$C$13)),"✓","")</f>
        <v/>
      </c>
      <c r="N2672" s="93">
        <f>N(N2671)+IF(M2672="✓",1,0)</f>
        <v/>
      </c>
      <c r="O2672" s="93">
        <f>N(O2671)+IF(AND(B2672&lt;&gt;"",B2672&gt;='Uang Riba'!$H$30,B2672&lt;='Uang Riba'!$I$30,OR(H2672="Dana riba",H2672="Pinjam uang riba",I2672="Pinjam dari uang riba",I2672="Ganti uang riba",I2672="Kelebihan ganti dikembalikan",AND(C2672="Kantong Uang Riba",G2672="Pengeluaran"))),1,0)</f>
        <v/>
      </c>
      <c r="X2672" s="93">
        <f>IF(AND(B2672&lt;&gt;"",B2672&gt;='Buku Akun'!$H$4,B2672&lt;='Buku Akun'!$H$5,OR(C2672='Buku Akun'!$C$4,AND(D2672="Pindah",E2672='Buku Akun'!$C$4))),B2672+IF(AND(I2672="Selisih bunga",DAY(B2672)=1),0,0.01)+ROW()/10000000,"")</f>
        <v/>
      </c>
    </row>
    <row r="2673" outlineLevel="1" ht="15" customHeight="1" s="94">
      <c r="A2673" s="123">
        <f>IF(B2673="","",ROW()-15)</f>
        <v/>
      </c>
      <c r="B2673" s="124" t="n"/>
      <c r="C2673" s="123" t="n"/>
      <c r="D2673" s="123" t="n"/>
      <c r="E2673" s="123" t="n"/>
      <c r="F2673" s="125" t="n"/>
      <c r="G2673" s="123" t="n"/>
      <c r="H2673" s="123" t="n"/>
      <c r="I2673" s="123" t="n"/>
      <c r="J2673" s="123" t="n"/>
      <c r="K2673" s="123" t="n"/>
      <c r="L2673" s="123" t="n"/>
      <c r="M2673" s="123">
        <f>IF(AND(B2673&lt;&gt;"",OR($C$4="",ISNUMBER(SEARCH($C$4,C2673&amp;" "&amp;E2673&amp;" "&amp;G2673&amp;" "&amp;H2673&amp;" "&amp;I2673&amp;" "&amp;J2673&amp;" "&amp;K2673&amp;" "&amp;L2673))),OR($C$5="Semua",$C$5="",G2673=$C$5),OR($C$6="Semua",$C$6="",H2673=$C$6,H2673="Pengeluaran "&amp;$C$6,AND($C$6="Uang Kos Mama",H2673="Pengeluaran Uang Kos")),OR($C$7="Semua",$C$7="",I2673=$C$7),OR($C$8="Semua",$C$8="",C2673=$C$8,E2673=$C$8),OR($C$9="Semua",$C$9="",D2673=$C$9),OR($C$10="",B2673&gt;=$C$10),OR($C$11="",B2673&lt;=$C$11),OR($C$12&lt;&gt;"Ya",K2673&lt;&gt;""),OR($C$13="Semua",$C$13="",L2673=$C$13)),"✓","")</f>
        <v/>
      </c>
      <c r="N2673" s="93">
        <f>N(N2672)+IF(M2673="✓",1,0)</f>
        <v/>
      </c>
      <c r="O2673" s="93">
        <f>N(O2672)+IF(AND(B2673&lt;&gt;"",B2673&gt;='Uang Riba'!$H$30,B2673&lt;='Uang Riba'!$I$30,OR(H2673="Dana riba",H2673="Pinjam uang riba",I2673="Pinjam dari uang riba",I2673="Ganti uang riba",I2673="Kelebihan ganti dikembalikan",AND(C2673="Kantong Uang Riba",G2673="Pengeluaran"))),1,0)</f>
        <v/>
      </c>
      <c r="X2673" s="93">
        <f>IF(AND(B2673&lt;&gt;"",B2673&gt;='Buku Akun'!$H$4,B2673&lt;='Buku Akun'!$H$5,OR(C2673='Buku Akun'!$C$4,AND(D2673="Pindah",E2673='Buku Akun'!$C$4))),B2673+IF(AND(I2673="Selisih bunga",DAY(B2673)=1),0,0.01)+ROW()/10000000,"")</f>
        <v/>
      </c>
    </row>
    <row r="2674" outlineLevel="1" ht="15" customHeight="1" s="94">
      <c r="A2674" s="123">
        <f>IF(B2674="","",ROW()-15)</f>
        <v/>
      </c>
      <c r="B2674" s="124" t="n"/>
      <c r="C2674" s="123" t="n"/>
      <c r="D2674" s="123" t="n"/>
      <c r="E2674" s="123" t="n"/>
      <c r="F2674" s="125" t="n"/>
      <c r="G2674" s="123" t="n"/>
      <c r="H2674" s="123" t="n"/>
      <c r="I2674" s="123" t="n"/>
      <c r="J2674" s="123" t="n"/>
      <c r="K2674" s="123" t="n"/>
      <c r="L2674" s="123" t="n"/>
      <c r="M2674" s="123">
        <f>IF(AND(B2674&lt;&gt;"",OR($C$4="",ISNUMBER(SEARCH($C$4,C2674&amp;" "&amp;E2674&amp;" "&amp;G2674&amp;" "&amp;H2674&amp;" "&amp;I2674&amp;" "&amp;J2674&amp;" "&amp;K2674&amp;" "&amp;L2674))),OR($C$5="Semua",$C$5="",G2674=$C$5),OR($C$6="Semua",$C$6="",H2674=$C$6,H2674="Pengeluaran "&amp;$C$6,AND($C$6="Uang Kos Mama",H2674="Pengeluaran Uang Kos")),OR($C$7="Semua",$C$7="",I2674=$C$7),OR($C$8="Semua",$C$8="",C2674=$C$8,E2674=$C$8),OR($C$9="Semua",$C$9="",D2674=$C$9),OR($C$10="",B2674&gt;=$C$10),OR($C$11="",B2674&lt;=$C$11),OR($C$12&lt;&gt;"Ya",K2674&lt;&gt;""),OR($C$13="Semua",$C$13="",L2674=$C$13)),"✓","")</f>
        <v/>
      </c>
      <c r="N2674" s="93">
        <f>N(N2673)+IF(M2674="✓",1,0)</f>
        <v/>
      </c>
      <c r="O2674" s="93">
        <f>N(O2673)+IF(AND(B2674&lt;&gt;"",B2674&gt;='Uang Riba'!$H$30,B2674&lt;='Uang Riba'!$I$30,OR(H2674="Dana riba",H2674="Pinjam uang riba",I2674="Pinjam dari uang riba",I2674="Ganti uang riba",I2674="Kelebihan ganti dikembalikan",AND(C2674="Kantong Uang Riba",G2674="Pengeluaran"))),1,0)</f>
        <v/>
      </c>
      <c r="X2674" s="93">
        <f>IF(AND(B2674&lt;&gt;"",B2674&gt;='Buku Akun'!$H$4,B2674&lt;='Buku Akun'!$H$5,OR(C2674='Buku Akun'!$C$4,AND(D2674="Pindah",E2674='Buku Akun'!$C$4))),B2674+IF(AND(I2674="Selisih bunga",DAY(B2674)=1),0,0.01)+ROW()/10000000,"")</f>
        <v/>
      </c>
    </row>
    <row r="2675" outlineLevel="1" ht="15" customHeight="1" s="94">
      <c r="A2675" s="123">
        <f>IF(B2675="","",ROW()-15)</f>
        <v/>
      </c>
      <c r="B2675" s="124" t="n"/>
      <c r="C2675" s="123" t="n"/>
      <c r="D2675" s="123" t="n"/>
      <c r="E2675" s="123" t="n"/>
      <c r="F2675" s="125" t="n"/>
      <c r="G2675" s="123" t="n"/>
      <c r="H2675" s="123" t="n"/>
      <c r="I2675" s="123" t="n"/>
      <c r="J2675" s="123" t="n"/>
      <c r="K2675" s="123" t="n"/>
      <c r="L2675" s="123" t="n"/>
      <c r="M2675" s="123">
        <f>IF(AND(B2675&lt;&gt;"",OR($C$4="",ISNUMBER(SEARCH($C$4,C2675&amp;" "&amp;E2675&amp;" "&amp;G2675&amp;" "&amp;H2675&amp;" "&amp;I2675&amp;" "&amp;J2675&amp;" "&amp;K2675&amp;" "&amp;L2675))),OR($C$5="Semua",$C$5="",G2675=$C$5),OR($C$6="Semua",$C$6="",H2675=$C$6,H2675="Pengeluaran "&amp;$C$6,AND($C$6="Uang Kos Mama",H2675="Pengeluaran Uang Kos")),OR($C$7="Semua",$C$7="",I2675=$C$7),OR($C$8="Semua",$C$8="",C2675=$C$8,E2675=$C$8),OR($C$9="Semua",$C$9="",D2675=$C$9),OR($C$10="",B2675&gt;=$C$10),OR($C$11="",B2675&lt;=$C$11),OR($C$12&lt;&gt;"Ya",K2675&lt;&gt;""),OR($C$13="Semua",$C$13="",L2675=$C$13)),"✓","")</f>
        <v/>
      </c>
      <c r="N2675" s="93">
        <f>N(N2674)+IF(M2675="✓",1,0)</f>
        <v/>
      </c>
      <c r="O2675" s="93">
        <f>N(O2674)+IF(AND(B2675&lt;&gt;"",B2675&gt;='Uang Riba'!$H$30,B2675&lt;='Uang Riba'!$I$30,OR(H2675="Dana riba",H2675="Pinjam uang riba",I2675="Pinjam dari uang riba",I2675="Ganti uang riba",I2675="Kelebihan ganti dikembalikan",AND(C2675="Kantong Uang Riba",G2675="Pengeluaran"))),1,0)</f>
        <v/>
      </c>
      <c r="X2675" s="93">
        <f>IF(AND(B2675&lt;&gt;"",B2675&gt;='Buku Akun'!$H$4,B2675&lt;='Buku Akun'!$H$5,OR(C2675='Buku Akun'!$C$4,AND(D2675="Pindah",E2675='Buku Akun'!$C$4))),B2675+IF(AND(I2675="Selisih bunga",DAY(B2675)=1),0,0.01)+ROW()/10000000,"")</f>
        <v/>
      </c>
    </row>
    <row r="2676" outlineLevel="1" ht="15" customHeight="1" s="94">
      <c r="A2676" s="123">
        <f>IF(B2676="","",ROW()-15)</f>
        <v/>
      </c>
      <c r="B2676" s="124" t="n"/>
      <c r="C2676" s="123" t="n"/>
      <c r="D2676" s="123" t="n"/>
      <c r="E2676" s="123" t="n"/>
      <c r="F2676" s="125" t="n"/>
      <c r="G2676" s="123" t="n"/>
      <c r="H2676" s="123" t="n"/>
      <c r="I2676" s="123" t="n"/>
      <c r="J2676" s="123" t="n"/>
      <c r="K2676" s="123" t="n"/>
      <c r="L2676" s="123" t="n"/>
      <c r="M2676" s="123">
        <f>IF(AND(B2676&lt;&gt;"",OR($C$4="",ISNUMBER(SEARCH($C$4,C2676&amp;" "&amp;E2676&amp;" "&amp;G2676&amp;" "&amp;H2676&amp;" "&amp;I2676&amp;" "&amp;J2676&amp;" "&amp;K2676&amp;" "&amp;L2676))),OR($C$5="Semua",$C$5="",G2676=$C$5),OR($C$6="Semua",$C$6="",H2676=$C$6,H2676="Pengeluaran "&amp;$C$6,AND($C$6="Uang Kos Mama",H2676="Pengeluaran Uang Kos")),OR($C$7="Semua",$C$7="",I2676=$C$7),OR($C$8="Semua",$C$8="",C2676=$C$8,E2676=$C$8),OR($C$9="Semua",$C$9="",D2676=$C$9),OR($C$10="",B2676&gt;=$C$10),OR($C$11="",B2676&lt;=$C$11),OR($C$12&lt;&gt;"Ya",K2676&lt;&gt;""),OR($C$13="Semua",$C$13="",L2676=$C$13)),"✓","")</f>
        <v/>
      </c>
      <c r="N2676" s="93">
        <f>N(N2675)+IF(M2676="✓",1,0)</f>
        <v/>
      </c>
      <c r="O2676" s="93">
        <f>N(O2675)+IF(AND(B2676&lt;&gt;"",B2676&gt;='Uang Riba'!$H$30,B2676&lt;='Uang Riba'!$I$30,OR(H2676="Dana riba",H2676="Pinjam uang riba",I2676="Pinjam dari uang riba",I2676="Ganti uang riba",I2676="Kelebihan ganti dikembalikan",AND(C2676="Kantong Uang Riba",G2676="Pengeluaran"))),1,0)</f>
        <v/>
      </c>
      <c r="X2676" s="93">
        <f>IF(AND(B2676&lt;&gt;"",B2676&gt;='Buku Akun'!$H$4,B2676&lt;='Buku Akun'!$H$5,OR(C2676='Buku Akun'!$C$4,AND(D2676="Pindah",E2676='Buku Akun'!$C$4))),B2676+IF(AND(I2676="Selisih bunga",DAY(B2676)=1),0,0.01)+ROW()/10000000,"")</f>
        <v/>
      </c>
    </row>
    <row r="2677" outlineLevel="1" ht="15" customHeight="1" s="94">
      <c r="A2677" s="123">
        <f>IF(B2677="","",ROW()-15)</f>
        <v/>
      </c>
      <c r="B2677" s="124" t="n"/>
      <c r="C2677" s="123" t="n"/>
      <c r="D2677" s="123" t="n"/>
      <c r="E2677" s="123" t="n"/>
      <c r="F2677" s="125" t="n"/>
      <c r="G2677" s="123" t="n"/>
      <c r="H2677" s="123" t="n"/>
      <c r="I2677" s="123" t="n"/>
      <c r="J2677" s="123" t="n"/>
      <c r="K2677" s="123" t="n"/>
      <c r="L2677" s="123" t="n"/>
      <c r="M2677" s="123">
        <f>IF(AND(B2677&lt;&gt;"",OR($C$4="",ISNUMBER(SEARCH($C$4,C2677&amp;" "&amp;E2677&amp;" "&amp;G2677&amp;" "&amp;H2677&amp;" "&amp;I2677&amp;" "&amp;J2677&amp;" "&amp;K2677&amp;" "&amp;L2677))),OR($C$5="Semua",$C$5="",G2677=$C$5),OR($C$6="Semua",$C$6="",H2677=$C$6,H2677="Pengeluaran "&amp;$C$6,AND($C$6="Uang Kos Mama",H2677="Pengeluaran Uang Kos")),OR($C$7="Semua",$C$7="",I2677=$C$7),OR($C$8="Semua",$C$8="",C2677=$C$8,E2677=$C$8),OR($C$9="Semua",$C$9="",D2677=$C$9),OR($C$10="",B2677&gt;=$C$10),OR($C$11="",B2677&lt;=$C$11),OR($C$12&lt;&gt;"Ya",K2677&lt;&gt;""),OR($C$13="Semua",$C$13="",L2677=$C$13)),"✓","")</f>
        <v/>
      </c>
      <c r="N2677" s="93">
        <f>N(N2676)+IF(M2677="✓",1,0)</f>
        <v/>
      </c>
      <c r="O2677" s="93">
        <f>N(O2676)+IF(AND(B2677&lt;&gt;"",B2677&gt;='Uang Riba'!$H$30,B2677&lt;='Uang Riba'!$I$30,OR(H2677="Dana riba",H2677="Pinjam uang riba",I2677="Pinjam dari uang riba",I2677="Ganti uang riba",I2677="Kelebihan ganti dikembalikan",AND(C2677="Kantong Uang Riba",G2677="Pengeluaran"))),1,0)</f>
        <v/>
      </c>
      <c r="X2677" s="93">
        <f>IF(AND(B2677&lt;&gt;"",B2677&gt;='Buku Akun'!$H$4,B2677&lt;='Buku Akun'!$H$5,OR(C2677='Buku Akun'!$C$4,AND(D2677="Pindah",E2677='Buku Akun'!$C$4))),B2677+IF(AND(I2677="Selisih bunga",DAY(B2677)=1),0,0.01)+ROW()/10000000,"")</f>
        <v/>
      </c>
    </row>
    <row r="2678" outlineLevel="1" ht="15" customHeight="1" s="94">
      <c r="A2678" s="123">
        <f>IF(B2678="","",ROW()-15)</f>
        <v/>
      </c>
      <c r="B2678" s="124" t="n"/>
      <c r="C2678" s="123" t="n"/>
      <c r="D2678" s="123" t="n"/>
      <c r="E2678" s="123" t="n"/>
      <c r="F2678" s="125" t="n"/>
      <c r="G2678" s="123" t="n"/>
      <c r="H2678" s="123" t="n"/>
      <c r="I2678" s="123" t="n"/>
      <c r="J2678" s="123" t="n"/>
      <c r="K2678" s="123" t="n"/>
      <c r="L2678" s="123" t="n"/>
      <c r="M2678" s="123">
        <f>IF(AND(B2678&lt;&gt;"",OR($C$4="",ISNUMBER(SEARCH($C$4,C2678&amp;" "&amp;E2678&amp;" "&amp;G2678&amp;" "&amp;H2678&amp;" "&amp;I2678&amp;" "&amp;J2678&amp;" "&amp;K2678&amp;" "&amp;L2678))),OR($C$5="Semua",$C$5="",G2678=$C$5),OR($C$6="Semua",$C$6="",H2678=$C$6,H2678="Pengeluaran "&amp;$C$6,AND($C$6="Uang Kos Mama",H2678="Pengeluaran Uang Kos")),OR($C$7="Semua",$C$7="",I2678=$C$7),OR($C$8="Semua",$C$8="",C2678=$C$8,E2678=$C$8),OR($C$9="Semua",$C$9="",D2678=$C$9),OR($C$10="",B2678&gt;=$C$10),OR($C$11="",B2678&lt;=$C$11),OR($C$12&lt;&gt;"Ya",K2678&lt;&gt;""),OR($C$13="Semua",$C$13="",L2678=$C$13)),"✓","")</f>
        <v/>
      </c>
      <c r="N2678" s="93">
        <f>N(N2677)+IF(M2678="✓",1,0)</f>
        <v/>
      </c>
      <c r="O2678" s="93">
        <f>N(O2677)+IF(AND(B2678&lt;&gt;"",B2678&gt;='Uang Riba'!$H$30,B2678&lt;='Uang Riba'!$I$30,OR(H2678="Dana riba",H2678="Pinjam uang riba",I2678="Pinjam dari uang riba",I2678="Ganti uang riba",I2678="Kelebihan ganti dikembalikan",AND(C2678="Kantong Uang Riba",G2678="Pengeluaran"))),1,0)</f>
        <v/>
      </c>
      <c r="X2678" s="93">
        <f>IF(AND(B2678&lt;&gt;"",B2678&gt;='Buku Akun'!$H$4,B2678&lt;='Buku Akun'!$H$5,OR(C2678='Buku Akun'!$C$4,AND(D2678="Pindah",E2678='Buku Akun'!$C$4))),B2678+IF(AND(I2678="Selisih bunga",DAY(B2678)=1),0,0.01)+ROW()/10000000,"")</f>
        <v/>
      </c>
    </row>
    <row r="2679" outlineLevel="1" ht="15" customHeight="1" s="94">
      <c r="A2679" s="123">
        <f>IF(B2679="","",ROW()-15)</f>
        <v/>
      </c>
      <c r="B2679" s="124" t="n"/>
      <c r="C2679" s="123" t="n"/>
      <c r="D2679" s="123" t="n"/>
      <c r="E2679" s="123" t="n"/>
      <c r="F2679" s="125" t="n"/>
      <c r="G2679" s="123" t="n"/>
      <c r="H2679" s="123" t="n"/>
      <c r="I2679" s="123" t="n"/>
      <c r="J2679" s="123" t="n"/>
      <c r="K2679" s="123" t="n"/>
      <c r="L2679" s="123" t="n"/>
      <c r="M2679" s="123">
        <f>IF(AND(B2679&lt;&gt;"",OR($C$4="",ISNUMBER(SEARCH($C$4,C2679&amp;" "&amp;E2679&amp;" "&amp;G2679&amp;" "&amp;H2679&amp;" "&amp;I2679&amp;" "&amp;J2679&amp;" "&amp;K2679&amp;" "&amp;L2679))),OR($C$5="Semua",$C$5="",G2679=$C$5),OR($C$6="Semua",$C$6="",H2679=$C$6,H2679="Pengeluaran "&amp;$C$6,AND($C$6="Uang Kos Mama",H2679="Pengeluaran Uang Kos")),OR($C$7="Semua",$C$7="",I2679=$C$7),OR($C$8="Semua",$C$8="",C2679=$C$8,E2679=$C$8),OR($C$9="Semua",$C$9="",D2679=$C$9),OR($C$10="",B2679&gt;=$C$10),OR($C$11="",B2679&lt;=$C$11),OR($C$12&lt;&gt;"Ya",K2679&lt;&gt;""),OR($C$13="Semua",$C$13="",L2679=$C$13)),"✓","")</f>
        <v/>
      </c>
      <c r="N2679" s="93">
        <f>N(N2678)+IF(M2679="✓",1,0)</f>
        <v/>
      </c>
      <c r="O2679" s="93">
        <f>N(O2678)+IF(AND(B2679&lt;&gt;"",B2679&gt;='Uang Riba'!$H$30,B2679&lt;='Uang Riba'!$I$30,OR(H2679="Dana riba",H2679="Pinjam uang riba",I2679="Pinjam dari uang riba",I2679="Ganti uang riba",I2679="Kelebihan ganti dikembalikan",AND(C2679="Kantong Uang Riba",G2679="Pengeluaran"))),1,0)</f>
        <v/>
      </c>
      <c r="X2679" s="93">
        <f>IF(AND(B2679&lt;&gt;"",B2679&gt;='Buku Akun'!$H$4,B2679&lt;='Buku Akun'!$H$5,OR(C2679='Buku Akun'!$C$4,AND(D2679="Pindah",E2679='Buku Akun'!$C$4))),B2679+IF(AND(I2679="Selisih bunga",DAY(B2679)=1),0,0.01)+ROW()/10000000,"")</f>
        <v/>
      </c>
    </row>
    <row r="2680" outlineLevel="1" ht="15" customHeight="1" s="94">
      <c r="A2680" s="123">
        <f>IF(B2680="","",ROW()-15)</f>
        <v/>
      </c>
      <c r="B2680" s="124" t="n"/>
      <c r="C2680" s="123" t="n"/>
      <c r="D2680" s="123" t="n"/>
      <c r="E2680" s="123" t="n"/>
      <c r="F2680" s="125" t="n"/>
      <c r="G2680" s="123" t="n"/>
      <c r="H2680" s="123" t="n"/>
      <c r="I2680" s="123" t="n"/>
      <c r="J2680" s="123" t="n"/>
      <c r="K2680" s="123" t="n"/>
      <c r="L2680" s="123" t="n"/>
      <c r="M2680" s="123">
        <f>IF(AND(B2680&lt;&gt;"",OR($C$4="",ISNUMBER(SEARCH($C$4,C2680&amp;" "&amp;E2680&amp;" "&amp;G2680&amp;" "&amp;H2680&amp;" "&amp;I2680&amp;" "&amp;J2680&amp;" "&amp;K2680&amp;" "&amp;L2680))),OR($C$5="Semua",$C$5="",G2680=$C$5),OR($C$6="Semua",$C$6="",H2680=$C$6,H2680="Pengeluaran "&amp;$C$6,AND($C$6="Uang Kos Mama",H2680="Pengeluaran Uang Kos")),OR($C$7="Semua",$C$7="",I2680=$C$7),OR($C$8="Semua",$C$8="",C2680=$C$8,E2680=$C$8),OR($C$9="Semua",$C$9="",D2680=$C$9),OR($C$10="",B2680&gt;=$C$10),OR($C$11="",B2680&lt;=$C$11),OR($C$12&lt;&gt;"Ya",K2680&lt;&gt;""),OR($C$13="Semua",$C$13="",L2680=$C$13)),"✓","")</f>
        <v/>
      </c>
      <c r="N2680" s="93">
        <f>N(N2679)+IF(M2680="✓",1,0)</f>
        <v/>
      </c>
      <c r="O2680" s="93">
        <f>N(O2679)+IF(AND(B2680&lt;&gt;"",B2680&gt;='Uang Riba'!$H$30,B2680&lt;='Uang Riba'!$I$30,OR(H2680="Dana riba",H2680="Pinjam uang riba",I2680="Pinjam dari uang riba",I2680="Ganti uang riba",I2680="Kelebihan ganti dikembalikan",AND(C2680="Kantong Uang Riba",G2680="Pengeluaran"))),1,0)</f>
        <v/>
      </c>
      <c r="X2680" s="93">
        <f>IF(AND(B2680&lt;&gt;"",B2680&gt;='Buku Akun'!$H$4,B2680&lt;='Buku Akun'!$H$5,OR(C2680='Buku Akun'!$C$4,AND(D2680="Pindah",E2680='Buku Akun'!$C$4))),B2680+IF(AND(I2680="Selisih bunga",DAY(B2680)=1),0,0.01)+ROW()/10000000,"")</f>
        <v/>
      </c>
    </row>
    <row r="2681" outlineLevel="1" ht="15" customHeight="1" s="94">
      <c r="A2681" s="123">
        <f>IF(B2681="","",ROW()-15)</f>
        <v/>
      </c>
      <c r="B2681" s="124" t="n"/>
      <c r="C2681" s="123" t="n"/>
      <c r="D2681" s="123" t="n"/>
      <c r="E2681" s="123" t="n"/>
      <c r="F2681" s="125" t="n"/>
      <c r="G2681" s="123" t="n"/>
      <c r="H2681" s="123" t="n"/>
      <c r="I2681" s="123" t="n"/>
      <c r="J2681" s="123" t="n"/>
      <c r="K2681" s="123" t="n"/>
      <c r="L2681" s="123" t="n"/>
      <c r="M2681" s="123">
        <f>IF(AND(B2681&lt;&gt;"",OR($C$4="",ISNUMBER(SEARCH($C$4,C2681&amp;" "&amp;E2681&amp;" "&amp;G2681&amp;" "&amp;H2681&amp;" "&amp;I2681&amp;" "&amp;J2681&amp;" "&amp;K2681&amp;" "&amp;L2681))),OR($C$5="Semua",$C$5="",G2681=$C$5),OR($C$6="Semua",$C$6="",H2681=$C$6,H2681="Pengeluaran "&amp;$C$6,AND($C$6="Uang Kos Mama",H2681="Pengeluaran Uang Kos")),OR($C$7="Semua",$C$7="",I2681=$C$7),OR($C$8="Semua",$C$8="",C2681=$C$8,E2681=$C$8),OR($C$9="Semua",$C$9="",D2681=$C$9),OR($C$10="",B2681&gt;=$C$10),OR($C$11="",B2681&lt;=$C$11),OR($C$12&lt;&gt;"Ya",K2681&lt;&gt;""),OR($C$13="Semua",$C$13="",L2681=$C$13)),"✓","")</f>
        <v/>
      </c>
      <c r="N2681" s="93">
        <f>N(N2680)+IF(M2681="✓",1,0)</f>
        <v/>
      </c>
      <c r="O2681" s="93">
        <f>N(O2680)+IF(AND(B2681&lt;&gt;"",B2681&gt;='Uang Riba'!$H$30,B2681&lt;='Uang Riba'!$I$30,OR(H2681="Dana riba",H2681="Pinjam uang riba",I2681="Pinjam dari uang riba",I2681="Ganti uang riba",I2681="Kelebihan ganti dikembalikan",AND(C2681="Kantong Uang Riba",G2681="Pengeluaran"))),1,0)</f>
        <v/>
      </c>
      <c r="X2681" s="93">
        <f>IF(AND(B2681&lt;&gt;"",B2681&gt;='Buku Akun'!$H$4,B2681&lt;='Buku Akun'!$H$5,OR(C2681='Buku Akun'!$C$4,AND(D2681="Pindah",E2681='Buku Akun'!$C$4))),B2681+IF(AND(I2681="Selisih bunga",DAY(B2681)=1),0,0.01)+ROW()/10000000,"")</f>
        <v/>
      </c>
    </row>
    <row r="2682" outlineLevel="1" ht="15" customHeight="1" s="94">
      <c r="A2682" s="123">
        <f>IF(B2682="","",ROW()-15)</f>
        <v/>
      </c>
      <c r="B2682" s="124" t="n"/>
      <c r="C2682" s="123" t="n"/>
      <c r="D2682" s="123" t="n"/>
      <c r="E2682" s="123" t="n"/>
      <c r="F2682" s="125" t="n"/>
      <c r="G2682" s="123" t="n"/>
      <c r="H2682" s="123" t="n"/>
      <c r="I2682" s="123" t="n"/>
      <c r="J2682" s="123" t="n"/>
      <c r="K2682" s="123" t="n"/>
      <c r="L2682" s="123" t="n"/>
      <c r="M2682" s="123">
        <f>IF(AND(B2682&lt;&gt;"",OR($C$4="",ISNUMBER(SEARCH($C$4,C2682&amp;" "&amp;E2682&amp;" "&amp;G2682&amp;" "&amp;H2682&amp;" "&amp;I2682&amp;" "&amp;J2682&amp;" "&amp;K2682&amp;" "&amp;L2682))),OR($C$5="Semua",$C$5="",G2682=$C$5),OR($C$6="Semua",$C$6="",H2682=$C$6,H2682="Pengeluaran "&amp;$C$6,AND($C$6="Uang Kos Mama",H2682="Pengeluaran Uang Kos")),OR($C$7="Semua",$C$7="",I2682=$C$7),OR($C$8="Semua",$C$8="",C2682=$C$8,E2682=$C$8),OR($C$9="Semua",$C$9="",D2682=$C$9),OR($C$10="",B2682&gt;=$C$10),OR($C$11="",B2682&lt;=$C$11),OR($C$12&lt;&gt;"Ya",K2682&lt;&gt;""),OR($C$13="Semua",$C$13="",L2682=$C$13)),"✓","")</f>
        <v/>
      </c>
      <c r="N2682" s="93">
        <f>N(N2681)+IF(M2682="✓",1,0)</f>
        <v/>
      </c>
      <c r="O2682" s="93">
        <f>N(O2681)+IF(AND(B2682&lt;&gt;"",B2682&gt;='Uang Riba'!$H$30,B2682&lt;='Uang Riba'!$I$30,OR(H2682="Dana riba",H2682="Pinjam uang riba",I2682="Pinjam dari uang riba",I2682="Ganti uang riba",I2682="Kelebihan ganti dikembalikan",AND(C2682="Kantong Uang Riba",G2682="Pengeluaran"))),1,0)</f>
        <v/>
      </c>
      <c r="X2682" s="93">
        <f>IF(AND(B2682&lt;&gt;"",B2682&gt;='Buku Akun'!$H$4,B2682&lt;='Buku Akun'!$H$5,OR(C2682='Buku Akun'!$C$4,AND(D2682="Pindah",E2682='Buku Akun'!$C$4))),B2682+IF(AND(I2682="Selisih bunga",DAY(B2682)=1),0,0.01)+ROW()/10000000,"")</f>
        <v/>
      </c>
    </row>
    <row r="2683" outlineLevel="1" ht="15" customHeight="1" s="94">
      <c r="A2683" s="123">
        <f>IF(B2683="","",ROW()-15)</f>
        <v/>
      </c>
      <c r="B2683" s="124" t="n"/>
      <c r="C2683" s="123" t="n"/>
      <c r="D2683" s="123" t="n"/>
      <c r="E2683" s="123" t="n"/>
      <c r="F2683" s="125" t="n"/>
      <c r="G2683" s="123" t="n"/>
      <c r="H2683" s="123" t="n"/>
      <c r="I2683" s="123" t="n"/>
      <c r="J2683" s="123" t="n"/>
      <c r="K2683" s="123" t="n"/>
      <c r="L2683" s="123" t="n"/>
      <c r="M2683" s="123">
        <f>IF(AND(B2683&lt;&gt;"",OR($C$4="",ISNUMBER(SEARCH($C$4,C2683&amp;" "&amp;E2683&amp;" "&amp;G2683&amp;" "&amp;H2683&amp;" "&amp;I2683&amp;" "&amp;J2683&amp;" "&amp;K2683&amp;" "&amp;L2683))),OR($C$5="Semua",$C$5="",G2683=$C$5),OR($C$6="Semua",$C$6="",H2683=$C$6,H2683="Pengeluaran "&amp;$C$6,AND($C$6="Uang Kos Mama",H2683="Pengeluaran Uang Kos")),OR($C$7="Semua",$C$7="",I2683=$C$7),OR($C$8="Semua",$C$8="",C2683=$C$8,E2683=$C$8),OR($C$9="Semua",$C$9="",D2683=$C$9),OR($C$10="",B2683&gt;=$C$10),OR($C$11="",B2683&lt;=$C$11),OR($C$12&lt;&gt;"Ya",K2683&lt;&gt;""),OR($C$13="Semua",$C$13="",L2683=$C$13)),"✓","")</f>
        <v/>
      </c>
      <c r="N2683" s="93">
        <f>N(N2682)+IF(M2683="✓",1,0)</f>
        <v/>
      </c>
      <c r="O2683" s="93">
        <f>N(O2682)+IF(AND(B2683&lt;&gt;"",B2683&gt;='Uang Riba'!$H$30,B2683&lt;='Uang Riba'!$I$30,OR(H2683="Dana riba",H2683="Pinjam uang riba",I2683="Pinjam dari uang riba",I2683="Ganti uang riba",I2683="Kelebihan ganti dikembalikan",AND(C2683="Kantong Uang Riba",G2683="Pengeluaran"))),1,0)</f>
        <v/>
      </c>
      <c r="X2683" s="93">
        <f>IF(AND(B2683&lt;&gt;"",B2683&gt;='Buku Akun'!$H$4,B2683&lt;='Buku Akun'!$H$5,OR(C2683='Buku Akun'!$C$4,AND(D2683="Pindah",E2683='Buku Akun'!$C$4))),B2683+IF(AND(I2683="Selisih bunga",DAY(B2683)=1),0,0.01)+ROW()/10000000,"")</f>
        <v/>
      </c>
    </row>
    <row r="2684" outlineLevel="1" ht="15" customHeight="1" s="94">
      <c r="A2684" s="123">
        <f>IF(B2684="","",ROW()-15)</f>
        <v/>
      </c>
      <c r="B2684" s="124" t="n"/>
      <c r="C2684" s="123" t="n"/>
      <c r="D2684" s="123" t="n"/>
      <c r="E2684" s="123" t="n"/>
      <c r="F2684" s="125" t="n"/>
      <c r="G2684" s="123" t="n"/>
      <c r="H2684" s="123" t="n"/>
      <c r="I2684" s="123" t="n"/>
      <c r="J2684" s="123" t="n"/>
      <c r="K2684" s="123" t="n"/>
      <c r="L2684" s="123" t="n"/>
      <c r="M2684" s="123">
        <f>IF(AND(B2684&lt;&gt;"",OR($C$4="",ISNUMBER(SEARCH($C$4,C2684&amp;" "&amp;E2684&amp;" "&amp;G2684&amp;" "&amp;H2684&amp;" "&amp;I2684&amp;" "&amp;J2684&amp;" "&amp;K2684&amp;" "&amp;L2684))),OR($C$5="Semua",$C$5="",G2684=$C$5),OR($C$6="Semua",$C$6="",H2684=$C$6,H2684="Pengeluaran "&amp;$C$6,AND($C$6="Uang Kos Mama",H2684="Pengeluaran Uang Kos")),OR($C$7="Semua",$C$7="",I2684=$C$7),OR($C$8="Semua",$C$8="",C2684=$C$8,E2684=$C$8),OR($C$9="Semua",$C$9="",D2684=$C$9),OR($C$10="",B2684&gt;=$C$10),OR($C$11="",B2684&lt;=$C$11),OR($C$12&lt;&gt;"Ya",K2684&lt;&gt;""),OR($C$13="Semua",$C$13="",L2684=$C$13)),"✓","")</f>
        <v/>
      </c>
      <c r="N2684" s="93">
        <f>N(N2683)+IF(M2684="✓",1,0)</f>
        <v/>
      </c>
      <c r="O2684" s="93">
        <f>N(O2683)+IF(AND(B2684&lt;&gt;"",B2684&gt;='Uang Riba'!$H$30,B2684&lt;='Uang Riba'!$I$30,OR(H2684="Dana riba",H2684="Pinjam uang riba",I2684="Pinjam dari uang riba",I2684="Ganti uang riba",I2684="Kelebihan ganti dikembalikan",AND(C2684="Kantong Uang Riba",G2684="Pengeluaran"))),1,0)</f>
        <v/>
      </c>
      <c r="X2684" s="93">
        <f>IF(AND(B2684&lt;&gt;"",B2684&gt;='Buku Akun'!$H$4,B2684&lt;='Buku Akun'!$H$5,OR(C2684='Buku Akun'!$C$4,AND(D2684="Pindah",E2684='Buku Akun'!$C$4))),B2684+IF(AND(I2684="Selisih bunga",DAY(B2684)=1),0,0.01)+ROW()/10000000,"")</f>
        <v/>
      </c>
    </row>
    <row r="2685" outlineLevel="1" ht="15" customHeight="1" s="94">
      <c r="A2685" s="123">
        <f>IF(B2685="","",ROW()-15)</f>
        <v/>
      </c>
      <c r="B2685" s="124" t="n"/>
      <c r="C2685" s="123" t="n"/>
      <c r="D2685" s="123" t="n"/>
      <c r="E2685" s="123" t="n"/>
      <c r="F2685" s="125" t="n"/>
      <c r="G2685" s="123" t="n"/>
      <c r="H2685" s="123" t="n"/>
      <c r="I2685" s="123" t="n"/>
      <c r="J2685" s="123" t="n"/>
      <c r="K2685" s="123" t="n"/>
      <c r="L2685" s="123" t="n"/>
      <c r="M2685" s="123">
        <f>IF(AND(B2685&lt;&gt;"",OR($C$4="",ISNUMBER(SEARCH($C$4,C2685&amp;" "&amp;E2685&amp;" "&amp;G2685&amp;" "&amp;H2685&amp;" "&amp;I2685&amp;" "&amp;J2685&amp;" "&amp;K2685&amp;" "&amp;L2685))),OR($C$5="Semua",$C$5="",G2685=$C$5),OR($C$6="Semua",$C$6="",H2685=$C$6,H2685="Pengeluaran "&amp;$C$6,AND($C$6="Uang Kos Mama",H2685="Pengeluaran Uang Kos")),OR($C$7="Semua",$C$7="",I2685=$C$7),OR($C$8="Semua",$C$8="",C2685=$C$8,E2685=$C$8),OR($C$9="Semua",$C$9="",D2685=$C$9),OR($C$10="",B2685&gt;=$C$10),OR($C$11="",B2685&lt;=$C$11),OR($C$12&lt;&gt;"Ya",K2685&lt;&gt;""),OR($C$13="Semua",$C$13="",L2685=$C$13)),"✓","")</f>
        <v/>
      </c>
      <c r="N2685" s="93">
        <f>N(N2684)+IF(M2685="✓",1,0)</f>
        <v/>
      </c>
      <c r="O2685" s="93">
        <f>N(O2684)+IF(AND(B2685&lt;&gt;"",B2685&gt;='Uang Riba'!$H$30,B2685&lt;='Uang Riba'!$I$30,OR(H2685="Dana riba",H2685="Pinjam uang riba",I2685="Pinjam dari uang riba",I2685="Ganti uang riba",I2685="Kelebihan ganti dikembalikan",AND(C2685="Kantong Uang Riba",G2685="Pengeluaran"))),1,0)</f>
        <v/>
      </c>
      <c r="X2685" s="93">
        <f>IF(AND(B2685&lt;&gt;"",B2685&gt;='Buku Akun'!$H$4,B2685&lt;='Buku Akun'!$H$5,OR(C2685='Buku Akun'!$C$4,AND(D2685="Pindah",E2685='Buku Akun'!$C$4))),B2685+IF(AND(I2685="Selisih bunga",DAY(B2685)=1),0,0.01)+ROW()/10000000,"")</f>
        <v/>
      </c>
    </row>
    <row r="2686" outlineLevel="1" ht="15" customHeight="1" s="94">
      <c r="A2686" s="123">
        <f>IF(B2686="","",ROW()-15)</f>
        <v/>
      </c>
      <c r="B2686" s="124" t="n"/>
      <c r="C2686" s="123" t="n"/>
      <c r="D2686" s="123" t="n"/>
      <c r="E2686" s="123" t="n"/>
      <c r="F2686" s="125" t="n"/>
      <c r="G2686" s="123" t="n"/>
      <c r="H2686" s="123" t="n"/>
      <c r="I2686" s="123" t="n"/>
      <c r="J2686" s="123" t="n"/>
      <c r="K2686" s="123" t="n"/>
      <c r="L2686" s="123" t="n"/>
      <c r="M2686" s="123">
        <f>IF(AND(B2686&lt;&gt;"",OR($C$4="",ISNUMBER(SEARCH($C$4,C2686&amp;" "&amp;E2686&amp;" "&amp;G2686&amp;" "&amp;H2686&amp;" "&amp;I2686&amp;" "&amp;J2686&amp;" "&amp;K2686&amp;" "&amp;L2686))),OR($C$5="Semua",$C$5="",G2686=$C$5),OR($C$6="Semua",$C$6="",H2686=$C$6,H2686="Pengeluaran "&amp;$C$6,AND($C$6="Uang Kos Mama",H2686="Pengeluaran Uang Kos")),OR($C$7="Semua",$C$7="",I2686=$C$7),OR($C$8="Semua",$C$8="",C2686=$C$8,E2686=$C$8),OR($C$9="Semua",$C$9="",D2686=$C$9),OR($C$10="",B2686&gt;=$C$10),OR($C$11="",B2686&lt;=$C$11),OR($C$12&lt;&gt;"Ya",K2686&lt;&gt;""),OR($C$13="Semua",$C$13="",L2686=$C$13)),"✓","")</f>
        <v/>
      </c>
      <c r="N2686" s="93">
        <f>N(N2685)+IF(M2686="✓",1,0)</f>
        <v/>
      </c>
      <c r="O2686" s="93">
        <f>N(O2685)+IF(AND(B2686&lt;&gt;"",B2686&gt;='Uang Riba'!$H$30,B2686&lt;='Uang Riba'!$I$30,OR(H2686="Dana riba",H2686="Pinjam uang riba",I2686="Pinjam dari uang riba",I2686="Ganti uang riba",I2686="Kelebihan ganti dikembalikan",AND(C2686="Kantong Uang Riba",G2686="Pengeluaran"))),1,0)</f>
        <v/>
      </c>
      <c r="X2686" s="93">
        <f>IF(AND(B2686&lt;&gt;"",B2686&gt;='Buku Akun'!$H$4,B2686&lt;='Buku Akun'!$H$5,OR(C2686='Buku Akun'!$C$4,AND(D2686="Pindah",E2686='Buku Akun'!$C$4))),B2686+IF(AND(I2686="Selisih bunga",DAY(B2686)=1),0,0.01)+ROW()/10000000,"")</f>
        <v/>
      </c>
    </row>
    <row r="2687" outlineLevel="1" ht="15" customHeight="1" s="94">
      <c r="A2687" s="123">
        <f>IF(B2687="","",ROW()-15)</f>
        <v/>
      </c>
      <c r="B2687" s="124" t="n"/>
      <c r="C2687" s="123" t="n"/>
      <c r="D2687" s="123" t="n"/>
      <c r="E2687" s="123" t="n"/>
      <c r="F2687" s="125" t="n"/>
      <c r="G2687" s="123" t="n"/>
      <c r="H2687" s="123" t="n"/>
      <c r="I2687" s="123" t="n"/>
      <c r="J2687" s="123" t="n"/>
      <c r="K2687" s="123" t="n"/>
      <c r="L2687" s="123" t="n"/>
      <c r="M2687" s="123">
        <f>IF(AND(B2687&lt;&gt;"",OR($C$4="",ISNUMBER(SEARCH($C$4,C2687&amp;" "&amp;E2687&amp;" "&amp;G2687&amp;" "&amp;H2687&amp;" "&amp;I2687&amp;" "&amp;J2687&amp;" "&amp;K2687&amp;" "&amp;L2687))),OR($C$5="Semua",$C$5="",G2687=$C$5),OR($C$6="Semua",$C$6="",H2687=$C$6,H2687="Pengeluaran "&amp;$C$6,AND($C$6="Uang Kos Mama",H2687="Pengeluaran Uang Kos")),OR($C$7="Semua",$C$7="",I2687=$C$7),OR($C$8="Semua",$C$8="",C2687=$C$8,E2687=$C$8),OR($C$9="Semua",$C$9="",D2687=$C$9),OR($C$10="",B2687&gt;=$C$10),OR($C$11="",B2687&lt;=$C$11),OR($C$12&lt;&gt;"Ya",K2687&lt;&gt;""),OR($C$13="Semua",$C$13="",L2687=$C$13)),"✓","")</f>
        <v/>
      </c>
      <c r="N2687" s="93">
        <f>N(N2686)+IF(M2687="✓",1,0)</f>
        <v/>
      </c>
      <c r="O2687" s="93">
        <f>N(O2686)+IF(AND(B2687&lt;&gt;"",B2687&gt;='Uang Riba'!$H$30,B2687&lt;='Uang Riba'!$I$30,OR(H2687="Dana riba",H2687="Pinjam uang riba",I2687="Pinjam dari uang riba",I2687="Ganti uang riba",I2687="Kelebihan ganti dikembalikan",AND(C2687="Kantong Uang Riba",G2687="Pengeluaran"))),1,0)</f>
        <v/>
      </c>
      <c r="X2687" s="93">
        <f>IF(AND(B2687&lt;&gt;"",B2687&gt;='Buku Akun'!$H$4,B2687&lt;='Buku Akun'!$H$5,OR(C2687='Buku Akun'!$C$4,AND(D2687="Pindah",E2687='Buku Akun'!$C$4))),B2687+IF(AND(I2687="Selisih bunga",DAY(B2687)=1),0,0.01)+ROW()/10000000,"")</f>
        <v/>
      </c>
    </row>
    <row r="2688" outlineLevel="1" ht="15" customHeight="1" s="94">
      <c r="A2688" s="123">
        <f>IF(B2688="","",ROW()-15)</f>
        <v/>
      </c>
      <c r="B2688" s="124" t="n"/>
      <c r="C2688" s="123" t="n"/>
      <c r="D2688" s="123" t="n"/>
      <c r="E2688" s="123" t="n"/>
      <c r="F2688" s="125" t="n"/>
      <c r="G2688" s="123" t="n"/>
      <c r="H2688" s="123" t="n"/>
      <c r="I2688" s="123" t="n"/>
      <c r="J2688" s="123" t="n"/>
      <c r="K2688" s="123" t="n"/>
      <c r="L2688" s="123" t="n"/>
      <c r="M2688" s="123">
        <f>IF(AND(B2688&lt;&gt;"",OR($C$4="",ISNUMBER(SEARCH($C$4,C2688&amp;" "&amp;E2688&amp;" "&amp;G2688&amp;" "&amp;H2688&amp;" "&amp;I2688&amp;" "&amp;J2688&amp;" "&amp;K2688&amp;" "&amp;L2688))),OR($C$5="Semua",$C$5="",G2688=$C$5),OR($C$6="Semua",$C$6="",H2688=$C$6,H2688="Pengeluaran "&amp;$C$6,AND($C$6="Uang Kos Mama",H2688="Pengeluaran Uang Kos")),OR($C$7="Semua",$C$7="",I2688=$C$7),OR($C$8="Semua",$C$8="",C2688=$C$8,E2688=$C$8),OR($C$9="Semua",$C$9="",D2688=$C$9),OR($C$10="",B2688&gt;=$C$10),OR($C$11="",B2688&lt;=$C$11),OR($C$12&lt;&gt;"Ya",K2688&lt;&gt;""),OR($C$13="Semua",$C$13="",L2688=$C$13)),"✓","")</f>
        <v/>
      </c>
      <c r="N2688" s="93">
        <f>N(N2687)+IF(M2688="✓",1,0)</f>
        <v/>
      </c>
      <c r="O2688" s="93">
        <f>N(O2687)+IF(AND(B2688&lt;&gt;"",B2688&gt;='Uang Riba'!$H$30,B2688&lt;='Uang Riba'!$I$30,OR(H2688="Dana riba",H2688="Pinjam uang riba",I2688="Pinjam dari uang riba",I2688="Ganti uang riba",I2688="Kelebihan ganti dikembalikan",AND(C2688="Kantong Uang Riba",G2688="Pengeluaran"))),1,0)</f>
        <v/>
      </c>
      <c r="X2688" s="93">
        <f>IF(AND(B2688&lt;&gt;"",B2688&gt;='Buku Akun'!$H$4,B2688&lt;='Buku Akun'!$H$5,OR(C2688='Buku Akun'!$C$4,AND(D2688="Pindah",E2688='Buku Akun'!$C$4))),B2688+IF(AND(I2688="Selisih bunga",DAY(B2688)=1),0,0.01)+ROW()/10000000,"")</f>
        <v/>
      </c>
    </row>
    <row r="2689" outlineLevel="1" ht="15" customHeight="1" s="94">
      <c r="A2689" s="123">
        <f>IF(B2689="","",ROW()-15)</f>
        <v/>
      </c>
      <c r="B2689" s="124" t="n"/>
      <c r="C2689" s="123" t="n"/>
      <c r="D2689" s="123" t="n"/>
      <c r="E2689" s="123" t="n"/>
      <c r="F2689" s="125" t="n"/>
      <c r="G2689" s="123" t="n"/>
      <c r="H2689" s="123" t="n"/>
      <c r="I2689" s="123" t="n"/>
      <c r="J2689" s="123" t="n"/>
      <c r="K2689" s="123" t="n"/>
      <c r="L2689" s="123" t="n"/>
      <c r="M2689" s="123">
        <f>IF(AND(B2689&lt;&gt;"",OR($C$4="",ISNUMBER(SEARCH($C$4,C2689&amp;" "&amp;E2689&amp;" "&amp;G2689&amp;" "&amp;H2689&amp;" "&amp;I2689&amp;" "&amp;J2689&amp;" "&amp;K2689&amp;" "&amp;L2689))),OR($C$5="Semua",$C$5="",G2689=$C$5),OR($C$6="Semua",$C$6="",H2689=$C$6,H2689="Pengeluaran "&amp;$C$6,AND($C$6="Uang Kos Mama",H2689="Pengeluaran Uang Kos")),OR($C$7="Semua",$C$7="",I2689=$C$7),OR($C$8="Semua",$C$8="",C2689=$C$8,E2689=$C$8),OR($C$9="Semua",$C$9="",D2689=$C$9),OR($C$10="",B2689&gt;=$C$10),OR($C$11="",B2689&lt;=$C$11),OR($C$12&lt;&gt;"Ya",K2689&lt;&gt;""),OR($C$13="Semua",$C$13="",L2689=$C$13)),"✓","")</f>
        <v/>
      </c>
      <c r="N2689" s="93">
        <f>N(N2688)+IF(M2689="✓",1,0)</f>
        <v/>
      </c>
      <c r="O2689" s="93">
        <f>N(O2688)+IF(AND(B2689&lt;&gt;"",B2689&gt;='Uang Riba'!$H$30,B2689&lt;='Uang Riba'!$I$30,OR(H2689="Dana riba",H2689="Pinjam uang riba",I2689="Pinjam dari uang riba",I2689="Ganti uang riba",I2689="Kelebihan ganti dikembalikan",AND(C2689="Kantong Uang Riba",G2689="Pengeluaran"))),1,0)</f>
        <v/>
      </c>
      <c r="X2689" s="93">
        <f>IF(AND(B2689&lt;&gt;"",B2689&gt;='Buku Akun'!$H$4,B2689&lt;='Buku Akun'!$H$5,OR(C2689='Buku Akun'!$C$4,AND(D2689="Pindah",E2689='Buku Akun'!$C$4))),B2689+IF(AND(I2689="Selisih bunga",DAY(B2689)=1),0,0.01)+ROW()/10000000,"")</f>
        <v/>
      </c>
    </row>
    <row r="2690" outlineLevel="1" ht="15" customHeight="1" s="94">
      <c r="A2690" s="123">
        <f>IF(B2690="","",ROW()-15)</f>
        <v/>
      </c>
      <c r="B2690" s="124" t="n"/>
      <c r="C2690" s="123" t="n"/>
      <c r="D2690" s="123" t="n"/>
      <c r="E2690" s="123" t="n"/>
      <c r="F2690" s="125" t="n"/>
      <c r="G2690" s="123" t="n"/>
      <c r="H2690" s="123" t="n"/>
      <c r="I2690" s="123" t="n"/>
      <c r="J2690" s="123" t="n"/>
      <c r="K2690" s="123" t="n"/>
      <c r="L2690" s="123" t="n"/>
      <c r="M2690" s="123">
        <f>IF(AND(B2690&lt;&gt;"",OR($C$4="",ISNUMBER(SEARCH($C$4,C2690&amp;" "&amp;E2690&amp;" "&amp;G2690&amp;" "&amp;H2690&amp;" "&amp;I2690&amp;" "&amp;J2690&amp;" "&amp;K2690&amp;" "&amp;L2690))),OR($C$5="Semua",$C$5="",G2690=$C$5),OR($C$6="Semua",$C$6="",H2690=$C$6,H2690="Pengeluaran "&amp;$C$6,AND($C$6="Uang Kos Mama",H2690="Pengeluaran Uang Kos")),OR($C$7="Semua",$C$7="",I2690=$C$7),OR($C$8="Semua",$C$8="",C2690=$C$8,E2690=$C$8),OR($C$9="Semua",$C$9="",D2690=$C$9),OR($C$10="",B2690&gt;=$C$10),OR($C$11="",B2690&lt;=$C$11),OR($C$12&lt;&gt;"Ya",K2690&lt;&gt;""),OR($C$13="Semua",$C$13="",L2690=$C$13)),"✓","")</f>
        <v/>
      </c>
      <c r="N2690" s="93">
        <f>N(N2689)+IF(M2690="✓",1,0)</f>
        <v/>
      </c>
      <c r="O2690" s="93">
        <f>N(O2689)+IF(AND(B2690&lt;&gt;"",B2690&gt;='Uang Riba'!$H$30,B2690&lt;='Uang Riba'!$I$30,OR(H2690="Dana riba",H2690="Pinjam uang riba",I2690="Pinjam dari uang riba",I2690="Ganti uang riba",I2690="Kelebihan ganti dikembalikan",AND(C2690="Kantong Uang Riba",G2690="Pengeluaran"))),1,0)</f>
        <v/>
      </c>
      <c r="X2690" s="93">
        <f>IF(AND(B2690&lt;&gt;"",B2690&gt;='Buku Akun'!$H$4,B2690&lt;='Buku Akun'!$H$5,OR(C2690='Buku Akun'!$C$4,AND(D2690="Pindah",E2690='Buku Akun'!$C$4))),B2690+IF(AND(I2690="Selisih bunga",DAY(B2690)=1),0,0.01)+ROW()/10000000,"")</f>
        <v/>
      </c>
    </row>
    <row r="2691" outlineLevel="1" ht="15" customHeight="1" s="94">
      <c r="A2691" s="123">
        <f>IF(B2691="","",ROW()-15)</f>
        <v/>
      </c>
      <c r="B2691" s="124" t="n"/>
      <c r="C2691" s="123" t="n"/>
      <c r="D2691" s="123" t="n"/>
      <c r="E2691" s="123" t="n"/>
      <c r="F2691" s="125" t="n"/>
      <c r="G2691" s="123" t="n"/>
      <c r="H2691" s="123" t="n"/>
      <c r="I2691" s="123" t="n"/>
      <c r="J2691" s="123" t="n"/>
      <c r="K2691" s="123" t="n"/>
      <c r="L2691" s="123" t="n"/>
      <c r="M2691" s="123">
        <f>IF(AND(B2691&lt;&gt;"",OR($C$4="",ISNUMBER(SEARCH($C$4,C2691&amp;" "&amp;E2691&amp;" "&amp;G2691&amp;" "&amp;H2691&amp;" "&amp;I2691&amp;" "&amp;J2691&amp;" "&amp;K2691&amp;" "&amp;L2691))),OR($C$5="Semua",$C$5="",G2691=$C$5),OR($C$6="Semua",$C$6="",H2691=$C$6,H2691="Pengeluaran "&amp;$C$6,AND($C$6="Uang Kos Mama",H2691="Pengeluaran Uang Kos")),OR($C$7="Semua",$C$7="",I2691=$C$7),OR($C$8="Semua",$C$8="",C2691=$C$8,E2691=$C$8),OR($C$9="Semua",$C$9="",D2691=$C$9),OR($C$10="",B2691&gt;=$C$10),OR($C$11="",B2691&lt;=$C$11),OR($C$12&lt;&gt;"Ya",K2691&lt;&gt;""),OR($C$13="Semua",$C$13="",L2691=$C$13)),"✓","")</f>
        <v/>
      </c>
      <c r="N2691" s="93">
        <f>N(N2690)+IF(M2691="✓",1,0)</f>
        <v/>
      </c>
      <c r="O2691" s="93">
        <f>N(O2690)+IF(AND(B2691&lt;&gt;"",B2691&gt;='Uang Riba'!$H$30,B2691&lt;='Uang Riba'!$I$30,OR(H2691="Dana riba",H2691="Pinjam uang riba",I2691="Pinjam dari uang riba",I2691="Ganti uang riba",I2691="Kelebihan ganti dikembalikan",AND(C2691="Kantong Uang Riba",G2691="Pengeluaran"))),1,0)</f>
        <v/>
      </c>
      <c r="X2691" s="93">
        <f>IF(AND(B2691&lt;&gt;"",B2691&gt;='Buku Akun'!$H$4,B2691&lt;='Buku Akun'!$H$5,OR(C2691='Buku Akun'!$C$4,AND(D2691="Pindah",E2691='Buku Akun'!$C$4))),B2691+IF(AND(I2691="Selisih bunga",DAY(B2691)=1),0,0.01)+ROW()/10000000,"")</f>
        <v/>
      </c>
    </row>
    <row r="2692" outlineLevel="1" ht="15" customHeight="1" s="94">
      <c r="A2692" s="123">
        <f>IF(B2692="","",ROW()-15)</f>
        <v/>
      </c>
      <c r="B2692" s="124" t="n"/>
      <c r="C2692" s="123" t="n"/>
      <c r="D2692" s="123" t="n"/>
      <c r="E2692" s="123" t="n"/>
      <c r="F2692" s="125" t="n"/>
      <c r="G2692" s="123" t="n"/>
      <c r="H2692" s="123" t="n"/>
      <c r="I2692" s="123" t="n"/>
      <c r="J2692" s="123" t="n"/>
      <c r="K2692" s="123" t="n"/>
      <c r="L2692" s="123" t="n"/>
      <c r="M2692" s="123">
        <f>IF(AND(B2692&lt;&gt;"",OR($C$4="",ISNUMBER(SEARCH($C$4,C2692&amp;" "&amp;E2692&amp;" "&amp;G2692&amp;" "&amp;H2692&amp;" "&amp;I2692&amp;" "&amp;J2692&amp;" "&amp;K2692&amp;" "&amp;L2692))),OR($C$5="Semua",$C$5="",G2692=$C$5),OR($C$6="Semua",$C$6="",H2692=$C$6,H2692="Pengeluaran "&amp;$C$6,AND($C$6="Uang Kos Mama",H2692="Pengeluaran Uang Kos")),OR($C$7="Semua",$C$7="",I2692=$C$7),OR($C$8="Semua",$C$8="",C2692=$C$8,E2692=$C$8),OR($C$9="Semua",$C$9="",D2692=$C$9),OR($C$10="",B2692&gt;=$C$10),OR($C$11="",B2692&lt;=$C$11),OR($C$12&lt;&gt;"Ya",K2692&lt;&gt;""),OR($C$13="Semua",$C$13="",L2692=$C$13)),"✓","")</f>
        <v/>
      </c>
      <c r="N2692" s="93">
        <f>N(N2691)+IF(M2692="✓",1,0)</f>
        <v/>
      </c>
      <c r="O2692" s="93">
        <f>N(O2691)+IF(AND(B2692&lt;&gt;"",B2692&gt;='Uang Riba'!$H$30,B2692&lt;='Uang Riba'!$I$30,OR(H2692="Dana riba",H2692="Pinjam uang riba",I2692="Pinjam dari uang riba",I2692="Ganti uang riba",I2692="Kelebihan ganti dikembalikan",AND(C2692="Kantong Uang Riba",G2692="Pengeluaran"))),1,0)</f>
        <v/>
      </c>
      <c r="X2692" s="93">
        <f>IF(AND(B2692&lt;&gt;"",B2692&gt;='Buku Akun'!$H$4,B2692&lt;='Buku Akun'!$H$5,OR(C2692='Buku Akun'!$C$4,AND(D2692="Pindah",E2692='Buku Akun'!$C$4))),B2692+IF(AND(I2692="Selisih bunga",DAY(B2692)=1),0,0.01)+ROW()/10000000,"")</f>
        <v/>
      </c>
    </row>
    <row r="2693" outlineLevel="1" ht="15" customHeight="1" s="94">
      <c r="A2693" s="123">
        <f>IF(B2693="","",ROW()-15)</f>
        <v/>
      </c>
      <c r="B2693" s="124" t="n"/>
      <c r="C2693" s="123" t="n"/>
      <c r="D2693" s="123" t="n"/>
      <c r="E2693" s="123" t="n"/>
      <c r="F2693" s="125" t="n"/>
      <c r="G2693" s="123" t="n"/>
      <c r="H2693" s="123" t="n"/>
      <c r="I2693" s="123" t="n"/>
      <c r="J2693" s="123" t="n"/>
      <c r="K2693" s="123" t="n"/>
      <c r="L2693" s="123" t="n"/>
      <c r="M2693" s="123">
        <f>IF(AND(B2693&lt;&gt;"",OR($C$4="",ISNUMBER(SEARCH($C$4,C2693&amp;" "&amp;E2693&amp;" "&amp;G2693&amp;" "&amp;H2693&amp;" "&amp;I2693&amp;" "&amp;J2693&amp;" "&amp;K2693&amp;" "&amp;L2693))),OR($C$5="Semua",$C$5="",G2693=$C$5),OR($C$6="Semua",$C$6="",H2693=$C$6,H2693="Pengeluaran "&amp;$C$6,AND($C$6="Uang Kos Mama",H2693="Pengeluaran Uang Kos")),OR($C$7="Semua",$C$7="",I2693=$C$7),OR($C$8="Semua",$C$8="",C2693=$C$8,E2693=$C$8),OR($C$9="Semua",$C$9="",D2693=$C$9),OR($C$10="",B2693&gt;=$C$10),OR($C$11="",B2693&lt;=$C$11),OR($C$12&lt;&gt;"Ya",K2693&lt;&gt;""),OR($C$13="Semua",$C$13="",L2693=$C$13)),"✓","")</f>
        <v/>
      </c>
      <c r="N2693" s="93">
        <f>N(N2692)+IF(M2693="✓",1,0)</f>
        <v/>
      </c>
      <c r="O2693" s="93">
        <f>N(O2692)+IF(AND(B2693&lt;&gt;"",B2693&gt;='Uang Riba'!$H$30,B2693&lt;='Uang Riba'!$I$30,OR(H2693="Dana riba",H2693="Pinjam uang riba",I2693="Pinjam dari uang riba",I2693="Ganti uang riba",I2693="Kelebihan ganti dikembalikan",AND(C2693="Kantong Uang Riba",G2693="Pengeluaran"))),1,0)</f>
        <v/>
      </c>
      <c r="X2693" s="93">
        <f>IF(AND(B2693&lt;&gt;"",B2693&gt;='Buku Akun'!$H$4,B2693&lt;='Buku Akun'!$H$5,OR(C2693='Buku Akun'!$C$4,AND(D2693="Pindah",E2693='Buku Akun'!$C$4))),B2693+IF(AND(I2693="Selisih bunga",DAY(B2693)=1),0,0.01)+ROW()/10000000,"")</f>
        <v/>
      </c>
    </row>
    <row r="2694" outlineLevel="1" ht="15" customHeight="1" s="94">
      <c r="A2694" s="123">
        <f>IF(B2694="","",ROW()-15)</f>
        <v/>
      </c>
      <c r="B2694" s="124" t="n"/>
      <c r="C2694" s="123" t="n"/>
      <c r="D2694" s="123" t="n"/>
      <c r="E2694" s="123" t="n"/>
      <c r="F2694" s="125" t="n"/>
      <c r="G2694" s="123" t="n"/>
      <c r="H2694" s="123" t="n"/>
      <c r="I2694" s="123" t="n"/>
      <c r="J2694" s="123" t="n"/>
      <c r="K2694" s="123" t="n"/>
      <c r="L2694" s="123" t="n"/>
      <c r="M2694" s="123">
        <f>IF(AND(B2694&lt;&gt;"",OR($C$4="",ISNUMBER(SEARCH($C$4,C2694&amp;" "&amp;E2694&amp;" "&amp;G2694&amp;" "&amp;H2694&amp;" "&amp;I2694&amp;" "&amp;J2694&amp;" "&amp;K2694&amp;" "&amp;L2694))),OR($C$5="Semua",$C$5="",G2694=$C$5),OR($C$6="Semua",$C$6="",H2694=$C$6,H2694="Pengeluaran "&amp;$C$6,AND($C$6="Uang Kos Mama",H2694="Pengeluaran Uang Kos")),OR($C$7="Semua",$C$7="",I2694=$C$7),OR($C$8="Semua",$C$8="",C2694=$C$8,E2694=$C$8),OR($C$9="Semua",$C$9="",D2694=$C$9),OR($C$10="",B2694&gt;=$C$10),OR($C$11="",B2694&lt;=$C$11),OR($C$12&lt;&gt;"Ya",K2694&lt;&gt;""),OR($C$13="Semua",$C$13="",L2694=$C$13)),"✓","")</f>
        <v/>
      </c>
      <c r="N2694" s="93">
        <f>N(N2693)+IF(M2694="✓",1,0)</f>
        <v/>
      </c>
      <c r="O2694" s="93">
        <f>N(O2693)+IF(AND(B2694&lt;&gt;"",B2694&gt;='Uang Riba'!$H$30,B2694&lt;='Uang Riba'!$I$30,OR(H2694="Dana riba",H2694="Pinjam uang riba",I2694="Pinjam dari uang riba",I2694="Ganti uang riba",I2694="Kelebihan ganti dikembalikan",AND(C2694="Kantong Uang Riba",G2694="Pengeluaran"))),1,0)</f>
        <v/>
      </c>
      <c r="X2694" s="93">
        <f>IF(AND(B2694&lt;&gt;"",B2694&gt;='Buku Akun'!$H$4,B2694&lt;='Buku Akun'!$H$5,OR(C2694='Buku Akun'!$C$4,AND(D2694="Pindah",E2694='Buku Akun'!$C$4))),B2694+IF(AND(I2694="Selisih bunga",DAY(B2694)=1),0,0.01)+ROW()/10000000,"")</f>
        <v/>
      </c>
    </row>
    <row r="2695" outlineLevel="1" ht="15" customHeight="1" s="94">
      <c r="A2695" s="123">
        <f>IF(B2695="","",ROW()-15)</f>
        <v/>
      </c>
      <c r="B2695" s="124" t="n"/>
      <c r="C2695" s="123" t="n"/>
      <c r="D2695" s="123" t="n"/>
      <c r="E2695" s="123" t="n"/>
      <c r="F2695" s="125" t="n"/>
      <c r="G2695" s="123" t="n"/>
      <c r="H2695" s="123" t="n"/>
      <c r="I2695" s="123" t="n"/>
      <c r="J2695" s="123" t="n"/>
      <c r="K2695" s="123" t="n"/>
      <c r="L2695" s="123" t="n"/>
      <c r="M2695" s="123">
        <f>IF(AND(B2695&lt;&gt;"",OR($C$4="",ISNUMBER(SEARCH($C$4,C2695&amp;" "&amp;E2695&amp;" "&amp;G2695&amp;" "&amp;H2695&amp;" "&amp;I2695&amp;" "&amp;J2695&amp;" "&amp;K2695&amp;" "&amp;L2695))),OR($C$5="Semua",$C$5="",G2695=$C$5),OR($C$6="Semua",$C$6="",H2695=$C$6,H2695="Pengeluaran "&amp;$C$6,AND($C$6="Uang Kos Mama",H2695="Pengeluaran Uang Kos")),OR($C$7="Semua",$C$7="",I2695=$C$7),OR($C$8="Semua",$C$8="",C2695=$C$8,E2695=$C$8),OR($C$9="Semua",$C$9="",D2695=$C$9),OR($C$10="",B2695&gt;=$C$10),OR($C$11="",B2695&lt;=$C$11),OR($C$12&lt;&gt;"Ya",K2695&lt;&gt;""),OR($C$13="Semua",$C$13="",L2695=$C$13)),"✓","")</f>
        <v/>
      </c>
      <c r="N2695" s="93">
        <f>N(N2694)+IF(M2695="✓",1,0)</f>
        <v/>
      </c>
      <c r="O2695" s="93">
        <f>N(O2694)+IF(AND(B2695&lt;&gt;"",B2695&gt;='Uang Riba'!$H$30,B2695&lt;='Uang Riba'!$I$30,OR(H2695="Dana riba",H2695="Pinjam uang riba",I2695="Pinjam dari uang riba",I2695="Ganti uang riba",I2695="Kelebihan ganti dikembalikan",AND(C2695="Kantong Uang Riba",G2695="Pengeluaran"))),1,0)</f>
        <v/>
      </c>
      <c r="X2695" s="93">
        <f>IF(AND(B2695&lt;&gt;"",B2695&gt;='Buku Akun'!$H$4,B2695&lt;='Buku Akun'!$H$5,OR(C2695='Buku Akun'!$C$4,AND(D2695="Pindah",E2695='Buku Akun'!$C$4))),B2695+IF(AND(I2695="Selisih bunga",DAY(B2695)=1),0,0.01)+ROW()/10000000,"")</f>
        <v/>
      </c>
    </row>
    <row r="2696" outlineLevel="1" ht="15" customHeight="1" s="94">
      <c r="A2696" s="123">
        <f>IF(B2696="","",ROW()-15)</f>
        <v/>
      </c>
      <c r="B2696" s="124" t="n"/>
      <c r="C2696" s="123" t="n"/>
      <c r="D2696" s="123" t="n"/>
      <c r="E2696" s="123" t="n"/>
      <c r="F2696" s="125" t="n"/>
      <c r="G2696" s="123" t="n"/>
      <c r="H2696" s="123" t="n"/>
      <c r="I2696" s="123" t="n"/>
      <c r="J2696" s="123" t="n"/>
      <c r="K2696" s="123" t="n"/>
      <c r="L2696" s="123" t="n"/>
      <c r="M2696" s="123">
        <f>IF(AND(B2696&lt;&gt;"",OR($C$4="",ISNUMBER(SEARCH($C$4,C2696&amp;" "&amp;E2696&amp;" "&amp;G2696&amp;" "&amp;H2696&amp;" "&amp;I2696&amp;" "&amp;J2696&amp;" "&amp;K2696&amp;" "&amp;L2696))),OR($C$5="Semua",$C$5="",G2696=$C$5),OR($C$6="Semua",$C$6="",H2696=$C$6,H2696="Pengeluaran "&amp;$C$6,AND($C$6="Uang Kos Mama",H2696="Pengeluaran Uang Kos")),OR($C$7="Semua",$C$7="",I2696=$C$7),OR($C$8="Semua",$C$8="",C2696=$C$8,E2696=$C$8),OR($C$9="Semua",$C$9="",D2696=$C$9),OR($C$10="",B2696&gt;=$C$10),OR($C$11="",B2696&lt;=$C$11),OR($C$12&lt;&gt;"Ya",K2696&lt;&gt;""),OR($C$13="Semua",$C$13="",L2696=$C$13)),"✓","")</f>
        <v/>
      </c>
      <c r="N2696" s="93">
        <f>N(N2695)+IF(M2696="✓",1,0)</f>
        <v/>
      </c>
      <c r="O2696" s="93">
        <f>N(O2695)+IF(AND(B2696&lt;&gt;"",B2696&gt;='Uang Riba'!$H$30,B2696&lt;='Uang Riba'!$I$30,OR(H2696="Dana riba",H2696="Pinjam uang riba",I2696="Pinjam dari uang riba",I2696="Ganti uang riba",I2696="Kelebihan ganti dikembalikan",AND(C2696="Kantong Uang Riba",G2696="Pengeluaran"))),1,0)</f>
        <v/>
      </c>
      <c r="X2696" s="93">
        <f>IF(AND(B2696&lt;&gt;"",B2696&gt;='Buku Akun'!$H$4,B2696&lt;='Buku Akun'!$H$5,OR(C2696='Buku Akun'!$C$4,AND(D2696="Pindah",E2696='Buku Akun'!$C$4))),B2696+IF(AND(I2696="Selisih bunga",DAY(B2696)=1),0,0.01)+ROW()/10000000,"")</f>
        <v/>
      </c>
    </row>
    <row r="2697" outlineLevel="1" ht="15" customHeight="1" s="94">
      <c r="A2697" s="123">
        <f>IF(B2697="","",ROW()-15)</f>
        <v/>
      </c>
      <c r="B2697" s="124" t="n"/>
      <c r="C2697" s="123" t="n"/>
      <c r="D2697" s="123" t="n"/>
      <c r="E2697" s="123" t="n"/>
      <c r="F2697" s="125" t="n"/>
      <c r="G2697" s="123" t="n"/>
      <c r="H2697" s="123" t="n"/>
      <c r="I2697" s="123" t="n"/>
      <c r="J2697" s="123" t="n"/>
      <c r="K2697" s="123" t="n"/>
      <c r="L2697" s="123" t="n"/>
      <c r="M2697" s="123">
        <f>IF(AND(B2697&lt;&gt;"",OR($C$4="",ISNUMBER(SEARCH($C$4,C2697&amp;" "&amp;E2697&amp;" "&amp;G2697&amp;" "&amp;H2697&amp;" "&amp;I2697&amp;" "&amp;J2697&amp;" "&amp;K2697&amp;" "&amp;L2697))),OR($C$5="Semua",$C$5="",G2697=$C$5),OR($C$6="Semua",$C$6="",H2697=$C$6,H2697="Pengeluaran "&amp;$C$6,AND($C$6="Uang Kos Mama",H2697="Pengeluaran Uang Kos")),OR($C$7="Semua",$C$7="",I2697=$C$7),OR($C$8="Semua",$C$8="",C2697=$C$8,E2697=$C$8),OR($C$9="Semua",$C$9="",D2697=$C$9),OR($C$10="",B2697&gt;=$C$10),OR($C$11="",B2697&lt;=$C$11),OR($C$12&lt;&gt;"Ya",K2697&lt;&gt;""),OR($C$13="Semua",$C$13="",L2697=$C$13)),"✓","")</f>
        <v/>
      </c>
      <c r="N2697" s="93">
        <f>N(N2696)+IF(M2697="✓",1,0)</f>
        <v/>
      </c>
      <c r="O2697" s="93">
        <f>N(O2696)+IF(AND(B2697&lt;&gt;"",B2697&gt;='Uang Riba'!$H$30,B2697&lt;='Uang Riba'!$I$30,OR(H2697="Dana riba",H2697="Pinjam uang riba",I2697="Pinjam dari uang riba",I2697="Ganti uang riba",I2697="Kelebihan ganti dikembalikan",AND(C2697="Kantong Uang Riba",G2697="Pengeluaran"))),1,0)</f>
        <v/>
      </c>
      <c r="X2697" s="93">
        <f>IF(AND(B2697&lt;&gt;"",B2697&gt;='Buku Akun'!$H$4,B2697&lt;='Buku Akun'!$H$5,OR(C2697='Buku Akun'!$C$4,AND(D2697="Pindah",E2697='Buku Akun'!$C$4))),B2697+IF(AND(I2697="Selisih bunga",DAY(B2697)=1),0,0.01)+ROW()/10000000,"")</f>
        <v/>
      </c>
    </row>
    <row r="2698" outlineLevel="1" ht="15" customHeight="1" s="94">
      <c r="A2698" s="123">
        <f>IF(B2698="","",ROW()-15)</f>
        <v/>
      </c>
      <c r="B2698" s="124" t="n"/>
      <c r="C2698" s="123" t="n"/>
      <c r="D2698" s="123" t="n"/>
      <c r="E2698" s="123" t="n"/>
      <c r="F2698" s="125" t="n"/>
      <c r="G2698" s="123" t="n"/>
      <c r="H2698" s="123" t="n"/>
      <c r="I2698" s="123" t="n"/>
      <c r="J2698" s="123" t="n"/>
      <c r="K2698" s="123" t="n"/>
      <c r="L2698" s="123" t="n"/>
      <c r="M2698" s="123">
        <f>IF(AND(B2698&lt;&gt;"",OR($C$4="",ISNUMBER(SEARCH($C$4,C2698&amp;" "&amp;E2698&amp;" "&amp;G2698&amp;" "&amp;H2698&amp;" "&amp;I2698&amp;" "&amp;J2698&amp;" "&amp;K2698&amp;" "&amp;L2698))),OR($C$5="Semua",$C$5="",G2698=$C$5),OR($C$6="Semua",$C$6="",H2698=$C$6,H2698="Pengeluaran "&amp;$C$6,AND($C$6="Uang Kos Mama",H2698="Pengeluaran Uang Kos")),OR($C$7="Semua",$C$7="",I2698=$C$7),OR($C$8="Semua",$C$8="",C2698=$C$8,E2698=$C$8),OR($C$9="Semua",$C$9="",D2698=$C$9),OR($C$10="",B2698&gt;=$C$10),OR($C$11="",B2698&lt;=$C$11),OR($C$12&lt;&gt;"Ya",K2698&lt;&gt;""),OR($C$13="Semua",$C$13="",L2698=$C$13)),"✓","")</f>
        <v/>
      </c>
      <c r="N2698" s="93">
        <f>N(N2697)+IF(M2698="✓",1,0)</f>
        <v/>
      </c>
      <c r="O2698" s="93">
        <f>N(O2697)+IF(AND(B2698&lt;&gt;"",B2698&gt;='Uang Riba'!$H$30,B2698&lt;='Uang Riba'!$I$30,OR(H2698="Dana riba",H2698="Pinjam uang riba",I2698="Pinjam dari uang riba",I2698="Ganti uang riba",I2698="Kelebihan ganti dikembalikan",AND(C2698="Kantong Uang Riba",G2698="Pengeluaran"))),1,0)</f>
        <v/>
      </c>
      <c r="X2698" s="93">
        <f>IF(AND(B2698&lt;&gt;"",B2698&gt;='Buku Akun'!$H$4,B2698&lt;='Buku Akun'!$H$5,OR(C2698='Buku Akun'!$C$4,AND(D2698="Pindah",E2698='Buku Akun'!$C$4))),B2698+IF(AND(I2698="Selisih bunga",DAY(B2698)=1),0,0.01)+ROW()/10000000,"")</f>
        <v/>
      </c>
    </row>
    <row r="2699" outlineLevel="1" ht="15" customHeight="1" s="94">
      <c r="A2699" s="123">
        <f>IF(B2699="","",ROW()-15)</f>
        <v/>
      </c>
      <c r="B2699" s="124" t="n"/>
      <c r="C2699" s="123" t="n"/>
      <c r="D2699" s="123" t="n"/>
      <c r="E2699" s="123" t="n"/>
      <c r="F2699" s="125" t="n"/>
      <c r="G2699" s="123" t="n"/>
      <c r="H2699" s="123" t="n"/>
      <c r="I2699" s="123" t="n"/>
      <c r="J2699" s="123" t="n"/>
      <c r="K2699" s="123" t="n"/>
      <c r="L2699" s="123" t="n"/>
      <c r="M2699" s="123">
        <f>IF(AND(B2699&lt;&gt;"",OR($C$4="",ISNUMBER(SEARCH($C$4,C2699&amp;" "&amp;E2699&amp;" "&amp;G2699&amp;" "&amp;H2699&amp;" "&amp;I2699&amp;" "&amp;J2699&amp;" "&amp;K2699&amp;" "&amp;L2699))),OR($C$5="Semua",$C$5="",G2699=$C$5),OR($C$6="Semua",$C$6="",H2699=$C$6,H2699="Pengeluaran "&amp;$C$6,AND($C$6="Uang Kos Mama",H2699="Pengeluaran Uang Kos")),OR($C$7="Semua",$C$7="",I2699=$C$7),OR($C$8="Semua",$C$8="",C2699=$C$8,E2699=$C$8),OR($C$9="Semua",$C$9="",D2699=$C$9),OR($C$10="",B2699&gt;=$C$10),OR($C$11="",B2699&lt;=$C$11),OR($C$12&lt;&gt;"Ya",K2699&lt;&gt;""),OR($C$13="Semua",$C$13="",L2699=$C$13)),"✓","")</f>
        <v/>
      </c>
      <c r="N2699" s="93">
        <f>N(N2698)+IF(M2699="✓",1,0)</f>
        <v/>
      </c>
      <c r="O2699" s="93">
        <f>N(O2698)+IF(AND(B2699&lt;&gt;"",B2699&gt;='Uang Riba'!$H$30,B2699&lt;='Uang Riba'!$I$30,OR(H2699="Dana riba",H2699="Pinjam uang riba",I2699="Pinjam dari uang riba",I2699="Ganti uang riba",I2699="Kelebihan ganti dikembalikan",AND(C2699="Kantong Uang Riba",G2699="Pengeluaran"))),1,0)</f>
        <v/>
      </c>
      <c r="X2699" s="93">
        <f>IF(AND(B2699&lt;&gt;"",B2699&gt;='Buku Akun'!$H$4,B2699&lt;='Buku Akun'!$H$5,OR(C2699='Buku Akun'!$C$4,AND(D2699="Pindah",E2699='Buku Akun'!$C$4))),B2699+IF(AND(I2699="Selisih bunga",DAY(B2699)=1),0,0.01)+ROW()/10000000,"")</f>
        <v/>
      </c>
    </row>
    <row r="2700" outlineLevel="1" ht="15" customHeight="1" s="94">
      <c r="A2700" s="123">
        <f>IF(B2700="","",ROW()-15)</f>
        <v/>
      </c>
      <c r="B2700" s="124" t="n"/>
      <c r="C2700" s="123" t="n"/>
      <c r="D2700" s="123" t="n"/>
      <c r="E2700" s="123" t="n"/>
      <c r="F2700" s="125" t="n"/>
      <c r="G2700" s="123" t="n"/>
      <c r="H2700" s="123" t="n"/>
      <c r="I2700" s="123" t="n"/>
      <c r="J2700" s="123" t="n"/>
      <c r="K2700" s="123" t="n"/>
      <c r="L2700" s="123" t="n"/>
      <c r="M2700" s="123">
        <f>IF(AND(B2700&lt;&gt;"",OR($C$4="",ISNUMBER(SEARCH($C$4,C2700&amp;" "&amp;E2700&amp;" "&amp;G2700&amp;" "&amp;H2700&amp;" "&amp;I2700&amp;" "&amp;J2700&amp;" "&amp;K2700&amp;" "&amp;L2700))),OR($C$5="Semua",$C$5="",G2700=$C$5),OR($C$6="Semua",$C$6="",H2700=$C$6,H2700="Pengeluaran "&amp;$C$6,AND($C$6="Uang Kos Mama",H2700="Pengeluaran Uang Kos")),OR($C$7="Semua",$C$7="",I2700=$C$7),OR($C$8="Semua",$C$8="",C2700=$C$8,E2700=$C$8),OR($C$9="Semua",$C$9="",D2700=$C$9),OR($C$10="",B2700&gt;=$C$10),OR($C$11="",B2700&lt;=$C$11),OR($C$12&lt;&gt;"Ya",K2700&lt;&gt;""),OR($C$13="Semua",$C$13="",L2700=$C$13)),"✓","")</f>
        <v/>
      </c>
      <c r="N2700" s="93">
        <f>N(N2699)+IF(M2700="✓",1,0)</f>
        <v/>
      </c>
      <c r="O2700" s="93">
        <f>N(O2699)+IF(AND(B2700&lt;&gt;"",B2700&gt;='Uang Riba'!$H$30,B2700&lt;='Uang Riba'!$I$30,OR(H2700="Dana riba",H2700="Pinjam uang riba",I2700="Pinjam dari uang riba",I2700="Ganti uang riba",I2700="Kelebihan ganti dikembalikan",AND(C2700="Kantong Uang Riba",G2700="Pengeluaran"))),1,0)</f>
        <v/>
      </c>
      <c r="X2700" s="93">
        <f>IF(AND(B2700&lt;&gt;"",B2700&gt;='Buku Akun'!$H$4,B2700&lt;='Buku Akun'!$H$5,OR(C2700='Buku Akun'!$C$4,AND(D2700="Pindah",E2700='Buku Akun'!$C$4))),B2700+IF(AND(I2700="Selisih bunga",DAY(B2700)=1),0,0.01)+ROW()/10000000,"")</f>
        <v/>
      </c>
    </row>
    <row r="2701" outlineLevel="1" ht="15" customHeight="1" s="94">
      <c r="A2701" s="123">
        <f>IF(B2701="","",ROW()-15)</f>
        <v/>
      </c>
      <c r="B2701" s="124" t="n"/>
      <c r="C2701" s="123" t="n"/>
      <c r="D2701" s="123" t="n"/>
      <c r="E2701" s="123" t="n"/>
      <c r="F2701" s="125" t="n"/>
      <c r="G2701" s="123" t="n"/>
      <c r="H2701" s="123" t="n"/>
      <c r="I2701" s="123" t="n"/>
      <c r="J2701" s="123" t="n"/>
      <c r="K2701" s="123" t="n"/>
      <c r="L2701" s="123" t="n"/>
      <c r="M2701" s="123">
        <f>IF(AND(B2701&lt;&gt;"",OR($C$4="",ISNUMBER(SEARCH($C$4,C2701&amp;" "&amp;E2701&amp;" "&amp;G2701&amp;" "&amp;H2701&amp;" "&amp;I2701&amp;" "&amp;J2701&amp;" "&amp;K2701&amp;" "&amp;L2701))),OR($C$5="Semua",$C$5="",G2701=$C$5),OR($C$6="Semua",$C$6="",H2701=$C$6,H2701="Pengeluaran "&amp;$C$6,AND($C$6="Uang Kos Mama",H2701="Pengeluaran Uang Kos")),OR($C$7="Semua",$C$7="",I2701=$C$7),OR($C$8="Semua",$C$8="",C2701=$C$8,E2701=$C$8),OR($C$9="Semua",$C$9="",D2701=$C$9),OR($C$10="",B2701&gt;=$C$10),OR($C$11="",B2701&lt;=$C$11),OR($C$12&lt;&gt;"Ya",K2701&lt;&gt;""),OR($C$13="Semua",$C$13="",L2701=$C$13)),"✓","")</f>
        <v/>
      </c>
      <c r="N2701" s="93">
        <f>N(N2700)+IF(M2701="✓",1,0)</f>
        <v/>
      </c>
      <c r="O2701" s="93">
        <f>N(O2700)+IF(AND(B2701&lt;&gt;"",B2701&gt;='Uang Riba'!$H$30,B2701&lt;='Uang Riba'!$I$30,OR(H2701="Dana riba",H2701="Pinjam uang riba",I2701="Pinjam dari uang riba",I2701="Ganti uang riba",I2701="Kelebihan ganti dikembalikan",AND(C2701="Kantong Uang Riba",G2701="Pengeluaran"))),1,0)</f>
        <v/>
      </c>
      <c r="X2701" s="93">
        <f>IF(AND(B2701&lt;&gt;"",B2701&gt;='Buku Akun'!$H$4,B2701&lt;='Buku Akun'!$H$5,OR(C2701='Buku Akun'!$C$4,AND(D2701="Pindah",E2701='Buku Akun'!$C$4))),B2701+IF(AND(I2701="Selisih bunga",DAY(B2701)=1),0,0.01)+ROW()/10000000,"")</f>
        <v/>
      </c>
    </row>
    <row r="2702" outlineLevel="1" ht="15" customHeight="1" s="94">
      <c r="A2702" s="123">
        <f>IF(B2702="","",ROW()-15)</f>
        <v/>
      </c>
      <c r="B2702" s="124" t="n"/>
      <c r="C2702" s="123" t="n"/>
      <c r="D2702" s="123" t="n"/>
      <c r="E2702" s="123" t="n"/>
      <c r="F2702" s="125" t="n"/>
      <c r="G2702" s="123" t="n"/>
      <c r="H2702" s="123" t="n"/>
      <c r="I2702" s="123" t="n"/>
      <c r="J2702" s="123" t="n"/>
      <c r="K2702" s="123" t="n"/>
      <c r="L2702" s="123" t="n"/>
      <c r="M2702" s="123">
        <f>IF(AND(B2702&lt;&gt;"",OR($C$4="",ISNUMBER(SEARCH($C$4,C2702&amp;" "&amp;E2702&amp;" "&amp;G2702&amp;" "&amp;H2702&amp;" "&amp;I2702&amp;" "&amp;J2702&amp;" "&amp;K2702&amp;" "&amp;L2702))),OR($C$5="Semua",$C$5="",G2702=$C$5),OR($C$6="Semua",$C$6="",H2702=$C$6,H2702="Pengeluaran "&amp;$C$6,AND($C$6="Uang Kos Mama",H2702="Pengeluaran Uang Kos")),OR($C$7="Semua",$C$7="",I2702=$C$7),OR($C$8="Semua",$C$8="",C2702=$C$8,E2702=$C$8),OR($C$9="Semua",$C$9="",D2702=$C$9),OR($C$10="",B2702&gt;=$C$10),OR($C$11="",B2702&lt;=$C$11),OR($C$12&lt;&gt;"Ya",K2702&lt;&gt;""),OR($C$13="Semua",$C$13="",L2702=$C$13)),"✓","")</f>
        <v/>
      </c>
      <c r="N2702" s="93">
        <f>N(N2701)+IF(M2702="✓",1,0)</f>
        <v/>
      </c>
      <c r="O2702" s="93">
        <f>N(O2701)+IF(AND(B2702&lt;&gt;"",B2702&gt;='Uang Riba'!$H$30,B2702&lt;='Uang Riba'!$I$30,OR(H2702="Dana riba",H2702="Pinjam uang riba",I2702="Pinjam dari uang riba",I2702="Ganti uang riba",I2702="Kelebihan ganti dikembalikan",AND(C2702="Kantong Uang Riba",G2702="Pengeluaran"))),1,0)</f>
        <v/>
      </c>
      <c r="X2702" s="93">
        <f>IF(AND(B2702&lt;&gt;"",B2702&gt;='Buku Akun'!$H$4,B2702&lt;='Buku Akun'!$H$5,OR(C2702='Buku Akun'!$C$4,AND(D2702="Pindah",E2702='Buku Akun'!$C$4))),B2702+IF(AND(I2702="Selisih bunga",DAY(B2702)=1),0,0.01)+ROW()/10000000,"")</f>
        <v/>
      </c>
    </row>
    <row r="2703" outlineLevel="1" ht="15" customHeight="1" s="94">
      <c r="A2703" s="123">
        <f>IF(B2703="","",ROW()-15)</f>
        <v/>
      </c>
      <c r="B2703" s="124" t="n"/>
      <c r="C2703" s="123" t="n"/>
      <c r="D2703" s="123" t="n"/>
      <c r="E2703" s="123" t="n"/>
      <c r="F2703" s="125" t="n"/>
      <c r="G2703" s="123" t="n"/>
      <c r="H2703" s="123" t="n"/>
      <c r="I2703" s="123" t="n"/>
      <c r="J2703" s="123" t="n"/>
      <c r="K2703" s="123" t="n"/>
      <c r="L2703" s="123" t="n"/>
      <c r="M2703" s="123">
        <f>IF(AND(B2703&lt;&gt;"",OR($C$4="",ISNUMBER(SEARCH($C$4,C2703&amp;" "&amp;E2703&amp;" "&amp;G2703&amp;" "&amp;H2703&amp;" "&amp;I2703&amp;" "&amp;J2703&amp;" "&amp;K2703&amp;" "&amp;L2703))),OR($C$5="Semua",$C$5="",G2703=$C$5),OR($C$6="Semua",$C$6="",H2703=$C$6,H2703="Pengeluaran "&amp;$C$6,AND($C$6="Uang Kos Mama",H2703="Pengeluaran Uang Kos")),OR($C$7="Semua",$C$7="",I2703=$C$7),OR($C$8="Semua",$C$8="",C2703=$C$8,E2703=$C$8),OR($C$9="Semua",$C$9="",D2703=$C$9),OR($C$10="",B2703&gt;=$C$10),OR($C$11="",B2703&lt;=$C$11),OR($C$12&lt;&gt;"Ya",K2703&lt;&gt;""),OR($C$13="Semua",$C$13="",L2703=$C$13)),"✓","")</f>
        <v/>
      </c>
      <c r="N2703" s="93">
        <f>N(N2702)+IF(M2703="✓",1,0)</f>
        <v/>
      </c>
      <c r="O2703" s="93">
        <f>N(O2702)+IF(AND(B2703&lt;&gt;"",B2703&gt;='Uang Riba'!$H$30,B2703&lt;='Uang Riba'!$I$30,OR(H2703="Dana riba",H2703="Pinjam uang riba",I2703="Pinjam dari uang riba",I2703="Ganti uang riba",I2703="Kelebihan ganti dikembalikan",AND(C2703="Kantong Uang Riba",G2703="Pengeluaran"))),1,0)</f>
        <v/>
      </c>
      <c r="X2703" s="93">
        <f>IF(AND(B2703&lt;&gt;"",B2703&gt;='Buku Akun'!$H$4,B2703&lt;='Buku Akun'!$H$5,OR(C2703='Buku Akun'!$C$4,AND(D2703="Pindah",E2703='Buku Akun'!$C$4))),B2703+IF(AND(I2703="Selisih bunga",DAY(B2703)=1),0,0.01)+ROW()/10000000,"")</f>
        <v/>
      </c>
    </row>
    <row r="2704" outlineLevel="1" ht="15" customHeight="1" s="94">
      <c r="A2704" s="123">
        <f>IF(B2704="","",ROW()-15)</f>
        <v/>
      </c>
      <c r="B2704" s="124" t="n"/>
      <c r="C2704" s="123" t="n"/>
      <c r="D2704" s="123" t="n"/>
      <c r="E2704" s="123" t="n"/>
      <c r="F2704" s="125" t="n"/>
      <c r="G2704" s="123" t="n"/>
      <c r="H2704" s="123" t="n"/>
      <c r="I2704" s="123" t="n"/>
      <c r="J2704" s="123" t="n"/>
      <c r="K2704" s="123" t="n"/>
      <c r="L2704" s="123" t="n"/>
      <c r="M2704" s="123">
        <f>IF(AND(B2704&lt;&gt;"",OR($C$4="",ISNUMBER(SEARCH($C$4,C2704&amp;" "&amp;E2704&amp;" "&amp;G2704&amp;" "&amp;H2704&amp;" "&amp;I2704&amp;" "&amp;J2704&amp;" "&amp;K2704&amp;" "&amp;L2704))),OR($C$5="Semua",$C$5="",G2704=$C$5),OR($C$6="Semua",$C$6="",H2704=$C$6,H2704="Pengeluaran "&amp;$C$6,AND($C$6="Uang Kos Mama",H2704="Pengeluaran Uang Kos")),OR($C$7="Semua",$C$7="",I2704=$C$7),OR($C$8="Semua",$C$8="",C2704=$C$8,E2704=$C$8),OR($C$9="Semua",$C$9="",D2704=$C$9),OR($C$10="",B2704&gt;=$C$10),OR($C$11="",B2704&lt;=$C$11),OR($C$12&lt;&gt;"Ya",K2704&lt;&gt;""),OR($C$13="Semua",$C$13="",L2704=$C$13)),"✓","")</f>
        <v/>
      </c>
      <c r="N2704" s="93">
        <f>N(N2703)+IF(M2704="✓",1,0)</f>
        <v/>
      </c>
      <c r="O2704" s="93">
        <f>N(O2703)+IF(AND(B2704&lt;&gt;"",B2704&gt;='Uang Riba'!$H$30,B2704&lt;='Uang Riba'!$I$30,OR(H2704="Dana riba",H2704="Pinjam uang riba",I2704="Pinjam dari uang riba",I2704="Ganti uang riba",I2704="Kelebihan ganti dikembalikan",AND(C2704="Kantong Uang Riba",G2704="Pengeluaran"))),1,0)</f>
        <v/>
      </c>
      <c r="X2704" s="93">
        <f>IF(AND(B2704&lt;&gt;"",B2704&gt;='Buku Akun'!$H$4,B2704&lt;='Buku Akun'!$H$5,OR(C2704='Buku Akun'!$C$4,AND(D2704="Pindah",E2704='Buku Akun'!$C$4))),B2704+IF(AND(I2704="Selisih bunga",DAY(B2704)=1),0,0.01)+ROW()/10000000,"")</f>
        <v/>
      </c>
    </row>
    <row r="2705" outlineLevel="1" ht="15" customHeight="1" s="94">
      <c r="A2705" s="123">
        <f>IF(B2705="","",ROW()-15)</f>
        <v/>
      </c>
      <c r="B2705" s="124" t="n"/>
      <c r="C2705" s="123" t="n"/>
      <c r="D2705" s="123" t="n"/>
      <c r="E2705" s="123" t="n"/>
      <c r="F2705" s="125" t="n"/>
      <c r="G2705" s="123" t="n"/>
      <c r="H2705" s="123" t="n"/>
      <c r="I2705" s="123" t="n"/>
      <c r="J2705" s="123" t="n"/>
      <c r="K2705" s="123" t="n"/>
      <c r="L2705" s="123" t="n"/>
      <c r="M2705" s="123">
        <f>IF(AND(B2705&lt;&gt;"",OR($C$4="",ISNUMBER(SEARCH($C$4,C2705&amp;" "&amp;E2705&amp;" "&amp;G2705&amp;" "&amp;H2705&amp;" "&amp;I2705&amp;" "&amp;J2705&amp;" "&amp;K2705&amp;" "&amp;L2705))),OR($C$5="Semua",$C$5="",G2705=$C$5),OR($C$6="Semua",$C$6="",H2705=$C$6,H2705="Pengeluaran "&amp;$C$6,AND($C$6="Uang Kos Mama",H2705="Pengeluaran Uang Kos")),OR($C$7="Semua",$C$7="",I2705=$C$7),OR($C$8="Semua",$C$8="",C2705=$C$8,E2705=$C$8),OR($C$9="Semua",$C$9="",D2705=$C$9),OR($C$10="",B2705&gt;=$C$10),OR($C$11="",B2705&lt;=$C$11),OR($C$12&lt;&gt;"Ya",K2705&lt;&gt;""),OR($C$13="Semua",$C$13="",L2705=$C$13)),"✓","")</f>
        <v/>
      </c>
      <c r="N2705" s="93">
        <f>N(N2704)+IF(M2705="✓",1,0)</f>
        <v/>
      </c>
      <c r="O2705" s="93">
        <f>N(O2704)+IF(AND(B2705&lt;&gt;"",B2705&gt;='Uang Riba'!$H$30,B2705&lt;='Uang Riba'!$I$30,OR(H2705="Dana riba",H2705="Pinjam uang riba",I2705="Pinjam dari uang riba",I2705="Ganti uang riba",I2705="Kelebihan ganti dikembalikan",AND(C2705="Kantong Uang Riba",G2705="Pengeluaran"))),1,0)</f>
        <v/>
      </c>
      <c r="X2705" s="93">
        <f>IF(AND(B2705&lt;&gt;"",B2705&gt;='Buku Akun'!$H$4,B2705&lt;='Buku Akun'!$H$5,OR(C2705='Buku Akun'!$C$4,AND(D2705="Pindah",E2705='Buku Akun'!$C$4))),B2705+IF(AND(I2705="Selisih bunga",DAY(B2705)=1),0,0.01)+ROW()/10000000,"")</f>
        <v/>
      </c>
    </row>
    <row r="2706" outlineLevel="1" ht="15" customHeight="1" s="94">
      <c r="A2706" s="123">
        <f>IF(B2706="","",ROW()-15)</f>
        <v/>
      </c>
      <c r="B2706" s="124" t="n"/>
      <c r="C2706" s="123" t="n"/>
      <c r="D2706" s="123" t="n"/>
      <c r="E2706" s="123" t="n"/>
      <c r="F2706" s="125" t="n"/>
      <c r="G2706" s="123" t="n"/>
      <c r="H2706" s="123" t="n"/>
      <c r="I2706" s="123" t="n"/>
      <c r="J2706" s="123" t="n"/>
      <c r="K2706" s="123" t="n"/>
      <c r="L2706" s="123" t="n"/>
      <c r="M2706" s="123">
        <f>IF(AND(B2706&lt;&gt;"",OR($C$4="",ISNUMBER(SEARCH($C$4,C2706&amp;" "&amp;E2706&amp;" "&amp;G2706&amp;" "&amp;H2706&amp;" "&amp;I2706&amp;" "&amp;J2706&amp;" "&amp;K2706&amp;" "&amp;L2706))),OR($C$5="Semua",$C$5="",G2706=$C$5),OR($C$6="Semua",$C$6="",H2706=$C$6,H2706="Pengeluaran "&amp;$C$6,AND($C$6="Uang Kos Mama",H2706="Pengeluaran Uang Kos")),OR($C$7="Semua",$C$7="",I2706=$C$7),OR($C$8="Semua",$C$8="",C2706=$C$8,E2706=$C$8),OR($C$9="Semua",$C$9="",D2706=$C$9),OR($C$10="",B2706&gt;=$C$10),OR($C$11="",B2706&lt;=$C$11),OR($C$12&lt;&gt;"Ya",K2706&lt;&gt;""),OR($C$13="Semua",$C$13="",L2706=$C$13)),"✓","")</f>
        <v/>
      </c>
      <c r="N2706" s="93">
        <f>N(N2705)+IF(M2706="✓",1,0)</f>
        <v/>
      </c>
      <c r="O2706" s="93">
        <f>N(O2705)+IF(AND(B2706&lt;&gt;"",B2706&gt;='Uang Riba'!$H$30,B2706&lt;='Uang Riba'!$I$30,OR(H2706="Dana riba",H2706="Pinjam uang riba",I2706="Pinjam dari uang riba",I2706="Ganti uang riba",I2706="Kelebihan ganti dikembalikan",AND(C2706="Kantong Uang Riba",G2706="Pengeluaran"))),1,0)</f>
        <v/>
      </c>
      <c r="X2706" s="93">
        <f>IF(AND(B2706&lt;&gt;"",B2706&gt;='Buku Akun'!$H$4,B2706&lt;='Buku Akun'!$H$5,OR(C2706='Buku Akun'!$C$4,AND(D2706="Pindah",E2706='Buku Akun'!$C$4))),B2706+IF(AND(I2706="Selisih bunga",DAY(B2706)=1),0,0.01)+ROW()/10000000,"")</f>
        <v/>
      </c>
    </row>
    <row r="2707" outlineLevel="1" ht="15" customHeight="1" s="94">
      <c r="A2707" s="123">
        <f>IF(B2707="","",ROW()-15)</f>
        <v/>
      </c>
      <c r="B2707" s="124" t="n"/>
      <c r="C2707" s="123" t="n"/>
      <c r="D2707" s="123" t="n"/>
      <c r="E2707" s="123" t="n"/>
      <c r="F2707" s="125" t="n"/>
      <c r="G2707" s="123" t="n"/>
      <c r="H2707" s="123" t="n"/>
      <c r="I2707" s="123" t="n"/>
      <c r="J2707" s="123" t="n"/>
      <c r="K2707" s="123" t="n"/>
      <c r="L2707" s="123" t="n"/>
      <c r="M2707" s="123">
        <f>IF(AND(B2707&lt;&gt;"",OR($C$4="",ISNUMBER(SEARCH($C$4,C2707&amp;" "&amp;E2707&amp;" "&amp;G2707&amp;" "&amp;H2707&amp;" "&amp;I2707&amp;" "&amp;J2707&amp;" "&amp;K2707&amp;" "&amp;L2707))),OR($C$5="Semua",$C$5="",G2707=$C$5),OR($C$6="Semua",$C$6="",H2707=$C$6,H2707="Pengeluaran "&amp;$C$6,AND($C$6="Uang Kos Mama",H2707="Pengeluaran Uang Kos")),OR($C$7="Semua",$C$7="",I2707=$C$7),OR($C$8="Semua",$C$8="",C2707=$C$8,E2707=$C$8),OR($C$9="Semua",$C$9="",D2707=$C$9),OR($C$10="",B2707&gt;=$C$10),OR($C$11="",B2707&lt;=$C$11),OR($C$12&lt;&gt;"Ya",K2707&lt;&gt;""),OR($C$13="Semua",$C$13="",L2707=$C$13)),"✓","")</f>
        <v/>
      </c>
      <c r="N2707" s="93">
        <f>N(N2706)+IF(M2707="✓",1,0)</f>
        <v/>
      </c>
      <c r="O2707" s="93">
        <f>N(O2706)+IF(AND(B2707&lt;&gt;"",B2707&gt;='Uang Riba'!$H$30,B2707&lt;='Uang Riba'!$I$30,OR(H2707="Dana riba",H2707="Pinjam uang riba",I2707="Pinjam dari uang riba",I2707="Ganti uang riba",I2707="Kelebihan ganti dikembalikan",AND(C2707="Kantong Uang Riba",G2707="Pengeluaran"))),1,0)</f>
        <v/>
      </c>
      <c r="X2707" s="93">
        <f>IF(AND(B2707&lt;&gt;"",B2707&gt;='Buku Akun'!$H$4,B2707&lt;='Buku Akun'!$H$5,OR(C2707='Buku Akun'!$C$4,AND(D2707="Pindah",E2707='Buku Akun'!$C$4))),B2707+IF(AND(I2707="Selisih bunga",DAY(B2707)=1),0,0.01)+ROW()/10000000,"")</f>
        <v/>
      </c>
    </row>
    <row r="2708" outlineLevel="1" ht="15" customHeight="1" s="94">
      <c r="A2708" s="123">
        <f>IF(B2708="","",ROW()-15)</f>
        <v/>
      </c>
      <c r="B2708" s="124" t="n"/>
      <c r="C2708" s="123" t="n"/>
      <c r="D2708" s="123" t="n"/>
      <c r="E2708" s="123" t="n"/>
      <c r="F2708" s="125" t="n"/>
      <c r="G2708" s="123" t="n"/>
      <c r="H2708" s="123" t="n"/>
      <c r="I2708" s="123" t="n"/>
      <c r="J2708" s="123" t="n"/>
      <c r="K2708" s="123" t="n"/>
      <c r="L2708" s="123" t="n"/>
      <c r="M2708" s="123">
        <f>IF(AND(B2708&lt;&gt;"",OR($C$4="",ISNUMBER(SEARCH($C$4,C2708&amp;" "&amp;E2708&amp;" "&amp;G2708&amp;" "&amp;H2708&amp;" "&amp;I2708&amp;" "&amp;J2708&amp;" "&amp;K2708&amp;" "&amp;L2708))),OR($C$5="Semua",$C$5="",G2708=$C$5),OR($C$6="Semua",$C$6="",H2708=$C$6,H2708="Pengeluaran "&amp;$C$6,AND($C$6="Uang Kos Mama",H2708="Pengeluaran Uang Kos")),OR($C$7="Semua",$C$7="",I2708=$C$7),OR($C$8="Semua",$C$8="",C2708=$C$8,E2708=$C$8),OR($C$9="Semua",$C$9="",D2708=$C$9),OR($C$10="",B2708&gt;=$C$10),OR($C$11="",B2708&lt;=$C$11),OR($C$12&lt;&gt;"Ya",K2708&lt;&gt;""),OR($C$13="Semua",$C$13="",L2708=$C$13)),"✓","")</f>
        <v/>
      </c>
      <c r="N2708" s="93">
        <f>N(N2707)+IF(M2708="✓",1,0)</f>
        <v/>
      </c>
      <c r="O2708" s="93">
        <f>N(O2707)+IF(AND(B2708&lt;&gt;"",B2708&gt;='Uang Riba'!$H$30,B2708&lt;='Uang Riba'!$I$30,OR(H2708="Dana riba",H2708="Pinjam uang riba",I2708="Pinjam dari uang riba",I2708="Ganti uang riba",I2708="Kelebihan ganti dikembalikan",AND(C2708="Kantong Uang Riba",G2708="Pengeluaran"))),1,0)</f>
        <v/>
      </c>
      <c r="X2708" s="93">
        <f>IF(AND(B2708&lt;&gt;"",B2708&gt;='Buku Akun'!$H$4,B2708&lt;='Buku Akun'!$H$5,OR(C2708='Buku Akun'!$C$4,AND(D2708="Pindah",E2708='Buku Akun'!$C$4))),B2708+IF(AND(I2708="Selisih bunga",DAY(B2708)=1),0,0.01)+ROW()/10000000,"")</f>
        <v/>
      </c>
    </row>
    <row r="2709" outlineLevel="1" ht="15" customHeight="1" s="94">
      <c r="A2709" s="123">
        <f>IF(B2709="","",ROW()-15)</f>
        <v/>
      </c>
      <c r="B2709" s="124" t="n"/>
      <c r="C2709" s="123" t="n"/>
      <c r="D2709" s="123" t="n"/>
      <c r="E2709" s="123" t="n"/>
      <c r="F2709" s="125" t="n"/>
      <c r="G2709" s="123" t="n"/>
      <c r="H2709" s="123" t="n"/>
      <c r="I2709" s="123" t="n"/>
      <c r="J2709" s="123" t="n"/>
      <c r="K2709" s="123" t="n"/>
      <c r="L2709" s="123" t="n"/>
      <c r="M2709" s="123">
        <f>IF(AND(B2709&lt;&gt;"",OR($C$4="",ISNUMBER(SEARCH($C$4,C2709&amp;" "&amp;E2709&amp;" "&amp;G2709&amp;" "&amp;H2709&amp;" "&amp;I2709&amp;" "&amp;J2709&amp;" "&amp;K2709&amp;" "&amp;L2709))),OR($C$5="Semua",$C$5="",G2709=$C$5),OR($C$6="Semua",$C$6="",H2709=$C$6,H2709="Pengeluaran "&amp;$C$6,AND($C$6="Uang Kos Mama",H2709="Pengeluaran Uang Kos")),OR($C$7="Semua",$C$7="",I2709=$C$7),OR($C$8="Semua",$C$8="",C2709=$C$8,E2709=$C$8),OR($C$9="Semua",$C$9="",D2709=$C$9),OR($C$10="",B2709&gt;=$C$10),OR($C$11="",B2709&lt;=$C$11),OR($C$12&lt;&gt;"Ya",K2709&lt;&gt;""),OR($C$13="Semua",$C$13="",L2709=$C$13)),"✓","")</f>
        <v/>
      </c>
      <c r="N2709" s="93">
        <f>N(N2708)+IF(M2709="✓",1,0)</f>
        <v/>
      </c>
      <c r="O2709" s="93">
        <f>N(O2708)+IF(AND(B2709&lt;&gt;"",B2709&gt;='Uang Riba'!$H$30,B2709&lt;='Uang Riba'!$I$30,OR(H2709="Dana riba",H2709="Pinjam uang riba",I2709="Pinjam dari uang riba",I2709="Ganti uang riba",I2709="Kelebihan ganti dikembalikan",AND(C2709="Kantong Uang Riba",G2709="Pengeluaran"))),1,0)</f>
        <v/>
      </c>
      <c r="X2709" s="93">
        <f>IF(AND(B2709&lt;&gt;"",B2709&gt;='Buku Akun'!$H$4,B2709&lt;='Buku Akun'!$H$5,OR(C2709='Buku Akun'!$C$4,AND(D2709="Pindah",E2709='Buku Akun'!$C$4))),B2709+IF(AND(I2709="Selisih bunga",DAY(B2709)=1),0,0.01)+ROW()/10000000,"")</f>
        <v/>
      </c>
    </row>
    <row r="2710" outlineLevel="1" ht="15" customHeight="1" s="94">
      <c r="A2710" s="123">
        <f>IF(B2710="","",ROW()-15)</f>
        <v/>
      </c>
      <c r="B2710" s="124" t="n"/>
      <c r="C2710" s="123" t="n"/>
      <c r="D2710" s="123" t="n"/>
      <c r="E2710" s="123" t="n"/>
      <c r="F2710" s="125" t="n"/>
      <c r="G2710" s="123" t="n"/>
      <c r="H2710" s="123" t="n"/>
      <c r="I2710" s="123" t="n"/>
      <c r="J2710" s="123" t="n"/>
      <c r="K2710" s="123" t="n"/>
      <c r="L2710" s="123" t="n"/>
      <c r="M2710" s="123">
        <f>IF(AND(B2710&lt;&gt;"",OR($C$4="",ISNUMBER(SEARCH($C$4,C2710&amp;" "&amp;E2710&amp;" "&amp;G2710&amp;" "&amp;H2710&amp;" "&amp;I2710&amp;" "&amp;J2710&amp;" "&amp;K2710&amp;" "&amp;L2710))),OR($C$5="Semua",$C$5="",G2710=$C$5),OR($C$6="Semua",$C$6="",H2710=$C$6,H2710="Pengeluaran "&amp;$C$6,AND($C$6="Uang Kos Mama",H2710="Pengeluaran Uang Kos")),OR($C$7="Semua",$C$7="",I2710=$C$7),OR($C$8="Semua",$C$8="",C2710=$C$8,E2710=$C$8),OR($C$9="Semua",$C$9="",D2710=$C$9),OR($C$10="",B2710&gt;=$C$10),OR($C$11="",B2710&lt;=$C$11),OR($C$12&lt;&gt;"Ya",K2710&lt;&gt;""),OR($C$13="Semua",$C$13="",L2710=$C$13)),"✓","")</f>
        <v/>
      </c>
      <c r="N2710" s="93">
        <f>N(N2709)+IF(M2710="✓",1,0)</f>
        <v/>
      </c>
      <c r="O2710" s="93">
        <f>N(O2709)+IF(AND(B2710&lt;&gt;"",B2710&gt;='Uang Riba'!$H$30,B2710&lt;='Uang Riba'!$I$30,OR(H2710="Dana riba",H2710="Pinjam uang riba",I2710="Pinjam dari uang riba",I2710="Ganti uang riba",I2710="Kelebihan ganti dikembalikan",AND(C2710="Kantong Uang Riba",G2710="Pengeluaran"))),1,0)</f>
        <v/>
      </c>
      <c r="X2710" s="93">
        <f>IF(AND(B2710&lt;&gt;"",B2710&gt;='Buku Akun'!$H$4,B2710&lt;='Buku Akun'!$H$5,OR(C2710='Buku Akun'!$C$4,AND(D2710="Pindah",E2710='Buku Akun'!$C$4))),B2710+IF(AND(I2710="Selisih bunga",DAY(B2710)=1),0,0.01)+ROW()/10000000,"")</f>
        <v/>
      </c>
    </row>
    <row r="2711" outlineLevel="1" ht="15" customHeight="1" s="94">
      <c r="A2711" s="123">
        <f>IF(B2711="","",ROW()-15)</f>
        <v/>
      </c>
      <c r="B2711" s="124" t="n"/>
      <c r="C2711" s="123" t="n"/>
      <c r="D2711" s="123" t="n"/>
      <c r="E2711" s="123" t="n"/>
      <c r="F2711" s="125" t="n"/>
      <c r="G2711" s="123" t="n"/>
      <c r="H2711" s="123" t="n"/>
      <c r="I2711" s="123" t="n"/>
      <c r="J2711" s="123" t="n"/>
      <c r="K2711" s="123" t="n"/>
      <c r="L2711" s="123" t="n"/>
      <c r="M2711" s="123">
        <f>IF(AND(B2711&lt;&gt;"",OR($C$4="",ISNUMBER(SEARCH($C$4,C2711&amp;" "&amp;E2711&amp;" "&amp;G2711&amp;" "&amp;H2711&amp;" "&amp;I2711&amp;" "&amp;J2711&amp;" "&amp;K2711&amp;" "&amp;L2711))),OR($C$5="Semua",$C$5="",G2711=$C$5),OR($C$6="Semua",$C$6="",H2711=$C$6,H2711="Pengeluaran "&amp;$C$6,AND($C$6="Uang Kos Mama",H2711="Pengeluaran Uang Kos")),OR($C$7="Semua",$C$7="",I2711=$C$7),OR($C$8="Semua",$C$8="",C2711=$C$8,E2711=$C$8),OR($C$9="Semua",$C$9="",D2711=$C$9),OR($C$10="",B2711&gt;=$C$10),OR($C$11="",B2711&lt;=$C$11),OR($C$12&lt;&gt;"Ya",K2711&lt;&gt;""),OR($C$13="Semua",$C$13="",L2711=$C$13)),"✓","")</f>
        <v/>
      </c>
      <c r="N2711" s="93">
        <f>N(N2710)+IF(M2711="✓",1,0)</f>
        <v/>
      </c>
      <c r="O2711" s="93">
        <f>N(O2710)+IF(AND(B2711&lt;&gt;"",B2711&gt;='Uang Riba'!$H$30,B2711&lt;='Uang Riba'!$I$30,OR(H2711="Dana riba",H2711="Pinjam uang riba",I2711="Pinjam dari uang riba",I2711="Ganti uang riba",I2711="Kelebihan ganti dikembalikan",AND(C2711="Kantong Uang Riba",G2711="Pengeluaran"))),1,0)</f>
        <v/>
      </c>
      <c r="X2711" s="93">
        <f>IF(AND(B2711&lt;&gt;"",B2711&gt;='Buku Akun'!$H$4,B2711&lt;='Buku Akun'!$H$5,OR(C2711='Buku Akun'!$C$4,AND(D2711="Pindah",E2711='Buku Akun'!$C$4))),B2711+IF(AND(I2711="Selisih bunga",DAY(B2711)=1),0,0.01)+ROW()/10000000,"")</f>
        <v/>
      </c>
    </row>
    <row r="2712" outlineLevel="1" ht="15" customHeight="1" s="94">
      <c r="A2712" s="123">
        <f>IF(B2712="","",ROW()-15)</f>
        <v/>
      </c>
      <c r="B2712" s="124" t="n"/>
      <c r="C2712" s="123" t="n"/>
      <c r="D2712" s="123" t="n"/>
      <c r="E2712" s="123" t="n"/>
      <c r="F2712" s="125" t="n"/>
      <c r="G2712" s="123" t="n"/>
      <c r="H2712" s="123" t="n"/>
      <c r="I2712" s="123" t="n"/>
      <c r="J2712" s="123" t="n"/>
      <c r="K2712" s="123" t="n"/>
      <c r="L2712" s="123" t="n"/>
      <c r="M2712" s="123">
        <f>IF(AND(B2712&lt;&gt;"",OR($C$4="",ISNUMBER(SEARCH($C$4,C2712&amp;" "&amp;E2712&amp;" "&amp;G2712&amp;" "&amp;H2712&amp;" "&amp;I2712&amp;" "&amp;J2712&amp;" "&amp;K2712&amp;" "&amp;L2712))),OR($C$5="Semua",$C$5="",G2712=$C$5),OR($C$6="Semua",$C$6="",H2712=$C$6,H2712="Pengeluaran "&amp;$C$6,AND($C$6="Uang Kos Mama",H2712="Pengeluaran Uang Kos")),OR($C$7="Semua",$C$7="",I2712=$C$7),OR($C$8="Semua",$C$8="",C2712=$C$8,E2712=$C$8),OR($C$9="Semua",$C$9="",D2712=$C$9),OR($C$10="",B2712&gt;=$C$10),OR($C$11="",B2712&lt;=$C$11),OR($C$12&lt;&gt;"Ya",K2712&lt;&gt;""),OR($C$13="Semua",$C$13="",L2712=$C$13)),"✓","")</f>
        <v/>
      </c>
      <c r="N2712" s="93">
        <f>N(N2711)+IF(M2712="✓",1,0)</f>
        <v/>
      </c>
      <c r="O2712" s="93">
        <f>N(O2711)+IF(AND(B2712&lt;&gt;"",B2712&gt;='Uang Riba'!$H$30,B2712&lt;='Uang Riba'!$I$30,OR(H2712="Dana riba",H2712="Pinjam uang riba",I2712="Pinjam dari uang riba",I2712="Ganti uang riba",I2712="Kelebihan ganti dikembalikan",AND(C2712="Kantong Uang Riba",G2712="Pengeluaran"))),1,0)</f>
        <v/>
      </c>
      <c r="X2712" s="93">
        <f>IF(AND(B2712&lt;&gt;"",B2712&gt;='Buku Akun'!$H$4,B2712&lt;='Buku Akun'!$H$5,OR(C2712='Buku Akun'!$C$4,AND(D2712="Pindah",E2712='Buku Akun'!$C$4))),B2712+IF(AND(I2712="Selisih bunga",DAY(B2712)=1),0,0.01)+ROW()/10000000,"")</f>
        <v/>
      </c>
    </row>
    <row r="2713" outlineLevel="1" ht="15" customHeight="1" s="94">
      <c r="A2713" s="123">
        <f>IF(B2713="","",ROW()-15)</f>
        <v/>
      </c>
      <c r="B2713" s="124" t="n"/>
      <c r="C2713" s="123" t="n"/>
      <c r="D2713" s="123" t="n"/>
      <c r="E2713" s="123" t="n"/>
      <c r="F2713" s="125" t="n"/>
      <c r="G2713" s="123" t="n"/>
      <c r="H2713" s="123" t="n"/>
      <c r="I2713" s="123" t="n"/>
      <c r="J2713" s="123" t="n"/>
      <c r="K2713" s="123" t="n"/>
      <c r="L2713" s="123" t="n"/>
      <c r="M2713" s="123">
        <f>IF(AND(B2713&lt;&gt;"",OR($C$4="",ISNUMBER(SEARCH($C$4,C2713&amp;" "&amp;E2713&amp;" "&amp;G2713&amp;" "&amp;H2713&amp;" "&amp;I2713&amp;" "&amp;J2713&amp;" "&amp;K2713&amp;" "&amp;L2713))),OR($C$5="Semua",$C$5="",G2713=$C$5),OR($C$6="Semua",$C$6="",H2713=$C$6,H2713="Pengeluaran "&amp;$C$6,AND($C$6="Uang Kos Mama",H2713="Pengeluaran Uang Kos")),OR($C$7="Semua",$C$7="",I2713=$C$7),OR($C$8="Semua",$C$8="",C2713=$C$8,E2713=$C$8),OR($C$9="Semua",$C$9="",D2713=$C$9),OR($C$10="",B2713&gt;=$C$10),OR($C$11="",B2713&lt;=$C$11),OR($C$12&lt;&gt;"Ya",K2713&lt;&gt;""),OR($C$13="Semua",$C$13="",L2713=$C$13)),"✓","")</f>
        <v/>
      </c>
      <c r="N2713" s="93">
        <f>N(N2712)+IF(M2713="✓",1,0)</f>
        <v/>
      </c>
      <c r="O2713" s="93">
        <f>N(O2712)+IF(AND(B2713&lt;&gt;"",B2713&gt;='Uang Riba'!$H$30,B2713&lt;='Uang Riba'!$I$30,OR(H2713="Dana riba",H2713="Pinjam uang riba",I2713="Pinjam dari uang riba",I2713="Ganti uang riba",I2713="Kelebihan ganti dikembalikan",AND(C2713="Kantong Uang Riba",G2713="Pengeluaran"))),1,0)</f>
        <v/>
      </c>
      <c r="X2713" s="93">
        <f>IF(AND(B2713&lt;&gt;"",B2713&gt;='Buku Akun'!$H$4,B2713&lt;='Buku Akun'!$H$5,OR(C2713='Buku Akun'!$C$4,AND(D2713="Pindah",E2713='Buku Akun'!$C$4))),B2713+IF(AND(I2713="Selisih bunga",DAY(B2713)=1),0,0.01)+ROW()/10000000,"")</f>
        <v/>
      </c>
    </row>
    <row r="2714" outlineLevel="1" ht="15" customHeight="1" s="94">
      <c r="A2714" s="123">
        <f>IF(B2714="","",ROW()-15)</f>
        <v/>
      </c>
      <c r="B2714" s="124" t="n"/>
      <c r="C2714" s="123" t="n"/>
      <c r="D2714" s="123" t="n"/>
      <c r="E2714" s="123" t="n"/>
      <c r="F2714" s="125" t="n"/>
      <c r="G2714" s="123" t="n"/>
      <c r="H2714" s="123" t="n"/>
      <c r="I2714" s="123" t="n"/>
      <c r="J2714" s="123" t="n"/>
      <c r="K2714" s="123" t="n"/>
      <c r="L2714" s="123" t="n"/>
      <c r="M2714" s="123">
        <f>IF(AND(B2714&lt;&gt;"",OR($C$4="",ISNUMBER(SEARCH($C$4,C2714&amp;" "&amp;E2714&amp;" "&amp;G2714&amp;" "&amp;H2714&amp;" "&amp;I2714&amp;" "&amp;J2714&amp;" "&amp;K2714&amp;" "&amp;L2714))),OR($C$5="Semua",$C$5="",G2714=$C$5),OR($C$6="Semua",$C$6="",H2714=$C$6,H2714="Pengeluaran "&amp;$C$6,AND($C$6="Uang Kos Mama",H2714="Pengeluaran Uang Kos")),OR($C$7="Semua",$C$7="",I2714=$C$7),OR($C$8="Semua",$C$8="",C2714=$C$8,E2714=$C$8),OR($C$9="Semua",$C$9="",D2714=$C$9),OR($C$10="",B2714&gt;=$C$10),OR($C$11="",B2714&lt;=$C$11),OR($C$12&lt;&gt;"Ya",K2714&lt;&gt;""),OR($C$13="Semua",$C$13="",L2714=$C$13)),"✓","")</f>
        <v/>
      </c>
      <c r="N2714" s="93">
        <f>N(N2713)+IF(M2714="✓",1,0)</f>
        <v/>
      </c>
      <c r="O2714" s="93">
        <f>N(O2713)+IF(AND(B2714&lt;&gt;"",B2714&gt;='Uang Riba'!$H$30,B2714&lt;='Uang Riba'!$I$30,OR(H2714="Dana riba",H2714="Pinjam uang riba",I2714="Pinjam dari uang riba",I2714="Ganti uang riba",I2714="Kelebihan ganti dikembalikan",AND(C2714="Kantong Uang Riba",G2714="Pengeluaran"))),1,0)</f>
        <v/>
      </c>
      <c r="X2714" s="93">
        <f>IF(AND(B2714&lt;&gt;"",B2714&gt;='Buku Akun'!$H$4,B2714&lt;='Buku Akun'!$H$5,OR(C2714='Buku Akun'!$C$4,AND(D2714="Pindah",E2714='Buku Akun'!$C$4))),B2714+IF(AND(I2714="Selisih bunga",DAY(B2714)=1),0,0.01)+ROW()/10000000,"")</f>
        <v/>
      </c>
    </row>
    <row r="2715" outlineLevel="1" ht="15" customHeight="1" s="94">
      <c r="A2715" s="123">
        <f>IF(B2715="","",ROW()-15)</f>
        <v/>
      </c>
      <c r="B2715" s="124" t="n"/>
      <c r="C2715" s="123" t="n"/>
      <c r="D2715" s="123" t="n"/>
      <c r="E2715" s="123" t="n"/>
      <c r="F2715" s="125" t="n"/>
      <c r="G2715" s="123" t="n"/>
      <c r="H2715" s="123" t="n"/>
      <c r="I2715" s="123" t="n"/>
      <c r="J2715" s="123" t="n"/>
      <c r="K2715" s="123" t="n"/>
      <c r="L2715" s="123" t="n"/>
      <c r="M2715" s="123">
        <f>IF(AND(B2715&lt;&gt;"",OR($C$4="",ISNUMBER(SEARCH($C$4,C2715&amp;" "&amp;E2715&amp;" "&amp;G2715&amp;" "&amp;H2715&amp;" "&amp;I2715&amp;" "&amp;J2715&amp;" "&amp;K2715&amp;" "&amp;L2715))),OR($C$5="Semua",$C$5="",G2715=$C$5),OR($C$6="Semua",$C$6="",H2715=$C$6,H2715="Pengeluaran "&amp;$C$6,AND($C$6="Uang Kos Mama",H2715="Pengeluaran Uang Kos")),OR($C$7="Semua",$C$7="",I2715=$C$7),OR($C$8="Semua",$C$8="",C2715=$C$8,E2715=$C$8),OR($C$9="Semua",$C$9="",D2715=$C$9),OR($C$10="",B2715&gt;=$C$10),OR($C$11="",B2715&lt;=$C$11),OR($C$12&lt;&gt;"Ya",K2715&lt;&gt;""),OR($C$13="Semua",$C$13="",L2715=$C$13)),"✓","")</f>
        <v/>
      </c>
      <c r="N2715" s="93">
        <f>N(N2714)+IF(M2715="✓",1,0)</f>
        <v/>
      </c>
      <c r="O2715" s="93">
        <f>N(O2714)+IF(AND(B2715&lt;&gt;"",B2715&gt;='Uang Riba'!$H$30,B2715&lt;='Uang Riba'!$I$30,OR(H2715="Dana riba",H2715="Pinjam uang riba",I2715="Pinjam dari uang riba",I2715="Ganti uang riba",I2715="Kelebihan ganti dikembalikan",AND(C2715="Kantong Uang Riba",G2715="Pengeluaran"))),1,0)</f>
        <v/>
      </c>
      <c r="X2715" s="93">
        <f>IF(AND(B2715&lt;&gt;"",B2715&gt;='Buku Akun'!$H$4,B2715&lt;='Buku Akun'!$H$5,OR(C2715='Buku Akun'!$C$4,AND(D2715="Pindah",E2715='Buku Akun'!$C$4))),B2715+IF(AND(I2715="Selisih bunga",DAY(B2715)=1),0,0.01)+ROW()/10000000,"")</f>
        <v/>
      </c>
    </row>
    <row r="2716" outlineLevel="1" ht="15" customHeight="1" s="94">
      <c r="A2716" s="123">
        <f>IF(B2716="","",ROW()-15)</f>
        <v/>
      </c>
      <c r="B2716" s="124" t="n"/>
      <c r="C2716" s="123" t="n"/>
      <c r="D2716" s="123" t="n"/>
      <c r="E2716" s="123" t="n"/>
      <c r="F2716" s="125" t="n"/>
      <c r="G2716" s="123" t="n"/>
      <c r="H2716" s="123" t="n"/>
      <c r="I2716" s="123" t="n"/>
      <c r="J2716" s="123" t="n"/>
      <c r="K2716" s="123" t="n"/>
      <c r="L2716" s="123" t="n"/>
      <c r="M2716" s="123">
        <f>IF(AND(B2716&lt;&gt;"",OR($C$4="",ISNUMBER(SEARCH($C$4,C2716&amp;" "&amp;E2716&amp;" "&amp;G2716&amp;" "&amp;H2716&amp;" "&amp;I2716&amp;" "&amp;J2716&amp;" "&amp;K2716&amp;" "&amp;L2716))),OR($C$5="Semua",$C$5="",G2716=$C$5),OR($C$6="Semua",$C$6="",H2716=$C$6,H2716="Pengeluaran "&amp;$C$6,AND($C$6="Uang Kos Mama",H2716="Pengeluaran Uang Kos")),OR($C$7="Semua",$C$7="",I2716=$C$7),OR($C$8="Semua",$C$8="",C2716=$C$8,E2716=$C$8),OR($C$9="Semua",$C$9="",D2716=$C$9),OR($C$10="",B2716&gt;=$C$10),OR($C$11="",B2716&lt;=$C$11),OR($C$12&lt;&gt;"Ya",K2716&lt;&gt;""),OR($C$13="Semua",$C$13="",L2716=$C$13)),"✓","")</f>
        <v/>
      </c>
      <c r="N2716" s="93">
        <f>N(N2715)+IF(M2716="✓",1,0)</f>
        <v/>
      </c>
      <c r="O2716" s="93">
        <f>N(O2715)+IF(AND(B2716&lt;&gt;"",B2716&gt;='Uang Riba'!$H$30,B2716&lt;='Uang Riba'!$I$30,OR(H2716="Dana riba",H2716="Pinjam uang riba",I2716="Pinjam dari uang riba",I2716="Ganti uang riba",I2716="Kelebihan ganti dikembalikan",AND(C2716="Kantong Uang Riba",G2716="Pengeluaran"))),1,0)</f>
        <v/>
      </c>
      <c r="X2716" s="93">
        <f>IF(AND(B2716&lt;&gt;"",B2716&gt;='Buku Akun'!$H$4,B2716&lt;='Buku Akun'!$H$5,OR(C2716='Buku Akun'!$C$4,AND(D2716="Pindah",E2716='Buku Akun'!$C$4))),B2716+IF(AND(I2716="Selisih bunga",DAY(B2716)=1),0,0.01)+ROW()/10000000,"")</f>
        <v/>
      </c>
    </row>
    <row r="2717" outlineLevel="1" ht="15" customHeight="1" s="94">
      <c r="A2717" s="123">
        <f>IF(B2717="","",ROW()-15)</f>
        <v/>
      </c>
      <c r="B2717" s="124" t="n"/>
      <c r="C2717" s="123" t="n"/>
      <c r="D2717" s="123" t="n"/>
      <c r="E2717" s="123" t="n"/>
      <c r="F2717" s="125" t="n"/>
      <c r="G2717" s="123" t="n"/>
      <c r="H2717" s="123" t="n"/>
      <c r="I2717" s="123" t="n"/>
      <c r="J2717" s="123" t="n"/>
      <c r="K2717" s="123" t="n"/>
      <c r="L2717" s="123" t="n"/>
      <c r="M2717" s="123">
        <f>IF(AND(B2717&lt;&gt;"",OR($C$4="",ISNUMBER(SEARCH($C$4,C2717&amp;" "&amp;E2717&amp;" "&amp;G2717&amp;" "&amp;H2717&amp;" "&amp;I2717&amp;" "&amp;J2717&amp;" "&amp;K2717&amp;" "&amp;L2717))),OR($C$5="Semua",$C$5="",G2717=$C$5),OR($C$6="Semua",$C$6="",H2717=$C$6,H2717="Pengeluaran "&amp;$C$6,AND($C$6="Uang Kos Mama",H2717="Pengeluaran Uang Kos")),OR($C$7="Semua",$C$7="",I2717=$C$7),OR($C$8="Semua",$C$8="",C2717=$C$8,E2717=$C$8),OR($C$9="Semua",$C$9="",D2717=$C$9),OR($C$10="",B2717&gt;=$C$10),OR($C$11="",B2717&lt;=$C$11),OR($C$12&lt;&gt;"Ya",K2717&lt;&gt;""),OR($C$13="Semua",$C$13="",L2717=$C$13)),"✓","")</f>
        <v/>
      </c>
      <c r="N2717" s="93">
        <f>N(N2716)+IF(M2717="✓",1,0)</f>
        <v/>
      </c>
      <c r="O2717" s="93">
        <f>N(O2716)+IF(AND(B2717&lt;&gt;"",B2717&gt;='Uang Riba'!$H$30,B2717&lt;='Uang Riba'!$I$30,OR(H2717="Dana riba",H2717="Pinjam uang riba",I2717="Pinjam dari uang riba",I2717="Ganti uang riba",I2717="Kelebihan ganti dikembalikan",AND(C2717="Kantong Uang Riba",G2717="Pengeluaran"))),1,0)</f>
        <v/>
      </c>
      <c r="X2717" s="93">
        <f>IF(AND(B2717&lt;&gt;"",B2717&gt;='Buku Akun'!$H$4,B2717&lt;='Buku Akun'!$H$5,OR(C2717='Buku Akun'!$C$4,AND(D2717="Pindah",E2717='Buku Akun'!$C$4))),B2717+IF(AND(I2717="Selisih bunga",DAY(B2717)=1),0,0.01)+ROW()/10000000,"")</f>
        <v/>
      </c>
    </row>
    <row r="2718" outlineLevel="1" ht="15" customHeight="1" s="94">
      <c r="A2718" s="123">
        <f>IF(B2718="","",ROW()-15)</f>
        <v/>
      </c>
      <c r="B2718" s="124" t="n"/>
      <c r="C2718" s="123" t="n"/>
      <c r="D2718" s="123" t="n"/>
      <c r="E2718" s="123" t="n"/>
      <c r="F2718" s="125" t="n"/>
      <c r="G2718" s="123" t="n"/>
      <c r="H2718" s="123" t="n"/>
      <c r="I2718" s="123" t="n"/>
      <c r="J2718" s="123" t="n"/>
      <c r="K2718" s="123" t="n"/>
      <c r="L2718" s="123" t="n"/>
      <c r="M2718" s="123">
        <f>IF(AND(B2718&lt;&gt;"",OR($C$4="",ISNUMBER(SEARCH($C$4,C2718&amp;" "&amp;E2718&amp;" "&amp;G2718&amp;" "&amp;H2718&amp;" "&amp;I2718&amp;" "&amp;J2718&amp;" "&amp;K2718&amp;" "&amp;L2718))),OR($C$5="Semua",$C$5="",G2718=$C$5),OR($C$6="Semua",$C$6="",H2718=$C$6,H2718="Pengeluaran "&amp;$C$6,AND($C$6="Uang Kos Mama",H2718="Pengeluaran Uang Kos")),OR($C$7="Semua",$C$7="",I2718=$C$7),OR($C$8="Semua",$C$8="",C2718=$C$8,E2718=$C$8),OR($C$9="Semua",$C$9="",D2718=$C$9),OR($C$10="",B2718&gt;=$C$10),OR($C$11="",B2718&lt;=$C$11),OR($C$12&lt;&gt;"Ya",K2718&lt;&gt;""),OR($C$13="Semua",$C$13="",L2718=$C$13)),"✓","")</f>
        <v/>
      </c>
      <c r="N2718" s="93">
        <f>N(N2717)+IF(M2718="✓",1,0)</f>
        <v/>
      </c>
      <c r="O2718" s="93">
        <f>N(O2717)+IF(AND(B2718&lt;&gt;"",B2718&gt;='Uang Riba'!$H$30,B2718&lt;='Uang Riba'!$I$30,OR(H2718="Dana riba",H2718="Pinjam uang riba",I2718="Pinjam dari uang riba",I2718="Ganti uang riba",I2718="Kelebihan ganti dikembalikan",AND(C2718="Kantong Uang Riba",G2718="Pengeluaran"))),1,0)</f>
        <v/>
      </c>
      <c r="X2718" s="93">
        <f>IF(AND(B2718&lt;&gt;"",B2718&gt;='Buku Akun'!$H$4,B2718&lt;='Buku Akun'!$H$5,OR(C2718='Buku Akun'!$C$4,AND(D2718="Pindah",E2718='Buku Akun'!$C$4))),B2718+IF(AND(I2718="Selisih bunga",DAY(B2718)=1),0,0.01)+ROW()/10000000,"")</f>
        <v/>
      </c>
    </row>
    <row r="2719" outlineLevel="1" ht="15" customHeight="1" s="94">
      <c r="A2719" s="123">
        <f>IF(B2719="","",ROW()-15)</f>
        <v/>
      </c>
      <c r="B2719" s="124" t="n"/>
      <c r="C2719" s="123" t="n"/>
      <c r="D2719" s="123" t="n"/>
      <c r="E2719" s="123" t="n"/>
      <c r="F2719" s="125" t="n"/>
      <c r="G2719" s="123" t="n"/>
      <c r="H2719" s="123" t="n"/>
      <c r="I2719" s="123" t="n"/>
      <c r="J2719" s="123" t="n"/>
      <c r="K2719" s="123" t="n"/>
      <c r="L2719" s="123" t="n"/>
      <c r="M2719" s="123">
        <f>IF(AND(B2719&lt;&gt;"",OR($C$4="",ISNUMBER(SEARCH($C$4,C2719&amp;" "&amp;E2719&amp;" "&amp;G2719&amp;" "&amp;H2719&amp;" "&amp;I2719&amp;" "&amp;J2719&amp;" "&amp;K2719&amp;" "&amp;L2719))),OR($C$5="Semua",$C$5="",G2719=$C$5),OR($C$6="Semua",$C$6="",H2719=$C$6,H2719="Pengeluaran "&amp;$C$6,AND($C$6="Uang Kos Mama",H2719="Pengeluaran Uang Kos")),OR($C$7="Semua",$C$7="",I2719=$C$7),OR($C$8="Semua",$C$8="",C2719=$C$8,E2719=$C$8),OR($C$9="Semua",$C$9="",D2719=$C$9),OR($C$10="",B2719&gt;=$C$10),OR($C$11="",B2719&lt;=$C$11),OR($C$12&lt;&gt;"Ya",K2719&lt;&gt;""),OR($C$13="Semua",$C$13="",L2719=$C$13)),"✓","")</f>
        <v/>
      </c>
      <c r="N2719" s="93">
        <f>N(N2718)+IF(M2719="✓",1,0)</f>
        <v/>
      </c>
      <c r="O2719" s="93">
        <f>N(O2718)+IF(AND(B2719&lt;&gt;"",B2719&gt;='Uang Riba'!$H$30,B2719&lt;='Uang Riba'!$I$30,OR(H2719="Dana riba",H2719="Pinjam uang riba",I2719="Pinjam dari uang riba",I2719="Ganti uang riba",I2719="Kelebihan ganti dikembalikan",AND(C2719="Kantong Uang Riba",G2719="Pengeluaran"))),1,0)</f>
        <v/>
      </c>
      <c r="X2719" s="93">
        <f>IF(AND(B2719&lt;&gt;"",B2719&gt;='Buku Akun'!$H$4,B2719&lt;='Buku Akun'!$H$5,OR(C2719='Buku Akun'!$C$4,AND(D2719="Pindah",E2719='Buku Akun'!$C$4))),B2719+IF(AND(I2719="Selisih bunga",DAY(B2719)=1),0,0.01)+ROW()/10000000,"")</f>
        <v/>
      </c>
    </row>
    <row r="2720" outlineLevel="1" ht="15" customHeight="1" s="94">
      <c r="A2720" s="123">
        <f>IF(B2720="","",ROW()-15)</f>
        <v/>
      </c>
      <c r="B2720" s="124" t="n"/>
      <c r="C2720" s="123" t="n"/>
      <c r="D2720" s="123" t="n"/>
      <c r="E2720" s="123" t="n"/>
      <c r="F2720" s="125" t="n"/>
      <c r="G2720" s="123" t="n"/>
      <c r="H2720" s="123" t="n"/>
      <c r="I2720" s="123" t="n"/>
      <c r="J2720" s="123" t="n"/>
      <c r="K2720" s="123" t="n"/>
      <c r="L2720" s="123" t="n"/>
      <c r="M2720" s="123">
        <f>IF(AND(B2720&lt;&gt;"",OR($C$4="",ISNUMBER(SEARCH($C$4,C2720&amp;" "&amp;E2720&amp;" "&amp;G2720&amp;" "&amp;H2720&amp;" "&amp;I2720&amp;" "&amp;J2720&amp;" "&amp;K2720&amp;" "&amp;L2720))),OR($C$5="Semua",$C$5="",G2720=$C$5),OR($C$6="Semua",$C$6="",H2720=$C$6,H2720="Pengeluaran "&amp;$C$6,AND($C$6="Uang Kos Mama",H2720="Pengeluaran Uang Kos")),OR($C$7="Semua",$C$7="",I2720=$C$7),OR($C$8="Semua",$C$8="",C2720=$C$8,E2720=$C$8),OR($C$9="Semua",$C$9="",D2720=$C$9),OR($C$10="",B2720&gt;=$C$10),OR($C$11="",B2720&lt;=$C$11),OR($C$12&lt;&gt;"Ya",K2720&lt;&gt;""),OR($C$13="Semua",$C$13="",L2720=$C$13)),"✓","")</f>
        <v/>
      </c>
      <c r="N2720" s="93">
        <f>N(N2719)+IF(M2720="✓",1,0)</f>
        <v/>
      </c>
      <c r="O2720" s="93">
        <f>N(O2719)+IF(AND(B2720&lt;&gt;"",B2720&gt;='Uang Riba'!$H$30,B2720&lt;='Uang Riba'!$I$30,OR(H2720="Dana riba",H2720="Pinjam uang riba",I2720="Pinjam dari uang riba",I2720="Ganti uang riba",I2720="Kelebihan ganti dikembalikan",AND(C2720="Kantong Uang Riba",G2720="Pengeluaran"))),1,0)</f>
        <v/>
      </c>
      <c r="X2720" s="93">
        <f>IF(AND(B2720&lt;&gt;"",B2720&gt;='Buku Akun'!$H$4,B2720&lt;='Buku Akun'!$H$5,OR(C2720='Buku Akun'!$C$4,AND(D2720="Pindah",E2720='Buku Akun'!$C$4))),B2720+IF(AND(I2720="Selisih bunga",DAY(B2720)=1),0,0.01)+ROW()/10000000,"")</f>
        <v/>
      </c>
    </row>
    <row r="2721" outlineLevel="1" ht="15" customHeight="1" s="94">
      <c r="A2721" s="123">
        <f>IF(B2721="","",ROW()-15)</f>
        <v/>
      </c>
      <c r="B2721" s="124" t="n"/>
      <c r="C2721" s="123" t="n"/>
      <c r="D2721" s="123" t="n"/>
      <c r="E2721" s="123" t="n"/>
      <c r="F2721" s="125" t="n"/>
      <c r="G2721" s="123" t="n"/>
      <c r="H2721" s="123" t="n"/>
      <c r="I2721" s="123" t="n"/>
      <c r="J2721" s="123" t="n"/>
      <c r="K2721" s="123" t="n"/>
      <c r="L2721" s="123" t="n"/>
      <c r="M2721" s="123">
        <f>IF(AND(B2721&lt;&gt;"",OR($C$4="",ISNUMBER(SEARCH($C$4,C2721&amp;" "&amp;E2721&amp;" "&amp;G2721&amp;" "&amp;H2721&amp;" "&amp;I2721&amp;" "&amp;J2721&amp;" "&amp;K2721&amp;" "&amp;L2721))),OR($C$5="Semua",$C$5="",G2721=$C$5),OR($C$6="Semua",$C$6="",H2721=$C$6,H2721="Pengeluaran "&amp;$C$6,AND($C$6="Uang Kos Mama",H2721="Pengeluaran Uang Kos")),OR($C$7="Semua",$C$7="",I2721=$C$7),OR($C$8="Semua",$C$8="",C2721=$C$8,E2721=$C$8),OR($C$9="Semua",$C$9="",D2721=$C$9),OR($C$10="",B2721&gt;=$C$10),OR($C$11="",B2721&lt;=$C$11),OR($C$12&lt;&gt;"Ya",K2721&lt;&gt;""),OR($C$13="Semua",$C$13="",L2721=$C$13)),"✓","")</f>
        <v/>
      </c>
      <c r="N2721" s="93">
        <f>N(N2720)+IF(M2721="✓",1,0)</f>
        <v/>
      </c>
      <c r="O2721" s="93">
        <f>N(O2720)+IF(AND(B2721&lt;&gt;"",B2721&gt;='Uang Riba'!$H$30,B2721&lt;='Uang Riba'!$I$30,OR(H2721="Dana riba",H2721="Pinjam uang riba",I2721="Pinjam dari uang riba",I2721="Ganti uang riba",I2721="Kelebihan ganti dikembalikan",AND(C2721="Kantong Uang Riba",G2721="Pengeluaran"))),1,0)</f>
        <v/>
      </c>
      <c r="X2721" s="93">
        <f>IF(AND(B2721&lt;&gt;"",B2721&gt;='Buku Akun'!$H$4,B2721&lt;='Buku Akun'!$H$5,OR(C2721='Buku Akun'!$C$4,AND(D2721="Pindah",E2721='Buku Akun'!$C$4))),B2721+IF(AND(I2721="Selisih bunga",DAY(B2721)=1),0,0.01)+ROW()/10000000,"")</f>
        <v/>
      </c>
    </row>
    <row r="2722" outlineLevel="1" ht="15" customHeight="1" s="94">
      <c r="A2722" s="123">
        <f>IF(B2722="","",ROW()-15)</f>
        <v/>
      </c>
      <c r="B2722" s="124" t="n"/>
      <c r="C2722" s="123" t="n"/>
      <c r="D2722" s="123" t="n"/>
      <c r="E2722" s="123" t="n"/>
      <c r="F2722" s="125" t="n"/>
      <c r="G2722" s="123" t="n"/>
      <c r="H2722" s="123" t="n"/>
      <c r="I2722" s="123" t="n"/>
      <c r="J2722" s="123" t="n"/>
      <c r="K2722" s="123" t="n"/>
      <c r="L2722" s="123" t="n"/>
      <c r="M2722" s="123">
        <f>IF(AND(B2722&lt;&gt;"",OR($C$4="",ISNUMBER(SEARCH($C$4,C2722&amp;" "&amp;E2722&amp;" "&amp;G2722&amp;" "&amp;H2722&amp;" "&amp;I2722&amp;" "&amp;J2722&amp;" "&amp;K2722&amp;" "&amp;L2722))),OR($C$5="Semua",$C$5="",G2722=$C$5),OR($C$6="Semua",$C$6="",H2722=$C$6,H2722="Pengeluaran "&amp;$C$6,AND($C$6="Uang Kos Mama",H2722="Pengeluaran Uang Kos")),OR($C$7="Semua",$C$7="",I2722=$C$7),OR($C$8="Semua",$C$8="",C2722=$C$8,E2722=$C$8),OR($C$9="Semua",$C$9="",D2722=$C$9),OR($C$10="",B2722&gt;=$C$10),OR($C$11="",B2722&lt;=$C$11),OR($C$12&lt;&gt;"Ya",K2722&lt;&gt;""),OR($C$13="Semua",$C$13="",L2722=$C$13)),"✓","")</f>
        <v/>
      </c>
      <c r="N2722" s="93">
        <f>N(N2721)+IF(M2722="✓",1,0)</f>
        <v/>
      </c>
      <c r="O2722" s="93">
        <f>N(O2721)+IF(AND(B2722&lt;&gt;"",B2722&gt;='Uang Riba'!$H$30,B2722&lt;='Uang Riba'!$I$30,OR(H2722="Dana riba",H2722="Pinjam uang riba",I2722="Pinjam dari uang riba",I2722="Ganti uang riba",I2722="Kelebihan ganti dikembalikan",AND(C2722="Kantong Uang Riba",G2722="Pengeluaran"))),1,0)</f>
        <v/>
      </c>
      <c r="X2722" s="93">
        <f>IF(AND(B2722&lt;&gt;"",B2722&gt;='Buku Akun'!$H$4,B2722&lt;='Buku Akun'!$H$5,OR(C2722='Buku Akun'!$C$4,AND(D2722="Pindah",E2722='Buku Akun'!$C$4))),B2722+IF(AND(I2722="Selisih bunga",DAY(B2722)=1),0,0.01)+ROW()/10000000,"")</f>
        <v/>
      </c>
    </row>
    <row r="2723" outlineLevel="1" ht="15" customHeight="1" s="94">
      <c r="A2723" s="123">
        <f>IF(B2723="","",ROW()-15)</f>
        <v/>
      </c>
      <c r="B2723" s="124" t="n"/>
      <c r="C2723" s="123" t="n"/>
      <c r="D2723" s="123" t="n"/>
      <c r="E2723" s="123" t="n"/>
      <c r="F2723" s="125" t="n"/>
      <c r="G2723" s="123" t="n"/>
      <c r="H2723" s="123" t="n"/>
      <c r="I2723" s="123" t="n"/>
      <c r="J2723" s="123" t="n"/>
      <c r="K2723" s="123" t="n"/>
      <c r="L2723" s="123" t="n"/>
      <c r="M2723" s="123">
        <f>IF(AND(B2723&lt;&gt;"",OR($C$4="",ISNUMBER(SEARCH($C$4,C2723&amp;" "&amp;E2723&amp;" "&amp;G2723&amp;" "&amp;H2723&amp;" "&amp;I2723&amp;" "&amp;J2723&amp;" "&amp;K2723&amp;" "&amp;L2723))),OR($C$5="Semua",$C$5="",G2723=$C$5),OR($C$6="Semua",$C$6="",H2723=$C$6,H2723="Pengeluaran "&amp;$C$6,AND($C$6="Uang Kos Mama",H2723="Pengeluaran Uang Kos")),OR($C$7="Semua",$C$7="",I2723=$C$7),OR($C$8="Semua",$C$8="",C2723=$C$8,E2723=$C$8),OR($C$9="Semua",$C$9="",D2723=$C$9),OR($C$10="",B2723&gt;=$C$10),OR($C$11="",B2723&lt;=$C$11),OR($C$12&lt;&gt;"Ya",K2723&lt;&gt;""),OR($C$13="Semua",$C$13="",L2723=$C$13)),"✓","")</f>
        <v/>
      </c>
      <c r="N2723" s="93">
        <f>N(N2722)+IF(M2723="✓",1,0)</f>
        <v/>
      </c>
      <c r="O2723" s="93">
        <f>N(O2722)+IF(AND(B2723&lt;&gt;"",B2723&gt;='Uang Riba'!$H$30,B2723&lt;='Uang Riba'!$I$30,OR(H2723="Dana riba",H2723="Pinjam uang riba",I2723="Pinjam dari uang riba",I2723="Ganti uang riba",I2723="Kelebihan ganti dikembalikan",AND(C2723="Kantong Uang Riba",G2723="Pengeluaran"))),1,0)</f>
        <v/>
      </c>
      <c r="X2723" s="93">
        <f>IF(AND(B2723&lt;&gt;"",B2723&gt;='Buku Akun'!$H$4,B2723&lt;='Buku Akun'!$H$5,OR(C2723='Buku Akun'!$C$4,AND(D2723="Pindah",E2723='Buku Akun'!$C$4))),B2723+IF(AND(I2723="Selisih bunga",DAY(B2723)=1),0,0.01)+ROW()/10000000,"")</f>
        <v/>
      </c>
    </row>
    <row r="2724" outlineLevel="1" ht="15" customHeight="1" s="94">
      <c r="A2724" s="123">
        <f>IF(B2724="","",ROW()-15)</f>
        <v/>
      </c>
      <c r="B2724" s="124" t="n"/>
      <c r="C2724" s="123" t="n"/>
      <c r="D2724" s="123" t="n"/>
      <c r="E2724" s="123" t="n"/>
      <c r="F2724" s="125" t="n"/>
      <c r="G2724" s="123" t="n"/>
      <c r="H2724" s="123" t="n"/>
      <c r="I2724" s="123" t="n"/>
      <c r="J2724" s="123" t="n"/>
      <c r="K2724" s="123" t="n"/>
      <c r="L2724" s="123" t="n"/>
      <c r="M2724" s="123">
        <f>IF(AND(B2724&lt;&gt;"",OR($C$4="",ISNUMBER(SEARCH($C$4,C2724&amp;" "&amp;E2724&amp;" "&amp;G2724&amp;" "&amp;H2724&amp;" "&amp;I2724&amp;" "&amp;J2724&amp;" "&amp;K2724&amp;" "&amp;L2724))),OR($C$5="Semua",$C$5="",G2724=$C$5),OR($C$6="Semua",$C$6="",H2724=$C$6,H2724="Pengeluaran "&amp;$C$6,AND($C$6="Uang Kos Mama",H2724="Pengeluaran Uang Kos")),OR($C$7="Semua",$C$7="",I2724=$C$7),OR($C$8="Semua",$C$8="",C2724=$C$8,E2724=$C$8),OR($C$9="Semua",$C$9="",D2724=$C$9),OR($C$10="",B2724&gt;=$C$10),OR($C$11="",B2724&lt;=$C$11),OR($C$12&lt;&gt;"Ya",K2724&lt;&gt;""),OR($C$13="Semua",$C$13="",L2724=$C$13)),"✓","")</f>
        <v/>
      </c>
      <c r="N2724" s="93">
        <f>N(N2723)+IF(M2724="✓",1,0)</f>
        <v/>
      </c>
      <c r="O2724" s="93">
        <f>N(O2723)+IF(AND(B2724&lt;&gt;"",B2724&gt;='Uang Riba'!$H$30,B2724&lt;='Uang Riba'!$I$30,OR(H2724="Dana riba",H2724="Pinjam uang riba",I2724="Pinjam dari uang riba",I2724="Ganti uang riba",I2724="Kelebihan ganti dikembalikan",AND(C2724="Kantong Uang Riba",G2724="Pengeluaran"))),1,0)</f>
        <v/>
      </c>
      <c r="X2724" s="93">
        <f>IF(AND(B2724&lt;&gt;"",B2724&gt;='Buku Akun'!$H$4,B2724&lt;='Buku Akun'!$H$5,OR(C2724='Buku Akun'!$C$4,AND(D2724="Pindah",E2724='Buku Akun'!$C$4))),B2724+IF(AND(I2724="Selisih bunga",DAY(B2724)=1),0,0.01)+ROW()/10000000,"")</f>
        <v/>
      </c>
    </row>
    <row r="2725" outlineLevel="1" ht="15" customHeight="1" s="94">
      <c r="A2725" s="123">
        <f>IF(B2725="","",ROW()-15)</f>
        <v/>
      </c>
      <c r="B2725" s="124" t="n"/>
      <c r="C2725" s="123" t="n"/>
      <c r="D2725" s="123" t="n"/>
      <c r="E2725" s="123" t="n"/>
      <c r="F2725" s="125" t="n"/>
      <c r="G2725" s="123" t="n"/>
      <c r="H2725" s="123" t="n"/>
      <c r="I2725" s="123" t="n"/>
      <c r="J2725" s="123" t="n"/>
      <c r="K2725" s="123" t="n"/>
      <c r="L2725" s="123" t="n"/>
      <c r="M2725" s="123">
        <f>IF(AND(B2725&lt;&gt;"",OR($C$4="",ISNUMBER(SEARCH($C$4,C2725&amp;" "&amp;E2725&amp;" "&amp;G2725&amp;" "&amp;H2725&amp;" "&amp;I2725&amp;" "&amp;J2725&amp;" "&amp;K2725&amp;" "&amp;L2725))),OR($C$5="Semua",$C$5="",G2725=$C$5),OR($C$6="Semua",$C$6="",H2725=$C$6,H2725="Pengeluaran "&amp;$C$6,AND($C$6="Uang Kos Mama",H2725="Pengeluaran Uang Kos")),OR($C$7="Semua",$C$7="",I2725=$C$7),OR($C$8="Semua",$C$8="",C2725=$C$8,E2725=$C$8),OR($C$9="Semua",$C$9="",D2725=$C$9),OR($C$10="",B2725&gt;=$C$10),OR($C$11="",B2725&lt;=$C$11),OR($C$12&lt;&gt;"Ya",K2725&lt;&gt;""),OR($C$13="Semua",$C$13="",L2725=$C$13)),"✓","")</f>
        <v/>
      </c>
      <c r="N2725" s="93">
        <f>N(N2724)+IF(M2725="✓",1,0)</f>
        <v/>
      </c>
      <c r="O2725" s="93">
        <f>N(O2724)+IF(AND(B2725&lt;&gt;"",B2725&gt;='Uang Riba'!$H$30,B2725&lt;='Uang Riba'!$I$30,OR(H2725="Dana riba",H2725="Pinjam uang riba",I2725="Pinjam dari uang riba",I2725="Ganti uang riba",I2725="Kelebihan ganti dikembalikan",AND(C2725="Kantong Uang Riba",G2725="Pengeluaran"))),1,0)</f>
        <v/>
      </c>
      <c r="X2725" s="93">
        <f>IF(AND(B2725&lt;&gt;"",B2725&gt;='Buku Akun'!$H$4,B2725&lt;='Buku Akun'!$H$5,OR(C2725='Buku Akun'!$C$4,AND(D2725="Pindah",E2725='Buku Akun'!$C$4))),B2725+IF(AND(I2725="Selisih bunga",DAY(B2725)=1),0,0.01)+ROW()/10000000,"")</f>
        <v/>
      </c>
    </row>
    <row r="2726" outlineLevel="1" ht="15" customHeight="1" s="94">
      <c r="A2726" s="123">
        <f>IF(B2726="","",ROW()-15)</f>
        <v/>
      </c>
      <c r="B2726" s="124" t="n"/>
      <c r="C2726" s="123" t="n"/>
      <c r="D2726" s="123" t="n"/>
      <c r="E2726" s="123" t="n"/>
      <c r="F2726" s="125" t="n"/>
      <c r="G2726" s="123" t="n"/>
      <c r="H2726" s="123" t="n"/>
      <c r="I2726" s="123" t="n"/>
      <c r="J2726" s="123" t="n"/>
      <c r="K2726" s="123" t="n"/>
      <c r="L2726" s="123" t="n"/>
      <c r="M2726" s="123">
        <f>IF(AND(B2726&lt;&gt;"",OR($C$4="",ISNUMBER(SEARCH($C$4,C2726&amp;" "&amp;E2726&amp;" "&amp;G2726&amp;" "&amp;H2726&amp;" "&amp;I2726&amp;" "&amp;J2726&amp;" "&amp;K2726&amp;" "&amp;L2726))),OR($C$5="Semua",$C$5="",G2726=$C$5),OR($C$6="Semua",$C$6="",H2726=$C$6,H2726="Pengeluaran "&amp;$C$6,AND($C$6="Uang Kos Mama",H2726="Pengeluaran Uang Kos")),OR($C$7="Semua",$C$7="",I2726=$C$7),OR($C$8="Semua",$C$8="",C2726=$C$8,E2726=$C$8),OR($C$9="Semua",$C$9="",D2726=$C$9),OR($C$10="",B2726&gt;=$C$10),OR($C$11="",B2726&lt;=$C$11),OR($C$12&lt;&gt;"Ya",K2726&lt;&gt;""),OR($C$13="Semua",$C$13="",L2726=$C$13)),"✓","")</f>
        <v/>
      </c>
      <c r="N2726" s="93">
        <f>N(N2725)+IF(M2726="✓",1,0)</f>
        <v/>
      </c>
      <c r="O2726" s="93">
        <f>N(O2725)+IF(AND(B2726&lt;&gt;"",B2726&gt;='Uang Riba'!$H$30,B2726&lt;='Uang Riba'!$I$30,OR(H2726="Dana riba",H2726="Pinjam uang riba",I2726="Pinjam dari uang riba",I2726="Ganti uang riba",I2726="Kelebihan ganti dikembalikan",AND(C2726="Kantong Uang Riba",G2726="Pengeluaran"))),1,0)</f>
        <v/>
      </c>
      <c r="X2726" s="126">
        <f>IF(AND(B2726&lt;&gt;"",B2726&gt;='Buku Akun'!$H$4,B2726&lt;='Buku Akun'!$H$5,OR(C2726='Buku Akun'!$C$4,AND(D2726="Pindah",E2726='Buku Akun'!$C$4))),B2726+IF(AND(I2726="Selisih bunga",DAY(B2726)=1),0,0.01)+ROW()/10000000,"")</f>
        <v/>
      </c>
    </row>
    <row r="2727" outlineLevel="1" ht="15" customHeight="1" s="94">
      <c r="A2727" s="123">
        <f>IF(B2727="","",ROW()-15)</f>
        <v/>
      </c>
      <c r="B2727" s="124" t="n"/>
      <c r="C2727" s="123" t="n"/>
      <c r="D2727" s="123" t="n"/>
      <c r="E2727" s="123" t="n"/>
      <c r="F2727" s="125" t="n"/>
      <c r="G2727" s="123" t="n"/>
      <c r="H2727" s="123" t="n"/>
      <c r="I2727" s="123" t="n"/>
      <c r="J2727" s="123" t="n"/>
      <c r="K2727" s="123" t="n"/>
      <c r="L2727" s="123" t="n"/>
      <c r="M2727" s="123">
        <f>IF(AND(B2727&lt;&gt;"",OR($C$4="",ISNUMBER(SEARCH($C$4,C2727&amp;" "&amp;E2727&amp;" "&amp;G2727&amp;" "&amp;H2727&amp;" "&amp;I2727&amp;" "&amp;J2727&amp;" "&amp;K2727&amp;" "&amp;L2727))),OR($C$5="Semua",$C$5="",G2727=$C$5),OR($C$6="Semua",$C$6="",H2727=$C$6,H2727="Pengeluaran "&amp;$C$6,AND($C$6="Uang Kos Mama",H2727="Pengeluaran Uang Kos")),OR($C$7="Semua",$C$7="",I2727=$C$7),OR($C$8="Semua",$C$8="",C2727=$C$8,E2727=$C$8),OR($C$9="Semua",$C$9="",D2727=$C$9),OR($C$10="",B2727&gt;=$C$10),OR($C$11="",B2727&lt;=$C$11),OR($C$12&lt;&gt;"Ya",K2727&lt;&gt;""),OR($C$13="Semua",$C$13="",L2727=$C$13)),"✓","")</f>
        <v/>
      </c>
      <c r="N2727" s="93">
        <f>N(N2726)+IF(M2727="✓",1,0)</f>
        <v/>
      </c>
      <c r="O2727" s="93">
        <f>N(O2726)+IF(AND(B2727&lt;&gt;"",B2727&gt;='Uang Riba'!$H$30,B2727&lt;='Uang Riba'!$I$30,OR(H2727="Dana riba",H2727="Pinjam uang riba",I2727="Pinjam dari uang riba",I2727="Ganti uang riba",I2727="Kelebihan ganti dikembalikan",AND(C2727="Kantong Uang Riba",G2727="Pengeluaran"))),1,0)</f>
        <v/>
      </c>
      <c r="X2727" s="126">
        <f>IF(AND(B2727&lt;&gt;"",B2727&gt;='Buku Akun'!$H$4,B2727&lt;='Buku Akun'!$H$5,OR(C2727='Buku Akun'!$C$4,AND(D2727="Pindah",E2727='Buku Akun'!$C$4))),B2727+IF(AND(I2727="Selisih bunga",DAY(B2727)=1),0,0.01)+ROW()/10000000,"")</f>
        <v/>
      </c>
    </row>
    <row r="2728" outlineLevel="1" ht="15" customHeight="1" s="94">
      <c r="A2728" s="123">
        <f>IF(B2728="","",ROW()-15)</f>
        <v/>
      </c>
      <c r="B2728" s="124" t="n"/>
      <c r="C2728" s="123" t="n"/>
      <c r="D2728" s="123" t="n"/>
      <c r="E2728" s="123" t="n"/>
      <c r="F2728" s="125" t="n"/>
      <c r="G2728" s="123" t="n"/>
      <c r="H2728" s="123" t="n"/>
      <c r="I2728" s="123" t="n"/>
      <c r="J2728" s="123" t="n"/>
      <c r="K2728" s="123" t="n"/>
      <c r="L2728" s="123" t="n"/>
      <c r="M2728" s="123">
        <f>IF(AND(B2728&lt;&gt;"",OR($C$4="",ISNUMBER(SEARCH($C$4,C2728&amp;" "&amp;E2728&amp;" "&amp;G2728&amp;" "&amp;H2728&amp;" "&amp;I2728&amp;" "&amp;J2728&amp;" "&amp;K2728&amp;" "&amp;L2728))),OR($C$5="Semua",$C$5="",G2728=$C$5),OR($C$6="Semua",$C$6="",H2728=$C$6,H2728="Pengeluaran "&amp;$C$6,AND($C$6="Uang Kos Mama",H2728="Pengeluaran Uang Kos")),OR($C$7="Semua",$C$7="",I2728=$C$7),OR($C$8="Semua",$C$8="",C2728=$C$8,E2728=$C$8),OR($C$9="Semua",$C$9="",D2728=$C$9),OR($C$10="",B2728&gt;=$C$10),OR($C$11="",B2728&lt;=$C$11),OR($C$12&lt;&gt;"Ya",K2728&lt;&gt;""),OR($C$13="Semua",$C$13="",L2728=$C$13)),"✓","")</f>
        <v/>
      </c>
      <c r="N2728" s="93">
        <f>N(N2727)+IF(M2728="✓",1,0)</f>
        <v/>
      </c>
      <c r="O2728" s="93">
        <f>N(O2727)+IF(AND(B2728&lt;&gt;"",B2728&gt;='Uang Riba'!$H$30,B2728&lt;='Uang Riba'!$I$30,OR(H2728="Dana riba",H2728="Pinjam uang riba",I2728="Pinjam dari uang riba",I2728="Ganti uang riba",I2728="Kelebihan ganti dikembalikan",AND(C2728="Kantong Uang Riba",G2728="Pengeluaran"))),1,0)</f>
        <v/>
      </c>
      <c r="X2728" s="93">
        <f>IF(AND(B2728&lt;&gt;"",B2728&gt;='Buku Akun'!$H$4,B2728&lt;='Buku Akun'!$H$5,OR(C2728='Buku Akun'!$C$4,AND(D2728="Pindah",E2728='Buku Akun'!$C$4))),B2728+IF(AND(I2728="Selisih bunga",DAY(B2728)=1),0,0.01)+ROW()/10000000,"")</f>
        <v/>
      </c>
    </row>
    <row r="2729" outlineLevel="1" ht="15" customHeight="1" s="94">
      <c r="A2729" s="123">
        <f>IF(B2729="","",ROW()-15)</f>
        <v/>
      </c>
      <c r="B2729" s="124" t="n"/>
      <c r="C2729" s="123" t="n"/>
      <c r="D2729" s="123" t="n"/>
      <c r="E2729" s="123" t="n"/>
      <c r="F2729" s="125" t="n"/>
      <c r="G2729" s="123" t="n"/>
      <c r="H2729" s="123" t="n"/>
      <c r="I2729" s="123" t="n"/>
      <c r="J2729" s="123" t="n"/>
      <c r="K2729" s="123" t="n"/>
      <c r="L2729" s="123" t="n"/>
      <c r="M2729" s="123">
        <f>IF(AND(B2729&lt;&gt;"",OR($C$4="",ISNUMBER(SEARCH($C$4,C2729&amp;" "&amp;E2729&amp;" "&amp;G2729&amp;" "&amp;H2729&amp;" "&amp;I2729&amp;" "&amp;J2729&amp;" "&amp;K2729&amp;" "&amp;L2729))),OR($C$5="Semua",$C$5="",G2729=$C$5),OR($C$6="Semua",$C$6="",H2729=$C$6,H2729="Pengeluaran "&amp;$C$6,AND($C$6="Uang Kos Mama",H2729="Pengeluaran Uang Kos")),OR($C$7="Semua",$C$7="",I2729=$C$7),OR($C$8="Semua",$C$8="",C2729=$C$8,E2729=$C$8),OR($C$9="Semua",$C$9="",D2729=$C$9),OR($C$10="",B2729&gt;=$C$10),OR($C$11="",B2729&lt;=$C$11),OR($C$12&lt;&gt;"Ya",K2729&lt;&gt;""),OR($C$13="Semua",$C$13="",L2729=$C$13)),"✓","")</f>
        <v/>
      </c>
      <c r="N2729" s="93">
        <f>N(N2728)+IF(M2729="✓",1,0)</f>
        <v/>
      </c>
      <c r="O2729" s="93">
        <f>N(O2728)+IF(AND(B2729&lt;&gt;"",B2729&gt;='Uang Riba'!$H$30,B2729&lt;='Uang Riba'!$I$30,OR(H2729="Dana riba",H2729="Pinjam uang riba",I2729="Pinjam dari uang riba",I2729="Ganti uang riba",I2729="Kelebihan ganti dikembalikan",AND(C2729="Kantong Uang Riba",G2729="Pengeluaran"))),1,0)</f>
        <v/>
      </c>
      <c r="X2729" s="93">
        <f>IF(AND(B2729&lt;&gt;"",B2729&gt;='Buku Akun'!$H$4,B2729&lt;='Buku Akun'!$H$5,OR(C2729='Buku Akun'!$C$4,AND(D2729="Pindah",E2729='Buku Akun'!$C$4))),B2729+IF(AND(I2729="Selisih bunga",DAY(B2729)=1),0,0.01)+ROW()/10000000,"")</f>
        <v/>
      </c>
    </row>
    <row r="2730" outlineLevel="1" ht="15" customHeight="1" s="94">
      <c r="A2730" s="123">
        <f>IF(B2730="","",ROW()-15)</f>
        <v/>
      </c>
      <c r="B2730" s="124" t="n"/>
      <c r="C2730" s="123" t="n"/>
      <c r="D2730" s="123" t="n"/>
      <c r="E2730" s="123" t="n"/>
      <c r="F2730" s="125" t="n"/>
      <c r="G2730" s="123" t="n"/>
      <c r="H2730" s="123" t="n"/>
      <c r="I2730" s="123" t="n"/>
      <c r="J2730" s="123" t="n"/>
      <c r="K2730" s="123" t="n"/>
      <c r="L2730" s="123" t="n"/>
      <c r="M2730" s="123">
        <f>IF(AND(B2730&lt;&gt;"",OR($C$4="",ISNUMBER(SEARCH($C$4,C2730&amp;" "&amp;E2730&amp;" "&amp;G2730&amp;" "&amp;H2730&amp;" "&amp;I2730&amp;" "&amp;J2730&amp;" "&amp;K2730&amp;" "&amp;L2730))),OR($C$5="Semua",$C$5="",G2730=$C$5),OR($C$6="Semua",$C$6="",H2730=$C$6,H2730="Pengeluaran "&amp;$C$6,AND($C$6="Uang Kos Mama",H2730="Pengeluaran Uang Kos")),OR($C$7="Semua",$C$7="",I2730=$C$7),OR($C$8="Semua",$C$8="",C2730=$C$8,E2730=$C$8),OR($C$9="Semua",$C$9="",D2730=$C$9),OR($C$10="",B2730&gt;=$C$10),OR($C$11="",B2730&lt;=$C$11),OR($C$12&lt;&gt;"Ya",K2730&lt;&gt;""),OR($C$13="Semua",$C$13="",L2730=$C$13)),"✓","")</f>
        <v/>
      </c>
      <c r="N2730" s="93">
        <f>N(N2729)+IF(M2730="✓",1,0)</f>
        <v/>
      </c>
      <c r="O2730" s="93">
        <f>N(O2729)+IF(AND(B2730&lt;&gt;"",B2730&gt;='Uang Riba'!$H$30,B2730&lt;='Uang Riba'!$I$30,OR(H2730="Dana riba",H2730="Pinjam uang riba",I2730="Pinjam dari uang riba",I2730="Ganti uang riba",I2730="Kelebihan ganti dikembalikan",AND(C2730="Kantong Uang Riba",G2730="Pengeluaran"))),1,0)</f>
        <v/>
      </c>
      <c r="X2730" s="93">
        <f>IF(AND(B2730&lt;&gt;"",B2730&gt;='Buku Akun'!$H$4,B2730&lt;='Buku Akun'!$H$5,OR(C2730='Buku Akun'!$C$4,AND(D2730="Pindah",E2730='Buku Akun'!$C$4))),B2730+IF(AND(I2730="Selisih bunga",DAY(B2730)=1),0,0.01)+ROW()/10000000,"")</f>
        <v/>
      </c>
    </row>
    <row r="2731" outlineLevel="1" ht="15" customHeight="1" s="94">
      <c r="A2731" s="123">
        <f>IF(B2731="","",ROW()-15)</f>
        <v/>
      </c>
      <c r="B2731" s="124" t="n"/>
      <c r="C2731" s="123" t="n"/>
      <c r="D2731" s="123" t="n"/>
      <c r="E2731" s="123" t="n"/>
      <c r="F2731" s="125" t="n"/>
      <c r="G2731" s="123" t="n"/>
      <c r="H2731" s="123" t="n"/>
      <c r="I2731" s="123" t="n"/>
      <c r="J2731" s="123" t="n"/>
      <c r="K2731" s="123" t="n"/>
      <c r="L2731" s="123" t="n"/>
      <c r="M2731" s="123">
        <f>IF(AND(B2731&lt;&gt;"",OR($C$4="",ISNUMBER(SEARCH($C$4,C2731&amp;" "&amp;E2731&amp;" "&amp;G2731&amp;" "&amp;H2731&amp;" "&amp;I2731&amp;" "&amp;J2731&amp;" "&amp;K2731&amp;" "&amp;L2731))),OR($C$5="Semua",$C$5="",G2731=$C$5),OR($C$6="Semua",$C$6="",H2731=$C$6,H2731="Pengeluaran "&amp;$C$6,AND($C$6="Uang Kos Mama",H2731="Pengeluaran Uang Kos")),OR($C$7="Semua",$C$7="",I2731=$C$7),OR($C$8="Semua",$C$8="",C2731=$C$8,E2731=$C$8),OR($C$9="Semua",$C$9="",D2731=$C$9),OR($C$10="",B2731&gt;=$C$10),OR($C$11="",B2731&lt;=$C$11),OR($C$12&lt;&gt;"Ya",K2731&lt;&gt;""),OR($C$13="Semua",$C$13="",L2731=$C$13)),"✓","")</f>
        <v/>
      </c>
      <c r="N2731" s="93">
        <f>N(N2730)+IF(M2731="✓",1,0)</f>
        <v/>
      </c>
      <c r="O2731" s="93">
        <f>N(O2730)+IF(AND(B2731&lt;&gt;"",B2731&gt;='Uang Riba'!$H$30,B2731&lt;='Uang Riba'!$I$30,OR(H2731="Dana riba",H2731="Pinjam uang riba",I2731="Pinjam dari uang riba",I2731="Ganti uang riba",I2731="Kelebihan ganti dikembalikan",AND(C2731="Kantong Uang Riba",G2731="Pengeluaran"))),1,0)</f>
        <v/>
      </c>
      <c r="X2731" s="93">
        <f>IF(AND(B2731&lt;&gt;"",B2731&gt;='Buku Akun'!$H$4,B2731&lt;='Buku Akun'!$H$5,OR(C2731='Buku Akun'!$C$4,AND(D2731="Pindah",E2731='Buku Akun'!$C$4))),B2731+IF(AND(I2731="Selisih bunga",DAY(B2731)=1),0,0.01)+ROW()/10000000,"")</f>
        <v/>
      </c>
    </row>
    <row r="2732" outlineLevel="1" ht="15" customHeight="1" s="94">
      <c r="A2732" s="123">
        <f>IF(B2732="","",ROW()-15)</f>
        <v/>
      </c>
      <c r="B2732" s="124" t="n"/>
      <c r="C2732" s="123" t="n"/>
      <c r="D2732" s="123" t="n"/>
      <c r="E2732" s="123" t="n"/>
      <c r="F2732" s="125" t="n"/>
      <c r="G2732" s="123" t="n"/>
      <c r="H2732" s="123" t="n"/>
      <c r="I2732" s="123" t="n"/>
      <c r="J2732" s="123" t="n"/>
      <c r="K2732" s="123" t="n"/>
      <c r="L2732" s="123" t="n"/>
      <c r="M2732" s="123">
        <f>IF(AND(B2732&lt;&gt;"",OR($C$4="",ISNUMBER(SEARCH($C$4,C2732&amp;" "&amp;E2732&amp;" "&amp;G2732&amp;" "&amp;H2732&amp;" "&amp;I2732&amp;" "&amp;J2732&amp;" "&amp;K2732&amp;" "&amp;L2732))),OR($C$5="Semua",$C$5="",G2732=$C$5),OR($C$6="Semua",$C$6="",H2732=$C$6,H2732="Pengeluaran "&amp;$C$6,AND($C$6="Uang Kos Mama",H2732="Pengeluaran Uang Kos")),OR($C$7="Semua",$C$7="",I2732=$C$7),OR($C$8="Semua",$C$8="",C2732=$C$8,E2732=$C$8),OR($C$9="Semua",$C$9="",D2732=$C$9),OR($C$10="",B2732&gt;=$C$10),OR($C$11="",B2732&lt;=$C$11),OR($C$12&lt;&gt;"Ya",K2732&lt;&gt;""),OR($C$13="Semua",$C$13="",L2732=$C$13)),"✓","")</f>
        <v/>
      </c>
      <c r="N2732" s="93">
        <f>N(N2731)+IF(M2732="✓",1,0)</f>
        <v/>
      </c>
      <c r="O2732" s="93">
        <f>N(O2731)+IF(AND(B2732&lt;&gt;"",B2732&gt;='Uang Riba'!$H$30,B2732&lt;='Uang Riba'!$I$30,OR(H2732="Dana riba",H2732="Pinjam uang riba",I2732="Pinjam dari uang riba",I2732="Ganti uang riba",I2732="Kelebihan ganti dikembalikan",AND(C2732="Kantong Uang Riba",G2732="Pengeluaran"))),1,0)</f>
        <v/>
      </c>
      <c r="X2732" s="93">
        <f>IF(AND(B2732&lt;&gt;"",B2732&gt;='Buku Akun'!$H$4,B2732&lt;='Buku Akun'!$H$5,OR(C2732='Buku Akun'!$C$4,AND(D2732="Pindah",E2732='Buku Akun'!$C$4))),B2732+IF(AND(I2732="Selisih bunga",DAY(B2732)=1),0,0.01)+ROW()/10000000,"")</f>
        <v/>
      </c>
    </row>
    <row r="2733" outlineLevel="1" ht="15" customHeight="1" s="94">
      <c r="A2733" s="123">
        <f>IF(B2733="","",ROW()-15)</f>
        <v/>
      </c>
      <c r="B2733" s="124" t="n"/>
      <c r="C2733" s="123" t="n"/>
      <c r="D2733" s="123" t="n"/>
      <c r="E2733" s="123" t="n"/>
      <c r="F2733" s="125" t="n"/>
      <c r="G2733" s="123" t="n"/>
      <c r="H2733" s="123" t="n"/>
      <c r="I2733" s="123" t="n"/>
      <c r="J2733" s="123" t="n"/>
      <c r="K2733" s="123" t="n"/>
      <c r="L2733" s="123" t="n"/>
      <c r="M2733" s="123">
        <f>IF(AND(B2733&lt;&gt;"",OR($C$4="",ISNUMBER(SEARCH($C$4,C2733&amp;" "&amp;E2733&amp;" "&amp;G2733&amp;" "&amp;H2733&amp;" "&amp;I2733&amp;" "&amp;J2733&amp;" "&amp;K2733&amp;" "&amp;L2733))),OR($C$5="Semua",$C$5="",G2733=$C$5),OR($C$6="Semua",$C$6="",H2733=$C$6,H2733="Pengeluaran "&amp;$C$6,AND($C$6="Uang Kos Mama",H2733="Pengeluaran Uang Kos")),OR($C$7="Semua",$C$7="",I2733=$C$7),OR($C$8="Semua",$C$8="",C2733=$C$8,E2733=$C$8),OR($C$9="Semua",$C$9="",D2733=$C$9),OR($C$10="",B2733&gt;=$C$10),OR($C$11="",B2733&lt;=$C$11),OR($C$12&lt;&gt;"Ya",K2733&lt;&gt;""),OR($C$13="Semua",$C$13="",L2733=$C$13)),"✓","")</f>
        <v/>
      </c>
      <c r="N2733" s="93">
        <f>N(N2732)+IF(M2733="✓",1,0)</f>
        <v/>
      </c>
      <c r="O2733" s="93">
        <f>N(O2732)+IF(AND(B2733&lt;&gt;"",B2733&gt;='Uang Riba'!$H$30,B2733&lt;='Uang Riba'!$I$30,OR(H2733="Dana riba",H2733="Pinjam uang riba",I2733="Pinjam dari uang riba",I2733="Ganti uang riba",I2733="Kelebihan ganti dikembalikan",AND(C2733="Kantong Uang Riba",G2733="Pengeluaran"))),1,0)</f>
        <v/>
      </c>
      <c r="X2733" s="93">
        <f>IF(AND(B2733&lt;&gt;"",B2733&gt;='Buku Akun'!$H$4,B2733&lt;='Buku Akun'!$H$5,OR(C2733='Buku Akun'!$C$4,AND(D2733="Pindah",E2733='Buku Akun'!$C$4))),B2733+IF(AND(I2733="Selisih bunga",DAY(B2733)=1),0,0.01)+ROW()/10000000,"")</f>
        <v/>
      </c>
    </row>
    <row r="2734" outlineLevel="1" ht="15" customHeight="1" s="94">
      <c r="A2734" s="123">
        <f>IF(B2734="","",ROW()-15)</f>
        <v/>
      </c>
      <c r="B2734" s="124" t="n"/>
      <c r="C2734" s="123" t="n"/>
      <c r="D2734" s="123" t="n"/>
      <c r="E2734" s="123" t="n"/>
      <c r="F2734" s="125" t="n"/>
      <c r="G2734" s="123" t="n"/>
      <c r="H2734" s="123" t="n"/>
      <c r="I2734" s="123" t="n"/>
      <c r="J2734" s="123" t="n"/>
      <c r="K2734" s="123" t="n"/>
      <c r="L2734" s="123" t="n"/>
      <c r="M2734" s="123">
        <f>IF(AND(B2734&lt;&gt;"",OR($C$4="",ISNUMBER(SEARCH($C$4,C2734&amp;" "&amp;E2734&amp;" "&amp;G2734&amp;" "&amp;H2734&amp;" "&amp;I2734&amp;" "&amp;J2734&amp;" "&amp;K2734&amp;" "&amp;L2734))),OR($C$5="Semua",$C$5="",G2734=$C$5),OR($C$6="Semua",$C$6="",H2734=$C$6,H2734="Pengeluaran "&amp;$C$6,AND($C$6="Uang Kos Mama",H2734="Pengeluaran Uang Kos")),OR($C$7="Semua",$C$7="",I2734=$C$7),OR($C$8="Semua",$C$8="",C2734=$C$8,E2734=$C$8),OR($C$9="Semua",$C$9="",D2734=$C$9),OR($C$10="",B2734&gt;=$C$10),OR($C$11="",B2734&lt;=$C$11),OR($C$12&lt;&gt;"Ya",K2734&lt;&gt;""),OR($C$13="Semua",$C$13="",L2734=$C$13)),"✓","")</f>
        <v/>
      </c>
      <c r="N2734" s="93">
        <f>N(N2733)+IF(M2734="✓",1,0)</f>
        <v/>
      </c>
      <c r="O2734" s="93">
        <f>N(O2733)+IF(AND(B2734&lt;&gt;"",B2734&gt;='Uang Riba'!$H$30,B2734&lt;='Uang Riba'!$I$30,OR(H2734="Dana riba",H2734="Pinjam uang riba",I2734="Pinjam dari uang riba",I2734="Ganti uang riba",I2734="Kelebihan ganti dikembalikan",AND(C2734="Kantong Uang Riba",G2734="Pengeluaran"))),1,0)</f>
        <v/>
      </c>
      <c r="X2734" s="93">
        <f>IF(AND(B2734&lt;&gt;"",B2734&gt;='Buku Akun'!$H$4,B2734&lt;='Buku Akun'!$H$5,OR(C2734='Buku Akun'!$C$4,AND(D2734="Pindah",E2734='Buku Akun'!$C$4))),B2734+IF(AND(I2734="Selisih bunga",DAY(B2734)=1),0,0.01)+ROW()/10000000,"")</f>
        <v/>
      </c>
    </row>
    <row r="2735" outlineLevel="1" ht="15" customHeight="1" s="94">
      <c r="A2735" s="123">
        <f>IF(B2735="","",ROW()-15)</f>
        <v/>
      </c>
      <c r="B2735" s="124" t="n"/>
      <c r="C2735" s="123" t="n"/>
      <c r="D2735" s="123" t="n"/>
      <c r="E2735" s="123" t="n"/>
      <c r="F2735" s="125" t="n"/>
      <c r="G2735" s="123" t="n"/>
      <c r="H2735" s="123" t="n"/>
      <c r="I2735" s="123" t="n"/>
      <c r="J2735" s="123" t="n"/>
      <c r="K2735" s="123" t="n"/>
      <c r="L2735" s="123" t="n"/>
      <c r="M2735" s="123">
        <f>IF(AND(B2735&lt;&gt;"",OR($C$4="",ISNUMBER(SEARCH($C$4,C2735&amp;" "&amp;E2735&amp;" "&amp;G2735&amp;" "&amp;H2735&amp;" "&amp;I2735&amp;" "&amp;J2735&amp;" "&amp;K2735&amp;" "&amp;L2735))),OR($C$5="Semua",$C$5="",G2735=$C$5),OR($C$6="Semua",$C$6="",H2735=$C$6,H2735="Pengeluaran "&amp;$C$6,AND($C$6="Uang Kos Mama",H2735="Pengeluaran Uang Kos")),OR($C$7="Semua",$C$7="",I2735=$C$7),OR($C$8="Semua",$C$8="",C2735=$C$8,E2735=$C$8),OR($C$9="Semua",$C$9="",D2735=$C$9),OR($C$10="",B2735&gt;=$C$10),OR($C$11="",B2735&lt;=$C$11),OR($C$12&lt;&gt;"Ya",K2735&lt;&gt;""),OR($C$13="Semua",$C$13="",L2735=$C$13)),"✓","")</f>
        <v/>
      </c>
      <c r="N2735" s="93">
        <f>N(N2734)+IF(M2735="✓",1,0)</f>
        <v/>
      </c>
      <c r="O2735" s="93">
        <f>N(O2734)+IF(AND(B2735&lt;&gt;"",B2735&gt;='Uang Riba'!$H$30,B2735&lt;='Uang Riba'!$I$30,OR(H2735="Dana riba",H2735="Pinjam uang riba",I2735="Pinjam dari uang riba",I2735="Ganti uang riba",I2735="Kelebihan ganti dikembalikan",AND(C2735="Kantong Uang Riba",G2735="Pengeluaran"))),1,0)</f>
        <v/>
      </c>
      <c r="X2735" s="93">
        <f>IF(AND(B2735&lt;&gt;"",B2735&gt;='Buku Akun'!$H$4,B2735&lt;='Buku Akun'!$H$5,OR(C2735='Buku Akun'!$C$4,AND(D2735="Pindah",E2735='Buku Akun'!$C$4))),B2735+IF(AND(I2735="Selisih bunga",DAY(B2735)=1),0,0.01)+ROW()/10000000,"")</f>
        <v/>
      </c>
    </row>
    <row r="2736" outlineLevel="1" ht="15" customHeight="1" s="94">
      <c r="A2736" s="123">
        <f>IF(B2736="","",ROW()-15)</f>
        <v/>
      </c>
      <c r="B2736" s="124" t="n"/>
      <c r="C2736" s="123" t="n"/>
      <c r="D2736" s="123" t="n"/>
      <c r="E2736" s="123" t="n"/>
      <c r="F2736" s="125" t="n"/>
      <c r="G2736" s="123" t="n"/>
      <c r="H2736" s="123" t="n"/>
      <c r="I2736" s="123" t="n"/>
      <c r="J2736" s="123" t="n"/>
      <c r="K2736" s="123" t="n"/>
      <c r="L2736" s="123" t="n"/>
      <c r="M2736" s="123">
        <f>IF(AND(B2736&lt;&gt;"",OR($C$4="",ISNUMBER(SEARCH($C$4,C2736&amp;" "&amp;E2736&amp;" "&amp;G2736&amp;" "&amp;H2736&amp;" "&amp;I2736&amp;" "&amp;J2736&amp;" "&amp;K2736&amp;" "&amp;L2736))),OR($C$5="Semua",$C$5="",G2736=$C$5),OR($C$6="Semua",$C$6="",H2736=$C$6,H2736="Pengeluaran "&amp;$C$6,AND($C$6="Uang Kos Mama",H2736="Pengeluaran Uang Kos")),OR($C$7="Semua",$C$7="",I2736=$C$7),OR($C$8="Semua",$C$8="",C2736=$C$8,E2736=$C$8),OR($C$9="Semua",$C$9="",D2736=$C$9),OR($C$10="",B2736&gt;=$C$10),OR($C$11="",B2736&lt;=$C$11),OR($C$12&lt;&gt;"Ya",K2736&lt;&gt;""),OR($C$13="Semua",$C$13="",L2736=$C$13)),"✓","")</f>
        <v/>
      </c>
      <c r="N2736" s="93">
        <f>N(N2735)+IF(M2736="✓",1,0)</f>
        <v/>
      </c>
      <c r="O2736" s="93">
        <f>N(O2735)+IF(AND(B2736&lt;&gt;"",B2736&gt;='Uang Riba'!$H$30,B2736&lt;='Uang Riba'!$I$30,OR(H2736="Dana riba",H2736="Pinjam uang riba",I2736="Pinjam dari uang riba",I2736="Ganti uang riba",I2736="Kelebihan ganti dikembalikan",AND(C2736="Kantong Uang Riba",G2736="Pengeluaran"))),1,0)</f>
        <v/>
      </c>
      <c r="X2736" s="93">
        <f>IF(AND(B2736&lt;&gt;"",B2736&gt;='Buku Akun'!$H$4,B2736&lt;='Buku Akun'!$H$5,OR(C2736='Buku Akun'!$C$4,AND(D2736="Pindah",E2736='Buku Akun'!$C$4))),B2736+IF(AND(I2736="Selisih bunga",DAY(B2736)=1),0,0.01)+ROW()/10000000,"")</f>
        <v/>
      </c>
    </row>
    <row r="2737" outlineLevel="1" ht="15" customHeight="1" s="94">
      <c r="A2737" s="123">
        <f>IF(B2737="","",ROW()-15)</f>
        <v/>
      </c>
      <c r="B2737" s="124" t="n"/>
      <c r="C2737" s="123" t="n"/>
      <c r="D2737" s="123" t="n"/>
      <c r="E2737" s="123" t="n"/>
      <c r="F2737" s="125" t="n"/>
      <c r="G2737" s="123" t="n"/>
      <c r="H2737" s="123" t="n"/>
      <c r="I2737" s="123" t="n"/>
      <c r="J2737" s="123" t="n"/>
      <c r="K2737" s="123" t="n"/>
      <c r="L2737" s="123" t="n"/>
      <c r="M2737" s="123">
        <f>IF(AND(B2737&lt;&gt;"",OR($C$4="",ISNUMBER(SEARCH($C$4,C2737&amp;" "&amp;E2737&amp;" "&amp;G2737&amp;" "&amp;H2737&amp;" "&amp;I2737&amp;" "&amp;J2737&amp;" "&amp;K2737&amp;" "&amp;L2737))),OR($C$5="Semua",$C$5="",G2737=$C$5),OR($C$6="Semua",$C$6="",H2737=$C$6,H2737="Pengeluaran "&amp;$C$6,AND($C$6="Uang Kos Mama",H2737="Pengeluaran Uang Kos")),OR($C$7="Semua",$C$7="",I2737=$C$7),OR($C$8="Semua",$C$8="",C2737=$C$8,E2737=$C$8),OR($C$9="Semua",$C$9="",D2737=$C$9),OR($C$10="",B2737&gt;=$C$10),OR($C$11="",B2737&lt;=$C$11),OR($C$12&lt;&gt;"Ya",K2737&lt;&gt;""),OR($C$13="Semua",$C$13="",L2737=$C$13)),"✓","")</f>
        <v/>
      </c>
      <c r="N2737" s="93">
        <f>N(N2736)+IF(M2737="✓",1,0)</f>
        <v/>
      </c>
      <c r="O2737" s="93">
        <f>N(O2736)+IF(AND(B2737&lt;&gt;"",B2737&gt;='Uang Riba'!$H$30,B2737&lt;='Uang Riba'!$I$30,OR(H2737="Dana riba",H2737="Pinjam uang riba",I2737="Pinjam dari uang riba",I2737="Ganti uang riba",I2737="Kelebihan ganti dikembalikan",AND(C2737="Kantong Uang Riba",G2737="Pengeluaran"))),1,0)</f>
        <v/>
      </c>
      <c r="X2737" s="93">
        <f>IF(AND(B2737&lt;&gt;"",B2737&gt;='Buku Akun'!$H$4,B2737&lt;='Buku Akun'!$H$5,OR(C2737='Buku Akun'!$C$4,AND(D2737="Pindah",E2737='Buku Akun'!$C$4))),B2737+IF(AND(I2737="Selisih bunga",DAY(B2737)=1),0,0.01)+ROW()/10000000,"")</f>
        <v/>
      </c>
    </row>
    <row r="2738" outlineLevel="1" ht="15" customHeight="1" s="94">
      <c r="A2738" s="123">
        <f>IF(B2738="","",ROW()-15)</f>
        <v/>
      </c>
      <c r="B2738" s="124" t="n"/>
      <c r="C2738" s="123" t="n"/>
      <c r="D2738" s="123" t="n"/>
      <c r="E2738" s="123" t="n"/>
      <c r="F2738" s="125" t="n"/>
      <c r="G2738" s="123" t="n"/>
      <c r="H2738" s="123" t="n"/>
      <c r="I2738" s="123" t="n"/>
      <c r="J2738" s="123" t="n"/>
      <c r="K2738" s="123" t="n"/>
      <c r="L2738" s="123" t="n"/>
      <c r="M2738" s="123">
        <f>IF(AND(B2738&lt;&gt;"",OR($C$4="",ISNUMBER(SEARCH($C$4,C2738&amp;" "&amp;E2738&amp;" "&amp;G2738&amp;" "&amp;H2738&amp;" "&amp;I2738&amp;" "&amp;J2738&amp;" "&amp;K2738&amp;" "&amp;L2738))),OR($C$5="Semua",$C$5="",G2738=$C$5),OR($C$6="Semua",$C$6="",H2738=$C$6,H2738="Pengeluaran "&amp;$C$6,AND($C$6="Uang Kos Mama",H2738="Pengeluaran Uang Kos")),OR($C$7="Semua",$C$7="",I2738=$C$7),OR($C$8="Semua",$C$8="",C2738=$C$8,E2738=$C$8),OR($C$9="Semua",$C$9="",D2738=$C$9),OR($C$10="",B2738&gt;=$C$10),OR($C$11="",B2738&lt;=$C$11),OR($C$12&lt;&gt;"Ya",K2738&lt;&gt;""),OR($C$13="Semua",$C$13="",L2738=$C$13)),"✓","")</f>
        <v/>
      </c>
      <c r="N2738" s="93">
        <f>N(N2737)+IF(M2738="✓",1,0)</f>
        <v/>
      </c>
      <c r="O2738" s="93">
        <f>N(O2737)+IF(AND(B2738&lt;&gt;"",B2738&gt;='Uang Riba'!$H$30,B2738&lt;='Uang Riba'!$I$30,OR(H2738="Dana riba",H2738="Pinjam uang riba",I2738="Pinjam dari uang riba",I2738="Ganti uang riba",I2738="Kelebihan ganti dikembalikan",AND(C2738="Kantong Uang Riba",G2738="Pengeluaran"))),1,0)</f>
        <v/>
      </c>
      <c r="X2738" s="93">
        <f>IF(AND(B2738&lt;&gt;"",B2738&gt;='Buku Akun'!$H$4,B2738&lt;='Buku Akun'!$H$5,OR(C2738='Buku Akun'!$C$4,AND(D2738="Pindah",E2738='Buku Akun'!$C$4))),B2738+IF(AND(I2738="Selisih bunga",DAY(B2738)=1),0,0.01)+ROW()/10000000,"")</f>
        <v/>
      </c>
    </row>
    <row r="2739" outlineLevel="1" ht="15" customHeight="1" s="94">
      <c r="A2739" s="123">
        <f>IF(B2739="","",ROW()-15)</f>
        <v/>
      </c>
      <c r="B2739" s="124" t="n"/>
      <c r="C2739" s="123" t="n"/>
      <c r="D2739" s="123" t="n"/>
      <c r="E2739" s="123" t="n"/>
      <c r="F2739" s="125" t="n"/>
      <c r="G2739" s="123" t="n"/>
      <c r="H2739" s="123" t="n"/>
      <c r="I2739" s="123" t="n"/>
      <c r="J2739" s="123" t="n"/>
      <c r="K2739" s="123" t="n"/>
      <c r="L2739" s="123" t="n"/>
      <c r="M2739" s="123">
        <f>IF(AND(B2739&lt;&gt;"",OR($C$4="",ISNUMBER(SEARCH($C$4,C2739&amp;" "&amp;E2739&amp;" "&amp;G2739&amp;" "&amp;H2739&amp;" "&amp;I2739&amp;" "&amp;J2739&amp;" "&amp;K2739&amp;" "&amp;L2739))),OR($C$5="Semua",$C$5="",G2739=$C$5),OR($C$6="Semua",$C$6="",H2739=$C$6,H2739="Pengeluaran "&amp;$C$6,AND($C$6="Uang Kos Mama",H2739="Pengeluaran Uang Kos")),OR($C$7="Semua",$C$7="",I2739=$C$7),OR($C$8="Semua",$C$8="",C2739=$C$8,E2739=$C$8),OR($C$9="Semua",$C$9="",D2739=$C$9),OR($C$10="",B2739&gt;=$C$10),OR($C$11="",B2739&lt;=$C$11),OR($C$12&lt;&gt;"Ya",K2739&lt;&gt;""),OR($C$13="Semua",$C$13="",L2739=$C$13)),"✓","")</f>
        <v/>
      </c>
      <c r="N2739" s="93">
        <f>N(N2738)+IF(M2739="✓",1,0)</f>
        <v/>
      </c>
      <c r="O2739" s="93">
        <f>N(O2738)+IF(AND(B2739&lt;&gt;"",B2739&gt;='Uang Riba'!$H$30,B2739&lt;='Uang Riba'!$I$30,OR(H2739="Dana riba",H2739="Pinjam uang riba",I2739="Pinjam dari uang riba",I2739="Ganti uang riba",I2739="Kelebihan ganti dikembalikan",AND(C2739="Kantong Uang Riba",G2739="Pengeluaran"))),1,0)</f>
        <v/>
      </c>
      <c r="X2739" s="93">
        <f>IF(AND(B2739&lt;&gt;"",B2739&gt;='Buku Akun'!$H$4,B2739&lt;='Buku Akun'!$H$5,OR(C2739='Buku Akun'!$C$4,AND(D2739="Pindah",E2739='Buku Akun'!$C$4))),B2739+IF(AND(I2739="Selisih bunga",DAY(B2739)=1),0,0.01)+ROW()/10000000,"")</f>
        <v/>
      </c>
    </row>
    <row r="2740" outlineLevel="1" ht="15" customHeight="1" s="94">
      <c r="A2740" s="123">
        <f>IF(B2740="","",ROW()-15)</f>
        <v/>
      </c>
      <c r="B2740" s="124" t="n"/>
      <c r="C2740" s="123" t="n"/>
      <c r="D2740" s="123" t="n"/>
      <c r="E2740" s="123" t="n"/>
      <c r="F2740" s="125" t="n"/>
      <c r="G2740" s="123" t="n"/>
      <c r="H2740" s="123" t="n"/>
      <c r="I2740" s="123" t="n"/>
      <c r="J2740" s="123" t="n"/>
      <c r="K2740" s="123" t="n"/>
      <c r="L2740" s="123" t="n"/>
      <c r="M2740" s="123">
        <f>IF(AND(B2740&lt;&gt;"",OR($C$4="",ISNUMBER(SEARCH($C$4,C2740&amp;" "&amp;E2740&amp;" "&amp;G2740&amp;" "&amp;H2740&amp;" "&amp;I2740&amp;" "&amp;J2740&amp;" "&amp;K2740&amp;" "&amp;L2740))),OR($C$5="Semua",$C$5="",G2740=$C$5),OR($C$6="Semua",$C$6="",H2740=$C$6,H2740="Pengeluaran "&amp;$C$6,AND($C$6="Uang Kos Mama",H2740="Pengeluaran Uang Kos")),OR($C$7="Semua",$C$7="",I2740=$C$7),OR($C$8="Semua",$C$8="",C2740=$C$8,E2740=$C$8),OR($C$9="Semua",$C$9="",D2740=$C$9),OR($C$10="",B2740&gt;=$C$10),OR($C$11="",B2740&lt;=$C$11),OR($C$12&lt;&gt;"Ya",K2740&lt;&gt;""),OR($C$13="Semua",$C$13="",L2740=$C$13)),"✓","")</f>
        <v/>
      </c>
      <c r="N2740" s="93">
        <f>N(N2739)+IF(M2740="✓",1,0)</f>
        <v/>
      </c>
      <c r="O2740" s="93">
        <f>N(O2739)+IF(AND(B2740&lt;&gt;"",B2740&gt;='Uang Riba'!$H$30,B2740&lt;='Uang Riba'!$I$30,OR(H2740="Dana riba",H2740="Pinjam uang riba",I2740="Pinjam dari uang riba",I2740="Ganti uang riba",I2740="Kelebihan ganti dikembalikan",AND(C2740="Kantong Uang Riba",G2740="Pengeluaran"))),1,0)</f>
        <v/>
      </c>
      <c r="X2740" s="93">
        <f>IF(AND(B2740&lt;&gt;"",B2740&gt;='Buku Akun'!$H$4,B2740&lt;='Buku Akun'!$H$5,OR(C2740='Buku Akun'!$C$4,AND(D2740="Pindah",E2740='Buku Akun'!$C$4))),B2740+IF(AND(I2740="Selisih bunga",DAY(B2740)=1),0,0.01)+ROW()/10000000,"")</f>
        <v/>
      </c>
    </row>
    <row r="2741" outlineLevel="1" ht="15" customHeight="1" s="94">
      <c r="A2741" s="123">
        <f>IF(B2741="","",ROW()-15)</f>
        <v/>
      </c>
      <c r="B2741" s="124" t="n"/>
      <c r="C2741" s="123" t="n"/>
      <c r="D2741" s="123" t="n"/>
      <c r="E2741" s="123" t="n"/>
      <c r="F2741" s="125" t="n"/>
      <c r="G2741" s="123" t="n"/>
      <c r="H2741" s="123" t="n"/>
      <c r="I2741" s="123" t="n"/>
      <c r="J2741" s="123" t="n"/>
      <c r="K2741" s="123" t="n"/>
      <c r="L2741" s="123" t="n"/>
      <c r="M2741" s="123">
        <f>IF(AND(B2741&lt;&gt;"",OR($C$4="",ISNUMBER(SEARCH($C$4,C2741&amp;" "&amp;E2741&amp;" "&amp;G2741&amp;" "&amp;H2741&amp;" "&amp;I2741&amp;" "&amp;J2741&amp;" "&amp;K2741&amp;" "&amp;L2741))),OR($C$5="Semua",$C$5="",G2741=$C$5),OR($C$6="Semua",$C$6="",H2741=$C$6,H2741="Pengeluaran "&amp;$C$6,AND($C$6="Uang Kos Mama",H2741="Pengeluaran Uang Kos")),OR($C$7="Semua",$C$7="",I2741=$C$7),OR($C$8="Semua",$C$8="",C2741=$C$8,E2741=$C$8),OR($C$9="Semua",$C$9="",D2741=$C$9),OR($C$10="",B2741&gt;=$C$10),OR($C$11="",B2741&lt;=$C$11),OR($C$12&lt;&gt;"Ya",K2741&lt;&gt;""),OR($C$13="Semua",$C$13="",L2741=$C$13)),"✓","")</f>
        <v/>
      </c>
      <c r="N2741" s="93">
        <f>N(N2740)+IF(M2741="✓",1,0)</f>
        <v/>
      </c>
      <c r="O2741" s="93">
        <f>N(O2740)+IF(AND(B2741&lt;&gt;"",B2741&gt;='Uang Riba'!$H$30,B2741&lt;='Uang Riba'!$I$30,OR(H2741="Dana riba",H2741="Pinjam uang riba",I2741="Pinjam dari uang riba",I2741="Ganti uang riba",I2741="Kelebihan ganti dikembalikan",AND(C2741="Kantong Uang Riba",G2741="Pengeluaran"))),1,0)</f>
        <v/>
      </c>
      <c r="X2741" s="93">
        <f>IF(AND(B2741&lt;&gt;"",B2741&gt;='Buku Akun'!$H$4,B2741&lt;='Buku Akun'!$H$5,OR(C2741='Buku Akun'!$C$4,AND(D2741="Pindah",E2741='Buku Akun'!$C$4))),B2741+IF(AND(I2741="Selisih bunga",DAY(B2741)=1),0,0.01)+ROW()/10000000,"")</f>
        <v/>
      </c>
    </row>
    <row r="2742" outlineLevel="1" ht="15" customHeight="1" s="94">
      <c r="A2742" s="123">
        <f>IF(B2742="","",ROW()-15)</f>
        <v/>
      </c>
      <c r="B2742" s="124" t="n"/>
      <c r="C2742" s="123" t="n"/>
      <c r="D2742" s="123" t="n"/>
      <c r="E2742" s="123" t="n"/>
      <c r="F2742" s="125" t="n"/>
      <c r="G2742" s="123" t="n"/>
      <c r="H2742" s="123" t="n"/>
      <c r="I2742" s="123" t="n"/>
      <c r="J2742" s="123" t="n"/>
      <c r="K2742" s="123" t="n"/>
      <c r="L2742" s="123" t="n"/>
      <c r="M2742" s="123">
        <f>IF(AND(B2742&lt;&gt;"",OR($C$4="",ISNUMBER(SEARCH($C$4,C2742&amp;" "&amp;E2742&amp;" "&amp;G2742&amp;" "&amp;H2742&amp;" "&amp;I2742&amp;" "&amp;J2742&amp;" "&amp;K2742&amp;" "&amp;L2742))),OR($C$5="Semua",$C$5="",G2742=$C$5),OR($C$6="Semua",$C$6="",H2742=$C$6,H2742="Pengeluaran "&amp;$C$6,AND($C$6="Uang Kos Mama",H2742="Pengeluaran Uang Kos")),OR($C$7="Semua",$C$7="",I2742=$C$7),OR($C$8="Semua",$C$8="",C2742=$C$8,E2742=$C$8),OR($C$9="Semua",$C$9="",D2742=$C$9),OR($C$10="",B2742&gt;=$C$10),OR($C$11="",B2742&lt;=$C$11),OR($C$12&lt;&gt;"Ya",K2742&lt;&gt;""),OR($C$13="Semua",$C$13="",L2742=$C$13)),"✓","")</f>
        <v/>
      </c>
      <c r="N2742" s="93">
        <f>N(N2741)+IF(M2742="✓",1,0)</f>
        <v/>
      </c>
      <c r="O2742" s="93">
        <f>N(O2741)+IF(AND(B2742&lt;&gt;"",B2742&gt;='Uang Riba'!$H$30,B2742&lt;='Uang Riba'!$I$30,OR(H2742="Dana riba",H2742="Pinjam uang riba",I2742="Pinjam dari uang riba",I2742="Ganti uang riba",I2742="Kelebihan ganti dikembalikan",AND(C2742="Kantong Uang Riba",G2742="Pengeluaran"))),1,0)</f>
        <v/>
      </c>
      <c r="X2742" s="93">
        <f>IF(AND(B2742&lt;&gt;"",B2742&gt;='Buku Akun'!$H$4,B2742&lt;='Buku Akun'!$H$5,OR(C2742='Buku Akun'!$C$4,AND(D2742="Pindah",E2742='Buku Akun'!$C$4))),B2742+IF(AND(I2742="Selisih bunga",DAY(B2742)=1),0,0.01)+ROW()/10000000,"")</f>
        <v/>
      </c>
    </row>
    <row r="2743" outlineLevel="1" ht="15" customHeight="1" s="94">
      <c r="A2743" s="123">
        <f>IF(B2743="","",ROW()-15)</f>
        <v/>
      </c>
      <c r="B2743" s="124" t="n"/>
      <c r="C2743" s="123" t="n"/>
      <c r="D2743" s="123" t="n"/>
      <c r="E2743" s="123" t="n"/>
      <c r="F2743" s="125" t="n"/>
      <c r="G2743" s="123" t="n"/>
      <c r="H2743" s="123" t="n"/>
      <c r="I2743" s="123" t="n"/>
      <c r="J2743" s="123" t="n"/>
      <c r="K2743" s="123" t="n"/>
      <c r="L2743" s="123" t="n"/>
      <c r="M2743" s="123">
        <f>IF(AND(B2743&lt;&gt;"",OR($C$4="",ISNUMBER(SEARCH($C$4,C2743&amp;" "&amp;E2743&amp;" "&amp;G2743&amp;" "&amp;H2743&amp;" "&amp;I2743&amp;" "&amp;J2743&amp;" "&amp;K2743&amp;" "&amp;L2743))),OR($C$5="Semua",$C$5="",G2743=$C$5),OR($C$6="Semua",$C$6="",H2743=$C$6,H2743="Pengeluaran "&amp;$C$6,AND($C$6="Uang Kos Mama",H2743="Pengeluaran Uang Kos")),OR($C$7="Semua",$C$7="",I2743=$C$7),OR($C$8="Semua",$C$8="",C2743=$C$8,E2743=$C$8),OR($C$9="Semua",$C$9="",D2743=$C$9),OR($C$10="",B2743&gt;=$C$10),OR($C$11="",B2743&lt;=$C$11),OR($C$12&lt;&gt;"Ya",K2743&lt;&gt;""),OR($C$13="Semua",$C$13="",L2743=$C$13)),"✓","")</f>
        <v/>
      </c>
      <c r="N2743" s="93">
        <f>N(N2742)+IF(M2743="✓",1,0)</f>
        <v/>
      </c>
      <c r="O2743" s="93">
        <f>N(O2742)+IF(AND(B2743&lt;&gt;"",B2743&gt;='Uang Riba'!$H$30,B2743&lt;='Uang Riba'!$I$30,OR(H2743="Dana riba",H2743="Pinjam uang riba",I2743="Pinjam dari uang riba",I2743="Ganti uang riba",I2743="Kelebihan ganti dikembalikan",AND(C2743="Kantong Uang Riba",G2743="Pengeluaran"))),1,0)</f>
        <v/>
      </c>
      <c r="X2743" s="93">
        <f>IF(AND(B2743&lt;&gt;"",B2743&gt;='Buku Akun'!$H$4,B2743&lt;='Buku Akun'!$H$5,OR(C2743='Buku Akun'!$C$4,AND(D2743="Pindah",E2743='Buku Akun'!$C$4))),B2743+IF(AND(I2743="Selisih bunga",DAY(B2743)=1),0,0.01)+ROW()/10000000,"")</f>
        <v/>
      </c>
    </row>
    <row r="2744" outlineLevel="1" ht="15" customHeight="1" s="94">
      <c r="A2744" s="123">
        <f>IF(B2744="","",ROW()-15)</f>
        <v/>
      </c>
      <c r="B2744" s="124" t="n"/>
      <c r="C2744" s="123" t="n"/>
      <c r="D2744" s="123" t="n"/>
      <c r="E2744" s="123" t="n"/>
      <c r="F2744" s="125" t="n"/>
      <c r="G2744" s="123" t="n"/>
      <c r="H2744" s="123" t="n"/>
      <c r="I2744" s="123" t="n"/>
      <c r="J2744" s="123" t="n"/>
      <c r="K2744" s="123" t="n"/>
      <c r="L2744" s="123" t="n"/>
      <c r="M2744" s="123">
        <f>IF(AND(B2744&lt;&gt;"",OR($C$4="",ISNUMBER(SEARCH($C$4,C2744&amp;" "&amp;E2744&amp;" "&amp;G2744&amp;" "&amp;H2744&amp;" "&amp;I2744&amp;" "&amp;J2744&amp;" "&amp;K2744&amp;" "&amp;L2744))),OR($C$5="Semua",$C$5="",G2744=$C$5),OR($C$6="Semua",$C$6="",H2744=$C$6,H2744="Pengeluaran "&amp;$C$6,AND($C$6="Uang Kos Mama",H2744="Pengeluaran Uang Kos")),OR($C$7="Semua",$C$7="",I2744=$C$7),OR($C$8="Semua",$C$8="",C2744=$C$8,E2744=$C$8),OR($C$9="Semua",$C$9="",D2744=$C$9),OR($C$10="",B2744&gt;=$C$10),OR($C$11="",B2744&lt;=$C$11),OR($C$12&lt;&gt;"Ya",K2744&lt;&gt;""),OR($C$13="Semua",$C$13="",L2744=$C$13)),"✓","")</f>
        <v/>
      </c>
      <c r="N2744" s="93">
        <f>N(N2743)+IF(M2744="✓",1,0)</f>
        <v/>
      </c>
      <c r="O2744" s="93">
        <f>N(O2743)+IF(AND(B2744&lt;&gt;"",B2744&gt;='Uang Riba'!$H$30,B2744&lt;='Uang Riba'!$I$30,OR(H2744="Dana riba",H2744="Pinjam uang riba",I2744="Pinjam dari uang riba",I2744="Ganti uang riba",I2744="Kelebihan ganti dikembalikan",AND(C2744="Kantong Uang Riba",G2744="Pengeluaran"))),1,0)</f>
        <v/>
      </c>
      <c r="X2744" s="93">
        <f>IF(AND(B2744&lt;&gt;"",B2744&gt;='Buku Akun'!$H$4,B2744&lt;='Buku Akun'!$H$5,OR(C2744='Buku Akun'!$C$4,AND(D2744="Pindah",E2744='Buku Akun'!$C$4))),B2744+IF(AND(I2744="Selisih bunga",DAY(B2744)=1),0,0.01)+ROW()/10000000,"")</f>
        <v/>
      </c>
    </row>
    <row r="2745" outlineLevel="1" ht="15" customHeight="1" s="94">
      <c r="A2745" s="123">
        <f>IF(B2745="","",ROW()-15)</f>
        <v/>
      </c>
      <c r="B2745" s="124" t="n"/>
      <c r="C2745" s="123" t="n"/>
      <c r="D2745" s="123" t="n"/>
      <c r="E2745" s="123" t="n"/>
      <c r="F2745" s="125" t="n"/>
      <c r="G2745" s="123" t="n"/>
      <c r="H2745" s="123" t="n"/>
      <c r="I2745" s="123" t="n"/>
      <c r="J2745" s="123" t="n"/>
      <c r="K2745" s="123" t="n"/>
      <c r="L2745" s="123" t="n"/>
      <c r="M2745" s="123">
        <f>IF(AND(B2745&lt;&gt;"",OR($C$4="",ISNUMBER(SEARCH($C$4,C2745&amp;" "&amp;E2745&amp;" "&amp;G2745&amp;" "&amp;H2745&amp;" "&amp;I2745&amp;" "&amp;J2745&amp;" "&amp;K2745&amp;" "&amp;L2745))),OR($C$5="Semua",$C$5="",G2745=$C$5),OR($C$6="Semua",$C$6="",H2745=$C$6,H2745="Pengeluaran "&amp;$C$6,AND($C$6="Uang Kos Mama",H2745="Pengeluaran Uang Kos")),OR($C$7="Semua",$C$7="",I2745=$C$7),OR($C$8="Semua",$C$8="",C2745=$C$8,E2745=$C$8),OR($C$9="Semua",$C$9="",D2745=$C$9),OR($C$10="",B2745&gt;=$C$10),OR($C$11="",B2745&lt;=$C$11),OR($C$12&lt;&gt;"Ya",K2745&lt;&gt;""),OR($C$13="Semua",$C$13="",L2745=$C$13)),"✓","")</f>
        <v/>
      </c>
      <c r="N2745" s="93">
        <f>N(N2744)+IF(M2745="✓",1,0)</f>
        <v/>
      </c>
      <c r="O2745" s="93">
        <f>N(O2744)+IF(AND(B2745&lt;&gt;"",B2745&gt;='Uang Riba'!$H$30,B2745&lt;='Uang Riba'!$I$30,OR(H2745="Dana riba",H2745="Pinjam uang riba",I2745="Pinjam dari uang riba",I2745="Ganti uang riba",I2745="Kelebihan ganti dikembalikan",AND(C2745="Kantong Uang Riba",G2745="Pengeluaran"))),1,0)</f>
        <v/>
      </c>
      <c r="X2745" s="93">
        <f>IF(AND(B2745&lt;&gt;"",B2745&gt;='Buku Akun'!$H$4,B2745&lt;='Buku Akun'!$H$5,OR(C2745='Buku Akun'!$C$4,AND(D2745="Pindah",E2745='Buku Akun'!$C$4))),B2745+IF(AND(I2745="Selisih bunga",DAY(B2745)=1),0,0.01)+ROW()/10000000,"")</f>
        <v/>
      </c>
    </row>
    <row r="2746" outlineLevel="1" ht="15" customHeight="1" s="94">
      <c r="A2746" s="123">
        <f>IF(B2746="","",ROW()-15)</f>
        <v/>
      </c>
      <c r="B2746" s="124" t="n"/>
      <c r="C2746" s="123" t="n"/>
      <c r="D2746" s="123" t="n"/>
      <c r="E2746" s="123" t="n"/>
      <c r="F2746" s="125" t="n"/>
      <c r="G2746" s="123" t="n"/>
      <c r="H2746" s="123" t="n"/>
      <c r="I2746" s="123" t="n"/>
      <c r="J2746" s="123" t="n"/>
      <c r="K2746" s="123" t="n"/>
      <c r="L2746" s="123" t="n"/>
      <c r="M2746" s="123">
        <f>IF(AND(B2746&lt;&gt;"",OR($C$4="",ISNUMBER(SEARCH($C$4,C2746&amp;" "&amp;E2746&amp;" "&amp;G2746&amp;" "&amp;H2746&amp;" "&amp;I2746&amp;" "&amp;J2746&amp;" "&amp;K2746&amp;" "&amp;L2746))),OR($C$5="Semua",$C$5="",G2746=$C$5),OR($C$6="Semua",$C$6="",H2746=$C$6,H2746="Pengeluaran "&amp;$C$6,AND($C$6="Uang Kos Mama",H2746="Pengeluaran Uang Kos")),OR($C$7="Semua",$C$7="",I2746=$C$7),OR($C$8="Semua",$C$8="",C2746=$C$8,E2746=$C$8),OR($C$9="Semua",$C$9="",D2746=$C$9),OR($C$10="",B2746&gt;=$C$10),OR($C$11="",B2746&lt;=$C$11),OR($C$12&lt;&gt;"Ya",K2746&lt;&gt;""),OR($C$13="Semua",$C$13="",L2746=$C$13)),"✓","")</f>
        <v/>
      </c>
      <c r="N2746" s="93">
        <f>N(N2745)+IF(M2746="✓",1,0)</f>
        <v/>
      </c>
      <c r="O2746" s="93">
        <f>N(O2745)+IF(AND(B2746&lt;&gt;"",B2746&gt;='Uang Riba'!$H$30,B2746&lt;='Uang Riba'!$I$30,OR(H2746="Dana riba",H2746="Pinjam uang riba",I2746="Pinjam dari uang riba",I2746="Ganti uang riba",I2746="Kelebihan ganti dikembalikan",AND(C2746="Kantong Uang Riba",G2746="Pengeluaran"))),1,0)</f>
        <v/>
      </c>
      <c r="X2746" s="93">
        <f>IF(AND(B2746&lt;&gt;"",B2746&gt;='Buku Akun'!$H$4,B2746&lt;='Buku Akun'!$H$5,OR(C2746='Buku Akun'!$C$4,AND(D2746="Pindah",E2746='Buku Akun'!$C$4))),B2746+IF(AND(I2746="Selisih bunga",DAY(B2746)=1),0,0.01)+ROW()/10000000,"")</f>
        <v/>
      </c>
    </row>
    <row r="2747" outlineLevel="1" ht="15" customHeight="1" s="94">
      <c r="A2747" s="123">
        <f>IF(B2747="","",ROW()-15)</f>
        <v/>
      </c>
      <c r="B2747" s="124" t="n"/>
      <c r="C2747" s="123" t="n"/>
      <c r="D2747" s="123" t="n"/>
      <c r="E2747" s="123" t="n"/>
      <c r="F2747" s="125" t="n"/>
      <c r="G2747" s="123" t="n"/>
      <c r="H2747" s="123" t="n"/>
      <c r="I2747" s="123" t="n"/>
      <c r="J2747" s="123" t="n"/>
      <c r="K2747" s="123" t="n"/>
      <c r="L2747" s="123" t="n"/>
      <c r="M2747" s="123">
        <f>IF(AND(B2747&lt;&gt;"",OR($C$4="",ISNUMBER(SEARCH($C$4,C2747&amp;" "&amp;E2747&amp;" "&amp;G2747&amp;" "&amp;H2747&amp;" "&amp;I2747&amp;" "&amp;J2747&amp;" "&amp;K2747&amp;" "&amp;L2747))),OR($C$5="Semua",$C$5="",G2747=$C$5),OR($C$6="Semua",$C$6="",H2747=$C$6,H2747="Pengeluaran "&amp;$C$6,AND($C$6="Uang Kos Mama",H2747="Pengeluaran Uang Kos")),OR($C$7="Semua",$C$7="",I2747=$C$7),OR($C$8="Semua",$C$8="",C2747=$C$8,E2747=$C$8),OR($C$9="Semua",$C$9="",D2747=$C$9),OR($C$10="",B2747&gt;=$C$10),OR($C$11="",B2747&lt;=$C$11),OR($C$12&lt;&gt;"Ya",K2747&lt;&gt;""),OR($C$13="Semua",$C$13="",L2747=$C$13)),"✓","")</f>
        <v/>
      </c>
      <c r="N2747" s="93">
        <f>N(N2746)+IF(M2747="✓",1,0)</f>
        <v/>
      </c>
      <c r="O2747" s="93">
        <f>N(O2746)+IF(AND(B2747&lt;&gt;"",B2747&gt;='Uang Riba'!$H$30,B2747&lt;='Uang Riba'!$I$30,OR(H2747="Dana riba",H2747="Pinjam uang riba",I2747="Pinjam dari uang riba",I2747="Ganti uang riba",I2747="Kelebihan ganti dikembalikan",AND(C2747="Kantong Uang Riba",G2747="Pengeluaran"))),1,0)</f>
        <v/>
      </c>
      <c r="X2747" s="93">
        <f>IF(AND(B2747&lt;&gt;"",B2747&gt;='Buku Akun'!$H$4,B2747&lt;='Buku Akun'!$H$5,OR(C2747='Buku Akun'!$C$4,AND(D2747="Pindah",E2747='Buku Akun'!$C$4))),B2747+IF(AND(I2747="Selisih bunga",DAY(B2747)=1),0,0.01)+ROW()/10000000,"")</f>
        <v/>
      </c>
    </row>
    <row r="2748" outlineLevel="1" ht="15" customHeight="1" s="94">
      <c r="A2748" s="123">
        <f>IF(B2748="","",ROW()-15)</f>
        <v/>
      </c>
      <c r="B2748" s="124" t="n"/>
      <c r="C2748" s="123" t="n"/>
      <c r="D2748" s="123" t="n"/>
      <c r="E2748" s="123" t="n"/>
      <c r="F2748" s="125" t="n"/>
      <c r="G2748" s="123" t="n"/>
      <c r="H2748" s="123" t="n"/>
      <c r="I2748" s="123" t="n"/>
      <c r="J2748" s="123" t="n"/>
      <c r="K2748" s="123" t="n"/>
      <c r="L2748" s="123" t="n"/>
      <c r="M2748" s="123">
        <f>IF(AND(B2748&lt;&gt;"",OR($C$4="",ISNUMBER(SEARCH($C$4,C2748&amp;" "&amp;E2748&amp;" "&amp;G2748&amp;" "&amp;H2748&amp;" "&amp;I2748&amp;" "&amp;J2748&amp;" "&amp;K2748&amp;" "&amp;L2748))),OR($C$5="Semua",$C$5="",G2748=$C$5),OR($C$6="Semua",$C$6="",H2748=$C$6,H2748="Pengeluaran "&amp;$C$6,AND($C$6="Uang Kos Mama",H2748="Pengeluaran Uang Kos")),OR($C$7="Semua",$C$7="",I2748=$C$7),OR($C$8="Semua",$C$8="",C2748=$C$8,E2748=$C$8),OR($C$9="Semua",$C$9="",D2748=$C$9),OR($C$10="",B2748&gt;=$C$10),OR($C$11="",B2748&lt;=$C$11),OR($C$12&lt;&gt;"Ya",K2748&lt;&gt;""),OR($C$13="Semua",$C$13="",L2748=$C$13)),"✓","")</f>
        <v/>
      </c>
      <c r="N2748" s="93">
        <f>N(N2747)+IF(M2748="✓",1,0)</f>
        <v/>
      </c>
      <c r="O2748" s="93">
        <f>N(O2747)+IF(AND(B2748&lt;&gt;"",B2748&gt;='Uang Riba'!$H$30,B2748&lt;='Uang Riba'!$I$30,OR(H2748="Dana riba",H2748="Pinjam uang riba",I2748="Pinjam dari uang riba",I2748="Ganti uang riba",I2748="Kelebihan ganti dikembalikan",AND(C2748="Kantong Uang Riba",G2748="Pengeluaran"))),1,0)</f>
        <v/>
      </c>
      <c r="X2748" s="93">
        <f>IF(AND(B2748&lt;&gt;"",B2748&gt;='Buku Akun'!$H$4,B2748&lt;='Buku Akun'!$H$5,OR(C2748='Buku Akun'!$C$4,AND(D2748="Pindah",E2748='Buku Akun'!$C$4))),B2748+IF(AND(I2748="Selisih bunga",DAY(B2748)=1),0,0.01)+ROW()/10000000,"")</f>
        <v/>
      </c>
    </row>
    <row r="2749" outlineLevel="1" ht="15" customHeight="1" s="94">
      <c r="A2749" s="123">
        <f>IF(B2749="","",ROW()-15)</f>
        <v/>
      </c>
      <c r="B2749" s="124" t="n"/>
      <c r="C2749" s="123" t="n"/>
      <c r="D2749" s="123" t="n"/>
      <c r="E2749" s="123" t="n"/>
      <c r="F2749" s="125" t="n"/>
      <c r="G2749" s="123" t="n"/>
      <c r="H2749" s="123" t="n"/>
      <c r="I2749" s="123" t="n"/>
      <c r="J2749" s="123" t="n"/>
      <c r="K2749" s="123" t="n"/>
      <c r="L2749" s="123" t="n"/>
      <c r="M2749" s="123">
        <f>IF(AND(B2749&lt;&gt;"",OR($C$4="",ISNUMBER(SEARCH($C$4,C2749&amp;" "&amp;E2749&amp;" "&amp;G2749&amp;" "&amp;H2749&amp;" "&amp;I2749&amp;" "&amp;J2749&amp;" "&amp;K2749&amp;" "&amp;L2749))),OR($C$5="Semua",$C$5="",G2749=$C$5),OR($C$6="Semua",$C$6="",H2749=$C$6,H2749="Pengeluaran "&amp;$C$6,AND($C$6="Uang Kos Mama",H2749="Pengeluaran Uang Kos")),OR($C$7="Semua",$C$7="",I2749=$C$7),OR($C$8="Semua",$C$8="",C2749=$C$8,E2749=$C$8),OR($C$9="Semua",$C$9="",D2749=$C$9),OR($C$10="",B2749&gt;=$C$10),OR($C$11="",B2749&lt;=$C$11),OR($C$12&lt;&gt;"Ya",K2749&lt;&gt;""),OR($C$13="Semua",$C$13="",L2749=$C$13)),"✓","")</f>
        <v/>
      </c>
      <c r="N2749" s="93">
        <f>N(N2748)+IF(M2749="✓",1,0)</f>
        <v/>
      </c>
      <c r="O2749" s="93">
        <f>N(O2748)+IF(AND(B2749&lt;&gt;"",B2749&gt;='Uang Riba'!$H$30,B2749&lt;='Uang Riba'!$I$30,OR(H2749="Dana riba",H2749="Pinjam uang riba",I2749="Pinjam dari uang riba",I2749="Ganti uang riba",I2749="Kelebihan ganti dikembalikan",AND(C2749="Kantong Uang Riba",G2749="Pengeluaran"))),1,0)</f>
        <v/>
      </c>
      <c r="X2749" s="93">
        <f>IF(AND(B2749&lt;&gt;"",B2749&gt;='Buku Akun'!$H$4,B2749&lt;='Buku Akun'!$H$5,OR(C2749='Buku Akun'!$C$4,AND(D2749="Pindah",E2749='Buku Akun'!$C$4))),B2749+IF(AND(I2749="Selisih bunga",DAY(B2749)=1),0,0.01)+ROW()/10000000,"")</f>
        <v/>
      </c>
    </row>
    <row r="2750" outlineLevel="1" ht="15" customHeight="1" s="94">
      <c r="A2750" s="123">
        <f>IF(B2750="","",ROW()-15)</f>
        <v/>
      </c>
      <c r="B2750" s="124" t="n"/>
      <c r="C2750" s="123" t="n"/>
      <c r="D2750" s="123" t="n"/>
      <c r="E2750" s="123" t="n"/>
      <c r="F2750" s="125" t="n"/>
      <c r="G2750" s="123" t="n"/>
      <c r="H2750" s="123" t="n"/>
      <c r="I2750" s="123" t="n"/>
      <c r="J2750" s="123" t="n"/>
      <c r="K2750" s="123" t="n"/>
      <c r="L2750" s="123" t="n"/>
      <c r="M2750" s="123">
        <f>IF(AND(B2750&lt;&gt;"",OR($C$4="",ISNUMBER(SEARCH($C$4,C2750&amp;" "&amp;E2750&amp;" "&amp;G2750&amp;" "&amp;H2750&amp;" "&amp;I2750&amp;" "&amp;J2750&amp;" "&amp;K2750&amp;" "&amp;L2750))),OR($C$5="Semua",$C$5="",G2750=$C$5),OR($C$6="Semua",$C$6="",H2750=$C$6,H2750="Pengeluaran "&amp;$C$6,AND($C$6="Uang Kos Mama",H2750="Pengeluaran Uang Kos")),OR($C$7="Semua",$C$7="",I2750=$C$7),OR($C$8="Semua",$C$8="",C2750=$C$8,E2750=$C$8),OR($C$9="Semua",$C$9="",D2750=$C$9),OR($C$10="",B2750&gt;=$C$10),OR($C$11="",B2750&lt;=$C$11),OR($C$12&lt;&gt;"Ya",K2750&lt;&gt;""),OR($C$13="Semua",$C$13="",L2750=$C$13)),"✓","")</f>
        <v/>
      </c>
      <c r="N2750" s="93">
        <f>N(N2749)+IF(M2750="✓",1,0)</f>
        <v/>
      </c>
      <c r="O2750" s="93">
        <f>N(O2749)+IF(AND(B2750&lt;&gt;"",B2750&gt;='Uang Riba'!$H$30,B2750&lt;='Uang Riba'!$I$30,OR(H2750="Dana riba",H2750="Pinjam uang riba",I2750="Pinjam dari uang riba",I2750="Ganti uang riba",I2750="Kelebihan ganti dikembalikan",AND(C2750="Kantong Uang Riba",G2750="Pengeluaran"))),1,0)</f>
        <v/>
      </c>
      <c r="X2750" s="93">
        <f>IF(AND(B2750&lt;&gt;"",B2750&gt;='Buku Akun'!$H$4,B2750&lt;='Buku Akun'!$H$5,OR(C2750='Buku Akun'!$C$4,AND(D2750="Pindah",E2750='Buku Akun'!$C$4))),B2750+IF(AND(I2750="Selisih bunga",DAY(B2750)=1),0,0.01)+ROW()/10000000,"")</f>
        <v/>
      </c>
    </row>
    <row r="2751" outlineLevel="1" ht="15" customHeight="1" s="94">
      <c r="A2751" s="123">
        <f>IF(B2751="","",ROW()-15)</f>
        <v/>
      </c>
      <c r="B2751" s="124" t="n"/>
      <c r="C2751" s="123" t="n"/>
      <c r="D2751" s="123" t="n"/>
      <c r="E2751" s="123" t="n"/>
      <c r="F2751" s="125" t="n"/>
      <c r="G2751" s="123" t="n"/>
      <c r="H2751" s="123" t="n"/>
      <c r="I2751" s="123" t="n"/>
      <c r="J2751" s="123" t="n"/>
      <c r="K2751" s="123" t="n"/>
      <c r="L2751" s="123" t="n"/>
      <c r="M2751" s="123">
        <f>IF(AND(B2751&lt;&gt;"",OR($C$4="",ISNUMBER(SEARCH($C$4,C2751&amp;" "&amp;E2751&amp;" "&amp;G2751&amp;" "&amp;H2751&amp;" "&amp;I2751&amp;" "&amp;J2751&amp;" "&amp;K2751&amp;" "&amp;L2751))),OR($C$5="Semua",$C$5="",G2751=$C$5),OR($C$6="Semua",$C$6="",H2751=$C$6,H2751="Pengeluaran "&amp;$C$6,AND($C$6="Uang Kos Mama",H2751="Pengeluaran Uang Kos")),OR($C$7="Semua",$C$7="",I2751=$C$7),OR($C$8="Semua",$C$8="",C2751=$C$8,E2751=$C$8),OR($C$9="Semua",$C$9="",D2751=$C$9),OR($C$10="",B2751&gt;=$C$10),OR($C$11="",B2751&lt;=$C$11),OR($C$12&lt;&gt;"Ya",K2751&lt;&gt;""),OR($C$13="Semua",$C$13="",L2751=$C$13)),"✓","")</f>
        <v/>
      </c>
      <c r="N2751" s="93">
        <f>N(N2750)+IF(M2751="✓",1,0)</f>
        <v/>
      </c>
      <c r="O2751" s="93">
        <f>N(O2750)+IF(AND(B2751&lt;&gt;"",B2751&gt;='Uang Riba'!$H$30,B2751&lt;='Uang Riba'!$I$30,OR(H2751="Dana riba",H2751="Pinjam uang riba",I2751="Pinjam dari uang riba",I2751="Ganti uang riba",I2751="Kelebihan ganti dikembalikan",AND(C2751="Kantong Uang Riba",G2751="Pengeluaran"))),1,0)</f>
        <v/>
      </c>
      <c r="X2751" s="93">
        <f>IF(AND(B2751&lt;&gt;"",B2751&gt;='Buku Akun'!$H$4,B2751&lt;='Buku Akun'!$H$5,OR(C2751='Buku Akun'!$C$4,AND(D2751="Pindah",E2751='Buku Akun'!$C$4))),B2751+IF(AND(I2751="Selisih bunga",DAY(B2751)=1),0,0.01)+ROW()/10000000,"")</f>
        <v/>
      </c>
    </row>
    <row r="2752" outlineLevel="1" ht="15" customHeight="1" s="94">
      <c r="A2752" s="123">
        <f>IF(B2752="","",ROW()-15)</f>
        <v/>
      </c>
      <c r="B2752" s="124" t="n"/>
      <c r="C2752" s="123" t="n"/>
      <c r="D2752" s="123" t="n"/>
      <c r="E2752" s="123" t="n"/>
      <c r="F2752" s="125" t="n"/>
      <c r="G2752" s="123" t="n"/>
      <c r="H2752" s="123" t="n"/>
      <c r="I2752" s="123" t="n"/>
      <c r="J2752" s="123" t="n"/>
      <c r="K2752" s="123" t="n"/>
      <c r="L2752" s="123" t="n"/>
      <c r="M2752" s="123">
        <f>IF(AND(B2752&lt;&gt;"",OR($C$4="",ISNUMBER(SEARCH($C$4,C2752&amp;" "&amp;E2752&amp;" "&amp;G2752&amp;" "&amp;H2752&amp;" "&amp;I2752&amp;" "&amp;J2752&amp;" "&amp;K2752&amp;" "&amp;L2752))),OR($C$5="Semua",$C$5="",G2752=$C$5),OR($C$6="Semua",$C$6="",H2752=$C$6,H2752="Pengeluaran "&amp;$C$6,AND($C$6="Uang Kos Mama",H2752="Pengeluaran Uang Kos")),OR($C$7="Semua",$C$7="",I2752=$C$7),OR($C$8="Semua",$C$8="",C2752=$C$8,E2752=$C$8),OR($C$9="Semua",$C$9="",D2752=$C$9),OR($C$10="",B2752&gt;=$C$10),OR($C$11="",B2752&lt;=$C$11),OR($C$12&lt;&gt;"Ya",K2752&lt;&gt;""),OR($C$13="Semua",$C$13="",L2752=$C$13)),"✓","")</f>
        <v/>
      </c>
      <c r="N2752" s="93">
        <f>N(N2751)+IF(M2752="✓",1,0)</f>
        <v/>
      </c>
      <c r="O2752" s="93">
        <f>N(O2751)+IF(AND(B2752&lt;&gt;"",B2752&gt;='Uang Riba'!$H$30,B2752&lt;='Uang Riba'!$I$30,OR(H2752="Dana riba",H2752="Pinjam uang riba",I2752="Pinjam dari uang riba",I2752="Ganti uang riba",I2752="Kelebihan ganti dikembalikan",AND(C2752="Kantong Uang Riba",G2752="Pengeluaran"))),1,0)</f>
        <v/>
      </c>
      <c r="X2752" s="93">
        <f>IF(AND(B2752&lt;&gt;"",B2752&gt;='Buku Akun'!$H$4,B2752&lt;='Buku Akun'!$H$5,OR(C2752='Buku Akun'!$C$4,AND(D2752="Pindah",E2752='Buku Akun'!$C$4))),B2752+IF(AND(I2752="Selisih bunga",DAY(B2752)=1),0,0.01)+ROW()/10000000,"")</f>
        <v/>
      </c>
    </row>
    <row r="2753" outlineLevel="1" ht="15" customHeight="1" s="94">
      <c r="A2753" s="123">
        <f>IF(B2753="","",ROW()-15)</f>
        <v/>
      </c>
      <c r="B2753" s="124" t="n"/>
      <c r="C2753" s="123" t="n"/>
      <c r="D2753" s="123" t="n"/>
      <c r="E2753" s="123" t="n"/>
      <c r="F2753" s="125" t="n"/>
      <c r="G2753" s="123" t="n"/>
      <c r="H2753" s="123" t="n"/>
      <c r="I2753" s="123" t="n"/>
      <c r="J2753" s="123" t="n"/>
      <c r="K2753" s="123" t="n"/>
      <c r="L2753" s="123" t="n"/>
      <c r="M2753" s="123">
        <f>IF(AND(B2753&lt;&gt;"",OR($C$4="",ISNUMBER(SEARCH($C$4,C2753&amp;" "&amp;E2753&amp;" "&amp;G2753&amp;" "&amp;H2753&amp;" "&amp;I2753&amp;" "&amp;J2753&amp;" "&amp;K2753&amp;" "&amp;L2753))),OR($C$5="Semua",$C$5="",G2753=$C$5),OR($C$6="Semua",$C$6="",H2753=$C$6,H2753="Pengeluaran "&amp;$C$6,AND($C$6="Uang Kos Mama",H2753="Pengeluaran Uang Kos")),OR($C$7="Semua",$C$7="",I2753=$C$7),OR($C$8="Semua",$C$8="",C2753=$C$8,E2753=$C$8),OR($C$9="Semua",$C$9="",D2753=$C$9),OR($C$10="",B2753&gt;=$C$10),OR($C$11="",B2753&lt;=$C$11),OR($C$12&lt;&gt;"Ya",K2753&lt;&gt;""),OR($C$13="Semua",$C$13="",L2753=$C$13)),"✓","")</f>
        <v/>
      </c>
      <c r="N2753" s="93">
        <f>N(N2752)+IF(M2753="✓",1,0)</f>
        <v/>
      </c>
      <c r="O2753" s="93">
        <f>N(O2752)+IF(AND(B2753&lt;&gt;"",B2753&gt;='Uang Riba'!$H$30,B2753&lt;='Uang Riba'!$I$30,OR(H2753="Dana riba",H2753="Pinjam uang riba",I2753="Pinjam dari uang riba",I2753="Ganti uang riba",I2753="Kelebihan ganti dikembalikan",AND(C2753="Kantong Uang Riba",G2753="Pengeluaran"))),1,0)</f>
        <v/>
      </c>
      <c r="X2753" s="126">
        <f>IF(AND(B2753&lt;&gt;"",B2753&gt;='Buku Akun'!$H$4,B2753&lt;='Buku Akun'!$H$5,OR(C2753='Buku Akun'!$C$4,AND(D2753="Pindah",E2753='Buku Akun'!$C$4))),B2753+IF(AND(I2753="Selisih bunga",DAY(B2753)=1),0,0.01)+ROW()/10000000,"")</f>
        <v/>
      </c>
    </row>
    <row r="2754" outlineLevel="1" ht="15" customHeight="1" s="94">
      <c r="A2754" s="123">
        <f>IF(B2754="","",ROW()-15)</f>
        <v/>
      </c>
      <c r="B2754" s="124" t="n"/>
      <c r="C2754" s="123" t="n"/>
      <c r="D2754" s="123" t="n"/>
      <c r="E2754" s="123" t="n"/>
      <c r="F2754" s="125" t="n"/>
      <c r="G2754" s="123" t="n"/>
      <c r="H2754" s="123" t="n"/>
      <c r="I2754" s="123" t="n"/>
      <c r="J2754" s="123" t="n"/>
      <c r="K2754" s="123" t="n"/>
      <c r="L2754" s="123" t="n"/>
      <c r="M2754" s="123">
        <f>IF(AND(B2754&lt;&gt;"",OR($C$4="",ISNUMBER(SEARCH($C$4,C2754&amp;" "&amp;E2754&amp;" "&amp;G2754&amp;" "&amp;H2754&amp;" "&amp;I2754&amp;" "&amp;J2754&amp;" "&amp;K2754&amp;" "&amp;L2754))),OR($C$5="Semua",$C$5="",G2754=$C$5),OR($C$6="Semua",$C$6="",H2754=$C$6,H2754="Pengeluaran "&amp;$C$6,AND($C$6="Uang Kos Mama",H2754="Pengeluaran Uang Kos")),OR($C$7="Semua",$C$7="",I2754=$C$7),OR($C$8="Semua",$C$8="",C2754=$C$8,E2754=$C$8),OR($C$9="Semua",$C$9="",D2754=$C$9),OR($C$10="",B2754&gt;=$C$10),OR($C$11="",B2754&lt;=$C$11),OR($C$12&lt;&gt;"Ya",K2754&lt;&gt;""),OR($C$13="Semua",$C$13="",L2754=$C$13)),"✓","")</f>
        <v/>
      </c>
      <c r="N2754" s="93">
        <f>N(N2753)+IF(M2754="✓",1,0)</f>
        <v/>
      </c>
      <c r="O2754" s="93">
        <f>N(O2753)+IF(AND(B2754&lt;&gt;"",B2754&gt;='Uang Riba'!$H$30,B2754&lt;='Uang Riba'!$I$30,OR(H2754="Dana riba",H2754="Pinjam uang riba",I2754="Pinjam dari uang riba",I2754="Ganti uang riba",I2754="Kelebihan ganti dikembalikan",AND(C2754="Kantong Uang Riba",G2754="Pengeluaran"))),1,0)</f>
        <v/>
      </c>
      <c r="X2754" s="126">
        <f>IF(AND(B2754&lt;&gt;"",B2754&gt;='Buku Akun'!$H$4,B2754&lt;='Buku Akun'!$H$5,OR(C2754='Buku Akun'!$C$4,AND(D2754="Pindah",E2754='Buku Akun'!$C$4))),B2754+IF(AND(I2754="Selisih bunga",DAY(B2754)=1),0,0.01)+ROW()/10000000,"")</f>
        <v/>
      </c>
    </row>
    <row r="2755" outlineLevel="1" ht="15" customHeight="1" s="94">
      <c r="A2755" s="123">
        <f>IF(B2755="","",ROW()-15)</f>
        <v/>
      </c>
      <c r="B2755" s="124" t="n"/>
      <c r="C2755" s="123" t="n"/>
      <c r="D2755" s="123" t="n"/>
      <c r="E2755" s="123" t="n"/>
      <c r="F2755" s="125" t="n"/>
      <c r="G2755" s="123" t="n"/>
      <c r="H2755" s="123" t="n"/>
      <c r="I2755" s="123" t="n"/>
      <c r="J2755" s="123" t="n"/>
      <c r="K2755" s="123" t="n"/>
      <c r="L2755" s="123" t="n"/>
      <c r="M2755" s="123">
        <f>IF(AND(B2755&lt;&gt;"",OR($C$4="",ISNUMBER(SEARCH($C$4,C2755&amp;" "&amp;E2755&amp;" "&amp;G2755&amp;" "&amp;H2755&amp;" "&amp;I2755&amp;" "&amp;J2755&amp;" "&amp;K2755&amp;" "&amp;L2755))),OR($C$5="Semua",$C$5="",G2755=$C$5),OR($C$6="Semua",$C$6="",H2755=$C$6,H2755="Pengeluaran "&amp;$C$6,AND($C$6="Uang Kos Mama",H2755="Pengeluaran Uang Kos")),OR($C$7="Semua",$C$7="",I2755=$C$7),OR($C$8="Semua",$C$8="",C2755=$C$8,E2755=$C$8),OR($C$9="Semua",$C$9="",D2755=$C$9),OR($C$10="",B2755&gt;=$C$10),OR($C$11="",B2755&lt;=$C$11),OR($C$12&lt;&gt;"Ya",K2755&lt;&gt;""),OR($C$13="Semua",$C$13="",L2755=$C$13)),"✓","")</f>
        <v/>
      </c>
      <c r="N2755" s="93">
        <f>N(N2754)+IF(M2755="✓",1,0)</f>
        <v/>
      </c>
      <c r="O2755" s="93">
        <f>N(O2754)+IF(AND(B2755&lt;&gt;"",B2755&gt;='Uang Riba'!$H$30,B2755&lt;='Uang Riba'!$I$30,OR(H2755="Dana riba",H2755="Pinjam uang riba",I2755="Pinjam dari uang riba",I2755="Ganti uang riba",I2755="Kelebihan ganti dikembalikan",AND(C2755="Kantong Uang Riba",G2755="Pengeluaran"))),1,0)</f>
        <v/>
      </c>
      <c r="X2755" s="126">
        <f>IF(AND(B2755&lt;&gt;"",B2755&gt;='Buku Akun'!$H$4,B2755&lt;='Buku Akun'!$H$5,OR(C2755='Buku Akun'!$C$4,AND(D2755="Pindah",E2755='Buku Akun'!$C$4))),B2755+IF(AND(I2755="Selisih bunga",DAY(B2755)=1),0,0.01)+ROW()/10000000,"")</f>
        <v/>
      </c>
    </row>
    <row r="2756" outlineLevel="1" ht="15" customHeight="1" s="94">
      <c r="A2756" s="123">
        <f>IF(B2756="","",ROW()-15)</f>
        <v/>
      </c>
      <c r="B2756" s="124" t="n"/>
      <c r="C2756" s="123" t="n"/>
      <c r="D2756" s="123" t="n"/>
      <c r="E2756" s="123" t="n"/>
      <c r="F2756" s="125" t="n"/>
      <c r="G2756" s="123" t="n"/>
      <c r="H2756" s="123" t="n"/>
      <c r="I2756" s="123" t="n"/>
      <c r="J2756" s="123" t="n"/>
      <c r="K2756" s="123" t="n"/>
      <c r="L2756" s="123" t="n"/>
      <c r="M2756" s="123">
        <f>IF(AND(B2756&lt;&gt;"",OR($C$4="",ISNUMBER(SEARCH($C$4,C2756&amp;" "&amp;E2756&amp;" "&amp;G2756&amp;" "&amp;H2756&amp;" "&amp;I2756&amp;" "&amp;J2756&amp;" "&amp;K2756&amp;" "&amp;L2756))),OR($C$5="Semua",$C$5="",G2756=$C$5),OR($C$6="Semua",$C$6="",H2756=$C$6,H2756="Pengeluaran "&amp;$C$6,AND($C$6="Uang Kos Mama",H2756="Pengeluaran Uang Kos")),OR($C$7="Semua",$C$7="",I2756=$C$7),OR($C$8="Semua",$C$8="",C2756=$C$8,E2756=$C$8),OR($C$9="Semua",$C$9="",D2756=$C$9),OR($C$10="",B2756&gt;=$C$10),OR($C$11="",B2756&lt;=$C$11),OR($C$12&lt;&gt;"Ya",K2756&lt;&gt;""),OR($C$13="Semua",$C$13="",L2756=$C$13)),"✓","")</f>
        <v/>
      </c>
      <c r="N2756" s="93">
        <f>N(N2755)+IF(M2756="✓",1,0)</f>
        <v/>
      </c>
      <c r="O2756" s="93">
        <f>N(O2755)+IF(AND(B2756&lt;&gt;"",B2756&gt;='Uang Riba'!$H$30,B2756&lt;='Uang Riba'!$I$30,OR(H2756="Dana riba",H2756="Pinjam uang riba",I2756="Pinjam dari uang riba",I2756="Ganti uang riba",I2756="Kelebihan ganti dikembalikan",AND(C2756="Kantong Uang Riba",G2756="Pengeluaran"))),1,0)</f>
        <v/>
      </c>
      <c r="X2756" s="93">
        <f>IF(AND(B2756&lt;&gt;"",B2756&gt;='Buku Akun'!$H$4,B2756&lt;='Buku Akun'!$H$5,OR(C2756='Buku Akun'!$C$4,AND(D2756="Pindah",E2756='Buku Akun'!$C$4))),B2756+IF(AND(I2756="Selisih bunga",DAY(B2756)=1),0,0.01)+ROW()/10000000,"")</f>
        <v/>
      </c>
    </row>
    <row r="2757" outlineLevel="1" ht="15" customHeight="1" s="94">
      <c r="A2757" s="123">
        <f>IF(B2757="","",ROW()-15)</f>
        <v/>
      </c>
      <c r="B2757" s="124" t="n"/>
      <c r="C2757" s="123" t="n"/>
      <c r="D2757" s="123" t="n"/>
      <c r="E2757" s="123" t="n"/>
      <c r="F2757" s="125" t="n"/>
      <c r="G2757" s="123" t="n"/>
      <c r="H2757" s="123" t="n"/>
      <c r="I2757" s="123" t="n"/>
      <c r="J2757" s="123" t="n"/>
      <c r="K2757" s="123" t="n"/>
      <c r="L2757" s="123" t="n"/>
      <c r="M2757" s="123">
        <f>IF(AND(B2757&lt;&gt;"",OR($C$4="",ISNUMBER(SEARCH($C$4,C2757&amp;" "&amp;E2757&amp;" "&amp;G2757&amp;" "&amp;H2757&amp;" "&amp;I2757&amp;" "&amp;J2757&amp;" "&amp;K2757&amp;" "&amp;L2757))),OR($C$5="Semua",$C$5="",G2757=$C$5),OR($C$6="Semua",$C$6="",H2757=$C$6,H2757="Pengeluaran "&amp;$C$6,AND($C$6="Uang Kos Mama",H2757="Pengeluaran Uang Kos")),OR($C$7="Semua",$C$7="",I2757=$C$7),OR($C$8="Semua",$C$8="",C2757=$C$8,E2757=$C$8),OR($C$9="Semua",$C$9="",D2757=$C$9),OR($C$10="",B2757&gt;=$C$10),OR($C$11="",B2757&lt;=$C$11),OR($C$12&lt;&gt;"Ya",K2757&lt;&gt;""),OR($C$13="Semua",$C$13="",L2757=$C$13)),"✓","")</f>
        <v/>
      </c>
      <c r="N2757" s="93">
        <f>N(N2756)+IF(M2757="✓",1,0)</f>
        <v/>
      </c>
      <c r="O2757" s="93">
        <f>N(O2756)+IF(AND(B2757&lt;&gt;"",B2757&gt;='Uang Riba'!$H$30,B2757&lt;='Uang Riba'!$I$30,OR(H2757="Dana riba",H2757="Pinjam uang riba",I2757="Pinjam dari uang riba",I2757="Ganti uang riba",I2757="Kelebihan ganti dikembalikan",AND(C2757="Kantong Uang Riba",G2757="Pengeluaran"))),1,0)</f>
        <v/>
      </c>
      <c r="X2757" s="93">
        <f>IF(AND(B2757&lt;&gt;"",B2757&gt;='Buku Akun'!$H$4,B2757&lt;='Buku Akun'!$H$5,OR(C2757='Buku Akun'!$C$4,AND(D2757="Pindah",E2757='Buku Akun'!$C$4))),B2757+IF(AND(I2757="Selisih bunga",DAY(B2757)=1),0,0.01)+ROW()/10000000,"")</f>
        <v/>
      </c>
    </row>
    <row r="2758" outlineLevel="1" ht="15" customHeight="1" s="94">
      <c r="A2758" s="123">
        <f>IF(B2758="","",ROW()-15)</f>
        <v/>
      </c>
      <c r="B2758" s="124" t="n"/>
      <c r="C2758" s="123" t="n"/>
      <c r="D2758" s="123" t="n"/>
      <c r="E2758" s="123" t="n"/>
      <c r="F2758" s="125" t="n"/>
      <c r="G2758" s="123" t="n"/>
      <c r="H2758" s="123" t="n"/>
      <c r="I2758" s="123" t="n"/>
      <c r="J2758" s="123" t="n"/>
      <c r="K2758" s="123" t="n"/>
      <c r="L2758" s="123" t="n"/>
      <c r="M2758" s="123">
        <f>IF(AND(B2758&lt;&gt;"",OR($C$4="",ISNUMBER(SEARCH($C$4,C2758&amp;" "&amp;E2758&amp;" "&amp;G2758&amp;" "&amp;H2758&amp;" "&amp;I2758&amp;" "&amp;J2758&amp;" "&amp;K2758&amp;" "&amp;L2758))),OR($C$5="Semua",$C$5="",G2758=$C$5),OR($C$6="Semua",$C$6="",H2758=$C$6,H2758="Pengeluaran "&amp;$C$6,AND($C$6="Uang Kos Mama",H2758="Pengeluaran Uang Kos")),OR($C$7="Semua",$C$7="",I2758=$C$7),OR($C$8="Semua",$C$8="",C2758=$C$8,E2758=$C$8),OR($C$9="Semua",$C$9="",D2758=$C$9),OR($C$10="",B2758&gt;=$C$10),OR($C$11="",B2758&lt;=$C$11),OR($C$12&lt;&gt;"Ya",K2758&lt;&gt;""),OR($C$13="Semua",$C$13="",L2758=$C$13)),"✓","")</f>
        <v/>
      </c>
      <c r="N2758" s="93">
        <f>N(N2757)+IF(M2758="✓",1,0)</f>
        <v/>
      </c>
      <c r="O2758" s="93">
        <f>N(O2757)+IF(AND(B2758&lt;&gt;"",B2758&gt;='Uang Riba'!$H$30,B2758&lt;='Uang Riba'!$I$30,OR(H2758="Dana riba",H2758="Pinjam uang riba",I2758="Pinjam dari uang riba",I2758="Ganti uang riba",I2758="Kelebihan ganti dikembalikan",AND(C2758="Kantong Uang Riba",G2758="Pengeluaran"))),1,0)</f>
        <v/>
      </c>
      <c r="X2758" s="93">
        <f>IF(AND(B2758&lt;&gt;"",B2758&gt;='Buku Akun'!$H$4,B2758&lt;='Buku Akun'!$H$5,OR(C2758='Buku Akun'!$C$4,AND(D2758="Pindah",E2758='Buku Akun'!$C$4))),B2758+IF(AND(I2758="Selisih bunga",DAY(B2758)=1),0,0.01)+ROW()/10000000,"")</f>
        <v/>
      </c>
    </row>
    <row r="2759" outlineLevel="1" ht="15" customHeight="1" s="94">
      <c r="A2759" s="123">
        <f>IF(B2759="","",ROW()-15)</f>
        <v/>
      </c>
      <c r="B2759" s="124" t="n"/>
      <c r="C2759" s="123" t="n"/>
      <c r="D2759" s="123" t="n"/>
      <c r="E2759" s="123" t="n"/>
      <c r="F2759" s="125" t="n"/>
      <c r="G2759" s="123" t="n"/>
      <c r="H2759" s="123" t="n"/>
      <c r="I2759" s="123" t="n"/>
      <c r="J2759" s="123" t="n"/>
      <c r="K2759" s="123" t="n"/>
      <c r="L2759" s="123" t="n"/>
      <c r="M2759" s="123">
        <f>IF(AND(B2759&lt;&gt;"",OR($C$4="",ISNUMBER(SEARCH($C$4,C2759&amp;" "&amp;E2759&amp;" "&amp;G2759&amp;" "&amp;H2759&amp;" "&amp;I2759&amp;" "&amp;J2759&amp;" "&amp;K2759&amp;" "&amp;L2759))),OR($C$5="Semua",$C$5="",G2759=$C$5),OR($C$6="Semua",$C$6="",H2759=$C$6,H2759="Pengeluaran "&amp;$C$6,AND($C$6="Uang Kos Mama",H2759="Pengeluaran Uang Kos")),OR($C$7="Semua",$C$7="",I2759=$C$7),OR($C$8="Semua",$C$8="",C2759=$C$8,E2759=$C$8),OR($C$9="Semua",$C$9="",D2759=$C$9),OR($C$10="",B2759&gt;=$C$10),OR($C$11="",B2759&lt;=$C$11),OR($C$12&lt;&gt;"Ya",K2759&lt;&gt;""),OR($C$13="Semua",$C$13="",L2759=$C$13)),"✓","")</f>
        <v/>
      </c>
      <c r="N2759" s="93">
        <f>N(N2758)+IF(M2759="✓",1,0)</f>
        <v/>
      </c>
      <c r="O2759" s="93">
        <f>N(O2758)+IF(AND(B2759&lt;&gt;"",B2759&gt;='Uang Riba'!$H$30,B2759&lt;='Uang Riba'!$I$30,OR(H2759="Dana riba",H2759="Pinjam uang riba",I2759="Pinjam dari uang riba",I2759="Ganti uang riba",I2759="Kelebihan ganti dikembalikan",AND(C2759="Kantong Uang Riba",G2759="Pengeluaran"))),1,0)</f>
        <v/>
      </c>
      <c r="X2759" s="93">
        <f>IF(AND(B2759&lt;&gt;"",B2759&gt;='Buku Akun'!$H$4,B2759&lt;='Buku Akun'!$H$5,OR(C2759='Buku Akun'!$C$4,AND(D2759="Pindah",E2759='Buku Akun'!$C$4))),B2759+IF(AND(I2759="Selisih bunga",DAY(B2759)=1),0,0.01)+ROW()/10000000,"")</f>
        <v/>
      </c>
    </row>
    <row r="2760" outlineLevel="1" ht="15" customHeight="1" s="94">
      <c r="A2760" s="123">
        <f>IF(B2760="","",ROW()-15)</f>
        <v/>
      </c>
      <c r="B2760" s="124" t="n"/>
      <c r="C2760" s="123" t="n"/>
      <c r="D2760" s="123" t="n"/>
      <c r="E2760" s="123" t="n"/>
      <c r="F2760" s="125" t="n"/>
      <c r="G2760" s="123" t="n"/>
      <c r="H2760" s="123" t="n"/>
      <c r="I2760" s="123" t="n"/>
      <c r="J2760" s="123" t="n"/>
      <c r="K2760" s="123" t="n"/>
      <c r="L2760" s="123" t="n"/>
      <c r="M2760" s="123">
        <f>IF(AND(B2760&lt;&gt;"",OR($C$4="",ISNUMBER(SEARCH($C$4,C2760&amp;" "&amp;E2760&amp;" "&amp;G2760&amp;" "&amp;H2760&amp;" "&amp;I2760&amp;" "&amp;J2760&amp;" "&amp;K2760&amp;" "&amp;L2760))),OR($C$5="Semua",$C$5="",G2760=$C$5),OR($C$6="Semua",$C$6="",H2760=$C$6,H2760="Pengeluaran "&amp;$C$6,AND($C$6="Uang Kos Mama",H2760="Pengeluaran Uang Kos")),OR($C$7="Semua",$C$7="",I2760=$C$7),OR($C$8="Semua",$C$8="",C2760=$C$8,E2760=$C$8),OR($C$9="Semua",$C$9="",D2760=$C$9),OR($C$10="",B2760&gt;=$C$10),OR($C$11="",B2760&lt;=$C$11),OR($C$12&lt;&gt;"Ya",K2760&lt;&gt;""),OR($C$13="Semua",$C$13="",L2760=$C$13)),"✓","")</f>
        <v/>
      </c>
      <c r="N2760" s="93">
        <f>N(N2759)+IF(M2760="✓",1,0)</f>
        <v/>
      </c>
      <c r="O2760" s="93">
        <f>N(O2759)+IF(AND(B2760&lt;&gt;"",B2760&gt;='Uang Riba'!$H$30,B2760&lt;='Uang Riba'!$I$30,OR(H2760="Dana riba",H2760="Pinjam uang riba",I2760="Pinjam dari uang riba",I2760="Ganti uang riba",I2760="Kelebihan ganti dikembalikan",AND(C2760="Kantong Uang Riba",G2760="Pengeluaran"))),1,0)</f>
        <v/>
      </c>
      <c r="X2760" s="93">
        <f>IF(AND(B2760&lt;&gt;"",B2760&gt;='Buku Akun'!$H$4,B2760&lt;='Buku Akun'!$H$5,OR(C2760='Buku Akun'!$C$4,AND(D2760="Pindah",E2760='Buku Akun'!$C$4))),B2760+IF(AND(I2760="Selisih bunga",DAY(B2760)=1),0,0.01)+ROW()/10000000,"")</f>
        <v/>
      </c>
    </row>
    <row r="2761" outlineLevel="1" ht="15" customHeight="1" s="94">
      <c r="A2761" s="123">
        <f>IF(B2761="","",ROW()-15)</f>
        <v/>
      </c>
      <c r="B2761" s="124" t="n"/>
      <c r="C2761" s="123" t="n"/>
      <c r="D2761" s="123" t="n"/>
      <c r="E2761" s="123" t="n"/>
      <c r="F2761" s="125" t="n"/>
      <c r="G2761" s="123" t="n"/>
      <c r="H2761" s="123" t="n"/>
      <c r="I2761" s="123" t="n"/>
      <c r="J2761" s="123" t="n"/>
      <c r="K2761" s="123" t="n"/>
      <c r="L2761" s="123" t="n"/>
      <c r="M2761" s="123">
        <f>IF(AND(B2761&lt;&gt;"",OR($C$4="",ISNUMBER(SEARCH($C$4,C2761&amp;" "&amp;E2761&amp;" "&amp;G2761&amp;" "&amp;H2761&amp;" "&amp;I2761&amp;" "&amp;J2761&amp;" "&amp;K2761&amp;" "&amp;L2761))),OR($C$5="Semua",$C$5="",G2761=$C$5),OR($C$6="Semua",$C$6="",H2761=$C$6,H2761="Pengeluaran "&amp;$C$6,AND($C$6="Uang Kos Mama",H2761="Pengeluaran Uang Kos")),OR($C$7="Semua",$C$7="",I2761=$C$7),OR($C$8="Semua",$C$8="",C2761=$C$8,E2761=$C$8),OR($C$9="Semua",$C$9="",D2761=$C$9),OR($C$10="",B2761&gt;=$C$10),OR($C$11="",B2761&lt;=$C$11),OR($C$12&lt;&gt;"Ya",K2761&lt;&gt;""),OR($C$13="Semua",$C$13="",L2761=$C$13)),"✓","")</f>
        <v/>
      </c>
      <c r="N2761" s="93">
        <f>N(N2760)+IF(M2761="✓",1,0)</f>
        <v/>
      </c>
      <c r="O2761" s="93">
        <f>N(O2760)+IF(AND(B2761&lt;&gt;"",B2761&gt;='Uang Riba'!$H$30,B2761&lt;='Uang Riba'!$I$30,OR(H2761="Dana riba",H2761="Pinjam uang riba",I2761="Pinjam dari uang riba",I2761="Ganti uang riba",I2761="Kelebihan ganti dikembalikan",AND(C2761="Kantong Uang Riba",G2761="Pengeluaran"))),1,0)</f>
        <v/>
      </c>
      <c r="X2761" s="93">
        <f>IF(AND(B2761&lt;&gt;"",B2761&gt;='Buku Akun'!$H$4,B2761&lt;='Buku Akun'!$H$5,OR(C2761='Buku Akun'!$C$4,AND(D2761="Pindah",E2761='Buku Akun'!$C$4))),B2761+IF(AND(I2761="Selisih bunga",DAY(B2761)=1),0,0.01)+ROW()/10000000,"")</f>
        <v/>
      </c>
    </row>
    <row r="2762" outlineLevel="1" ht="15" customHeight="1" s="94">
      <c r="A2762" s="123">
        <f>IF(B2762="","",ROW()-15)</f>
        <v/>
      </c>
      <c r="B2762" s="124" t="n"/>
      <c r="C2762" s="123" t="n"/>
      <c r="D2762" s="123" t="n"/>
      <c r="E2762" s="123" t="n"/>
      <c r="F2762" s="125" t="n"/>
      <c r="G2762" s="123" t="n"/>
      <c r="H2762" s="123" t="n"/>
      <c r="I2762" s="123" t="n"/>
      <c r="J2762" s="123" t="n"/>
      <c r="K2762" s="123" t="n"/>
      <c r="L2762" s="123" t="n"/>
      <c r="M2762" s="123">
        <f>IF(AND(B2762&lt;&gt;"",OR($C$4="",ISNUMBER(SEARCH($C$4,C2762&amp;" "&amp;E2762&amp;" "&amp;G2762&amp;" "&amp;H2762&amp;" "&amp;I2762&amp;" "&amp;J2762&amp;" "&amp;K2762&amp;" "&amp;L2762))),OR($C$5="Semua",$C$5="",G2762=$C$5),OR($C$6="Semua",$C$6="",H2762=$C$6,H2762="Pengeluaran "&amp;$C$6,AND($C$6="Uang Kos Mama",H2762="Pengeluaran Uang Kos")),OR($C$7="Semua",$C$7="",I2762=$C$7),OR($C$8="Semua",$C$8="",C2762=$C$8,E2762=$C$8),OR($C$9="Semua",$C$9="",D2762=$C$9),OR($C$10="",B2762&gt;=$C$10),OR($C$11="",B2762&lt;=$C$11),OR($C$12&lt;&gt;"Ya",K2762&lt;&gt;""),OR($C$13="Semua",$C$13="",L2762=$C$13)),"✓","")</f>
        <v/>
      </c>
      <c r="N2762" s="93">
        <f>N(N2761)+IF(M2762="✓",1,0)</f>
        <v/>
      </c>
      <c r="O2762" s="93">
        <f>N(O2761)+IF(AND(B2762&lt;&gt;"",B2762&gt;='Uang Riba'!$H$30,B2762&lt;='Uang Riba'!$I$30,OR(H2762="Dana riba",H2762="Pinjam uang riba",I2762="Pinjam dari uang riba",I2762="Ganti uang riba",I2762="Kelebihan ganti dikembalikan",AND(C2762="Kantong Uang Riba",G2762="Pengeluaran"))),1,0)</f>
        <v/>
      </c>
      <c r="X2762" s="93">
        <f>IF(AND(B2762&lt;&gt;"",B2762&gt;='Buku Akun'!$H$4,B2762&lt;='Buku Akun'!$H$5,OR(C2762='Buku Akun'!$C$4,AND(D2762="Pindah",E2762='Buku Akun'!$C$4))),B2762+IF(AND(I2762="Selisih bunga",DAY(B2762)=1),0,0.01)+ROW()/10000000,"")</f>
        <v/>
      </c>
    </row>
    <row r="2763" outlineLevel="1" ht="15" customHeight="1" s="94">
      <c r="A2763" s="123">
        <f>IF(B2763="","",ROW()-15)</f>
        <v/>
      </c>
      <c r="B2763" s="124" t="n"/>
      <c r="C2763" s="123" t="n"/>
      <c r="D2763" s="123" t="n"/>
      <c r="E2763" s="123" t="n"/>
      <c r="F2763" s="125" t="n"/>
      <c r="G2763" s="123" t="n"/>
      <c r="H2763" s="123" t="n"/>
      <c r="I2763" s="123" t="n"/>
      <c r="J2763" s="123" t="n"/>
      <c r="K2763" s="123" t="n"/>
      <c r="L2763" s="123" t="n"/>
      <c r="M2763" s="123">
        <f>IF(AND(B2763&lt;&gt;"",OR($C$4="",ISNUMBER(SEARCH($C$4,C2763&amp;" "&amp;E2763&amp;" "&amp;G2763&amp;" "&amp;H2763&amp;" "&amp;I2763&amp;" "&amp;J2763&amp;" "&amp;K2763&amp;" "&amp;L2763))),OR($C$5="Semua",$C$5="",G2763=$C$5),OR($C$6="Semua",$C$6="",H2763=$C$6,H2763="Pengeluaran "&amp;$C$6,AND($C$6="Uang Kos Mama",H2763="Pengeluaran Uang Kos")),OR($C$7="Semua",$C$7="",I2763=$C$7),OR($C$8="Semua",$C$8="",C2763=$C$8,E2763=$C$8),OR($C$9="Semua",$C$9="",D2763=$C$9),OR($C$10="",B2763&gt;=$C$10),OR($C$11="",B2763&lt;=$C$11),OR($C$12&lt;&gt;"Ya",K2763&lt;&gt;""),OR($C$13="Semua",$C$13="",L2763=$C$13)),"✓","")</f>
        <v/>
      </c>
      <c r="N2763" s="93">
        <f>N(N2762)+IF(M2763="✓",1,0)</f>
        <v/>
      </c>
      <c r="O2763" s="93">
        <f>N(O2762)+IF(AND(B2763&lt;&gt;"",B2763&gt;='Uang Riba'!$H$30,B2763&lt;='Uang Riba'!$I$30,OR(H2763="Dana riba",H2763="Pinjam uang riba",I2763="Pinjam dari uang riba",I2763="Ganti uang riba",I2763="Kelebihan ganti dikembalikan",AND(C2763="Kantong Uang Riba",G2763="Pengeluaran"))),1,0)</f>
        <v/>
      </c>
      <c r="X2763" s="93">
        <f>IF(AND(B2763&lt;&gt;"",B2763&gt;='Buku Akun'!$H$4,B2763&lt;='Buku Akun'!$H$5,OR(C2763='Buku Akun'!$C$4,AND(D2763="Pindah",E2763='Buku Akun'!$C$4))),B2763+IF(AND(I2763="Selisih bunga",DAY(B2763)=1),0,0.01)+ROW()/10000000,"")</f>
        <v/>
      </c>
    </row>
    <row r="2764" outlineLevel="1" ht="15" customHeight="1" s="94">
      <c r="A2764" s="123">
        <f>IF(B2764="","",ROW()-15)</f>
        <v/>
      </c>
      <c r="B2764" s="124" t="n"/>
      <c r="C2764" s="123" t="n"/>
      <c r="D2764" s="123" t="n"/>
      <c r="E2764" s="123" t="n"/>
      <c r="F2764" s="125" t="n"/>
      <c r="G2764" s="123" t="n"/>
      <c r="H2764" s="123" t="n"/>
      <c r="I2764" s="123" t="n"/>
      <c r="J2764" s="123" t="n"/>
      <c r="K2764" s="123" t="n"/>
      <c r="L2764" s="123" t="n"/>
      <c r="M2764" s="123">
        <f>IF(AND(B2764&lt;&gt;"",OR($C$4="",ISNUMBER(SEARCH($C$4,C2764&amp;" "&amp;E2764&amp;" "&amp;G2764&amp;" "&amp;H2764&amp;" "&amp;I2764&amp;" "&amp;J2764&amp;" "&amp;K2764&amp;" "&amp;L2764))),OR($C$5="Semua",$C$5="",G2764=$C$5),OR($C$6="Semua",$C$6="",H2764=$C$6,H2764="Pengeluaran "&amp;$C$6,AND($C$6="Uang Kos Mama",H2764="Pengeluaran Uang Kos")),OR($C$7="Semua",$C$7="",I2764=$C$7),OR($C$8="Semua",$C$8="",C2764=$C$8,E2764=$C$8),OR($C$9="Semua",$C$9="",D2764=$C$9),OR($C$10="",B2764&gt;=$C$10),OR($C$11="",B2764&lt;=$C$11),OR($C$12&lt;&gt;"Ya",K2764&lt;&gt;""),OR($C$13="Semua",$C$13="",L2764=$C$13)),"✓","")</f>
        <v/>
      </c>
      <c r="N2764" s="93">
        <f>N(N2763)+IF(M2764="✓",1,0)</f>
        <v/>
      </c>
      <c r="O2764" s="93">
        <f>N(O2763)+IF(AND(B2764&lt;&gt;"",B2764&gt;='Uang Riba'!$H$30,B2764&lt;='Uang Riba'!$I$30,OR(H2764="Dana riba",H2764="Pinjam uang riba",I2764="Pinjam dari uang riba",I2764="Ganti uang riba",I2764="Kelebihan ganti dikembalikan",AND(C2764="Kantong Uang Riba",G2764="Pengeluaran"))),1,0)</f>
        <v/>
      </c>
      <c r="X2764" s="93">
        <f>IF(AND(B2764&lt;&gt;"",B2764&gt;='Buku Akun'!$H$4,B2764&lt;='Buku Akun'!$H$5,OR(C2764='Buku Akun'!$C$4,AND(D2764="Pindah",E2764='Buku Akun'!$C$4))),B2764+IF(AND(I2764="Selisih bunga",DAY(B2764)=1),0,0.01)+ROW()/10000000,"")</f>
        <v/>
      </c>
    </row>
    <row r="2765" outlineLevel="1" ht="15" customHeight="1" s="94">
      <c r="A2765" s="123">
        <f>IF(B2765="","",ROW()-15)</f>
        <v/>
      </c>
      <c r="B2765" s="124" t="n"/>
      <c r="C2765" s="123" t="n"/>
      <c r="D2765" s="123" t="n"/>
      <c r="E2765" s="123" t="n"/>
      <c r="F2765" s="125" t="n"/>
      <c r="G2765" s="123" t="n"/>
      <c r="H2765" s="123" t="n"/>
      <c r="I2765" s="123" t="n"/>
      <c r="J2765" s="123" t="n"/>
      <c r="K2765" s="123" t="n"/>
      <c r="L2765" s="123" t="n"/>
      <c r="M2765" s="123">
        <f>IF(AND(B2765&lt;&gt;"",OR($C$4="",ISNUMBER(SEARCH($C$4,C2765&amp;" "&amp;E2765&amp;" "&amp;G2765&amp;" "&amp;H2765&amp;" "&amp;I2765&amp;" "&amp;J2765&amp;" "&amp;K2765&amp;" "&amp;L2765))),OR($C$5="Semua",$C$5="",G2765=$C$5),OR($C$6="Semua",$C$6="",H2765=$C$6,H2765="Pengeluaran "&amp;$C$6,AND($C$6="Uang Kos Mama",H2765="Pengeluaran Uang Kos")),OR($C$7="Semua",$C$7="",I2765=$C$7),OR($C$8="Semua",$C$8="",C2765=$C$8,E2765=$C$8),OR($C$9="Semua",$C$9="",D2765=$C$9),OR($C$10="",B2765&gt;=$C$10),OR($C$11="",B2765&lt;=$C$11),OR($C$12&lt;&gt;"Ya",K2765&lt;&gt;""),OR($C$13="Semua",$C$13="",L2765=$C$13)),"✓","")</f>
        <v/>
      </c>
      <c r="N2765" s="93">
        <f>N(N2764)+IF(M2765="✓",1,0)</f>
        <v/>
      </c>
      <c r="O2765" s="93">
        <f>N(O2764)+IF(AND(B2765&lt;&gt;"",B2765&gt;='Uang Riba'!$H$30,B2765&lt;='Uang Riba'!$I$30,OR(H2765="Dana riba",H2765="Pinjam uang riba",I2765="Pinjam dari uang riba",I2765="Ganti uang riba",I2765="Kelebihan ganti dikembalikan",AND(C2765="Kantong Uang Riba",G2765="Pengeluaran"))),1,0)</f>
        <v/>
      </c>
      <c r="X2765" s="93">
        <f>IF(AND(B2765&lt;&gt;"",B2765&gt;='Buku Akun'!$H$4,B2765&lt;='Buku Akun'!$H$5,OR(C2765='Buku Akun'!$C$4,AND(D2765="Pindah",E2765='Buku Akun'!$C$4))),B2765+IF(AND(I2765="Selisih bunga",DAY(B2765)=1),0,0.01)+ROW()/10000000,"")</f>
        <v/>
      </c>
    </row>
    <row r="2766" outlineLevel="1" ht="15" customHeight="1" s="94">
      <c r="A2766" s="123">
        <f>IF(B2766="","",ROW()-15)</f>
        <v/>
      </c>
      <c r="B2766" s="124" t="n"/>
      <c r="C2766" s="123" t="n"/>
      <c r="D2766" s="123" t="n"/>
      <c r="E2766" s="123" t="n"/>
      <c r="F2766" s="125" t="n"/>
      <c r="G2766" s="123" t="n"/>
      <c r="H2766" s="123" t="n"/>
      <c r="I2766" s="123" t="n"/>
      <c r="J2766" s="123" t="n"/>
      <c r="K2766" s="123" t="n"/>
      <c r="L2766" s="123" t="n"/>
      <c r="M2766" s="123">
        <f>IF(AND(B2766&lt;&gt;"",OR($C$4="",ISNUMBER(SEARCH($C$4,C2766&amp;" "&amp;E2766&amp;" "&amp;G2766&amp;" "&amp;H2766&amp;" "&amp;I2766&amp;" "&amp;J2766&amp;" "&amp;K2766&amp;" "&amp;L2766))),OR($C$5="Semua",$C$5="",G2766=$C$5),OR($C$6="Semua",$C$6="",H2766=$C$6,H2766="Pengeluaran "&amp;$C$6,AND($C$6="Uang Kos Mama",H2766="Pengeluaran Uang Kos")),OR($C$7="Semua",$C$7="",I2766=$C$7),OR($C$8="Semua",$C$8="",C2766=$C$8,E2766=$C$8),OR($C$9="Semua",$C$9="",D2766=$C$9),OR($C$10="",B2766&gt;=$C$10),OR($C$11="",B2766&lt;=$C$11),OR($C$12&lt;&gt;"Ya",K2766&lt;&gt;""),OR($C$13="Semua",$C$13="",L2766=$C$13)),"✓","")</f>
        <v/>
      </c>
      <c r="N2766" s="93">
        <f>N(N2765)+IF(M2766="✓",1,0)</f>
        <v/>
      </c>
      <c r="O2766" s="93">
        <f>N(O2765)+IF(AND(B2766&lt;&gt;"",B2766&gt;='Uang Riba'!$H$30,B2766&lt;='Uang Riba'!$I$30,OR(H2766="Dana riba",H2766="Pinjam uang riba",I2766="Pinjam dari uang riba",I2766="Ganti uang riba",I2766="Kelebihan ganti dikembalikan",AND(C2766="Kantong Uang Riba",G2766="Pengeluaran"))),1,0)</f>
        <v/>
      </c>
      <c r="X2766" s="93">
        <f>IF(AND(B2766&lt;&gt;"",B2766&gt;='Buku Akun'!$H$4,B2766&lt;='Buku Akun'!$H$5,OR(C2766='Buku Akun'!$C$4,AND(D2766="Pindah",E2766='Buku Akun'!$C$4))),B2766+IF(AND(I2766="Selisih bunga",DAY(B2766)=1),0,0.01)+ROW()/10000000,"")</f>
        <v/>
      </c>
    </row>
    <row r="2767" outlineLevel="1" ht="15" customHeight="1" s="94">
      <c r="A2767" s="123">
        <f>IF(B2767="","",ROW()-15)</f>
        <v/>
      </c>
      <c r="B2767" s="124" t="n"/>
      <c r="C2767" s="123" t="n"/>
      <c r="D2767" s="123" t="n"/>
      <c r="E2767" s="123" t="n"/>
      <c r="F2767" s="125" t="n"/>
      <c r="G2767" s="123" t="n"/>
      <c r="H2767" s="123" t="n"/>
      <c r="I2767" s="123" t="n"/>
      <c r="J2767" s="123" t="n"/>
      <c r="K2767" s="123" t="n"/>
      <c r="L2767" s="123" t="n"/>
      <c r="M2767" s="123">
        <f>IF(AND(B2767&lt;&gt;"",OR($C$4="",ISNUMBER(SEARCH($C$4,C2767&amp;" "&amp;E2767&amp;" "&amp;G2767&amp;" "&amp;H2767&amp;" "&amp;I2767&amp;" "&amp;J2767&amp;" "&amp;K2767&amp;" "&amp;L2767))),OR($C$5="Semua",$C$5="",G2767=$C$5),OR($C$6="Semua",$C$6="",H2767=$C$6,H2767="Pengeluaran "&amp;$C$6,AND($C$6="Uang Kos Mama",H2767="Pengeluaran Uang Kos")),OR($C$7="Semua",$C$7="",I2767=$C$7),OR($C$8="Semua",$C$8="",C2767=$C$8,E2767=$C$8),OR($C$9="Semua",$C$9="",D2767=$C$9),OR($C$10="",B2767&gt;=$C$10),OR($C$11="",B2767&lt;=$C$11),OR($C$12&lt;&gt;"Ya",K2767&lt;&gt;""),OR($C$13="Semua",$C$13="",L2767=$C$13)),"✓","")</f>
        <v/>
      </c>
      <c r="N2767" s="93">
        <f>N(N2766)+IF(M2767="✓",1,0)</f>
        <v/>
      </c>
      <c r="O2767" s="93">
        <f>N(O2766)+IF(AND(B2767&lt;&gt;"",B2767&gt;='Uang Riba'!$H$30,B2767&lt;='Uang Riba'!$I$30,OR(H2767="Dana riba",H2767="Pinjam uang riba",I2767="Pinjam dari uang riba",I2767="Ganti uang riba",I2767="Kelebihan ganti dikembalikan",AND(C2767="Kantong Uang Riba",G2767="Pengeluaran"))),1,0)</f>
        <v/>
      </c>
      <c r="X2767" s="93">
        <f>IF(AND(B2767&lt;&gt;"",B2767&gt;='Buku Akun'!$H$4,B2767&lt;='Buku Akun'!$H$5,OR(C2767='Buku Akun'!$C$4,AND(D2767="Pindah",E2767='Buku Akun'!$C$4))),B2767+IF(AND(I2767="Selisih bunga",DAY(B2767)=1),0,0.01)+ROW()/10000000,"")</f>
        <v/>
      </c>
    </row>
    <row r="2768" outlineLevel="1" ht="15" customHeight="1" s="94">
      <c r="A2768" s="123">
        <f>IF(B2768="","",ROW()-15)</f>
        <v/>
      </c>
      <c r="B2768" s="124" t="n"/>
      <c r="C2768" s="123" t="n"/>
      <c r="D2768" s="123" t="n"/>
      <c r="E2768" s="123" t="n"/>
      <c r="F2768" s="125" t="n"/>
      <c r="G2768" s="123" t="n"/>
      <c r="H2768" s="123" t="n"/>
      <c r="I2768" s="123" t="n"/>
      <c r="J2768" s="123" t="n"/>
      <c r="K2768" s="123" t="n"/>
      <c r="L2768" s="123" t="n"/>
      <c r="M2768" s="123">
        <f>IF(AND(B2768&lt;&gt;"",OR($C$4="",ISNUMBER(SEARCH($C$4,C2768&amp;" "&amp;E2768&amp;" "&amp;G2768&amp;" "&amp;H2768&amp;" "&amp;I2768&amp;" "&amp;J2768&amp;" "&amp;K2768&amp;" "&amp;L2768))),OR($C$5="Semua",$C$5="",G2768=$C$5),OR($C$6="Semua",$C$6="",H2768=$C$6,H2768="Pengeluaran "&amp;$C$6,AND($C$6="Uang Kos Mama",H2768="Pengeluaran Uang Kos")),OR($C$7="Semua",$C$7="",I2768=$C$7),OR($C$8="Semua",$C$8="",C2768=$C$8,E2768=$C$8),OR($C$9="Semua",$C$9="",D2768=$C$9),OR($C$10="",B2768&gt;=$C$10),OR($C$11="",B2768&lt;=$C$11),OR($C$12&lt;&gt;"Ya",K2768&lt;&gt;""),OR($C$13="Semua",$C$13="",L2768=$C$13)),"✓","")</f>
        <v/>
      </c>
      <c r="N2768" s="93">
        <f>N(N2767)+IF(M2768="✓",1,0)</f>
        <v/>
      </c>
      <c r="O2768" s="93">
        <f>N(O2767)+IF(AND(B2768&lt;&gt;"",B2768&gt;='Uang Riba'!$H$30,B2768&lt;='Uang Riba'!$I$30,OR(H2768="Dana riba",H2768="Pinjam uang riba",I2768="Pinjam dari uang riba",I2768="Ganti uang riba",I2768="Kelebihan ganti dikembalikan",AND(C2768="Kantong Uang Riba",G2768="Pengeluaran"))),1,0)</f>
        <v/>
      </c>
      <c r="X2768" s="93">
        <f>IF(AND(B2768&lt;&gt;"",B2768&gt;='Buku Akun'!$H$4,B2768&lt;='Buku Akun'!$H$5,OR(C2768='Buku Akun'!$C$4,AND(D2768="Pindah",E2768='Buku Akun'!$C$4))),B2768+IF(AND(I2768="Selisih bunga",DAY(B2768)=1),0,0.01)+ROW()/10000000,"")</f>
        <v/>
      </c>
    </row>
    <row r="2769" outlineLevel="1" ht="15" customHeight="1" s="94">
      <c r="A2769" s="123">
        <f>IF(B2769="","",ROW()-15)</f>
        <v/>
      </c>
      <c r="B2769" s="124" t="n"/>
      <c r="C2769" s="123" t="n"/>
      <c r="D2769" s="123" t="n"/>
      <c r="E2769" s="123" t="n"/>
      <c r="F2769" s="125" t="n"/>
      <c r="G2769" s="123" t="n"/>
      <c r="H2769" s="123" t="n"/>
      <c r="I2769" s="123" t="n"/>
      <c r="J2769" s="123" t="n"/>
      <c r="K2769" s="123" t="n"/>
      <c r="L2769" s="123" t="n"/>
      <c r="M2769" s="123">
        <f>IF(AND(B2769&lt;&gt;"",OR($C$4="",ISNUMBER(SEARCH($C$4,C2769&amp;" "&amp;E2769&amp;" "&amp;G2769&amp;" "&amp;H2769&amp;" "&amp;I2769&amp;" "&amp;J2769&amp;" "&amp;K2769&amp;" "&amp;L2769))),OR($C$5="Semua",$C$5="",G2769=$C$5),OR($C$6="Semua",$C$6="",H2769=$C$6,H2769="Pengeluaran "&amp;$C$6,AND($C$6="Uang Kos Mama",H2769="Pengeluaran Uang Kos")),OR($C$7="Semua",$C$7="",I2769=$C$7),OR($C$8="Semua",$C$8="",C2769=$C$8,E2769=$C$8),OR($C$9="Semua",$C$9="",D2769=$C$9),OR($C$10="",B2769&gt;=$C$10),OR($C$11="",B2769&lt;=$C$11),OR($C$12&lt;&gt;"Ya",K2769&lt;&gt;""),OR($C$13="Semua",$C$13="",L2769=$C$13)),"✓","")</f>
        <v/>
      </c>
      <c r="N2769" s="93">
        <f>N(N2768)+IF(M2769="✓",1,0)</f>
        <v/>
      </c>
      <c r="O2769" s="93">
        <f>N(O2768)+IF(AND(B2769&lt;&gt;"",B2769&gt;='Uang Riba'!$H$30,B2769&lt;='Uang Riba'!$I$30,OR(H2769="Dana riba",H2769="Pinjam uang riba",I2769="Pinjam dari uang riba",I2769="Ganti uang riba",I2769="Kelebihan ganti dikembalikan",AND(C2769="Kantong Uang Riba",G2769="Pengeluaran"))),1,0)</f>
        <v/>
      </c>
      <c r="X2769" s="93">
        <f>IF(AND(B2769&lt;&gt;"",B2769&gt;='Buku Akun'!$H$4,B2769&lt;='Buku Akun'!$H$5,OR(C2769='Buku Akun'!$C$4,AND(D2769="Pindah",E2769='Buku Akun'!$C$4))),B2769+IF(AND(I2769="Selisih bunga",DAY(B2769)=1),0,0.01)+ROW()/10000000,"")</f>
        <v/>
      </c>
    </row>
    <row r="2770" outlineLevel="1" ht="15" customHeight="1" s="94">
      <c r="A2770" s="123">
        <f>IF(B2770="","",ROW()-15)</f>
        <v/>
      </c>
      <c r="B2770" s="124" t="n"/>
      <c r="C2770" s="123" t="n"/>
      <c r="D2770" s="123" t="n"/>
      <c r="E2770" s="123" t="n"/>
      <c r="F2770" s="125" t="n"/>
      <c r="G2770" s="123" t="n"/>
      <c r="H2770" s="123" t="n"/>
      <c r="I2770" s="123" t="n"/>
      <c r="J2770" s="123" t="n"/>
      <c r="K2770" s="123" t="n"/>
      <c r="L2770" s="123" t="n"/>
      <c r="M2770" s="123">
        <f>IF(AND(B2770&lt;&gt;"",OR($C$4="",ISNUMBER(SEARCH($C$4,C2770&amp;" "&amp;E2770&amp;" "&amp;G2770&amp;" "&amp;H2770&amp;" "&amp;I2770&amp;" "&amp;J2770&amp;" "&amp;K2770&amp;" "&amp;L2770))),OR($C$5="Semua",$C$5="",G2770=$C$5),OR($C$6="Semua",$C$6="",H2770=$C$6,H2770="Pengeluaran "&amp;$C$6,AND($C$6="Uang Kos Mama",H2770="Pengeluaran Uang Kos")),OR($C$7="Semua",$C$7="",I2770=$C$7),OR($C$8="Semua",$C$8="",C2770=$C$8,E2770=$C$8),OR($C$9="Semua",$C$9="",D2770=$C$9),OR($C$10="",B2770&gt;=$C$10),OR($C$11="",B2770&lt;=$C$11),OR($C$12&lt;&gt;"Ya",K2770&lt;&gt;""),OR($C$13="Semua",$C$13="",L2770=$C$13)),"✓","")</f>
        <v/>
      </c>
      <c r="N2770" s="93">
        <f>N(N2769)+IF(M2770="✓",1,0)</f>
        <v/>
      </c>
      <c r="O2770" s="93">
        <f>N(O2769)+IF(AND(B2770&lt;&gt;"",B2770&gt;='Uang Riba'!$H$30,B2770&lt;='Uang Riba'!$I$30,OR(H2770="Dana riba",H2770="Pinjam uang riba",I2770="Pinjam dari uang riba",I2770="Ganti uang riba",I2770="Kelebihan ganti dikembalikan",AND(C2770="Kantong Uang Riba",G2770="Pengeluaran"))),1,0)</f>
        <v/>
      </c>
      <c r="X2770" s="93">
        <f>IF(AND(B2770&lt;&gt;"",B2770&gt;='Buku Akun'!$H$4,B2770&lt;='Buku Akun'!$H$5,OR(C2770='Buku Akun'!$C$4,AND(D2770="Pindah",E2770='Buku Akun'!$C$4))),B2770+IF(AND(I2770="Selisih bunga",DAY(B2770)=1),0,0.01)+ROW()/10000000,"")</f>
        <v/>
      </c>
    </row>
    <row r="2771" outlineLevel="1" ht="15" customHeight="1" s="94">
      <c r="A2771" s="123">
        <f>IF(B2771="","",ROW()-15)</f>
        <v/>
      </c>
      <c r="B2771" s="124" t="n"/>
      <c r="C2771" s="123" t="n"/>
      <c r="D2771" s="123" t="n"/>
      <c r="E2771" s="123" t="n"/>
      <c r="F2771" s="125" t="n"/>
      <c r="G2771" s="123" t="n"/>
      <c r="H2771" s="123" t="n"/>
      <c r="I2771" s="123" t="n"/>
      <c r="J2771" s="123" t="n"/>
      <c r="K2771" s="123" t="n"/>
      <c r="L2771" s="123" t="n"/>
      <c r="M2771" s="123">
        <f>IF(AND(B2771&lt;&gt;"",OR($C$4="",ISNUMBER(SEARCH($C$4,C2771&amp;" "&amp;E2771&amp;" "&amp;G2771&amp;" "&amp;H2771&amp;" "&amp;I2771&amp;" "&amp;J2771&amp;" "&amp;K2771&amp;" "&amp;L2771))),OR($C$5="Semua",$C$5="",G2771=$C$5),OR($C$6="Semua",$C$6="",H2771=$C$6,H2771="Pengeluaran "&amp;$C$6,AND($C$6="Uang Kos Mama",H2771="Pengeluaran Uang Kos")),OR($C$7="Semua",$C$7="",I2771=$C$7),OR($C$8="Semua",$C$8="",C2771=$C$8,E2771=$C$8),OR($C$9="Semua",$C$9="",D2771=$C$9),OR($C$10="",B2771&gt;=$C$10),OR($C$11="",B2771&lt;=$C$11),OR($C$12&lt;&gt;"Ya",K2771&lt;&gt;""),OR($C$13="Semua",$C$13="",L2771=$C$13)),"✓","")</f>
        <v/>
      </c>
      <c r="N2771" s="93">
        <f>N(N2770)+IF(M2771="✓",1,0)</f>
        <v/>
      </c>
      <c r="O2771" s="93">
        <f>N(O2770)+IF(AND(B2771&lt;&gt;"",B2771&gt;='Uang Riba'!$H$30,B2771&lt;='Uang Riba'!$I$30,OR(H2771="Dana riba",H2771="Pinjam uang riba",I2771="Pinjam dari uang riba",I2771="Ganti uang riba",I2771="Kelebihan ganti dikembalikan",AND(C2771="Kantong Uang Riba",G2771="Pengeluaran"))),1,0)</f>
        <v/>
      </c>
      <c r="X2771" s="93">
        <f>IF(AND(B2771&lt;&gt;"",B2771&gt;='Buku Akun'!$H$4,B2771&lt;='Buku Akun'!$H$5,OR(C2771='Buku Akun'!$C$4,AND(D2771="Pindah",E2771='Buku Akun'!$C$4))),B2771+IF(AND(I2771="Selisih bunga",DAY(B2771)=1),0,0.01)+ROW()/10000000,"")</f>
        <v/>
      </c>
    </row>
    <row r="2772" outlineLevel="1" ht="15" customHeight="1" s="94">
      <c r="A2772" s="123">
        <f>IF(B2772="","",ROW()-15)</f>
        <v/>
      </c>
      <c r="B2772" s="124" t="n"/>
      <c r="C2772" s="123" t="n"/>
      <c r="D2772" s="123" t="n"/>
      <c r="E2772" s="123" t="n"/>
      <c r="F2772" s="125" t="n"/>
      <c r="G2772" s="123" t="n"/>
      <c r="H2772" s="123" t="n"/>
      <c r="I2772" s="123" t="n"/>
      <c r="J2772" s="123" t="n"/>
      <c r="K2772" s="123" t="n"/>
      <c r="L2772" s="123" t="n"/>
      <c r="M2772" s="123">
        <f>IF(AND(B2772&lt;&gt;"",OR($C$4="",ISNUMBER(SEARCH($C$4,C2772&amp;" "&amp;E2772&amp;" "&amp;G2772&amp;" "&amp;H2772&amp;" "&amp;I2772&amp;" "&amp;J2772&amp;" "&amp;K2772&amp;" "&amp;L2772))),OR($C$5="Semua",$C$5="",G2772=$C$5),OR($C$6="Semua",$C$6="",H2772=$C$6,H2772="Pengeluaran "&amp;$C$6,AND($C$6="Uang Kos Mama",H2772="Pengeluaran Uang Kos")),OR($C$7="Semua",$C$7="",I2772=$C$7),OR($C$8="Semua",$C$8="",C2772=$C$8,E2772=$C$8),OR($C$9="Semua",$C$9="",D2772=$C$9),OR($C$10="",B2772&gt;=$C$10),OR($C$11="",B2772&lt;=$C$11),OR($C$12&lt;&gt;"Ya",K2772&lt;&gt;""),OR($C$13="Semua",$C$13="",L2772=$C$13)),"✓","")</f>
        <v/>
      </c>
      <c r="N2772" s="93">
        <f>N(N2771)+IF(M2772="✓",1,0)</f>
        <v/>
      </c>
      <c r="O2772" s="93">
        <f>N(O2771)+IF(AND(B2772&lt;&gt;"",B2772&gt;='Uang Riba'!$H$30,B2772&lt;='Uang Riba'!$I$30,OR(H2772="Dana riba",H2772="Pinjam uang riba",I2772="Pinjam dari uang riba",I2772="Ganti uang riba",I2772="Kelebihan ganti dikembalikan",AND(C2772="Kantong Uang Riba",G2772="Pengeluaran"))),1,0)</f>
        <v/>
      </c>
      <c r="X2772" s="93">
        <f>IF(AND(B2772&lt;&gt;"",B2772&gt;='Buku Akun'!$H$4,B2772&lt;='Buku Akun'!$H$5,OR(C2772='Buku Akun'!$C$4,AND(D2772="Pindah",E2772='Buku Akun'!$C$4))),B2772+IF(AND(I2772="Selisih bunga",DAY(B2772)=1),0,0.01)+ROW()/10000000,"")</f>
        <v/>
      </c>
    </row>
    <row r="2773" outlineLevel="1" ht="15" customHeight="1" s="94">
      <c r="A2773" s="123">
        <f>IF(B2773="","",ROW()-15)</f>
        <v/>
      </c>
      <c r="B2773" s="124" t="n"/>
      <c r="C2773" s="123" t="n"/>
      <c r="D2773" s="123" t="n"/>
      <c r="E2773" s="123" t="n"/>
      <c r="F2773" s="125" t="n"/>
      <c r="G2773" s="123" t="n"/>
      <c r="H2773" s="123" t="n"/>
      <c r="I2773" s="123" t="n"/>
      <c r="J2773" s="123" t="n"/>
      <c r="K2773" s="123" t="n"/>
      <c r="L2773" s="123" t="n"/>
      <c r="M2773" s="123">
        <f>IF(AND(B2773&lt;&gt;"",OR($C$4="",ISNUMBER(SEARCH($C$4,C2773&amp;" "&amp;E2773&amp;" "&amp;G2773&amp;" "&amp;H2773&amp;" "&amp;I2773&amp;" "&amp;J2773&amp;" "&amp;K2773&amp;" "&amp;L2773))),OR($C$5="Semua",$C$5="",G2773=$C$5),OR($C$6="Semua",$C$6="",H2773=$C$6,H2773="Pengeluaran "&amp;$C$6,AND($C$6="Uang Kos Mama",H2773="Pengeluaran Uang Kos")),OR($C$7="Semua",$C$7="",I2773=$C$7),OR($C$8="Semua",$C$8="",C2773=$C$8,E2773=$C$8),OR($C$9="Semua",$C$9="",D2773=$C$9),OR($C$10="",B2773&gt;=$C$10),OR($C$11="",B2773&lt;=$C$11),OR($C$12&lt;&gt;"Ya",K2773&lt;&gt;""),OR($C$13="Semua",$C$13="",L2773=$C$13)),"✓","")</f>
        <v/>
      </c>
      <c r="N2773" s="93">
        <f>N(N2772)+IF(M2773="✓",1,0)</f>
        <v/>
      </c>
      <c r="O2773" s="93">
        <f>N(O2772)+IF(AND(B2773&lt;&gt;"",B2773&gt;='Uang Riba'!$H$30,B2773&lt;='Uang Riba'!$I$30,OR(H2773="Dana riba",H2773="Pinjam uang riba",I2773="Pinjam dari uang riba",I2773="Ganti uang riba",I2773="Kelebihan ganti dikembalikan",AND(C2773="Kantong Uang Riba",G2773="Pengeluaran"))),1,0)</f>
        <v/>
      </c>
      <c r="X2773" s="93">
        <f>IF(AND(B2773&lt;&gt;"",B2773&gt;='Buku Akun'!$H$4,B2773&lt;='Buku Akun'!$H$5,OR(C2773='Buku Akun'!$C$4,AND(D2773="Pindah",E2773='Buku Akun'!$C$4))),B2773+IF(AND(I2773="Selisih bunga",DAY(B2773)=1),0,0.01)+ROW()/10000000,"")</f>
        <v/>
      </c>
    </row>
    <row r="2774" outlineLevel="1" ht="15" customHeight="1" s="94">
      <c r="A2774" s="123">
        <f>IF(B2774="","",ROW()-15)</f>
        <v/>
      </c>
      <c r="B2774" s="124" t="n"/>
      <c r="C2774" s="123" t="n"/>
      <c r="D2774" s="123" t="n"/>
      <c r="E2774" s="123" t="n"/>
      <c r="F2774" s="125" t="n"/>
      <c r="G2774" s="123" t="n"/>
      <c r="H2774" s="123" t="n"/>
      <c r="I2774" s="123" t="n"/>
      <c r="J2774" s="123" t="n"/>
      <c r="K2774" s="123" t="n"/>
      <c r="L2774" s="123" t="n"/>
      <c r="M2774" s="123">
        <f>IF(AND(B2774&lt;&gt;"",OR($C$4="",ISNUMBER(SEARCH($C$4,C2774&amp;" "&amp;E2774&amp;" "&amp;G2774&amp;" "&amp;H2774&amp;" "&amp;I2774&amp;" "&amp;J2774&amp;" "&amp;K2774&amp;" "&amp;L2774))),OR($C$5="Semua",$C$5="",G2774=$C$5),OR($C$6="Semua",$C$6="",H2774=$C$6,H2774="Pengeluaran "&amp;$C$6,AND($C$6="Uang Kos Mama",H2774="Pengeluaran Uang Kos")),OR($C$7="Semua",$C$7="",I2774=$C$7),OR($C$8="Semua",$C$8="",C2774=$C$8,E2774=$C$8),OR($C$9="Semua",$C$9="",D2774=$C$9),OR($C$10="",B2774&gt;=$C$10),OR($C$11="",B2774&lt;=$C$11),OR($C$12&lt;&gt;"Ya",K2774&lt;&gt;""),OR($C$13="Semua",$C$13="",L2774=$C$13)),"✓","")</f>
        <v/>
      </c>
      <c r="N2774" s="93">
        <f>N(N2773)+IF(M2774="✓",1,0)</f>
        <v/>
      </c>
      <c r="O2774" s="93">
        <f>N(O2773)+IF(AND(B2774&lt;&gt;"",B2774&gt;='Uang Riba'!$H$30,B2774&lt;='Uang Riba'!$I$30,OR(H2774="Dana riba",H2774="Pinjam uang riba",I2774="Pinjam dari uang riba",I2774="Ganti uang riba",I2774="Kelebihan ganti dikembalikan",AND(C2774="Kantong Uang Riba",G2774="Pengeluaran"))),1,0)</f>
        <v/>
      </c>
      <c r="X2774" s="93">
        <f>IF(AND(B2774&lt;&gt;"",B2774&gt;='Buku Akun'!$H$4,B2774&lt;='Buku Akun'!$H$5,OR(C2774='Buku Akun'!$C$4,AND(D2774="Pindah",E2774='Buku Akun'!$C$4))),B2774+IF(AND(I2774="Selisih bunga",DAY(B2774)=1),0,0.01)+ROW()/10000000,"")</f>
        <v/>
      </c>
    </row>
    <row r="2775" outlineLevel="1" ht="15" customHeight="1" s="94">
      <c r="A2775" s="123">
        <f>IF(B2775="","",ROW()-15)</f>
        <v/>
      </c>
      <c r="B2775" s="124" t="n"/>
      <c r="C2775" s="123" t="n"/>
      <c r="D2775" s="123" t="n"/>
      <c r="E2775" s="123" t="n"/>
      <c r="F2775" s="125" t="n"/>
      <c r="G2775" s="123" t="n"/>
      <c r="H2775" s="123" t="n"/>
      <c r="I2775" s="123" t="n"/>
      <c r="J2775" s="123" t="n"/>
      <c r="K2775" s="123" t="n"/>
      <c r="L2775" s="123" t="n"/>
      <c r="M2775" s="123">
        <f>IF(AND(B2775&lt;&gt;"",OR($C$4="",ISNUMBER(SEARCH($C$4,C2775&amp;" "&amp;E2775&amp;" "&amp;G2775&amp;" "&amp;H2775&amp;" "&amp;I2775&amp;" "&amp;J2775&amp;" "&amp;K2775&amp;" "&amp;L2775))),OR($C$5="Semua",$C$5="",G2775=$C$5),OR($C$6="Semua",$C$6="",H2775=$C$6,H2775="Pengeluaran "&amp;$C$6,AND($C$6="Uang Kos Mama",H2775="Pengeluaran Uang Kos")),OR($C$7="Semua",$C$7="",I2775=$C$7),OR($C$8="Semua",$C$8="",C2775=$C$8,E2775=$C$8),OR($C$9="Semua",$C$9="",D2775=$C$9),OR($C$10="",B2775&gt;=$C$10),OR($C$11="",B2775&lt;=$C$11),OR($C$12&lt;&gt;"Ya",K2775&lt;&gt;""),OR($C$13="Semua",$C$13="",L2775=$C$13)),"✓","")</f>
        <v/>
      </c>
      <c r="N2775" s="93">
        <f>N(N2774)+IF(M2775="✓",1,0)</f>
        <v/>
      </c>
      <c r="O2775" s="93">
        <f>N(O2774)+IF(AND(B2775&lt;&gt;"",B2775&gt;='Uang Riba'!$H$30,B2775&lt;='Uang Riba'!$I$30,OR(H2775="Dana riba",H2775="Pinjam uang riba",I2775="Pinjam dari uang riba",I2775="Ganti uang riba",I2775="Kelebihan ganti dikembalikan",AND(C2775="Kantong Uang Riba",G2775="Pengeluaran"))),1,0)</f>
        <v/>
      </c>
      <c r="X2775" s="93">
        <f>IF(AND(B2775&lt;&gt;"",B2775&gt;='Buku Akun'!$H$4,B2775&lt;='Buku Akun'!$H$5,OR(C2775='Buku Akun'!$C$4,AND(D2775="Pindah",E2775='Buku Akun'!$C$4))),B2775+IF(AND(I2775="Selisih bunga",DAY(B2775)=1),0,0.01)+ROW()/10000000,"")</f>
        <v/>
      </c>
    </row>
    <row r="2776" outlineLevel="1" ht="15" customHeight="1" s="94">
      <c r="A2776" s="123">
        <f>IF(B2776="","",ROW()-15)</f>
        <v/>
      </c>
      <c r="B2776" s="124" t="n"/>
      <c r="C2776" s="123" t="n"/>
      <c r="D2776" s="123" t="n"/>
      <c r="E2776" s="123" t="n"/>
      <c r="F2776" s="125" t="n"/>
      <c r="G2776" s="123" t="n"/>
      <c r="H2776" s="123" t="n"/>
      <c r="I2776" s="123" t="n"/>
      <c r="J2776" s="123" t="n"/>
      <c r="K2776" s="123" t="n"/>
      <c r="L2776" s="123" t="n"/>
      <c r="M2776" s="123">
        <f>IF(AND(B2776&lt;&gt;"",OR($C$4="",ISNUMBER(SEARCH($C$4,C2776&amp;" "&amp;E2776&amp;" "&amp;G2776&amp;" "&amp;H2776&amp;" "&amp;I2776&amp;" "&amp;J2776&amp;" "&amp;K2776&amp;" "&amp;L2776))),OR($C$5="Semua",$C$5="",G2776=$C$5),OR($C$6="Semua",$C$6="",H2776=$C$6,H2776="Pengeluaran "&amp;$C$6,AND($C$6="Uang Kos Mama",H2776="Pengeluaran Uang Kos")),OR($C$7="Semua",$C$7="",I2776=$C$7),OR($C$8="Semua",$C$8="",C2776=$C$8,E2776=$C$8),OR($C$9="Semua",$C$9="",D2776=$C$9),OR($C$10="",B2776&gt;=$C$10),OR($C$11="",B2776&lt;=$C$11),OR($C$12&lt;&gt;"Ya",K2776&lt;&gt;""),OR($C$13="Semua",$C$13="",L2776=$C$13)),"✓","")</f>
        <v/>
      </c>
      <c r="N2776" s="93">
        <f>N(N2775)+IF(M2776="✓",1,0)</f>
        <v/>
      </c>
      <c r="O2776" s="93">
        <f>N(O2775)+IF(AND(B2776&lt;&gt;"",B2776&gt;='Uang Riba'!$H$30,B2776&lt;='Uang Riba'!$I$30,OR(H2776="Dana riba",H2776="Pinjam uang riba",I2776="Pinjam dari uang riba",I2776="Ganti uang riba",I2776="Kelebihan ganti dikembalikan",AND(C2776="Kantong Uang Riba",G2776="Pengeluaran"))),1,0)</f>
        <v/>
      </c>
      <c r="X2776" s="93">
        <f>IF(AND(B2776&lt;&gt;"",B2776&gt;='Buku Akun'!$H$4,B2776&lt;='Buku Akun'!$H$5,OR(C2776='Buku Akun'!$C$4,AND(D2776="Pindah",E2776='Buku Akun'!$C$4))),B2776+IF(AND(I2776="Selisih bunga",DAY(B2776)=1),0,0.01)+ROW()/10000000,"")</f>
        <v/>
      </c>
    </row>
    <row r="2777" outlineLevel="1" ht="15" customHeight="1" s="94">
      <c r="A2777" s="123">
        <f>IF(B2777="","",ROW()-15)</f>
        <v/>
      </c>
      <c r="B2777" s="124" t="n"/>
      <c r="C2777" s="123" t="n"/>
      <c r="D2777" s="123" t="n"/>
      <c r="E2777" s="123" t="n"/>
      <c r="F2777" s="125" t="n"/>
      <c r="G2777" s="123" t="n"/>
      <c r="H2777" s="123" t="n"/>
      <c r="I2777" s="123" t="n"/>
      <c r="J2777" s="123" t="n"/>
      <c r="K2777" s="123" t="n"/>
      <c r="L2777" s="123" t="n"/>
      <c r="M2777" s="123">
        <f>IF(AND(B2777&lt;&gt;"",OR($C$4="",ISNUMBER(SEARCH($C$4,C2777&amp;" "&amp;E2777&amp;" "&amp;G2777&amp;" "&amp;H2777&amp;" "&amp;I2777&amp;" "&amp;J2777&amp;" "&amp;K2777&amp;" "&amp;L2777))),OR($C$5="Semua",$C$5="",G2777=$C$5),OR($C$6="Semua",$C$6="",H2777=$C$6,H2777="Pengeluaran "&amp;$C$6,AND($C$6="Uang Kos Mama",H2777="Pengeluaran Uang Kos")),OR($C$7="Semua",$C$7="",I2777=$C$7),OR($C$8="Semua",$C$8="",C2777=$C$8,E2777=$C$8),OR($C$9="Semua",$C$9="",D2777=$C$9),OR($C$10="",B2777&gt;=$C$10),OR($C$11="",B2777&lt;=$C$11),OR($C$12&lt;&gt;"Ya",K2777&lt;&gt;""),OR($C$13="Semua",$C$13="",L2777=$C$13)),"✓","")</f>
        <v/>
      </c>
      <c r="N2777" s="93">
        <f>N(N2776)+IF(M2777="✓",1,0)</f>
        <v/>
      </c>
      <c r="O2777" s="93">
        <f>N(O2776)+IF(AND(B2777&lt;&gt;"",B2777&gt;='Uang Riba'!$H$30,B2777&lt;='Uang Riba'!$I$30,OR(H2777="Dana riba",H2777="Pinjam uang riba",I2777="Pinjam dari uang riba",I2777="Ganti uang riba",I2777="Kelebihan ganti dikembalikan",AND(C2777="Kantong Uang Riba",G2777="Pengeluaran"))),1,0)</f>
        <v/>
      </c>
      <c r="X2777" s="93">
        <f>IF(AND(B2777&lt;&gt;"",B2777&gt;='Buku Akun'!$H$4,B2777&lt;='Buku Akun'!$H$5,OR(C2777='Buku Akun'!$C$4,AND(D2777="Pindah",E2777='Buku Akun'!$C$4))),B2777+IF(AND(I2777="Selisih bunga",DAY(B2777)=1),0,0.01)+ROW()/10000000,"")</f>
        <v/>
      </c>
    </row>
    <row r="2778" outlineLevel="1" ht="15" customHeight="1" s="94">
      <c r="A2778" s="123">
        <f>IF(B2778="","",ROW()-15)</f>
        <v/>
      </c>
      <c r="B2778" s="124" t="n"/>
      <c r="C2778" s="123" t="n"/>
      <c r="D2778" s="123" t="n"/>
      <c r="E2778" s="123" t="n"/>
      <c r="F2778" s="125" t="n"/>
      <c r="G2778" s="123" t="n"/>
      <c r="H2778" s="123" t="n"/>
      <c r="I2778" s="123" t="n"/>
      <c r="J2778" s="123" t="n"/>
      <c r="K2778" s="123" t="n"/>
      <c r="L2778" s="123" t="n"/>
      <c r="M2778" s="123">
        <f>IF(AND(B2778&lt;&gt;"",OR($C$4="",ISNUMBER(SEARCH($C$4,C2778&amp;" "&amp;E2778&amp;" "&amp;G2778&amp;" "&amp;H2778&amp;" "&amp;I2778&amp;" "&amp;J2778&amp;" "&amp;K2778&amp;" "&amp;L2778))),OR($C$5="Semua",$C$5="",G2778=$C$5),OR($C$6="Semua",$C$6="",H2778=$C$6,H2778="Pengeluaran "&amp;$C$6,AND($C$6="Uang Kos Mama",H2778="Pengeluaran Uang Kos")),OR($C$7="Semua",$C$7="",I2778=$C$7),OR($C$8="Semua",$C$8="",C2778=$C$8,E2778=$C$8),OR($C$9="Semua",$C$9="",D2778=$C$9),OR($C$10="",B2778&gt;=$C$10),OR($C$11="",B2778&lt;=$C$11),OR($C$12&lt;&gt;"Ya",K2778&lt;&gt;""),OR($C$13="Semua",$C$13="",L2778=$C$13)),"✓","")</f>
        <v/>
      </c>
      <c r="N2778" s="93">
        <f>N(N2777)+IF(M2778="✓",1,0)</f>
        <v/>
      </c>
      <c r="O2778" s="93">
        <f>N(O2777)+IF(AND(B2778&lt;&gt;"",B2778&gt;='Uang Riba'!$H$30,B2778&lt;='Uang Riba'!$I$30,OR(H2778="Dana riba",H2778="Pinjam uang riba",I2778="Pinjam dari uang riba",I2778="Ganti uang riba",I2778="Kelebihan ganti dikembalikan",AND(C2778="Kantong Uang Riba",G2778="Pengeluaran"))),1,0)</f>
        <v/>
      </c>
      <c r="X2778" s="93">
        <f>IF(AND(B2778&lt;&gt;"",B2778&gt;='Buku Akun'!$H$4,B2778&lt;='Buku Akun'!$H$5,OR(C2778='Buku Akun'!$C$4,AND(D2778="Pindah",E2778='Buku Akun'!$C$4))),B2778+IF(AND(I2778="Selisih bunga",DAY(B2778)=1),0,0.01)+ROW()/10000000,"")</f>
        <v/>
      </c>
    </row>
    <row r="2779" outlineLevel="1" ht="15" customHeight="1" s="94">
      <c r="A2779" s="123">
        <f>IF(B2779="","",ROW()-15)</f>
        <v/>
      </c>
      <c r="B2779" s="124" t="n"/>
      <c r="C2779" s="123" t="n"/>
      <c r="D2779" s="123" t="n"/>
      <c r="E2779" s="123" t="n"/>
      <c r="F2779" s="125" t="n"/>
      <c r="G2779" s="123" t="n"/>
      <c r="H2779" s="123" t="n"/>
      <c r="I2779" s="123" t="n"/>
      <c r="J2779" s="123" t="n"/>
      <c r="K2779" s="123" t="n"/>
      <c r="L2779" s="123" t="n"/>
      <c r="M2779" s="123">
        <f>IF(AND(B2779&lt;&gt;"",OR($C$4="",ISNUMBER(SEARCH($C$4,C2779&amp;" "&amp;E2779&amp;" "&amp;G2779&amp;" "&amp;H2779&amp;" "&amp;I2779&amp;" "&amp;J2779&amp;" "&amp;K2779&amp;" "&amp;L2779))),OR($C$5="Semua",$C$5="",G2779=$C$5),OR($C$6="Semua",$C$6="",H2779=$C$6,H2779="Pengeluaran "&amp;$C$6,AND($C$6="Uang Kos Mama",H2779="Pengeluaran Uang Kos")),OR($C$7="Semua",$C$7="",I2779=$C$7),OR($C$8="Semua",$C$8="",C2779=$C$8,E2779=$C$8),OR($C$9="Semua",$C$9="",D2779=$C$9),OR($C$10="",B2779&gt;=$C$10),OR($C$11="",B2779&lt;=$C$11),OR($C$12&lt;&gt;"Ya",K2779&lt;&gt;""),OR($C$13="Semua",$C$13="",L2779=$C$13)),"✓","")</f>
        <v/>
      </c>
      <c r="N2779" s="93">
        <f>N(N2778)+IF(M2779="✓",1,0)</f>
        <v/>
      </c>
      <c r="O2779" s="93">
        <f>N(O2778)+IF(AND(B2779&lt;&gt;"",B2779&gt;='Uang Riba'!$H$30,B2779&lt;='Uang Riba'!$I$30,OR(H2779="Dana riba",H2779="Pinjam uang riba",I2779="Pinjam dari uang riba",I2779="Ganti uang riba",I2779="Kelebihan ganti dikembalikan",AND(C2779="Kantong Uang Riba",G2779="Pengeluaran"))),1,0)</f>
        <v/>
      </c>
      <c r="X2779" s="93">
        <f>IF(AND(B2779&lt;&gt;"",B2779&gt;='Buku Akun'!$H$4,B2779&lt;='Buku Akun'!$H$5,OR(C2779='Buku Akun'!$C$4,AND(D2779="Pindah",E2779='Buku Akun'!$C$4))),B2779+IF(AND(I2779="Selisih bunga",DAY(B2779)=1),0,0.01)+ROW()/10000000,"")</f>
        <v/>
      </c>
    </row>
    <row r="2780" outlineLevel="1" ht="15" customHeight="1" s="94">
      <c r="A2780" s="123">
        <f>IF(B2780="","",ROW()-15)</f>
        <v/>
      </c>
      <c r="B2780" s="124" t="n"/>
      <c r="C2780" s="123" t="n"/>
      <c r="D2780" s="123" t="n"/>
      <c r="E2780" s="123" t="n"/>
      <c r="F2780" s="125" t="n"/>
      <c r="G2780" s="123" t="n"/>
      <c r="H2780" s="123" t="n"/>
      <c r="I2780" s="123" t="n"/>
      <c r="J2780" s="123" t="n"/>
      <c r="K2780" s="123" t="n"/>
      <c r="L2780" s="123" t="n"/>
      <c r="M2780" s="123">
        <f>IF(AND(B2780&lt;&gt;"",OR($C$4="",ISNUMBER(SEARCH($C$4,C2780&amp;" "&amp;E2780&amp;" "&amp;G2780&amp;" "&amp;H2780&amp;" "&amp;I2780&amp;" "&amp;J2780&amp;" "&amp;K2780&amp;" "&amp;L2780))),OR($C$5="Semua",$C$5="",G2780=$C$5),OR($C$6="Semua",$C$6="",H2780=$C$6,H2780="Pengeluaran "&amp;$C$6,AND($C$6="Uang Kos Mama",H2780="Pengeluaran Uang Kos")),OR($C$7="Semua",$C$7="",I2780=$C$7),OR($C$8="Semua",$C$8="",C2780=$C$8,E2780=$C$8),OR($C$9="Semua",$C$9="",D2780=$C$9),OR($C$10="",B2780&gt;=$C$10),OR($C$11="",B2780&lt;=$C$11),OR($C$12&lt;&gt;"Ya",K2780&lt;&gt;""),OR($C$13="Semua",$C$13="",L2780=$C$13)),"✓","")</f>
        <v/>
      </c>
      <c r="N2780" s="93">
        <f>N(N2779)+IF(M2780="✓",1,0)</f>
        <v/>
      </c>
      <c r="O2780" s="93">
        <f>N(O2779)+IF(AND(B2780&lt;&gt;"",B2780&gt;='Uang Riba'!$H$30,B2780&lt;='Uang Riba'!$I$30,OR(H2780="Dana riba",H2780="Pinjam uang riba",I2780="Pinjam dari uang riba",I2780="Ganti uang riba",I2780="Kelebihan ganti dikembalikan",AND(C2780="Kantong Uang Riba",G2780="Pengeluaran"))),1,0)</f>
        <v/>
      </c>
      <c r="X2780" s="93">
        <f>IF(AND(B2780&lt;&gt;"",B2780&gt;='Buku Akun'!$H$4,B2780&lt;='Buku Akun'!$H$5,OR(C2780='Buku Akun'!$C$4,AND(D2780="Pindah",E2780='Buku Akun'!$C$4))),B2780+IF(AND(I2780="Selisih bunga",DAY(B2780)=1),0,0.01)+ROW()/10000000,"")</f>
        <v/>
      </c>
    </row>
    <row r="2781" outlineLevel="1" ht="15" customHeight="1" s="94">
      <c r="A2781" s="123">
        <f>IF(B2781="","",ROW()-15)</f>
        <v/>
      </c>
      <c r="B2781" s="124" t="n"/>
      <c r="C2781" s="123" t="n"/>
      <c r="D2781" s="123" t="n"/>
      <c r="E2781" s="123" t="n"/>
      <c r="F2781" s="125" t="n"/>
      <c r="G2781" s="123" t="n"/>
      <c r="H2781" s="123" t="n"/>
      <c r="I2781" s="123" t="n"/>
      <c r="J2781" s="123" t="n"/>
      <c r="K2781" s="123" t="n"/>
      <c r="L2781" s="123" t="n"/>
      <c r="M2781" s="123">
        <f>IF(AND(B2781&lt;&gt;"",OR($C$4="",ISNUMBER(SEARCH($C$4,C2781&amp;" "&amp;E2781&amp;" "&amp;G2781&amp;" "&amp;H2781&amp;" "&amp;I2781&amp;" "&amp;J2781&amp;" "&amp;K2781&amp;" "&amp;L2781))),OR($C$5="Semua",$C$5="",G2781=$C$5),OR($C$6="Semua",$C$6="",H2781=$C$6,H2781="Pengeluaran "&amp;$C$6,AND($C$6="Uang Kos Mama",H2781="Pengeluaran Uang Kos")),OR($C$7="Semua",$C$7="",I2781=$C$7),OR($C$8="Semua",$C$8="",C2781=$C$8,E2781=$C$8),OR($C$9="Semua",$C$9="",D2781=$C$9),OR($C$10="",B2781&gt;=$C$10),OR($C$11="",B2781&lt;=$C$11),OR($C$12&lt;&gt;"Ya",K2781&lt;&gt;""),OR($C$13="Semua",$C$13="",L2781=$C$13)),"✓","")</f>
        <v/>
      </c>
      <c r="N2781" s="93">
        <f>N(N2780)+IF(M2781="✓",1,0)</f>
        <v/>
      </c>
      <c r="O2781" s="93">
        <f>N(O2780)+IF(AND(B2781&lt;&gt;"",B2781&gt;='Uang Riba'!$H$30,B2781&lt;='Uang Riba'!$I$30,OR(H2781="Dana riba",H2781="Pinjam uang riba",I2781="Pinjam dari uang riba",I2781="Ganti uang riba",I2781="Kelebihan ganti dikembalikan",AND(C2781="Kantong Uang Riba",G2781="Pengeluaran"))),1,0)</f>
        <v/>
      </c>
      <c r="X2781" s="93">
        <f>IF(AND(B2781&lt;&gt;"",B2781&gt;='Buku Akun'!$H$4,B2781&lt;='Buku Akun'!$H$5,OR(C2781='Buku Akun'!$C$4,AND(D2781="Pindah",E2781='Buku Akun'!$C$4))),B2781+IF(AND(I2781="Selisih bunga",DAY(B2781)=1),0,0.01)+ROW()/10000000,"")</f>
        <v/>
      </c>
    </row>
    <row r="2782" outlineLevel="1" ht="15" customHeight="1" s="94">
      <c r="A2782" s="123">
        <f>IF(B2782="","",ROW()-15)</f>
        <v/>
      </c>
      <c r="B2782" s="124" t="n"/>
      <c r="C2782" s="123" t="n"/>
      <c r="D2782" s="123" t="n"/>
      <c r="E2782" s="123" t="n"/>
      <c r="F2782" s="125" t="n"/>
      <c r="G2782" s="123" t="n"/>
      <c r="H2782" s="123" t="n"/>
      <c r="I2782" s="123" t="n"/>
      <c r="J2782" s="123" t="n"/>
      <c r="K2782" s="123" t="n"/>
      <c r="L2782" s="123" t="n"/>
      <c r="M2782" s="123">
        <f>IF(AND(B2782&lt;&gt;"",OR($C$4="",ISNUMBER(SEARCH($C$4,C2782&amp;" "&amp;E2782&amp;" "&amp;G2782&amp;" "&amp;H2782&amp;" "&amp;I2782&amp;" "&amp;J2782&amp;" "&amp;K2782&amp;" "&amp;L2782))),OR($C$5="Semua",$C$5="",G2782=$C$5),OR($C$6="Semua",$C$6="",H2782=$C$6,H2782="Pengeluaran "&amp;$C$6,AND($C$6="Uang Kos Mama",H2782="Pengeluaran Uang Kos")),OR($C$7="Semua",$C$7="",I2782=$C$7),OR($C$8="Semua",$C$8="",C2782=$C$8,E2782=$C$8),OR($C$9="Semua",$C$9="",D2782=$C$9),OR($C$10="",B2782&gt;=$C$10),OR($C$11="",B2782&lt;=$C$11),OR($C$12&lt;&gt;"Ya",K2782&lt;&gt;""),OR($C$13="Semua",$C$13="",L2782=$C$13)),"✓","")</f>
        <v/>
      </c>
      <c r="N2782" s="93">
        <f>N(N2781)+IF(M2782="✓",1,0)</f>
        <v/>
      </c>
      <c r="O2782" s="93">
        <f>N(O2781)+IF(AND(B2782&lt;&gt;"",B2782&gt;='Uang Riba'!$H$30,B2782&lt;='Uang Riba'!$I$30,OR(H2782="Dana riba",H2782="Pinjam uang riba",I2782="Pinjam dari uang riba",I2782="Ganti uang riba",I2782="Kelebihan ganti dikembalikan",AND(C2782="Kantong Uang Riba",G2782="Pengeluaran"))),1,0)</f>
        <v/>
      </c>
      <c r="X2782" s="126">
        <f>IF(AND(B2782&lt;&gt;"",B2782&gt;='Buku Akun'!$H$4,B2782&lt;='Buku Akun'!$H$5,OR(C2782='Buku Akun'!$C$4,AND(D2782="Pindah",E2782='Buku Akun'!$C$4))),B2782+IF(AND(I2782="Selisih bunga",DAY(B2782)=1),0,0.01)+ROW()/10000000,"")</f>
        <v/>
      </c>
    </row>
    <row r="2783" outlineLevel="1" ht="15" customHeight="1" s="94">
      <c r="A2783" s="123">
        <f>IF(B2783="","",ROW()-15)</f>
        <v/>
      </c>
      <c r="B2783" s="124" t="n"/>
      <c r="C2783" s="123" t="n"/>
      <c r="D2783" s="123" t="n"/>
      <c r="E2783" s="123" t="n"/>
      <c r="F2783" s="125" t="n"/>
      <c r="G2783" s="123" t="n"/>
      <c r="H2783" s="123" t="n"/>
      <c r="I2783" s="123" t="n"/>
      <c r="J2783" s="123" t="n"/>
      <c r="K2783" s="123" t="n"/>
      <c r="L2783" s="123" t="n"/>
      <c r="M2783" s="123">
        <f>IF(AND(B2783&lt;&gt;"",OR($C$4="",ISNUMBER(SEARCH($C$4,C2783&amp;" "&amp;E2783&amp;" "&amp;G2783&amp;" "&amp;H2783&amp;" "&amp;I2783&amp;" "&amp;J2783&amp;" "&amp;K2783&amp;" "&amp;L2783))),OR($C$5="Semua",$C$5="",G2783=$C$5),OR($C$6="Semua",$C$6="",H2783=$C$6,H2783="Pengeluaran "&amp;$C$6,AND($C$6="Uang Kos Mama",H2783="Pengeluaran Uang Kos")),OR($C$7="Semua",$C$7="",I2783=$C$7),OR($C$8="Semua",$C$8="",C2783=$C$8,E2783=$C$8),OR($C$9="Semua",$C$9="",D2783=$C$9),OR($C$10="",B2783&gt;=$C$10),OR($C$11="",B2783&lt;=$C$11),OR($C$12&lt;&gt;"Ya",K2783&lt;&gt;""),OR($C$13="Semua",$C$13="",L2783=$C$13)),"✓","")</f>
        <v/>
      </c>
      <c r="N2783" s="93">
        <f>N(N2782)+IF(M2783="✓",1,0)</f>
        <v/>
      </c>
      <c r="O2783" s="93">
        <f>N(O2782)+IF(AND(B2783&lt;&gt;"",B2783&gt;='Uang Riba'!$H$30,B2783&lt;='Uang Riba'!$I$30,OR(H2783="Dana riba",H2783="Pinjam uang riba",I2783="Pinjam dari uang riba",I2783="Ganti uang riba",I2783="Kelebihan ganti dikembalikan",AND(C2783="Kantong Uang Riba",G2783="Pengeluaran"))),1,0)</f>
        <v/>
      </c>
      <c r="X2783" s="126">
        <f>IF(AND(B2783&lt;&gt;"",B2783&gt;='Buku Akun'!$H$4,B2783&lt;='Buku Akun'!$H$5,OR(C2783='Buku Akun'!$C$4,AND(D2783="Pindah",E2783='Buku Akun'!$C$4))),B2783+IF(AND(I2783="Selisih bunga",DAY(B2783)=1),0,0.01)+ROW()/10000000,"")</f>
        <v/>
      </c>
    </row>
    <row r="2784" outlineLevel="1" ht="15" customHeight="1" s="94">
      <c r="A2784" s="123">
        <f>IF(B2784="","",ROW()-15)</f>
        <v/>
      </c>
      <c r="B2784" s="124" t="n"/>
      <c r="C2784" s="123" t="n"/>
      <c r="D2784" s="123" t="n"/>
      <c r="E2784" s="123" t="n"/>
      <c r="F2784" s="125" t="n"/>
      <c r="G2784" s="123" t="n"/>
      <c r="H2784" s="123" t="n"/>
      <c r="I2784" s="123" t="n"/>
      <c r="J2784" s="123" t="n"/>
      <c r="K2784" s="123" t="n"/>
      <c r="L2784" s="123" t="n"/>
      <c r="M2784" s="123">
        <f>IF(AND(B2784&lt;&gt;"",OR($C$4="",ISNUMBER(SEARCH($C$4,C2784&amp;" "&amp;E2784&amp;" "&amp;G2784&amp;" "&amp;H2784&amp;" "&amp;I2784&amp;" "&amp;J2784&amp;" "&amp;K2784&amp;" "&amp;L2784))),OR($C$5="Semua",$C$5="",G2784=$C$5),OR($C$6="Semua",$C$6="",H2784=$C$6,H2784="Pengeluaran "&amp;$C$6,AND($C$6="Uang Kos Mama",H2784="Pengeluaran Uang Kos")),OR($C$7="Semua",$C$7="",I2784=$C$7),OR($C$8="Semua",$C$8="",C2784=$C$8,E2784=$C$8),OR($C$9="Semua",$C$9="",D2784=$C$9),OR($C$10="",B2784&gt;=$C$10),OR($C$11="",B2784&lt;=$C$11),OR($C$12&lt;&gt;"Ya",K2784&lt;&gt;""),OR($C$13="Semua",$C$13="",L2784=$C$13)),"✓","")</f>
        <v/>
      </c>
      <c r="N2784" s="93">
        <f>N(N2783)+IF(M2784="✓",1,0)</f>
        <v/>
      </c>
      <c r="O2784" s="93">
        <f>N(O2783)+IF(AND(B2784&lt;&gt;"",B2784&gt;='Uang Riba'!$H$30,B2784&lt;='Uang Riba'!$I$30,OR(H2784="Dana riba",H2784="Pinjam uang riba",I2784="Pinjam dari uang riba",I2784="Ganti uang riba",I2784="Kelebihan ganti dikembalikan",AND(C2784="Kantong Uang Riba",G2784="Pengeluaran"))),1,0)</f>
        <v/>
      </c>
      <c r="X2784" s="93">
        <f>IF(AND(B2784&lt;&gt;"",B2784&gt;='Buku Akun'!$H$4,B2784&lt;='Buku Akun'!$H$5,OR(C2784='Buku Akun'!$C$4,AND(D2784="Pindah",E2784='Buku Akun'!$C$4))),B2784+IF(AND(I2784="Selisih bunga",DAY(B2784)=1),0,0.01)+ROW()/10000000,"")</f>
        <v/>
      </c>
    </row>
    <row r="2785" outlineLevel="1" ht="15" customHeight="1" s="94">
      <c r="A2785" s="123">
        <f>IF(B2785="","",ROW()-15)</f>
        <v/>
      </c>
      <c r="B2785" s="124" t="n"/>
      <c r="C2785" s="123" t="n"/>
      <c r="D2785" s="123" t="n"/>
      <c r="E2785" s="123" t="n"/>
      <c r="F2785" s="125" t="n"/>
      <c r="G2785" s="123" t="n"/>
      <c r="H2785" s="123" t="n"/>
      <c r="I2785" s="123" t="n"/>
      <c r="J2785" s="123" t="n"/>
      <c r="K2785" s="123" t="n"/>
      <c r="L2785" s="123" t="n"/>
      <c r="M2785" s="123">
        <f>IF(AND(B2785&lt;&gt;"",OR($C$4="",ISNUMBER(SEARCH($C$4,C2785&amp;" "&amp;E2785&amp;" "&amp;G2785&amp;" "&amp;H2785&amp;" "&amp;I2785&amp;" "&amp;J2785&amp;" "&amp;K2785&amp;" "&amp;L2785))),OR($C$5="Semua",$C$5="",G2785=$C$5),OR($C$6="Semua",$C$6="",H2785=$C$6,H2785="Pengeluaran "&amp;$C$6,AND($C$6="Uang Kos Mama",H2785="Pengeluaran Uang Kos")),OR($C$7="Semua",$C$7="",I2785=$C$7),OR($C$8="Semua",$C$8="",C2785=$C$8,E2785=$C$8),OR($C$9="Semua",$C$9="",D2785=$C$9),OR($C$10="",B2785&gt;=$C$10),OR($C$11="",B2785&lt;=$C$11),OR($C$12&lt;&gt;"Ya",K2785&lt;&gt;""),OR($C$13="Semua",$C$13="",L2785=$C$13)),"✓","")</f>
        <v/>
      </c>
      <c r="N2785" s="93">
        <f>N(N2784)+IF(M2785="✓",1,0)</f>
        <v/>
      </c>
      <c r="O2785" s="93">
        <f>N(O2784)+IF(AND(B2785&lt;&gt;"",B2785&gt;='Uang Riba'!$H$30,B2785&lt;='Uang Riba'!$I$30,OR(H2785="Dana riba",H2785="Pinjam uang riba",I2785="Pinjam dari uang riba",I2785="Ganti uang riba",I2785="Kelebihan ganti dikembalikan",AND(C2785="Kantong Uang Riba",G2785="Pengeluaran"))),1,0)</f>
        <v/>
      </c>
      <c r="X2785" s="93">
        <f>IF(AND(B2785&lt;&gt;"",B2785&gt;='Buku Akun'!$H$4,B2785&lt;='Buku Akun'!$H$5,OR(C2785='Buku Akun'!$C$4,AND(D2785="Pindah",E2785='Buku Akun'!$C$4))),B2785+IF(AND(I2785="Selisih bunga",DAY(B2785)=1),0,0.01)+ROW()/10000000,"")</f>
        <v/>
      </c>
    </row>
    <row r="2786" outlineLevel="1" ht="15" customHeight="1" s="94">
      <c r="A2786" s="123">
        <f>IF(B2786="","",ROW()-15)</f>
        <v/>
      </c>
      <c r="B2786" s="124" t="n"/>
      <c r="C2786" s="123" t="n"/>
      <c r="D2786" s="123" t="n"/>
      <c r="E2786" s="123" t="n"/>
      <c r="F2786" s="125" t="n"/>
      <c r="G2786" s="123" t="n"/>
      <c r="H2786" s="123" t="n"/>
      <c r="I2786" s="123" t="n"/>
      <c r="J2786" s="123" t="n"/>
      <c r="K2786" s="123" t="n"/>
      <c r="L2786" s="123" t="n"/>
      <c r="M2786" s="123">
        <f>IF(AND(B2786&lt;&gt;"",OR($C$4="",ISNUMBER(SEARCH($C$4,C2786&amp;" "&amp;E2786&amp;" "&amp;G2786&amp;" "&amp;H2786&amp;" "&amp;I2786&amp;" "&amp;J2786&amp;" "&amp;K2786&amp;" "&amp;L2786))),OR($C$5="Semua",$C$5="",G2786=$C$5),OR($C$6="Semua",$C$6="",H2786=$C$6,H2786="Pengeluaran "&amp;$C$6,AND($C$6="Uang Kos Mama",H2786="Pengeluaran Uang Kos")),OR($C$7="Semua",$C$7="",I2786=$C$7),OR($C$8="Semua",$C$8="",C2786=$C$8,E2786=$C$8),OR($C$9="Semua",$C$9="",D2786=$C$9),OR($C$10="",B2786&gt;=$C$10),OR($C$11="",B2786&lt;=$C$11),OR($C$12&lt;&gt;"Ya",K2786&lt;&gt;""),OR($C$13="Semua",$C$13="",L2786=$C$13)),"✓","")</f>
        <v/>
      </c>
      <c r="N2786" s="93">
        <f>N(N2785)+IF(M2786="✓",1,0)</f>
        <v/>
      </c>
      <c r="O2786" s="93">
        <f>N(O2785)+IF(AND(B2786&lt;&gt;"",B2786&gt;='Uang Riba'!$H$30,B2786&lt;='Uang Riba'!$I$30,OR(H2786="Dana riba",H2786="Pinjam uang riba",I2786="Pinjam dari uang riba",I2786="Ganti uang riba",I2786="Kelebihan ganti dikembalikan",AND(C2786="Kantong Uang Riba",G2786="Pengeluaran"))),1,0)</f>
        <v/>
      </c>
      <c r="X2786" s="93">
        <f>IF(AND(B2786&lt;&gt;"",B2786&gt;='Buku Akun'!$H$4,B2786&lt;='Buku Akun'!$H$5,OR(C2786='Buku Akun'!$C$4,AND(D2786="Pindah",E2786='Buku Akun'!$C$4))),B2786+IF(AND(I2786="Selisih bunga",DAY(B2786)=1),0,0.01)+ROW()/10000000,"")</f>
        <v/>
      </c>
    </row>
    <row r="2787" outlineLevel="1" ht="15" customHeight="1" s="94">
      <c r="A2787" s="123">
        <f>IF(B2787="","",ROW()-15)</f>
        <v/>
      </c>
      <c r="B2787" s="124" t="n"/>
      <c r="C2787" s="123" t="n"/>
      <c r="D2787" s="123" t="n"/>
      <c r="E2787" s="123" t="n"/>
      <c r="F2787" s="125" t="n"/>
      <c r="G2787" s="123" t="n"/>
      <c r="H2787" s="123" t="n"/>
      <c r="I2787" s="123" t="n"/>
      <c r="J2787" s="123" t="n"/>
      <c r="K2787" s="123" t="n"/>
      <c r="L2787" s="123" t="n"/>
      <c r="M2787" s="123">
        <f>IF(AND(B2787&lt;&gt;"",OR($C$4="",ISNUMBER(SEARCH($C$4,C2787&amp;" "&amp;E2787&amp;" "&amp;G2787&amp;" "&amp;H2787&amp;" "&amp;I2787&amp;" "&amp;J2787&amp;" "&amp;K2787&amp;" "&amp;L2787))),OR($C$5="Semua",$C$5="",G2787=$C$5),OR($C$6="Semua",$C$6="",H2787=$C$6,H2787="Pengeluaran "&amp;$C$6,AND($C$6="Uang Kos Mama",H2787="Pengeluaran Uang Kos")),OR($C$7="Semua",$C$7="",I2787=$C$7),OR($C$8="Semua",$C$8="",C2787=$C$8,E2787=$C$8),OR($C$9="Semua",$C$9="",D2787=$C$9),OR($C$10="",B2787&gt;=$C$10),OR($C$11="",B2787&lt;=$C$11),OR($C$12&lt;&gt;"Ya",K2787&lt;&gt;""),OR($C$13="Semua",$C$13="",L2787=$C$13)),"✓","")</f>
        <v/>
      </c>
      <c r="N2787" s="93">
        <f>N(N2786)+IF(M2787="✓",1,0)</f>
        <v/>
      </c>
      <c r="O2787" s="93">
        <f>N(O2786)+IF(AND(B2787&lt;&gt;"",B2787&gt;='Uang Riba'!$H$30,B2787&lt;='Uang Riba'!$I$30,OR(H2787="Dana riba",H2787="Pinjam uang riba",I2787="Pinjam dari uang riba",I2787="Ganti uang riba",I2787="Kelebihan ganti dikembalikan",AND(C2787="Kantong Uang Riba",G2787="Pengeluaran"))),1,0)</f>
        <v/>
      </c>
      <c r="X2787" s="93">
        <f>IF(AND(B2787&lt;&gt;"",B2787&gt;='Buku Akun'!$H$4,B2787&lt;='Buku Akun'!$H$5,OR(C2787='Buku Akun'!$C$4,AND(D2787="Pindah",E2787='Buku Akun'!$C$4))),B2787+IF(AND(I2787="Selisih bunga",DAY(B2787)=1),0,0.01)+ROW()/10000000,"")</f>
        <v/>
      </c>
    </row>
    <row r="2788" outlineLevel="1" ht="15" customHeight="1" s="94">
      <c r="A2788" s="123">
        <f>IF(B2788="","",ROW()-15)</f>
        <v/>
      </c>
      <c r="B2788" s="124" t="n"/>
      <c r="C2788" s="123" t="n"/>
      <c r="D2788" s="123" t="n"/>
      <c r="E2788" s="123" t="n"/>
      <c r="F2788" s="125" t="n"/>
      <c r="G2788" s="123" t="n"/>
      <c r="H2788" s="123" t="n"/>
      <c r="I2788" s="123" t="n"/>
      <c r="J2788" s="123" t="n"/>
      <c r="K2788" s="123" t="n"/>
      <c r="L2788" s="123" t="n"/>
      <c r="M2788" s="123">
        <f>IF(AND(B2788&lt;&gt;"",OR($C$4="",ISNUMBER(SEARCH($C$4,C2788&amp;" "&amp;E2788&amp;" "&amp;G2788&amp;" "&amp;H2788&amp;" "&amp;I2788&amp;" "&amp;J2788&amp;" "&amp;K2788&amp;" "&amp;L2788))),OR($C$5="Semua",$C$5="",G2788=$C$5),OR($C$6="Semua",$C$6="",H2788=$C$6,H2788="Pengeluaran "&amp;$C$6,AND($C$6="Uang Kos Mama",H2788="Pengeluaran Uang Kos")),OR($C$7="Semua",$C$7="",I2788=$C$7),OR($C$8="Semua",$C$8="",C2788=$C$8,E2788=$C$8),OR($C$9="Semua",$C$9="",D2788=$C$9),OR($C$10="",B2788&gt;=$C$10),OR($C$11="",B2788&lt;=$C$11),OR($C$12&lt;&gt;"Ya",K2788&lt;&gt;""),OR($C$13="Semua",$C$13="",L2788=$C$13)),"✓","")</f>
        <v/>
      </c>
      <c r="N2788" s="93">
        <f>N(N2787)+IF(M2788="✓",1,0)</f>
        <v/>
      </c>
      <c r="O2788" s="93">
        <f>N(O2787)+IF(AND(B2788&lt;&gt;"",B2788&gt;='Uang Riba'!$H$30,B2788&lt;='Uang Riba'!$I$30,OR(H2788="Dana riba",H2788="Pinjam uang riba",I2788="Pinjam dari uang riba",I2788="Ganti uang riba",I2788="Kelebihan ganti dikembalikan",AND(C2788="Kantong Uang Riba",G2788="Pengeluaran"))),1,0)</f>
        <v/>
      </c>
      <c r="X2788" s="93">
        <f>IF(AND(B2788&lt;&gt;"",B2788&gt;='Buku Akun'!$H$4,B2788&lt;='Buku Akun'!$H$5,OR(C2788='Buku Akun'!$C$4,AND(D2788="Pindah",E2788='Buku Akun'!$C$4))),B2788+IF(AND(I2788="Selisih bunga",DAY(B2788)=1),0,0.01)+ROW()/10000000,"")</f>
        <v/>
      </c>
    </row>
    <row r="2789" outlineLevel="1" ht="15" customHeight="1" s="94">
      <c r="A2789" s="123">
        <f>IF(B2789="","",ROW()-15)</f>
        <v/>
      </c>
      <c r="B2789" s="124" t="n"/>
      <c r="C2789" s="123" t="n"/>
      <c r="D2789" s="123" t="n"/>
      <c r="E2789" s="123" t="n"/>
      <c r="F2789" s="125" t="n"/>
      <c r="G2789" s="123" t="n"/>
      <c r="H2789" s="123" t="n"/>
      <c r="I2789" s="123" t="n"/>
      <c r="J2789" s="123" t="n"/>
      <c r="K2789" s="123" t="n"/>
      <c r="L2789" s="123" t="n"/>
      <c r="M2789" s="123">
        <f>IF(AND(B2789&lt;&gt;"",OR($C$4="",ISNUMBER(SEARCH($C$4,C2789&amp;" "&amp;E2789&amp;" "&amp;G2789&amp;" "&amp;H2789&amp;" "&amp;I2789&amp;" "&amp;J2789&amp;" "&amp;K2789&amp;" "&amp;L2789))),OR($C$5="Semua",$C$5="",G2789=$C$5),OR($C$6="Semua",$C$6="",H2789=$C$6,H2789="Pengeluaran "&amp;$C$6,AND($C$6="Uang Kos Mama",H2789="Pengeluaran Uang Kos")),OR($C$7="Semua",$C$7="",I2789=$C$7),OR($C$8="Semua",$C$8="",C2789=$C$8,E2789=$C$8),OR($C$9="Semua",$C$9="",D2789=$C$9),OR($C$10="",B2789&gt;=$C$10),OR($C$11="",B2789&lt;=$C$11),OR($C$12&lt;&gt;"Ya",K2789&lt;&gt;""),OR($C$13="Semua",$C$13="",L2789=$C$13)),"✓","")</f>
        <v/>
      </c>
      <c r="N2789" s="93">
        <f>N(N2788)+IF(M2789="✓",1,0)</f>
        <v/>
      </c>
      <c r="O2789" s="93">
        <f>N(O2788)+IF(AND(B2789&lt;&gt;"",B2789&gt;='Uang Riba'!$H$30,B2789&lt;='Uang Riba'!$I$30,OR(H2789="Dana riba",H2789="Pinjam uang riba",I2789="Pinjam dari uang riba",I2789="Ganti uang riba",I2789="Kelebihan ganti dikembalikan",AND(C2789="Kantong Uang Riba",G2789="Pengeluaran"))),1,0)</f>
        <v/>
      </c>
      <c r="X2789" s="93">
        <f>IF(AND(B2789&lt;&gt;"",B2789&gt;='Buku Akun'!$H$4,B2789&lt;='Buku Akun'!$H$5,OR(C2789='Buku Akun'!$C$4,AND(D2789="Pindah",E2789='Buku Akun'!$C$4))),B2789+IF(AND(I2789="Selisih bunga",DAY(B2789)=1),0,0.01)+ROW()/10000000,"")</f>
        <v/>
      </c>
    </row>
    <row r="2790" outlineLevel="1" ht="15" customHeight="1" s="94">
      <c r="A2790" s="123">
        <f>IF(B2790="","",ROW()-15)</f>
        <v/>
      </c>
      <c r="B2790" s="124" t="n"/>
      <c r="C2790" s="123" t="n"/>
      <c r="D2790" s="123" t="n"/>
      <c r="E2790" s="123" t="n"/>
      <c r="F2790" s="125" t="n"/>
      <c r="G2790" s="123" t="n"/>
      <c r="H2790" s="123" t="n"/>
      <c r="I2790" s="123" t="n"/>
      <c r="J2790" s="123" t="n"/>
      <c r="K2790" s="123" t="n"/>
      <c r="L2790" s="123" t="n"/>
      <c r="M2790" s="123">
        <f>IF(AND(B2790&lt;&gt;"",OR($C$4="",ISNUMBER(SEARCH($C$4,C2790&amp;" "&amp;E2790&amp;" "&amp;G2790&amp;" "&amp;H2790&amp;" "&amp;I2790&amp;" "&amp;J2790&amp;" "&amp;K2790&amp;" "&amp;L2790))),OR($C$5="Semua",$C$5="",G2790=$C$5),OR($C$6="Semua",$C$6="",H2790=$C$6,H2790="Pengeluaran "&amp;$C$6,AND($C$6="Uang Kos Mama",H2790="Pengeluaran Uang Kos")),OR($C$7="Semua",$C$7="",I2790=$C$7),OR($C$8="Semua",$C$8="",C2790=$C$8,E2790=$C$8),OR($C$9="Semua",$C$9="",D2790=$C$9),OR($C$10="",B2790&gt;=$C$10),OR($C$11="",B2790&lt;=$C$11),OR($C$12&lt;&gt;"Ya",K2790&lt;&gt;""),OR($C$13="Semua",$C$13="",L2790=$C$13)),"✓","")</f>
        <v/>
      </c>
      <c r="N2790" s="93">
        <f>N(N2789)+IF(M2790="✓",1,0)</f>
        <v/>
      </c>
      <c r="O2790" s="93">
        <f>N(O2789)+IF(AND(B2790&lt;&gt;"",B2790&gt;='Uang Riba'!$H$30,B2790&lt;='Uang Riba'!$I$30,OR(H2790="Dana riba",H2790="Pinjam uang riba",I2790="Pinjam dari uang riba",I2790="Ganti uang riba",I2790="Kelebihan ganti dikembalikan",AND(C2790="Kantong Uang Riba",G2790="Pengeluaran"))),1,0)</f>
        <v/>
      </c>
      <c r="X2790" s="93">
        <f>IF(AND(B2790&lt;&gt;"",B2790&gt;='Buku Akun'!$H$4,B2790&lt;='Buku Akun'!$H$5,OR(C2790='Buku Akun'!$C$4,AND(D2790="Pindah",E2790='Buku Akun'!$C$4))),B2790+IF(AND(I2790="Selisih bunga",DAY(B2790)=1),0,0.01)+ROW()/10000000,"")</f>
        <v/>
      </c>
    </row>
    <row r="2791" outlineLevel="1" ht="15" customHeight="1" s="94">
      <c r="A2791" s="123">
        <f>IF(B2791="","",ROW()-15)</f>
        <v/>
      </c>
      <c r="B2791" s="124" t="n"/>
      <c r="C2791" s="123" t="n"/>
      <c r="D2791" s="123" t="n"/>
      <c r="E2791" s="123" t="n"/>
      <c r="F2791" s="125" t="n"/>
      <c r="G2791" s="123" t="n"/>
      <c r="H2791" s="123" t="n"/>
      <c r="I2791" s="123" t="n"/>
      <c r="J2791" s="123" t="n"/>
      <c r="K2791" s="123" t="n"/>
      <c r="L2791" s="123" t="n"/>
      <c r="M2791" s="123">
        <f>IF(AND(B2791&lt;&gt;"",OR($C$4="",ISNUMBER(SEARCH($C$4,C2791&amp;" "&amp;E2791&amp;" "&amp;G2791&amp;" "&amp;H2791&amp;" "&amp;I2791&amp;" "&amp;J2791&amp;" "&amp;K2791&amp;" "&amp;L2791))),OR($C$5="Semua",$C$5="",G2791=$C$5),OR($C$6="Semua",$C$6="",H2791=$C$6,H2791="Pengeluaran "&amp;$C$6,AND($C$6="Uang Kos Mama",H2791="Pengeluaran Uang Kos")),OR($C$7="Semua",$C$7="",I2791=$C$7),OR($C$8="Semua",$C$8="",C2791=$C$8,E2791=$C$8),OR($C$9="Semua",$C$9="",D2791=$C$9),OR($C$10="",B2791&gt;=$C$10),OR($C$11="",B2791&lt;=$C$11),OR($C$12&lt;&gt;"Ya",K2791&lt;&gt;""),OR($C$13="Semua",$C$13="",L2791=$C$13)),"✓","")</f>
        <v/>
      </c>
      <c r="N2791" s="93">
        <f>N(N2790)+IF(M2791="✓",1,0)</f>
        <v/>
      </c>
      <c r="O2791" s="93">
        <f>N(O2790)+IF(AND(B2791&lt;&gt;"",B2791&gt;='Uang Riba'!$H$30,B2791&lt;='Uang Riba'!$I$30,OR(H2791="Dana riba",H2791="Pinjam uang riba",I2791="Pinjam dari uang riba",I2791="Ganti uang riba",I2791="Kelebihan ganti dikembalikan",AND(C2791="Kantong Uang Riba",G2791="Pengeluaran"))),1,0)</f>
        <v/>
      </c>
      <c r="X2791" s="93">
        <f>IF(AND(B2791&lt;&gt;"",B2791&gt;='Buku Akun'!$H$4,B2791&lt;='Buku Akun'!$H$5,OR(C2791='Buku Akun'!$C$4,AND(D2791="Pindah",E2791='Buku Akun'!$C$4))),B2791+IF(AND(I2791="Selisih bunga",DAY(B2791)=1),0,0.01)+ROW()/10000000,"")</f>
        <v/>
      </c>
    </row>
    <row r="2792" outlineLevel="1" ht="15" customHeight="1" s="94">
      <c r="A2792" s="123">
        <f>IF(B2792="","",ROW()-15)</f>
        <v/>
      </c>
      <c r="B2792" s="124" t="n"/>
      <c r="C2792" s="123" t="n"/>
      <c r="D2792" s="123" t="n"/>
      <c r="E2792" s="123" t="n"/>
      <c r="F2792" s="125" t="n"/>
      <c r="G2792" s="123" t="n"/>
      <c r="H2792" s="123" t="n"/>
      <c r="I2792" s="123" t="n"/>
      <c r="J2792" s="123" t="n"/>
      <c r="K2792" s="123" t="n"/>
      <c r="L2792" s="123" t="n"/>
      <c r="M2792" s="123">
        <f>IF(AND(B2792&lt;&gt;"",OR($C$4="",ISNUMBER(SEARCH($C$4,C2792&amp;" "&amp;E2792&amp;" "&amp;G2792&amp;" "&amp;H2792&amp;" "&amp;I2792&amp;" "&amp;J2792&amp;" "&amp;K2792&amp;" "&amp;L2792))),OR($C$5="Semua",$C$5="",G2792=$C$5),OR($C$6="Semua",$C$6="",H2792=$C$6,H2792="Pengeluaran "&amp;$C$6,AND($C$6="Uang Kos Mama",H2792="Pengeluaran Uang Kos")),OR($C$7="Semua",$C$7="",I2792=$C$7),OR($C$8="Semua",$C$8="",C2792=$C$8,E2792=$C$8),OR($C$9="Semua",$C$9="",D2792=$C$9),OR($C$10="",B2792&gt;=$C$10),OR($C$11="",B2792&lt;=$C$11),OR($C$12&lt;&gt;"Ya",K2792&lt;&gt;""),OR($C$13="Semua",$C$13="",L2792=$C$13)),"✓","")</f>
        <v/>
      </c>
      <c r="N2792" s="93">
        <f>N(N2791)+IF(M2792="✓",1,0)</f>
        <v/>
      </c>
      <c r="O2792" s="93">
        <f>N(O2791)+IF(AND(B2792&lt;&gt;"",B2792&gt;='Uang Riba'!$H$30,B2792&lt;='Uang Riba'!$I$30,OR(H2792="Dana riba",H2792="Pinjam uang riba",I2792="Pinjam dari uang riba",I2792="Ganti uang riba",I2792="Kelebihan ganti dikembalikan",AND(C2792="Kantong Uang Riba",G2792="Pengeluaran"))),1,0)</f>
        <v/>
      </c>
      <c r="X2792" s="126">
        <f>IF(AND(B2792&lt;&gt;"",B2792&gt;='Buku Akun'!$H$4,B2792&lt;='Buku Akun'!$H$5,OR(C2792='Buku Akun'!$C$4,AND(D2792="Pindah",E2792='Buku Akun'!$C$4))),B2792+IF(AND(I2792="Selisih bunga",DAY(B2792)=1),0,0.01)+ROW()/10000000,"")</f>
        <v/>
      </c>
    </row>
    <row r="2793" outlineLevel="1" ht="15" customHeight="1" s="94">
      <c r="A2793" s="123">
        <f>IF(B2793="","",ROW()-15)</f>
        <v/>
      </c>
      <c r="B2793" s="124" t="n"/>
      <c r="C2793" s="123" t="n"/>
      <c r="D2793" s="123" t="n"/>
      <c r="E2793" s="123" t="n"/>
      <c r="F2793" s="125" t="n"/>
      <c r="G2793" s="123" t="n"/>
      <c r="H2793" s="123" t="n"/>
      <c r="I2793" s="123" t="n"/>
      <c r="J2793" s="123" t="n"/>
      <c r="K2793" s="123" t="n"/>
      <c r="L2793" s="123" t="n"/>
      <c r="M2793" s="123">
        <f>IF(AND(B2793&lt;&gt;"",OR($C$4="",ISNUMBER(SEARCH($C$4,C2793&amp;" "&amp;E2793&amp;" "&amp;G2793&amp;" "&amp;H2793&amp;" "&amp;I2793&amp;" "&amp;J2793&amp;" "&amp;K2793&amp;" "&amp;L2793))),OR($C$5="Semua",$C$5="",G2793=$C$5),OR($C$6="Semua",$C$6="",H2793=$C$6,H2793="Pengeluaran "&amp;$C$6,AND($C$6="Uang Kos Mama",H2793="Pengeluaran Uang Kos")),OR($C$7="Semua",$C$7="",I2793=$C$7),OR($C$8="Semua",$C$8="",C2793=$C$8,E2793=$C$8),OR($C$9="Semua",$C$9="",D2793=$C$9),OR($C$10="",B2793&gt;=$C$10),OR($C$11="",B2793&lt;=$C$11),OR($C$12&lt;&gt;"Ya",K2793&lt;&gt;""),OR($C$13="Semua",$C$13="",L2793=$C$13)),"✓","")</f>
        <v/>
      </c>
      <c r="N2793" s="93">
        <f>N(N2792)+IF(M2793="✓",1,0)</f>
        <v/>
      </c>
      <c r="O2793" s="93">
        <f>N(O2792)+IF(AND(B2793&lt;&gt;"",B2793&gt;='Uang Riba'!$H$30,B2793&lt;='Uang Riba'!$I$30,OR(H2793="Dana riba",H2793="Pinjam uang riba",I2793="Pinjam dari uang riba",I2793="Ganti uang riba",I2793="Kelebihan ganti dikembalikan",AND(C2793="Kantong Uang Riba",G2793="Pengeluaran"))),1,0)</f>
        <v/>
      </c>
      <c r="X2793" s="126">
        <f>IF(AND(B2793&lt;&gt;"",B2793&gt;='Buku Akun'!$H$4,B2793&lt;='Buku Akun'!$H$5,OR(C2793='Buku Akun'!$C$4,AND(D2793="Pindah",E2793='Buku Akun'!$C$4))),B2793+IF(AND(I2793="Selisih bunga",DAY(B2793)=1),0,0.01)+ROW()/10000000,"")</f>
        <v/>
      </c>
    </row>
    <row r="2794" outlineLevel="1" ht="15" customHeight="1" s="94">
      <c r="A2794" s="123">
        <f>IF(B2794="","",ROW()-15)</f>
        <v/>
      </c>
      <c r="B2794" s="124" t="n"/>
      <c r="C2794" s="123" t="n"/>
      <c r="D2794" s="123" t="n"/>
      <c r="E2794" s="123" t="n"/>
      <c r="F2794" s="125" t="n"/>
      <c r="G2794" s="123" t="n"/>
      <c r="H2794" s="123" t="n"/>
      <c r="I2794" s="123" t="n"/>
      <c r="J2794" s="123" t="n"/>
      <c r="K2794" s="123" t="n"/>
      <c r="L2794" s="123" t="n"/>
      <c r="M2794" s="123">
        <f>IF(AND(B2794&lt;&gt;"",OR($C$4="",ISNUMBER(SEARCH($C$4,C2794&amp;" "&amp;E2794&amp;" "&amp;G2794&amp;" "&amp;H2794&amp;" "&amp;I2794&amp;" "&amp;J2794&amp;" "&amp;K2794&amp;" "&amp;L2794))),OR($C$5="Semua",$C$5="",G2794=$C$5),OR($C$6="Semua",$C$6="",H2794=$C$6,H2794="Pengeluaran "&amp;$C$6,AND($C$6="Uang Kos Mama",H2794="Pengeluaran Uang Kos")),OR($C$7="Semua",$C$7="",I2794=$C$7),OR($C$8="Semua",$C$8="",C2794=$C$8,E2794=$C$8),OR($C$9="Semua",$C$9="",D2794=$C$9),OR($C$10="",B2794&gt;=$C$10),OR($C$11="",B2794&lt;=$C$11),OR($C$12&lt;&gt;"Ya",K2794&lt;&gt;""),OR($C$13="Semua",$C$13="",L2794=$C$13)),"✓","")</f>
        <v/>
      </c>
      <c r="N2794" s="93">
        <f>N(N2793)+IF(M2794="✓",1,0)</f>
        <v/>
      </c>
      <c r="O2794" s="93">
        <f>N(O2793)+IF(AND(B2794&lt;&gt;"",B2794&gt;='Uang Riba'!$H$30,B2794&lt;='Uang Riba'!$I$30,OR(H2794="Dana riba",H2794="Pinjam uang riba",I2794="Pinjam dari uang riba",I2794="Ganti uang riba",I2794="Kelebihan ganti dikembalikan",AND(C2794="Kantong Uang Riba",G2794="Pengeluaran"))),1,0)</f>
        <v/>
      </c>
      <c r="X2794" s="93">
        <f>IF(AND(B2794&lt;&gt;"",B2794&gt;='Buku Akun'!$H$4,B2794&lt;='Buku Akun'!$H$5,OR(C2794='Buku Akun'!$C$4,AND(D2794="Pindah",E2794='Buku Akun'!$C$4))),B2794+IF(AND(I2794="Selisih bunga",DAY(B2794)=1),0,0.01)+ROW()/10000000,"")</f>
        <v/>
      </c>
    </row>
    <row r="2795" outlineLevel="1" ht="15" customHeight="1" s="94">
      <c r="A2795" s="123">
        <f>IF(B2795="","",ROW()-15)</f>
        <v/>
      </c>
      <c r="B2795" s="124" t="n"/>
      <c r="C2795" s="123" t="n"/>
      <c r="D2795" s="123" t="n"/>
      <c r="E2795" s="123" t="n"/>
      <c r="F2795" s="125" t="n"/>
      <c r="G2795" s="123" t="n"/>
      <c r="H2795" s="123" t="n"/>
      <c r="I2795" s="123" t="n"/>
      <c r="J2795" s="123" t="n"/>
      <c r="K2795" s="123" t="n"/>
      <c r="L2795" s="123" t="n"/>
      <c r="M2795" s="123">
        <f>IF(AND(B2795&lt;&gt;"",OR($C$4="",ISNUMBER(SEARCH($C$4,C2795&amp;" "&amp;E2795&amp;" "&amp;G2795&amp;" "&amp;H2795&amp;" "&amp;I2795&amp;" "&amp;J2795&amp;" "&amp;K2795&amp;" "&amp;L2795))),OR($C$5="Semua",$C$5="",G2795=$C$5),OR($C$6="Semua",$C$6="",H2795=$C$6,H2795="Pengeluaran "&amp;$C$6,AND($C$6="Uang Kos Mama",H2795="Pengeluaran Uang Kos")),OR($C$7="Semua",$C$7="",I2795=$C$7),OR($C$8="Semua",$C$8="",C2795=$C$8,E2795=$C$8),OR($C$9="Semua",$C$9="",D2795=$C$9),OR($C$10="",B2795&gt;=$C$10),OR($C$11="",B2795&lt;=$C$11),OR($C$12&lt;&gt;"Ya",K2795&lt;&gt;""),OR($C$13="Semua",$C$13="",L2795=$C$13)),"✓","")</f>
        <v/>
      </c>
      <c r="N2795" s="93">
        <f>N(N2794)+IF(M2795="✓",1,0)</f>
        <v/>
      </c>
      <c r="O2795" s="93">
        <f>N(O2794)+IF(AND(B2795&lt;&gt;"",B2795&gt;='Uang Riba'!$H$30,B2795&lt;='Uang Riba'!$I$30,OR(H2795="Dana riba",H2795="Pinjam uang riba",I2795="Pinjam dari uang riba",I2795="Ganti uang riba",I2795="Kelebihan ganti dikembalikan",AND(C2795="Kantong Uang Riba",G2795="Pengeluaran"))),1,0)</f>
        <v/>
      </c>
      <c r="X2795" s="93">
        <f>IF(AND(B2795&lt;&gt;"",B2795&gt;='Buku Akun'!$H$4,B2795&lt;='Buku Akun'!$H$5,OR(C2795='Buku Akun'!$C$4,AND(D2795="Pindah",E2795='Buku Akun'!$C$4))),B2795+IF(AND(I2795="Selisih bunga",DAY(B2795)=1),0,0.01)+ROW()/10000000,"")</f>
        <v/>
      </c>
    </row>
    <row r="2796" outlineLevel="1" ht="15" customHeight="1" s="94">
      <c r="A2796" s="123">
        <f>IF(B2796="","",ROW()-15)</f>
        <v/>
      </c>
      <c r="B2796" s="124" t="n"/>
      <c r="C2796" s="123" t="n"/>
      <c r="D2796" s="123" t="n"/>
      <c r="E2796" s="123" t="n"/>
      <c r="F2796" s="125" t="n"/>
      <c r="G2796" s="123" t="n"/>
      <c r="H2796" s="123" t="n"/>
      <c r="I2796" s="123" t="n"/>
      <c r="J2796" s="123" t="n"/>
      <c r="K2796" s="123" t="n"/>
      <c r="L2796" s="123" t="n"/>
      <c r="M2796" s="123">
        <f>IF(AND(B2796&lt;&gt;"",OR($C$4="",ISNUMBER(SEARCH($C$4,C2796&amp;" "&amp;E2796&amp;" "&amp;G2796&amp;" "&amp;H2796&amp;" "&amp;I2796&amp;" "&amp;J2796&amp;" "&amp;K2796&amp;" "&amp;L2796))),OR($C$5="Semua",$C$5="",G2796=$C$5),OR($C$6="Semua",$C$6="",H2796=$C$6,H2796="Pengeluaran "&amp;$C$6,AND($C$6="Uang Kos Mama",H2796="Pengeluaran Uang Kos")),OR($C$7="Semua",$C$7="",I2796=$C$7),OR($C$8="Semua",$C$8="",C2796=$C$8,E2796=$C$8),OR($C$9="Semua",$C$9="",D2796=$C$9),OR($C$10="",B2796&gt;=$C$10),OR($C$11="",B2796&lt;=$C$11),OR($C$12&lt;&gt;"Ya",K2796&lt;&gt;""),OR($C$13="Semua",$C$13="",L2796=$C$13)),"✓","")</f>
        <v/>
      </c>
      <c r="N2796" s="93">
        <f>N(N2795)+IF(M2796="✓",1,0)</f>
        <v/>
      </c>
      <c r="O2796" s="93">
        <f>N(O2795)+IF(AND(B2796&lt;&gt;"",B2796&gt;='Uang Riba'!$H$30,B2796&lt;='Uang Riba'!$I$30,OR(H2796="Dana riba",H2796="Pinjam uang riba",I2796="Pinjam dari uang riba",I2796="Ganti uang riba",I2796="Kelebihan ganti dikembalikan",AND(C2796="Kantong Uang Riba",G2796="Pengeluaran"))),1,0)</f>
        <v/>
      </c>
      <c r="X2796" s="93">
        <f>IF(AND(B2796&lt;&gt;"",B2796&gt;='Buku Akun'!$H$4,B2796&lt;='Buku Akun'!$H$5,OR(C2796='Buku Akun'!$C$4,AND(D2796="Pindah",E2796='Buku Akun'!$C$4))),B2796+IF(AND(I2796="Selisih bunga",DAY(B2796)=1),0,0.01)+ROW()/10000000,"")</f>
        <v/>
      </c>
    </row>
    <row r="2797" outlineLevel="1" ht="15" customHeight="1" s="94">
      <c r="A2797" s="123">
        <f>IF(B2797="","",ROW()-15)</f>
        <v/>
      </c>
      <c r="B2797" s="124" t="n"/>
      <c r="C2797" s="123" t="n"/>
      <c r="D2797" s="123" t="n"/>
      <c r="E2797" s="123" t="n"/>
      <c r="F2797" s="125" t="n"/>
      <c r="G2797" s="123" t="n"/>
      <c r="H2797" s="123" t="n"/>
      <c r="I2797" s="123" t="n"/>
      <c r="J2797" s="123" t="n"/>
      <c r="K2797" s="123" t="n"/>
      <c r="L2797" s="123" t="n"/>
      <c r="M2797" s="123">
        <f>IF(AND(B2797&lt;&gt;"",OR($C$4="",ISNUMBER(SEARCH($C$4,C2797&amp;" "&amp;E2797&amp;" "&amp;G2797&amp;" "&amp;H2797&amp;" "&amp;I2797&amp;" "&amp;J2797&amp;" "&amp;K2797&amp;" "&amp;L2797))),OR($C$5="Semua",$C$5="",G2797=$C$5),OR($C$6="Semua",$C$6="",H2797=$C$6,H2797="Pengeluaran "&amp;$C$6,AND($C$6="Uang Kos Mama",H2797="Pengeluaran Uang Kos")),OR($C$7="Semua",$C$7="",I2797=$C$7),OR($C$8="Semua",$C$8="",C2797=$C$8,E2797=$C$8),OR($C$9="Semua",$C$9="",D2797=$C$9),OR($C$10="",B2797&gt;=$C$10),OR($C$11="",B2797&lt;=$C$11),OR($C$12&lt;&gt;"Ya",K2797&lt;&gt;""),OR($C$13="Semua",$C$13="",L2797=$C$13)),"✓","")</f>
        <v/>
      </c>
      <c r="N2797" s="93">
        <f>N(N2796)+IF(M2797="✓",1,0)</f>
        <v/>
      </c>
      <c r="O2797" s="93">
        <f>N(O2796)+IF(AND(B2797&lt;&gt;"",B2797&gt;='Uang Riba'!$H$30,B2797&lt;='Uang Riba'!$I$30,OR(H2797="Dana riba",H2797="Pinjam uang riba",I2797="Pinjam dari uang riba",I2797="Ganti uang riba",I2797="Kelebihan ganti dikembalikan",AND(C2797="Kantong Uang Riba",G2797="Pengeluaran"))),1,0)</f>
        <v/>
      </c>
      <c r="X2797" s="93">
        <f>IF(AND(B2797&lt;&gt;"",B2797&gt;='Buku Akun'!$H$4,B2797&lt;='Buku Akun'!$H$5,OR(C2797='Buku Akun'!$C$4,AND(D2797="Pindah",E2797='Buku Akun'!$C$4))),B2797+IF(AND(I2797="Selisih bunga",DAY(B2797)=1),0,0.01)+ROW()/10000000,"")</f>
        <v/>
      </c>
    </row>
    <row r="2798" outlineLevel="1" ht="15" customHeight="1" s="94">
      <c r="A2798" s="123">
        <f>IF(B2798="","",ROW()-15)</f>
        <v/>
      </c>
      <c r="B2798" s="124" t="n"/>
      <c r="C2798" s="123" t="n"/>
      <c r="D2798" s="123" t="n"/>
      <c r="E2798" s="123" t="n"/>
      <c r="F2798" s="125" t="n"/>
      <c r="G2798" s="123" t="n"/>
      <c r="H2798" s="123" t="n"/>
      <c r="I2798" s="123" t="n"/>
      <c r="J2798" s="123" t="n"/>
      <c r="K2798" s="123" t="n"/>
      <c r="L2798" s="123" t="n"/>
      <c r="M2798" s="123">
        <f>IF(AND(B2798&lt;&gt;"",OR($C$4="",ISNUMBER(SEARCH($C$4,C2798&amp;" "&amp;E2798&amp;" "&amp;G2798&amp;" "&amp;H2798&amp;" "&amp;I2798&amp;" "&amp;J2798&amp;" "&amp;K2798&amp;" "&amp;L2798))),OR($C$5="Semua",$C$5="",G2798=$C$5),OR($C$6="Semua",$C$6="",H2798=$C$6,H2798="Pengeluaran "&amp;$C$6,AND($C$6="Uang Kos Mama",H2798="Pengeluaran Uang Kos")),OR($C$7="Semua",$C$7="",I2798=$C$7),OR($C$8="Semua",$C$8="",C2798=$C$8,E2798=$C$8),OR($C$9="Semua",$C$9="",D2798=$C$9),OR($C$10="",B2798&gt;=$C$10),OR($C$11="",B2798&lt;=$C$11),OR($C$12&lt;&gt;"Ya",K2798&lt;&gt;""),OR($C$13="Semua",$C$13="",L2798=$C$13)),"✓","")</f>
        <v/>
      </c>
      <c r="N2798" s="93">
        <f>N(N2797)+IF(M2798="✓",1,0)</f>
        <v/>
      </c>
      <c r="O2798" s="93">
        <f>N(O2797)+IF(AND(B2798&lt;&gt;"",B2798&gt;='Uang Riba'!$H$30,B2798&lt;='Uang Riba'!$I$30,OR(H2798="Dana riba",H2798="Pinjam uang riba",I2798="Pinjam dari uang riba",I2798="Ganti uang riba",I2798="Kelebihan ganti dikembalikan",AND(C2798="Kantong Uang Riba",G2798="Pengeluaran"))),1,0)</f>
        <v/>
      </c>
      <c r="X2798" s="93">
        <f>IF(AND(B2798&lt;&gt;"",B2798&gt;='Buku Akun'!$H$4,B2798&lt;='Buku Akun'!$H$5,OR(C2798='Buku Akun'!$C$4,AND(D2798="Pindah",E2798='Buku Akun'!$C$4))),B2798+IF(AND(I2798="Selisih bunga",DAY(B2798)=1),0,0.01)+ROW()/10000000,"")</f>
        <v/>
      </c>
    </row>
    <row r="2799" outlineLevel="1" ht="15" customHeight="1" s="94">
      <c r="A2799" s="123">
        <f>IF(B2799="","",ROW()-15)</f>
        <v/>
      </c>
      <c r="B2799" s="124" t="n"/>
      <c r="C2799" s="123" t="n"/>
      <c r="D2799" s="123" t="n"/>
      <c r="E2799" s="123" t="n"/>
      <c r="F2799" s="125" t="n"/>
      <c r="G2799" s="123" t="n"/>
      <c r="H2799" s="123" t="n"/>
      <c r="I2799" s="123" t="n"/>
      <c r="J2799" s="123" t="n"/>
      <c r="K2799" s="123" t="n"/>
      <c r="L2799" s="123" t="n"/>
      <c r="M2799" s="123">
        <f>IF(AND(B2799&lt;&gt;"",OR($C$4="",ISNUMBER(SEARCH($C$4,C2799&amp;" "&amp;E2799&amp;" "&amp;G2799&amp;" "&amp;H2799&amp;" "&amp;I2799&amp;" "&amp;J2799&amp;" "&amp;K2799&amp;" "&amp;L2799))),OR($C$5="Semua",$C$5="",G2799=$C$5),OR($C$6="Semua",$C$6="",H2799=$C$6,H2799="Pengeluaran "&amp;$C$6,AND($C$6="Uang Kos Mama",H2799="Pengeluaran Uang Kos")),OR($C$7="Semua",$C$7="",I2799=$C$7),OR($C$8="Semua",$C$8="",C2799=$C$8,E2799=$C$8),OR($C$9="Semua",$C$9="",D2799=$C$9),OR($C$10="",B2799&gt;=$C$10),OR($C$11="",B2799&lt;=$C$11),OR($C$12&lt;&gt;"Ya",K2799&lt;&gt;""),OR($C$13="Semua",$C$13="",L2799=$C$13)),"✓","")</f>
        <v/>
      </c>
      <c r="N2799" s="93">
        <f>N(N2798)+IF(M2799="✓",1,0)</f>
        <v/>
      </c>
      <c r="O2799" s="93">
        <f>N(O2798)+IF(AND(B2799&lt;&gt;"",B2799&gt;='Uang Riba'!$H$30,B2799&lt;='Uang Riba'!$I$30,OR(H2799="Dana riba",H2799="Pinjam uang riba",I2799="Pinjam dari uang riba",I2799="Ganti uang riba",I2799="Kelebihan ganti dikembalikan",AND(C2799="Kantong Uang Riba",G2799="Pengeluaran"))),1,0)</f>
        <v/>
      </c>
      <c r="X2799" s="93">
        <f>IF(AND(B2799&lt;&gt;"",B2799&gt;='Buku Akun'!$H$4,B2799&lt;='Buku Akun'!$H$5,OR(C2799='Buku Akun'!$C$4,AND(D2799="Pindah",E2799='Buku Akun'!$C$4))),B2799+IF(AND(I2799="Selisih bunga",DAY(B2799)=1),0,0.01)+ROW()/10000000,"")</f>
        <v/>
      </c>
    </row>
    <row r="2800" outlineLevel="1" ht="15" customHeight="1" s="94">
      <c r="A2800" s="123">
        <f>IF(B2800="","",ROW()-15)</f>
        <v/>
      </c>
      <c r="B2800" s="124" t="n"/>
      <c r="C2800" s="123" t="n"/>
      <c r="D2800" s="123" t="n"/>
      <c r="E2800" s="123" t="n"/>
      <c r="F2800" s="125" t="n"/>
      <c r="G2800" s="123" t="n"/>
      <c r="H2800" s="123" t="n"/>
      <c r="I2800" s="123" t="n"/>
      <c r="J2800" s="123" t="n"/>
      <c r="K2800" s="123" t="n"/>
      <c r="L2800" s="123" t="n"/>
      <c r="M2800" s="123">
        <f>IF(AND(B2800&lt;&gt;"",OR($C$4="",ISNUMBER(SEARCH($C$4,C2800&amp;" "&amp;E2800&amp;" "&amp;G2800&amp;" "&amp;H2800&amp;" "&amp;I2800&amp;" "&amp;J2800&amp;" "&amp;K2800&amp;" "&amp;L2800))),OR($C$5="Semua",$C$5="",G2800=$C$5),OR($C$6="Semua",$C$6="",H2800=$C$6,H2800="Pengeluaran "&amp;$C$6,AND($C$6="Uang Kos Mama",H2800="Pengeluaran Uang Kos")),OR($C$7="Semua",$C$7="",I2800=$C$7),OR($C$8="Semua",$C$8="",C2800=$C$8,E2800=$C$8),OR($C$9="Semua",$C$9="",D2800=$C$9),OR($C$10="",B2800&gt;=$C$10),OR($C$11="",B2800&lt;=$C$11),OR($C$12&lt;&gt;"Ya",K2800&lt;&gt;""),OR($C$13="Semua",$C$13="",L2800=$C$13)),"✓","")</f>
        <v/>
      </c>
      <c r="N2800" s="93">
        <f>N(N2799)+IF(M2800="✓",1,0)</f>
        <v/>
      </c>
      <c r="O2800" s="93">
        <f>N(O2799)+IF(AND(B2800&lt;&gt;"",B2800&gt;='Uang Riba'!$H$30,B2800&lt;='Uang Riba'!$I$30,OR(H2800="Dana riba",H2800="Pinjam uang riba",I2800="Pinjam dari uang riba",I2800="Ganti uang riba",I2800="Kelebihan ganti dikembalikan",AND(C2800="Kantong Uang Riba",G2800="Pengeluaran"))),1,0)</f>
        <v/>
      </c>
      <c r="X2800" s="93">
        <f>IF(AND(B2800&lt;&gt;"",B2800&gt;='Buku Akun'!$H$4,B2800&lt;='Buku Akun'!$H$5,OR(C2800='Buku Akun'!$C$4,AND(D2800="Pindah",E2800='Buku Akun'!$C$4))),B2800+IF(AND(I2800="Selisih bunga",DAY(B2800)=1),0,0.01)+ROW()/10000000,"")</f>
        <v/>
      </c>
    </row>
    <row r="2801" outlineLevel="1" ht="15" customHeight="1" s="94">
      <c r="A2801" s="123">
        <f>IF(B2801="","",ROW()-15)</f>
        <v/>
      </c>
      <c r="B2801" s="124" t="n"/>
      <c r="C2801" s="123" t="n"/>
      <c r="D2801" s="123" t="n"/>
      <c r="E2801" s="123" t="n"/>
      <c r="F2801" s="125" t="n"/>
      <c r="G2801" s="123" t="n"/>
      <c r="H2801" s="123" t="n"/>
      <c r="I2801" s="123" t="n"/>
      <c r="J2801" s="123" t="n"/>
      <c r="K2801" s="123" t="n"/>
      <c r="L2801" s="123" t="n"/>
      <c r="M2801" s="123">
        <f>IF(AND(B2801&lt;&gt;"",OR($C$4="",ISNUMBER(SEARCH($C$4,C2801&amp;" "&amp;E2801&amp;" "&amp;G2801&amp;" "&amp;H2801&amp;" "&amp;I2801&amp;" "&amp;J2801&amp;" "&amp;K2801&amp;" "&amp;L2801))),OR($C$5="Semua",$C$5="",G2801=$C$5),OR($C$6="Semua",$C$6="",H2801=$C$6,H2801="Pengeluaran "&amp;$C$6,AND($C$6="Uang Kos Mama",H2801="Pengeluaran Uang Kos")),OR($C$7="Semua",$C$7="",I2801=$C$7),OR($C$8="Semua",$C$8="",C2801=$C$8,E2801=$C$8),OR($C$9="Semua",$C$9="",D2801=$C$9),OR($C$10="",B2801&gt;=$C$10),OR($C$11="",B2801&lt;=$C$11),OR($C$12&lt;&gt;"Ya",K2801&lt;&gt;""),OR($C$13="Semua",$C$13="",L2801=$C$13)),"✓","")</f>
        <v/>
      </c>
      <c r="N2801" s="93">
        <f>N(N2800)+IF(M2801="✓",1,0)</f>
        <v/>
      </c>
      <c r="O2801" s="93">
        <f>N(O2800)+IF(AND(B2801&lt;&gt;"",B2801&gt;='Uang Riba'!$H$30,B2801&lt;='Uang Riba'!$I$30,OR(H2801="Dana riba",H2801="Pinjam uang riba",I2801="Pinjam dari uang riba",I2801="Ganti uang riba",I2801="Kelebihan ganti dikembalikan",AND(C2801="Kantong Uang Riba",G2801="Pengeluaran"))),1,0)</f>
        <v/>
      </c>
      <c r="X2801" s="93">
        <f>IF(AND(B2801&lt;&gt;"",B2801&gt;='Buku Akun'!$H$4,B2801&lt;='Buku Akun'!$H$5,OR(C2801='Buku Akun'!$C$4,AND(D2801="Pindah",E2801='Buku Akun'!$C$4))),B2801+IF(AND(I2801="Selisih bunga",DAY(B2801)=1),0,0.01)+ROW()/10000000,"")</f>
        <v/>
      </c>
    </row>
    <row r="2802" outlineLevel="1" ht="15" customHeight="1" s="94">
      <c r="A2802" s="123">
        <f>IF(B2802="","",ROW()-15)</f>
        <v/>
      </c>
      <c r="B2802" s="124" t="n"/>
      <c r="C2802" s="123" t="n"/>
      <c r="D2802" s="123" t="n"/>
      <c r="E2802" s="123" t="n"/>
      <c r="F2802" s="125" t="n"/>
      <c r="G2802" s="123" t="n"/>
      <c r="H2802" s="123" t="n"/>
      <c r="I2802" s="123" t="n"/>
      <c r="J2802" s="123" t="n"/>
      <c r="K2802" s="123" t="n"/>
      <c r="L2802" s="123" t="n"/>
      <c r="M2802" s="123">
        <f>IF(AND(B2802&lt;&gt;"",OR($C$4="",ISNUMBER(SEARCH($C$4,C2802&amp;" "&amp;E2802&amp;" "&amp;G2802&amp;" "&amp;H2802&amp;" "&amp;I2802&amp;" "&amp;J2802&amp;" "&amp;K2802&amp;" "&amp;L2802))),OR($C$5="Semua",$C$5="",G2802=$C$5),OR($C$6="Semua",$C$6="",H2802=$C$6,H2802="Pengeluaran "&amp;$C$6,AND($C$6="Uang Kos Mama",H2802="Pengeluaran Uang Kos")),OR($C$7="Semua",$C$7="",I2802=$C$7),OR($C$8="Semua",$C$8="",C2802=$C$8,E2802=$C$8),OR($C$9="Semua",$C$9="",D2802=$C$9),OR($C$10="",B2802&gt;=$C$10),OR($C$11="",B2802&lt;=$C$11),OR($C$12&lt;&gt;"Ya",K2802&lt;&gt;""),OR($C$13="Semua",$C$13="",L2802=$C$13)),"✓","")</f>
        <v/>
      </c>
      <c r="N2802" s="93">
        <f>N(N2801)+IF(M2802="✓",1,0)</f>
        <v/>
      </c>
      <c r="O2802" s="93">
        <f>N(O2801)+IF(AND(B2802&lt;&gt;"",B2802&gt;='Uang Riba'!$H$30,B2802&lt;='Uang Riba'!$I$30,OR(H2802="Dana riba",H2802="Pinjam uang riba",I2802="Pinjam dari uang riba",I2802="Ganti uang riba",I2802="Kelebihan ganti dikembalikan",AND(C2802="Kantong Uang Riba",G2802="Pengeluaran"))),1,0)</f>
        <v/>
      </c>
      <c r="X2802" s="93">
        <f>IF(AND(B2802&lt;&gt;"",B2802&gt;='Buku Akun'!$H$4,B2802&lt;='Buku Akun'!$H$5,OR(C2802='Buku Akun'!$C$4,AND(D2802="Pindah",E2802='Buku Akun'!$C$4))),B2802+IF(AND(I2802="Selisih bunga",DAY(B2802)=1),0,0.01)+ROW()/10000000,"")</f>
        <v/>
      </c>
    </row>
    <row r="2803" outlineLevel="1" ht="15" customHeight="1" s="94">
      <c r="A2803" s="123">
        <f>IF(B2803="","",ROW()-15)</f>
        <v/>
      </c>
      <c r="B2803" s="124" t="n"/>
      <c r="C2803" s="123" t="n"/>
      <c r="D2803" s="123" t="n"/>
      <c r="E2803" s="123" t="n"/>
      <c r="F2803" s="125" t="n"/>
      <c r="G2803" s="123" t="n"/>
      <c r="H2803" s="123" t="n"/>
      <c r="I2803" s="123" t="n"/>
      <c r="J2803" s="123" t="n"/>
      <c r="K2803" s="123" t="n"/>
      <c r="L2803" s="123" t="n"/>
      <c r="M2803" s="123">
        <f>IF(AND(B2803&lt;&gt;"",OR($C$4="",ISNUMBER(SEARCH($C$4,C2803&amp;" "&amp;E2803&amp;" "&amp;G2803&amp;" "&amp;H2803&amp;" "&amp;I2803&amp;" "&amp;J2803&amp;" "&amp;K2803&amp;" "&amp;L2803))),OR($C$5="Semua",$C$5="",G2803=$C$5),OR($C$6="Semua",$C$6="",H2803=$C$6,H2803="Pengeluaran "&amp;$C$6,AND($C$6="Uang Kos Mama",H2803="Pengeluaran Uang Kos")),OR($C$7="Semua",$C$7="",I2803=$C$7),OR($C$8="Semua",$C$8="",C2803=$C$8,E2803=$C$8),OR($C$9="Semua",$C$9="",D2803=$C$9),OR($C$10="",B2803&gt;=$C$10),OR($C$11="",B2803&lt;=$C$11),OR($C$12&lt;&gt;"Ya",K2803&lt;&gt;""),OR($C$13="Semua",$C$13="",L2803=$C$13)),"✓","")</f>
        <v/>
      </c>
      <c r="N2803" s="93">
        <f>N(N2802)+IF(M2803="✓",1,0)</f>
        <v/>
      </c>
      <c r="O2803" s="93">
        <f>N(O2802)+IF(AND(B2803&lt;&gt;"",B2803&gt;='Uang Riba'!$H$30,B2803&lt;='Uang Riba'!$I$30,OR(H2803="Dana riba",H2803="Pinjam uang riba",I2803="Pinjam dari uang riba",I2803="Ganti uang riba",I2803="Kelebihan ganti dikembalikan",AND(C2803="Kantong Uang Riba",G2803="Pengeluaran"))),1,0)</f>
        <v/>
      </c>
      <c r="X2803" s="93">
        <f>IF(AND(B2803&lt;&gt;"",B2803&gt;='Buku Akun'!$H$4,B2803&lt;='Buku Akun'!$H$5,OR(C2803='Buku Akun'!$C$4,AND(D2803="Pindah",E2803='Buku Akun'!$C$4))),B2803+IF(AND(I2803="Selisih bunga",DAY(B2803)=1),0,0.01)+ROW()/10000000,"")</f>
        <v/>
      </c>
    </row>
    <row r="2804" outlineLevel="1" ht="15" customHeight="1" s="94">
      <c r="A2804" s="123">
        <f>IF(B2804="","",ROW()-15)</f>
        <v/>
      </c>
      <c r="B2804" s="124" t="n"/>
      <c r="C2804" s="123" t="n"/>
      <c r="D2804" s="123" t="n"/>
      <c r="E2804" s="123" t="n"/>
      <c r="F2804" s="125" t="n"/>
      <c r="G2804" s="123" t="n"/>
      <c r="H2804" s="123" t="n"/>
      <c r="I2804" s="123" t="n"/>
      <c r="J2804" s="123" t="n"/>
      <c r="K2804" s="123" t="n"/>
      <c r="L2804" s="123" t="n"/>
      <c r="M2804" s="123">
        <f>IF(AND(B2804&lt;&gt;"",OR($C$4="",ISNUMBER(SEARCH($C$4,C2804&amp;" "&amp;E2804&amp;" "&amp;G2804&amp;" "&amp;H2804&amp;" "&amp;I2804&amp;" "&amp;J2804&amp;" "&amp;K2804&amp;" "&amp;L2804))),OR($C$5="Semua",$C$5="",G2804=$C$5),OR($C$6="Semua",$C$6="",H2804=$C$6,H2804="Pengeluaran "&amp;$C$6,AND($C$6="Uang Kos Mama",H2804="Pengeluaran Uang Kos")),OR($C$7="Semua",$C$7="",I2804=$C$7),OR($C$8="Semua",$C$8="",C2804=$C$8,E2804=$C$8),OR($C$9="Semua",$C$9="",D2804=$C$9),OR($C$10="",B2804&gt;=$C$10),OR($C$11="",B2804&lt;=$C$11),OR($C$12&lt;&gt;"Ya",K2804&lt;&gt;""),OR($C$13="Semua",$C$13="",L2804=$C$13)),"✓","")</f>
        <v/>
      </c>
      <c r="N2804" s="93">
        <f>N(N2803)+IF(M2804="✓",1,0)</f>
        <v/>
      </c>
      <c r="O2804" s="93">
        <f>N(O2803)+IF(AND(B2804&lt;&gt;"",B2804&gt;='Uang Riba'!$H$30,B2804&lt;='Uang Riba'!$I$30,OR(H2804="Dana riba",H2804="Pinjam uang riba",I2804="Pinjam dari uang riba",I2804="Ganti uang riba",I2804="Kelebihan ganti dikembalikan",AND(C2804="Kantong Uang Riba",G2804="Pengeluaran"))),1,0)</f>
        <v/>
      </c>
      <c r="X2804" s="93">
        <f>IF(AND(B2804&lt;&gt;"",B2804&gt;='Buku Akun'!$H$4,B2804&lt;='Buku Akun'!$H$5,OR(C2804='Buku Akun'!$C$4,AND(D2804="Pindah",E2804='Buku Akun'!$C$4))),B2804+IF(AND(I2804="Selisih bunga",DAY(B2804)=1),0,0.01)+ROW()/10000000,"")</f>
        <v/>
      </c>
    </row>
    <row r="2805" outlineLevel="1" ht="15" customHeight="1" s="94">
      <c r="A2805" s="123">
        <f>IF(B2805="","",ROW()-15)</f>
        <v/>
      </c>
      <c r="B2805" s="124" t="n"/>
      <c r="C2805" s="123" t="n"/>
      <c r="D2805" s="123" t="n"/>
      <c r="E2805" s="123" t="n"/>
      <c r="F2805" s="125" t="n"/>
      <c r="G2805" s="123" t="n"/>
      <c r="H2805" s="123" t="n"/>
      <c r="I2805" s="123" t="n"/>
      <c r="J2805" s="123" t="n"/>
      <c r="K2805" s="123" t="n"/>
      <c r="L2805" s="123" t="n"/>
      <c r="M2805" s="123">
        <f>IF(AND(B2805&lt;&gt;"",OR($C$4="",ISNUMBER(SEARCH($C$4,C2805&amp;" "&amp;E2805&amp;" "&amp;G2805&amp;" "&amp;H2805&amp;" "&amp;I2805&amp;" "&amp;J2805&amp;" "&amp;K2805&amp;" "&amp;L2805))),OR($C$5="Semua",$C$5="",G2805=$C$5),OR($C$6="Semua",$C$6="",H2805=$C$6,H2805="Pengeluaran "&amp;$C$6,AND($C$6="Uang Kos Mama",H2805="Pengeluaran Uang Kos")),OR($C$7="Semua",$C$7="",I2805=$C$7),OR($C$8="Semua",$C$8="",C2805=$C$8,E2805=$C$8),OR($C$9="Semua",$C$9="",D2805=$C$9),OR($C$10="",B2805&gt;=$C$10),OR($C$11="",B2805&lt;=$C$11),OR($C$12&lt;&gt;"Ya",K2805&lt;&gt;""),OR($C$13="Semua",$C$13="",L2805=$C$13)),"✓","")</f>
        <v/>
      </c>
      <c r="N2805" s="93">
        <f>N(N2804)+IF(M2805="✓",1,0)</f>
        <v/>
      </c>
      <c r="O2805" s="93">
        <f>N(O2804)+IF(AND(B2805&lt;&gt;"",B2805&gt;='Uang Riba'!$H$30,B2805&lt;='Uang Riba'!$I$30,OR(H2805="Dana riba",H2805="Pinjam uang riba",I2805="Pinjam dari uang riba",I2805="Ganti uang riba",I2805="Kelebihan ganti dikembalikan",AND(C2805="Kantong Uang Riba",G2805="Pengeluaran"))),1,0)</f>
        <v/>
      </c>
      <c r="X2805" s="126">
        <f>IF(AND(B2805&lt;&gt;"",B2805&gt;='Buku Akun'!$H$4,B2805&lt;='Buku Akun'!$H$5,OR(C2805='Buku Akun'!$C$4,AND(D2805="Pindah",E2805='Buku Akun'!$C$4))),B2805+IF(AND(I2805="Selisih bunga",DAY(B2805)=1),0,0.01)+ROW()/10000000,"")</f>
        <v/>
      </c>
    </row>
    <row r="2806" outlineLevel="1" ht="15" customHeight="1" s="94">
      <c r="A2806" s="123">
        <f>IF(B2806="","",ROW()-15)</f>
        <v/>
      </c>
      <c r="B2806" s="124" t="n"/>
      <c r="C2806" s="123" t="n"/>
      <c r="D2806" s="123" t="n"/>
      <c r="E2806" s="123" t="n"/>
      <c r="F2806" s="125" t="n"/>
      <c r="G2806" s="123" t="n"/>
      <c r="H2806" s="123" t="n"/>
      <c r="I2806" s="123" t="n"/>
      <c r="J2806" s="123" t="n"/>
      <c r="K2806" s="123" t="n"/>
      <c r="L2806" s="123" t="n"/>
      <c r="M2806" s="123">
        <f>IF(AND(B2806&lt;&gt;"",OR($C$4="",ISNUMBER(SEARCH($C$4,C2806&amp;" "&amp;E2806&amp;" "&amp;G2806&amp;" "&amp;H2806&amp;" "&amp;I2806&amp;" "&amp;J2806&amp;" "&amp;K2806&amp;" "&amp;L2806))),OR($C$5="Semua",$C$5="",G2806=$C$5),OR($C$6="Semua",$C$6="",H2806=$C$6,H2806="Pengeluaran "&amp;$C$6,AND($C$6="Uang Kos Mama",H2806="Pengeluaran Uang Kos")),OR($C$7="Semua",$C$7="",I2806=$C$7),OR($C$8="Semua",$C$8="",C2806=$C$8,E2806=$C$8),OR($C$9="Semua",$C$9="",D2806=$C$9),OR($C$10="",B2806&gt;=$C$10),OR($C$11="",B2806&lt;=$C$11),OR($C$12&lt;&gt;"Ya",K2806&lt;&gt;""),OR($C$13="Semua",$C$13="",L2806=$C$13)),"✓","")</f>
        <v/>
      </c>
      <c r="N2806" s="93">
        <f>N(N2805)+IF(M2806="✓",1,0)</f>
        <v/>
      </c>
      <c r="O2806" s="93">
        <f>N(O2805)+IF(AND(B2806&lt;&gt;"",B2806&gt;='Uang Riba'!$H$30,B2806&lt;='Uang Riba'!$I$30,OR(H2806="Dana riba",H2806="Pinjam uang riba",I2806="Pinjam dari uang riba",I2806="Ganti uang riba",I2806="Kelebihan ganti dikembalikan",AND(C2806="Kantong Uang Riba",G2806="Pengeluaran"))),1,0)</f>
        <v/>
      </c>
      <c r="X2806" s="126">
        <f>IF(AND(B2806&lt;&gt;"",B2806&gt;='Buku Akun'!$H$4,B2806&lt;='Buku Akun'!$H$5,OR(C2806='Buku Akun'!$C$4,AND(D2806="Pindah",E2806='Buku Akun'!$C$4))),B2806+IF(AND(I2806="Selisih bunga",DAY(B2806)=1),0,0.01)+ROW()/10000000,"")</f>
        <v/>
      </c>
    </row>
    <row r="2807" outlineLevel="1" ht="15" customHeight="1" s="94">
      <c r="A2807" s="123">
        <f>IF(B2807="","",ROW()-15)</f>
        <v/>
      </c>
      <c r="B2807" s="124" t="n"/>
      <c r="C2807" s="123" t="n"/>
      <c r="D2807" s="123" t="n"/>
      <c r="E2807" s="123" t="n"/>
      <c r="F2807" s="125" t="n"/>
      <c r="G2807" s="123" t="n"/>
      <c r="H2807" s="123" t="n"/>
      <c r="I2807" s="123" t="n"/>
      <c r="J2807" s="123" t="n"/>
      <c r="K2807" s="123" t="n"/>
      <c r="L2807" s="123" t="n"/>
      <c r="M2807" s="123">
        <f>IF(AND(B2807&lt;&gt;"",OR($C$4="",ISNUMBER(SEARCH($C$4,C2807&amp;" "&amp;E2807&amp;" "&amp;G2807&amp;" "&amp;H2807&amp;" "&amp;I2807&amp;" "&amp;J2807&amp;" "&amp;K2807&amp;" "&amp;L2807))),OR($C$5="Semua",$C$5="",G2807=$C$5),OR($C$6="Semua",$C$6="",H2807=$C$6,H2807="Pengeluaran "&amp;$C$6,AND($C$6="Uang Kos Mama",H2807="Pengeluaran Uang Kos")),OR($C$7="Semua",$C$7="",I2807=$C$7),OR($C$8="Semua",$C$8="",C2807=$C$8,E2807=$C$8),OR($C$9="Semua",$C$9="",D2807=$C$9),OR($C$10="",B2807&gt;=$C$10),OR($C$11="",B2807&lt;=$C$11),OR($C$12&lt;&gt;"Ya",K2807&lt;&gt;""),OR($C$13="Semua",$C$13="",L2807=$C$13)),"✓","")</f>
        <v/>
      </c>
      <c r="N2807" s="93">
        <f>N(N2806)+IF(M2807="✓",1,0)</f>
        <v/>
      </c>
      <c r="O2807" s="93">
        <f>N(O2806)+IF(AND(B2807&lt;&gt;"",B2807&gt;='Uang Riba'!$H$30,B2807&lt;='Uang Riba'!$I$30,OR(H2807="Dana riba",H2807="Pinjam uang riba",I2807="Pinjam dari uang riba",I2807="Ganti uang riba",I2807="Kelebihan ganti dikembalikan",AND(C2807="Kantong Uang Riba",G2807="Pengeluaran"))),1,0)</f>
        <v/>
      </c>
      <c r="X2807" s="93">
        <f>IF(AND(B2807&lt;&gt;"",B2807&gt;='Buku Akun'!$H$4,B2807&lt;='Buku Akun'!$H$5,OR(C2807='Buku Akun'!$C$4,AND(D2807="Pindah",E2807='Buku Akun'!$C$4))),B2807+IF(AND(I2807="Selisih bunga",DAY(B2807)=1),0,0.01)+ROW()/10000000,"")</f>
        <v/>
      </c>
    </row>
    <row r="2808" outlineLevel="1" ht="15" customHeight="1" s="94">
      <c r="A2808" s="123">
        <f>IF(B2808="","",ROW()-15)</f>
        <v/>
      </c>
      <c r="B2808" s="124" t="n"/>
      <c r="C2808" s="123" t="n"/>
      <c r="D2808" s="123" t="n"/>
      <c r="E2808" s="123" t="n"/>
      <c r="F2808" s="125" t="n"/>
      <c r="G2808" s="123" t="n"/>
      <c r="H2808" s="123" t="n"/>
      <c r="I2808" s="123" t="n"/>
      <c r="J2808" s="123" t="n"/>
      <c r="K2808" s="123" t="n"/>
      <c r="L2808" s="123" t="n"/>
      <c r="M2808" s="123">
        <f>IF(AND(B2808&lt;&gt;"",OR($C$4="",ISNUMBER(SEARCH($C$4,C2808&amp;" "&amp;E2808&amp;" "&amp;G2808&amp;" "&amp;H2808&amp;" "&amp;I2808&amp;" "&amp;J2808&amp;" "&amp;K2808&amp;" "&amp;L2808))),OR($C$5="Semua",$C$5="",G2808=$C$5),OR($C$6="Semua",$C$6="",H2808=$C$6,H2808="Pengeluaran "&amp;$C$6,AND($C$6="Uang Kos Mama",H2808="Pengeluaran Uang Kos")),OR($C$7="Semua",$C$7="",I2808=$C$7),OR($C$8="Semua",$C$8="",C2808=$C$8,E2808=$C$8),OR($C$9="Semua",$C$9="",D2808=$C$9),OR($C$10="",B2808&gt;=$C$10),OR($C$11="",B2808&lt;=$C$11),OR($C$12&lt;&gt;"Ya",K2808&lt;&gt;""),OR($C$13="Semua",$C$13="",L2808=$C$13)),"✓","")</f>
        <v/>
      </c>
      <c r="N2808" s="93">
        <f>N(N2807)+IF(M2808="✓",1,0)</f>
        <v/>
      </c>
      <c r="O2808" s="93">
        <f>N(O2807)+IF(AND(B2808&lt;&gt;"",B2808&gt;='Uang Riba'!$H$30,B2808&lt;='Uang Riba'!$I$30,OR(H2808="Dana riba",H2808="Pinjam uang riba",I2808="Pinjam dari uang riba",I2808="Ganti uang riba",I2808="Kelebihan ganti dikembalikan",AND(C2808="Kantong Uang Riba",G2808="Pengeluaran"))),1,0)</f>
        <v/>
      </c>
      <c r="X2808" s="93">
        <f>IF(AND(B2808&lt;&gt;"",B2808&gt;='Buku Akun'!$H$4,B2808&lt;='Buku Akun'!$H$5,OR(C2808='Buku Akun'!$C$4,AND(D2808="Pindah",E2808='Buku Akun'!$C$4))),B2808+IF(AND(I2808="Selisih bunga",DAY(B2808)=1),0,0.01)+ROW()/10000000,"")</f>
        <v/>
      </c>
    </row>
    <row r="2809" outlineLevel="1" ht="15" customHeight="1" s="94">
      <c r="A2809" s="123">
        <f>IF(B2809="","",ROW()-15)</f>
        <v/>
      </c>
      <c r="B2809" s="124" t="n"/>
      <c r="C2809" s="123" t="n"/>
      <c r="D2809" s="123" t="n"/>
      <c r="E2809" s="123" t="n"/>
      <c r="F2809" s="125" t="n"/>
      <c r="G2809" s="123" t="n"/>
      <c r="H2809" s="123" t="n"/>
      <c r="I2809" s="123" t="n"/>
      <c r="J2809" s="123" t="n"/>
      <c r="K2809" s="123" t="n"/>
      <c r="L2809" s="123" t="n"/>
      <c r="M2809" s="123">
        <f>IF(AND(B2809&lt;&gt;"",OR($C$4="",ISNUMBER(SEARCH($C$4,C2809&amp;" "&amp;E2809&amp;" "&amp;G2809&amp;" "&amp;H2809&amp;" "&amp;I2809&amp;" "&amp;J2809&amp;" "&amp;K2809&amp;" "&amp;L2809))),OR($C$5="Semua",$C$5="",G2809=$C$5),OR($C$6="Semua",$C$6="",H2809=$C$6,H2809="Pengeluaran "&amp;$C$6,AND($C$6="Uang Kos Mama",H2809="Pengeluaran Uang Kos")),OR($C$7="Semua",$C$7="",I2809=$C$7),OR($C$8="Semua",$C$8="",C2809=$C$8,E2809=$C$8),OR($C$9="Semua",$C$9="",D2809=$C$9),OR($C$10="",B2809&gt;=$C$10),OR($C$11="",B2809&lt;=$C$11),OR($C$12&lt;&gt;"Ya",K2809&lt;&gt;""),OR($C$13="Semua",$C$13="",L2809=$C$13)),"✓","")</f>
        <v/>
      </c>
      <c r="N2809" s="93">
        <f>N(N2808)+IF(M2809="✓",1,0)</f>
        <v/>
      </c>
      <c r="O2809" s="93">
        <f>N(O2808)+IF(AND(B2809&lt;&gt;"",B2809&gt;='Uang Riba'!$H$30,B2809&lt;='Uang Riba'!$I$30,OR(H2809="Dana riba",H2809="Pinjam uang riba",I2809="Pinjam dari uang riba",I2809="Ganti uang riba",I2809="Kelebihan ganti dikembalikan",AND(C2809="Kantong Uang Riba",G2809="Pengeluaran"))),1,0)</f>
        <v/>
      </c>
      <c r="X2809" s="93">
        <f>IF(AND(B2809&lt;&gt;"",B2809&gt;='Buku Akun'!$H$4,B2809&lt;='Buku Akun'!$H$5,OR(C2809='Buku Akun'!$C$4,AND(D2809="Pindah",E2809='Buku Akun'!$C$4))),B2809+IF(AND(I2809="Selisih bunga",DAY(B2809)=1),0,0.01)+ROW()/10000000,"")</f>
        <v/>
      </c>
    </row>
    <row r="2810" outlineLevel="1" ht="15" customHeight="1" s="94">
      <c r="A2810" s="123">
        <f>IF(B2810="","",ROW()-15)</f>
        <v/>
      </c>
      <c r="B2810" s="124" t="n"/>
      <c r="C2810" s="123" t="n"/>
      <c r="D2810" s="123" t="n"/>
      <c r="E2810" s="123" t="n"/>
      <c r="F2810" s="125" t="n"/>
      <c r="G2810" s="123" t="n"/>
      <c r="H2810" s="123" t="n"/>
      <c r="I2810" s="123" t="n"/>
      <c r="J2810" s="123" t="n"/>
      <c r="K2810" s="123" t="n"/>
      <c r="L2810" s="123" t="n"/>
      <c r="M2810" s="123">
        <f>IF(AND(B2810&lt;&gt;"",OR($C$4="",ISNUMBER(SEARCH($C$4,C2810&amp;" "&amp;E2810&amp;" "&amp;G2810&amp;" "&amp;H2810&amp;" "&amp;I2810&amp;" "&amp;J2810&amp;" "&amp;K2810&amp;" "&amp;L2810))),OR($C$5="Semua",$C$5="",G2810=$C$5),OR($C$6="Semua",$C$6="",H2810=$C$6,H2810="Pengeluaran "&amp;$C$6,AND($C$6="Uang Kos Mama",H2810="Pengeluaran Uang Kos")),OR($C$7="Semua",$C$7="",I2810=$C$7),OR($C$8="Semua",$C$8="",C2810=$C$8,E2810=$C$8),OR($C$9="Semua",$C$9="",D2810=$C$9),OR($C$10="",B2810&gt;=$C$10),OR($C$11="",B2810&lt;=$C$11),OR($C$12&lt;&gt;"Ya",K2810&lt;&gt;""),OR($C$13="Semua",$C$13="",L2810=$C$13)),"✓","")</f>
        <v/>
      </c>
      <c r="N2810" s="93">
        <f>N(N2809)+IF(M2810="✓",1,0)</f>
        <v/>
      </c>
      <c r="O2810" s="93">
        <f>N(O2809)+IF(AND(B2810&lt;&gt;"",B2810&gt;='Uang Riba'!$H$30,B2810&lt;='Uang Riba'!$I$30,OR(H2810="Dana riba",H2810="Pinjam uang riba",I2810="Pinjam dari uang riba",I2810="Ganti uang riba",I2810="Kelebihan ganti dikembalikan",AND(C2810="Kantong Uang Riba",G2810="Pengeluaran"))),1,0)</f>
        <v/>
      </c>
      <c r="X2810" s="93">
        <f>IF(AND(B2810&lt;&gt;"",B2810&gt;='Buku Akun'!$H$4,B2810&lt;='Buku Akun'!$H$5,OR(C2810='Buku Akun'!$C$4,AND(D2810="Pindah",E2810='Buku Akun'!$C$4))),B2810+IF(AND(I2810="Selisih bunga",DAY(B2810)=1),0,0.01)+ROW()/10000000,"")</f>
        <v/>
      </c>
    </row>
    <row r="2811" outlineLevel="1" ht="15" customHeight="1" s="94">
      <c r="A2811" s="123">
        <f>IF(B2811="","",ROW()-15)</f>
        <v/>
      </c>
      <c r="B2811" s="124" t="n"/>
      <c r="C2811" s="123" t="n"/>
      <c r="D2811" s="123" t="n"/>
      <c r="E2811" s="123" t="n"/>
      <c r="F2811" s="125" t="n"/>
      <c r="G2811" s="123" t="n"/>
      <c r="H2811" s="123" t="n"/>
      <c r="I2811" s="123" t="n"/>
      <c r="J2811" s="123" t="n"/>
      <c r="K2811" s="123" t="n"/>
      <c r="L2811" s="123" t="n"/>
      <c r="M2811" s="123">
        <f>IF(AND(B2811&lt;&gt;"",OR($C$4="",ISNUMBER(SEARCH($C$4,C2811&amp;" "&amp;E2811&amp;" "&amp;G2811&amp;" "&amp;H2811&amp;" "&amp;I2811&amp;" "&amp;J2811&amp;" "&amp;K2811&amp;" "&amp;L2811))),OR($C$5="Semua",$C$5="",G2811=$C$5),OR($C$6="Semua",$C$6="",H2811=$C$6,H2811="Pengeluaran "&amp;$C$6,AND($C$6="Uang Kos Mama",H2811="Pengeluaran Uang Kos")),OR($C$7="Semua",$C$7="",I2811=$C$7),OR($C$8="Semua",$C$8="",C2811=$C$8,E2811=$C$8),OR($C$9="Semua",$C$9="",D2811=$C$9),OR($C$10="",B2811&gt;=$C$10),OR($C$11="",B2811&lt;=$C$11),OR($C$12&lt;&gt;"Ya",K2811&lt;&gt;""),OR($C$13="Semua",$C$13="",L2811=$C$13)),"✓","")</f>
        <v/>
      </c>
      <c r="N2811" s="93">
        <f>N(N2810)+IF(M2811="✓",1,0)</f>
        <v/>
      </c>
      <c r="O2811" s="93">
        <f>N(O2810)+IF(AND(B2811&lt;&gt;"",B2811&gt;='Uang Riba'!$H$30,B2811&lt;='Uang Riba'!$I$30,OR(H2811="Dana riba",H2811="Pinjam uang riba",I2811="Pinjam dari uang riba",I2811="Ganti uang riba",I2811="Kelebihan ganti dikembalikan",AND(C2811="Kantong Uang Riba",G2811="Pengeluaran"))),1,0)</f>
        <v/>
      </c>
      <c r="X2811" s="93">
        <f>IF(AND(B2811&lt;&gt;"",B2811&gt;='Buku Akun'!$H$4,B2811&lt;='Buku Akun'!$H$5,OR(C2811='Buku Akun'!$C$4,AND(D2811="Pindah",E2811='Buku Akun'!$C$4))),B2811+IF(AND(I2811="Selisih bunga",DAY(B2811)=1),0,0.01)+ROW()/10000000,"")</f>
        <v/>
      </c>
    </row>
    <row r="2812" outlineLevel="1" ht="15" customHeight="1" s="94">
      <c r="A2812" s="123">
        <f>IF(B2812="","",ROW()-15)</f>
        <v/>
      </c>
      <c r="B2812" s="124" t="n"/>
      <c r="C2812" s="123" t="n"/>
      <c r="D2812" s="123" t="n"/>
      <c r="E2812" s="123" t="n"/>
      <c r="F2812" s="125" t="n"/>
      <c r="G2812" s="123" t="n"/>
      <c r="H2812" s="123" t="n"/>
      <c r="I2812" s="123" t="n"/>
      <c r="J2812" s="123" t="n"/>
      <c r="K2812" s="123" t="n"/>
      <c r="L2812" s="123" t="n"/>
      <c r="M2812" s="123">
        <f>IF(AND(B2812&lt;&gt;"",OR($C$4="",ISNUMBER(SEARCH($C$4,C2812&amp;" "&amp;E2812&amp;" "&amp;G2812&amp;" "&amp;H2812&amp;" "&amp;I2812&amp;" "&amp;J2812&amp;" "&amp;K2812&amp;" "&amp;L2812))),OR($C$5="Semua",$C$5="",G2812=$C$5),OR($C$6="Semua",$C$6="",H2812=$C$6,H2812="Pengeluaran "&amp;$C$6,AND($C$6="Uang Kos Mama",H2812="Pengeluaran Uang Kos")),OR($C$7="Semua",$C$7="",I2812=$C$7),OR($C$8="Semua",$C$8="",C2812=$C$8,E2812=$C$8),OR($C$9="Semua",$C$9="",D2812=$C$9),OR($C$10="",B2812&gt;=$C$10),OR($C$11="",B2812&lt;=$C$11),OR($C$12&lt;&gt;"Ya",K2812&lt;&gt;""),OR($C$13="Semua",$C$13="",L2812=$C$13)),"✓","")</f>
        <v/>
      </c>
      <c r="N2812" s="93">
        <f>N(N2811)+IF(M2812="✓",1,0)</f>
        <v/>
      </c>
      <c r="O2812" s="93">
        <f>N(O2811)+IF(AND(B2812&lt;&gt;"",B2812&gt;='Uang Riba'!$H$30,B2812&lt;='Uang Riba'!$I$30,OR(H2812="Dana riba",H2812="Pinjam uang riba",I2812="Pinjam dari uang riba",I2812="Ganti uang riba",I2812="Kelebihan ganti dikembalikan",AND(C2812="Kantong Uang Riba",G2812="Pengeluaran"))),1,0)</f>
        <v/>
      </c>
      <c r="X2812" s="93">
        <f>IF(AND(B2812&lt;&gt;"",B2812&gt;='Buku Akun'!$H$4,B2812&lt;='Buku Akun'!$H$5,OR(C2812='Buku Akun'!$C$4,AND(D2812="Pindah",E2812='Buku Akun'!$C$4))),B2812+IF(AND(I2812="Selisih bunga",DAY(B2812)=1),0,0.01)+ROW()/10000000,"")</f>
        <v/>
      </c>
    </row>
    <row r="2813" outlineLevel="1" ht="15" customHeight="1" s="94">
      <c r="A2813" s="123">
        <f>IF(B2813="","",ROW()-15)</f>
        <v/>
      </c>
      <c r="B2813" s="124" t="n"/>
      <c r="C2813" s="123" t="n"/>
      <c r="D2813" s="123" t="n"/>
      <c r="E2813" s="123" t="n"/>
      <c r="F2813" s="125" t="n"/>
      <c r="G2813" s="123" t="n"/>
      <c r="H2813" s="123" t="n"/>
      <c r="I2813" s="123" t="n"/>
      <c r="J2813" s="123" t="n"/>
      <c r="K2813" s="123" t="n"/>
      <c r="L2813" s="123" t="n"/>
      <c r="M2813" s="123">
        <f>IF(AND(B2813&lt;&gt;"",OR($C$4="",ISNUMBER(SEARCH($C$4,C2813&amp;" "&amp;E2813&amp;" "&amp;G2813&amp;" "&amp;H2813&amp;" "&amp;I2813&amp;" "&amp;J2813&amp;" "&amp;K2813&amp;" "&amp;L2813))),OR($C$5="Semua",$C$5="",G2813=$C$5),OR($C$6="Semua",$C$6="",H2813=$C$6,H2813="Pengeluaran "&amp;$C$6,AND($C$6="Uang Kos Mama",H2813="Pengeluaran Uang Kos")),OR($C$7="Semua",$C$7="",I2813=$C$7),OR($C$8="Semua",$C$8="",C2813=$C$8,E2813=$C$8),OR($C$9="Semua",$C$9="",D2813=$C$9),OR($C$10="",B2813&gt;=$C$10),OR($C$11="",B2813&lt;=$C$11),OR($C$12&lt;&gt;"Ya",K2813&lt;&gt;""),OR($C$13="Semua",$C$13="",L2813=$C$13)),"✓","")</f>
        <v/>
      </c>
      <c r="N2813" s="93">
        <f>N(N2812)+IF(M2813="✓",1,0)</f>
        <v/>
      </c>
      <c r="O2813" s="93">
        <f>N(O2812)+IF(AND(B2813&lt;&gt;"",B2813&gt;='Uang Riba'!$H$30,B2813&lt;='Uang Riba'!$I$30,OR(H2813="Dana riba",H2813="Pinjam uang riba",I2813="Pinjam dari uang riba",I2813="Ganti uang riba",I2813="Kelebihan ganti dikembalikan",AND(C2813="Kantong Uang Riba",G2813="Pengeluaran"))),1,0)</f>
        <v/>
      </c>
      <c r="X2813" s="93">
        <f>IF(AND(B2813&lt;&gt;"",B2813&gt;='Buku Akun'!$H$4,B2813&lt;='Buku Akun'!$H$5,OR(C2813='Buku Akun'!$C$4,AND(D2813="Pindah",E2813='Buku Akun'!$C$4))),B2813+IF(AND(I2813="Selisih bunga",DAY(B2813)=1),0,0.01)+ROW()/10000000,"")</f>
        <v/>
      </c>
    </row>
    <row r="2814" outlineLevel="1" ht="15" customHeight="1" s="94">
      <c r="A2814" s="123">
        <f>IF(B2814="","",ROW()-15)</f>
        <v/>
      </c>
      <c r="B2814" s="124" t="n"/>
      <c r="C2814" s="123" t="n"/>
      <c r="D2814" s="123" t="n"/>
      <c r="E2814" s="123" t="n"/>
      <c r="F2814" s="125" t="n"/>
      <c r="G2814" s="123" t="n"/>
      <c r="H2814" s="123" t="n"/>
      <c r="I2814" s="123" t="n"/>
      <c r="J2814" s="123" t="n"/>
      <c r="K2814" s="123" t="n"/>
      <c r="L2814" s="123" t="n"/>
      <c r="M2814" s="123">
        <f>IF(AND(B2814&lt;&gt;"",OR($C$4="",ISNUMBER(SEARCH($C$4,C2814&amp;" "&amp;E2814&amp;" "&amp;G2814&amp;" "&amp;H2814&amp;" "&amp;I2814&amp;" "&amp;J2814&amp;" "&amp;K2814&amp;" "&amp;L2814))),OR($C$5="Semua",$C$5="",G2814=$C$5),OR($C$6="Semua",$C$6="",H2814=$C$6,H2814="Pengeluaran "&amp;$C$6,AND($C$6="Uang Kos Mama",H2814="Pengeluaran Uang Kos")),OR($C$7="Semua",$C$7="",I2814=$C$7),OR($C$8="Semua",$C$8="",C2814=$C$8,E2814=$C$8),OR($C$9="Semua",$C$9="",D2814=$C$9),OR($C$10="",B2814&gt;=$C$10),OR($C$11="",B2814&lt;=$C$11),OR($C$12&lt;&gt;"Ya",K2814&lt;&gt;""),OR($C$13="Semua",$C$13="",L2814=$C$13)),"✓","")</f>
        <v/>
      </c>
      <c r="N2814" s="93">
        <f>N(N2813)+IF(M2814="✓",1,0)</f>
        <v/>
      </c>
      <c r="O2814" s="93">
        <f>N(O2813)+IF(AND(B2814&lt;&gt;"",B2814&gt;='Uang Riba'!$H$30,B2814&lt;='Uang Riba'!$I$30,OR(H2814="Dana riba",H2814="Pinjam uang riba",I2814="Pinjam dari uang riba",I2814="Ganti uang riba",I2814="Kelebihan ganti dikembalikan",AND(C2814="Kantong Uang Riba",G2814="Pengeluaran"))),1,0)</f>
        <v/>
      </c>
      <c r="X2814" s="93">
        <f>IF(AND(B2814&lt;&gt;"",B2814&gt;='Buku Akun'!$H$4,B2814&lt;='Buku Akun'!$H$5,OR(C2814='Buku Akun'!$C$4,AND(D2814="Pindah",E2814='Buku Akun'!$C$4))),B2814+IF(AND(I2814="Selisih bunga",DAY(B2814)=1),0,0.01)+ROW()/10000000,"")</f>
        <v/>
      </c>
    </row>
    <row r="2815" outlineLevel="1" ht="15" customHeight="1" s="94">
      <c r="A2815" s="123">
        <f>IF(B2815="","",ROW()-15)</f>
        <v/>
      </c>
      <c r="B2815" s="124" t="n"/>
      <c r="C2815" s="123" t="n"/>
      <c r="D2815" s="123" t="n"/>
      <c r="E2815" s="123" t="n"/>
      <c r="F2815" s="125" t="n"/>
      <c r="G2815" s="123" t="n"/>
      <c r="H2815" s="123" t="n"/>
      <c r="I2815" s="123" t="n"/>
      <c r="J2815" s="123" t="n"/>
      <c r="K2815" s="123" t="n"/>
      <c r="L2815" s="123" t="n"/>
      <c r="M2815" s="123">
        <f>IF(AND(B2815&lt;&gt;"",OR($C$4="",ISNUMBER(SEARCH($C$4,C2815&amp;" "&amp;E2815&amp;" "&amp;G2815&amp;" "&amp;H2815&amp;" "&amp;I2815&amp;" "&amp;J2815&amp;" "&amp;K2815&amp;" "&amp;L2815))),OR($C$5="Semua",$C$5="",G2815=$C$5),OR($C$6="Semua",$C$6="",H2815=$C$6,H2815="Pengeluaran "&amp;$C$6,AND($C$6="Uang Kos Mama",H2815="Pengeluaran Uang Kos")),OR($C$7="Semua",$C$7="",I2815=$C$7),OR($C$8="Semua",$C$8="",C2815=$C$8,E2815=$C$8),OR($C$9="Semua",$C$9="",D2815=$C$9),OR($C$10="",B2815&gt;=$C$10),OR($C$11="",B2815&lt;=$C$11),OR($C$12&lt;&gt;"Ya",K2815&lt;&gt;""),OR($C$13="Semua",$C$13="",L2815=$C$13)),"✓","")</f>
        <v/>
      </c>
      <c r="N2815" s="93">
        <f>N(N2814)+IF(M2815="✓",1,0)</f>
        <v/>
      </c>
      <c r="O2815" s="93">
        <f>N(O2814)+IF(AND(B2815&lt;&gt;"",B2815&gt;='Uang Riba'!$H$30,B2815&lt;='Uang Riba'!$I$30,OR(H2815="Dana riba",H2815="Pinjam uang riba",I2815="Pinjam dari uang riba",I2815="Ganti uang riba",I2815="Kelebihan ganti dikembalikan",AND(C2815="Kantong Uang Riba",G2815="Pengeluaran"))),1,0)</f>
        <v/>
      </c>
      <c r="X2815" s="93">
        <f>IF(AND(B2815&lt;&gt;"",B2815&gt;='Buku Akun'!$H$4,B2815&lt;='Buku Akun'!$H$5,OR(C2815='Buku Akun'!$C$4,AND(D2815="Pindah",E2815='Buku Akun'!$C$4))),B2815+IF(AND(I2815="Selisih bunga",DAY(B2815)=1),0,0.01)+ROW()/10000000,"")</f>
        <v/>
      </c>
    </row>
    <row r="2816" outlineLevel="1" ht="15" customHeight="1" s="94">
      <c r="A2816" s="123">
        <f>IF(B2816="","",ROW()-15)</f>
        <v/>
      </c>
      <c r="B2816" s="124" t="n"/>
      <c r="C2816" s="123" t="n"/>
      <c r="D2816" s="123" t="n"/>
      <c r="E2816" s="123" t="n"/>
      <c r="F2816" s="125" t="n"/>
      <c r="G2816" s="123" t="n"/>
      <c r="H2816" s="123" t="n"/>
      <c r="I2816" s="123" t="n"/>
      <c r="J2816" s="123" t="n"/>
      <c r="K2816" s="123" t="n"/>
      <c r="L2816" s="123" t="n"/>
      <c r="M2816" s="123">
        <f>IF(AND(B2816&lt;&gt;"",OR($C$4="",ISNUMBER(SEARCH($C$4,C2816&amp;" "&amp;E2816&amp;" "&amp;G2816&amp;" "&amp;H2816&amp;" "&amp;I2816&amp;" "&amp;J2816&amp;" "&amp;K2816&amp;" "&amp;L2816))),OR($C$5="Semua",$C$5="",G2816=$C$5),OR($C$6="Semua",$C$6="",H2816=$C$6,H2816="Pengeluaran "&amp;$C$6,AND($C$6="Uang Kos Mama",H2816="Pengeluaran Uang Kos")),OR($C$7="Semua",$C$7="",I2816=$C$7),OR($C$8="Semua",$C$8="",C2816=$C$8,E2816=$C$8),OR($C$9="Semua",$C$9="",D2816=$C$9),OR($C$10="",B2816&gt;=$C$10),OR($C$11="",B2816&lt;=$C$11),OR($C$12&lt;&gt;"Ya",K2816&lt;&gt;""),OR($C$13="Semua",$C$13="",L2816=$C$13)),"✓","")</f>
        <v/>
      </c>
      <c r="N2816" s="93">
        <f>N(N2815)+IF(M2816="✓",1,0)</f>
        <v/>
      </c>
      <c r="O2816" s="93">
        <f>N(O2815)+IF(AND(B2816&lt;&gt;"",B2816&gt;='Uang Riba'!$H$30,B2816&lt;='Uang Riba'!$I$30,OR(H2816="Dana riba",H2816="Pinjam uang riba",I2816="Pinjam dari uang riba",I2816="Ganti uang riba",I2816="Kelebihan ganti dikembalikan",AND(C2816="Kantong Uang Riba",G2816="Pengeluaran"))),1,0)</f>
        <v/>
      </c>
      <c r="X2816" s="93">
        <f>IF(AND(B2816&lt;&gt;"",B2816&gt;='Buku Akun'!$H$4,B2816&lt;='Buku Akun'!$H$5,OR(C2816='Buku Akun'!$C$4,AND(D2816="Pindah",E2816='Buku Akun'!$C$4))),B2816+IF(AND(I2816="Selisih bunga",DAY(B2816)=1),0,0.01)+ROW()/10000000,"")</f>
        <v/>
      </c>
    </row>
    <row r="2817" outlineLevel="1" ht="15" customHeight="1" s="94">
      <c r="A2817" s="123">
        <f>IF(B2817="","",ROW()-15)</f>
        <v/>
      </c>
      <c r="B2817" s="124" t="n"/>
      <c r="C2817" s="123" t="n"/>
      <c r="D2817" s="123" t="n"/>
      <c r="E2817" s="123" t="n"/>
      <c r="F2817" s="125" t="n"/>
      <c r="G2817" s="123" t="n"/>
      <c r="H2817" s="123" t="n"/>
      <c r="I2817" s="123" t="n"/>
      <c r="J2817" s="123" t="n"/>
      <c r="K2817" s="123" t="n"/>
      <c r="L2817" s="123" t="n"/>
      <c r="M2817" s="123">
        <f>IF(AND(B2817&lt;&gt;"",OR($C$4="",ISNUMBER(SEARCH($C$4,C2817&amp;" "&amp;E2817&amp;" "&amp;G2817&amp;" "&amp;H2817&amp;" "&amp;I2817&amp;" "&amp;J2817&amp;" "&amp;K2817&amp;" "&amp;L2817))),OR($C$5="Semua",$C$5="",G2817=$C$5),OR($C$6="Semua",$C$6="",H2817=$C$6,H2817="Pengeluaran "&amp;$C$6,AND($C$6="Uang Kos Mama",H2817="Pengeluaran Uang Kos")),OR($C$7="Semua",$C$7="",I2817=$C$7),OR($C$8="Semua",$C$8="",C2817=$C$8,E2817=$C$8),OR($C$9="Semua",$C$9="",D2817=$C$9),OR($C$10="",B2817&gt;=$C$10),OR($C$11="",B2817&lt;=$C$11),OR($C$12&lt;&gt;"Ya",K2817&lt;&gt;""),OR($C$13="Semua",$C$13="",L2817=$C$13)),"✓","")</f>
        <v/>
      </c>
      <c r="N2817" s="93">
        <f>N(N2816)+IF(M2817="✓",1,0)</f>
        <v/>
      </c>
      <c r="O2817" s="93">
        <f>N(O2816)+IF(AND(B2817&lt;&gt;"",B2817&gt;='Uang Riba'!$H$30,B2817&lt;='Uang Riba'!$I$30,OR(H2817="Dana riba",H2817="Pinjam uang riba",I2817="Pinjam dari uang riba",I2817="Ganti uang riba",I2817="Kelebihan ganti dikembalikan",AND(C2817="Kantong Uang Riba",G2817="Pengeluaran"))),1,0)</f>
        <v/>
      </c>
      <c r="X2817" s="126">
        <f>IF(AND(B2817&lt;&gt;"",B2817&gt;='Buku Akun'!$H$4,B2817&lt;='Buku Akun'!$H$5,OR(C2817='Buku Akun'!$C$4,AND(D2817="Pindah",E2817='Buku Akun'!$C$4))),B2817+IF(AND(I2817="Selisih bunga",DAY(B2817)=1),0,0.01)+ROW()/10000000,"")</f>
        <v/>
      </c>
    </row>
    <row r="2818" outlineLevel="1" ht="15" customHeight="1" s="94">
      <c r="A2818" s="123">
        <f>IF(B2818="","",ROW()-15)</f>
        <v/>
      </c>
      <c r="B2818" s="124" t="n"/>
      <c r="C2818" s="123" t="n"/>
      <c r="D2818" s="123" t="n"/>
      <c r="E2818" s="123" t="n"/>
      <c r="F2818" s="125" t="n"/>
      <c r="G2818" s="123" t="n"/>
      <c r="H2818" s="123" t="n"/>
      <c r="I2818" s="123" t="n"/>
      <c r="J2818" s="123" t="n"/>
      <c r="K2818" s="123" t="n"/>
      <c r="L2818" s="123" t="n"/>
      <c r="M2818" s="123">
        <f>IF(AND(B2818&lt;&gt;"",OR($C$4="",ISNUMBER(SEARCH($C$4,C2818&amp;" "&amp;E2818&amp;" "&amp;G2818&amp;" "&amp;H2818&amp;" "&amp;I2818&amp;" "&amp;J2818&amp;" "&amp;K2818&amp;" "&amp;L2818))),OR($C$5="Semua",$C$5="",G2818=$C$5),OR($C$6="Semua",$C$6="",H2818=$C$6,H2818="Pengeluaran "&amp;$C$6,AND($C$6="Uang Kos Mama",H2818="Pengeluaran Uang Kos")),OR($C$7="Semua",$C$7="",I2818=$C$7),OR($C$8="Semua",$C$8="",C2818=$C$8,E2818=$C$8),OR($C$9="Semua",$C$9="",D2818=$C$9),OR($C$10="",B2818&gt;=$C$10),OR($C$11="",B2818&lt;=$C$11),OR($C$12&lt;&gt;"Ya",K2818&lt;&gt;""),OR($C$13="Semua",$C$13="",L2818=$C$13)),"✓","")</f>
        <v/>
      </c>
      <c r="N2818" s="93">
        <f>N(N2817)+IF(M2818="✓",1,0)</f>
        <v/>
      </c>
      <c r="O2818" s="93">
        <f>N(O2817)+IF(AND(B2818&lt;&gt;"",B2818&gt;='Uang Riba'!$H$30,B2818&lt;='Uang Riba'!$I$30,OR(H2818="Dana riba",H2818="Pinjam uang riba",I2818="Pinjam dari uang riba",I2818="Ganti uang riba",I2818="Kelebihan ganti dikembalikan",AND(C2818="Kantong Uang Riba",G2818="Pengeluaran"))),1,0)</f>
        <v/>
      </c>
      <c r="X2818" s="126">
        <f>IF(AND(B2818&lt;&gt;"",B2818&gt;='Buku Akun'!$H$4,B2818&lt;='Buku Akun'!$H$5,OR(C2818='Buku Akun'!$C$4,AND(D2818="Pindah",E2818='Buku Akun'!$C$4))),B2818+IF(AND(I2818="Selisih bunga",DAY(B2818)=1),0,0.01)+ROW()/10000000,"")</f>
        <v/>
      </c>
    </row>
    <row r="2819" outlineLevel="1" ht="15" customHeight="1" s="94">
      <c r="A2819" s="123">
        <f>IF(B2819="","",ROW()-15)</f>
        <v/>
      </c>
      <c r="B2819" s="124" t="n"/>
      <c r="C2819" s="123" t="n"/>
      <c r="D2819" s="123" t="n"/>
      <c r="E2819" s="123" t="n"/>
      <c r="F2819" s="125" t="n"/>
      <c r="G2819" s="123" t="n"/>
      <c r="H2819" s="123" t="n"/>
      <c r="I2819" s="123" t="n"/>
      <c r="J2819" s="123" t="n"/>
      <c r="K2819" s="123" t="n"/>
      <c r="L2819" s="123" t="n"/>
      <c r="M2819" s="123">
        <f>IF(AND(B2819&lt;&gt;"",OR($C$4="",ISNUMBER(SEARCH($C$4,C2819&amp;" "&amp;E2819&amp;" "&amp;G2819&amp;" "&amp;H2819&amp;" "&amp;I2819&amp;" "&amp;J2819&amp;" "&amp;K2819&amp;" "&amp;L2819))),OR($C$5="Semua",$C$5="",G2819=$C$5),OR($C$6="Semua",$C$6="",H2819=$C$6,H2819="Pengeluaran "&amp;$C$6,AND($C$6="Uang Kos Mama",H2819="Pengeluaran Uang Kos")),OR($C$7="Semua",$C$7="",I2819=$C$7),OR($C$8="Semua",$C$8="",C2819=$C$8,E2819=$C$8),OR($C$9="Semua",$C$9="",D2819=$C$9),OR($C$10="",B2819&gt;=$C$10),OR($C$11="",B2819&lt;=$C$11),OR($C$12&lt;&gt;"Ya",K2819&lt;&gt;""),OR($C$13="Semua",$C$13="",L2819=$C$13)),"✓","")</f>
        <v/>
      </c>
      <c r="N2819" s="93">
        <f>N(N2818)+IF(M2819="✓",1,0)</f>
        <v/>
      </c>
      <c r="O2819" s="93">
        <f>N(O2818)+IF(AND(B2819&lt;&gt;"",B2819&gt;='Uang Riba'!$H$30,B2819&lt;='Uang Riba'!$I$30,OR(H2819="Dana riba",H2819="Pinjam uang riba",I2819="Pinjam dari uang riba",I2819="Ganti uang riba",I2819="Kelebihan ganti dikembalikan",AND(C2819="Kantong Uang Riba",G2819="Pengeluaran"))),1,0)</f>
        <v/>
      </c>
      <c r="X2819" s="126">
        <f>IF(AND(B2819&lt;&gt;"",B2819&gt;='Buku Akun'!$H$4,B2819&lt;='Buku Akun'!$H$5,OR(C2819='Buku Akun'!$C$4,AND(D2819="Pindah",E2819='Buku Akun'!$C$4))),B2819+IF(AND(I2819="Selisih bunga",DAY(B2819)=1),0,0.01)+ROW()/10000000,"")</f>
        <v/>
      </c>
    </row>
    <row r="2820" outlineLevel="1" ht="15" customHeight="1" s="94">
      <c r="A2820" s="123">
        <f>IF(B2820="","",ROW()-15)</f>
        <v/>
      </c>
      <c r="B2820" s="124" t="n"/>
      <c r="C2820" s="123" t="n"/>
      <c r="D2820" s="123" t="n"/>
      <c r="E2820" s="123" t="n"/>
      <c r="F2820" s="125" t="n"/>
      <c r="G2820" s="123" t="n"/>
      <c r="H2820" s="123" t="n"/>
      <c r="I2820" s="123" t="n"/>
      <c r="J2820" s="123" t="n"/>
      <c r="K2820" s="123" t="n"/>
      <c r="L2820" s="123" t="n"/>
      <c r="M2820" s="123">
        <f>IF(AND(B2820&lt;&gt;"",OR($C$4="",ISNUMBER(SEARCH($C$4,C2820&amp;" "&amp;E2820&amp;" "&amp;G2820&amp;" "&amp;H2820&amp;" "&amp;I2820&amp;" "&amp;J2820&amp;" "&amp;K2820&amp;" "&amp;L2820))),OR($C$5="Semua",$C$5="",G2820=$C$5),OR($C$6="Semua",$C$6="",H2820=$C$6,H2820="Pengeluaran "&amp;$C$6,AND($C$6="Uang Kos Mama",H2820="Pengeluaran Uang Kos")),OR($C$7="Semua",$C$7="",I2820=$C$7),OR($C$8="Semua",$C$8="",C2820=$C$8,E2820=$C$8),OR($C$9="Semua",$C$9="",D2820=$C$9),OR($C$10="",B2820&gt;=$C$10),OR($C$11="",B2820&lt;=$C$11),OR($C$12&lt;&gt;"Ya",K2820&lt;&gt;""),OR($C$13="Semua",$C$13="",L2820=$C$13)),"✓","")</f>
        <v/>
      </c>
      <c r="N2820" s="93">
        <f>N(N2819)+IF(M2820="✓",1,0)</f>
        <v/>
      </c>
      <c r="O2820" s="93">
        <f>N(O2819)+IF(AND(B2820&lt;&gt;"",B2820&gt;='Uang Riba'!$H$30,B2820&lt;='Uang Riba'!$I$30,OR(H2820="Dana riba",H2820="Pinjam uang riba",I2820="Pinjam dari uang riba",I2820="Ganti uang riba",I2820="Kelebihan ganti dikembalikan",AND(C2820="Kantong Uang Riba",G2820="Pengeluaran"))),1,0)</f>
        <v/>
      </c>
      <c r="X2820" s="126">
        <f>IF(AND(B2820&lt;&gt;"",B2820&gt;='Buku Akun'!$H$4,B2820&lt;='Buku Akun'!$H$5,OR(C2820='Buku Akun'!$C$4,AND(D2820="Pindah",E2820='Buku Akun'!$C$4))),B2820+IF(AND(I2820="Selisih bunga",DAY(B2820)=1),0,0.01)+ROW()/10000000,"")</f>
        <v/>
      </c>
    </row>
    <row r="2821" outlineLevel="1" ht="15" customHeight="1" s="94">
      <c r="A2821" s="123">
        <f>IF(B2821="","",ROW()-15)</f>
        <v/>
      </c>
      <c r="B2821" s="124" t="n"/>
      <c r="C2821" s="123" t="n"/>
      <c r="D2821" s="123" t="n"/>
      <c r="E2821" s="123" t="n"/>
      <c r="F2821" s="125" t="n"/>
      <c r="G2821" s="123" t="n"/>
      <c r="H2821" s="123" t="n"/>
      <c r="I2821" s="123" t="n"/>
      <c r="J2821" s="123" t="n"/>
      <c r="K2821" s="123" t="n"/>
      <c r="L2821" s="123" t="n"/>
      <c r="M2821" s="123">
        <f>IF(AND(B2821&lt;&gt;"",OR($C$4="",ISNUMBER(SEARCH($C$4,C2821&amp;" "&amp;E2821&amp;" "&amp;G2821&amp;" "&amp;H2821&amp;" "&amp;I2821&amp;" "&amp;J2821&amp;" "&amp;K2821&amp;" "&amp;L2821))),OR($C$5="Semua",$C$5="",G2821=$C$5),OR($C$6="Semua",$C$6="",H2821=$C$6,H2821="Pengeluaran "&amp;$C$6,AND($C$6="Uang Kos Mama",H2821="Pengeluaran Uang Kos")),OR($C$7="Semua",$C$7="",I2821=$C$7),OR($C$8="Semua",$C$8="",C2821=$C$8,E2821=$C$8),OR($C$9="Semua",$C$9="",D2821=$C$9),OR($C$10="",B2821&gt;=$C$10),OR($C$11="",B2821&lt;=$C$11),OR($C$12&lt;&gt;"Ya",K2821&lt;&gt;""),OR($C$13="Semua",$C$13="",L2821=$C$13)),"✓","")</f>
        <v/>
      </c>
      <c r="N2821" s="93">
        <f>N(N2820)+IF(M2821="✓",1,0)</f>
        <v/>
      </c>
      <c r="O2821" s="93">
        <f>N(O2820)+IF(AND(B2821&lt;&gt;"",B2821&gt;='Uang Riba'!$H$30,B2821&lt;='Uang Riba'!$I$30,OR(H2821="Dana riba",H2821="Pinjam uang riba",I2821="Pinjam dari uang riba",I2821="Ganti uang riba",I2821="Kelebihan ganti dikembalikan",AND(C2821="Kantong Uang Riba",G2821="Pengeluaran"))),1,0)</f>
        <v/>
      </c>
      <c r="X2821" s="126">
        <f>IF(AND(B2821&lt;&gt;"",B2821&gt;='Buku Akun'!$H$4,B2821&lt;='Buku Akun'!$H$5,OR(C2821='Buku Akun'!$C$4,AND(D2821="Pindah",E2821='Buku Akun'!$C$4))),B2821+IF(AND(I2821="Selisih bunga",DAY(B2821)=1),0,0.01)+ROW()/10000000,"")</f>
        <v/>
      </c>
    </row>
    <row r="2822" outlineLevel="1" ht="15" customHeight="1" s="94">
      <c r="A2822" s="123">
        <f>IF(B2822="","",ROW()-15)</f>
        <v/>
      </c>
      <c r="B2822" s="124" t="n"/>
      <c r="C2822" s="123" t="n"/>
      <c r="D2822" s="123" t="n"/>
      <c r="E2822" s="123" t="n"/>
      <c r="F2822" s="125" t="n"/>
      <c r="G2822" s="123" t="n"/>
      <c r="H2822" s="123" t="n"/>
      <c r="I2822" s="123" t="n"/>
      <c r="J2822" s="123" t="n"/>
      <c r="K2822" s="123" t="n"/>
      <c r="L2822" s="123" t="n"/>
      <c r="M2822" s="123">
        <f>IF(AND(B2822&lt;&gt;"",OR($C$4="",ISNUMBER(SEARCH($C$4,C2822&amp;" "&amp;E2822&amp;" "&amp;G2822&amp;" "&amp;H2822&amp;" "&amp;I2822&amp;" "&amp;J2822&amp;" "&amp;K2822&amp;" "&amp;L2822))),OR($C$5="Semua",$C$5="",G2822=$C$5),OR($C$6="Semua",$C$6="",H2822=$C$6,H2822="Pengeluaran "&amp;$C$6,AND($C$6="Uang Kos Mama",H2822="Pengeluaran Uang Kos")),OR($C$7="Semua",$C$7="",I2822=$C$7),OR($C$8="Semua",$C$8="",C2822=$C$8,E2822=$C$8),OR($C$9="Semua",$C$9="",D2822=$C$9),OR($C$10="",B2822&gt;=$C$10),OR($C$11="",B2822&lt;=$C$11),OR($C$12&lt;&gt;"Ya",K2822&lt;&gt;""),OR($C$13="Semua",$C$13="",L2822=$C$13)),"✓","")</f>
        <v/>
      </c>
      <c r="N2822" s="93">
        <f>N(N2821)+IF(M2822="✓",1,0)</f>
        <v/>
      </c>
      <c r="O2822" s="93">
        <f>N(O2821)+IF(AND(B2822&lt;&gt;"",B2822&gt;='Uang Riba'!$H$30,B2822&lt;='Uang Riba'!$I$30,OR(H2822="Dana riba",H2822="Pinjam uang riba",I2822="Pinjam dari uang riba",I2822="Ganti uang riba",I2822="Kelebihan ganti dikembalikan",AND(C2822="Kantong Uang Riba",G2822="Pengeluaran"))),1,0)</f>
        <v/>
      </c>
      <c r="X2822" s="93">
        <f>IF(AND(B2822&lt;&gt;"",B2822&gt;='Buku Akun'!$H$4,B2822&lt;='Buku Akun'!$H$5,OR(C2822='Buku Akun'!$C$4,AND(D2822="Pindah",E2822='Buku Akun'!$C$4))),B2822+IF(AND(I2822="Selisih bunga",DAY(B2822)=1),0,0.01)+ROW()/10000000,"")</f>
        <v/>
      </c>
    </row>
    <row r="2823" outlineLevel="1" ht="15" customHeight="1" s="94">
      <c r="A2823" s="123">
        <f>IF(B2823="","",ROW()-15)</f>
        <v/>
      </c>
      <c r="B2823" s="124" t="n"/>
      <c r="C2823" s="123" t="n"/>
      <c r="D2823" s="123" t="n"/>
      <c r="E2823" s="123" t="n"/>
      <c r="F2823" s="125" t="n"/>
      <c r="G2823" s="123" t="n"/>
      <c r="H2823" s="123" t="n"/>
      <c r="I2823" s="123" t="n"/>
      <c r="J2823" s="123" t="n"/>
      <c r="K2823" s="123" t="n"/>
      <c r="L2823" s="123" t="n"/>
      <c r="M2823" s="123">
        <f>IF(AND(B2823&lt;&gt;"",OR($C$4="",ISNUMBER(SEARCH($C$4,C2823&amp;" "&amp;E2823&amp;" "&amp;G2823&amp;" "&amp;H2823&amp;" "&amp;I2823&amp;" "&amp;J2823&amp;" "&amp;K2823&amp;" "&amp;L2823))),OR($C$5="Semua",$C$5="",G2823=$C$5),OR($C$6="Semua",$C$6="",H2823=$C$6,H2823="Pengeluaran "&amp;$C$6,AND($C$6="Uang Kos Mama",H2823="Pengeluaran Uang Kos")),OR($C$7="Semua",$C$7="",I2823=$C$7),OR($C$8="Semua",$C$8="",C2823=$C$8,E2823=$C$8),OR($C$9="Semua",$C$9="",D2823=$C$9),OR($C$10="",B2823&gt;=$C$10),OR($C$11="",B2823&lt;=$C$11),OR($C$12&lt;&gt;"Ya",K2823&lt;&gt;""),OR($C$13="Semua",$C$13="",L2823=$C$13)),"✓","")</f>
        <v/>
      </c>
      <c r="N2823" s="93">
        <f>N(N2822)+IF(M2823="✓",1,0)</f>
        <v/>
      </c>
      <c r="O2823" s="93">
        <f>N(O2822)+IF(AND(B2823&lt;&gt;"",B2823&gt;='Uang Riba'!$H$30,B2823&lt;='Uang Riba'!$I$30,OR(H2823="Dana riba",H2823="Pinjam uang riba",I2823="Pinjam dari uang riba",I2823="Ganti uang riba",I2823="Kelebihan ganti dikembalikan",AND(C2823="Kantong Uang Riba",G2823="Pengeluaran"))),1,0)</f>
        <v/>
      </c>
      <c r="X2823" s="93">
        <f>IF(AND(B2823&lt;&gt;"",B2823&gt;='Buku Akun'!$H$4,B2823&lt;='Buku Akun'!$H$5,OR(C2823='Buku Akun'!$C$4,AND(D2823="Pindah",E2823='Buku Akun'!$C$4))),B2823+IF(AND(I2823="Selisih bunga",DAY(B2823)=1),0,0.01)+ROW()/10000000,"")</f>
        <v/>
      </c>
    </row>
    <row r="2824" outlineLevel="1" ht="15" customHeight="1" s="94">
      <c r="A2824" s="123">
        <f>IF(B2824="","",ROW()-15)</f>
        <v/>
      </c>
      <c r="B2824" s="124" t="n"/>
      <c r="C2824" s="123" t="n"/>
      <c r="D2824" s="123" t="n"/>
      <c r="E2824" s="123" t="n"/>
      <c r="F2824" s="125" t="n"/>
      <c r="G2824" s="123" t="n"/>
      <c r="H2824" s="123" t="n"/>
      <c r="I2824" s="123" t="n"/>
      <c r="J2824" s="123" t="n"/>
      <c r="K2824" s="123" t="n"/>
      <c r="L2824" s="123" t="n"/>
      <c r="M2824" s="123">
        <f>IF(AND(B2824&lt;&gt;"",OR($C$4="",ISNUMBER(SEARCH($C$4,C2824&amp;" "&amp;E2824&amp;" "&amp;G2824&amp;" "&amp;H2824&amp;" "&amp;I2824&amp;" "&amp;J2824&amp;" "&amp;K2824&amp;" "&amp;L2824))),OR($C$5="Semua",$C$5="",G2824=$C$5),OR($C$6="Semua",$C$6="",H2824=$C$6,H2824="Pengeluaran "&amp;$C$6,AND($C$6="Uang Kos Mama",H2824="Pengeluaran Uang Kos")),OR($C$7="Semua",$C$7="",I2824=$C$7),OR($C$8="Semua",$C$8="",C2824=$C$8,E2824=$C$8),OR($C$9="Semua",$C$9="",D2824=$C$9),OR($C$10="",B2824&gt;=$C$10),OR($C$11="",B2824&lt;=$C$11),OR($C$12&lt;&gt;"Ya",K2824&lt;&gt;""),OR($C$13="Semua",$C$13="",L2824=$C$13)),"✓","")</f>
        <v/>
      </c>
      <c r="N2824" s="93">
        <f>N(N2823)+IF(M2824="✓",1,0)</f>
        <v/>
      </c>
      <c r="O2824" s="93">
        <f>N(O2823)+IF(AND(B2824&lt;&gt;"",B2824&gt;='Uang Riba'!$H$30,B2824&lt;='Uang Riba'!$I$30,OR(H2824="Dana riba",H2824="Pinjam uang riba",I2824="Pinjam dari uang riba",I2824="Ganti uang riba",I2824="Kelebihan ganti dikembalikan",AND(C2824="Kantong Uang Riba",G2824="Pengeluaran"))),1,0)</f>
        <v/>
      </c>
      <c r="X2824" s="93">
        <f>IF(AND(B2824&lt;&gt;"",B2824&gt;='Buku Akun'!$H$4,B2824&lt;='Buku Akun'!$H$5,OR(C2824='Buku Akun'!$C$4,AND(D2824="Pindah",E2824='Buku Akun'!$C$4))),B2824+IF(AND(I2824="Selisih bunga",DAY(B2824)=1),0,0.01)+ROW()/10000000,"")</f>
        <v/>
      </c>
    </row>
    <row r="2825" outlineLevel="1" ht="15" customHeight="1" s="94">
      <c r="A2825" s="123">
        <f>IF(B2825="","",ROW()-15)</f>
        <v/>
      </c>
      <c r="B2825" s="124" t="n"/>
      <c r="C2825" s="123" t="n"/>
      <c r="D2825" s="123" t="n"/>
      <c r="E2825" s="123" t="n"/>
      <c r="F2825" s="125" t="n"/>
      <c r="G2825" s="123" t="n"/>
      <c r="H2825" s="123" t="n"/>
      <c r="I2825" s="123" t="n"/>
      <c r="J2825" s="123" t="n"/>
      <c r="K2825" s="123" t="n"/>
      <c r="L2825" s="123" t="n"/>
      <c r="M2825" s="123">
        <f>IF(AND(B2825&lt;&gt;"",OR($C$4="",ISNUMBER(SEARCH($C$4,C2825&amp;" "&amp;E2825&amp;" "&amp;G2825&amp;" "&amp;H2825&amp;" "&amp;I2825&amp;" "&amp;J2825&amp;" "&amp;K2825&amp;" "&amp;L2825))),OR($C$5="Semua",$C$5="",G2825=$C$5),OR($C$6="Semua",$C$6="",H2825=$C$6,H2825="Pengeluaran "&amp;$C$6,AND($C$6="Uang Kos Mama",H2825="Pengeluaran Uang Kos")),OR($C$7="Semua",$C$7="",I2825=$C$7),OR($C$8="Semua",$C$8="",C2825=$C$8,E2825=$C$8),OR($C$9="Semua",$C$9="",D2825=$C$9),OR($C$10="",B2825&gt;=$C$10),OR($C$11="",B2825&lt;=$C$11),OR($C$12&lt;&gt;"Ya",K2825&lt;&gt;""),OR($C$13="Semua",$C$13="",L2825=$C$13)),"✓","")</f>
        <v/>
      </c>
      <c r="N2825" s="93">
        <f>N(N2824)+IF(M2825="✓",1,0)</f>
        <v/>
      </c>
      <c r="O2825" s="93">
        <f>N(O2824)+IF(AND(B2825&lt;&gt;"",B2825&gt;='Uang Riba'!$H$30,B2825&lt;='Uang Riba'!$I$30,OR(H2825="Dana riba",H2825="Pinjam uang riba",I2825="Pinjam dari uang riba",I2825="Ganti uang riba",I2825="Kelebihan ganti dikembalikan",AND(C2825="Kantong Uang Riba",G2825="Pengeluaran"))),1,0)</f>
        <v/>
      </c>
      <c r="X2825" s="93">
        <f>IF(AND(B2825&lt;&gt;"",B2825&gt;='Buku Akun'!$H$4,B2825&lt;='Buku Akun'!$H$5,OR(C2825='Buku Akun'!$C$4,AND(D2825="Pindah",E2825='Buku Akun'!$C$4))),B2825+IF(AND(I2825="Selisih bunga",DAY(B2825)=1),0,0.01)+ROW()/10000000,"")</f>
        <v/>
      </c>
    </row>
    <row r="2826" outlineLevel="1" ht="15" customHeight="1" s="94">
      <c r="A2826" s="123">
        <f>IF(B2826="","",ROW()-15)</f>
        <v/>
      </c>
      <c r="B2826" s="124" t="n"/>
      <c r="C2826" s="123" t="n"/>
      <c r="D2826" s="123" t="n"/>
      <c r="E2826" s="123" t="n"/>
      <c r="F2826" s="125" t="n"/>
      <c r="G2826" s="123" t="n"/>
      <c r="H2826" s="123" t="n"/>
      <c r="I2826" s="123" t="n"/>
      <c r="J2826" s="123" t="n"/>
      <c r="K2826" s="123" t="n"/>
      <c r="L2826" s="123" t="n"/>
      <c r="M2826" s="123">
        <f>IF(AND(B2826&lt;&gt;"",OR($C$4="",ISNUMBER(SEARCH($C$4,C2826&amp;" "&amp;E2826&amp;" "&amp;G2826&amp;" "&amp;H2826&amp;" "&amp;I2826&amp;" "&amp;J2826&amp;" "&amp;K2826&amp;" "&amp;L2826))),OR($C$5="Semua",$C$5="",G2826=$C$5),OR($C$6="Semua",$C$6="",H2826=$C$6,H2826="Pengeluaran "&amp;$C$6,AND($C$6="Uang Kos Mama",H2826="Pengeluaran Uang Kos")),OR($C$7="Semua",$C$7="",I2826=$C$7),OR($C$8="Semua",$C$8="",C2826=$C$8,E2826=$C$8),OR($C$9="Semua",$C$9="",D2826=$C$9),OR($C$10="",B2826&gt;=$C$10),OR($C$11="",B2826&lt;=$C$11),OR($C$12&lt;&gt;"Ya",K2826&lt;&gt;""),OR($C$13="Semua",$C$13="",L2826=$C$13)),"✓","")</f>
        <v/>
      </c>
      <c r="N2826" s="93">
        <f>N(N2825)+IF(M2826="✓",1,0)</f>
        <v/>
      </c>
      <c r="O2826" s="93">
        <f>N(O2825)+IF(AND(B2826&lt;&gt;"",B2826&gt;='Uang Riba'!$H$30,B2826&lt;='Uang Riba'!$I$30,OR(H2826="Dana riba",H2826="Pinjam uang riba",I2826="Pinjam dari uang riba",I2826="Ganti uang riba",I2826="Kelebihan ganti dikembalikan",AND(C2826="Kantong Uang Riba",G2826="Pengeluaran"))),1,0)</f>
        <v/>
      </c>
      <c r="X2826" s="93">
        <f>IF(AND(B2826&lt;&gt;"",B2826&gt;='Buku Akun'!$H$4,B2826&lt;='Buku Akun'!$H$5,OR(C2826='Buku Akun'!$C$4,AND(D2826="Pindah",E2826='Buku Akun'!$C$4))),B2826+IF(AND(I2826="Selisih bunga",DAY(B2826)=1),0,0.01)+ROW()/10000000,"")</f>
        <v/>
      </c>
    </row>
    <row r="2827" outlineLevel="1" ht="15" customHeight="1" s="94">
      <c r="A2827" s="123">
        <f>IF(B2827="","",ROW()-15)</f>
        <v/>
      </c>
      <c r="B2827" s="124" t="n"/>
      <c r="C2827" s="123" t="n"/>
      <c r="D2827" s="123" t="n"/>
      <c r="E2827" s="123" t="n"/>
      <c r="F2827" s="125" t="n"/>
      <c r="G2827" s="123" t="n"/>
      <c r="H2827" s="123" t="n"/>
      <c r="I2827" s="123" t="n"/>
      <c r="J2827" s="123" t="n"/>
      <c r="K2827" s="123" t="n"/>
      <c r="L2827" s="123" t="n"/>
      <c r="M2827" s="123">
        <f>IF(AND(B2827&lt;&gt;"",OR($C$4="",ISNUMBER(SEARCH($C$4,C2827&amp;" "&amp;E2827&amp;" "&amp;G2827&amp;" "&amp;H2827&amp;" "&amp;I2827&amp;" "&amp;J2827&amp;" "&amp;K2827&amp;" "&amp;L2827))),OR($C$5="Semua",$C$5="",G2827=$C$5),OR($C$6="Semua",$C$6="",H2827=$C$6,H2827="Pengeluaran "&amp;$C$6,AND($C$6="Uang Kos Mama",H2827="Pengeluaran Uang Kos")),OR($C$7="Semua",$C$7="",I2827=$C$7),OR($C$8="Semua",$C$8="",C2827=$C$8,E2827=$C$8),OR($C$9="Semua",$C$9="",D2827=$C$9),OR($C$10="",B2827&gt;=$C$10),OR($C$11="",B2827&lt;=$C$11),OR($C$12&lt;&gt;"Ya",K2827&lt;&gt;""),OR($C$13="Semua",$C$13="",L2827=$C$13)),"✓","")</f>
        <v/>
      </c>
      <c r="N2827" s="93">
        <f>N(N2826)+IF(M2827="✓",1,0)</f>
        <v/>
      </c>
      <c r="O2827" s="93">
        <f>N(O2826)+IF(AND(B2827&lt;&gt;"",B2827&gt;='Uang Riba'!$H$30,B2827&lt;='Uang Riba'!$I$30,OR(H2827="Dana riba",H2827="Pinjam uang riba",I2827="Pinjam dari uang riba",I2827="Ganti uang riba",I2827="Kelebihan ganti dikembalikan",AND(C2827="Kantong Uang Riba",G2827="Pengeluaran"))),1,0)</f>
        <v/>
      </c>
      <c r="X2827" s="93">
        <f>IF(AND(B2827&lt;&gt;"",B2827&gt;='Buku Akun'!$H$4,B2827&lt;='Buku Akun'!$H$5,OR(C2827='Buku Akun'!$C$4,AND(D2827="Pindah",E2827='Buku Akun'!$C$4))),B2827+IF(AND(I2827="Selisih bunga",DAY(B2827)=1),0,0.01)+ROW()/10000000,"")</f>
        <v/>
      </c>
    </row>
    <row r="2828" outlineLevel="1" ht="15" customHeight="1" s="94">
      <c r="A2828" s="123">
        <f>IF(B2828="","",ROW()-15)</f>
        <v/>
      </c>
      <c r="B2828" s="124" t="n"/>
      <c r="C2828" s="123" t="n"/>
      <c r="D2828" s="123" t="n"/>
      <c r="E2828" s="123" t="n"/>
      <c r="F2828" s="125" t="n"/>
      <c r="G2828" s="123" t="n"/>
      <c r="H2828" s="123" t="n"/>
      <c r="I2828" s="123" t="n"/>
      <c r="J2828" s="123" t="n"/>
      <c r="K2828" s="123" t="n"/>
      <c r="L2828" s="123" t="n"/>
      <c r="M2828" s="123">
        <f>IF(AND(B2828&lt;&gt;"",OR($C$4="",ISNUMBER(SEARCH($C$4,C2828&amp;" "&amp;E2828&amp;" "&amp;G2828&amp;" "&amp;H2828&amp;" "&amp;I2828&amp;" "&amp;J2828&amp;" "&amp;K2828&amp;" "&amp;L2828))),OR($C$5="Semua",$C$5="",G2828=$C$5),OR($C$6="Semua",$C$6="",H2828=$C$6,H2828="Pengeluaran "&amp;$C$6,AND($C$6="Uang Kos Mama",H2828="Pengeluaran Uang Kos")),OR($C$7="Semua",$C$7="",I2828=$C$7),OR($C$8="Semua",$C$8="",C2828=$C$8,E2828=$C$8),OR($C$9="Semua",$C$9="",D2828=$C$9),OR($C$10="",B2828&gt;=$C$10),OR($C$11="",B2828&lt;=$C$11),OR($C$12&lt;&gt;"Ya",K2828&lt;&gt;""),OR($C$13="Semua",$C$13="",L2828=$C$13)),"✓","")</f>
        <v/>
      </c>
      <c r="N2828" s="93">
        <f>N(N2827)+IF(M2828="✓",1,0)</f>
        <v/>
      </c>
      <c r="O2828" s="93">
        <f>N(O2827)+IF(AND(B2828&lt;&gt;"",B2828&gt;='Uang Riba'!$H$30,B2828&lt;='Uang Riba'!$I$30,OR(H2828="Dana riba",H2828="Pinjam uang riba",I2828="Pinjam dari uang riba",I2828="Ganti uang riba",I2828="Kelebihan ganti dikembalikan",AND(C2828="Kantong Uang Riba",G2828="Pengeluaran"))),1,0)</f>
        <v/>
      </c>
      <c r="X2828" s="93">
        <f>IF(AND(B2828&lt;&gt;"",B2828&gt;='Buku Akun'!$H$4,B2828&lt;='Buku Akun'!$H$5,OR(C2828='Buku Akun'!$C$4,AND(D2828="Pindah",E2828='Buku Akun'!$C$4))),B2828+IF(AND(I2828="Selisih bunga",DAY(B2828)=1),0,0.01)+ROW()/10000000,"")</f>
        <v/>
      </c>
    </row>
    <row r="2829" outlineLevel="1" ht="15" customHeight="1" s="94">
      <c r="A2829" s="123">
        <f>IF(B2829="","",ROW()-15)</f>
        <v/>
      </c>
      <c r="B2829" s="124" t="n"/>
      <c r="C2829" s="123" t="n"/>
      <c r="D2829" s="123" t="n"/>
      <c r="E2829" s="123" t="n"/>
      <c r="F2829" s="125" t="n"/>
      <c r="G2829" s="123" t="n"/>
      <c r="H2829" s="123" t="n"/>
      <c r="I2829" s="123" t="n"/>
      <c r="J2829" s="123" t="n"/>
      <c r="K2829" s="123" t="n"/>
      <c r="L2829" s="123" t="n"/>
      <c r="M2829" s="123">
        <f>IF(AND(B2829&lt;&gt;"",OR($C$4="",ISNUMBER(SEARCH($C$4,C2829&amp;" "&amp;E2829&amp;" "&amp;G2829&amp;" "&amp;H2829&amp;" "&amp;I2829&amp;" "&amp;J2829&amp;" "&amp;K2829&amp;" "&amp;L2829))),OR($C$5="Semua",$C$5="",G2829=$C$5),OR($C$6="Semua",$C$6="",H2829=$C$6,H2829="Pengeluaran "&amp;$C$6,AND($C$6="Uang Kos Mama",H2829="Pengeluaran Uang Kos")),OR($C$7="Semua",$C$7="",I2829=$C$7),OR($C$8="Semua",$C$8="",C2829=$C$8,E2829=$C$8),OR($C$9="Semua",$C$9="",D2829=$C$9),OR($C$10="",B2829&gt;=$C$10),OR($C$11="",B2829&lt;=$C$11),OR($C$12&lt;&gt;"Ya",K2829&lt;&gt;""),OR($C$13="Semua",$C$13="",L2829=$C$13)),"✓","")</f>
        <v/>
      </c>
      <c r="N2829" s="93">
        <f>N(N2828)+IF(M2829="✓",1,0)</f>
        <v/>
      </c>
      <c r="O2829" s="93">
        <f>N(O2828)+IF(AND(B2829&lt;&gt;"",B2829&gt;='Uang Riba'!$H$30,B2829&lt;='Uang Riba'!$I$30,OR(H2829="Dana riba",H2829="Pinjam uang riba",I2829="Pinjam dari uang riba",I2829="Ganti uang riba",I2829="Kelebihan ganti dikembalikan",AND(C2829="Kantong Uang Riba",G2829="Pengeluaran"))),1,0)</f>
        <v/>
      </c>
      <c r="X2829" s="93">
        <f>IF(AND(B2829&lt;&gt;"",B2829&gt;='Buku Akun'!$H$4,B2829&lt;='Buku Akun'!$H$5,OR(C2829='Buku Akun'!$C$4,AND(D2829="Pindah",E2829='Buku Akun'!$C$4))),B2829+IF(AND(I2829="Selisih bunga",DAY(B2829)=1),0,0.01)+ROW()/10000000,"")</f>
        <v/>
      </c>
    </row>
    <row r="2830" outlineLevel="1" ht="15" customHeight="1" s="94">
      <c r="A2830" s="123">
        <f>IF(B2830="","",ROW()-15)</f>
        <v/>
      </c>
      <c r="B2830" s="124" t="n"/>
      <c r="C2830" s="123" t="n"/>
      <c r="D2830" s="123" t="n"/>
      <c r="E2830" s="123" t="n"/>
      <c r="F2830" s="125" t="n"/>
      <c r="G2830" s="123" t="n"/>
      <c r="H2830" s="123" t="n"/>
      <c r="I2830" s="123" t="n"/>
      <c r="J2830" s="123" t="n"/>
      <c r="K2830" s="123" t="n"/>
      <c r="L2830" s="123" t="n"/>
      <c r="M2830" s="123">
        <f>IF(AND(B2830&lt;&gt;"",OR($C$4="",ISNUMBER(SEARCH($C$4,C2830&amp;" "&amp;E2830&amp;" "&amp;G2830&amp;" "&amp;H2830&amp;" "&amp;I2830&amp;" "&amp;J2830&amp;" "&amp;K2830&amp;" "&amp;L2830))),OR($C$5="Semua",$C$5="",G2830=$C$5),OR($C$6="Semua",$C$6="",H2830=$C$6,H2830="Pengeluaran "&amp;$C$6,AND($C$6="Uang Kos Mama",H2830="Pengeluaran Uang Kos")),OR($C$7="Semua",$C$7="",I2830=$C$7),OR($C$8="Semua",$C$8="",C2830=$C$8,E2830=$C$8),OR($C$9="Semua",$C$9="",D2830=$C$9),OR($C$10="",B2830&gt;=$C$10),OR($C$11="",B2830&lt;=$C$11),OR($C$12&lt;&gt;"Ya",K2830&lt;&gt;""),OR($C$13="Semua",$C$13="",L2830=$C$13)),"✓","")</f>
        <v/>
      </c>
      <c r="N2830" s="93">
        <f>N(N2829)+IF(M2830="✓",1,0)</f>
        <v/>
      </c>
      <c r="O2830" s="93">
        <f>N(O2829)+IF(AND(B2830&lt;&gt;"",B2830&gt;='Uang Riba'!$H$30,B2830&lt;='Uang Riba'!$I$30,OR(H2830="Dana riba",H2830="Pinjam uang riba",I2830="Pinjam dari uang riba",I2830="Ganti uang riba",I2830="Kelebihan ganti dikembalikan",AND(C2830="Kantong Uang Riba",G2830="Pengeluaran"))),1,0)</f>
        <v/>
      </c>
      <c r="X2830" s="93">
        <f>IF(AND(B2830&lt;&gt;"",B2830&gt;='Buku Akun'!$H$4,B2830&lt;='Buku Akun'!$H$5,OR(C2830='Buku Akun'!$C$4,AND(D2830="Pindah",E2830='Buku Akun'!$C$4))),B2830+IF(AND(I2830="Selisih bunga",DAY(B2830)=1),0,0.01)+ROW()/10000000,"")</f>
        <v/>
      </c>
    </row>
    <row r="2831" outlineLevel="1" ht="15" customHeight="1" s="94">
      <c r="A2831" s="123">
        <f>IF(B2831="","",ROW()-15)</f>
        <v/>
      </c>
      <c r="B2831" s="124" t="n"/>
      <c r="C2831" s="123" t="n"/>
      <c r="D2831" s="123" t="n"/>
      <c r="E2831" s="123" t="n"/>
      <c r="F2831" s="125" t="n"/>
      <c r="G2831" s="123" t="n"/>
      <c r="H2831" s="123" t="n"/>
      <c r="I2831" s="123" t="n"/>
      <c r="J2831" s="123" t="n"/>
      <c r="K2831" s="123" t="n"/>
      <c r="L2831" s="123" t="n"/>
      <c r="M2831" s="123">
        <f>IF(AND(B2831&lt;&gt;"",OR($C$4="",ISNUMBER(SEARCH($C$4,C2831&amp;" "&amp;E2831&amp;" "&amp;G2831&amp;" "&amp;H2831&amp;" "&amp;I2831&amp;" "&amp;J2831&amp;" "&amp;K2831&amp;" "&amp;L2831))),OR($C$5="Semua",$C$5="",G2831=$C$5),OR($C$6="Semua",$C$6="",H2831=$C$6,H2831="Pengeluaran "&amp;$C$6,AND($C$6="Uang Kos Mama",H2831="Pengeluaran Uang Kos")),OR($C$7="Semua",$C$7="",I2831=$C$7),OR($C$8="Semua",$C$8="",C2831=$C$8,E2831=$C$8),OR($C$9="Semua",$C$9="",D2831=$C$9),OR($C$10="",B2831&gt;=$C$10),OR($C$11="",B2831&lt;=$C$11),OR($C$12&lt;&gt;"Ya",K2831&lt;&gt;""),OR($C$13="Semua",$C$13="",L2831=$C$13)),"✓","")</f>
        <v/>
      </c>
      <c r="N2831" s="93">
        <f>N(N2830)+IF(M2831="✓",1,0)</f>
        <v/>
      </c>
      <c r="O2831" s="93">
        <f>N(O2830)+IF(AND(B2831&lt;&gt;"",B2831&gt;='Uang Riba'!$H$30,B2831&lt;='Uang Riba'!$I$30,OR(H2831="Dana riba",H2831="Pinjam uang riba",I2831="Pinjam dari uang riba",I2831="Ganti uang riba",I2831="Kelebihan ganti dikembalikan",AND(C2831="Kantong Uang Riba",G2831="Pengeluaran"))),1,0)</f>
        <v/>
      </c>
      <c r="X2831" s="93">
        <f>IF(AND(B2831&lt;&gt;"",B2831&gt;='Buku Akun'!$H$4,B2831&lt;='Buku Akun'!$H$5,OR(C2831='Buku Akun'!$C$4,AND(D2831="Pindah",E2831='Buku Akun'!$C$4))),B2831+IF(AND(I2831="Selisih bunga",DAY(B2831)=1),0,0.01)+ROW()/10000000,"")</f>
        <v/>
      </c>
    </row>
    <row r="2832" outlineLevel="1" ht="15" customHeight="1" s="94">
      <c r="A2832" s="123">
        <f>IF(B2832="","",ROW()-15)</f>
        <v/>
      </c>
      <c r="B2832" s="124" t="n"/>
      <c r="C2832" s="123" t="n"/>
      <c r="D2832" s="123" t="n"/>
      <c r="E2832" s="123" t="n"/>
      <c r="F2832" s="125" t="n"/>
      <c r="G2832" s="123" t="n"/>
      <c r="H2832" s="123" t="n"/>
      <c r="I2832" s="123" t="n"/>
      <c r="J2832" s="123" t="n"/>
      <c r="K2832" s="123" t="n"/>
      <c r="L2832" s="123" t="n"/>
      <c r="M2832" s="123">
        <f>IF(AND(B2832&lt;&gt;"",OR($C$4="",ISNUMBER(SEARCH($C$4,C2832&amp;" "&amp;E2832&amp;" "&amp;G2832&amp;" "&amp;H2832&amp;" "&amp;I2832&amp;" "&amp;J2832&amp;" "&amp;K2832&amp;" "&amp;L2832))),OR($C$5="Semua",$C$5="",G2832=$C$5),OR($C$6="Semua",$C$6="",H2832=$C$6,H2832="Pengeluaran "&amp;$C$6,AND($C$6="Uang Kos Mama",H2832="Pengeluaran Uang Kos")),OR($C$7="Semua",$C$7="",I2832=$C$7),OR($C$8="Semua",$C$8="",C2832=$C$8,E2832=$C$8),OR($C$9="Semua",$C$9="",D2832=$C$9),OR($C$10="",B2832&gt;=$C$10),OR($C$11="",B2832&lt;=$C$11),OR($C$12&lt;&gt;"Ya",K2832&lt;&gt;""),OR($C$13="Semua",$C$13="",L2832=$C$13)),"✓","")</f>
        <v/>
      </c>
      <c r="N2832" s="93">
        <f>N(N2831)+IF(M2832="✓",1,0)</f>
        <v/>
      </c>
      <c r="O2832" s="93">
        <f>N(O2831)+IF(AND(B2832&lt;&gt;"",B2832&gt;='Uang Riba'!$H$30,B2832&lt;='Uang Riba'!$I$30,OR(H2832="Dana riba",H2832="Pinjam uang riba",I2832="Pinjam dari uang riba",I2832="Ganti uang riba",I2832="Kelebihan ganti dikembalikan",AND(C2832="Kantong Uang Riba",G2832="Pengeluaran"))),1,0)</f>
        <v/>
      </c>
      <c r="X2832" s="93">
        <f>IF(AND(B2832&lt;&gt;"",B2832&gt;='Buku Akun'!$H$4,B2832&lt;='Buku Akun'!$H$5,OR(C2832='Buku Akun'!$C$4,AND(D2832="Pindah",E2832='Buku Akun'!$C$4))),B2832+IF(AND(I2832="Selisih bunga",DAY(B2832)=1),0,0.01)+ROW()/10000000,"")</f>
        <v/>
      </c>
    </row>
    <row r="2833" outlineLevel="1" ht="15" customHeight="1" s="94">
      <c r="A2833" s="123">
        <f>IF(B2833="","",ROW()-15)</f>
        <v/>
      </c>
      <c r="B2833" s="124" t="n"/>
      <c r="C2833" s="123" t="n"/>
      <c r="D2833" s="123" t="n"/>
      <c r="E2833" s="123" t="n"/>
      <c r="F2833" s="125" t="n"/>
      <c r="G2833" s="123" t="n"/>
      <c r="H2833" s="123" t="n"/>
      <c r="I2833" s="123" t="n"/>
      <c r="J2833" s="123" t="n"/>
      <c r="K2833" s="123" t="n"/>
      <c r="L2833" s="123" t="n"/>
      <c r="M2833" s="123">
        <f>IF(AND(B2833&lt;&gt;"",OR($C$4="",ISNUMBER(SEARCH($C$4,C2833&amp;" "&amp;E2833&amp;" "&amp;G2833&amp;" "&amp;H2833&amp;" "&amp;I2833&amp;" "&amp;J2833&amp;" "&amp;K2833&amp;" "&amp;L2833))),OR($C$5="Semua",$C$5="",G2833=$C$5),OR($C$6="Semua",$C$6="",H2833=$C$6,H2833="Pengeluaran "&amp;$C$6,AND($C$6="Uang Kos Mama",H2833="Pengeluaran Uang Kos")),OR($C$7="Semua",$C$7="",I2833=$C$7),OR($C$8="Semua",$C$8="",C2833=$C$8,E2833=$C$8),OR($C$9="Semua",$C$9="",D2833=$C$9),OR($C$10="",B2833&gt;=$C$10),OR($C$11="",B2833&lt;=$C$11),OR($C$12&lt;&gt;"Ya",K2833&lt;&gt;""),OR($C$13="Semua",$C$13="",L2833=$C$13)),"✓","")</f>
        <v/>
      </c>
      <c r="N2833" s="93">
        <f>N(N2832)+IF(M2833="✓",1,0)</f>
        <v/>
      </c>
      <c r="O2833" s="93">
        <f>N(O2832)+IF(AND(B2833&lt;&gt;"",B2833&gt;='Uang Riba'!$H$30,B2833&lt;='Uang Riba'!$I$30,OR(H2833="Dana riba",H2833="Pinjam uang riba",I2833="Pinjam dari uang riba",I2833="Ganti uang riba",I2833="Kelebihan ganti dikembalikan",AND(C2833="Kantong Uang Riba",G2833="Pengeluaran"))),1,0)</f>
        <v/>
      </c>
      <c r="X2833" s="93">
        <f>IF(AND(B2833&lt;&gt;"",B2833&gt;='Buku Akun'!$H$4,B2833&lt;='Buku Akun'!$H$5,OR(C2833='Buku Akun'!$C$4,AND(D2833="Pindah",E2833='Buku Akun'!$C$4))),B2833+IF(AND(I2833="Selisih bunga",DAY(B2833)=1),0,0.01)+ROW()/10000000,"")</f>
        <v/>
      </c>
    </row>
    <row r="2834" outlineLevel="1" ht="15" customHeight="1" s="94">
      <c r="A2834" s="123">
        <f>IF(B2834="","",ROW()-15)</f>
        <v/>
      </c>
      <c r="B2834" s="124" t="n"/>
      <c r="C2834" s="123" t="n"/>
      <c r="D2834" s="123" t="n"/>
      <c r="E2834" s="123" t="n"/>
      <c r="F2834" s="125" t="n"/>
      <c r="G2834" s="123" t="n"/>
      <c r="H2834" s="123" t="n"/>
      <c r="I2834" s="123" t="n"/>
      <c r="J2834" s="123" t="n"/>
      <c r="K2834" s="123" t="n"/>
      <c r="L2834" s="123" t="n"/>
      <c r="M2834" s="123">
        <f>IF(AND(B2834&lt;&gt;"",OR($C$4="",ISNUMBER(SEARCH($C$4,C2834&amp;" "&amp;E2834&amp;" "&amp;G2834&amp;" "&amp;H2834&amp;" "&amp;I2834&amp;" "&amp;J2834&amp;" "&amp;K2834&amp;" "&amp;L2834))),OR($C$5="Semua",$C$5="",G2834=$C$5),OR($C$6="Semua",$C$6="",H2834=$C$6,H2834="Pengeluaran "&amp;$C$6,AND($C$6="Uang Kos Mama",H2834="Pengeluaran Uang Kos")),OR($C$7="Semua",$C$7="",I2834=$C$7),OR($C$8="Semua",$C$8="",C2834=$C$8,E2834=$C$8),OR($C$9="Semua",$C$9="",D2834=$C$9),OR($C$10="",B2834&gt;=$C$10),OR($C$11="",B2834&lt;=$C$11),OR($C$12&lt;&gt;"Ya",K2834&lt;&gt;""),OR($C$13="Semua",$C$13="",L2834=$C$13)),"✓","")</f>
        <v/>
      </c>
      <c r="N2834" s="93">
        <f>N(N2833)+IF(M2834="✓",1,0)</f>
        <v/>
      </c>
      <c r="O2834" s="93">
        <f>N(O2833)+IF(AND(B2834&lt;&gt;"",B2834&gt;='Uang Riba'!$H$30,B2834&lt;='Uang Riba'!$I$30,OR(H2834="Dana riba",H2834="Pinjam uang riba",I2834="Pinjam dari uang riba",I2834="Ganti uang riba",I2834="Kelebihan ganti dikembalikan",AND(C2834="Kantong Uang Riba",G2834="Pengeluaran"))),1,0)</f>
        <v/>
      </c>
      <c r="X2834" s="93">
        <f>IF(AND(B2834&lt;&gt;"",B2834&gt;='Buku Akun'!$H$4,B2834&lt;='Buku Akun'!$H$5,OR(C2834='Buku Akun'!$C$4,AND(D2834="Pindah",E2834='Buku Akun'!$C$4))),B2834+IF(AND(I2834="Selisih bunga",DAY(B2834)=1),0,0.01)+ROW()/10000000,"")</f>
        <v/>
      </c>
    </row>
    <row r="2835" outlineLevel="1" ht="15" customHeight="1" s="94">
      <c r="A2835" s="123">
        <f>IF(B2835="","",ROW()-15)</f>
        <v/>
      </c>
      <c r="B2835" s="124" t="n"/>
      <c r="C2835" s="123" t="n"/>
      <c r="D2835" s="123" t="n"/>
      <c r="E2835" s="123" t="n"/>
      <c r="F2835" s="125" t="n"/>
      <c r="G2835" s="123" t="n"/>
      <c r="H2835" s="123" t="n"/>
      <c r="I2835" s="123" t="n"/>
      <c r="J2835" s="123" t="n"/>
      <c r="K2835" s="123" t="n"/>
      <c r="L2835" s="123" t="n"/>
      <c r="M2835" s="123">
        <f>IF(AND(B2835&lt;&gt;"",OR($C$4="",ISNUMBER(SEARCH($C$4,C2835&amp;" "&amp;E2835&amp;" "&amp;G2835&amp;" "&amp;H2835&amp;" "&amp;I2835&amp;" "&amp;J2835&amp;" "&amp;K2835&amp;" "&amp;L2835))),OR($C$5="Semua",$C$5="",G2835=$C$5),OR($C$6="Semua",$C$6="",H2835=$C$6,H2835="Pengeluaran "&amp;$C$6,AND($C$6="Uang Kos Mama",H2835="Pengeluaran Uang Kos")),OR($C$7="Semua",$C$7="",I2835=$C$7),OR($C$8="Semua",$C$8="",C2835=$C$8,E2835=$C$8),OR($C$9="Semua",$C$9="",D2835=$C$9),OR($C$10="",B2835&gt;=$C$10),OR($C$11="",B2835&lt;=$C$11),OR($C$12&lt;&gt;"Ya",K2835&lt;&gt;""),OR($C$13="Semua",$C$13="",L2835=$C$13)),"✓","")</f>
        <v/>
      </c>
      <c r="N2835" s="93">
        <f>N(N2834)+IF(M2835="✓",1,0)</f>
        <v/>
      </c>
      <c r="O2835" s="93">
        <f>N(O2834)+IF(AND(B2835&lt;&gt;"",B2835&gt;='Uang Riba'!$H$30,B2835&lt;='Uang Riba'!$I$30,OR(H2835="Dana riba",H2835="Pinjam uang riba",I2835="Pinjam dari uang riba",I2835="Ganti uang riba",I2835="Kelebihan ganti dikembalikan",AND(C2835="Kantong Uang Riba",G2835="Pengeluaran"))),1,0)</f>
        <v/>
      </c>
      <c r="X2835" s="93">
        <f>IF(AND(B2835&lt;&gt;"",B2835&gt;='Buku Akun'!$H$4,B2835&lt;='Buku Akun'!$H$5,OR(C2835='Buku Akun'!$C$4,AND(D2835="Pindah",E2835='Buku Akun'!$C$4))),B2835+IF(AND(I2835="Selisih bunga",DAY(B2835)=1),0,0.01)+ROW()/10000000,"")</f>
        <v/>
      </c>
    </row>
    <row r="2836" outlineLevel="1" ht="15" customHeight="1" s="94">
      <c r="A2836" s="123">
        <f>IF(B2836="","",ROW()-15)</f>
        <v/>
      </c>
      <c r="B2836" s="124" t="n"/>
      <c r="C2836" s="123" t="n"/>
      <c r="D2836" s="123" t="n"/>
      <c r="E2836" s="123" t="n"/>
      <c r="F2836" s="125" t="n"/>
      <c r="G2836" s="123" t="n"/>
      <c r="H2836" s="123" t="n"/>
      <c r="I2836" s="123" t="n"/>
      <c r="J2836" s="123" t="n"/>
      <c r="K2836" s="123" t="n"/>
      <c r="L2836" s="123" t="n"/>
      <c r="M2836" s="123">
        <f>IF(AND(B2836&lt;&gt;"",OR($C$4="",ISNUMBER(SEARCH($C$4,C2836&amp;" "&amp;E2836&amp;" "&amp;G2836&amp;" "&amp;H2836&amp;" "&amp;I2836&amp;" "&amp;J2836&amp;" "&amp;K2836&amp;" "&amp;L2836))),OR($C$5="Semua",$C$5="",G2836=$C$5),OR($C$6="Semua",$C$6="",H2836=$C$6,H2836="Pengeluaran "&amp;$C$6,AND($C$6="Uang Kos Mama",H2836="Pengeluaran Uang Kos")),OR($C$7="Semua",$C$7="",I2836=$C$7),OR($C$8="Semua",$C$8="",C2836=$C$8,E2836=$C$8),OR($C$9="Semua",$C$9="",D2836=$C$9),OR($C$10="",B2836&gt;=$C$10),OR($C$11="",B2836&lt;=$C$11),OR($C$12&lt;&gt;"Ya",K2836&lt;&gt;""),OR($C$13="Semua",$C$13="",L2836=$C$13)),"✓","")</f>
        <v/>
      </c>
      <c r="N2836" s="93">
        <f>N(N2835)+IF(M2836="✓",1,0)</f>
        <v/>
      </c>
      <c r="O2836" s="93">
        <f>N(O2835)+IF(AND(B2836&lt;&gt;"",B2836&gt;='Uang Riba'!$H$30,B2836&lt;='Uang Riba'!$I$30,OR(H2836="Dana riba",H2836="Pinjam uang riba",I2836="Pinjam dari uang riba",I2836="Ganti uang riba",I2836="Kelebihan ganti dikembalikan",AND(C2836="Kantong Uang Riba",G2836="Pengeluaran"))),1,0)</f>
        <v/>
      </c>
      <c r="X2836" s="93">
        <f>IF(AND(B2836&lt;&gt;"",B2836&gt;='Buku Akun'!$H$4,B2836&lt;='Buku Akun'!$H$5,OR(C2836='Buku Akun'!$C$4,AND(D2836="Pindah",E2836='Buku Akun'!$C$4))),B2836+IF(AND(I2836="Selisih bunga",DAY(B2836)=1),0,0.01)+ROW()/10000000,"")</f>
        <v/>
      </c>
    </row>
    <row r="2837" outlineLevel="1" ht="15" customHeight="1" s="94">
      <c r="A2837" s="123">
        <f>IF(B2837="","",ROW()-15)</f>
        <v/>
      </c>
      <c r="B2837" s="124" t="n"/>
      <c r="C2837" s="123" t="n"/>
      <c r="D2837" s="123" t="n"/>
      <c r="E2837" s="123" t="n"/>
      <c r="F2837" s="125" t="n"/>
      <c r="G2837" s="123" t="n"/>
      <c r="H2837" s="123" t="n"/>
      <c r="I2837" s="123" t="n"/>
      <c r="J2837" s="123" t="n"/>
      <c r="K2837" s="123" t="n"/>
      <c r="L2837" s="123" t="n"/>
      <c r="M2837" s="123">
        <f>IF(AND(B2837&lt;&gt;"",OR($C$4="",ISNUMBER(SEARCH($C$4,C2837&amp;" "&amp;E2837&amp;" "&amp;G2837&amp;" "&amp;H2837&amp;" "&amp;I2837&amp;" "&amp;J2837&amp;" "&amp;K2837&amp;" "&amp;L2837))),OR($C$5="Semua",$C$5="",G2837=$C$5),OR($C$6="Semua",$C$6="",H2837=$C$6,H2837="Pengeluaran "&amp;$C$6,AND($C$6="Uang Kos Mama",H2837="Pengeluaran Uang Kos")),OR($C$7="Semua",$C$7="",I2837=$C$7),OR($C$8="Semua",$C$8="",C2837=$C$8,E2837=$C$8),OR($C$9="Semua",$C$9="",D2837=$C$9),OR($C$10="",B2837&gt;=$C$10),OR($C$11="",B2837&lt;=$C$11),OR($C$12&lt;&gt;"Ya",K2837&lt;&gt;""),OR($C$13="Semua",$C$13="",L2837=$C$13)),"✓","")</f>
        <v/>
      </c>
      <c r="N2837" s="93">
        <f>N(N2836)+IF(M2837="✓",1,0)</f>
        <v/>
      </c>
      <c r="O2837" s="93">
        <f>N(O2836)+IF(AND(B2837&lt;&gt;"",B2837&gt;='Uang Riba'!$H$30,B2837&lt;='Uang Riba'!$I$30,OR(H2837="Dana riba",H2837="Pinjam uang riba",I2837="Pinjam dari uang riba",I2837="Ganti uang riba",I2837="Kelebihan ganti dikembalikan",AND(C2837="Kantong Uang Riba",G2837="Pengeluaran"))),1,0)</f>
        <v/>
      </c>
      <c r="X2837" s="93">
        <f>IF(AND(B2837&lt;&gt;"",B2837&gt;='Buku Akun'!$H$4,B2837&lt;='Buku Akun'!$H$5,OR(C2837='Buku Akun'!$C$4,AND(D2837="Pindah",E2837='Buku Akun'!$C$4))),B2837+IF(AND(I2837="Selisih bunga",DAY(B2837)=1),0,0.01)+ROW()/10000000,"")</f>
        <v/>
      </c>
    </row>
    <row r="2838" outlineLevel="1" ht="15" customHeight="1" s="94">
      <c r="A2838" s="123">
        <f>IF(B2838="","",ROW()-15)</f>
        <v/>
      </c>
      <c r="B2838" s="124" t="n"/>
      <c r="C2838" s="123" t="n"/>
      <c r="D2838" s="123" t="n"/>
      <c r="E2838" s="123" t="n"/>
      <c r="F2838" s="125" t="n"/>
      <c r="G2838" s="123" t="n"/>
      <c r="H2838" s="123" t="n"/>
      <c r="I2838" s="123" t="n"/>
      <c r="J2838" s="123" t="n"/>
      <c r="K2838" s="123" t="n"/>
      <c r="L2838" s="123" t="n"/>
      <c r="M2838" s="123">
        <f>IF(AND(B2838&lt;&gt;"",OR($C$4="",ISNUMBER(SEARCH($C$4,C2838&amp;" "&amp;E2838&amp;" "&amp;G2838&amp;" "&amp;H2838&amp;" "&amp;I2838&amp;" "&amp;J2838&amp;" "&amp;K2838&amp;" "&amp;L2838))),OR($C$5="Semua",$C$5="",G2838=$C$5),OR($C$6="Semua",$C$6="",H2838=$C$6,H2838="Pengeluaran "&amp;$C$6,AND($C$6="Uang Kos Mama",H2838="Pengeluaran Uang Kos")),OR($C$7="Semua",$C$7="",I2838=$C$7),OR($C$8="Semua",$C$8="",C2838=$C$8,E2838=$C$8),OR($C$9="Semua",$C$9="",D2838=$C$9),OR($C$10="",B2838&gt;=$C$10),OR($C$11="",B2838&lt;=$C$11),OR($C$12&lt;&gt;"Ya",K2838&lt;&gt;""),OR($C$13="Semua",$C$13="",L2838=$C$13)),"✓","")</f>
        <v/>
      </c>
      <c r="N2838" s="93">
        <f>N(N2837)+IF(M2838="✓",1,0)</f>
        <v/>
      </c>
      <c r="O2838" s="93">
        <f>N(O2837)+IF(AND(B2838&lt;&gt;"",B2838&gt;='Uang Riba'!$H$30,B2838&lt;='Uang Riba'!$I$30,OR(H2838="Dana riba",H2838="Pinjam uang riba",I2838="Pinjam dari uang riba",I2838="Ganti uang riba",I2838="Kelebihan ganti dikembalikan",AND(C2838="Kantong Uang Riba",G2838="Pengeluaran"))),1,0)</f>
        <v/>
      </c>
      <c r="X2838" s="93">
        <f>IF(AND(B2838&lt;&gt;"",B2838&gt;='Buku Akun'!$H$4,B2838&lt;='Buku Akun'!$H$5,OR(C2838='Buku Akun'!$C$4,AND(D2838="Pindah",E2838='Buku Akun'!$C$4))),B2838+IF(AND(I2838="Selisih bunga",DAY(B2838)=1),0,0.01)+ROW()/10000000,"")</f>
        <v/>
      </c>
    </row>
    <row r="2839" outlineLevel="1" ht="15" customHeight="1" s="94">
      <c r="A2839" s="123">
        <f>IF(B2839="","",ROW()-15)</f>
        <v/>
      </c>
      <c r="B2839" s="124" t="n"/>
      <c r="C2839" s="123" t="n"/>
      <c r="D2839" s="123" t="n"/>
      <c r="E2839" s="123" t="n"/>
      <c r="F2839" s="125" t="n"/>
      <c r="G2839" s="123" t="n"/>
      <c r="H2839" s="123" t="n"/>
      <c r="I2839" s="123" t="n"/>
      <c r="J2839" s="123" t="n"/>
      <c r="K2839" s="123" t="n"/>
      <c r="L2839" s="123" t="n"/>
      <c r="M2839" s="123">
        <f>IF(AND(B2839&lt;&gt;"",OR($C$4="",ISNUMBER(SEARCH($C$4,C2839&amp;" "&amp;E2839&amp;" "&amp;G2839&amp;" "&amp;H2839&amp;" "&amp;I2839&amp;" "&amp;J2839&amp;" "&amp;K2839&amp;" "&amp;L2839))),OR($C$5="Semua",$C$5="",G2839=$C$5),OR($C$6="Semua",$C$6="",H2839=$C$6,H2839="Pengeluaran "&amp;$C$6,AND($C$6="Uang Kos Mama",H2839="Pengeluaran Uang Kos")),OR($C$7="Semua",$C$7="",I2839=$C$7),OR($C$8="Semua",$C$8="",C2839=$C$8,E2839=$C$8),OR($C$9="Semua",$C$9="",D2839=$C$9),OR($C$10="",B2839&gt;=$C$10),OR($C$11="",B2839&lt;=$C$11),OR($C$12&lt;&gt;"Ya",K2839&lt;&gt;""),OR($C$13="Semua",$C$13="",L2839=$C$13)),"✓","")</f>
        <v/>
      </c>
      <c r="N2839" s="93">
        <f>N(N2838)+IF(M2839="✓",1,0)</f>
        <v/>
      </c>
      <c r="O2839" s="93">
        <f>N(O2838)+IF(AND(B2839&lt;&gt;"",B2839&gt;='Uang Riba'!$H$30,B2839&lt;='Uang Riba'!$I$30,OR(H2839="Dana riba",H2839="Pinjam uang riba",I2839="Pinjam dari uang riba",I2839="Ganti uang riba",I2839="Kelebihan ganti dikembalikan",AND(C2839="Kantong Uang Riba",G2839="Pengeluaran"))),1,0)</f>
        <v/>
      </c>
      <c r="X2839" s="93">
        <f>IF(AND(B2839&lt;&gt;"",B2839&gt;='Buku Akun'!$H$4,B2839&lt;='Buku Akun'!$H$5,OR(C2839='Buku Akun'!$C$4,AND(D2839="Pindah",E2839='Buku Akun'!$C$4))),B2839+IF(AND(I2839="Selisih bunga",DAY(B2839)=1),0,0.01)+ROW()/10000000,"")</f>
        <v/>
      </c>
    </row>
    <row r="2840" outlineLevel="1" ht="15" customHeight="1" s="94">
      <c r="A2840" s="123">
        <f>IF(B2840="","",ROW()-15)</f>
        <v/>
      </c>
      <c r="B2840" s="124" t="n"/>
      <c r="C2840" s="123" t="n"/>
      <c r="D2840" s="123" t="n"/>
      <c r="E2840" s="123" t="n"/>
      <c r="F2840" s="125" t="n"/>
      <c r="G2840" s="123" t="n"/>
      <c r="H2840" s="123" t="n"/>
      <c r="I2840" s="123" t="n"/>
      <c r="J2840" s="123" t="n"/>
      <c r="K2840" s="123" t="n"/>
      <c r="L2840" s="123" t="n"/>
      <c r="M2840" s="123">
        <f>IF(AND(B2840&lt;&gt;"",OR($C$4="",ISNUMBER(SEARCH($C$4,C2840&amp;" "&amp;E2840&amp;" "&amp;G2840&amp;" "&amp;H2840&amp;" "&amp;I2840&amp;" "&amp;J2840&amp;" "&amp;K2840&amp;" "&amp;L2840))),OR($C$5="Semua",$C$5="",G2840=$C$5),OR($C$6="Semua",$C$6="",H2840=$C$6,H2840="Pengeluaran "&amp;$C$6,AND($C$6="Uang Kos Mama",H2840="Pengeluaran Uang Kos")),OR($C$7="Semua",$C$7="",I2840=$C$7),OR($C$8="Semua",$C$8="",C2840=$C$8,E2840=$C$8),OR($C$9="Semua",$C$9="",D2840=$C$9),OR($C$10="",B2840&gt;=$C$10),OR($C$11="",B2840&lt;=$C$11),OR($C$12&lt;&gt;"Ya",K2840&lt;&gt;""),OR($C$13="Semua",$C$13="",L2840=$C$13)),"✓","")</f>
        <v/>
      </c>
      <c r="N2840" s="93">
        <f>N(N2839)+IF(M2840="✓",1,0)</f>
        <v/>
      </c>
      <c r="O2840" s="93">
        <f>N(O2839)+IF(AND(B2840&lt;&gt;"",B2840&gt;='Uang Riba'!$H$30,B2840&lt;='Uang Riba'!$I$30,OR(H2840="Dana riba",H2840="Pinjam uang riba",I2840="Pinjam dari uang riba",I2840="Ganti uang riba",I2840="Kelebihan ganti dikembalikan",AND(C2840="Kantong Uang Riba",G2840="Pengeluaran"))),1,0)</f>
        <v/>
      </c>
      <c r="X2840" s="93">
        <f>IF(AND(B2840&lt;&gt;"",B2840&gt;='Buku Akun'!$H$4,B2840&lt;='Buku Akun'!$H$5,OR(C2840='Buku Akun'!$C$4,AND(D2840="Pindah",E2840='Buku Akun'!$C$4))),B2840+IF(AND(I2840="Selisih bunga",DAY(B2840)=1),0,0.01)+ROW()/10000000,"")</f>
        <v/>
      </c>
    </row>
    <row r="2841" outlineLevel="1" ht="15" customHeight="1" s="94">
      <c r="A2841" s="123">
        <f>IF(B2841="","",ROW()-15)</f>
        <v/>
      </c>
      <c r="B2841" s="124" t="n"/>
      <c r="C2841" s="123" t="n"/>
      <c r="D2841" s="123" t="n"/>
      <c r="E2841" s="123" t="n"/>
      <c r="F2841" s="125" t="n"/>
      <c r="G2841" s="123" t="n"/>
      <c r="H2841" s="123" t="n"/>
      <c r="I2841" s="123" t="n"/>
      <c r="J2841" s="123" t="n"/>
      <c r="K2841" s="123" t="n"/>
      <c r="L2841" s="123" t="n"/>
      <c r="M2841" s="123">
        <f>IF(AND(B2841&lt;&gt;"",OR($C$4="",ISNUMBER(SEARCH($C$4,C2841&amp;" "&amp;E2841&amp;" "&amp;G2841&amp;" "&amp;H2841&amp;" "&amp;I2841&amp;" "&amp;J2841&amp;" "&amp;K2841&amp;" "&amp;L2841))),OR($C$5="Semua",$C$5="",G2841=$C$5),OR($C$6="Semua",$C$6="",H2841=$C$6,H2841="Pengeluaran "&amp;$C$6,AND($C$6="Uang Kos Mama",H2841="Pengeluaran Uang Kos")),OR($C$7="Semua",$C$7="",I2841=$C$7),OR($C$8="Semua",$C$8="",C2841=$C$8,E2841=$C$8),OR($C$9="Semua",$C$9="",D2841=$C$9),OR($C$10="",B2841&gt;=$C$10),OR($C$11="",B2841&lt;=$C$11),OR($C$12&lt;&gt;"Ya",K2841&lt;&gt;""),OR($C$13="Semua",$C$13="",L2841=$C$13)),"✓","")</f>
        <v/>
      </c>
      <c r="N2841" s="93">
        <f>N(N2840)+IF(M2841="✓",1,0)</f>
        <v/>
      </c>
      <c r="O2841" s="93">
        <f>N(O2840)+IF(AND(B2841&lt;&gt;"",B2841&gt;='Uang Riba'!$H$30,B2841&lt;='Uang Riba'!$I$30,OR(H2841="Dana riba",H2841="Pinjam uang riba",I2841="Pinjam dari uang riba",I2841="Ganti uang riba",I2841="Kelebihan ganti dikembalikan",AND(C2841="Kantong Uang Riba",G2841="Pengeluaran"))),1,0)</f>
        <v/>
      </c>
      <c r="X2841" s="93">
        <f>IF(AND(B2841&lt;&gt;"",B2841&gt;='Buku Akun'!$H$4,B2841&lt;='Buku Akun'!$H$5,OR(C2841='Buku Akun'!$C$4,AND(D2841="Pindah",E2841='Buku Akun'!$C$4))),B2841+IF(AND(I2841="Selisih bunga",DAY(B2841)=1),0,0.01)+ROW()/10000000,"")</f>
        <v/>
      </c>
    </row>
    <row r="2842" outlineLevel="1" ht="15" customHeight="1" s="94">
      <c r="A2842" s="123">
        <f>IF(B2842="","",ROW()-15)</f>
        <v/>
      </c>
      <c r="B2842" s="124" t="n"/>
      <c r="C2842" s="123" t="n"/>
      <c r="D2842" s="123" t="n"/>
      <c r="E2842" s="123" t="n"/>
      <c r="F2842" s="125" t="n"/>
      <c r="G2842" s="123" t="n"/>
      <c r="H2842" s="123" t="n"/>
      <c r="I2842" s="123" t="n"/>
      <c r="J2842" s="123" t="n"/>
      <c r="K2842" s="123" t="n"/>
      <c r="L2842" s="123" t="n"/>
      <c r="M2842" s="123">
        <f>IF(AND(B2842&lt;&gt;"",OR($C$4="",ISNUMBER(SEARCH($C$4,C2842&amp;" "&amp;E2842&amp;" "&amp;G2842&amp;" "&amp;H2842&amp;" "&amp;I2842&amp;" "&amp;J2842&amp;" "&amp;K2842&amp;" "&amp;L2842))),OR($C$5="Semua",$C$5="",G2842=$C$5),OR($C$6="Semua",$C$6="",H2842=$C$6,H2842="Pengeluaran "&amp;$C$6,AND($C$6="Uang Kos Mama",H2842="Pengeluaran Uang Kos")),OR($C$7="Semua",$C$7="",I2842=$C$7),OR($C$8="Semua",$C$8="",C2842=$C$8,E2842=$C$8),OR($C$9="Semua",$C$9="",D2842=$C$9),OR($C$10="",B2842&gt;=$C$10),OR($C$11="",B2842&lt;=$C$11),OR($C$12&lt;&gt;"Ya",K2842&lt;&gt;""),OR($C$13="Semua",$C$13="",L2842=$C$13)),"✓","")</f>
        <v/>
      </c>
      <c r="N2842" s="93">
        <f>N(N2841)+IF(M2842="✓",1,0)</f>
        <v/>
      </c>
      <c r="O2842" s="93">
        <f>N(O2841)+IF(AND(B2842&lt;&gt;"",B2842&gt;='Uang Riba'!$H$30,B2842&lt;='Uang Riba'!$I$30,OR(H2842="Dana riba",H2842="Pinjam uang riba",I2842="Pinjam dari uang riba",I2842="Ganti uang riba",I2842="Kelebihan ganti dikembalikan",AND(C2842="Kantong Uang Riba",G2842="Pengeluaran"))),1,0)</f>
        <v/>
      </c>
      <c r="X2842" s="93">
        <f>IF(AND(B2842&lt;&gt;"",B2842&gt;='Buku Akun'!$H$4,B2842&lt;='Buku Akun'!$H$5,OR(C2842='Buku Akun'!$C$4,AND(D2842="Pindah",E2842='Buku Akun'!$C$4))),B2842+IF(AND(I2842="Selisih bunga",DAY(B2842)=1),0,0.01)+ROW()/10000000,"")</f>
        <v/>
      </c>
    </row>
    <row r="2843" outlineLevel="1" ht="15" customHeight="1" s="94">
      <c r="A2843" s="123">
        <f>IF(B2843="","",ROW()-15)</f>
        <v/>
      </c>
      <c r="B2843" s="124" t="n"/>
      <c r="C2843" s="123" t="n"/>
      <c r="D2843" s="123" t="n"/>
      <c r="E2843" s="123" t="n"/>
      <c r="F2843" s="125" t="n"/>
      <c r="G2843" s="123" t="n"/>
      <c r="H2843" s="123" t="n"/>
      <c r="I2843" s="123" t="n"/>
      <c r="J2843" s="123" t="n"/>
      <c r="K2843" s="123" t="n"/>
      <c r="L2843" s="123" t="n"/>
      <c r="M2843" s="123">
        <f>IF(AND(B2843&lt;&gt;"",OR($C$4="",ISNUMBER(SEARCH($C$4,C2843&amp;" "&amp;E2843&amp;" "&amp;G2843&amp;" "&amp;H2843&amp;" "&amp;I2843&amp;" "&amp;J2843&amp;" "&amp;K2843&amp;" "&amp;L2843))),OR($C$5="Semua",$C$5="",G2843=$C$5),OR($C$6="Semua",$C$6="",H2843=$C$6,H2843="Pengeluaran "&amp;$C$6,AND($C$6="Uang Kos Mama",H2843="Pengeluaran Uang Kos")),OR($C$7="Semua",$C$7="",I2843=$C$7),OR($C$8="Semua",$C$8="",C2843=$C$8,E2843=$C$8),OR($C$9="Semua",$C$9="",D2843=$C$9),OR($C$10="",B2843&gt;=$C$10),OR($C$11="",B2843&lt;=$C$11),OR($C$12&lt;&gt;"Ya",K2843&lt;&gt;""),OR($C$13="Semua",$C$13="",L2843=$C$13)),"✓","")</f>
        <v/>
      </c>
      <c r="N2843" s="93">
        <f>N(N2842)+IF(M2843="✓",1,0)</f>
        <v/>
      </c>
      <c r="O2843" s="93">
        <f>N(O2842)+IF(AND(B2843&lt;&gt;"",B2843&gt;='Uang Riba'!$H$30,B2843&lt;='Uang Riba'!$I$30,OR(H2843="Dana riba",H2843="Pinjam uang riba",I2843="Pinjam dari uang riba",I2843="Ganti uang riba",I2843="Kelebihan ganti dikembalikan",AND(C2843="Kantong Uang Riba",G2843="Pengeluaran"))),1,0)</f>
        <v/>
      </c>
      <c r="X2843" s="93">
        <f>IF(AND(B2843&lt;&gt;"",B2843&gt;='Buku Akun'!$H$4,B2843&lt;='Buku Akun'!$H$5,OR(C2843='Buku Akun'!$C$4,AND(D2843="Pindah",E2843='Buku Akun'!$C$4))),B2843+IF(AND(I2843="Selisih bunga",DAY(B2843)=1),0,0.01)+ROW()/10000000,"")</f>
        <v/>
      </c>
    </row>
    <row r="2844" outlineLevel="1" ht="15" customHeight="1" s="94">
      <c r="A2844" s="123">
        <f>IF(B2844="","",ROW()-15)</f>
        <v/>
      </c>
      <c r="B2844" s="124" t="n"/>
      <c r="C2844" s="123" t="n"/>
      <c r="D2844" s="123" t="n"/>
      <c r="E2844" s="123" t="n"/>
      <c r="F2844" s="125" t="n"/>
      <c r="G2844" s="123" t="n"/>
      <c r="H2844" s="123" t="n"/>
      <c r="I2844" s="123" t="n"/>
      <c r="J2844" s="123" t="n"/>
      <c r="K2844" s="123" t="n"/>
      <c r="L2844" s="123" t="n"/>
      <c r="M2844" s="123">
        <f>IF(AND(B2844&lt;&gt;"",OR($C$4="",ISNUMBER(SEARCH($C$4,C2844&amp;" "&amp;E2844&amp;" "&amp;G2844&amp;" "&amp;H2844&amp;" "&amp;I2844&amp;" "&amp;J2844&amp;" "&amp;K2844&amp;" "&amp;L2844))),OR($C$5="Semua",$C$5="",G2844=$C$5),OR($C$6="Semua",$C$6="",H2844=$C$6,H2844="Pengeluaran "&amp;$C$6,AND($C$6="Uang Kos Mama",H2844="Pengeluaran Uang Kos")),OR($C$7="Semua",$C$7="",I2844=$C$7),OR($C$8="Semua",$C$8="",C2844=$C$8,E2844=$C$8),OR($C$9="Semua",$C$9="",D2844=$C$9),OR($C$10="",B2844&gt;=$C$10),OR($C$11="",B2844&lt;=$C$11),OR($C$12&lt;&gt;"Ya",K2844&lt;&gt;""),OR($C$13="Semua",$C$13="",L2844=$C$13)),"✓","")</f>
        <v/>
      </c>
      <c r="N2844" s="93">
        <f>N(N2843)+IF(M2844="✓",1,0)</f>
        <v/>
      </c>
      <c r="O2844" s="93">
        <f>N(O2843)+IF(AND(B2844&lt;&gt;"",B2844&gt;='Uang Riba'!$H$30,B2844&lt;='Uang Riba'!$I$30,OR(H2844="Dana riba",H2844="Pinjam uang riba",I2844="Pinjam dari uang riba",I2844="Ganti uang riba",I2844="Kelebihan ganti dikembalikan",AND(C2844="Kantong Uang Riba",G2844="Pengeluaran"))),1,0)</f>
        <v/>
      </c>
      <c r="X2844" s="93">
        <f>IF(AND(B2844&lt;&gt;"",B2844&gt;='Buku Akun'!$H$4,B2844&lt;='Buku Akun'!$H$5,OR(C2844='Buku Akun'!$C$4,AND(D2844="Pindah",E2844='Buku Akun'!$C$4))),B2844+IF(AND(I2844="Selisih bunga",DAY(B2844)=1),0,0.01)+ROW()/10000000,"")</f>
        <v/>
      </c>
    </row>
    <row r="2845" outlineLevel="1" ht="15" customHeight="1" s="94">
      <c r="A2845" s="123">
        <f>IF(B2845="","",ROW()-15)</f>
        <v/>
      </c>
      <c r="B2845" s="124" t="n"/>
      <c r="C2845" s="123" t="n"/>
      <c r="D2845" s="123" t="n"/>
      <c r="E2845" s="123" t="n"/>
      <c r="F2845" s="125" t="n"/>
      <c r="G2845" s="123" t="n"/>
      <c r="H2845" s="123" t="n"/>
      <c r="I2845" s="123" t="n"/>
      <c r="J2845" s="123" t="n"/>
      <c r="K2845" s="123" t="n"/>
      <c r="L2845" s="123" t="n"/>
      <c r="M2845" s="123">
        <f>IF(AND(B2845&lt;&gt;"",OR($C$4="",ISNUMBER(SEARCH($C$4,C2845&amp;" "&amp;E2845&amp;" "&amp;G2845&amp;" "&amp;H2845&amp;" "&amp;I2845&amp;" "&amp;J2845&amp;" "&amp;K2845&amp;" "&amp;L2845))),OR($C$5="Semua",$C$5="",G2845=$C$5),OR($C$6="Semua",$C$6="",H2845=$C$6,H2845="Pengeluaran "&amp;$C$6,AND($C$6="Uang Kos Mama",H2845="Pengeluaran Uang Kos")),OR($C$7="Semua",$C$7="",I2845=$C$7),OR($C$8="Semua",$C$8="",C2845=$C$8,E2845=$C$8),OR($C$9="Semua",$C$9="",D2845=$C$9),OR($C$10="",B2845&gt;=$C$10),OR($C$11="",B2845&lt;=$C$11),OR($C$12&lt;&gt;"Ya",K2845&lt;&gt;""),OR($C$13="Semua",$C$13="",L2845=$C$13)),"✓","")</f>
        <v/>
      </c>
      <c r="N2845" s="93">
        <f>N(N2844)+IF(M2845="✓",1,0)</f>
        <v/>
      </c>
      <c r="O2845" s="93">
        <f>N(O2844)+IF(AND(B2845&lt;&gt;"",B2845&gt;='Uang Riba'!$H$30,B2845&lt;='Uang Riba'!$I$30,OR(H2845="Dana riba",H2845="Pinjam uang riba",I2845="Pinjam dari uang riba",I2845="Ganti uang riba",I2845="Kelebihan ganti dikembalikan",AND(C2845="Kantong Uang Riba",G2845="Pengeluaran"))),1,0)</f>
        <v/>
      </c>
      <c r="X2845" s="93">
        <f>IF(AND(B2845&lt;&gt;"",B2845&gt;='Buku Akun'!$H$4,B2845&lt;='Buku Akun'!$H$5,OR(C2845='Buku Akun'!$C$4,AND(D2845="Pindah",E2845='Buku Akun'!$C$4))),B2845+IF(AND(I2845="Selisih bunga",DAY(B2845)=1),0,0.01)+ROW()/10000000,"")</f>
        <v/>
      </c>
    </row>
    <row r="2846" outlineLevel="1" ht="15" customHeight="1" s="94">
      <c r="A2846" s="123">
        <f>IF(B2846="","",ROW()-15)</f>
        <v/>
      </c>
      <c r="B2846" s="124" t="n"/>
      <c r="C2846" s="123" t="n"/>
      <c r="D2846" s="123" t="n"/>
      <c r="E2846" s="123" t="n"/>
      <c r="F2846" s="125" t="n"/>
      <c r="G2846" s="123" t="n"/>
      <c r="H2846" s="123" t="n"/>
      <c r="I2846" s="123" t="n"/>
      <c r="J2846" s="123" t="n"/>
      <c r="K2846" s="123" t="n"/>
      <c r="L2846" s="123" t="n"/>
      <c r="M2846" s="123">
        <f>IF(AND(B2846&lt;&gt;"",OR($C$4="",ISNUMBER(SEARCH($C$4,C2846&amp;" "&amp;E2846&amp;" "&amp;G2846&amp;" "&amp;H2846&amp;" "&amp;I2846&amp;" "&amp;J2846&amp;" "&amp;K2846&amp;" "&amp;L2846))),OR($C$5="Semua",$C$5="",G2846=$C$5),OR($C$6="Semua",$C$6="",H2846=$C$6,H2846="Pengeluaran "&amp;$C$6,AND($C$6="Uang Kos Mama",H2846="Pengeluaran Uang Kos")),OR($C$7="Semua",$C$7="",I2846=$C$7),OR($C$8="Semua",$C$8="",C2846=$C$8,E2846=$C$8),OR($C$9="Semua",$C$9="",D2846=$C$9),OR($C$10="",B2846&gt;=$C$10),OR($C$11="",B2846&lt;=$C$11),OR($C$12&lt;&gt;"Ya",K2846&lt;&gt;""),OR($C$13="Semua",$C$13="",L2846=$C$13)),"✓","")</f>
        <v/>
      </c>
      <c r="N2846" s="93">
        <f>N(N2845)+IF(M2846="✓",1,0)</f>
        <v/>
      </c>
      <c r="O2846" s="93">
        <f>N(O2845)+IF(AND(B2846&lt;&gt;"",B2846&gt;='Uang Riba'!$H$30,B2846&lt;='Uang Riba'!$I$30,OR(H2846="Dana riba",H2846="Pinjam uang riba",I2846="Pinjam dari uang riba",I2846="Ganti uang riba",I2846="Kelebihan ganti dikembalikan",AND(C2846="Kantong Uang Riba",G2846="Pengeluaran"))),1,0)</f>
        <v/>
      </c>
      <c r="X2846" s="93">
        <f>IF(AND(B2846&lt;&gt;"",B2846&gt;='Buku Akun'!$H$4,B2846&lt;='Buku Akun'!$H$5,OR(C2846='Buku Akun'!$C$4,AND(D2846="Pindah",E2846='Buku Akun'!$C$4))),B2846+IF(AND(I2846="Selisih bunga",DAY(B2846)=1),0,0.01)+ROW()/10000000,"")</f>
        <v/>
      </c>
    </row>
    <row r="2847" outlineLevel="1" ht="15" customHeight="1" s="94">
      <c r="A2847" s="123">
        <f>IF(B2847="","",ROW()-15)</f>
        <v/>
      </c>
      <c r="B2847" s="124" t="n"/>
      <c r="C2847" s="123" t="n"/>
      <c r="D2847" s="123" t="n"/>
      <c r="E2847" s="123" t="n"/>
      <c r="F2847" s="125" t="n"/>
      <c r="G2847" s="123" t="n"/>
      <c r="H2847" s="123" t="n"/>
      <c r="I2847" s="123" t="n"/>
      <c r="J2847" s="123" t="n"/>
      <c r="K2847" s="123" t="n"/>
      <c r="L2847" s="123" t="n"/>
      <c r="M2847" s="123">
        <f>IF(AND(B2847&lt;&gt;"",OR($C$4="",ISNUMBER(SEARCH($C$4,C2847&amp;" "&amp;E2847&amp;" "&amp;G2847&amp;" "&amp;H2847&amp;" "&amp;I2847&amp;" "&amp;J2847&amp;" "&amp;K2847&amp;" "&amp;L2847))),OR($C$5="Semua",$C$5="",G2847=$C$5),OR($C$6="Semua",$C$6="",H2847=$C$6,H2847="Pengeluaran "&amp;$C$6,AND($C$6="Uang Kos Mama",H2847="Pengeluaran Uang Kos")),OR($C$7="Semua",$C$7="",I2847=$C$7),OR($C$8="Semua",$C$8="",C2847=$C$8,E2847=$C$8),OR($C$9="Semua",$C$9="",D2847=$C$9),OR($C$10="",B2847&gt;=$C$10),OR($C$11="",B2847&lt;=$C$11),OR($C$12&lt;&gt;"Ya",K2847&lt;&gt;""),OR($C$13="Semua",$C$13="",L2847=$C$13)),"✓","")</f>
        <v/>
      </c>
      <c r="N2847" s="93">
        <f>N(N2846)+IF(M2847="✓",1,0)</f>
        <v/>
      </c>
      <c r="O2847" s="93">
        <f>N(O2846)+IF(AND(B2847&lt;&gt;"",B2847&gt;='Uang Riba'!$H$30,B2847&lt;='Uang Riba'!$I$30,OR(H2847="Dana riba",H2847="Pinjam uang riba",I2847="Pinjam dari uang riba",I2847="Ganti uang riba",I2847="Kelebihan ganti dikembalikan",AND(C2847="Kantong Uang Riba",G2847="Pengeluaran"))),1,0)</f>
        <v/>
      </c>
      <c r="X2847" s="93">
        <f>IF(AND(B2847&lt;&gt;"",B2847&gt;='Buku Akun'!$H$4,B2847&lt;='Buku Akun'!$H$5,OR(C2847='Buku Akun'!$C$4,AND(D2847="Pindah",E2847='Buku Akun'!$C$4))),B2847+IF(AND(I2847="Selisih bunga",DAY(B2847)=1),0,0.01)+ROW()/10000000,"")</f>
        <v/>
      </c>
    </row>
    <row r="2848" outlineLevel="1" ht="15" customHeight="1" s="94">
      <c r="A2848" s="123">
        <f>IF(B2848="","",ROW()-15)</f>
        <v/>
      </c>
      <c r="B2848" s="124" t="n"/>
      <c r="C2848" s="123" t="n"/>
      <c r="D2848" s="123" t="n"/>
      <c r="E2848" s="123" t="n"/>
      <c r="F2848" s="125" t="n"/>
      <c r="G2848" s="123" t="n"/>
      <c r="H2848" s="123" t="n"/>
      <c r="I2848" s="123" t="n"/>
      <c r="J2848" s="123" t="n"/>
      <c r="K2848" s="123" t="n"/>
      <c r="L2848" s="123" t="n"/>
      <c r="M2848" s="123">
        <f>IF(AND(B2848&lt;&gt;"",OR($C$4="",ISNUMBER(SEARCH($C$4,C2848&amp;" "&amp;E2848&amp;" "&amp;G2848&amp;" "&amp;H2848&amp;" "&amp;I2848&amp;" "&amp;J2848&amp;" "&amp;K2848&amp;" "&amp;L2848))),OR($C$5="Semua",$C$5="",G2848=$C$5),OR($C$6="Semua",$C$6="",H2848=$C$6,H2848="Pengeluaran "&amp;$C$6,AND($C$6="Uang Kos Mama",H2848="Pengeluaran Uang Kos")),OR($C$7="Semua",$C$7="",I2848=$C$7),OR($C$8="Semua",$C$8="",C2848=$C$8,E2848=$C$8),OR($C$9="Semua",$C$9="",D2848=$C$9),OR($C$10="",B2848&gt;=$C$10),OR($C$11="",B2848&lt;=$C$11),OR($C$12&lt;&gt;"Ya",K2848&lt;&gt;""),OR($C$13="Semua",$C$13="",L2848=$C$13)),"✓","")</f>
        <v/>
      </c>
      <c r="N2848" s="93">
        <f>N(N2847)+IF(M2848="✓",1,0)</f>
        <v/>
      </c>
      <c r="O2848" s="93">
        <f>N(O2847)+IF(AND(B2848&lt;&gt;"",B2848&gt;='Uang Riba'!$H$30,B2848&lt;='Uang Riba'!$I$30,OR(H2848="Dana riba",H2848="Pinjam uang riba",I2848="Pinjam dari uang riba",I2848="Ganti uang riba",I2848="Kelebihan ganti dikembalikan",AND(C2848="Kantong Uang Riba",G2848="Pengeluaran"))),1,0)</f>
        <v/>
      </c>
      <c r="X2848" s="93">
        <f>IF(AND(B2848&lt;&gt;"",B2848&gt;='Buku Akun'!$H$4,B2848&lt;='Buku Akun'!$H$5,OR(C2848='Buku Akun'!$C$4,AND(D2848="Pindah",E2848='Buku Akun'!$C$4))),B2848+IF(AND(I2848="Selisih bunga",DAY(B2848)=1),0,0.01)+ROW()/10000000,"")</f>
        <v/>
      </c>
    </row>
    <row r="2849" outlineLevel="1" ht="15" customHeight="1" s="94">
      <c r="A2849" s="123">
        <f>IF(B2849="","",ROW()-15)</f>
        <v/>
      </c>
      <c r="B2849" s="124" t="n"/>
      <c r="C2849" s="123" t="n"/>
      <c r="D2849" s="123" t="n"/>
      <c r="E2849" s="123" t="n"/>
      <c r="F2849" s="125" t="n"/>
      <c r="G2849" s="123" t="n"/>
      <c r="H2849" s="123" t="n"/>
      <c r="I2849" s="123" t="n"/>
      <c r="J2849" s="123" t="n"/>
      <c r="K2849" s="123" t="n"/>
      <c r="L2849" s="123" t="n"/>
      <c r="M2849" s="123">
        <f>IF(AND(B2849&lt;&gt;"",OR($C$4="",ISNUMBER(SEARCH($C$4,C2849&amp;" "&amp;E2849&amp;" "&amp;G2849&amp;" "&amp;H2849&amp;" "&amp;I2849&amp;" "&amp;J2849&amp;" "&amp;K2849&amp;" "&amp;L2849))),OR($C$5="Semua",$C$5="",G2849=$C$5),OR($C$6="Semua",$C$6="",H2849=$C$6,H2849="Pengeluaran "&amp;$C$6,AND($C$6="Uang Kos Mama",H2849="Pengeluaran Uang Kos")),OR($C$7="Semua",$C$7="",I2849=$C$7),OR($C$8="Semua",$C$8="",C2849=$C$8,E2849=$C$8),OR($C$9="Semua",$C$9="",D2849=$C$9),OR($C$10="",B2849&gt;=$C$10),OR($C$11="",B2849&lt;=$C$11),OR($C$12&lt;&gt;"Ya",K2849&lt;&gt;""),OR($C$13="Semua",$C$13="",L2849=$C$13)),"✓","")</f>
        <v/>
      </c>
      <c r="N2849" s="93">
        <f>N(N2848)+IF(M2849="✓",1,0)</f>
        <v/>
      </c>
      <c r="O2849" s="93">
        <f>N(O2848)+IF(AND(B2849&lt;&gt;"",B2849&gt;='Uang Riba'!$H$30,B2849&lt;='Uang Riba'!$I$30,OR(H2849="Dana riba",H2849="Pinjam uang riba",I2849="Pinjam dari uang riba",I2849="Ganti uang riba",I2849="Kelebihan ganti dikembalikan",AND(C2849="Kantong Uang Riba",G2849="Pengeluaran"))),1,0)</f>
        <v/>
      </c>
      <c r="X2849" s="93">
        <f>IF(AND(B2849&lt;&gt;"",B2849&gt;='Buku Akun'!$H$4,B2849&lt;='Buku Akun'!$H$5,OR(C2849='Buku Akun'!$C$4,AND(D2849="Pindah",E2849='Buku Akun'!$C$4))),B2849+IF(AND(I2849="Selisih bunga",DAY(B2849)=1),0,0.01)+ROW()/10000000,"")</f>
        <v/>
      </c>
    </row>
    <row r="2850" outlineLevel="1" ht="15" customHeight="1" s="94">
      <c r="A2850" s="123">
        <f>IF(B2850="","",ROW()-15)</f>
        <v/>
      </c>
      <c r="B2850" s="124" t="n"/>
      <c r="C2850" s="123" t="n"/>
      <c r="D2850" s="123" t="n"/>
      <c r="E2850" s="123" t="n"/>
      <c r="F2850" s="125" t="n"/>
      <c r="G2850" s="123" t="n"/>
      <c r="H2850" s="123" t="n"/>
      <c r="I2850" s="123" t="n"/>
      <c r="J2850" s="123" t="n"/>
      <c r="K2850" s="123" t="n"/>
      <c r="L2850" s="123" t="n"/>
      <c r="M2850" s="123">
        <f>IF(AND(B2850&lt;&gt;"",OR($C$4="",ISNUMBER(SEARCH($C$4,C2850&amp;" "&amp;E2850&amp;" "&amp;G2850&amp;" "&amp;H2850&amp;" "&amp;I2850&amp;" "&amp;J2850&amp;" "&amp;K2850&amp;" "&amp;L2850))),OR($C$5="Semua",$C$5="",G2850=$C$5),OR($C$6="Semua",$C$6="",H2850=$C$6,H2850="Pengeluaran "&amp;$C$6,AND($C$6="Uang Kos Mama",H2850="Pengeluaran Uang Kos")),OR($C$7="Semua",$C$7="",I2850=$C$7),OR($C$8="Semua",$C$8="",C2850=$C$8,E2850=$C$8),OR($C$9="Semua",$C$9="",D2850=$C$9),OR($C$10="",B2850&gt;=$C$10),OR($C$11="",B2850&lt;=$C$11),OR($C$12&lt;&gt;"Ya",K2850&lt;&gt;""),OR($C$13="Semua",$C$13="",L2850=$C$13)),"✓","")</f>
        <v/>
      </c>
      <c r="N2850" s="93">
        <f>N(N2849)+IF(M2850="✓",1,0)</f>
        <v/>
      </c>
      <c r="O2850" s="93">
        <f>N(O2849)+IF(AND(B2850&lt;&gt;"",B2850&gt;='Uang Riba'!$H$30,B2850&lt;='Uang Riba'!$I$30,OR(H2850="Dana riba",H2850="Pinjam uang riba",I2850="Pinjam dari uang riba",I2850="Ganti uang riba",I2850="Kelebihan ganti dikembalikan",AND(C2850="Kantong Uang Riba",G2850="Pengeluaran"))),1,0)</f>
        <v/>
      </c>
      <c r="X2850" s="93">
        <f>IF(AND(B2850&lt;&gt;"",B2850&gt;='Buku Akun'!$H$4,B2850&lt;='Buku Akun'!$H$5,OR(C2850='Buku Akun'!$C$4,AND(D2850="Pindah",E2850='Buku Akun'!$C$4))),B2850+IF(AND(I2850="Selisih bunga",DAY(B2850)=1),0,0.01)+ROW()/10000000,"")</f>
        <v/>
      </c>
    </row>
    <row r="2851" outlineLevel="1" ht="15" customHeight="1" s="94">
      <c r="A2851" s="123">
        <f>IF(B2851="","",ROW()-15)</f>
        <v/>
      </c>
      <c r="B2851" s="124" t="n"/>
      <c r="C2851" s="123" t="n"/>
      <c r="D2851" s="123" t="n"/>
      <c r="E2851" s="123" t="n"/>
      <c r="F2851" s="125" t="n"/>
      <c r="G2851" s="123" t="n"/>
      <c r="H2851" s="123" t="n"/>
      <c r="I2851" s="123" t="n"/>
      <c r="J2851" s="123" t="n"/>
      <c r="K2851" s="123" t="n"/>
      <c r="L2851" s="123" t="n"/>
      <c r="M2851" s="123">
        <f>IF(AND(B2851&lt;&gt;"",OR($C$4="",ISNUMBER(SEARCH($C$4,C2851&amp;" "&amp;E2851&amp;" "&amp;G2851&amp;" "&amp;H2851&amp;" "&amp;I2851&amp;" "&amp;J2851&amp;" "&amp;K2851&amp;" "&amp;L2851))),OR($C$5="Semua",$C$5="",G2851=$C$5),OR($C$6="Semua",$C$6="",H2851=$C$6,H2851="Pengeluaran "&amp;$C$6,AND($C$6="Uang Kos Mama",H2851="Pengeluaran Uang Kos")),OR($C$7="Semua",$C$7="",I2851=$C$7),OR($C$8="Semua",$C$8="",C2851=$C$8,E2851=$C$8),OR($C$9="Semua",$C$9="",D2851=$C$9),OR($C$10="",B2851&gt;=$C$10),OR($C$11="",B2851&lt;=$C$11),OR($C$12&lt;&gt;"Ya",K2851&lt;&gt;""),OR($C$13="Semua",$C$13="",L2851=$C$13)),"✓","")</f>
        <v/>
      </c>
      <c r="N2851" s="93">
        <f>N(N2850)+IF(M2851="✓",1,0)</f>
        <v/>
      </c>
      <c r="O2851" s="93">
        <f>N(O2850)+IF(AND(B2851&lt;&gt;"",B2851&gt;='Uang Riba'!$H$30,B2851&lt;='Uang Riba'!$I$30,OR(H2851="Dana riba",H2851="Pinjam uang riba",I2851="Pinjam dari uang riba",I2851="Ganti uang riba",I2851="Kelebihan ganti dikembalikan",AND(C2851="Kantong Uang Riba",G2851="Pengeluaran"))),1,0)</f>
        <v/>
      </c>
      <c r="X2851" s="93">
        <f>IF(AND(B2851&lt;&gt;"",B2851&gt;='Buku Akun'!$H$4,B2851&lt;='Buku Akun'!$H$5,OR(C2851='Buku Akun'!$C$4,AND(D2851="Pindah",E2851='Buku Akun'!$C$4))),B2851+IF(AND(I2851="Selisih bunga",DAY(B2851)=1),0,0.01)+ROW()/10000000,"")</f>
        <v/>
      </c>
    </row>
    <row r="2852" outlineLevel="1" ht="15" customHeight="1" s="94">
      <c r="A2852" s="123">
        <f>IF(B2852="","",ROW()-15)</f>
        <v/>
      </c>
      <c r="B2852" s="124" t="n"/>
      <c r="C2852" s="123" t="n"/>
      <c r="D2852" s="123" t="n"/>
      <c r="E2852" s="123" t="n"/>
      <c r="F2852" s="125" t="n"/>
      <c r="G2852" s="123" t="n"/>
      <c r="H2852" s="123" t="n"/>
      <c r="I2852" s="123" t="n"/>
      <c r="J2852" s="123" t="n"/>
      <c r="K2852" s="123" t="n"/>
      <c r="L2852" s="123" t="n"/>
      <c r="M2852" s="123">
        <f>IF(AND(B2852&lt;&gt;"",OR($C$4="",ISNUMBER(SEARCH($C$4,C2852&amp;" "&amp;E2852&amp;" "&amp;G2852&amp;" "&amp;H2852&amp;" "&amp;I2852&amp;" "&amp;J2852&amp;" "&amp;K2852&amp;" "&amp;L2852))),OR($C$5="Semua",$C$5="",G2852=$C$5),OR($C$6="Semua",$C$6="",H2852=$C$6,H2852="Pengeluaran "&amp;$C$6,AND($C$6="Uang Kos Mama",H2852="Pengeluaran Uang Kos")),OR($C$7="Semua",$C$7="",I2852=$C$7),OR($C$8="Semua",$C$8="",C2852=$C$8,E2852=$C$8),OR($C$9="Semua",$C$9="",D2852=$C$9),OR($C$10="",B2852&gt;=$C$10),OR($C$11="",B2852&lt;=$C$11),OR($C$12&lt;&gt;"Ya",K2852&lt;&gt;""),OR($C$13="Semua",$C$13="",L2852=$C$13)),"✓","")</f>
        <v/>
      </c>
      <c r="N2852" s="93">
        <f>N(N2851)+IF(M2852="✓",1,0)</f>
        <v/>
      </c>
      <c r="O2852" s="93">
        <f>N(O2851)+IF(AND(B2852&lt;&gt;"",B2852&gt;='Uang Riba'!$H$30,B2852&lt;='Uang Riba'!$I$30,OR(H2852="Dana riba",H2852="Pinjam uang riba",I2852="Pinjam dari uang riba",I2852="Ganti uang riba",I2852="Kelebihan ganti dikembalikan",AND(C2852="Kantong Uang Riba",G2852="Pengeluaran"))),1,0)</f>
        <v/>
      </c>
      <c r="X2852" s="93">
        <f>IF(AND(B2852&lt;&gt;"",B2852&gt;='Buku Akun'!$H$4,B2852&lt;='Buku Akun'!$H$5,OR(C2852='Buku Akun'!$C$4,AND(D2852="Pindah",E2852='Buku Akun'!$C$4))),B2852+IF(AND(I2852="Selisih bunga",DAY(B2852)=1),0,0.01)+ROW()/10000000,"")</f>
        <v/>
      </c>
    </row>
    <row r="2853" outlineLevel="1" ht="15" customHeight="1" s="94">
      <c r="A2853" s="123">
        <f>IF(B2853="","",ROW()-15)</f>
        <v/>
      </c>
      <c r="B2853" s="124" t="n"/>
      <c r="C2853" s="123" t="n"/>
      <c r="D2853" s="123" t="n"/>
      <c r="E2853" s="123" t="n"/>
      <c r="F2853" s="125" t="n"/>
      <c r="G2853" s="123" t="n"/>
      <c r="H2853" s="123" t="n"/>
      <c r="I2853" s="123" t="n"/>
      <c r="J2853" s="123" t="n"/>
      <c r="K2853" s="123" t="n"/>
      <c r="L2853" s="123" t="n"/>
      <c r="M2853" s="123">
        <f>IF(AND(B2853&lt;&gt;"",OR($C$4="",ISNUMBER(SEARCH($C$4,C2853&amp;" "&amp;E2853&amp;" "&amp;G2853&amp;" "&amp;H2853&amp;" "&amp;I2853&amp;" "&amp;J2853&amp;" "&amp;K2853&amp;" "&amp;L2853))),OR($C$5="Semua",$C$5="",G2853=$C$5),OR($C$6="Semua",$C$6="",H2853=$C$6,H2853="Pengeluaran "&amp;$C$6,AND($C$6="Uang Kos Mama",H2853="Pengeluaran Uang Kos")),OR($C$7="Semua",$C$7="",I2853=$C$7),OR($C$8="Semua",$C$8="",C2853=$C$8,E2853=$C$8),OR($C$9="Semua",$C$9="",D2853=$C$9),OR($C$10="",B2853&gt;=$C$10),OR($C$11="",B2853&lt;=$C$11),OR($C$12&lt;&gt;"Ya",K2853&lt;&gt;""),OR($C$13="Semua",$C$13="",L2853=$C$13)),"✓","")</f>
        <v/>
      </c>
      <c r="N2853" s="93">
        <f>N(N2852)+IF(M2853="✓",1,0)</f>
        <v/>
      </c>
      <c r="O2853" s="93">
        <f>N(O2852)+IF(AND(B2853&lt;&gt;"",B2853&gt;='Uang Riba'!$H$30,B2853&lt;='Uang Riba'!$I$30,OR(H2853="Dana riba",H2853="Pinjam uang riba",I2853="Pinjam dari uang riba",I2853="Ganti uang riba",I2853="Kelebihan ganti dikembalikan",AND(C2853="Kantong Uang Riba",G2853="Pengeluaran"))),1,0)</f>
        <v/>
      </c>
      <c r="X2853" s="93">
        <f>IF(AND(B2853&lt;&gt;"",B2853&gt;='Buku Akun'!$H$4,B2853&lt;='Buku Akun'!$H$5,OR(C2853='Buku Akun'!$C$4,AND(D2853="Pindah",E2853='Buku Akun'!$C$4))),B2853+IF(AND(I2853="Selisih bunga",DAY(B2853)=1),0,0.01)+ROW()/10000000,"")</f>
        <v/>
      </c>
    </row>
    <row r="2854" outlineLevel="1" ht="15" customHeight="1" s="94">
      <c r="A2854" s="123">
        <f>IF(B2854="","",ROW()-15)</f>
        <v/>
      </c>
      <c r="B2854" s="124" t="n"/>
      <c r="C2854" s="123" t="n"/>
      <c r="D2854" s="123" t="n"/>
      <c r="E2854" s="123" t="n"/>
      <c r="F2854" s="125" t="n"/>
      <c r="G2854" s="123" t="n"/>
      <c r="H2854" s="123" t="n"/>
      <c r="I2854" s="123" t="n"/>
      <c r="J2854" s="123" t="n"/>
      <c r="K2854" s="123" t="n"/>
      <c r="L2854" s="123" t="n"/>
      <c r="M2854" s="123">
        <f>IF(AND(B2854&lt;&gt;"",OR($C$4="",ISNUMBER(SEARCH($C$4,C2854&amp;" "&amp;E2854&amp;" "&amp;G2854&amp;" "&amp;H2854&amp;" "&amp;I2854&amp;" "&amp;J2854&amp;" "&amp;K2854&amp;" "&amp;L2854))),OR($C$5="Semua",$C$5="",G2854=$C$5),OR($C$6="Semua",$C$6="",H2854=$C$6,H2854="Pengeluaran "&amp;$C$6,AND($C$6="Uang Kos Mama",H2854="Pengeluaran Uang Kos")),OR($C$7="Semua",$C$7="",I2854=$C$7),OR($C$8="Semua",$C$8="",C2854=$C$8,E2854=$C$8),OR($C$9="Semua",$C$9="",D2854=$C$9),OR($C$10="",B2854&gt;=$C$10),OR($C$11="",B2854&lt;=$C$11),OR($C$12&lt;&gt;"Ya",K2854&lt;&gt;""),OR($C$13="Semua",$C$13="",L2854=$C$13)),"✓","")</f>
        <v/>
      </c>
      <c r="N2854" s="93">
        <f>N(N2853)+IF(M2854="✓",1,0)</f>
        <v/>
      </c>
      <c r="O2854" s="93">
        <f>N(O2853)+IF(AND(B2854&lt;&gt;"",B2854&gt;='Uang Riba'!$H$30,B2854&lt;='Uang Riba'!$I$30,OR(H2854="Dana riba",H2854="Pinjam uang riba",I2854="Pinjam dari uang riba",I2854="Ganti uang riba",I2854="Kelebihan ganti dikembalikan",AND(C2854="Kantong Uang Riba",G2854="Pengeluaran"))),1,0)</f>
        <v/>
      </c>
      <c r="X2854" s="93">
        <f>IF(AND(B2854&lt;&gt;"",B2854&gt;='Buku Akun'!$H$4,B2854&lt;='Buku Akun'!$H$5,OR(C2854='Buku Akun'!$C$4,AND(D2854="Pindah",E2854='Buku Akun'!$C$4))),B2854+IF(AND(I2854="Selisih bunga",DAY(B2854)=1),0,0.01)+ROW()/10000000,"")</f>
        <v/>
      </c>
    </row>
    <row r="2855" outlineLevel="1" ht="15" customHeight="1" s="94">
      <c r="A2855" s="123">
        <f>IF(B2855="","",ROW()-15)</f>
        <v/>
      </c>
      <c r="B2855" s="124" t="n"/>
      <c r="C2855" s="123" t="n"/>
      <c r="D2855" s="123" t="n"/>
      <c r="E2855" s="123" t="n"/>
      <c r="F2855" s="125" t="n"/>
      <c r="G2855" s="123" t="n"/>
      <c r="H2855" s="123" t="n"/>
      <c r="I2855" s="123" t="n"/>
      <c r="J2855" s="123" t="n"/>
      <c r="K2855" s="123" t="n"/>
      <c r="L2855" s="123" t="n"/>
      <c r="M2855" s="123">
        <f>IF(AND(B2855&lt;&gt;"",OR($C$4="",ISNUMBER(SEARCH($C$4,C2855&amp;" "&amp;E2855&amp;" "&amp;G2855&amp;" "&amp;H2855&amp;" "&amp;I2855&amp;" "&amp;J2855&amp;" "&amp;K2855&amp;" "&amp;L2855))),OR($C$5="Semua",$C$5="",G2855=$C$5),OR($C$6="Semua",$C$6="",H2855=$C$6,H2855="Pengeluaran "&amp;$C$6,AND($C$6="Uang Kos Mama",H2855="Pengeluaran Uang Kos")),OR($C$7="Semua",$C$7="",I2855=$C$7),OR($C$8="Semua",$C$8="",C2855=$C$8,E2855=$C$8),OR($C$9="Semua",$C$9="",D2855=$C$9),OR($C$10="",B2855&gt;=$C$10),OR($C$11="",B2855&lt;=$C$11),OR($C$12&lt;&gt;"Ya",K2855&lt;&gt;""),OR($C$13="Semua",$C$13="",L2855=$C$13)),"✓","")</f>
        <v/>
      </c>
      <c r="N2855" s="93">
        <f>N(N2854)+IF(M2855="✓",1,0)</f>
        <v/>
      </c>
      <c r="O2855" s="93">
        <f>N(O2854)+IF(AND(B2855&lt;&gt;"",B2855&gt;='Uang Riba'!$H$30,B2855&lt;='Uang Riba'!$I$30,OR(H2855="Dana riba",H2855="Pinjam uang riba",I2855="Pinjam dari uang riba",I2855="Ganti uang riba",I2855="Kelebihan ganti dikembalikan",AND(C2855="Kantong Uang Riba",G2855="Pengeluaran"))),1,0)</f>
        <v/>
      </c>
      <c r="X2855" s="93">
        <f>IF(AND(B2855&lt;&gt;"",B2855&gt;='Buku Akun'!$H$4,B2855&lt;='Buku Akun'!$H$5,OR(C2855='Buku Akun'!$C$4,AND(D2855="Pindah",E2855='Buku Akun'!$C$4))),B2855+IF(AND(I2855="Selisih bunga",DAY(B2855)=1),0,0.01)+ROW()/10000000,"")</f>
        <v/>
      </c>
    </row>
    <row r="2856" outlineLevel="1" ht="15" customHeight="1" s="94">
      <c r="A2856" s="123">
        <f>IF(B2856="","",ROW()-15)</f>
        <v/>
      </c>
      <c r="B2856" s="124" t="n"/>
      <c r="C2856" s="123" t="n"/>
      <c r="D2856" s="123" t="n"/>
      <c r="E2856" s="123" t="n"/>
      <c r="F2856" s="125" t="n"/>
      <c r="G2856" s="123" t="n"/>
      <c r="H2856" s="123" t="n"/>
      <c r="I2856" s="123" t="n"/>
      <c r="J2856" s="123" t="n"/>
      <c r="K2856" s="123" t="n"/>
      <c r="L2856" s="123" t="n"/>
      <c r="M2856" s="123">
        <f>IF(AND(B2856&lt;&gt;"",OR($C$4="",ISNUMBER(SEARCH($C$4,C2856&amp;" "&amp;E2856&amp;" "&amp;G2856&amp;" "&amp;H2856&amp;" "&amp;I2856&amp;" "&amp;J2856&amp;" "&amp;K2856&amp;" "&amp;L2856))),OR($C$5="Semua",$C$5="",G2856=$C$5),OR($C$6="Semua",$C$6="",H2856=$C$6,H2856="Pengeluaran "&amp;$C$6,AND($C$6="Uang Kos Mama",H2856="Pengeluaran Uang Kos")),OR($C$7="Semua",$C$7="",I2856=$C$7),OR($C$8="Semua",$C$8="",C2856=$C$8,E2856=$C$8),OR($C$9="Semua",$C$9="",D2856=$C$9),OR($C$10="",B2856&gt;=$C$10),OR($C$11="",B2856&lt;=$C$11),OR($C$12&lt;&gt;"Ya",K2856&lt;&gt;""),OR($C$13="Semua",$C$13="",L2856=$C$13)),"✓","")</f>
        <v/>
      </c>
      <c r="N2856" s="93">
        <f>N(N2855)+IF(M2856="✓",1,0)</f>
        <v/>
      </c>
      <c r="O2856" s="93">
        <f>N(O2855)+IF(AND(B2856&lt;&gt;"",B2856&gt;='Uang Riba'!$H$30,B2856&lt;='Uang Riba'!$I$30,OR(H2856="Dana riba",H2856="Pinjam uang riba",I2856="Pinjam dari uang riba",I2856="Ganti uang riba",I2856="Kelebihan ganti dikembalikan",AND(C2856="Kantong Uang Riba",G2856="Pengeluaran"))),1,0)</f>
        <v/>
      </c>
      <c r="X2856" s="93">
        <f>IF(AND(B2856&lt;&gt;"",B2856&gt;='Buku Akun'!$H$4,B2856&lt;='Buku Akun'!$H$5,OR(C2856='Buku Akun'!$C$4,AND(D2856="Pindah",E2856='Buku Akun'!$C$4))),B2856+IF(AND(I2856="Selisih bunga",DAY(B2856)=1),0,0.01)+ROW()/10000000,"")</f>
        <v/>
      </c>
    </row>
    <row r="2857" outlineLevel="1" ht="15" customHeight="1" s="94">
      <c r="A2857" s="123">
        <f>IF(B2857="","",ROW()-15)</f>
        <v/>
      </c>
      <c r="B2857" s="124" t="n"/>
      <c r="C2857" s="123" t="n"/>
      <c r="D2857" s="123" t="n"/>
      <c r="E2857" s="123" t="n"/>
      <c r="F2857" s="125" t="n"/>
      <c r="G2857" s="123" t="n"/>
      <c r="H2857" s="123" t="n"/>
      <c r="I2857" s="123" t="n"/>
      <c r="J2857" s="123" t="n"/>
      <c r="K2857" s="123" t="n"/>
      <c r="L2857" s="123" t="n"/>
      <c r="M2857" s="123">
        <f>IF(AND(B2857&lt;&gt;"",OR($C$4="",ISNUMBER(SEARCH($C$4,C2857&amp;" "&amp;E2857&amp;" "&amp;G2857&amp;" "&amp;H2857&amp;" "&amp;I2857&amp;" "&amp;J2857&amp;" "&amp;K2857&amp;" "&amp;L2857))),OR($C$5="Semua",$C$5="",G2857=$C$5),OR($C$6="Semua",$C$6="",H2857=$C$6,H2857="Pengeluaran "&amp;$C$6,AND($C$6="Uang Kos Mama",H2857="Pengeluaran Uang Kos")),OR($C$7="Semua",$C$7="",I2857=$C$7),OR($C$8="Semua",$C$8="",C2857=$C$8,E2857=$C$8),OR($C$9="Semua",$C$9="",D2857=$C$9),OR($C$10="",B2857&gt;=$C$10),OR($C$11="",B2857&lt;=$C$11),OR($C$12&lt;&gt;"Ya",K2857&lt;&gt;""),OR($C$13="Semua",$C$13="",L2857=$C$13)),"✓","")</f>
        <v/>
      </c>
      <c r="N2857" s="93">
        <f>N(N2856)+IF(M2857="✓",1,0)</f>
        <v/>
      </c>
      <c r="O2857" s="93">
        <f>N(O2856)+IF(AND(B2857&lt;&gt;"",B2857&gt;='Uang Riba'!$H$30,B2857&lt;='Uang Riba'!$I$30,OR(H2857="Dana riba",H2857="Pinjam uang riba",I2857="Pinjam dari uang riba",I2857="Ganti uang riba",I2857="Kelebihan ganti dikembalikan",AND(C2857="Kantong Uang Riba",G2857="Pengeluaran"))),1,0)</f>
        <v/>
      </c>
      <c r="X2857" s="93">
        <f>IF(AND(B2857&lt;&gt;"",B2857&gt;='Buku Akun'!$H$4,B2857&lt;='Buku Akun'!$H$5,OR(C2857='Buku Akun'!$C$4,AND(D2857="Pindah",E2857='Buku Akun'!$C$4))),B2857+IF(AND(I2857="Selisih bunga",DAY(B2857)=1),0,0.01)+ROW()/10000000,"")</f>
        <v/>
      </c>
    </row>
    <row r="2858" outlineLevel="1" ht="15" customHeight="1" s="94">
      <c r="A2858" s="123">
        <f>IF(B2858="","",ROW()-15)</f>
        <v/>
      </c>
      <c r="B2858" s="124" t="n"/>
      <c r="C2858" s="123" t="n"/>
      <c r="D2858" s="123" t="n"/>
      <c r="E2858" s="123" t="n"/>
      <c r="F2858" s="125" t="n"/>
      <c r="G2858" s="123" t="n"/>
      <c r="H2858" s="123" t="n"/>
      <c r="I2858" s="123" t="n"/>
      <c r="J2858" s="123" t="n"/>
      <c r="K2858" s="123" t="n"/>
      <c r="L2858" s="123" t="n"/>
      <c r="M2858" s="123">
        <f>IF(AND(B2858&lt;&gt;"",OR($C$4="",ISNUMBER(SEARCH($C$4,C2858&amp;" "&amp;E2858&amp;" "&amp;G2858&amp;" "&amp;H2858&amp;" "&amp;I2858&amp;" "&amp;J2858&amp;" "&amp;K2858&amp;" "&amp;L2858))),OR($C$5="Semua",$C$5="",G2858=$C$5),OR($C$6="Semua",$C$6="",H2858=$C$6,H2858="Pengeluaran "&amp;$C$6,AND($C$6="Uang Kos Mama",H2858="Pengeluaran Uang Kos")),OR($C$7="Semua",$C$7="",I2858=$C$7),OR($C$8="Semua",$C$8="",C2858=$C$8,E2858=$C$8),OR($C$9="Semua",$C$9="",D2858=$C$9),OR($C$10="",B2858&gt;=$C$10),OR($C$11="",B2858&lt;=$C$11),OR($C$12&lt;&gt;"Ya",K2858&lt;&gt;""),OR($C$13="Semua",$C$13="",L2858=$C$13)),"✓","")</f>
        <v/>
      </c>
      <c r="N2858" s="93">
        <f>N(N2857)+IF(M2858="✓",1,0)</f>
        <v/>
      </c>
      <c r="O2858" s="93">
        <f>N(O2857)+IF(AND(B2858&lt;&gt;"",B2858&gt;='Uang Riba'!$H$30,B2858&lt;='Uang Riba'!$I$30,OR(H2858="Dana riba",H2858="Pinjam uang riba",I2858="Pinjam dari uang riba",I2858="Ganti uang riba",I2858="Kelebihan ganti dikembalikan",AND(C2858="Kantong Uang Riba",G2858="Pengeluaran"))),1,0)</f>
        <v/>
      </c>
      <c r="X2858" s="93">
        <f>IF(AND(B2858&lt;&gt;"",B2858&gt;='Buku Akun'!$H$4,B2858&lt;='Buku Akun'!$H$5,OR(C2858='Buku Akun'!$C$4,AND(D2858="Pindah",E2858='Buku Akun'!$C$4))),B2858+IF(AND(I2858="Selisih bunga",DAY(B2858)=1),0,0.01)+ROW()/10000000,"")</f>
        <v/>
      </c>
    </row>
    <row r="2859" outlineLevel="1" ht="15" customHeight="1" s="94">
      <c r="A2859" s="123">
        <f>IF(B2859="","",ROW()-15)</f>
        <v/>
      </c>
      <c r="B2859" s="124" t="n"/>
      <c r="C2859" s="123" t="n"/>
      <c r="D2859" s="123" t="n"/>
      <c r="E2859" s="123" t="n"/>
      <c r="F2859" s="125" t="n"/>
      <c r="G2859" s="123" t="n"/>
      <c r="H2859" s="123" t="n"/>
      <c r="I2859" s="123" t="n"/>
      <c r="J2859" s="123" t="n"/>
      <c r="K2859" s="123" t="n"/>
      <c r="L2859" s="123" t="n"/>
      <c r="M2859" s="123">
        <f>IF(AND(B2859&lt;&gt;"",OR($C$4="",ISNUMBER(SEARCH($C$4,C2859&amp;" "&amp;E2859&amp;" "&amp;G2859&amp;" "&amp;H2859&amp;" "&amp;I2859&amp;" "&amp;J2859&amp;" "&amp;K2859&amp;" "&amp;L2859))),OR($C$5="Semua",$C$5="",G2859=$C$5),OR($C$6="Semua",$C$6="",H2859=$C$6,H2859="Pengeluaran "&amp;$C$6,AND($C$6="Uang Kos Mama",H2859="Pengeluaran Uang Kos")),OR($C$7="Semua",$C$7="",I2859=$C$7),OR($C$8="Semua",$C$8="",C2859=$C$8,E2859=$C$8),OR($C$9="Semua",$C$9="",D2859=$C$9),OR($C$10="",B2859&gt;=$C$10),OR($C$11="",B2859&lt;=$C$11),OR($C$12&lt;&gt;"Ya",K2859&lt;&gt;""),OR($C$13="Semua",$C$13="",L2859=$C$13)),"✓","")</f>
        <v/>
      </c>
      <c r="N2859" s="93">
        <f>N(N2858)+IF(M2859="✓",1,0)</f>
        <v/>
      </c>
      <c r="O2859" s="93">
        <f>N(O2858)+IF(AND(B2859&lt;&gt;"",B2859&gt;='Uang Riba'!$H$30,B2859&lt;='Uang Riba'!$I$30,OR(H2859="Dana riba",H2859="Pinjam uang riba",I2859="Pinjam dari uang riba",I2859="Ganti uang riba",I2859="Kelebihan ganti dikembalikan",AND(C2859="Kantong Uang Riba",G2859="Pengeluaran"))),1,0)</f>
        <v/>
      </c>
      <c r="X2859" s="93">
        <f>IF(AND(B2859&lt;&gt;"",B2859&gt;='Buku Akun'!$H$4,B2859&lt;='Buku Akun'!$H$5,OR(C2859='Buku Akun'!$C$4,AND(D2859="Pindah",E2859='Buku Akun'!$C$4))),B2859+IF(AND(I2859="Selisih bunga",DAY(B2859)=1),0,0.01)+ROW()/10000000,"")</f>
        <v/>
      </c>
    </row>
    <row r="2860" outlineLevel="1" ht="15" customHeight="1" s="94">
      <c r="A2860" s="123">
        <f>IF(B2860="","",ROW()-15)</f>
        <v/>
      </c>
      <c r="B2860" s="124" t="n"/>
      <c r="C2860" s="123" t="n"/>
      <c r="D2860" s="123" t="n"/>
      <c r="E2860" s="123" t="n"/>
      <c r="F2860" s="125" t="n"/>
      <c r="G2860" s="123" t="n"/>
      <c r="H2860" s="123" t="n"/>
      <c r="I2860" s="123" t="n"/>
      <c r="J2860" s="123" t="n"/>
      <c r="K2860" s="123" t="n"/>
      <c r="L2860" s="123" t="n"/>
      <c r="M2860" s="123">
        <f>IF(AND(B2860&lt;&gt;"",OR($C$4="",ISNUMBER(SEARCH($C$4,C2860&amp;" "&amp;E2860&amp;" "&amp;G2860&amp;" "&amp;H2860&amp;" "&amp;I2860&amp;" "&amp;J2860&amp;" "&amp;K2860&amp;" "&amp;L2860))),OR($C$5="Semua",$C$5="",G2860=$C$5),OR($C$6="Semua",$C$6="",H2860=$C$6,H2860="Pengeluaran "&amp;$C$6,AND($C$6="Uang Kos Mama",H2860="Pengeluaran Uang Kos")),OR($C$7="Semua",$C$7="",I2860=$C$7),OR($C$8="Semua",$C$8="",C2860=$C$8,E2860=$C$8),OR($C$9="Semua",$C$9="",D2860=$C$9),OR($C$10="",B2860&gt;=$C$10),OR($C$11="",B2860&lt;=$C$11),OR($C$12&lt;&gt;"Ya",K2860&lt;&gt;""),OR($C$13="Semua",$C$13="",L2860=$C$13)),"✓","")</f>
        <v/>
      </c>
      <c r="N2860" s="93">
        <f>N(N2859)+IF(M2860="✓",1,0)</f>
        <v/>
      </c>
      <c r="O2860" s="93">
        <f>N(O2859)+IF(AND(B2860&lt;&gt;"",B2860&gt;='Uang Riba'!$H$30,B2860&lt;='Uang Riba'!$I$30,OR(H2860="Dana riba",H2860="Pinjam uang riba",I2860="Pinjam dari uang riba",I2860="Ganti uang riba",I2860="Kelebihan ganti dikembalikan",AND(C2860="Kantong Uang Riba",G2860="Pengeluaran"))),1,0)</f>
        <v/>
      </c>
      <c r="X2860" s="93">
        <f>IF(AND(B2860&lt;&gt;"",B2860&gt;='Buku Akun'!$H$4,B2860&lt;='Buku Akun'!$H$5,OR(C2860='Buku Akun'!$C$4,AND(D2860="Pindah",E2860='Buku Akun'!$C$4))),B2860+IF(AND(I2860="Selisih bunga",DAY(B2860)=1),0,0.01)+ROW()/10000000,"")</f>
        <v/>
      </c>
    </row>
    <row r="2861" outlineLevel="1" ht="15" customHeight="1" s="94">
      <c r="A2861" s="123">
        <f>IF(B2861="","",ROW()-15)</f>
        <v/>
      </c>
      <c r="B2861" s="124" t="n"/>
      <c r="C2861" s="123" t="n"/>
      <c r="D2861" s="123" t="n"/>
      <c r="E2861" s="123" t="n"/>
      <c r="F2861" s="125" t="n"/>
      <c r="G2861" s="123" t="n"/>
      <c r="H2861" s="123" t="n"/>
      <c r="I2861" s="123" t="n"/>
      <c r="J2861" s="123" t="n"/>
      <c r="K2861" s="123" t="n"/>
      <c r="L2861" s="123" t="n"/>
      <c r="M2861" s="123">
        <f>IF(AND(B2861&lt;&gt;"",OR($C$4="",ISNUMBER(SEARCH($C$4,C2861&amp;" "&amp;E2861&amp;" "&amp;G2861&amp;" "&amp;H2861&amp;" "&amp;I2861&amp;" "&amp;J2861&amp;" "&amp;K2861&amp;" "&amp;L2861))),OR($C$5="Semua",$C$5="",G2861=$C$5),OR($C$6="Semua",$C$6="",H2861=$C$6,H2861="Pengeluaran "&amp;$C$6,AND($C$6="Uang Kos Mama",H2861="Pengeluaran Uang Kos")),OR($C$7="Semua",$C$7="",I2861=$C$7),OR($C$8="Semua",$C$8="",C2861=$C$8,E2861=$C$8),OR($C$9="Semua",$C$9="",D2861=$C$9),OR($C$10="",B2861&gt;=$C$10),OR($C$11="",B2861&lt;=$C$11),OR($C$12&lt;&gt;"Ya",K2861&lt;&gt;""),OR($C$13="Semua",$C$13="",L2861=$C$13)),"✓","")</f>
        <v/>
      </c>
      <c r="N2861" s="93">
        <f>N(N2860)+IF(M2861="✓",1,0)</f>
        <v/>
      </c>
      <c r="O2861" s="93">
        <f>N(O2860)+IF(AND(B2861&lt;&gt;"",B2861&gt;='Uang Riba'!$H$30,B2861&lt;='Uang Riba'!$I$30,OR(H2861="Dana riba",H2861="Pinjam uang riba",I2861="Pinjam dari uang riba",I2861="Ganti uang riba",I2861="Kelebihan ganti dikembalikan",AND(C2861="Kantong Uang Riba",G2861="Pengeluaran"))),1,0)</f>
        <v/>
      </c>
      <c r="X2861" s="93">
        <f>IF(AND(B2861&lt;&gt;"",B2861&gt;='Buku Akun'!$H$4,B2861&lt;='Buku Akun'!$H$5,OR(C2861='Buku Akun'!$C$4,AND(D2861="Pindah",E2861='Buku Akun'!$C$4))),B2861+IF(AND(I2861="Selisih bunga",DAY(B2861)=1),0,0.01)+ROW()/10000000,"")</f>
        <v/>
      </c>
    </row>
    <row r="2862" outlineLevel="1" ht="15" customHeight="1" s="94">
      <c r="A2862" s="123">
        <f>IF(B2862="","",ROW()-15)</f>
        <v/>
      </c>
      <c r="B2862" s="124" t="n"/>
      <c r="C2862" s="123" t="n"/>
      <c r="D2862" s="123" t="n"/>
      <c r="E2862" s="123" t="n"/>
      <c r="F2862" s="125" t="n"/>
      <c r="G2862" s="123" t="n"/>
      <c r="H2862" s="123" t="n"/>
      <c r="I2862" s="123" t="n"/>
      <c r="J2862" s="123" t="n"/>
      <c r="K2862" s="123" t="n"/>
      <c r="L2862" s="123" t="n"/>
      <c r="M2862" s="123">
        <f>IF(AND(B2862&lt;&gt;"",OR($C$4="",ISNUMBER(SEARCH($C$4,C2862&amp;" "&amp;E2862&amp;" "&amp;G2862&amp;" "&amp;H2862&amp;" "&amp;I2862&amp;" "&amp;J2862&amp;" "&amp;K2862&amp;" "&amp;L2862))),OR($C$5="Semua",$C$5="",G2862=$C$5),OR($C$6="Semua",$C$6="",H2862=$C$6,H2862="Pengeluaran "&amp;$C$6,AND($C$6="Uang Kos Mama",H2862="Pengeluaran Uang Kos")),OR($C$7="Semua",$C$7="",I2862=$C$7),OR($C$8="Semua",$C$8="",C2862=$C$8,E2862=$C$8),OR($C$9="Semua",$C$9="",D2862=$C$9),OR($C$10="",B2862&gt;=$C$10),OR($C$11="",B2862&lt;=$C$11),OR($C$12&lt;&gt;"Ya",K2862&lt;&gt;""),OR($C$13="Semua",$C$13="",L2862=$C$13)),"✓","")</f>
        <v/>
      </c>
      <c r="N2862" s="93">
        <f>N(N2861)+IF(M2862="✓",1,0)</f>
        <v/>
      </c>
      <c r="O2862" s="93">
        <f>N(O2861)+IF(AND(B2862&lt;&gt;"",B2862&gt;='Uang Riba'!$H$30,B2862&lt;='Uang Riba'!$I$30,OR(H2862="Dana riba",H2862="Pinjam uang riba",I2862="Pinjam dari uang riba",I2862="Ganti uang riba",I2862="Kelebihan ganti dikembalikan",AND(C2862="Kantong Uang Riba",G2862="Pengeluaran"))),1,0)</f>
        <v/>
      </c>
      <c r="X2862" s="93">
        <f>IF(AND(B2862&lt;&gt;"",B2862&gt;='Buku Akun'!$H$4,B2862&lt;='Buku Akun'!$H$5,OR(C2862='Buku Akun'!$C$4,AND(D2862="Pindah",E2862='Buku Akun'!$C$4))),B2862+IF(AND(I2862="Selisih bunga",DAY(B2862)=1),0,0.01)+ROW()/10000000,"")</f>
        <v/>
      </c>
    </row>
    <row r="2863" outlineLevel="1" ht="15" customHeight="1" s="94">
      <c r="A2863" s="123">
        <f>IF(B2863="","",ROW()-15)</f>
        <v/>
      </c>
      <c r="B2863" s="124" t="n"/>
      <c r="C2863" s="123" t="n"/>
      <c r="D2863" s="123" t="n"/>
      <c r="E2863" s="123" t="n"/>
      <c r="F2863" s="125" t="n"/>
      <c r="G2863" s="123" t="n"/>
      <c r="H2863" s="123" t="n"/>
      <c r="I2863" s="123" t="n"/>
      <c r="J2863" s="123" t="n"/>
      <c r="K2863" s="123" t="n"/>
      <c r="L2863" s="123" t="n"/>
      <c r="M2863" s="123">
        <f>IF(AND(B2863&lt;&gt;"",OR($C$4="",ISNUMBER(SEARCH($C$4,C2863&amp;" "&amp;E2863&amp;" "&amp;G2863&amp;" "&amp;H2863&amp;" "&amp;I2863&amp;" "&amp;J2863&amp;" "&amp;K2863&amp;" "&amp;L2863))),OR($C$5="Semua",$C$5="",G2863=$C$5),OR($C$6="Semua",$C$6="",H2863=$C$6,H2863="Pengeluaran "&amp;$C$6,AND($C$6="Uang Kos Mama",H2863="Pengeluaran Uang Kos")),OR($C$7="Semua",$C$7="",I2863=$C$7),OR($C$8="Semua",$C$8="",C2863=$C$8,E2863=$C$8),OR($C$9="Semua",$C$9="",D2863=$C$9),OR($C$10="",B2863&gt;=$C$10),OR($C$11="",B2863&lt;=$C$11),OR($C$12&lt;&gt;"Ya",K2863&lt;&gt;""),OR($C$13="Semua",$C$13="",L2863=$C$13)),"✓","")</f>
        <v/>
      </c>
      <c r="N2863" s="93">
        <f>N(N2862)+IF(M2863="✓",1,0)</f>
        <v/>
      </c>
      <c r="O2863" s="93">
        <f>N(O2862)+IF(AND(B2863&lt;&gt;"",B2863&gt;='Uang Riba'!$H$30,B2863&lt;='Uang Riba'!$I$30,OR(H2863="Dana riba",H2863="Pinjam uang riba",I2863="Pinjam dari uang riba",I2863="Ganti uang riba",I2863="Kelebihan ganti dikembalikan",AND(C2863="Kantong Uang Riba",G2863="Pengeluaran"))),1,0)</f>
        <v/>
      </c>
      <c r="X2863" s="93">
        <f>IF(AND(B2863&lt;&gt;"",B2863&gt;='Buku Akun'!$H$4,B2863&lt;='Buku Akun'!$H$5,OR(C2863='Buku Akun'!$C$4,AND(D2863="Pindah",E2863='Buku Akun'!$C$4))),B2863+IF(AND(I2863="Selisih bunga",DAY(B2863)=1),0,0.01)+ROW()/10000000,"")</f>
        <v/>
      </c>
    </row>
    <row r="2864" outlineLevel="1" ht="15" customHeight="1" s="94">
      <c r="A2864" s="123">
        <f>IF(B2864="","",ROW()-15)</f>
        <v/>
      </c>
      <c r="B2864" s="124" t="n"/>
      <c r="C2864" s="123" t="n"/>
      <c r="D2864" s="123" t="n"/>
      <c r="E2864" s="123" t="n"/>
      <c r="F2864" s="125" t="n"/>
      <c r="G2864" s="123" t="n"/>
      <c r="H2864" s="123" t="n"/>
      <c r="I2864" s="123" t="n"/>
      <c r="J2864" s="123" t="n"/>
      <c r="K2864" s="123" t="n"/>
      <c r="L2864" s="123" t="n"/>
      <c r="M2864" s="123">
        <f>IF(AND(B2864&lt;&gt;"",OR($C$4="",ISNUMBER(SEARCH($C$4,C2864&amp;" "&amp;E2864&amp;" "&amp;G2864&amp;" "&amp;H2864&amp;" "&amp;I2864&amp;" "&amp;J2864&amp;" "&amp;K2864&amp;" "&amp;L2864))),OR($C$5="Semua",$C$5="",G2864=$C$5),OR($C$6="Semua",$C$6="",H2864=$C$6,H2864="Pengeluaran "&amp;$C$6,AND($C$6="Uang Kos Mama",H2864="Pengeluaran Uang Kos")),OR($C$7="Semua",$C$7="",I2864=$C$7),OR($C$8="Semua",$C$8="",C2864=$C$8,E2864=$C$8),OR($C$9="Semua",$C$9="",D2864=$C$9),OR($C$10="",B2864&gt;=$C$10),OR($C$11="",B2864&lt;=$C$11),OR($C$12&lt;&gt;"Ya",K2864&lt;&gt;""),OR($C$13="Semua",$C$13="",L2864=$C$13)),"✓","")</f>
        <v/>
      </c>
      <c r="N2864" s="93">
        <f>N(N2863)+IF(M2864="✓",1,0)</f>
        <v/>
      </c>
      <c r="O2864" s="93">
        <f>N(O2863)+IF(AND(B2864&lt;&gt;"",B2864&gt;='Uang Riba'!$H$30,B2864&lt;='Uang Riba'!$I$30,OR(H2864="Dana riba",H2864="Pinjam uang riba",I2864="Pinjam dari uang riba",I2864="Ganti uang riba",I2864="Kelebihan ganti dikembalikan",AND(C2864="Kantong Uang Riba",G2864="Pengeluaran"))),1,0)</f>
        <v/>
      </c>
      <c r="X2864" s="93">
        <f>IF(AND(B2864&lt;&gt;"",B2864&gt;='Buku Akun'!$H$4,B2864&lt;='Buku Akun'!$H$5,OR(C2864='Buku Akun'!$C$4,AND(D2864="Pindah",E2864='Buku Akun'!$C$4))),B2864+IF(AND(I2864="Selisih bunga",DAY(B2864)=1),0,0.01)+ROW()/10000000,"")</f>
        <v/>
      </c>
    </row>
    <row r="2865" outlineLevel="1" ht="15" customHeight="1" s="94">
      <c r="A2865" s="123">
        <f>IF(B2865="","",ROW()-15)</f>
        <v/>
      </c>
      <c r="B2865" s="124" t="n"/>
      <c r="C2865" s="123" t="n"/>
      <c r="D2865" s="123" t="n"/>
      <c r="E2865" s="123" t="n"/>
      <c r="F2865" s="125" t="n"/>
      <c r="G2865" s="123" t="n"/>
      <c r="H2865" s="123" t="n"/>
      <c r="I2865" s="123" t="n"/>
      <c r="J2865" s="123" t="n"/>
      <c r="K2865" s="123" t="n"/>
      <c r="L2865" s="123" t="n"/>
      <c r="M2865" s="123">
        <f>IF(AND(B2865&lt;&gt;"",OR($C$4="",ISNUMBER(SEARCH($C$4,C2865&amp;" "&amp;E2865&amp;" "&amp;G2865&amp;" "&amp;H2865&amp;" "&amp;I2865&amp;" "&amp;J2865&amp;" "&amp;K2865&amp;" "&amp;L2865))),OR($C$5="Semua",$C$5="",G2865=$C$5),OR($C$6="Semua",$C$6="",H2865=$C$6,H2865="Pengeluaran "&amp;$C$6,AND($C$6="Uang Kos Mama",H2865="Pengeluaran Uang Kos")),OR($C$7="Semua",$C$7="",I2865=$C$7),OR($C$8="Semua",$C$8="",C2865=$C$8,E2865=$C$8),OR($C$9="Semua",$C$9="",D2865=$C$9),OR($C$10="",B2865&gt;=$C$10),OR($C$11="",B2865&lt;=$C$11),OR($C$12&lt;&gt;"Ya",K2865&lt;&gt;""),OR($C$13="Semua",$C$13="",L2865=$C$13)),"✓","")</f>
        <v/>
      </c>
      <c r="N2865" s="93">
        <f>N(N2864)+IF(M2865="✓",1,0)</f>
        <v/>
      </c>
      <c r="O2865" s="93">
        <f>N(O2864)+IF(AND(B2865&lt;&gt;"",B2865&gt;='Uang Riba'!$H$30,B2865&lt;='Uang Riba'!$I$30,OR(H2865="Dana riba",H2865="Pinjam uang riba",I2865="Pinjam dari uang riba",I2865="Ganti uang riba",I2865="Kelebihan ganti dikembalikan",AND(C2865="Kantong Uang Riba",G2865="Pengeluaran"))),1,0)</f>
        <v/>
      </c>
      <c r="X2865" s="93">
        <f>IF(AND(B2865&lt;&gt;"",B2865&gt;='Buku Akun'!$H$4,B2865&lt;='Buku Akun'!$H$5,OR(C2865='Buku Akun'!$C$4,AND(D2865="Pindah",E2865='Buku Akun'!$C$4))),B2865+IF(AND(I2865="Selisih bunga",DAY(B2865)=1),0,0.01)+ROW()/10000000,"")</f>
        <v/>
      </c>
    </row>
    <row r="2866" outlineLevel="1" ht="15" customHeight="1" s="94">
      <c r="A2866" s="123">
        <f>IF(B2866="","",ROW()-15)</f>
        <v/>
      </c>
      <c r="B2866" s="124" t="n"/>
      <c r="C2866" s="123" t="n"/>
      <c r="D2866" s="123" t="n"/>
      <c r="E2866" s="123" t="n"/>
      <c r="F2866" s="125" t="n"/>
      <c r="G2866" s="123" t="n"/>
      <c r="H2866" s="123" t="n"/>
      <c r="I2866" s="123" t="n"/>
      <c r="J2866" s="123" t="n"/>
      <c r="K2866" s="123" t="n"/>
      <c r="L2866" s="123" t="n"/>
      <c r="M2866" s="123">
        <f>IF(AND(B2866&lt;&gt;"",OR($C$4="",ISNUMBER(SEARCH($C$4,C2866&amp;" "&amp;E2866&amp;" "&amp;G2866&amp;" "&amp;H2866&amp;" "&amp;I2866&amp;" "&amp;J2866&amp;" "&amp;K2866&amp;" "&amp;L2866))),OR($C$5="Semua",$C$5="",G2866=$C$5),OR($C$6="Semua",$C$6="",H2866=$C$6,H2866="Pengeluaran "&amp;$C$6,AND($C$6="Uang Kos Mama",H2866="Pengeluaran Uang Kos")),OR($C$7="Semua",$C$7="",I2866=$C$7),OR($C$8="Semua",$C$8="",C2866=$C$8,E2866=$C$8),OR($C$9="Semua",$C$9="",D2866=$C$9),OR($C$10="",B2866&gt;=$C$10),OR($C$11="",B2866&lt;=$C$11),OR($C$12&lt;&gt;"Ya",K2866&lt;&gt;""),OR($C$13="Semua",$C$13="",L2866=$C$13)),"✓","")</f>
        <v/>
      </c>
      <c r="N2866" s="93">
        <f>N(N2865)+IF(M2866="✓",1,0)</f>
        <v/>
      </c>
      <c r="O2866" s="93">
        <f>N(O2865)+IF(AND(B2866&lt;&gt;"",B2866&gt;='Uang Riba'!$H$30,B2866&lt;='Uang Riba'!$I$30,OR(H2866="Dana riba",H2866="Pinjam uang riba",I2866="Pinjam dari uang riba",I2866="Ganti uang riba",I2866="Kelebihan ganti dikembalikan",AND(C2866="Kantong Uang Riba",G2866="Pengeluaran"))),1,0)</f>
        <v/>
      </c>
      <c r="X2866" s="93">
        <f>IF(AND(B2866&lt;&gt;"",B2866&gt;='Buku Akun'!$H$4,B2866&lt;='Buku Akun'!$H$5,OR(C2866='Buku Akun'!$C$4,AND(D2866="Pindah",E2866='Buku Akun'!$C$4))),B2866+IF(AND(I2866="Selisih bunga",DAY(B2866)=1),0,0.01)+ROW()/10000000,"")</f>
        <v/>
      </c>
    </row>
    <row r="2867" outlineLevel="1" ht="15" customHeight="1" s="94">
      <c r="A2867" s="123">
        <f>IF(B2867="","",ROW()-15)</f>
        <v/>
      </c>
      <c r="B2867" s="124" t="n"/>
      <c r="C2867" s="123" t="n"/>
      <c r="D2867" s="123" t="n"/>
      <c r="E2867" s="123" t="n"/>
      <c r="F2867" s="125" t="n"/>
      <c r="G2867" s="123" t="n"/>
      <c r="H2867" s="123" t="n"/>
      <c r="I2867" s="123" t="n"/>
      <c r="J2867" s="123" t="n"/>
      <c r="K2867" s="123" t="n"/>
      <c r="L2867" s="123" t="n"/>
      <c r="M2867" s="123">
        <f>IF(AND(B2867&lt;&gt;"",OR($C$4="",ISNUMBER(SEARCH($C$4,C2867&amp;" "&amp;E2867&amp;" "&amp;G2867&amp;" "&amp;H2867&amp;" "&amp;I2867&amp;" "&amp;J2867&amp;" "&amp;K2867&amp;" "&amp;L2867))),OR($C$5="Semua",$C$5="",G2867=$C$5),OR($C$6="Semua",$C$6="",H2867=$C$6,H2867="Pengeluaran "&amp;$C$6,AND($C$6="Uang Kos Mama",H2867="Pengeluaran Uang Kos")),OR($C$7="Semua",$C$7="",I2867=$C$7),OR($C$8="Semua",$C$8="",C2867=$C$8,E2867=$C$8),OR($C$9="Semua",$C$9="",D2867=$C$9),OR($C$10="",B2867&gt;=$C$10),OR($C$11="",B2867&lt;=$C$11),OR($C$12&lt;&gt;"Ya",K2867&lt;&gt;""),OR($C$13="Semua",$C$13="",L2867=$C$13)),"✓","")</f>
        <v/>
      </c>
      <c r="N2867" s="93">
        <f>N(N2866)+IF(M2867="✓",1,0)</f>
        <v/>
      </c>
      <c r="O2867" s="93">
        <f>N(O2866)+IF(AND(B2867&lt;&gt;"",B2867&gt;='Uang Riba'!$H$30,B2867&lt;='Uang Riba'!$I$30,OR(H2867="Dana riba",H2867="Pinjam uang riba",I2867="Pinjam dari uang riba",I2867="Ganti uang riba",I2867="Kelebihan ganti dikembalikan",AND(C2867="Kantong Uang Riba",G2867="Pengeluaran"))),1,0)</f>
        <v/>
      </c>
      <c r="X2867" s="93">
        <f>IF(AND(B2867&lt;&gt;"",B2867&gt;='Buku Akun'!$H$4,B2867&lt;='Buku Akun'!$H$5,OR(C2867='Buku Akun'!$C$4,AND(D2867="Pindah",E2867='Buku Akun'!$C$4))),B2867+IF(AND(I2867="Selisih bunga",DAY(B2867)=1),0,0.01)+ROW()/10000000,"")</f>
        <v/>
      </c>
    </row>
    <row r="2868" outlineLevel="1" ht="15" customHeight="1" s="94">
      <c r="A2868" s="123">
        <f>IF(B2868="","",ROW()-15)</f>
        <v/>
      </c>
      <c r="B2868" s="124" t="n"/>
      <c r="C2868" s="123" t="n"/>
      <c r="D2868" s="123" t="n"/>
      <c r="E2868" s="123" t="n"/>
      <c r="F2868" s="125" t="n"/>
      <c r="G2868" s="123" t="n"/>
      <c r="H2868" s="123" t="n"/>
      <c r="I2868" s="123" t="n"/>
      <c r="J2868" s="123" t="n"/>
      <c r="K2868" s="123" t="n"/>
      <c r="L2868" s="123" t="n"/>
      <c r="M2868" s="123">
        <f>IF(AND(B2868&lt;&gt;"",OR($C$4="",ISNUMBER(SEARCH($C$4,C2868&amp;" "&amp;E2868&amp;" "&amp;G2868&amp;" "&amp;H2868&amp;" "&amp;I2868&amp;" "&amp;J2868&amp;" "&amp;K2868&amp;" "&amp;L2868))),OR($C$5="Semua",$C$5="",G2868=$C$5),OR($C$6="Semua",$C$6="",H2868=$C$6,H2868="Pengeluaran "&amp;$C$6,AND($C$6="Uang Kos Mama",H2868="Pengeluaran Uang Kos")),OR($C$7="Semua",$C$7="",I2868=$C$7),OR($C$8="Semua",$C$8="",C2868=$C$8,E2868=$C$8),OR($C$9="Semua",$C$9="",D2868=$C$9),OR($C$10="",B2868&gt;=$C$10),OR($C$11="",B2868&lt;=$C$11),OR($C$12&lt;&gt;"Ya",K2868&lt;&gt;""),OR($C$13="Semua",$C$13="",L2868=$C$13)),"✓","")</f>
        <v/>
      </c>
      <c r="N2868" s="93">
        <f>N(N2867)+IF(M2868="✓",1,0)</f>
        <v/>
      </c>
      <c r="O2868" s="93">
        <f>N(O2867)+IF(AND(B2868&lt;&gt;"",B2868&gt;='Uang Riba'!$H$30,B2868&lt;='Uang Riba'!$I$30,OR(H2868="Dana riba",H2868="Pinjam uang riba",I2868="Pinjam dari uang riba",I2868="Ganti uang riba",I2868="Kelebihan ganti dikembalikan",AND(C2868="Kantong Uang Riba",G2868="Pengeluaran"))),1,0)</f>
        <v/>
      </c>
      <c r="X2868" s="93">
        <f>IF(AND(B2868&lt;&gt;"",B2868&gt;='Buku Akun'!$H$4,B2868&lt;='Buku Akun'!$H$5,OR(C2868='Buku Akun'!$C$4,AND(D2868="Pindah",E2868='Buku Akun'!$C$4))),B2868+IF(AND(I2868="Selisih bunga",DAY(B2868)=1),0,0.01)+ROW()/10000000,"")</f>
        <v/>
      </c>
    </row>
    <row r="2869" outlineLevel="1" ht="15" customHeight="1" s="94">
      <c r="A2869" s="123">
        <f>IF(B2869="","",ROW()-15)</f>
        <v/>
      </c>
      <c r="B2869" s="124" t="n"/>
      <c r="C2869" s="123" t="n"/>
      <c r="D2869" s="123" t="n"/>
      <c r="E2869" s="123" t="n"/>
      <c r="F2869" s="125" t="n"/>
      <c r="G2869" s="123" t="n"/>
      <c r="H2869" s="123" t="n"/>
      <c r="I2869" s="123" t="n"/>
      <c r="J2869" s="123" t="n"/>
      <c r="K2869" s="123" t="n"/>
      <c r="L2869" s="123" t="n"/>
      <c r="M2869" s="123">
        <f>IF(AND(B2869&lt;&gt;"",OR($C$4="",ISNUMBER(SEARCH($C$4,C2869&amp;" "&amp;E2869&amp;" "&amp;G2869&amp;" "&amp;H2869&amp;" "&amp;I2869&amp;" "&amp;J2869&amp;" "&amp;K2869&amp;" "&amp;L2869))),OR($C$5="Semua",$C$5="",G2869=$C$5),OR($C$6="Semua",$C$6="",H2869=$C$6,H2869="Pengeluaran "&amp;$C$6,AND($C$6="Uang Kos Mama",H2869="Pengeluaran Uang Kos")),OR($C$7="Semua",$C$7="",I2869=$C$7),OR($C$8="Semua",$C$8="",C2869=$C$8,E2869=$C$8),OR($C$9="Semua",$C$9="",D2869=$C$9),OR($C$10="",B2869&gt;=$C$10),OR($C$11="",B2869&lt;=$C$11),OR($C$12&lt;&gt;"Ya",K2869&lt;&gt;""),OR($C$13="Semua",$C$13="",L2869=$C$13)),"✓","")</f>
        <v/>
      </c>
      <c r="N2869" s="93">
        <f>N(N2868)+IF(M2869="✓",1,0)</f>
        <v/>
      </c>
      <c r="O2869" s="93">
        <f>N(O2868)+IF(AND(B2869&lt;&gt;"",B2869&gt;='Uang Riba'!$H$30,B2869&lt;='Uang Riba'!$I$30,OR(H2869="Dana riba",H2869="Pinjam uang riba",I2869="Pinjam dari uang riba",I2869="Ganti uang riba",I2869="Kelebihan ganti dikembalikan",AND(C2869="Kantong Uang Riba",G2869="Pengeluaran"))),1,0)</f>
        <v/>
      </c>
      <c r="X2869" s="93">
        <f>IF(AND(B2869&lt;&gt;"",B2869&gt;='Buku Akun'!$H$4,B2869&lt;='Buku Akun'!$H$5,OR(C2869='Buku Akun'!$C$4,AND(D2869="Pindah",E2869='Buku Akun'!$C$4))),B2869+IF(AND(I2869="Selisih bunga",DAY(B2869)=1),0,0.01)+ROW()/10000000,"")</f>
        <v/>
      </c>
    </row>
    <row r="2870" outlineLevel="1" ht="15" customHeight="1" s="94">
      <c r="A2870" s="123">
        <f>IF(B2870="","",ROW()-15)</f>
        <v/>
      </c>
      <c r="B2870" s="124" t="n"/>
      <c r="C2870" s="123" t="n"/>
      <c r="D2870" s="123" t="n"/>
      <c r="E2870" s="123" t="n"/>
      <c r="F2870" s="125" t="n"/>
      <c r="G2870" s="123" t="n"/>
      <c r="H2870" s="123" t="n"/>
      <c r="I2870" s="123" t="n"/>
      <c r="J2870" s="123" t="n"/>
      <c r="K2870" s="123" t="n"/>
      <c r="L2870" s="123" t="n"/>
      <c r="M2870" s="123">
        <f>IF(AND(B2870&lt;&gt;"",OR($C$4="",ISNUMBER(SEARCH($C$4,C2870&amp;" "&amp;E2870&amp;" "&amp;G2870&amp;" "&amp;H2870&amp;" "&amp;I2870&amp;" "&amp;J2870&amp;" "&amp;K2870&amp;" "&amp;L2870))),OR($C$5="Semua",$C$5="",G2870=$C$5),OR($C$6="Semua",$C$6="",H2870=$C$6,H2870="Pengeluaran "&amp;$C$6,AND($C$6="Uang Kos Mama",H2870="Pengeluaran Uang Kos")),OR($C$7="Semua",$C$7="",I2870=$C$7),OR($C$8="Semua",$C$8="",C2870=$C$8,E2870=$C$8),OR($C$9="Semua",$C$9="",D2870=$C$9),OR($C$10="",B2870&gt;=$C$10),OR($C$11="",B2870&lt;=$C$11),OR($C$12&lt;&gt;"Ya",K2870&lt;&gt;""),OR($C$13="Semua",$C$13="",L2870=$C$13)),"✓","")</f>
        <v/>
      </c>
      <c r="N2870" s="93">
        <f>N(N2869)+IF(M2870="✓",1,0)</f>
        <v/>
      </c>
      <c r="O2870" s="93">
        <f>N(O2869)+IF(AND(B2870&lt;&gt;"",B2870&gt;='Uang Riba'!$H$30,B2870&lt;='Uang Riba'!$I$30,OR(H2870="Dana riba",H2870="Pinjam uang riba",I2870="Pinjam dari uang riba",I2870="Ganti uang riba",I2870="Kelebihan ganti dikembalikan",AND(C2870="Kantong Uang Riba",G2870="Pengeluaran"))),1,0)</f>
        <v/>
      </c>
      <c r="X2870" s="93">
        <f>IF(AND(B2870&lt;&gt;"",B2870&gt;='Buku Akun'!$H$4,B2870&lt;='Buku Akun'!$H$5,OR(C2870='Buku Akun'!$C$4,AND(D2870="Pindah",E2870='Buku Akun'!$C$4))),B2870+IF(AND(I2870="Selisih bunga",DAY(B2870)=1),0,0.01)+ROW()/10000000,"")</f>
        <v/>
      </c>
    </row>
    <row r="2871" outlineLevel="1" ht="15" customHeight="1" s="94">
      <c r="A2871" s="123">
        <f>IF(B2871="","",ROW()-15)</f>
        <v/>
      </c>
      <c r="B2871" s="124" t="n"/>
      <c r="C2871" s="123" t="n"/>
      <c r="D2871" s="123" t="n"/>
      <c r="E2871" s="123" t="n"/>
      <c r="F2871" s="125" t="n"/>
      <c r="G2871" s="123" t="n"/>
      <c r="H2871" s="123" t="n"/>
      <c r="I2871" s="123" t="n"/>
      <c r="J2871" s="123" t="n"/>
      <c r="K2871" s="123" t="n"/>
      <c r="L2871" s="123" t="n"/>
      <c r="M2871" s="123">
        <f>IF(AND(B2871&lt;&gt;"",OR($C$4="",ISNUMBER(SEARCH($C$4,C2871&amp;" "&amp;E2871&amp;" "&amp;G2871&amp;" "&amp;H2871&amp;" "&amp;I2871&amp;" "&amp;J2871&amp;" "&amp;K2871&amp;" "&amp;L2871))),OR($C$5="Semua",$C$5="",G2871=$C$5),OR($C$6="Semua",$C$6="",H2871=$C$6,H2871="Pengeluaran "&amp;$C$6,AND($C$6="Uang Kos Mama",H2871="Pengeluaran Uang Kos")),OR($C$7="Semua",$C$7="",I2871=$C$7),OR($C$8="Semua",$C$8="",C2871=$C$8,E2871=$C$8),OR($C$9="Semua",$C$9="",D2871=$C$9),OR($C$10="",B2871&gt;=$C$10),OR($C$11="",B2871&lt;=$C$11),OR($C$12&lt;&gt;"Ya",K2871&lt;&gt;""),OR($C$13="Semua",$C$13="",L2871=$C$13)),"✓","")</f>
        <v/>
      </c>
      <c r="N2871" s="93">
        <f>N(N2870)+IF(M2871="✓",1,0)</f>
        <v/>
      </c>
      <c r="O2871" s="93">
        <f>N(O2870)+IF(AND(B2871&lt;&gt;"",B2871&gt;='Uang Riba'!$H$30,B2871&lt;='Uang Riba'!$I$30,OR(H2871="Dana riba",H2871="Pinjam uang riba",I2871="Pinjam dari uang riba",I2871="Ganti uang riba",I2871="Kelebihan ganti dikembalikan",AND(C2871="Kantong Uang Riba",G2871="Pengeluaran"))),1,0)</f>
        <v/>
      </c>
      <c r="X2871" s="93">
        <f>IF(AND(B2871&lt;&gt;"",B2871&gt;='Buku Akun'!$H$4,B2871&lt;='Buku Akun'!$H$5,OR(C2871='Buku Akun'!$C$4,AND(D2871="Pindah",E2871='Buku Akun'!$C$4))),B2871+IF(AND(I2871="Selisih bunga",DAY(B2871)=1),0,0.01)+ROW()/10000000,"")</f>
        <v/>
      </c>
    </row>
    <row r="2872" outlineLevel="1" ht="15" customHeight="1" s="94">
      <c r="A2872" s="123">
        <f>IF(B2872="","",ROW()-15)</f>
        <v/>
      </c>
      <c r="B2872" s="124" t="n"/>
      <c r="C2872" s="123" t="n"/>
      <c r="D2872" s="123" t="n"/>
      <c r="E2872" s="123" t="n"/>
      <c r="F2872" s="125" t="n"/>
      <c r="G2872" s="123" t="n"/>
      <c r="H2872" s="123" t="n"/>
      <c r="I2872" s="123" t="n"/>
      <c r="J2872" s="123" t="n"/>
      <c r="K2872" s="123" t="n"/>
      <c r="L2872" s="123" t="n"/>
      <c r="M2872" s="123">
        <f>IF(AND(B2872&lt;&gt;"",OR($C$4="",ISNUMBER(SEARCH($C$4,C2872&amp;" "&amp;E2872&amp;" "&amp;G2872&amp;" "&amp;H2872&amp;" "&amp;I2872&amp;" "&amp;J2872&amp;" "&amp;K2872&amp;" "&amp;L2872))),OR($C$5="Semua",$C$5="",G2872=$C$5),OR($C$6="Semua",$C$6="",H2872=$C$6,H2872="Pengeluaran "&amp;$C$6,AND($C$6="Uang Kos Mama",H2872="Pengeluaran Uang Kos")),OR($C$7="Semua",$C$7="",I2872=$C$7),OR($C$8="Semua",$C$8="",C2872=$C$8,E2872=$C$8),OR($C$9="Semua",$C$9="",D2872=$C$9),OR($C$10="",B2872&gt;=$C$10),OR($C$11="",B2872&lt;=$C$11),OR($C$12&lt;&gt;"Ya",K2872&lt;&gt;""),OR($C$13="Semua",$C$13="",L2872=$C$13)),"✓","")</f>
        <v/>
      </c>
      <c r="N2872" s="93">
        <f>N(N2871)+IF(M2872="✓",1,0)</f>
        <v/>
      </c>
      <c r="O2872" s="93">
        <f>N(O2871)+IF(AND(B2872&lt;&gt;"",B2872&gt;='Uang Riba'!$H$30,B2872&lt;='Uang Riba'!$I$30,OR(H2872="Dana riba",H2872="Pinjam uang riba",I2872="Pinjam dari uang riba",I2872="Ganti uang riba",I2872="Kelebihan ganti dikembalikan",AND(C2872="Kantong Uang Riba",G2872="Pengeluaran"))),1,0)</f>
        <v/>
      </c>
      <c r="X2872" s="93">
        <f>IF(AND(B2872&lt;&gt;"",B2872&gt;='Buku Akun'!$H$4,B2872&lt;='Buku Akun'!$H$5,OR(C2872='Buku Akun'!$C$4,AND(D2872="Pindah",E2872='Buku Akun'!$C$4))),B2872+IF(AND(I2872="Selisih bunga",DAY(B2872)=1),0,0.01)+ROW()/10000000,"")</f>
        <v/>
      </c>
    </row>
    <row r="2873" outlineLevel="1" ht="15" customHeight="1" s="94">
      <c r="A2873" s="123">
        <f>IF(B2873="","",ROW()-15)</f>
        <v/>
      </c>
      <c r="B2873" s="124" t="n"/>
      <c r="C2873" s="123" t="n"/>
      <c r="D2873" s="123" t="n"/>
      <c r="E2873" s="123" t="n"/>
      <c r="F2873" s="125" t="n"/>
      <c r="G2873" s="123" t="n"/>
      <c r="H2873" s="123" t="n"/>
      <c r="I2873" s="123" t="n"/>
      <c r="J2873" s="123" t="n"/>
      <c r="K2873" s="123" t="n"/>
      <c r="L2873" s="123" t="n"/>
      <c r="M2873" s="123">
        <f>IF(AND(B2873&lt;&gt;"",OR($C$4="",ISNUMBER(SEARCH($C$4,C2873&amp;" "&amp;E2873&amp;" "&amp;G2873&amp;" "&amp;H2873&amp;" "&amp;I2873&amp;" "&amp;J2873&amp;" "&amp;K2873&amp;" "&amp;L2873))),OR($C$5="Semua",$C$5="",G2873=$C$5),OR($C$6="Semua",$C$6="",H2873=$C$6,H2873="Pengeluaran "&amp;$C$6,AND($C$6="Uang Kos Mama",H2873="Pengeluaran Uang Kos")),OR($C$7="Semua",$C$7="",I2873=$C$7),OR($C$8="Semua",$C$8="",C2873=$C$8,E2873=$C$8),OR($C$9="Semua",$C$9="",D2873=$C$9),OR($C$10="",B2873&gt;=$C$10),OR($C$11="",B2873&lt;=$C$11),OR($C$12&lt;&gt;"Ya",K2873&lt;&gt;""),OR($C$13="Semua",$C$13="",L2873=$C$13)),"✓","")</f>
        <v/>
      </c>
      <c r="N2873" s="93">
        <f>N(N2872)+IF(M2873="✓",1,0)</f>
        <v/>
      </c>
      <c r="O2873" s="93">
        <f>N(O2872)+IF(AND(B2873&lt;&gt;"",B2873&gt;='Uang Riba'!$H$30,B2873&lt;='Uang Riba'!$I$30,OR(H2873="Dana riba",H2873="Pinjam uang riba",I2873="Pinjam dari uang riba",I2873="Ganti uang riba",I2873="Kelebihan ganti dikembalikan",AND(C2873="Kantong Uang Riba",G2873="Pengeluaran"))),1,0)</f>
        <v/>
      </c>
      <c r="X2873" s="93">
        <f>IF(AND(B2873&lt;&gt;"",B2873&gt;='Buku Akun'!$H$4,B2873&lt;='Buku Akun'!$H$5,OR(C2873='Buku Akun'!$C$4,AND(D2873="Pindah",E2873='Buku Akun'!$C$4))),B2873+IF(AND(I2873="Selisih bunga",DAY(B2873)=1),0,0.01)+ROW()/10000000,"")</f>
        <v/>
      </c>
    </row>
    <row r="2874" outlineLevel="1" ht="15" customHeight="1" s="94">
      <c r="A2874" s="123">
        <f>IF(B2874="","",ROW()-15)</f>
        <v/>
      </c>
      <c r="B2874" s="124" t="n"/>
      <c r="C2874" s="123" t="n"/>
      <c r="D2874" s="123" t="n"/>
      <c r="E2874" s="123" t="n"/>
      <c r="F2874" s="125" t="n"/>
      <c r="G2874" s="123" t="n"/>
      <c r="H2874" s="123" t="n"/>
      <c r="I2874" s="123" t="n"/>
      <c r="J2874" s="123" t="n"/>
      <c r="K2874" s="123" t="n"/>
      <c r="L2874" s="123" t="n"/>
      <c r="M2874" s="123">
        <f>IF(AND(B2874&lt;&gt;"",OR($C$4="",ISNUMBER(SEARCH($C$4,C2874&amp;" "&amp;E2874&amp;" "&amp;G2874&amp;" "&amp;H2874&amp;" "&amp;I2874&amp;" "&amp;J2874&amp;" "&amp;K2874&amp;" "&amp;L2874))),OR($C$5="Semua",$C$5="",G2874=$C$5),OR($C$6="Semua",$C$6="",H2874=$C$6,H2874="Pengeluaran "&amp;$C$6,AND($C$6="Uang Kos Mama",H2874="Pengeluaran Uang Kos")),OR($C$7="Semua",$C$7="",I2874=$C$7),OR($C$8="Semua",$C$8="",C2874=$C$8,E2874=$C$8),OR($C$9="Semua",$C$9="",D2874=$C$9),OR($C$10="",B2874&gt;=$C$10),OR($C$11="",B2874&lt;=$C$11),OR($C$12&lt;&gt;"Ya",K2874&lt;&gt;""),OR($C$13="Semua",$C$13="",L2874=$C$13)),"✓","")</f>
        <v/>
      </c>
      <c r="N2874" s="93">
        <f>N(N2873)+IF(M2874="✓",1,0)</f>
        <v/>
      </c>
      <c r="O2874" s="93">
        <f>N(O2873)+IF(AND(B2874&lt;&gt;"",B2874&gt;='Uang Riba'!$H$30,B2874&lt;='Uang Riba'!$I$30,OR(H2874="Dana riba",H2874="Pinjam uang riba",I2874="Pinjam dari uang riba",I2874="Ganti uang riba",I2874="Kelebihan ganti dikembalikan",AND(C2874="Kantong Uang Riba",G2874="Pengeluaran"))),1,0)</f>
        <v/>
      </c>
      <c r="X2874" s="93">
        <f>IF(AND(B2874&lt;&gt;"",B2874&gt;='Buku Akun'!$H$4,B2874&lt;='Buku Akun'!$H$5,OR(C2874='Buku Akun'!$C$4,AND(D2874="Pindah",E2874='Buku Akun'!$C$4))),B2874+IF(AND(I2874="Selisih bunga",DAY(B2874)=1),0,0.01)+ROW()/10000000,"")</f>
        <v/>
      </c>
    </row>
    <row r="2875" outlineLevel="1" ht="15" customHeight="1" s="94">
      <c r="A2875" s="123">
        <f>IF(B2875="","",ROW()-15)</f>
        <v/>
      </c>
      <c r="B2875" s="124" t="n"/>
      <c r="C2875" s="123" t="n"/>
      <c r="D2875" s="123" t="n"/>
      <c r="E2875" s="123" t="n"/>
      <c r="F2875" s="125" t="n"/>
      <c r="G2875" s="123" t="n"/>
      <c r="H2875" s="123" t="n"/>
      <c r="I2875" s="123" t="n"/>
      <c r="J2875" s="123" t="n"/>
      <c r="K2875" s="123" t="n"/>
      <c r="L2875" s="123" t="n"/>
      <c r="M2875" s="123">
        <f>IF(AND(B2875&lt;&gt;"",OR($C$4="",ISNUMBER(SEARCH($C$4,C2875&amp;" "&amp;E2875&amp;" "&amp;G2875&amp;" "&amp;H2875&amp;" "&amp;I2875&amp;" "&amp;J2875&amp;" "&amp;K2875&amp;" "&amp;L2875))),OR($C$5="Semua",$C$5="",G2875=$C$5),OR($C$6="Semua",$C$6="",H2875=$C$6,H2875="Pengeluaran "&amp;$C$6,AND($C$6="Uang Kos Mama",H2875="Pengeluaran Uang Kos")),OR($C$7="Semua",$C$7="",I2875=$C$7),OR($C$8="Semua",$C$8="",C2875=$C$8,E2875=$C$8),OR($C$9="Semua",$C$9="",D2875=$C$9),OR($C$10="",B2875&gt;=$C$10),OR($C$11="",B2875&lt;=$C$11),OR($C$12&lt;&gt;"Ya",K2875&lt;&gt;""),OR($C$13="Semua",$C$13="",L2875=$C$13)),"✓","")</f>
        <v/>
      </c>
      <c r="N2875" s="93">
        <f>N(N2874)+IF(M2875="✓",1,0)</f>
        <v/>
      </c>
      <c r="O2875" s="93">
        <f>N(O2874)+IF(AND(B2875&lt;&gt;"",B2875&gt;='Uang Riba'!$H$30,B2875&lt;='Uang Riba'!$I$30,OR(H2875="Dana riba",H2875="Pinjam uang riba",I2875="Pinjam dari uang riba",I2875="Ganti uang riba",I2875="Kelebihan ganti dikembalikan",AND(C2875="Kantong Uang Riba",G2875="Pengeluaran"))),1,0)</f>
        <v/>
      </c>
      <c r="X2875" s="93">
        <f>IF(AND(B2875&lt;&gt;"",B2875&gt;='Buku Akun'!$H$4,B2875&lt;='Buku Akun'!$H$5,OR(C2875='Buku Akun'!$C$4,AND(D2875="Pindah",E2875='Buku Akun'!$C$4))),B2875+IF(AND(I2875="Selisih bunga",DAY(B2875)=1),0,0.01)+ROW()/10000000,"")</f>
        <v/>
      </c>
    </row>
    <row r="2876" outlineLevel="1" ht="15" customHeight="1" s="94">
      <c r="A2876" s="123">
        <f>IF(B2876="","",ROW()-15)</f>
        <v/>
      </c>
      <c r="B2876" s="124" t="n"/>
      <c r="C2876" s="123" t="n"/>
      <c r="D2876" s="123" t="n"/>
      <c r="E2876" s="123" t="n"/>
      <c r="F2876" s="125" t="n"/>
      <c r="G2876" s="123" t="n"/>
      <c r="H2876" s="123" t="n"/>
      <c r="I2876" s="123" t="n"/>
      <c r="J2876" s="123" t="n"/>
      <c r="K2876" s="123" t="n"/>
      <c r="L2876" s="123" t="n"/>
      <c r="M2876" s="123">
        <f>IF(AND(B2876&lt;&gt;"",OR($C$4="",ISNUMBER(SEARCH($C$4,C2876&amp;" "&amp;E2876&amp;" "&amp;G2876&amp;" "&amp;H2876&amp;" "&amp;I2876&amp;" "&amp;J2876&amp;" "&amp;K2876&amp;" "&amp;L2876))),OR($C$5="Semua",$C$5="",G2876=$C$5),OR($C$6="Semua",$C$6="",H2876=$C$6,H2876="Pengeluaran "&amp;$C$6,AND($C$6="Uang Kos Mama",H2876="Pengeluaran Uang Kos")),OR($C$7="Semua",$C$7="",I2876=$C$7),OR($C$8="Semua",$C$8="",C2876=$C$8,E2876=$C$8),OR($C$9="Semua",$C$9="",D2876=$C$9),OR($C$10="",B2876&gt;=$C$10),OR($C$11="",B2876&lt;=$C$11),OR($C$12&lt;&gt;"Ya",K2876&lt;&gt;""),OR($C$13="Semua",$C$13="",L2876=$C$13)),"✓","")</f>
        <v/>
      </c>
      <c r="N2876" s="93">
        <f>N(N2875)+IF(M2876="✓",1,0)</f>
        <v/>
      </c>
      <c r="O2876" s="93">
        <f>N(O2875)+IF(AND(B2876&lt;&gt;"",B2876&gt;='Uang Riba'!$H$30,B2876&lt;='Uang Riba'!$I$30,OR(H2876="Dana riba",H2876="Pinjam uang riba",I2876="Pinjam dari uang riba",I2876="Ganti uang riba",I2876="Kelebihan ganti dikembalikan",AND(C2876="Kantong Uang Riba",G2876="Pengeluaran"))),1,0)</f>
        <v/>
      </c>
      <c r="X2876" s="93">
        <f>IF(AND(B2876&lt;&gt;"",B2876&gt;='Buku Akun'!$H$4,B2876&lt;='Buku Akun'!$H$5,OR(C2876='Buku Akun'!$C$4,AND(D2876="Pindah",E2876='Buku Akun'!$C$4))),B2876+IF(AND(I2876="Selisih bunga",DAY(B2876)=1),0,0.01)+ROW()/10000000,"")</f>
        <v/>
      </c>
    </row>
    <row r="2877" outlineLevel="1" ht="15" customHeight="1" s="94">
      <c r="A2877" s="123">
        <f>IF(B2877="","",ROW()-15)</f>
        <v/>
      </c>
      <c r="B2877" s="124" t="n"/>
      <c r="C2877" s="123" t="n"/>
      <c r="D2877" s="123" t="n"/>
      <c r="E2877" s="123" t="n"/>
      <c r="F2877" s="125" t="n"/>
      <c r="G2877" s="123" t="n"/>
      <c r="H2877" s="123" t="n"/>
      <c r="I2877" s="123" t="n"/>
      <c r="J2877" s="123" t="n"/>
      <c r="K2877" s="123" t="n"/>
      <c r="L2877" s="123" t="n"/>
      <c r="M2877" s="123">
        <f>IF(AND(B2877&lt;&gt;"",OR($C$4="",ISNUMBER(SEARCH($C$4,C2877&amp;" "&amp;E2877&amp;" "&amp;G2877&amp;" "&amp;H2877&amp;" "&amp;I2877&amp;" "&amp;J2877&amp;" "&amp;K2877&amp;" "&amp;L2877))),OR($C$5="Semua",$C$5="",G2877=$C$5),OR($C$6="Semua",$C$6="",H2877=$C$6,H2877="Pengeluaran "&amp;$C$6,AND($C$6="Uang Kos Mama",H2877="Pengeluaran Uang Kos")),OR($C$7="Semua",$C$7="",I2877=$C$7),OR($C$8="Semua",$C$8="",C2877=$C$8,E2877=$C$8),OR($C$9="Semua",$C$9="",D2877=$C$9),OR($C$10="",B2877&gt;=$C$10),OR($C$11="",B2877&lt;=$C$11),OR($C$12&lt;&gt;"Ya",K2877&lt;&gt;""),OR($C$13="Semua",$C$13="",L2877=$C$13)),"✓","")</f>
        <v/>
      </c>
      <c r="N2877" s="93">
        <f>N(N2876)+IF(M2877="✓",1,0)</f>
        <v/>
      </c>
      <c r="O2877" s="93">
        <f>N(O2876)+IF(AND(B2877&lt;&gt;"",B2877&gt;='Uang Riba'!$H$30,B2877&lt;='Uang Riba'!$I$30,OR(H2877="Dana riba",H2877="Pinjam uang riba",I2877="Pinjam dari uang riba",I2877="Ganti uang riba",I2877="Kelebihan ganti dikembalikan",AND(C2877="Kantong Uang Riba",G2877="Pengeluaran"))),1,0)</f>
        <v/>
      </c>
      <c r="X2877" s="93">
        <f>IF(AND(B2877&lt;&gt;"",B2877&gt;='Buku Akun'!$H$4,B2877&lt;='Buku Akun'!$H$5,OR(C2877='Buku Akun'!$C$4,AND(D2877="Pindah",E2877='Buku Akun'!$C$4))),B2877+IF(AND(I2877="Selisih bunga",DAY(B2877)=1),0,0.01)+ROW()/10000000,"")</f>
        <v/>
      </c>
    </row>
    <row r="2878" outlineLevel="1" ht="15" customHeight="1" s="94">
      <c r="A2878" s="123">
        <f>IF(B2878="","",ROW()-15)</f>
        <v/>
      </c>
      <c r="B2878" s="124" t="n"/>
      <c r="C2878" s="123" t="n"/>
      <c r="D2878" s="123" t="n"/>
      <c r="E2878" s="123" t="n"/>
      <c r="F2878" s="125" t="n"/>
      <c r="G2878" s="123" t="n"/>
      <c r="H2878" s="123" t="n"/>
      <c r="I2878" s="123" t="n"/>
      <c r="J2878" s="123" t="n"/>
      <c r="K2878" s="123" t="n"/>
      <c r="L2878" s="123" t="n"/>
      <c r="M2878" s="123">
        <f>IF(AND(B2878&lt;&gt;"",OR($C$4="",ISNUMBER(SEARCH($C$4,C2878&amp;" "&amp;E2878&amp;" "&amp;G2878&amp;" "&amp;H2878&amp;" "&amp;I2878&amp;" "&amp;J2878&amp;" "&amp;K2878&amp;" "&amp;L2878))),OR($C$5="Semua",$C$5="",G2878=$C$5),OR($C$6="Semua",$C$6="",H2878=$C$6,H2878="Pengeluaran "&amp;$C$6,AND($C$6="Uang Kos Mama",H2878="Pengeluaran Uang Kos")),OR($C$7="Semua",$C$7="",I2878=$C$7),OR($C$8="Semua",$C$8="",C2878=$C$8,E2878=$C$8),OR($C$9="Semua",$C$9="",D2878=$C$9),OR($C$10="",B2878&gt;=$C$10),OR($C$11="",B2878&lt;=$C$11),OR($C$12&lt;&gt;"Ya",K2878&lt;&gt;""),OR($C$13="Semua",$C$13="",L2878=$C$13)),"✓","")</f>
        <v/>
      </c>
      <c r="N2878" s="93">
        <f>N(N2877)+IF(M2878="✓",1,0)</f>
        <v/>
      </c>
      <c r="O2878" s="93">
        <f>N(O2877)+IF(AND(B2878&lt;&gt;"",B2878&gt;='Uang Riba'!$H$30,B2878&lt;='Uang Riba'!$I$30,OR(H2878="Dana riba",H2878="Pinjam uang riba",I2878="Pinjam dari uang riba",I2878="Ganti uang riba",I2878="Kelebihan ganti dikembalikan",AND(C2878="Kantong Uang Riba",G2878="Pengeluaran"))),1,0)</f>
        <v/>
      </c>
      <c r="X2878" s="93">
        <f>IF(AND(B2878&lt;&gt;"",B2878&gt;='Buku Akun'!$H$4,B2878&lt;='Buku Akun'!$H$5,OR(C2878='Buku Akun'!$C$4,AND(D2878="Pindah",E2878='Buku Akun'!$C$4))),B2878+IF(AND(I2878="Selisih bunga",DAY(B2878)=1),0,0.01)+ROW()/10000000,"")</f>
        <v/>
      </c>
    </row>
    <row r="2879" outlineLevel="1" ht="15" customHeight="1" s="94">
      <c r="A2879" s="123">
        <f>IF(B2879="","",ROW()-15)</f>
        <v/>
      </c>
      <c r="B2879" s="124" t="n"/>
      <c r="C2879" s="123" t="n"/>
      <c r="D2879" s="123" t="n"/>
      <c r="E2879" s="123" t="n"/>
      <c r="F2879" s="125" t="n"/>
      <c r="G2879" s="123" t="n"/>
      <c r="H2879" s="123" t="n"/>
      <c r="I2879" s="123" t="n"/>
      <c r="J2879" s="123" t="n"/>
      <c r="K2879" s="123" t="n"/>
      <c r="L2879" s="123" t="n"/>
      <c r="M2879" s="123">
        <f>IF(AND(B2879&lt;&gt;"",OR($C$4="",ISNUMBER(SEARCH($C$4,C2879&amp;" "&amp;E2879&amp;" "&amp;G2879&amp;" "&amp;H2879&amp;" "&amp;I2879&amp;" "&amp;J2879&amp;" "&amp;K2879&amp;" "&amp;L2879))),OR($C$5="Semua",$C$5="",G2879=$C$5),OR($C$6="Semua",$C$6="",H2879=$C$6,H2879="Pengeluaran "&amp;$C$6,AND($C$6="Uang Kos Mama",H2879="Pengeluaran Uang Kos")),OR($C$7="Semua",$C$7="",I2879=$C$7),OR($C$8="Semua",$C$8="",C2879=$C$8,E2879=$C$8),OR($C$9="Semua",$C$9="",D2879=$C$9),OR($C$10="",B2879&gt;=$C$10),OR($C$11="",B2879&lt;=$C$11),OR($C$12&lt;&gt;"Ya",K2879&lt;&gt;""),OR($C$13="Semua",$C$13="",L2879=$C$13)),"✓","")</f>
        <v/>
      </c>
      <c r="N2879" s="93">
        <f>N(N2878)+IF(M2879="✓",1,0)</f>
        <v/>
      </c>
      <c r="O2879" s="93">
        <f>N(O2878)+IF(AND(B2879&lt;&gt;"",B2879&gt;='Uang Riba'!$H$30,B2879&lt;='Uang Riba'!$I$30,OR(H2879="Dana riba",H2879="Pinjam uang riba",I2879="Pinjam dari uang riba",I2879="Ganti uang riba",I2879="Kelebihan ganti dikembalikan",AND(C2879="Kantong Uang Riba",G2879="Pengeluaran"))),1,0)</f>
        <v/>
      </c>
      <c r="X2879" s="93">
        <f>IF(AND(B2879&lt;&gt;"",B2879&gt;='Buku Akun'!$H$4,B2879&lt;='Buku Akun'!$H$5,OR(C2879='Buku Akun'!$C$4,AND(D2879="Pindah",E2879='Buku Akun'!$C$4))),B2879+IF(AND(I2879="Selisih bunga",DAY(B2879)=1),0,0.01)+ROW()/10000000,"")</f>
        <v/>
      </c>
    </row>
    <row r="2880" outlineLevel="1" ht="15" customHeight="1" s="94">
      <c r="A2880" s="123">
        <f>IF(B2880="","",ROW()-15)</f>
        <v/>
      </c>
      <c r="B2880" s="124" t="n"/>
      <c r="C2880" s="123" t="n"/>
      <c r="D2880" s="123" t="n"/>
      <c r="E2880" s="123" t="n"/>
      <c r="F2880" s="125" t="n"/>
      <c r="G2880" s="123" t="n"/>
      <c r="H2880" s="123" t="n"/>
      <c r="I2880" s="123" t="n"/>
      <c r="J2880" s="123" t="n"/>
      <c r="K2880" s="123" t="n"/>
      <c r="L2880" s="123" t="n"/>
      <c r="M2880" s="123">
        <f>IF(AND(B2880&lt;&gt;"",OR($C$4="",ISNUMBER(SEARCH($C$4,C2880&amp;" "&amp;E2880&amp;" "&amp;G2880&amp;" "&amp;H2880&amp;" "&amp;I2880&amp;" "&amp;J2880&amp;" "&amp;K2880&amp;" "&amp;L2880))),OR($C$5="Semua",$C$5="",G2880=$C$5),OR($C$6="Semua",$C$6="",H2880=$C$6,H2880="Pengeluaran "&amp;$C$6,AND($C$6="Uang Kos Mama",H2880="Pengeluaran Uang Kos")),OR($C$7="Semua",$C$7="",I2880=$C$7),OR($C$8="Semua",$C$8="",C2880=$C$8,E2880=$C$8),OR($C$9="Semua",$C$9="",D2880=$C$9),OR($C$10="",B2880&gt;=$C$10),OR($C$11="",B2880&lt;=$C$11),OR($C$12&lt;&gt;"Ya",K2880&lt;&gt;""),OR($C$13="Semua",$C$13="",L2880=$C$13)),"✓","")</f>
        <v/>
      </c>
      <c r="N2880" s="93">
        <f>N(N2879)+IF(M2880="✓",1,0)</f>
        <v/>
      </c>
      <c r="O2880" s="93">
        <f>N(O2879)+IF(AND(B2880&lt;&gt;"",B2880&gt;='Uang Riba'!$H$30,B2880&lt;='Uang Riba'!$I$30,OR(H2880="Dana riba",H2880="Pinjam uang riba",I2880="Pinjam dari uang riba",I2880="Ganti uang riba",I2880="Kelebihan ganti dikembalikan",AND(C2880="Kantong Uang Riba",G2880="Pengeluaran"))),1,0)</f>
        <v/>
      </c>
      <c r="X2880" s="93">
        <f>IF(AND(B2880&lt;&gt;"",B2880&gt;='Buku Akun'!$H$4,B2880&lt;='Buku Akun'!$H$5,OR(C2880='Buku Akun'!$C$4,AND(D2880="Pindah",E2880='Buku Akun'!$C$4))),B2880+IF(AND(I2880="Selisih bunga",DAY(B2880)=1),0,0.01)+ROW()/10000000,"")</f>
        <v/>
      </c>
    </row>
    <row r="2881" outlineLevel="1" ht="15" customHeight="1" s="94">
      <c r="A2881" s="123">
        <f>IF(B2881="","",ROW()-15)</f>
        <v/>
      </c>
      <c r="B2881" s="124" t="n"/>
      <c r="C2881" s="123" t="n"/>
      <c r="D2881" s="123" t="n"/>
      <c r="E2881" s="123" t="n"/>
      <c r="F2881" s="125" t="n"/>
      <c r="G2881" s="123" t="n"/>
      <c r="H2881" s="123" t="n"/>
      <c r="I2881" s="123" t="n"/>
      <c r="J2881" s="123" t="n"/>
      <c r="K2881" s="123" t="n"/>
      <c r="L2881" s="123" t="n"/>
      <c r="M2881" s="123">
        <f>IF(AND(B2881&lt;&gt;"",OR($C$4="",ISNUMBER(SEARCH($C$4,C2881&amp;" "&amp;E2881&amp;" "&amp;G2881&amp;" "&amp;H2881&amp;" "&amp;I2881&amp;" "&amp;J2881&amp;" "&amp;K2881&amp;" "&amp;L2881))),OR($C$5="Semua",$C$5="",G2881=$C$5),OR($C$6="Semua",$C$6="",H2881=$C$6,H2881="Pengeluaran "&amp;$C$6,AND($C$6="Uang Kos Mama",H2881="Pengeluaran Uang Kos")),OR($C$7="Semua",$C$7="",I2881=$C$7),OR($C$8="Semua",$C$8="",C2881=$C$8,E2881=$C$8),OR($C$9="Semua",$C$9="",D2881=$C$9),OR($C$10="",B2881&gt;=$C$10),OR($C$11="",B2881&lt;=$C$11),OR($C$12&lt;&gt;"Ya",K2881&lt;&gt;""),OR($C$13="Semua",$C$13="",L2881=$C$13)),"✓","")</f>
        <v/>
      </c>
      <c r="N2881" s="93">
        <f>N(N2880)+IF(M2881="✓",1,0)</f>
        <v/>
      </c>
      <c r="O2881" s="93">
        <f>N(O2880)+IF(AND(B2881&lt;&gt;"",B2881&gt;='Uang Riba'!$H$30,B2881&lt;='Uang Riba'!$I$30,OR(H2881="Dana riba",H2881="Pinjam uang riba",I2881="Pinjam dari uang riba",I2881="Ganti uang riba",I2881="Kelebihan ganti dikembalikan",AND(C2881="Kantong Uang Riba",G2881="Pengeluaran"))),1,0)</f>
        <v/>
      </c>
      <c r="X2881" s="93">
        <f>IF(AND(B2881&lt;&gt;"",B2881&gt;='Buku Akun'!$H$4,B2881&lt;='Buku Akun'!$H$5,OR(C2881='Buku Akun'!$C$4,AND(D2881="Pindah",E2881='Buku Akun'!$C$4))),B2881+IF(AND(I2881="Selisih bunga",DAY(B2881)=1),0,0.01)+ROW()/10000000,"")</f>
        <v/>
      </c>
    </row>
    <row r="2882" outlineLevel="1" ht="15" customHeight="1" s="94">
      <c r="A2882" s="123">
        <f>IF(B2882="","",ROW()-15)</f>
        <v/>
      </c>
      <c r="B2882" s="124" t="n"/>
      <c r="C2882" s="123" t="n"/>
      <c r="D2882" s="123" t="n"/>
      <c r="E2882" s="123" t="n"/>
      <c r="F2882" s="125" t="n"/>
      <c r="G2882" s="123" t="n"/>
      <c r="H2882" s="123" t="n"/>
      <c r="I2882" s="123" t="n"/>
      <c r="J2882" s="123" t="n"/>
      <c r="K2882" s="123" t="n"/>
      <c r="L2882" s="123" t="n"/>
      <c r="M2882" s="123">
        <f>IF(AND(B2882&lt;&gt;"",OR($C$4="",ISNUMBER(SEARCH($C$4,C2882&amp;" "&amp;E2882&amp;" "&amp;G2882&amp;" "&amp;H2882&amp;" "&amp;I2882&amp;" "&amp;J2882&amp;" "&amp;K2882&amp;" "&amp;L2882))),OR($C$5="Semua",$C$5="",G2882=$C$5),OR($C$6="Semua",$C$6="",H2882=$C$6,H2882="Pengeluaran "&amp;$C$6,AND($C$6="Uang Kos Mama",H2882="Pengeluaran Uang Kos")),OR($C$7="Semua",$C$7="",I2882=$C$7),OR($C$8="Semua",$C$8="",C2882=$C$8,E2882=$C$8),OR($C$9="Semua",$C$9="",D2882=$C$9),OR($C$10="",B2882&gt;=$C$10),OR($C$11="",B2882&lt;=$C$11),OR($C$12&lt;&gt;"Ya",K2882&lt;&gt;""),OR($C$13="Semua",$C$13="",L2882=$C$13)),"✓","")</f>
        <v/>
      </c>
      <c r="N2882" s="93">
        <f>N(N2881)+IF(M2882="✓",1,0)</f>
        <v/>
      </c>
      <c r="O2882" s="93">
        <f>N(O2881)+IF(AND(B2882&lt;&gt;"",B2882&gt;='Uang Riba'!$H$30,B2882&lt;='Uang Riba'!$I$30,OR(H2882="Dana riba",H2882="Pinjam uang riba",I2882="Pinjam dari uang riba",I2882="Ganti uang riba",I2882="Kelebihan ganti dikembalikan",AND(C2882="Kantong Uang Riba",G2882="Pengeluaran"))),1,0)</f>
        <v/>
      </c>
      <c r="X2882" s="93">
        <f>IF(AND(B2882&lt;&gt;"",B2882&gt;='Buku Akun'!$H$4,B2882&lt;='Buku Akun'!$H$5,OR(C2882='Buku Akun'!$C$4,AND(D2882="Pindah",E2882='Buku Akun'!$C$4))),B2882+IF(AND(I2882="Selisih bunga",DAY(B2882)=1),0,0.01)+ROW()/10000000,"")</f>
        <v/>
      </c>
    </row>
    <row r="2883" outlineLevel="1" ht="15" customHeight="1" s="94">
      <c r="A2883" s="123">
        <f>IF(B2883="","",ROW()-15)</f>
        <v/>
      </c>
      <c r="B2883" s="124" t="n"/>
      <c r="C2883" s="123" t="n"/>
      <c r="D2883" s="123" t="n"/>
      <c r="E2883" s="123" t="n"/>
      <c r="F2883" s="125" t="n"/>
      <c r="G2883" s="123" t="n"/>
      <c r="H2883" s="123" t="n"/>
      <c r="I2883" s="123" t="n"/>
      <c r="J2883" s="123" t="n"/>
      <c r="K2883" s="123" t="n"/>
      <c r="L2883" s="123" t="n"/>
      <c r="M2883" s="123">
        <f>IF(AND(B2883&lt;&gt;"",OR($C$4="",ISNUMBER(SEARCH($C$4,C2883&amp;" "&amp;E2883&amp;" "&amp;G2883&amp;" "&amp;H2883&amp;" "&amp;I2883&amp;" "&amp;J2883&amp;" "&amp;K2883&amp;" "&amp;L2883))),OR($C$5="Semua",$C$5="",G2883=$C$5),OR($C$6="Semua",$C$6="",H2883=$C$6,H2883="Pengeluaran "&amp;$C$6,AND($C$6="Uang Kos Mama",H2883="Pengeluaran Uang Kos")),OR($C$7="Semua",$C$7="",I2883=$C$7),OR($C$8="Semua",$C$8="",C2883=$C$8,E2883=$C$8),OR($C$9="Semua",$C$9="",D2883=$C$9),OR($C$10="",B2883&gt;=$C$10),OR($C$11="",B2883&lt;=$C$11),OR($C$12&lt;&gt;"Ya",K2883&lt;&gt;""),OR($C$13="Semua",$C$13="",L2883=$C$13)),"✓","")</f>
        <v/>
      </c>
      <c r="N2883" s="93">
        <f>N(N2882)+IF(M2883="✓",1,0)</f>
        <v/>
      </c>
      <c r="O2883" s="93">
        <f>N(O2882)+IF(AND(B2883&lt;&gt;"",B2883&gt;='Uang Riba'!$H$30,B2883&lt;='Uang Riba'!$I$30,OR(H2883="Dana riba",H2883="Pinjam uang riba",I2883="Pinjam dari uang riba",I2883="Ganti uang riba",I2883="Kelebihan ganti dikembalikan",AND(C2883="Kantong Uang Riba",G2883="Pengeluaran"))),1,0)</f>
        <v/>
      </c>
      <c r="X2883" s="93">
        <f>IF(AND(B2883&lt;&gt;"",B2883&gt;='Buku Akun'!$H$4,B2883&lt;='Buku Akun'!$H$5,OR(C2883='Buku Akun'!$C$4,AND(D2883="Pindah",E2883='Buku Akun'!$C$4))),B2883+IF(AND(I2883="Selisih bunga",DAY(B2883)=1),0,0.01)+ROW()/10000000,"")</f>
        <v/>
      </c>
    </row>
    <row r="2884" outlineLevel="1" ht="15" customHeight="1" s="94">
      <c r="A2884" s="123">
        <f>IF(B2884="","",ROW()-15)</f>
        <v/>
      </c>
      <c r="B2884" s="124" t="n"/>
      <c r="C2884" s="123" t="n"/>
      <c r="D2884" s="123" t="n"/>
      <c r="E2884" s="123" t="n"/>
      <c r="F2884" s="125" t="n"/>
      <c r="G2884" s="123" t="n"/>
      <c r="H2884" s="123" t="n"/>
      <c r="I2884" s="123" t="n"/>
      <c r="J2884" s="123" t="n"/>
      <c r="K2884" s="123" t="n"/>
      <c r="L2884" s="123" t="n"/>
      <c r="M2884" s="123">
        <f>IF(AND(B2884&lt;&gt;"",OR($C$4="",ISNUMBER(SEARCH($C$4,C2884&amp;" "&amp;E2884&amp;" "&amp;G2884&amp;" "&amp;H2884&amp;" "&amp;I2884&amp;" "&amp;J2884&amp;" "&amp;K2884&amp;" "&amp;L2884))),OR($C$5="Semua",$C$5="",G2884=$C$5),OR($C$6="Semua",$C$6="",H2884=$C$6,H2884="Pengeluaran "&amp;$C$6,AND($C$6="Uang Kos Mama",H2884="Pengeluaran Uang Kos")),OR($C$7="Semua",$C$7="",I2884=$C$7),OR($C$8="Semua",$C$8="",C2884=$C$8,E2884=$C$8),OR($C$9="Semua",$C$9="",D2884=$C$9),OR($C$10="",B2884&gt;=$C$10),OR($C$11="",B2884&lt;=$C$11),OR($C$12&lt;&gt;"Ya",K2884&lt;&gt;""),OR($C$13="Semua",$C$13="",L2884=$C$13)),"✓","")</f>
        <v/>
      </c>
      <c r="N2884" s="93">
        <f>N(N2883)+IF(M2884="✓",1,0)</f>
        <v/>
      </c>
      <c r="O2884" s="93">
        <f>N(O2883)+IF(AND(B2884&lt;&gt;"",B2884&gt;='Uang Riba'!$H$30,B2884&lt;='Uang Riba'!$I$30,OR(H2884="Dana riba",H2884="Pinjam uang riba",I2884="Pinjam dari uang riba",I2884="Ganti uang riba",I2884="Kelebihan ganti dikembalikan",AND(C2884="Kantong Uang Riba",G2884="Pengeluaran"))),1,0)</f>
        <v/>
      </c>
      <c r="X2884" s="93">
        <f>IF(AND(B2884&lt;&gt;"",B2884&gt;='Buku Akun'!$H$4,B2884&lt;='Buku Akun'!$H$5,OR(C2884='Buku Akun'!$C$4,AND(D2884="Pindah",E2884='Buku Akun'!$C$4))),B2884+IF(AND(I2884="Selisih bunga",DAY(B2884)=1),0,0.01)+ROW()/10000000,"")</f>
        <v/>
      </c>
    </row>
    <row r="2885" outlineLevel="1" ht="15" customHeight="1" s="94">
      <c r="A2885" s="123">
        <f>IF(B2885="","",ROW()-15)</f>
        <v/>
      </c>
      <c r="B2885" s="124" t="n"/>
      <c r="C2885" s="123" t="n"/>
      <c r="D2885" s="123" t="n"/>
      <c r="E2885" s="123" t="n"/>
      <c r="F2885" s="125" t="n"/>
      <c r="G2885" s="123" t="n"/>
      <c r="H2885" s="123" t="n"/>
      <c r="I2885" s="123" t="n"/>
      <c r="J2885" s="123" t="n"/>
      <c r="K2885" s="123" t="n"/>
      <c r="L2885" s="123" t="n"/>
      <c r="M2885" s="123">
        <f>IF(AND(B2885&lt;&gt;"",OR($C$4="",ISNUMBER(SEARCH($C$4,C2885&amp;" "&amp;E2885&amp;" "&amp;G2885&amp;" "&amp;H2885&amp;" "&amp;I2885&amp;" "&amp;J2885&amp;" "&amp;K2885&amp;" "&amp;L2885))),OR($C$5="Semua",$C$5="",G2885=$C$5),OR($C$6="Semua",$C$6="",H2885=$C$6,H2885="Pengeluaran "&amp;$C$6,AND($C$6="Uang Kos Mama",H2885="Pengeluaran Uang Kos")),OR($C$7="Semua",$C$7="",I2885=$C$7),OR($C$8="Semua",$C$8="",C2885=$C$8,E2885=$C$8),OR($C$9="Semua",$C$9="",D2885=$C$9),OR($C$10="",B2885&gt;=$C$10),OR($C$11="",B2885&lt;=$C$11),OR($C$12&lt;&gt;"Ya",K2885&lt;&gt;""),OR($C$13="Semua",$C$13="",L2885=$C$13)),"✓","")</f>
        <v/>
      </c>
      <c r="N2885" s="93">
        <f>N(N2884)+IF(M2885="✓",1,0)</f>
        <v/>
      </c>
      <c r="O2885" s="93">
        <f>N(O2884)+IF(AND(B2885&lt;&gt;"",B2885&gt;='Uang Riba'!$H$30,B2885&lt;='Uang Riba'!$I$30,OR(H2885="Dana riba",H2885="Pinjam uang riba",I2885="Pinjam dari uang riba",I2885="Ganti uang riba",I2885="Kelebihan ganti dikembalikan",AND(C2885="Kantong Uang Riba",G2885="Pengeluaran"))),1,0)</f>
        <v/>
      </c>
      <c r="X2885" s="93">
        <f>IF(AND(B2885&lt;&gt;"",B2885&gt;='Buku Akun'!$H$4,B2885&lt;='Buku Akun'!$H$5,OR(C2885='Buku Akun'!$C$4,AND(D2885="Pindah",E2885='Buku Akun'!$C$4))),B2885+IF(AND(I2885="Selisih bunga",DAY(B2885)=1),0,0.01)+ROW()/10000000,"")</f>
        <v/>
      </c>
    </row>
    <row r="2886" outlineLevel="1" ht="15" customHeight="1" s="94">
      <c r="A2886" s="123">
        <f>IF(B2886="","",ROW()-15)</f>
        <v/>
      </c>
      <c r="B2886" s="124" t="n"/>
      <c r="C2886" s="123" t="n"/>
      <c r="D2886" s="123" t="n"/>
      <c r="E2886" s="123" t="n"/>
      <c r="F2886" s="125" t="n"/>
      <c r="G2886" s="123" t="n"/>
      <c r="H2886" s="123" t="n"/>
      <c r="I2886" s="123" t="n"/>
      <c r="J2886" s="123" t="n"/>
      <c r="K2886" s="123" t="n"/>
      <c r="L2886" s="123" t="n"/>
      <c r="M2886" s="123">
        <f>IF(AND(B2886&lt;&gt;"",OR($C$4="",ISNUMBER(SEARCH($C$4,C2886&amp;" "&amp;E2886&amp;" "&amp;G2886&amp;" "&amp;H2886&amp;" "&amp;I2886&amp;" "&amp;J2886&amp;" "&amp;K2886&amp;" "&amp;L2886))),OR($C$5="Semua",$C$5="",G2886=$C$5),OR($C$6="Semua",$C$6="",H2886=$C$6,H2886="Pengeluaran "&amp;$C$6,AND($C$6="Uang Kos Mama",H2886="Pengeluaran Uang Kos")),OR($C$7="Semua",$C$7="",I2886=$C$7),OR($C$8="Semua",$C$8="",C2886=$C$8,E2886=$C$8),OR($C$9="Semua",$C$9="",D2886=$C$9),OR($C$10="",B2886&gt;=$C$10),OR($C$11="",B2886&lt;=$C$11),OR($C$12&lt;&gt;"Ya",K2886&lt;&gt;""),OR($C$13="Semua",$C$13="",L2886=$C$13)),"✓","")</f>
        <v/>
      </c>
      <c r="N2886" s="93">
        <f>N(N2885)+IF(M2886="✓",1,0)</f>
        <v/>
      </c>
      <c r="O2886" s="93">
        <f>N(O2885)+IF(AND(B2886&lt;&gt;"",B2886&gt;='Uang Riba'!$H$30,B2886&lt;='Uang Riba'!$I$30,OR(H2886="Dana riba",H2886="Pinjam uang riba",I2886="Pinjam dari uang riba",I2886="Ganti uang riba",I2886="Kelebihan ganti dikembalikan",AND(C2886="Kantong Uang Riba",G2886="Pengeluaran"))),1,0)</f>
        <v/>
      </c>
      <c r="X2886" s="93">
        <f>IF(AND(B2886&lt;&gt;"",B2886&gt;='Buku Akun'!$H$4,B2886&lt;='Buku Akun'!$H$5,OR(C2886='Buku Akun'!$C$4,AND(D2886="Pindah",E2886='Buku Akun'!$C$4))),B2886+IF(AND(I2886="Selisih bunga",DAY(B2886)=1),0,0.01)+ROW()/10000000,"")</f>
        <v/>
      </c>
    </row>
    <row r="2887" outlineLevel="1" ht="15" customHeight="1" s="94">
      <c r="A2887" s="123">
        <f>IF(B2887="","",ROW()-15)</f>
        <v/>
      </c>
      <c r="B2887" s="124" t="n"/>
      <c r="C2887" s="123" t="n"/>
      <c r="D2887" s="123" t="n"/>
      <c r="E2887" s="123" t="n"/>
      <c r="F2887" s="125" t="n"/>
      <c r="G2887" s="123" t="n"/>
      <c r="H2887" s="123" t="n"/>
      <c r="I2887" s="123" t="n"/>
      <c r="J2887" s="123" t="n"/>
      <c r="K2887" s="123" t="n"/>
      <c r="L2887" s="123" t="n"/>
      <c r="M2887" s="123">
        <f>IF(AND(B2887&lt;&gt;"",OR($C$4="",ISNUMBER(SEARCH($C$4,C2887&amp;" "&amp;E2887&amp;" "&amp;G2887&amp;" "&amp;H2887&amp;" "&amp;I2887&amp;" "&amp;J2887&amp;" "&amp;K2887&amp;" "&amp;L2887))),OR($C$5="Semua",$C$5="",G2887=$C$5),OR($C$6="Semua",$C$6="",H2887=$C$6,H2887="Pengeluaran "&amp;$C$6,AND($C$6="Uang Kos Mama",H2887="Pengeluaran Uang Kos")),OR($C$7="Semua",$C$7="",I2887=$C$7),OR($C$8="Semua",$C$8="",C2887=$C$8,E2887=$C$8),OR($C$9="Semua",$C$9="",D2887=$C$9),OR($C$10="",B2887&gt;=$C$10),OR($C$11="",B2887&lt;=$C$11),OR($C$12&lt;&gt;"Ya",K2887&lt;&gt;""),OR($C$13="Semua",$C$13="",L2887=$C$13)),"✓","")</f>
        <v/>
      </c>
      <c r="N2887" s="93">
        <f>N(N2886)+IF(M2887="✓",1,0)</f>
        <v/>
      </c>
      <c r="O2887" s="93">
        <f>N(O2886)+IF(AND(B2887&lt;&gt;"",B2887&gt;='Uang Riba'!$H$30,B2887&lt;='Uang Riba'!$I$30,OR(H2887="Dana riba",H2887="Pinjam uang riba",I2887="Pinjam dari uang riba",I2887="Ganti uang riba",I2887="Kelebihan ganti dikembalikan",AND(C2887="Kantong Uang Riba",G2887="Pengeluaran"))),1,0)</f>
        <v/>
      </c>
      <c r="X2887" s="93">
        <f>IF(AND(B2887&lt;&gt;"",B2887&gt;='Buku Akun'!$H$4,B2887&lt;='Buku Akun'!$H$5,OR(C2887='Buku Akun'!$C$4,AND(D2887="Pindah",E2887='Buku Akun'!$C$4))),B2887+IF(AND(I2887="Selisih bunga",DAY(B2887)=1),0,0.01)+ROW()/10000000,"")</f>
        <v/>
      </c>
    </row>
    <row r="2888" outlineLevel="1" ht="15" customHeight="1" s="94">
      <c r="A2888" s="123">
        <f>IF(B2888="","",ROW()-15)</f>
        <v/>
      </c>
      <c r="B2888" s="124" t="n"/>
      <c r="C2888" s="123" t="n"/>
      <c r="D2888" s="123" t="n"/>
      <c r="E2888" s="123" t="n"/>
      <c r="F2888" s="125" t="n"/>
      <c r="G2888" s="123" t="n"/>
      <c r="H2888" s="123" t="n"/>
      <c r="I2888" s="123" t="n"/>
      <c r="J2888" s="123" t="n"/>
      <c r="K2888" s="123" t="n"/>
      <c r="L2888" s="123" t="n"/>
      <c r="M2888" s="123">
        <f>IF(AND(B2888&lt;&gt;"",OR($C$4="",ISNUMBER(SEARCH($C$4,C2888&amp;" "&amp;E2888&amp;" "&amp;G2888&amp;" "&amp;H2888&amp;" "&amp;I2888&amp;" "&amp;J2888&amp;" "&amp;K2888&amp;" "&amp;L2888))),OR($C$5="Semua",$C$5="",G2888=$C$5),OR($C$6="Semua",$C$6="",H2888=$C$6,H2888="Pengeluaran "&amp;$C$6,AND($C$6="Uang Kos Mama",H2888="Pengeluaran Uang Kos")),OR($C$7="Semua",$C$7="",I2888=$C$7),OR($C$8="Semua",$C$8="",C2888=$C$8,E2888=$C$8),OR($C$9="Semua",$C$9="",D2888=$C$9),OR($C$10="",B2888&gt;=$C$10),OR($C$11="",B2888&lt;=$C$11),OR($C$12&lt;&gt;"Ya",K2888&lt;&gt;""),OR($C$13="Semua",$C$13="",L2888=$C$13)),"✓","")</f>
        <v/>
      </c>
      <c r="N2888" s="93">
        <f>N(N2887)+IF(M2888="✓",1,0)</f>
        <v/>
      </c>
      <c r="O2888" s="93">
        <f>N(O2887)+IF(AND(B2888&lt;&gt;"",B2888&gt;='Uang Riba'!$H$30,B2888&lt;='Uang Riba'!$I$30,OR(H2888="Dana riba",H2888="Pinjam uang riba",I2888="Pinjam dari uang riba",I2888="Ganti uang riba",I2888="Kelebihan ganti dikembalikan",AND(C2888="Kantong Uang Riba",G2888="Pengeluaran"))),1,0)</f>
        <v/>
      </c>
      <c r="X2888" s="93">
        <f>IF(AND(B2888&lt;&gt;"",B2888&gt;='Buku Akun'!$H$4,B2888&lt;='Buku Akun'!$H$5,OR(C2888='Buku Akun'!$C$4,AND(D2888="Pindah",E2888='Buku Akun'!$C$4))),B2888+IF(AND(I2888="Selisih bunga",DAY(B2888)=1),0,0.01)+ROW()/10000000,"")</f>
        <v/>
      </c>
    </row>
    <row r="2889" outlineLevel="1" ht="15" customHeight="1" s="94">
      <c r="A2889" s="123">
        <f>IF(B2889="","",ROW()-15)</f>
        <v/>
      </c>
      <c r="B2889" s="124" t="n"/>
      <c r="C2889" s="123" t="n"/>
      <c r="D2889" s="123" t="n"/>
      <c r="E2889" s="123" t="n"/>
      <c r="F2889" s="125" t="n"/>
      <c r="G2889" s="123" t="n"/>
      <c r="H2889" s="123" t="n"/>
      <c r="I2889" s="123" t="n"/>
      <c r="J2889" s="123" t="n"/>
      <c r="K2889" s="123" t="n"/>
      <c r="L2889" s="123" t="n"/>
      <c r="M2889" s="123">
        <f>IF(AND(B2889&lt;&gt;"",OR($C$4="",ISNUMBER(SEARCH($C$4,C2889&amp;" "&amp;E2889&amp;" "&amp;G2889&amp;" "&amp;H2889&amp;" "&amp;I2889&amp;" "&amp;J2889&amp;" "&amp;K2889&amp;" "&amp;L2889))),OR($C$5="Semua",$C$5="",G2889=$C$5),OR($C$6="Semua",$C$6="",H2889=$C$6,H2889="Pengeluaran "&amp;$C$6,AND($C$6="Uang Kos Mama",H2889="Pengeluaran Uang Kos")),OR($C$7="Semua",$C$7="",I2889=$C$7),OR($C$8="Semua",$C$8="",C2889=$C$8,E2889=$C$8),OR($C$9="Semua",$C$9="",D2889=$C$9),OR($C$10="",B2889&gt;=$C$10),OR($C$11="",B2889&lt;=$C$11),OR($C$12&lt;&gt;"Ya",K2889&lt;&gt;""),OR($C$13="Semua",$C$13="",L2889=$C$13)),"✓","")</f>
        <v/>
      </c>
      <c r="N2889" s="93">
        <f>N(N2888)+IF(M2889="✓",1,0)</f>
        <v/>
      </c>
      <c r="O2889" s="93">
        <f>N(O2888)+IF(AND(B2889&lt;&gt;"",B2889&gt;='Uang Riba'!$H$30,B2889&lt;='Uang Riba'!$I$30,OR(H2889="Dana riba",H2889="Pinjam uang riba",I2889="Pinjam dari uang riba",I2889="Ganti uang riba",I2889="Kelebihan ganti dikembalikan",AND(C2889="Kantong Uang Riba",G2889="Pengeluaran"))),1,0)</f>
        <v/>
      </c>
      <c r="X2889" s="93">
        <f>IF(AND(B2889&lt;&gt;"",B2889&gt;='Buku Akun'!$H$4,B2889&lt;='Buku Akun'!$H$5,OR(C2889='Buku Akun'!$C$4,AND(D2889="Pindah",E2889='Buku Akun'!$C$4))),B2889+IF(AND(I2889="Selisih bunga",DAY(B2889)=1),0,0.01)+ROW()/10000000,"")</f>
        <v/>
      </c>
    </row>
    <row r="2890" outlineLevel="1" ht="15" customHeight="1" s="94">
      <c r="A2890" s="123">
        <f>IF(B2890="","",ROW()-15)</f>
        <v/>
      </c>
      <c r="B2890" s="124" t="n"/>
      <c r="C2890" s="123" t="n"/>
      <c r="D2890" s="123" t="n"/>
      <c r="E2890" s="123" t="n"/>
      <c r="F2890" s="125" t="n"/>
      <c r="G2890" s="123" t="n"/>
      <c r="H2890" s="123" t="n"/>
      <c r="I2890" s="123" t="n"/>
      <c r="J2890" s="123" t="n"/>
      <c r="K2890" s="123" t="n"/>
      <c r="L2890" s="123" t="n"/>
      <c r="M2890" s="123">
        <f>IF(AND(B2890&lt;&gt;"",OR($C$4="",ISNUMBER(SEARCH($C$4,C2890&amp;" "&amp;E2890&amp;" "&amp;G2890&amp;" "&amp;H2890&amp;" "&amp;I2890&amp;" "&amp;J2890&amp;" "&amp;K2890&amp;" "&amp;L2890))),OR($C$5="Semua",$C$5="",G2890=$C$5),OR($C$6="Semua",$C$6="",H2890=$C$6,H2890="Pengeluaran "&amp;$C$6,AND($C$6="Uang Kos Mama",H2890="Pengeluaran Uang Kos")),OR($C$7="Semua",$C$7="",I2890=$C$7),OR($C$8="Semua",$C$8="",C2890=$C$8,E2890=$C$8),OR($C$9="Semua",$C$9="",D2890=$C$9),OR($C$10="",B2890&gt;=$C$10),OR($C$11="",B2890&lt;=$C$11),OR($C$12&lt;&gt;"Ya",K2890&lt;&gt;""),OR($C$13="Semua",$C$13="",L2890=$C$13)),"✓","")</f>
        <v/>
      </c>
      <c r="N2890" s="93">
        <f>N(N2889)+IF(M2890="✓",1,0)</f>
        <v/>
      </c>
      <c r="O2890" s="93">
        <f>N(O2889)+IF(AND(B2890&lt;&gt;"",B2890&gt;='Uang Riba'!$H$30,B2890&lt;='Uang Riba'!$I$30,OR(H2890="Dana riba",H2890="Pinjam uang riba",I2890="Pinjam dari uang riba",I2890="Ganti uang riba",I2890="Kelebihan ganti dikembalikan",AND(C2890="Kantong Uang Riba",G2890="Pengeluaran"))),1,0)</f>
        <v/>
      </c>
      <c r="X2890" s="93">
        <f>IF(AND(B2890&lt;&gt;"",B2890&gt;='Buku Akun'!$H$4,B2890&lt;='Buku Akun'!$H$5,OR(C2890='Buku Akun'!$C$4,AND(D2890="Pindah",E2890='Buku Akun'!$C$4))),B2890+IF(AND(I2890="Selisih bunga",DAY(B2890)=1),0,0.01)+ROW()/10000000,"")</f>
        <v/>
      </c>
    </row>
    <row r="2891" outlineLevel="1" ht="15" customHeight="1" s="94">
      <c r="A2891" s="123">
        <f>IF(B2891="","",ROW()-15)</f>
        <v/>
      </c>
      <c r="B2891" s="124" t="n"/>
      <c r="C2891" s="123" t="n"/>
      <c r="D2891" s="123" t="n"/>
      <c r="E2891" s="123" t="n"/>
      <c r="F2891" s="125" t="n"/>
      <c r="G2891" s="123" t="n"/>
      <c r="H2891" s="123" t="n"/>
      <c r="I2891" s="123" t="n"/>
      <c r="J2891" s="123" t="n"/>
      <c r="K2891" s="123" t="n"/>
      <c r="L2891" s="123" t="n"/>
      <c r="M2891" s="123">
        <f>IF(AND(B2891&lt;&gt;"",OR($C$4="",ISNUMBER(SEARCH($C$4,C2891&amp;" "&amp;E2891&amp;" "&amp;G2891&amp;" "&amp;H2891&amp;" "&amp;I2891&amp;" "&amp;J2891&amp;" "&amp;K2891&amp;" "&amp;L2891))),OR($C$5="Semua",$C$5="",G2891=$C$5),OR($C$6="Semua",$C$6="",H2891=$C$6,H2891="Pengeluaran "&amp;$C$6,AND($C$6="Uang Kos Mama",H2891="Pengeluaran Uang Kos")),OR($C$7="Semua",$C$7="",I2891=$C$7),OR($C$8="Semua",$C$8="",C2891=$C$8,E2891=$C$8),OR($C$9="Semua",$C$9="",D2891=$C$9),OR($C$10="",B2891&gt;=$C$10),OR($C$11="",B2891&lt;=$C$11),OR($C$12&lt;&gt;"Ya",K2891&lt;&gt;""),OR($C$13="Semua",$C$13="",L2891=$C$13)),"✓","")</f>
        <v/>
      </c>
      <c r="N2891" s="93">
        <f>N(N2890)+IF(M2891="✓",1,0)</f>
        <v/>
      </c>
      <c r="O2891" s="93">
        <f>N(O2890)+IF(AND(B2891&lt;&gt;"",B2891&gt;='Uang Riba'!$H$30,B2891&lt;='Uang Riba'!$I$30,OR(H2891="Dana riba",H2891="Pinjam uang riba",I2891="Pinjam dari uang riba",I2891="Ganti uang riba",I2891="Kelebihan ganti dikembalikan",AND(C2891="Kantong Uang Riba",G2891="Pengeluaran"))),1,0)</f>
        <v/>
      </c>
      <c r="X2891" s="93">
        <f>IF(AND(B2891&lt;&gt;"",B2891&gt;='Buku Akun'!$H$4,B2891&lt;='Buku Akun'!$H$5,OR(C2891='Buku Akun'!$C$4,AND(D2891="Pindah",E2891='Buku Akun'!$C$4))),B2891+IF(AND(I2891="Selisih bunga",DAY(B2891)=1),0,0.01)+ROW()/10000000,"")</f>
        <v/>
      </c>
    </row>
    <row r="2892" outlineLevel="1" ht="15" customHeight="1" s="94">
      <c r="A2892" s="123">
        <f>IF(B2892="","",ROW()-15)</f>
        <v/>
      </c>
      <c r="B2892" s="124" t="n"/>
      <c r="C2892" s="123" t="n"/>
      <c r="D2892" s="123" t="n"/>
      <c r="E2892" s="123" t="n"/>
      <c r="F2892" s="125" t="n"/>
      <c r="G2892" s="123" t="n"/>
      <c r="H2892" s="123" t="n"/>
      <c r="I2892" s="123" t="n"/>
      <c r="J2892" s="123" t="n"/>
      <c r="K2892" s="123" t="n"/>
      <c r="L2892" s="123" t="n"/>
      <c r="M2892" s="123">
        <f>IF(AND(B2892&lt;&gt;"",OR($C$4="",ISNUMBER(SEARCH($C$4,C2892&amp;" "&amp;E2892&amp;" "&amp;G2892&amp;" "&amp;H2892&amp;" "&amp;I2892&amp;" "&amp;J2892&amp;" "&amp;K2892&amp;" "&amp;L2892))),OR($C$5="Semua",$C$5="",G2892=$C$5),OR($C$6="Semua",$C$6="",H2892=$C$6,H2892="Pengeluaran "&amp;$C$6,AND($C$6="Uang Kos Mama",H2892="Pengeluaran Uang Kos")),OR($C$7="Semua",$C$7="",I2892=$C$7),OR($C$8="Semua",$C$8="",C2892=$C$8,E2892=$C$8),OR($C$9="Semua",$C$9="",D2892=$C$9),OR($C$10="",B2892&gt;=$C$10),OR($C$11="",B2892&lt;=$C$11),OR($C$12&lt;&gt;"Ya",K2892&lt;&gt;""),OR($C$13="Semua",$C$13="",L2892=$C$13)),"✓","")</f>
        <v/>
      </c>
      <c r="N2892" s="93">
        <f>N(N2891)+IF(M2892="✓",1,0)</f>
        <v/>
      </c>
      <c r="O2892" s="93">
        <f>N(O2891)+IF(AND(B2892&lt;&gt;"",B2892&gt;='Uang Riba'!$H$30,B2892&lt;='Uang Riba'!$I$30,OR(H2892="Dana riba",H2892="Pinjam uang riba",I2892="Pinjam dari uang riba",I2892="Ganti uang riba",I2892="Kelebihan ganti dikembalikan",AND(C2892="Kantong Uang Riba",G2892="Pengeluaran"))),1,0)</f>
        <v/>
      </c>
      <c r="X2892" s="93">
        <f>IF(AND(B2892&lt;&gt;"",B2892&gt;='Buku Akun'!$H$4,B2892&lt;='Buku Akun'!$H$5,OR(C2892='Buku Akun'!$C$4,AND(D2892="Pindah",E2892='Buku Akun'!$C$4))),B2892+IF(AND(I2892="Selisih bunga",DAY(B2892)=1),0,0.01)+ROW()/10000000,"")</f>
        <v/>
      </c>
    </row>
    <row r="2893" outlineLevel="1" ht="15" customHeight="1" s="94">
      <c r="A2893" s="123">
        <f>IF(B2893="","",ROW()-15)</f>
        <v/>
      </c>
      <c r="B2893" s="124" t="n"/>
      <c r="C2893" s="123" t="n"/>
      <c r="D2893" s="123" t="n"/>
      <c r="E2893" s="123" t="n"/>
      <c r="F2893" s="125" t="n"/>
      <c r="G2893" s="123" t="n"/>
      <c r="H2893" s="123" t="n"/>
      <c r="I2893" s="123" t="n"/>
      <c r="J2893" s="123" t="n"/>
      <c r="K2893" s="123" t="n"/>
      <c r="L2893" s="123" t="n"/>
      <c r="M2893" s="123">
        <f>IF(AND(B2893&lt;&gt;"",OR($C$4="",ISNUMBER(SEARCH($C$4,C2893&amp;" "&amp;E2893&amp;" "&amp;G2893&amp;" "&amp;H2893&amp;" "&amp;I2893&amp;" "&amp;J2893&amp;" "&amp;K2893&amp;" "&amp;L2893))),OR($C$5="Semua",$C$5="",G2893=$C$5),OR($C$6="Semua",$C$6="",H2893=$C$6,H2893="Pengeluaran "&amp;$C$6,AND($C$6="Uang Kos Mama",H2893="Pengeluaran Uang Kos")),OR($C$7="Semua",$C$7="",I2893=$C$7),OR($C$8="Semua",$C$8="",C2893=$C$8,E2893=$C$8),OR($C$9="Semua",$C$9="",D2893=$C$9),OR($C$10="",B2893&gt;=$C$10),OR($C$11="",B2893&lt;=$C$11),OR($C$12&lt;&gt;"Ya",K2893&lt;&gt;""),OR($C$13="Semua",$C$13="",L2893=$C$13)),"✓","")</f>
        <v/>
      </c>
      <c r="N2893" s="93">
        <f>N(N2892)+IF(M2893="✓",1,0)</f>
        <v/>
      </c>
      <c r="O2893" s="93">
        <f>N(O2892)+IF(AND(B2893&lt;&gt;"",B2893&gt;='Uang Riba'!$H$30,B2893&lt;='Uang Riba'!$I$30,OR(H2893="Dana riba",H2893="Pinjam uang riba",I2893="Pinjam dari uang riba",I2893="Ganti uang riba",I2893="Kelebihan ganti dikembalikan",AND(C2893="Kantong Uang Riba",G2893="Pengeluaran"))),1,0)</f>
        <v/>
      </c>
      <c r="X2893" s="93">
        <f>IF(AND(B2893&lt;&gt;"",B2893&gt;='Buku Akun'!$H$4,B2893&lt;='Buku Akun'!$H$5,OR(C2893='Buku Akun'!$C$4,AND(D2893="Pindah",E2893='Buku Akun'!$C$4))),B2893+IF(AND(I2893="Selisih bunga",DAY(B2893)=1),0,0.01)+ROW()/10000000,"")</f>
        <v/>
      </c>
    </row>
    <row r="2894" outlineLevel="1" ht="15" customHeight="1" s="94">
      <c r="A2894" s="123">
        <f>IF(B2894="","",ROW()-15)</f>
        <v/>
      </c>
      <c r="B2894" s="124" t="n"/>
      <c r="C2894" s="123" t="n"/>
      <c r="D2894" s="123" t="n"/>
      <c r="E2894" s="123" t="n"/>
      <c r="F2894" s="125" t="n"/>
      <c r="G2894" s="123" t="n"/>
      <c r="H2894" s="123" t="n"/>
      <c r="I2894" s="123" t="n"/>
      <c r="J2894" s="123" t="n"/>
      <c r="K2894" s="123" t="n"/>
      <c r="L2894" s="123" t="n"/>
      <c r="M2894" s="123">
        <f>IF(AND(B2894&lt;&gt;"",OR($C$4="",ISNUMBER(SEARCH($C$4,C2894&amp;" "&amp;E2894&amp;" "&amp;G2894&amp;" "&amp;H2894&amp;" "&amp;I2894&amp;" "&amp;J2894&amp;" "&amp;K2894&amp;" "&amp;L2894))),OR($C$5="Semua",$C$5="",G2894=$C$5),OR($C$6="Semua",$C$6="",H2894=$C$6,H2894="Pengeluaran "&amp;$C$6,AND($C$6="Uang Kos Mama",H2894="Pengeluaran Uang Kos")),OR($C$7="Semua",$C$7="",I2894=$C$7),OR($C$8="Semua",$C$8="",C2894=$C$8,E2894=$C$8),OR($C$9="Semua",$C$9="",D2894=$C$9),OR($C$10="",B2894&gt;=$C$10),OR($C$11="",B2894&lt;=$C$11),OR($C$12&lt;&gt;"Ya",K2894&lt;&gt;""),OR($C$13="Semua",$C$13="",L2894=$C$13)),"✓","")</f>
        <v/>
      </c>
      <c r="N2894" s="93">
        <f>N(N2893)+IF(M2894="✓",1,0)</f>
        <v/>
      </c>
      <c r="O2894" s="93">
        <f>N(O2893)+IF(AND(B2894&lt;&gt;"",B2894&gt;='Uang Riba'!$H$30,B2894&lt;='Uang Riba'!$I$30,OR(H2894="Dana riba",H2894="Pinjam uang riba",I2894="Pinjam dari uang riba",I2894="Ganti uang riba",I2894="Kelebihan ganti dikembalikan",AND(C2894="Kantong Uang Riba",G2894="Pengeluaran"))),1,0)</f>
        <v/>
      </c>
      <c r="X2894" s="93">
        <f>IF(AND(B2894&lt;&gt;"",B2894&gt;='Buku Akun'!$H$4,B2894&lt;='Buku Akun'!$H$5,OR(C2894='Buku Akun'!$C$4,AND(D2894="Pindah",E2894='Buku Akun'!$C$4))),B2894+IF(AND(I2894="Selisih bunga",DAY(B2894)=1),0,0.01)+ROW()/10000000,"")</f>
        <v/>
      </c>
    </row>
    <row r="2895" outlineLevel="1" ht="15" customHeight="1" s="94">
      <c r="A2895" s="123">
        <f>IF(B2895="","",ROW()-15)</f>
        <v/>
      </c>
      <c r="B2895" s="124" t="n"/>
      <c r="C2895" s="123" t="n"/>
      <c r="D2895" s="123" t="n"/>
      <c r="E2895" s="123" t="n"/>
      <c r="F2895" s="125" t="n"/>
      <c r="G2895" s="123" t="n"/>
      <c r="H2895" s="123" t="n"/>
      <c r="I2895" s="123" t="n"/>
      <c r="J2895" s="123" t="n"/>
      <c r="K2895" s="123" t="n"/>
      <c r="L2895" s="123" t="n"/>
      <c r="M2895" s="123">
        <f>IF(AND(B2895&lt;&gt;"",OR($C$4="",ISNUMBER(SEARCH($C$4,C2895&amp;" "&amp;E2895&amp;" "&amp;G2895&amp;" "&amp;H2895&amp;" "&amp;I2895&amp;" "&amp;J2895&amp;" "&amp;K2895&amp;" "&amp;L2895))),OR($C$5="Semua",$C$5="",G2895=$C$5),OR($C$6="Semua",$C$6="",H2895=$C$6,H2895="Pengeluaran "&amp;$C$6,AND($C$6="Uang Kos Mama",H2895="Pengeluaran Uang Kos")),OR($C$7="Semua",$C$7="",I2895=$C$7),OR($C$8="Semua",$C$8="",C2895=$C$8,E2895=$C$8),OR($C$9="Semua",$C$9="",D2895=$C$9),OR($C$10="",B2895&gt;=$C$10),OR($C$11="",B2895&lt;=$C$11),OR($C$12&lt;&gt;"Ya",K2895&lt;&gt;""),OR($C$13="Semua",$C$13="",L2895=$C$13)),"✓","")</f>
        <v/>
      </c>
      <c r="N2895" s="93">
        <f>N(N2894)+IF(M2895="✓",1,0)</f>
        <v/>
      </c>
      <c r="O2895" s="93">
        <f>N(O2894)+IF(AND(B2895&lt;&gt;"",B2895&gt;='Uang Riba'!$H$30,B2895&lt;='Uang Riba'!$I$30,OR(H2895="Dana riba",H2895="Pinjam uang riba",I2895="Pinjam dari uang riba",I2895="Ganti uang riba",I2895="Kelebihan ganti dikembalikan",AND(C2895="Kantong Uang Riba",G2895="Pengeluaran"))),1,0)</f>
        <v/>
      </c>
      <c r="X2895" s="93">
        <f>IF(AND(B2895&lt;&gt;"",B2895&gt;='Buku Akun'!$H$4,B2895&lt;='Buku Akun'!$H$5,OR(C2895='Buku Akun'!$C$4,AND(D2895="Pindah",E2895='Buku Akun'!$C$4))),B2895+IF(AND(I2895="Selisih bunga",DAY(B2895)=1),0,0.01)+ROW()/10000000,"")</f>
        <v/>
      </c>
    </row>
    <row r="2896" outlineLevel="1" ht="15" customHeight="1" s="94">
      <c r="A2896" s="123">
        <f>IF(B2896="","",ROW()-15)</f>
        <v/>
      </c>
      <c r="B2896" s="124" t="n"/>
      <c r="C2896" s="123" t="n"/>
      <c r="D2896" s="123" t="n"/>
      <c r="E2896" s="123" t="n"/>
      <c r="F2896" s="125" t="n"/>
      <c r="G2896" s="123" t="n"/>
      <c r="H2896" s="123" t="n"/>
      <c r="I2896" s="123" t="n"/>
      <c r="J2896" s="123" t="n"/>
      <c r="K2896" s="123" t="n"/>
      <c r="L2896" s="123" t="n"/>
      <c r="M2896" s="123">
        <f>IF(AND(B2896&lt;&gt;"",OR($C$4="",ISNUMBER(SEARCH($C$4,C2896&amp;" "&amp;E2896&amp;" "&amp;G2896&amp;" "&amp;H2896&amp;" "&amp;I2896&amp;" "&amp;J2896&amp;" "&amp;K2896&amp;" "&amp;L2896))),OR($C$5="Semua",$C$5="",G2896=$C$5),OR($C$6="Semua",$C$6="",H2896=$C$6,H2896="Pengeluaran "&amp;$C$6,AND($C$6="Uang Kos Mama",H2896="Pengeluaran Uang Kos")),OR($C$7="Semua",$C$7="",I2896=$C$7),OR($C$8="Semua",$C$8="",C2896=$C$8,E2896=$C$8),OR($C$9="Semua",$C$9="",D2896=$C$9),OR($C$10="",B2896&gt;=$C$10),OR($C$11="",B2896&lt;=$C$11),OR($C$12&lt;&gt;"Ya",K2896&lt;&gt;""),OR($C$13="Semua",$C$13="",L2896=$C$13)),"✓","")</f>
        <v/>
      </c>
      <c r="N2896" s="93">
        <f>N(N2895)+IF(M2896="✓",1,0)</f>
        <v/>
      </c>
      <c r="O2896" s="93">
        <f>N(O2895)+IF(AND(B2896&lt;&gt;"",B2896&gt;='Uang Riba'!$H$30,B2896&lt;='Uang Riba'!$I$30,OR(H2896="Dana riba",H2896="Pinjam uang riba",I2896="Pinjam dari uang riba",I2896="Ganti uang riba",I2896="Kelebihan ganti dikembalikan",AND(C2896="Kantong Uang Riba",G2896="Pengeluaran"))),1,0)</f>
        <v/>
      </c>
      <c r="X2896" s="93">
        <f>IF(AND(B2896&lt;&gt;"",B2896&gt;='Buku Akun'!$H$4,B2896&lt;='Buku Akun'!$H$5,OR(C2896='Buku Akun'!$C$4,AND(D2896="Pindah",E2896='Buku Akun'!$C$4))),B2896+IF(AND(I2896="Selisih bunga",DAY(B2896)=1),0,0.01)+ROW()/10000000,"")</f>
        <v/>
      </c>
    </row>
    <row r="2897" outlineLevel="1" ht="15" customHeight="1" s="94">
      <c r="A2897" s="123">
        <f>IF(B2897="","",ROW()-15)</f>
        <v/>
      </c>
      <c r="B2897" s="124" t="n"/>
      <c r="C2897" s="123" t="n"/>
      <c r="D2897" s="123" t="n"/>
      <c r="E2897" s="123" t="n"/>
      <c r="F2897" s="125" t="n"/>
      <c r="G2897" s="123" t="n"/>
      <c r="H2897" s="123" t="n"/>
      <c r="I2897" s="123" t="n"/>
      <c r="J2897" s="123" t="n"/>
      <c r="K2897" s="123" t="n"/>
      <c r="L2897" s="123" t="n"/>
      <c r="M2897" s="123">
        <f>IF(AND(B2897&lt;&gt;"",OR($C$4="",ISNUMBER(SEARCH($C$4,C2897&amp;" "&amp;E2897&amp;" "&amp;G2897&amp;" "&amp;H2897&amp;" "&amp;I2897&amp;" "&amp;J2897&amp;" "&amp;K2897&amp;" "&amp;L2897))),OR($C$5="Semua",$C$5="",G2897=$C$5),OR($C$6="Semua",$C$6="",H2897=$C$6,H2897="Pengeluaran "&amp;$C$6,AND($C$6="Uang Kos Mama",H2897="Pengeluaran Uang Kos")),OR($C$7="Semua",$C$7="",I2897=$C$7),OR($C$8="Semua",$C$8="",C2897=$C$8,E2897=$C$8),OR($C$9="Semua",$C$9="",D2897=$C$9),OR($C$10="",B2897&gt;=$C$10),OR($C$11="",B2897&lt;=$C$11),OR($C$12&lt;&gt;"Ya",K2897&lt;&gt;""),OR($C$13="Semua",$C$13="",L2897=$C$13)),"✓","")</f>
        <v/>
      </c>
      <c r="N2897" s="93">
        <f>N(N2896)+IF(M2897="✓",1,0)</f>
        <v/>
      </c>
      <c r="O2897" s="93">
        <f>N(O2896)+IF(AND(B2897&lt;&gt;"",B2897&gt;='Uang Riba'!$H$30,B2897&lt;='Uang Riba'!$I$30,OR(H2897="Dana riba",H2897="Pinjam uang riba",I2897="Pinjam dari uang riba",I2897="Ganti uang riba",I2897="Kelebihan ganti dikembalikan",AND(C2897="Kantong Uang Riba",G2897="Pengeluaran"))),1,0)</f>
        <v/>
      </c>
      <c r="X2897" s="93">
        <f>IF(AND(B2897&lt;&gt;"",B2897&gt;='Buku Akun'!$H$4,B2897&lt;='Buku Akun'!$H$5,OR(C2897='Buku Akun'!$C$4,AND(D2897="Pindah",E2897='Buku Akun'!$C$4))),B2897+IF(AND(I2897="Selisih bunga",DAY(B2897)=1),0,0.01)+ROW()/10000000,"")</f>
        <v/>
      </c>
    </row>
    <row r="2898" outlineLevel="1" ht="15" customHeight="1" s="94">
      <c r="A2898" s="123">
        <f>IF(B2898="","",ROW()-15)</f>
        <v/>
      </c>
      <c r="B2898" s="124" t="n"/>
      <c r="C2898" s="123" t="n"/>
      <c r="D2898" s="123" t="n"/>
      <c r="E2898" s="123" t="n"/>
      <c r="F2898" s="125" t="n"/>
      <c r="G2898" s="123" t="n"/>
      <c r="H2898" s="123" t="n"/>
      <c r="I2898" s="123" t="n"/>
      <c r="J2898" s="123" t="n"/>
      <c r="K2898" s="123" t="n"/>
      <c r="L2898" s="123" t="n"/>
      <c r="M2898" s="123">
        <f>IF(AND(B2898&lt;&gt;"",OR($C$4="",ISNUMBER(SEARCH($C$4,C2898&amp;" "&amp;E2898&amp;" "&amp;G2898&amp;" "&amp;H2898&amp;" "&amp;I2898&amp;" "&amp;J2898&amp;" "&amp;K2898&amp;" "&amp;L2898))),OR($C$5="Semua",$C$5="",G2898=$C$5),OR($C$6="Semua",$C$6="",H2898=$C$6,H2898="Pengeluaran "&amp;$C$6,AND($C$6="Uang Kos Mama",H2898="Pengeluaran Uang Kos")),OR($C$7="Semua",$C$7="",I2898=$C$7),OR($C$8="Semua",$C$8="",C2898=$C$8,E2898=$C$8),OR($C$9="Semua",$C$9="",D2898=$C$9),OR($C$10="",B2898&gt;=$C$10),OR($C$11="",B2898&lt;=$C$11),OR($C$12&lt;&gt;"Ya",K2898&lt;&gt;""),OR($C$13="Semua",$C$13="",L2898=$C$13)),"✓","")</f>
        <v/>
      </c>
      <c r="N2898" s="93">
        <f>N(N2897)+IF(M2898="✓",1,0)</f>
        <v/>
      </c>
      <c r="O2898" s="93">
        <f>N(O2897)+IF(AND(B2898&lt;&gt;"",B2898&gt;='Uang Riba'!$H$30,B2898&lt;='Uang Riba'!$I$30,OR(H2898="Dana riba",H2898="Pinjam uang riba",I2898="Pinjam dari uang riba",I2898="Ganti uang riba",I2898="Kelebihan ganti dikembalikan",AND(C2898="Kantong Uang Riba",G2898="Pengeluaran"))),1,0)</f>
        <v/>
      </c>
      <c r="X2898" s="93">
        <f>IF(AND(B2898&lt;&gt;"",B2898&gt;='Buku Akun'!$H$4,B2898&lt;='Buku Akun'!$H$5,OR(C2898='Buku Akun'!$C$4,AND(D2898="Pindah",E2898='Buku Akun'!$C$4))),B2898+IF(AND(I2898="Selisih bunga",DAY(B2898)=1),0,0.01)+ROW()/10000000,"")</f>
        <v/>
      </c>
    </row>
    <row r="2899" outlineLevel="1" ht="15" customHeight="1" s="94">
      <c r="A2899" s="123">
        <f>IF(B2899="","",ROW()-15)</f>
        <v/>
      </c>
      <c r="B2899" s="124" t="n"/>
      <c r="C2899" s="123" t="n"/>
      <c r="D2899" s="123" t="n"/>
      <c r="E2899" s="123" t="n"/>
      <c r="F2899" s="125" t="n"/>
      <c r="G2899" s="123" t="n"/>
      <c r="H2899" s="123" t="n"/>
      <c r="I2899" s="123" t="n"/>
      <c r="J2899" s="123" t="n"/>
      <c r="K2899" s="123" t="n"/>
      <c r="L2899" s="123" t="n"/>
      <c r="M2899" s="123">
        <f>IF(AND(B2899&lt;&gt;"",OR($C$4="",ISNUMBER(SEARCH($C$4,C2899&amp;" "&amp;E2899&amp;" "&amp;G2899&amp;" "&amp;H2899&amp;" "&amp;I2899&amp;" "&amp;J2899&amp;" "&amp;K2899&amp;" "&amp;L2899))),OR($C$5="Semua",$C$5="",G2899=$C$5),OR($C$6="Semua",$C$6="",H2899=$C$6,H2899="Pengeluaran "&amp;$C$6,AND($C$6="Uang Kos Mama",H2899="Pengeluaran Uang Kos")),OR($C$7="Semua",$C$7="",I2899=$C$7),OR($C$8="Semua",$C$8="",C2899=$C$8,E2899=$C$8),OR($C$9="Semua",$C$9="",D2899=$C$9),OR($C$10="",B2899&gt;=$C$10),OR($C$11="",B2899&lt;=$C$11),OR($C$12&lt;&gt;"Ya",K2899&lt;&gt;""),OR($C$13="Semua",$C$13="",L2899=$C$13)),"✓","")</f>
        <v/>
      </c>
      <c r="N2899" s="93">
        <f>N(N2898)+IF(M2899="✓",1,0)</f>
        <v/>
      </c>
      <c r="O2899" s="93">
        <f>N(O2898)+IF(AND(B2899&lt;&gt;"",B2899&gt;='Uang Riba'!$H$30,B2899&lt;='Uang Riba'!$I$30,OR(H2899="Dana riba",H2899="Pinjam uang riba",I2899="Pinjam dari uang riba",I2899="Ganti uang riba",I2899="Kelebihan ganti dikembalikan",AND(C2899="Kantong Uang Riba",G2899="Pengeluaran"))),1,0)</f>
        <v/>
      </c>
      <c r="X2899" s="93">
        <f>IF(AND(B2899&lt;&gt;"",B2899&gt;='Buku Akun'!$H$4,B2899&lt;='Buku Akun'!$H$5,OR(C2899='Buku Akun'!$C$4,AND(D2899="Pindah",E2899='Buku Akun'!$C$4))),B2899+IF(AND(I2899="Selisih bunga",DAY(B2899)=1),0,0.01)+ROW()/10000000,"")</f>
        <v/>
      </c>
    </row>
    <row r="2900" outlineLevel="1" ht="15" customHeight="1" s="94">
      <c r="A2900" s="123">
        <f>IF(B2900="","",ROW()-15)</f>
        <v/>
      </c>
      <c r="B2900" s="124" t="n"/>
      <c r="C2900" s="123" t="n"/>
      <c r="D2900" s="123" t="n"/>
      <c r="E2900" s="123" t="n"/>
      <c r="F2900" s="125" t="n"/>
      <c r="G2900" s="123" t="n"/>
      <c r="H2900" s="123" t="n"/>
      <c r="I2900" s="123" t="n"/>
      <c r="J2900" s="123" t="n"/>
      <c r="K2900" s="123" t="n"/>
      <c r="L2900" s="123" t="n"/>
      <c r="M2900" s="123">
        <f>IF(AND(B2900&lt;&gt;"",OR($C$4="",ISNUMBER(SEARCH($C$4,C2900&amp;" "&amp;E2900&amp;" "&amp;G2900&amp;" "&amp;H2900&amp;" "&amp;I2900&amp;" "&amp;J2900&amp;" "&amp;K2900&amp;" "&amp;L2900))),OR($C$5="Semua",$C$5="",G2900=$C$5),OR($C$6="Semua",$C$6="",H2900=$C$6,H2900="Pengeluaran "&amp;$C$6,AND($C$6="Uang Kos Mama",H2900="Pengeluaran Uang Kos")),OR($C$7="Semua",$C$7="",I2900=$C$7),OR($C$8="Semua",$C$8="",C2900=$C$8,E2900=$C$8),OR($C$9="Semua",$C$9="",D2900=$C$9),OR($C$10="",B2900&gt;=$C$10),OR($C$11="",B2900&lt;=$C$11),OR($C$12&lt;&gt;"Ya",K2900&lt;&gt;""),OR($C$13="Semua",$C$13="",L2900=$C$13)),"✓","")</f>
        <v/>
      </c>
      <c r="N2900" s="93">
        <f>N(N2899)+IF(M2900="✓",1,0)</f>
        <v/>
      </c>
      <c r="O2900" s="93">
        <f>N(O2899)+IF(AND(B2900&lt;&gt;"",B2900&gt;='Uang Riba'!$H$30,B2900&lt;='Uang Riba'!$I$30,OR(H2900="Dana riba",H2900="Pinjam uang riba",I2900="Pinjam dari uang riba",I2900="Ganti uang riba",I2900="Kelebihan ganti dikembalikan",AND(C2900="Kantong Uang Riba",G2900="Pengeluaran"))),1,0)</f>
        <v/>
      </c>
      <c r="X2900" s="93">
        <f>IF(AND(B2900&lt;&gt;"",B2900&gt;='Buku Akun'!$H$4,B2900&lt;='Buku Akun'!$H$5,OR(C2900='Buku Akun'!$C$4,AND(D2900="Pindah",E2900='Buku Akun'!$C$4))),B2900+IF(AND(I2900="Selisih bunga",DAY(B2900)=1),0,0.01)+ROW()/10000000,"")</f>
        <v/>
      </c>
    </row>
    <row r="2901" outlineLevel="1" ht="15" customHeight="1" s="94">
      <c r="A2901" s="123">
        <f>IF(B2901="","",ROW()-15)</f>
        <v/>
      </c>
      <c r="B2901" s="124" t="n"/>
      <c r="C2901" s="123" t="n"/>
      <c r="D2901" s="123" t="n"/>
      <c r="E2901" s="123" t="n"/>
      <c r="F2901" s="125" t="n"/>
      <c r="G2901" s="123" t="n"/>
      <c r="H2901" s="123" t="n"/>
      <c r="I2901" s="123" t="n"/>
      <c r="J2901" s="123" t="n"/>
      <c r="K2901" s="123" t="n"/>
      <c r="L2901" s="123" t="n"/>
      <c r="M2901" s="123">
        <f>IF(AND(B2901&lt;&gt;"",OR($C$4="",ISNUMBER(SEARCH($C$4,C2901&amp;" "&amp;E2901&amp;" "&amp;G2901&amp;" "&amp;H2901&amp;" "&amp;I2901&amp;" "&amp;J2901&amp;" "&amp;K2901&amp;" "&amp;L2901))),OR($C$5="Semua",$C$5="",G2901=$C$5),OR($C$6="Semua",$C$6="",H2901=$C$6,H2901="Pengeluaran "&amp;$C$6,AND($C$6="Uang Kos Mama",H2901="Pengeluaran Uang Kos")),OR($C$7="Semua",$C$7="",I2901=$C$7),OR($C$8="Semua",$C$8="",C2901=$C$8,E2901=$C$8),OR($C$9="Semua",$C$9="",D2901=$C$9),OR($C$10="",B2901&gt;=$C$10),OR($C$11="",B2901&lt;=$C$11),OR($C$12&lt;&gt;"Ya",K2901&lt;&gt;""),OR($C$13="Semua",$C$13="",L2901=$C$13)),"✓","")</f>
        <v/>
      </c>
      <c r="N2901" s="93">
        <f>N(N2900)+IF(M2901="✓",1,0)</f>
        <v/>
      </c>
      <c r="O2901" s="93">
        <f>N(O2900)+IF(AND(B2901&lt;&gt;"",B2901&gt;='Uang Riba'!$H$30,B2901&lt;='Uang Riba'!$I$30,OR(H2901="Dana riba",H2901="Pinjam uang riba",I2901="Pinjam dari uang riba",I2901="Ganti uang riba",I2901="Kelebihan ganti dikembalikan",AND(C2901="Kantong Uang Riba",G2901="Pengeluaran"))),1,0)</f>
        <v/>
      </c>
      <c r="X2901" s="93">
        <f>IF(AND(B2901&lt;&gt;"",B2901&gt;='Buku Akun'!$H$4,B2901&lt;='Buku Akun'!$H$5,OR(C2901='Buku Akun'!$C$4,AND(D2901="Pindah",E2901='Buku Akun'!$C$4))),B2901+IF(AND(I2901="Selisih bunga",DAY(B2901)=1),0,0.01)+ROW()/10000000,"")</f>
        <v/>
      </c>
    </row>
    <row r="2902" outlineLevel="1" ht="15" customHeight="1" s="94">
      <c r="A2902" s="123">
        <f>IF(B2902="","",ROW()-15)</f>
        <v/>
      </c>
      <c r="B2902" s="124" t="n"/>
      <c r="C2902" s="123" t="n"/>
      <c r="D2902" s="123" t="n"/>
      <c r="E2902" s="123" t="n"/>
      <c r="F2902" s="125" t="n"/>
      <c r="G2902" s="123" t="n"/>
      <c r="H2902" s="123" t="n"/>
      <c r="I2902" s="123" t="n"/>
      <c r="J2902" s="123" t="n"/>
      <c r="K2902" s="123" t="n"/>
      <c r="L2902" s="123" t="n"/>
      <c r="M2902" s="123">
        <f>IF(AND(B2902&lt;&gt;"",OR($C$4="",ISNUMBER(SEARCH($C$4,C2902&amp;" "&amp;E2902&amp;" "&amp;G2902&amp;" "&amp;H2902&amp;" "&amp;I2902&amp;" "&amp;J2902&amp;" "&amp;K2902&amp;" "&amp;L2902))),OR($C$5="Semua",$C$5="",G2902=$C$5),OR($C$6="Semua",$C$6="",H2902=$C$6,H2902="Pengeluaran "&amp;$C$6,AND($C$6="Uang Kos Mama",H2902="Pengeluaran Uang Kos")),OR($C$7="Semua",$C$7="",I2902=$C$7),OR($C$8="Semua",$C$8="",C2902=$C$8,E2902=$C$8),OR($C$9="Semua",$C$9="",D2902=$C$9),OR($C$10="",B2902&gt;=$C$10),OR($C$11="",B2902&lt;=$C$11),OR($C$12&lt;&gt;"Ya",K2902&lt;&gt;""),OR($C$13="Semua",$C$13="",L2902=$C$13)),"✓","")</f>
        <v/>
      </c>
      <c r="N2902" s="93">
        <f>N(N2901)+IF(M2902="✓",1,0)</f>
        <v/>
      </c>
      <c r="O2902" s="93">
        <f>N(O2901)+IF(AND(B2902&lt;&gt;"",B2902&gt;='Uang Riba'!$H$30,B2902&lt;='Uang Riba'!$I$30,OR(H2902="Dana riba",H2902="Pinjam uang riba",I2902="Pinjam dari uang riba",I2902="Ganti uang riba",I2902="Kelebihan ganti dikembalikan",AND(C2902="Kantong Uang Riba",G2902="Pengeluaran"))),1,0)</f>
        <v/>
      </c>
      <c r="X2902" s="93">
        <f>IF(AND(B2902&lt;&gt;"",B2902&gt;='Buku Akun'!$H$4,B2902&lt;='Buku Akun'!$H$5,OR(C2902='Buku Akun'!$C$4,AND(D2902="Pindah",E2902='Buku Akun'!$C$4))),B2902+IF(AND(I2902="Selisih bunga",DAY(B2902)=1),0,0.01)+ROW()/10000000,"")</f>
        <v/>
      </c>
    </row>
    <row r="2903" outlineLevel="1" ht="15" customHeight="1" s="94">
      <c r="A2903" s="123">
        <f>IF(B2903="","",ROW()-15)</f>
        <v/>
      </c>
      <c r="B2903" s="124" t="n"/>
      <c r="C2903" s="123" t="n"/>
      <c r="D2903" s="123" t="n"/>
      <c r="E2903" s="123" t="n"/>
      <c r="F2903" s="125" t="n"/>
      <c r="G2903" s="123" t="n"/>
      <c r="H2903" s="123" t="n"/>
      <c r="I2903" s="123" t="n"/>
      <c r="J2903" s="123" t="n"/>
      <c r="K2903" s="123" t="n"/>
      <c r="L2903" s="123" t="n"/>
      <c r="M2903" s="123">
        <f>IF(AND(B2903&lt;&gt;"",OR($C$4="",ISNUMBER(SEARCH($C$4,C2903&amp;" "&amp;E2903&amp;" "&amp;G2903&amp;" "&amp;H2903&amp;" "&amp;I2903&amp;" "&amp;J2903&amp;" "&amp;K2903&amp;" "&amp;L2903))),OR($C$5="Semua",$C$5="",G2903=$C$5),OR($C$6="Semua",$C$6="",H2903=$C$6,H2903="Pengeluaran "&amp;$C$6,AND($C$6="Uang Kos Mama",H2903="Pengeluaran Uang Kos")),OR($C$7="Semua",$C$7="",I2903=$C$7),OR($C$8="Semua",$C$8="",C2903=$C$8,E2903=$C$8),OR($C$9="Semua",$C$9="",D2903=$C$9),OR($C$10="",B2903&gt;=$C$10),OR($C$11="",B2903&lt;=$C$11),OR($C$12&lt;&gt;"Ya",K2903&lt;&gt;""),OR($C$13="Semua",$C$13="",L2903=$C$13)),"✓","")</f>
        <v/>
      </c>
      <c r="N2903" s="93">
        <f>N(N2902)+IF(M2903="✓",1,0)</f>
        <v/>
      </c>
      <c r="O2903" s="93">
        <f>N(O2902)+IF(AND(B2903&lt;&gt;"",B2903&gt;='Uang Riba'!$H$30,B2903&lt;='Uang Riba'!$I$30,OR(H2903="Dana riba",H2903="Pinjam uang riba",I2903="Pinjam dari uang riba",I2903="Ganti uang riba",I2903="Kelebihan ganti dikembalikan",AND(C2903="Kantong Uang Riba",G2903="Pengeluaran"))),1,0)</f>
        <v/>
      </c>
      <c r="X2903" s="93">
        <f>IF(AND(B2903&lt;&gt;"",B2903&gt;='Buku Akun'!$H$4,B2903&lt;='Buku Akun'!$H$5,OR(C2903='Buku Akun'!$C$4,AND(D2903="Pindah",E2903='Buku Akun'!$C$4))),B2903+IF(AND(I2903="Selisih bunga",DAY(B2903)=1),0,0.01)+ROW()/10000000,"")</f>
        <v/>
      </c>
    </row>
    <row r="2904" outlineLevel="1" ht="15" customHeight="1" s="94">
      <c r="A2904" s="123">
        <f>IF(B2904="","",ROW()-15)</f>
        <v/>
      </c>
      <c r="B2904" s="124" t="n"/>
      <c r="C2904" s="123" t="n"/>
      <c r="D2904" s="123" t="n"/>
      <c r="E2904" s="123" t="n"/>
      <c r="F2904" s="125" t="n"/>
      <c r="G2904" s="123" t="n"/>
      <c r="H2904" s="123" t="n"/>
      <c r="I2904" s="123" t="n"/>
      <c r="J2904" s="123" t="n"/>
      <c r="K2904" s="123" t="n"/>
      <c r="L2904" s="123" t="n"/>
      <c r="M2904" s="123">
        <f>IF(AND(B2904&lt;&gt;"",OR($C$4="",ISNUMBER(SEARCH($C$4,C2904&amp;" "&amp;E2904&amp;" "&amp;G2904&amp;" "&amp;H2904&amp;" "&amp;I2904&amp;" "&amp;J2904&amp;" "&amp;K2904&amp;" "&amp;L2904))),OR($C$5="Semua",$C$5="",G2904=$C$5),OR($C$6="Semua",$C$6="",H2904=$C$6,H2904="Pengeluaran "&amp;$C$6,AND($C$6="Uang Kos Mama",H2904="Pengeluaran Uang Kos")),OR($C$7="Semua",$C$7="",I2904=$C$7),OR($C$8="Semua",$C$8="",C2904=$C$8,E2904=$C$8),OR($C$9="Semua",$C$9="",D2904=$C$9),OR($C$10="",B2904&gt;=$C$10),OR($C$11="",B2904&lt;=$C$11),OR($C$12&lt;&gt;"Ya",K2904&lt;&gt;""),OR($C$13="Semua",$C$13="",L2904=$C$13)),"✓","")</f>
        <v/>
      </c>
      <c r="N2904" s="93">
        <f>N(N2903)+IF(M2904="✓",1,0)</f>
        <v/>
      </c>
      <c r="O2904" s="93">
        <f>N(O2903)+IF(AND(B2904&lt;&gt;"",B2904&gt;='Uang Riba'!$H$30,B2904&lt;='Uang Riba'!$I$30,OR(H2904="Dana riba",H2904="Pinjam uang riba",I2904="Pinjam dari uang riba",I2904="Ganti uang riba",I2904="Kelebihan ganti dikembalikan",AND(C2904="Kantong Uang Riba",G2904="Pengeluaran"))),1,0)</f>
        <v/>
      </c>
      <c r="X2904" s="93">
        <f>IF(AND(B2904&lt;&gt;"",B2904&gt;='Buku Akun'!$H$4,B2904&lt;='Buku Akun'!$H$5,OR(C2904='Buku Akun'!$C$4,AND(D2904="Pindah",E2904='Buku Akun'!$C$4))),B2904+IF(AND(I2904="Selisih bunga",DAY(B2904)=1),0,0.01)+ROW()/10000000,"")</f>
        <v/>
      </c>
    </row>
    <row r="2905" outlineLevel="1" ht="15" customHeight="1" s="94">
      <c r="A2905" s="123">
        <f>IF(B2905="","",ROW()-15)</f>
        <v/>
      </c>
      <c r="B2905" s="124" t="n"/>
      <c r="C2905" s="123" t="n"/>
      <c r="D2905" s="123" t="n"/>
      <c r="E2905" s="123" t="n"/>
      <c r="F2905" s="125" t="n"/>
      <c r="G2905" s="123" t="n"/>
      <c r="H2905" s="123" t="n"/>
      <c r="I2905" s="123" t="n"/>
      <c r="J2905" s="123" t="n"/>
      <c r="K2905" s="123" t="n"/>
      <c r="L2905" s="123" t="n"/>
      <c r="M2905" s="123">
        <f>IF(AND(B2905&lt;&gt;"",OR($C$4="",ISNUMBER(SEARCH($C$4,C2905&amp;" "&amp;E2905&amp;" "&amp;G2905&amp;" "&amp;H2905&amp;" "&amp;I2905&amp;" "&amp;J2905&amp;" "&amp;K2905&amp;" "&amp;L2905))),OR($C$5="Semua",$C$5="",G2905=$C$5),OR($C$6="Semua",$C$6="",H2905=$C$6,H2905="Pengeluaran "&amp;$C$6,AND($C$6="Uang Kos Mama",H2905="Pengeluaran Uang Kos")),OR($C$7="Semua",$C$7="",I2905=$C$7),OR($C$8="Semua",$C$8="",C2905=$C$8,E2905=$C$8),OR($C$9="Semua",$C$9="",D2905=$C$9),OR($C$10="",B2905&gt;=$C$10),OR($C$11="",B2905&lt;=$C$11),OR($C$12&lt;&gt;"Ya",K2905&lt;&gt;""),OR($C$13="Semua",$C$13="",L2905=$C$13)),"✓","")</f>
        <v/>
      </c>
      <c r="N2905" s="93">
        <f>N(N2904)+IF(M2905="✓",1,0)</f>
        <v/>
      </c>
      <c r="O2905" s="93">
        <f>N(O2904)+IF(AND(B2905&lt;&gt;"",B2905&gt;='Uang Riba'!$H$30,B2905&lt;='Uang Riba'!$I$30,OR(H2905="Dana riba",H2905="Pinjam uang riba",I2905="Pinjam dari uang riba",I2905="Ganti uang riba",I2905="Kelebihan ganti dikembalikan",AND(C2905="Kantong Uang Riba",G2905="Pengeluaran"))),1,0)</f>
        <v/>
      </c>
      <c r="X2905" s="93">
        <f>IF(AND(B2905&lt;&gt;"",B2905&gt;='Buku Akun'!$H$4,B2905&lt;='Buku Akun'!$H$5,OR(C2905='Buku Akun'!$C$4,AND(D2905="Pindah",E2905='Buku Akun'!$C$4))),B2905+IF(AND(I2905="Selisih bunga",DAY(B2905)=1),0,0.01)+ROW()/10000000,"")</f>
        <v/>
      </c>
    </row>
    <row r="2906" outlineLevel="1" ht="15" customHeight="1" s="94">
      <c r="A2906" s="123">
        <f>IF(B2906="","",ROW()-15)</f>
        <v/>
      </c>
      <c r="B2906" s="124" t="n"/>
      <c r="C2906" s="123" t="n"/>
      <c r="D2906" s="123" t="n"/>
      <c r="E2906" s="123" t="n"/>
      <c r="F2906" s="125" t="n"/>
      <c r="G2906" s="123" t="n"/>
      <c r="H2906" s="123" t="n"/>
      <c r="I2906" s="123" t="n"/>
      <c r="J2906" s="123" t="n"/>
      <c r="K2906" s="123" t="n"/>
      <c r="L2906" s="123" t="n"/>
      <c r="M2906" s="123">
        <f>IF(AND(B2906&lt;&gt;"",OR($C$4="",ISNUMBER(SEARCH($C$4,C2906&amp;" "&amp;E2906&amp;" "&amp;G2906&amp;" "&amp;H2906&amp;" "&amp;I2906&amp;" "&amp;J2906&amp;" "&amp;K2906&amp;" "&amp;L2906))),OR($C$5="Semua",$C$5="",G2906=$C$5),OR($C$6="Semua",$C$6="",H2906=$C$6,H2906="Pengeluaran "&amp;$C$6,AND($C$6="Uang Kos Mama",H2906="Pengeluaran Uang Kos")),OR($C$7="Semua",$C$7="",I2906=$C$7),OR($C$8="Semua",$C$8="",C2906=$C$8,E2906=$C$8),OR($C$9="Semua",$C$9="",D2906=$C$9),OR($C$10="",B2906&gt;=$C$10),OR($C$11="",B2906&lt;=$C$11),OR($C$12&lt;&gt;"Ya",K2906&lt;&gt;""),OR($C$13="Semua",$C$13="",L2906=$C$13)),"✓","")</f>
        <v/>
      </c>
      <c r="N2906" s="93">
        <f>N(N2905)+IF(M2906="✓",1,0)</f>
        <v/>
      </c>
      <c r="O2906" s="93">
        <f>N(O2905)+IF(AND(B2906&lt;&gt;"",B2906&gt;='Uang Riba'!$H$30,B2906&lt;='Uang Riba'!$I$30,OR(H2906="Dana riba",H2906="Pinjam uang riba",I2906="Pinjam dari uang riba",I2906="Ganti uang riba",I2906="Kelebihan ganti dikembalikan",AND(C2906="Kantong Uang Riba",G2906="Pengeluaran"))),1,0)</f>
        <v/>
      </c>
      <c r="X2906" s="93">
        <f>IF(AND(B2906&lt;&gt;"",B2906&gt;='Buku Akun'!$H$4,B2906&lt;='Buku Akun'!$H$5,OR(C2906='Buku Akun'!$C$4,AND(D2906="Pindah",E2906='Buku Akun'!$C$4))),B2906+IF(AND(I2906="Selisih bunga",DAY(B2906)=1),0,0.01)+ROW()/10000000,"")</f>
        <v/>
      </c>
    </row>
    <row r="2907" outlineLevel="1" ht="15" customHeight="1" s="94">
      <c r="A2907" s="123">
        <f>IF(B2907="","",ROW()-15)</f>
        <v/>
      </c>
      <c r="B2907" s="124" t="n"/>
      <c r="C2907" s="123" t="n"/>
      <c r="D2907" s="123" t="n"/>
      <c r="E2907" s="123" t="n"/>
      <c r="F2907" s="125" t="n"/>
      <c r="G2907" s="123" t="n"/>
      <c r="H2907" s="123" t="n"/>
      <c r="I2907" s="123" t="n"/>
      <c r="J2907" s="123" t="n"/>
      <c r="K2907" s="123" t="n"/>
      <c r="L2907" s="123" t="n"/>
      <c r="M2907" s="123">
        <f>IF(AND(B2907&lt;&gt;"",OR($C$4="",ISNUMBER(SEARCH($C$4,C2907&amp;" "&amp;E2907&amp;" "&amp;G2907&amp;" "&amp;H2907&amp;" "&amp;I2907&amp;" "&amp;J2907&amp;" "&amp;K2907&amp;" "&amp;L2907))),OR($C$5="Semua",$C$5="",G2907=$C$5),OR($C$6="Semua",$C$6="",H2907=$C$6,H2907="Pengeluaran "&amp;$C$6,AND($C$6="Uang Kos Mama",H2907="Pengeluaran Uang Kos")),OR($C$7="Semua",$C$7="",I2907=$C$7),OR($C$8="Semua",$C$8="",C2907=$C$8,E2907=$C$8),OR($C$9="Semua",$C$9="",D2907=$C$9),OR($C$10="",B2907&gt;=$C$10),OR($C$11="",B2907&lt;=$C$11),OR($C$12&lt;&gt;"Ya",K2907&lt;&gt;""),OR($C$13="Semua",$C$13="",L2907=$C$13)),"✓","")</f>
        <v/>
      </c>
      <c r="N2907" s="93">
        <f>N(N2906)+IF(M2907="✓",1,0)</f>
        <v/>
      </c>
      <c r="O2907" s="93">
        <f>N(O2906)+IF(AND(B2907&lt;&gt;"",B2907&gt;='Uang Riba'!$H$30,B2907&lt;='Uang Riba'!$I$30,OR(H2907="Dana riba",H2907="Pinjam uang riba",I2907="Pinjam dari uang riba",I2907="Ganti uang riba",I2907="Kelebihan ganti dikembalikan",AND(C2907="Kantong Uang Riba",G2907="Pengeluaran"))),1,0)</f>
        <v/>
      </c>
      <c r="X2907" s="93">
        <f>IF(AND(B2907&lt;&gt;"",B2907&gt;='Buku Akun'!$H$4,B2907&lt;='Buku Akun'!$H$5,OR(C2907='Buku Akun'!$C$4,AND(D2907="Pindah",E2907='Buku Akun'!$C$4))),B2907+IF(AND(I2907="Selisih bunga",DAY(B2907)=1),0,0.01)+ROW()/10000000,"")</f>
        <v/>
      </c>
    </row>
    <row r="2908" outlineLevel="1" ht="15" customHeight="1" s="94">
      <c r="A2908" s="123">
        <f>IF(B2908="","",ROW()-15)</f>
        <v/>
      </c>
      <c r="B2908" s="124" t="n"/>
      <c r="C2908" s="123" t="n"/>
      <c r="D2908" s="123" t="n"/>
      <c r="E2908" s="123" t="n"/>
      <c r="F2908" s="125" t="n"/>
      <c r="G2908" s="123" t="n"/>
      <c r="H2908" s="123" t="n"/>
      <c r="I2908" s="123" t="n"/>
      <c r="J2908" s="123" t="n"/>
      <c r="K2908" s="123" t="n"/>
      <c r="L2908" s="123" t="n"/>
      <c r="M2908" s="123">
        <f>IF(AND(B2908&lt;&gt;"",OR($C$4="",ISNUMBER(SEARCH($C$4,C2908&amp;" "&amp;E2908&amp;" "&amp;G2908&amp;" "&amp;H2908&amp;" "&amp;I2908&amp;" "&amp;J2908&amp;" "&amp;K2908&amp;" "&amp;L2908))),OR($C$5="Semua",$C$5="",G2908=$C$5),OR($C$6="Semua",$C$6="",H2908=$C$6,H2908="Pengeluaran "&amp;$C$6,AND($C$6="Uang Kos Mama",H2908="Pengeluaran Uang Kos")),OR($C$7="Semua",$C$7="",I2908=$C$7),OR($C$8="Semua",$C$8="",C2908=$C$8,E2908=$C$8),OR($C$9="Semua",$C$9="",D2908=$C$9),OR($C$10="",B2908&gt;=$C$10),OR($C$11="",B2908&lt;=$C$11),OR($C$12&lt;&gt;"Ya",K2908&lt;&gt;""),OR($C$13="Semua",$C$13="",L2908=$C$13)),"✓","")</f>
        <v/>
      </c>
      <c r="N2908" s="93">
        <f>N(N2907)+IF(M2908="✓",1,0)</f>
        <v/>
      </c>
      <c r="O2908" s="93">
        <f>N(O2907)+IF(AND(B2908&lt;&gt;"",B2908&gt;='Uang Riba'!$H$30,B2908&lt;='Uang Riba'!$I$30,OR(H2908="Dana riba",H2908="Pinjam uang riba",I2908="Pinjam dari uang riba",I2908="Ganti uang riba",I2908="Kelebihan ganti dikembalikan",AND(C2908="Kantong Uang Riba",G2908="Pengeluaran"))),1,0)</f>
        <v/>
      </c>
      <c r="X2908" s="93">
        <f>IF(AND(B2908&lt;&gt;"",B2908&gt;='Buku Akun'!$H$4,B2908&lt;='Buku Akun'!$H$5,OR(C2908='Buku Akun'!$C$4,AND(D2908="Pindah",E2908='Buku Akun'!$C$4))),B2908+IF(AND(I2908="Selisih bunga",DAY(B2908)=1),0,0.01)+ROW()/10000000,"")</f>
        <v/>
      </c>
    </row>
    <row r="2909" outlineLevel="1" ht="15" customHeight="1" s="94">
      <c r="A2909" s="123">
        <f>IF(B2909="","",ROW()-15)</f>
        <v/>
      </c>
      <c r="B2909" s="124" t="n"/>
      <c r="C2909" s="123" t="n"/>
      <c r="D2909" s="123" t="n"/>
      <c r="E2909" s="123" t="n"/>
      <c r="F2909" s="125" t="n"/>
      <c r="G2909" s="123" t="n"/>
      <c r="H2909" s="123" t="n"/>
      <c r="I2909" s="123" t="n"/>
      <c r="J2909" s="123" t="n"/>
      <c r="K2909" s="123" t="n"/>
      <c r="L2909" s="123" t="n"/>
      <c r="M2909" s="123">
        <f>IF(AND(B2909&lt;&gt;"",OR($C$4="",ISNUMBER(SEARCH($C$4,C2909&amp;" "&amp;E2909&amp;" "&amp;G2909&amp;" "&amp;H2909&amp;" "&amp;I2909&amp;" "&amp;J2909&amp;" "&amp;K2909&amp;" "&amp;L2909))),OR($C$5="Semua",$C$5="",G2909=$C$5),OR($C$6="Semua",$C$6="",H2909=$C$6,H2909="Pengeluaran "&amp;$C$6,AND($C$6="Uang Kos Mama",H2909="Pengeluaran Uang Kos")),OR($C$7="Semua",$C$7="",I2909=$C$7),OR($C$8="Semua",$C$8="",C2909=$C$8,E2909=$C$8),OR($C$9="Semua",$C$9="",D2909=$C$9),OR($C$10="",B2909&gt;=$C$10),OR($C$11="",B2909&lt;=$C$11),OR($C$12&lt;&gt;"Ya",K2909&lt;&gt;""),OR($C$13="Semua",$C$13="",L2909=$C$13)),"✓","")</f>
        <v/>
      </c>
      <c r="N2909" s="93">
        <f>N(N2908)+IF(M2909="✓",1,0)</f>
        <v/>
      </c>
      <c r="O2909" s="93">
        <f>N(O2908)+IF(AND(B2909&lt;&gt;"",B2909&gt;='Uang Riba'!$H$30,B2909&lt;='Uang Riba'!$I$30,OR(H2909="Dana riba",H2909="Pinjam uang riba",I2909="Pinjam dari uang riba",I2909="Ganti uang riba",I2909="Kelebihan ganti dikembalikan",AND(C2909="Kantong Uang Riba",G2909="Pengeluaran"))),1,0)</f>
        <v/>
      </c>
      <c r="X2909" s="93">
        <f>IF(AND(B2909&lt;&gt;"",B2909&gt;='Buku Akun'!$H$4,B2909&lt;='Buku Akun'!$H$5,OR(C2909='Buku Akun'!$C$4,AND(D2909="Pindah",E2909='Buku Akun'!$C$4))),B2909+IF(AND(I2909="Selisih bunga",DAY(B2909)=1),0,0.01)+ROW()/10000000,"")</f>
        <v/>
      </c>
    </row>
    <row r="2910" outlineLevel="1" ht="15" customHeight="1" s="94">
      <c r="A2910" s="123">
        <f>IF(B2910="","",ROW()-15)</f>
        <v/>
      </c>
      <c r="B2910" s="124" t="n"/>
      <c r="C2910" s="123" t="n"/>
      <c r="D2910" s="123" t="n"/>
      <c r="E2910" s="123" t="n"/>
      <c r="F2910" s="125" t="n"/>
      <c r="G2910" s="123" t="n"/>
      <c r="H2910" s="123" t="n"/>
      <c r="I2910" s="123" t="n"/>
      <c r="J2910" s="123" t="n"/>
      <c r="K2910" s="123" t="n"/>
      <c r="L2910" s="123" t="n"/>
      <c r="M2910" s="123">
        <f>IF(AND(B2910&lt;&gt;"",OR($C$4="",ISNUMBER(SEARCH($C$4,C2910&amp;" "&amp;E2910&amp;" "&amp;G2910&amp;" "&amp;H2910&amp;" "&amp;I2910&amp;" "&amp;J2910&amp;" "&amp;K2910&amp;" "&amp;L2910))),OR($C$5="Semua",$C$5="",G2910=$C$5),OR($C$6="Semua",$C$6="",H2910=$C$6,H2910="Pengeluaran "&amp;$C$6,AND($C$6="Uang Kos Mama",H2910="Pengeluaran Uang Kos")),OR($C$7="Semua",$C$7="",I2910=$C$7),OR($C$8="Semua",$C$8="",C2910=$C$8,E2910=$C$8),OR($C$9="Semua",$C$9="",D2910=$C$9),OR($C$10="",B2910&gt;=$C$10),OR($C$11="",B2910&lt;=$C$11),OR($C$12&lt;&gt;"Ya",K2910&lt;&gt;""),OR($C$13="Semua",$C$13="",L2910=$C$13)),"✓","")</f>
        <v/>
      </c>
      <c r="N2910" s="93">
        <f>N(N2909)+IF(M2910="✓",1,0)</f>
        <v/>
      </c>
      <c r="O2910" s="93">
        <f>N(O2909)+IF(AND(B2910&lt;&gt;"",B2910&gt;='Uang Riba'!$H$30,B2910&lt;='Uang Riba'!$I$30,OR(H2910="Dana riba",H2910="Pinjam uang riba",I2910="Pinjam dari uang riba",I2910="Ganti uang riba",I2910="Kelebihan ganti dikembalikan",AND(C2910="Kantong Uang Riba",G2910="Pengeluaran"))),1,0)</f>
        <v/>
      </c>
      <c r="X2910" s="93">
        <f>IF(AND(B2910&lt;&gt;"",B2910&gt;='Buku Akun'!$H$4,B2910&lt;='Buku Akun'!$H$5,OR(C2910='Buku Akun'!$C$4,AND(D2910="Pindah",E2910='Buku Akun'!$C$4))),B2910+IF(AND(I2910="Selisih bunga",DAY(B2910)=1),0,0.01)+ROW()/10000000,"")</f>
        <v/>
      </c>
    </row>
    <row r="2911" outlineLevel="1" ht="15" customHeight="1" s="94">
      <c r="A2911" s="123">
        <f>IF(B2911="","",ROW()-15)</f>
        <v/>
      </c>
      <c r="B2911" s="124" t="n"/>
      <c r="C2911" s="123" t="n"/>
      <c r="D2911" s="123" t="n"/>
      <c r="E2911" s="123" t="n"/>
      <c r="F2911" s="125" t="n"/>
      <c r="G2911" s="123" t="n"/>
      <c r="H2911" s="123" t="n"/>
      <c r="I2911" s="123" t="n"/>
      <c r="J2911" s="123" t="n"/>
      <c r="K2911" s="123" t="n"/>
      <c r="L2911" s="123" t="n"/>
      <c r="M2911" s="123">
        <f>IF(AND(B2911&lt;&gt;"",OR($C$4="",ISNUMBER(SEARCH($C$4,C2911&amp;" "&amp;E2911&amp;" "&amp;G2911&amp;" "&amp;H2911&amp;" "&amp;I2911&amp;" "&amp;J2911&amp;" "&amp;K2911&amp;" "&amp;L2911))),OR($C$5="Semua",$C$5="",G2911=$C$5),OR($C$6="Semua",$C$6="",H2911=$C$6,H2911="Pengeluaran "&amp;$C$6,AND($C$6="Uang Kos Mama",H2911="Pengeluaran Uang Kos")),OR($C$7="Semua",$C$7="",I2911=$C$7),OR($C$8="Semua",$C$8="",C2911=$C$8,E2911=$C$8),OR($C$9="Semua",$C$9="",D2911=$C$9),OR($C$10="",B2911&gt;=$C$10),OR($C$11="",B2911&lt;=$C$11),OR($C$12&lt;&gt;"Ya",K2911&lt;&gt;""),OR($C$13="Semua",$C$13="",L2911=$C$13)),"✓","")</f>
        <v/>
      </c>
      <c r="N2911" s="93">
        <f>N(N2910)+IF(M2911="✓",1,0)</f>
        <v/>
      </c>
      <c r="O2911" s="93">
        <f>N(O2910)+IF(AND(B2911&lt;&gt;"",B2911&gt;='Uang Riba'!$H$30,B2911&lt;='Uang Riba'!$I$30,OR(H2911="Dana riba",H2911="Pinjam uang riba",I2911="Pinjam dari uang riba",I2911="Ganti uang riba",I2911="Kelebihan ganti dikembalikan",AND(C2911="Kantong Uang Riba",G2911="Pengeluaran"))),1,0)</f>
        <v/>
      </c>
      <c r="X2911" s="93">
        <f>IF(AND(B2911&lt;&gt;"",B2911&gt;='Buku Akun'!$H$4,B2911&lt;='Buku Akun'!$H$5,OR(C2911='Buku Akun'!$C$4,AND(D2911="Pindah",E2911='Buku Akun'!$C$4))),B2911+IF(AND(I2911="Selisih bunga",DAY(B2911)=1),0,0.01)+ROW()/10000000,"")</f>
        <v/>
      </c>
    </row>
    <row r="2912" outlineLevel="1" ht="15" customHeight="1" s="94">
      <c r="A2912" s="123">
        <f>IF(B2912="","",ROW()-15)</f>
        <v/>
      </c>
      <c r="B2912" s="124" t="n"/>
      <c r="C2912" s="123" t="n"/>
      <c r="D2912" s="123" t="n"/>
      <c r="E2912" s="123" t="n"/>
      <c r="F2912" s="125" t="n"/>
      <c r="G2912" s="123" t="n"/>
      <c r="H2912" s="123" t="n"/>
      <c r="I2912" s="123" t="n"/>
      <c r="J2912" s="123" t="n"/>
      <c r="K2912" s="123" t="n"/>
      <c r="L2912" s="123" t="n"/>
      <c r="M2912" s="123">
        <f>IF(AND(B2912&lt;&gt;"",OR($C$4="",ISNUMBER(SEARCH($C$4,C2912&amp;" "&amp;E2912&amp;" "&amp;G2912&amp;" "&amp;H2912&amp;" "&amp;I2912&amp;" "&amp;J2912&amp;" "&amp;K2912&amp;" "&amp;L2912))),OR($C$5="Semua",$C$5="",G2912=$C$5),OR($C$6="Semua",$C$6="",H2912=$C$6,H2912="Pengeluaran "&amp;$C$6,AND($C$6="Uang Kos Mama",H2912="Pengeluaran Uang Kos")),OR($C$7="Semua",$C$7="",I2912=$C$7),OR($C$8="Semua",$C$8="",C2912=$C$8,E2912=$C$8),OR($C$9="Semua",$C$9="",D2912=$C$9),OR($C$10="",B2912&gt;=$C$10),OR($C$11="",B2912&lt;=$C$11),OR($C$12&lt;&gt;"Ya",K2912&lt;&gt;""),OR($C$13="Semua",$C$13="",L2912=$C$13)),"✓","")</f>
        <v/>
      </c>
      <c r="N2912" s="93">
        <f>N(N2911)+IF(M2912="✓",1,0)</f>
        <v/>
      </c>
      <c r="O2912" s="93">
        <f>N(O2911)+IF(AND(B2912&lt;&gt;"",B2912&gt;='Uang Riba'!$H$30,B2912&lt;='Uang Riba'!$I$30,OR(H2912="Dana riba",H2912="Pinjam uang riba",I2912="Pinjam dari uang riba",I2912="Ganti uang riba",I2912="Kelebihan ganti dikembalikan",AND(C2912="Kantong Uang Riba",G2912="Pengeluaran"))),1,0)</f>
        <v/>
      </c>
      <c r="X2912" s="93">
        <f>IF(AND(B2912&lt;&gt;"",B2912&gt;='Buku Akun'!$H$4,B2912&lt;='Buku Akun'!$H$5,OR(C2912='Buku Akun'!$C$4,AND(D2912="Pindah",E2912='Buku Akun'!$C$4))),B2912+IF(AND(I2912="Selisih bunga",DAY(B2912)=1),0,0.01)+ROW()/10000000,"")</f>
        <v/>
      </c>
    </row>
    <row r="2913" outlineLevel="1" ht="15" customHeight="1" s="94">
      <c r="A2913" s="123">
        <f>IF(B2913="","",ROW()-15)</f>
        <v/>
      </c>
      <c r="B2913" s="124" t="n"/>
      <c r="C2913" s="123" t="n"/>
      <c r="D2913" s="123" t="n"/>
      <c r="E2913" s="123" t="n"/>
      <c r="F2913" s="125" t="n"/>
      <c r="G2913" s="123" t="n"/>
      <c r="H2913" s="123" t="n"/>
      <c r="I2913" s="123" t="n"/>
      <c r="J2913" s="123" t="n"/>
      <c r="K2913" s="123" t="n"/>
      <c r="L2913" s="123" t="n"/>
      <c r="M2913" s="123">
        <f>IF(AND(B2913&lt;&gt;"",OR($C$4="",ISNUMBER(SEARCH($C$4,C2913&amp;" "&amp;E2913&amp;" "&amp;G2913&amp;" "&amp;H2913&amp;" "&amp;I2913&amp;" "&amp;J2913&amp;" "&amp;K2913&amp;" "&amp;L2913))),OR($C$5="Semua",$C$5="",G2913=$C$5),OR($C$6="Semua",$C$6="",H2913=$C$6,H2913="Pengeluaran "&amp;$C$6,AND($C$6="Uang Kos Mama",H2913="Pengeluaran Uang Kos")),OR($C$7="Semua",$C$7="",I2913=$C$7),OR($C$8="Semua",$C$8="",C2913=$C$8,E2913=$C$8),OR($C$9="Semua",$C$9="",D2913=$C$9),OR($C$10="",B2913&gt;=$C$10),OR($C$11="",B2913&lt;=$C$11),OR($C$12&lt;&gt;"Ya",K2913&lt;&gt;""),OR($C$13="Semua",$C$13="",L2913=$C$13)),"✓","")</f>
        <v/>
      </c>
      <c r="N2913" s="93">
        <f>N(N2912)+IF(M2913="✓",1,0)</f>
        <v/>
      </c>
      <c r="O2913" s="93">
        <f>N(O2912)+IF(AND(B2913&lt;&gt;"",B2913&gt;='Uang Riba'!$H$30,B2913&lt;='Uang Riba'!$I$30,OR(H2913="Dana riba",H2913="Pinjam uang riba",I2913="Pinjam dari uang riba",I2913="Ganti uang riba",I2913="Kelebihan ganti dikembalikan",AND(C2913="Kantong Uang Riba",G2913="Pengeluaran"))),1,0)</f>
        <v/>
      </c>
      <c r="X2913" s="93">
        <f>IF(AND(B2913&lt;&gt;"",B2913&gt;='Buku Akun'!$H$4,B2913&lt;='Buku Akun'!$H$5,OR(C2913='Buku Akun'!$C$4,AND(D2913="Pindah",E2913='Buku Akun'!$C$4))),B2913+IF(AND(I2913="Selisih bunga",DAY(B2913)=1),0,0.01)+ROW()/10000000,"")</f>
        <v/>
      </c>
    </row>
    <row r="2914" outlineLevel="1" ht="15" customHeight="1" s="94">
      <c r="A2914" s="123">
        <f>IF(B2914="","",ROW()-15)</f>
        <v/>
      </c>
      <c r="B2914" s="124" t="n"/>
      <c r="C2914" s="123" t="n"/>
      <c r="D2914" s="123" t="n"/>
      <c r="E2914" s="123" t="n"/>
      <c r="F2914" s="125" t="n"/>
      <c r="G2914" s="123" t="n"/>
      <c r="H2914" s="123" t="n"/>
      <c r="I2914" s="123" t="n"/>
      <c r="J2914" s="123" t="n"/>
      <c r="K2914" s="123" t="n"/>
      <c r="L2914" s="123" t="n"/>
      <c r="M2914" s="123">
        <f>IF(AND(B2914&lt;&gt;"",OR($C$4="",ISNUMBER(SEARCH($C$4,C2914&amp;" "&amp;E2914&amp;" "&amp;G2914&amp;" "&amp;H2914&amp;" "&amp;I2914&amp;" "&amp;J2914&amp;" "&amp;K2914&amp;" "&amp;L2914))),OR($C$5="Semua",$C$5="",G2914=$C$5),OR($C$6="Semua",$C$6="",H2914=$C$6,H2914="Pengeluaran "&amp;$C$6,AND($C$6="Uang Kos Mama",H2914="Pengeluaran Uang Kos")),OR($C$7="Semua",$C$7="",I2914=$C$7),OR($C$8="Semua",$C$8="",C2914=$C$8,E2914=$C$8),OR($C$9="Semua",$C$9="",D2914=$C$9),OR($C$10="",B2914&gt;=$C$10),OR($C$11="",B2914&lt;=$C$11),OR($C$12&lt;&gt;"Ya",K2914&lt;&gt;""),OR($C$13="Semua",$C$13="",L2914=$C$13)),"✓","")</f>
        <v/>
      </c>
      <c r="N2914" s="93">
        <f>N(N2913)+IF(M2914="✓",1,0)</f>
        <v/>
      </c>
      <c r="O2914" s="93">
        <f>N(O2913)+IF(AND(B2914&lt;&gt;"",B2914&gt;='Uang Riba'!$H$30,B2914&lt;='Uang Riba'!$I$30,OR(H2914="Dana riba",H2914="Pinjam uang riba",I2914="Pinjam dari uang riba",I2914="Ganti uang riba",I2914="Kelebihan ganti dikembalikan",AND(C2914="Kantong Uang Riba",G2914="Pengeluaran"))),1,0)</f>
        <v/>
      </c>
      <c r="X2914" s="93">
        <f>IF(AND(B2914&lt;&gt;"",B2914&gt;='Buku Akun'!$H$4,B2914&lt;='Buku Akun'!$H$5,OR(C2914='Buku Akun'!$C$4,AND(D2914="Pindah",E2914='Buku Akun'!$C$4))),B2914+IF(AND(I2914="Selisih bunga",DAY(B2914)=1),0,0.01)+ROW()/10000000,"")</f>
        <v/>
      </c>
    </row>
    <row r="2915" outlineLevel="1" ht="15" customHeight="1" s="94">
      <c r="A2915" s="123">
        <f>IF(B2915="","",ROW()-15)</f>
        <v/>
      </c>
      <c r="B2915" s="124" t="n"/>
      <c r="C2915" s="123" t="n"/>
      <c r="D2915" s="123" t="n"/>
      <c r="E2915" s="123" t="n"/>
      <c r="F2915" s="125" t="n"/>
      <c r="G2915" s="123" t="n"/>
      <c r="H2915" s="123" t="n"/>
      <c r="I2915" s="123" t="n"/>
      <c r="J2915" s="123" t="n"/>
      <c r="K2915" s="123" t="n"/>
      <c r="L2915" s="123" t="n"/>
      <c r="M2915" s="123">
        <f>IF(AND(B2915&lt;&gt;"",OR($C$4="",ISNUMBER(SEARCH($C$4,C2915&amp;" "&amp;E2915&amp;" "&amp;G2915&amp;" "&amp;H2915&amp;" "&amp;I2915&amp;" "&amp;J2915&amp;" "&amp;K2915&amp;" "&amp;L2915))),OR($C$5="Semua",$C$5="",G2915=$C$5),OR($C$6="Semua",$C$6="",H2915=$C$6,H2915="Pengeluaran "&amp;$C$6,AND($C$6="Uang Kos Mama",H2915="Pengeluaran Uang Kos")),OR($C$7="Semua",$C$7="",I2915=$C$7),OR($C$8="Semua",$C$8="",C2915=$C$8,E2915=$C$8),OR($C$9="Semua",$C$9="",D2915=$C$9),OR($C$10="",B2915&gt;=$C$10),OR($C$11="",B2915&lt;=$C$11),OR($C$12&lt;&gt;"Ya",K2915&lt;&gt;""),OR($C$13="Semua",$C$13="",L2915=$C$13)),"✓","")</f>
        <v/>
      </c>
      <c r="N2915" s="93">
        <f>N(N2914)+IF(M2915="✓",1,0)</f>
        <v/>
      </c>
      <c r="O2915" s="93">
        <f>N(O2914)+IF(AND(B2915&lt;&gt;"",B2915&gt;='Uang Riba'!$H$30,B2915&lt;='Uang Riba'!$I$30,OR(H2915="Dana riba",H2915="Pinjam uang riba",I2915="Pinjam dari uang riba",I2915="Ganti uang riba",I2915="Kelebihan ganti dikembalikan",AND(C2915="Kantong Uang Riba",G2915="Pengeluaran"))),1,0)</f>
        <v/>
      </c>
      <c r="X2915" s="93">
        <f>IF(AND(B2915&lt;&gt;"",B2915&gt;='Buku Akun'!$H$4,B2915&lt;='Buku Akun'!$H$5,OR(C2915='Buku Akun'!$C$4,AND(D2915="Pindah",E2915='Buku Akun'!$C$4))),B2915+IF(AND(I2915="Selisih bunga",DAY(B2915)=1),0,0.01)+ROW()/10000000,"")</f>
        <v/>
      </c>
    </row>
    <row r="2916" outlineLevel="1" ht="15" customHeight="1" s="94">
      <c r="A2916" s="123">
        <f>IF(B2916="","",ROW()-15)</f>
        <v/>
      </c>
      <c r="B2916" s="124" t="n"/>
      <c r="C2916" s="123" t="n"/>
      <c r="D2916" s="123" t="n"/>
      <c r="E2916" s="123" t="n"/>
      <c r="F2916" s="125" t="n"/>
      <c r="G2916" s="123" t="n"/>
      <c r="H2916" s="123" t="n"/>
      <c r="I2916" s="123" t="n"/>
      <c r="J2916" s="123" t="n"/>
      <c r="K2916" s="123" t="n"/>
      <c r="L2916" s="123" t="n"/>
      <c r="M2916" s="123">
        <f>IF(AND(B2916&lt;&gt;"",OR($C$4="",ISNUMBER(SEARCH($C$4,C2916&amp;" "&amp;E2916&amp;" "&amp;G2916&amp;" "&amp;H2916&amp;" "&amp;I2916&amp;" "&amp;J2916&amp;" "&amp;K2916&amp;" "&amp;L2916))),OR($C$5="Semua",$C$5="",G2916=$C$5),OR($C$6="Semua",$C$6="",H2916=$C$6,H2916="Pengeluaran "&amp;$C$6,AND($C$6="Uang Kos Mama",H2916="Pengeluaran Uang Kos")),OR($C$7="Semua",$C$7="",I2916=$C$7),OR($C$8="Semua",$C$8="",C2916=$C$8,E2916=$C$8),OR($C$9="Semua",$C$9="",D2916=$C$9),OR($C$10="",B2916&gt;=$C$10),OR($C$11="",B2916&lt;=$C$11),OR($C$12&lt;&gt;"Ya",K2916&lt;&gt;""),OR($C$13="Semua",$C$13="",L2916=$C$13)),"✓","")</f>
        <v/>
      </c>
      <c r="N2916" s="93">
        <f>N(N2915)+IF(M2916="✓",1,0)</f>
        <v/>
      </c>
      <c r="O2916" s="93">
        <f>N(O2915)+IF(AND(B2916&lt;&gt;"",B2916&gt;='Uang Riba'!$H$30,B2916&lt;='Uang Riba'!$I$30,OR(H2916="Dana riba",H2916="Pinjam uang riba",I2916="Pinjam dari uang riba",I2916="Ganti uang riba",I2916="Kelebihan ganti dikembalikan",AND(C2916="Kantong Uang Riba",G2916="Pengeluaran"))),1,0)</f>
        <v/>
      </c>
      <c r="X2916" s="93">
        <f>IF(AND(B2916&lt;&gt;"",B2916&gt;='Buku Akun'!$H$4,B2916&lt;='Buku Akun'!$H$5,OR(C2916='Buku Akun'!$C$4,AND(D2916="Pindah",E2916='Buku Akun'!$C$4))),B2916+IF(AND(I2916="Selisih bunga",DAY(B2916)=1),0,0.01)+ROW()/10000000,"")</f>
        <v/>
      </c>
    </row>
    <row r="2917" outlineLevel="1" ht="15" customHeight="1" s="94">
      <c r="A2917" s="123">
        <f>IF(B2917="","",ROW()-15)</f>
        <v/>
      </c>
      <c r="B2917" s="124" t="n"/>
      <c r="C2917" s="123" t="n"/>
      <c r="D2917" s="123" t="n"/>
      <c r="E2917" s="123" t="n"/>
      <c r="F2917" s="125" t="n"/>
      <c r="G2917" s="123" t="n"/>
      <c r="H2917" s="123" t="n"/>
      <c r="I2917" s="123" t="n"/>
      <c r="J2917" s="123" t="n"/>
      <c r="K2917" s="123" t="n"/>
      <c r="L2917" s="123" t="n"/>
      <c r="M2917" s="123">
        <f>IF(AND(B2917&lt;&gt;"",OR($C$4="",ISNUMBER(SEARCH($C$4,C2917&amp;" "&amp;E2917&amp;" "&amp;G2917&amp;" "&amp;H2917&amp;" "&amp;I2917&amp;" "&amp;J2917&amp;" "&amp;K2917&amp;" "&amp;L2917))),OR($C$5="Semua",$C$5="",G2917=$C$5),OR($C$6="Semua",$C$6="",H2917=$C$6,H2917="Pengeluaran "&amp;$C$6,AND($C$6="Uang Kos Mama",H2917="Pengeluaran Uang Kos")),OR($C$7="Semua",$C$7="",I2917=$C$7),OR($C$8="Semua",$C$8="",C2917=$C$8,E2917=$C$8),OR($C$9="Semua",$C$9="",D2917=$C$9),OR($C$10="",B2917&gt;=$C$10),OR($C$11="",B2917&lt;=$C$11),OR($C$12&lt;&gt;"Ya",K2917&lt;&gt;""),OR($C$13="Semua",$C$13="",L2917=$C$13)),"✓","")</f>
        <v/>
      </c>
      <c r="N2917" s="93">
        <f>N(N2916)+IF(M2917="✓",1,0)</f>
        <v/>
      </c>
      <c r="O2917" s="93">
        <f>N(O2916)+IF(AND(B2917&lt;&gt;"",B2917&gt;='Uang Riba'!$H$30,B2917&lt;='Uang Riba'!$I$30,OR(H2917="Dana riba",H2917="Pinjam uang riba",I2917="Pinjam dari uang riba",I2917="Ganti uang riba",I2917="Kelebihan ganti dikembalikan",AND(C2917="Kantong Uang Riba",G2917="Pengeluaran"))),1,0)</f>
        <v/>
      </c>
      <c r="X2917" s="93">
        <f>IF(AND(B2917&lt;&gt;"",B2917&gt;='Buku Akun'!$H$4,B2917&lt;='Buku Akun'!$H$5,OR(C2917='Buku Akun'!$C$4,AND(D2917="Pindah",E2917='Buku Akun'!$C$4))),B2917+IF(AND(I2917="Selisih bunga",DAY(B2917)=1),0,0.01)+ROW()/10000000,"")</f>
        <v/>
      </c>
    </row>
    <row r="2918" outlineLevel="1" ht="15" customHeight="1" s="94">
      <c r="A2918" s="123">
        <f>IF(B2918="","",ROW()-15)</f>
        <v/>
      </c>
      <c r="B2918" s="124" t="n"/>
      <c r="C2918" s="123" t="n"/>
      <c r="D2918" s="123" t="n"/>
      <c r="E2918" s="123" t="n"/>
      <c r="F2918" s="125" t="n"/>
      <c r="G2918" s="123" t="n"/>
      <c r="H2918" s="123" t="n"/>
      <c r="I2918" s="123" t="n"/>
      <c r="J2918" s="123" t="n"/>
      <c r="K2918" s="123" t="n"/>
      <c r="L2918" s="123" t="n"/>
      <c r="M2918" s="123">
        <f>IF(AND(B2918&lt;&gt;"",OR($C$4="",ISNUMBER(SEARCH($C$4,C2918&amp;" "&amp;E2918&amp;" "&amp;G2918&amp;" "&amp;H2918&amp;" "&amp;I2918&amp;" "&amp;J2918&amp;" "&amp;K2918&amp;" "&amp;L2918))),OR($C$5="Semua",$C$5="",G2918=$C$5),OR($C$6="Semua",$C$6="",H2918=$C$6,H2918="Pengeluaran "&amp;$C$6,AND($C$6="Uang Kos Mama",H2918="Pengeluaran Uang Kos")),OR($C$7="Semua",$C$7="",I2918=$C$7),OR($C$8="Semua",$C$8="",C2918=$C$8,E2918=$C$8),OR($C$9="Semua",$C$9="",D2918=$C$9),OR($C$10="",B2918&gt;=$C$10),OR($C$11="",B2918&lt;=$C$11),OR($C$12&lt;&gt;"Ya",K2918&lt;&gt;""),OR($C$13="Semua",$C$13="",L2918=$C$13)),"✓","")</f>
        <v/>
      </c>
      <c r="N2918" s="93">
        <f>N(N2917)+IF(M2918="✓",1,0)</f>
        <v/>
      </c>
      <c r="O2918" s="93">
        <f>N(O2917)+IF(AND(B2918&lt;&gt;"",B2918&gt;='Uang Riba'!$H$30,B2918&lt;='Uang Riba'!$I$30,OR(H2918="Dana riba",H2918="Pinjam uang riba",I2918="Pinjam dari uang riba",I2918="Ganti uang riba",I2918="Kelebihan ganti dikembalikan",AND(C2918="Kantong Uang Riba",G2918="Pengeluaran"))),1,0)</f>
        <v/>
      </c>
      <c r="X2918" s="93">
        <f>IF(AND(B2918&lt;&gt;"",B2918&gt;='Buku Akun'!$H$4,B2918&lt;='Buku Akun'!$H$5,OR(C2918='Buku Akun'!$C$4,AND(D2918="Pindah",E2918='Buku Akun'!$C$4))),B2918+IF(AND(I2918="Selisih bunga",DAY(B2918)=1),0,0.01)+ROW()/10000000,"")</f>
        <v/>
      </c>
    </row>
    <row r="2919" outlineLevel="1" ht="15" customHeight="1" s="94">
      <c r="A2919" s="123">
        <f>IF(B2919="","",ROW()-15)</f>
        <v/>
      </c>
      <c r="B2919" s="124" t="n"/>
      <c r="C2919" s="123" t="n"/>
      <c r="D2919" s="123" t="n"/>
      <c r="E2919" s="123" t="n"/>
      <c r="F2919" s="125" t="n"/>
      <c r="G2919" s="123" t="n"/>
      <c r="H2919" s="123" t="n"/>
      <c r="I2919" s="123" t="n"/>
      <c r="J2919" s="123" t="n"/>
      <c r="K2919" s="123" t="n"/>
      <c r="L2919" s="123" t="n"/>
      <c r="M2919" s="123">
        <f>IF(AND(B2919&lt;&gt;"",OR($C$4="",ISNUMBER(SEARCH($C$4,C2919&amp;" "&amp;E2919&amp;" "&amp;G2919&amp;" "&amp;H2919&amp;" "&amp;I2919&amp;" "&amp;J2919&amp;" "&amp;K2919&amp;" "&amp;L2919))),OR($C$5="Semua",$C$5="",G2919=$C$5),OR($C$6="Semua",$C$6="",H2919=$C$6,H2919="Pengeluaran "&amp;$C$6,AND($C$6="Uang Kos Mama",H2919="Pengeluaran Uang Kos")),OR($C$7="Semua",$C$7="",I2919=$C$7),OR($C$8="Semua",$C$8="",C2919=$C$8,E2919=$C$8),OR($C$9="Semua",$C$9="",D2919=$C$9),OR($C$10="",B2919&gt;=$C$10),OR($C$11="",B2919&lt;=$C$11),OR($C$12&lt;&gt;"Ya",K2919&lt;&gt;""),OR($C$13="Semua",$C$13="",L2919=$C$13)),"✓","")</f>
        <v/>
      </c>
      <c r="N2919" s="93">
        <f>N(N2918)+IF(M2919="✓",1,0)</f>
        <v/>
      </c>
      <c r="O2919" s="93">
        <f>N(O2918)+IF(AND(B2919&lt;&gt;"",B2919&gt;='Uang Riba'!$H$30,B2919&lt;='Uang Riba'!$I$30,OR(H2919="Dana riba",H2919="Pinjam uang riba",I2919="Pinjam dari uang riba",I2919="Ganti uang riba",I2919="Kelebihan ganti dikembalikan",AND(C2919="Kantong Uang Riba",G2919="Pengeluaran"))),1,0)</f>
        <v/>
      </c>
      <c r="X2919" s="93">
        <f>IF(AND(B2919&lt;&gt;"",B2919&gt;='Buku Akun'!$H$4,B2919&lt;='Buku Akun'!$H$5,OR(C2919='Buku Akun'!$C$4,AND(D2919="Pindah",E2919='Buku Akun'!$C$4))),B2919+IF(AND(I2919="Selisih bunga",DAY(B2919)=1),0,0.01)+ROW()/10000000,"")</f>
        <v/>
      </c>
    </row>
    <row r="2920" outlineLevel="1" ht="15" customHeight="1" s="94">
      <c r="A2920" s="123">
        <f>IF(B2920="","",ROW()-15)</f>
        <v/>
      </c>
      <c r="B2920" s="124" t="n"/>
      <c r="C2920" s="123" t="n"/>
      <c r="D2920" s="123" t="n"/>
      <c r="E2920" s="123" t="n"/>
      <c r="F2920" s="125" t="n"/>
      <c r="G2920" s="123" t="n"/>
      <c r="H2920" s="123" t="n"/>
      <c r="I2920" s="123" t="n"/>
      <c r="J2920" s="123" t="n"/>
      <c r="K2920" s="123" t="n"/>
      <c r="L2920" s="123" t="n"/>
      <c r="M2920" s="123">
        <f>IF(AND(B2920&lt;&gt;"",OR($C$4="",ISNUMBER(SEARCH($C$4,C2920&amp;" "&amp;E2920&amp;" "&amp;G2920&amp;" "&amp;H2920&amp;" "&amp;I2920&amp;" "&amp;J2920&amp;" "&amp;K2920&amp;" "&amp;L2920))),OR($C$5="Semua",$C$5="",G2920=$C$5),OR($C$6="Semua",$C$6="",H2920=$C$6,H2920="Pengeluaran "&amp;$C$6,AND($C$6="Uang Kos Mama",H2920="Pengeluaran Uang Kos")),OR($C$7="Semua",$C$7="",I2920=$C$7),OR($C$8="Semua",$C$8="",C2920=$C$8,E2920=$C$8),OR($C$9="Semua",$C$9="",D2920=$C$9),OR($C$10="",B2920&gt;=$C$10),OR($C$11="",B2920&lt;=$C$11),OR($C$12&lt;&gt;"Ya",K2920&lt;&gt;""),OR($C$13="Semua",$C$13="",L2920=$C$13)),"✓","")</f>
        <v/>
      </c>
      <c r="N2920" s="93">
        <f>N(N2919)+IF(M2920="✓",1,0)</f>
        <v/>
      </c>
      <c r="O2920" s="93">
        <f>N(O2919)+IF(AND(B2920&lt;&gt;"",B2920&gt;='Uang Riba'!$H$30,B2920&lt;='Uang Riba'!$I$30,OR(H2920="Dana riba",H2920="Pinjam uang riba",I2920="Pinjam dari uang riba",I2920="Ganti uang riba",I2920="Kelebihan ganti dikembalikan",AND(C2920="Kantong Uang Riba",G2920="Pengeluaran"))),1,0)</f>
        <v/>
      </c>
      <c r="X2920" s="93">
        <f>IF(AND(B2920&lt;&gt;"",B2920&gt;='Buku Akun'!$H$4,B2920&lt;='Buku Akun'!$H$5,OR(C2920='Buku Akun'!$C$4,AND(D2920="Pindah",E2920='Buku Akun'!$C$4))),B2920+IF(AND(I2920="Selisih bunga",DAY(B2920)=1),0,0.01)+ROW()/10000000,"")</f>
        <v/>
      </c>
    </row>
    <row r="2921" outlineLevel="1" ht="15" customHeight="1" s="94">
      <c r="A2921" s="123">
        <f>IF(B2921="","",ROW()-15)</f>
        <v/>
      </c>
      <c r="B2921" s="124" t="n"/>
      <c r="C2921" s="123" t="n"/>
      <c r="D2921" s="123" t="n"/>
      <c r="E2921" s="123" t="n"/>
      <c r="F2921" s="125" t="n"/>
      <c r="G2921" s="123" t="n"/>
      <c r="H2921" s="123" t="n"/>
      <c r="I2921" s="123" t="n"/>
      <c r="J2921" s="123" t="n"/>
      <c r="K2921" s="123" t="n"/>
      <c r="L2921" s="123" t="n"/>
      <c r="M2921" s="123">
        <f>IF(AND(B2921&lt;&gt;"",OR($C$4="",ISNUMBER(SEARCH($C$4,C2921&amp;" "&amp;E2921&amp;" "&amp;G2921&amp;" "&amp;H2921&amp;" "&amp;I2921&amp;" "&amp;J2921&amp;" "&amp;K2921&amp;" "&amp;L2921))),OR($C$5="Semua",$C$5="",G2921=$C$5),OR($C$6="Semua",$C$6="",H2921=$C$6,H2921="Pengeluaran "&amp;$C$6,AND($C$6="Uang Kos Mama",H2921="Pengeluaran Uang Kos")),OR($C$7="Semua",$C$7="",I2921=$C$7),OR($C$8="Semua",$C$8="",C2921=$C$8,E2921=$C$8),OR($C$9="Semua",$C$9="",D2921=$C$9),OR($C$10="",B2921&gt;=$C$10),OR($C$11="",B2921&lt;=$C$11),OR($C$12&lt;&gt;"Ya",K2921&lt;&gt;""),OR($C$13="Semua",$C$13="",L2921=$C$13)),"✓","")</f>
        <v/>
      </c>
      <c r="N2921" s="93">
        <f>N(N2920)+IF(M2921="✓",1,0)</f>
        <v/>
      </c>
      <c r="O2921" s="93">
        <f>N(O2920)+IF(AND(B2921&lt;&gt;"",B2921&gt;='Uang Riba'!$H$30,B2921&lt;='Uang Riba'!$I$30,OR(H2921="Dana riba",H2921="Pinjam uang riba",I2921="Pinjam dari uang riba",I2921="Ganti uang riba",I2921="Kelebihan ganti dikembalikan",AND(C2921="Kantong Uang Riba",G2921="Pengeluaran"))),1,0)</f>
        <v/>
      </c>
      <c r="X2921" s="93">
        <f>IF(AND(B2921&lt;&gt;"",B2921&gt;='Buku Akun'!$H$4,B2921&lt;='Buku Akun'!$H$5,OR(C2921='Buku Akun'!$C$4,AND(D2921="Pindah",E2921='Buku Akun'!$C$4))),B2921+IF(AND(I2921="Selisih bunga",DAY(B2921)=1),0,0.01)+ROW()/10000000,"")</f>
        <v/>
      </c>
    </row>
    <row r="2922" outlineLevel="1" ht="15" customHeight="1" s="94">
      <c r="A2922" s="123">
        <f>IF(B2922="","",ROW()-15)</f>
        <v/>
      </c>
      <c r="B2922" s="124" t="n"/>
      <c r="C2922" s="123" t="n"/>
      <c r="D2922" s="123" t="n"/>
      <c r="E2922" s="123" t="n"/>
      <c r="F2922" s="125" t="n"/>
      <c r="G2922" s="123" t="n"/>
      <c r="H2922" s="123" t="n"/>
      <c r="I2922" s="123" t="n"/>
      <c r="J2922" s="123" t="n"/>
      <c r="K2922" s="123" t="n"/>
      <c r="L2922" s="123" t="n"/>
      <c r="M2922" s="123">
        <f>IF(AND(B2922&lt;&gt;"",OR($C$4="",ISNUMBER(SEARCH($C$4,C2922&amp;" "&amp;E2922&amp;" "&amp;G2922&amp;" "&amp;H2922&amp;" "&amp;I2922&amp;" "&amp;J2922&amp;" "&amp;K2922&amp;" "&amp;L2922))),OR($C$5="Semua",$C$5="",G2922=$C$5),OR($C$6="Semua",$C$6="",H2922=$C$6,H2922="Pengeluaran "&amp;$C$6,AND($C$6="Uang Kos Mama",H2922="Pengeluaran Uang Kos")),OR($C$7="Semua",$C$7="",I2922=$C$7),OR($C$8="Semua",$C$8="",C2922=$C$8,E2922=$C$8),OR($C$9="Semua",$C$9="",D2922=$C$9),OR($C$10="",B2922&gt;=$C$10),OR($C$11="",B2922&lt;=$C$11),OR($C$12&lt;&gt;"Ya",K2922&lt;&gt;""),OR($C$13="Semua",$C$13="",L2922=$C$13)),"✓","")</f>
        <v/>
      </c>
      <c r="N2922" s="93">
        <f>N(N2921)+IF(M2922="✓",1,0)</f>
        <v/>
      </c>
      <c r="O2922" s="93">
        <f>N(O2921)+IF(AND(B2922&lt;&gt;"",B2922&gt;='Uang Riba'!$H$30,B2922&lt;='Uang Riba'!$I$30,OR(H2922="Dana riba",H2922="Pinjam uang riba",I2922="Pinjam dari uang riba",I2922="Ganti uang riba",I2922="Kelebihan ganti dikembalikan",AND(C2922="Kantong Uang Riba",G2922="Pengeluaran"))),1,0)</f>
        <v/>
      </c>
      <c r="X2922" s="93">
        <f>IF(AND(B2922&lt;&gt;"",B2922&gt;='Buku Akun'!$H$4,B2922&lt;='Buku Akun'!$H$5,OR(C2922='Buku Akun'!$C$4,AND(D2922="Pindah",E2922='Buku Akun'!$C$4))),B2922+IF(AND(I2922="Selisih bunga",DAY(B2922)=1),0,0.01)+ROW()/10000000,"")</f>
        <v/>
      </c>
    </row>
    <row r="2923" outlineLevel="1" ht="15" customHeight="1" s="94">
      <c r="A2923" s="123">
        <f>IF(B2923="","",ROW()-15)</f>
        <v/>
      </c>
      <c r="B2923" s="124" t="n"/>
      <c r="C2923" s="123" t="n"/>
      <c r="D2923" s="123" t="n"/>
      <c r="E2923" s="123" t="n"/>
      <c r="F2923" s="125" t="n"/>
      <c r="G2923" s="123" t="n"/>
      <c r="H2923" s="123" t="n"/>
      <c r="I2923" s="123" t="n"/>
      <c r="J2923" s="123" t="n"/>
      <c r="K2923" s="123" t="n"/>
      <c r="L2923" s="123" t="n"/>
      <c r="M2923" s="123">
        <f>IF(AND(B2923&lt;&gt;"",OR($C$4="",ISNUMBER(SEARCH($C$4,C2923&amp;" "&amp;E2923&amp;" "&amp;G2923&amp;" "&amp;H2923&amp;" "&amp;I2923&amp;" "&amp;J2923&amp;" "&amp;K2923&amp;" "&amp;L2923))),OR($C$5="Semua",$C$5="",G2923=$C$5),OR($C$6="Semua",$C$6="",H2923=$C$6,H2923="Pengeluaran "&amp;$C$6,AND($C$6="Uang Kos Mama",H2923="Pengeluaran Uang Kos")),OR($C$7="Semua",$C$7="",I2923=$C$7),OR($C$8="Semua",$C$8="",C2923=$C$8,E2923=$C$8),OR($C$9="Semua",$C$9="",D2923=$C$9),OR($C$10="",B2923&gt;=$C$10),OR($C$11="",B2923&lt;=$C$11),OR($C$12&lt;&gt;"Ya",K2923&lt;&gt;""),OR($C$13="Semua",$C$13="",L2923=$C$13)),"✓","")</f>
        <v/>
      </c>
      <c r="N2923" s="93">
        <f>N(N2922)+IF(M2923="✓",1,0)</f>
        <v/>
      </c>
      <c r="O2923" s="93">
        <f>N(O2922)+IF(AND(B2923&lt;&gt;"",B2923&gt;='Uang Riba'!$H$30,B2923&lt;='Uang Riba'!$I$30,OR(H2923="Dana riba",H2923="Pinjam uang riba",I2923="Pinjam dari uang riba",I2923="Ganti uang riba",I2923="Kelebihan ganti dikembalikan",AND(C2923="Kantong Uang Riba",G2923="Pengeluaran"))),1,0)</f>
        <v/>
      </c>
      <c r="X2923" s="93">
        <f>IF(AND(B2923&lt;&gt;"",B2923&gt;='Buku Akun'!$H$4,B2923&lt;='Buku Akun'!$H$5,OR(C2923='Buku Akun'!$C$4,AND(D2923="Pindah",E2923='Buku Akun'!$C$4))),B2923+IF(AND(I2923="Selisih bunga",DAY(B2923)=1),0,0.01)+ROW()/10000000,"")</f>
        <v/>
      </c>
    </row>
    <row r="2924" outlineLevel="1" ht="15" customHeight="1" s="94">
      <c r="A2924" s="123">
        <f>IF(B2924="","",ROW()-15)</f>
        <v/>
      </c>
      <c r="B2924" s="124" t="n"/>
      <c r="C2924" s="123" t="n"/>
      <c r="D2924" s="123" t="n"/>
      <c r="E2924" s="123" t="n"/>
      <c r="F2924" s="125" t="n"/>
      <c r="G2924" s="123" t="n"/>
      <c r="H2924" s="123" t="n"/>
      <c r="I2924" s="123" t="n"/>
      <c r="J2924" s="123" t="n"/>
      <c r="K2924" s="123" t="n"/>
      <c r="L2924" s="123" t="n"/>
      <c r="M2924" s="123">
        <f>IF(AND(B2924&lt;&gt;"",OR($C$4="",ISNUMBER(SEARCH($C$4,C2924&amp;" "&amp;E2924&amp;" "&amp;G2924&amp;" "&amp;H2924&amp;" "&amp;I2924&amp;" "&amp;J2924&amp;" "&amp;K2924&amp;" "&amp;L2924))),OR($C$5="Semua",$C$5="",G2924=$C$5),OR($C$6="Semua",$C$6="",H2924=$C$6,H2924="Pengeluaran "&amp;$C$6,AND($C$6="Uang Kos Mama",H2924="Pengeluaran Uang Kos")),OR($C$7="Semua",$C$7="",I2924=$C$7),OR($C$8="Semua",$C$8="",C2924=$C$8,E2924=$C$8),OR($C$9="Semua",$C$9="",D2924=$C$9),OR($C$10="",B2924&gt;=$C$10),OR($C$11="",B2924&lt;=$C$11),OR($C$12&lt;&gt;"Ya",K2924&lt;&gt;""),OR($C$13="Semua",$C$13="",L2924=$C$13)),"✓","")</f>
        <v/>
      </c>
      <c r="N2924" s="93">
        <f>N(N2923)+IF(M2924="✓",1,0)</f>
        <v/>
      </c>
      <c r="O2924" s="93">
        <f>N(O2923)+IF(AND(B2924&lt;&gt;"",B2924&gt;='Uang Riba'!$H$30,B2924&lt;='Uang Riba'!$I$30,OR(H2924="Dana riba",H2924="Pinjam uang riba",I2924="Pinjam dari uang riba",I2924="Ganti uang riba",I2924="Kelebihan ganti dikembalikan",AND(C2924="Kantong Uang Riba",G2924="Pengeluaran"))),1,0)</f>
        <v/>
      </c>
      <c r="X2924" s="93">
        <f>IF(AND(B2924&lt;&gt;"",B2924&gt;='Buku Akun'!$H$4,B2924&lt;='Buku Akun'!$H$5,OR(C2924='Buku Akun'!$C$4,AND(D2924="Pindah",E2924='Buku Akun'!$C$4))),B2924+IF(AND(I2924="Selisih bunga",DAY(B2924)=1),0,0.01)+ROW()/10000000,"")</f>
        <v/>
      </c>
    </row>
    <row r="2925" outlineLevel="1" ht="15" customHeight="1" s="94">
      <c r="A2925" s="123">
        <f>IF(B2925="","",ROW()-15)</f>
        <v/>
      </c>
      <c r="B2925" s="124" t="n"/>
      <c r="C2925" s="123" t="n"/>
      <c r="D2925" s="123" t="n"/>
      <c r="E2925" s="123" t="n"/>
      <c r="F2925" s="125" t="n"/>
      <c r="G2925" s="123" t="n"/>
      <c r="H2925" s="123" t="n"/>
      <c r="I2925" s="123" t="n"/>
      <c r="J2925" s="123" t="n"/>
      <c r="K2925" s="123" t="n"/>
      <c r="L2925" s="123" t="n"/>
      <c r="M2925" s="123">
        <f>IF(AND(B2925&lt;&gt;"",OR($C$4="",ISNUMBER(SEARCH($C$4,C2925&amp;" "&amp;E2925&amp;" "&amp;G2925&amp;" "&amp;H2925&amp;" "&amp;I2925&amp;" "&amp;J2925&amp;" "&amp;K2925&amp;" "&amp;L2925))),OR($C$5="Semua",$C$5="",G2925=$C$5),OR($C$6="Semua",$C$6="",H2925=$C$6,H2925="Pengeluaran "&amp;$C$6,AND($C$6="Uang Kos Mama",H2925="Pengeluaran Uang Kos")),OR($C$7="Semua",$C$7="",I2925=$C$7),OR($C$8="Semua",$C$8="",C2925=$C$8,E2925=$C$8),OR($C$9="Semua",$C$9="",D2925=$C$9),OR($C$10="",B2925&gt;=$C$10),OR($C$11="",B2925&lt;=$C$11),OR($C$12&lt;&gt;"Ya",K2925&lt;&gt;""),OR($C$13="Semua",$C$13="",L2925=$C$13)),"✓","")</f>
        <v/>
      </c>
      <c r="N2925" s="93">
        <f>N(N2924)+IF(M2925="✓",1,0)</f>
        <v/>
      </c>
      <c r="O2925" s="93">
        <f>N(O2924)+IF(AND(B2925&lt;&gt;"",B2925&gt;='Uang Riba'!$H$30,B2925&lt;='Uang Riba'!$I$30,OR(H2925="Dana riba",H2925="Pinjam uang riba",I2925="Pinjam dari uang riba",I2925="Ganti uang riba",I2925="Kelebihan ganti dikembalikan",AND(C2925="Kantong Uang Riba",G2925="Pengeluaran"))),1,0)</f>
        <v/>
      </c>
      <c r="X2925" s="93">
        <f>IF(AND(B2925&lt;&gt;"",B2925&gt;='Buku Akun'!$H$4,B2925&lt;='Buku Akun'!$H$5,OR(C2925='Buku Akun'!$C$4,AND(D2925="Pindah",E2925='Buku Akun'!$C$4))),B2925+IF(AND(I2925="Selisih bunga",DAY(B2925)=1),0,0.01)+ROW()/10000000,"")</f>
        <v/>
      </c>
    </row>
    <row r="2926" outlineLevel="1" ht="15" customHeight="1" s="94">
      <c r="A2926" s="123">
        <f>IF(B2926="","",ROW()-15)</f>
        <v/>
      </c>
      <c r="B2926" s="124" t="n"/>
      <c r="C2926" s="123" t="n"/>
      <c r="D2926" s="123" t="n"/>
      <c r="E2926" s="123" t="n"/>
      <c r="F2926" s="125" t="n"/>
      <c r="G2926" s="123" t="n"/>
      <c r="H2926" s="123" t="n"/>
      <c r="I2926" s="123" t="n"/>
      <c r="J2926" s="123" t="n"/>
      <c r="K2926" s="123" t="n"/>
      <c r="L2926" s="123" t="n"/>
      <c r="M2926" s="123">
        <f>IF(AND(B2926&lt;&gt;"",OR($C$4="",ISNUMBER(SEARCH($C$4,C2926&amp;" "&amp;E2926&amp;" "&amp;G2926&amp;" "&amp;H2926&amp;" "&amp;I2926&amp;" "&amp;J2926&amp;" "&amp;K2926&amp;" "&amp;L2926))),OR($C$5="Semua",$C$5="",G2926=$C$5),OR($C$6="Semua",$C$6="",H2926=$C$6,H2926="Pengeluaran "&amp;$C$6,AND($C$6="Uang Kos Mama",H2926="Pengeluaran Uang Kos")),OR($C$7="Semua",$C$7="",I2926=$C$7),OR($C$8="Semua",$C$8="",C2926=$C$8,E2926=$C$8),OR($C$9="Semua",$C$9="",D2926=$C$9),OR($C$10="",B2926&gt;=$C$10),OR($C$11="",B2926&lt;=$C$11),OR($C$12&lt;&gt;"Ya",K2926&lt;&gt;""),OR($C$13="Semua",$C$13="",L2926=$C$13)),"✓","")</f>
        <v/>
      </c>
      <c r="N2926" s="93">
        <f>N(N2925)+IF(M2926="✓",1,0)</f>
        <v/>
      </c>
      <c r="O2926" s="93">
        <f>N(O2925)+IF(AND(B2926&lt;&gt;"",B2926&gt;='Uang Riba'!$H$30,B2926&lt;='Uang Riba'!$I$30,OR(H2926="Dana riba",H2926="Pinjam uang riba",I2926="Pinjam dari uang riba",I2926="Ganti uang riba",I2926="Kelebihan ganti dikembalikan",AND(C2926="Kantong Uang Riba",G2926="Pengeluaran"))),1,0)</f>
        <v/>
      </c>
      <c r="X2926" s="93">
        <f>IF(AND(B2926&lt;&gt;"",B2926&gt;='Buku Akun'!$H$4,B2926&lt;='Buku Akun'!$H$5,OR(C2926='Buku Akun'!$C$4,AND(D2926="Pindah",E2926='Buku Akun'!$C$4))),B2926+IF(AND(I2926="Selisih bunga",DAY(B2926)=1),0,0.01)+ROW()/10000000,"")</f>
        <v/>
      </c>
    </row>
    <row r="2927" outlineLevel="1" ht="15" customHeight="1" s="94">
      <c r="A2927" s="123">
        <f>IF(B2927="","",ROW()-15)</f>
        <v/>
      </c>
      <c r="B2927" s="124" t="n"/>
      <c r="C2927" s="123" t="n"/>
      <c r="D2927" s="123" t="n"/>
      <c r="E2927" s="123" t="n"/>
      <c r="F2927" s="125" t="n"/>
      <c r="G2927" s="123" t="n"/>
      <c r="H2927" s="123" t="n"/>
      <c r="I2927" s="123" t="n"/>
      <c r="J2927" s="123" t="n"/>
      <c r="K2927" s="123" t="n"/>
      <c r="L2927" s="123" t="n"/>
      <c r="M2927" s="123">
        <f>IF(AND(B2927&lt;&gt;"",OR($C$4="",ISNUMBER(SEARCH($C$4,C2927&amp;" "&amp;E2927&amp;" "&amp;G2927&amp;" "&amp;H2927&amp;" "&amp;I2927&amp;" "&amp;J2927&amp;" "&amp;K2927&amp;" "&amp;L2927))),OR($C$5="Semua",$C$5="",G2927=$C$5),OR($C$6="Semua",$C$6="",H2927=$C$6,H2927="Pengeluaran "&amp;$C$6,AND($C$6="Uang Kos Mama",H2927="Pengeluaran Uang Kos")),OR($C$7="Semua",$C$7="",I2927=$C$7),OR($C$8="Semua",$C$8="",C2927=$C$8,E2927=$C$8),OR($C$9="Semua",$C$9="",D2927=$C$9),OR($C$10="",B2927&gt;=$C$10),OR($C$11="",B2927&lt;=$C$11),OR($C$12&lt;&gt;"Ya",K2927&lt;&gt;""),OR($C$13="Semua",$C$13="",L2927=$C$13)),"✓","")</f>
        <v/>
      </c>
      <c r="N2927" s="93">
        <f>N(N2926)+IF(M2927="✓",1,0)</f>
        <v/>
      </c>
      <c r="O2927" s="93">
        <f>N(O2926)+IF(AND(B2927&lt;&gt;"",B2927&gt;='Uang Riba'!$H$30,B2927&lt;='Uang Riba'!$I$30,OR(H2927="Dana riba",H2927="Pinjam uang riba",I2927="Pinjam dari uang riba",I2927="Ganti uang riba",I2927="Kelebihan ganti dikembalikan",AND(C2927="Kantong Uang Riba",G2927="Pengeluaran"))),1,0)</f>
        <v/>
      </c>
      <c r="X2927" s="93">
        <f>IF(AND(B2927&lt;&gt;"",B2927&gt;='Buku Akun'!$H$4,B2927&lt;='Buku Akun'!$H$5,OR(C2927='Buku Akun'!$C$4,AND(D2927="Pindah",E2927='Buku Akun'!$C$4))),B2927+IF(AND(I2927="Selisih bunga",DAY(B2927)=1),0,0.01)+ROW()/10000000,"")</f>
        <v/>
      </c>
    </row>
    <row r="2928" outlineLevel="1" ht="15" customHeight="1" s="94">
      <c r="A2928" s="123">
        <f>IF(B2928="","",ROW()-15)</f>
        <v/>
      </c>
      <c r="B2928" s="124" t="n"/>
      <c r="C2928" s="123" t="n"/>
      <c r="D2928" s="123" t="n"/>
      <c r="E2928" s="123" t="n"/>
      <c r="F2928" s="125" t="n"/>
      <c r="G2928" s="123" t="n"/>
      <c r="H2928" s="123" t="n"/>
      <c r="I2928" s="123" t="n"/>
      <c r="J2928" s="123" t="n"/>
      <c r="K2928" s="123" t="n"/>
      <c r="L2928" s="123" t="n"/>
      <c r="M2928" s="123">
        <f>IF(AND(B2928&lt;&gt;"",OR($C$4="",ISNUMBER(SEARCH($C$4,C2928&amp;" "&amp;E2928&amp;" "&amp;G2928&amp;" "&amp;H2928&amp;" "&amp;I2928&amp;" "&amp;J2928&amp;" "&amp;K2928&amp;" "&amp;L2928))),OR($C$5="Semua",$C$5="",G2928=$C$5),OR($C$6="Semua",$C$6="",H2928=$C$6,H2928="Pengeluaran "&amp;$C$6,AND($C$6="Uang Kos Mama",H2928="Pengeluaran Uang Kos")),OR($C$7="Semua",$C$7="",I2928=$C$7),OR($C$8="Semua",$C$8="",C2928=$C$8,E2928=$C$8),OR($C$9="Semua",$C$9="",D2928=$C$9),OR($C$10="",B2928&gt;=$C$10),OR($C$11="",B2928&lt;=$C$11),OR($C$12&lt;&gt;"Ya",K2928&lt;&gt;""),OR($C$13="Semua",$C$13="",L2928=$C$13)),"✓","")</f>
        <v/>
      </c>
      <c r="N2928" s="93">
        <f>N(N2927)+IF(M2928="✓",1,0)</f>
        <v/>
      </c>
      <c r="O2928" s="93">
        <f>N(O2927)+IF(AND(B2928&lt;&gt;"",B2928&gt;='Uang Riba'!$H$30,B2928&lt;='Uang Riba'!$I$30,OR(H2928="Dana riba",H2928="Pinjam uang riba",I2928="Pinjam dari uang riba",I2928="Ganti uang riba",I2928="Kelebihan ganti dikembalikan",AND(C2928="Kantong Uang Riba",G2928="Pengeluaran"))),1,0)</f>
        <v/>
      </c>
      <c r="X2928" s="93">
        <f>IF(AND(B2928&lt;&gt;"",B2928&gt;='Buku Akun'!$H$4,B2928&lt;='Buku Akun'!$H$5,OR(C2928='Buku Akun'!$C$4,AND(D2928="Pindah",E2928='Buku Akun'!$C$4))),B2928+IF(AND(I2928="Selisih bunga",DAY(B2928)=1),0,0.01)+ROW()/10000000,"")</f>
        <v/>
      </c>
    </row>
    <row r="2929" outlineLevel="1" ht="15" customHeight="1" s="94">
      <c r="A2929" s="123">
        <f>IF(B2929="","",ROW()-15)</f>
        <v/>
      </c>
      <c r="B2929" s="124" t="n"/>
      <c r="C2929" s="123" t="n"/>
      <c r="D2929" s="123" t="n"/>
      <c r="E2929" s="123" t="n"/>
      <c r="F2929" s="125" t="n"/>
      <c r="G2929" s="123" t="n"/>
      <c r="H2929" s="123" t="n"/>
      <c r="I2929" s="123" t="n"/>
      <c r="J2929" s="123" t="n"/>
      <c r="K2929" s="123" t="n"/>
      <c r="L2929" s="123" t="n"/>
      <c r="M2929" s="123">
        <f>IF(AND(B2929&lt;&gt;"",OR($C$4="",ISNUMBER(SEARCH($C$4,C2929&amp;" "&amp;E2929&amp;" "&amp;G2929&amp;" "&amp;H2929&amp;" "&amp;I2929&amp;" "&amp;J2929&amp;" "&amp;K2929&amp;" "&amp;L2929))),OR($C$5="Semua",$C$5="",G2929=$C$5),OR($C$6="Semua",$C$6="",H2929=$C$6,H2929="Pengeluaran "&amp;$C$6,AND($C$6="Uang Kos Mama",H2929="Pengeluaran Uang Kos")),OR($C$7="Semua",$C$7="",I2929=$C$7),OR($C$8="Semua",$C$8="",C2929=$C$8,E2929=$C$8),OR($C$9="Semua",$C$9="",D2929=$C$9),OR($C$10="",B2929&gt;=$C$10),OR($C$11="",B2929&lt;=$C$11),OR($C$12&lt;&gt;"Ya",K2929&lt;&gt;""),OR($C$13="Semua",$C$13="",L2929=$C$13)),"✓","")</f>
        <v/>
      </c>
      <c r="N2929" s="93">
        <f>N(N2928)+IF(M2929="✓",1,0)</f>
        <v/>
      </c>
      <c r="O2929" s="93">
        <f>N(O2928)+IF(AND(B2929&lt;&gt;"",B2929&gt;='Uang Riba'!$H$30,B2929&lt;='Uang Riba'!$I$30,OR(H2929="Dana riba",H2929="Pinjam uang riba",I2929="Pinjam dari uang riba",I2929="Ganti uang riba",I2929="Kelebihan ganti dikembalikan",AND(C2929="Kantong Uang Riba",G2929="Pengeluaran"))),1,0)</f>
        <v/>
      </c>
      <c r="X2929" s="93">
        <f>IF(AND(B2929&lt;&gt;"",B2929&gt;='Buku Akun'!$H$4,B2929&lt;='Buku Akun'!$H$5,OR(C2929='Buku Akun'!$C$4,AND(D2929="Pindah",E2929='Buku Akun'!$C$4))),B2929+IF(AND(I2929="Selisih bunga",DAY(B2929)=1),0,0.01)+ROW()/10000000,"")</f>
        <v/>
      </c>
    </row>
    <row r="2930" outlineLevel="1" ht="15" customHeight="1" s="94">
      <c r="A2930" s="123">
        <f>IF(B2930="","",ROW()-15)</f>
        <v/>
      </c>
      <c r="B2930" s="124" t="n"/>
      <c r="C2930" s="123" t="n"/>
      <c r="D2930" s="123" t="n"/>
      <c r="E2930" s="123" t="n"/>
      <c r="F2930" s="125" t="n"/>
      <c r="G2930" s="123" t="n"/>
      <c r="H2930" s="123" t="n"/>
      <c r="I2930" s="123" t="n"/>
      <c r="J2930" s="123" t="n"/>
      <c r="K2930" s="123" t="n"/>
      <c r="L2930" s="123" t="n"/>
      <c r="M2930" s="123">
        <f>IF(AND(B2930&lt;&gt;"",OR($C$4="",ISNUMBER(SEARCH($C$4,C2930&amp;" "&amp;E2930&amp;" "&amp;G2930&amp;" "&amp;H2930&amp;" "&amp;I2930&amp;" "&amp;J2930&amp;" "&amp;K2930&amp;" "&amp;L2930))),OR($C$5="Semua",$C$5="",G2930=$C$5),OR($C$6="Semua",$C$6="",H2930=$C$6,H2930="Pengeluaran "&amp;$C$6,AND($C$6="Uang Kos Mama",H2930="Pengeluaran Uang Kos")),OR($C$7="Semua",$C$7="",I2930=$C$7),OR($C$8="Semua",$C$8="",C2930=$C$8,E2930=$C$8),OR($C$9="Semua",$C$9="",D2930=$C$9),OR($C$10="",B2930&gt;=$C$10),OR($C$11="",B2930&lt;=$C$11),OR($C$12&lt;&gt;"Ya",K2930&lt;&gt;""),OR($C$13="Semua",$C$13="",L2930=$C$13)),"✓","")</f>
        <v/>
      </c>
      <c r="N2930" s="93">
        <f>N(N2929)+IF(M2930="✓",1,0)</f>
        <v/>
      </c>
      <c r="O2930" s="93">
        <f>N(O2929)+IF(AND(B2930&lt;&gt;"",B2930&gt;='Uang Riba'!$H$30,B2930&lt;='Uang Riba'!$I$30,OR(H2930="Dana riba",H2930="Pinjam uang riba",I2930="Pinjam dari uang riba",I2930="Ganti uang riba",I2930="Kelebihan ganti dikembalikan",AND(C2930="Kantong Uang Riba",G2930="Pengeluaran"))),1,0)</f>
        <v/>
      </c>
      <c r="X2930" s="93">
        <f>IF(AND(B2930&lt;&gt;"",B2930&gt;='Buku Akun'!$H$4,B2930&lt;='Buku Akun'!$H$5,OR(C2930='Buku Akun'!$C$4,AND(D2930="Pindah",E2930='Buku Akun'!$C$4))),B2930+IF(AND(I2930="Selisih bunga",DAY(B2930)=1),0,0.01)+ROW()/10000000,"")</f>
        <v/>
      </c>
    </row>
    <row r="2931" outlineLevel="1" ht="15" customHeight="1" s="94">
      <c r="A2931" s="123">
        <f>IF(B2931="","",ROW()-15)</f>
        <v/>
      </c>
      <c r="B2931" s="124" t="n"/>
      <c r="C2931" s="123" t="n"/>
      <c r="D2931" s="123" t="n"/>
      <c r="E2931" s="123" t="n"/>
      <c r="F2931" s="125" t="n"/>
      <c r="G2931" s="123" t="n"/>
      <c r="H2931" s="123" t="n"/>
      <c r="I2931" s="123" t="n"/>
      <c r="J2931" s="123" t="n"/>
      <c r="K2931" s="123" t="n"/>
      <c r="L2931" s="123" t="n"/>
      <c r="M2931" s="123">
        <f>IF(AND(B2931&lt;&gt;"",OR($C$4="",ISNUMBER(SEARCH($C$4,C2931&amp;" "&amp;E2931&amp;" "&amp;G2931&amp;" "&amp;H2931&amp;" "&amp;I2931&amp;" "&amp;J2931&amp;" "&amp;K2931&amp;" "&amp;L2931))),OR($C$5="Semua",$C$5="",G2931=$C$5),OR($C$6="Semua",$C$6="",H2931=$C$6,H2931="Pengeluaran "&amp;$C$6,AND($C$6="Uang Kos Mama",H2931="Pengeluaran Uang Kos")),OR($C$7="Semua",$C$7="",I2931=$C$7),OR($C$8="Semua",$C$8="",C2931=$C$8,E2931=$C$8),OR($C$9="Semua",$C$9="",D2931=$C$9),OR($C$10="",B2931&gt;=$C$10),OR($C$11="",B2931&lt;=$C$11),OR($C$12&lt;&gt;"Ya",K2931&lt;&gt;""),OR($C$13="Semua",$C$13="",L2931=$C$13)),"✓","")</f>
        <v/>
      </c>
      <c r="N2931" s="93">
        <f>N(N2930)+IF(M2931="✓",1,0)</f>
        <v/>
      </c>
      <c r="O2931" s="93">
        <f>N(O2930)+IF(AND(B2931&lt;&gt;"",B2931&gt;='Uang Riba'!$H$30,B2931&lt;='Uang Riba'!$I$30,OR(H2931="Dana riba",H2931="Pinjam uang riba",I2931="Pinjam dari uang riba",I2931="Ganti uang riba",I2931="Kelebihan ganti dikembalikan",AND(C2931="Kantong Uang Riba",G2931="Pengeluaran"))),1,0)</f>
        <v/>
      </c>
      <c r="X2931" s="93">
        <f>IF(AND(B2931&lt;&gt;"",B2931&gt;='Buku Akun'!$H$4,B2931&lt;='Buku Akun'!$H$5,OR(C2931='Buku Akun'!$C$4,AND(D2931="Pindah",E2931='Buku Akun'!$C$4))),B2931+IF(AND(I2931="Selisih bunga",DAY(B2931)=1),0,0.01)+ROW()/10000000,"")</f>
        <v/>
      </c>
    </row>
    <row r="2932" outlineLevel="1" ht="15" customHeight="1" s="94">
      <c r="A2932" s="123">
        <f>IF(B2932="","",ROW()-15)</f>
        <v/>
      </c>
      <c r="B2932" s="124" t="n"/>
      <c r="C2932" s="123" t="n"/>
      <c r="D2932" s="123" t="n"/>
      <c r="E2932" s="123" t="n"/>
      <c r="F2932" s="125" t="n"/>
      <c r="G2932" s="123" t="n"/>
      <c r="H2932" s="123" t="n"/>
      <c r="I2932" s="123" t="n"/>
      <c r="J2932" s="123" t="n"/>
      <c r="K2932" s="123" t="n"/>
      <c r="L2932" s="123" t="n"/>
      <c r="M2932" s="123">
        <f>IF(AND(B2932&lt;&gt;"",OR($C$4="",ISNUMBER(SEARCH($C$4,C2932&amp;" "&amp;E2932&amp;" "&amp;G2932&amp;" "&amp;H2932&amp;" "&amp;I2932&amp;" "&amp;J2932&amp;" "&amp;K2932&amp;" "&amp;L2932))),OR($C$5="Semua",$C$5="",G2932=$C$5),OR($C$6="Semua",$C$6="",H2932=$C$6,H2932="Pengeluaran "&amp;$C$6,AND($C$6="Uang Kos Mama",H2932="Pengeluaran Uang Kos")),OR($C$7="Semua",$C$7="",I2932=$C$7),OR($C$8="Semua",$C$8="",C2932=$C$8,E2932=$C$8),OR($C$9="Semua",$C$9="",D2932=$C$9),OR($C$10="",B2932&gt;=$C$10),OR($C$11="",B2932&lt;=$C$11),OR($C$12&lt;&gt;"Ya",K2932&lt;&gt;""),OR($C$13="Semua",$C$13="",L2932=$C$13)),"✓","")</f>
        <v/>
      </c>
      <c r="N2932" s="93">
        <f>N(N2931)+IF(M2932="✓",1,0)</f>
        <v/>
      </c>
      <c r="O2932" s="93">
        <f>N(O2931)+IF(AND(B2932&lt;&gt;"",B2932&gt;='Uang Riba'!$H$30,B2932&lt;='Uang Riba'!$I$30,OR(H2932="Dana riba",H2932="Pinjam uang riba",I2932="Pinjam dari uang riba",I2932="Ganti uang riba",I2932="Kelebihan ganti dikembalikan",AND(C2932="Kantong Uang Riba",G2932="Pengeluaran"))),1,0)</f>
        <v/>
      </c>
      <c r="X2932" s="93">
        <f>IF(AND(B2932&lt;&gt;"",B2932&gt;='Buku Akun'!$H$4,B2932&lt;='Buku Akun'!$H$5,OR(C2932='Buku Akun'!$C$4,AND(D2932="Pindah",E2932='Buku Akun'!$C$4))),B2932+IF(AND(I2932="Selisih bunga",DAY(B2932)=1),0,0.01)+ROW()/10000000,"")</f>
        <v/>
      </c>
    </row>
    <row r="2933" outlineLevel="1" ht="15" customHeight="1" s="94">
      <c r="A2933" s="123">
        <f>IF(B2933="","",ROW()-15)</f>
        <v/>
      </c>
      <c r="B2933" s="124" t="n"/>
      <c r="C2933" s="123" t="n"/>
      <c r="D2933" s="123" t="n"/>
      <c r="E2933" s="123" t="n"/>
      <c r="F2933" s="125" t="n"/>
      <c r="G2933" s="123" t="n"/>
      <c r="H2933" s="123" t="n"/>
      <c r="I2933" s="123" t="n"/>
      <c r="J2933" s="123" t="n"/>
      <c r="K2933" s="123" t="n"/>
      <c r="L2933" s="123" t="n"/>
      <c r="M2933" s="123">
        <f>IF(AND(B2933&lt;&gt;"",OR($C$4="",ISNUMBER(SEARCH($C$4,C2933&amp;" "&amp;E2933&amp;" "&amp;G2933&amp;" "&amp;H2933&amp;" "&amp;I2933&amp;" "&amp;J2933&amp;" "&amp;K2933&amp;" "&amp;L2933))),OR($C$5="Semua",$C$5="",G2933=$C$5),OR($C$6="Semua",$C$6="",H2933=$C$6,H2933="Pengeluaran "&amp;$C$6,AND($C$6="Uang Kos Mama",H2933="Pengeluaran Uang Kos")),OR($C$7="Semua",$C$7="",I2933=$C$7),OR($C$8="Semua",$C$8="",C2933=$C$8,E2933=$C$8),OR($C$9="Semua",$C$9="",D2933=$C$9),OR($C$10="",B2933&gt;=$C$10),OR($C$11="",B2933&lt;=$C$11),OR($C$12&lt;&gt;"Ya",K2933&lt;&gt;""),OR($C$13="Semua",$C$13="",L2933=$C$13)),"✓","")</f>
        <v/>
      </c>
      <c r="N2933" s="93">
        <f>N(N2932)+IF(M2933="✓",1,0)</f>
        <v/>
      </c>
      <c r="O2933" s="93">
        <f>N(O2932)+IF(AND(B2933&lt;&gt;"",B2933&gt;='Uang Riba'!$H$30,B2933&lt;='Uang Riba'!$I$30,OR(H2933="Dana riba",H2933="Pinjam uang riba",I2933="Pinjam dari uang riba",I2933="Ganti uang riba",I2933="Kelebihan ganti dikembalikan",AND(C2933="Kantong Uang Riba",G2933="Pengeluaran"))),1,0)</f>
        <v/>
      </c>
      <c r="X2933" s="93">
        <f>IF(AND(B2933&lt;&gt;"",B2933&gt;='Buku Akun'!$H$4,B2933&lt;='Buku Akun'!$H$5,OR(C2933='Buku Akun'!$C$4,AND(D2933="Pindah",E2933='Buku Akun'!$C$4))),B2933+IF(AND(I2933="Selisih bunga",DAY(B2933)=1),0,0.01)+ROW()/10000000,"")</f>
        <v/>
      </c>
    </row>
    <row r="2934" outlineLevel="1" ht="15" customHeight="1" s="94">
      <c r="A2934" s="123">
        <f>IF(B2934="","",ROW()-15)</f>
        <v/>
      </c>
      <c r="B2934" s="124" t="n"/>
      <c r="C2934" s="123" t="n"/>
      <c r="D2934" s="123" t="n"/>
      <c r="E2934" s="123" t="n"/>
      <c r="F2934" s="125" t="n"/>
      <c r="G2934" s="123" t="n"/>
      <c r="H2934" s="123" t="n"/>
      <c r="I2934" s="123" t="n"/>
      <c r="J2934" s="123" t="n"/>
      <c r="K2934" s="123" t="n"/>
      <c r="L2934" s="123" t="n"/>
      <c r="M2934" s="123">
        <f>IF(AND(B2934&lt;&gt;"",OR($C$4="",ISNUMBER(SEARCH($C$4,C2934&amp;" "&amp;E2934&amp;" "&amp;G2934&amp;" "&amp;H2934&amp;" "&amp;I2934&amp;" "&amp;J2934&amp;" "&amp;K2934&amp;" "&amp;L2934))),OR($C$5="Semua",$C$5="",G2934=$C$5),OR($C$6="Semua",$C$6="",H2934=$C$6,H2934="Pengeluaran "&amp;$C$6,AND($C$6="Uang Kos Mama",H2934="Pengeluaran Uang Kos")),OR($C$7="Semua",$C$7="",I2934=$C$7),OR($C$8="Semua",$C$8="",C2934=$C$8,E2934=$C$8),OR($C$9="Semua",$C$9="",D2934=$C$9),OR($C$10="",B2934&gt;=$C$10),OR($C$11="",B2934&lt;=$C$11),OR($C$12&lt;&gt;"Ya",K2934&lt;&gt;""),OR($C$13="Semua",$C$13="",L2934=$C$13)),"✓","")</f>
        <v/>
      </c>
      <c r="N2934" s="93">
        <f>N(N2933)+IF(M2934="✓",1,0)</f>
        <v/>
      </c>
      <c r="O2934" s="93">
        <f>N(O2933)+IF(AND(B2934&lt;&gt;"",B2934&gt;='Uang Riba'!$H$30,B2934&lt;='Uang Riba'!$I$30,OR(H2934="Dana riba",H2934="Pinjam uang riba",I2934="Pinjam dari uang riba",I2934="Ganti uang riba",I2934="Kelebihan ganti dikembalikan",AND(C2934="Kantong Uang Riba",G2934="Pengeluaran"))),1,0)</f>
        <v/>
      </c>
      <c r="X2934" s="93">
        <f>IF(AND(B2934&lt;&gt;"",B2934&gt;='Buku Akun'!$H$4,B2934&lt;='Buku Akun'!$H$5,OR(C2934='Buku Akun'!$C$4,AND(D2934="Pindah",E2934='Buku Akun'!$C$4))),B2934+IF(AND(I2934="Selisih bunga",DAY(B2934)=1),0,0.01)+ROW()/10000000,"")</f>
        <v/>
      </c>
    </row>
    <row r="2935" outlineLevel="1" ht="15" customHeight="1" s="94">
      <c r="A2935" s="123">
        <f>IF(B2935="","",ROW()-15)</f>
        <v/>
      </c>
      <c r="B2935" s="124" t="n"/>
      <c r="C2935" s="123" t="n"/>
      <c r="D2935" s="123" t="n"/>
      <c r="E2935" s="123" t="n"/>
      <c r="F2935" s="125" t="n"/>
      <c r="G2935" s="123" t="n"/>
      <c r="H2935" s="123" t="n"/>
      <c r="I2935" s="123" t="n"/>
      <c r="J2935" s="123" t="n"/>
      <c r="K2935" s="123" t="n"/>
      <c r="L2935" s="123" t="n"/>
      <c r="M2935" s="123">
        <f>IF(AND(B2935&lt;&gt;"",OR($C$4="",ISNUMBER(SEARCH($C$4,C2935&amp;" "&amp;E2935&amp;" "&amp;G2935&amp;" "&amp;H2935&amp;" "&amp;I2935&amp;" "&amp;J2935&amp;" "&amp;K2935&amp;" "&amp;L2935))),OR($C$5="Semua",$C$5="",G2935=$C$5),OR($C$6="Semua",$C$6="",H2935=$C$6,H2935="Pengeluaran "&amp;$C$6,AND($C$6="Uang Kos Mama",H2935="Pengeluaran Uang Kos")),OR($C$7="Semua",$C$7="",I2935=$C$7),OR($C$8="Semua",$C$8="",C2935=$C$8,E2935=$C$8),OR($C$9="Semua",$C$9="",D2935=$C$9),OR($C$10="",B2935&gt;=$C$10),OR($C$11="",B2935&lt;=$C$11),OR($C$12&lt;&gt;"Ya",K2935&lt;&gt;""),OR($C$13="Semua",$C$13="",L2935=$C$13)),"✓","")</f>
        <v/>
      </c>
      <c r="N2935" s="93">
        <f>N(N2934)+IF(M2935="✓",1,0)</f>
        <v/>
      </c>
      <c r="O2935" s="93">
        <f>N(O2934)+IF(AND(B2935&lt;&gt;"",B2935&gt;='Uang Riba'!$H$30,B2935&lt;='Uang Riba'!$I$30,OR(H2935="Dana riba",H2935="Pinjam uang riba",I2935="Pinjam dari uang riba",I2935="Ganti uang riba",I2935="Kelebihan ganti dikembalikan",AND(C2935="Kantong Uang Riba",G2935="Pengeluaran"))),1,0)</f>
        <v/>
      </c>
      <c r="X2935" s="93">
        <f>IF(AND(B2935&lt;&gt;"",B2935&gt;='Buku Akun'!$H$4,B2935&lt;='Buku Akun'!$H$5,OR(C2935='Buku Akun'!$C$4,AND(D2935="Pindah",E2935='Buku Akun'!$C$4))),B2935+IF(AND(I2935="Selisih bunga",DAY(B2935)=1),0,0.01)+ROW()/10000000,"")</f>
        <v/>
      </c>
    </row>
    <row r="2936" outlineLevel="1" ht="15" customHeight="1" s="94">
      <c r="A2936" s="123">
        <f>IF(B2936="","",ROW()-15)</f>
        <v/>
      </c>
      <c r="B2936" s="124" t="n"/>
      <c r="C2936" s="123" t="n"/>
      <c r="D2936" s="123" t="n"/>
      <c r="E2936" s="123" t="n"/>
      <c r="F2936" s="125" t="n"/>
      <c r="G2936" s="123" t="n"/>
      <c r="H2936" s="123" t="n"/>
      <c r="I2936" s="123" t="n"/>
      <c r="J2936" s="123" t="n"/>
      <c r="K2936" s="123" t="n"/>
      <c r="L2936" s="123" t="n"/>
      <c r="M2936" s="123">
        <f>IF(AND(B2936&lt;&gt;"",OR($C$4="",ISNUMBER(SEARCH($C$4,C2936&amp;" "&amp;E2936&amp;" "&amp;G2936&amp;" "&amp;H2936&amp;" "&amp;I2936&amp;" "&amp;J2936&amp;" "&amp;K2936&amp;" "&amp;L2936))),OR($C$5="Semua",$C$5="",G2936=$C$5),OR($C$6="Semua",$C$6="",H2936=$C$6,H2936="Pengeluaran "&amp;$C$6,AND($C$6="Uang Kos Mama",H2936="Pengeluaran Uang Kos")),OR($C$7="Semua",$C$7="",I2936=$C$7),OR($C$8="Semua",$C$8="",C2936=$C$8,E2936=$C$8),OR($C$9="Semua",$C$9="",D2936=$C$9),OR($C$10="",B2936&gt;=$C$10),OR($C$11="",B2936&lt;=$C$11),OR($C$12&lt;&gt;"Ya",K2936&lt;&gt;""),OR($C$13="Semua",$C$13="",L2936=$C$13)),"✓","")</f>
        <v/>
      </c>
      <c r="N2936" s="93">
        <f>N(N2935)+IF(M2936="✓",1,0)</f>
        <v/>
      </c>
      <c r="O2936" s="93">
        <f>N(O2935)+IF(AND(B2936&lt;&gt;"",B2936&gt;='Uang Riba'!$H$30,B2936&lt;='Uang Riba'!$I$30,OR(H2936="Dana riba",H2936="Pinjam uang riba",I2936="Pinjam dari uang riba",I2936="Ganti uang riba",I2936="Kelebihan ganti dikembalikan",AND(C2936="Kantong Uang Riba",G2936="Pengeluaran"))),1,0)</f>
        <v/>
      </c>
      <c r="X2936" s="93">
        <f>IF(AND(B2936&lt;&gt;"",B2936&gt;='Buku Akun'!$H$4,B2936&lt;='Buku Akun'!$H$5,OR(C2936='Buku Akun'!$C$4,AND(D2936="Pindah",E2936='Buku Akun'!$C$4))),B2936+IF(AND(I2936="Selisih bunga",DAY(B2936)=1),0,0.01)+ROW()/10000000,"")</f>
        <v/>
      </c>
    </row>
    <row r="2937" outlineLevel="1" ht="15" customHeight="1" s="94">
      <c r="A2937" s="123">
        <f>IF(B2937="","",ROW()-15)</f>
        <v/>
      </c>
      <c r="B2937" s="124" t="n"/>
      <c r="C2937" s="123" t="n"/>
      <c r="D2937" s="123" t="n"/>
      <c r="E2937" s="123" t="n"/>
      <c r="F2937" s="125" t="n"/>
      <c r="G2937" s="123" t="n"/>
      <c r="H2937" s="123" t="n"/>
      <c r="I2937" s="123" t="n"/>
      <c r="J2937" s="123" t="n"/>
      <c r="K2937" s="123" t="n"/>
      <c r="L2937" s="123" t="n"/>
      <c r="M2937" s="123">
        <f>IF(AND(B2937&lt;&gt;"",OR($C$4="",ISNUMBER(SEARCH($C$4,C2937&amp;" "&amp;E2937&amp;" "&amp;G2937&amp;" "&amp;H2937&amp;" "&amp;I2937&amp;" "&amp;J2937&amp;" "&amp;K2937&amp;" "&amp;L2937))),OR($C$5="Semua",$C$5="",G2937=$C$5),OR($C$6="Semua",$C$6="",H2937=$C$6,H2937="Pengeluaran "&amp;$C$6,AND($C$6="Uang Kos Mama",H2937="Pengeluaran Uang Kos")),OR($C$7="Semua",$C$7="",I2937=$C$7),OR($C$8="Semua",$C$8="",C2937=$C$8,E2937=$C$8),OR($C$9="Semua",$C$9="",D2937=$C$9),OR($C$10="",B2937&gt;=$C$10),OR($C$11="",B2937&lt;=$C$11),OR($C$12&lt;&gt;"Ya",K2937&lt;&gt;""),OR($C$13="Semua",$C$13="",L2937=$C$13)),"✓","")</f>
        <v/>
      </c>
      <c r="N2937" s="93">
        <f>N(N2936)+IF(M2937="✓",1,0)</f>
        <v/>
      </c>
      <c r="O2937" s="93">
        <f>N(O2936)+IF(AND(B2937&lt;&gt;"",B2937&gt;='Uang Riba'!$H$30,B2937&lt;='Uang Riba'!$I$30,OR(H2937="Dana riba",H2937="Pinjam uang riba",I2937="Pinjam dari uang riba",I2937="Ganti uang riba",I2937="Kelebihan ganti dikembalikan",AND(C2937="Kantong Uang Riba",G2937="Pengeluaran"))),1,0)</f>
        <v/>
      </c>
      <c r="X2937" s="93">
        <f>IF(AND(B2937&lt;&gt;"",B2937&gt;='Buku Akun'!$H$4,B2937&lt;='Buku Akun'!$H$5,OR(C2937='Buku Akun'!$C$4,AND(D2937="Pindah",E2937='Buku Akun'!$C$4))),B2937+IF(AND(I2937="Selisih bunga",DAY(B2937)=1),0,0.01)+ROW()/10000000,"")</f>
        <v/>
      </c>
    </row>
    <row r="2938" outlineLevel="1" ht="15" customHeight="1" s="94">
      <c r="A2938" s="123">
        <f>IF(B2938="","",ROW()-15)</f>
        <v/>
      </c>
      <c r="B2938" s="124" t="n"/>
      <c r="C2938" s="123" t="n"/>
      <c r="D2938" s="123" t="n"/>
      <c r="E2938" s="123" t="n"/>
      <c r="F2938" s="125" t="n"/>
      <c r="G2938" s="123" t="n"/>
      <c r="H2938" s="123" t="n"/>
      <c r="I2938" s="123" t="n"/>
      <c r="J2938" s="123" t="n"/>
      <c r="K2938" s="123" t="n"/>
      <c r="L2938" s="123" t="n"/>
      <c r="M2938" s="123">
        <f>IF(AND(B2938&lt;&gt;"",OR($C$4="",ISNUMBER(SEARCH($C$4,C2938&amp;" "&amp;E2938&amp;" "&amp;G2938&amp;" "&amp;H2938&amp;" "&amp;I2938&amp;" "&amp;J2938&amp;" "&amp;K2938&amp;" "&amp;L2938))),OR($C$5="Semua",$C$5="",G2938=$C$5),OR($C$6="Semua",$C$6="",H2938=$C$6,H2938="Pengeluaran "&amp;$C$6,AND($C$6="Uang Kos Mama",H2938="Pengeluaran Uang Kos")),OR($C$7="Semua",$C$7="",I2938=$C$7),OR($C$8="Semua",$C$8="",C2938=$C$8,E2938=$C$8),OR($C$9="Semua",$C$9="",D2938=$C$9),OR($C$10="",B2938&gt;=$C$10),OR($C$11="",B2938&lt;=$C$11),OR($C$12&lt;&gt;"Ya",K2938&lt;&gt;""),OR($C$13="Semua",$C$13="",L2938=$C$13)),"✓","")</f>
        <v/>
      </c>
      <c r="N2938" s="93">
        <f>N(N2937)+IF(M2938="✓",1,0)</f>
        <v/>
      </c>
      <c r="O2938" s="93">
        <f>N(O2937)+IF(AND(B2938&lt;&gt;"",B2938&gt;='Uang Riba'!$H$30,B2938&lt;='Uang Riba'!$I$30,OR(H2938="Dana riba",H2938="Pinjam uang riba",I2938="Pinjam dari uang riba",I2938="Ganti uang riba",I2938="Kelebihan ganti dikembalikan",AND(C2938="Kantong Uang Riba",G2938="Pengeluaran"))),1,0)</f>
        <v/>
      </c>
      <c r="X2938" s="93">
        <f>IF(AND(B2938&lt;&gt;"",B2938&gt;='Buku Akun'!$H$4,B2938&lt;='Buku Akun'!$H$5,OR(C2938='Buku Akun'!$C$4,AND(D2938="Pindah",E2938='Buku Akun'!$C$4))),B2938+IF(AND(I2938="Selisih bunga",DAY(B2938)=1),0,0.01)+ROW()/10000000,"")</f>
        <v/>
      </c>
    </row>
    <row r="2939" outlineLevel="1" ht="15" customHeight="1" s="94">
      <c r="A2939" s="123">
        <f>IF(B2939="","",ROW()-15)</f>
        <v/>
      </c>
      <c r="B2939" s="124" t="n"/>
      <c r="C2939" s="123" t="n"/>
      <c r="D2939" s="123" t="n"/>
      <c r="E2939" s="123" t="n"/>
      <c r="F2939" s="125" t="n"/>
      <c r="G2939" s="123" t="n"/>
      <c r="H2939" s="123" t="n"/>
      <c r="I2939" s="123" t="n"/>
      <c r="J2939" s="123" t="n"/>
      <c r="K2939" s="123" t="n"/>
      <c r="L2939" s="123" t="n"/>
      <c r="M2939" s="123">
        <f>IF(AND(B2939&lt;&gt;"",OR($C$4="",ISNUMBER(SEARCH($C$4,C2939&amp;" "&amp;E2939&amp;" "&amp;G2939&amp;" "&amp;H2939&amp;" "&amp;I2939&amp;" "&amp;J2939&amp;" "&amp;K2939&amp;" "&amp;L2939))),OR($C$5="Semua",$C$5="",G2939=$C$5),OR($C$6="Semua",$C$6="",H2939=$C$6,H2939="Pengeluaran "&amp;$C$6,AND($C$6="Uang Kos Mama",H2939="Pengeluaran Uang Kos")),OR($C$7="Semua",$C$7="",I2939=$C$7),OR($C$8="Semua",$C$8="",C2939=$C$8,E2939=$C$8),OR($C$9="Semua",$C$9="",D2939=$C$9),OR($C$10="",B2939&gt;=$C$10),OR($C$11="",B2939&lt;=$C$11),OR($C$12&lt;&gt;"Ya",K2939&lt;&gt;""),OR($C$13="Semua",$C$13="",L2939=$C$13)),"✓","")</f>
        <v/>
      </c>
      <c r="N2939" s="93">
        <f>N(N2938)+IF(M2939="✓",1,0)</f>
        <v/>
      </c>
      <c r="O2939" s="93">
        <f>N(O2938)+IF(AND(B2939&lt;&gt;"",B2939&gt;='Uang Riba'!$H$30,B2939&lt;='Uang Riba'!$I$30,OR(H2939="Dana riba",H2939="Pinjam uang riba",I2939="Pinjam dari uang riba",I2939="Ganti uang riba",I2939="Kelebihan ganti dikembalikan",AND(C2939="Kantong Uang Riba",G2939="Pengeluaran"))),1,0)</f>
        <v/>
      </c>
      <c r="X2939" s="93">
        <f>IF(AND(B2939&lt;&gt;"",B2939&gt;='Buku Akun'!$H$4,B2939&lt;='Buku Akun'!$H$5,OR(C2939='Buku Akun'!$C$4,AND(D2939="Pindah",E2939='Buku Akun'!$C$4))),B2939+IF(AND(I2939="Selisih bunga",DAY(B2939)=1),0,0.01)+ROW()/10000000,"")</f>
        <v/>
      </c>
    </row>
    <row r="2940" outlineLevel="1" ht="15" customHeight="1" s="94">
      <c r="A2940" s="123">
        <f>IF(B2940="","",ROW()-15)</f>
        <v/>
      </c>
      <c r="B2940" s="124" t="n"/>
      <c r="C2940" s="123" t="n"/>
      <c r="D2940" s="123" t="n"/>
      <c r="E2940" s="123" t="n"/>
      <c r="F2940" s="125" t="n"/>
      <c r="G2940" s="123" t="n"/>
      <c r="H2940" s="123" t="n"/>
      <c r="I2940" s="123" t="n"/>
      <c r="J2940" s="123" t="n"/>
      <c r="K2940" s="123" t="n"/>
      <c r="L2940" s="123" t="n"/>
      <c r="M2940" s="123">
        <f>IF(AND(B2940&lt;&gt;"",OR($C$4="",ISNUMBER(SEARCH($C$4,C2940&amp;" "&amp;E2940&amp;" "&amp;G2940&amp;" "&amp;H2940&amp;" "&amp;I2940&amp;" "&amp;J2940&amp;" "&amp;K2940&amp;" "&amp;L2940))),OR($C$5="Semua",$C$5="",G2940=$C$5),OR($C$6="Semua",$C$6="",H2940=$C$6,H2940="Pengeluaran "&amp;$C$6,AND($C$6="Uang Kos Mama",H2940="Pengeluaran Uang Kos")),OR($C$7="Semua",$C$7="",I2940=$C$7),OR($C$8="Semua",$C$8="",C2940=$C$8,E2940=$C$8),OR($C$9="Semua",$C$9="",D2940=$C$9),OR($C$10="",B2940&gt;=$C$10),OR($C$11="",B2940&lt;=$C$11),OR($C$12&lt;&gt;"Ya",K2940&lt;&gt;""),OR($C$13="Semua",$C$13="",L2940=$C$13)),"✓","")</f>
        <v/>
      </c>
      <c r="N2940" s="93">
        <f>N(N2939)+IF(M2940="✓",1,0)</f>
        <v/>
      </c>
      <c r="O2940" s="93">
        <f>N(O2939)+IF(AND(B2940&lt;&gt;"",B2940&gt;='Uang Riba'!$H$30,B2940&lt;='Uang Riba'!$I$30,OR(H2940="Dana riba",H2940="Pinjam uang riba",I2940="Pinjam dari uang riba",I2940="Ganti uang riba",I2940="Kelebihan ganti dikembalikan",AND(C2940="Kantong Uang Riba",G2940="Pengeluaran"))),1,0)</f>
        <v/>
      </c>
      <c r="X2940" s="93">
        <f>IF(AND(B2940&lt;&gt;"",B2940&gt;='Buku Akun'!$H$4,B2940&lt;='Buku Akun'!$H$5,OR(C2940='Buku Akun'!$C$4,AND(D2940="Pindah",E2940='Buku Akun'!$C$4))),B2940+IF(AND(I2940="Selisih bunga",DAY(B2940)=1),0,0.01)+ROW()/10000000,"")</f>
        <v/>
      </c>
    </row>
    <row r="2941" outlineLevel="1" ht="15" customHeight="1" s="94">
      <c r="A2941" s="123">
        <f>IF(B2941="","",ROW()-15)</f>
        <v/>
      </c>
      <c r="B2941" s="124" t="n"/>
      <c r="C2941" s="123" t="n"/>
      <c r="D2941" s="123" t="n"/>
      <c r="E2941" s="123" t="n"/>
      <c r="F2941" s="125" t="n"/>
      <c r="G2941" s="123" t="n"/>
      <c r="H2941" s="123" t="n"/>
      <c r="I2941" s="123" t="n"/>
      <c r="J2941" s="123" t="n"/>
      <c r="K2941" s="123" t="n"/>
      <c r="L2941" s="123" t="n"/>
      <c r="M2941" s="123">
        <f>IF(AND(B2941&lt;&gt;"",OR($C$4="",ISNUMBER(SEARCH($C$4,C2941&amp;" "&amp;E2941&amp;" "&amp;G2941&amp;" "&amp;H2941&amp;" "&amp;I2941&amp;" "&amp;J2941&amp;" "&amp;K2941&amp;" "&amp;L2941))),OR($C$5="Semua",$C$5="",G2941=$C$5),OR($C$6="Semua",$C$6="",H2941=$C$6,H2941="Pengeluaran "&amp;$C$6,AND($C$6="Uang Kos Mama",H2941="Pengeluaran Uang Kos")),OR($C$7="Semua",$C$7="",I2941=$C$7),OR($C$8="Semua",$C$8="",C2941=$C$8,E2941=$C$8),OR($C$9="Semua",$C$9="",D2941=$C$9),OR($C$10="",B2941&gt;=$C$10),OR($C$11="",B2941&lt;=$C$11),OR($C$12&lt;&gt;"Ya",K2941&lt;&gt;""),OR($C$13="Semua",$C$13="",L2941=$C$13)),"✓","")</f>
        <v/>
      </c>
      <c r="N2941" s="93">
        <f>N(N2940)+IF(M2941="✓",1,0)</f>
        <v/>
      </c>
      <c r="O2941" s="93">
        <f>N(O2940)+IF(AND(B2941&lt;&gt;"",B2941&gt;='Uang Riba'!$H$30,B2941&lt;='Uang Riba'!$I$30,OR(H2941="Dana riba",H2941="Pinjam uang riba",I2941="Pinjam dari uang riba",I2941="Ganti uang riba",I2941="Kelebihan ganti dikembalikan",AND(C2941="Kantong Uang Riba",G2941="Pengeluaran"))),1,0)</f>
        <v/>
      </c>
      <c r="X2941" s="93">
        <f>IF(AND(B2941&lt;&gt;"",B2941&gt;='Buku Akun'!$H$4,B2941&lt;='Buku Akun'!$H$5,OR(C2941='Buku Akun'!$C$4,AND(D2941="Pindah",E2941='Buku Akun'!$C$4))),B2941+IF(AND(I2941="Selisih bunga",DAY(B2941)=1),0,0.01)+ROW()/10000000,"")</f>
        <v/>
      </c>
    </row>
    <row r="2942" outlineLevel="1" ht="15" customHeight="1" s="94">
      <c r="A2942" s="123">
        <f>IF(B2942="","",ROW()-15)</f>
        <v/>
      </c>
      <c r="B2942" s="124" t="n"/>
      <c r="C2942" s="123" t="n"/>
      <c r="D2942" s="123" t="n"/>
      <c r="E2942" s="123" t="n"/>
      <c r="F2942" s="125" t="n"/>
      <c r="G2942" s="123" t="n"/>
      <c r="H2942" s="123" t="n"/>
      <c r="I2942" s="123" t="n"/>
      <c r="J2942" s="123" t="n"/>
      <c r="K2942" s="123" t="n"/>
      <c r="L2942" s="123" t="n"/>
      <c r="M2942" s="123">
        <f>IF(AND(B2942&lt;&gt;"",OR($C$4="",ISNUMBER(SEARCH($C$4,C2942&amp;" "&amp;E2942&amp;" "&amp;G2942&amp;" "&amp;H2942&amp;" "&amp;I2942&amp;" "&amp;J2942&amp;" "&amp;K2942&amp;" "&amp;L2942))),OR($C$5="Semua",$C$5="",G2942=$C$5),OR($C$6="Semua",$C$6="",H2942=$C$6,H2942="Pengeluaran "&amp;$C$6,AND($C$6="Uang Kos Mama",H2942="Pengeluaran Uang Kos")),OR($C$7="Semua",$C$7="",I2942=$C$7),OR($C$8="Semua",$C$8="",C2942=$C$8,E2942=$C$8),OR($C$9="Semua",$C$9="",D2942=$C$9),OR($C$10="",B2942&gt;=$C$10),OR($C$11="",B2942&lt;=$C$11),OR($C$12&lt;&gt;"Ya",K2942&lt;&gt;""),OR($C$13="Semua",$C$13="",L2942=$C$13)),"✓","")</f>
        <v/>
      </c>
      <c r="N2942" s="93">
        <f>N(N2941)+IF(M2942="✓",1,0)</f>
        <v/>
      </c>
      <c r="O2942" s="93">
        <f>N(O2941)+IF(AND(B2942&lt;&gt;"",B2942&gt;='Uang Riba'!$H$30,B2942&lt;='Uang Riba'!$I$30,OR(H2942="Dana riba",H2942="Pinjam uang riba",I2942="Pinjam dari uang riba",I2942="Ganti uang riba",I2942="Kelebihan ganti dikembalikan",AND(C2942="Kantong Uang Riba",G2942="Pengeluaran"))),1,0)</f>
        <v/>
      </c>
      <c r="X2942" s="93">
        <f>IF(AND(B2942&lt;&gt;"",B2942&gt;='Buku Akun'!$H$4,B2942&lt;='Buku Akun'!$H$5,OR(C2942='Buku Akun'!$C$4,AND(D2942="Pindah",E2942='Buku Akun'!$C$4))),B2942+IF(AND(I2942="Selisih bunga",DAY(B2942)=1),0,0.01)+ROW()/10000000,"")</f>
        <v/>
      </c>
    </row>
    <row r="2943" outlineLevel="1" ht="15" customHeight="1" s="94">
      <c r="A2943" s="123">
        <f>IF(B2943="","",ROW()-15)</f>
        <v/>
      </c>
      <c r="B2943" s="124" t="n"/>
      <c r="C2943" s="123" t="n"/>
      <c r="D2943" s="123" t="n"/>
      <c r="E2943" s="123" t="n"/>
      <c r="F2943" s="125" t="n"/>
      <c r="G2943" s="123" t="n"/>
      <c r="H2943" s="123" t="n"/>
      <c r="I2943" s="123" t="n"/>
      <c r="J2943" s="123" t="n"/>
      <c r="K2943" s="123" t="n"/>
      <c r="L2943" s="123" t="n"/>
      <c r="M2943" s="123">
        <f>IF(AND(B2943&lt;&gt;"",OR($C$4="",ISNUMBER(SEARCH($C$4,C2943&amp;" "&amp;E2943&amp;" "&amp;G2943&amp;" "&amp;H2943&amp;" "&amp;I2943&amp;" "&amp;J2943&amp;" "&amp;K2943&amp;" "&amp;L2943))),OR($C$5="Semua",$C$5="",G2943=$C$5),OR($C$6="Semua",$C$6="",H2943=$C$6,H2943="Pengeluaran "&amp;$C$6,AND($C$6="Uang Kos Mama",H2943="Pengeluaran Uang Kos")),OR($C$7="Semua",$C$7="",I2943=$C$7),OR($C$8="Semua",$C$8="",C2943=$C$8,E2943=$C$8),OR($C$9="Semua",$C$9="",D2943=$C$9),OR($C$10="",B2943&gt;=$C$10),OR($C$11="",B2943&lt;=$C$11),OR($C$12&lt;&gt;"Ya",K2943&lt;&gt;""),OR($C$13="Semua",$C$13="",L2943=$C$13)),"✓","")</f>
        <v/>
      </c>
      <c r="N2943" s="93">
        <f>N(N2942)+IF(M2943="✓",1,0)</f>
        <v/>
      </c>
      <c r="O2943" s="93">
        <f>N(O2942)+IF(AND(B2943&lt;&gt;"",B2943&gt;='Uang Riba'!$H$30,B2943&lt;='Uang Riba'!$I$30,OR(H2943="Dana riba",H2943="Pinjam uang riba",I2943="Pinjam dari uang riba",I2943="Ganti uang riba",I2943="Kelebihan ganti dikembalikan",AND(C2943="Kantong Uang Riba",G2943="Pengeluaran"))),1,0)</f>
        <v/>
      </c>
      <c r="X2943" s="93">
        <f>IF(AND(B2943&lt;&gt;"",B2943&gt;='Buku Akun'!$H$4,B2943&lt;='Buku Akun'!$H$5,OR(C2943='Buku Akun'!$C$4,AND(D2943="Pindah",E2943='Buku Akun'!$C$4))),B2943+IF(AND(I2943="Selisih bunga",DAY(B2943)=1),0,0.01)+ROW()/10000000,"")</f>
        <v/>
      </c>
    </row>
    <row r="2944" outlineLevel="1" ht="15" customHeight="1" s="94">
      <c r="A2944" s="123">
        <f>IF(B2944="","",ROW()-15)</f>
        <v/>
      </c>
      <c r="B2944" s="124" t="n"/>
      <c r="C2944" s="123" t="n"/>
      <c r="D2944" s="123" t="n"/>
      <c r="E2944" s="123" t="n"/>
      <c r="F2944" s="125" t="n"/>
      <c r="G2944" s="123" t="n"/>
      <c r="H2944" s="123" t="n"/>
      <c r="I2944" s="123" t="n"/>
      <c r="J2944" s="123" t="n"/>
      <c r="K2944" s="123" t="n"/>
      <c r="L2944" s="123" t="n"/>
      <c r="M2944" s="123">
        <f>IF(AND(B2944&lt;&gt;"",OR($C$4="",ISNUMBER(SEARCH($C$4,C2944&amp;" "&amp;E2944&amp;" "&amp;G2944&amp;" "&amp;H2944&amp;" "&amp;I2944&amp;" "&amp;J2944&amp;" "&amp;K2944&amp;" "&amp;L2944))),OR($C$5="Semua",$C$5="",G2944=$C$5),OR($C$6="Semua",$C$6="",H2944=$C$6,H2944="Pengeluaran "&amp;$C$6,AND($C$6="Uang Kos Mama",H2944="Pengeluaran Uang Kos")),OR($C$7="Semua",$C$7="",I2944=$C$7),OR($C$8="Semua",$C$8="",C2944=$C$8,E2944=$C$8),OR($C$9="Semua",$C$9="",D2944=$C$9),OR($C$10="",B2944&gt;=$C$10),OR($C$11="",B2944&lt;=$C$11),OR($C$12&lt;&gt;"Ya",K2944&lt;&gt;""),OR($C$13="Semua",$C$13="",L2944=$C$13)),"✓","")</f>
        <v/>
      </c>
      <c r="N2944" s="93">
        <f>N(N2943)+IF(M2944="✓",1,0)</f>
        <v/>
      </c>
      <c r="O2944" s="93">
        <f>N(O2943)+IF(AND(B2944&lt;&gt;"",B2944&gt;='Uang Riba'!$H$30,B2944&lt;='Uang Riba'!$I$30,OR(H2944="Dana riba",H2944="Pinjam uang riba",I2944="Pinjam dari uang riba",I2944="Ganti uang riba",I2944="Kelebihan ganti dikembalikan",AND(C2944="Kantong Uang Riba",G2944="Pengeluaran"))),1,0)</f>
        <v/>
      </c>
      <c r="X2944" s="93">
        <f>IF(AND(B2944&lt;&gt;"",B2944&gt;='Buku Akun'!$H$4,B2944&lt;='Buku Akun'!$H$5,OR(C2944='Buku Akun'!$C$4,AND(D2944="Pindah",E2944='Buku Akun'!$C$4))),B2944+IF(AND(I2944="Selisih bunga",DAY(B2944)=1),0,0.01)+ROW()/10000000,"")</f>
        <v/>
      </c>
    </row>
    <row r="2945" outlineLevel="1" ht="15" customHeight="1" s="94">
      <c r="A2945" s="123">
        <f>IF(B2945="","",ROW()-15)</f>
        <v/>
      </c>
      <c r="B2945" s="124" t="n"/>
      <c r="C2945" s="123" t="n"/>
      <c r="D2945" s="123" t="n"/>
      <c r="E2945" s="123" t="n"/>
      <c r="F2945" s="125" t="n"/>
      <c r="G2945" s="123" t="n"/>
      <c r="H2945" s="123" t="n"/>
      <c r="I2945" s="123" t="n"/>
      <c r="J2945" s="123" t="n"/>
      <c r="K2945" s="123" t="n"/>
      <c r="L2945" s="123" t="n"/>
      <c r="M2945" s="123">
        <f>IF(AND(B2945&lt;&gt;"",OR($C$4="",ISNUMBER(SEARCH($C$4,C2945&amp;" "&amp;E2945&amp;" "&amp;G2945&amp;" "&amp;H2945&amp;" "&amp;I2945&amp;" "&amp;J2945&amp;" "&amp;K2945&amp;" "&amp;L2945))),OR($C$5="Semua",$C$5="",G2945=$C$5),OR($C$6="Semua",$C$6="",H2945=$C$6,H2945="Pengeluaran "&amp;$C$6,AND($C$6="Uang Kos Mama",H2945="Pengeluaran Uang Kos")),OR($C$7="Semua",$C$7="",I2945=$C$7),OR($C$8="Semua",$C$8="",C2945=$C$8,E2945=$C$8),OR($C$9="Semua",$C$9="",D2945=$C$9),OR($C$10="",B2945&gt;=$C$10),OR($C$11="",B2945&lt;=$C$11),OR($C$12&lt;&gt;"Ya",K2945&lt;&gt;""),OR($C$13="Semua",$C$13="",L2945=$C$13)),"✓","")</f>
        <v/>
      </c>
      <c r="N2945" s="93">
        <f>N(N2944)+IF(M2945="✓",1,0)</f>
        <v/>
      </c>
      <c r="O2945" s="93">
        <f>N(O2944)+IF(AND(B2945&lt;&gt;"",B2945&gt;='Uang Riba'!$H$30,B2945&lt;='Uang Riba'!$I$30,OR(H2945="Dana riba",H2945="Pinjam uang riba",I2945="Pinjam dari uang riba",I2945="Ganti uang riba",I2945="Kelebihan ganti dikembalikan",AND(C2945="Kantong Uang Riba",G2945="Pengeluaran"))),1,0)</f>
        <v/>
      </c>
      <c r="X2945" s="93">
        <f>IF(AND(B2945&lt;&gt;"",B2945&gt;='Buku Akun'!$H$4,B2945&lt;='Buku Akun'!$H$5,OR(C2945='Buku Akun'!$C$4,AND(D2945="Pindah",E2945='Buku Akun'!$C$4))),B2945+IF(AND(I2945="Selisih bunga",DAY(B2945)=1),0,0.01)+ROW()/10000000,"")</f>
        <v/>
      </c>
    </row>
    <row r="2946" outlineLevel="1" ht="15" customHeight="1" s="94">
      <c r="A2946" s="123">
        <f>IF(B2946="","",ROW()-15)</f>
        <v/>
      </c>
      <c r="B2946" s="124" t="n"/>
      <c r="C2946" s="123" t="n"/>
      <c r="D2946" s="123" t="n"/>
      <c r="E2946" s="123" t="n"/>
      <c r="F2946" s="125" t="n"/>
      <c r="G2946" s="123" t="n"/>
      <c r="H2946" s="123" t="n"/>
      <c r="I2946" s="123" t="n"/>
      <c r="J2946" s="123" t="n"/>
      <c r="K2946" s="123" t="n"/>
      <c r="L2946" s="123" t="n"/>
      <c r="M2946" s="123">
        <f>IF(AND(B2946&lt;&gt;"",OR($C$4="",ISNUMBER(SEARCH($C$4,C2946&amp;" "&amp;E2946&amp;" "&amp;G2946&amp;" "&amp;H2946&amp;" "&amp;I2946&amp;" "&amp;J2946&amp;" "&amp;K2946&amp;" "&amp;L2946))),OR($C$5="Semua",$C$5="",G2946=$C$5),OR($C$6="Semua",$C$6="",H2946=$C$6,H2946="Pengeluaran "&amp;$C$6,AND($C$6="Uang Kos Mama",H2946="Pengeluaran Uang Kos")),OR($C$7="Semua",$C$7="",I2946=$C$7),OR($C$8="Semua",$C$8="",C2946=$C$8,E2946=$C$8),OR($C$9="Semua",$C$9="",D2946=$C$9),OR($C$10="",B2946&gt;=$C$10),OR($C$11="",B2946&lt;=$C$11),OR($C$12&lt;&gt;"Ya",K2946&lt;&gt;""),OR($C$13="Semua",$C$13="",L2946=$C$13)),"✓","")</f>
        <v/>
      </c>
      <c r="N2946" s="93">
        <f>N(N2945)+IF(M2946="✓",1,0)</f>
        <v/>
      </c>
      <c r="O2946" s="93">
        <f>N(O2945)+IF(AND(B2946&lt;&gt;"",B2946&gt;='Uang Riba'!$H$30,B2946&lt;='Uang Riba'!$I$30,OR(H2946="Dana riba",H2946="Pinjam uang riba",I2946="Pinjam dari uang riba",I2946="Ganti uang riba",I2946="Kelebihan ganti dikembalikan",AND(C2946="Kantong Uang Riba",G2946="Pengeluaran"))),1,0)</f>
        <v/>
      </c>
      <c r="X2946" s="93">
        <f>IF(AND(B2946&lt;&gt;"",B2946&gt;='Buku Akun'!$H$4,B2946&lt;='Buku Akun'!$H$5,OR(C2946='Buku Akun'!$C$4,AND(D2946="Pindah",E2946='Buku Akun'!$C$4))),B2946+IF(AND(I2946="Selisih bunga",DAY(B2946)=1),0,0.01)+ROW()/10000000,"")</f>
        <v/>
      </c>
    </row>
    <row r="2947" outlineLevel="1" ht="15" customHeight="1" s="94">
      <c r="A2947" s="123">
        <f>IF(B2947="","",ROW()-15)</f>
        <v/>
      </c>
      <c r="B2947" s="124" t="n"/>
      <c r="C2947" s="123" t="n"/>
      <c r="D2947" s="123" t="n"/>
      <c r="E2947" s="123" t="n"/>
      <c r="F2947" s="125" t="n"/>
      <c r="G2947" s="123" t="n"/>
      <c r="H2947" s="123" t="n"/>
      <c r="I2947" s="123" t="n"/>
      <c r="J2947" s="123" t="n"/>
      <c r="K2947" s="123" t="n"/>
      <c r="L2947" s="123" t="n"/>
      <c r="M2947" s="123">
        <f>IF(AND(B2947&lt;&gt;"",OR($C$4="",ISNUMBER(SEARCH($C$4,C2947&amp;" "&amp;E2947&amp;" "&amp;G2947&amp;" "&amp;H2947&amp;" "&amp;I2947&amp;" "&amp;J2947&amp;" "&amp;K2947&amp;" "&amp;L2947))),OR($C$5="Semua",$C$5="",G2947=$C$5),OR($C$6="Semua",$C$6="",H2947=$C$6,H2947="Pengeluaran "&amp;$C$6,AND($C$6="Uang Kos Mama",H2947="Pengeluaran Uang Kos")),OR($C$7="Semua",$C$7="",I2947=$C$7),OR($C$8="Semua",$C$8="",C2947=$C$8,E2947=$C$8),OR($C$9="Semua",$C$9="",D2947=$C$9),OR($C$10="",B2947&gt;=$C$10),OR($C$11="",B2947&lt;=$C$11),OR($C$12&lt;&gt;"Ya",K2947&lt;&gt;""),OR($C$13="Semua",$C$13="",L2947=$C$13)),"✓","")</f>
        <v/>
      </c>
      <c r="N2947" s="93">
        <f>N(N2946)+IF(M2947="✓",1,0)</f>
        <v/>
      </c>
      <c r="O2947" s="93">
        <f>N(O2946)+IF(AND(B2947&lt;&gt;"",B2947&gt;='Uang Riba'!$H$30,B2947&lt;='Uang Riba'!$I$30,OR(H2947="Dana riba",H2947="Pinjam uang riba",I2947="Pinjam dari uang riba",I2947="Ganti uang riba",I2947="Kelebihan ganti dikembalikan",AND(C2947="Kantong Uang Riba",G2947="Pengeluaran"))),1,0)</f>
        <v/>
      </c>
      <c r="X2947" s="93">
        <f>IF(AND(B2947&lt;&gt;"",B2947&gt;='Buku Akun'!$H$4,B2947&lt;='Buku Akun'!$H$5,OR(C2947='Buku Akun'!$C$4,AND(D2947="Pindah",E2947='Buku Akun'!$C$4))),B2947+IF(AND(I2947="Selisih bunga",DAY(B2947)=1),0,0.01)+ROW()/10000000,"")</f>
        <v/>
      </c>
    </row>
    <row r="2948" outlineLevel="1" ht="15" customHeight="1" s="94">
      <c r="A2948" s="123">
        <f>IF(B2948="","",ROW()-15)</f>
        <v/>
      </c>
      <c r="B2948" s="124" t="n"/>
      <c r="C2948" s="123" t="n"/>
      <c r="D2948" s="123" t="n"/>
      <c r="E2948" s="123" t="n"/>
      <c r="F2948" s="125" t="n"/>
      <c r="G2948" s="123" t="n"/>
      <c r="H2948" s="123" t="n"/>
      <c r="I2948" s="123" t="n"/>
      <c r="J2948" s="123" t="n"/>
      <c r="K2948" s="123" t="n"/>
      <c r="L2948" s="123" t="n"/>
      <c r="M2948" s="123">
        <f>IF(AND(B2948&lt;&gt;"",OR($C$4="",ISNUMBER(SEARCH($C$4,C2948&amp;" "&amp;E2948&amp;" "&amp;G2948&amp;" "&amp;H2948&amp;" "&amp;I2948&amp;" "&amp;J2948&amp;" "&amp;K2948&amp;" "&amp;L2948))),OR($C$5="Semua",$C$5="",G2948=$C$5),OR($C$6="Semua",$C$6="",H2948=$C$6,H2948="Pengeluaran "&amp;$C$6,AND($C$6="Uang Kos Mama",H2948="Pengeluaran Uang Kos")),OR($C$7="Semua",$C$7="",I2948=$C$7),OR($C$8="Semua",$C$8="",C2948=$C$8,E2948=$C$8),OR($C$9="Semua",$C$9="",D2948=$C$9),OR($C$10="",B2948&gt;=$C$10),OR($C$11="",B2948&lt;=$C$11),OR($C$12&lt;&gt;"Ya",K2948&lt;&gt;""),OR($C$13="Semua",$C$13="",L2948=$C$13)),"✓","")</f>
        <v/>
      </c>
      <c r="N2948" s="93">
        <f>N(N2947)+IF(M2948="✓",1,0)</f>
        <v/>
      </c>
      <c r="O2948" s="93">
        <f>N(O2947)+IF(AND(B2948&lt;&gt;"",B2948&gt;='Uang Riba'!$H$30,B2948&lt;='Uang Riba'!$I$30,OR(H2948="Dana riba",H2948="Pinjam uang riba",I2948="Pinjam dari uang riba",I2948="Ganti uang riba",I2948="Kelebihan ganti dikembalikan",AND(C2948="Kantong Uang Riba",G2948="Pengeluaran"))),1,0)</f>
        <v/>
      </c>
      <c r="X2948" s="93">
        <f>IF(AND(B2948&lt;&gt;"",B2948&gt;='Buku Akun'!$H$4,B2948&lt;='Buku Akun'!$H$5,OR(C2948='Buku Akun'!$C$4,AND(D2948="Pindah",E2948='Buku Akun'!$C$4))),B2948+IF(AND(I2948="Selisih bunga",DAY(B2948)=1),0,0.01)+ROW()/10000000,"")</f>
        <v/>
      </c>
    </row>
    <row r="2949" outlineLevel="1" ht="15" customHeight="1" s="94">
      <c r="A2949" s="123">
        <f>IF(B2949="","",ROW()-15)</f>
        <v/>
      </c>
      <c r="B2949" s="124" t="n"/>
      <c r="C2949" s="123" t="n"/>
      <c r="D2949" s="123" t="n"/>
      <c r="E2949" s="123" t="n"/>
      <c r="F2949" s="125" t="n"/>
      <c r="G2949" s="123" t="n"/>
      <c r="H2949" s="123" t="n"/>
      <c r="I2949" s="123" t="n"/>
      <c r="J2949" s="123" t="n"/>
      <c r="K2949" s="123" t="n"/>
      <c r="L2949" s="123" t="n"/>
      <c r="M2949" s="123">
        <f>IF(AND(B2949&lt;&gt;"",OR($C$4="",ISNUMBER(SEARCH($C$4,C2949&amp;" "&amp;E2949&amp;" "&amp;G2949&amp;" "&amp;H2949&amp;" "&amp;I2949&amp;" "&amp;J2949&amp;" "&amp;K2949&amp;" "&amp;L2949))),OR($C$5="Semua",$C$5="",G2949=$C$5),OR($C$6="Semua",$C$6="",H2949=$C$6,H2949="Pengeluaran "&amp;$C$6,AND($C$6="Uang Kos Mama",H2949="Pengeluaran Uang Kos")),OR($C$7="Semua",$C$7="",I2949=$C$7),OR($C$8="Semua",$C$8="",C2949=$C$8,E2949=$C$8),OR($C$9="Semua",$C$9="",D2949=$C$9),OR($C$10="",B2949&gt;=$C$10),OR($C$11="",B2949&lt;=$C$11),OR($C$12&lt;&gt;"Ya",K2949&lt;&gt;""),OR($C$13="Semua",$C$13="",L2949=$C$13)),"✓","")</f>
        <v/>
      </c>
      <c r="N2949" s="93">
        <f>N(N2948)+IF(M2949="✓",1,0)</f>
        <v/>
      </c>
      <c r="O2949" s="93">
        <f>N(O2948)+IF(AND(B2949&lt;&gt;"",B2949&gt;='Uang Riba'!$H$30,B2949&lt;='Uang Riba'!$I$30,OR(H2949="Dana riba",H2949="Pinjam uang riba",I2949="Pinjam dari uang riba",I2949="Ganti uang riba",I2949="Kelebihan ganti dikembalikan",AND(C2949="Kantong Uang Riba",G2949="Pengeluaran"))),1,0)</f>
        <v/>
      </c>
      <c r="X2949" s="93">
        <f>IF(AND(B2949&lt;&gt;"",B2949&gt;='Buku Akun'!$H$4,B2949&lt;='Buku Akun'!$H$5,OR(C2949='Buku Akun'!$C$4,AND(D2949="Pindah",E2949='Buku Akun'!$C$4))),B2949+IF(AND(I2949="Selisih bunga",DAY(B2949)=1),0,0.01)+ROW()/10000000,"")</f>
        <v/>
      </c>
    </row>
    <row r="2950" outlineLevel="1" ht="15" customHeight="1" s="94">
      <c r="A2950" s="123">
        <f>IF(B2950="","",ROW()-15)</f>
        <v/>
      </c>
      <c r="B2950" s="124" t="n"/>
      <c r="C2950" s="123" t="n"/>
      <c r="D2950" s="123" t="n"/>
      <c r="E2950" s="123" t="n"/>
      <c r="F2950" s="125" t="n"/>
      <c r="G2950" s="123" t="n"/>
      <c r="H2950" s="123" t="n"/>
      <c r="I2950" s="123" t="n"/>
      <c r="J2950" s="123" t="n"/>
      <c r="K2950" s="123" t="n"/>
      <c r="L2950" s="123" t="n"/>
      <c r="M2950" s="123">
        <f>IF(AND(B2950&lt;&gt;"",OR($C$4="",ISNUMBER(SEARCH($C$4,C2950&amp;" "&amp;E2950&amp;" "&amp;G2950&amp;" "&amp;H2950&amp;" "&amp;I2950&amp;" "&amp;J2950&amp;" "&amp;K2950&amp;" "&amp;L2950))),OR($C$5="Semua",$C$5="",G2950=$C$5),OR($C$6="Semua",$C$6="",H2950=$C$6,H2950="Pengeluaran "&amp;$C$6,AND($C$6="Uang Kos Mama",H2950="Pengeluaran Uang Kos")),OR($C$7="Semua",$C$7="",I2950=$C$7),OR($C$8="Semua",$C$8="",C2950=$C$8,E2950=$C$8),OR($C$9="Semua",$C$9="",D2950=$C$9),OR($C$10="",B2950&gt;=$C$10),OR($C$11="",B2950&lt;=$C$11),OR($C$12&lt;&gt;"Ya",K2950&lt;&gt;""),OR($C$13="Semua",$C$13="",L2950=$C$13)),"✓","")</f>
        <v/>
      </c>
      <c r="N2950" s="93">
        <f>N(N2949)+IF(M2950="✓",1,0)</f>
        <v/>
      </c>
      <c r="O2950" s="93">
        <f>N(O2949)+IF(AND(B2950&lt;&gt;"",B2950&gt;='Uang Riba'!$H$30,B2950&lt;='Uang Riba'!$I$30,OR(H2950="Dana riba",H2950="Pinjam uang riba",I2950="Pinjam dari uang riba",I2950="Ganti uang riba",I2950="Kelebihan ganti dikembalikan",AND(C2950="Kantong Uang Riba",G2950="Pengeluaran"))),1,0)</f>
        <v/>
      </c>
      <c r="X2950" s="93">
        <f>IF(AND(B2950&lt;&gt;"",B2950&gt;='Buku Akun'!$H$4,B2950&lt;='Buku Akun'!$H$5,OR(C2950='Buku Akun'!$C$4,AND(D2950="Pindah",E2950='Buku Akun'!$C$4))),B2950+IF(AND(I2950="Selisih bunga",DAY(B2950)=1),0,0.01)+ROW()/10000000,"")</f>
        <v/>
      </c>
    </row>
    <row r="2951" outlineLevel="1" ht="15" customHeight="1" s="94">
      <c r="A2951" s="123">
        <f>IF(B2951="","",ROW()-15)</f>
        <v/>
      </c>
      <c r="B2951" s="124" t="n"/>
      <c r="C2951" s="123" t="n"/>
      <c r="D2951" s="123" t="n"/>
      <c r="E2951" s="123" t="n"/>
      <c r="F2951" s="125" t="n"/>
      <c r="G2951" s="123" t="n"/>
      <c r="H2951" s="123" t="n"/>
      <c r="I2951" s="123" t="n"/>
      <c r="J2951" s="123" t="n"/>
      <c r="K2951" s="123" t="n"/>
      <c r="L2951" s="123" t="n"/>
      <c r="M2951" s="123">
        <f>IF(AND(B2951&lt;&gt;"",OR($C$4="",ISNUMBER(SEARCH($C$4,C2951&amp;" "&amp;E2951&amp;" "&amp;G2951&amp;" "&amp;H2951&amp;" "&amp;I2951&amp;" "&amp;J2951&amp;" "&amp;K2951&amp;" "&amp;L2951))),OR($C$5="Semua",$C$5="",G2951=$C$5),OR($C$6="Semua",$C$6="",H2951=$C$6,H2951="Pengeluaran "&amp;$C$6,AND($C$6="Uang Kos Mama",H2951="Pengeluaran Uang Kos")),OR($C$7="Semua",$C$7="",I2951=$C$7),OR($C$8="Semua",$C$8="",C2951=$C$8,E2951=$C$8),OR($C$9="Semua",$C$9="",D2951=$C$9),OR($C$10="",B2951&gt;=$C$10),OR($C$11="",B2951&lt;=$C$11),OR($C$12&lt;&gt;"Ya",K2951&lt;&gt;""),OR($C$13="Semua",$C$13="",L2951=$C$13)),"✓","")</f>
        <v/>
      </c>
      <c r="N2951" s="93">
        <f>N(N2950)+IF(M2951="✓",1,0)</f>
        <v/>
      </c>
      <c r="O2951" s="93">
        <f>N(O2950)+IF(AND(B2951&lt;&gt;"",B2951&gt;='Uang Riba'!$H$30,B2951&lt;='Uang Riba'!$I$30,OR(H2951="Dana riba",H2951="Pinjam uang riba",I2951="Pinjam dari uang riba",I2951="Ganti uang riba",I2951="Kelebihan ganti dikembalikan",AND(C2951="Kantong Uang Riba",G2951="Pengeluaran"))),1,0)</f>
        <v/>
      </c>
      <c r="X2951" s="93">
        <f>IF(AND(B2951&lt;&gt;"",B2951&gt;='Buku Akun'!$H$4,B2951&lt;='Buku Akun'!$H$5,OR(C2951='Buku Akun'!$C$4,AND(D2951="Pindah",E2951='Buku Akun'!$C$4))),B2951+IF(AND(I2951="Selisih bunga",DAY(B2951)=1),0,0.01)+ROW()/10000000,"")</f>
        <v/>
      </c>
    </row>
    <row r="2952" outlineLevel="1" ht="15" customHeight="1" s="94">
      <c r="A2952" s="123">
        <f>IF(B2952="","",ROW()-15)</f>
        <v/>
      </c>
      <c r="B2952" s="124" t="n"/>
      <c r="C2952" s="123" t="n"/>
      <c r="D2952" s="123" t="n"/>
      <c r="E2952" s="123" t="n"/>
      <c r="F2952" s="125" t="n"/>
      <c r="G2952" s="123" t="n"/>
      <c r="H2952" s="123" t="n"/>
      <c r="I2952" s="123" t="n"/>
      <c r="J2952" s="123" t="n"/>
      <c r="K2952" s="123" t="n"/>
      <c r="L2952" s="123" t="n"/>
      <c r="M2952" s="123">
        <f>IF(AND(B2952&lt;&gt;"",OR($C$4="",ISNUMBER(SEARCH($C$4,C2952&amp;" "&amp;E2952&amp;" "&amp;G2952&amp;" "&amp;H2952&amp;" "&amp;I2952&amp;" "&amp;J2952&amp;" "&amp;K2952&amp;" "&amp;L2952))),OR($C$5="Semua",$C$5="",G2952=$C$5),OR($C$6="Semua",$C$6="",H2952=$C$6,H2952="Pengeluaran "&amp;$C$6,AND($C$6="Uang Kos Mama",H2952="Pengeluaran Uang Kos")),OR($C$7="Semua",$C$7="",I2952=$C$7),OR($C$8="Semua",$C$8="",C2952=$C$8,E2952=$C$8),OR($C$9="Semua",$C$9="",D2952=$C$9),OR($C$10="",B2952&gt;=$C$10),OR($C$11="",B2952&lt;=$C$11),OR($C$12&lt;&gt;"Ya",K2952&lt;&gt;""),OR($C$13="Semua",$C$13="",L2952=$C$13)),"✓","")</f>
        <v/>
      </c>
      <c r="N2952" s="93">
        <f>N(N2951)+IF(M2952="✓",1,0)</f>
        <v/>
      </c>
      <c r="O2952" s="93">
        <f>N(O2951)+IF(AND(B2952&lt;&gt;"",B2952&gt;='Uang Riba'!$H$30,B2952&lt;='Uang Riba'!$I$30,OR(H2952="Dana riba",H2952="Pinjam uang riba",I2952="Pinjam dari uang riba",I2952="Ganti uang riba",I2952="Kelebihan ganti dikembalikan",AND(C2952="Kantong Uang Riba",G2952="Pengeluaran"))),1,0)</f>
        <v/>
      </c>
      <c r="X2952" s="93">
        <f>IF(AND(B2952&lt;&gt;"",B2952&gt;='Buku Akun'!$H$4,B2952&lt;='Buku Akun'!$H$5,OR(C2952='Buku Akun'!$C$4,AND(D2952="Pindah",E2952='Buku Akun'!$C$4))),B2952+IF(AND(I2952="Selisih bunga",DAY(B2952)=1),0,0.01)+ROW()/10000000,"")</f>
        <v/>
      </c>
    </row>
    <row r="2953" outlineLevel="1" ht="15" customHeight="1" s="94">
      <c r="A2953" s="123">
        <f>IF(B2953="","",ROW()-15)</f>
        <v/>
      </c>
      <c r="B2953" s="124" t="n"/>
      <c r="C2953" s="123" t="n"/>
      <c r="D2953" s="123" t="n"/>
      <c r="E2953" s="123" t="n"/>
      <c r="F2953" s="125" t="n"/>
      <c r="G2953" s="123" t="n"/>
      <c r="H2953" s="123" t="n"/>
      <c r="I2953" s="123" t="n"/>
      <c r="J2953" s="123" t="n"/>
      <c r="K2953" s="123" t="n"/>
      <c r="L2953" s="123" t="n"/>
      <c r="M2953" s="123">
        <f>IF(AND(B2953&lt;&gt;"",OR($C$4="",ISNUMBER(SEARCH($C$4,C2953&amp;" "&amp;E2953&amp;" "&amp;G2953&amp;" "&amp;H2953&amp;" "&amp;I2953&amp;" "&amp;J2953&amp;" "&amp;K2953&amp;" "&amp;L2953))),OR($C$5="Semua",$C$5="",G2953=$C$5),OR($C$6="Semua",$C$6="",H2953=$C$6,H2953="Pengeluaran "&amp;$C$6,AND($C$6="Uang Kos Mama",H2953="Pengeluaran Uang Kos")),OR($C$7="Semua",$C$7="",I2953=$C$7),OR($C$8="Semua",$C$8="",C2953=$C$8,E2953=$C$8),OR($C$9="Semua",$C$9="",D2953=$C$9),OR($C$10="",B2953&gt;=$C$10),OR($C$11="",B2953&lt;=$C$11),OR($C$12&lt;&gt;"Ya",K2953&lt;&gt;""),OR($C$13="Semua",$C$13="",L2953=$C$13)),"✓","")</f>
        <v/>
      </c>
      <c r="N2953" s="93">
        <f>N(N2952)+IF(M2953="✓",1,0)</f>
        <v/>
      </c>
      <c r="O2953" s="93">
        <f>N(O2952)+IF(AND(B2953&lt;&gt;"",B2953&gt;='Uang Riba'!$H$30,B2953&lt;='Uang Riba'!$I$30,OR(H2953="Dana riba",H2953="Pinjam uang riba",I2953="Pinjam dari uang riba",I2953="Ganti uang riba",I2953="Kelebihan ganti dikembalikan",AND(C2953="Kantong Uang Riba",G2953="Pengeluaran"))),1,0)</f>
        <v/>
      </c>
      <c r="X2953" s="93">
        <f>IF(AND(B2953&lt;&gt;"",B2953&gt;='Buku Akun'!$H$4,B2953&lt;='Buku Akun'!$H$5,OR(C2953='Buku Akun'!$C$4,AND(D2953="Pindah",E2953='Buku Akun'!$C$4))),B2953+IF(AND(I2953="Selisih bunga",DAY(B2953)=1),0,0.01)+ROW()/10000000,"")</f>
        <v/>
      </c>
    </row>
    <row r="2954" outlineLevel="1" ht="15" customHeight="1" s="94">
      <c r="A2954" s="123">
        <f>IF(B2954="","",ROW()-15)</f>
        <v/>
      </c>
      <c r="B2954" s="124" t="n"/>
      <c r="C2954" s="123" t="n"/>
      <c r="D2954" s="123" t="n"/>
      <c r="E2954" s="123" t="n"/>
      <c r="F2954" s="125" t="n"/>
      <c r="G2954" s="123" t="n"/>
      <c r="H2954" s="123" t="n"/>
      <c r="I2954" s="123" t="n"/>
      <c r="J2954" s="123" t="n"/>
      <c r="K2954" s="123" t="n"/>
      <c r="L2954" s="123" t="n"/>
      <c r="M2954" s="123">
        <f>IF(AND(B2954&lt;&gt;"",OR($C$4="",ISNUMBER(SEARCH($C$4,C2954&amp;" "&amp;E2954&amp;" "&amp;G2954&amp;" "&amp;H2954&amp;" "&amp;I2954&amp;" "&amp;J2954&amp;" "&amp;K2954&amp;" "&amp;L2954))),OR($C$5="Semua",$C$5="",G2954=$C$5),OR($C$6="Semua",$C$6="",H2954=$C$6,H2954="Pengeluaran "&amp;$C$6,AND($C$6="Uang Kos Mama",H2954="Pengeluaran Uang Kos")),OR($C$7="Semua",$C$7="",I2954=$C$7),OR($C$8="Semua",$C$8="",C2954=$C$8,E2954=$C$8),OR($C$9="Semua",$C$9="",D2954=$C$9),OR($C$10="",B2954&gt;=$C$10),OR($C$11="",B2954&lt;=$C$11),OR($C$12&lt;&gt;"Ya",K2954&lt;&gt;""),OR($C$13="Semua",$C$13="",L2954=$C$13)),"✓","")</f>
        <v/>
      </c>
      <c r="N2954" s="93">
        <f>N(N2953)+IF(M2954="✓",1,0)</f>
        <v/>
      </c>
      <c r="O2954" s="93">
        <f>N(O2953)+IF(AND(B2954&lt;&gt;"",B2954&gt;='Uang Riba'!$H$30,B2954&lt;='Uang Riba'!$I$30,OR(H2954="Dana riba",H2954="Pinjam uang riba",I2954="Pinjam dari uang riba",I2954="Ganti uang riba",I2954="Kelebihan ganti dikembalikan",AND(C2954="Kantong Uang Riba",G2954="Pengeluaran"))),1,0)</f>
        <v/>
      </c>
      <c r="X2954" s="93">
        <f>IF(AND(B2954&lt;&gt;"",B2954&gt;='Buku Akun'!$H$4,B2954&lt;='Buku Akun'!$H$5,OR(C2954='Buku Akun'!$C$4,AND(D2954="Pindah",E2954='Buku Akun'!$C$4))),B2954+IF(AND(I2954="Selisih bunga",DAY(B2954)=1),0,0.01)+ROW()/10000000,"")</f>
        <v/>
      </c>
    </row>
    <row r="2955" outlineLevel="1" ht="15" customHeight="1" s="94">
      <c r="A2955" s="123">
        <f>IF(B2955="","",ROW()-15)</f>
        <v/>
      </c>
      <c r="B2955" s="124" t="n"/>
      <c r="C2955" s="123" t="n"/>
      <c r="D2955" s="123" t="n"/>
      <c r="E2955" s="123" t="n"/>
      <c r="F2955" s="125" t="n"/>
      <c r="G2955" s="123" t="n"/>
      <c r="H2955" s="123" t="n"/>
      <c r="I2955" s="123" t="n"/>
      <c r="J2955" s="123" t="n"/>
      <c r="K2955" s="123" t="n"/>
      <c r="L2955" s="123" t="n"/>
      <c r="M2955" s="123">
        <f>IF(AND(B2955&lt;&gt;"",OR($C$4="",ISNUMBER(SEARCH($C$4,C2955&amp;" "&amp;E2955&amp;" "&amp;G2955&amp;" "&amp;H2955&amp;" "&amp;I2955&amp;" "&amp;J2955&amp;" "&amp;K2955&amp;" "&amp;L2955))),OR($C$5="Semua",$C$5="",G2955=$C$5),OR($C$6="Semua",$C$6="",H2955=$C$6,H2955="Pengeluaran "&amp;$C$6,AND($C$6="Uang Kos Mama",H2955="Pengeluaran Uang Kos")),OR($C$7="Semua",$C$7="",I2955=$C$7),OR($C$8="Semua",$C$8="",C2955=$C$8,E2955=$C$8),OR($C$9="Semua",$C$9="",D2955=$C$9),OR($C$10="",B2955&gt;=$C$10),OR($C$11="",B2955&lt;=$C$11),OR($C$12&lt;&gt;"Ya",K2955&lt;&gt;""),OR($C$13="Semua",$C$13="",L2955=$C$13)),"✓","")</f>
        <v/>
      </c>
      <c r="N2955" s="93">
        <f>N(N2954)+IF(M2955="✓",1,0)</f>
        <v/>
      </c>
      <c r="O2955" s="93">
        <f>N(O2954)+IF(AND(B2955&lt;&gt;"",B2955&gt;='Uang Riba'!$H$30,B2955&lt;='Uang Riba'!$I$30,OR(H2955="Dana riba",H2955="Pinjam uang riba",I2955="Pinjam dari uang riba",I2955="Ganti uang riba",I2955="Kelebihan ganti dikembalikan",AND(C2955="Kantong Uang Riba",G2955="Pengeluaran"))),1,0)</f>
        <v/>
      </c>
      <c r="X2955" s="93">
        <f>IF(AND(B2955&lt;&gt;"",B2955&gt;='Buku Akun'!$H$4,B2955&lt;='Buku Akun'!$H$5,OR(C2955='Buku Akun'!$C$4,AND(D2955="Pindah",E2955='Buku Akun'!$C$4))),B2955+IF(AND(I2955="Selisih bunga",DAY(B2955)=1),0,0.01)+ROW()/10000000,"")</f>
        <v/>
      </c>
    </row>
    <row r="2956" outlineLevel="1" ht="15" customHeight="1" s="94">
      <c r="A2956" s="123">
        <f>IF(B2956="","",ROW()-15)</f>
        <v/>
      </c>
      <c r="B2956" s="124" t="n"/>
      <c r="C2956" s="123" t="n"/>
      <c r="D2956" s="123" t="n"/>
      <c r="E2956" s="123" t="n"/>
      <c r="F2956" s="125" t="n"/>
      <c r="G2956" s="123" t="n"/>
      <c r="H2956" s="123" t="n"/>
      <c r="I2956" s="123" t="n"/>
      <c r="J2956" s="123" t="n"/>
      <c r="K2956" s="123" t="n"/>
      <c r="L2956" s="123" t="n"/>
      <c r="M2956" s="123">
        <f>IF(AND(B2956&lt;&gt;"",OR($C$4="",ISNUMBER(SEARCH($C$4,C2956&amp;" "&amp;E2956&amp;" "&amp;G2956&amp;" "&amp;H2956&amp;" "&amp;I2956&amp;" "&amp;J2956&amp;" "&amp;K2956&amp;" "&amp;L2956))),OR($C$5="Semua",$C$5="",G2956=$C$5),OR($C$6="Semua",$C$6="",H2956=$C$6,H2956="Pengeluaran "&amp;$C$6,AND($C$6="Uang Kos Mama",H2956="Pengeluaran Uang Kos")),OR($C$7="Semua",$C$7="",I2956=$C$7),OR($C$8="Semua",$C$8="",C2956=$C$8,E2956=$C$8),OR($C$9="Semua",$C$9="",D2956=$C$9),OR($C$10="",B2956&gt;=$C$10),OR($C$11="",B2956&lt;=$C$11),OR($C$12&lt;&gt;"Ya",K2956&lt;&gt;""),OR($C$13="Semua",$C$13="",L2956=$C$13)),"✓","")</f>
        <v/>
      </c>
      <c r="N2956" s="93">
        <f>N(N2955)+IF(M2956="✓",1,0)</f>
        <v/>
      </c>
      <c r="O2956" s="93">
        <f>N(O2955)+IF(AND(B2956&lt;&gt;"",B2956&gt;='Uang Riba'!$H$30,B2956&lt;='Uang Riba'!$I$30,OR(H2956="Dana riba",H2956="Pinjam uang riba",I2956="Pinjam dari uang riba",I2956="Ganti uang riba",I2956="Kelebihan ganti dikembalikan",AND(C2956="Kantong Uang Riba",G2956="Pengeluaran"))),1,0)</f>
        <v/>
      </c>
      <c r="X2956" s="93">
        <f>IF(AND(B2956&lt;&gt;"",B2956&gt;='Buku Akun'!$H$4,B2956&lt;='Buku Akun'!$H$5,OR(C2956='Buku Akun'!$C$4,AND(D2956="Pindah",E2956='Buku Akun'!$C$4))),B2956+IF(AND(I2956="Selisih bunga",DAY(B2956)=1),0,0.01)+ROW()/10000000,"")</f>
        <v/>
      </c>
    </row>
    <row r="2957" outlineLevel="1" ht="15" customHeight="1" s="94">
      <c r="A2957" s="123">
        <f>IF(B2957="","",ROW()-15)</f>
        <v/>
      </c>
      <c r="B2957" s="124" t="n"/>
      <c r="C2957" s="123" t="n"/>
      <c r="D2957" s="123" t="n"/>
      <c r="E2957" s="123" t="n"/>
      <c r="F2957" s="125" t="n"/>
      <c r="G2957" s="123" t="n"/>
      <c r="H2957" s="123" t="n"/>
      <c r="I2957" s="123" t="n"/>
      <c r="J2957" s="123" t="n"/>
      <c r="K2957" s="123" t="n"/>
      <c r="L2957" s="123" t="n"/>
      <c r="M2957" s="123">
        <f>IF(AND(B2957&lt;&gt;"",OR($C$4="",ISNUMBER(SEARCH($C$4,C2957&amp;" "&amp;E2957&amp;" "&amp;G2957&amp;" "&amp;H2957&amp;" "&amp;I2957&amp;" "&amp;J2957&amp;" "&amp;K2957&amp;" "&amp;L2957))),OR($C$5="Semua",$C$5="",G2957=$C$5),OR($C$6="Semua",$C$6="",H2957=$C$6,H2957="Pengeluaran "&amp;$C$6,AND($C$6="Uang Kos Mama",H2957="Pengeluaran Uang Kos")),OR($C$7="Semua",$C$7="",I2957=$C$7),OR($C$8="Semua",$C$8="",C2957=$C$8,E2957=$C$8),OR($C$9="Semua",$C$9="",D2957=$C$9),OR($C$10="",B2957&gt;=$C$10),OR($C$11="",B2957&lt;=$C$11),OR($C$12&lt;&gt;"Ya",K2957&lt;&gt;""),OR($C$13="Semua",$C$13="",L2957=$C$13)),"✓","")</f>
        <v/>
      </c>
      <c r="N2957" s="93">
        <f>N(N2956)+IF(M2957="✓",1,0)</f>
        <v/>
      </c>
      <c r="O2957" s="93">
        <f>N(O2956)+IF(AND(B2957&lt;&gt;"",B2957&gt;='Uang Riba'!$H$30,B2957&lt;='Uang Riba'!$I$30,OR(H2957="Dana riba",H2957="Pinjam uang riba",I2957="Pinjam dari uang riba",I2957="Ganti uang riba",I2957="Kelebihan ganti dikembalikan",AND(C2957="Kantong Uang Riba",G2957="Pengeluaran"))),1,0)</f>
        <v/>
      </c>
      <c r="X2957" s="93">
        <f>IF(AND(B2957&lt;&gt;"",B2957&gt;='Buku Akun'!$H$4,B2957&lt;='Buku Akun'!$H$5,OR(C2957='Buku Akun'!$C$4,AND(D2957="Pindah",E2957='Buku Akun'!$C$4))),B2957+IF(AND(I2957="Selisih bunga",DAY(B2957)=1),0,0.01)+ROW()/10000000,"")</f>
        <v/>
      </c>
    </row>
    <row r="2958" outlineLevel="1" ht="15" customHeight="1" s="94">
      <c r="A2958" s="123">
        <f>IF(B2958="","",ROW()-15)</f>
        <v/>
      </c>
      <c r="B2958" s="124" t="n"/>
      <c r="C2958" s="123" t="n"/>
      <c r="D2958" s="123" t="n"/>
      <c r="E2958" s="123" t="n"/>
      <c r="F2958" s="125" t="n"/>
      <c r="G2958" s="123" t="n"/>
      <c r="H2958" s="123" t="n"/>
      <c r="I2958" s="123" t="n"/>
      <c r="J2958" s="123" t="n"/>
      <c r="K2958" s="123" t="n"/>
      <c r="L2958" s="123" t="n"/>
      <c r="M2958" s="123">
        <f>IF(AND(B2958&lt;&gt;"",OR($C$4="",ISNUMBER(SEARCH($C$4,C2958&amp;" "&amp;E2958&amp;" "&amp;G2958&amp;" "&amp;H2958&amp;" "&amp;I2958&amp;" "&amp;J2958&amp;" "&amp;K2958&amp;" "&amp;L2958))),OR($C$5="Semua",$C$5="",G2958=$C$5),OR($C$6="Semua",$C$6="",H2958=$C$6,H2958="Pengeluaran "&amp;$C$6,AND($C$6="Uang Kos Mama",H2958="Pengeluaran Uang Kos")),OR($C$7="Semua",$C$7="",I2958=$C$7),OR($C$8="Semua",$C$8="",C2958=$C$8,E2958=$C$8),OR($C$9="Semua",$C$9="",D2958=$C$9),OR($C$10="",B2958&gt;=$C$10),OR($C$11="",B2958&lt;=$C$11),OR($C$12&lt;&gt;"Ya",K2958&lt;&gt;""),OR($C$13="Semua",$C$13="",L2958=$C$13)),"✓","")</f>
        <v/>
      </c>
      <c r="N2958" s="93">
        <f>N(N2957)+IF(M2958="✓",1,0)</f>
        <v/>
      </c>
      <c r="O2958" s="93">
        <f>N(O2957)+IF(AND(B2958&lt;&gt;"",B2958&gt;='Uang Riba'!$H$30,B2958&lt;='Uang Riba'!$I$30,OR(H2958="Dana riba",H2958="Pinjam uang riba",I2958="Pinjam dari uang riba",I2958="Ganti uang riba",I2958="Kelebihan ganti dikembalikan",AND(C2958="Kantong Uang Riba",G2958="Pengeluaran"))),1,0)</f>
        <v/>
      </c>
      <c r="X2958" s="93">
        <f>IF(AND(B2958&lt;&gt;"",B2958&gt;='Buku Akun'!$H$4,B2958&lt;='Buku Akun'!$H$5,OR(C2958='Buku Akun'!$C$4,AND(D2958="Pindah",E2958='Buku Akun'!$C$4))),B2958+IF(AND(I2958="Selisih bunga",DAY(B2958)=1),0,0.01)+ROW()/10000000,"")</f>
        <v/>
      </c>
    </row>
    <row r="2959" outlineLevel="1" ht="15" customHeight="1" s="94">
      <c r="A2959" s="123">
        <f>IF(B2959="","",ROW()-15)</f>
        <v/>
      </c>
      <c r="B2959" s="124" t="n"/>
      <c r="C2959" s="123" t="n"/>
      <c r="D2959" s="123" t="n"/>
      <c r="E2959" s="123" t="n"/>
      <c r="F2959" s="125" t="n"/>
      <c r="G2959" s="123" t="n"/>
      <c r="H2959" s="123" t="n"/>
      <c r="I2959" s="123" t="n"/>
      <c r="J2959" s="123" t="n"/>
      <c r="K2959" s="123" t="n"/>
      <c r="L2959" s="123" t="n"/>
      <c r="M2959" s="123">
        <f>IF(AND(B2959&lt;&gt;"",OR($C$4="",ISNUMBER(SEARCH($C$4,C2959&amp;" "&amp;E2959&amp;" "&amp;G2959&amp;" "&amp;H2959&amp;" "&amp;I2959&amp;" "&amp;J2959&amp;" "&amp;K2959&amp;" "&amp;L2959))),OR($C$5="Semua",$C$5="",G2959=$C$5),OR($C$6="Semua",$C$6="",H2959=$C$6,H2959="Pengeluaran "&amp;$C$6,AND($C$6="Uang Kos Mama",H2959="Pengeluaran Uang Kos")),OR($C$7="Semua",$C$7="",I2959=$C$7),OR($C$8="Semua",$C$8="",C2959=$C$8,E2959=$C$8),OR($C$9="Semua",$C$9="",D2959=$C$9),OR($C$10="",B2959&gt;=$C$10),OR($C$11="",B2959&lt;=$C$11),OR($C$12&lt;&gt;"Ya",K2959&lt;&gt;""),OR($C$13="Semua",$C$13="",L2959=$C$13)),"✓","")</f>
        <v/>
      </c>
      <c r="N2959" s="93">
        <f>N(N2958)+IF(M2959="✓",1,0)</f>
        <v/>
      </c>
      <c r="O2959" s="93">
        <f>N(O2958)+IF(AND(B2959&lt;&gt;"",B2959&gt;='Uang Riba'!$H$30,B2959&lt;='Uang Riba'!$I$30,OR(H2959="Dana riba",H2959="Pinjam uang riba",I2959="Pinjam dari uang riba",I2959="Ganti uang riba",I2959="Kelebihan ganti dikembalikan",AND(C2959="Kantong Uang Riba",G2959="Pengeluaran"))),1,0)</f>
        <v/>
      </c>
      <c r="X2959" s="93">
        <f>IF(AND(B2959&lt;&gt;"",B2959&gt;='Buku Akun'!$H$4,B2959&lt;='Buku Akun'!$H$5,OR(C2959='Buku Akun'!$C$4,AND(D2959="Pindah",E2959='Buku Akun'!$C$4))),B2959+IF(AND(I2959="Selisih bunga",DAY(B2959)=1),0,0.01)+ROW()/10000000,"")</f>
        <v/>
      </c>
    </row>
    <row r="2960" outlineLevel="1" ht="15" customHeight="1" s="94">
      <c r="A2960" s="123">
        <f>IF(B2960="","",ROW()-15)</f>
        <v/>
      </c>
      <c r="B2960" s="124" t="n"/>
      <c r="C2960" s="123" t="n"/>
      <c r="D2960" s="123" t="n"/>
      <c r="E2960" s="123" t="n"/>
      <c r="F2960" s="125" t="n"/>
      <c r="G2960" s="123" t="n"/>
      <c r="H2960" s="123" t="n"/>
      <c r="I2960" s="123" t="n"/>
      <c r="J2960" s="123" t="n"/>
      <c r="K2960" s="123" t="n"/>
      <c r="L2960" s="123" t="n"/>
      <c r="M2960" s="123">
        <f>IF(AND(B2960&lt;&gt;"",OR($C$4="",ISNUMBER(SEARCH($C$4,C2960&amp;" "&amp;E2960&amp;" "&amp;G2960&amp;" "&amp;H2960&amp;" "&amp;I2960&amp;" "&amp;J2960&amp;" "&amp;K2960&amp;" "&amp;L2960))),OR($C$5="Semua",$C$5="",G2960=$C$5),OR($C$6="Semua",$C$6="",H2960=$C$6,H2960="Pengeluaran "&amp;$C$6,AND($C$6="Uang Kos Mama",H2960="Pengeluaran Uang Kos")),OR($C$7="Semua",$C$7="",I2960=$C$7),OR($C$8="Semua",$C$8="",C2960=$C$8,E2960=$C$8),OR($C$9="Semua",$C$9="",D2960=$C$9),OR($C$10="",B2960&gt;=$C$10),OR($C$11="",B2960&lt;=$C$11),OR($C$12&lt;&gt;"Ya",K2960&lt;&gt;""),OR($C$13="Semua",$C$13="",L2960=$C$13)),"✓","")</f>
        <v/>
      </c>
      <c r="N2960" s="93">
        <f>N(N2959)+IF(M2960="✓",1,0)</f>
        <v/>
      </c>
      <c r="O2960" s="93">
        <f>N(O2959)+IF(AND(B2960&lt;&gt;"",B2960&gt;='Uang Riba'!$H$30,B2960&lt;='Uang Riba'!$I$30,OR(H2960="Dana riba",H2960="Pinjam uang riba",I2960="Pinjam dari uang riba",I2960="Ganti uang riba",I2960="Kelebihan ganti dikembalikan",AND(C2960="Kantong Uang Riba",G2960="Pengeluaran"))),1,0)</f>
        <v/>
      </c>
      <c r="X2960" s="93">
        <f>IF(AND(B2960&lt;&gt;"",B2960&gt;='Buku Akun'!$H$4,B2960&lt;='Buku Akun'!$H$5,OR(C2960='Buku Akun'!$C$4,AND(D2960="Pindah",E2960='Buku Akun'!$C$4))),B2960+IF(AND(I2960="Selisih bunga",DAY(B2960)=1),0,0.01)+ROW()/10000000,"")</f>
        <v/>
      </c>
    </row>
    <row r="2961" outlineLevel="1" ht="15" customHeight="1" s="94">
      <c r="A2961" s="123">
        <f>IF(B2961="","",ROW()-15)</f>
        <v/>
      </c>
      <c r="B2961" s="124" t="n"/>
      <c r="C2961" s="123" t="n"/>
      <c r="D2961" s="123" t="n"/>
      <c r="E2961" s="123" t="n"/>
      <c r="F2961" s="125" t="n"/>
      <c r="G2961" s="123" t="n"/>
      <c r="H2961" s="123" t="n"/>
      <c r="I2961" s="123" t="n"/>
      <c r="J2961" s="123" t="n"/>
      <c r="K2961" s="123" t="n"/>
      <c r="L2961" s="123" t="n"/>
      <c r="M2961" s="123">
        <f>IF(AND(B2961&lt;&gt;"",OR($C$4="",ISNUMBER(SEARCH($C$4,C2961&amp;" "&amp;E2961&amp;" "&amp;G2961&amp;" "&amp;H2961&amp;" "&amp;I2961&amp;" "&amp;J2961&amp;" "&amp;K2961&amp;" "&amp;L2961))),OR($C$5="Semua",$C$5="",G2961=$C$5),OR($C$6="Semua",$C$6="",H2961=$C$6,H2961="Pengeluaran "&amp;$C$6,AND($C$6="Uang Kos Mama",H2961="Pengeluaran Uang Kos")),OR($C$7="Semua",$C$7="",I2961=$C$7),OR($C$8="Semua",$C$8="",C2961=$C$8,E2961=$C$8),OR($C$9="Semua",$C$9="",D2961=$C$9),OR($C$10="",B2961&gt;=$C$10),OR($C$11="",B2961&lt;=$C$11),OR($C$12&lt;&gt;"Ya",K2961&lt;&gt;""),OR($C$13="Semua",$C$13="",L2961=$C$13)),"✓","")</f>
        <v/>
      </c>
      <c r="N2961" s="93">
        <f>N(N2960)+IF(M2961="✓",1,0)</f>
        <v/>
      </c>
      <c r="O2961" s="93">
        <f>N(O2960)+IF(AND(B2961&lt;&gt;"",B2961&gt;='Uang Riba'!$H$30,B2961&lt;='Uang Riba'!$I$30,OR(H2961="Dana riba",H2961="Pinjam uang riba",I2961="Pinjam dari uang riba",I2961="Ganti uang riba",I2961="Kelebihan ganti dikembalikan",AND(C2961="Kantong Uang Riba",G2961="Pengeluaran"))),1,0)</f>
        <v/>
      </c>
      <c r="X2961" s="93">
        <f>IF(AND(B2961&lt;&gt;"",B2961&gt;='Buku Akun'!$H$4,B2961&lt;='Buku Akun'!$H$5,OR(C2961='Buku Akun'!$C$4,AND(D2961="Pindah",E2961='Buku Akun'!$C$4))),B2961+IF(AND(I2961="Selisih bunga",DAY(B2961)=1),0,0.01)+ROW()/10000000,"")</f>
        <v/>
      </c>
    </row>
    <row r="2962" outlineLevel="1" ht="15" customHeight="1" s="94">
      <c r="A2962" s="123">
        <f>IF(B2962="","",ROW()-15)</f>
        <v/>
      </c>
      <c r="B2962" s="124" t="n"/>
      <c r="C2962" s="123" t="n"/>
      <c r="D2962" s="123" t="n"/>
      <c r="E2962" s="123" t="n"/>
      <c r="F2962" s="125" t="n"/>
      <c r="G2962" s="123" t="n"/>
      <c r="H2962" s="123" t="n"/>
      <c r="I2962" s="123" t="n"/>
      <c r="J2962" s="123" t="n"/>
      <c r="K2962" s="123" t="n"/>
      <c r="L2962" s="123" t="n"/>
      <c r="M2962" s="123">
        <f>IF(AND(B2962&lt;&gt;"",OR($C$4="",ISNUMBER(SEARCH($C$4,C2962&amp;" "&amp;E2962&amp;" "&amp;G2962&amp;" "&amp;H2962&amp;" "&amp;I2962&amp;" "&amp;J2962&amp;" "&amp;K2962&amp;" "&amp;L2962))),OR($C$5="Semua",$C$5="",G2962=$C$5),OR($C$6="Semua",$C$6="",H2962=$C$6,H2962="Pengeluaran "&amp;$C$6,AND($C$6="Uang Kos Mama",H2962="Pengeluaran Uang Kos")),OR($C$7="Semua",$C$7="",I2962=$C$7),OR($C$8="Semua",$C$8="",C2962=$C$8,E2962=$C$8),OR($C$9="Semua",$C$9="",D2962=$C$9),OR($C$10="",B2962&gt;=$C$10),OR($C$11="",B2962&lt;=$C$11),OR($C$12&lt;&gt;"Ya",K2962&lt;&gt;""),OR($C$13="Semua",$C$13="",L2962=$C$13)),"✓","")</f>
        <v/>
      </c>
      <c r="N2962" s="93">
        <f>N(N2961)+IF(M2962="✓",1,0)</f>
        <v/>
      </c>
      <c r="O2962" s="93">
        <f>N(O2961)+IF(AND(B2962&lt;&gt;"",B2962&gt;='Uang Riba'!$H$30,B2962&lt;='Uang Riba'!$I$30,OR(H2962="Dana riba",H2962="Pinjam uang riba",I2962="Pinjam dari uang riba",I2962="Ganti uang riba",I2962="Kelebihan ganti dikembalikan",AND(C2962="Kantong Uang Riba",G2962="Pengeluaran"))),1,0)</f>
        <v/>
      </c>
      <c r="X2962" s="93">
        <f>IF(AND(B2962&lt;&gt;"",B2962&gt;='Buku Akun'!$H$4,B2962&lt;='Buku Akun'!$H$5,OR(C2962='Buku Akun'!$C$4,AND(D2962="Pindah",E2962='Buku Akun'!$C$4))),B2962+IF(AND(I2962="Selisih bunga",DAY(B2962)=1),0,0.01)+ROW()/10000000,"")</f>
        <v/>
      </c>
    </row>
    <row r="2963" outlineLevel="1" ht="15" customHeight="1" s="94">
      <c r="A2963" s="123">
        <f>IF(B2963="","",ROW()-15)</f>
        <v/>
      </c>
      <c r="B2963" s="124" t="n"/>
      <c r="C2963" s="123" t="n"/>
      <c r="D2963" s="123" t="n"/>
      <c r="E2963" s="123" t="n"/>
      <c r="F2963" s="125" t="n"/>
      <c r="G2963" s="123" t="n"/>
      <c r="H2963" s="123" t="n"/>
      <c r="I2963" s="123" t="n"/>
      <c r="J2963" s="123" t="n"/>
      <c r="K2963" s="123" t="n"/>
      <c r="L2963" s="123" t="n"/>
      <c r="M2963" s="123">
        <f>IF(AND(B2963&lt;&gt;"",OR($C$4="",ISNUMBER(SEARCH($C$4,C2963&amp;" "&amp;E2963&amp;" "&amp;G2963&amp;" "&amp;H2963&amp;" "&amp;I2963&amp;" "&amp;J2963&amp;" "&amp;K2963&amp;" "&amp;L2963))),OR($C$5="Semua",$C$5="",G2963=$C$5),OR($C$6="Semua",$C$6="",H2963=$C$6,H2963="Pengeluaran "&amp;$C$6,AND($C$6="Uang Kos Mama",H2963="Pengeluaran Uang Kos")),OR($C$7="Semua",$C$7="",I2963=$C$7),OR($C$8="Semua",$C$8="",C2963=$C$8,E2963=$C$8),OR($C$9="Semua",$C$9="",D2963=$C$9),OR($C$10="",B2963&gt;=$C$10),OR($C$11="",B2963&lt;=$C$11),OR($C$12&lt;&gt;"Ya",K2963&lt;&gt;""),OR($C$13="Semua",$C$13="",L2963=$C$13)),"✓","")</f>
        <v/>
      </c>
      <c r="N2963" s="93">
        <f>N(N2962)+IF(M2963="✓",1,0)</f>
        <v/>
      </c>
      <c r="O2963" s="93">
        <f>N(O2962)+IF(AND(B2963&lt;&gt;"",B2963&gt;='Uang Riba'!$H$30,B2963&lt;='Uang Riba'!$I$30,OR(H2963="Dana riba",H2963="Pinjam uang riba",I2963="Pinjam dari uang riba",I2963="Ganti uang riba",I2963="Kelebihan ganti dikembalikan",AND(C2963="Kantong Uang Riba",G2963="Pengeluaran"))),1,0)</f>
        <v/>
      </c>
      <c r="X2963" s="93">
        <f>IF(AND(B2963&lt;&gt;"",B2963&gt;='Buku Akun'!$H$4,B2963&lt;='Buku Akun'!$H$5,OR(C2963='Buku Akun'!$C$4,AND(D2963="Pindah",E2963='Buku Akun'!$C$4))),B2963+IF(AND(I2963="Selisih bunga",DAY(B2963)=1),0,0.01)+ROW()/10000000,"")</f>
        <v/>
      </c>
    </row>
    <row r="2964" outlineLevel="1" ht="15" customHeight="1" s="94">
      <c r="A2964" s="123">
        <f>IF(B2964="","",ROW()-15)</f>
        <v/>
      </c>
      <c r="B2964" s="124" t="n"/>
      <c r="C2964" s="123" t="n"/>
      <c r="D2964" s="123" t="n"/>
      <c r="E2964" s="123" t="n"/>
      <c r="F2964" s="125" t="n"/>
      <c r="G2964" s="123" t="n"/>
      <c r="H2964" s="123" t="n"/>
      <c r="I2964" s="123" t="n"/>
      <c r="J2964" s="123" t="n"/>
      <c r="K2964" s="123" t="n"/>
      <c r="L2964" s="123" t="n"/>
      <c r="M2964" s="123">
        <f>IF(AND(B2964&lt;&gt;"",OR($C$4="",ISNUMBER(SEARCH($C$4,C2964&amp;" "&amp;E2964&amp;" "&amp;G2964&amp;" "&amp;H2964&amp;" "&amp;I2964&amp;" "&amp;J2964&amp;" "&amp;K2964&amp;" "&amp;L2964))),OR($C$5="Semua",$C$5="",G2964=$C$5),OR($C$6="Semua",$C$6="",H2964=$C$6,H2964="Pengeluaran "&amp;$C$6,AND($C$6="Uang Kos Mama",H2964="Pengeluaran Uang Kos")),OR($C$7="Semua",$C$7="",I2964=$C$7),OR($C$8="Semua",$C$8="",C2964=$C$8,E2964=$C$8),OR($C$9="Semua",$C$9="",D2964=$C$9),OR($C$10="",B2964&gt;=$C$10),OR($C$11="",B2964&lt;=$C$11),OR($C$12&lt;&gt;"Ya",K2964&lt;&gt;""),OR($C$13="Semua",$C$13="",L2964=$C$13)),"✓","")</f>
        <v/>
      </c>
      <c r="N2964" s="93">
        <f>N(N2963)+IF(M2964="✓",1,0)</f>
        <v/>
      </c>
      <c r="O2964" s="93">
        <f>N(O2963)+IF(AND(B2964&lt;&gt;"",B2964&gt;='Uang Riba'!$H$30,B2964&lt;='Uang Riba'!$I$30,OR(H2964="Dana riba",H2964="Pinjam uang riba",I2964="Pinjam dari uang riba",I2964="Ganti uang riba",I2964="Kelebihan ganti dikembalikan",AND(C2964="Kantong Uang Riba",G2964="Pengeluaran"))),1,0)</f>
        <v/>
      </c>
      <c r="X2964" s="93">
        <f>IF(AND(B2964&lt;&gt;"",B2964&gt;='Buku Akun'!$H$4,B2964&lt;='Buku Akun'!$H$5,OR(C2964='Buku Akun'!$C$4,AND(D2964="Pindah",E2964='Buku Akun'!$C$4))),B2964+IF(AND(I2964="Selisih bunga",DAY(B2964)=1),0,0.01)+ROW()/10000000,"")</f>
        <v/>
      </c>
    </row>
    <row r="2965" outlineLevel="1" ht="15" customHeight="1" s="94">
      <c r="A2965" s="123">
        <f>IF(B2965="","",ROW()-15)</f>
        <v/>
      </c>
      <c r="B2965" s="124" t="n"/>
      <c r="C2965" s="123" t="n"/>
      <c r="D2965" s="123" t="n"/>
      <c r="E2965" s="123" t="n"/>
      <c r="F2965" s="125" t="n"/>
      <c r="G2965" s="123" t="n"/>
      <c r="H2965" s="123" t="n"/>
      <c r="I2965" s="123" t="n"/>
      <c r="J2965" s="123" t="n"/>
      <c r="K2965" s="123" t="n"/>
      <c r="L2965" s="123" t="n"/>
      <c r="M2965" s="123">
        <f>IF(AND(B2965&lt;&gt;"",OR($C$4="",ISNUMBER(SEARCH($C$4,C2965&amp;" "&amp;E2965&amp;" "&amp;G2965&amp;" "&amp;H2965&amp;" "&amp;I2965&amp;" "&amp;J2965&amp;" "&amp;K2965&amp;" "&amp;L2965))),OR($C$5="Semua",$C$5="",G2965=$C$5),OR($C$6="Semua",$C$6="",H2965=$C$6,H2965="Pengeluaran "&amp;$C$6,AND($C$6="Uang Kos Mama",H2965="Pengeluaran Uang Kos")),OR($C$7="Semua",$C$7="",I2965=$C$7),OR($C$8="Semua",$C$8="",C2965=$C$8,E2965=$C$8),OR($C$9="Semua",$C$9="",D2965=$C$9),OR($C$10="",B2965&gt;=$C$10),OR($C$11="",B2965&lt;=$C$11),OR($C$12&lt;&gt;"Ya",K2965&lt;&gt;""),OR($C$13="Semua",$C$13="",L2965=$C$13)),"✓","")</f>
        <v/>
      </c>
      <c r="N2965" s="93">
        <f>N(N2964)+IF(M2965="✓",1,0)</f>
        <v/>
      </c>
      <c r="O2965" s="93">
        <f>N(O2964)+IF(AND(B2965&lt;&gt;"",B2965&gt;='Uang Riba'!$H$30,B2965&lt;='Uang Riba'!$I$30,OR(H2965="Dana riba",H2965="Pinjam uang riba",I2965="Pinjam dari uang riba",I2965="Ganti uang riba",I2965="Kelebihan ganti dikembalikan",AND(C2965="Kantong Uang Riba",G2965="Pengeluaran"))),1,0)</f>
        <v/>
      </c>
      <c r="X2965" s="93">
        <f>IF(AND(B2965&lt;&gt;"",B2965&gt;='Buku Akun'!$H$4,B2965&lt;='Buku Akun'!$H$5,OR(C2965='Buku Akun'!$C$4,AND(D2965="Pindah",E2965='Buku Akun'!$C$4))),B2965+IF(AND(I2965="Selisih bunga",DAY(B2965)=1),0,0.01)+ROW()/10000000,"")</f>
        <v/>
      </c>
    </row>
    <row r="2966" outlineLevel="1" ht="15" customHeight="1" s="94">
      <c r="A2966" s="123">
        <f>IF(B2966="","",ROW()-15)</f>
        <v/>
      </c>
      <c r="B2966" s="124" t="n"/>
      <c r="C2966" s="123" t="n"/>
      <c r="D2966" s="123" t="n"/>
      <c r="E2966" s="123" t="n"/>
      <c r="F2966" s="125" t="n"/>
      <c r="G2966" s="123" t="n"/>
      <c r="H2966" s="123" t="n"/>
      <c r="I2966" s="123" t="n"/>
      <c r="J2966" s="123" t="n"/>
      <c r="K2966" s="123" t="n"/>
      <c r="L2966" s="123" t="n"/>
      <c r="M2966" s="123">
        <f>IF(AND(B2966&lt;&gt;"",OR($C$4="",ISNUMBER(SEARCH($C$4,C2966&amp;" "&amp;E2966&amp;" "&amp;G2966&amp;" "&amp;H2966&amp;" "&amp;I2966&amp;" "&amp;J2966&amp;" "&amp;K2966&amp;" "&amp;L2966))),OR($C$5="Semua",$C$5="",G2966=$C$5),OR($C$6="Semua",$C$6="",H2966=$C$6,H2966="Pengeluaran "&amp;$C$6,AND($C$6="Uang Kos Mama",H2966="Pengeluaran Uang Kos")),OR($C$7="Semua",$C$7="",I2966=$C$7),OR($C$8="Semua",$C$8="",C2966=$C$8,E2966=$C$8),OR($C$9="Semua",$C$9="",D2966=$C$9),OR($C$10="",B2966&gt;=$C$10),OR($C$11="",B2966&lt;=$C$11),OR($C$12&lt;&gt;"Ya",K2966&lt;&gt;""),OR($C$13="Semua",$C$13="",L2966=$C$13)),"✓","")</f>
        <v/>
      </c>
      <c r="N2966" s="93">
        <f>N(N2965)+IF(M2966="✓",1,0)</f>
        <v/>
      </c>
      <c r="O2966" s="93">
        <f>N(O2965)+IF(AND(B2966&lt;&gt;"",B2966&gt;='Uang Riba'!$H$30,B2966&lt;='Uang Riba'!$I$30,OR(H2966="Dana riba",H2966="Pinjam uang riba",I2966="Pinjam dari uang riba",I2966="Ganti uang riba",I2966="Kelebihan ganti dikembalikan",AND(C2966="Kantong Uang Riba",G2966="Pengeluaran"))),1,0)</f>
        <v/>
      </c>
      <c r="X2966" s="93">
        <f>IF(AND(B2966&lt;&gt;"",B2966&gt;='Buku Akun'!$H$4,B2966&lt;='Buku Akun'!$H$5,OR(C2966='Buku Akun'!$C$4,AND(D2966="Pindah",E2966='Buku Akun'!$C$4))),B2966+IF(AND(I2966="Selisih bunga",DAY(B2966)=1),0,0.01)+ROW()/10000000,"")</f>
        <v/>
      </c>
    </row>
    <row r="2967" outlineLevel="1" ht="15" customHeight="1" s="94">
      <c r="A2967" s="123">
        <f>IF(B2967="","",ROW()-15)</f>
        <v/>
      </c>
      <c r="B2967" s="124" t="n"/>
      <c r="C2967" s="123" t="n"/>
      <c r="D2967" s="123" t="n"/>
      <c r="E2967" s="123" t="n"/>
      <c r="F2967" s="125" t="n"/>
      <c r="G2967" s="123" t="n"/>
      <c r="H2967" s="123" t="n"/>
      <c r="I2967" s="123" t="n"/>
      <c r="J2967" s="123" t="n"/>
      <c r="K2967" s="123" t="n"/>
      <c r="L2967" s="123" t="n"/>
      <c r="M2967" s="123">
        <f>IF(AND(B2967&lt;&gt;"",OR($C$4="",ISNUMBER(SEARCH($C$4,C2967&amp;" "&amp;E2967&amp;" "&amp;G2967&amp;" "&amp;H2967&amp;" "&amp;I2967&amp;" "&amp;J2967&amp;" "&amp;K2967&amp;" "&amp;L2967))),OR($C$5="Semua",$C$5="",G2967=$C$5),OR($C$6="Semua",$C$6="",H2967=$C$6,H2967="Pengeluaran "&amp;$C$6,AND($C$6="Uang Kos Mama",H2967="Pengeluaran Uang Kos")),OR($C$7="Semua",$C$7="",I2967=$C$7),OR($C$8="Semua",$C$8="",C2967=$C$8,E2967=$C$8),OR($C$9="Semua",$C$9="",D2967=$C$9),OR($C$10="",B2967&gt;=$C$10),OR($C$11="",B2967&lt;=$C$11),OR($C$12&lt;&gt;"Ya",K2967&lt;&gt;""),OR($C$13="Semua",$C$13="",L2967=$C$13)),"✓","")</f>
        <v/>
      </c>
      <c r="N2967" s="93">
        <f>N(N2966)+IF(M2967="✓",1,0)</f>
        <v/>
      </c>
      <c r="O2967" s="93">
        <f>N(O2966)+IF(AND(B2967&lt;&gt;"",B2967&gt;='Uang Riba'!$H$30,B2967&lt;='Uang Riba'!$I$30,OR(H2967="Dana riba",H2967="Pinjam uang riba",I2967="Pinjam dari uang riba",I2967="Ganti uang riba",I2967="Kelebihan ganti dikembalikan",AND(C2967="Kantong Uang Riba",G2967="Pengeluaran"))),1,0)</f>
        <v/>
      </c>
      <c r="X2967" s="93">
        <f>IF(AND(B2967&lt;&gt;"",B2967&gt;='Buku Akun'!$H$4,B2967&lt;='Buku Akun'!$H$5,OR(C2967='Buku Akun'!$C$4,AND(D2967="Pindah",E2967='Buku Akun'!$C$4))),B2967+IF(AND(I2967="Selisih bunga",DAY(B2967)=1),0,0.01)+ROW()/10000000,"")</f>
        <v/>
      </c>
    </row>
    <row r="2968" outlineLevel="1" ht="15" customHeight="1" s="94">
      <c r="A2968" s="123">
        <f>IF(B2968="","",ROW()-15)</f>
        <v/>
      </c>
      <c r="B2968" s="124" t="n"/>
      <c r="C2968" s="123" t="n"/>
      <c r="D2968" s="123" t="n"/>
      <c r="E2968" s="123" t="n"/>
      <c r="F2968" s="125" t="n"/>
      <c r="G2968" s="123" t="n"/>
      <c r="H2968" s="123" t="n"/>
      <c r="I2968" s="123" t="n"/>
      <c r="J2968" s="123" t="n"/>
      <c r="K2968" s="123" t="n"/>
      <c r="L2968" s="123" t="n"/>
      <c r="M2968" s="123">
        <f>IF(AND(B2968&lt;&gt;"",OR($C$4="",ISNUMBER(SEARCH($C$4,C2968&amp;" "&amp;E2968&amp;" "&amp;G2968&amp;" "&amp;H2968&amp;" "&amp;I2968&amp;" "&amp;J2968&amp;" "&amp;K2968&amp;" "&amp;L2968))),OR($C$5="Semua",$C$5="",G2968=$C$5),OR($C$6="Semua",$C$6="",H2968=$C$6,H2968="Pengeluaran "&amp;$C$6,AND($C$6="Uang Kos Mama",H2968="Pengeluaran Uang Kos")),OR($C$7="Semua",$C$7="",I2968=$C$7),OR($C$8="Semua",$C$8="",C2968=$C$8,E2968=$C$8),OR($C$9="Semua",$C$9="",D2968=$C$9),OR($C$10="",B2968&gt;=$C$10),OR($C$11="",B2968&lt;=$C$11),OR($C$12&lt;&gt;"Ya",K2968&lt;&gt;""),OR($C$13="Semua",$C$13="",L2968=$C$13)),"✓","")</f>
        <v/>
      </c>
      <c r="N2968" s="93">
        <f>N(N2967)+IF(M2968="✓",1,0)</f>
        <v/>
      </c>
      <c r="O2968" s="93">
        <f>N(O2967)+IF(AND(B2968&lt;&gt;"",B2968&gt;='Uang Riba'!$H$30,B2968&lt;='Uang Riba'!$I$30,OR(H2968="Dana riba",H2968="Pinjam uang riba",I2968="Pinjam dari uang riba",I2968="Ganti uang riba",I2968="Kelebihan ganti dikembalikan",AND(C2968="Kantong Uang Riba",G2968="Pengeluaran"))),1,0)</f>
        <v/>
      </c>
      <c r="X2968" s="93">
        <f>IF(AND(B2968&lt;&gt;"",B2968&gt;='Buku Akun'!$H$4,B2968&lt;='Buku Akun'!$H$5,OR(C2968='Buku Akun'!$C$4,AND(D2968="Pindah",E2968='Buku Akun'!$C$4))),B2968+IF(AND(I2968="Selisih bunga",DAY(B2968)=1),0,0.01)+ROW()/10000000,"")</f>
        <v/>
      </c>
    </row>
    <row r="2969" outlineLevel="1" ht="15" customHeight="1" s="94">
      <c r="A2969" s="123">
        <f>IF(B2969="","",ROW()-15)</f>
        <v/>
      </c>
      <c r="B2969" s="124" t="n"/>
      <c r="C2969" s="123" t="n"/>
      <c r="D2969" s="123" t="n"/>
      <c r="E2969" s="123" t="n"/>
      <c r="F2969" s="125" t="n"/>
      <c r="G2969" s="123" t="n"/>
      <c r="H2969" s="123" t="n"/>
      <c r="I2969" s="123" t="n"/>
      <c r="J2969" s="123" t="n"/>
      <c r="K2969" s="123" t="n"/>
      <c r="L2969" s="123" t="n"/>
      <c r="M2969" s="123">
        <f>IF(AND(B2969&lt;&gt;"",OR($C$4="",ISNUMBER(SEARCH($C$4,C2969&amp;" "&amp;E2969&amp;" "&amp;G2969&amp;" "&amp;H2969&amp;" "&amp;I2969&amp;" "&amp;J2969&amp;" "&amp;K2969&amp;" "&amp;L2969))),OR($C$5="Semua",$C$5="",G2969=$C$5),OR($C$6="Semua",$C$6="",H2969=$C$6,H2969="Pengeluaran "&amp;$C$6,AND($C$6="Uang Kos Mama",H2969="Pengeluaran Uang Kos")),OR($C$7="Semua",$C$7="",I2969=$C$7),OR($C$8="Semua",$C$8="",C2969=$C$8,E2969=$C$8),OR($C$9="Semua",$C$9="",D2969=$C$9),OR($C$10="",B2969&gt;=$C$10),OR($C$11="",B2969&lt;=$C$11),OR($C$12&lt;&gt;"Ya",K2969&lt;&gt;""),OR($C$13="Semua",$C$13="",L2969=$C$13)),"✓","")</f>
        <v/>
      </c>
      <c r="N2969" s="93">
        <f>N(N2968)+IF(M2969="✓",1,0)</f>
        <v/>
      </c>
      <c r="O2969" s="93">
        <f>N(O2968)+IF(AND(B2969&lt;&gt;"",B2969&gt;='Uang Riba'!$H$30,B2969&lt;='Uang Riba'!$I$30,OR(H2969="Dana riba",H2969="Pinjam uang riba",I2969="Pinjam dari uang riba",I2969="Ganti uang riba",I2969="Kelebihan ganti dikembalikan",AND(C2969="Kantong Uang Riba",G2969="Pengeluaran"))),1,0)</f>
        <v/>
      </c>
      <c r="X2969" s="93">
        <f>IF(AND(B2969&lt;&gt;"",B2969&gt;='Buku Akun'!$H$4,B2969&lt;='Buku Akun'!$H$5,OR(C2969='Buku Akun'!$C$4,AND(D2969="Pindah",E2969='Buku Akun'!$C$4))),B2969+IF(AND(I2969="Selisih bunga",DAY(B2969)=1),0,0.01)+ROW()/10000000,"")</f>
        <v/>
      </c>
    </row>
    <row r="2970" outlineLevel="1" ht="15" customHeight="1" s="94">
      <c r="A2970" s="123">
        <f>IF(B2970="","",ROW()-15)</f>
        <v/>
      </c>
      <c r="B2970" s="124" t="n"/>
      <c r="C2970" s="123" t="n"/>
      <c r="D2970" s="123" t="n"/>
      <c r="E2970" s="123" t="n"/>
      <c r="F2970" s="125" t="n"/>
      <c r="G2970" s="123" t="n"/>
      <c r="H2970" s="123" t="n"/>
      <c r="I2970" s="123" t="n"/>
      <c r="J2970" s="123" t="n"/>
      <c r="K2970" s="123" t="n"/>
      <c r="L2970" s="123" t="n"/>
      <c r="M2970" s="123">
        <f>IF(AND(B2970&lt;&gt;"",OR($C$4="",ISNUMBER(SEARCH($C$4,C2970&amp;" "&amp;E2970&amp;" "&amp;G2970&amp;" "&amp;H2970&amp;" "&amp;I2970&amp;" "&amp;J2970&amp;" "&amp;K2970&amp;" "&amp;L2970))),OR($C$5="Semua",$C$5="",G2970=$C$5),OR($C$6="Semua",$C$6="",H2970=$C$6,H2970="Pengeluaran "&amp;$C$6,AND($C$6="Uang Kos Mama",H2970="Pengeluaran Uang Kos")),OR($C$7="Semua",$C$7="",I2970=$C$7),OR($C$8="Semua",$C$8="",C2970=$C$8,E2970=$C$8),OR($C$9="Semua",$C$9="",D2970=$C$9),OR($C$10="",B2970&gt;=$C$10),OR($C$11="",B2970&lt;=$C$11),OR($C$12&lt;&gt;"Ya",K2970&lt;&gt;""),OR($C$13="Semua",$C$13="",L2970=$C$13)),"✓","")</f>
        <v/>
      </c>
      <c r="N2970" s="93">
        <f>N(N2969)+IF(M2970="✓",1,0)</f>
        <v/>
      </c>
      <c r="O2970" s="93">
        <f>N(O2969)+IF(AND(B2970&lt;&gt;"",B2970&gt;='Uang Riba'!$H$30,B2970&lt;='Uang Riba'!$I$30,OR(H2970="Dana riba",H2970="Pinjam uang riba",I2970="Pinjam dari uang riba",I2970="Ganti uang riba",I2970="Kelebihan ganti dikembalikan",AND(C2970="Kantong Uang Riba",G2970="Pengeluaran"))),1,0)</f>
        <v/>
      </c>
      <c r="X2970" s="93">
        <f>IF(AND(B2970&lt;&gt;"",B2970&gt;='Buku Akun'!$H$4,B2970&lt;='Buku Akun'!$H$5,OR(C2970='Buku Akun'!$C$4,AND(D2970="Pindah",E2970='Buku Akun'!$C$4))),B2970+IF(AND(I2970="Selisih bunga",DAY(B2970)=1),0,0.01)+ROW()/10000000,"")</f>
        <v/>
      </c>
    </row>
    <row r="2971" outlineLevel="1" ht="15" customHeight="1" s="94">
      <c r="A2971" s="123">
        <f>IF(B2971="","",ROW()-15)</f>
        <v/>
      </c>
      <c r="B2971" s="124" t="n"/>
      <c r="C2971" s="123" t="n"/>
      <c r="D2971" s="123" t="n"/>
      <c r="E2971" s="123" t="n"/>
      <c r="F2971" s="125" t="n"/>
      <c r="G2971" s="123" t="n"/>
      <c r="H2971" s="123" t="n"/>
      <c r="I2971" s="123" t="n"/>
      <c r="J2971" s="123" t="n"/>
      <c r="K2971" s="123" t="n"/>
      <c r="L2971" s="123" t="n"/>
      <c r="M2971" s="123">
        <f>IF(AND(B2971&lt;&gt;"",OR($C$4="",ISNUMBER(SEARCH($C$4,C2971&amp;" "&amp;E2971&amp;" "&amp;G2971&amp;" "&amp;H2971&amp;" "&amp;I2971&amp;" "&amp;J2971&amp;" "&amp;K2971&amp;" "&amp;L2971))),OR($C$5="Semua",$C$5="",G2971=$C$5),OR($C$6="Semua",$C$6="",H2971=$C$6,H2971="Pengeluaran "&amp;$C$6,AND($C$6="Uang Kos Mama",H2971="Pengeluaran Uang Kos")),OR($C$7="Semua",$C$7="",I2971=$C$7),OR($C$8="Semua",$C$8="",C2971=$C$8,E2971=$C$8),OR($C$9="Semua",$C$9="",D2971=$C$9),OR($C$10="",B2971&gt;=$C$10),OR($C$11="",B2971&lt;=$C$11),OR($C$12&lt;&gt;"Ya",K2971&lt;&gt;""),OR($C$13="Semua",$C$13="",L2971=$C$13)),"✓","")</f>
        <v/>
      </c>
      <c r="N2971" s="93">
        <f>N(N2970)+IF(M2971="✓",1,0)</f>
        <v/>
      </c>
      <c r="O2971" s="93">
        <f>N(O2970)+IF(AND(B2971&lt;&gt;"",B2971&gt;='Uang Riba'!$H$30,B2971&lt;='Uang Riba'!$I$30,OR(H2971="Dana riba",H2971="Pinjam uang riba",I2971="Pinjam dari uang riba",I2971="Ganti uang riba",I2971="Kelebihan ganti dikembalikan",AND(C2971="Kantong Uang Riba",G2971="Pengeluaran"))),1,0)</f>
        <v/>
      </c>
      <c r="X2971" s="93">
        <f>IF(AND(B2971&lt;&gt;"",B2971&gt;='Buku Akun'!$H$4,B2971&lt;='Buku Akun'!$H$5,OR(C2971='Buku Akun'!$C$4,AND(D2971="Pindah",E2971='Buku Akun'!$C$4))),B2971+IF(AND(I2971="Selisih bunga",DAY(B2971)=1),0,0.01)+ROW()/10000000,"")</f>
        <v/>
      </c>
    </row>
    <row r="2972" outlineLevel="1" ht="15" customHeight="1" s="94">
      <c r="A2972" s="123">
        <f>IF(B2972="","",ROW()-15)</f>
        <v/>
      </c>
      <c r="B2972" s="124" t="n"/>
      <c r="C2972" s="123" t="n"/>
      <c r="D2972" s="123" t="n"/>
      <c r="E2972" s="123" t="n"/>
      <c r="F2972" s="125" t="n"/>
      <c r="G2972" s="123" t="n"/>
      <c r="H2972" s="123" t="n"/>
      <c r="I2972" s="123" t="n"/>
      <c r="J2972" s="123" t="n"/>
      <c r="K2972" s="123" t="n"/>
      <c r="L2972" s="123" t="n"/>
      <c r="M2972" s="123">
        <f>IF(AND(B2972&lt;&gt;"",OR($C$4="",ISNUMBER(SEARCH($C$4,C2972&amp;" "&amp;E2972&amp;" "&amp;G2972&amp;" "&amp;H2972&amp;" "&amp;I2972&amp;" "&amp;J2972&amp;" "&amp;K2972&amp;" "&amp;L2972))),OR($C$5="Semua",$C$5="",G2972=$C$5),OR($C$6="Semua",$C$6="",H2972=$C$6,H2972="Pengeluaran "&amp;$C$6,AND($C$6="Uang Kos Mama",H2972="Pengeluaran Uang Kos")),OR($C$7="Semua",$C$7="",I2972=$C$7),OR($C$8="Semua",$C$8="",C2972=$C$8,E2972=$C$8),OR($C$9="Semua",$C$9="",D2972=$C$9),OR($C$10="",B2972&gt;=$C$10),OR($C$11="",B2972&lt;=$C$11),OR($C$12&lt;&gt;"Ya",K2972&lt;&gt;""),OR($C$13="Semua",$C$13="",L2972=$C$13)),"✓","")</f>
        <v/>
      </c>
      <c r="N2972" s="93">
        <f>N(N2971)+IF(M2972="✓",1,0)</f>
        <v/>
      </c>
      <c r="O2972" s="93">
        <f>N(O2971)+IF(AND(B2972&lt;&gt;"",B2972&gt;='Uang Riba'!$H$30,B2972&lt;='Uang Riba'!$I$30,OR(H2972="Dana riba",H2972="Pinjam uang riba",I2972="Pinjam dari uang riba",I2972="Ganti uang riba",I2972="Kelebihan ganti dikembalikan",AND(C2972="Kantong Uang Riba",G2972="Pengeluaran"))),1,0)</f>
        <v/>
      </c>
      <c r="X2972" s="93">
        <f>IF(AND(B2972&lt;&gt;"",B2972&gt;='Buku Akun'!$H$4,B2972&lt;='Buku Akun'!$H$5,OR(C2972='Buku Akun'!$C$4,AND(D2972="Pindah",E2972='Buku Akun'!$C$4))),B2972+IF(AND(I2972="Selisih bunga",DAY(B2972)=1),0,0.01)+ROW()/10000000,"")</f>
        <v/>
      </c>
    </row>
    <row r="2973" outlineLevel="1" ht="15" customHeight="1" s="94">
      <c r="A2973" s="123">
        <f>IF(B2973="","",ROW()-15)</f>
        <v/>
      </c>
      <c r="B2973" s="124" t="n"/>
      <c r="C2973" s="123" t="n"/>
      <c r="D2973" s="123" t="n"/>
      <c r="E2973" s="123" t="n"/>
      <c r="F2973" s="125" t="n"/>
      <c r="G2973" s="123" t="n"/>
      <c r="H2973" s="123" t="n"/>
      <c r="I2973" s="123" t="n"/>
      <c r="J2973" s="123" t="n"/>
      <c r="K2973" s="123" t="n"/>
      <c r="L2973" s="123" t="n"/>
      <c r="M2973" s="123">
        <f>IF(AND(B2973&lt;&gt;"",OR($C$4="",ISNUMBER(SEARCH($C$4,C2973&amp;" "&amp;E2973&amp;" "&amp;G2973&amp;" "&amp;H2973&amp;" "&amp;I2973&amp;" "&amp;J2973&amp;" "&amp;K2973&amp;" "&amp;L2973))),OR($C$5="Semua",$C$5="",G2973=$C$5),OR($C$6="Semua",$C$6="",H2973=$C$6,H2973="Pengeluaran "&amp;$C$6,AND($C$6="Uang Kos Mama",H2973="Pengeluaran Uang Kos")),OR($C$7="Semua",$C$7="",I2973=$C$7),OR($C$8="Semua",$C$8="",C2973=$C$8,E2973=$C$8),OR($C$9="Semua",$C$9="",D2973=$C$9),OR($C$10="",B2973&gt;=$C$10),OR($C$11="",B2973&lt;=$C$11),OR($C$12&lt;&gt;"Ya",K2973&lt;&gt;""),OR($C$13="Semua",$C$13="",L2973=$C$13)),"✓","")</f>
        <v/>
      </c>
      <c r="N2973" s="93">
        <f>N(N2972)+IF(M2973="✓",1,0)</f>
        <v/>
      </c>
      <c r="O2973" s="93">
        <f>N(O2972)+IF(AND(B2973&lt;&gt;"",B2973&gt;='Uang Riba'!$H$30,B2973&lt;='Uang Riba'!$I$30,OR(H2973="Dana riba",H2973="Pinjam uang riba",I2973="Pinjam dari uang riba",I2973="Ganti uang riba",I2973="Kelebihan ganti dikembalikan",AND(C2973="Kantong Uang Riba",G2973="Pengeluaran"))),1,0)</f>
        <v/>
      </c>
      <c r="X2973" s="93">
        <f>IF(AND(B2973&lt;&gt;"",B2973&gt;='Buku Akun'!$H$4,B2973&lt;='Buku Akun'!$H$5,OR(C2973='Buku Akun'!$C$4,AND(D2973="Pindah",E2973='Buku Akun'!$C$4))),B2973+IF(AND(I2973="Selisih bunga",DAY(B2973)=1),0,0.01)+ROW()/10000000,"")</f>
        <v/>
      </c>
    </row>
    <row r="2974" outlineLevel="1" ht="15" customHeight="1" s="94">
      <c r="A2974" s="123">
        <f>IF(B2974="","",ROW()-15)</f>
        <v/>
      </c>
      <c r="B2974" s="124" t="n"/>
      <c r="C2974" s="123" t="n"/>
      <c r="D2974" s="123" t="n"/>
      <c r="E2974" s="123" t="n"/>
      <c r="F2974" s="125" t="n"/>
      <c r="G2974" s="123" t="n"/>
      <c r="H2974" s="123" t="n"/>
      <c r="I2974" s="123" t="n"/>
      <c r="J2974" s="123" t="n"/>
      <c r="K2974" s="123" t="n"/>
      <c r="L2974" s="123" t="n"/>
      <c r="M2974" s="123">
        <f>IF(AND(B2974&lt;&gt;"",OR($C$4="",ISNUMBER(SEARCH($C$4,C2974&amp;" "&amp;E2974&amp;" "&amp;G2974&amp;" "&amp;H2974&amp;" "&amp;I2974&amp;" "&amp;J2974&amp;" "&amp;K2974&amp;" "&amp;L2974))),OR($C$5="Semua",$C$5="",G2974=$C$5),OR($C$6="Semua",$C$6="",H2974=$C$6,H2974="Pengeluaran "&amp;$C$6,AND($C$6="Uang Kos Mama",H2974="Pengeluaran Uang Kos")),OR($C$7="Semua",$C$7="",I2974=$C$7),OR($C$8="Semua",$C$8="",C2974=$C$8,E2974=$C$8),OR($C$9="Semua",$C$9="",D2974=$C$9),OR($C$10="",B2974&gt;=$C$10),OR($C$11="",B2974&lt;=$C$11),OR($C$12&lt;&gt;"Ya",K2974&lt;&gt;""),OR($C$13="Semua",$C$13="",L2974=$C$13)),"✓","")</f>
        <v/>
      </c>
      <c r="N2974" s="93">
        <f>N(N2973)+IF(M2974="✓",1,0)</f>
        <v/>
      </c>
      <c r="O2974" s="93">
        <f>N(O2973)+IF(AND(B2974&lt;&gt;"",B2974&gt;='Uang Riba'!$H$30,B2974&lt;='Uang Riba'!$I$30,OR(H2974="Dana riba",H2974="Pinjam uang riba",I2974="Pinjam dari uang riba",I2974="Ganti uang riba",I2974="Kelebihan ganti dikembalikan",AND(C2974="Kantong Uang Riba",G2974="Pengeluaran"))),1,0)</f>
        <v/>
      </c>
      <c r="X2974" s="93">
        <f>IF(AND(B2974&lt;&gt;"",B2974&gt;='Buku Akun'!$H$4,B2974&lt;='Buku Akun'!$H$5,OR(C2974='Buku Akun'!$C$4,AND(D2974="Pindah",E2974='Buku Akun'!$C$4))),B2974+IF(AND(I2974="Selisih bunga",DAY(B2974)=1),0,0.01)+ROW()/10000000,"")</f>
        <v/>
      </c>
    </row>
    <row r="2975" outlineLevel="1" ht="15" customHeight="1" s="94">
      <c r="A2975" s="123">
        <f>IF(B2975="","",ROW()-15)</f>
        <v/>
      </c>
      <c r="B2975" s="124" t="n"/>
      <c r="C2975" s="123" t="n"/>
      <c r="D2975" s="123" t="n"/>
      <c r="E2975" s="123" t="n"/>
      <c r="F2975" s="125" t="n"/>
      <c r="G2975" s="123" t="n"/>
      <c r="H2975" s="123" t="n"/>
      <c r="I2975" s="123" t="n"/>
      <c r="J2975" s="123" t="n"/>
      <c r="K2975" s="123" t="n"/>
      <c r="L2975" s="123" t="n"/>
      <c r="M2975" s="123">
        <f>IF(AND(B2975&lt;&gt;"",OR($C$4="",ISNUMBER(SEARCH($C$4,C2975&amp;" "&amp;E2975&amp;" "&amp;G2975&amp;" "&amp;H2975&amp;" "&amp;I2975&amp;" "&amp;J2975&amp;" "&amp;K2975&amp;" "&amp;L2975))),OR($C$5="Semua",$C$5="",G2975=$C$5),OR($C$6="Semua",$C$6="",H2975=$C$6,H2975="Pengeluaran "&amp;$C$6,AND($C$6="Uang Kos Mama",H2975="Pengeluaran Uang Kos")),OR($C$7="Semua",$C$7="",I2975=$C$7),OR($C$8="Semua",$C$8="",C2975=$C$8,E2975=$C$8),OR($C$9="Semua",$C$9="",D2975=$C$9),OR($C$10="",B2975&gt;=$C$10),OR($C$11="",B2975&lt;=$C$11),OR($C$12&lt;&gt;"Ya",K2975&lt;&gt;""),OR($C$13="Semua",$C$13="",L2975=$C$13)),"✓","")</f>
        <v/>
      </c>
      <c r="N2975" s="93">
        <f>N(N2974)+IF(M2975="✓",1,0)</f>
        <v/>
      </c>
      <c r="O2975" s="93">
        <f>N(O2974)+IF(AND(B2975&lt;&gt;"",B2975&gt;='Uang Riba'!$H$30,B2975&lt;='Uang Riba'!$I$30,OR(H2975="Dana riba",H2975="Pinjam uang riba",I2975="Pinjam dari uang riba",I2975="Ganti uang riba",I2975="Kelebihan ganti dikembalikan",AND(C2975="Kantong Uang Riba",G2975="Pengeluaran"))),1,0)</f>
        <v/>
      </c>
      <c r="X2975" s="93">
        <f>IF(AND(B2975&lt;&gt;"",B2975&gt;='Buku Akun'!$H$4,B2975&lt;='Buku Akun'!$H$5,OR(C2975='Buku Akun'!$C$4,AND(D2975="Pindah",E2975='Buku Akun'!$C$4))),B2975+IF(AND(I2975="Selisih bunga",DAY(B2975)=1),0,0.01)+ROW()/10000000,"")</f>
        <v/>
      </c>
    </row>
    <row r="2976" outlineLevel="1" ht="15" customHeight="1" s="94">
      <c r="A2976" s="123">
        <f>IF(B2976="","",ROW()-15)</f>
        <v/>
      </c>
      <c r="B2976" s="124" t="n"/>
      <c r="C2976" s="123" t="n"/>
      <c r="D2976" s="123" t="n"/>
      <c r="E2976" s="123" t="n"/>
      <c r="F2976" s="125" t="n"/>
      <c r="G2976" s="123" t="n"/>
      <c r="H2976" s="123" t="n"/>
      <c r="I2976" s="123" t="n"/>
      <c r="J2976" s="123" t="n"/>
      <c r="K2976" s="123" t="n"/>
      <c r="L2976" s="123" t="n"/>
      <c r="M2976" s="123">
        <f>IF(AND(B2976&lt;&gt;"",OR($C$4="",ISNUMBER(SEARCH($C$4,C2976&amp;" "&amp;E2976&amp;" "&amp;G2976&amp;" "&amp;H2976&amp;" "&amp;I2976&amp;" "&amp;J2976&amp;" "&amp;K2976&amp;" "&amp;L2976))),OR($C$5="Semua",$C$5="",G2976=$C$5),OR($C$6="Semua",$C$6="",H2976=$C$6,H2976="Pengeluaran "&amp;$C$6,AND($C$6="Uang Kos Mama",H2976="Pengeluaran Uang Kos")),OR($C$7="Semua",$C$7="",I2976=$C$7),OR($C$8="Semua",$C$8="",C2976=$C$8,E2976=$C$8),OR($C$9="Semua",$C$9="",D2976=$C$9),OR($C$10="",B2976&gt;=$C$10),OR($C$11="",B2976&lt;=$C$11),OR($C$12&lt;&gt;"Ya",K2976&lt;&gt;""),OR($C$13="Semua",$C$13="",L2976=$C$13)),"✓","")</f>
        <v/>
      </c>
      <c r="N2976" s="93">
        <f>N(N2975)+IF(M2976="✓",1,0)</f>
        <v/>
      </c>
      <c r="O2976" s="93">
        <f>N(O2975)+IF(AND(B2976&lt;&gt;"",B2976&gt;='Uang Riba'!$H$30,B2976&lt;='Uang Riba'!$I$30,OR(H2976="Dana riba",H2976="Pinjam uang riba",I2976="Pinjam dari uang riba",I2976="Ganti uang riba",I2976="Kelebihan ganti dikembalikan",AND(C2976="Kantong Uang Riba",G2976="Pengeluaran"))),1,0)</f>
        <v/>
      </c>
      <c r="X2976" s="93">
        <f>IF(AND(B2976&lt;&gt;"",B2976&gt;='Buku Akun'!$H$4,B2976&lt;='Buku Akun'!$H$5,OR(C2976='Buku Akun'!$C$4,AND(D2976="Pindah",E2976='Buku Akun'!$C$4))),B2976+IF(AND(I2976="Selisih bunga",DAY(B2976)=1),0,0.01)+ROW()/10000000,"")</f>
        <v/>
      </c>
    </row>
    <row r="2977" outlineLevel="1" ht="15" customHeight="1" s="94">
      <c r="A2977" s="123">
        <f>IF(B2977="","",ROW()-15)</f>
        <v/>
      </c>
      <c r="B2977" s="124" t="n"/>
      <c r="C2977" s="123" t="n"/>
      <c r="D2977" s="123" t="n"/>
      <c r="E2977" s="123" t="n"/>
      <c r="F2977" s="125" t="n"/>
      <c r="G2977" s="123" t="n"/>
      <c r="H2977" s="123" t="n"/>
      <c r="I2977" s="123" t="n"/>
      <c r="J2977" s="123" t="n"/>
      <c r="K2977" s="123" t="n"/>
      <c r="L2977" s="123" t="n"/>
      <c r="M2977" s="123">
        <f>IF(AND(B2977&lt;&gt;"",OR($C$4="",ISNUMBER(SEARCH($C$4,C2977&amp;" "&amp;E2977&amp;" "&amp;G2977&amp;" "&amp;H2977&amp;" "&amp;I2977&amp;" "&amp;J2977&amp;" "&amp;K2977&amp;" "&amp;L2977))),OR($C$5="Semua",$C$5="",G2977=$C$5),OR($C$6="Semua",$C$6="",H2977=$C$6,H2977="Pengeluaran "&amp;$C$6,AND($C$6="Uang Kos Mama",H2977="Pengeluaran Uang Kos")),OR($C$7="Semua",$C$7="",I2977=$C$7),OR($C$8="Semua",$C$8="",C2977=$C$8,E2977=$C$8),OR($C$9="Semua",$C$9="",D2977=$C$9),OR($C$10="",B2977&gt;=$C$10),OR($C$11="",B2977&lt;=$C$11),OR($C$12&lt;&gt;"Ya",K2977&lt;&gt;""),OR($C$13="Semua",$C$13="",L2977=$C$13)),"✓","")</f>
        <v/>
      </c>
      <c r="N2977" s="93">
        <f>N(N2976)+IF(M2977="✓",1,0)</f>
        <v/>
      </c>
      <c r="O2977" s="93">
        <f>N(O2976)+IF(AND(B2977&lt;&gt;"",B2977&gt;='Uang Riba'!$H$30,B2977&lt;='Uang Riba'!$I$30,OR(H2977="Dana riba",H2977="Pinjam uang riba",I2977="Pinjam dari uang riba",I2977="Ganti uang riba",I2977="Kelebihan ganti dikembalikan",AND(C2977="Kantong Uang Riba",G2977="Pengeluaran"))),1,0)</f>
        <v/>
      </c>
      <c r="X2977" s="93">
        <f>IF(AND(B2977&lt;&gt;"",B2977&gt;='Buku Akun'!$H$4,B2977&lt;='Buku Akun'!$H$5,OR(C2977='Buku Akun'!$C$4,AND(D2977="Pindah",E2977='Buku Akun'!$C$4))),B2977+IF(AND(I2977="Selisih bunga",DAY(B2977)=1),0,0.01)+ROW()/10000000,"")</f>
        <v/>
      </c>
    </row>
    <row r="2978" outlineLevel="1" ht="15" customHeight="1" s="94">
      <c r="A2978" s="123">
        <f>IF(B2978="","",ROW()-15)</f>
        <v/>
      </c>
      <c r="B2978" s="124" t="n"/>
      <c r="C2978" s="123" t="n"/>
      <c r="D2978" s="123" t="n"/>
      <c r="E2978" s="123" t="n"/>
      <c r="F2978" s="125" t="n"/>
      <c r="G2978" s="123" t="n"/>
      <c r="H2978" s="123" t="n"/>
      <c r="I2978" s="123" t="n"/>
      <c r="J2978" s="123" t="n"/>
      <c r="K2978" s="123" t="n"/>
      <c r="L2978" s="123" t="n"/>
      <c r="M2978" s="123">
        <f>IF(AND(B2978&lt;&gt;"",OR($C$4="",ISNUMBER(SEARCH($C$4,C2978&amp;" "&amp;E2978&amp;" "&amp;G2978&amp;" "&amp;H2978&amp;" "&amp;I2978&amp;" "&amp;J2978&amp;" "&amp;K2978&amp;" "&amp;L2978))),OR($C$5="Semua",$C$5="",G2978=$C$5),OR($C$6="Semua",$C$6="",H2978=$C$6,H2978="Pengeluaran "&amp;$C$6,AND($C$6="Uang Kos Mama",H2978="Pengeluaran Uang Kos")),OR($C$7="Semua",$C$7="",I2978=$C$7),OR($C$8="Semua",$C$8="",C2978=$C$8,E2978=$C$8),OR($C$9="Semua",$C$9="",D2978=$C$9),OR($C$10="",B2978&gt;=$C$10),OR($C$11="",B2978&lt;=$C$11),OR($C$12&lt;&gt;"Ya",K2978&lt;&gt;""),OR($C$13="Semua",$C$13="",L2978=$C$13)),"✓","")</f>
        <v/>
      </c>
      <c r="N2978" s="93">
        <f>N(N2977)+IF(M2978="✓",1,0)</f>
        <v/>
      </c>
      <c r="O2978" s="93">
        <f>N(O2977)+IF(AND(B2978&lt;&gt;"",B2978&gt;='Uang Riba'!$H$30,B2978&lt;='Uang Riba'!$I$30,OR(H2978="Dana riba",H2978="Pinjam uang riba",I2978="Pinjam dari uang riba",I2978="Ganti uang riba",I2978="Kelebihan ganti dikembalikan",AND(C2978="Kantong Uang Riba",G2978="Pengeluaran"))),1,0)</f>
        <v/>
      </c>
      <c r="X2978" s="93">
        <f>IF(AND(B2978&lt;&gt;"",B2978&gt;='Buku Akun'!$H$4,B2978&lt;='Buku Akun'!$H$5,OR(C2978='Buku Akun'!$C$4,AND(D2978="Pindah",E2978='Buku Akun'!$C$4))),B2978+IF(AND(I2978="Selisih bunga",DAY(B2978)=1),0,0.01)+ROW()/10000000,"")</f>
        <v/>
      </c>
    </row>
    <row r="2979" outlineLevel="1" ht="15" customHeight="1" s="94">
      <c r="A2979" s="123">
        <f>IF(B2979="","",ROW()-15)</f>
        <v/>
      </c>
      <c r="B2979" s="124" t="n"/>
      <c r="C2979" s="123" t="n"/>
      <c r="D2979" s="123" t="n"/>
      <c r="E2979" s="123" t="n"/>
      <c r="F2979" s="125" t="n"/>
      <c r="G2979" s="123" t="n"/>
      <c r="H2979" s="123" t="n"/>
      <c r="I2979" s="123" t="n"/>
      <c r="J2979" s="123" t="n"/>
      <c r="K2979" s="123" t="n"/>
      <c r="L2979" s="123" t="n"/>
      <c r="M2979" s="123">
        <f>IF(AND(B2979&lt;&gt;"",OR($C$4="",ISNUMBER(SEARCH($C$4,C2979&amp;" "&amp;E2979&amp;" "&amp;G2979&amp;" "&amp;H2979&amp;" "&amp;I2979&amp;" "&amp;J2979&amp;" "&amp;K2979&amp;" "&amp;L2979))),OR($C$5="Semua",$C$5="",G2979=$C$5),OR($C$6="Semua",$C$6="",H2979=$C$6,H2979="Pengeluaran "&amp;$C$6,AND($C$6="Uang Kos Mama",H2979="Pengeluaran Uang Kos")),OR($C$7="Semua",$C$7="",I2979=$C$7),OR($C$8="Semua",$C$8="",C2979=$C$8,E2979=$C$8),OR($C$9="Semua",$C$9="",D2979=$C$9),OR($C$10="",B2979&gt;=$C$10),OR($C$11="",B2979&lt;=$C$11),OR($C$12&lt;&gt;"Ya",K2979&lt;&gt;""),OR($C$13="Semua",$C$13="",L2979=$C$13)),"✓","")</f>
        <v/>
      </c>
      <c r="N2979" s="93">
        <f>N(N2978)+IF(M2979="✓",1,0)</f>
        <v/>
      </c>
      <c r="O2979" s="93">
        <f>N(O2978)+IF(AND(B2979&lt;&gt;"",B2979&gt;='Uang Riba'!$H$30,B2979&lt;='Uang Riba'!$I$30,OR(H2979="Dana riba",H2979="Pinjam uang riba",I2979="Pinjam dari uang riba",I2979="Ganti uang riba",I2979="Kelebihan ganti dikembalikan",AND(C2979="Kantong Uang Riba",G2979="Pengeluaran"))),1,0)</f>
        <v/>
      </c>
      <c r="X2979" s="93">
        <f>IF(AND(B2979&lt;&gt;"",B2979&gt;='Buku Akun'!$H$4,B2979&lt;='Buku Akun'!$H$5,OR(C2979='Buku Akun'!$C$4,AND(D2979="Pindah",E2979='Buku Akun'!$C$4))),B2979+IF(AND(I2979="Selisih bunga",DAY(B2979)=1),0,0.01)+ROW()/10000000,"")</f>
        <v/>
      </c>
    </row>
    <row r="2980" outlineLevel="1" ht="15" customHeight="1" s="94">
      <c r="A2980" s="123">
        <f>IF(B2980="","",ROW()-15)</f>
        <v/>
      </c>
      <c r="B2980" s="124" t="n"/>
      <c r="C2980" s="123" t="n"/>
      <c r="D2980" s="123" t="n"/>
      <c r="E2980" s="123" t="n"/>
      <c r="F2980" s="125" t="n"/>
      <c r="G2980" s="123" t="n"/>
      <c r="H2980" s="123" t="n"/>
      <c r="I2980" s="123" t="n"/>
      <c r="J2980" s="123" t="n"/>
      <c r="K2980" s="123" t="n"/>
      <c r="L2980" s="123" t="n"/>
      <c r="M2980" s="123">
        <f>IF(AND(B2980&lt;&gt;"",OR($C$4="",ISNUMBER(SEARCH($C$4,C2980&amp;" "&amp;E2980&amp;" "&amp;G2980&amp;" "&amp;H2980&amp;" "&amp;I2980&amp;" "&amp;J2980&amp;" "&amp;K2980&amp;" "&amp;L2980))),OR($C$5="Semua",$C$5="",G2980=$C$5),OR($C$6="Semua",$C$6="",H2980=$C$6,H2980="Pengeluaran "&amp;$C$6,AND($C$6="Uang Kos Mama",H2980="Pengeluaran Uang Kos")),OR($C$7="Semua",$C$7="",I2980=$C$7),OR($C$8="Semua",$C$8="",C2980=$C$8,E2980=$C$8),OR($C$9="Semua",$C$9="",D2980=$C$9),OR($C$10="",B2980&gt;=$C$10),OR($C$11="",B2980&lt;=$C$11),OR($C$12&lt;&gt;"Ya",K2980&lt;&gt;""),OR($C$13="Semua",$C$13="",L2980=$C$13)),"✓","")</f>
        <v/>
      </c>
      <c r="N2980" s="93">
        <f>N(N2979)+IF(M2980="✓",1,0)</f>
        <v/>
      </c>
      <c r="O2980" s="93">
        <f>N(O2979)+IF(AND(B2980&lt;&gt;"",B2980&gt;='Uang Riba'!$H$30,B2980&lt;='Uang Riba'!$I$30,OR(H2980="Dana riba",H2980="Pinjam uang riba",I2980="Pinjam dari uang riba",I2980="Ganti uang riba",I2980="Kelebihan ganti dikembalikan",AND(C2980="Kantong Uang Riba",G2980="Pengeluaran"))),1,0)</f>
        <v/>
      </c>
      <c r="X2980" s="93">
        <f>IF(AND(B2980&lt;&gt;"",B2980&gt;='Buku Akun'!$H$4,B2980&lt;='Buku Akun'!$H$5,OR(C2980='Buku Akun'!$C$4,AND(D2980="Pindah",E2980='Buku Akun'!$C$4))),B2980+IF(AND(I2980="Selisih bunga",DAY(B2980)=1),0,0.01)+ROW()/10000000,"")</f>
        <v/>
      </c>
    </row>
    <row r="2981" outlineLevel="1" ht="15" customHeight="1" s="94">
      <c r="A2981" s="123">
        <f>IF(B2981="","",ROW()-15)</f>
        <v/>
      </c>
      <c r="B2981" s="124" t="n"/>
      <c r="C2981" s="123" t="n"/>
      <c r="D2981" s="123" t="n"/>
      <c r="E2981" s="123" t="n"/>
      <c r="F2981" s="125" t="n"/>
      <c r="G2981" s="123" t="n"/>
      <c r="H2981" s="123" t="n"/>
      <c r="I2981" s="123" t="n"/>
      <c r="J2981" s="123" t="n"/>
      <c r="K2981" s="123" t="n"/>
      <c r="L2981" s="123" t="n"/>
      <c r="M2981" s="123">
        <f>IF(AND(B2981&lt;&gt;"",OR($C$4="",ISNUMBER(SEARCH($C$4,C2981&amp;" "&amp;E2981&amp;" "&amp;G2981&amp;" "&amp;H2981&amp;" "&amp;I2981&amp;" "&amp;J2981&amp;" "&amp;K2981&amp;" "&amp;L2981))),OR($C$5="Semua",$C$5="",G2981=$C$5),OR($C$6="Semua",$C$6="",H2981=$C$6,H2981="Pengeluaran "&amp;$C$6,AND($C$6="Uang Kos Mama",H2981="Pengeluaran Uang Kos")),OR($C$7="Semua",$C$7="",I2981=$C$7),OR($C$8="Semua",$C$8="",C2981=$C$8,E2981=$C$8),OR($C$9="Semua",$C$9="",D2981=$C$9),OR($C$10="",B2981&gt;=$C$10),OR($C$11="",B2981&lt;=$C$11),OR($C$12&lt;&gt;"Ya",K2981&lt;&gt;""),OR($C$13="Semua",$C$13="",L2981=$C$13)),"✓","")</f>
        <v/>
      </c>
      <c r="N2981" s="93">
        <f>N(N2980)+IF(M2981="✓",1,0)</f>
        <v/>
      </c>
      <c r="O2981" s="93">
        <f>N(O2980)+IF(AND(B2981&lt;&gt;"",B2981&gt;='Uang Riba'!$H$30,B2981&lt;='Uang Riba'!$I$30,OR(H2981="Dana riba",H2981="Pinjam uang riba",I2981="Pinjam dari uang riba",I2981="Ganti uang riba",I2981="Kelebihan ganti dikembalikan",AND(C2981="Kantong Uang Riba",G2981="Pengeluaran"))),1,0)</f>
        <v/>
      </c>
      <c r="X2981" s="93">
        <f>IF(AND(B2981&lt;&gt;"",B2981&gt;='Buku Akun'!$H$4,B2981&lt;='Buku Akun'!$H$5,OR(C2981='Buku Akun'!$C$4,AND(D2981="Pindah",E2981='Buku Akun'!$C$4))),B2981+IF(AND(I2981="Selisih bunga",DAY(B2981)=1),0,0.01)+ROW()/10000000,"")</f>
        <v/>
      </c>
    </row>
    <row r="2982" outlineLevel="1" ht="15" customHeight="1" s="94">
      <c r="A2982" s="123">
        <f>IF(B2982="","",ROW()-15)</f>
        <v/>
      </c>
      <c r="B2982" s="124" t="n"/>
      <c r="C2982" s="123" t="n"/>
      <c r="D2982" s="123" t="n"/>
      <c r="E2982" s="123" t="n"/>
      <c r="F2982" s="125" t="n"/>
      <c r="G2982" s="123" t="n"/>
      <c r="H2982" s="123" t="n"/>
      <c r="I2982" s="123" t="n"/>
      <c r="J2982" s="123" t="n"/>
      <c r="K2982" s="123" t="n"/>
      <c r="L2982" s="123" t="n"/>
      <c r="M2982" s="123">
        <f>IF(AND(B2982&lt;&gt;"",OR($C$4="",ISNUMBER(SEARCH($C$4,C2982&amp;" "&amp;E2982&amp;" "&amp;G2982&amp;" "&amp;H2982&amp;" "&amp;I2982&amp;" "&amp;J2982&amp;" "&amp;K2982&amp;" "&amp;L2982))),OR($C$5="Semua",$C$5="",G2982=$C$5),OR($C$6="Semua",$C$6="",H2982=$C$6,H2982="Pengeluaran "&amp;$C$6,AND($C$6="Uang Kos Mama",H2982="Pengeluaran Uang Kos")),OR($C$7="Semua",$C$7="",I2982=$C$7),OR($C$8="Semua",$C$8="",C2982=$C$8,E2982=$C$8),OR($C$9="Semua",$C$9="",D2982=$C$9),OR($C$10="",B2982&gt;=$C$10),OR($C$11="",B2982&lt;=$C$11),OR($C$12&lt;&gt;"Ya",K2982&lt;&gt;""),OR($C$13="Semua",$C$13="",L2982=$C$13)),"✓","")</f>
        <v/>
      </c>
      <c r="N2982" s="93">
        <f>N(N2981)+IF(M2982="✓",1,0)</f>
        <v/>
      </c>
      <c r="O2982" s="93">
        <f>N(O2981)+IF(AND(B2982&lt;&gt;"",B2982&gt;='Uang Riba'!$H$30,B2982&lt;='Uang Riba'!$I$30,OR(H2982="Dana riba",H2982="Pinjam uang riba",I2982="Pinjam dari uang riba",I2982="Ganti uang riba",I2982="Kelebihan ganti dikembalikan",AND(C2982="Kantong Uang Riba",G2982="Pengeluaran"))),1,0)</f>
        <v/>
      </c>
      <c r="X2982" s="93">
        <f>IF(AND(B2982&lt;&gt;"",B2982&gt;='Buku Akun'!$H$4,B2982&lt;='Buku Akun'!$H$5,OR(C2982='Buku Akun'!$C$4,AND(D2982="Pindah",E2982='Buku Akun'!$C$4))),B2982+IF(AND(I2982="Selisih bunga",DAY(B2982)=1),0,0.01)+ROW()/10000000,"")</f>
        <v/>
      </c>
    </row>
    <row r="2983" outlineLevel="1" ht="15" customHeight="1" s="94">
      <c r="A2983" s="123">
        <f>IF(B2983="","",ROW()-15)</f>
        <v/>
      </c>
      <c r="B2983" s="124" t="n"/>
      <c r="C2983" s="123" t="n"/>
      <c r="D2983" s="123" t="n"/>
      <c r="E2983" s="123" t="n"/>
      <c r="F2983" s="125" t="n"/>
      <c r="G2983" s="123" t="n"/>
      <c r="H2983" s="123" t="n"/>
      <c r="I2983" s="123" t="n"/>
      <c r="J2983" s="123" t="n"/>
      <c r="K2983" s="123" t="n"/>
      <c r="L2983" s="123" t="n"/>
      <c r="M2983" s="123">
        <f>IF(AND(B2983&lt;&gt;"",OR($C$4="",ISNUMBER(SEARCH($C$4,C2983&amp;" "&amp;E2983&amp;" "&amp;G2983&amp;" "&amp;H2983&amp;" "&amp;I2983&amp;" "&amp;J2983&amp;" "&amp;K2983&amp;" "&amp;L2983))),OR($C$5="Semua",$C$5="",G2983=$C$5),OR($C$6="Semua",$C$6="",H2983=$C$6,H2983="Pengeluaran "&amp;$C$6,AND($C$6="Uang Kos Mama",H2983="Pengeluaran Uang Kos")),OR($C$7="Semua",$C$7="",I2983=$C$7),OR($C$8="Semua",$C$8="",C2983=$C$8,E2983=$C$8),OR($C$9="Semua",$C$9="",D2983=$C$9),OR($C$10="",B2983&gt;=$C$10),OR($C$11="",B2983&lt;=$C$11),OR($C$12&lt;&gt;"Ya",K2983&lt;&gt;""),OR($C$13="Semua",$C$13="",L2983=$C$13)),"✓","")</f>
        <v/>
      </c>
      <c r="N2983" s="93">
        <f>N(N2982)+IF(M2983="✓",1,0)</f>
        <v/>
      </c>
      <c r="O2983" s="93">
        <f>N(O2982)+IF(AND(B2983&lt;&gt;"",B2983&gt;='Uang Riba'!$H$30,B2983&lt;='Uang Riba'!$I$30,OR(H2983="Dana riba",H2983="Pinjam uang riba",I2983="Pinjam dari uang riba",I2983="Ganti uang riba",I2983="Kelebihan ganti dikembalikan",AND(C2983="Kantong Uang Riba",G2983="Pengeluaran"))),1,0)</f>
        <v/>
      </c>
      <c r="X2983" s="93">
        <f>IF(AND(B2983&lt;&gt;"",B2983&gt;='Buku Akun'!$H$4,B2983&lt;='Buku Akun'!$H$5,OR(C2983='Buku Akun'!$C$4,AND(D2983="Pindah",E2983='Buku Akun'!$C$4))),B2983+IF(AND(I2983="Selisih bunga",DAY(B2983)=1),0,0.01)+ROW()/10000000,"")</f>
        <v/>
      </c>
    </row>
    <row r="2984" outlineLevel="1" ht="15" customHeight="1" s="94">
      <c r="A2984" s="123">
        <f>IF(B2984="","",ROW()-15)</f>
        <v/>
      </c>
      <c r="B2984" s="124" t="n"/>
      <c r="C2984" s="123" t="n"/>
      <c r="D2984" s="123" t="n"/>
      <c r="E2984" s="123" t="n"/>
      <c r="F2984" s="125" t="n"/>
      <c r="G2984" s="123" t="n"/>
      <c r="H2984" s="123" t="n"/>
      <c r="I2984" s="123" t="n"/>
      <c r="J2984" s="123" t="n"/>
      <c r="K2984" s="123" t="n"/>
      <c r="L2984" s="123" t="n"/>
      <c r="M2984" s="123">
        <f>IF(AND(B2984&lt;&gt;"",OR($C$4="",ISNUMBER(SEARCH($C$4,C2984&amp;" "&amp;E2984&amp;" "&amp;G2984&amp;" "&amp;H2984&amp;" "&amp;I2984&amp;" "&amp;J2984&amp;" "&amp;K2984&amp;" "&amp;L2984))),OR($C$5="Semua",$C$5="",G2984=$C$5),OR($C$6="Semua",$C$6="",H2984=$C$6,H2984="Pengeluaran "&amp;$C$6,AND($C$6="Uang Kos Mama",H2984="Pengeluaran Uang Kos")),OR($C$7="Semua",$C$7="",I2984=$C$7),OR($C$8="Semua",$C$8="",C2984=$C$8,E2984=$C$8),OR($C$9="Semua",$C$9="",D2984=$C$9),OR($C$10="",B2984&gt;=$C$10),OR($C$11="",B2984&lt;=$C$11),OR($C$12&lt;&gt;"Ya",K2984&lt;&gt;""),OR($C$13="Semua",$C$13="",L2984=$C$13)),"✓","")</f>
        <v/>
      </c>
      <c r="N2984" s="93">
        <f>N(N2983)+IF(M2984="✓",1,0)</f>
        <v/>
      </c>
      <c r="O2984" s="93">
        <f>N(O2983)+IF(AND(B2984&lt;&gt;"",B2984&gt;='Uang Riba'!$H$30,B2984&lt;='Uang Riba'!$I$30,OR(H2984="Dana riba",H2984="Pinjam uang riba",I2984="Pinjam dari uang riba",I2984="Ganti uang riba",I2984="Kelebihan ganti dikembalikan",AND(C2984="Kantong Uang Riba",G2984="Pengeluaran"))),1,0)</f>
        <v/>
      </c>
      <c r="X2984" s="93">
        <f>IF(AND(B2984&lt;&gt;"",B2984&gt;='Buku Akun'!$H$4,B2984&lt;='Buku Akun'!$H$5,OR(C2984='Buku Akun'!$C$4,AND(D2984="Pindah",E2984='Buku Akun'!$C$4))),B2984+IF(AND(I2984="Selisih bunga",DAY(B2984)=1),0,0.01)+ROW()/10000000,"")</f>
        <v/>
      </c>
    </row>
    <row r="2985" outlineLevel="1" ht="15" customHeight="1" s="94">
      <c r="A2985" s="123">
        <f>IF(B2985="","",ROW()-15)</f>
        <v/>
      </c>
      <c r="B2985" s="124" t="n"/>
      <c r="C2985" s="123" t="n"/>
      <c r="D2985" s="123" t="n"/>
      <c r="E2985" s="123" t="n"/>
      <c r="F2985" s="125" t="n"/>
      <c r="G2985" s="123" t="n"/>
      <c r="H2985" s="123" t="n"/>
      <c r="I2985" s="123" t="n"/>
      <c r="J2985" s="123" t="n"/>
      <c r="K2985" s="123" t="n"/>
      <c r="L2985" s="123" t="n"/>
      <c r="M2985" s="123">
        <f>IF(AND(B2985&lt;&gt;"",OR($C$4="",ISNUMBER(SEARCH($C$4,C2985&amp;" "&amp;E2985&amp;" "&amp;G2985&amp;" "&amp;H2985&amp;" "&amp;I2985&amp;" "&amp;J2985&amp;" "&amp;K2985&amp;" "&amp;L2985))),OR($C$5="Semua",$C$5="",G2985=$C$5),OR($C$6="Semua",$C$6="",H2985=$C$6,H2985="Pengeluaran "&amp;$C$6,AND($C$6="Uang Kos Mama",H2985="Pengeluaran Uang Kos")),OR($C$7="Semua",$C$7="",I2985=$C$7),OR($C$8="Semua",$C$8="",C2985=$C$8,E2985=$C$8),OR($C$9="Semua",$C$9="",D2985=$C$9),OR($C$10="",B2985&gt;=$C$10),OR($C$11="",B2985&lt;=$C$11),OR($C$12&lt;&gt;"Ya",K2985&lt;&gt;""),OR($C$13="Semua",$C$13="",L2985=$C$13)),"✓","")</f>
        <v/>
      </c>
      <c r="N2985" s="93">
        <f>N(N2984)+IF(M2985="✓",1,0)</f>
        <v/>
      </c>
      <c r="O2985" s="93">
        <f>N(O2984)+IF(AND(B2985&lt;&gt;"",B2985&gt;='Uang Riba'!$H$30,B2985&lt;='Uang Riba'!$I$30,OR(H2985="Dana riba",H2985="Pinjam uang riba",I2985="Pinjam dari uang riba",I2985="Ganti uang riba",I2985="Kelebihan ganti dikembalikan",AND(C2985="Kantong Uang Riba",G2985="Pengeluaran"))),1,0)</f>
        <v/>
      </c>
      <c r="X2985" s="93">
        <f>IF(AND(B2985&lt;&gt;"",B2985&gt;='Buku Akun'!$H$4,B2985&lt;='Buku Akun'!$H$5,OR(C2985='Buku Akun'!$C$4,AND(D2985="Pindah",E2985='Buku Akun'!$C$4))),B2985+IF(AND(I2985="Selisih bunga",DAY(B2985)=1),0,0.01)+ROW()/10000000,"")</f>
        <v/>
      </c>
    </row>
    <row r="2986" outlineLevel="1" ht="15" customHeight="1" s="94">
      <c r="A2986" s="123">
        <f>IF(B2986="","",ROW()-15)</f>
        <v/>
      </c>
      <c r="B2986" s="124" t="n"/>
      <c r="C2986" s="123" t="n"/>
      <c r="D2986" s="123" t="n"/>
      <c r="E2986" s="123" t="n"/>
      <c r="F2986" s="125" t="n"/>
      <c r="G2986" s="123" t="n"/>
      <c r="H2986" s="123" t="n"/>
      <c r="I2986" s="123" t="n"/>
      <c r="J2986" s="123" t="n"/>
      <c r="K2986" s="123" t="n"/>
      <c r="L2986" s="123" t="n"/>
      <c r="M2986" s="123">
        <f>IF(AND(B2986&lt;&gt;"",OR($C$4="",ISNUMBER(SEARCH($C$4,C2986&amp;" "&amp;E2986&amp;" "&amp;G2986&amp;" "&amp;H2986&amp;" "&amp;I2986&amp;" "&amp;J2986&amp;" "&amp;K2986&amp;" "&amp;L2986))),OR($C$5="Semua",$C$5="",G2986=$C$5),OR($C$6="Semua",$C$6="",H2986=$C$6,H2986="Pengeluaran "&amp;$C$6,AND($C$6="Uang Kos Mama",H2986="Pengeluaran Uang Kos")),OR($C$7="Semua",$C$7="",I2986=$C$7),OR($C$8="Semua",$C$8="",C2986=$C$8,E2986=$C$8),OR($C$9="Semua",$C$9="",D2986=$C$9),OR($C$10="",B2986&gt;=$C$10),OR($C$11="",B2986&lt;=$C$11),OR($C$12&lt;&gt;"Ya",K2986&lt;&gt;""),OR($C$13="Semua",$C$13="",L2986=$C$13)),"✓","")</f>
        <v/>
      </c>
      <c r="N2986" s="93">
        <f>N(N2985)+IF(M2986="✓",1,0)</f>
        <v/>
      </c>
      <c r="O2986" s="93">
        <f>N(O2985)+IF(AND(B2986&lt;&gt;"",B2986&gt;='Uang Riba'!$H$30,B2986&lt;='Uang Riba'!$I$30,OR(H2986="Dana riba",H2986="Pinjam uang riba",I2986="Pinjam dari uang riba",I2986="Ganti uang riba",I2986="Kelebihan ganti dikembalikan",AND(C2986="Kantong Uang Riba",G2986="Pengeluaran"))),1,0)</f>
        <v/>
      </c>
      <c r="X2986" s="93">
        <f>IF(AND(B2986&lt;&gt;"",B2986&gt;='Buku Akun'!$H$4,B2986&lt;='Buku Akun'!$H$5,OR(C2986='Buku Akun'!$C$4,AND(D2986="Pindah",E2986='Buku Akun'!$C$4))),B2986+IF(AND(I2986="Selisih bunga",DAY(B2986)=1),0,0.01)+ROW()/10000000,"")</f>
        <v/>
      </c>
    </row>
    <row r="2987" outlineLevel="1" ht="15" customHeight="1" s="94">
      <c r="A2987" s="123">
        <f>IF(B2987="","",ROW()-15)</f>
        <v/>
      </c>
      <c r="B2987" s="124" t="n"/>
      <c r="C2987" s="123" t="n"/>
      <c r="D2987" s="123" t="n"/>
      <c r="E2987" s="123" t="n"/>
      <c r="F2987" s="125" t="n"/>
      <c r="G2987" s="123" t="n"/>
      <c r="H2987" s="123" t="n"/>
      <c r="I2987" s="123" t="n"/>
      <c r="J2987" s="123" t="n"/>
      <c r="K2987" s="123" t="n"/>
      <c r="L2987" s="123" t="n"/>
      <c r="M2987" s="123">
        <f>IF(AND(B2987&lt;&gt;"",OR($C$4="",ISNUMBER(SEARCH($C$4,C2987&amp;" "&amp;E2987&amp;" "&amp;G2987&amp;" "&amp;H2987&amp;" "&amp;I2987&amp;" "&amp;J2987&amp;" "&amp;K2987&amp;" "&amp;L2987))),OR($C$5="Semua",$C$5="",G2987=$C$5),OR($C$6="Semua",$C$6="",H2987=$C$6,H2987="Pengeluaran "&amp;$C$6,AND($C$6="Uang Kos Mama",H2987="Pengeluaran Uang Kos")),OR($C$7="Semua",$C$7="",I2987=$C$7),OR($C$8="Semua",$C$8="",C2987=$C$8,E2987=$C$8),OR($C$9="Semua",$C$9="",D2987=$C$9),OR($C$10="",B2987&gt;=$C$10),OR($C$11="",B2987&lt;=$C$11),OR($C$12&lt;&gt;"Ya",K2987&lt;&gt;""),OR($C$13="Semua",$C$13="",L2987=$C$13)),"✓","")</f>
        <v/>
      </c>
      <c r="N2987" s="93">
        <f>N(N2986)+IF(M2987="✓",1,0)</f>
        <v/>
      </c>
      <c r="O2987" s="93">
        <f>N(O2986)+IF(AND(B2987&lt;&gt;"",B2987&gt;='Uang Riba'!$H$30,B2987&lt;='Uang Riba'!$I$30,OR(H2987="Dana riba",H2987="Pinjam uang riba",I2987="Pinjam dari uang riba",I2987="Ganti uang riba",I2987="Kelebihan ganti dikembalikan",AND(C2987="Kantong Uang Riba",G2987="Pengeluaran"))),1,0)</f>
        <v/>
      </c>
      <c r="X2987" s="93">
        <f>IF(AND(B2987&lt;&gt;"",B2987&gt;='Buku Akun'!$H$4,B2987&lt;='Buku Akun'!$H$5,OR(C2987='Buku Akun'!$C$4,AND(D2987="Pindah",E2987='Buku Akun'!$C$4))),B2987+IF(AND(I2987="Selisih bunga",DAY(B2987)=1),0,0.01)+ROW()/10000000,"")</f>
        <v/>
      </c>
    </row>
    <row r="2988" outlineLevel="1" ht="15" customHeight="1" s="94">
      <c r="A2988" s="123">
        <f>IF(B2988="","",ROW()-15)</f>
        <v/>
      </c>
      <c r="B2988" s="124" t="n"/>
      <c r="C2988" s="123" t="n"/>
      <c r="D2988" s="123" t="n"/>
      <c r="E2988" s="123" t="n"/>
      <c r="F2988" s="125" t="n"/>
      <c r="G2988" s="123" t="n"/>
      <c r="H2988" s="123" t="n"/>
      <c r="I2988" s="123" t="n"/>
      <c r="J2988" s="123" t="n"/>
      <c r="K2988" s="123" t="n"/>
      <c r="L2988" s="123" t="n"/>
      <c r="M2988" s="123">
        <f>IF(AND(B2988&lt;&gt;"",OR($C$4="",ISNUMBER(SEARCH($C$4,C2988&amp;" "&amp;E2988&amp;" "&amp;G2988&amp;" "&amp;H2988&amp;" "&amp;I2988&amp;" "&amp;J2988&amp;" "&amp;K2988&amp;" "&amp;L2988))),OR($C$5="Semua",$C$5="",G2988=$C$5),OR($C$6="Semua",$C$6="",H2988=$C$6,H2988="Pengeluaran "&amp;$C$6,AND($C$6="Uang Kos Mama",H2988="Pengeluaran Uang Kos")),OR($C$7="Semua",$C$7="",I2988=$C$7),OR($C$8="Semua",$C$8="",C2988=$C$8,E2988=$C$8),OR($C$9="Semua",$C$9="",D2988=$C$9),OR($C$10="",B2988&gt;=$C$10),OR($C$11="",B2988&lt;=$C$11),OR($C$12&lt;&gt;"Ya",K2988&lt;&gt;""),OR($C$13="Semua",$C$13="",L2988=$C$13)),"✓","")</f>
        <v/>
      </c>
      <c r="N2988" s="93">
        <f>N(N2987)+IF(M2988="✓",1,0)</f>
        <v/>
      </c>
      <c r="O2988" s="93">
        <f>N(O2987)+IF(AND(B2988&lt;&gt;"",B2988&gt;='Uang Riba'!$H$30,B2988&lt;='Uang Riba'!$I$30,OR(H2988="Dana riba",H2988="Pinjam uang riba",I2988="Pinjam dari uang riba",I2988="Ganti uang riba",I2988="Kelebihan ganti dikembalikan",AND(C2988="Kantong Uang Riba",G2988="Pengeluaran"))),1,0)</f>
        <v/>
      </c>
      <c r="X2988" s="93">
        <f>IF(AND(B2988&lt;&gt;"",B2988&gt;='Buku Akun'!$H$4,B2988&lt;='Buku Akun'!$H$5,OR(C2988='Buku Akun'!$C$4,AND(D2988="Pindah",E2988='Buku Akun'!$C$4))),B2988+IF(AND(I2988="Selisih bunga",DAY(B2988)=1),0,0.01)+ROW()/10000000,"")</f>
        <v/>
      </c>
    </row>
    <row r="2989" outlineLevel="1" ht="15" customHeight="1" s="94">
      <c r="A2989" s="123">
        <f>IF(B2989="","",ROW()-15)</f>
        <v/>
      </c>
      <c r="B2989" s="124" t="n"/>
      <c r="C2989" s="123" t="n"/>
      <c r="D2989" s="123" t="n"/>
      <c r="E2989" s="123" t="n"/>
      <c r="F2989" s="125" t="n"/>
      <c r="G2989" s="123" t="n"/>
      <c r="H2989" s="123" t="n"/>
      <c r="I2989" s="123" t="n"/>
      <c r="J2989" s="123" t="n"/>
      <c r="K2989" s="123" t="n"/>
      <c r="L2989" s="123" t="n"/>
      <c r="M2989" s="123">
        <f>IF(AND(B2989&lt;&gt;"",OR($C$4="",ISNUMBER(SEARCH($C$4,C2989&amp;" "&amp;E2989&amp;" "&amp;G2989&amp;" "&amp;H2989&amp;" "&amp;I2989&amp;" "&amp;J2989&amp;" "&amp;K2989&amp;" "&amp;L2989))),OR($C$5="Semua",$C$5="",G2989=$C$5),OR($C$6="Semua",$C$6="",H2989=$C$6,H2989="Pengeluaran "&amp;$C$6,AND($C$6="Uang Kos Mama",H2989="Pengeluaran Uang Kos")),OR($C$7="Semua",$C$7="",I2989=$C$7),OR($C$8="Semua",$C$8="",C2989=$C$8,E2989=$C$8),OR($C$9="Semua",$C$9="",D2989=$C$9),OR($C$10="",B2989&gt;=$C$10),OR($C$11="",B2989&lt;=$C$11),OR($C$12&lt;&gt;"Ya",K2989&lt;&gt;""),OR($C$13="Semua",$C$13="",L2989=$C$13)),"✓","")</f>
        <v/>
      </c>
      <c r="N2989" s="93">
        <f>N(N2988)+IF(M2989="✓",1,0)</f>
        <v/>
      </c>
      <c r="O2989" s="93">
        <f>N(O2988)+IF(AND(B2989&lt;&gt;"",B2989&gt;='Uang Riba'!$H$30,B2989&lt;='Uang Riba'!$I$30,OR(H2989="Dana riba",H2989="Pinjam uang riba",I2989="Pinjam dari uang riba",I2989="Ganti uang riba",I2989="Kelebihan ganti dikembalikan",AND(C2989="Kantong Uang Riba",G2989="Pengeluaran"))),1,0)</f>
        <v/>
      </c>
      <c r="X2989" s="93">
        <f>IF(AND(B2989&lt;&gt;"",B2989&gt;='Buku Akun'!$H$4,B2989&lt;='Buku Akun'!$H$5,OR(C2989='Buku Akun'!$C$4,AND(D2989="Pindah",E2989='Buku Akun'!$C$4))),B2989+IF(AND(I2989="Selisih bunga",DAY(B2989)=1),0,0.01)+ROW()/10000000,"")</f>
        <v/>
      </c>
    </row>
    <row r="2990" outlineLevel="1" ht="15" customHeight="1" s="94">
      <c r="A2990" s="123">
        <f>IF(B2990="","",ROW()-15)</f>
        <v/>
      </c>
      <c r="B2990" s="124" t="n"/>
      <c r="C2990" s="123" t="n"/>
      <c r="D2990" s="123" t="n"/>
      <c r="E2990" s="123" t="n"/>
      <c r="F2990" s="125" t="n"/>
      <c r="G2990" s="123" t="n"/>
      <c r="H2990" s="123" t="n"/>
      <c r="I2990" s="123" t="n"/>
      <c r="J2990" s="123" t="n"/>
      <c r="K2990" s="123" t="n"/>
      <c r="L2990" s="123" t="n"/>
      <c r="M2990" s="123">
        <f>IF(AND(B2990&lt;&gt;"",OR($C$4="",ISNUMBER(SEARCH($C$4,C2990&amp;" "&amp;E2990&amp;" "&amp;G2990&amp;" "&amp;H2990&amp;" "&amp;I2990&amp;" "&amp;J2990&amp;" "&amp;K2990&amp;" "&amp;L2990))),OR($C$5="Semua",$C$5="",G2990=$C$5),OR($C$6="Semua",$C$6="",H2990=$C$6,H2990="Pengeluaran "&amp;$C$6,AND($C$6="Uang Kos Mama",H2990="Pengeluaran Uang Kos")),OR($C$7="Semua",$C$7="",I2990=$C$7),OR($C$8="Semua",$C$8="",C2990=$C$8,E2990=$C$8),OR($C$9="Semua",$C$9="",D2990=$C$9),OR($C$10="",B2990&gt;=$C$10),OR($C$11="",B2990&lt;=$C$11),OR($C$12&lt;&gt;"Ya",K2990&lt;&gt;""),OR($C$13="Semua",$C$13="",L2990=$C$13)),"✓","")</f>
        <v/>
      </c>
      <c r="N2990" s="93">
        <f>N(N2989)+IF(M2990="✓",1,0)</f>
        <v/>
      </c>
      <c r="O2990" s="93">
        <f>N(O2989)+IF(AND(B2990&lt;&gt;"",B2990&gt;='Uang Riba'!$H$30,B2990&lt;='Uang Riba'!$I$30,OR(H2990="Dana riba",H2990="Pinjam uang riba",I2990="Pinjam dari uang riba",I2990="Ganti uang riba",I2990="Kelebihan ganti dikembalikan",AND(C2990="Kantong Uang Riba",G2990="Pengeluaran"))),1,0)</f>
        <v/>
      </c>
      <c r="X2990" s="93">
        <f>IF(AND(B2990&lt;&gt;"",B2990&gt;='Buku Akun'!$H$4,B2990&lt;='Buku Akun'!$H$5,OR(C2990='Buku Akun'!$C$4,AND(D2990="Pindah",E2990='Buku Akun'!$C$4))),B2990+IF(AND(I2990="Selisih bunga",DAY(B2990)=1),0,0.01)+ROW()/10000000,"")</f>
        <v/>
      </c>
    </row>
    <row r="2991" outlineLevel="1" ht="15" customHeight="1" s="94">
      <c r="A2991" s="123">
        <f>IF(B2991="","",ROW()-15)</f>
        <v/>
      </c>
      <c r="B2991" s="124" t="n"/>
      <c r="C2991" s="123" t="n"/>
      <c r="D2991" s="123" t="n"/>
      <c r="E2991" s="123" t="n"/>
      <c r="F2991" s="125" t="n"/>
      <c r="G2991" s="123" t="n"/>
      <c r="H2991" s="123" t="n"/>
      <c r="I2991" s="123" t="n"/>
      <c r="J2991" s="123" t="n"/>
      <c r="K2991" s="123" t="n"/>
      <c r="L2991" s="123" t="n"/>
      <c r="M2991" s="123">
        <f>IF(AND(B2991&lt;&gt;"",OR($C$4="",ISNUMBER(SEARCH($C$4,C2991&amp;" "&amp;E2991&amp;" "&amp;G2991&amp;" "&amp;H2991&amp;" "&amp;I2991&amp;" "&amp;J2991&amp;" "&amp;K2991&amp;" "&amp;L2991))),OR($C$5="Semua",$C$5="",G2991=$C$5),OR($C$6="Semua",$C$6="",H2991=$C$6,H2991="Pengeluaran "&amp;$C$6,AND($C$6="Uang Kos Mama",H2991="Pengeluaran Uang Kos")),OR($C$7="Semua",$C$7="",I2991=$C$7),OR($C$8="Semua",$C$8="",C2991=$C$8,E2991=$C$8),OR($C$9="Semua",$C$9="",D2991=$C$9),OR($C$10="",B2991&gt;=$C$10),OR($C$11="",B2991&lt;=$C$11),OR($C$12&lt;&gt;"Ya",K2991&lt;&gt;""),OR($C$13="Semua",$C$13="",L2991=$C$13)),"✓","")</f>
        <v/>
      </c>
      <c r="N2991" s="93">
        <f>N(N2990)+IF(M2991="✓",1,0)</f>
        <v/>
      </c>
      <c r="O2991" s="93">
        <f>N(O2990)+IF(AND(B2991&lt;&gt;"",B2991&gt;='Uang Riba'!$H$30,B2991&lt;='Uang Riba'!$I$30,OR(H2991="Dana riba",H2991="Pinjam uang riba",I2991="Pinjam dari uang riba",I2991="Ganti uang riba",I2991="Kelebihan ganti dikembalikan",AND(C2991="Kantong Uang Riba",G2991="Pengeluaran"))),1,0)</f>
        <v/>
      </c>
      <c r="X2991" s="93">
        <f>IF(AND(B2991&lt;&gt;"",B2991&gt;='Buku Akun'!$H$4,B2991&lt;='Buku Akun'!$H$5,OR(C2991='Buku Akun'!$C$4,AND(D2991="Pindah",E2991='Buku Akun'!$C$4))),B2991+IF(AND(I2991="Selisih bunga",DAY(B2991)=1),0,0.01)+ROW()/10000000,"")</f>
        <v/>
      </c>
    </row>
    <row r="2992" outlineLevel="1" ht="15" customHeight="1" s="94">
      <c r="A2992" s="123">
        <f>IF(B2992="","",ROW()-15)</f>
        <v/>
      </c>
      <c r="B2992" s="124" t="n"/>
      <c r="C2992" s="123" t="n"/>
      <c r="D2992" s="123" t="n"/>
      <c r="E2992" s="123" t="n"/>
      <c r="F2992" s="125" t="n"/>
      <c r="G2992" s="123" t="n"/>
      <c r="H2992" s="123" t="n"/>
      <c r="I2992" s="123" t="n"/>
      <c r="J2992" s="123" t="n"/>
      <c r="K2992" s="123" t="n"/>
      <c r="L2992" s="123" t="n"/>
      <c r="M2992" s="123">
        <f>IF(AND(B2992&lt;&gt;"",OR($C$4="",ISNUMBER(SEARCH($C$4,C2992&amp;" "&amp;E2992&amp;" "&amp;G2992&amp;" "&amp;H2992&amp;" "&amp;I2992&amp;" "&amp;J2992&amp;" "&amp;K2992&amp;" "&amp;L2992))),OR($C$5="Semua",$C$5="",G2992=$C$5),OR($C$6="Semua",$C$6="",H2992=$C$6,H2992="Pengeluaran "&amp;$C$6,AND($C$6="Uang Kos Mama",H2992="Pengeluaran Uang Kos")),OR($C$7="Semua",$C$7="",I2992=$C$7),OR($C$8="Semua",$C$8="",C2992=$C$8,E2992=$C$8),OR($C$9="Semua",$C$9="",D2992=$C$9),OR($C$10="",B2992&gt;=$C$10),OR($C$11="",B2992&lt;=$C$11),OR($C$12&lt;&gt;"Ya",K2992&lt;&gt;""),OR($C$13="Semua",$C$13="",L2992=$C$13)),"✓","")</f>
        <v/>
      </c>
      <c r="N2992" s="93">
        <f>N(N2991)+IF(M2992="✓",1,0)</f>
        <v/>
      </c>
      <c r="O2992" s="93">
        <f>N(O2991)+IF(AND(B2992&lt;&gt;"",B2992&gt;='Uang Riba'!$H$30,B2992&lt;='Uang Riba'!$I$30,OR(H2992="Dana riba",H2992="Pinjam uang riba",I2992="Pinjam dari uang riba",I2992="Ganti uang riba",I2992="Kelebihan ganti dikembalikan",AND(C2992="Kantong Uang Riba",G2992="Pengeluaran"))),1,0)</f>
        <v/>
      </c>
      <c r="X2992" s="93">
        <f>IF(AND(B2992&lt;&gt;"",B2992&gt;='Buku Akun'!$H$4,B2992&lt;='Buku Akun'!$H$5,OR(C2992='Buku Akun'!$C$4,AND(D2992="Pindah",E2992='Buku Akun'!$C$4))),B2992+IF(AND(I2992="Selisih bunga",DAY(B2992)=1),0,0.01)+ROW()/10000000,"")</f>
        <v/>
      </c>
    </row>
    <row r="2993" outlineLevel="1" ht="15" customHeight="1" s="94">
      <c r="A2993" s="123">
        <f>IF(B2993="","",ROW()-15)</f>
        <v/>
      </c>
      <c r="B2993" s="124" t="n"/>
      <c r="C2993" s="123" t="n"/>
      <c r="D2993" s="123" t="n"/>
      <c r="E2993" s="123" t="n"/>
      <c r="F2993" s="125" t="n"/>
      <c r="G2993" s="123" t="n"/>
      <c r="H2993" s="123" t="n"/>
      <c r="I2993" s="123" t="n"/>
      <c r="J2993" s="123" t="n"/>
      <c r="K2993" s="123" t="n"/>
      <c r="L2993" s="123" t="n"/>
      <c r="M2993" s="123">
        <f>IF(AND(B2993&lt;&gt;"",OR($C$4="",ISNUMBER(SEARCH($C$4,C2993&amp;" "&amp;E2993&amp;" "&amp;G2993&amp;" "&amp;H2993&amp;" "&amp;I2993&amp;" "&amp;J2993&amp;" "&amp;K2993&amp;" "&amp;L2993))),OR($C$5="Semua",$C$5="",G2993=$C$5),OR($C$6="Semua",$C$6="",H2993=$C$6,H2993="Pengeluaran "&amp;$C$6,AND($C$6="Uang Kos Mama",H2993="Pengeluaran Uang Kos")),OR($C$7="Semua",$C$7="",I2993=$C$7),OR($C$8="Semua",$C$8="",C2993=$C$8,E2993=$C$8),OR($C$9="Semua",$C$9="",D2993=$C$9),OR($C$10="",B2993&gt;=$C$10),OR($C$11="",B2993&lt;=$C$11),OR($C$12&lt;&gt;"Ya",K2993&lt;&gt;""),OR($C$13="Semua",$C$13="",L2993=$C$13)),"✓","")</f>
        <v/>
      </c>
      <c r="N2993" s="93">
        <f>N(N2992)+IF(M2993="✓",1,0)</f>
        <v/>
      </c>
      <c r="O2993" s="93">
        <f>N(O2992)+IF(AND(B2993&lt;&gt;"",B2993&gt;='Uang Riba'!$H$30,B2993&lt;='Uang Riba'!$I$30,OR(H2993="Dana riba",H2993="Pinjam uang riba",I2993="Pinjam dari uang riba",I2993="Ganti uang riba",I2993="Kelebihan ganti dikembalikan",AND(C2993="Kantong Uang Riba",G2993="Pengeluaran"))),1,0)</f>
        <v/>
      </c>
      <c r="X2993" s="93">
        <f>IF(AND(B2993&lt;&gt;"",B2993&gt;='Buku Akun'!$H$4,B2993&lt;='Buku Akun'!$H$5,OR(C2993='Buku Akun'!$C$4,AND(D2993="Pindah",E2993='Buku Akun'!$C$4))),B2993+IF(AND(I2993="Selisih bunga",DAY(B2993)=1),0,0.01)+ROW()/10000000,"")</f>
        <v/>
      </c>
    </row>
    <row r="2994" outlineLevel="1" ht="15" customHeight="1" s="94">
      <c r="A2994" s="123">
        <f>IF(B2994="","",ROW()-15)</f>
        <v/>
      </c>
      <c r="B2994" s="124" t="n"/>
      <c r="C2994" s="123" t="n"/>
      <c r="D2994" s="123" t="n"/>
      <c r="E2994" s="123" t="n"/>
      <c r="F2994" s="125" t="n"/>
      <c r="G2994" s="123" t="n"/>
      <c r="H2994" s="123" t="n"/>
      <c r="I2994" s="123" t="n"/>
      <c r="J2994" s="123" t="n"/>
      <c r="K2994" s="123" t="n"/>
      <c r="L2994" s="123" t="n"/>
      <c r="M2994" s="123">
        <f>IF(AND(B2994&lt;&gt;"",OR($C$4="",ISNUMBER(SEARCH($C$4,C2994&amp;" "&amp;E2994&amp;" "&amp;G2994&amp;" "&amp;H2994&amp;" "&amp;I2994&amp;" "&amp;J2994&amp;" "&amp;K2994&amp;" "&amp;L2994))),OR($C$5="Semua",$C$5="",G2994=$C$5),OR($C$6="Semua",$C$6="",H2994=$C$6,H2994="Pengeluaran "&amp;$C$6,AND($C$6="Uang Kos Mama",H2994="Pengeluaran Uang Kos")),OR($C$7="Semua",$C$7="",I2994=$C$7),OR($C$8="Semua",$C$8="",C2994=$C$8,E2994=$C$8),OR($C$9="Semua",$C$9="",D2994=$C$9),OR($C$10="",B2994&gt;=$C$10),OR($C$11="",B2994&lt;=$C$11),OR($C$12&lt;&gt;"Ya",K2994&lt;&gt;""),OR($C$13="Semua",$C$13="",L2994=$C$13)),"✓","")</f>
        <v/>
      </c>
      <c r="N2994" s="93">
        <f>N(N2993)+IF(M2994="✓",1,0)</f>
        <v/>
      </c>
      <c r="O2994" s="93">
        <f>N(O2993)+IF(AND(B2994&lt;&gt;"",B2994&gt;='Uang Riba'!$H$30,B2994&lt;='Uang Riba'!$I$30,OR(H2994="Dana riba",H2994="Pinjam uang riba",I2994="Pinjam dari uang riba",I2994="Ganti uang riba",I2994="Kelebihan ganti dikembalikan",AND(C2994="Kantong Uang Riba",G2994="Pengeluaran"))),1,0)</f>
        <v/>
      </c>
      <c r="X2994" s="93">
        <f>IF(AND(B2994&lt;&gt;"",B2994&gt;='Buku Akun'!$H$4,B2994&lt;='Buku Akun'!$H$5,OR(C2994='Buku Akun'!$C$4,AND(D2994="Pindah",E2994='Buku Akun'!$C$4))),B2994+IF(AND(I2994="Selisih bunga",DAY(B2994)=1),0,0.01)+ROW()/10000000,"")</f>
        <v/>
      </c>
    </row>
    <row r="2995" outlineLevel="1" ht="15" customHeight="1" s="94">
      <c r="A2995" s="123">
        <f>IF(B2995="","",ROW()-15)</f>
        <v/>
      </c>
      <c r="B2995" s="124" t="n"/>
      <c r="C2995" s="123" t="n"/>
      <c r="D2995" s="123" t="n"/>
      <c r="E2995" s="123" t="n"/>
      <c r="F2995" s="125" t="n"/>
      <c r="G2995" s="123" t="n"/>
      <c r="H2995" s="123" t="n"/>
      <c r="I2995" s="123" t="n"/>
      <c r="J2995" s="123" t="n"/>
      <c r="K2995" s="123" t="n"/>
      <c r="L2995" s="123" t="n"/>
      <c r="M2995" s="123">
        <f>IF(AND(B2995&lt;&gt;"",OR($C$4="",ISNUMBER(SEARCH($C$4,C2995&amp;" "&amp;E2995&amp;" "&amp;G2995&amp;" "&amp;H2995&amp;" "&amp;I2995&amp;" "&amp;J2995&amp;" "&amp;K2995&amp;" "&amp;L2995))),OR($C$5="Semua",$C$5="",G2995=$C$5),OR($C$6="Semua",$C$6="",H2995=$C$6,H2995="Pengeluaran "&amp;$C$6,AND($C$6="Uang Kos Mama",H2995="Pengeluaran Uang Kos")),OR($C$7="Semua",$C$7="",I2995=$C$7),OR($C$8="Semua",$C$8="",C2995=$C$8,E2995=$C$8),OR($C$9="Semua",$C$9="",D2995=$C$9),OR($C$10="",B2995&gt;=$C$10),OR($C$11="",B2995&lt;=$C$11),OR($C$12&lt;&gt;"Ya",K2995&lt;&gt;""),OR($C$13="Semua",$C$13="",L2995=$C$13)),"✓","")</f>
        <v/>
      </c>
      <c r="N2995" s="93">
        <f>N(N2994)+IF(M2995="✓",1,0)</f>
        <v/>
      </c>
      <c r="O2995" s="93">
        <f>N(O2994)+IF(AND(B2995&lt;&gt;"",B2995&gt;='Uang Riba'!$H$30,B2995&lt;='Uang Riba'!$I$30,OR(H2995="Dana riba",H2995="Pinjam uang riba",I2995="Pinjam dari uang riba",I2995="Ganti uang riba",I2995="Kelebihan ganti dikembalikan",AND(C2995="Kantong Uang Riba",G2995="Pengeluaran"))),1,0)</f>
        <v/>
      </c>
      <c r="X2995" s="93">
        <f>IF(AND(B2995&lt;&gt;"",B2995&gt;='Buku Akun'!$H$4,B2995&lt;='Buku Akun'!$H$5,OR(C2995='Buku Akun'!$C$4,AND(D2995="Pindah",E2995='Buku Akun'!$C$4))),B2995+IF(AND(I2995="Selisih bunga",DAY(B2995)=1),0,0.01)+ROW()/10000000,"")</f>
        <v/>
      </c>
    </row>
    <row r="2996" outlineLevel="1" ht="15" customHeight="1" s="94">
      <c r="A2996" s="123">
        <f>IF(B2996="","",ROW()-15)</f>
        <v/>
      </c>
      <c r="B2996" s="124" t="n"/>
      <c r="C2996" s="123" t="n"/>
      <c r="D2996" s="123" t="n"/>
      <c r="E2996" s="123" t="n"/>
      <c r="F2996" s="125" t="n"/>
      <c r="G2996" s="123" t="n"/>
      <c r="H2996" s="123" t="n"/>
      <c r="I2996" s="123" t="n"/>
      <c r="J2996" s="123" t="n"/>
      <c r="K2996" s="123" t="n"/>
      <c r="L2996" s="123" t="n"/>
      <c r="M2996" s="123">
        <f>IF(AND(B2996&lt;&gt;"",OR($C$4="",ISNUMBER(SEARCH($C$4,C2996&amp;" "&amp;E2996&amp;" "&amp;G2996&amp;" "&amp;H2996&amp;" "&amp;I2996&amp;" "&amp;J2996&amp;" "&amp;K2996&amp;" "&amp;L2996))),OR($C$5="Semua",$C$5="",G2996=$C$5),OR($C$6="Semua",$C$6="",H2996=$C$6,H2996="Pengeluaran "&amp;$C$6,AND($C$6="Uang Kos Mama",H2996="Pengeluaran Uang Kos")),OR($C$7="Semua",$C$7="",I2996=$C$7),OR($C$8="Semua",$C$8="",C2996=$C$8,E2996=$C$8),OR($C$9="Semua",$C$9="",D2996=$C$9),OR($C$10="",B2996&gt;=$C$10),OR($C$11="",B2996&lt;=$C$11),OR($C$12&lt;&gt;"Ya",K2996&lt;&gt;""),OR($C$13="Semua",$C$13="",L2996=$C$13)),"✓","")</f>
        <v/>
      </c>
      <c r="N2996" s="93">
        <f>N(N2995)+IF(M2996="✓",1,0)</f>
        <v/>
      </c>
      <c r="O2996" s="93">
        <f>N(O2995)+IF(AND(B2996&lt;&gt;"",B2996&gt;='Uang Riba'!$H$30,B2996&lt;='Uang Riba'!$I$30,OR(H2996="Dana riba",H2996="Pinjam uang riba",I2996="Pinjam dari uang riba",I2996="Ganti uang riba",I2996="Kelebihan ganti dikembalikan",AND(C2996="Kantong Uang Riba",G2996="Pengeluaran"))),1,0)</f>
        <v/>
      </c>
      <c r="X2996" s="93">
        <f>IF(AND(B2996&lt;&gt;"",B2996&gt;='Buku Akun'!$H$4,B2996&lt;='Buku Akun'!$H$5,OR(C2996='Buku Akun'!$C$4,AND(D2996="Pindah",E2996='Buku Akun'!$C$4))),B2996+IF(AND(I2996="Selisih bunga",DAY(B2996)=1),0,0.01)+ROW()/10000000,"")</f>
        <v/>
      </c>
    </row>
    <row r="2997" outlineLevel="1" ht="15" customHeight="1" s="94">
      <c r="A2997" s="123">
        <f>IF(B2997="","",ROW()-15)</f>
        <v/>
      </c>
      <c r="B2997" s="124" t="n"/>
      <c r="C2997" s="123" t="n"/>
      <c r="D2997" s="123" t="n"/>
      <c r="E2997" s="123" t="n"/>
      <c r="F2997" s="125" t="n"/>
      <c r="G2997" s="123" t="n"/>
      <c r="H2997" s="123" t="n"/>
      <c r="I2997" s="123" t="n"/>
      <c r="J2997" s="123" t="n"/>
      <c r="K2997" s="123" t="n"/>
      <c r="L2997" s="123" t="n"/>
      <c r="M2997" s="123">
        <f>IF(AND(B2997&lt;&gt;"",OR($C$4="",ISNUMBER(SEARCH($C$4,C2997&amp;" "&amp;E2997&amp;" "&amp;G2997&amp;" "&amp;H2997&amp;" "&amp;I2997&amp;" "&amp;J2997&amp;" "&amp;K2997&amp;" "&amp;L2997))),OR($C$5="Semua",$C$5="",G2997=$C$5),OR($C$6="Semua",$C$6="",H2997=$C$6,H2997="Pengeluaran "&amp;$C$6,AND($C$6="Uang Kos Mama",H2997="Pengeluaran Uang Kos")),OR($C$7="Semua",$C$7="",I2997=$C$7),OR($C$8="Semua",$C$8="",C2997=$C$8,E2997=$C$8),OR($C$9="Semua",$C$9="",D2997=$C$9),OR($C$10="",B2997&gt;=$C$10),OR($C$11="",B2997&lt;=$C$11),OR($C$12&lt;&gt;"Ya",K2997&lt;&gt;""),OR($C$13="Semua",$C$13="",L2997=$C$13)),"✓","")</f>
        <v/>
      </c>
      <c r="N2997" s="93">
        <f>N(N2996)+IF(M2997="✓",1,0)</f>
        <v/>
      </c>
      <c r="O2997" s="93">
        <f>N(O2996)+IF(AND(B2997&lt;&gt;"",B2997&gt;='Uang Riba'!$H$30,B2997&lt;='Uang Riba'!$I$30,OR(H2997="Dana riba",H2997="Pinjam uang riba",I2997="Pinjam dari uang riba",I2997="Ganti uang riba",I2997="Kelebihan ganti dikembalikan",AND(C2997="Kantong Uang Riba",G2997="Pengeluaran"))),1,0)</f>
        <v/>
      </c>
      <c r="X2997" s="93">
        <f>IF(AND(B2997&lt;&gt;"",B2997&gt;='Buku Akun'!$H$4,B2997&lt;='Buku Akun'!$H$5,OR(C2997='Buku Akun'!$C$4,AND(D2997="Pindah",E2997='Buku Akun'!$C$4))),B2997+IF(AND(I2997="Selisih bunga",DAY(B2997)=1),0,0.01)+ROW()/10000000,"")</f>
        <v/>
      </c>
    </row>
    <row r="2998" outlineLevel="1" ht="15" customHeight="1" s="94">
      <c r="A2998" s="123">
        <f>IF(B2998="","",ROW()-15)</f>
        <v/>
      </c>
      <c r="B2998" s="124" t="n"/>
      <c r="C2998" s="123" t="n"/>
      <c r="D2998" s="123" t="n"/>
      <c r="E2998" s="123" t="n"/>
      <c r="F2998" s="125" t="n"/>
      <c r="G2998" s="123" t="n"/>
      <c r="H2998" s="123" t="n"/>
      <c r="I2998" s="123" t="n"/>
      <c r="J2998" s="123" t="n"/>
      <c r="K2998" s="123" t="n"/>
      <c r="L2998" s="123" t="n"/>
      <c r="M2998" s="123">
        <f>IF(AND(B2998&lt;&gt;"",OR($C$4="",ISNUMBER(SEARCH($C$4,C2998&amp;" "&amp;E2998&amp;" "&amp;G2998&amp;" "&amp;H2998&amp;" "&amp;I2998&amp;" "&amp;J2998&amp;" "&amp;K2998&amp;" "&amp;L2998))),OR($C$5="Semua",$C$5="",G2998=$C$5),OR($C$6="Semua",$C$6="",H2998=$C$6,H2998="Pengeluaran "&amp;$C$6,AND($C$6="Uang Kos Mama",H2998="Pengeluaran Uang Kos")),OR($C$7="Semua",$C$7="",I2998=$C$7),OR($C$8="Semua",$C$8="",C2998=$C$8,E2998=$C$8),OR($C$9="Semua",$C$9="",D2998=$C$9),OR($C$10="",B2998&gt;=$C$10),OR($C$11="",B2998&lt;=$C$11),OR($C$12&lt;&gt;"Ya",K2998&lt;&gt;""),OR($C$13="Semua",$C$13="",L2998=$C$13)),"✓","")</f>
        <v/>
      </c>
      <c r="N2998" s="93">
        <f>N(N2997)+IF(M2998="✓",1,0)</f>
        <v/>
      </c>
      <c r="O2998" s="93">
        <f>N(O2997)+IF(AND(B2998&lt;&gt;"",B2998&gt;='Uang Riba'!$H$30,B2998&lt;='Uang Riba'!$I$30,OR(H2998="Dana riba",H2998="Pinjam uang riba",I2998="Pinjam dari uang riba",I2998="Ganti uang riba",I2998="Kelebihan ganti dikembalikan",AND(C2998="Kantong Uang Riba",G2998="Pengeluaran"))),1,0)</f>
        <v/>
      </c>
      <c r="X2998" s="93">
        <f>IF(AND(B2998&lt;&gt;"",B2998&gt;='Buku Akun'!$H$4,B2998&lt;='Buku Akun'!$H$5,OR(C2998='Buku Akun'!$C$4,AND(D2998="Pindah",E2998='Buku Akun'!$C$4))),B2998+IF(AND(I2998="Selisih bunga",DAY(B2998)=1),0,0.01)+ROW()/10000000,"")</f>
        <v/>
      </c>
    </row>
    <row r="2999" outlineLevel="1" ht="15" customHeight="1" s="94">
      <c r="A2999" s="123">
        <f>IF(B2999="","",ROW()-15)</f>
        <v/>
      </c>
      <c r="B2999" s="124" t="n"/>
      <c r="C2999" s="123" t="n"/>
      <c r="D2999" s="123" t="n"/>
      <c r="E2999" s="123" t="n"/>
      <c r="F2999" s="125" t="n"/>
      <c r="G2999" s="123" t="n"/>
      <c r="H2999" s="123" t="n"/>
      <c r="I2999" s="123" t="n"/>
      <c r="J2999" s="123" t="n"/>
      <c r="K2999" s="123" t="n"/>
      <c r="L2999" s="123" t="n"/>
      <c r="M2999" s="123">
        <f>IF(AND(B2999&lt;&gt;"",OR($C$4="",ISNUMBER(SEARCH($C$4,C2999&amp;" "&amp;E2999&amp;" "&amp;G2999&amp;" "&amp;H2999&amp;" "&amp;I2999&amp;" "&amp;J2999&amp;" "&amp;K2999&amp;" "&amp;L2999))),OR($C$5="Semua",$C$5="",G2999=$C$5),OR($C$6="Semua",$C$6="",H2999=$C$6,H2999="Pengeluaran "&amp;$C$6,AND($C$6="Uang Kos Mama",H2999="Pengeluaran Uang Kos")),OR($C$7="Semua",$C$7="",I2999=$C$7),OR($C$8="Semua",$C$8="",C2999=$C$8,E2999=$C$8),OR($C$9="Semua",$C$9="",D2999=$C$9),OR($C$10="",B2999&gt;=$C$10),OR($C$11="",B2999&lt;=$C$11),OR($C$12&lt;&gt;"Ya",K2999&lt;&gt;""),OR($C$13="Semua",$C$13="",L2999=$C$13)),"✓","")</f>
        <v/>
      </c>
      <c r="N2999" s="93">
        <f>N(N2998)+IF(M2999="✓",1,0)</f>
        <v/>
      </c>
      <c r="O2999" s="93">
        <f>N(O2998)+IF(AND(B2999&lt;&gt;"",B2999&gt;='Uang Riba'!$H$30,B2999&lt;='Uang Riba'!$I$30,OR(H2999="Dana riba",H2999="Pinjam uang riba",I2999="Pinjam dari uang riba",I2999="Ganti uang riba",I2999="Kelebihan ganti dikembalikan",AND(C2999="Kantong Uang Riba",G2999="Pengeluaran"))),1,0)</f>
        <v/>
      </c>
      <c r="X2999" s="93">
        <f>IF(AND(B2999&lt;&gt;"",B2999&gt;='Buku Akun'!$H$4,B2999&lt;='Buku Akun'!$H$5,OR(C2999='Buku Akun'!$C$4,AND(D2999="Pindah",E2999='Buku Akun'!$C$4))),B2999+IF(AND(I2999="Selisih bunga",DAY(B2999)=1),0,0.01)+ROW()/10000000,"")</f>
        <v/>
      </c>
    </row>
    <row r="3000" outlineLevel="1" ht="15" customHeight="1" s="94">
      <c r="A3000" s="123">
        <f>IF(B3000="","",ROW()-15)</f>
        <v/>
      </c>
      <c r="B3000" s="124" t="n"/>
      <c r="C3000" s="123" t="n"/>
      <c r="D3000" s="123" t="n"/>
      <c r="E3000" s="123" t="n"/>
      <c r="F3000" s="125" t="n"/>
      <c r="G3000" s="123" t="n"/>
      <c r="H3000" s="123" t="n"/>
      <c r="I3000" s="123" t="n"/>
      <c r="J3000" s="123" t="n"/>
      <c r="K3000" s="123" t="n"/>
      <c r="L3000" s="123" t="n"/>
      <c r="M3000" s="123">
        <f>IF(AND(B3000&lt;&gt;"",OR($C$4="",ISNUMBER(SEARCH($C$4,C3000&amp;" "&amp;E3000&amp;" "&amp;G3000&amp;" "&amp;H3000&amp;" "&amp;I3000&amp;" "&amp;J3000&amp;" "&amp;K3000&amp;" "&amp;L3000))),OR($C$5="Semua",$C$5="",G3000=$C$5),OR($C$6="Semua",$C$6="",H3000=$C$6,H3000="Pengeluaran "&amp;$C$6,AND($C$6="Uang Kos Mama",H3000="Pengeluaran Uang Kos")),OR($C$7="Semua",$C$7="",I3000=$C$7),OR($C$8="Semua",$C$8="",C3000=$C$8,E3000=$C$8),OR($C$9="Semua",$C$9="",D3000=$C$9),OR($C$10="",B3000&gt;=$C$10),OR($C$11="",B3000&lt;=$C$11),OR($C$12&lt;&gt;"Ya",K3000&lt;&gt;""),OR($C$13="Semua",$C$13="",L3000=$C$13)),"✓","")</f>
        <v/>
      </c>
      <c r="N3000" s="93">
        <f>N(N2999)+IF(M3000="✓",1,0)</f>
        <v/>
      </c>
      <c r="O3000" s="93">
        <f>N(O2999)+IF(AND(B3000&lt;&gt;"",B3000&gt;='Uang Riba'!$H$30,B3000&lt;='Uang Riba'!$I$30,OR(H3000="Dana riba",H3000="Pinjam uang riba",I3000="Pinjam dari uang riba",I3000="Ganti uang riba",I3000="Kelebihan ganti dikembalikan",AND(C3000="Kantong Uang Riba",G3000="Pengeluaran"))),1,0)</f>
        <v/>
      </c>
      <c r="X3000" s="93">
        <f>IF(AND(B3000&lt;&gt;"",B3000&gt;='Buku Akun'!$H$4,B3000&lt;='Buku Akun'!$H$5,OR(C3000='Buku Akun'!$C$4,AND(D3000="Pindah",E3000='Buku Akun'!$C$4))),B3000+IF(AND(I3000="Selisih bunga",DAY(B3000)=1),0,0.01)+ROW()/10000000,"")</f>
        <v/>
      </c>
    </row>
    <row r="3001" outlineLevel="1" ht="15" customHeight="1" s="94">
      <c r="A3001" s="123">
        <f>IF(B3001="","",ROW()-15)</f>
        <v/>
      </c>
      <c r="B3001" s="124" t="n"/>
      <c r="C3001" s="123" t="n"/>
      <c r="D3001" s="123" t="n"/>
      <c r="E3001" s="123" t="n"/>
      <c r="F3001" s="125" t="n"/>
      <c r="G3001" s="123" t="n"/>
      <c r="H3001" s="123" t="n"/>
      <c r="I3001" s="123" t="n"/>
      <c r="J3001" s="123" t="n"/>
      <c r="K3001" s="123" t="n"/>
      <c r="L3001" s="123" t="n"/>
      <c r="M3001" s="123">
        <f>IF(AND(B3001&lt;&gt;"",OR($C$4="",ISNUMBER(SEARCH($C$4,C3001&amp;" "&amp;E3001&amp;" "&amp;G3001&amp;" "&amp;H3001&amp;" "&amp;I3001&amp;" "&amp;J3001&amp;" "&amp;K3001&amp;" "&amp;L3001))),OR($C$5="Semua",$C$5="",G3001=$C$5),OR($C$6="Semua",$C$6="",H3001=$C$6,H3001="Pengeluaran "&amp;$C$6,AND($C$6="Uang Kos Mama",H3001="Pengeluaran Uang Kos")),OR($C$7="Semua",$C$7="",I3001=$C$7),OR($C$8="Semua",$C$8="",C3001=$C$8,E3001=$C$8),OR($C$9="Semua",$C$9="",D3001=$C$9),OR($C$10="",B3001&gt;=$C$10),OR($C$11="",B3001&lt;=$C$11),OR($C$12&lt;&gt;"Ya",K3001&lt;&gt;""),OR($C$13="Semua",$C$13="",L3001=$C$13)),"✓","")</f>
        <v/>
      </c>
      <c r="N3001" s="93">
        <f>N(N3000)+IF(M3001="✓",1,0)</f>
        <v/>
      </c>
      <c r="O3001" s="93">
        <f>N(O3000)+IF(AND(B3001&lt;&gt;"",B3001&gt;='Uang Riba'!$H$30,B3001&lt;='Uang Riba'!$I$30,OR(H3001="Dana riba",H3001="Pinjam uang riba",I3001="Pinjam dari uang riba",I3001="Ganti uang riba",I3001="Kelebihan ganti dikembalikan",AND(C3001="Kantong Uang Riba",G3001="Pengeluaran"))),1,0)</f>
        <v/>
      </c>
      <c r="X3001" s="93">
        <f>IF(AND(B3001&lt;&gt;"",B3001&gt;='Buku Akun'!$H$4,B3001&lt;='Buku Akun'!$H$5,OR(C3001='Buku Akun'!$C$4,AND(D3001="Pindah",E3001='Buku Akun'!$C$4))),B3001+IF(AND(I3001="Selisih bunga",DAY(B3001)=1),0,0.01)+ROW()/10000000,"")</f>
        <v/>
      </c>
    </row>
    <row r="3002" outlineLevel="1" ht="15" customHeight="1" s="94">
      <c r="A3002" s="123">
        <f>IF(B3002="","",ROW()-15)</f>
        <v/>
      </c>
      <c r="B3002" s="124" t="n"/>
      <c r="C3002" s="123" t="n"/>
      <c r="D3002" s="123" t="n"/>
      <c r="E3002" s="123" t="n"/>
      <c r="F3002" s="125" t="n"/>
      <c r="G3002" s="123" t="n"/>
      <c r="H3002" s="123" t="n"/>
      <c r="I3002" s="123" t="n"/>
      <c r="J3002" s="123" t="n"/>
      <c r="K3002" s="123" t="n"/>
      <c r="L3002" s="123" t="n"/>
      <c r="M3002" s="123">
        <f>IF(AND(B3002&lt;&gt;"",OR($C$4="",ISNUMBER(SEARCH($C$4,C3002&amp;" "&amp;E3002&amp;" "&amp;G3002&amp;" "&amp;H3002&amp;" "&amp;I3002&amp;" "&amp;J3002&amp;" "&amp;K3002&amp;" "&amp;L3002))),OR($C$5="Semua",$C$5="",G3002=$C$5),OR($C$6="Semua",$C$6="",H3002=$C$6,H3002="Pengeluaran "&amp;$C$6,AND($C$6="Uang Kos Mama",H3002="Pengeluaran Uang Kos")),OR($C$7="Semua",$C$7="",I3002=$C$7),OR($C$8="Semua",$C$8="",C3002=$C$8,E3002=$C$8),OR($C$9="Semua",$C$9="",D3002=$C$9),OR($C$10="",B3002&gt;=$C$10),OR($C$11="",B3002&lt;=$C$11),OR($C$12&lt;&gt;"Ya",K3002&lt;&gt;""),OR($C$13="Semua",$C$13="",L3002=$C$13)),"✓","")</f>
        <v/>
      </c>
      <c r="N3002" s="93">
        <f>N(N3001)+IF(M3002="✓",1,0)</f>
        <v/>
      </c>
      <c r="O3002" s="93">
        <f>N(O3001)+IF(AND(B3002&lt;&gt;"",B3002&gt;='Uang Riba'!$H$30,B3002&lt;='Uang Riba'!$I$30,OR(H3002="Dana riba",H3002="Pinjam uang riba",I3002="Pinjam dari uang riba",I3002="Ganti uang riba",I3002="Kelebihan ganti dikembalikan",AND(C3002="Kantong Uang Riba",G3002="Pengeluaran"))),1,0)</f>
        <v/>
      </c>
      <c r="X3002" s="93">
        <f>IF(AND(B3002&lt;&gt;"",B3002&gt;='Buku Akun'!$H$4,B3002&lt;='Buku Akun'!$H$5,OR(C3002='Buku Akun'!$C$4,AND(D3002="Pindah",E3002='Buku Akun'!$C$4))),B3002+IF(AND(I3002="Selisih bunga",DAY(B3002)=1),0,0.01)+ROW()/10000000,"")</f>
        <v/>
      </c>
    </row>
    <row r="3003" outlineLevel="1" ht="15" customHeight="1" s="94">
      <c r="A3003" s="123">
        <f>IF(B3003="","",ROW()-15)</f>
        <v/>
      </c>
      <c r="B3003" s="124" t="n"/>
      <c r="C3003" s="123" t="n"/>
      <c r="D3003" s="123" t="n"/>
      <c r="E3003" s="123" t="n"/>
      <c r="F3003" s="125" t="n"/>
      <c r="G3003" s="123" t="n"/>
      <c r="H3003" s="123" t="n"/>
      <c r="I3003" s="123" t="n"/>
      <c r="J3003" s="123" t="n"/>
      <c r="K3003" s="123" t="n"/>
      <c r="L3003" s="123" t="n"/>
      <c r="M3003" s="123">
        <f>IF(AND(B3003&lt;&gt;"",OR($C$4="",ISNUMBER(SEARCH($C$4,C3003&amp;" "&amp;E3003&amp;" "&amp;G3003&amp;" "&amp;H3003&amp;" "&amp;I3003&amp;" "&amp;J3003&amp;" "&amp;K3003&amp;" "&amp;L3003))),OR($C$5="Semua",$C$5="",G3003=$C$5),OR($C$6="Semua",$C$6="",H3003=$C$6,H3003="Pengeluaran "&amp;$C$6,AND($C$6="Uang Kos Mama",H3003="Pengeluaran Uang Kos")),OR($C$7="Semua",$C$7="",I3003=$C$7),OR($C$8="Semua",$C$8="",C3003=$C$8,E3003=$C$8),OR($C$9="Semua",$C$9="",D3003=$C$9),OR($C$10="",B3003&gt;=$C$10),OR($C$11="",B3003&lt;=$C$11),OR($C$12&lt;&gt;"Ya",K3003&lt;&gt;""),OR($C$13="Semua",$C$13="",L3003=$C$13)),"✓","")</f>
        <v/>
      </c>
      <c r="N3003" s="93">
        <f>N(N3002)+IF(M3003="✓",1,0)</f>
        <v/>
      </c>
      <c r="O3003" s="93">
        <f>N(O3002)+IF(AND(B3003&lt;&gt;"",B3003&gt;='Uang Riba'!$H$30,B3003&lt;='Uang Riba'!$I$30,OR(H3003="Dana riba",H3003="Pinjam uang riba",I3003="Pinjam dari uang riba",I3003="Ganti uang riba",I3003="Kelebihan ganti dikembalikan",AND(C3003="Kantong Uang Riba",G3003="Pengeluaran"))),1,0)</f>
        <v/>
      </c>
      <c r="X3003" s="93">
        <f>IF(AND(B3003&lt;&gt;"",B3003&gt;='Buku Akun'!$H$4,B3003&lt;='Buku Akun'!$H$5,OR(C3003='Buku Akun'!$C$4,AND(D3003="Pindah",E3003='Buku Akun'!$C$4))),B3003+IF(AND(I3003="Selisih bunga",DAY(B3003)=1),0,0.01)+ROW()/10000000,"")</f>
        <v/>
      </c>
    </row>
    <row r="3004" outlineLevel="1" ht="15" customHeight="1" s="94">
      <c r="A3004" s="123">
        <f>IF(B3004="","",ROW()-15)</f>
        <v/>
      </c>
      <c r="B3004" s="124" t="n"/>
      <c r="C3004" s="123" t="n"/>
      <c r="D3004" s="123" t="n"/>
      <c r="E3004" s="123" t="n"/>
      <c r="F3004" s="125" t="n"/>
      <c r="G3004" s="123" t="n"/>
      <c r="H3004" s="123" t="n"/>
      <c r="I3004" s="123" t="n"/>
      <c r="J3004" s="123" t="n"/>
      <c r="K3004" s="123" t="n"/>
      <c r="L3004" s="123" t="n"/>
      <c r="M3004" s="123">
        <f>IF(AND(B3004&lt;&gt;"",OR($C$4="",ISNUMBER(SEARCH($C$4,C3004&amp;" "&amp;E3004&amp;" "&amp;G3004&amp;" "&amp;H3004&amp;" "&amp;I3004&amp;" "&amp;J3004&amp;" "&amp;K3004&amp;" "&amp;L3004))),OR($C$5="Semua",$C$5="",G3004=$C$5),OR($C$6="Semua",$C$6="",H3004=$C$6,H3004="Pengeluaran "&amp;$C$6,AND($C$6="Uang Kos Mama",H3004="Pengeluaran Uang Kos")),OR($C$7="Semua",$C$7="",I3004=$C$7),OR($C$8="Semua",$C$8="",C3004=$C$8,E3004=$C$8),OR($C$9="Semua",$C$9="",D3004=$C$9),OR($C$10="",B3004&gt;=$C$10),OR($C$11="",B3004&lt;=$C$11),OR($C$12&lt;&gt;"Ya",K3004&lt;&gt;""),OR($C$13="Semua",$C$13="",L3004=$C$13)),"✓","")</f>
        <v/>
      </c>
      <c r="N3004" s="93">
        <f>N(N3003)+IF(M3004="✓",1,0)</f>
        <v/>
      </c>
      <c r="O3004" s="93">
        <f>N(O3003)+IF(AND(B3004&lt;&gt;"",B3004&gt;='Uang Riba'!$H$30,B3004&lt;='Uang Riba'!$I$30,OR(H3004="Dana riba",H3004="Pinjam uang riba",I3004="Pinjam dari uang riba",I3004="Ganti uang riba",I3004="Kelebihan ganti dikembalikan",AND(C3004="Kantong Uang Riba",G3004="Pengeluaran"))),1,0)</f>
        <v/>
      </c>
      <c r="X3004" s="93">
        <f>IF(AND(B3004&lt;&gt;"",B3004&gt;='Buku Akun'!$H$4,B3004&lt;='Buku Akun'!$H$5,OR(C3004='Buku Akun'!$C$4,AND(D3004="Pindah",E3004='Buku Akun'!$C$4))),B3004+IF(AND(I3004="Selisih bunga",DAY(B3004)=1),0,0.01)+ROW()/10000000,"")</f>
        <v/>
      </c>
    </row>
    <row r="3005" outlineLevel="1" ht="15" customHeight="1" s="94">
      <c r="A3005" s="123">
        <f>IF(B3005="","",ROW()-15)</f>
        <v/>
      </c>
      <c r="B3005" s="124" t="n"/>
      <c r="C3005" s="123" t="n"/>
      <c r="D3005" s="123" t="n"/>
      <c r="E3005" s="123" t="n"/>
      <c r="F3005" s="125" t="n"/>
      <c r="G3005" s="123" t="n"/>
      <c r="H3005" s="123" t="n"/>
      <c r="I3005" s="123" t="n"/>
      <c r="J3005" s="123" t="n"/>
      <c r="K3005" s="123" t="n"/>
      <c r="L3005" s="123" t="n"/>
      <c r="M3005" s="123">
        <f>IF(AND(B3005&lt;&gt;"",OR($C$4="",ISNUMBER(SEARCH($C$4,C3005&amp;" "&amp;E3005&amp;" "&amp;G3005&amp;" "&amp;H3005&amp;" "&amp;I3005&amp;" "&amp;J3005&amp;" "&amp;K3005&amp;" "&amp;L3005))),OR($C$5="Semua",$C$5="",G3005=$C$5),OR($C$6="Semua",$C$6="",H3005=$C$6,H3005="Pengeluaran "&amp;$C$6,AND($C$6="Uang Kos Mama",H3005="Pengeluaran Uang Kos")),OR($C$7="Semua",$C$7="",I3005=$C$7),OR($C$8="Semua",$C$8="",C3005=$C$8,E3005=$C$8),OR($C$9="Semua",$C$9="",D3005=$C$9),OR($C$10="",B3005&gt;=$C$10),OR($C$11="",B3005&lt;=$C$11),OR($C$12&lt;&gt;"Ya",K3005&lt;&gt;""),OR($C$13="Semua",$C$13="",L3005=$C$13)),"✓","")</f>
        <v/>
      </c>
      <c r="N3005" s="93">
        <f>N(N3004)+IF(M3005="✓",1,0)</f>
        <v/>
      </c>
      <c r="O3005" s="93">
        <f>N(O3004)+IF(AND(B3005&lt;&gt;"",B3005&gt;='Uang Riba'!$H$30,B3005&lt;='Uang Riba'!$I$30,OR(H3005="Dana riba",H3005="Pinjam uang riba",I3005="Pinjam dari uang riba",I3005="Ganti uang riba",I3005="Kelebihan ganti dikembalikan",AND(C3005="Kantong Uang Riba",G3005="Pengeluaran"))),1,0)</f>
        <v/>
      </c>
      <c r="X3005" s="93">
        <f>IF(AND(B3005&lt;&gt;"",B3005&gt;='Buku Akun'!$H$4,B3005&lt;='Buku Akun'!$H$5,OR(C3005='Buku Akun'!$C$4,AND(D3005="Pindah",E3005='Buku Akun'!$C$4))),B3005+IF(AND(I3005="Selisih bunga",DAY(B3005)=1),0,0.01)+ROW()/10000000,"")</f>
        <v/>
      </c>
    </row>
    <row r="3006" outlineLevel="1" ht="15" customHeight="1" s="94">
      <c r="A3006" s="123">
        <f>IF(B3006="","",ROW()-15)</f>
        <v/>
      </c>
      <c r="B3006" s="124" t="n"/>
      <c r="C3006" s="123" t="n"/>
      <c r="D3006" s="123" t="n"/>
      <c r="E3006" s="123" t="n"/>
      <c r="F3006" s="125" t="n"/>
      <c r="G3006" s="123" t="n"/>
      <c r="H3006" s="123" t="n"/>
      <c r="I3006" s="123" t="n"/>
      <c r="J3006" s="123" t="n"/>
      <c r="K3006" s="123" t="n"/>
      <c r="L3006" s="123" t="n"/>
      <c r="M3006" s="123">
        <f>IF(AND(B3006&lt;&gt;"",OR($C$4="",ISNUMBER(SEARCH($C$4,C3006&amp;" "&amp;E3006&amp;" "&amp;G3006&amp;" "&amp;H3006&amp;" "&amp;I3006&amp;" "&amp;J3006&amp;" "&amp;K3006&amp;" "&amp;L3006))),OR($C$5="Semua",$C$5="",G3006=$C$5),OR($C$6="Semua",$C$6="",H3006=$C$6,H3006="Pengeluaran "&amp;$C$6,AND($C$6="Uang Kos Mama",H3006="Pengeluaran Uang Kos")),OR($C$7="Semua",$C$7="",I3006=$C$7),OR($C$8="Semua",$C$8="",C3006=$C$8,E3006=$C$8),OR($C$9="Semua",$C$9="",D3006=$C$9),OR($C$10="",B3006&gt;=$C$10),OR($C$11="",B3006&lt;=$C$11),OR($C$12&lt;&gt;"Ya",K3006&lt;&gt;""),OR($C$13="Semua",$C$13="",L3006=$C$13)),"✓","")</f>
        <v/>
      </c>
      <c r="N3006" s="93">
        <f>N(N3005)+IF(M3006="✓",1,0)</f>
        <v/>
      </c>
      <c r="O3006" s="93">
        <f>N(O3005)+IF(AND(B3006&lt;&gt;"",B3006&gt;='Uang Riba'!$H$30,B3006&lt;='Uang Riba'!$I$30,OR(H3006="Dana riba",H3006="Pinjam uang riba",I3006="Pinjam dari uang riba",I3006="Ganti uang riba",I3006="Kelebihan ganti dikembalikan",AND(C3006="Kantong Uang Riba",G3006="Pengeluaran"))),1,0)</f>
        <v/>
      </c>
      <c r="X3006" s="93">
        <f>IF(AND(B3006&lt;&gt;"",B3006&gt;='Buku Akun'!$H$4,B3006&lt;='Buku Akun'!$H$5,OR(C3006='Buku Akun'!$C$4,AND(D3006="Pindah",E3006='Buku Akun'!$C$4))),B3006+IF(AND(I3006="Selisih bunga",DAY(B3006)=1),0,0.01)+ROW()/10000000,"")</f>
        <v/>
      </c>
    </row>
    <row r="3007" outlineLevel="1" ht="15" customHeight="1" s="94">
      <c r="A3007" s="123">
        <f>IF(B3007="","",ROW()-15)</f>
        <v/>
      </c>
      <c r="B3007" s="124" t="n"/>
      <c r="C3007" s="123" t="n"/>
      <c r="D3007" s="123" t="n"/>
      <c r="E3007" s="123" t="n"/>
      <c r="F3007" s="125" t="n"/>
      <c r="G3007" s="123" t="n"/>
      <c r="H3007" s="123" t="n"/>
      <c r="I3007" s="123" t="n"/>
      <c r="J3007" s="123" t="n"/>
      <c r="K3007" s="123" t="n"/>
      <c r="L3007" s="123" t="n"/>
      <c r="M3007" s="123">
        <f>IF(AND(B3007&lt;&gt;"",OR($C$4="",ISNUMBER(SEARCH($C$4,C3007&amp;" "&amp;E3007&amp;" "&amp;G3007&amp;" "&amp;H3007&amp;" "&amp;I3007&amp;" "&amp;J3007&amp;" "&amp;K3007&amp;" "&amp;L3007))),OR($C$5="Semua",$C$5="",G3007=$C$5),OR($C$6="Semua",$C$6="",H3007=$C$6,H3007="Pengeluaran "&amp;$C$6,AND($C$6="Uang Kos Mama",H3007="Pengeluaran Uang Kos")),OR($C$7="Semua",$C$7="",I3007=$C$7),OR($C$8="Semua",$C$8="",C3007=$C$8,E3007=$C$8),OR($C$9="Semua",$C$9="",D3007=$C$9),OR($C$10="",B3007&gt;=$C$10),OR($C$11="",B3007&lt;=$C$11),OR($C$12&lt;&gt;"Ya",K3007&lt;&gt;""),OR($C$13="Semua",$C$13="",L3007=$C$13)),"✓","")</f>
        <v/>
      </c>
      <c r="N3007" s="93">
        <f>N(N3006)+IF(M3007="✓",1,0)</f>
        <v/>
      </c>
      <c r="O3007" s="93">
        <f>N(O3006)+IF(AND(B3007&lt;&gt;"",B3007&gt;='Uang Riba'!$H$30,B3007&lt;='Uang Riba'!$I$30,OR(H3007="Dana riba",H3007="Pinjam uang riba",I3007="Pinjam dari uang riba",I3007="Ganti uang riba",I3007="Kelebihan ganti dikembalikan",AND(C3007="Kantong Uang Riba",G3007="Pengeluaran"))),1,0)</f>
        <v/>
      </c>
      <c r="X3007" s="93">
        <f>IF(AND(B3007&lt;&gt;"",B3007&gt;='Buku Akun'!$H$4,B3007&lt;='Buku Akun'!$H$5,OR(C3007='Buku Akun'!$C$4,AND(D3007="Pindah",E3007='Buku Akun'!$C$4))),B3007+IF(AND(I3007="Selisih bunga",DAY(B3007)=1),0,0.01)+ROW()/10000000,"")</f>
        <v/>
      </c>
    </row>
    <row r="3008" outlineLevel="1" ht="15" customHeight="1" s="94">
      <c r="A3008" s="123">
        <f>IF(B3008="","",ROW()-15)</f>
        <v/>
      </c>
      <c r="B3008" s="124" t="n"/>
      <c r="C3008" s="123" t="n"/>
      <c r="D3008" s="123" t="n"/>
      <c r="E3008" s="123" t="n"/>
      <c r="F3008" s="125" t="n"/>
      <c r="G3008" s="123" t="n"/>
      <c r="H3008" s="123" t="n"/>
      <c r="I3008" s="123" t="n"/>
      <c r="J3008" s="123" t="n"/>
      <c r="K3008" s="123" t="n"/>
      <c r="L3008" s="123" t="n"/>
      <c r="M3008" s="123">
        <f>IF(AND(B3008&lt;&gt;"",OR($C$4="",ISNUMBER(SEARCH($C$4,C3008&amp;" "&amp;E3008&amp;" "&amp;G3008&amp;" "&amp;H3008&amp;" "&amp;I3008&amp;" "&amp;J3008&amp;" "&amp;K3008&amp;" "&amp;L3008))),OR($C$5="Semua",$C$5="",G3008=$C$5),OR($C$6="Semua",$C$6="",H3008=$C$6,H3008="Pengeluaran "&amp;$C$6,AND($C$6="Uang Kos Mama",H3008="Pengeluaran Uang Kos")),OR($C$7="Semua",$C$7="",I3008=$C$7),OR($C$8="Semua",$C$8="",C3008=$C$8,E3008=$C$8),OR($C$9="Semua",$C$9="",D3008=$C$9),OR($C$10="",B3008&gt;=$C$10),OR($C$11="",B3008&lt;=$C$11),OR($C$12&lt;&gt;"Ya",K3008&lt;&gt;""),OR($C$13="Semua",$C$13="",L3008=$C$13)),"✓","")</f>
        <v/>
      </c>
      <c r="N3008" s="93">
        <f>N(N3007)+IF(M3008="✓",1,0)</f>
        <v/>
      </c>
      <c r="O3008" s="93">
        <f>N(O3007)+IF(AND(B3008&lt;&gt;"",B3008&gt;='Uang Riba'!$H$30,B3008&lt;='Uang Riba'!$I$30,OR(H3008="Dana riba",H3008="Pinjam uang riba",I3008="Pinjam dari uang riba",I3008="Ganti uang riba",I3008="Kelebihan ganti dikembalikan",AND(C3008="Kantong Uang Riba",G3008="Pengeluaran"))),1,0)</f>
        <v/>
      </c>
      <c r="X3008" s="93">
        <f>IF(AND(B3008&lt;&gt;"",B3008&gt;='Buku Akun'!$H$4,B3008&lt;='Buku Akun'!$H$5,OR(C3008='Buku Akun'!$C$4,AND(D3008="Pindah",E3008='Buku Akun'!$C$4))),B3008+IF(AND(I3008="Selisih bunga",DAY(B3008)=1),0,0.01)+ROW()/10000000,"")</f>
        <v/>
      </c>
    </row>
    <row r="3009" outlineLevel="1" ht="15" customHeight="1" s="94">
      <c r="A3009" s="123">
        <f>IF(B3009="","",ROW()-15)</f>
        <v/>
      </c>
      <c r="B3009" s="124" t="n"/>
      <c r="C3009" s="123" t="n"/>
      <c r="D3009" s="123" t="n"/>
      <c r="E3009" s="123" t="n"/>
      <c r="F3009" s="125" t="n"/>
      <c r="G3009" s="123" t="n"/>
      <c r="H3009" s="123" t="n"/>
      <c r="I3009" s="123" t="n"/>
      <c r="J3009" s="123" t="n"/>
      <c r="K3009" s="123" t="n"/>
      <c r="L3009" s="123" t="n"/>
      <c r="M3009" s="123">
        <f>IF(AND(B3009&lt;&gt;"",OR($C$4="",ISNUMBER(SEARCH($C$4,C3009&amp;" "&amp;E3009&amp;" "&amp;G3009&amp;" "&amp;H3009&amp;" "&amp;I3009&amp;" "&amp;J3009&amp;" "&amp;K3009&amp;" "&amp;L3009))),OR($C$5="Semua",$C$5="",G3009=$C$5),OR($C$6="Semua",$C$6="",H3009=$C$6,H3009="Pengeluaran "&amp;$C$6,AND($C$6="Uang Kos Mama",H3009="Pengeluaran Uang Kos")),OR($C$7="Semua",$C$7="",I3009=$C$7),OR($C$8="Semua",$C$8="",C3009=$C$8,E3009=$C$8),OR($C$9="Semua",$C$9="",D3009=$C$9),OR($C$10="",B3009&gt;=$C$10),OR($C$11="",B3009&lt;=$C$11),OR($C$12&lt;&gt;"Ya",K3009&lt;&gt;""),OR($C$13="Semua",$C$13="",L3009=$C$13)),"✓","")</f>
        <v/>
      </c>
      <c r="N3009" s="93">
        <f>N(N3008)+IF(M3009="✓",1,0)</f>
        <v/>
      </c>
      <c r="O3009" s="93">
        <f>N(O3008)+IF(AND(B3009&lt;&gt;"",B3009&gt;='Uang Riba'!$H$30,B3009&lt;='Uang Riba'!$I$30,OR(H3009="Dana riba",H3009="Pinjam uang riba",I3009="Pinjam dari uang riba",I3009="Ganti uang riba",I3009="Kelebihan ganti dikembalikan",AND(C3009="Kantong Uang Riba",G3009="Pengeluaran"))),1,0)</f>
        <v/>
      </c>
      <c r="X3009" s="93">
        <f>IF(AND(B3009&lt;&gt;"",B3009&gt;='Buku Akun'!$H$4,B3009&lt;='Buku Akun'!$H$5,OR(C3009='Buku Akun'!$C$4,AND(D3009="Pindah",E3009='Buku Akun'!$C$4))),B3009+IF(AND(I3009="Selisih bunga",DAY(B3009)=1),0,0.01)+ROW()/10000000,"")</f>
        <v/>
      </c>
    </row>
    <row r="3010" outlineLevel="1" ht="15" customHeight="1" s="94">
      <c r="A3010" s="123">
        <f>IF(B3010="","",ROW()-15)</f>
        <v/>
      </c>
      <c r="B3010" s="124" t="n"/>
      <c r="C3010" s="123" t="n"/>
      <c r="D3010" s="123" t="n"/>
      <c r="E3010" s="123" t="n"/>
      <c r="F3010" s="125" t="n"/>
      <c r="G3010" s="123" t="n"/>
      <c r="H3010" s="123" t="n"/>
      <c r="I3010" s="123" t="n"/>
      <c r="J3010" s="123" t="n"/>
      <c r="K3010" s="123" t="n"/>
      <c r="L3010" s="123" t="n"/>
      <c r="M3010" s="123">
        <f>IF(AND(B3010&lt;&gt;"",OR($C$4="",ISNUMBER(SEARCH($C$4,C3010&amp;" "&amp;E3010&amp;" "&amp;G3010&amp;" "&amp;H3010&amp;" "&amp;I3010&amp;" "&amp;J3010&amp;" "&amp;K3010&amp;" "&amp;L3010))),OR($C$5="Semua",$C$5="",G3010=$C$5),OR($C$6="Semua",$C$6="",H3010=$C$6,H3010="Pengeluaran "&amp;$C$6,AND($C$6="Uang Kos Mama",H3010="Pengeluaran Uang Kos")),OR($C$7="Semua",$C$7="",I3010=$C$7),OR($C$8="Semua",$C$8="",C3010=$C$8,E3010=$C$8),OR($C$9="Semua",$C$9="",D3010=$C$9),OR($C$10="",B3010&gt;=$C$10),OR($C$11="",B3010&lt;=$C$11),OR($C$12&lt;&gt;"Ya",K3010&lt;&gt;""),OR($C$13="Semua",$C$13="",L3010=$C$13)),"✓","")</f>
        <v/>
      </c>
      <c r="N3010" s="93">
        <f>N(N3009)+IF(M3010="✓",1,0)</f>
        <v/>
      </c>
      <c r="O3010" s="93">
        <f>N(O3009)+IF(AND(B3010&lt;&gt;"",B3010&gt;='Uang Riba'!$H$30,B3010&lt;='Uang Riba'!$I$30,OR(H3010="Dana riba",H3010="Pinjam uang riba",I3010="Pinjam dari uang riba",I3010="Ganti uang riba",I3010="Kelebihan ganti dikembalikan",AND(C3010="Kantong Uang Riba",G3010="Pengeluaran"))),1,0)</f>
        <v/>
      </c>
      <c r="X3010" s="93">
        <f>IF(AND(B3010&lt;&gt;"",B3010&gt;='Buku Akun'!$H$4,B3010&lt;='Buku Akun'!$H$5,OR(C3010='Buku Akun'!$C$4,AND(D3010="Pindah",E3010='Buku Akun'!$C$4))),B3010+IF(AND(I3010="Selisih bunga",DAY(B3010)=1),0,0.01)+ROW()/10000000,"")</f>
        <v/>
      </c>
    </row>
    <row r="3011" outlineLevel="1" ht="15" customHeight="1" s="94">
      <c r="A3011" s="123">
        <f>IF(B3011="","",ROW()-15)</f>
        <v/>
      </c>
      <c r="B3011" s="124" t="n"/>
      <c r="C3011" s="123" t="n"/>
      <c r="D3011" s="123" t="n"/>
      <c r="E3011" s="123" t="n"/>
      <c r="F3011" s="125" t="n"/>
      <c r="G3011" s="123" t="n"/>
      <c r="H3011" s="123" t="n"/>
      <c r="I3011" s="123" t="n"/>
      <c r="J3011" s="123" t="n"/>
      <c r="K3011" s="123" t="n"/>
      <c r="L3011" s="123" t="n"/>
      <c r="M3011" s="123">
        <f>IF(AND(B3011&lt;&gt;"",OR($C$4="",ISNUMBER(SEARCH($C$4,C3011&amp;" "&amp;E3011&amp;" "&amp;G3011&amp;" "&amp;H3011&amp;" "&amp;I3011&amp;" "&amp;J3011&amp;" "&amp;K3011&amp;" "&amp;L3011))),OR($C$5="Semua",$C$5="",G3011=$C$5),OR($C$6="Semua",$C$6="",H3011=$C$6,H3011="Pengeluaran "&amp;$C$6,AND($C$6="Uang Kos Mama",H3011="Pengeluaran Uang Kos")),OR($C$7="Semua",$C$7="",I3011=$C$7),OR($C$8="Semua",$C$8="",C3011=$C$8,E3011=$C$8),OR($C$9="Semua",$C$9="",D3011=$C$9),OR($C$10="",B3011&gt;=$C$10),OR($C$11="",B3011&lt;=$C$11),OR($C$12&lt;&gt;"Ya",K3011&lt;&gt;""),OR($C$13="Semua",$C$13="",L3011=$C$13)),"✓","")</f>
        <v/>
      </c>
      <c r="N3011" s="93">
        <f>N(N3010)+IF(M3011="✓",1,0)</f>
        <v/>
      </c>
      <c r="O3011" s="93">
        <f>N(O3010)+IF(AND(B3011&lt;&gt;"",B3011&gt;='Uang Riba'!$H$30,B3011&lt;='Uang Riba'!$I$30,OR(H3011="Dana riba",H3011="Pinjam uang riba",I3011="Pinjam dari uang riba",I3011="Ganti uang riba",I3011="Kelebihan ganti dikembalikan",AND(C3011="Kantong Uang Riba",G3011="Pengeluaran"))),1,0)</f>
        <v/>
      </c>
      <c r="X3011" s="93">
        <f>IF(AND(B3011&lt;&gt;"",B3011&gt;='Buku Akun'!$H$4,B3011&lt;='Buku Akun'!$H$5,OR(C3011='Buku Akun'!$C$4,AND(D3011="Pindah",E3011='Buku Akun'!$C$4))),B3011+IF(AND(I3011="Selisih bunga",DAY(B3011)=1),0,0.01)+ROW()/10000000,"")</f>
        <v/>
      </c>
    </row>
    <row r="3012" outlineLevel="1" ht="15" customHeight="1" s="94">
      <c r="A3012" s="123">
        <f>IF(B3012="","",ROW()-15)</f>
        <v/>
      </c>
      <c r="B3012" s="124" t="n"/>
      <c r="C3012" s="123" t="n"/>
      <c r="D3012" s="123" t="n"/>
      <c r="E3012" s="123" t="n"/>
      <c r="F3012" s="125" t="n"/>
      <c r="G3012" s="123" t="n"/>
      <c r="H3012" s="123" t="n"/>
      <c r="I3012" s="123" t="n"/>
      <c r="J3012" s="123" t="n"/>
      <c r="K3012" s="123" t="n"/>
      <c r="L3012" s="123" t="n"/>
      <c r="M3012" s="123">
        <f>IF(AND(B3012&lt;&gt;"",OR($C$4="",ISNUMBER(SEARCH($C$4,C3012&amp;" "&amp;E3012&amp;" "&amp;G3012&amp;" "&amp;H3012&amp;" "&amp;I3012&amp;" "&amp;J3012&amp;" "&amp;K3012&amp;" "&amp;L3012))),OR($C$5="Semua",$C$5="",G3012=$C$5),OR($C$6="Semua",$C$6="",H3012=$C$6,H3012="Pengeluaran "&amp;$C$6,AND($C$6="Uang Kos Mama",H3012="Pengeluaran Uang Kos")),OR($C$7="Semua",$C$7="",I3012=$C$7),OR($C$8="Semua",$C$8="",C3012=$C$8,E3012=$C$8),OR($C$9="Semua",$C$9="",D3012=$C$9),OR($C$10="",B3012&gt;=$C$10),OR($C$11="",B3012&lt;=$C$11),OR($C$12&lt;&gt;"Ya",K3012&lt;&gt;""),OR($C$13="Semua",$C$13="",L3012=$C$13)),"✓","")</f>
        <v/>
      </c>
      <c r="N3012" s="93">
        <f>N(N3011)+IF(M3012="✓",1,0)</f>
        <v/>
      </c>
      <c r="O3012" s="93">
        <f>N(O3011)+IF(AND(B3012&lt;&gt;"",B3012&gt;='Uang Riba'!$H$30,B3012&lt;='Uang Riba'!$I$30,OR(H3012="Dana riba",H3012="Pinjam uang riba",I3012="Pinjam dari uang riba",I3012="Ganti uang riba",I3012="Kelebihan ganti dikembalikan",AND(C3012="Kantong Uang Riba",G3012="Pengeluaran"))),1,0)</f>
        <v/>
      </c>
      <c r="X3012" s="93">
        <f>IF(AND(B3012&lt;&gt;"",B3012&gt;='Buku Akun'!$H$4,B3012&lt;='Buku Akun'!$H$5,OR(C3012='Buku Akun'!$C$4,AND(D3012="Pindah",E3012='Buku Akun'!$C$4))),B3012+IF(AND(I3012="Selisih bunga",DAY(B3012)=1),0,0.01)+ROW()/10000000,"")</f>
        <v/>
      </c>
    </row>
    <row r="3013" outlineLevel="1" ht="15" customHeight="1" s="94">
      <c r="A3013" s="123">
        <f>IF(B3013="","",ROW()-15)</f>
        <v/>
      </c>
      <c r="B3013" s="124" t="n"/>
      <c r="C3013" s="123" t="n"/>
      <c r="D3013" s="123" t="n"/>
      <c r="E3013" s="123" t="n"/>
      <c r="F3013" s="125" t="n"/>
      <c r="G3013" s="123" t="n"/>
      <c r="H3013" s="123" t="n"/>
      <c r="I3013" s="123" t="n"/>
      <c r="J3013" s="123" t="n"/>
      <c r="K3013" s="123" t="n"/>
      <c r="L3013" s="123" t="n"/>
      <c r="M3013" s="123">
        <f>IF(AND(B3013&lt;&gt;"",OR($C$4="",ISNUMBER(SEARCH($C$4,C3013&amp;" "&amp;E3013&amp;" "&amp;G3013&amp;" "&amp;H3013&amp;" "&amp;I3013&amp;" "&amp;J3013&amp;" "&amp;K3013&amp;" "&amp;L3013))),OR($C$5="Semua",$C$5="",G3013=$C$5),OR($C$6="Semua",$C$6="",H3013=$C$6,H3013="Pengeluaran "&amp;$C$6,AND($C$6="Uang Kos Mama",H3013="Pengeluaran Uang Kos")),OR($C$7="Semua",$C$7="",I3013=$C$7),OR($C$8="Semua",$C$8="",C3013=$C$8,E3013=$C$8),OR($C$9="Semua",$C$9="",D3013=$C$9),OR($C$10="",B3013&gt;=$C$10),OR($C$11="",B3013&lt;=$C$11),OR($C$12&lt;&gt;"Ya",K3013&lt;&gt;""),OR($C$13="Semua",$C$13="",L3013=$C$13)),"✓","")</f>
        <v/>
      </c>
      <c r="N3013" s="93">
        <f>N(N3012)+IF(M3013="✓",1,0)</f>
        <v/>
      </c>
      <c r="O3013" s="93">
        <f>N(O3012)+IF(AND(B3013&lt;&gt;"",B3013&gt;='Uang Riba'!$H$30,B3013&lt;='Uang Riba'!$I$30,OR(H3013="Dana riba",H3013="Pinjam uang riba",I3013="Pinjam dari uang riba",I3013="Ganti uang riba",I3013="Kelebihan ganti dikembalikan",AND(C3013="Kantong Uang Riba",G3013="Pengeluaran"))),1,0)</f>
        <v/>
      </c>
      <c r="X3013" s="93">
        <f>IF(AND(B3013&lt;&gt;"",B3013&gt;='Buku Akun'!$H$4,B3013&lt;='Buku Akun'!$H$5,OR(C3013='Buku Akun'!$C$4,AND(D3013="Pindah",E3013='Buku Akun'!$C$4))),B3013+IF(AND(I3013="Selisih bunga",DAY(B3013)=1),0,0.01)+ROW()/10000000,"")</f>
        <v/>
      </c>
    </row>
    <row r="3014" outlineLevel="1" ht="15" customHeight="1" s="94">
      <c r="A3014" s="123">
        <f>IF(B3014="","",ROW()-15)</f>
        <v/>
      </c>
      <c r="B3014" s="124" t="n"/>
      <c r="C3014" s="123" t="n"/>
      <c r="D3014" s="123" t="n"/>
      <c r="E3014" s="123" t="n"/>
      <c r="F3014" s="125" t="n"/>
      <c r="G3014" s="123" t="n"/>
      <c r="H3014" s="123" t="n"/>
      <c r="I3014" s="123" t="n"/>
      <c r="J3014" s="123" t="n"/>
      <c r="K3014" s="123" t="n"/>
      <c r="L3014" s="123" t="n"/>
      <c r="M3014" s="123">
        <f>IF(AND(B3014&lt;&gt;"",OR($C$4="",ISNUMBER(SEARCH($C$4,C3014&amp;" "&amp;E3014&amp;" "&amp;G3014&amp;" "&amp;H3014&amp;" "&amp;I3014&amp;" "&amp;J3014&amp;" "&amp;K3014&amp;" "&amp;L3014))),OR($C$5="Semua",$C$5="",G3014=$C$5),OR($C$6="Semua",$C$6="",H3014=$C$6,H3014="Pengeluaran "&amp;$C$6,AND($C$6="Uang Kos Mama",H3014="Pengeluaran Uang Kos")),OR($C$7="Semua",$C$7="",I3014=$C$7),OR($C$8="Semua",$C$8="",C3014=$C$8,E3014=$C$8),OR($C$9="Semua",$C$9="",D3014=$C$9),OR($C$10="",B3014&gt;=$C$10),OR($C$11="",B3014&lt;=$C$11),OR($C$12&lt;&gt;"Ya",K3014&lt;&gt;""),OR($C$13="Semua",$C$13="",L3014=$C$13)),"✓","")</f>
        <v/>
      </c>
      <c r="N3014" s="93">
        <f>N(N3013)+IF(M3014="✓",1,0)</f>
        <v/>
      </c>
      <c r="O3014" s="93">
        <f>N(O3013)+IF(AND(B3014&lt;&gt;"",B3014&gt;='Uang Riba'!$H$30,B3014&lt;='Uang Riba'!$I$30,OR(H3014="Dana riba",H3014="Pinjam uang riba",I3014="Pinjam dari uang riba",I3014="Ganti uang riba",I3014="Kelebihan ganti dikembalikan",AND(C3014="Kantong Uang Riba",G3014="Pengeluaran"))),1,0)</f>
        <v/>
      </c>
      <c r="X3014" s="93">
        <f>IF(AND(B3014&lt;&gt;"",B3014&gt;='Buku Akun'!$H$4,B3014&lt;='Buku Akun'!$H$5,OR(C3014='Buku Akun'!$C$4,AND(D3014="Pindah",E3014='Buku Akun'!$C$4))),B3014+IF(AND(I3014="Selisih bunga",DAY(B3014)=1),0,0.01)+ROW()/10000000,"")</f>
        <v/>
      </c>
    </row>
    <row r="3015" outlineLevel="1" ht="15" customHeight="1" s="94">
      <c r="A3015" s="123">
        <f>IF(B3015="","",ROW()-15)</f>
        <v/>
      </c>
      <c r="B3015" s="124" t="n"/>
      <c r="C3015" s="123" t="n"/>
      <c r="D3015" s="123" t="n"/>
      <c r="E3015" s="123" t="n"/>
      <c r="F3015" s="125" t="n"/>
      <c r="G3015" s="123" t="n"/>
      <c r="H3015" s="123" t="n"/>
      <c r="I3015" s="123" t="n"/>
      <c r="J3015" s="123" t="n"/>
      <c r="K3015" s="123" t="n"/>
      <c r="L3015" s="123" t="n"/>
      <c r="M3015" s="123">
        <f>IF(AND(B3015&lt;&gt;"",OR($C$4="",ISNUMBER(SEARCH($C$4,C3015&amp;" "&amp;E3015&amp;" "&amp;G3015&amp;" "&amp;H3015&amp;" "&amp;I3015&amp;" "&amp;J3015&amp;" "&amp;K3015&amp;" "&amp;L3015))),OR($C$5="Semua",$C$5="",G3015=$C$5),OR($C$6="Semua",$C$6="",H3015=$C$6,H3015="Pengeluaran "&amp;$C$6,AND($C$6="Uang Kos Mama",H3015="Pengeluaran Uang Kos")),OR($C$7="Semua",$C$7="",I3015=$C$7),OR($C$8="Semua",$C$8="",C3015=$C$8,E3015=$C$8),OR($C$9="Semua",$C$9="",D3015=$C$9),OR($C$10="",B3015&gt;=$C$10),OR($C$11="",B3015&lt;=$C$11),OR($C$12&lt;&gt;"Ya",K3015&lt;&gt;""),OR($C$13="Semua",$C$13="",L3015=$C$13)),"✓","")</f>
        <v/>
      </c>
      <c r="N3015" s="93">
        <f>N(N3014)+IF(M3015="✓",1,0)</f>
        <v/>
      </c>
      <c r="O3015" s="93">
        <f>N(O3014)+IF(AND(B3015&lt;&gt;"",B3015&gt;='Uang Riba'!$H$30,B3015&lt;='Uang Riba'!$I$30,OR(H3015="Dana riba",H3015="Pinjam uang riba",I3015="Pinjam dari uang riba",I3015="Ganti uang riba",I3015="Kelebihan ganti dikembalikan",AND(C3015="Kantong Uang Riba",G3015="Pengeluaran"))),1,0)</f>
        <v/>
      </c>
      <c r="X3015" s="93">
        <f>IF(AND(B3015&lt;&gt;"",B3015&gt;='Buku Akun'!$H$4,B3015&lt;='Buku Akun'!$H$5,OR(C3015='Buku Akun'!$C$4,AND(D3015="Pindah",E3015='Buku Akun'!$C$4))),B3015+IF(AND(I3015="Selisih bunga",DAY(B3015)=1),0,0.01)+ROW()/10000000,"")</f>
        <v/>
      </c>
    </row>
    <row r="3016" outlineLevel="1" ht="15" customHeight="1" s="94">
      <c r="A3016" s="123">
        <f>IF(B3016="","",ROW()-15)</f>
        <v/>
      </c>
      <c r="B3016" s="124" t="n"/>
      <c r="C3016" s="123" t="n"/>
      <c r="D3016" s="123" t="n"/>
      <c r="E3016" s="123" t="n"/>
      <c r="F3016" s="125" t="n"/>
      <c r="G3016" s="123" t="n"/>
      <c r="H3016" s="123" t="n"/>
      <c r="I3016" s="123" t="n"/>
      <c r="J3016" s="123" t="n"/>
      <c r="K3016" s="123" t="n"/>
      <c r="L3016" s="123" t="n"/>
      <c r="M3016" s="123">
        <f>IF(AND(B3016&lt;&gt;"",OR($C$4="",ISNUMBER(SEARCH($C$4,C3016&amp;" "&amp;E3016&amp;" "&amp;G3016&amp;" "&amp;H3016&amp;" "&amp;I3016&amp;" "&amp;J3016&amp;" "&amp;K3016&amp;" "&amp;L3016))),OR($C$5="Semua",$C$5="",G3016=$C$5),OR($C$6="Semua",$C$6="",H3016=$C$6,H3016="Pengeluaran "&amp;$C$6,AND($C$6="Uang Kos Mama",H3016="Pengeluaran Uang Kos")),OR($C$7="Semua",$C$7="",I3016=$C$7),OR($C$8="Semua",$C$8="",C3016=$C$8,E3016=$C$8),OR($C$9="Semua",$C$9="",D3016=$C$9),OR($C$10="",B3016&gt;=$C$10),OR($C$11="",B3016&lt;=$C$11),OR($C$12&lt;&gt;"Ya",K3016&lt;&gt;""),OR($C$13="Semua",$C$13="",L3016=$C$13)),"✓","")</f>
        <v/>
      </c>
      <c r="N3016" s="93">
        <f>N(N3015)+IF(M3016="✓",1,0)</f>
        <v/>
      </c>
      <c r="O3016" s="93">
        <f>N(O3015)+IF(AND(B3016&lt;&gt;"",B3016&gt;='Uang Riba'!$H$30,B3016&lt;='Uang Riba'!$I$30,OR(H3016="Dana riba",H3016="Pinjam uang riba",I3016="Pinjam dari uang riba",I3016="Ganti uang riba",I3016="Kelebihan ganti dikembalikan",AND(C3016="Kantong Uang Riba",G3016="Pengeluaran"))),1,0)</f>
        <v/>
      </c>
      <c r="X3016" s="93">
        <f>IF(AND(B3016&lt;&gt;"",B3016&gt;='Buku Akun'!$H$4,B3016&lt;='Buku Akun'!$H$5,OR(C3016='Buku Akun'!$C$4,AND(D3016="Pindah",E3016='Buku Akun'!$C$4))),B3016+IF(AND(I3016="Selisih bunga",DAY(B3016)=1),0,0.01)+ROW()/10000000,"")</f>
        <v/>
      </c>
    </row>
    <row r="3017" outlineLevel="1" ht="15" customHeight="1" s="94">
      <c r="A3017" s="123">
        <f>IF(B3017="","",ROW()-15)</f>
        <v/>
      </c>
      <c r="B3017" s="124" t="n"/>
      <c r="C3017" s="123" t="n"/>
      <c r="D3017" s="123" t="n"/>
      <c r="E3017" s="123" t="n"/>
      <c r="F3017" s="125" t="n"/>
      <c r="G3017" s="123" t="n"/>
      <c r="H3017" s="123" t="n"/>
      <c r="I3017" s="123" t="n"/>
      <c r="J3017" s="123" t="n"/>
      <c r="K3017" s="123" t="n"/>
      <c r="L3017" s="123" t="n"/>
      <c r="M3017" s="123">
        <f>IF(AND(B3017&lt;&gt;"",OR($C$4="",ISNUMBER(SEARCH($C$4,C3017&amp;" "&amp;E3017&amp;" "&amp;G3017&amp;" "&amp;H3017&amp;" "&amp;I3017&amp;" "&amp;J3017&amp;" "&amp;K3017&amp;" "&amp;L3017))),OR($C$5="Semua",$C$5="",G3017=$C$5),OR($C$6="Semua",$C$6="",H3017=$C$6,H3017="Pengeluaran "&amp;$C$6,AND($C$6="Uang Kos Mama",H3017="Pengeluaran Uang Kos")),OR($C$7="Semua",$C$7="",I3017=$C$7),OR($C$8="Semua",$C$8="",C3017=$C$8,E3017=$C$8),OR($C$9="Semua",$C$9="",D3017=$C$9),OR($C$10="",B3017&gt;=$C$10),OR($C$11="",B3017&lt;=$C$11),OR($C$12&lt;&gt;"Ya",K3017&lt;&gt;""),OR($C$13="Semua",$C$13="",L3017=$C$13)),"✓","")</f>
        <v/>
      </c>
      <c r="N3017" s="93">
        <f>N(N3016)+IF(M3017="✓",1,0)</f>
        <v/>
      </c>
      <c r="O3017" s="93">
        <f>N(O3016)+IF(AND(B3017&lt;&gt;"",B3017&gt;='Uang Riba'!$H$30,B3017&lt;='Uang Riba'!$I$30,OR(H3017="Dana riba",H3017="Pinjam uang riba",I3017="Pinjam dari uang riba",I3017="Ganti uang riba",I3017="Kelebihan ganti dikembalikan",AND(C3017="Kantong Uang Riba",G3017="Pengeluaran"))),1,0)</f>
        <v/>
      </c>
      <c r="X3017" s="93">
        <f>IF(AND(B3017&lt;&gt;"",B3017&gt;='Buku Akun'!$H$4,B3017&lt;='Buku Akun'!$H$5,OR(C3017='Buku Akun'!$C$4,AND(D3017="Pindah",E3017='Buku Akun'!$C$4))),B3017+IF(AND(I3017="Selisih bunga",DAY(B3017)=1),0,0.01)+ROW()/10000000,"")</f>
        <v/>
      </c>
    </row>
    <row r="3018" outlineLevel="1" ht="15" customHeight="1" s="94">
      <c r="A3018" s="123">
        <f>IF(B3018="","",ROW()-15)</f>
        <v/>
      </c>
      <c r="B3018" s="124" t="n"/>
      <c r="C3018" s="123" t="n"/>
      <c r="D3018" s="123" t="n"/>
      <c r="E3018" s="123" t="n"/>
      <c r="F3018" s="125" t="n"/>
      <c r="G3018" s="123" t="n"/>
      <c r="H3018" s="123" t="n"/>
      <c r="I3018" s="123" t="n"/>
      <c r="J3018" s="123" t="n"/>
      <c r="K3018" s="123" t="n"/>
      <c r="L3018" s="123" t="n"/>
      <c r="M3018" s="123">
        <f>IF(AND(B3018&lt;&gt;"",OR($C$4="",ISNUMBER(SEARCH($C$4,C3018&amp;" "&amp;E3018&amp;" "&amp;G3018&amp;" "&amp;H3018&amp;" "&amp;I3018&amp;" "&amp;J3018&amp;" "&amp;K3018&amp;" "&amp;L3018))),OR($C$5="Semua",$C$5="",G3018=$C$5),OR($C$6="Semua",$C$6="",H3018=$C$6,H3018="Pengeluaran "&amp;$C$6,AND($C$6="Uang Kos Mama",H3018="Pengeluaran Uang Kos")),OR($C$7="Semua",$C$7="",I3018=$C$7),OR($C$8="Semua",$C$8="",C3018=$C$8,E3018=$C$8),OR($C$9="Semua",$C$9="",D3018=$C$9),OR($C$10="",B3018&gt;=$C$10),OR($C$11="",B3018&lt;=$C$11),OR($C$12&lt;&gt;"Ya",K3018&lt;&gt;""),OR($C$13="Semua",$C$13="",L3018=$C$13)),"✓","")</f>
        <v/>
      </c>
      <c r="N3018" s="93">
        <f>N(N3017)+IF(M3018="✓",1,0)</f>
        <v/>
      </c>
      <c r="O3018" s="93">
        <f>N(O3017)+IF(AND(B3018&lt;&gt;"",B3018&gt;='Uang Riba'!$H$30,B3018&lt;='Uang Riba'!$I$30,OR(H3018="Dana riba",H3018="Pinjam uang riba",I3018="Pinjam dari uang riba",I3018="Ganti uang riba",I3018="Kelebihan ganti dikembalikan",AND(C3018="Kantong Uang Riba",G3018="Pengeluaran"))),1,0)</f>
        <v/>
      </c>
      <c r="X3018" s="93">
        <f>IF(AND(B3018&lt;&gt;"",B3018&gt;='Buku Akun'!$H$4,B3018&lt;='Buku Akun'!$H$5,OR(C3018='Buku Akun'!$C$4,AND(D3018="Pindah",E3018='Buku Akun'!$C$4))),B3018+IF(AND(I3018="Selisih bunga",DAY(B3018)=1),0,0.01)+ROW()/10000000,"")</f>
        <v/>
      </c>
    </row>
    <row r="3019" outlineLevel="1" ht="15" customHeight="1" s="94">
      <c r="A3019" s="123">
        <f>IF(B3019="","",ROW()-15)</f>
        <v/>
      </c>
      <c r="B3019" s="124" t="n"/>
      <c r="C3019" s="123" t="n"/>
      <c r="D3019" s="123" t="n"/>
      <c r="E3019" s="123" t="n"/>
      <c r="F3019" s="125" t="n"/>
      <c r="G3019" s="123" t="n"/>
      <c r="H3019" s="123" t="n"/>
      <c r="I3019" s="123" t="n"/>
      <c r="J3019" s="123" t="n"/>
      <c r="K3019" s="123" t="n"/>
      <c r="L3019" s="123" t="n"/>
      <c r="M3019" s="123">
        <f>IF(AND(B3019&lt;&gt;"",OR($C$4="",ISNUMBER(SEARCH($C$4,C3019&amp;" "&amp;E3019&amp;" "&amp;G3019&amp;" "&amp;H3019&amp;" "&amp;I3019&amp;" "&amp;J3019&amp;" "&amp;K3019&amp;" "&amp;L3019))),OR($C$5="Semua",$C$5="",G3019=$C$5),OR($C$6="Semua",$C$6="",H3019=$C$6,H3019="Pengeluaran "&amp;$C$6,AND($C$6="Uang Kos Mama",H3019="Pengeluaran Uang Kos")),OR($C$7="Semua",$C$7="",I3019=$C$7),OR($C$8="Semua",$C$8="",C3019=$C$8,E3019=$C$8),OR($C$9="Semua",$C$9="",D3019=$C$9),OR($C$10="",B3019&gt;=$C$10),OR($C$11="",B3019&lt;=$C$11),OR($C$12&lt;&gt;"Ya",K3019&lt;&gt;""),OR($C$13="Semua",$C$13="",L3019=$C$13)),"✓","")</f>
        <v/>
      </c>
      <c r="N3019" s="93">
        <f>N(N3018)+IF(M3019="✓",1,0)</f>
        <v/>
      </c>
      <c r="O3019" s="93">
        <f>N(O3018)+IF(AND(B3019&lt;&gt;"",B3019&gt;='Uang Riba'!$H$30,B3019&lt;='Uang Riba'!$I$30,OR(H3019="Dana riba",H3019="Pinjam uang riba",I3019="Pinjam dari uang riba",I3019="Ganti uang riba",I3019="Kelebihan ganti dikembalikan",AND(C3019="Kantong Uang Riba",G3019="Pengeluaran"))),1,0)</f>
        <v/>
      </c>
      <c r="X3019" s="93">
        <f>IF(AND(B3019&lt;&gt;"",B3019&gt;='Buku Akun'!$H$4,B3019&lt;='Buku Akun'!$H$5,OR(C3019='Buku Akun'!$C$4,AND(D3019="Pindah",E3019='Buku Akun'!$C$4))),B3019+IF(AND(I3019="Selisih bunga",DAY(B3019)=1),0,0.01)+ROW()/10000000,"")</f>
        <v/>
      </c>
    </row>
    <row r="3020" outlineLevel="1" ht="15" customHeight="1" s="94">
      <c r="A3020" s="123">
        <f>IF(B3020="","",ROW()-15)</f>
        <v/>
      </c>
      <c r="B3020" s="124" t="n"/>
      <c r="C3020" s="123" t="n"/>
      <c r="D3020" s="123" t="n"/>
      <c r="E3020" s="123" t="n"/>
      <c r="F3020" s="125" t="n"/>
      <c r="G3020" s="123" t="n"/>
      <c r="H3020" s="123" t="n"/>
      <c r="I3020" s="123" t="n"/>
      <c r="J3020" s="123" t="n"/>
      <c r="K3020" s="123" t="n"/>
      <c r="L3020" s="123" t="n"/>
      <c r="M3020" s="123">
        <f>IF(AND(B3020&lt;&gt;"",OR($C$4="",ISNUMBER(SEARCH($C$4,C3020&amp;" "&amp;E3020&amp;" "&amp;G3020&amp;" "&amp;H3020&amp;" "&amp;I3020&amp;" "&amp;J3020&amp;" "&amp;K3020&amp;" "&amp;L3020))),OR($C$5="Semua",$C$5="",G3020=$C$5),OR($C$6="Semua",$C$6="",H3020=$C$6,H3020="Pengeluaran "&amp;$C$6,AND($C$6="Uang Kos Mama",H3020="Pengeluaran Uang Kos")),OR($C$7="Semua",$C$7="",I3020=$C$7),OR($C$8="Semua",$C$8="",C3020=$C$8,E3020=$C$8),OR($C$9="Semua",$C$9="",D3020=$C$9),OR($C$10="",B3020&gt;=$C$10),OR($C$11="",B3020&lt;=$C$11),OR($C$12&lt;&gt;"Ya",K3020&lt;&gt;""),OR($C$13="Semua",$C$13="",L3020=$C$13)),"✓","")</f>
        <v/>
      </c>
      <c r="N3020" s="93">
        <f>N(N3019)+IF(M3020="✓",1,0)</f>
        <v/>
      </c>
      <c r="O3020" s="93">
        <f>N(O3019)+IF(AND(B3020&lt;&gt;"",B3020&gt;='Uang Riba'!$H$30,B3020&lt;='Uang Riba'!$I$30,OR(H3020="Dana riba",H3020="Pinjam uang riba",I3020="Pinjam dari uang riba",I3020="Ganti uang riba",I3020="Kelebihan ganti dikembalikan",AND(C3020="Kantong Uang Riba",G3020="Pengeluaran"))),1,0)</f>
        <v/>
      </c>
      <c r="X3020" s="93">
        <f>IF(AND(B3020&lt;&gt;"",B3020&gt;='Buku Akun'!$H$4,B3020&lt;='Buku Akun'!$H$5,OR(C3020='Buku Akun'!$C$4,AND(D3020="Pindah",E3020='Buku Akun'!$C$4))),B3020+IF(AND(I3020="Selisih bunga",DAY(B3020)=1),0,0.01)+ROW()/10000000,"")</f>
        <v/>
      </c>
    </row>
    <row r="3021" outlineLevel="1" ht="15" customHeight="1" s="94">
      <c r="A3021" s="123">
        <f>IF(B3021="","",ROW()-15)</f>
        <v/>
      </c>
      <c r="B3021" s="124" t="n"/>
      <c r="C3021" s="123" t="n"/>
      <c r="D3021" s="123" t="n"/>
      <c r="E3021" s="123" t="n"/>
      <c r="F3021" s="125" t="n"/>
      <c r="G3021" s="123" t="n"/>
      <c r="H3021" s="123" t="n"/>
      <c r="I3021" s="123" t="n"/>
      <c r="J3021" s="123" t="n"/>
      <c r="K3021" s="123" t="n"/>
      <c r="L3021" s="123" t="n"/>
      <c r="M3021" s="123">
        <f>IF(AND(B3021&lt;&gt;"",OR($C$4="",ISNUMBER(SEARCH($C$4,C3021&amp;" "&amp;E3021&amp;" "&amp;G3021&amp;" "&amp;H3021&amp;" "&amp;I3021&amp;" "&amp;J3021&amp;" "&amp;K3021&amp;" "&amp;L3021))),OR($C$5="Semua",$C$5="",G3021=$C$5),OR($C$6="Semua",$C$6="",H3021=$C$6,H3021="Pengeluaran "&amp;$C$6,AND($C$6="Uang Kos Mama",H3021="Pengeluaran Uang Kos")),OR($C$7="Semua",$C$7="",I3021=$C$7),OR($C$8="Semua",$C$8="",C3021=$C$8,E3021=$C$8),OR($C$9="Semua",$C$9="",D3021=$C$9),OR($C$10="",B3021&gt;=$C$10),OR($C$11="",B3021&lt;=$C$11),OR($C$12&lt;&gt;"Ya",K3021&lt;&gt;""),OR($C$13="Semua",$C$13="",L3021=$C$13)),"✓","")</f>
        <v/>
      </c>
      <c r="N3021" s="93">
        <f>N(N3020)+IF(M3021="✓",1,0)</f>
        <v/>
      </c>
      <c r="O3021" s="93">
        <f>N(O3020)+IF(AND(B3021&lt;&gt;"",B3021&gt;='Uang Riba'!$H$30,B3021&lt;='Uang Riba'!$I$30,OR(H3021="Dana riba",H3021="Pinjam uang riba",I3021="Pinjam dari uang riba",I3021="Ganti uang riba",I3021="Kelebihan ganti dikembalikan",AND(C3021="Kantong Uang Riba",G3021="Pengeluaran"))),1,0)</f>
        <v/>
      </c>
      <c r="X3021" s="93">
        <f>IF(AND(B3021&lt;&gt;"",B3021&gt;='Buku Akun'!$H$4,B3021&lt;='Buku Akun'!$H$5,OR(C3021='Buku Akun'!$C$4,AND(D3021="Pindah",E3021='Buku Akun'!$C$4))),B3021+IF(AND(I3021="Selisih bunga",DAY(B3021)=1),0,0.01)+ROW()/10000000,"")</f>
        <v/>
      </c>
    </row>
    <row r="3022" outlineLevel="1" ht="15" customHeight="1" s="94">
      <c r="A3022" s="123">
        <f>IF(B3022="","",ROW()-15)</f>
        <v/>
      </c>
      <c r="B3022" s="124" t="n"/>
      <c r="C3022" s="123" t="n"/>
      <c r="D3022" s="123" t="n"/>
      <c r="E3022" s="123" t="n"/>
      <c r="F3022" s="125" t="n"/>
      <c r="G3022" s="123" t="n"/>
      <c r="H3022" s="123" t="n"/>
      <c r="I3022" s="123" t="n"/>
      <c r="J3022" s="123" t="n"/>
      <c r="K3022" s="123" t="n"/>
      <c r="L3022" s="123" t="n"/>
      <c r="M3022" s="123">
        <f>IF(AND(B3022&lt;&gt;"",OR($C$4="",ISNUMBER(SEARCH($C$4,C3022&amp;" "&amp;E3022&amp;" "&amp;G3022&amp;" "&amp;H3022&amp;" "&amp;I3022&amp;" "&amp;J3022&amp;" "&amp;K3022&amp;" "&amp;L3022))),OR($C$5="Semua",$C$5="",G3022=$C$5),OR($C$6="Semua",$C$6="",H3022=$C$6,H3022="Pengeluaran "&amp;$C$6,AND($C$6="Uang Kos Mama",H3022="Pengeluaran Uang Kos")),OR($C$7="Semua",$C$7="",I3022=$C$7),OR($C$8="Semua",$C$8="",C3022=$C$8,E3022=$C$8),OR($C$9="Semua",$C$9="",D3022=$C$9),OR($C$10="",B3022&gt;=$C$10),OR($C$11="",B3022&lt;=$C$11),OR($C$12&lt;&gt;"Ya",K3022&lt;&gt;""),OR($C$13="Semua",$C$13="",L3022=$C$13)),"✓","")</f>
        <v/>
      </c>
      <c r="N3022" s="93">
        <f>N(N3021)+IF(M3022="✓",1,0)</f>
        <v/>
      </c>
      <c r="O3022" s="93">
        <f>N(O3021)+IF(AND(B3022&lt;&gt;"",B3022&gt;='Uang Riba'!$H$30,B3022&lt;='Uang Riba'!$I$30,OR(H3022="Dana riba",H3022="Pinjam uang riba",I3022="Pinjam dari uang riba",I3022="Ganti uang riba",I3022="Kelebihan ganti dikembalikan",AND(C3022="Kantong Uang Riba",G3022="Pengeluaran"))),1,0)</f>
        <v/>
      </c>
      <c r="X3022" s="93">
        <f>IF(AND(B3022&lt;&gt;"",B3022&gt;='Buku Akun'!$H$4,B3022&lt;='Buku Akun'!$H$5,OR(C3022='Buku Akun'!$C$4,AND(D3022="Pindah",E3022='Buku Akun'!$C$4))),B3022+IF(AND(I3022="Selisih bunga",DAY(B3022)=1),0,0.01)+ROW()/10000000,"")</f>
        <v/>
      </c>
    </row>
    <row r="3023" outlineLevel="1" ht="15" customHeight="1" s="94">
      <c r="A3023" s="123">
        <f>IF(B3023="","",ROW()-15)</f>
        <v/>
      </c>
      <c r="B3023" s="124" t="n"/>
      <c r="C3023" s="123" t="n"/>
      <c r="D3023" s="123" t="n"/>
      <c r="E3023" s="123" t="n"/>
      <c r="F3023" s="125" t="n"/>
      <c r="G3023" s="123" t="n"/>
      <c r="H3023" s="123" t="n"/>
      <c r="I3023" s="123" t="n"/>
      <c r="J3023" s="123" t="n"/>
      <c r="K3023" s="123" t="n"/>
      <c r="L3023" s="123" t="n"/>
      <c r="M3023" s="123">
        <f>IF(AND(B3023&lt;&gt;"",OR($C$4="",ISNUMBER(SEARCH($C$4,C3023&amp;" "&amp;E3023&amp;" "&amp;G3023&amp;" "&amp;H3023&amp;" "&amp;I3023&amp;" "&amp;J3023&amp;" "&amp;K3023&amp;" "&amp;L3023))),OR($C$5="Semua",$C$5="",G3023=$C$5),OR($C$6="Semua",$C$6="",H3023=$C$6,H3023="Pengeluaran "&amp;$C$6,AND($C$6="Uang Kos Mama",H3023="Pengeluaran Uang Kos")),OR($C$7="Semua",$C$7="",I3023=$C$7),OR($C$8="Semua",$C$8="",C3023=$C$8,E3023=$C$8),OR($C$9="Semua",$C$9="",D3023=$C$9),OR($C$10="",B3023&gt;=$C$10),OR($C$11="",B3023&lt;=$C$11),OR($C$12&lt;&gt;"Ya",K3023&lt;&gt;""),OR($C$13="Semua",$C$13="",L3023=$C$13)),"✓","")</f>
        <v/>
      </c>
      <c r="N3023" s="93">
        <f>N(N3022)+IF(M3023="✓",1,0)</f>
        <v/>
      </c>
      <c r="O3023" s="93">
        <f>N(O3022)+IF(AND(B3023&lt;&gt;"",B3023&gt;='Uang Riba'!$H$30,B3023&lt;='Uang Riba'!$I$30,OR(H3023="Dana riba",H3023="Pinjam uang riba",I3023="Pinjam dari uang riba",I3023="Ganti uang riba",I3023="Kelebihan ganti dikembalikan",AND(C3023="Kantong Uang Riba",G3023="Pengeluaran"))),1,0)</f>
        <v/>
      </c>
      <c r="X3023" s="93">
        <f>IF(AND(B3023&lt;&gt;"",B3023&gt;='Buku Akun'!$H$4,B3023&lt;='Buku Akun'!$H$5,OR(C3023='Buku Akun'!$C$4,AND(D3023="Pindah",E3023='Buku Akun'!$C$4))),B3023+IF(AND(I3023="Selisih bunga",DAY(B3023)=1),0,0.01)+ROW()/10000000,"")</f>
        <v/>
      </c>
    </row>
    <row r="3024" outlineLevel="1" ht="15" customHeight="1" s="94">
      <c r="A3024" s="123">
        <f>IF(B3024="","",ROW()-15)</f>
        <v/>
      </c>
      <c r="B3024" s="124" t="n"/>
      <c r="C3024" s="123" t="n"/>
      <c r="D3024" s="123" t="n"/>
      <c r="E3024" s="123" t="n"/>
      <c r="F3024" s="125" t="n"/>
      <c r="G3024" s="123" t="n"/>
      <c r="H3024" s="123" t="n"/>
      <c r="I3024" s="123" t="n"/>
      <c r="J3024" s="123" t="n"/>
      <c r="K3024" s="123" t="n"/>
      <c r="L3024" s="123" t="n"/>
      <c r="M3024" s="123">
        <f>IF(AND(B3024&lt;&gt;"",OR($C$4="",ISNUMBER(SEARCH($C$4,C3024&amp;" "&amp;E3024&amp;" "&amp;G3024&amp;" "&amp;H3024&amp;" "&amp;I3024&amp;" "&amp;J3024&amp;" "&amp;K3024&amp;" "&amp;L3024))),OR($C$5="Semua",$C$5="",G3024=$C$5),OR($C$6="Semua",$C$6="",H3024=$C$6,H3024="Pengeluaran "&amp;$C$6,AND($C$6="Uang Kos Mama",H3024="Pengeluaran Uang Kos")),OR($C$7="Semua",$C$7="",I3024=$C$7),OR($C$8="Semua",$C$8="",C3024=$C$8,E3024=$C$8),OR($C$9="Semua",$C$9="",D3024=$C$9),OR($C$10="",B3024&gt;=$C$10),OR($C$11="",B3024&lt;=$C$11),OR($C$12&lt;&gt;"Ya",K3024&lt;&gt;""),OR($C$13="Semua",$C$13="",L3024=$C$13)),"✓","")</f>
        <v/>
      </c>
      <c r="N3024" s="93">
        <f>N(N3023)+IF(M3024="✓",1,0)</f>
        <v/>
      </c>
      <c r="O3024" s="93">
        <f>N(O3023)+IF(AND(B3024&lt;&gt;"",B3024&gt;='Uang Riba'!$H$30,B3024&lt;='Uang Riba'!$I$30,OR(H3024="Dana riba",H3024="Pinjam uang riba",I3024="Pinjam dari uang riba",I3024="Ganti uang riba",I3024="Kelebihan ganti dikembalikan",AND(C3024="Kantong Uang Riba",G3024="Pengeluaran"))),1,0)</f>
        <v/>
      </c>
      <c r="X3024" s="93">
        <f>IF(AND(B3024&lt;&gt;"",B3024&gt;='Buku Akun'!$H$4,B3024&lt;='Buku Akun'!$H$5,OR(C3024='Buku Akun'!$C$4,AND(D3024="Pindah",E3024='Buku Akun'!$C$4))),B3024+IF(AND(I3024="Selisih bunga",DAY(B3024)=1),0,0.01)+ROW()/10000000,"")</f>
        <v/>
      </c>
    </row>
    <row r="3025" outlineLevel="1" ht="15" customHeight="1" s="94">
      <c r="A3025" s="123">
        <f>IF(B3025="","",ROW()-15)</f>
        <v/>
      </c>
      <c r="B3025" s="124" t="n"/>
      <c r="C3025" s="123" t="n"/>
      <c r="D3025" s="123" t="n"/>
      <c r="E3025" s="123" t="n"/>
      <c r="F3025" s="125" t="n"/>
      <c r="G3025" s="123" t="n"/>
      <c r="H3025" s="123" t="n"/>
      <c r="I3025" s="123" t="n"/>
      <c r="J3025" s="123" t="n"/>
      <c r="K3025" s="123" t="n"/>
      <c r="L3025" s="123" t="n"/>
      <c r="M3025" s="123">
        <f>IF(AND(B3025&lt;&gt;"",OR($C$4="",ISNUMBER(SEARCH($C$4,C3025&amp;" "&amp;E3025&amp;" "&amp;G3025&amp;" "&amp;H3025&amp;" "&amp;I3025&amp;" "&amp;J3025&amp;" "&amp;K3025&amp;" "&amp;L3025))),OR($C$5="Semua",$C$5="",G3025=$C$5),OR($C$6="Semua",$C$6="",H3025=$C$6,H3025="Pengeluaran "&amp;$C$6,AND($C$6="Uang Kos Mama",H3025="Pengeluaran Uang Kos")),OR($C$7="Semua",$C$7="",I3025=$C$7),OR($C$8="Semua",$C$8="",C3025=$C$8,E3025=$C$8),OR($C$9="Semua",$C$9="",D3025=$C$9),OR($C$10="",B3025&gt;=$C$10),OR($C$11="",B3025&lt;=$C$11),OR($C$12&lt;&gt;"Ya",K3025&lt;&gt;""),OR($C$13="Semua",$C$13="",L3025=$C$13)),"✓","")</f>
        <v/>
      </c>
      <c r="N3025" s="93">
        <f>N(N3024)+IF(M3025="✓",1,0)</f>
        <v/>
      </c>
      <c r="O3025" s="93">
        <f>N(O3024)+IF(AND(B3025&lt;&gt;"",B3025&gt;='Uang Riba'!$H$30,B3025&lt;='Uang Riba'!$I$30,OR(H3025="Dana riba",H3025="Pinjam uang riba",I3025="Pinjam dari uang riba",I3025="Ganti uang riba",I3025="Kelebihan ganti dikembalikan",AND(C3025="Kantong Uang Riba",G3025="Pengeluaran"))),1,0)</f>
        <v/>
      </c>
      <c r="X3025" s="93">
        <f>IF(AND(B3025&lt;&gt;"",B3025&gt;='Buku Akun'!$H$4,B3025&lt;='Buku Akun'!$H$5,OR(C3025='Buku Akun'!$C$4,AND(D3025="Pindah",E3025='Buku Akun'!$C$4))),B3025+IF(AND(I3025="Selisih bunga",DAY(B3025)=1),0,0.01)+ROW()/10000000,"")</f>
        <v/>
      </c>
    </row>
    <row r="3026" outlineLevel="1" ht="15" customHeight="1" s="94">
      <c r="A3026" s="123">
        <f>IF(B3026="","",ROW()-15)</f>
        <v/>
      </c>
      <c r="B3026" s="124" t="n"/>
      <c r="C3026" s="123" t="n"/>
      <c r="D3026" s="123" t="n"/>
      <c r="E3026" s="123" t="n"/>
      <c r="F3026" s="125" t="n"/>
      <c r="G3026" s="123" t="n"/>
      <c r="H3026" s="123" t="n"/>
      <c r="I3026" s="123" t="n"/>
      <c r="J3026" s="123" t="n"/>
      <c r="K3026" s="123" t="n"/>
      <c r="L3026" s="123" t="n"/>
      <c r="M3026" s="123">
        <f>IF(AND(B3026&lt;&gt;"",OR($C$4="",ISNUMBER(SEARCH($C$4,C3026&amp;" "&amp;E3026&amp;" "&amp;G3026&amp;" "&amp;H3026&amp;" "&amp;I3026&amp;" "&amp;J3026&amp;" "&amp;K3026&amp;" "&amp;L3026))),OR($C$5="Semua",$C$5="",G3026=$C$5),OR($C$6="Semua",$C$6="",H3026=$C$6,H3026="Pengeluaran "&amp;$C$6,AND($C$6="Uang Kos Mama",H3026="Pengeluaran Uang Kos")),OR($C$7="Semua",$C$7="",I3026=$C$7),OR($C$8="Semua",$C$8="",C3026=$C$8,E3026=$C$8),OR($C$9="Semua",$C$9="",D3026=$C$9),OR($C$10="",B3026&gt;=$C$10),OR($C$11="",B3026&lt;=$C$11),OR($C$12&lt;&gt;"Ya",K3026&lt;&gt;""),OR($C$13="Semua",$C$13="",L3026=$C$13)),"✓","")</f>
        <v/>
      </c>
      <c r="N3026" s="93">
        <f>N(N3025)+IF(M3026="✓",1,0)</f>
        <v/>
      </c>
      <c r="O3026" s="93">
        <f>N(O3025)+IF(AND(B3026&lt;&gt;"",B3026&gt;='Uang Riba'!$H$30,B3026&lt;='Uang Riba'!$I$30,OR(H3026="Dana riba",H3026="Pinjam uang riba",I3026="Pinjam dari uang riba",I3026="Ganti uang riba",I3026="Kelebihan ganti dikembalikan",AND(C3026="Kantong Uang Riba",G3026="Pengeluaran"))),1,0)</f>
        <v/>
      </c>
      <c r="X3026" s="93">
        <f>IF(AND(B3026&lt;&gt;"",B3026&gt;='Buku Akun'!$H$4,B3026&lt;='Buku Akun'!$H$5,OR(C3026='Buku Akun'!$C$4,AND(D3026="Pindah",E3026='Buku Akun'!$C$4))),B3026+IF(AND(I3026="Selisih bunga",DAY(B3026)=1),0,0.01)+ROW()/10000000,"")</f>
        <v/>
      </c>
    </row>
    <row r="3027" outlineLevel="1" ht="15" customHeight="1" s="94">
      <c r="A3027" s="123">
        <f>IF(B3027="","",ROW()-15)</f>
        <v/>
      </c>
      <c r="B3027" s="124" t="n"/>
      <c r="C3027" s="123" t="n"/>
      <c r="D3027" s="123" t="n"/>
      <c r="E3027" s="123" t="n"/>
      <c r="F3027" s="125" t="n"/>
      <c r="G3027" s="123" t="n"/>
      <c r="H3027" s="123" t="n"/>
      <c r="I3027" s="123" t="n"/>
      <c r="J3027" s="123" t="n"/>
      <c r="K3027" s="123" t="n"/>
      <c r="L3027" s="123" t="n"/>
      <c r="M3027" s="123">
        <f>IF(AND(B3027&lt;&gt;"",OR($C$4="",ISNUMBER(SEARCH($C$4,C3027&amp;" "&amp;E3027&amp;" "&amp;G3027&amp;" "&amp;H3027&amp;" "&amp;I3027&amp;" "&amp;J3027&amp;" "&amp;K3027&amp;" "&amp;L3027))),OR($C$5="Semua",$C$5="",G3027=$C$5),OR($C$6="Semua",$C$6="",H3027=$C$6,H3027="Pengeluaran "&amp;$C$6,AND($C$6="Uang Kos Mama",H3027="Pengeluaran Uang Kos")),OR($C$7="Semua",$C$7="",I3027=$C$7),OR($C$8="Semua",$C$8="",C3027=$C$8,E3027=$C$8),OR($C$9="Semua",$C$9="",D3027=$C$9),OR($C$10="",B3027&gt;=$C$10),OR($C$11="",B3027&lt;=$C$11),OR($C$12&lt;&gt;"Ya",K3027&lt;&gt;""),OR($C$13="Semua",$C$13="",L3027=$C$13)),"✓","")</f>
        <v/>
      </c>
      <c r="N3027" s="93">
        <f>N(N3026)+IF(M3027="✓",1,0)</f>
        <v/>
      </c>
      <c r="O3027" s="93">
        <f>N(O3026)+IF(AND(B3027&lt;&gt;"",B3027&gt;='Uang Riba'!$H$30,B3027&lt;='Uang Riba'!$I$30,OR(H3027="Dana riba",H3027="Pinjam uang riba",I3027="Pinjam dari uang riba",I3027="Ganti uang riba",I3027="Kelebihan ganti dikembalikan",AND(C3027="Kantong Uang Riba",G3027="Pengeluaran"))),1,0)</f>
        <v/>
      </c>
      <c r="X3027" s="93">
        <f>IF(AND(B3027&lt;&gt;"",B3027&gt;='Buku Akun'!$H$4,B3027&lt;='Buku Akun'!$H$5,OR(C3027='Buku Akun'!$C$4,AND(D3027="Pindah",E3027='Buku Akun'!$C$4))),B3027+IF(AND(I3027="Selisih bunga",DAY(B3027)=1),0,0.01)+ROW()/10000000,"")</f>
        <v/>
      </c>
    </row>
    <row r="3028" outlineLevel="1" ht="15" customHeight="1" s="94">
      <c r="A3028" s="123">
        <f>IF(B3028="","",ROW()-15)</f>
        <v/>
      </c>
      <c r="B3028" s="124" t="n"/>
      <c r="C3028" s="123" t="n"/>
      <c r="D3028" s="123" t="n"/>
      <c r="E3028" s="123" t="n"/>
      <c r="F3028" s="125" t="n"/>
      <c r="G3028" s="123" t="n"/>
      <c r="H3028" s="123" t="n"/>
      <c r="I3028" s="123" t="n"/>
      <c r="J3028" s="123" t="n"/>
      <c r="K3028" s="123" t="n"/>
      <c r="L3028" s="123" t="n"/>
      <c r="M3028" s="123">
        <f>IF(AND(B3028&lt;&gt;"",OR($C$4="",ISNUMBER(SEARCH($C$4,C3028&amp;" "&amp;E3028&amp;" "&amp;G3028&amp;" "&amp;H3028&amp;" "&amp;I3028&amp;" "&amp;J3028&amp;" "&amp;K3028&amp;" "&amp;L3028))),OR($C$5="Semua",$C$5="",G3028=$C$5),OR($C$6="Semua",$C$6="",H3028=$C$6,H3028="Pengeluaran "&amp;$C$6,AND($C$6="Uang Kos Mama",H3028="Pengeluaran Uang Kos")),OR($C$7="Semua",$C$7="",I3028=$C$7),OR($C$8="Semua",$C$8="",C3028=$C$8,E3028=$C$8),OR($C$9="Semua",$C$9="",D3028=$C$9),OR($C$10="",B3028&gt;=$C$10),OR($C$11="",B3028&lt;=$C$11),OR($C$12&lt;&gt;"Ya",K3028&lt;&gt;""),OR($C$13="Semua",$C$13="",L3028=$C$13)),"✓","")</f>
        <v/>
      </c>
      <c r="N3028" s="93">
        <f>N(N3027)+IF(M3028="✓",1,0)</f>
        <v/>
      </c>
      <c r="O3028" s="93">
        <f>N(O3027)+IF(AND(B3028&lt;&gt;"",B3028&gt;='Uang Riba'!$H$30,B3028&lt;='Uang Riba'!$I$30,OR(H3028="Dana riba",H3028="Pinjam uang riba",I3028="Pinjam dari uang riba",I3028="Ganti uang riba",I3028="Kelebihan ganti dikembalikan",AND(C3028="Kantong Uang Riba",G3028="Pengeluaran"))),1,0)</f>
        <v/>
      </c>
      <c r="X3028" s="93">
        <f>IF(AND(B3028&lt;&gt;"",B3028&gt;='Buku Akun'!$H$4,B3028&lt;='Buku Akun'!$H$5,OR(C3028='Buku Akun'!$C$4,AND(D3028="Pindah",E3028='Buku Akun'!$C$4))),B3028+IF(AND(I3028="Selisih bunga",DAY(B3028)=1),0,0.01)+ROW()/10000000,"")</f>
        <v/>
      </c>
    </row>
    <row r="3029" outlineLevel="1" ht="15" customHeight="1" s="94">
      <c r="A3029" s="123">
        <f>IF(B3029="","",ROW()-15)</f>
        <v/>
      </c>
      <c r="B3029" s="124" t="n"/>
      <c r="C3029" s="123" t="n"/>
      <c r="D3029" s="123" t="n"/>
      <c r="E3029" s="123" t="n"/>
      <c r="F3029" s="125" t="n"/>
      <c r="G3029" s="123" t="n"/>
      <c r="H3029" s="123" t="n"/>
      <c r="I3029" s="123" t="n"/>
      <c r="J3029" s="123" t="n"/>
      <c r="K3029" s="123" t="n"/>
      <c r="L3029" s="123" t="n"/>
      <c r="M3029" s="123">
        <f>IF(AND(B3029&lt;&gt;"",OR($C$4="",ISNUMBER(SEARCH($C$4,C3029&amp;" "&amp;E3029&amp;" "&amp;G3029&amp;" "&amp;H3029&amp;" "&amp;I3029&amp;" "&amp;J3029&amp;" "&amp;K3029&amp;" "&amp;L3029))),OR($C$5="Semua",$C$5="",G3029=$C$5),OR($C$6="Semua",$C$6="",H3029=$C$6,H3029="Pengeluaran "&amp;$C$6,AND($C$6="Uang Kos Mama",H3029="Pengeluaran Uang Kos")),OR($C$7="Semua",$C$7="",I3029=$C$7),OR($C$8="Semua",$C$8="",C3029=$C$8,E3029=$C$8),OR($C$9="Semua",$C$9="",D3029=$C$9),OR($C$10="",B3029&gt;=$C$10),OR($C$11="",B3029&lt;=$C$11),OR($C$12&lt;&gt;"Ya",K3029&lt;&gt;""),OR($C$13="Semua",$C$13="",L3029=$C$13)),"✓","")</f>
        <v/>
      </c>
      <c r="N3029" s="93">
        <f>N(N3028)+IF(M3029="✓",1,0)</f>
        <v/>
      </c>
      <c r="O3029" s="93">
        <f>N(O3028)+IF(AND(B3029&lt;&gt;"",B3029&gt;='Uang Riba'!$H$30,B3029&lt;='Uang Riba'!$I$30,OR(H3029="Dana riba",H3029="Pinjam uang riba",I3029="Pinjam dari uang riba",I3029="Ganti uang riba",I3029="Kelebihan ganti dikembalikan",AND(C3029="Kantong Uang Riba",G3029="Pengeluaran"))),1,0)</f>
        <v/>
      </c>
      <c r="X3029" s="93">
        <f>IF(AND(B3029&lt;&gt;"",B3029&gt;='Buku Akun'!$H$4,B3029&lt;='Buku Akun'!$H$5,OR(C3029='Buku Akun'!$C$4,AND(D3029="Pindah",E3029='Buku Akun'!$C$4))),B3029+IF(AND(I3029="Selisih bunga",DAY(B3029)=1),0,0.01)+ROW()/10000000,"")</f>
        <v/>
      </c>
    </row>
    <row r="3030" outlineLevel="1" ht="15" customHeight="1" s="94">
      <c r="A3030" s="123">
        <f>IF(B3030="","",ROW()-15)</f>
        <v/>
      </c>
      <c r="B3030" s="124" t="n"/>
      <c r="C3030" s="123" t="n"/>
      <c r="D3030" s="123" t="n"/>
      <c r="E3030" s="123" t="n"/>
      <c r="F3030" s="125" t="n"/>
      <c r="G3030" s="123" t="n"/>
      <c r="H3030" s="123" t="n"/>
      <c r="I3030" s="123" t="n"/>
      <c r="J3030" s="123" t="n"/>
      <c r="K3030" s="123" t="n"/>
      <c r="L3030" s="123" t="n"/>
      <c r="M3030" s="123">
        <f>IF(AND(B3030&lt;&gt;"",OR($C$4="",ISNUMBER(SEARCH($C$4,C3030&amp;" "&amp;E3030&amp;" "&amp;G3030&amp;" "&amp;H3030&amp;" "&amp;I3030&amp;" "&amp;J3030&amp;" "&amp;K3030&amp;" "&amp;L3030))),OR($C$5="Semua",$C$5="",G3030=$C$5),OR($C$6="Semua",$C$6="",H3030=$C$6,H3030="Pengeluaran "&amp;$C$6,AND($C$6="Uang Kos Mama",H3030="Pengeluaran Uang Kos")),OR($C$7="Semua",$C$7="",I3030=$C$7),OR($C$8="Semua",$C$8="",C3030=$C$8,E3030=$C$8),OR($C$9="Semua",$C$9="",D3030=$C$9),OR($C$10="",B3030&gt;=$C$10),OR($C$11="",B3030&lt;=$C$11),OR($C$12&lt;&gt;"Ya",K3030&lt;&gt;""),OR($C$13="Semua",$C$13="",L3030=$C$13)),"✓","")</f>
        <v/>
      </c>
      <c r="N3030" s="93">
        <f>N(N3029)+IF(M3030="✓",1,0)</f>
        <v/>
      </c>
      <c r="O3030" s="93">
        <f>N(O3029)+IF(AND(B3030&lt;&gt;"",B3030&gt;='Uang Riba'!$H$30,B3030&lt;='Uang Riba'!$I$30,OR(H3030="Dana riba",H3030="Pinjam uang riba",I3030="Pinjam dari uang riba",I3030="Ganti uang riba",I3030="Kelebihan ganti dikembalikan",AND(C3030="Kantong Uang Riba",G3030="Pengeluaran"))),1,0)</f>
        <v/>
      </c>
      <c r="X3030" s="93">
        <f>IF(AND(B3030&lt;&gt;"",B3030&gt;='Buku Akun'!$H$4,B3030&lt;='Buku Akun'!$H$5,OR(C3030='Buku Akun'!$C$4,AND(D3030="Pindah",E3030='Buku Akun'!$C$4))),B3030+IF(AND(I3030="Selisih bunga",DAY(B3030)=1),0,0.01)+ROW()/10000000,"")</f>
        <v/>
      </c>
    </row>
    <row r="3031" outlineLevel="1" ht="15" customHeight="1" s="94">
      <c r="A3031" s="123">
        <f>IF(B3031="","",ROW()-15)</f>
        <v/>
      </c>
      <c r="B3031" s="124" t="n"/>
      <c r="C3031" s="123" t="n"/>
      <c r="D3031" s="123" t="n"/>
      <c r="E3031" s="123" t="n"/>
      <c r="F3031" s="125" t="n"/>
      <c r="G3031" s="123" t="n"/>
      <c r="H3031" s="123" t="n"/>
      <c r="I3031" s="123" t="n"/>
      <c r="J3031" s="123" t="n"/>
      <c r="K3031" s="123" t="n"/>
      <c r="L3031" s="123" t="n"/>
      <c r="M3031" s="123">
        <f>IF(AND(B3031&lt;&gt;"",OR($C$4="",ISNUMBER(SEARCH($C$4,C3031&amp;" "&amp;E3031&amp;" "&amp;G3031&amp;" "&amp;H3031&amp;" "&amp;I3031&amp;" "&amp;J3031&amp;" "&amp;K3031&amp;" "&amp;L3031))),OR($C$5="Semua",$C$5="",G3031=$C$5),OR($C$6="Semua",$C$6="",H3031=$C$6,H3031="Pengeluaran "&amp;$C$6,AND($C$6="Uang Kos Mama",H3031="Pengeluaran Uang Kos")),OR($C$7="Semua",$C$7="",I3031=$C$7),OR($C$8="Semua",$C$8="",C3031=$C$8,E3031=$C$8),OR($C$9="Semua",$C$9="",D3031=$C$9),OR($C$10="",B3031&gt;=$C$10),OR($C$11="",B3031&lt;=$C$11),OR($C$12&lt;&gt;"Ya",K3031&lt;&gt;""),OR($C$13="Semua",$C$13="",L3031=$C$13)),"✓","")</f>
        <v/>
      </c>
      <c r="N3031" s="93">
        <f>N(N3030)+IF(M3031="✓",1,0)</f>
        <v/>
      </c>
      <c r="O3031" s="93">
        <f>N(O3030)+IF(AND(B3031&lt;&gt;"",B3031&gt;='Uang Riba'!$H$30,B3031&lt;='Uang Riba'!$I$30,OR(H3031="Dana riba",H3031="Pinjam uang riba",I3031="Pinjam dari uang riba",I3031="Ganti uang riba",I3031="Kelebihan ganti dikembalikan",AND(C3031="Kantong Uang Riba",G3031="Pengeluaran"))),1,0)</f>
        <v/>
      </c>
      <c r="X3031" s="93">
        <f>IF(AND(B3031&lt;&gt;"",B3031&gt;='Buku Akun'!$H$4,B3031&lt;='Buku Akun'!$H$5,OR(C3031='Buku Akun'!$C$4,AND(D3031="Pindah",E3031='Buku Akun'!$C$4))),B3031+IF(AND(I3031="Selisih bunga",DAY(B3031)=1),0,0.01)+ROW()/10000000,"")</f>
        <v/>
      </c>
    </row>
    <row r="3032" outlineLevel="1" ht="15" customHeight="1" s="94">
      <c r="A3032" s="123">
        <f>IF(B3032="","",ROW()-15)</f>
        <v/>
      </c>
      <c r="B3032" s="124" t="n"/>
      <c r="C3032" s="123" t="n"/>
      <c r="D3032" s="123" t="n"/>
      <c r="E3032" s="123" t="n"/>
      <c r="F3032" s="125" t="n"/>
      <c r="G3032" s="123" t="n"/>
      <c r="H3032" s="123" t="n"/>
      <c r="I3032" s="123" t="n"/>
      <c r="J3032" s="123" t="n"/>
      <c r="K3032" s="123" t="n"/>
      <c r="L3032" s="123" t="n"/>
      <c r="M3032" s="123">
        <f>IF(AND(B3032&lt;&gt;"",OR($C$4="",ISNUMBER(SEARCH($C$4,C3032&amp;" "&amp;E3032&amp;" "&amp;G3032&amp;" "&amp;H3032&amp;" "&amp;I3032&amp;" "&amp;J3032&amp;" "&amp;K3032&amp;" "&amp;L3032))),OR($C$5="Semua",$C$5="",G3032=$C$5),OR($C$6="Semua",$C$6="",H3032=$C$6,H3032="Pengeluaran "&amp;$C$6,AND($C$6="Uang Kos Mama",H3032="Pengeluaran Uang Kos")),OR($C$7="Semua",$C$7="",I3032=$C$7),OR($C$8="Semua",$C$8="",C3032=$C$8,E3032=$C$8),OR($C$9="Semua",$C$9="",D3032=$C$9),OR($C$10="",B3032&gt;=$C$10),OR($C$11="",B3032&lt;=$C$11),OR($C$12&lt;&gt;"Ya",K3032&lt;&gt;""),OR($C$13="Semua",$C$13="",L3032=$C$13)),"✓","")</f>
        <v/>
      </c>
      <c r="N3032" s="93">
        <f>N(N3031)+IF(M3032="✓",1,0)</f>
        <v/>
      </c>
      <c r="O3032" s="93">
        <f>N(O3031)+IF(AND(B3032&lt;&gt;"",B3032&gt;='Uang Riba'!$H$30,B3032&lt;='Uang Riba'!$I$30,OR(H3032="Dana riba",H3032="Pinjam uang riba",I3032="Pinjam dari uang riba",I3032="Ganti uang riba",I3032="Kelebihan ganti dikembalikan",AND(C3032="Kantong Uang Riba",G3032="Pengeluaran"))),1,0)</f>
        <v/>
      </c>
      <c r="X3032" s="93">
        <f>IF(AND(B3032&lt;&gt;"",B3032&gt;='Buku Akun'!$H$4,B3032&lt;='Buku Akun'!$H$5,OR(C3032='Buku Akun'!$C$4,AND(D3032="Pindah",E3032='Buku Akun'!$C$4))),B3032+IF(AND(I3032="Selisih bunga",DAY(B3032)=1),0,0.01)+ROW()/10000000,"")</f>
        <v/>
      </c>
    </row>
    <row r="3033" outlineLevel="1" ht="15" customHeight="1" s="94">
      <c r="A3033" s="123">
        <f>IF(B3033="","",ROW()-15)</f>
        <v/>
      </c>
      <c r="B3033" s="124" t="n"/>
      <c r="C3033" s="123" t="n"/>
      <c r="D3033" s="123" t="n"/>
      <c r="E3033" s="123" t="n"/>
      <c r="F3033" s="125" t="n"/>
      <c r="G3033" s="123" t="n"/>
      <c r="H3033" s="123" t="n"/>
      <c r="I3033" s="123" t="n"/>
      <c r="J3033" s="123" t="n"/>
      <c r="K3033" s="123" t="n"/>
      <c r="L3033" s="123" t="n"/>
      <c r="M3033" s="123">
        <f>IF(AND(B3033&lt;&gt;"",OR($C$4="",ISNUMBER(SEARCH($C$4,C3033&amp;" "&amp;E3033&amp;" "&amp;G3033&amp;" "&amp;H3033&amp;" "&amp;I3033&amp;" "&amp;J3033&amp;" "&amp;K3033&amp;" "&amp;L3033))),OR($C$5="Semua",$C$5="",G3033=$C$5),OR($C$6="Semua",$C$6="",H3033=$C$6,H3033="Pengeluaran "&amp;$C$6,AND($C$6="Uang Kos Mama",H3033="Pengeluaran Uang Kos")),OR($C$7="Semua",$C$7="",I3033=$C$7),OR($C$8="Semua",$C$8="",C3033=$C$8,E3033=$C$8),OR($C$9="Semua",$C$9="",D3033=$C$9),OR($C$10="",B3033&gt;=$C$10),OR($C$11="",B3033&lt;=$C$11),OR($C$12&lt;&gt;"Ya",K3033&lt;&gt;""),OR($C$13="Semua",$C$13="",L3033=$C$13)),"✓","")</f>
        <v/>
      </c>
      <c r="N3033" s="93">
        <f>N(N3032)+IF(M3033="✓",1,0)</f>
        <v/>
      </c>
      <c r="O3033" s="93">
        <f>N(O3032)+IF(AND(B3033&lt;&gt;"",B3033&gt;='Uang Riba'!$H$30,B3033&lt;='Uang Riba'!$I$30,OR(H3033="Dana riba",H3033="Pinjam uang riba",I3033="Pinjam dari uang riba",I3033="Ganti uang riba",I3033="Kelebihan ganti dikembalikan",AND(C3033="Kantong Uang Riba",G3033="Pengeluaran"))),1,0)</f>
        <v/>
      </c>
      <c r="X3033" s="93">
        <f>IF(AND(B3033&lt;&gt;"",B3033&gt;='Buku Akun'!$H$4,B3033&lt;='Buku Akun'!$H$5,OR(C3033='Buku Akun'!$C$4,AND(D3033="Pindah",E3033='Buku Akun'!$C$4))),B3033+IF(AND(I3033="Selisih bunga",DAY(B3033)=1),0,0.01)+ROW()/10000000,"")</f>
        <v/>
      </c>
    </row>
    <row r="3034" outlineLevel="1" ht="15" customHeight="1" s="94">
      <c r="A3034" s="123">
        <f>IF(B3034="","",ROW()-15)</f>
        <v/>
      </c>
      <c r="B3034" s="124" t="n"/>
      <c r="C3034" s="123" t="n"/>
      <c r="D3034" s="123" t="n"/>
      <c r="E3034" s="123" t="n"/>
      <c r="F3034" s="125" t="n"/>
      <c r="G3034" s="123" t="n"/>
      <c r="H3034" s="123" t="n"/>
      <c r="I3034" s="123" t="n"/>
      <c r="J3034" s="123" t="n"/>
      <c r="K3034" s="123" t="n"/>
      <c r="L3034" s="123" t="n"/>
      <c r="M3034" s="123">
        <f>IF(AND(B3034&lt;&gt;"",OR($C$4="",ISNUMBER(SEARCH($C$4,C3034&amp;" "&amp;E3034&amp;" "&amp;G3034&amp;" "&amp;H3034&amp;" "&amp;I3034&amp;" "&amp;J3034&amp;" "&amp;K3034&amp;" "&amp;L3034))),OR($C$5="Semua",$C$5="",G3034=$C$5),OR($C$6="Semua",$C$6="",H3034=$C$6,H3034="Pengeluaran "&amp;$C$6,AND($C$6="Uang Kos Mama",H3034="Pengeluaran Uang Kos")),OR($C$7="Semua",$C$7="",I3034=$C$7),OR($C$8="Semua",$C$8="",C3034=$C$8,E3034=$C$8),OR($C$9="Semua",$C$9="",D3034=$C$9),OR($C$10="",B3034&gt;=$C$10),OR($C$11="",B3034&lt;=$C$11),OR($C$12&lt;&gt;"Ya",K3034&lt;&gt;""),OR($C$13="Semua",$C$13="",L3034=$C$13)),"✓","")</f>
        <v/>
      </c>
      <c r="N3034" s="93">
        <f>N(N3033)+IF(M3034="✓",1,0)</f>
        <v/>
      </c>
      <c r="O3034" s="93">
        <f>N(O3033)+IF(AND(B3034&lt;&gt;"",B3034&gt;='Uang Riba'!$H$30,B3034&lt;='Uang Riba'!$I$30,OR(H3034="Dana riba",H3034="Pinjam uang riba",I3034="Pinjam dari uang riba",I3034="Ganti uang riba",I3034="Kelebihan ganti dikembalikan",AND(C3034="Kantong Uang Riba",G3034="Pengeluaran"))),1,0)</f>
        <v/>
      </c>
      <c r="X3034" s="93">
        <f>IF(AND(B3034&lt;&gt;"",B3034&gt;='Buku Akun'!$H$4,B3034&lt;='Buku Akun'!$H$5,OR(C3034='Buku Akun'!$C$4,AND(D3034="Pindah",E3034='Buku Akun'!$C$4))),B3034+IF(AND(I3034="Selisih bunga",DAY(B3034)=1),0,0.01)+ROW()/10000000,"")</f>
        <v/>
      </c>
    </row>
    <row r="3035" outlineLevel="1" ht="15" customHeight="1" s="94">
      <c r="A3035" s="123">
        <f>IF(B3035="","",ROW()-15)</f>
        <v/>
      </c>
      <c r="B3035" s="124" t="n"/>
      <c r="C3035" s="123" t="n"/>
      <c r="D3035" s="123" t="n"/>
      <c r="E3035" s="123" t="n"/>
      <c r="F3035" s="125" t="n"/>
      <c r="G3035" s="123" t="n"/>
      <c r="H3035" s="123" t="n"/>
      <c r="I3035" s="123" t="n"/>
      <c r="J3035" s="123" t="n"/>
      <c r="K3035" s="123" t="n"/>
      <c r="L3035" s="123" t="n"/>
      <c r="M3035" s="123">
        <f>IF(AND(B3035&lt;&gt;"",OR($C$4="",ISNUMBER(SEARCH($C$4,C3035&amp;" "&amp;E3035&amp;" "&amp;G3035&amp;" "&amp;H3035&amp;" "&amp;I3035&amp;" "&amp;J3035&amp;" "&amp;K3035&amp;" "&amp;L3035))),OR($C$5="Semua",$C$5="",G3035=$C$5),OR($C$6="Semua",$C$6="",H3035=$C$6,H3035="Pengeluaran "&amp;$C$6,AND($C$6="Uang Kos Mama",H3035="Pengeluaran Uang Kos")),OR($C$7="Semua",$C$7="",I3035=$C$7),OR($C$8="Semua",$C$8="",C3035=$C$8,E3035=$C$8),OR($C$9="Semua",$C$9="",D3035=$C$9),OR($C$10="",B3035&gt;=$C$10),OR($C$11="",B3035&lt;=$C$11),OR($C$12&lt;&gt;"Ya",K3035&lt;&gt;""),OR($C$13="Semua",$C$13="",L3035=$C$13)),"✓","")</f>
        <v/>
      </c>
      <c r="N3035" s="93">
        <f>N(N3034)+IF(M3035="✓",1,0)</f>
        <v/>
      </c>
      <c r="O3035" s="93">
        <f>N(O3034)+IF(AND(B3035&lt;&gt;"",B3035&gt;='Uang Riba'!$H$30,B3035&lt;='Uang Riba'!$I$30,OR(H3035="Dana riba",H3035="Pinjam uang riba",I3035="Pinjam dari uang riba",I3035="Ganti uang riba",I3035="Kelebihan ganti dikembalikan",AND(C3035="Kantong Uang Riba",G3035="Pengeluaran"))),1,0)</f>
        <v/>
      </c>
      <c r="X3035" s="93">
        <f>IF(AND(B3035&lt;&gt;"",B3035&gt;='Buku Akun'!$H$4,B3035&lt;='Buku Akun'!$H$5,OR(C3035='Buku Akun'!$C$4,AND(D3035="Pindah",E3035='Buku Akun'!$C$4))),B3035+IF(AND(I3035="Selisih bunga",DAY(B3035)=1),0,0.01)+ROW()/10000000,"")</f>
        <v/>
      </c>
    </row>
    <row r="3036" outlineLevel="1" ht="15" customHeight="1" s="94">
      <c r="A3036" s="123">
        <f>IF(B3036="","",ROW()-15)</f>
        <v/>
      </c>
      <c r="B3036" s="124" t="n"/>
      <c r="C3036" s="123" t="n"/>
      <c r="D3036" s="123" t="n"/>
      <c r="E3036" s="123" t="n"/>
      <c r="F3036" s="125" t="n"/>
      <c r="G3036" s="123" t="n"/>
      <c r="H3036" s="123" t="n"/>
      <c r="I3036" s="123" t="n"/>
      <c r="J3036" s="123" t="n"/>
      <c r="K3036" s="123" t="n"/>
      <c r="L3036" s="123" t="n"/>
      <c r="M3036" s="123">
        <f>IF(AND(B3036&lt;&gt;"",OR($C$4="",ISNUMBER(SEARCH($C$4,C3036&amp;" "&amp;E3036&amp;" "&amp;G3036&amp;" "&amp;H3036&amp;" "&amp;I3036&amp;" "&amp;J3036&amp;" "&amp;K3036&amp;" "&amp;L3036))),OR($C$5="Semua",$C$5="",G3036=$C$5),OR($C$6="Semua",$C$6="",H3036=$C$6,H3036="Pengeluaran "&amp;$C$6,AND($C$6="Uang Kos Mama",H3036="Pengeluaran Uang Kos")),OR($C$7="Semua",$C$7="",I3036=$C$7),OR($C$8="Semua",$C$8="",C3036=$C$8,E3036=$C$8),OR($C$9="Semua",$C$9="",D3036=$C$9),OR($C$10="",B3036&gt;=$C$10),OR($C$11="",B3036&lt;=$C$11),OR($C$12&lt;&gt;"Ya",K3036&lt;&gt;""),OR($C$13="Semua",$C$13="",L3036=$C$13)),"✓","")</f>
        <v/>
      </c>
      <c r="N3036" s="93">
        <f>N(N3035)+IF(M3036="✓",1,0)</f>
        <v/>
      </c>
      <c r="O3036" s="93">
        <f>N(O3035)+IF(AND(B3036&lt;&gt;"",B3036&gt;='Uang Riba'!$H$30,B3036&lt;='Uang Riba'!$I$30,OR(H3036="Dana riba",H3036="Pinjam uang riba",I3036="Pinjam dari uang riba",I3036="Ganti uang riba",I3036="Kelebihan ganti dikembalikan",AND(C3036="Kantong Uang Riba",G3036="Pengeluaran"))),1,0)</f>
        <v/>
      </c>
      <c r="X3036" s="93">
        <f>IF(AND(B3036&lt;&gt;"",B3036&gt;='Buku Akun'!$H$4,B3036&lt;='Buku Akun'!$H$5,OR(C3036='Buku Akun'!$C$4,AND(D3036="Pindah",E3036='Buku Akun'!$C$4))),B3036+IF(AND(I3036="Selisih bunga",DAY(B3036)=1),0,0.01)+ROW()/10000000,"")</f>
        <v/>
      </c>
    </row>
    <row r="3037" outlineLevel="1" ht="15" customHeight="1" s="94">
      <c r="A3037" s="123">
        <f>IF(B3037="","",ROW()-15)</f>
        <v/>
      </c>
      <c r="B3037" s="124" t="n"/>
      <c r="C3037" s="123" t="n"/>
      <c r="D3037" s="123" t="n"/>
      <c r="E3037" s="123" t="n"/>
      <c r="F3037" s="125" t="n"/>
      <c r="G3037" s="123" t="n"/>
      <c r="H3037" s="123" t="n"/>
      <c r="I3037" s="123" t="n"/>
      <c r="J3037" s="123" t="n"/>
      <c r="K3037" s="123" t="n"/>
      <c r="L3037" s="123" t="n"/>
      <c r="M3037" s="123">
        <f>IF(AND(B3037&lt;&gt;"",OR($C$4="",ISNUMBER(SEARCH($C$4,C3037&amp;" "&amp;E3037&amp;" "&amp;G3037&amp;" "&amp;H3037&amp;" "&amp;I3037&amp;" "&amp;J3037&amp;" "&amp;K3037&amp;" "&amp;L3037))),OR($C$5="Semua",$C$5="",G3037=$C$5),OR($C$6="Semua",$C$6="",H3037=$C$6,H3037="Pengeluaran "&amp;$C$6,AND($C$6="Uang Kos Mama",H3037="Pengeluaran Uang Kos")),OR($C$7="Semua",$C$7="",I3037=$C$7),OR($C$8="Semua",$C$8="",C3037=$C$8,E3037=$C$8),OR($C$9="Semua",$C$9="",D3037=$C$9),OR($C$10="",B3037&gt;=$C$10),OR($C$11="",B3037&lt;=$C$11),OR($C$12&lt;&gt;"Ya",K3037&lt;&gt;""),OR($C$13="Semua",$C$13="",L3037=$C$13)),"✓","")</f>
        <v/>
      </c>
      <c r="N3037" s="93">
        <f>N(N3036)+IF(M3037="✓",1,0)</f>
        <v/>
      </c>
      <c r="O3037" s="93">
        <f>N(O3036)+IF(AND(B3037&lt;&gt;"",B3037&gt;='Uang Riba'!$H$30,B3037&lt;='Uang Riba'!$I$30,OR(H3037="Dana riba",H3037="Pinjam uang riba",I3037="Pinjam dari uang riba",I3037="Ganti uang riba",I3037="Kelebihan ganti dikembalikan",AND(C3037="Kantong Uang Riba",G3037="Pengeluaran"))),1,0)</f>
        <v/>
      </c>
      <c r="X3037" s="93">
        <f>IF(AND(B3037&lt;&gt;"",B3037&gt;='Buku Akun'!$H$4,B3037&lt;='Buku Akun'!$H$5,OR(C3037='Buku Akun'!$C$4,AND(D3037="Pindah",E3037='Buku Akun'!$C$4))),B3037+IF(AND(I3037="Selisih bunga",DAY(B3037)=1),0,0.01)+ROW()/10000000,"")</f>
        <v/>
      </c>
    </row>
    <row r="3038" outlineLevel="1" ht="15" customHeight="1" s="94">
      <c r="A3038" s="123">
        <f>IF(B3038="","",ROW()-15)</f>
        <v/>
      </c>
      <c r="B3038" s="124" t="n"/>
      <c r="C3038" s="123" t="n"/>
      <c r="D3038" s="123" t="n"/>
      <c r="E3038" s="123" t="n"/>
      <c r="F3038" s="125" t="n"/>
      <c r="G3038" s="123" t="n"/>
      <c r="H3038" s="123" t="n"/>
      <c r="I3038" s="123" t="n"/>
      <c r="J3038" s="123" t="n"/>
      <c r="K3038" s="123" t="n"/>
      <c r="L3038" s="123" t="n"/>
      <c r="M3038" s="123">
        <f>IF(AND(B3038&lt;&gt;"",OR($C$4="",ISNUMBER(SEARCH($C$4,C3038&amp;" "&amp;E3038&amp;" "&amp;G3038&amp;" "&amp;H3038&amp;" "&amp;I3038&amp;" "&amp;J3038&amp;" "&amp;K3038&amp;" "&amp;L3038))),OR($C$5="Semua",$C$5="",G3038=$C$5),OR($C$6="Semua",$C$6="",H3038=$C$6,H3038="Pengeluaran "&amp;$C$6,AND($C$6="Uang Kos Mama",H3038="Pengeluaran Uang Kos")),OR($C$7="Semua",$C$7="",I3038=$C$7),OR($C$8="Semua",$C$8="",C3038=$C$8,E3038=$C$8),OR($C$9="Semua",$C$9="",D3038=$C$9),OR($C$10="",B3038&gt;=$C$10),OR($C$11="",B3038&lt;=$C$11),OR($C$12&lt;&gt;"Ya",K3038&lt;&gt;""),OR($C$13="Semua",$C$13="",L3038=$C$13)),"✓","")</f>
        <v/>
      </c>
      <c r="N3038" s="93">
        <f>N(N3037)+IF(M3038="✓",1,0)</f>
        <v/>
      </c>
      <c r="O3038" s="93">
        <f>N(O3037)+IF(AND(B3038&lt;&gt;"",B3038&gt;='Uang Riba'!$H$30,B3038&lt;='Uang Riba'!$I$30,OR(H3038="Dana riba",H3038="Pinjam uang riba",I3038="Pinjam dari uang riba",I3038="Ganti uang riba",I3038="Kelebihan ganti dikembalikan",AND(C3038="Kantong Uang Riba",G3038="Pengeluaran"))),1,0)</f>
        <v/>
      </c>
      <c r="X3038" s="93">
        <f>IF(AND(B3038&lt;&gt;"",B3038&gt;='Buku Akun'!$H$4,B3038&lt;='Buku Akun'!$H$5,OR(C3038='Buku Akun'!$C$4,AND(D3038="Pindah",E3038='Buku Akun'!$C$4))),B3038+IF(AND(I3038="Selisih bunga",DAY(B3038)=1),0,0.01)+ROW()/10000000,"")</f>
        <v/>
      </c>
    </row>
    <row r="3039" outlineLevel="1" ht="15" customHeight="1" s="94">
      <c r="A3039" s="123">
        <f>IF(B3039="","",ROW()-15)</f>
        <v/>
      </c>
      <c r="B3039" s="124" t="n"/>
      <c r="C3039" s="123" t="n"/>
      <c r="D3039" s="123" t="n"/>
      <c r="E3039" s="123" t="n"/>
      <c r="F3039" s="125" t="n"/>
      <c r="G3039" s="123" t="n"/>
      <c r="H3039" s="123" t="n"/>
      <c r="I3039" s="123" t="n"/>
      <c r="J3039" s="123" t="n"/>
      <c r="K3039" s="123" t="n"/>
      <c r="L3039" s="123" t="n"/>
      <c r="M3039" s="123">
        <f>IF(AND(B3039&lt;&gt;"",OR($C$4="",ISNUMBER(SEARCH($C$4,C3039&amp;" "&amp;E3039&amp;" "&amp;G3039&amp;" "&amp;H3039&amp;" "&amp;I3039&amp;" "&amp;J3039&amp;" "&amp;K3039&amp;" "&amp;L3039))),OR($C$5="Semua",$C$5="",G3039=$C$5),OR($C$6="Semua",$C$6="",H3039=$C$6,H3039="Pengeluaran "&amp;$C$6,AND($C$6="Uang Kos Mama",H3039="Pengeluaran Uang Kos")),OR($C$7="Semua",$C$7="",I3039=$C$7),OR($C$8="Semua",$C$8="",C3039=$C$8,E3039=$C$8),OR($C$9="Semua",$C$9="",D3039=$C$9),OR($C$10="",B3039&gt;=$C$10),OR($C$11="",B3039&lt;=$C$11),OR($C$12&lt;&gt;"Ya",K3039&lt;&gt;""),OR($C$13="Semua",$C$13="",L3039=$C$13)),"✓","")</f>
        <v/>
      </c>
      <c r="N3039" s="93">
        <f>N(N3038)+IF(M3039="✓",1,0)</f>
        <v/>
      </c>
      <c r="O3039" s="93">
        <f>N(O3038)+IF(AND(B3039&lt;&gt;"",B3039&gt;='Uang Riba'!$H$30,B3039&lt;='Uang Riba'!$I$30,OR(H3039="Dana riba",H3039="Pinjam uang riba",I3039="Pinjam dari uang riba",I3039="Ganti uang riba",I3039="Kelebihan ganti dikembalikan",AND(C3039="Kantong Uang Riba",G3039="Pengeluaran"))),1,0)</f>
        <v/>
      </c>
      <c r="X3039" s="93">
        <f>IF(AND(B3039&lt;&gt;"",B3039&gt;='Buku Akun'!$H$4,B3039&lt;='Buku Akun'!$H$5,OR(C3039='Buku Akun'!$C$4,AND(D3039="Pindah",E3039='Buku Akun'!$C$4))),B3039+IF(AND(I3039="Selisih bunga",DAY(B3039)=1),0,0.01)+ROW()/10000000,"")</f>
        <v/>
      </c>
    </row>
    <row r="3040" outlineLevel="1" ht="15" customHeight="1" s="94">
      <c r="A3040" s="123">
        <f>IF(B3040="","",ROW()-15)</f>
        <v/>
      </c>
      <c r="B3040" s="124" t="n"/>
      <c r="C3040" s="123" t="n"/>
      <c r="D3040" s="123" t="n"/>
      <c r="E3040" s="123" t="n"/>
      <c r="F3040" s="125" t="n"/>
      <c r="G3040" s="123" t="n"/>
      <c r="H3040" s="123" t="n"/>
      <c r="I3040" s="123" t="n"/>
      <c r="J3040" s="123" t="n"/>
      <c r="K3040" s="123" t="n"/>
      <c r="L3040" s="123" t="n"/>
      <c r="M3040" s="123">
        <f>IF(AND(B3040&lt;&gt;"",OR($C$4="",ISNUMBER(SEARCH($C$4,C3040&amp;" "&amp;E3040&amp;" "&amp;G3040&amp;" "&amp;H3040&amp;" "&amp;I3040&amp;" "&amp;J3040&amp;" "&amp;K3040&amp;" "&amp;L3040))),OR($C$5="Semua",$C$5="",G3040=$C$5),OR($C$6="Semua",$C$6="",H3040=$C$6,H3040="Pengeluaran "&amp;$C$6,AND($C$6="Uang Kos Mama",H3040="Pengeluaran Uang Kos")),OR($C$7="Semua",$C$7="",I3040=$C$7),OR($C$8="Semua",$C$8="",C3040=$C$8,E3040=$C$8),OR($C$9="Semua",$C$9="",D3040=$C$9),OR($C$10="",B3040&gt;=$C$10),OR($C$11="",B3040&lt;=$C$11),OR($C$12&lt;&gt;"Ya",K3040&lt;&gt;""),OR($C$13="Semua",$C$13="",L3040=$C$13)),"✓","")</f>
        <v/>
      </c>
      <c r="N3040" s="93">
        <f>N(N3039)+IF(M3040="✓",1,0)</f>
        <v/>
      </c>
      <c r="O3040" s="93">
        <f>N(O3039)+IF(AND(B3040&lt;&gt;"",B3040&gt;='Uang Riba'!$H$30,B3040&lt;='Uang Riba'!$I$30,OR(H3040="Dana riba",H3040="Pinjam uang riba",I3040="Pinjam dari uang riba",I3040="Ganti uang riba",I3040="Kelebihan ganti dikembalikan",AND(C3040="Kantong Uang Riba",G3040="Pengeluaran"))),1,0)</f>
        <v/>
      </c>
      <c r="X3040" s="93">
        <f>IF(AND(B3040&lt;&gt;"",B3040&gt;='Buku Akun'!$H$4,B3040&lt;='Buku Akun'!$H$5,OR(C3040='Buku Akun'!$C$4,AND(D3040="Pindah",E3040='Buku Akun'!$C$4))),B3040+IF(AND(I3040="Selisih bunga",DAY(B3040)=1),0,0.01)+ROW()/10000000,"")</f>
        <v/>
      </c>
    </row>
    <row r="3041" outlineLevel="1" ht="15" customHeight="1" s="94">
      <c r="A3041" s="123">
        <f>IF(B3041="","",ROW()-15)</f>
        <v/>
      </c>
      <c r="B3041" s="124" t="n"/>
      <c r="C3041" s="123" t="n"/>
      <c r="D3041" s="123" t="n"/>
      <c r="E3041" s="123" t="n"/>
      <c r="F3041" s="125" t="n"/>
      <c r="G3041" s="123" t="n"/>
      <c r="H3041" s="123" t="n"/>
      <c r="I3041" s="123" t="n"/>
      <c r="J3041" s="123" t="n"/>
      <c r="K3041" s="123" t="n"/>
      <c r="L3041" s="123" t="n"/>
      <c r="M3041" s="123">
        <f>IF(AND(B3041&lt;&gt;"",OR($C$4="",ISNUMBER(SEARCH($C$4,C3041&amp;" "&amp;E3041&amp;" "&amp;G3041&amp;" "&amp;H3041&amp;" "&amp;I3041&amp;" "&amp;J3041&amp;" "&amp;K3041&amp;" "&amp;L3041))),OR($C$5="Semua",$C$5="",G3041=$C$5),OR($C$6="Semua",$C$6="",H3041=$C$6,H3041="Pengeluaran "&amp;$C$6,AND($C$6="Uang Kos Mama",H3041="Pengeluaran Uang Kos")),OR($C$7="Semua",$C$7="",I3041=$C$7),OR($C$8="Semua",$C$8="",C3041=$C$8,E3041=$C$8),OR($C$9="Semua",$C$9="",D3041=$C$9),OR($C$10="",B3041&gt;=$C$10),OR($C$11="",B3041&lt;=$C$11),OR($C$12&lt;&gt;"Ya",K3041&lt;&gt;""),OR($C$13="Semua",$C$13="",L3041=$C$13)),"✓","")</f>
        <v/>
      </c>
      <c r="N3041" s="93">
        <f>N(N3040)+IF(M3041="✓",1,0)</f>
        <v/>
      </c>
      <c r="O3041" s="93">
        <f>N(O3040)+IF(AND(B3041&lt;&gt;"",B3041&gt;='Uang Riba'!$H$30,B3041&lt;='Uang Riba'!$I$30,OR(H3041="Dana riba",H3041="Pinjam uang riba",I3041="Pinjam dari uang riba",I3041="Ganti uang riba",I3041="Kelebihan ganti dikembalikan",AND(C3041="Kantong Uang Riba",G3041="Pengeluaran"))),1,0)</f>
        <v/>
      </c>
      <c r="X3041" s="93">
        <f>IF(AND(B3041&lt;&gt;"",B3041&gt;='Buku Akun'!$H$4,B3041&lt;='Buku Akun'!$H$5,OR(C3041='Buku Akun'!$C$4,AND(D3041="Pindah",E3041='Buku Akun'!$C$4))),B3041+IF(AND(I3041="Selisih bunga",DAY(B3041)=1),0,0.01)+ROW()/10000000,"")</f>
        <v/>
      </c>
    </row>
    <row r="3042" outlineLevel="1" ht="15" customHeight="1" s="94">
      <c r="A3042" s="123">
        <f>IF(B3042="","",ROW()-15)</f>
        <v/>
      </c>
      <c r="B3042" s="124" t="n"/>
      <c r="C3042" s="123" t="n"/>
      <c r="D3042" s="123" t="n"/>
      <c r="E3042" s="123" t="n"/>
      <c r="F3042" s="125" t="n"/>
      <c r="G3042" s="123" t="n"/>
      <c r="H3042" s="123" t="n"/>
      <c r="I3042" s="123" t="n"/>
      <c r="J3042" s="123" t="n"/>
      <c r="K3042" s="123" t="n"/>
      <c r="L3042" s="123" t="n"/>
      <c r="M3042" s="123">
        <f>IF(AND(B3042&lt;&gt;"",OR($C$4="",ISNUMBER(SEARCH($C$4,C3042&amp;" "&amp;E3042&amp;" "&amp;G3042&amp;" "&amp;H3042&amp;" "&amp;I3042&amp;" "&amp;J3042&amp;" "&amp;K3042&amp;" "&amp;L3042))),OR($C$5="Semua",$C$5="",G3042=$C$5),OR($C$6="Semua",$C$6="",H3042=$C$6,H3042="Pengeluaran "&amp;$C$6,AND($C$6="Uang Kos Mama",H3042="Pengeluaran Uang Kos")),OR($C$7="Semua",$C$7="",I3042=$C$7),OR($C$8="Semua",$C$8="",C3042=$C$8,E3042=$C$8),OR($C$9="Semua",$C$9="",D3042=$C$9),OR($C$10="",B3042&gt;=$C$10),OR($C$11="",B3042&lt;=$C$11),OR($C$12&lt;&gt;"Ya",K3042&lt;&gt;""),OR($C$13="Semua",$C$13="",L3042=$C$13)),"✓","")</f>
        <v/>
      </c>
      <c r="N3042" s="93">
        <f>N(N3041)+IF(M3042="✓",1,0)</f>
        <v/>
      </c>
      <c r="O3042" s="93">
        <f>N(O3041)+IF(AND(B3042&lt;&gt;"",B3042&gt;='Uang Riba'!$H$30,B3042&lt;='Uang Riba'!$I$30,OR(H3042="Dana riba",H3042="Pinjam uang riba",I3042="Pinjam dari uang riba",I3042="Ganti uang riba",I3042="Kelebihan ganti dikembalikan",AND(C3042="Kantong Uang Riba",G3042="Pengeluaran"))),1,0)</f>
        <v/>
      </c>
      <c r="X3042" s="93">
        <f>IF(AND(B3042&lt;&gt;"",B3042&gt;='Buku Akun'!$H$4,B3042&lt;='Buku Akun'!$H$5,OR(C3042='Buku Akun'!$C$4,AND(D3042="Pindah",E3042='Buku Akun'!$C$4))),B3042+IF(AND(I3042="Selisih bunga",DAY(B3042)=1),0,0.01)+ROW()/10000000,"")</f>
        <v/>
      </c>
    </row>
    <row r="3043" outlineLevel="1" ht="15" customHeight="1" s="94">
      <c r="A3043" s="123">
        <f>IF(B3043="","",ROW()-15)</f>
        <v/>
      </c>
      <c r="B3043" s="124" t="n"/>
      <c r="C3043" s="123" t="n"/>
      <c r="D3043" s="123" t="n"/>
      <c r="E3043" s="123" t="n"/>
      <c r="F3043" s="125" t="n"/>
      <c r="G3043" s="123" t="n"/>
      <c r="H3043" s="123" t="n"/>
      <c r="I3043" s="123" t="n"/>
      <c r="J3043" s="123" t="n"/>
      <c r="K3043" s="123" t="n"/>
      <c r="L3043" s="123" t="n"/>
      <c r="M3043" s="123">
        <f>IF(AND(B3043&lt;&gt;"",OR($C$4="",ISNUMBER(SEARCH($C$4,C3043&amp;" "&amp;E3043&amp;" "&amp;G3043&amp;" "&amp;H3043&amp;" "&amp;I3043&amp;" "&amp;J3043&amp;" "&amp;K3043&amp;" "&amp;L3043))),OR($C$5="Semua",$C$5="",G3043=$C$5),OR($C$6="Semua",$C$6="",H3043=$C$6,H3043="Pengeluaran "&amp;$C$6,AND($C$6="Uang Kos Mama",H3043="Pengeluaran Uang Kos")),OR($C$7="Semua",$C$7="",I3043=$C$7),OR($C$8="Semua",$C$8="",C3043=$C$8,E3043=$C$8),OR($C$9="Semua",$C$9="",D3043=$C$9),OR($C$10="",B3043&gt;=$C$10),OR($C$11="",B3043&lt;=$C$11),OR($C$12&lt;&gt;"Ya",K3043&lt;&gt;""),OR($C$13="Semua",$C$13="",L3043=$C$13)),"✓","")</f>
        <v/>
      </c>
      <c r="N3043" s="93">
        <f>N(N3042)+IF(M3043="✓",1,0)</f>
        <v/>
      </c>
      <c r="O3043" s="93">
        <f>N(O3042)+IF(AND(B3043&lt;&gt;"",B3043&gt;='Uang Riba'!$H$30,B3043&lt;='Uang Riba'!$I$30,OR(H3043="Dana riba",H3043="Pinjam uang riba",I3043="Pinjam dari uang riba",I3043="Ganti uang riba",I3043="Kelebihan ganti dikembalikan",AND(C3043="Kantong Uang Riba",G3043="Pengeluaran"))),1,0)</f>
        <v/>
      </c>
      <c r="X3043" s="93">
        <f>IF(AND(B3043&lt;&gt;"",B3043&gt;='Buku Akun'!$H$4,B3043&lt;='Buku Akun'!$H$5,OR(C3043='Buku Akun'!$C$4,AND(D3043="Pindah",E3043='Buku Akun'!$C$4))),B3043+IF(AND(I3043="Selisih bunga",DAY(B3043)=1),0,0.01)+ROW()/10000000,"")</f>
        <v/>
      </c>
    </row>
    <row r="3044" outlineLevel="1" ht="15" customHeight="1" s="94">
      <c r="A3044" s="123">
        <f>IF(B3044="","",ROW()-15)</f>
        <v/>
      </c>
      <c r="B3044" s="124" t="n"/>
      <c r="C3044" s="123" t="n"/>
      <c r="D3044" s="123" t="n"/>
      <c r="E3044" s="123" t="n"/>
      <c r="F3044" s="125" t="n"/>
      <c r="G3044" s="123" t="n"/>
      <c r="H3044" s="123" t="n"/>
      <c r="I3044" s="123" t="n"/>
      <c r="J3044" s="123" t="n"/>
      <c r="K3044" s="123" t="n"/>
      <c r="L3044" s="123" t="n"/>
      <c r="M3044" s="123">
        <f>IF(AND(B3044&lt;&gt;"",OR($C$4="",ISNUMBER(SEARCH($C$4,C3044&amp;" "&amp;E3044&amp;" "&amp;G3044&amp;" "&amp;H3044&amp;" "&amp;I3044&amp;" "&amp;J3044&amp;" "&amp;K3044&amp;" "&amp;L3044))),OR($C$5="Semua",$C$5="",G3044=$C$5),OR($C$6="Semua",$C$6="",H3044=$C$6,H3044="Pengeluaran "&amp;$C$6,AND($C$6="Uang Kos Mama",H3044="Pengeluaran Uang Kos")),OR($C$7="Semua",$C$7="",I3044=$C$7),OR($C$8="Semua",$C$8="",C3044=$C$8,E3044=$C$8),OR($C$9="Semua",$C$9="",D3044=$C$9),OR($C$10="",B3044&gt;=$C$10),OR($C$11="",B3044&lt;=$C$11),OR($C$12&lt;&gt;"Ya",K3044&lt;&gt;""),OR($C$13="Semua",$C$13="",L3044=$C$13)),"✓","")</f>
        <v/>
      </c>
      <c r="N3044" s="93">
        <f>N(N3043)+IF(M3044="✓",1,0)</f>
        <v/>
      </c>
      <c r="O3044" s="93">
        <f>N(O3043)+IF(AND(B3044&lt;&gt;"",B3044&gt;='Uang Riba'!$H$30,B3044&lt;='Uang Riba'!$I$30,OR(H3044="Dana riba",H3044="Pinjam uang riba",I3044="Pinjam dari uang riba",I3044="Ganti uang riba",I3044="Kelebihan ganti dikembalikan",AND(C3044="Kantong Uang Riba",G3044="Pengeluaran"))),1,0)</f>
        <v/>
      </c>
      <c r="X3044" s="93">
        <f>IF(AND(B3044&lt;&gt;"",B3044&gt;='Buku Akun'!$H$4,B3044&lt;='Buku Akun'!$H$5,OR(C3044='Buku Akun'!$C$4,AND(D3044="Pindah",E3044='Buku Akun'!$C$4))),B3044+IF(AND(I3044="Selisih bunga",DAY(B3044)=1),0,0.01)+ROW()/10000000,"")</f>
        <v/>
      </c>
    </row>
    <row r="3045" outlineLevel="1" ht="15" customHeight="1" s="94">
      <c r="A3045" s="123">
        <f>IF(B3045="","",ROW()-15)</f>
        <v/>
      </c>
      <c r="B3045" s="124" t="n"/>
      <c r="C3045" s="123" t="n"/>
      <c r="D3045" s="123" t="n"/>
      <c r="E3045" s="123" t="n"/>
      <c r="F3045" s="125" t="n"/>
      <c r="G3045" s="123" t="n"/>
      <c r="H3045" s="123" t="n"/>
      <c r="I3045" s="123" t="n"/>
      <c r="J3045" s="123" t="n"/>
      <c r="K3045" s="123" t="n"/>
      <c r="L3045" s="123" t="n"/>
      <c r="M3045" s="123">
        <f>IF(AND(B3045&lt;&gt;"",OR($C$4="",ISNUMBER(SEARCH($C$4,C3045&amp;" "&amp;E3045&amp;" "&amp;G3045&amp;" "&amp;H3045&amp;" "&amp;I3045&amp;" "&amp;J3045&amp;" "&amp;K3045&amp;" "&amp;L3045))),OR($C$5="Semua",$C$5="",G3045=$C$5),OR($C$6="Semua",$C$6="",H3045=$C$6,H3045="Pengeluaran "&amp;$C$6,AND($C$6="Uang Kos Mama",H3045="Pengeluaran Uang Kos")),OR($C$7="Semua",$C$7="",I3045=$C$7),OR($C$8="Semua",$C$8="",C3045=$C$8,E3045=$C$8),OR($C$9="Semua",$C$9="",D3045=$C$9),OR($C$10="",B3045&gt;=$C$10),OR($C$11="",B3045&lt;=$C$11),OR($C$12&lt;&gt;"Ya",K3045&lt;&gt;""),OR($C$13="Semua",$C$13="",L3045=$C$13)),"✓","")</f>
        <v/>
      </c>
      <c r="N3045" s="93">
        <f>N(N3044)+IF(M3045="✓",1,0)</f>
        <v/>
      </c>
      <c r="O3045" s="93">
        <f>N(O3044)+IF(AND(B3045&lt;&gt;"",B3045&gt;='Uang Riba'!$H$30,B3045&lt;='Uang Riba'!$I$30,OR(H3045="Dana riba",H3045="Pinjam uang riba",I3045="Pinjam dari uang riba",I3045="Ganti uang riba",I3045="Kelebihan ganti dikembalikan",AND(C3045="Kantong Uang Riba",G3045="Pengeluaran"))),1,0)</f>
        <v/>
      </c>
      <c r="X3045" s="93">
        <f>IF(AND(B3045&lt;&gt;"",B3045&gt;='Buku Akun'!$H$4,B3045&lt;='Buku Akun'!$H$5,OR(C3045='Buku Akun'!$C$4,AND(D3045="Pindah",E3045='Buku Akun'!$C$4))),B3045+IF(AND(I3045="Selisih bunga",DAY(B3045)=1),0,0.01)+ROW()/10000000,"")</f>
        <v/>
      </c>
    </row>
    <row r="3046" outlineLevel="1" ht="15" customHeight="1" s="94">
      <c r="A3046" s="123">
        <f>IF(B3046="","",ROW()-15)</f>
        <v/>
      </c>
      <c r="B3046" s="124" t="n"/>
      <c r="C3046" s="123" t="n"/>
      <c r="D3046" s="123" t="n"/>
      <c r="E3046" s="123" t="n"/>
      <c r="F3046" s="125" t="n"/>
      <c r="G3046" s="123" t="n"/>
      <c r="H3046" s="123" t="n"/>
      <c r="I3046" s="123" t="n"/>
      <c r="J3046" s="123" t="n"/>
      <c r="K3046" s="123" t="n"/>
      <c r="L3046" s="123" t="n"/>
      <c r="M3046" s="123">
        <f>IF(AND(B3046&lt;&gt;"",OR($C$4="",ISNUMBER(SEARCH($C$4,C3046&amp;" "&amp;E3046&amp;" "&amp;G3046&amp;" "&amp;H3046&amp;" "&amp;I3046&amp;" "&amp;J3046&amp;" "&amp;K3046&amp;" "&amp;L3046))),OR($C$5="Semua",$C$5="",G3046=$C$5),OR($C$6="Semua",$C$6="",H3046=$C$6,H3046="Pengeluaran "&amp;$C$6,AND($C$6="Uang Kos Mama",H3046="Pengeluaran Uang Kos")),OR($C$7="Semua",$C$7="",I3046=$C$7),OR($C$8="Semua",$C$8="",C3046=$C$8,E3046=$C$8),OR($C$9="Semua",$C$9="",D3046=$C$9),OR($C$10="",B3046&gt;=$C$10),OR($C$11="",B3046&lt;=$C$11),OR($C$12&lt;&gt;"Ya",K3046&lt;&gt;""),OR($C$13="Semua",$C$13="",L3046=$C$13)),"✓","")</f>
        <v/>
      </c>
      <c r="N3046" s="93">
        <f>N(N3045)+IF(M3046="✓",1,0)</f>
        <v/>
      </c>
      <c r="O3046" s="93">
        <f>N(O3045)+IF(AND(B3046&lt;&gt;"",B3046&gt;='Uang Riba'!$H$30,B3046&lt;='Uang Riba'!$I$30,OR(H3046="Dana riba",H3046="Pinjam uang riba",I3046="Pinjam dari uang riba",I3046="Ganti uang riba",I3046="Kelebihan ganti dikembalikan",AND(C3046="Kantong Uang Riba",G3046="Pengeluaran"))),1,0)</f>
        <v/>
      </c>
      <c r="X3046" s="93">
        <f>IF(AND(B3046&lt;&gt;"",B3046&gt;='Buku Akun'!$H$4,B3046&lt;='Buku Akun'!$H$5,OR(C3046='Buku Akun'!$C$4,AND(D3046="Pindah",E3046='Buku Akun'!$C$4))),B3046+IF(AND(I3046="Selisih bunga",DAY(B3046)=1),0,0.01)+ROW()/10000000,"")</f>
        <v/>
      </c>
    </row>
    <row r="3047" outlineLevel="1" ht="15" customHeight="1" s="94">
      <c r="A3047" s="123">
        <f>IF(B3047="","",ROW()-15)</f>
        <v/>
      </c>
      <c r="B3047" s="124" t="n"/>
      <c r="C3047" s="123" t="n"/>
      <c r="D3047" s="123" t="n"/>
      <c r="E3047" s="123" t="n"/>
      <c r="F3047" s="125" t="n"/>
      <c r="G3047" s="123" t="n"/>
      <c r="H3047" s="123" t="n"/>
      <c r="I3047" s="123" t="n"/>
      <c r="J3047" s="123" t="n"/>
      <c r="K3047" s="123" t="n"/>
      <c r="L3047" s="123" t="n"/>
      <c r="M3047" s="123">
        <f>IF(AND(B3047&lt;&gt;"",OR($C$4="",ISNUMBER(SEARCH($C$4,C3047&amp;" "&amp;E3047&amp;" "&amp;G3047&amp;" "&amp;H3047&amp;" "&amp;I3047&amp;" "&amp;J3047&amp;" "&amp;K3047&amp;" "&amp;L3047))),OR($C$5="Semua",$C$5="",G3047=$C$5),OR($C$6="Semua",$C$6="",H3047=$C$6,H3047="Pengeluaran "&amp;$C$6,AND($C$6="Uang Kos Mama",H3047="Pengeluaran Uang Kos")),OR($C$7="Semua",$C$7="",I3047=$C$7),OR($C$8="Semua",$C$8="",C3047=$C$8,E3047=$C$8),OR($C$9="Semua",$C$9="",D3047=$C$9),OR($C$10="",B3047&gt;=$C$10),OR($C$11="",B3047&lt;=$C$11),OR($C$12&lt;&gt;"Ya",K3047&lt;&gt;""),OR($C$13="Semua",$C$13="",L3047=$C$13)),"✓","")</f>
        <v/>
      </c>
      <c r="N3047" s="93">
        <f>N(N3046)+IF(M3047="✓",1,0)</f>
        <v/>
      </c>
      <c r="O3047" s="93">
        <f>N(O3046)+IF(AND(B3047&lt;&gt;"",B3047&gt;='Uang Riba'!$H$30,B3047&lt;='Uang Riba'!$I$30,OR(H3047="Dana riba",H3047="Pinjam uang riba",I3047="Pinjam dari uang riba",I3047="Ganti uang riba",I3047="Kelebihan ganti dikembalikan",AND(C3047="Kantong Uang Riba",G3047="Pengeluaran"))),1,0)</f>
        <v/>
      </c>
      <c r="X3047" s="93">
        <f>IF(AND(B3047&lt;&gt;"",B3047&gt;='Buku Akun'!$H$4,B3047&lt;='Buku Akun'!$H$5,OR(C3047='Buku Akun'!$C$4,AND(D3047="Pindah",E3047='Buku Akun'!$C$4))),B3047+IF(AND(I3047="Selisih bunga",DAY(B3047)=1),0,0.01)+ROW()/10000000,"")</f>
        <v/>
      </c>
    </row>
    <row r="3048" outlineLevel="1" ht="15" customHeight="1" s="94">
      <c r="A3048" s="123">
        <f>IF(B3048="","",ROW()-15)</f>
        <v/>
      </c>
      <c r="B3048" s="124" t="n"/>
      <c r="C3048" s="123" t="n"/>
      <c r="D3048" s="123" t="n"/>
      <c r="E3048" s="123" t="n"/>
      <c r="F3048" s="125" t="n"/>
      <c r="G3048" s="123" t="n"/>
      <c r="H3048" s="123" t="n"/>
      <c r="I3048" s="123" t="n"/>
      <c r="J3048" s="123" t="n"/>
      <c r="K3048" s="123" t="n"/>
      <c r="L3048" s="123" t="n"/>
      <c r="M3048" s="123">
        <f>IF(AND(B3048&lt;&gt;"",OR($C$4="",ISNUMBER(SEARCH($C$4,C3048&amp;" "&amp;E3048&amp;" "&amp;G3048&amp;" "&amp;H3048&amp;" "&amp;I3048&amp;" "&amp;J3048&amp;" "&amp;K3048&amp;" "&amp;L3048))),OR($C$5="Semua",$C$5="",G3048=$C$5),OR($C$6="Semua",$C$6="",H3048=$C$6,H3048="Pengeluaran "&amp;$C$6,AND($C$6="Uang Kos Mama",H3048="Pengeluaran Uang Kos")),OR($C$7="Semua",$C$7="",I3048=$C$7),OR($C$8="Semua",$C$8="",C3048=$C$8,E3048=$C$8),OR($C$9="Semua",$C$9="",D3048=$C$9),OR($C$10="",B3048&gt;=$C$10),OR($C$11="",B3048&lt;=$C$11),OR($C$12&lt;&gt;"Ya",K3048&lt;&gt;""),OR($C$13="Semua",$C$13="",L3048=$C$13)),"✓","")</f>
        <v/>
      </c>
      <c r="N3048" s="93">
        <f>N(N3047)+IF(M3048="✓",1,0)</f>
        <v/>
      </c>
      <c r="O3048" s="93">
        <f>N(O3047)+IF(AND(B3048&lt;&gt;"",B3048&gt;='Uang Riba'!$H$30,B3048&lt;='Uang Riba'!$I$30,OR(H3048="Dana riba",H3048="Pinjam uang riba",I3048="Pinjam dari uang riba",I3048="Ganti uang riba",I3048="Kelebihan ganti dikembalikan",AND(C3048="Kantong Uang Riba",G3048="Pengeluaran"))),1,0)</f>
        <v/>
      </c>
      <c r="X3048" s="93">
        <f>IF(AND(B3048&lt;&gt;"",B3048&gt;='Buku Akun'!$H$4,B3048&lt;='Buku Akun'!$H$5,OR(C3048='Buku Akun'!$C$4,AND(D3048="Pindah",E3048='Buku Akun'!$C$4))),B3048+IF(AND(I3048="Selisih bunga",DAY(B3048)=1),0,0.01)+ROW()/10000000,"")</f>
        <v/>
      </c>
    </row>
    <row r="3049" outlineLevel="1" ht="15" customHeight="1" s="94">
      <c r="A3049" s="123">
        <f>IF(B3049="","",ROW()-15)</f>
        <v/>
      </c>
      <c r="B3049" s="124" t="n"/>
      <c r="C3049" s="123" t="n"/>
      <c r="D3049" s="123" t="n"/>
      <c r="E3049" s="123" t="n"/>
      <c r="F3049" s="125" t="n"/>
      <c r="G3049" s="123" t="n"/>
      <c r="H3049" s="123" t="n"/>
      <c r="I3049" s="123" t="n"/>
      <c r="J3049" s="123" t="n"/>
      <c r="K3049" s="123" t="n"/>
      <c r="L3049" s="123" t="n"/>
      <c r="M3049" s="123">
        <f>IF(AND(B3049&lt;&gt;"",OR($C$4="",ISNUMBER(SEARCH($C$4,C3049&amp;" "&amp;E3049&amp;" "&amp;G3049&amp;" "&amp;H3049&amp;" "&amp;I3049&amp;" "&amp;J3049&amp;" "&amp;K3049&amp;" "&amp;L3049))),OR($C$5="Semua",$C$5="",G3049=$C$5),OR($C$6="Semua",$C$6="",H3049=$C$6,H3049="Pengeluaran "&amp;$C$6,AND($C$6="Uang Kos Mama",H3049="Pengeluaran Uang Kos")),OR($C$7="Semua",$C$7="",I3049=$C$7),OR($C$8="Semua",$C$8="",C3049=$C$8,E3049=$C$8),OR($C$9="Semua",$C$9="",D3049=$C$9),OR($C$10="",B3049&gt;=$C$10),OR($C$11="",B3049&lt;=$C$11),OR($C$12&lt;&gt;"Ya",K3049&lt;&gt;""),OR($C$13="Semua",$C$13="",L3049=$C$13)),"✓","")</f>
        <v/>
      </c>
      <c r="N3049" s="93">
        <f>N(N3048)+IF(M3049="✓",1,0)</f>
        <v/>
      </c>
      <c r="O3049" s="93">
        <f>N(O3048)+IF(AND(B3049&lt;&gt;"",B3049&gt;='Uang Riba'!$H$30,B3049&lt;='Uang Riba'!$I$30,OR(H3049="Dana riba",H3049="Pinjam uang riba",I3049="Pinjam dari uang riba",I3049="Ganti uang riba",I3049="Kelebihan ganti dikembalikan",AND(C3049="Kantong Uang Riba",G3049="Pengeluaran"))),1,0)</f>
        <v/>
      </c>
      <c r="X3049" s="93">
        <f>IF(AND(B3049&lt;&gt;"",B3049&gt;='Buku Akun'!$H$4,B3049&lt;='Buku Akun'!$H$5,OR(C3049='Buku Akun'!$C$4,AND(D3049="Pindah",E3049='Buku Akun'!$C$4))),B3049+IF(AND(I3049="Selisih bunga",DAY(B3049)=1),0,0.01)+ROW()/10000000,"")</f>
        <v/>
      </c>
    </row>
    <row r="3050" outlineLevel="1" ht="15" customHeight="1" s="94">
      <c r="A3050" s="123">
        <f>IF(B3050="","",ROW()-15)</f>
        <v/>
      </c>
      <c r="B3050" s="124" t="n"/>
      <c r="C3050" s="123" t="n"/>
      <c r="D3050" s="123" t="n"/>
      <c r="E3050" s="123" t="n"/>
      <c r="F3050" s="125" t="n"/>
      <c r="G3050" s="123" t="n"/>
      <c r="H3050" s="123" t="n"/>
      <c r="I3050" s="123" t="n"/>
      <c r="J3050" s="123" t="n"/>
      <c r="K3050" s="123" t="n"/>
      <c r="L3050" s="123" t="n"/>
      <c r="M3050" s="123">
        <f>IF(AND(B3050&lt;&gt;"",OR($C$4="",ISNUMBER(SEARCH($C$4,C3050&amp;" "&amp;E3050&amp;" "&amp;G3050&amp;" "&amp;H3050&amp;" "&amp;I3050&amp;" "&amp;J3050&amp;" "&amp;K3050&amp;" "&amp;L3050))),OR($C$5="Semua",$C$5="",G3050=$C$5),OR($C$6="Semua",$C$6="",H3050=$C$6,H3050="Pengeluaran "&amp;$C$6,AND($C$6="Uang Kos Mama",H3050="Pengeluaran Uang Kos")),OR($C$7="Semua",$C$7="",I3050=$C$7),OR($C$8="Semua",$C$8="",C3050=$C$8,E3050=$C$8),OR($C$9="Semua",$C$9="",D3050=$C$9),OR($C$10="",B3050&gt;=$C$10),OR($C$11="",B3050&lt;=$C$11),OR($C$12&lt;&gt;"Ya",K3050&lt;&gt;""),OR($C$13="Semua",$C$13="",L3050=$C$13)),"✓","")</f>
        <v/>
      </c>
      <c r="N3050" s="93">
        <f>N(N3049)+IF(M3050="✓",1,0)</f>
        <v/>
      </c>
      <c r="O3050" s="93">
        <f>N(O3049)+IF(AND(B3050&lt;&gt;"",B3050&gt;='Uang Riba'!$H$30,B3050&lt;='Uang Riba'!$I$30,OR(H3050="Dana riba",H3050="Pinjam uang riba",I3050="Pinjam dari uang riba",I3050="Ganti uang riba",I3050="Kelebihan ganti dikembalikan",AND(C3050="Kantong Uang Riba",G3050="Pengeluaran"))),1,0)</f>
        <v/>
      </c>
      <c r="X3050" s="93">
        <f>IF(AND(B3050&lt;&gt;"",B3050&gt;='Buku Akun'!$H$4,B3050&lt;='Buku Akun'!$H$5,OR(C3050='Buku Akun'!$C$4,AND(D3050="Pindah",E3050='Buku Akun'!$C$4))),B3050+IF(AND(I3050="Selisih bunga",DAY(B3050)=1),0,0.01)+ROW()/10000000,"")</f>
        <v/>
      </c>
    </row>
    <row r="3051" outlineLevel="1" ht="15" customHeight="1" s="94">
      <c r="A3051" s="123">
        <f>IF(B3051="","",ROW()-15)</f>
        <v/>
      </c>
      <c r="B3051" s="124" t="n"/>
      <c r="C3051" s="123" t="n"/>
      <c r="D3051" s="123" t="n"/>
      <c r="E3051" s="123" t="n"/>
      <c r="F3051" s="125" t="n"/>
      <c r="G3051" s="123" t="n"/>
      <c r="H3051" s="123" t="n"/>
      <c r="I3051" s="123" t="n"/>
      <c r="J3051" s="123" t="n"/>
      <c r="K3051" s="123" t="n"/>
      <c r="L3051" s="123" t="n"/>
      <c r="M3051" s="123">
        <f>IF(AND(B3051&lt;&gt;"",OR($C$4="",ISNUMBER(SEARCH($C$4,C3051&amp;" "&amp;E3051&amp;" "&amp;G3051&amp;" "&amp;H3051&amp;" "&amp;I3051&amp;" "&amp;J3051&amp;" "&amp;K3051&amp;" "&amp;L3051))),OR($C$5="Semua",$C$5="",G3051=$C$5),OR($C$6="Semua",$C$6="",H3051=$C$6,H3051="Pengeluaran "&amp;$C$6,AND($C$6="Uang Kos Mama",H3051="Pengeluaran Uang Kos")),OR($C$7="Semua",$C$7="",I3051=$C$7),OR($C$8="Semua",$C$8="",C3051=$C$8,E3051=$C$8),OR($C$9="Semua",$C$9="",D3051=$C$9),OR($C$10="",B3051&gt;=$C$10),OR($C$11="",B3051&lt;=$C$11),OR($C$12&lt;&gt;"Ya",K3051&lt;&gt;""),OR($C$13="Semua",$C$13="",L3051=$C$13)),"✓","")</f>
        <v/>
      </c>
      <c r="N3051" s="93">
        <f>N(N3050)+IF(M3051="✓",1,0)</f>
        <v/>
      </c>
      <c r="O3051" s="93">
        <f>N(O3050)+IF(AND(B3051&lt;&gt;"",B3051&gt;='Uang Riba'!$H$30,B3051&lt;='Uang Riba'!$I$30,OR(H3051="Dana riba",H3051="Pinjam uang riba",I3051="Pinjam dari uang riba",I3051="Ganti uang riba",I3051="Kelebihan ganti dikembalikan",AND(C3051="Kantong Uang Riba",G3051="Pengeluaran"))),1,0)</f>
        <v/>
      </c>
      <c r="X3051" s="93">
        <f>IF(AND(B3051&lt;&gt;"",B3051&gt;='Buku Akun'!$H$4,B3051&lt;='Buku Akun'!$H$5,OR(C3051='Buku Akun'!$C$4,AND(D3051="Pindah",E3051='Buku Akun'!$C$4))),B3051+IF(AND(I3051="Selisih bunga",DAY(B3051)=1),0,0.01)+ROW()/10000000,"")</f>
        <v/>
      </c>
    </row>
    <row r="3052" outlineLevel="1" ht="15" customHeight="1" s="94">
      <c r="A3052" s="123">
        <f>IF(B3052="","",ROW()-15)</f>
        <v/>
      </c>
      <c r="B3052" s="124" t="n"/>
      <c r="C3052" s="123" t="n"/>
      <c r="D3052" s="123" t="n"/>
      <c r="E3052" s="123" t="n"/>
      <c r="F3052" s="125" t="n"/>
      <c r="G3052" s="123" t="n"/>
      <c r="H3052" s="123" t="n"/>
      <c r="I3052" s="123" t="n"/>
      <c r="J3052" s="123" t="n"/>
      <c r="K3052" s="123" t="n"/>
      <c r="L3052" s="123" t="n"/>
      <c r="M3052" s="123">
        <f>IF(AND(B3052&lt;&gt;"",OR($C$4="",ISNUMBER(SEARCH($C$4,C3052&amp;" "&amp;E3052&amp;" "&amp;G3052&amp;" "&amp;H3052&amp;" "&amp;I3052&amp;" "&amp;J3052&amp;" "&amp;K3052&amp;" "&amp;L3052))),OR($C$5="Semua",$C$5="",G3052=$C$5),OR($C$6="Semua",$C$6="",H3052=$C$6,H3052="Pengeluaran "&amp;$C$6,AND($C$6="Uang Kos Mama",H3052="Pengeluaran Uang Kos")),OR($C$7="Semua",$C$7="",I3052=$C$7),OR($C$8="Semua",$C$8="",C3052=$C$8,E3052=$C$8),OR($C$9="Semua",$C$9="",D3052=$C$9),OR($C$10="",B3052&gt;=$C$10),OR($C$11="",B3052&lt;=$C$11),OR($C$12&lt;&gt;"Ya",K3052&lt;&gt;""),OR($C$13="Semua",$C$13="",L3052=$C$13)),"✓","")</f>
        <v/>
      </c>
      <c r="N3052" s="93">
        <f>N(N3051)+IF(M3052="✓",1,0)</f>
        <v/>
      </c>
      <c r="O3052" s="93">
        <f>N(O3051)+IF(AND(B3052&lt;&gt;"",B3052&gt;='Uang Riba'!$H$30,B3052&lt;='Uang Riba'!$I$30,OR(H3052="Dana riba",H3052="Pinjam uang riba",I3052="Pinjam dari uang riba",I3052="Ganti uang riba",I3052="Kelebihan ganti dikembalikan",AND(C3052="Kantong Uang Riba",G3052="Pengeluaran"))),1,0)</f>
        <v/>
      </c>
      <c r="X3052" s="93">
        <f>IF(AND(B3052&lt;&gt;"",B3052&gt;='Buku Akun'!$H$4,B3052&lt;='Buku Akun'!$H$5,OR(C3052='Buku Akun'!$C$4,AND(D3052="Pindah",E3052='Buku Akun'!$C$4))),B3052+IF(AND(I3052="Selisih bunga",DAY(B3052)=1),0,0.01)+ROW()/10000000,"")</f>
        <v/>
      </c>
    </row>
    <row r="3053" outlineLevel="1" ht="15" customHeight="1" s="94">
      <c r="A3053" s="123">
        <f>IF(B3053="","",ROW()-15)</f>
        <v/>
      </c>
      <c r="B3053" s="124" t="n"/>
      <c r="C3053" s="123" t="n"/>
      <c r="D3053" s="123" t="n"/>
      <c r="E3053" s="123" t="n"/>
      <c r="F3053" s="125" t="n"/>
      <c r="G3053" s="123" t="n"/>
      <c r="H3053" s="123" t="n"/>
      <c r="I3053" s="123" t="n"/>
      <c r="J3053" s="123" t="n"/>
      <c r="K3053" s="123" t="n"/>
      <c r="L3053" s="123" t="n"/>
      <c r="M3053" s="123">
        <f>IF(AND(B3053&lt;&gt;"",OR($C$4="",ISNUMBER(SEARCH($C$4,C3053&amp;" "&amp;E3053&amp;" "&amp;G3053&amp;" "&amp;H3053&amp;" "&amp;I3053&amp;" "&amp;J3053&amp;" "&amp;K3053&amp;" "&amp;L3053))),OR($C$5="Semua",$C$5="",G3053=$C$5),OR($C$6="Semua",$C$6="",H3053=$C$6,H3053="Pengeluaran "&amp;$C$6,AND($C$6="Uang Kos Mama",H3053="Pengeluaran Uang Kos")),OR($C$7="Semua",$C$7="",I3053=$C$7),OR($C$8="Semua",$C$8="",C3053=$C$8,E3053=$C$8),OR($C$9="Semua",$C$9="",D3053=$C$9),OR($C$10="",B3053&gt;=$C$10),OR($C$11="",B3053&lt;=$C$11),OR($C$12&lt;&gt;"Ya",K3053&lt;&gt;""),OR($C$13="Semua",$C$13="",L3053=$C$13)),"✓","")</f>
        <v/>
      </c>
      <c r="N3053" s="93">
        <f>N(N3052)+IF(M3053="✓",1,0)</f>
        <v/>
      </c>
      <c r="O3053" s="93">
        <f>N(O3052)+IF(AND(B3053&lt;&gt;"",B3053&gt;='Uang Riba'!$H$30,B3053&lt;='Uang Riba'!$I$30,OR(H3053="Dana riba",H3053="Pinjam uang riba",I3053="Pinjam dari uang riba",I3053="Ganti uang riba",I3053="Kelebihan ganti dikembalikan",AND(C3053="Kantong Uang Riba",G3053="Pengeluaran"))),1,0)</f>
        <v/>
      </c>
      <c r="X3053" s="93">
        <f>IF(AND(B3053&lt;&gt;"",B3053&gt;='Buku Akun'!$H$4,B3053&lt;='Buku Akun'!$H$5,OR(C3053='Buku Akun'!$C$4,AND(D3053="Pindah",E3053='Buku Akun'!$C$4))),B3053+IF(AND(I3053="Selisih bunga",DAY(B3053)=1),0,0.01)+ROW()/10000000,"")</f>
        <v/>
      </c>
    </row>
    <row r="3054" outlineLevel="1" ht="15" customHeight="1" s="94">
      <c r="A3054" s="123">
        <f>IF(B3054="","",ROW()-15)</f>
        <v/>
      </c>
      <c r="B3054" s="124" t="n"/>
      <c r="C3054" s="123" t="n"/>
      <c r="D3054" s="123" t="n"/>
      <c r="E3054" s="123" t="n"/>
      <c r="F3054" s="125" t="n"/>
      <c r="G3054" s="123" t="n"/>
      <c r="H3054" s="123" t="n"/>
      <c r="I3054" s="123" t="n"/>
      <c r="J3054" s="123" t="n"/>
      <c r="K3054" s="123" t="n"/>
      <c r="L3054" s="123" t="n"/>
      <c r="M3054" s="123">
        <f>IF(AND(B3054&lt;&gt;"",OR($C$4="",ISNUMBER(SEARCH($C$4,C3054&amp;" "&amp;E3054&amp;" "&amp;G3054&amp;" "&amp;H3054&amp;" "&amp;I3054&amp;" "&amp;J3054&amp;" "&amp;K3054&amp;" "&amp;L3054))),OR($C$5="Semua",$C$5="",G3054=$C$5),OR($C$6="Semua",$C$6="",H3054=$C$6,H3054="Pengeluaran "&amp;$C$6,AND($C$6="Uang Kos Mama",H3054="Pengeluaran Uang Kos")),OR($C$7="Semua",$C$7="",I3054=$C$7),OR($C$8="Semua",$C$8="",C3054=$C$8,E3054=$C$8),OR($C$9="Semua",$C$9="",D3054=$C$9),OR($C$10="",B3054&gt;=$C$10),OR($C$11="",B3054&lt;=$C$11),OR($C$12&lt;&gt;"Ya",K3054&lt;&gt;""),OR($C$13="Semua",$C$13="",L3054=$C$13)),"✓","")</f>
        <v/>
      </c>
      <c r="N3054" s="93">
        <f>N(N3053)+IF(M3054="✓",1,0)</f>
        <v/>
      </c>
      <c r="O3054" s="93">
        <f>N(O3053)+IF(AND(B3054&lt;&gt;"",B3054&gt;='Uang Riba'!$H$30,B3054&lt;='Uang Riba'!$I$30,OR(H3054="Dana riba",H3054="Pinjam uang riba",I3054="Pinjam dari uang riba",I3054="Ganti uang riba",I3054="Kelebihan ganti dikembalikan",AND(C3054="Kantong Uang Riba",G3054="Pengeluaran"))),1,0)</f>
        <v/>
      </c>
      <c r="X3054" s="93">
        <f>IF(AND(B3054&lt;&gt;"",B3054&gt;='Buku Akun'!$H$4,B3054&lt;='Buku Akun'!$H$5,OR(C3054='Buku Akun'!$C$4,AND(D3054="Pindah",E3054='Buku Akun'!$C$4))),B3054+IF(AND(I3054="Selisih bunga",DAY(B3054)=1),0,0.01)+ROW()/10000000,"")</f>
        <v/>
      </c>
    </row>
    <row r="3055" outlineLevel="1" ht="15" customHeight="1" s="94">
      <c r="A3055" s="123">
        <f>IF(B3055="","",ROW()-15)</f>
        <v/>
      </c>
      <c r="B3055" s="124" t="n"/>
      <c r="C3055" s="123" t="n"/>
      <c r="D3055" s="123" t="n"/>
      <c r="E3055" s="123" t="n"/>
      <c r="F3055" s="125" t="n"/>
      <c r="G3055" s="123" t="n"/>
      <c r="H3055" s="123" t="n"/>
      <c r="I3055" s="123" t="n"/>
      <c r="J3055" s="123" t="n"/>
      <c r="K3055" s="123" t="n"/>
      <c r="L3055" s="123" t="n"/>
      <c r="M3055" s="123">
        <f>IF(AND(B3055&lt;&gt;"",OR($C$4="",ISNUMBER(SEARCH($C$4,C3055&amp;" "&amp;E3055&amp;" "&amp;G3055&amp;" "&amp;H3055&amp;" "&amp;I3055&amp;" "&amp;J3055&amp;" "&amp;K3055&amp;" "&amp;L3055))),OR($C$5="Semua",$C$5="",G3055=$C$5),OR($C$6="Semua",$C$6="",H3055=$C$6,H3055="Pengeluaran "&amp;$C$6,AND($C$6="Uang Kos Mama",H3055="Pengeluaran Uang Kos")),OR($C$7="Semua",$C$7="",I3055=$C$7),OR($C$8="Semua",$C$8="",C3055=$C$8,E3055=$C$8),OR($C$9="Semua",$C$9="",D3055=$C$9),OR($C$10="",B3055&gt;=$C$10),OR($C$11="",B3055&lt;=$C$11),OR($C$12&lt;&gt;"Ya",K3055&lt;&gt;""),OR($C$13="Semua",$C$13="",L3055=$C$13)),"✓","")</f>
        <v/>
      </c>
      <c r="N3055" s="93">
        <f>N(N3054)+IF(M3055="✓",1,0)</f>
        <v/>
      </c>
      <c r="O3055" s="93">
        <f>N(O3054)+IF(AND(B3055&lt;&gt;"",B3055&gt;='Uang Riba'!$H$30,B3055&lt;='Uang Riba'!$I$30,OR(H3055="Dana riba",H3055="Pinjam uang riba",I3055="Pinjam dari uang riba",I3055="Ganti uang riba",I3055="Kelebihan ganti dikembalikan",AND(C3055="Kantong Uang Riba",G3055="Pengeluaran"))),1,0)</f>
        <v/>
      </c>
      <c r="X3055" s="93">
        <f>IF(AND(B3055&lt;&gt;"",B3055&gt;='Buku Akun'!$H$4,B3055&lt;='Buku Akun'!$H$5,OR(C3055='Buku Akun'!$C$4,AND(D3055="Pindah",E3055='Buku Akun'!$C$4))),B3055+IF(AND(I3055="Selisih bunga",DAY(B3055)=1),0,0.01)+ROW()/10000000,"")</f>
        <v/>
      </c>
    </row>
    <row r="3056" outlineLevel="1" ht="15" customHeight="1" s="94">
      <c r="A3056" s="123">
        <f>IF(B3056="","",ROW()-15)</f>
        <v/>
      </c>
      <c r="B3056" s="124" t="n"/>
      <c r="C3056" s="123" t="n"/>
      <c r="D3056" s="123" t="n"/>
      <c r="E3056" s="123" t="n"/>
      <c r="F3056" s="125" t="n"/>
      <c r="G3056" s="123" t="n"/>
      <c r="H3056" s="123" t="n"/>
      <c r="I3056" s="123" t="n"/>
      <c r="J3056" s="123" t="n"/>
      <c r="K3056" s="123" t="n"/>
      <c r="L3056" s="123" t="n"/>
      <c r="M3056" s="123">
        <f>IF(AND(B3056&lt;&gt;"",OR($C$4="",ISNUMBER(SEARCH($C$4,C3056&amp;" "&amp;E3056&amp;" "&amp;G3056&amp;" "&amp;H3056&amp;" "&amp;I3056&amp;" "&amp;J3056&amp;" "&amp;K3056&amp;" "&amp;L3056))),OR($C$5="Semua",$C$5="",G3056=$C$5),OR($C$6="Semua",$C$6="",H3056=$C$6,H3056="Pengeluaran "&amp;$C$6,AND($C$6="Uang Kos Mama",H3056="Pengeluaran Uang Kos")),OR($C$7="Semua",$C$7="",I3056=$C$7),OR($C$8="Semua",$C$8="",C3056=$C$8,E3056=$C$8),OR($C$9="Semua",$C$9="",D3056=$C$9),OR($C$10="",B3056&gt;=$C$10),OR($C$11="",B3056&lt;=$C$11),OR($C$12&lt;&gt;"Ya",K3056&lt;&gt;""),OR($C$13="Semua",$C$13="",L3056=$C$13)),"✓","")</f>
        <v/>
      </c>
      <c r="N3056" s="93">
        <f>N(N3055)+IF(M3056="✓",1,0)</f>
        <v/>
      </c>
      <c r="O3056" s="93">
        <f>N(O3055)+IF(AND(B3056&lt;&gt;"",B3056&gt;='Uang Riba'!$H$30,B3056&lt;='Uang Riba'!$I$30,OR(H3056="Dana riba",H3056="Pinjam uang riba",I3056="Pinjam dari uang riba",I3056="Ganti uang riba",I3056="Kelebihan ganti dikembalikan",AND(C3056="Kantong Uang Riba",G3056="Pengeluaran"))),1,0)</f>
        <v/>
      </c>
      <c r="X3056" s="93">
        <f>IF(AND(B3056&lt;&gt;"",B3056&gt;='Buku Akun'!$H$4,B3056&lt;='Buku Akun'!$H$5,OR(C3056='Buku Akun'!$C$4,AND(D3056="Pindah",E3056='Buku Akun'!$C$4))),B3056+IF(AND(I3056="Selisih bunga",DAY(B3056)=1),0,0.01)+ROW()/10000000,"")</f>
        <v/>
      </c>
    </row>
    <row r="3057" outlineLevel="1" ht="15" customHeight="1" s="94">
      <c r="A3057" s="123">
        <f>IF(B3057="","",ROW()-15)</f>
        <v/>
      </c>
      <c r="B3057" s="124" t="n"/>
      <c r="C3057" s="123" t="n"/>
      <c r="D3057" s="123" t="n"/>
      <c r="E3057" s="123" t="n"/>
      <c r="F3057" s="125" t="n"/>
      <c r="G3057" s="123" t="n"/>
      <c r="H3057" s="123" t="n"/>
      <c r="I3057" s="123" t="n"/>
      <c r="J3057" s="123" t="n"/>
      <c r="K3057" s="123" t="n"/>
      <c r="L3057" s="123" t="n"/>
      <c r="M3057" s="123">
        <f>IF(AND(B3057&lt;&gt;"",OR($C$4="",ISNUMBER(SEARCH($C$4,C3057&amp;" "&amp;E3057&amp;" "&amp;G3057&amp;" "&amp;H3057&amp;" "&amp;I3057&amp;" "&amp;J3057&amp;" "&amp;K3057&amp;" "&amp;L3057))),OR($C$5="Semua",$C$5="",G3057=$C$5),OR($C$6="Semua",$C$6="",H3057=$C$6,H3057="Pengeluaran "&amp;$C$6,AND($C$6="Uang Kos Mama",H3057="Pengeluaran Uang Kos")),OR($C$7="Semua",$C$7="",I3057=$C$7),OR($C$8="Semua",$C$8="",C3057=$C$8,E3057=$C$8),OR($C$9="Semua",$C$9="",D3057=$C$9),OR($C$10="",B3057&gt;=$C$10),OR($C$11="",B3057&lt;=$C$11),OR($C$12&lt;&gt;"Ya",K3057&lt;&gt;""),OR($C$13="Semua",$C$13="",L3057=$C$13)),"✓","")</f>
        <v/>
      </c>
      <c r="N3057" s="93">
        <f>N(N3056)+IF(M3057="✓",1,0)</f>
        <v/>
      </c>
      <c r="O3057" s="93">
        <f>N(O3056)+IF(AND(B3057&lt;&gt;"",B3057&gt;='Uang Riba'!$H$30,B3057&lt;='Uang Riba'!$I$30,OR(H3057="Dana riba",H3057="Pinjam uang riba",I3057="Pinjam dari uang riba",I3057="Ganti uang riba",I3057="Kelebihan ganti dikembalikan",AND(C3057="Kantong Uang Riba",G3057="Pengeluaran"))),1,0)</f>
        <v/>
      </c>
      <c r="X3057" s="93">
        <f>IF(AND(B3057&lt;&gt;"",B3057&gt;='Buku Akun'!$H$4,B3057&lt;='Buku Akun'!$H$5,OR(C3057='Buku Akun'!$C$4,AND(D3057="Pindah",E3057='Buku Akun'!$C$4))),B3057+IF(AND(I3057="Selisih bunga",DAY(B3057)=1),0,0.01)+ROW()/10000000,"")</f>
        <v/>
      </c>
    </row>
    <row r="3058" outlineLevel="1" ht="15" customHeight="1" s="94">
      <c r="A3058" s="123">
        <f>IF(B3058="","",ROW()-15)</f>
        <v/>
      </c>
      <c r="B3058" s="124" t="n"/>
      <c r="C3058" s="123" t="n"/>
      <c r="D3058" s="123" t="n"/>
      <c r="E3058" s="123" t="n"/>
      <c r="F3058" s="125" t="n"/>
      <c r="G3058" s="123" t="n"/>
      <c r="H3058" s="123" t="n"/>
      <c r="I3058" s="123" t="n"/>
      <c r="J3058" s="123" t="n"/>
      <c r="K3058" s="123" t="n"/>
      <c r="L3058" s="123" t="n"/>
      <c r="M3058" s="123">
        <f>IF(AND(B3058&lt;&gt;"",OR($C$4="",ISNUMBER(SEARCH($C$4,C3058&amp;" "&amp;E3058&amp;" "&amp;G3058&amp;" "&amp;H3058&amp;" "&amp;I3058&amp;" "&amp;J3058&amp;" "&amp;K3058&amp;" "&amp;L3058))),OR($C$5="Semua",$C$5="",G3058=$C$5),OR($C$6="Semua",$C$6="",H3058=$C$6,H3058="Pengeluaran "&amp;$C$6,AND($C$6="Uang Kos Mama",H3058="Pengeluaran Uang Kos")),OR($C$7="Semua",$C$7="",I3058=$C$7),OR($C$8="Semua",$C$8="",C3058=$C$8,E3058=$C$8),OR($C$9="Semua",$C$9="",D3058=$C$9),OR($C$10="",B3058&gt;=$C$10),OR($C$11="",B3058&lt;=$C$11),OR($C$12&lt;&gt;"Ya",K3058&lt;&gt;""),OR($C$13="Semua",$C$13="",L3058=$C$13)),"✓","")</f>
        <v/>
      </c>
      <c r="N3058" s="93">
        <f>N(N3057)+IF(M3058="✓",1,0)</f>
        <v/>
      </c>
      <c r="O3058" s="93">
        <f>N(O3057)+IF(AND(B3058&lt;&gt;"",B3058&gt;='Uang Riba'!$H$30,B3058&lt;='Uang Riba'!$I$30,OR(H3058="Dana riba",H3058="Pinjam uang riba",I3058="Pinjam dari uang riba",I3058="Ganti uang riba",I3058="Kelebihan ganti dikembalikan",AND(C3058="Kantong Uang Riba",G3058="Pengeluaran"))),1,0)</f>
        <v/>
      </c>
      <c r="X3058" s="93">
        <f>IF(AND(B3058&lt;&gt;"",B3058&gt;='Buku Akun'!$H$4,B3058&lt;='Buku Akun'!$H$5,OR(C3058='Buku Akun'!$C$4,AND(D3058="Pindah",E3058='Buku Akun'!$C$4))),B3058+IF(AND(I3058="Selisih bunga",DAY(B3058)=1),0,0.01)+ROW()/10000000,"")</f>
        <v/>
      </c>
    </row>
    <row r="3059" outlineLevel="1" ht="15" customHeight="1" s="94">
      <c r="A3059" s="123">
        <f>IF(B3059="","",ROW()-15)</f>
        <v/>
      </c>
      <c r="B3059" s="124" t="n"/>
      <c r="C3059" s="123" t="n"/>
      <c r="D3059" s="123" t="n"/>
      <c r="E3059" s="123" t="n"/>
      <c r="F3059" s="125" t="n"/>
      <c r="G3059" s="123" t="n"/>
      <c r="H3059" s="123" t="n"/>
      <c r="I3059" s="123" t="n"/>
      <c r="J3059" s="123" t="n"/>
      <c r="K3059" s="123" t="n"/>
      <c r="L3059" s="123" t="n"/>
      <c r="M3059" s="123">
        <f>IF(AND(B3059&lt;&gt;"",OR($C$4="",ISNUMBER(SEARCH($C$4,C3059&amp;" "&amp;E3059&amp;" "&amp;G3059&amp;" "&amp;H3059&amp;" "&amp;I3059&amp;" "&amp;J3059&amp;" "&amp;K3059&amp;" "&amp;L3059))),OR($C$5="Semua",$C$5="",G3059=$C$5),OR($C$6="Semua",$C$6="",H3059=$C$6,H3059="Pengeluaran "&amp;$C$6,AND($C$6="Uang Kos Mama",H3059="Pengeluaran Uang Kos")),OR($C$7="Semua",$C$7="",I3059=$C$7),OR($C$8="Semua",$C$8="",C3059=$C$8,E3059=$C$8),OR($C$9="Semua",$C$9="",D3059=$C$9),OR($C$10="",B3059&gt;=$C$10),OR($C$11="",B3059&lt;=$C$11),OR($C$12&lt;&gt;"Ya",K3059&lt;&gt;""),OR($C$13="Semua",$C$13="",L3059=$C$13)),"✓","")</f>
        <v/>
      </c>
      <c r="N3059" s="93">
        <f>N(N3058)+IF(M3059="✓",1,0)</f>
        <v/>
      </c>
      <c r="O3059" s="93">
        <f>N(O3058)+IF(AND(B3059&lt;&gt;"",B3059&gt;='Uang Riba'!$H$30,B3059&lt;='Uang Riba'!$I$30,OR(H3059="Dana riba",H3059="Pinjam uang riba",I3059="Pinjam dari uang riba",I3059="Ganti uang riba",I3059="Kelebihan ganti dikembalikan",AND(C3059="Kantong Uang Riba",G3059="Pengeluaran"))),1,0)</f>
        <v/>
      </c>
      <c r="X3059" s="93">
        <f>IF(AND(B3059&lt;&gt;"",B3059&gt;='Buku Akun'!$H$4,B3059&lt;='Buku Akun'!$H$5,OR(C3059='Buku Akun'!$C$4,AND(D3059="Pindah",E3059='Buku Akun'!$C$4))),B3059+IF(AND(I3059="Selisih bunga",DAY(B3059)=1),0,0.01)+ROW()/10000000,"")</f>
        <v/>
      </c>
    </row>
    <row r="3060" outlineLevel="1" ht="15" customHeight="1" s="94">
      <c r="A3060" s="123">
        <f>IF(B3060="","",ROW()-15)</f>
        <v/>
      </c>
      <c r="B3060" s="124" t="n"/>
      <c r="C3060" s="123" t="n"/>
      <c r="D3060" s="123" t="n"/>
      <c r="E3060" s="123" t="n"/>
      <c r="F3060" s="125" t="n"/>
      <c r="G3060" s="123" t="n"/>
      <c r="H3060" s="123" t="n"/>
      <c r="I3060" s="123" t="n"/>
      <c r="J3060" s="123" t="n"/>
      <c r="K3060" s="123" t="n"/>
      <c r="L3060" s="123" t="n"/>
      <c r="M3060" s="123">
        <f>IF(AND(B3060&lt;&gt;"",OR($C$4="",ISNUMBER(SEARCH($C$4,C3060&amp;" "&amp;E3060&amp;" "&amp;G3060&amp;" "&amp;H3060&amp;" "&amp;I3060&amp;" "&amp;J3060&amp;" "&amp;K3060&amp;" "&amp;L3060))),OR($C$5="Semua",$C$5="",G3060=$C$5),OR($C$6="Semua",$C$6="",H3060=$C$6,H3060="Pengeluaran "&amp;$C$6,AND($C$6="Uang Kos Mama",H3060="Pengeluaran Uang Kos")),OR($C$7="Semua",$C$7="",I3060=$C$7),OR($C$8="Semua",$C$8="",C3060=$C$8,E3060=$C$8),OR($C$9="Semua",$C$9="",D3060=$C$9),OR($C$10="",B3060&gt;=$C$10),OR($C$11="",B3060&lt;=$C$11),OR($C$12&lt;&gt;"Ya",K3060&lt;&gt;""),OR($C$13="Semua",$C$13="",L3060=$C$13)),"✓","")</f>
        <v/>
      </c>
      <c r="N3060" s="93">
        <f>N(N3059)+IF(M3060="✓",1,0)</f>
        <v/>
      </c>
      <c r="O3060" s="93">
        <f>N(O3059)+IF(AND(B3060&lt;&gt;"",B3060&gt;='Uang Riba'!$H$30,B3060&lt;='Uang Riba'!$I$30,OR(H3060="Dana riba",H3060="Pinjam uang riba",I3060="Pinjam dari uang riba",I3060="Ganti uang riba",I3060="Kelebihan ganti dikembalikan",AND(C3060="Kantong Uang Riba",G3060="Pengeluaran"))),1,0)</f>
        <v/>
      </c>
      <c r="X3060" s="93">
        <f>IF(AND(B3060&lt;&gt;"",B3060&gt;='Buku Akun'!$H$4,B3060&lt;='Buku Akun'!$H$5,OR(C3060='Buku Akun'!$C$4,AND(D3060="Pindah",E3060='Buku Akun'!$C$4))),B3060+IF(AND(I3060="Selisih bunga",DAY(B3060)=1),0,0.01)+ROW()/10000000,"")</f>
        <v/>
      </c>
    </row>
    <row r="3061" outlineLevel="1" ht="15" customHeight="1" s="94">
      <c r="A3061" s="123">
        <f>IF(B3061="","",ROW()-15)</f>
        <v/>
      </c>
      <c r="B3061" s="124" t="n"/>
      <c r="C3061" s="123" t="n"/>
      <c r="D3061" s="123" t="n"/>
      <c r="E3061" s="123" t="n"/>
      <c r="F3061" s="125" t="n"/>
      <c r="G3061" s="123" t="n"/>
      <c r="H3061" s="123" t="n"/>
      <c r="I3061" s="123" t="n"/>
      <c r="J3061" s="123" t="n"/>
      <c r="K3061" s="123" t="n"/>
      <c r="L3061" s="123" t="n"/>
      <c r="M3061" s="123">
        <f>IF(AND(B3061&lt;&gt;"",OR($C$4="",ISNUMBER(SEARCH($C$4,C3061&amp;" "&amp;E3061&amp;" "&amp;G3061&amp;" "&amp;H3061&amp;" "&amp;I3061&amp;" "&amp;J3061&amp;" "&amp;K3061&amp;" "&amp;L3061))),OR($C$5="Semua",$C$5="",G3061=$C$5),OR($C$6="Semua",$C$6="",H3061=$C$6,H3061="Pengeluaran "&amp;$C$6,AND($C$6="Uang Kos Mama",H3061="Pengeluaran Uang Kos")),OR($C$7="Semua",$C$7="",I3061=$C$7),OR($C$8="Semua",$C$8="",C3061=$C$8,E3061=$C$8),OR($C$9="Semua",$C$9="",D3061=$C$9),OR($C$10="",B3061&gt;=$C$10),OR($C$11="",B3061&lt;=$C$11),OR($C$12&lt;&gt;"Ya",K3061&lt;&gt;""),OR($C$13="Semua",$C$13="",L3061=$C$13)),"✓","")</f>
        <v/>
      </c>
      <c r="N3061" s="93">
        <f>N(N3060)+IF(M3061="✓",1,0)</f>
        <v/>
      </c>
      <c r="O3061" s="93">
        <f>N(O3060)+IF(AND(B3061&lt;&gt;"",B3061&gt;='Uang Riba'!$H$30,B3061&lt;='Uang Riba'!$I$30,OR(H3061="Dana riba",H3061="Pinjam uang riba",I3061="Pinjam dari uang riba",I3061="Ganti uang riba",I3061="Kelebihan ganti dikembalikan",AND(C3061="Kantong Uang Riba",G3061="Pengeluaran"))),1,0)</f>
        <v/>
      </c>
      <c r="X3061" s="93">
        <f>IF(AND(B3061&lt;&gt;"",B3061&gt;='Buku Akun'!$H$4,B3061&lt;='Buku Akun'!$H$5,OR(C3061='Buku Akun'!$C$4,AND(D3061="Pindah",E3061='Buku Akun'!$C$4))),B3061+IF(AND(I3061="Selisih bunga",DAY(B3061)=1),0,0.01)+ROW()/10000000,"")</f>
        <v/>
      </c>
    </row>
    <row r="3062" outlineLevel="1" ht="15" customHeight="1" s="94">
      <c r="A3062" s="123">
        <f>IF(B3062="","",ROW()-15)</f>
        <v/>
      </c>
      <c r="B3062" s="124" t="n"/>
      <c r="C3062" s="123" t="n"/>
      <c r="D3062" s="123" t="n"/>
      <c r="E3062" s="123" t="n"/>
      <c r="F3062" s="125" t="n"/>
      <c r="G3062" s="123" t="n"/>
      <c r="H3062" s="123" t="n"/>
      <c r="I3062" s="123" t="n"/>
      <c r="J3062" s="123" t="n"/>
      <c r="K3062" s="123" t="n"/>
      <c r="L3062" s="123" t="n"/>
      <c r="M3062" s="123">
        <f>IF(AND(B3062&lt;&gt;"",OR($C$4="",ISNUMBER(SEARCH($C$4,C3062&amp;" "&amp;E3062&amp;" "&amp;G3062&amp;" "&amp;H3062&amp;" "&amp;I3062&amp;" "&amp;J3062&amp;" "&amp;K3062&amp;" "&amp;L3062))),OR($C$5="Semua",$C$5="",G3062=$C$5),OR($C$6="Semua",$C$6="",H3062=$C$6,H3062="Pengeluaran "&amp;$C$6,AND($C$6="Uang Kos Mama",H3062="Pengeluaran Uang Kos")),OR($C$7="Semua",$C$7="",I3062=$C$7),OR($C$8="Semua",$C$8="",C3062=$C$8,E3062=$C$8),OR($C$9="Semua",$C$9="",D3062=$C$9),OR($C$10="",B3062&gt;=$C$10),OR($C$11="",B3062&lt;=$C$11),OR($C$12&lt;&gt;"Ya",K3062&lt;&gt;""),OR($C$13="Semua",$C$13="",L3062=$C$13)),"✓","")</f>
        <v/>
      </c>
      <c r="N3062" s="93">
        <f>N(N3061)+IF(M3062="✓",1,0)</f>
        <v/>
      </c>
      <c r="O3062" s="93">
        <f>N(O3061)+IF(AND(B3062&lt;&gt;"",B3062&gt;='Uang Riba'!$H$30,B3062&lt;='Uang Riba'!$I$30,OR(H3062="Dana riba",H3062="Pinjam uang riba",I3062="Pinjam dari uang riba",I3062="Ganti uang riba",I3062="Kelebihan ganti dikembalikan",AND(C3062="Kantong Uang Riba",G3062="Pengeluaran"))),1,0)</f>
        <v/>
      </c>
      <c r="X3062" s="93">
        <f>IF(AND(B3062&lt;&gt;"",B3062&gt;='Buku Akun'!$H$4,B3062&lt;='Buku Akun'!$H$5,OR(C3062='Buku Akun'!$C$4,AND(D3062="Pindah",E3062='Buku Akun'!$C$4))),B3062+IF(AND(I3062="Selisih bunga",DAY(B3062)=1),0,0.01)+ROW()/10000000,"")</f>
        <v/>
      </c>
    </row>
    <row r="3063" outlineLevel="1" ht="15" customHeight="1" s="94">
      <c r="A3063" s="123">
        <f>IF(B3063="","",ROW()-15)</f>
        <v/>
      </c>
      <c r="B3063" s="124" t="n"/>
      <c r="C3063" s="123" t="n"/>
      <c r="D3063" s="123" t="n"/>
      <c r="E3063" s="123" t="n"/>
      <c r="F3063" s="125" t="n"/>
      <c r="G3063" s="123" t="n"/>
      <c r="H3063" s="123" t="n"/>
      <c r="I3063" s="123" t="n"/>
      <c r="J3063" s="123" t="n"/>
      <c r="K3063" s="123" t="n"/>
      <c r="L3063" s="123" t="n"/>
      <c r="M3063" s="123">
        <f>IF(AND(B3063&lt;&gt;"",OR($C$4="",ISNUMBER(SEARCH($C$4,C3063&amp;" "&amp;E3063&amp;" "&amp;G3063&amp;" "&amp;H3063&amp;" "&amp;I3063&amp;" "&amp;J3063&amp;" "&amp;K3063&amp;" "&amp;L3063))),OR($C$5="Semua",$C$5="",G3063=$C$5),OR($C$6="Semua",$C$6="",H3063=$C$6,H3063="Pengeluaran "&amp;$C$6,AND($C$6="Uang Kos Mama",H3063="Pengeluaran Uang Kos")),OR($C$7="Semua",$C$7="",I3063=$C$7),OR($C$8="Semua",$C$8="",C3063=$C$8,E3063=$C$8),OR($C$9="Semua",$C$9="",D3063=$C$9),OR($C$10="",B3063&gt;=$C$10),OR($C$11="",B3063&lt;=$C$11),OR($C$12&lt;&gt;"Ya",K3063&lt;&gt;""),OR($C$13="Semua",$C$13="",L3063=$C$13)),"✓","")</f>
        <v/>
      </c>
      <c r="N3063" s="93">
        <f>N(N3062)+IF(M3063="✓",1,0)</f>
        <v/>
      </c>
      <c r="O3063" s="93">
        <f>N(O3062)+IF(AND(B3063&lt;&gt;"",B3063&gt;='Uang Riba'!$H$30,B3063&lt;='Uang Riba'!$I$30,OR(H3063="Dana riba",H3063="Pinjam uang riba",I3063="Pinjam dari uang riba",I3063="Ganti uang riba",I3063="Kelebihan ganti dikembalikan",AND(C3063="Kantong Uang Riba",G3063="Pengeluaran"))),1,0)</f>
        <v/>
      </c>
      <c r="X3063" s="93">
        <f>IF(AND(B3063&lt;&gt;"",B3063&gt;='Buku Akun'!$H$4,B3063&lt;='Buku Akun'!$H$5,OR(C3063='Buku Akun'!$C$4,AND(D3063="Pindah",E3063='Buku Akun'!$C$4))),B3063+IF(AND(I3063="Selisih bunga",DAY(B3063)=1),0,0.01)+ROW()/10000000,"")</f>
        <v/>
      </c>
    </row>
    <row r="3064" outlineLevel="1" ht="15" customHeight="1" s="94">
      <c r="A3064" s="123">
        <f>IF(B3064="","",ROW()-15)</f>
        <v/>
      </c>
      <c r="B3064" s="124" t="n"/>
      <c r="C3064" s="123" t="n"/>
      <c r="D3064" s="123" t="n"/>
      <c r="E3064" s="123" t="n"/>
      <c r="F3064" s="125" t="n"/>
      <c r="G3064" s="123" t="n"/>
      <c r="H3064" s="123" t="n"/>
      <c r="I3064" s="123" t="n"/>
      <c r="J3064" s="123" t="n"/>
      <c r="K3064" s="123" t="n"/>
      <c r="L3064" s="123" t="n"/>
      <c r="M3064" s="123">
        <f>IF(AND(B3064&lt;&gt;"",OR($C$4="",ISNUMBER(SEARCH($C$4,C3064&amp;" "&amp;E3064&amp;" "&amp;G3064&amp;" "&amp;H3064&amp;" "&amp;I3064&amp;" "&amp;J3064&amp;" "&amp;K3064&amp;" "&amp;L3064))),OR($C$5="Semua",$C$5="",G3064=$C$5),OR($C$6="Semua",$C$6="",H3064=$C$6,H3064="Pengeluaran "&amp;$C$6,AND($C$6="Uang Kos Mama",H3064="Pengeluaran Uang Kos")),OR($C$7="Semua",$C$7="",I3064=$C$7),OR($C$8="Semua",$C$8="",C3064=$C$8,E3064=$C$8),OR($C$9="Semua",$C$9="",D3064=$C$9),OR($C$10="",B3064&gt;=$C$10),OR($C$11="",B3064&lt;=$C$11),OR($C$12&lt;&gt;"Ya",K3064&lt;&gt;""),OR($C$13="Semua",$C$13="",L3064=$C$13)),"✓","")</f>
        <v/>
      </c>
      <c r="N3064" s="93">
        <f>N(N3063)+IF(M3064="✓",1,0)</f>
        <v/>
      </c>
      <c r="O3064" s="93">
        <f>N(O3063)+IF(AND(B3064&lt;&gt;"",B3064&gt;='Uang Riba'!$H$30,B3064&lt;='Uang Riba'!$I$30,OR(H3064="Dana riba",H3064="Pinjam uang riba",I3064="Pinjam dari uang riba",I3064="Ganti uang riba",I3064="Kelebihan ganti dikembalikan",AND(C3064="Kantong Uang Riba",G3064="Pengeluaran"))),1,0)</f>
        <v/>
      </c>
      <c r="X3064" s="93">
        <f>IF(AND(B3064&lt;&gt;"",B3064&gt;='Buku Akun'!$H$4,B3064&lt;='Buku Akun'!$H$5,OR(C3064='Buku Akun'!$C$4,AND(D3064="Pindah",E3064='Buku Akun'!$C$4))),B3064+IF(AND(I3064="Selisih bunga",DAY(B3064)=1),0,0.01)+ROW()/10000000,"")</f>
        <v/>
      </c>
    </row>
    <row r="3065" outlineLevel="1" ht="15" customHeight="1" s="94">
      <c r="A3065" s="123">
        <f>IF(B3065="","",ROW()-15)</f>
        <v/>
      </c>
      <c r="B3065" s="124" t="n"/>
      <c r="C3065" s="123" t="n"/>
      <c r="D3065" s="123" t="n"/>
      <c r="E3065" s="123" t="n"/>
      <c r="F3065" s="125" t="n"/>
      <c r="G3065" s="123" t="n"/>
      <c r="H3065" s="123" t="n"/>
      <c r="I3065" s="123" t="n"/>
      <c r="J3065" s="123" t="n"/>
      <c r="K3065" s="123" t="n"/>
      <c r="L3065" s="123" t="n"/>
      <c r="M3065" s="123">
        <f>IF(AND(B3065&lt;&gt;"",OR($C$4="",ISNUMBER(SEARCH($C$4,C3065&amp;" "&amp;E3065&amp;" "&amp;G3065&amp;" "&amp;H3065&amp;" "&amp;I3065&amp;" "&amp;J3065&amp;" "&amp;K3065&amp;" "&amp;L3065))),OR($C$5="Semua",$C$5="",G3065=$C$5),OR($C$6="Semua",$C$6="",H3065=$C$6,H3065="Pengeluaran "&amp;$C$6,AND($C$6="Uang Kos Mama",H3065="Pengeluaran Uang Kos")),OR($C$7="Semua",$C$7="",I3065=$C$7),OR($C$8="Semua",$C$8="",C3065=$C$8,E3065=$C$8),OR($C$9="Semua",$C$9="",D3065=$C$9),OR($C$10="",B3065&gt;=$C$10),OR($C$11="",B3065&lt;=$C$11),OR($C$12&lt;&gt;"Ya",K3065&lt;&gt;""),OR($C$13="Semua",$C$13="",L3065=$C$13)),"✓","")</f>
        <v/>
      </c>
      <c r="N3065" s="93">
        <f>N(N3064)+IF(M3065="✓",1,0)</f>
        <v/>
      </c>
      <c r="O3065" s="93">
        <f>N(O3064)+IF(AND(B3065&lt;&gt;"",B3065&gt;='Uang Riba'!$H$30,B3065&lt;='Uang Riba'!$I$30,OR(H3065="Dana riba",H3065="Pinjam uang riba",I3065="Pinjam dari uang riba",I3065="Ganti uang riba",I3065="Kelebihan ganti dikembalikan",AND(C3065="Kantong Uang Riba",G3065="Pengeluaran"))),1,0)</f>
        <v/>
      </c>
      <c r="X3065" s="93">
        <f>IF(AND(B3065&lt;&gt;"",B3065&gt;='Buku Akun'!$H$4,B3065&lt;='Buku Akun'!$H$5,OR(C3065='Buku Akun'!$C$4,AND(D3065="Pindah",E3065='Buku Akun'!$C$4))),B3065+IF(AND(I3065="Selisih bunga",DAY(B3065)=1),0,0.01)+ROW()/10000000,"")</f>
        <v/>
      </c>
    </row>
    <row r="3066" outlineLevel="1" ht="15" customHeight="1" s="94">
      <c r="A3066" s="123">
        <f>IF(B3066="","",ROW()-15)</f>
        <v/>
      </c>
      <c r="B3066" s="124" t="n"/>
      <c r="C3066" s="123" t="n"/>
      <c r="D3066" s="123" t="n"/>
      <c r="E3066" s="123" t="n"/>
      <c r="F3066" s="125" t="n"/>
      <c r="G3066" s="123" t="n"/>
      <c r="H3066" s="123" t="n"/>
      <c r="I3066" s="123" t="n"/>
      <c r="J3066" s="123" t="n"/>
      <c r="K3066" s="123" t="n"/>
      <c r="L3066" s="123" t="n"/>
      <c r="M3066" s="123">
        <f>IF(AND(B3066&lt;&gt;"",OR($C$4="",ISNUMBER(SEARCH($C$4,C3066&amp;" "&amp;E3066&amp;" "&amp;G3066&amp;" "&amp;H3066&amp;" "&amp;I3066&amp;" "&amp;J3066&amp;" "&amp;K3066&amp;" "&amp;L3066))),OR($C$5="Semua",$C$5="",G3066=$C$5),OR($C$6="Semua",$C$6="",H3066=$C$6,H3066="Pengeluaran "&amp;$C$6,AND($C$6="Uang Kos Mama",H3066="Pengeluaran Uang Kos")),OR($C$7="Semua",$C$7="",I3066=$C$7),OR($C$8="Semua",$C$8="",C3066=$C$8,E3066=$C$8),OR($C$9="Semua",$C$9="",D3066=$C$9),OR($C$10="",B3066&gt;=$C$10),OR($C$11="",B3066&lt;=$C$11),OR($C$12&lt;&gt;"Ya",K3066&lt;&gt;""),OR($C$13="Semua",$C$13="",L3066=$C$13)),"✓","")</f>
        <v/>
      </c>
      <c r="N3066" s="93">
        <f>N(N3065)+IF(M3066="✓",1,0)</f>
        <v/>
      </c>
      <c r="O3066" s="93">
        <f>N(O3065)+IF(AND(B3066&lt;&gt;"",B3066&gt;='Uang Riba'!$H$30,B3066&lt;='Uang Riba'!$I$30,OR(H3066="Dana riba",H3066="Pinjam uang riba",I3066="Pinjam dari uang riba",I3066="Ganti uang riba",I3066="Kelebihan ganti dikembalikan",AND(C3066="Kantong Uang Riba",G3066="Pengeluaran"))),1,0)</f>
        <v/>
      </c>
      <c r="X3066" s="93">
        <f>IF(AND(B3066&lt;&gt;"",B3066&gt;='Buku Akun'!$H$4,B3066&lt;='Buku Akun'!$H$5,OR(C3066='Buku Akun'!$C$4,AND(D3066="Pindah",E3066='Buku Akun'!$C$4))),B3066+IF(AND(I3066="Selisih bunga",DAY(B3066)=1),0,0.01)+ROW()/10000000,"")</f>
        <v/>
      </c>
    </row>
    <row r="3067" outlineLevel="1" ht="15" customHeight="1" s="94">
      <c r="A3067" s="123">
        <f>IF(B3067="","",ROW()-15)</f>
        <v/>
      </c>
      <c r="B3067" s="124" t="n"/>
      <c r="C3067" s="123" t="n"/>
      <c r="D3067" s="123" t="n"/>
      <c r="E3067" s="123" t="n"/>
      <c r="F3067" s="125" t="n"/>
      <c r="G3067" s="123" t="n"/>
      <c r="H3067" s="123" t="n"/>
      <c r="I3067" s="123" t="n"/>
      <c r="J3067" s="123" t="n"/>
      <c r="K3067" s="123" t="n"/>
      <c r="L3067" s="123" t="n"/>
      <c r="M3067" s="123">
        <f>IF(AND(B3067&lt;&gt;"",OR($C$4="",ISNUMBER(SEARCH($C$4,C3067&amp;" "&amp;E3067&amp;" "&amp;G3067&amp;" "&amp;H3067&amp;" "&amp;I3067&amp;" "&amp;J3067&amp;" "&amp;K3067&amp;" "&amp;L3067))),OR($C$5="Semua",$C$5="",G3067=$C$5),OR($C$6="Semua",$C$6="",H3067=$C$6,H3067="Pengeluaran "&amp;$C$6,AND($C$6="Uang Kos Mama",H3067="Pengeluaran Uang Kos")),OR($C$7="Semua",$C$7="",I3067=$C$7),OR($C$8="Semua",$C$8="",C3067=$C$8,E3067=$C$8),OR($C$9="Semua",$C$9="",D3067=$C$9),OR($C$10="",B3067&gt;=$C$10),OR($C$11="",B3067&lt;=$C$11),OR($C$12&lt;&gt;"Ya",K3067&lt;&gt;""),OR($C$13="Semua",$C$13="",L3067=$C$13)),"✓","")</f>
        <v/>
      </c>
      <c r="N3067" s="93">
        <f>N(N3066)+IF(M3067="✓",1,0)</f>
        <v/>
      </c>
      <c r="O3067" s="93">
        <f>N(O3066)+IF(AND(B3067&lt;&gt;"",B3067&gt;='Uang Riba'!$H$30,B3067&lt;='Uang Riba'!$I$30,OR(H3067="Dana riba",H3067="Pinjam uang riba",I3067="Pinjam dari uang riba",I3067="Ganti uang riba",I3067="Kelebihan ganti dikembalikan",AND(C3067="Kantong Uang Riba",G3067="Pengeluaran"))),1,0)</f>
        <v/>
      </c>
      <c r="X3067" s="93">
        <f>IF(AND(B3067&lt;&gt;"",B3067&gt;='Buku Akun'!$H$4,B3067&lt;='Buku Akun'!$H$5,OR(C3067='Buku Akun'!$C$4,AND(D3067="Pindah",E3067='Buku Akun'!$C$4))),B3067+IF(AND(I3067="Selisih bunga",DAY(B3067)=1),0,0.01)+ROW()/10000000,"")</f>
        <v/>
      </c>
    </row>
    <row r="3068" outlineLevel="1" ht="15" customHeight="1" s="94">
      <c r="A3068" s="123">
        <f>IF(B3068="","",ROW()-15)</f>
        <v/>
      </c>
      <c r="B3068" s="124" t="n"/>
      <c r="C3068" s="123" t="n"/>
      <c r="D3068" s="123" t="n"/>
      <c r="E3068" s="123" t="n"/>
      <c r="F3068" s="125" t="n"/>
      <c r="G3068" s="123" t="n"/>
      <c r="H3068" s="123" t="n"/>
      <c r="I3068" s="123" t="n"/>
      <c r="J3068" s="123" t="n"/>
      <c r="K3068" s="123" t="n"/>
      <c r="L3068" s="123" t="n"/>
      <c r="M3068" s="123">
        <f>IF(AND(B3068&lt;&gt;"",OR($C$4="",ISNUMBER(SEARCH($C$4,C3068&amp;" "&amp;E3068&amp;" "&amp;G3068&amp;" "&amp;H3068&amp;" "&amp;I3068&amp;" "&amp;J3068&amp;" "&amp;K3068&amp;" "&amp;L3068))),OR($C$5="Semua",$C$5="",G3068=$C$5),OR($C$6="Semua",$C$6="",H3068=$C$6,H3068="Pengeluaran "&amp;$C$6,AND($C$6="Uang Kos Mama",H3068="Pengeluaran Uang Kos")),OR($C$7="Semua",$C$7="",I3068=$C$7),OR($C$8="Semua",$C$8="",C3068=$C$8,E3068=$C$8),OR($C$9="Semua",$C$9="",D3068=$C$9),OR($C$10="",B3068&gt;=$C$10),OR($C$11="",B3068&lt;=$C$11),OR($C$12&lt;&gt;"Ya",K3068&lt;&gt;""),OR($C$13="Semua",$C$13="",L3068=$C$13)),"✓","")</f>
        <v/>
      </c>
      <c r="N3068" s="93">
        <f>N(N3067)+IF(M3068="✓",1,0)</f>
        <v/>
      </c>
      <c r="O3068" s="93">
        <f>N(O3067)+IF(AND(B3068&lt;&gt;"",B3068&gt;='Uang Riba'!$H$30,B3068&lt;='Uang Riba'!$I$30,OR(H3068="Dana riba",H3068="Pinjam uang riba",I3068="Pinjam dari uang riba",I3068="Ganti uang riba",I3068="Kelebihan ganti dikembalikan",AND(C3068="Kantong Uang Riba",G3068="Pengeluaran"))),1,0)</f>
        <v/>
      </c>
      <c r="X3068" s="93">
        <f>IF(AND(B3068&lt;&gt;"",B3068&gt;='Buku Akun'!$H$4,B3068&lt;='Buku Akun'!$H$5,OR(C3068='Buku Akun'!$C$4,AND(D3068="Pindah",E3068='Buku Akun'!$C$4))),B3068+IF(AND(I3068="Selisih bunga",DAY(B3068)=1),0,0.01)+ROW()/10000000,"")</f>
        <v/>
      </c>
    </row>
    <row r="3069" outlineLevel="1" ht="15" customHeight="1" s="94">
      <c r="A3069" s="123">
        <f>IF(B3069="","",ROW()-15)</f>
        <v/>
      </c>
      <c r="B3069" s="124" t="n"/>
      <c r="C3069" s="123" t="n"/>
      <c r="D3069" s="123" t="n"/>
      <c r="E3069" s="123" t="n"/>
      <c r="F3069" s="125" t="n"/>
      <c r="G3069" s="123" t="n"/>
      <c r="H3069" s="123" t="n"/>
      <c r="I3069" s="123" t="n"/>
      <c r="J3069" s="123" t="n"/>
      <c r="K3069" s="123" t="n"/>
      <c r="L3069" s="123" t="n"/>
      <c r="M3069" s="123">
        <f>IF(AND(B3069&lt;&gt;"",OR($C$4="",ISNUMBER(SEARCH($C$4,C3069&amp;" "&amp;E3069&amp;" "&amp;G3069&amp;" "&amp;H3069&amp;" "&amp;I3069&amp;" "&amp;J3069&amp;" "&amp;K3069&amp;" "&amp;L3069))),OR($C$5="Semua",$C$5="",G3069=$C$5),OR($C$6="Semua",$C$6="",H3069=$C$6,H3069="Pengeluaran "&amp;$C$6,AND($C$6="Uang Kos Mama",H3069="Pengeluaran Uang Kos")),OR($C$7="Semua",$C$7="",I3069=$C$7),OR($C$8="Semua",$C$8="",C3069=$C$8,E3069=$C$8),OR($C$9="Semua",$C$9="",D3069=$C$9),OR($C$10="",B3069&gt;=$C$10),OR($C$11="",B3069&lt;=$C$11),OR($C$12&lt;&gt;"Ya",K3069&lt;&gt;""),OR($C$13="Semua",$C$13="",L3069=$C$13)),"✓","")</f>
        <v/>
      </c>
      <c r="N3069" s="93">
        <f>N(N3068)+IF(M3069="✓",1,0)</f>
        <v/>
      </c>
      <c r="O3069" s="93">
        <f>N(O3068)+IF(AND(B3069&lt;&gt;"",B3069&gt;='Uang Riba'!$H$30,B3069&lt;='Uang Riba'!$I$30,OR(H3069="Dana riba",H3069="Pinjam uang riba",I3069="Pinjam dari uang riba",I3069="Ganti uang riba",I3069="Kelebihan ganti dikembalikan",AND(C3069="Kantong Uang Riba",G3069="Pengeluaran"))),1,0)</f>
        <v/>
      </c>
      <c r="X3069" s="93">
        <f>IF(AND(B3069&lt;&gt;"",B3069&gt;='Buku Akun'!$H$4,B3069&lt;='Buku Akun'!$H$5,OR(C3069='Buku Akun'!$C$4,AND(D3069="Pindah",E3069='Buku Akun'!$C$4))),B3069+IF(AND(I3069="Selisih bunga",DAY(B3069)=1),0,0.01)+ROW()/10000000,"")</f>
        <v/>
      </c>
    </row>
    <row r="3070" outlineLevel="1" ht="15" customHeight="1" s="94">
      <c r="A3070" s="123">
        <f>IF(B3070="","",ROW()-15)</f>
        <v/>
      </c>
      <c r="B3070" s="124" t="n"/>
      <c r="C3070" s="123" t="n"/>
      <c r="D3070" s="123" t="n"/>
      <c r="E3070" s="123" t="n"/>
      <c r="F3070" s="125" t="n"/>
      <c r="G3070" s="123" t="n"/>
      <c r="H3070" s="123" t="n"/>
      <c r="I3070" s="123" t="n"/>
      <c r="J3070" s="123" t="n"/>
      <c r="K3070" s="123" t="n"/>
      <c r="L3070" s="123" t="n"/>
      <c r="M3070" s="123">
        <f>IF(AND(B3070&lt;&gt;"",OR($C$4="",ISNUMBER(SEARCH($C$4,C3070&amp;" "&amp;E3070&amp;" "&amp;G3070&amp;" "&amp;H3070&amp;" "&amp;I3070&amp;" "&amp;J3070&amp;" "&amp;K3070&amp;" "&amp;L3070))),OR($C$5="Semua",$C$5="",G3070=$C$5),OR($C$6="Semua",$C$6="",H3070=$C$6,H3070="Pengeluaran "&amp;$C$6,AND($C$6="Uang Kos Mama",H3070="Pengeluaran Uang Kos")),OR($C$7="Semua",$C$7="",I3070=$C$7),OR($C$8="Semua",$C$8="",C3070=$C$8,E3070=$C$8),OR($C$9="Semua",$C$9="",D3070=$C$9),OR($C$10="",B3070&gt;=$C$10),OR($C$11="",B3070&lt;=$C$11),OR($C$12&lt;&gt;"Ya",K3070&lt;&gt;""),OR($C$13="Semua",$C$13="",L3070=$C$13)),"✓","")</f>
        <v/>
      </c>
      <c r="N3070" s="93">
        <f>N(N3069)+IF(M3070="✓",1,0)</f>
        <v/>
      </c>
      <c r="O3070" s="93">
        <f>N(O3069)+IF(AND(B3070&lt;&gt;"",B3070&gt;='Uang Riba'!$H$30,B3070&lt;='Uang Riba'!$I$30,OR(H3070="Dana riba",H3070="Pinjam uang riba",I3070="Pinjam dari uang riba",I3070="Ganti uang riba",I3070="Kelebihan ganti dikembalikan",AND(C3070="Kantong Uang Riba",G3070="Pengeluaran"))),1,0)</f>
        <v/>
      </c>
      <c r="X3070" s="93">
        <f>IF(AND(B3070&lt;&gt;"",B3070&gt;='Buku Akun'!$H$4,B3070&lt;='Buku Akun'!$H$5,OR(C3070='Buku Akun'!$C$4,AND(D3070="Pindah",E3070='Buku Akun'!$C$4))),B3070+IF(AND(I3070="Selisih bunga",DAY(B3070)=1),0,0.01)+ROW()/10000000,"")</f>
        <v/>
      </c>
    </row>
    <row r="3071" outlineLevel="1" ht="15" customHeight="1" s="94">
      <c r="A3071" s="123">
        <f>IF(B3071="","",ROW()-15)</f>
        <v/>
      </c>
      <c r="B3071" s="124" t="n"/>
      <c r="C3071" s="123" t="n"/>
      <c r="D3071" s="123" t="n"/>
      <c r="E3071" s="123" t="n"/>
      <c r="F3071" s="125" t="n"/>
      <c r="G3071" s="123" t="n"/>
      <c r="H3071" s="123" t="n"/>
      <c r="I3071" s="123" t="n"/>
      <c r="J3071" s="123" t="n"/>
      <c r="K3071" s="123" t="n"/>
      <c r="L3071" s="123" t="n"/>
      <c r="M3071" s="123">
        <f>IF(AND(B3071&lt;&gt;"",OR($C$4="",ISNUMBER(SEARCH($C$4,C3071&amp;" "&amp;E3071&amp;" "&amp;G3071&amp;" "&amp;H3071&amp;" "&amp;I3071&amp;" "&amp;J3071&amp;" "&amp;K3071&amp;" "&amp;L3071))),OR($C$5="Semua",$C$5="",G3071=$C$5),OR($C$6="Semua",$C$6="",H3071=$C$6,H3071="Pengeluaran "&amp;$C$6,AND($C$6="Uang Kos Mama",H3071="Pengeluaran Uang Kos")),OR($C$7="Semua",$C$7="",I3071=$C$7),OR($C$8="Semua",$C$8="",C3071=$C$8,E3071=$C$8),OR($C$9="Semua",$C$9="",D3071=$C$9),OR($C$10="",B3071&gt;=$C$10),OR($C$11="",B3071&lt;=$C$11),OR($C$12&lt;&gt;"Ya",K3071&lt;&gt;""),OR($C$13="Semua",$C$13="",L3071=$C$13)),"✓","")</f>
        <v/>
      </c>
      <c r="N3071" s="93">
        <f>N(N3070)+IF(M3071="✓",1,0)</f>
        <v/>
      </c>
      <c r="O3071" s="93">
        <f>N(O3070)+IF(AND(B3071&lt;&gt;"",B3071&gt;='Uang Riba'!$H$30,B3071&lt;='Uang Riba'!$I$30,OR(H3071="Dana riba",H3071="Pinjam uang riba",I3071="Pinjam dari uang riba",I3071="Ganti uang riba",I3071="Kelebihan ganti dikembalikan",AND(C3071="Kantong Uang Riba",G3071="Pengeluaran"))),1,0)</f>
        <v/>
      </c>
      <c r="X3071" s="93">
        <f>IF(AND(B3071&lt;&gt;"",B3071&gt;='Buku Akun'!$H$4,B3071&lt;='Buku Akun'!$H$5,OR(C3071='Buku Akun'!$C$4,AND(D3071="Pindah",E3071='Buku Akun'!$C$4))),B3071+IF(AND(I3071="Selisih bunga",DAY(B3071)=1),0,0.01)+ROW()/10000000,"")</f>
        <v/>
      </c>
    </row>
    <row r="3072" outlineLevel="1" ht="15" customHeight="1" s="94">
      <c r="A3072" s="123">
        <f>IF(B3072="","",ROW()-15)</f>
        <v/>
      </c>
      <c r="B3072" s="124" t="n"/>
      <c r="C3072" s="123" t="n"/>
      <c r="D3072" s="123" t="n"/>
      <c r="E3072" s="123" t="n"/>
      <c r="F3072" s="125" t="n"/>
      <c r="G3072" s="123" t="n"/>
      <c r="H3072" s="123" t="n"/>
      <c r="I3072" s="123" t="n"/>
      <c r="J3072" s="123" t="n"/>
      <c r="K3072" s="123" t="n"/>
      <c r="L3072" s="123" t="n"/>
      <c r="M3072" s="123">
        <f>IF(AND(B3072&lt;&gt;"",OR($C$4="",ISNUMBER(SEARCH($C$4,C3072&amp;" "&amp;E3072&amp;" "&amp;G3072&amp;" "&amp;H3072&amp;" "&amp;I3072&amp;" "&amp;J3072&amp;" "&amp;K3072&amp;" "&amp;L3072))),OR($C$5="Semua",$C$5="",G3072=$C$5),OR($C$6="Semua",$C$6="",H3072=$C$6,H3072="Pengeluaran "&amp;$C$6,AND($C$6="Uang Kos Mama",H3072="Pengeluaran Uang Kos")),OR($C$7="Semua",$C$7="",I3072=$C$7),OR($C$8="Semua",$C$8="",C3072=$C$8,E3072=$C$8),OR($C$9="Semua",$C$9="",D3072=$C$9),OR($C$10="",B3072&gt;=$C$10),OR($C$11="",B3072&lt;=$C$11),OR($C$12&lt;&gt;"Ya",K3072&lt;&gt;""),OR($C$13="Semua",$C$13="",L3072=$C$13)),"✓","")</f>
        <v/>
      </c>
      <c r="N3072" s="93">
        <f>N(N3071)+IF(M3072="✓",1,0)</f>
        <v/>
      </c>
      <c r="O3072" s="93">
        <f>N(O3071)+IF(AND(B3072&lt;&gt;"",B3072&gt;='Uang Riba'!$H$30,B3072&lt;='Uang Riba'!$I$30,OR(H3072="Dana riba",H3072="Pinjam uang riba",I3072="Pinjam dari uang riba",I3072="Ganti uang riba",I3072="Kelebihan ganti dikembalikan",AND(C3072="Kantong Uang Riba",G3072="Pengeluaran"))),1,0)</f>
        <v/>
      </c>
      <c r="X3072" s="93">
        <f>IF(AND(B3072&lt;&gt;"",B3072&gt;='Buku Akun'!$H$4,B3072&lt;='Buku Akun'!$H$5,OR(C3072='Buku Akun'!$C$4,AND(D3072="Pindah",E3072='Buku Akun'!$C$4))),B3072+IF(AND(I3072="Selisih bunga",DAY(B3072)=1),0,0.01)+ROW()/10000000,"")</f>
        <v/>
      </c>
    </row>
    <row r="3073" outlineLevel="1" ht="15" customHeight="1" s="94">
      <c r="A3073" s="123">
        <f>IF(B3073="","",ROW()-15)</f>
        <v/>
      </c>
      <c r="B3073" s="124" t="n"/>
      <c r="C3073" s="123" t="n"/>
      <c r="D3073" s="123" t="n"/>
      <c r="E3073" s="123" t="n"/>
      <c r="F3073" s="125" t="n"/>
      <c r="G3073" s="123" t="n"/>
      <c r="H3073" s="123" t="n"/>
      <c r="I3073" s="123" t="n"/>
      <c r="J3073" s="123" t="n"/>
      <c r="K3073" s="123" t="n"/>
      <c r="L3073" s="123" t="n"/>
      <c r="M3073" s="123">
        <f>IF(AND(B3073&lt;&gt;"",OR($C$4="",ISNUMBER(SEARCH($C$4,C3073&amp;" "&amp;E3073&amp;" "&amp;G3073&amp;" "&amp;H3073&amp;" "&amp;I3073&amp;" "&amp;J3073&amp;" "&amp;K3073&amp;" "&amp;L3073))),OR($C$5="Semua",$C$5="",G3073=$C$5),OR($C$6="Semua",$C$6="",H3073=$C$6,H3073="Pengeluaran "&amp;$C$6,AND($C$6="Uang Kos Mama",H3073="Pengeluaran Uang Kos")),OR($C$7="Semua",$C$7="",I3073=$C$7),OR($C$8="Semua",$C$8="",C3073=$C$8,E3073=$C$8),OR($C$9="Semua",$C$9="",D3073=$C$9),OR($C$10="",B3073&gt;=$C$10),OR($C$11="",B3073&lt;=$C$11),OR($C$12&lt;&gt;"Ya",K3073&lt;&gt;""),OR($C$13="Semua",$C$13="",L3073=$C$13)),"✓","")</f>
        <v/>
      </c>
      <c r="N3073" s="93">
        <f>N(N3072)+IF(M3073="✓",1,0)</f>
        <v/>
      </c>
      <c r="O3073" s="93">
        <f>N(O3072)+IF(AND(B3073&lt;&gt;"",B3073&gt;='Uang Riba'!$H$30,B3073&lt;='Uang Riba'!$I$30,OR(H3073="Dana riba",H3073="Pinjam uang riba",I3073="Pinjam dari uang riba",I3073="Ganti uang riba",I3073="Kelebihan ganti dikembalikan",AND(C3073="Kantong Uang Riba",G3073="Pengeluaran"))),1,0)</f>
        <v/>
      </c>
      <c r="X3073" s="93">
        <f>IF(AND(B3073&lt;&gt;"",B3073&gt;='Buku Akun'!$H$4,B3073&lt;='Buku Akun'!$H$5,OR(C3073='Buku Akun'!$C$4,AND(D3073="Pindah",E3073='Buku Akun'!$C$4))),B3073+IF(AND(I3073="Selisih bunga",DAY(B3073)=1),0,0.01)+ROW()/10000000,"")</f>
        <v/>
      </c>
    </row>
    <row r="3074" outlineLevel="1" ht="15" customHeight="1" s="94">
      <c r="A3074" s="123">
        <f>IF(B3074="","",ROW()-15)</f>
        <v/>
      </c>
      <c r="B3074" s="124" t="n"/>
      <c r="C3074" s="123" t="n"/>
      <c r="D3074" s="123" t="n"/>
      <c r="E3074" s="123" t="n"/>
      <c r="F3074" s="125" t="n"/>
      <c r="G3074" s="123" t="n"/>
      <c r="H3074" s="123" t="n"/>
      <c r="I3074" s="123" t="n"/>
      <c r="J3074" s="123" t="n"/>
      <c r="K3074" s="123" t="n"/>
      <c r="L3074" s="123" t="n"/>
      <c r="M3074" s="123">
        <f>IF(AND(B3074&lt;&gt;"",OR($C$4="",ISNUMBER(SEARCH($C$4,C3074&amp;" "&amp;E3074&amp;" "&amp;G3074&amp;" "&amp;H3074&amp;" "&amp;I3074&amp;" "&amp;J3074&amp;" "&amp;K3074&amp;" "&amp;L3074))),OR($C$5="Semua",$C$5="",G3074=$C$5),OR($C$6="Semua",$C$6="",H3074=$C$6,H3074="Pengeluaran "&amp;$C$6,AND($C$6="Uang Kos Mama",H3074="Pengeluaran Uang Kos")),OR($C$7="Semua",$C$7="",I3074=$C$7),OR($C$8="Semua",$C$8="",C3074=$C$8,E3074=$C$8),OR($C$9="Semua",$C$9="",D3074=$C$9),OR($C$10="",B3074&gt;=$C$10),OR($C$11="",B3074&lt;=$C$11),OR($C$12&lt;&gt;"Ya",K3074&lt;&gt;""),OR($C$13="Semua",$C$13="",L3074=$C$13)),"✓","")</f>
        <v/>
      </c>
      <c r="N3074" s="93">
        <f>N(N3073)+IF(M3074="✓",1,0)</f>
        <v/>
      </c>
      <c r="O3074" s="93">
        <f>N(O3073)+IF(AND(B3074&lt;&gt;"",B3074&gt;='Uang Riba'!$H$30,B3074&lt;='Uang Riba'!$I$30,OR(H3074="Dana riba",H3074="Pinjam uang riba",I3074="Pinjam dari uang riba",I3074="Ganti uang riba",I3074="Kelebihan ganti dikembalikan",AND(C3074="Kantong Uang Riba",G3074="Pengeluaran"))),1,0)</f>
        <v/>
      </c>
      <c r="X3074" s="93">
        <f>IF(AND(B3074&lt;&gt;"",B3074&gt;='Buku Akun'!$H$4,B3074&lt;='Buku Akun'!$H$5,OR(C3074='Buku Akun'!$C$4,AND(D3074="Pindah",E3074='Buku Akun'!$C$4))),B3074+IF(AND(I3074="Selisih bunga",DAY(B3074)=1),0,0.01)+ROW()/10000000,"")</f>
        <v/>
      </c>
    </row>
    <row r="3075" outlineLevel="1" ht="15" customHeight="1" s="94">
      <c r="A3075" s="123">
        <f>IF(B3075="","",ROW()-15)</f>
        <v/>
      </c>
      <c r="B3075" s="124" t="n"/>
      <c r="C3075" s="123" t="n"/>
      <c r="D3075" s="123" t="n"/>
      <c r="E3075" s="123" t="n"/>
      <c r="F3075" s="125" t="n"/>
      <c r="G3075" s="123" t="n"/>
      <c r="H3075" s="123" t="n"/>
      <c r="I3075" s="123" t="n"/>
      <c r="J3075" s="123" t="n"/>
      <c r="K3075" s="123" t="n"/>
      <c r="L3075" s="123" t="n"/>
      <c r="M3075" s="123">
        <f>IF(AND(B3075&lt;&gt;"",OR($C$4="",ISNUMBER(SEARCH($C$4,C3075&amp;" "&amp;E3075&amp;" "&amp;G3075&amp;" "&amp;H3075&amp;" "&amp;I3075&amp;" "&amp;J3075&amp;" "&amp;K3075&amp;" "&amp;L3075))),OR($C$5="Semua",$C$5="",G3075=$C$5),OR($C$6="Semua",$C$6="",H3075=$C$6,H3075="Pengeluaran "&amp;$C$6,AND($C$6="Uang Kos Mama",H3075="Pengeluaran Uang Kos")),OR($C$7="Semua",$C$7="",I3075=$C$7),OR($C$8="Semua",$C$8="",C3075=$C$8,E3075=$C$8),OR($C$9="Semua",$C$9="",D3075=$C$9),OR($C$10="",B3075&gt;=$C$10),OR($C$11="",B3075&lt;=$C$11),OR($C$12&lt;&gt;"Ya",K3075&lt;&gt;""),OR($C$13="Semua",$C$13="",L3075=$C$13)),"✓","")</f>
        <v/>
      </c>
      <c r="N3075" s="93">
        <f>N(N3074)+IF(M3075="✓",1,0)</f>
        <v/>
      </c>
      <c r="O3075" s="93">
        <f>N(O3074)+IF(AND(B3075&lt;&gt;"",B3075&gt;='Uang Riba'!$H$30,B3075&lt;='Uang Riba'!$I$30,OR(H3075="Dana riba",H3075="Pinjam uang riba",I3075="Pinjam dari uang riba",I3075="Ganti uang riba",I3075="Kelebihan ganti dikembalikan",AND(C3075="Kantong Uang Riba",G3075="Pengeluaran"))),1,0)</f>
        <v/>
      </c>
      <c r="X3075" s="93">
        <f>IF(AND(B3075&lt;&gt;"",B3075&gt;='Buku Akun'!$H$4,B3075&lt;='Buku Akun'!$H$5,OR(C3075='Buku Akun'!$C$4,AND(D3075="Pindah",E3075='Buku Akun'!$C$4))),B3075+IF(AND(I3075="Selisih bunga",DAY(B3075)=1),0,0.01)+ROW()/10000000,"")</f>
        <v/>
      </c>
    </row>
    <row r="3076" outlineLevel="1" ht="15" customHeight="1" s="94">
      <c r="A3076" s="123">
        <f>IF(B3076="","",ROW()-15)</f>
        <v/>
      </c>
      <c r="B3076" s="124" t="n"/>
      <c r="C3076" s="123" t="n"/>
      <c r="D3076" s="123" t="n"/>
      <c r="E3076" s="123" t="n"/>
      <c r="F3076" s="125" t="n"/>
      <c r="G3076" s="123" t="n"/>
      <c r="H3076" s="123" t="n"/>
      <c r="I3076" s="123" t="n"/>
      <c r="J3076" s="123" t="n"/>
      <c r="K3076" s="123" t="n"/>
      <c r="L3076" s="123" t="n"/>
      <c r="M3076" s="123">
        <f>IF(AND(B3076&lt;&gt;"",OR($C$4="",ISNUMBER(SEARCH($C$4,C3076&amp;" "&amp;E3076&amp;" "&amp;G3076&amp;" "&amp;H3076&amp;" "&amp;I3076&amp;" "&amp;J3076&amp;" "&amp;K3076&amp;" "&amp;L3076))),OR($C$5="Semua",$C$5="",G3076=$C$5),OR($C$6="Semua",$C$6="",H3076=$C$6,H3076="Pengeluaran "&amp;$C$6,AND($C$6="Uang Kos Mama",H3076="Pengeluaran Uang Kos")),OR($C$7="Semua",$C$7="",I3076=$C$7),OR($C$8="Semua",$C$8="",C3076=$C$8,E3076=$C$8),OR($C$9="Semua",$C$9="",D3076=$C$9),OR($C$10="",B3076&gt;=$C$10),OR($C$11="",B3076&lt;=$C$11),OR($C$12&lt;&gt;"Ya",K3076&lt;&gt;""),OR($C$13="Semua",$C$13="",L3076=$C$13)),"✓","")</f>
        <v/>
      </c>
      <c r="N3076" s="93">
        <f>N(N3075)+IF(M3076="✓",1,0)</f>
        <v/>
      </c>
      <c r="O3076" s="93">
        <f>N(O3075)+IF(AND(B3076&lt;&gt;"",B3076&gt;='Uang Riba'!$H$30,B3076&lt;='Uang Riba'!$I$30,OR(H3076="Dana riba",H3076="Pinjam uang riba",I3076="Pinjam dari uang riba",I3076="Ganti uang riba",I3076="Kelebihan ganti dikembalikan",AND(C3076="Kantong Uang Riba",G3076="Pengeluaran"))),1,0)</f>
        <v/>
      </c>
      <c r="X3076" s="93">
        <f>IF(AND(B3076&lt;&gt;"",B3076&gt;='Buku Akun'!$H$4,B3076&lt;='Buku Akun'!$H$5,OR(C3076='Buku Akun'!$C$4,AND(D3076="Pindah",E3076='Buku Akun'!$C$4))),B3076+IF(AND(I3076="Selisih bunga",DAY(B3076)=1),0,0.01)+ROW()/10000000,"")</f>
        <v/>
      </c>
    </row>
    <row r="3077" outlineLevel="1" ht="15" customHeight="1" s="94">
      <c r="A3077" s="123">
        <f>IF(B3077="","",ROW()-15)</f>
        <v/>
      </c>
      <c r="B3077" s="124" t="n"/>
      <c r="C3077" s="123" t="n"/>
      <c r="D3077" s="123" t="n"/>
      <c r="E3077" s="123" t="n"/>
      <c r="F3077" s="125" t="n"/>
      <c r="G3077" s="123" t="n"/>
      <c r="H3077" s="123" t="n"/>
      <c r="I3077" s="123" t="n"/>
      <c r="J3077" s="123" t="n"/>
      <c r="K3077" s="123" t="n"/>
      <c r="L3077" s="123" t="n"/>
      <c r="M3077" s="123">
        <f>IF(AND(B3077&lt;&gt;"",OR($C$4="",ISNUMBER(SEARCH($C$4,C3077&amp;" "&amp;E3077&amp;" "&amp;G3077&amp;" "&amp;H3077&amp;" "&amp;I3077&amp;" "&amp;J3077&amp;" "&amp;K3077&amp;" "&amp;L3077))),OR($C$5="Semua",$C$5="",G3077=$C$5),OR($C$6="Semua",$C$6="",H3077=$C$6,H3077="Pengeluaran "&amp;$C$6,AND($C$6="Uang Kos Mama",H3077="Pengeluaran Uang Kos")),OR($C$7="Semua",$C$7="",I3077=$C$7),OR($C$8="Semua",$C$8="",C3077=$C$8,E3077=$C$8),OR($C$9="Semua",$C$9="",D3077=$C$9),OR($C$10="",B3077&gt;=$C$10),OR($C$11="",B3077&lt;=$C$11),OR($C$12&lt;&gt;"Ya",K3077&lt;&gt;""),OR($C$13="Semua",$C$13="",L3077=$C$13)),"✓","")</f>
        <v/>
      </c>
      <c r="N3077" s="93">
        <f>N(N3076)+IF(M3077="✓",1,0)</f>
        <v/>
      </c>
      <c r="O3077" s="93">
        <f>N(O3076)+IF(AND(B3077&lt;&gt;"",B3077&gt;='Uang Riba'!$H$30,B3077&lt;='Uang Riba'!$I$30,OR(H3077="Dana riba",H3077="Pinjam uang riba",I3077="Pinjam dari uang riba",I3077="Ganti uang riba",I3077="Kelebihan ganti dikembalikan",AND(C3077="Kantong Uang Riba",G3077="Pengeluaran"))),1,0)</f>
        <v/>
      </c>
      <c r="X3077" s="93">
        <f>IF(AND(B3077&lt;&gt;"",B3077&gt;='Buku Akun'!$H$4,B3077&lt;='Buku Akun'!$H$5,OR(C3077='Buku Akun'!$C$4,AND(D3077="Pindah",E3077='Buku Akun'!$C$4))),B3077+IF(AND(I3077="Selisih bunga",DAY(B3077)=1),0,0.01)+ROW()/10000000,"")</f>
        <v/>
      </c>
    </row>
    <row r="3078" outlineLevel="1" ht="15" customHeight="1" s="94">
      <c r="A3078" s="123">
        <f>IF(B3078="","",ROW()-15)</f>
        <v/>
      </c>
      <c r="B3078" s="124" t="n"/>
      <c r="C3078" s="123" t="n"/>
      <c r="D3078" s="123" t="n"/>
      <c r="E3078" s="123" t="n"/>
      <c r="F3078" s="125" t="n"/>
      <c r="G3078" s="123" t="n"/>
      <c r="H3078" s="123" t="n"/>
      <c r="I3078" s="123" t="n"/>
      <c r="J3078" s="123" t="n"/>
      <c r="K3078" s="123" t="n"/>
      <c r="L3078" s="123" t="n"/>
      <c r="M3078" s="123">
        <f>IF(AND(B3078&lt;&gt;"",OR($C$4="",ISNUMBER(SEARCH($C$4,C3078&amp;" "&amp;E3078&amp;" "&amp;G3078&amp;" "&amp;H3078&amp;" "&amp;I3078&amp;" "&amp;J3078&amp;" "&amp;K3078&amp;" "&amp;L3078))),OR($C$5="Semua",$C$5="",G3078=$C$5),OR($C$6="Semua",$C$6="",H3078=$C$6,H3078="Pengeluaran "&amp;$C$6,AND($C$6="Uang Kos Mama",H3078="Pengeluaran Uang Kos")),OR($C$7="Semua",$C$7="",I3078=$C$7),OR($C$8="Semua",$C$8="",C3078=$C$8,E3078=$C$8),OR($C$9="Semua",$C$9="",D3078=$C$9),OR($C$10="",B3078&gt;=$C$10),OR($C$11="",B3078&lt;=$C$11),OR($C$12&lt;&gt;"Ya",K3078&lt;&gt;""),OR($C$13="Semua",$C$13="",L3078=$C$13)),"✓","")</f>
        <v/>
      </c>
      <c r="N3078" s="93">
        <f>N(N3077)+IF(M3078="✓",1,0)</f>
        <v/>
      </c>
      <c r="O3078" s="93">
        <f>N(O3077)+IF(AND(B3078&lt;&gt;"",B3078&gt;='Uang Riba'!$H$30,B3078&lt;='Uang Riba'!$I$30,OR(H3078="Dana riba",H3078="Pinjam uang riba",I3078="Pinjam dari uang riba",I3078="Ganti uang riba",I3078="Kelebihan ganti dikembalikan",AND(C3078="Kantong Uang Riba",G3078="Pengeluaran"))),1,0)</f>
        <v/>
      </c>
      <c r="X3078" s="93">
        <f>IF(AND(B3078&lt;&gt;"",B3078&gt;='Buku Akun'!$H$4,B3078&lt;='Buku Akun'!$H$5,OR(C3078='Buku Akun'!$C$4,AND(D3078="Pindah",E3078='Buku Akun'!$C$4))),B3078+IF(AND(I3078="Selisih bunga",DAY(B3078)=1),0,0.01)+ROW()/10000000,"")</f>
        <v/>
      </c>
    </row>
    <row r="3079" outlineLevel="1" ht="15" customHeight="1" s="94">
      <c r="A3079" s="123">
        <f>IF(B3079="","",ROW()-15)</f>
        <v/>
      </c>
      <c r="B3079" s="124" t="n"/>
      <c r="C3079" s="123" t="n"/>
      <c r="D3079" s="123" t="n"/>
      <c r="E3079" s="123" t="n"/>
      <c r="F3079" s="125" t="n"/>
      <c r="G3079" s="123" t="n"/>
      <c r="H3079" s="123" t="n"/>
      <c r="I3079" s="123" t="n"/>
      <c r="J3079" s="123" t="n"/>
      <c r="K3079" s="123" t="n"/>
      <c r="L3079" s="123" t="n"/>
      <c r="M3079" s="123">
        <f>IF(AND(B3079&lt;&gt;"",OR($C$4="",ISNUMBER(SEARCH($C$4,C3079&amp;" "&amp;E3079&amp;" "&amp;G3079&amp;" "&amp;H3079&amp;" "&amp;I3079&amp;" "&amp;J3079&amp;" "&amp;K3079&amp;" "&amp;L3079))),OR($C$5="Semua",$C$5="",G3079=$C$5),OR($C$6="Semua",$C$6="",H3079=$C$6,H3079="Pengeluaran "&amp;$C$6,AND($C$6="Uang Kos Mama",H3079="Pengeluaran Uang Kos")),OR($C$7="Semua",$C$7="",I3079=$C$7),OR($C$8="Semua",$C$8="",C3079=$C$8,E3079=$C$8),OR($C$9="Semua",$C$9="",D3079=$C$9),OR($C$10="",B3079&gt;=$C$10),OR($C$11="",B3079&lt;=$C$11),OR($C$12&lt;&gt;"Ya",K3079&lt;&gt;""),OR($C$13="Semua",$C$13="",L3079=$C$13)),"✓","")</f>
        <v/>
      </c>
      <c r="N3079" s="93">
        <f>N(N3078)+IF(M3079="✓",1,0)</f>
        <v/>
      </c>
      <c r="O3079" s="93">
        <f>N(O3078)+IF(AND(B3079&lt;&gt;"",B3079&gt;='Uang Riba'!$H$30,B3079&lt;='Uang Riba'!$I$30,OR(H3079="Dana riba",H3079="Pinjam uang riba",I3079="Pinjam dari uang riba",I3079="Ganti uang riba",I3079="Kelebihan ganti dikembalikan",AND(C3079="Kantong Uang Riba",G3079="Pengeluaran"))),1,0)</f>
        <v/>
      </c>
      <c r="X3079" s="93">
        <f>IF(AND(B3079&lt;&gt;"",B3079&gt;='Buku Akun'!$H$4,B3079&lt;='Buku Akun'!$H$5,OR(C3079='Buku Akun'!$C$4,AND(D3079="Pindah",E3079='Buku Akun'!$C$4))),B3079+IF(AND(I3079="Selisih bunga",DAY(B3079)=1),0,0.01)+ROW()/10000000,"")</f>
        <v/>
      </c>
    </row>
    <row r="3080" outlineLevel="1" ht="15" customHeight="1" s="94">
      <c r="A3080" s="123">
        <f>IF(B3080="","",ROW()-15)</f>
        <v/>
      </c>
      <c r="B3080" s="124" t="n"/>
      <c r="C3080" s="123" t="n"/>
      <c r="D3080" s="123" t="n"/>
      <c r="E3080" s="123" t="n"/>
      <c r="F3080" s="125" t="n"/>
      <c r="G3080" s="123" t="n"/>
      <c r="H3080" s="123" t="n"/>
      <c r="I3080" s="123" t="n"/>
      <c r="J3080" s="123" t="n"/>
      <c r="K3080" s="123" t="n"/>
      <c r="L3080" s="123" t="n"/>
      <c r="M3080" s="123">
        <f>IF(AND(B3080&lt;&gt;"",OR($C$4="",ISNUMBER(SEARCH($C$4,C3080&amp;" "&amp;E3080&amp;" "&amp;G3080&amp;" "&amp;H3080&amp;" "&amp;I3080&amp;" "&amp;J3080&amp;" "&amp;K3080&amp;" "&amp;L3080))),OR($C$5="Semua",$C$5="",G3080=$C$5),OR($C$6="Semua",$C$6="",H3080=$C$6,H3080="Pengeluaran "&amp;$C$6,AND($C$6="Uang Kos Mama",H3080="Pengeluaran Uang Kos")),OR($C$7="Semua",$C$7="",I3080=$C$7),OR($C$8="Semua",$C$8="",C3080=$C$8,E3080=$C$8),OR($C$9="Semua",$C$9="",D3080=$C$9),OR($C$10="",B3080&gt;=$C$10),OR($C$11="",B3080&lt;=$C$11),OR($C$12&lt;&gt;"Ya",K3080&lt;&gt;""),OR($C$13="Semua",$C$13="",L3080=$C$13)),"✓","")</f>
        <v/>
      </c>
      <c r="N3080" s="93">
        <f>N(N3079)+IF(M3080="✓",1,0)</f>
        <v/>
      </c>
      <c r="O3080" s="93">
        <f>N(O3079)+IF(AND(B3080&lt;&gt;"",B3080&gt;='Uang Riba'!$H$30,B3080&lt;='Uang Riba'!$I$30,OR(H3080="Dana riba",H3080="Pinjam uang riba",I3080="Pinjam dari uang riba",I3080="Ganti uang riba",I3080="Kelebihan ganti dikembalikan",AND(C3080="Kantong Uang Riba",G3080="Pengeluaran"))),1,0)</f>
        <v/>
      </c>
      <c r="X3080" s="93">
        <f>IF(AND(B3080&lt;&gt;"",B3080&gt;='Buku Akun'!$H$4,B3080&lt;='Buku Akun'!$H$5,OR(C3080='Buku Akun'!$C$4,AND(D3080="Pindah",E3080='Buku Akun'!$C$4))),B3080+IF(AND(I3080="Selisih bunga",DAY(B3080)=1),0,0.01)+ROW()/10000000,"")</f>
        <v/>
      </c>
    </row>
    <row r="3081" outlineLevel="1" ht="15" customHeight="1" s="94">
      <c r="A3081" s="123">
        <f>IF(B3081="","",ROW()-15)</f>
        <v/>
      </c>
      <c r="B3081" s="124" t="n"/>
      <c r="C3081" s="123" t="n"/>
      <c r="D3081" s="123" t="n"/>
      <c r="E3081" s="123" t="n"/>
      <c r="F3081" s="125" t="n"/>
      <c r="G3081" s="123" t="n"/>
      <c r="H3081" s="123" t="n"/>
      <c r="I3081" s="123" t="n"/>
      <c r="J3081" s="123" t="n"/>
      <c r="K3081" s="123" t="n"/>
      <c r="L3081" s="123" t="n"/>
      <c r="M3081" s="123">
        <f>IF(AND(B3081&lt;&gt;"",OR($C$4="",ISNUMBER(SEARCH($C$4,C3081&amp;" "&amp;E3081&amp;" "&amp;G3081&amp;" "&amp;H3081&amp;" "&amp;I3081&amp;" "&amp;J3081&amp;" "&amp;K3081&amp;" "&amp;L3081))),OR($C$5="Semua",$C$5="",G3081=$C$5),OR($C$6="Semua",$C$6="",H3081=$C$6,H3081="Pengeluaran "&amp;$C$6,AND($C$6="Uang Kos Mama",H3081="Pengeluaran Uang Kos")),OR($C$7="Semua",$C$7="",I3081=$C$7),OR($C$8="Semua",$C$8="",C3081=$C$8,E3081=$C$8),OR($C$9="Semua",$C$9="",D3081=$C$9),OR($C$10="",B3081&gt;=$C$10),OR($C$11="",B3081&lt;=$C$11),OR($C$12&lt;&gt;"Ya",K3081&lt;&gt;""),OR($C$13="Semua",$C$13="",L3081=$C$13)),"✓","")</f>
        <v/>
      </c>
      <c r="N3081" s="93">
        <f>N(N3080)+IF(M3081="✓",1,0)</f>
        <v/>
      </c>
      <c r="O3081" s="93">
        <f>N(O3080)+IF(AND(B3081&lt;&gt;"",B3081&gt;='Uang Riba'!$H$30,B3081&lt;='Uang Riba'!$I$30,OR(H3081="Dana riba",H3081="Pinjam uang riba",I3081="Pinjam dari uang riba",I3081="Ganti uang riba",I3081="Kelebihan ganti dikembalikan",AND(C3081="Kantong Uang Riba",G3081="Pengeluaran"))),1,0)</f>
        <v/>
      </c>
      <c r="X3081" s="93">
        <f>IF(AND(B3081&lt;&gt;"",B3081&gt;='Buku Akun'!$H$4,B3081&lt;='Buku Akun'!$H$5,OR(C3081='Buku Akun'!$C$4,AND(D3081="Pindah",E3081='Buku Akun'!$C$4))),B3081+IF(AND(I3081="Selisih bunga",DAY(B3081)=1),0,0.01)+ROW()/10000000,"")</f>
        <v/>
      </c>
    </row>
    <row r="3082" outlineLevel="1" ht="15" customHeight="1" s="94">
      <c r="A3082" s="123">
        <f>IF(B3082="","",ROW()-15)</f>
        <v/>
      </c>
      <c r="B3082" s="124" t="n"/>
      <c r="C3082" s="123" t="n"/>
      <c r="D3082" s="123" t="n"/>
      <c r="E3082" s="123" t="n"/>
      <c r="F3082" s="125" t="n"/>
      <c r="G3082" s="123" t="n"/>
      <c r="H3082" s="123" t="n"/>
      <c r="I3082" s="123" t="n"/>
      <c r="J3082" s="123" t="n"/>
      <c r="K3082" s="123" t="n"/>
      <c r="L3082" s="123" t="n"/>
      <c r="M3082" s="123">
        <f>IF(AND(B3082&lt;&gt;"",OR($C$4="",ISNUMBER(SEARCH($C$4,C3082&amp;" "&amp;E3082&amp;" "&amp;G3082&amp;" "&amp;H3082&amp;" "&amp;I3082&amp;" "&amp;J3082&amp;" "&amp;K3082&amp;" "&amp;L3082))),OR($C$5="Semua",$C$5="",G3082=$C$5),OR($C$6="Semua",$C$6="",H3082=$C$6,H3082="Pengeluaran "&amp;$C$6,AND($C$6="Uang Kos Mama",H3082="Pengeluaran Uang Kos")),OR($C$7="Semua",$C$7="",I3082=$C$7),OR($C$8="Semua",$C$8="",C3082=$C$8,E3082=$C$8),OR($C$9="Semua",$C$9="",D3082=$C$9),OR($C$10="",B3082&gt;=$C$10),OR($C$11="",B3082&lt;=$C$11),OR($C$12&lt;&gt;"Ya",K3082&lt;&gt;""),OR($C$13="Semua",$C$13="",L3082=$C$13)),"✓","")</f>
        <v/>
      </c>
      <c r="N3082" s="93">
        <f>N(N3081)+IF(M3082="✓",1,0)</f>
        <v/>
      </c>
      <c r="O3082" s="93">
        <f>N(O3081)+IF(AND(B3082&lt;&gt;"",B3082&gt;='Uang Riba'!$H$30,B3082&lt;='Uang Riba'!$I$30,OR(H3082="Dana riba",H3082="Pinjam uang riba",I3082="Pinjam dari uang riba",I3082="Ganti uang riba",I3082="Kelebihan ganti dikembalikan",AND(C3082="Kantong Uang Riba",G3082="Pengeluaran"))),1,0)</f>
        <v/>
      </c>
      <c r="X3082" s="93">
        <f>IF(AND(B3082&lt;&gt;"",B3082&gt;='Buku Akun'!$H$4,B3082&lt;='Buku Akun'!$H$5,OR(C3082='Buku Akun'!$C$4,AND(D3082="Pindah",E3082='Buku Akun'!$C$4))),B3082+IF(AND(I3082="Selisih bunga",DAY(B3082)=1),0,0.01)+ROW()/10000000,"")</f>
        <v/>
      </c>
    </row>
    <row r="3083" outlineLevel="1" ht="15" customHeight="1" s="94">
      <c r="A3083" s="123">
        <f>IF(B3083="","",ROW()-15)</f>
        <v/>
      </c>
      <c r="B3083" s="124" t="n"/>
      <c r="C3083" s="123" t="n"/>
      <c r="D3083" s="123" t="n"/>
      <c r="E3083" s="123" t="n"/>
      <c r="F3083" s="125" t="n"/>
      <c r="G3083" s="123" t="n"/>
      <c r="H3083" s="123" t="n"/>
      <c r="I3083" s="123" t="n"/>
      <c r="J3083" s="123" t="n"/>
      <c r="K3083" s="123" t="n"/>
      <c r="L3083" s="123" t="n"/>
      <c r="M3083" s="123">
        <f>IF(AND(B3083&lt;&gt;"",OR($C$4="",ISNUMBER(SEARCH($C$4,C3083&amp;" "&amp;E3083&amp;" "&amp;G3083&amp;" "&amp;H3083&amp;" "&amp;I3083&amp;" "&amp;J3083&amp;" "&amp;K3083&amp;" "&amp;L3083))),OR($C$5="Semua",$C$5="",G3083=$C$5),OR($C$6="Semua",$C$6="",H3083=$C$6,H3083="Pengeluaran "&amp;$C$6,AND($C$6="Uang Kos Mama",H3083="Pengeluaran Uang Kos")),OR($C$7="Semua",$C$7="",I3083=$C$7),OR($C$8="Semua",$C$8="",C3083=$C$8,E3083=$C$8),OR($C$9="Semua",$C$9="",D3083=$C$9),OR($C$10="",B3083&gt;=$C$10),OR($C$11="",B3083&lt;=$C$11),OR($C$12&lt;&gt;"Ya",K3083&lt;&gt;""),OR($C$13="Semua",$C$13="",L3083=$C$13)),"✓","")</f>
        <v/>
      </c>
      <c r="N3083" s="93">
        <f>N(N3082)+IF(M3083="✓",1,0)</f>
        <v/>
      </c>
      <c r="O3083" s="93">
        <f>N(O3082)+IF(AND(B3083&lt;&gt;"",B3083&gt;='Uang Riba'!$H$30,B3083&lt;='Uang Riba'!$I$30,OR(H3083="Dana riba",H3083="Pinjam uang riba",I3083="Pinjam dari uang riba",I3083="Ganti uang riba",I3083="Kelebihan ganti dikembalikan",AND(C3083="Kantong Uang Riba",G3083="Pengeluaran"))),1,0)</f>
        <v/>
      </c>
      <c r="X3083" s="93">
        <f>IF(AND(B3083&lt;&gt;"",B3083&gt;='Buku Akun'!$H$4,B3083&lt;='Buku Akun'!$H$5,OR(C3083='Buku Akun'!$C$4,AND(D3083="Pindah",E3083='Buku Akun'!$C$4))),B3083+IF(AND(I3083="Selisih bunga",DAY(B3083)=1),0,0.01)+ROW()/10000000,"")</f>
        <v/>
      </c>
    </row>
    <row r="3084" outlineLevel="1" ht="15" customHeight="1" s="94">
      <c r="A3084" s="123">
        <f>IF(B3084="","",ROW()-15)</f>
        <v/>
      </c>
      <c r="B3084" s="124" t="n"/>
      <c r="C3084" s="123" t="n"/>
      <c r="D3084" s="123" t="n"/>
      <c r="E3084" s="123" t="n"/>
      <c r="F3084" s="125" t="n"/>
      <c r="G3084" s="123" t="n"/>
      <c r="H3084" s="123" t="n"/>
      <c r="I3084" s="123" t="n"/>
      <c r="J3084" s="123" t="n"/>
      <c r="K3084" s="123" t="n"/>
      <c r="L3084" s="123" t="n"/>
      <c r="M3084" s="123">
        <f>IF(AND(B3084&lt;&gt;"",OR($C$4="",ISNUMBER(SEARCH($C$4,C3084&amp;" "&amp;E3084&amp;" "&amp;G3084&amp;" "&amp;H3084&amp;" "&amp;I3084&amp;" "&amp;J3084&amp;" "&amp;K3084&amp;" "&amp;L3084))),OR($C$5="Semua",$C$5="",G3084=$C$5),OR($C$6="Semua",$C$6="",H3084=$C$6,H3084="Pengeluaran "&amp;$C$6,AND($C$6="Uang Kos Mama",H3084="Pengeluaran Uang Kos")),OR($C$7="Semua",$C$7="",I3084=$C$7),OR($C$8="Semua",$C$8="",C3084=$C$8,E3084=$C$8),OR($C$9="Semua",$C$9="",D3084=$C$9),OR($C$10="",B3084&gt;=$C$10),OR($C$11="",B3084&lt;=$C$11),OR($C$12&lt;&gt;"Ya",K3084&lt;&gt;""),OR($C$13="Semua",$C$13="",L3084=$C$13)),"✓","")</f>
        <v/>
      </c>
      <c r="N3084" s="93">
        <f>N(N3083)+IF(M3084="✓",1,0)</f>
        <v/>
      </c>
      <c r="O3084" s="93">
        <f>N(O3083)+IF(AND(B3084&lt;&gt;"",B3084&gt;='Uang Riba'!$H$30,B3084&lt;='Uang Riba'!$I$30,OR(H3084="Dana riba",H3084="Pinjam uang riba",I3084="Pinjam dari uang riba",I3084="Ganti uang riba",I3084="Kelebihan ganti dikembalikan",AND(C3084="Kantong Uang Riba",G3084="Pengeluaran"))),1,0)</f>
        <v/>
      </c>
      <c r="X3084" s="93">
        <f>IF(AND(B3084&lt;&gt;"",B3084&gt;='Buku Akun'!$H$4,B3084&lt;='Buku Akun'!$H$5,OR(C3084='Buku Akun'!$C$4,AND(D3084="Pindah",E3084='Buku Akun'!$C$4))),B3084+IF(AND(I3084="Selisih bunga",DAY(B3084)=1),0,0.01)+ROW()/10000000,"")</f>
        <v/>
      </c>
    </row>
    <row r="3085" outlineLevel="1" ht="15" customHeight="1" s="94">
      <c r="A3085" s="123">
        <f>IF(B3085="","",ROW()-15)</f>
        <v/>
      </c>
      <c r="B3085" s="124" t="n"/>
      <c r="C3085" s="123" t="n"/>
      <c r="D3085" s="123" t="n"/>
      <c r="E3085" s="123" t="n"/>
      <c r="F3085" s="125" t="n"/>
      <c r="G3085" s="123" t="n"/>
      <c r="H3085" s="123" t="n"/>
      <c r="I3085" s="123" t="n"/>
      <c r="J3085" s="123" t="n"/>
      <c r="K3085" s="123" t="n"/>
      <c r="L3085" s="123" t="n"/>
      <c r="M3085" s="123">
        <f>IF(AND(B3085&lt;&gt;"",OR($C$4="",ISNUMBER(SEARCH($C$4,C3085&amp;" "&amp;E3085&amp;" "&amp;G3085&amp;" "&amp;H3085&amp;" "&amp;I3085&amp;" "&amp;J3085&amp;" "&amp;K3085&amp;" "&amp;L3085))),OR($C$5="Semua",$C$5="",G3085=$C$5),OR($C$6="Semua",$C$6="",H3085=$C$6,H3085="Pengeluaran "&amp;$C$6,AND($C$6="Uang Kos Mama",H3085="Pengeluaran Uang Kos")),OR($C$7="Semua",$C$7="",I3085=$C$7),OR($C$8="Semua",$C$8="",C3085=$C$8,E3085=$C$8),OR($C$9="Semua",$C$9="",D3085=$C$9),OR($C$10="",B3085&gt;=$C$10),OR($C$11="",B3085&lt;=$C$11),OR($C$12&lt;&gt;"Ya",K3085&lt;&gt;""),OR($C$13="Semua",$C$13="",L3085=$C$13)),"✓","")</f>
        <v/>
      </c>
      <c r="N3085" s="93">
        <f>N(N3084)+IF(M3085="✓",1,0)</f>
        <v/>
      </c>
      <c r="O3085" s="93">
        <f>N(O3084)+IF(AND(B3085&lt;&gt;"",B3085&gt;='Uang Riba'!$H$30,B3085&lt;='Uang Riba'!$I$30,OR(H3085="Dana riba",H3085="Pinjam uang riba",I3085="Pinjam dari uang riba",I3085="Ganti uang riba",I3085="Kelebihan ganti dikembalikan",AND(C3085="Kantong Uang Riba",G3085="Pengeluaran"))),1,0)</f>
        <v/>
      </c>
      <c r="X3085" s="93">
        <f>IF(AND(B3085&lt;&gt;"",B3085&gt;='Buku Akun'!$H$4,B3085&lt;='Buku Akun'!$H$5,OR(C3085='Buku Akun'!$C$4,AND(D3085="Pindah",E3085='Buku Akun'!$C$4))),B3085+IF(AND(I3085="Selisih bunga",DAY(B3085)=1),0,0.01)+ROW()/10000000,"")</f>
        <v/>
      </c>
    </row>
    <row r="3086" outlineLevel="1" ht="15" customHeight="1" s="94">
      <c r="A3086" s="123">
        <f>IF(B3086="","",ROW()-15)</f>
        <v/>
      </c>
      <c r="B3086" s="124" t="n"/>
      <c r="C3086" s="123" t="n"/>
      <c r="D3086" s="123" t="n"/>
      <c r="E3086" s="123" t="n"/>
      <c r="F3086" s="125" t="n"/>
      <c r="G3086" s="123" t="n"/>
      <c r="H3086" s="123" t="n"/>
      <c r="I3086" s="123" t="n"/>
      <c r="J3086" s="123" t="n"/>
      <c r="K3086" s="123" t="n"/>
      <c r="L3086" s="123" t="n"/>
      <c r="M3086" s="123">
        <f>IF(AND(B3086&lt;&gt;"",OR($C$4="",ISNUMBER(SEARCH($C$4,C3086&amp;" "&amp;E3086&amp;" "&amp;G3086&amp;" "&amp;H3086&amp;" "&amp;I3086&amp;" "&amp;J3086&amp;" "&amp;K3086&amp;" "&amp;L3086))),OR($C$5="Semua",$C$5="",G3086=$C$5),OR($C$6="Semua",$C$6="",H3086=$C$6,H3086="Pengeluaran "&amp;$C$6,AND($C$6="Uang Kos Mama",H3086="Pengeluaran Uang Kos")),OR($C$7="Semua",$C$7="",I3086=$C$7),OR($C$8="Semua",$C$8="",C3086=$C$8,E3086=$C$8),OR($C$9="Semua",$C$9="",D3086=$C$9),OR($C$10="",B3086&gt;=$C$10),OR($C$11="",B3086&lt;=$C$11),OR($C$12&lt;&gt;"Ya",K3086&lt;&gt;""),OR($C$13="Semua",$C$13="",L3086=$C$13)),"✓","")</f>
        <v/>
      </c>
      <c r="N3086" s="93">
        <f>N(N3085)+IF(M3086="✓",1,0)</f>
        <v/>
      </c>
      <c r="O3086" s="93">
        <f>N(O3085)+IF(AND(B3086&lt;&gt;"",B3086&gt;='Uang Riba'!$H$30,B3086&lt;='Uang Riba'!$I$30,OR(H3086="Dana riba",H3086="Pinjam uang riba",I3086="Pinjam dari uang riba",I3086="Ganti uang riba",I3086="Kelebihan ganti dikembalikan",AND(C3086="Kantong Uang Riba",G3086="Pengeluaran"))),1,0)</f>
        <v/>
      </c>
      <c r="X3086" s="93">
        <f>IF(AND(B3086&lt;&gt;"",B3086&gt;='Buku Akun'!$H$4,B3086&lt;='Buku Akun'!$H$5,OR(C3086='Buku Akun'!$C$4,AND(D3086="Pindah",E3086='Buku Akun'!$C$4))),B3086+IF(AND(I3086="Selisih bunga",DAY(B3086)=1),0,0.01)+ROW()/10000000,"")</f>
        <v/>
      </c>
    </row>
    <row r="3087" outlineLevel="1" ht="15" customHeight="1" s="94">
      <c r="A3087" s="123">
        <f>IF(B3087="","",ROW()-15)</f>
        <v/>
      </c>
      <c r="B3087" s="124" t="n"/>
      <c r="C3087" s="123" t="n"/>
      <c r="D3087" s="123" t="n"/>
      <c r="E3087" s="123" t="n"/>
      <c r="F3087" s="125" t="n"/>
      <c r="G3087" s="123" t="n"/>
      <c r="H3087" s="123" t="n"/>
      <c r="I3087" s="123" t="n"/>
      <c r="J3087" s="123" t="n"/>
      <c r="K3087" s="123" t="n"/>
      <c r="L3087" s="123" t="n"/>
      <c r="M3087" s="123">
        <f>IF(AND(B3087&lt;&gt;"",OR($C$4="",ISNUMBER(SEARCH($C$4,C3087&amp;" "&amp;E3087&amp;" "&amp;G3087&amp;" "&amp;H3087&amp;" "&amp;I3087&amp;" "&amp;J3087&amp;" "&amp;K3087&amp;" "&amp;L3087))),OR($C$5="Semua",$C$5="",G3087=$C$5),OR($C$6="Semua",$C$6="",H3087=$C$6,H3087="Pengeluaran "&amp;$C$6,AND($C$6="Uang Kos Mama",H3087="Pengeluaran Uang Kos")),OR($C$7="Semua",$C$7="",I3087=$C$7),OR($C$8="Semua",$C$8="",C3087=$C$8,E3087=$C$8),OR($C$9="Semua",$C$9="",D3087=$C$9),OR($C$10="",B3087&gt;=$C$10),OR($C$11="",B3087&lt;=$C$11),OR($C$12&lt;&gt;"Ya",K3087&lt;&gt;""),OR($C$13="Semua",$C$13="",L3087=$C$13)),"✓","")</f>
        <v/>
      </c>
      <c r="N3087" s="93">
        <f>N(N3086)+IF(M3087="✓",1,0)</f>
        <v/>
      </c>
      <c r="O3087" s="93">
        <f>N(O3086)+IF(AND(B3087&lt;&gt;"",B3087&gt;='Uang Riba'!$H$30,B3087&lt;='Uang Riba'!$I$30,OR(H3087="Dana riba",H3087="Pinjam uang riba",I3087="Pinjam dari uang riba",I3087="Ganti uang riba",I3087="Kelebihan ganti dikembalikan",AND(C3087="Kantong Uang Riba",G3087="Pengeluaran"))),1,0)</f>
        <v/>
      </c>
      <c r="X3087" s="93">
        <f>IF(AND(B3087&lt;&gt;"",B3087&gt;='Buku Akun'!$H$4,B3087&lt;='Buku Akun'!$H$5,OR(C3087='Buku Akun'!$C$4,AND(D3087="Pindah",E3087='Buku Akun'!$C$4))),B3087+IF(AND(I3087="Selisih bunga",DAY(B3087)=1),0,0.01)+ROW()/10000000,"")</f>
        <v/>
      </c>
    </row>
    <row r="3088" outlineLevel="1" ht="15" customHeight="1" s="94">
      <c r="A3088" s="123">
        <f>IF(B3088="","",ROW()-15)</f>
        <v/>
      </c>
      <c r="B3088" s="124" t="n"/>
      <c r="C3088" s="123" t="n"/>
      <c r="D3088" s="123" t="n"/>
      <c r="E3088" s="123" t="n"/>
      <c r="F3088" s="125" t="n"/>
      <c r="G3088" s="123" t="n"/>
      <c r="H3088" s="123" t="n"/>
      <c r="I3088" s="123" t="n"/>
      <c r="J3088" s="123" t="n"/>
      <c r="K3088" s="123" t="n"/>
      <c r="L3088" s="123" t="n"/>
      <c r="M3088" s="123">
        <f>IF(AND(B3088&lt;&gt;"",OR($C$4="",ISNUMBER(SEARCH($C$4,C3088&amp;" "&amp;E3088&amp;" "&amp;G3088&amp;" "&amp;H3088&amp;" "&amp;I3088&amp;" "&amp;J3088&amp;" "&amp;K3088&amp;" "&amp;L3088))),OR($C$5="Semua",$C$5="",G3088=$C$5),OR($C$6="Semua",$C$6="",H3088=$C$6,H3088="Pengeluaran "&amp;$C$6,AND($C$6="Uang Kos Mama",H3088="Pengeluaran Uang Kos")),OR($C$7="Semua",$C$7="",I3088=$C$7),OR($C$8="Semua",$C$8="",C3088=$C$8,E3088=$C$8),OR($C$9="Semua",$C$9="",D3088=$C$9),OR($C$10="",B3088&gt;=$C$10),OR($C$11="",B3088&lt;=$C$11),OR($C$12&lt;&gt;"Ya",K3088&lt;&gt;""),OR($C$13="Semua",$C$13="",L3088=$C$13)),"✓","")</f>
        <v/>
      </c>
      <c r="N3088" s="93">
        <f>N(N3087)+IF(M3088="✓",1,0)</f>
        <v/>
      </c>
      <c r="O3088" s="93">
        <f>N(O3087)+IF(AND(B3088&lt;&gt;"",B3088&gt;='Uang Riba'!$H$30,B3088&lt;='Uang Riba'!$I$30,OR(H3088="Dana riba",H3088="Pinjam uang riba",I3088="Pinjam dari uang riba",I3088="Ganti uang riba",I3088="Kelebihan ganti dikembalikan",AND(C3088="Kantong Uang Riba",G3088="Pengeluaran"))),1,0)</f>
        <v/>
      </c>
      <c r="X3088" s="93">
        <f>IF(AND(B3088&lt;&gt;"",B3088&gt;='Buku Akun'!$H$4,B3088&lt;='Buku Akun'!$H$5,OR(C3088='Buku Akun'!$C$4,AND(D3088="Pindah",E3088='Buku Akun'!$C$4))),B3088+IF(AND(I3088="Selisih bunga",DAY(B3088)=1),0,0.01)+ROW()/10000000,"")</f>
        <v/>
      </c>
    </row>
    <row r="3089" outlineLevel="1" ht="15" customHeight="1" s="94">
      <c r="A3089" s="123">
        <f>IF(B3089="","",ROW()-15)</f>
        <v/>
      </c>
      <c r="B3089" s="124" t="n"/>
      <c r="C3089" s="123" t="n"/>
      <c r="D3089" s="123" t="n"/>
      <c r="E3089" s="123" t="n"/>
      <c r="F3089" s="125" t="n"/>
      <c r="G3089" s="123" t="n"/>
      <c r="H3089" s="123" t="n"/>
      <c r="I3089" s="123" t="n"/>
      <c r="J3089" s="123" t="n"/>
      <c r="K3089" s="123" t="n"/>
      <c r="L3089" s="123" t="n"/>
      <c r="M3089" s="123">
        <f>IF(AND(B3089&lt;&gt;"",OR($C$4="",ISNUMBER(SEARCH($C$4,C3089&amp;" "&amp;E3089&amp;" "&amp;G3089&amp;" "&amp;H3089&amp;" "&amp;I3089&amp;" "&amp;J3089&amp;" "&amp;K3089&amp;" "&amp;L3089))),OR($C$5="Semua",$C$5="",G3089=$C$5),OR($C$6="Semua",$C$6="",H3089=$C$6,H3089="Pengeluaran "&amp;$C$6,AND($C$6="Uang Kos Mama",H3089="Pengeluaran Uang Kos")),OR($C$7="Semua",$C$7="",I3089=$C$7),OR($C$8="Semua",$C$8="",C3089=$C$8,E3089=$C$8),OR($C$9="Semua",$C$9="",D3089=$C$9),OR($C$10="",B3089&gt;=$C$10),OR($C$11="",B3089&lt;=$C$11),OR($C$12&lt;&gt;"Ya",K3089&lt;&gt;""),OR($C$13="Semua",$C$13="",L3089=$C$13)),"✓","")</f>
        <v/>
      </c>
      <c r="N3089" s="93">
        <f>N(N3088)+IF(M3089="✓",1,0)</f>
        <v/>
      </c>
      <c r="O3089" s="93">
        <f>N(O3088)+IF(AND(B3089&lt;&gt;"",B3089&gt;='Uang Riba'!$H$30,B3089&lt;='Uang Riba'!$I$30,OR(H3089="Dana riba",H3089="Pinjam uang riba",I3089="Pinjam dari uang riba",I3089="Ganti uang riba",I3089="Kelebihan ganti dikembalikan",AND(C3089="Kantong Uang Riba",G3089="Pengeluaran"))),1,0)</f>
        <v/>
      </c>
      <c r="X3089" s="93">
        <f>IF(AND(B3089&lt;&gt;"",B3089&gt;='Buku Akun'!$H$4,B3089&lt;='Buku Akun'!$H$5,OR(C3089='Buku Akun'!$C$4,AND(D3089="Pindah",E3089='Buku Akun'!$C$4))),B3089+IF(AND(I3089="Selisih bunga",DAY(B3089)=1),0,0.01)+ROW()/10000000,"")</f>
        <v/>
      </c>
    </row>
    <row r="3090" outlineLevel="1" ht="15" customHeight="1" s="94">
      <c r="A3090" s="123">
        <f>IF(B3090="","",ROW()-15)</f>
        <v/>
      </c>
      <c r="B3090" s="124" t="n"/>
      <c r="C3090" s="123" t="n"/>
      <c r="D3090" s="123" t="n"/>
      <c r="E3090" s="123" t="n"/>
      <c r="F3090" s="125" t="n"/>
      <c r="G3090" s="123" t="n"/>
      <c r="H3090" s="123" t="n"/>
      <c r="I3090" s="123" t="n"/>
      <c r="J3090" s="123" t="n"/>
      <c r="K3090" s="123" t="n"/>
      <c r="L3090" s="123" t="n"/>
      <c r="M3090" s="123">
        <f>IF(AND(B3090&lt;&gt;"",OR($C$4="",ISNUMBER(SEARCH($C$4,C3090&amp;" "&amp;E3090&amp;" "&amp;G3090&amp;" "&amp;H3090&amp;" "&amp;I3090&amp;" "&amp;J3090&amp;" "&amp;K3090&amp;" "&amp;L3090))),OR($C$5="Semua",$C$5="",G3090=$C$5),OR($C$6="Semua",$C$6="",H3090=$C$6,H3090="Pengeluaran "&amp;$C$6,AND($C$6="Uang Kos Mama",H3090="Pengeluaran Uang Kos")),OR($C$7="Semua",$C$7="",I3090=$C$7),OR($C$8="Semua",$C$8="",C3090=$C$8,E3090=$C$8),OR($C$9="Semua",$C$9="",D3090=$C$9),OR($C$10="",B3090&gt;=$C$10),OR($C$11="",B3090&lt;=$C$11),OR($C$12&lt;&gt;"Ya",K3090&lt;&gt;""),OR($C$13="Semua",$C$13="",L3090=$C$13)),"✓","")</f>
        <v/>
      </c>
      <c r="N3090" s="93">
        <f>N(N3089)+IF(M3090="✓",1,0)</f>
        <v/>
      </c>
      <c r="O3090" s="93">
        <f>N(O3089)+IF(AND(B3090&lt;&gt;"",B3090&gt;='Uang Riba'!$H$30,B3090&lt;='Uang Riba'!$I$30,OR(H3090="Dana riba",H3090="Pinjam uang riba",I3090="Pinjam dari uang riba",I3090="Ganti uang riba",I3090="Kelebihan ganti dikembalikan",AND(C3090="Kantong Uang Riba",G3090="Pengeluaran"))),1,0)</f>
        <v/>
      </c>
      <c r="X3090" s="93">
        <f>IF(AND(B3090&lt;&gt;"",B3090&gt;='Buku Akun'!$H$4,B3090&lt;='Buku Akun'!$H$5,OR(C3090='Buku Akun'!$C$4,AND(D3090="Pindah",E3090='Buku Akun'!$C$4))),B3090+IF(AND(I3090="Selisih bunga",DAY(B3090)=1),0,0.01)+ROW()/10000000,"")</f>
        <v/>
      </c>
    </row>
    <row r="3091" outlineLevel="1" ht="15" customHeight="1" s="94">
      <c r="A3091" s="123">
        <f>IF(B3091="","",ROW()-15)</f>
        <v/>
      </c>
      <c r="B3091" s="124" t="n"/>
      <c r="C3091" s="123" t="n"/>
      <c r="D3091" s="123" t="n"/>
      <c r="E3091" s="123" t="n"/>
      <c r="F3091" s="125" t="n"/>
      <c r="G3091" s="123" t="n"/>
      <c r="H3091" s="123" t="n"/>
      <c r="I3091" s="123" t="n"/>
      <c r="J3091" s="123" t="n"/>
      <c r="K3091" s="123" t="n"/>
      <c r="L3091" s="123" t="n"/>
      <c r="M3091" s="123">
        <f>IF(AND(B3091&lt;&gt;"",OR($C$4="",ISNUMBER(SEARCH($C$4,C3091&amp;" "&amp;E3091&amp;" "&amp;G3091&amp;" "&amp;H3091&amp;" "&amp;I3091&amp;" "&amp;J3091&amp;" "&amp;K3091&amp;" "&amp;L3091))),OR($C$5="Semua",$C$5="",G3091=$C$5),OR($C$6="Semua",$C$6="",H3091=$C$6,H3091="Pengeluaran "&amp;$C$6,AND($C$6="Uang Kos Mama",H3091="Pengeluaran Uang Kos")),OR($C$7="Semua",$C$7="",I3091=$C$7),OR($C$8="Semua",$C$8="",C3091=$C$8,E3091=$C$8),OR($C$9="Semua",$C$9="",D3091=$C$9),OR($C$10="",B3091&gt;=$C$10),OR($C$11="",B3091&lt;=$C$11),OR($C$12&lt;&gt;"Ya",K3091&lt;&gt;""),OR($C$13="Semua",$C$13="",L3091=$C$13)),"✓","")</f>
        <v/>
      </c>
      <c r="N3091" s="93">
        <f>N(N3090)+IF(M3091="✓",1,0)</f>
        <v/>
      </c>
      <c r="O3091" s="93">
        <f>N(O3090)+IF(AND(B3091&lt;&gt;"",B3091&gt;='Uang Riba'!$H$30,B3091&lt;='Uang Riba'!$I$30,OR(H3091="Dana riba",H3091="Pinjam uang riba",I3091="Pinjam dari uang riba",I3091="Ganti uang riba",I3091="Kelebihan ganti dikembalikan",AND(C3091="Kantong Uang Riba",G3091="Pengeluaran"))),1,0)</f>
        <v/>
      </c>
      <c r="X3091" s="93">
        <f>IF(AND(B3091&lt;&gt;"",B3091&gt;='Buku Akun'!$H$4,B3091&lt;='Buku Akun'!$H$5,OR(C3091='Buku Akun'!$C$4,AND(D3091="Pindah",E3091='Buku Akun'!$C$4))),B3091+IF(AND(I3091="Selisih bunga",DAY(B3091)=1),0,0.01)+ROW()/10000000,"")</f>
        <v/>
      </c>
    </row>
    <row r="3092" outlineLevel="1" ht="15" customHeight="1" s="94">
      <c r="A3092" s="123">
        <f>IF(B3092="","",ROW()-15)</f>
        <v/>
      </c>
      <c r="B3092" s="124" t="n"/>
      <c r="C3092" s="123" t="n"/>
      <c r="D3092" s="123" t="n"/>
      <c r="E3092" s="123" t="n"/>
      <c r="F3092" s="125" t="n"/>
      <c r="G3092" s="123" t="n"/>
      <c r="H3092" s="123" t="n"/>
      <c r="I3092" s="123" t="n"/>
      <c r="J3092" s="123" t="n"/>
      <c r="K3092" s="123" t="n"/>
      <c r="L3092" s="123" t="n"/>
      <c r="M3092" s="123">
        <f>IF(AND(B3092&lt;&gt;"",OR($C$4="",ISNUMBER(SEARCH($C$4,C3092&amp;" "&amp;E3092&amp;" "&amp;G3092&amp;" "&amp;H3092&amp;" "&amp;I3092&amp;" "&amp;J3092&amp;" "&amp;K3092&amp;" "&amp;L3092))),OR($C$5="Semua",$C$5="",G3092=$C$5),OR($C$6="Semua",$C$6="",H3092=$C$6,H3092="Pengeluaran "&amp;$C$6,AND($C$6="Uang Kos Mama",H3092="Pengeluaran Uang Kos")),OR($C$7="Semua",$C$7="",I3092=$C$7),OR($C$8="Semua",$C$8="",C3092=$C$8,E3092=$C$8),OR($C$9="Semua",$C$9="",D3092=$C$9),OR($C$10="",B3092&gt;=$C$10),OR($C$11="",B3092&lt;=$C$11),OR($C$12&lt;&gt;"Ya",K3092&lt;&gt;""),OR($C$13="Semua",$C$13="",L3092=$C$13)),"✓","")</f>
        <v/>
      </c>
      <c r="N3092" s="93">
        <f>N(N3091)+IF(M3092="✓",1,0)</f>
        <v/>
      </c>
      <c r="O3092" s="93">
        <f>N(O3091)+IF(AND(B3092&lt;&gt;"",B3092&gt;='Uang Riba'!$H$30,B3092&lt;='Uang Riba'!$I$30,OR(H3092="Dana riba",H3092="Pinjam uang riba",I3092="Pinjam dari uang riba",I3092="Ganti uang riba",I3092="Kelebihan ganti dikembalikan",AND(C3092="Kantong Uang Riba",G3092="Pengeluaran"))),1,0)</f>
        <v/>
      </c>
      <c r="X3092" s="93">
        <f>IF(AND(B3092&lt;&gt;"",B3092&gt;='Buku Akun'!$H$4,B3092&lt;='Buku Akun'!$H$5,OR(C3092='Buku Akun'!$C$4,AND(D3092="Pindah",E3092='Buku Akun'!$C$4))),B3092+IF(AND(I3092="Selisih bunga",DAY(B3092)=1),0,0.01)+ROW()/10000000,"")</f>
        <v/>
      </c>
    </row>
    <row r="3093" outlineLevel="1" ht="15" customHeight="1" s="94">
      <c r="A3093" s="123">
        <f>IF(B3093="","",ROW()-15)</f>
        <v/>
      </c>
      <c r="B3093" s="124" t="n"/>
      <c r="C3093" s="123" t="n"/>
      <c r="D3093" s="123" t="n"/>
      <c r="E3093" s="123" t="n"/>
      <c r="F3093" s="125" t="n"/>
      <c r="G3093" s="123" t="n"/>
      <c r="H3093" s="123" t="n"/>
      <c r="I3093" s="123" t="n"/>
      <c r="J3093" s="123" t="n"/>
      <c r="K3093" s="123" t="n"/>
      <c r="L3093" s="123" t="n"/>
      <c r="M3093" s="123">
        <f>IF(AND(B3093&lt;&gt;"",OR($C$4="",ISNUMBER(SEARCH($C$4,C3093&amp;" "&amp;E3093&amp;" "&amp;G3093&amp;" "&amp;H3093&amp;" "&amp;I3093&amp;" "&amp;J3093&amp;" "&amp;K3093&amp;" "&amp;L3093))),OR($C$5="Semua",$C$5="",G3093=$C$5),OR($C$6="Semua",$C$6="",H3093=$C$6,H3093="Pengeluaran "&amp;$C$6,AND($C$6="Uang Kos Mama",H3093="Pengeluaran Uang Kos")),OR($C$7="Semua",$C$7="",I3093=$C$7),OR($C$8="Semua",$C$8="",C3093=$C$8,E3093=$C$8),OR($C$9="Semua",$C$9="",D3093=$C$9),OR($C$10="",B3093&gt;=$C$10),OR($C$11="",B3093&lt;=$C$11),OR($C$12&lt;&gt;"Ya",K3093&lt;&gt;""),OR($C$13="Semua",$C$13="",L3093=$C$13)),"✓","")</f>
        <v/>
      </c>
      <c r="N3093" s="93">
        <f>N(N3092)+IF(M3093="✓",1,0)</f>
        <v/>
      </c>
      <c r="O3093" s="93">
        <f>N(O3092)+IF(AND(B3093&lt;&gt;"",B3093&gt;='Uang Riba'!$H$30,B3093&lt;='Uang Riba'!$I$30,OR(H3093="Dana riba",H3093="Pinjam uang riba",I3093="Pinjam dari uang riba",I3093="Ganti uang riba",I3093="Kelebihan ganti dikembalikan",AND(C3093="Kantong Uang Riba",G3093="Pengeluaran"))),1,0)</f>
        <v/>
      </c>
      <c r="X3093" s="93">
        <f>IF(AND(B3093&lt;&gt;"",B3093&gt;='Buku Akun'!$H$4,B3093&lt;='Buku Akun'!$H$5,OR(C3093='Buku Akun'!$C$4,AND(D3093="Pindah",E3093='Buku Akun'!$C$4))),B3093+IF(AND(I3093="Selisih bunga",DAY(B3093)=1),0,0.01)+ROW()/10000000,"")</f>
        <v/>
      </c>
    </row>
    <row r="3094" outlineLevel="1" ht="15" customHeight="1" s="94">
      <c r="A3094" s="123">
        <f>IF(B3094="","",ROW()-15)</f>
        <v/>
      </c>
      <c r="B3094" s="124" t="n"/>
      <c r="C3094" s="123" t="n"/>
      <c r="D3094" s="123" t="n"/>
      <c r="E3094" s="123" t="n"/>
      <c r="F3094" s="125" t="n"/>
      <c r="G3094" s="123" t="n"/>
      <c r="H3094" s="123" t="n"/>
      <c r="I3094" s="123" t="n"/>
      <c r="J3094" s="123" t="n"/>
      <c r="K3094" s="123" t="n"/>
      <c r="L3094" s="123" t="n"/>
      <c r="M3094" s="123">
        <f>IF(AND(B3094&lt;&gt;"",OR($C$4="",ISNUMBER(SEARCH($C$4,C3094&amp;" "&amp;E3094&amp;" "&amp;G3094&amp;" "&amp;H3094&amp;" "&amp;I3094&amp;" "&amp;J3094&amp;" "&amp;K3094&amp;" "&amp;L3094))),OR($C$5="Semua",$C$5="",G3094=$C$5),OR($C$6="Semua",$C$6="",H3094=$C$6,H3094="Pengeluaran "&amp;$C$6,AND($C$6="Uang Kos Mama",H3094="Pengeluaran Uang Kos")),OR($C$7="Semua",$C$7="",I3094=$C$7),OR($C$8="Semua",$C$8="",C3094=$C$8,E3094=$C$8),OR($C$9="Semua",$C$9="",D3094=$C$9),OR($C$10="",B3094&gt;=$C$10),OR($C$11="",B3094&lt;=$C$11),OR($C$12&lt;&gt;"Ya",K3094&lt;&gt;""),OR($C$13="Semua",$C$13="",L3094=$C$13)),"✓","")</f>
        <v/>
      </c>
      <c r="N3094" s="93">
        <f>N(N3093)+IF(M3094="✓",1,0)</f>
        <v/>
      </c>
      <c r="O3094" s="93">
        <f>N(O3093)+IF(AND(B3094&lt;&gt;"",B3094&gt;='Uang Riba'!$H$30,B3094&lt;='Uang Riba'!$I$30,OR(H3094="Dana riba",H3094="Pinjam uang riba",I3094="Pinjam dari uang riba",I3094="Ganti uang riba",I3094="Kelebihan ganti dikembalikan",AND(C3094="Kantong Uang Riba",G3094="Pengeluaran"))),1,0)</f>
        <v/>
      </c>
      <c r="X3094" s="93">
        <f>IF(AND(B3094&lt;&gt;"",B3094&gt;='Buku Akun'!$H$4,B3094&lt;='Buku Akun'!$H$5,OR(C3094='Buku Akun'!$C$4,AND(D3094="Pindah",E3094='Buku Akun'!$C$4))),B3094+IF(AND(I3094="Selisih bunga",DAY(B3094)=1),0,0.01)+ROW()/10000000,"")</f>
        <v/>
      </c>
    </row>
    <row r="3095" outlineLevel="1" ht="15" customHeight="1" s="94">
      <c r="A3095" s="123">
        <f>IF(B3095="","",ROW()-15)</f>
        <v/>
      </c>
      <c r="B3095" s="124" t="n"/>
      <c r="C3095" s="123" t="n"/>
      <c r="D3095" s="123" t="n"/>
      <c r="E3095" s="123" t="n"/>
      <c r="F3095" s="125" t="n"/>
      <c r="G3095" s="123" t="n"/>
      <c r="H3095" s="123" t="n"/>
      <c r="I3095" s="123" t="n"/>
      <c r="J3095" s="123" t="n"/>
      <c r="K3095" s="123" t="n"/>
      <c r="L3095" s="123" t="n"/>
      <c r="M3095" s="123">
        <f>IF(AND(B3095&lt;&gt;"",OR($C$4="",ISNUMBER(SEARCH($C$4,C3095&amp;" "&amp;E3095&amp;" "&amp;G3095&amp;" "&amp;H3095&amp;" "&amp;I3095&amp;" "&amp;J3095&amp;" "&amp;K3095&amp;" "&amp;L3095))),OR($C$5="Semua",$C$5="",G3095=$C$5),OR($C$6="Semua",$C$6="",H3095=$C$6,H3095="Pengeluaran "&amp;$C$6,AND($C$6="Uang Kos Mama",H3095="Pengeluaran Uang Kos")),OR($C$7="Semua",$C$7="",I3095=$C$7),OR($C$8="Semua",$C$8="",C3095=$C$8,E3095=$C$8),OR($C$9="Semua",$C$9="",D3095=$C$9),OR($C$10="",B3095&gt;=$C$10),OR($C$11="",B3095&lt;=$C$11),OR($C$12&lt;&gt;"Ya",K3095&lt;&gt;""),OR($C$13="Semua",$C$13="",L3095=$C$13)),"✓","")</f>
        <v/>
      </c>
      <c r="N3095" s="93">
        <f>N(N3094)+IF(M3095="✓",1,0)</f>
        <v/>
      </c>
      <c r="O3095" s="93">
        <f>N(O3094)+IF(AND(B3095&lt;&gt;"",B3095&gt;='Uang Riba'!$H$30,B3095&lt;='Uang Riba'!$I$30,OR(H3095="Dana riba",H3095="Pinjam uang riba",I3095="Pinjam dari uang riba",I3095="Ganti uang riba",I3095="Kelebihan ganti dikembalikan",AND(C3095="Kantong Uang Riba",G3095="Pengeluaran"))),1,0)</f>
        <v/>
      </c>
      <c r="X3095" s="93">
        <f>IF(AND(B3095&lt;&gt;"",B3095&gt;='Buku Akun'!$H$4,B3095&lt;='Buku Akun'!$H$5,OR(C3095='Buku Akun'!$C$4,AND(D3095="Pindah",E3095='Buku Akun'!$C$4))),B3095+IF(AND(I3095="Selisih bunga",DAY(B3095)=1),0,0.01)+ROW()/10000000,"")</f>
        <v/>
      </c>
    </row>
    <row r="3096" outlineLevel="1" ht="15" customHeight="1" s="94">
      <c r="A3096" s="123">
        <f>IF(B3096="","",ROW()-15)</f>
        <v/>
      </c>
      <c r="B3096" s="124" t="n"/>
      <c r="C3096" s="123" t="n"/>
      <c r="D3096" s="123" t="n"/>
      <c r="E3096" s="123" t="n"/>
      <c r="F3096" s="125" t="n"/>
      <c r="G3096" s="123" t="n"/>
      <c r="H3096" s="123" t="n"/>
      <c r="I3096" s="123" t="n"/>
      <c r="J3096" s="123" t="n"/>
      <c r="K3096" s="123" t="n"/>
      <c r="L3096" s="123" t="n"/>
      <c r="M3096" s="123">
        <f>IF(AND(B3096&lt;&gt;"",OR($C$4="",ISNUMBER(SEARCH($C$4,C3096&amp;" "&amp;E3096&amp;" "&amp;G3096&amp;" "&amp;H3096&amp;" "&amp;I3096&amp;" "&amp;J3096&amp;" "&amp;K3096&amp;" "&amp;L3096))),OR($C$5="Semua",$C$5="",G3096=$C$5),OR($C$6="Semua",$C$6="",H3096=$C$6,H3096="Pengeluaran "&amp;$C$6,AND($C$6="Uang Kos Mama",H3096="Pengeluaran Uang Kos")),OR($C$7="Semua",$C$7="",I3096=$C$7),OR($C$8="Semua",$C$8="",C3096=$C$8,E3096=$C$8),OR($C$9="Semua",$C$9="",D3096=$C$9),OR($C$10="",B3096&gt;=$C$10),OR($C$11="",B3096&lt;=$C$11),OR($C$12&lt;&gt;"Ya",K3096&lt;&gt;""),OR($C$13="Semua",$C$13="",L3096=$C$13)),"✓","")</f>
        <v/>
      </c>
      <c r="N3096" s="93">
        <f>N(N3095)+IF(M3096="✓",1,0)</f>
        <v/>
      </c>
      <c r="O3096" s="93">
        <f>N(O3095)+IF(AND(B3096&lt;&gt;"",B3096&gt;='Uang Riba'!$H$30,B3096&lt;='Uang Riba'!$I$30,OR(H3096="Dana riba",H3096="Pinjam uang riba",I3096="Pinjam dari uang riba",I3096="Ganti uang riba",I3096="Kelebihan ganti dikembalikan",AND(C3096="Kantong Uang Riba",G3096="Pengeluaran"))),1,0)</f>
        <v/>
      </c>
      <c r="X3096" s="93">
        <f>IF(AND(B3096&lt;&gt;"",B3096&gt;='Buku Akun'!$H$4,B3096&lt;='Buku Akun'!$H$5,OR(C3096='Buku Akun'!$C$4,AND(D3096="Pindah",E3096='Buku Akun'!$C$4))),B3096+IF(AND(I3096="Selisih bunga",DAY(B3096)=1),0,0.01)+ROW()/10000000,"")</f>
        <v/>
      </c>
    </row>
    <row r="3097" outlineLevel="1" ht="15" customHeight="1" s="94">
      <c r="A3097" s="123">
        <f>IF(B3097="","",ROW()-15)</f>
        <v/>
      </c>
      <c r="B3097" s="124" t="n"/>
      <c r="C3097" s="123" t="n"/>
      <c r="D3097" s="123" t="n"/>
      <c r="E3097" s="123" t="n"/>
      <c r="F3097" s="125" t="n"/>
      <c r="G3097" s="123" t="n"/>
      <c r="H3097" s="123" t="n"/>
      <c r="I3097" s="123" t="n"/>
      <c r="J3097" s="123" t="n"/>
      <c r="K3097" s="123" t="n"/>
      <c r="L3097" s="123" t="n"/>
      <c r="M3097" s="123">
        <f>IF(AND(B3097&lt;&gt;"",OR($C$4="",ISNUMBER(SEARCH($C$4,C3097&amp;" "&amp;E3097&amp;" "&amp;G3097&amp;" "&amp;H3097&amp;" "&amp;I3097&amp;" "&amp;J3097&amp;" "&amp;K3097&amp;" "&amp;L3097))),OR($C$5="Semua",$C$5="",G3097=$C$5),OR($C$6="Semua",$C$6="",H3097=$C$6,H3097="Pengeluaran "&amp;$C$6,AND($C$6="Uang Kos Mama",H3097="Pengeluaran Uang Kos")),OR($C$7="Semua",$C$7="",I3097=$C$7),OR($C$8="Semua",$C$8="",C3097=$C$8,E3097=$C$8),OR($C$9="Semua",$C$9="",D3097=$C$9),OR($C$10="",B3097&gt;=$C$10),OR($C$11="",B3097&lt;=$C$11),OR($C$12&lt;&gt;"Ya",K3097&lt;&gt;""),OR($C$13="Semua",$C$13="",L3097=$C$13)),"✓","")</f>
        <v/>
      </c>
      <c r="N3097" s="93">
        <f>N(N3096)+IF(M3097="✓",1,0)</f>
        <v/>
      </c>
      <c r="O3097" s="93">
        <f>N(O3096)+IF(AND(B3097&lt;&gt;"",B3097&gt;='Uang Riba'!$H$30,B3097&lt;='Uang Riba'!$I$30,OR(H3097="Dana riba",H3097="Pinjam uang riba",I3097="Pinjam dari uang riba",I3097="Ganti uang riba",I3097="Kelebihan ganti dikembalikan",AND(C3097="Kantong Uang Riba",G3097="Pengeluaran"))),1,0)</f>
        <v/>
      </c>
      <c r="X3097" s="93">
        <f>IF(AND(B3097&lt;&gt;"",B3097&gt;='Buku Akun'!$H$4,B3097&lt;='Buku Akun'!$H$5,OR(C3097='Buku Akun'!$C$4,AND(D3097="Pindah",E3097='Buku Akun'!$C$4))),B3097+IF(AND(I3097="Selisih bunga",DAY(B3097)=1),0,0.01)+ROW()/10000000,"")</f>
        <v/>
      </c>
    </row>
    <row r="3098" outlineLevel="1" ht="15" customHeight="1" s="94">
      <c r="A3098" s="123">
        <f>IF(B3098="","",ROW()-15)</f>
        <v/>
      </c>
      <c r="B3098" s="124" t="n"/>
      <c r="C3098" s="123" t="n"/>
      <c r="D3098" s="123" t="n"/>
      <c r="E3098" s="123" t="n"/>
      <c r="F3098" s="125" t="n"/>
      <c r="G3098" s="123" t="n"/>
      <c r="H3098" s="123" t="n"/>
      <c r="I3098" s="123" t="n"/>
      <c r="J3098" s="123" t="n"/>
      <c r="K3098" s="123" t="n"/>
      <c r="L3098" s="123" t="n"/>
      <c r="M3098" s="123">
        <f>IF(AND(B3098&lt;&gt;"",OR($C$4="",ISNUMBER(SEARCH($C$4,C3098&amp;" "&amp;E3098&amp;" "&amp;G3098&amp;" "&amp;H3098&amp;" "&amp;I3098&amp;" "&amp;J3098&amp;" "&amp;K3098&amp;" "&amp;L3098))),OR($C$5="Semua",$C$5="",G3098=$C$5),OR($C$6="Semua",$C$6="",H3098=$C$6,H3098="Pengeluaran "&amp;$C$6,AND($C$6="Uang Kos Mama",H3098="Pengeluaran Uang Kos")),OR($C$7="Semua",$C$7="",I3098=$C$7),OR($C$8="Semua",$C$8="",C3098=$C$8,E3098=$C$8),OR($C$9="Semua",$C$9="",D3098=$C$9),OR($C$10="",B3098&gt;=$C$10),OR($C$11="",B3098&lt;=$C$11),OR($C$12&lt;&gt;"Ya",K3098&lt;&gt;""),OR($C$13="Semua",$C$13="",L3098=$C$13)),"✓","")</f>
        <v/>
      </c>
      <c r="N3098" s="93">
        <f>N(N3097)+IF(M3098="✓",1,0)</f>
        <v/>
      </c>
      <c r="O3098" s="93">
        <f>N(O3097)+IF(AND(B3098&lt;&gt;"",B3098&gt;='Uang Riba'!$H$30,B3098&lt;='Uang Riba'!$I$30,OR(H3098="Dana riba",H3098="Pinjam uang riba",I3098="Pinjam dari uang riba",I3098="Ganti uang riba",I3098="Kelebihan ganti dikembalikan",AND(C3098="Kantong Uang Riba",G3098="Pengeluaran"))),1,0)</f>
        <v/>
      </c>
      <c r="X3098" s="93">
        <f>IF(AND(B3098&lt;&gt;"",B3098&gt;='Buku Akun'!$H$4,B3098&lt;='Buku Akun'!$H$5,OR(C3098='Buku Akun'!$C$4,AND(D3098="Pindah",E3098='Buku Akun'!$C$4))),B3098+IF(AND(I3098="Selisih bunga",DAY(B3098)=1),0,0.01)+ROW()/10000000,"")</f>
        <v/>
      </c>
    </row>
    <row r="3099" outlineLevel="1" ht="15" customHeight="1" s="94">
      <c r="A3099" s="123">
        <f>IF(B3099="","",ROW()-15)</f>
        <v/>
      </c>
      <c r="B3099" s="124" t="n"/>
      <c r="C3099" s="123" t="n"/>
      <c r="D3099" s="123" t="n"/>
      <c r="E3099" s="123" t="n"/>
      <c r="F3099" s="125" t="n"/>
      <c r="G3099" s="123" t="n"/>
      <c r="H3099" s="123" t="n"/>
      <c r="I3099" s="123" t="n"/>
      <c r="J3099" s="123" t="n"/>
      <c r="K3099" s="123" t="n"/>
      <c r="L3099" s="123" t="n"/>
      <c r="M3099" s="123">
        <f>IF(AND(B3099&lt;&gt;"",OR($C$4="",ISNUMBER(SEARCH($C$4,C3099&amp;" "&amp;E3099&amp;" "&amp;G3099&amp;" "&amp;H3099&amp;" "&amp;I3099&amp;" "&amp;J3099&amp;" "&amp;K3099&amp;" "&amp;L3099))),OR($C$5="Semua",$C$5="",G3099=$C$5),OR($C$6="Semua",$C$6="",H3099=$C$6,H3099="Pengeluaran "&amp;$C$6,AND($C$6="Uang Kos Mama",H3099="Pengeluaran Uang Kos")),OR($C$7="Semua",$C$7="",I3099=$C$7),OR($C$8="Semua",$C$8="",C3099=$C$8,E3099=$C$8),OR($C$9="Semua",$C$9="",D3099=$C$9),OR($C$10="",B3099&gt;=$C$10),OR($C$11="",B3099&lt;=$C$11),OR($C$12&lt;&gt;"Ya",K3099&lt;&gt;""),OR($C$13="Semua",$C$13="",L3099=$C$13)),"✓","")</f>
        <v/>
      </c>
      <c r="N3099" s="93">
        <f>N(N3098)+IF(M3099="✓",1,0)</f>
        <v/>
      </c>
      <c r="O3099" s="93">
        <f>N(O3098)+IF(AND(B3099&lt;&gt;"",B3099&gt;='Uang Riba'!$H$30,B3099&lt;='Uang Riba'!$I$30,OR(H3099="Dana riba",H3099="Pinjam uang riba",I3099="Pinjam dari uang riba",I3099="Ganti uang riba",I3099="Kelebihan ganti dikembalikan",AND(C3099="Kantong Uang Riba",G3099="Pengeluaran"))),1,0)</f>
        <v/>
      </c>
      <c r="X3099" s="93">
        <f>IF(AND(B3099&lt;&gt;"",B3099&gt;='Buku Akun'!$H$4,B3099&lt;='Buku Akun'!$H$5,OR(C3099='Buku Akun'!$C$4,AND(D3099="Pindah",E3099='Buku Akun'!$C$4))),B3099+IF(AND(I3099="Selisih bunga",DAY(B3099)=1),0,0.01)+ROW()/10000000,"")</f>
        <v/>
      </c>
    </row>
    <row r="3100" outlineLevel="1" ht="15" customHeight="1" s="94">
      <c r="A3100" s="123">
        <f>IF(B3100="","",ROW()-15)</f>
        <v/>
      </c>
      <c r="B3100" s="124" t="n"/>
      <c r="C3100" s="123" t="n"/>
      <c r="D3100" s="123" t="n"/>
      <c r="E3100" s="123" t="n"/>
      <c r="F3100" s="125" t="n"/>
      <c r="G3100" s="123" t="n"/>
      <c r="H3100" s="123" t="n"/>
      <c r="I3100" s="123" t="n"/>
      <c r="J3100" s="123" t="n"/>
      <c r="K3100" s="123" t="n"/>
      <c r="L3100" s="123" t="n"/>
      <c r="M3100" s="123">
        <f>IF(AND(B3100&lt;&gt;"",OR($C$4="",ISNUMBER(SEARCH($C$4,C3100&amp;" "&amp;E3100&amp;" "&amp;G3100&amp;" "&amp;H3100&amp;" "&amp;I3100&amp;" "&amp;J3100&amp;" "&amp;K3100&amp;" "&amp;L3100))),OR($C$5="Semua",$C$5="",G3100=$C$5),OR($C$6="Semua",$C$6="",H3100=$C$6,H3100="Pengeluaran "&amp;$C$6,AND($C$6="Uang Kos Mama",H3100="Pengeluaran Uang Kos")),OR($C$7="Semua",$C$7="",I3100=$C$7),OR($C$8="Semua",$C$8="",C3100=$C$8,E3100=$C$8),OR($C$9="Semua",$C$9="",D3100=$C$9),OR($C$10="",B3100&gt;=$C$10),OR($C$11="",B3100&lt;=$C$11),OR($C$12&lt;&gt;"Ya",K3100&lt;&gt;""),OR($C$13="Semua",$C$13="",L3100=$C$13)),"✓","")</f>
        <v/>
      </c>
      <c r="N3100" s="93">
        <f>N(N3099)+IF(M3100="✓",1,0)</f>
        <v/>
      </c>
      <c r="O3100" s="93">
        <f>N(O3099)+IF(AND(B3100&lt;&gt;"",B3100&gt;='Uang Riba'!$H$30,B3100&lt;='Uang Riba'!$I$30,OR(H3100="Dana riba",H3100="Pinjam uang riba",I3100="Pinjam dari uang riba",I3100="Ganti uang riba",I3100="Kelebihan ganti dikembalikan",AND(C3100="Kantong Uang Riba",G3100="Pengeluaran"))),1,0)</f>
        <v/>
      </c>
      <c r="X3100" s="93">
        <f>IF(AND(B3100&lt;&gt;"",B3100&gt;='Buku Akun'!$H$4,B3100&lt;='Buku Akun'!$H$5,OR(C3100='Buku Akun'!$C$4,AND(D3100="Pindah",E3100='Buku Akun'!$C$4))),B3100+IF(AND(I3100="Selisih bunga",DAY(B3100)=1),0,0.01)+ROW()/10000000,"")</f>
        <v/>
      </c>
    </row>
    <row r="3101" outlineLevel="1" ht="15" customHeight="1" s="94">
      <c r="A3101" s="123">
        <f>IF(B3101="","",ROW()-15)</f>
        <v/>
      </c>
      <c r="B3101" s="124" t="n"/>
      <c r="C3101" s="123" t="n"/>
      <c r="D3101" s="123" t="n"/>
      <c r="E3101" s="123" t="n"/>
      <c r="F3101" s="125" t="n"/>
      <c r="G3101" s="123" t="n"/>
      <c r="H3101" s="123" t="n"/>
      <c r="I3101" s="123" t="n"/>
      <c r="J3101" s="123" t="n"/>
      <c r="K3101" s="123" t="n"/>
      <c r="L3101" s="123" t="n"/>
      <c r="M3101" s="123">
        <f>IF(AND(B3101&lt;&gt;"",OR($C$4="",ISNUMBER(SEARCH($C$4,C3101&amp;" "&amp;E3101&amp;" "&amp;G3101&amp;" "&amp;H3101&amp;" "&amp;I3101&amp;" "&amp;J3101&amp;" "&amp;K3101&amp;" "&amp;L3101))),OR($C$5="Semua",$C$5="",G3101=$C$5),OR($C$6="Semua",$C$6="",H3101=$C$6,H3101="Pengeluaran "&amp;$C$6,AND($C$6="Uang Kos Mama",H3101="Pengeluaran Uang Kos")),OR($C$7="Semua",$C$7="",I3101=$C$7),OR($C$8="Semua",$C$8="",C3101=$C$8,E3101=$C$8),OR($C$9="Semua",$C$9="",D3101=$C$9),OR($C$10="",B3101&gt;=$C$10),OR($C$11="",B3101&lt;=$C$11),OR($C$12&lt;&gt;"Ya",K3101&lt;&gt;""),OR($C$13="Semua",$C$13="",L3101=$C$13)),"✓","")</f>
        <v/>
      </c>
      <c r="N3101" s="93">
        <f>N(N3100)+IF(M3101="✓",1,0)</f>
        <v/>
      </c>
      <c r="O3101" s="93">
        <f>N(O3100)+IF(AND(B3101&lt;&gt;"",B3101&gt;='Uang Riba'!$H$30,B3101&lt;='Uang Riba'!$I$30,OR(H3101="Dana riba",H3101="Pinjam uang riba",I3101="Pinjam dari uang riba",I3101="Ganti uang riba",I3101="Kelebihan ganti dikembalikan",AND(C3101="Kantong Uang Riba",G3101="Pengeluaran"))),1,0)</f>
        <v/>
      </c>
      <c r="X3101" s="93">
        <f>IF(AND(B3101&lt;&gt;"",B3101&gt;='Buku Akun'!$H$4,B3101&lt;='Buku Akun'!$H$5,OR(C3101='Buku Akun'!$C$4,AND(D3101="Pindah",E3101='Buku Akun'!$C$4))),B3101+IF(AND(I3101="Selisih bunga",DAY(B3101)=1),0,0.01)+ROW()/10000000,"")</f>
        <v/>
      </c>
    </row>
    <row r="3102" outlineLevel="1" ht="15" customHeight="1" s="94">
      <c r="A3102" s="123">
        <f>IF(B3102="","",ROW()-15)</f>
        <v/>
      </c>
      <c r="B3102" s="124" t="n"/>
      <c r="C3102" s="123" t="n"/>
      <c r="D3102" s="123" t="n"/>
      <c r="E3102" s="123" t="n"/>
      <c r="F3102" s="125" t="n"/>
      <c r="G3102" s="123" t="n"/>
      <c r="H3102" s="123" t="n"/>
      <c r="I3102" s="123" t="n"/>
      <c r="J3102" s="123" t="n"/>
      <c r="K3102" s="123" t="n"/>
      <c r="L3102" s="123" t="n"/>
      <c r="M3102" s="123">
        <f>IF(AND(B3102&lt;&gt;"",OR($C$4="",ISNUMBER(SEARCH($C$4,C3102&amp;" "&amp;E3102&amp;" "&amp;G3102&amp;" "&amp;H3102&amp;" "&amp;I3102&amp;" "&amp;J3102&amp;" "&amp;K3102&amp;" "&amp;L3102))),OR($C$5="Semua",$C$5="",G3102=$C$5),OR($C$6="Semua",$C$6="",H3102=$C$6,H3102="Pengeluaran "&amp;$C$6,AND($C$6="Uang Kos Mama",H3102="Pengeluaran Uang Kos")),OR($C$7="Semua",$C$7="",I3102=$C$7),OR($C$8="Semua",$C$8="",C3102=$C$8,E3102=$C$8),OR($C$9="Semua",$C$9="",D3102=$C$9),OR($C$10="",B3102&gt;=$C$10),OR($C$11="",B3102&lt;=$C$11),OR($C$12&lt;&gt;"Ya",K3102&lt;&gt;""),OR($C$13="Semua",$C$13="",L3102=$C$13)),"✓","")</f>
        <v/>
      </c>
      <c r="N3102" s="93">
        <f>N(N3101)+IF(M3102="✓",1,0)</f>
        <v/>
      </c>
      <c r="O3102" s="93">
        <f>N(O3101)+IF(AND(B3102&lt;&gt;"",B3102&gt;='Uang Riba'!$H$30,B3102&lt;='Uang Riba'!$I$30,OR(H3102="Dana riba",H3102="Pinjam uang riba",I3102="Pinjam dari uang riba",I3102="Ganti uang riba",I3102="Kelebihan ganti dikembalikan",AND(C3102="Kantong Uang Riba",G3102="Pengeluaran"))),1,0)</f>
        <v/>
      </c>
      <c r="X3102" s="93">
        <f>IF(AND(B3102&lt;&gt;"",B3102&gt;='Buku Akun'!$H$4,B3102&lt;='Buku Akun'!$H$5,OR(C3102='Buku Akun'!$C$4,AND(D3102="Pindah",E3102='Buku Akun'!$C$4))),B3102+IF(AND(I3102="Selisih bunga",DAY(B3102)=1),0,0.01)+ROW()/10000000,"")</f>
        <v/>
      </c>
    </row>
    <row r="3103" outlineLevel="1" ht="15" customHeight="1" s="94">
      <c r="A3103" s="123">
        <f>IF(B3103="","",ROW()-15)</f>
        <v/>
      </c>
      <c r="B3103" s="124" t="n"/>
      <c r="C3103" s="123" t="n"/>
      <c r="D3103" s="123" t="n"/>
      <c r="E3103" s="123" t="n"/>
      <c r="F3103" s="125" t="n"/>
      <c r="G3103" s="123" t="n"/>
      <c r="H3103" s="123" t="n"/>
      <c r="I3103" s="123" t="n"/>
      <c r="J3103" s="123" t="n"/>
      <c r="K3103" s="123" t="n"/>
      <c r="L3103" s="123" t="n"/>
      <c r="M3103" s="123">
        <f>IF(AND(B3103&lt;&gt;"",OR($C$4="",ISNUMBER(SEARCH($C$4,C3103&amp;" "&amp;E3103&amp;" "&amp;G3103&amp;" "&amp;H3103&amp;" "&amp;I3103&amp;" "&amp;J3103&amp;" "&amp;K3103&amp;" "&amp;L3103))),OR($C$5="Semua",$C$5="",G3103=$C$5),OR($C$6="Semua",$C$6="",H3103=$C$6,H3103="Pengeluaran "&amp;$C$6,AND($C$6="Uang Kos Mama",H3103="Pengeluaran Uang Kos")),OR($C$7="Semua",$C$7="",I3103=$C$7),OR($C$8="Semua",$C$8="",C3103=$C$8,E3103=$C$8),OR($C$9="Semua",$C$9="",D3103=$C$9),OR($C$10="",B3103&gt;=$C$10),OR($C$11="",B3103&lt;=$C$11),OR($C$12&lt;&gt;"Ya",K3103&lt;&gt;""),OR($C$13="Semua",$C$13="",L3103=$C$13)),"✓","")</f>
        <v/>
      </c>
      <c r="N3103" s="93">
        <f>N(N3102)+IF(M3103="✓",1,0)</f>
        <v/>
      </c>
      <c r="O3103" s="93">
        <f>N(O3102)+IF(AND(B3103&lt;&gt;"",B3103&gt;='Uang Riba'!$H$30,B3103&lt;='Uang Riba'!$I$30,OR(H3103="Dana riba",H3103="Pinjam uang riba",I3103="Pinjam dari uang riba",I3103="Ganti uang riba",I3103="Kelebihan ganti dikembalikan",AND(C3103="Kantong Uang Riba",G3103="Pengeluaran"))),1,0)</f>
        <v/>
      </c>
      <c r="X3103" s="93">
        <f>IF(AND(B3103&lt;&gt;"",B3103&gt;='Buku Akun'!$H$4,B3103&lt;='Buku Akun'!$H$5,OR(C3103='Buku Akun'!$C$4,AND(D3103="Pindah",E3103='Buku Akun'!$C$4))),B3103+IF(AND(I3103="Selisih bunga",DAY(B3103)=1),0,0.01)+ROW()/10000000,"")</f>
        <v/>
      </c>
    </row>
    <row r="3104" outlineLevel="1" ht="15" customHeight="1" s="94">
      <c r="A3104" s="123">
        <f>IF(B3104="","",ROW()-15)</f>
        <v/>
      </c>
      <c r="B3104" s="124" t="n"/>
      <c r="C3104" s="123" t="n"/>
      <c r="D3104" s="123" t="n"/>
      <c r="E3104" s="123" t="n"/>
      <c r="F3104" s="125" t="n"/>
      <c r="G3104" s="123" t="n"/>
      <c r="H3104" s="123" t="n"/>
      <c r="I3104" s="123" t="n"/>
      <c r="J3104" s="123" t="n"/>
      <c r="K3104" s="123" t="n"/>
      <c r="L3104" s="123" t="n"/>
      <c r="M3104" s="123">
        <f>IF(AND(B3104&lt;&gt;"",OR($C$4="",ISNUMBER(SEARCH($C$4,C3104&amp;" "&amp;E3104&amp;" "&amp;G3104&amp;" "&amp;H3104&amp;" "&amp;I3104&amp;" "&amp;J3104&amp;" "&amp;K3104&amp;" "&amp;L3104))),OR($C$5="Semua",$C$5="",G3104=$C$5),OR($C$6="Semua",$C$6="",H3104=$C$6,H3104="Pengeluaran "&amp;$C$6,AND($C$6="Uang Kos Mama",H3104="Pengeluaran Uang Kos")),OR($C$7="Semua",$C$7="",I3104=$C$7),OR($C$8="Semua",$C$8="",C3104=$C$8,E3104=$C$8),OR($C$9="Semua",$C$9="",D3104=$C$9),OR($C$10="",B3104&gt;=$C$10),OR($C$11="",B3104&lt;=$C$11),OR($C$12&lt;&gt;"Ya",K3104&lt;&gt;""),OR($C$13="Semua",$C$13="",L3104=$C$13)),"✓","")</f>
        <v/>
      </c>
      <c r="N3104" s="93">
        <f>N(N3103)+IF(M3104="✓",1,0)</f>
        <v/>
      </c>
      <c r="O3104" s="93">
        <f>N(O3103)+IF(AND(B3104&lt;&gt;"",B3104&gt;='Uang Riba'!$H$30,B3104&lt;='Uang Riba'!$I$30,OR(H3104="Dana riba",H3104="Pinjam uang riba",I3104="Pinjam dari uang riba",I3104="Ganti uang riba",I3104="Kelebihan ganti dikembalikan",AND(C3104="Kantong Uang Riba",G3104="Pengeluaran"))),1,0)</f>
        <v/>
      </c>
      <c r="X3104" s="93">
        <f>IF(AND(B3104&lt;&gt;"",B3104&gt;='Buku Akun'!$H$4,B3104&lt;='Buku Akun'!$H$5,OR(C3104='Buku Akun'!$C$4,AND(D3104="Pindah",E3104='Buku Akun'!$C$4))),B3104+IF(AND(I3104="Selisih bunga",DAY(B3104)=1),0,0.01)+ROW()/10000000,"")</f>
        <v/>
      </c>
    </row>
    <row r="3105" outlineLevel="1" ht="15" customHeight="1" s="94">
      <c r="A3105" s="123">
        <f>IF(B3105="","",ROW()-15)</f>
        <v/>
      </c>
      <c r="B3105" s="124" t="n"/>
      <c r="C3105" s="123" t="n"/>
      <c r="D3105" s="123" t="n"/>
      <c r="E3105" s="123" t="n"/>
      <c r="F3105" s="125" t="n"/>
      <c r="G3105" s="123" t="n"/>
      <c r="H3105" s="123" t="n"/>
      <c r="I3105" s="123" t="n"/>
      <c r="J3105" s="123" t="n"/>
      <c r="K3105" s="123" t="n"/>
      <c r="L3105" s="123" t="n"/>
      <c r="M3105" s="123">
        <f>IF(AND(B3105&lt;&gt;"",OR($C$4="",ISNUMBER(SEARCH($C$4,C3105&amp;" "&amp;E3105&amp;" "&amp;G3105&amp;" "&amp;H3105&amp;" "&amp;I3105&amp;" "&amp;J3105&amp;" "&amp;K3105&amp;" "&amp;L3105))),OR($C$5="Semua",$C$5="",G3105=$C$5),OR($C$6="Semua",$C$6="",H3105=$C$6,H3105="Pengeluaran "&amp;$C$6,AND($C$6="Uang Kos Mama",H3105="Pengeluaran Uang Kos")),OR($C$7="Semua",$C$7="",I3105=$C$7),OR($C$8="Semua",$C$8="",C3105=$C$8,E3105=$C$8),OR($C$9="Semua",$C$9="",D3105=$C$9),OR($C$10="",B3105&gt;=$C$10),OR($C$11="",B3105&lt;=$C$11),OR($C$12&lt;&gt;"Ya",K3105&lt;&gt;""),OR($C$13="Semua",$C$13="",L3105=$C$13)),"✓","")</f>
        <v/>
      </c>
      <c r="N3105" s="93">
        <f>N(N3104)+IF(M3105="✓",1,0)</f>
        <v/>
      </c>
      <c r="O3105" s="93">
        <f>N(O3104)+IF(AND(B3105&lt;&gt;"",B3105&gt;='Uang Riba'!$H$30,B3105&lt;='Uang Riba'!$I$30,OR(H3105="Dana riba",H3105="Pinjam uang riba",I3105="Pinjam dari uang riba",I3105="Ganti uang riba",I3105="Kelebihan ganti dikembalikan",AND(C3105="Kantong Uang Riba",G3105="Pengeluaran"))),1,0)</f>
        <v/>
      </c>
      <c r="X3105" s="93">
        <f>IF(AND(B3105&lt;&gt;"",B3105&gt;='Buku Akun'!$H$4,B3105&lt;='Buku Akun'!$H$5,OR(C3105='Buku Akun'!$C$4,AND(D3105="Pindah",E3105='Buku Akun'!$C$4))),B3105+IF(AND(I3105="Selisih bunga",DAY(B3105)=1),0,0.01)+ROW()/10000000,"")</f>
        <v/>
      </c>
    </row>
    <row r="3106" outlineLevel="1" ht="15" customHeight="1" s="94">
      <c r="A3106" s="123">
        <f>IF(B3106="","",ROW()-15)</f>
        <v/>
      </c>
      <c r="B3106" s="124" t="n"/>
      <c r="C3106" s="123" t="n"/>
      <c r="D3106" s="123" t="n"/>
      <c r="E3106" s="123" t="n"/>
      <c r="F3106" s="125" t="n"/>
      <c r="G3106" s="123" t="n"/>
      <c r="H3106" s="123" t="n"/>
      <c r="I3106" s="123" t="n"/>
      <c r="J3106" s="123" t="n"/>
      <c r="K3106" s="123" t="n"/>
      <c r="L3106" s="123" t="n"/>
      <c r="M3106" s="123">
        <f>IF(AND(B3106&lt;&gt;"",OR($C$4="",ISNUMBER(SEARCH($C$4,C3106&amp;" "&amp;E3106&amp;" "&amp;G3106&amp;" "&amp;H3106&amp;" "&amp;I3106&amp;" "&amp;J3106&amp;" "&amp;K3106&amp;" "&amp;L3106))),OR($C$5="Semua",$C$5="",G3106=$C$5),OR($C$6="Semua",$C$6="",H3106=$C$6,H3106="Pengeluaran "&amp;$C$6,AND($C$6="Uang Kos Mama",H3106="Pengeluaran Uang Kos")),OR($C$7="Semua",$C$7="",I3106=$C$7),OR($C$8="Semua",$C$8="",C3106=$C$8,E3106=$C$8),OR($C$9="Semua",$C$9="",D3106=$C$9),OR($C$10="",B3106&gt;=$C$10),OR($C$11="",B3106&lt;=$C$11),OR($C$12&lt;&gt;"Ya",K3106&lt;&gt;""),OR($C$13="Semua",$C$13="",L3106=$C$13)),"✓","")</f>
        <v/>
      </c>
      <c r="N3106" s="93">
        <f>N(N3105)+IF(M3106="✓",1,0)</f>
        <v/>
      </c>
      <c r="O3106" s="93">
        <f>N(O3105)+IF(AND(B3106&lt;&gt;"",B3106&gt;='Uang Riba'!$H$30,B3106&lt;='Uang Riba'!$I$30,OR(H3106="Dana riba",H3106="Pinjam uang riba",I3106="Pinjam dari uang riba",I3106="Ganti uang riba",I3106="Kelebihan ganti dikembalikan",AND(C3106="Kantong Uang Riba",G3106="Pengeluaran"))),1,0)</f>
        <v/>
      </c>
      <c r="X3106" s="93">
        <f>IF(AND(B3106&lt;&gt;"",B3106&gt;='Buku Akun'!$H$4,B3106&lt;='Buku Akun'!$H$5,OR(C3106='Buku Akun'!$C$4,AND(D3106="Pindah",E3106='Buku Akun'!$C$4))),B3106+IF(AND(I3106="Selisih bunga",DAY(B3106)=1),0,0.01)+ROW()/10000000,"")</f>
        <v/>
      </c>
    </row>
    <row r="3107" outlineLevel="1" ht="15" customHeight="1" s="94">
      <c r="A3107" s="123">
        <f>IF(B3107="","",ROW()-15)</f>
        <v/>
      </c>
      <c r="B3107" s="124" t="n"/>
      <c r="C3107" s="123" t="n"/>
      <c r="D3107" s="123" t="n"/>
      <c r="E3107" s="123" t="n"/>
      <c r="F3107" s="125" t="n"/>
      <c r="G3107" s="123" t="n"/>
      <c r="H3107" s="123" t="n"/>
      <c r="I3107" s="123" t="n"/>
      <c r="J3107" s="123" t="n"/>
      <c r="K3107" s="123" t="n"/>
      <c r="L3107" s="123" t="n"/>
      <c r="M3107" s="123">
        <f>IF(AND(B3107&lt;&gt;"",OR($C$4="",ISNUMBER(SEARCH($C$4,C3107&amp;" "&amp;E3107&amp;" "&amp;G3107&amp;" "&amp;H3107&amp;" "&amp;I3107&amp;" "&amp;J3107&amp;" "&amp;K3107&amp;" "&amp;L3107))),OR($C$5="Semua",$C$5="",G3107=$C$5),OR($C$6="Semua",$C$6="",H3107=$C$6,H3107="Pengeluaran "&amp;$C$6,AND($C$6="Uang Kos Mama",H3107="Pengeluaran Uang Kos")),OR($C$7="Semua",$C$7="",I3107=$C$7),OR($C$8="Semua",$C$8="",C3107=$C$8,E3107=$C$8),OR($C$9="Semua",$C$9="",D3107=$C$9),OR($C$10="",B3107&gt;=$C$10),OR($C$11="",B3107&lt;=$C$11),OR($C$12&lt;&gt;"Ya",K3107&lt;&gt;""),OR($C$13="Semua",$C$13="",L3107=$C$13)),"✓","")</f>
        <v/>
      </c>
      <c r="N3107" s="93">
        <f>N(N3106)+IF(M3107="✓",1,0)</f>
        <v/>
      </c>
      <c r="O3107" s="93">
        <f>N(O3106)+IF(AND(B3107&lt;&gt;"",B3107&gt;='Uang Riba'!$H$30,B3107&lt;='Uang Riba'!$I$30,OR(H3107="Dana riba",H3107="Pinjam uang riba",I3107="Pinjam dari uang riba",I3107="Ganti uang riba",I3107="Kelebihan ganti dikembalikan",AND(C3107="Kantong Uang Riba",G3107="Pengeluaran"))),1,0)</f>
        <v/>
      </c>
      <c r="X3107" s="93">
        <f>IF(AND(B3107&lt;&gt;"",B3107&gt;='Buku Akun'!$H$4,B3107&lt;='Buku Akun'!$H$5,OR(C3107='Buku Akun'!$C$4,AND(D3107="Pindah",E3107='Buku Akun'!$C$4))),B3107+IF(AND(I3107="Selisih bunga",DAY(B3107)=1),0,0.01)+ROW()/10000000,"")</f>
        <v/>
      </c>
    </row>
    <row r="3108" outlineLevel="1" ht="15" customHeight="1" s="94">
      <c r="A3108" s="123">
        <f>IF(B3108="","",ROW()-15)</f>
        <v/>
      </c>
      <c r="B3108" s="124" t="n"/>
      <c r="C3108" s="123" t="n"/>
      <c r="D3108" s="123" t="n"/>
      <c r="E3108" s="123" t="n"/>
      <c r="F3108" s="125" t="n"/>
      <c r="G3108" s="123" t="n"/>
      <c r="H3108" s="123" t="n"/>
      <c r="I3108" s="123" t="n"/>
      <c r="J3108" s="123" t="n"/>
      <c r="K3108" s="123" t="n"/>
      <c r="L3108" s="123" t="n"/>
      <c r="M3108" s="123">
        <f>IF(AND(B3108&lt;&gt;"",OR($C$4="",ISNUMBER(SEARCH($C$4,C3108&amp;" "&amp;E3108&amp;" "&amp;G3108&amp;" "&amp;H3108&amp;" "&amp;I3108&amp;" "&amp;J3108&amp;" "&amp;K3108&amp;" "&amp;L3108))),OR($C$5="Semua",$C$5="",G3108=$C$5),OR($C$6="Semua",$C$6="",H3108=$C$6,H3108="Pengeluaran "&amp;$C$6,AND($C$6="Uang Kos Mama",H3108="Pengeluaran Uang Kos")),OR($C$7="Semua",$C$7="",I3108=$C$7),OR($C$8="Semua",$C$8="",C3108=$C$8,E3108=$C$8),OR($C$9="Semua",$C$9="",D3108=$C$9),OR($C$10="",B3108&gt;=$C$10),OR($C$11="",B3108&lt;=$C$11),OR($C$12&lt;&gt;"Ya",K3108&lt;&gt;""),OR($C$13="Semua",$C$13="",L3108=$C$13)),"✓","")</f>
        <v/>
      </c>
      <c r="N3108" s="93">
        <f>N(N3107)+IF(M3108="✓",1,0)</f>
        <v/>
      </c>
      <c r="O3108" s="93">
        <f>N(O3107)+IF(AND(B3108&lt;&gt;"",B3108&gt;='Uang Riba'!$H$30,B3108&lt;='Uang Riba'!$I$30,OR(H3108="Dana riba",H3108="Pinjam uang riba",I3108="Pinjam dari uang riba",I3108="Ganti uang riba",I3108="Kelebihan ganti dikembalikan",AND(C3108="Kantong Uang Riba",G3108="Pengeluaran"))),1,0)</f>
        <v/>
      </c>
      <c r="X3108" s="93">
        <f>IF(AND(B3108&lt;&gt;"",B3108&gt;='Buku Akun'!$H$4,B3108&lt;='Buku Akun'!$H$5,OR(C3108='Buku Akun'!$C$4,AND(D3108="Pindah",E3108='Buku Akun'!$C$4))),B3108+IF(AND(I3108="Selisih bunga",DAY(B3108)=1),0,0.01)+ROW()/10000000,"")</f>
        <v/>
      </c>
    </row>
    <row r="3109" outlineLevel="1" ht="15" customHeight="1" s="94">
      <c r="A3109" s="123">
        <f>IF(B3109="","",ROW()-15)</f>
        <v/>
      </c>
      <c r="B3109" s="124" t="n"/>
      <c r="C3109" s="123" t="n"/>
      <c r="D3109" s="123" t="n"/>
      <c r="E3109" s="123" t="n"/>
      <c r="F3109" s="125" t="n"/>
      <c r="G3109" s="123" t="n"/>
      <c r="H3109" s="123" t="n"/>
      <c r="I3109" s="123" t="n"/>
      <c r="J3109" s="123" t="n"/>
      <c r="K3109" s="123" t="n"/>
      <c r="L3109" s="123" t="n"/>
      <c r="M3109" s="123">
        <f>IF(AND(B3109&lt;&gt;"",OR($C$4="",ISNUMBER(SEARCH($C$4,C3109&amp;" "&amp;E3109&amp;" "&amp;G3109&amp;" "&amp;H3109&amp;" "&amp;I3109&amp;" "&amp;J3109&amp;" "&amp;K3109&amp;" "&amp;L3109))),OR($C$5="Semua",$C$5="",G3109=$C$5),OR($C$6="Semua",$C$6="",H3109=$C$6,H3109="Pengeluaran "&amp;$C$6,AND($C$6="Uang Kos Mama",H3109="Pengeluaran Uang Kos")),OR($C$7="Semua",$C$7="",I3109=$C$7),OR($C$8="Semua",$C$8="",C3109=$C$8,E3109=$C$8),OR($C$9="Semua",$C$9="",D3109=$C$9),OR($C$10="",B3109&gt;=$C$10),OR($C$11="",B3109&lt;=$C$11),OR($C$12&lt;&gt;"Ya",K3109&lt;&gt;""),OR($C$13="Semua",$C$13="",L3109=$C$13)),"✓","")</f>
        <v/>
      </c>
      <c r="N3109" s="93">
        <f>N(N3108)+IF(M3109="✓",1,0)</f>
        <v/>
      </c>
      <c r="O3109" s="93">
        <f>N(O3108)+IF(AND(B3109&lt;&gt;"",B3109&gt;='Uang Riba'!$H$30,B3109&lt;='Uang Riba'!$I$30,OR(H3109="Dana riba",H3109="Pinjam uang riba",I3109="Pinjam dari uang riba",I3109="Ganti uang riba",I3109="Kelebihan ganti dikembalikan",AND(C3109="Kantong Uang Riba",G3109="Pengeluaran"))),1,0)</f>
        <v/>
      </c>
      <c r="X3109" s="93">
        <f>IF(AND(B3109&lt;&gt;"",B3109&gt;='Buku Akun'!$H$4,B3109&lt;='Buku Akun'!$H$5,OR(C3109='Buku Akun'!$C$4,AND(D3109="Pindah",E3109='Buku Akun'!$C$4))),B3109+IF(AND(I3109="Selisih bunga",DAY(B3109)=1),0,0.01)+ROW()/10000000,"")</f>
        <v/>
      </c>
    </row>
    <row r="3110" outlineLevel="1" ht="15" customHeight="1" s="94">
      <c r="A3110" s="123">
        <f>IF(B3110="","",ROW()-15)</f>
        <v/>
      </c>
      <c r="B3110" s="124" t="n"/>
      <c r="C3110" s="123" t="n"/>
      <c r="D3110" s="123" t="n"/>
      <c r="E3110" s="123" t="n"/>
      <c r="F3110" s="125" t="n"/>
      <c r="G3110" s="123" t="n"/>
      <c r="H3110" s="123" t="n"/>
      <c r="I3110" s="123" t="n"/>
      <c r="J3110" s="123" t="n"/>
      <c r="K3110" s="123" t="n"/>
      <c r="L3110" s="123" t="n"/>
      <c r="M3110" s="123">
        <f>IF(AND(B3110&lt;&gt;"",OR($C$4="",ISNUMBER(SEARCH($C$4,C3110&amp;" "&amp;E3110&amp;" "&amp;G3110&amp;" "&amp;H3110&amp;" "&amp;I3110&amp;" "&amp;J3110&amp;" "&amp;K3110&amp;" "&amp;L3110))),OR($C$5="Semua",$C$5="",G3110=$C$5),OR($C$6="Semua",$C$6="",H3110=$C$6,H3110="Pengeluaran "&amp;$C$6,AND($C$6="Uang Kos Mama",H3110="Pengeluaran Uang Kos")),OR($C$7="Semua",$C$7="",I3110=$C$7),OR($C$8="Semua",$C$8="",C3110=$C$8,E3110=$C$8),OR($C$9="Semua",$C$9="",D3110=$C$9),OR($C$10="",B3110&gt;=$C$10),OR($C$11="",B3110&lt;=$C$11),OR($C$12&lt;&gt;"Ya",K3110&lt;&gt;""),OR($C$13="Semua",$C$13="",L3110=$C$13)),"✓","")</f>
        <v/>
      </c>
      <c r="N3110" s="93">
        <f>N(N3109)+IF(M3110="✓",1,0)</f>
        <v/>
      </c>
      <c r="O3110" s="93">
        <f>N(O3109)+IF(AND(B3110&lt;&gt;"",B3110&gt;='Uang Riba'!$H$30,B3110&lt;='Uang Riba'!$I$30,OR(H3110="Dana riba",H3110="Pinjam uang riba",I3110="Pinjam dari uang riba",I3110="Ganti uang riba",I3110="Kelebihan ganti dikembalikan",AND(C3110="Kantong Uang Riba",G3110="Pengeluaran"))),1,0)</f>
        <v/>
      </c>
      <c r="X3110" s="93">
        <f>IF(AND(B3110&lt;&gt;"",B3110&gt;='Buku Akun'!$H$4,B3110&lt;='Buku Akun'!$H$5,OR(C3110='Buku Akun'!$C$4,AND(D3110="Pindah",E3110='Buku Akun'!$C$4))),B3110+IF(AND(I3110="Selisih bunga",DAY(B3110)=1),0,0.01)+ROW()/10000000,"")</f>
        <v/>
      </c>
    </row>
    <row r="3111" outlineLevel="1" ht="15" customHeight="1" s="94">
      <c r="A3111" s="123">
        <f>IF(B3111="","",ROW()-15)</f>
        <v/>
      </c>
      <c r="B3111" s="124" t="n"/>
      <c r="C3111" s="123" t="n"/>
      <c r="D3111" s="123" t="n"/>
      <c r="E3111" s="123" t="n"/>
      <c r="F3111" s="125" t="n"/>
      <c r="G3111" s="123" t="n"/>
      <c r="H3111" s="123" t="n"/>
      <c r="I3111" s="123" t="n"/>
      <c r="J3111" s="123" t="n"/>
      <c r="K3111" s="123" t="n"/>
      <c r="L3111" s="123" t="n"/>
      <c r="M3111" s="123">
        <f>IF(AND(B3111&lt;&gt;"",OR($C$4="",ISNUMBER(SEARCH($C$4,C3111&amp;" "&amp;E3111&amp;" "&amp;G3111&amp;" "&amp;H3111&amp;" "&amp;I3111&amp;" "&amp;J3111&amp;" "&amp;K3111&amp;" "&amp;L3111))),OR($C$5="Semua",$C$5="",G3111=$C$5),OR($C$6="Semua",$C$6="",H3111=$C$6,H3111="Pengeluaran "&amp;$C$6,AND($C$6="Uang Kos Mama",H3111="Pengeluaran Uang Kos")),OR($C$7="Semua",$C$7="",I3111=$C$7),OR($C$8="Semua",$C$8="",C3111=$C$8,E3111=$C$8),OR($C$9="Semua",$C$9="",D3111=$C$9),OR($C$10="",B3111&gt;=$C$10),OR($C$11="",B3111&lt;=$C$11),OR($C$12&lt;&gt;"Ya",K3111&lt;&gt;""),OR($C$13="Semua",$C$13="",L3111=$C$13)),"✓","")</f>
        <v/>
      </c>
      <c r="N3111" s="93">
        <f>N(N3110)+IF(M3111="✓",1,0)</f>
        <v/>
      </c>
      <c r="O3111" s="93">
        <f>N(O3110)+IF(AND(B3111&lt;&gt;"",B3111&gt;='Uang Riba'!$H$30,B3111&lt;='Uang Riba'!$I$30,OR(H3111="Dana riba",H3111="Pinjam uang riba",I3111="Pinjam dari uang riba",I3111="Ganti uang riba",I3111="Kelebihan ganti dikembalikan",AND(C3111="Kantong Uang Riba",G3111="Pengeluaran"))),1,0)</f>
        <v/>
      </c>
      <c r="X3111" s="93">
        <f>IF(AND(B3111&lt;&gt;"",B3111&gt;='Buku Akun'!$H$4,B3111&lt;='Buku Akun'!$H$5,OR(C3111='Buku Akun'!$C$4,AND(D3111="Pindah",E3111='Buku Akun'!$C$4))),B3111+IF(AND(I3111="Selisih bunga",DAY(B3111)=1),0,0.01)+ROW()/10000000,"")</f>
        <v/>
      </c>
    </row>
    <row r="3112" outlineLevel="1" ht="15" customHeight="1" s="94">
      <c r="A3112" s="123">
        <f>IF(B3112="","",ROW()-15)</f>
        <v/>
      </c>
      <c r="B3112" s="124" t="n"/>
      <c r="C3112" s="123" t="n"/>
      <c r="D3112" s="123" t="n"/>
      <c r="E3112" s="123" t="n"/>
      <c r="F3112" s="125" t="n"/>
      <c r="G3112" s="123" t="n"/>
      <c r="H3112" s="123" t="n"/>
      <c r="I3112" s="123" t="n"/>
      <c r="J3112" s="123" t="n"/>
      <c r="K3112" s="123" t="n"/>
      <c r="L3112" s="123" t="n"/>
      <c r="M3112" s="123">
        <f>IF(AND(B3112&lt;&gt;"",OR($C$4="",ISNUMBER(SEARCH($C$4,C3112&amp;" "&amp;E3112&amp;" "&amp;G3112&amp;" "&amp;H3112&amp;" "&amp;I3112&amp;" "&amp;J3112&amp;" "&amp;K3112&amp;" "&amp;L3112))),OR($C$5="Semua",$C$5="",G3112=$C$5),OR($C$6="Semua",$C$6="",H3112=$C$6,H3112="Pengeluaran "&amp;$C$6,AND($C$6="Uang Kos Mama",H3112="Pengeluaran Uang Kos")),OR($C$7="Semua",$C$7="",I3112=$C$7),OR($C$8="Semua",$C$8="",C3112=$C$8,E3112=$C$8),OR($C$9="Semua",$C$9="",D3112=$C$9),OR($C$10="",B3112&gt;=$C$10),OR($C$11="",B3112&lt;=$C$11),OR($C$12&lt;&gt;"Ya",K3112&lt;&gt;""),OR($C$13="Semua",$C$13="",L3112=$C$13)),"✓","")</f>
        <v/>
      </c>
      <c r="N3112" s="93">
        <f>N(N3111)+IF(M3112="✓",1,0)</f>
        <v/>
      </c>
      <c r="O3112" s="93">
        <f>N(O3111)+IF(AND(B3112&lt;&gt;"",B3112&gt;='Uang Riba'!$H$30,B3112&lt;='Uang Riba'!$I$30,OR(H3112="Dana riba",H3112="Pinjam uang riba",I3112="Pinjam dari uang riba",I3112="Ganti uang riba",I3112="Kelebihan ganti dikembalikan",AND(C3112="Kantong Uang Riba",G3112="Pengeluaran"))),1,0)</f>
        <v/>
      </c>
      <c r="X3112" s="93">
        <f>IF(AND(B3112&lt;&gt;"",B3112&gt;='Buku Akun'!$H$4,B3112&lt;='Buku Akun'!$H$5,OR(C3112='Buku Akun'!$C$4,AND(D3112="Pindah",E3112='Buku Akun'!$C$4))),B3112+IF(AND(I3112="Selisih bunga",DAY(B3112)=1),0,0.01)+ROW()/10000000,"")</f>
        <v/>
      </c>
    </row>
    <row r="3113" outlineLevel="1" ht="15" customHeight="1" s="94">
      <c r="A3113" s="123">
        <f>IF(B3113="","",ROW()-15)</f>
        <v/>
      </c>
      <c r="B3113" s="124" t="n"/>
      <c r="C3113" s="123" t="n"/>
      <c r="D3113" s="123" t="n"/>
      <c r="E3113" s="123" t="n"/>
      <c r="F3113" s="125" t="n"/>
      <c r="G3113" s="123" t="n"/>
      <c r="H3113" s="123" t="n"/>
      <c r="I3113" s="123" t="n"/>
      <c r="J3113" s="123" t="n"/>
      <c r="K3113" s="123" t="n"/>
      <c r="L3113" s="123" t="n"/>
      <c r="M3113" s="123">
        <f>IF(AND(B3113&lt;&gt;"",OR($C$4="",ISNUMBER(SEARCH($C$4,C3113&amp;" "&amp;E3113&amp;" "&amp;G3113&amp;" "&amp;H3113&amp;" "&amp;I3113&amp;" "&amp;J3113&amp;" "&amp;K3113&amp;" "&amp;L3113))),OR($C$5="Semua",$C$5="",G3113=$C$5),OR($C$6="Semua",$C$6="",H3113=$C$6,H3113="Pengeluaran "&amp;$C$6,AND($C$6="Uang Kos Mama",H3113="Pengeluaran Uang Kos")),OR($C$7="Semua",$C$7="",I3113=$C$7),OR($C$8="Semua",$C$8="",C3113=$C$8,E3113=$C$8),OR($C$9="Semua",$C$9="",D3113=$C$9),OR($C$10="",B3113&gt;=$C$10),OR($C$11="",B3113&lt;=$C$11),OR($C$12&lt;&gt;"Ya",K3113&lt;&gt;""),OR($C$13="Semua",$C$13="",L3113=$C$13)),"✓","")</f>
        <v/>
      </c>
      <c r="N3113" s="93">
        <f>N(N3112)+IF(M3113="✓",1,0)</f>
        <v/>
      </c>
      <c r="O3113" s="93">
        <f>N(O3112)+IF(AND(B3113&lt;&gt;"",B3113&gt;='Uang Riba'!$H$30,B3113&lt;='Uang Riba'!$I$30,OR(H3113="Dana riba",H3113="Pinjam uang riba",I3113="Pinjam dari uang riba",I3113="Ganti uang riba",I3113="Kelebihan ganti dikembalikan",AND(C3113="Kantong Uang Riba",G3113="Pengeluaran"))),1,0)</f>
        <v/>
      </c>
      <c r="X3113" s="93">
        <f>IF(AND(B3113&lt;&gt;"",B3113&gt;='Buku Akun'!$H$4,B3113&lt;='Buku Akun'!$H$5,OR(C3113='Buku Akun'!$C$4,AND(D3113="Pindah",E3113='Buku Akun'!$C$4))),B3113+IF(AND(I3113="Selisih bunga",DAY(B3113)=1),0,0.01)+ROW()/10000000,"")</f>
        <v/>
      </c>
    </row>
    <row r="3114" outlineLevel="1" ht="15" customHeight="1" s="94">
      <c r="A3114" s="123">
        <f>IF(B3114="","",ROW()-15)</f>
        <v/>
      </c>
      <c r="B3114" s="124" t="n"/>
      <c r="C3114" s="123" t="n"/>
      <c r="D3114" s="123" t="n"/>
      <c r="E3114" s="123" t="n"/>
      <c r="F3114" s="125" t="n"/>
      <c r="G3114" s="123" t="n"/>
      <c r="H3114" s="123" t="n"/>
      <c r="I3114" s="123" t="n"/>
      <c r="J3114" s="123" t="n"/>
      <c r="K3114" s="123" t="n"/>
      <c r="L3114" s="123" t="n"/>
      <c r="M3114" s="123">
        <f>IF(AND(B3114&lt;&gt;"",OR($C$4="",ISNUMBER(SEARCH($C$4,C3114&amp;" "&amp;E3114&amp;" "&amp;G3114&amp;" "&amp;H3114&amp;" "&amp;I3114&amp;" "&amp;J3114&amp;" "&amp;K3114&amp;" "&amp;L3114))),OR($C$5="Semua",$C$5="",G3114=$C$5),OR($C$6="Semua",$C$6="",H3114=$C$6,H3114="Pengeluaran "&amp;$C$6,AND($C$6="Uang Kos Mama",H3114="Pengeluaran Uang Kos")),OR($C$7="Semua",$C$7="",I3114=$C$7),OR($C$8="Semua",$C$8="",C3114=$C$8,E3114=$C$8),OR($C$9="Semua",$C$9="",D3114=$C$9),OR($C$10="",B3114&gt;=$C$10),OR($C$11="",B3114&lt;=$C$11),OR($C$12&lt;&gt;"Ya",K3114&lt;&gt;""),OR($C$13="Semua",$C$13="",L3114=$C$13)),"✓","")</f>
        <v/>
      </c>
      <c r="N3114" s="93">
        <f>N(N3113)+IF(M3114="✓",1,0)</f>
        <v/>
      </c>
      <c r="O3114" s="93">
        <f>N(O3113)+IF(AND(B3114&lt;&gt;"",B3114&gt;='Uang Riba'!$H$30,B3114&lt;='Uang Riba'!$I$30,OR(H3114="Dana riba",H3114="Pinjam uang riba",I3114="Pinjam dari uang riba",I3114="Ganti uang riba",I3114="Kelebihan ganti dikembalikan",AND(C3114="Kantong Uang Riba",G3114="Pengeluaran"))),1,0)</f>
        <v/>
      </c>
      <c r="X3114" s="93">
        <f>IF(AND(B3114&lt;&gt;"",B3114&gt;='Buku Akun'!$H$4,B3114&lt;='Buku Akun'!$H$5,OR(C3114='Buku Akun'!$C$4,AND(D3114="Pindah",E3114='Buku Akun'!$C$4))),B3114+IF(AND(I3114="Selisih bunga",DAY(B3114)=1),0,0.01)+ROW()/10000000,"")</f>
        <v/>
      </c>
    </row>
    <row r="3115" outlineLevel="1" ht="15" customHeight="1" s="94">
      <c r="A3115" s="123">
        <f>IF(B3115="","",ROW()-15)</f>
        <v/>
      </c>
      <c r="B3115" s="124" t="n"/>
      <c r="C3115" s="123" t="n"/>
      <c r="D3115" s="123" t="n"/>
      <c r="E3115" s="123" t="n"/>
      <c r="F3115" s="125" t="n"/>
      <c r="G3115" s="123" t="n"/>
      <c r="H3115" s="123" t="n"/>
      <c r="I3115" s="123" t="n"/>
      <c r="J3115" s="123" t="n"/>
      <c r="K3115" s="123" t="n"/>
      <c r="L3115" s="123" t="n"/>
      <c r="M3115" s="123">
        <f>IF(AND(B3115&lt;&gt;"",OR($C$4="",ISNUMBER(SEARCH($C$4,C3115&amp;" "&amp;E3115&amp;" "&amp;G3115&amp;" "&amp;H3115&amp;" "&amp;I3115&amp;" "&amp;J3115&amp;" "&amp;K3115&amp;" "&amp;L3115))),OR($C$5="Semua",$C$5="",G3115=$C$5),OR($C$6="Semua",$C$6="",H3115=$C$6,H3115="Pengeluaran "&amp;$C$6,AND($C$6="Uang Kos Mama",H3115="Pengeluaran Uang Kos")),OR($C$7="Semua",$C$7="",I3115=$C$7),OR($C$8="Semua",$C$8="",C3115=$C$8,E3115=$C$8),OR($C$9="Semua",$C$9="",D3115=$C$9),OR($C$10="",B3115&gt;=$C$10),OR($C$11="",B3115&lt;=$C$11),OR($C$12&lt;&gt;"Ya",K3115&lt;&gt;""),OR($C$13="Semua",$C$13="",L3115=$C$13)),"✓","")</f>
        <v/>
      </c>
      <c r="N3115" s="93">
        <f>N(N3114)+IF(M3115="✓",1,0)</f>
        <v/>
      </c>
      <c r="O3115" s="93">
        <f>N(O3114)+IF(AND(B3115&lt;&gt;"",B3115&gt;='Uang Riba'!$H$30,B3115&lt;='Uang Riba'!$I$30,OR(H3115="Dana riba",H3115="Pinjam uang riba",I3115="Pinjam dari uang riba",I3115="Ganti uang riba",I3115="Kelebihan ganti dikembalikan",AND(C3115="Kantong Uang Riba",G3115="Pengeluaran"))),1,0)</f>
        <v/>
      </c>
      <c r="X3115" s="93">
        <f>IF(AND(B3115&lt;&gt;"",B3115&gt;='Buku Akun'!$H$4,B3115&lt;='Buku Akun'!$H$5,OR(C3115='Buku Akun'!$C$4,AND(D3115="Pindah",E3115='Buku Akun'!$C$4))),B3115+IF(AND(I3115="Selisih bunga",DAY(B3115)=1),0,0.01)+ROW()/10000000,"")</f>
        <v/>
      </c>
    </row>
    <row r="3116" outlineLevel="1" ht="15" customHeight="1" s="94">
      <c r="A3116" s="123">
        <f>IF(B3116="","",ROW()-15)</f>
        <v/>
      </c>
      <c r="B3116" s="124" t="n"/>
      <c r="C3116" s="123" t="n"/>
      <c r="D3116" s="123" t="n"/>
      <c r="E3116" s="123" t="n"/>
      <c r="F3116" s="125" t="n"/>
      <c r="G3116" s="123" t="n"/>
      <c r="H3116" s="123" t="n"/>
      <c r="I3116" s="123" t="n"/>
      <c r="J3116" s="123" t="n"/>
      <c r="K3116" s="123" t="n"/>
      <c r="L3116" s="123" t="n"/>
      <c r="M3116" s="123">
        <f>IF(AND(B3116&lt;&gt;"",OR($C$4="",ISNUMBER(SEARCH($C$4,C3116&amp;" "&amp;E3116&amp;" "&amp;G3116&amp;" "&amp;H3116&amp;" "&amp;I3116&amp;" "&amp;J3116&amp;" "&amp;K3116&amp;" "&amp;L3116))),OR($C$5="Semua",$C$5="",G3116=$C$5),OR($C$6="Semua",$C$6="",H3116=$C$6,H3116="Pengeluaran "&amp;$C$6,AND($C$6="Uang Kos Mama",H3116="Pengeluaran Uang Kos")),OR($C$7="Semua",$C$7="",I3116=$C$7),OR($C$8="Semua",$C$8="",C3116=$C$8,E3116=$C$8),OR($C$9="Semua",$C$9="",D3116=$C$9),OR($C$10="",B3116&gt;=$C$10),OR($C$11="",B3116&lt;=$C$11),OR($C$12&lt;&gt;"Ya",K3116&lt;&gt;""),OR($C$13="Semua",$C$13="",L3116=$C$13)),"✓","")</f>
        <v/>
      </c>
      <c r="N3116" s="93">
        <f>N(N3115)+IF(M3116="✓",1,0)</f>
        <v/>
      </c>
      <c r="O3116" s="93">
        <f>N(O3115)+IF(AND(B3116&lt;&gt;"",B3116&gt;='Uang Riba'!$H$30,B3116&lt;='Uang Riba'!$I$30,OR(H3116="Dana riba",H3116="Pinjam uang riba",I3116="Pinjam dari uang riba",I3116="Ganti uang riba",I3116="Kelebihan ganti dikembalikan",AND(C3116="Kantong Uang Riba",G3116="Pengeluaran"))),1,0)</f>
        <v/>
      </c>
      <c r="X3116" s="93">
        <f>IF(AND(B3116&lt;&gt;"",B3116&gt;='Buku Akun'!$H$4,B3116&lt;='Buku Akun'!$H$5,OR(C3116='Buku Akun'!$C$4,AND(D3116="Pindah",E3116='Buku Akun'!$C$4))),B3116+IF(AND(I3116="Selisih bunga",DAY(B3116)=1),0,0.01)+ROW()/10000000,"")</f>
        <v/>
      </c>
    </row>
    <row r="3117" outlineLevel="1" ht="15" customHeight="1" s="94">
      <c r="A3117" s="123">
        <f>IF(B3117="","",ROW()-15)</f>
        <v/>
      </c>
      <c r="B3117" s="124" t="n"/>
      <c r="C3117" s="123" t="n"/>
      <c r="D3117" s="123" t="n"/>
      <c r="E3117" s="123" t="n"/>
      <c r="F3117" s="125" t="n"/>
      <c r="G3117" s="123" t="n"/>
      <c r="H3117" s="123" t="n"/>
      <c r="I3117" s="123" t="n"/>
      <c r="J3117" s="123" t="n"/>
      <c r="K3117" s="123" t="n"/>
      <c r="L3117" s="123" t="n"/>
      <c r="M3117" s="123">
        <f>IF(AND(B3117&lt;&gt;"",OR($C$4="",ISNUMBER(SEARCH($C$4,C3117&amp;" "&amp;E3117&amp;" "&amp;G3117&amp;" "&amp;H3117&amp;" "&amp;I3117&amp;" "&amp;J3117&amp;" "&amp;K3117&amp;" "&amp;L3117))),OR($C$5="Semua",$C$5="",G3117=$C$5),OR($C$6="Semua",$C$6="",H3117=$C$6,H3117="Pengeluaran "&amp;$C$6,AND($C$6="Uang Kos Mama",H3117="Pengeluaran Uang Kos")),OR($C$7="Semua",$C$7="",I3117=$C$7),OR($C$8="Semua",$C$8="",C3117=$C$8,E3117=$C$8),OR($C$9="Semua",$C$9="",D3117=$C$9),OR($C$10="",B3117&gt;=$C$10),OR($C$11="",B3117&lt;=$C$11),OR($C$12&lt;&gt;"Ya",K3117&lt;&gt;""),OR($C$13="Semua",$C$13="",L3117=$C$13)),"✓","")</f>
        <v/>
      </c>
      <c r="N3117" s="93">
        <f>N(N3116)+IF(M3117="✓",1,0)</f>
        <v/>
      </c>
      <c r="O3117" s="93">
        <f>N(O3116)+IF(AND(B3117&lt;&gt;"",B3117&gt;='Uang Riba'!$H$30,B3117&lt;='Uang Riba'!$I$30,OR(H3117="Dana riba",H3117="Pinjam uang riba",I3117="Pinjam dari uang riba",I3117="Ganti uang riba",I3117="Kelebihan ganti dikembalikan",AND(C3117="Kantong Uang Riba",G3117="Pengeluaran"))),1,0)</f>
        <v/>
      </c>
      <c r="X3117" s="93">
        <f>IF(AND(B3117&lt;&gt;"",B3117&gt;='Buku Akun'!$H$4,B3117&lt;='Buku Akun'!$H$5,OR(C3117='Buku Akun'!$C$4,AND(D3117="Pindah",E3117='Buku Akun'!$C$4))),B3117+IF(AND(I3117="Selisih bunga",DAY(B3117)=1),0,0.01)+ROW()/10000000,"")</f>
        <v/>
      </c>
    </row>
    <row r="3118" outlineLevel="1" ht="15" customHeight="1" s="94">
      <c r="A3118" s="123">
        <f>IF(B3118="","",ROW()-15)</f>
        <v/>
      </c>
      <c r="B3118" s="124" t="n"/>
      <c r="C3118" s="123" t="n"/>
      <c r="D3118" s="123" t="n"/>
      <c r="E3118" s="123" t="n"/>
      <c r="F3118" s="125" t="n"/>
      <c r="G3118" s="123" t="n"/>
      <c r="H3118" s="123" t="n"/>
      <c r="I3118" s="123" t="n"/>
      <c r="J3118" s="123" t="n"/>
      <c r="K3118" s="123" t="n"/>
      <c r="L3118" s="123" t="n"/>
      <c r="M3118" s="123">
        <f>IF(AND(B3118&lt;&gt;"",OR($C$4="",ISNUMBER(SEARCH($C$4,C3118&amp;" "&amp;E3118&amp;" "&amp;G3118&amp;" "&amp;H3118&amp;" "&amp;I3118&amp;" "&amp;J3118&amp;" "&amp;K3118&amp;" "&amp;L3118))),OR($C$5="Semua",$C$5="",G3118=$C$5),OR($C$6="Semua",$C$6="",H3118=$C$6,H3118="Pengeluaran "&amp;$C$6,AND($C$6="Uang Kos Mama",H3118="Pengeluaran Uang Kos")),OR($C$7="Semua",$C$7="",I3118=$C$7),OR($C$8="Semua",$C$8="",C3118=$C$8,E3118=$C$8),OR($C$9="Semua",$C$9="",D3118=$C$9),OR($C$10="",B3118&gt;=$C$10),OR($C$11="",B3118&lt;=$C$11),OR($C$12&lt;&gt;"Ya",K3118&lt;&gt;""),OR($C$13="Semua",$C$13="",L3118=$C$13)),"✓","")</f>
        <v/>
      </c>
      <c r="N3118" s="93">
        <f>N(N3117)+IF(M3118="✓",1,0)</f>
        <v/>
      </c>
      <c r="O3118" s="93">
        <f>N(O3117)+IF(AND(B3118&lt;&gt;"",B3118&gt;='Uang Riba'!$H$30,B3118&lt;='Uang Riba'!$I$30,OR(H3118="Dana riba",H3118="Pinjam uang riba",I3118="Pinjam dari uang riba",I3118="Ganti uang riba",I3118="Kelebihan ganti dikembalikan",AND(C3118="Kantong Uang Riba",G3118="Pengeluaran"))),1,0)</f>
        <v/>
      </c>
      <c r="X3118" s="93">
        <f>IF(AND(B3118&lt;&gt;"",B3118&gt;='Buku Akun'!$H$4,B3118&lt;='Buku Akun'!$H$5,OR(C3118='Buku Akun'!$C$4,AND(D3118="Pindah",E3118='Buku Akun'!$C$4))),B3118+IF(AND(I3118="Selisih bunga",DAY(B3118)=1),0,0.01)+ROW()/10000000,"")</f>
        <v/>
      </c>
    </row>
    <row r="3119" outlineLevel="1" ht="15" customHeight="1" s="94">
      <c r="A3119" s="123">
        <f>IF(B3119="","",ROW()-15)</f>
        <v/>
      </c>
      <c r="B3119" s="124" t="n"/>
      <c r="C3119" s="123" t="n"/>
      <c r="D3119" s="123" t="n"/>
      <c r="E3119" s="123" t="n"/>
      <c r="F3119" s="125" t="n"/>
      <c r="G3119" s="123" t="n"/>
      <c r="H3119" s="123" t="n"/>
      <c r="I3119" s="123" t="n"/>
      <c r="J3119" s="123" t="n"/>
      <c r="K3119" s="123" t="n"/>
      <c r="L3119" s="123" t="n"/>
      <c r="M3119" s="123">
        <f>IF(AND(B3119&lt;&gt;"",OR($C$4="",ISNUMBER(SEARCH($C$4,C3119&amp;" "&amp;E3119&amp;" "&amp;G3119&amp;" "&amp;H3119&amp;" "&amp;I3119&amp;" "&amp;J3119&amp;" "&amp;K3119&amp;" "&amp;L3119))),OR($C$5="Semua",$C$5="",G3119=$C$5),OR($C$6="Semua",$C$6="",H3119=$C$6,H3119="Pengeluaran "&amp;$C$6,AND($C$6="Uang Kos Mama",H3119="Pengeluaran Uang Kos")),OR($C$7="Semua",$C$7="",I3119=$C$7),OR($C$8="Semua",$C$8="",C3119=$C$8,E3119=$C$8),OR($C$9="Semua",$C$9="",D3119=$C$9),OR($C$10="",B3119&gt;=$C$10),OR($C$11="",B3119&lt;=$C$11),OR($C$12&lt;&gt;"Ya",K3119&lt;&gt;""),OR($C$13="Semua",$C$13="",L3119=$C$13)),"✓","")</f>
        <v/>
      </c>
      <c r="N3119" s="93">
        <f>N(N3118)+IF(M3119="✓",1,0)</f>
        <v/>
      </c>
      <c r="O3119" s="93">
        <f>N(O3118)+IF(AND(B3119&lt;&gt;"",B3119&gt;='Uang Riba'!$H$30,B3119&lt;='Uang Riba'!$I$30,OR(H3119="Dana riba",H3119="Pinjam uang riba",I3119="Pinjam dari uang riba",I3119="Ganti uang riba",I3119="Kelebihan ganti dikembalikan",AND(C3119="Kantong Uang Riba",G3119="Pengeluaran"))),1,0)</f>
        <v/>
      </c>
      <c r="X3119" s="93">
        <f>IF(AND(B3119&lt;&gt;"",B3119&gt;='Buku Akun'!$H$4,B3119&lt;='Buku Akun'!$H$5,OR(C3119='Buku Akun'!$C$4,AND(D3119="Pindah",E3119='Buku Akun'!$C$4))),B3119+IF(AND(I3119="Selisih bunga",DAY(B3119)=1),0,0.01)+ROW()/10000000,"")</f>
        <v/>
      </c>
    </row>
    <row r="3120" outlineLevel="1" ht="15" customHeight="1" s="94">
      <c r="A3120" s="123">
        <f>IF(B3120="","",ROW()-15)</f>
        <v/>
      </c>
      <c r="B3120" s="124" t="n"/>
      <c r="C3120" s="123" t="n"/>
      <c r="D3120" s="123" t="n"/>
      <c r="E3120" s="123" t="n"/>
      <c r="F3120" s="125" t="n"/>
      <c r="G3120" s="123" t="n"/>
      <c r="H3120" s="123" t="n"/>
      <c r="I3120" s="123" t="n"/>
      <c r="J3120" s="123" t="n"/>
      <c r="K3120" s="123" t="n"/>
      <c r="L3120" s="123" t="n"/>
      <c r="M3120" s="123">
        <f>IF(AND(B3120&lt;&gt;"",OR($C$4="",ISNUMBER(SEARCH($C$4,C3120&amp;" "&amp;E3120&amp;" "&amp;G3120&amp;" "&amp;H3120&amp;" "&amp;I3120&amp;" "&amp;J3120&amp;" "&amp;K3120&amp;" "&amp;L3120))),OR($C$5="Semua",$C$5="",G3120=$C$5),OR($C$6="Semua",$C$6="",H3120=$C$6,H3120="Pengeluaran "&amp;$C$6,AND($C$6="Uang Kos Mama",H3120="Pengeluaran Uang Kos")),OR($C$7="Semua",$C$7="",I3120=$C$7),OR($C$8="Semua",$C$8="",C3120=$C$8,E3120=$C$8),OR($C$9="Semua",$C$9="",D3120=$C$9),OR($C$10="",B3120&gt;=$C$10),OR($C$11="",B3120&lt;=$C$11),OR($C$12&lt;&gt;"Ya",K3120&lt;&gt;""),OR($C$13="Semua",$C$13="",L3120=$C$13)),"✓","")</f>
        <v/>
      </c>
      <c r="N3120" s="93">
        <f>N(N3119)+IF(M3120="✓",1,0)</f>
        <v/>
      </c>
      <c r="O3120" s="93">
        <f>N(O3119)+IF(AND(B3120&lt;&gt;"",B3120&gt;='Uang Riba'!$H$30,B3120&lt;='Uang Riba'!$I$30,OR(H3120="Dana riba",H3120="Pinjam uang riba",I3120="Pinjam dari uang riba",I3120="Ganti uang riba",I3120="Kelebihan ganti dikembalikan",AND(C3120="Kantong Uang Riba",G3120="Pengeluaran"))),1,0)</f>
        <v/>
      </c>
      <c r="X3120" s="93">
        <f>IF(AND(B3120&lt;&gt;"",B3120&gt;='Buku Akun'!$H$4,B3120&lt;='Buku Akun'!$H$5,OR(C3120='Buku Akun'!$C$4,AND(D3120="Pindah",E3120='Buku Akun'!$C$4))),B3120+IF(AND(I3120="Selisih bunga",DAY(B3120)=1),0,0.01)+ROW()/10000000,"")</f>
        <v/>
      </c>
    </row>
    <row r="3121" outlineLevel="1" ht="15" customHeight="1" s="94">
      <c r="A3121" s="123">
        <f>IF(B3121="","",ROW()-15)</f>
        <v/>
      </c>
      <c r="B3121" s="124" t="n"/>
      <c r="C3121" s="123" t="n"/>
      <c r="D3121" s="123" t="n"/>
      <c r="E3121" s="123" t="n"/>
      <c r="F3121" s="125" t="n"/>
      <c r="G3121" s="123" t="n"/>
      <c r="H3121" s="123" t="n"/>
      <c r="I3121" s="123" t="n"/>
      <c r="J3121" s="123" t="n"/>
      <c r="K3121" s="123" t="n"/>
      <c r="L3121" s="123" t="n"/>
      <c r="M3121" s="123">
        <f>IF(AND(B3121&lt;&gt;"",OR($C$4="",ISNUMBER(SEARCH($C$4,C3121&amp;" "&amp;E3121&amp;" "&amp;G3121&amp;" "&amp;H3121&amp;" "&amp;I3121&amp;" "&amp;J3121&amp;" "&amp;K3121&amp;" "&amp;L3121))),OR($C$5="Semua",$C$5="",G3121=$C$5),OR($C$6="Semua",$C$6="",H3121=$C$6,H3121="Pengeluaran "&amp;$C$6,AND($C$6="Uang Kos Mama",H3121="Pengeluaran Uang Kos")),OR($C$7="Semua",$C$7="",I3121=$C$7),OR($C$8="Semua",$C$8="",C3121=$C$8,E3121=$C$8),OR($C$9="Semua",$C$9="",D3121=$C$9),OR($C$10="",B3121&gt;=$C$10),OR($C$11="",B3121&lt;=$C$11),OR($C$12&lt;&gt;"Ya",K3121&lt;&gt;""),OR($C$13="Semua",$C$13="",L3121=$C$13)),"✓","")</f>
        <v/>
      </c>
      <c r="N3121" s="93">
        <f>N(N3120)+IF(M3121="✓",1,0)</f>
        <v/>
      </c>
      <c r="O3121" s="93">
        <f>N(O3120)+IF(AND(B3121&lt;&gt;"",B3121&gt;='Uang Riba'!$H$30,B3121&lt;='Uang Riba'!$I$30,OR(H3121="Dana riba",H3121="Pinjam uang riba",I3121="Pinjam dari uang riba",I3121="Ganti uang riba",I3121="Kelebihan ganti dikembalikan",AND(C3121="Kantong Uang Riba",G3121="Pengeluaran"))),1,0)</f>
        <v/>
      </c>
      <c r="X3121" s="93">
        <f>IF(AND(B3121&lt;&gt;"",B3121&gt;='Buku Akun'!$H$4,B3121&lt;='Buku Akun'!$H$5,OR(C3121='Buku Akun'!$C$4,AND(D3121="Pindah",E3121='Buku Akun'!$C$4))),B3121+IF(AND(I3121="Selisih bunga",DAY(B3121)=1),0,0.01)+ROW()/10000000,"")</f>
        <v/>
      </c>
    </row>
    <row r="3122" outlineLevel="1" ht="15" customHeight="1" s="94">
      <c r="A3122" s="123">
        <f>IF(B3122="","",ROW()-15)</f>
        <v/>
      </c>
      <c r="B3122" s="124" t="n"/>
      <c r="C3122" s="123" t="n"/>
      <c r="D3122" s="123" t="n"/>
      <c r="E3122" s="123" t="n"/>
      <c r="F3122" s="125" t="n"/>
      <c r="G3122" s="123" t="n"/>
      <c r="H3122" s="123" t="n"/>
      <c r="I3122" s="123" t="n"/>
      <c r="J3122" s="123" t="n"/>
      <c r="K3122" s="123" t="n"/>
      <c r="L3122" s="123" t="n"/>
      <c r="M3122" s="123">
        <f>IF(AND(B3122&lt;&gt;"",OR($C$4="",ISNUMBER(SEARCH($C$4,C3122&amp;" "&amp;E3122&amp;" "&amp;G3122&amp;" "&amp;H3122&amp;" "&amp;I3122&amp;" "&amp;J3122&amp;" "&amp;K3122&amp;" "&amp;L3122))),OR($C$5="Semua",$C$5="",G3122=$C$5),OR($C$6="Semua",$C$6="",H3122=$C$6,H3122="Pengeluaran "&amp;$C$6,AND($C$6="Uang Kos Mama",H3122="Pengeluaran Uang Kos")),OR($C$7="Semua",$C$7="",I3122=$C$7),OR($C$8="Semua",$C$8="",C3122=$C$8,E3122=$C$8),OR($C$9="Semua",$C$9="",D3122=$C$9),OR($C$10="",B3122&gt;=$C$10),OR($C$11="",B3122&lt;=$C$11),OR($C$12&lt;&gt;"Ya",K3122&lt;&gt;""),OR($C$13="Semua",$C$13="",L3122=$C$13)),"✓","")</f>
        <v/>
      </c>
      <c r="N3122" s="93">
        <f>N(N3121)+IF(M3122="✓",1,0)</f>
        <v/>
      </c>
      <c r="O3122" s="93">
        <f>N(O3121)+IF(AND(B3122&lt;&gt;"",B3122&gt;='Uang Riba'!$H$30,B3122&lt;='Uang Riba'!$I$30,OR(H3122="Dana riba",H3122="Pinjam uang riba",I3122="Pinjam dari uang riba",I3122="Ganti uang riba",I3122="Kelebihan ganti dikembalikan",AND(C3122="Kantong Uang Riba",G3122="Pengeluaran"))),1,0)</f>
        <v/>
      </c>
      <c r="X3122" s="93">
        <f>IF(AND(B3122&lt;&gt;"",B3122&gt;='Buku Akun'!$H$4,B3122&lt;='Buku Akun'!$H$5,OR(C3122='Buku Akun'!$C$4,AND(D3122="Pindah",E3122='Buku Akun'!$C$4))),B3122+IF(AND(I3122="Selisih bunga",DAY(B3122)=1),0,0.01)+ROW()/10000000,"")</f>
        <v/>
      </c>
    </row>
    <row r="3123" outlineLevel="1" ht="15" customHeight="1" s="94">
      <c r="A3123" s="123">
        <f>IF(B3123="","",ROW()-15)</f>
        <v/>
      </c>
      <c r="B3123" s="124" t="n"/>
      <c r="C3123" s="123" t="n"/>
      <c r="D3123" s="123" t="n"/>
      <c r="E3123" s="123" t="n"/>
      <c r="F3123" s="125" t="n"/>
      <c r="G3123" s="123" t="n"/>
      <c r="H3123" s="123" t="n"/>
      <c r="I3123" s="123" t="n"/>
      <c r="J3123" s="123" t="n"/>
      <c r="K3123" s="123" t="n"/>
      <c r="L3123" s="123" t="n"/>
      <c r="M3123" s="123">
        <f>IF(AND(B3123&lt;&gt;"",OR($C$4="",ISNUMBER(SEARCH($C$4,C3123&amp;" "&amp;E3123&amp;" "&amp;G3123&amp;" "&amp;H3123&amp;" "&amp;I3123&amp;" "&amp;J3123&amp;" "&amp;K3123&amp;" "&amp;L3123))),OR($C$5="Semua",$C$5="",G3123=$C$5),OR($C$6="Semua",$C$6="",H3123=$C$6,H3123="Pengeluaran "&amp;$C$6,AND($C$6="Uang Kos Mama",H3123="Pengeluaran Uang Kos")),OR($C$7="Semua",$C$7="",I3123=$C$7),OR($C$8="Semua",$C$8="",C3123=$C$8,E3123=$C$8),OR($C$9="Semua",$C$9="",D3123=$C$9),OR($C$10="",B3123&gt;=$C$10),OR($C$11="",B3123&lt;=$C$11),OR($C$12&lt;&gt;"Ya",K3123&lt;&gt;""),OR($C$13="Semua",$C$13="",L3123=$C$13)),"✓","")</f>
        <v/>
      </c>
      <c r="N3123" s="93">
        <f>N(N3122)+IF(M3123="✓",1,0)</f>
        <v/>
      </c>
      <c r="O3123" s="93">
        <f>N(O3122)+IF(AND(B3123&lt;&gt;"",B3123&gt;='Uang Riba'!$H$30,B3123&lt;='Uang Riba'!$I$30,OR(H3123="Dana riba",H3123="Pinjam uang riba",I3123="Pinjam dari uang riba",I3123="Ganti uang riba",I3123="Kelebihan ganti dikembalikan",AND(C3123="Kantong Uang Riba",G3123="Pengeluaran"))),1,0)</f>
        <v/>
      </c>
      <c r="X3123" s="93">
        <f>IF(AND(B3123&lt;&gt;"",B3123&gt;='Buku Akun'!$H$4,B3123&lt;='Buku Akun'!$H$5,OR(C3123='Buku Akun'!$C$4,AND(D3123="Pindah",E3123='Buku Akun'!$C$4))),B3123+IF(AND(I3123="Selisih bunga",DAY(B3123)=1),0,0.01)+ROW()/10000000,"")</f>
        <v/>
      </c>
    </row>
    <row r="3124" outlineLevel="1" ht="15" customHeight="1" s="94">
      <c r="A3124" s="123">
        <f>IF(B3124="","",ROW()-15)</f>
        <v/>
      </c>
      <c r="B3124" s="124" t="n"/>
      <c r="C3124" s="123" t="n"/>
      <c r="D3124" s="123" t="n"/>
      <c r="E3124" s="123" t="n"/>
      <c r="F3124" s="125" t="n"/>
      <c r="G3124" s="123" t="n"/>
      <c r="H3124" s="123" t="n"/>
      <c r="I3124" s="123" t="n"/>
      <c r="J3124" s="123" t="n"/>
      <c r="K3124" s="123" t="n"/>
      <c r="L3124" s="123" t="n"/>
      <c r="M3124" s="123">
        <f>IF(AND(B3124&lt;&gt;"",OR($C$4="",ISNUMBER(SEARCH($C$4,C3124&amp;" "&amp;E3124&amp;" "&amp;G3124&amp;" "&amp;H3124&amp;" "&amp;I3124&amp;" "&amp;J3124&amp;" "&amp;K3124&amp;" "&amp;L3124))),OR($C$5="Semua",$C$5="",G3124=$C$5),OR($C$6="Semua",$C$6="",H3124=$C$6,H3124="Pengeluaran "&amp;$C$6,AND($C$6="Uang Kos Mama",H3124="Pengeluaran Uang Kos")),OR($C$7="Semua",$C$7="",I3124=$C$7),OR($C$8="Semua",$C$8="",C3124=$C$8,E3124=$C$8),OR($C$9="Semua",$C$9="",D3124=$C$9),OR($C$10="",B3124&gt;=$C$10),OR($C$11="",B3124&lt;=$C$11),OR($C$12&lt;&gt;"Ya",K3124&lt;&gt;""),OR($C$13="Semua",$C$13="",L3124=$C$13)),"✓","")</f>
        <v/>
      </c>
      <c r="N3124" s="93">
        <f>N(N3123)+IF(M3124="✓",1,0)</f>
        <v/>
      </c>
      <c r="O3124" s="93">
        <f>N(O3123)+IF(AND(B3124&lt;&gt;"",B3124&gt;='Uang Riba'!$H$30,B3124&lt;='Uang Riba'!$I$30,OR(H3124="Dana riba",H3124="Pinjam uang riba",I3124="Pinjam dari uang riba",I3124="Ganti uang riba",I3124="Kelebihan ganti dikembalikan",AND(C3124="Kantong Uang Riba",G3124="Pengeluaran"))),1,0)</f>
        <v/>
      </c>
      <c r="X3124" s="93">
        <f>IF(AND(B3124&lt;&gt;"",B3124&gt;='Buku Akun'!$H$4,B3124&lt;='Buku Akun'!$H$5,OR(C3124='Buku Akun'!$C$4,AND(D3124="Pindah",E3124='Buku Akun'!$C$4))),B3124+IF(AND(I3124="Selisih bunga",DAY(B3124)=1),0,0.01)+ROW()/10000000,"")</f>
        <v/>
      </c>
    </row>
    <row r="3125" outlineLevel="1" ht="15" customHeight="1" s="94">
      <c r="A3125" s="123">
        <f>IF(B3125="","",ROW()-15)</f>
        <v/>
      </c>
      <c r="B3125" s="124" t="n"/>
      <c r="C3125" s="123" t="n"/>
      <c r="D3125" s="123" t="n"/>
      <c r="E3125" s="123" t="n"/>
      <c r="F3125" s="125" t="n"/>
      <c r="G3125" s="123" t="n"/>
      <c r="H3125" s="123" t="n"/>
      <c r="I3125" s="123" t="n"/>
      <c r="J3125" s="123" t="n"/>
      <c r="K3125" s="123" t="n"/>
      <c r="L3125" s="123" t="n"/>
      <c r="M3125" s="123">
        <f>IF(AND(B3125&lt;&gt;"",OR($C$4="",ISNUMBER(SEARCH($C$4,C3125&amp;" "&amp;E3125&amp;" "&amp;G3125&amp;" "&amp;H3125&amp;" "&amp;I3125&amp;" "&amp;J3125&amp;" "&amp;K3125&amp;" "&amp;L3125))),OR($C$5="Semua",$C$5="",G3125=$C$5),OR($C$6="Semua",$C$6="",H3125=$C$6,H3125="Pengeluaran "&amp;$C$6,AND($C$6="Uang Kos Mama",H3125="Pengeluaran Uang Kos")),OR($C$7="Semua",$C$7="",I3125=$C$7),OR($C$8="Semua",$C$8="",C3125=$C$8,E3125=$C$8),OR($C$9="Semua",$C$9="",D3125=$C$9),OR($C$10="",B3125&gt;=$C$10),OR($C$11="",B3125&lt;=$C$11),OR($C$12&lt;&gt;"Ya",K3125&lt;&gt;""),OR($C$13="Semua",$C$13="",L3125=$C$13)),"✓","")</f>
        <v/>
      </c>
      <c r="N3125" s="93">
        <f>N(N3124)+IF(M3125="✓",1,0)</f>
        <v/>
      </c>
      <c r="O3125" s="93">
        <f>N(O3124)+IF(AND(B3125&lt;&gt;"",B3125&gt;='Uang Riba'!$H$30,B3125&lt;='Uang Riba'!$I$30,OR(H3125="Dana riba",H3125="Pinjam uang riba",I3125="Pinjam dari uang riba",I3125="Ganti uang riba",I3125="Kelebihan ganti dikembalikan",AND(C3125="Kantong Uang Riba",G3125="Pengeluaran"))),1,0)</f>
        <v/>
      </c>
      <c r="X3125" s="93">
        <f>IF(AND(B3125&lt;&gt;"",B3125&gt;='Buku Akun'!$H$4,B3125&lt;='Buku Akun'!$H$5,OR(C3125='Buku Akun'!$C$4,AND(D3125="Pindah",E3125='Buku Akun'!$C$4))),B3125+IF(AND(I3125="Selisih bunga",DAY(B3125)=1),0,0.01)+ROW()/10000000,"")</f>
        <v/>
      </c>
    </row>
    <row r="3126" outlineLevel="1" ht="15" customHeight="1" s="94">
      <c r="A3126" s="123">
        <f>IF(B3126="","",ROW()-15)</f>
        <v/>
      </c>
      <c r="B3126" s="124" t="n"/>
      <c r="C3126" s="123" t="n"/>
      <c r="D3126" s="123" t="n"/>
      <c r="E3126" s="123" t="n"/>
      <c r="F3126" s="125" t="n"/>
      <c r="G3126" s="123" t="n"/>
      <c r="H3126" s="123" t="n"/>
      <c r="I3126" s="123" t="n"/>
      <c r="J3126" s="123" t="n"/>
      <c r="K3126" s="123" t="n"/>
      <c r="L3126" s="123" t="n"/>
      <c r="M3126" s="123">
        <f>IF(AND(B3126&lt;&gt;"",OR($C$4="",ISNUMBER(SEARCH($C$4,C3126&amp;" "&amp;E3126&amp;" "&amp;G3126&amp;" "&amp;H3126&amp;" "&amp;I3126&amp;" "&amp;J3126&amp;" "&amp;K3126&amp;" "&amp;L3126))),OR($C$5="Semua",$C$5="",G3126=$C$5),OR($C$6="Semua",$C$6="",H3126=$C$6,H3126="Pengeluaran "&amp;$C$6,AND($C$6="Uang Kos Mama",H3126="Pengeluaran Uang Kos")),OR($C$7="Semua",$C$7="",I3126=$C$7),OR($C$8="Semua",$C$8="",C3126=$C$8,E3126=$C$8),OR($C$9="Semua",$C$9="",D3126=$C$9),OR($C$10="",B3126&gt;=$C$10),OR($C$11="",B3126&lt;=$C$11),OR($C$12&lt;&gt;"Ya",K3126&lt;&gt;""),OR($C$13="Semua",$C$13="",L3126=$C$13)),"✓","")</f>
        <v/>
      </c>
      <c r="N3126" s="93">
        <f>N(N3125)+IF(M3126="✓",1,0)</f>
        <v/>
      </c>
      <c r="O3126" s="93">
        <f>N(O3125)+IF(AND(B3126&lt;&gt;"",B3126&gt;='Uang Riba'!$H$30,B3126&lt;='Uang Riba'!$I$30,OR(H3126="Dana riba",H3126="Pinjam uang riba",I3126="Pinjam dari uang riba",I3126="Ganti uang riba",I3126="Kelebihan ganti dikembalikan",AND(C3126="Kantong Uang Riba",G3126="Pengeluaran"))),1,0)</f>
        <v/>
      </c>
      <c r="X3126" s="93">
        <f>IF(AND(B3126&lt;&gt;"",B3126&gt;='Buku Akun'!$H$4,B3126&lt;='Buku Akun'!$H$5,OR(C3126='Buku Akun'!$C$4,AND(D3126="Pindah",E3126='Buku Akun'!$C$4))),B3126+IF(AND(I3126="Selisih bunga",DAY(B3126)=1),0,0.01)+ROW()/10000000,"")</f>
        <v/>
      </c>
    </row>
    <row r="3127" outlineLevel="1" ht="15" customHeight="1" s="94">
      <c r="A3127" s="123">
        <f>IF(B3127="","",ROW()-15)</f>
        <v/>
      </c>
      <c r="B3127" s="124" t="n"/>
      <c r="C3127" s="123" t="n"/>
      <c r="D3127" s="123" t="n"/>
      <c r="E3127" s="123" t="n"/>
      <c r="F3127" s="125" t="n"/>
      <c r="G3127" s="123" t="n"/>
      <c r="H3127" s="123" t="n"/>
      <c r="I3127" s="123" t="n"/>
      <c r="J3127" s="123" t="n"/>
      <c r="K3127" s="123" t="n"/>
      <c r="L3127" s="123" t="n"/>
      <c r="M3127" s="123">
        <f>IF(AND(B3127&lt;&gt;"",OR($C$4="",ISNUMBER(SEARCH($C$4,C3127&amp;" "&amp;E3127&amp;" "&amp;G3127&amp;" "&amp;H3127&amp;" "&amp;I3127&amp;" "&amp;J3127&amp;" "&amp;K3127&amp;" "&amp;L3127))),OR($C$5="Semua",$C$5="",G3127=$C$5),OR($C$6="Semua",$C$6="",H3127=$C$6,H3127="Pengeluaran "&amp;$C$6,AND($C$6="Uang Kos Mama",H3127="Pengeluaran Uang Kos")),OR($C$7="Semua",$C$7="",I3127=$C$7),OR($C$8="Semua",$C$8="",C3127=$C$8,E3127=$C$8),OR($C$9="Semua",$C$9="",D3127=$C$9),OR($C$10="",B3127&gt;=$C$10),OR($C$11="",B3127&lt;=$C$11),OR($C$12&lt;&gt;"Ya",K3127&lt;&gt;""),OR($C$13="Semua",$C$13="",L3127=$C$13)),"✓","")</f>
        <v/>
      </c>
      <c r="N3127" s="93">
        <f>N(N3126)+IF(M3127="✓",1,0)</f>
        <v/>
      </c>
      <c r="O3127" s="93">
        <f>N(O3126)+IF(AND(B3127&lt;&gt;"",B3127&gt;='Uang Riba'!$H$30,B3127&lt;='Uang Riba'!$I$30,OR(H3127="Dana riba",H3127="Pinjam uang riba",I3127="Pinjam dari uang riba",I3127="Ganti uang riba",I3127="Kelebihan ganti dikembalikan",AND(C3127="Kantong Uang Riba",G3127="Pengeluaran"))),1,0)</f>
        <v/>
      </c>
      <c r="X3127" s="93">
        <f>IF(AND(B3127&lt;&gt;"",B3127&gt;='Buku Akun'!$H$4,B3127&lt;='Buku Akun'!$H$5,OR(C3127='Buku Akun'!$C$4,AND(D3127="Pindah",E3127='Buku Akun'!$C$4))),B3127+IF(AND(I3127="Selisih bunga",DAY(B3127)=1),0,0.01)+ROW()/10000000,"")</f>
        <v/>
      </c>
    </row>
    <row r="3128" outlineLevel="1" ht="15" customHeight="1" s="94">
      <c r="A3128" s="123">
        <f>IF(B3128="","",ROW()-15)</f>
        <v/>
      </c>
      <c r="B3128" s="124" t="n"/>
      <c r="C3128" s="123" t="n"/>
      <c r="D3128" s="123" t="n"/>
      <c r="E3128" s="123" t="n"/>
      <c r="F3128" s="125" t="n"/>
      <c r="G3128" s="123" t="n"/>
      <c r="H3128" s="123" t="n"/>
      <c r="I3128" s="123" t="n"/>
      <c r="J3128" s="123" t="n"/>
      <c r="K3128" s="123" t="n"/>
      <c r="L3128" s="123" t="n"/>
      <c r="M3128" s="123">
        <f>IF(AND(B3128&lt;&gt;"",OR($C$4="",ISNUMBER(SEARCH($C$4,C3128&amp;" "&amp;E3128&amp;" "&amp;G3128&amp;" "&amp;H3128&amp;" "&amp;I3128&amp;" "&amp;J3128&amp;" "&amp;K3128&amp;" "&amp;L3128))),OR($C$5="Semua",$C$5="",G3128=$C$5),OR($C$6="Semua",$C$6="",H3128=$C$6,H3128="Pengeluaran "&amp;$C$6,AND($C$6="Uang Kos Mama",H3128="Pengeluaran Uang Kos")),OR($C$7="Semua",$C$7="",I3128=$C$7),OR($C$8="Semua",$C$8="",C3128=$C$8,E3128=$C$8),OR($C$9="Semua",$C$9="",D3128=$C$9),OR($C$10="",B3128&gt;=$C$10),OR($C$11="",B3128&lt;=$C$11),OR($C$12&lt;&gt;"Ya",K3128&lt;&gt;""),OR($C$13="Semua",$C$13="",L3128=$C$13)),"✓","")</f>
        <v/>
      </c>
      <c r="N3128" s="93">
        <f>N(N3127)+IF(M3128="✓",1,0)</f>
        <v/>
      </c>
      <c r="O3128" s="93">
        <f>N(O3127)+IF(AND(B3128&lt;&gt;"",B3128&gt;='Uang Riba'!$H$30,B3128&lt;='Uang Riba'!$I$30,OR(H3128="Dana riba",H3128="Pinjam uang riba",I3128="Pinjam dari uang riba",I3128="Ganti uang riba",I3128="Kelebihan ganti dikembalikan",AND(C3128="Kantong Uang Riba",G3128="Pengeluaran"))),1,0)</f>
        <v/>
      </c>
      <c r="X3128" s="93">
        <f>IF(AND(B3128&lt;&gt;"",B3128&gt;='Buku Akun'!$H$4,B3128&lt;='Buku Akun'!$H$5,OR(C3128='Buku Akun'!$C$4,AND(D3128="Pindah",E3128='Buku Akun'!$C$4))),B3128+IF(AND(I3128="Selisih bunga",DAY(B3128)=1),0,0.01)+ROW()/10000000,"")</f>
        <v/>
      </c>
    </row>
    <row r="3129" outlineLevel="1" ht="15" customHeight="1" s="94">
      <c r="A3129" s="123">
        <f>IF(B3129="","",ROW()-15)</f>
        <v/>
      </c>
      <c r="B3129" s="124" t="n"/>
      <c r="C3129" s="123" t="n"/>
      <c r="D3129" s="123" t="n"/>
      <c r="E3129" s="123" t="n"/>
      <c r="F3129" s="125" t="n"/>
      <c r="G3129" s="123" t="n"/>
      <c r="H3129" s="123" t="n"/>
      <c r="I3129" s="123" t="n"/>
      <c r="J3129" s="123" t="n"/>
      <c r="K3129" s="123" t="n"/>
      <c r="L3129" s="123" t="n"/>
      <c r="M3129" s="123">
        <f>IF(AND(B3129&lt;&gt;"",OR($C$4="",ISNUMBER(SEARCH($C$4,C3129&amp;" "&amp;E3129&amp;" "&amp;G3129&amp;" "&amp;H3129&amp;" "&amp;I3129&amp;" "&amp;J3129&amp;" "&amp;K3129&amp;" "&amp;L3129))),OR($C$5="Semua",$C$5="",G3129=$C$5),OR($C$6="Semua",$C$6="",H3129=$C$6,H3129="Pengeluaran "&amp;$C$6,AND($C$6="Uang Kos Mama",H3129="Pengeluaran Uang Kos")),OR($C$7="Semua",$C$7="",I3129=$C$7),OR($C$8="Semua",$C$8="",C3129=$C$8,E3129=$C$8),OR($C$9="Semua",$C$9="",D3129=$C$9),OR($C$10="",B3129&gt;=$C$10),OR($C$11="",B3129&lt;=$C$11),OR($C$12&lt;&gt;"Ya",K3129&lt;&gt;""),OR($C$13="Semua",$C$13="",L3129=$C$13)),"✓","")</f>
        <v/>
      </c>
      <c r="N3129" s="93">
        <f>N(N3128)+IF(M3129="✓",1,0)</f>
        <v/>
      </c>
      <c r="O3129" s="93">
        <f>N(O3128)+IF(AND(B3129&lt;&gt;"",B3129&gt;='Uang Riba'!$H$30,B3129&lt;='Uang Riba'!$I$30,OR(H3129="Dana riba",H3129="Pinjam uang riba",I3129="Pinjam dari uang riba",I3129="Ganti uang riba",I3129="Kelebihan ganti dikembalikan",AND(C3129="Kantong Uang Riba",G3129="Pengeluaran"))),1,0)</f>
        <v/>
      </c>
      <c r="X3129" s="93">
        <f>IF(AND(B3129&lt;&gt;"",B3129&gt;='Buku Akun'!$H$4,B3129&lt;='Buku Akun'!$H$5,OR(C3129='Buku Akun'!$C$4,AND(D3129="Pindah",E3129='Buku Akun'!$C$4))),B3129+IF(AND(I3129="Selisih bunga",DAY(B3129)=1),0,0.01)+ROW()/10000000,"")</f>
        <v/>
      </c>
    </row>
    <row r="3130" outlineLevel="1" ht="15" customHeight="1" s="94">
      <c r="A3130" s="123">
        <f>IF(B3130="","",ROW()-15)</f>
        <v/>
      </c>
      <c r="B3130" s="124" t="n"/>
      <c r="C3130" s="123" t="n"/>
      <c r="D3130" s="123" t="n"/>
      <c r="E3130" s="123" t="n"/>
      <c r="F3130" s="125" t="n"/>
      <c r="G3130" s="123" t="n"/>
      <c r="H3130" s="123" t="n"/>
      <c r="I3130" s="123" t="n"/>
      <c r="J3130" s="123" t="n"/>
      <c r="K3130" s="123" t="n"/>
      <c r="L3130" s="123" t="n"/>
      <c r="M3130" s="123">
        <f>IF(AND(B3130&lt;&gt;"",OR($C$4="",ISNUMBER(SEARCH($C$4,C3130&amp;" "&amp;E3130&amp;" "&amp;G3130&amp;" "&amp;H3130&amp;" "&amp;I3130&amp;" "&amp;J3130&amp;" "&amp;K3130&amp;" "&amp;L3130))),OR($C$5="Semua",$C$5="",G3130=$C$5),OR($C$6="Semua",$C$6="",H3130=$C$6,H3130="Pengeluaran "&amp;$C$6,AND($C$6="Uang Kos Mama",H3130="Pengeluaran Uang Kos")),OR($C$7="Semua",$C$7="",I3130=$C$7),OR($C$8="Semua",$C$8="",C3130=$C$8,E3130=$C$8),OR($C$9="Semua",$C$9="",D3130=$C$9),OR($C$10="",B3130&gt;=$C$10),OR($C$11="",B3130&lt;=$C$11),OR($C$12&lt;&gt;"Ya",K3130&lt;&gt;""),OR($C$13="Semua",$C$13="",L3130=$C$13)),"✓","")</f>
        <v/>
      </c>
      <c r="N3130" s="93">
        <f>N(N3129)+IF(M3130="✓",1,0)</f>
        <v/>
      </c>
      <c r="O3130" s="93">
        <f>N(O3129)+IF(AND(B3130&lt;&gt;"",B3130&gt;='Uang Riba'!$H$30,B3130&lt;='Uang Riba'!$I$30,OR(H3130="Dana riba",H3130="Pinjam uang riba",I3130="Pinjam dari uang riba",I3130="Ganti uang riba",I3130="Kelebihan ganti dikembalikan",AND(C3130="Kantong Uang Riba",G3130="Pengeluaran"))),1,0)</f>
        <v/>
      </c>
      <c r="X3130" s="93">
        <f>IF(AND(B3130&lt;&gt;"",B3130&gt;='Buku Akun'!$H$4,B3130&lt;='Buku Akun'!$H$5,OR(C3130='Buku Akun'!$C$4,AND(D3130="Pindah",E3130='Buku Akun'!$C$4))),B3130+IF(AND(I3130="Selisih bunga",DAY(B3130)=1),0,0.01)+ROW()/10000000,"")</f>
        <v/>
      </c>
    </row>
    <row r="3131" outlineLevel="1" ht="15" customHeight="1" s="94">
      <c r="A3131" s="123">
        <f>IF(B3131="","",ROW()-15)</f>
        <v/>
      </c>
      <c r="B3131" s="124" t="n"/>
      <c r="C3131" s="123" t="n"/>
      <c r="D3131" s="123" t="n"/>
      <c r="E3131" s="123" t="n"/>
      <c r="F3131" s="125" t="n"/>
      <c r="G3131" s="123" t="n"/>
      <c r="H3131" s="123" t="n"/>
      <c r="I3131" s="123" t="n"/>
      <c r="J3131" s="123" t="n"/>
      <c r="K3131" s="123" t="n"/>
      <c r="L3131" s="123" t="n"/>
      <c r="M3131" s="123">
        <f>IF(AND(B3131&lt;&gt;"",OR($C$4="",ISNUMBER(SEARCH($C$4,C3131&amp;" "&amp;E3131&amp;" "&amp;G3131&amp;" "&amp;H3131&amp;" "&amp;I3131&amp;" "&amp;J3131&amp;" "&amp;K3131&amp;" "&amp;L3131))),OR($C$5="Semua",$C$5="",G3131=$C$5),OR($C$6="Semua",$C$6="",H3131=$C$6,H3131="Pengeluaran "&amp;$C$6,AND($C$6="Uang Kos Mama",H3131="Pengeluaran Uang Kos")),OR($C$7="Semua",$C$7="",I3131=$C$7),OR($C$8="Semua",$C$8="",C3131=$C$8,E3131=$C$8),OR($C$9="Semua",$C$9="",D3131=$C$9),OR($C$10="",B3131&gt;=$C$10),OR($C$11="",B3131&lt;=$C$11),OR($C$12&lt;&gt;"Ya",K3131&lt;&gt;""),OR($C$13="Semua",$C$13="",L3131=$C$13)),"✓","")</f>
        <v/>
      </c>
      <c r="N3131" s="93">
        <f>N(N3130)+IF(M3131="✓",1,0)</f>
        <v/>
      </c>
      <c r="O3131" s="93">
        <f>N(O3130)+IF(AND(B3131&lt;&gt;"",B3131&gt;='Uang Riba'!$H$30,B3131&lt;='Uang Riba'!$I$30,OR(H3131="Dana riba",H3131="Pinjam uang riba",I3131="Pinjam dari uang riba",I3131="Ganti uang riba",I3131="Kelebihan ganti dikembalikan",AND(C3131="Kantong Uang Riba",G3131="Pengeluaran"))),1,0)</f>
        <v/>
      </c>
      <c r="X3131" s="93">
        <f>IF(AND(B3131&lt;&gt;"",B3131&gt;='Buku Akun'!$H$4,B3131&lt;='Buku Akun'!$H$5,OR(C3131='Buku Akun'!$C$4,AND(D3131="Pindah",E3131='Buku Akun'!$C$4))),B3131+IF(AND(I3131="Selisih bunga",DAY(B3131)=1),0,0.01)+ROW()/10000000,"")</f>
        <v/>
      </c>
    </row>
    <row r="3132" outlineLevel="1" ht="15" customHeight="1" s="94">
      <c r="A3132" s="123">
        <f>IF(B3132="","",ROW()-15)</f>
        <v/>
      </c>
      <c r="B3132" s="124" t="n"/>
      <c r="C3132" s="123" t="n"/>
      <c r="D3132" s="123" t="n"/>
      <c r="E3132" s="123" t="n"/>
      <c r="F3132" s="125" t="n"/>
      <c r="G3132" s="123" t="n"/>
      <c r="H3132" s="123" t="n"/>
      <c r="I3132" s="123" t="n"/>
      <c r="J3132" s="123" t="n"/>
      <c r="K3132" s="123" t="n"/>
      <c r="L3132" s="123" t="n"/>
      <c r="M3132" s="123">
        <f>IF(AND(B3132&lt;&gt;"",OR($C$4="",ISNUMBER(SEARCH($C$4,C3132&amp;" "&amp;E3132&amp;" "&amp;G3132&amp;" "&amp;H3132&amp;" "&amp;I3132&amp;" "&amp;J3132&amp;" "&amp;K3132&amp;" "&amp;L3132))),OR($C$5="Semua",$C$5="",G3132=$C$5),OR($C$6="Semua",$C$6="",H3132=$C$6,H3132="Pengeluaran "&amp;$C$6,AND($C$6="Uang Kos Mama",H3132="Pengeluaran Uang Kos")),OR($C$7="Semua",$C$7="",I3132=$C$7),OR($C$8="Semua",$C$8="",C3132=$C$8,E3132=$C$8),OR($C$9="Semua",$C$9="",D3132=$C$9),OR($C$10="",B3132&gt;=$C$10),OR($C$11="",B3132&lt;=$C$11),OR($C$12&lt;&gt;"Ya",K3132&lt;&gt;""),OR($C$13="Semua",$C$13="",L3132=$C$13)),"✓","")</f>
        <v/>
      </c>
      <c r="N3132" s="93">
        <f>N(N3131)+IF(M3132="✓",1,0)</f>
        <v/>
      </c>
      <c r="O3132" s="93">
        <f>N(O3131)+IF(AND(B3132&lt;&gt;"",B3132&gt;='Uang Riba'!$H$30,B3132&lt;='Uang Riba'!$I$30,OR(H3132="Dana riba",H3132="Pinjam uang riba",I3132="Pinjam dari uang riba",I3132="Ganti uang riba",I3132="Kelebihan ganti dikembalikan",AND(C3132="Kantong Uang Riba",G3132="Pengeluaran"))),1,0)</f>
        <v/>
      </c>
      <c r="X3132" s="93">
        <f>IF(AND(B3132&lt;&gt;"",B3132&gt;='Buku Akun'!$H$4,B3132&lt;='Buku Akun'!$H$5,OR(C3132='Buku Akun'!$C$4,AND(D3132="Pindah",E3132='Buku Akun'!$C$4))),B3132+IF(AND(I3132="Selisih bunga",DAY(B3132)=1),0,0.01)+ROW()/10000000,"")</f>
        <v/>
      </c>
    </row>
    <row r="3133" outlineLevel="1" ht="15" customHeight="1" s="94">
      <c r="A3133" s="123">
        <f>IF(B3133="","",ROW()-15)</f>
        <v/>
      </c>
      <c r="B3133" s="124" t="n"/>
      <c r="C3133" s="123" t="n"/>
      <c r="D3133" s="123" t="n"/>
      <c r="E3133" s="123" t="n"/>
      <c r="F3133" s="125" t="n"/>
      <c r="G3133" s="123" t="n"/>
      <c r="H3133" s="123" t="n"/>
      <c r="I3133" s="123" t="n"/>
      <c r="J3133" s="123" t="n"/>
      <c r="K3133" s="123" t="n"/>
      <c r="L3133" s="123" t="n"/>
      <c r="M3133" s="123">
        <f>IF(AND(B3133&lt;&gt;"",OR($C$4="",ISNUMBER(SEARCH($C$4,C3133&amp;" "&amp;E3133&amp;" "&amp;G3133&amp;" "&amp;H3133&amp;" "&amp;I3133&amp;" "&amp;J3133&amp;" "&amp;K3133&amp;" "&amp;L3133))),OR($C$5="Semua",$C$5="",G3133=$C$5),OR($C$6="Semua",$C$6="",H3133=$C$6,H3133="Pengeluaran "&amp;$C$6,AND($C$6="Uang Kos Mama",H3133="Pengeluaran Uang Kos")),OR($C$7="Semua",$C$7="",I3133=$C$7),OR($C$8="Semua",$C$8="",C3133=$C$8,E3133=$C$8),OR($C$9="Semua",$C$9="",D3133=$C$9),OR($C$10="",B3133&gt;=$C$10),OR($C$11="",B3133&lt;=$C$11),OR($C$12&lt;&gt;"Ya",K3133&lt;&gt;""),OR($C$13="Semua",$C$13="",L3133=$C$13)),"✓","")</f>
        <v/>
      </c>
      <c r="N3133" s="93">
        <f>N(N3132)+IF(M3133="✓",1,0)</f>
        <v/>
      </c>
      <c r="O3133" s="93">
        <f>N(O3132)+IF(AND(B3133&lt;&gt;"",B3133&gt;='Uang Riba'!$H$30,B3133&lt;='Uang Riba'!$I$30,OR(H3133="Dana riba",H3133="Pinjam uang riba",I3133="Pinjam dari uang riba",I3133="Ganti uang riba",I3133="Kelebihan ganti dikembalikan",AND(C3133="Kantong Uang Riba",G3133="Pengeluaran"))),1,0)</f>
        <v/>
      </c>
      <c r="X3133" s="93">
        <f>IF(AND(B3133&lt;&gt;"",B3133&gt;='Buku Akun'!$H$4,B3133&lt;='Buku Akun'!$H$5,OR(C3133='Buku Akun'!$C$4,AND(D3133="Pindah",E3133='Buku Akun'!$C$4))),B3133+IF(AND(I3133="Selisih bunga",DAY(B3133)=1),0,0.01)+ROW()/10000000,"")</f>
        <v/>
      </c>
    </row>
    <row r="3134" outlineLevel="1" ht="15" customHeight="1" s="94">
      <c r="A3134" s="123">
        <f>IF(B3134="","",ROW()-15)</f>
        <v/>
      </c>
      <c r="B3134" s="124" t="n"/>
      <c r="C3134" s="123" t="n"/>
      <c r="D3134" s="123" t="n"/>
      <c r="E3134" s="123" t="n"/>
      <c r="F3134" s="125" t="n"/>
      <c r="G3134" s="123" t="n"/>
      <c r="H3134" s="123" t="n"/>
      <c r="I3134" s="123" t="n"/>
      <c r="J3134" s="123" t="n"/>
      <c r="K3134" s="123" t="n"/>
      <c r="L3134" s="123" t="n"/>
      <c r="M3134" s="123">
        <f>IF(AND(B3134&lt;&gt;"",OR($C$4="",ISNUMBER(SEARCH($C$4,C3134&amp;" "&amp;E3134&amp;" "&amp;G3134&amp;" "&amp;H3134&amp;" "&amp;I3134&amp;" "&amp;J3134&amp;" "&amp;K3134&amp;" "&amp;L3134))),OR($C$5="Semua",$C$5="",G3134=$C$5),OR($C$6="Semua",$C$6="",H3134=$C$6,H3134="Pengeluaran "&amp;$C$6,AND($C$6="Uang Kos Mama",H3134="Pengeluaran Uang Kos")),OR($C$7="Semua",$C$7="",I3134=$C$7),OR($C$8="Semua",$C$8="",C3134=$C$8,E3134=$C$8),OR($C$9="Semua",$C$9="",D3134=$C$9),OR($C$10="",B3134&gt;=$C$10),OR($C$11="",B3134&lt;=$C$11),OR($C$12&lt;&gt;"Ya",K3134&lt;&gt;""),OR($C$13="Semua",$C$13="",L3134=$C$13)),"✓","")</f>
        <v/>
      </c>
      <c r="N3134" s="93">
        <f>N(N3133)+IF(M3134="✓",1,0)</f>
        <v/>
      </c>
      <c r="O3134" s="93">
        <f>N(O3133)+IF(AND(B3134&lt;&gt;"",B3134&gt;='Uang Riba'!$H$30,B3134&lt;='Uang Riba'!$I$30,OR(H3134="Dana riba",H3134="Pinjam uang riba",I3134="Pinjam dari uang riba",I3134="Ganti uang riba",I3134="Kelebihan ganti dikembalikan",AND(C3134="Kantong Uang Riba",G3134="Pengeluaran"))),1,0)</f>
        <v/>
      </c>
      <c r="X3134" s="93">
        <f>IF(AND(B3134&lt;&gt;"",B3134&gt;='Buku Akun'!$H$4,B3134&lt;='Buku Akun'!$H$5,OR(C3134='Buku Akun'!$C$4,AND(D3134="Pindah",E3134='Buku Akun'!$C$4))),B3134+IF(AND(I3134="Selisih bunga",DAY(B3134)=1),0,0.01)+ROW()/10000000,"")</f>
        <v/>
      </c>
    </row>
    <row r="3135" outlineLevel="1" ht="15" customHeight="1" s="94">
      <c r="A3135" s="123">
        <f>IF(B3135="","",ROW()-15)</f>
        <v/>
      </c>
      <c r="B3135" s="124" t="n"/>
      <c r="C3135" s="123" t="n"/>
      <c r="D3135" s="123" t="n"/>
      <c r="E3135" s="123" t="n"/>
      <c r="F3135" s="125" t="n"/>
      <c r="G3135" s="123" t="n"/>
      <c r="H3135" s="123" t="n"/>
      <c r="I3135" s="123" t="n"/>
      <c r="J3135" s="123" t="n"/>
      <c r="K3135" s="123" t="n"/>
      <c r="L3135" s="123" t="n"/>
      <c r="M3135" s="123">
        <f>IF(AND(B3135&lt;&gt;"",OR($C$4="",ISNUMBER(SEARCH($C$4,C3135&amp;" "&amp;E3135&amp;" "&amp;G3135&amp;" "&amp;H3135&amp;" "&amp;I3135&amp;" "&amp;J3135&amp;" "&amp;K3135&amp;" "&amp;L3135))),OR($C$5="Semua",$C$5="",G3135=$C$5),OR($C$6="Semua",$C$6="",H3135=$C$6,H3135="Pengeluaran "&amp;$C$6,AND($C$6="Uang Kos Mama",H3135="Pengeluaran Uang Kos")),OR($C$7="Semua",$C$7="",I3135=$C$7),OR($C$8="Semua",$C$8="",C3135=$C$8,E3135=$C$8),OR($C$9="Semua",$C$9="",D3135=$C$9),OR($C$10="",B3135&gt;=$C$10),OR($C$11="",B3135&lt;=$C$11),OR($C$12&lt;&gt;"Ya",K3135&lt;&gt;""),OR($C$13="Semua",$C$13="",L3135=$C$13)),"✓","")</f>
        <v/>
      </c>
      <c r="N3135" s="93">
        <f>N(N3134)+IF(M3135="✓",1,0)</f>
        <v/>
      </c>
      <c r="O3135" s="93">
        <f>N(O3134)+IF(AND(B3135&lt;&gt;"",B3135&gt;='Uang Riba'!$H$30,B3135&lt;='Uang Riba'!$I$30,OR(H3135="Dana riba",H3135="Pinjam uang riba",I3135="Pinjam dari uang riba",I3135="Ganti uang riba",I3135="Kelebihan ganti dikembalikan",AND(C3135="Kantong Uang Riba",G3135="Pengeluaran"))),1,0)</f>
        <v/>
      </c>
      <c r="X3135" s="93">
        <f>IF(AND(B3135&lt;&gt;"",B3135&gt;='Buku Akun'!$H$4,B3135&lt;='Buku Akun'!$H$5,OR(C3135='Buku Akun'!$C$4,AND(D3135="Pindah",E3135='Buku Akun'!$C$4))),B3135+IF(AND(I3135="Selisih bunga",DAY(B3135)=1),0,0.01)+ROW()/10000000,"")</f>
        <v/>
      </c>
    </row>
    <row r="3136" outlineLevel="1" ht="15" customHeight="1" s="94">
      <c r="A3136" s="123">
        <f>IF(B3136="","",ROW()-15)</f>
        <v/>
      </c>
      <c r="B3136" s="124" t="n"/>
      <c r="C3136" s="123" t="n"/>
      <c r="D3136" s="123" t="n"/>
      <c r="E3136" s="123" t="n"/>
      <c r="F3136" s="125" t="n"/>
      <c r="G3136" s="123" t="n"/>
      <c r="H3136" s="123" t="n"/>
      <c r="I3136" s="123" t="n"/>
      <c r="J3136" s="123" t="n"/>
      <c r="K3136" s="123" t="n"/>
      <c r="L3136" s="123" t="n"/>
      <c r="M3136" s="123">
        <f>IF(AND(B3136&lt;&gt;"",OR($C$4="",ISNUMBER(SEARCH($C$4,C3136&amp;" "&amp;E3136&amp;" "&amp;G3136&amp;" "&amp;H3136&amp;" "&amp;I3136&amp;" "&amp;J3136&amp;" "&amp;K3136&amp;" "&amp;L3136))),OR($C$5="Semua",$C$5="",G3136=$C$5),OR($C$6="Semua",$C$6="",H3136=$C$6,H3136="Pengeluaran "&amp;$C$6,AND($C$6="Uang Kos Mama",H3136="Pengeluaran Uang Kos")),OR($C$7="Semua",$C$7="",I3136=$C$7),OR($C$8="Semua",$C$8="",C3136=$C$8,E3136=$C$8),OR($C$9="Semua",$C$9="",D3136=$C$9),OR($C$10="",B3136&gt;=$C$10),OR($C$11="",B3136&lt;=$C$11),OR($C$12&lt;&gt;"Ya",K3136&lt;&gt;""),OR($C$13="Semua",$C$13="",L3136=$C$13)),"✓","")</f>
        <v/>
      </c>
      <c r="N3136" s="93">
        <f>N(N3135)+IF(M3136="✓",1,0)</f>
        <v/>
      </c>
      <c r="O3136" s="93">
        <f>N(O3135)+IF(AND(B3136&lt;&gt;"",B3136&gt;='Uang Riba'!$H$30,B3136&lt;='Uang Riba'!$I$30,OR(H3136="Dana riba",H3136="Pinjam uang riba",I3136="Pinjam dari uang riba",I3136="Ganti uang riba",I3136="Kelebihan ganti dikembalikan",AND(C3136="Kantong Uang Riba",G3136="Pengeluaran"))),1,0)</f>
        <v/>
      </c>
      <c r="X3136" s="93">
        <f>IF(AND(B3136&lt;&gt;"",B3136&gt;='Buku Akun'!$H$4,B3136&lt;='Buku Akun'!$H$5,OR(C3136='Buku Akun'!$C$4,AND(D3136="Pindah",E3136='Buku Akun'!$C$4))),B3136+IF(AND(I3136="Selisih bunga",DAY(B3136)=1),0,0.01)+ROW()/10000000,"")</f>
        <v/>
      </c>
    </row>
    <row r="3137" outlineLevel="1" ht="15" customHeight="1" s="94">
      <c r="A3137" s="123">
        <f>IF(B3137="","",ROW()-15)</f>
        <v/>
      </c>
      <c r="B3137" s="124" t="n"/>
      <c r="C3137" s="123" t="n"/>
      <c r="D3137" s="123" t="n"/>
      <c r="E3137" s="123" t="n"/>
      <c r="F3137" s="125" t="n"/>
      <c r="G3137" s="123" t="n"/>
      <c r="H3137" s="123" t="n"/>
      <c r="I3137" s="123" t="n"/>
      <c r="J3137" s="123" t="n"/>
      <c r="K3137" s="123" t="n"/>
      <c r="L3137" s="123" t="n"/>
      <c r="M3137" s="123">
        <f>IF(AND(B3137&lt;&gt;"",OR($C$4="",ISNUMBER(SEARCH($C$4,C3137&amp;" "&amp;E3137&amp;" "&amp;G3137&amp;" "&amp;H3137&amp;" "&amp;I3137&amp;" "&amp;J3137&amp;" "&amp;K3137&amp;" "&amp;L3137))),OR($C$5="Semua",$C$5="",G3137=$C$5),OR($C$6="Semua",$C$6="",H3137=$C$6,H3137="Pengeluaran "&amp;$C$6,AND($C$6="Uang Kos Mama",H3137="Pengeluaran Uang Kos")),OR($C$7="Semua",$C$7="",I3137=$C$7),OR($C$8="Semua",$C$8="",C3137=$C$8,E3137=$C$8),OR($C$9="Semua",$C$9="",D3137=$C$9),OR($C$10="",B3137&gt;=$C$10),OR($C$11="",B3137&lt;=$C$11),OR($C$12&lt;&gt;"Ya",K3137&lt;&gt;""),OR($C$13="Semua",$C$13="",L3137=$C$13)),"✓","")</f>
        <v/>
      </c>
      <c r="N3137" s="93">
        <f>N(N3136)+IF(M3137="✓",1,0)</f>
        <v/>
      </c>
      <c r="O3137" s="93">
        <f>N(O3136)+IF(AND(B3137&lt;&gt;"",B3137&gt;='Uang Riba'!$H$30,B3137&lt;='Uang Riba'!$I$30,OR(H3137="Dana riba",H3137="Pinjam uang riba",I3137="Pinjam dari uang riba",I3137="Ganti uang riba",I3137="Kelebihan ganti dikembalikan",AND(C3137="Kantong Uang Riba",G3137="Pengeluaran"))),1,0)</f>
        <v/>
      </c>
      <c r="X3137" s="93">
        <f>IF(AND(B3137&lt;&gt;"",B3137&gt;='Buku Akun'!$H$4,B3137&lt;='Buku Akun'!$H$5,OR(C3137='Buku Akun'!$C$4,AND(D3137="Pindah",E3137='Buku Akun'!$C$4))),B3137+IF(AND(I3137="Selisih bunga",DAY(B3137)=1),0,0.01)+ROW()/10000000,"")</f>
        <v/>
      </c>
    </row>
    <row r="3138" outlineLevel="1" ht="15" customHeight="1" s="94">
      <c r="A3138" s="123">
        <f>IF(B3138="","",ROW()-15)</f>
        <v/>
      </c>
      <c r="B3138" s="124" t="n"/>
      <c r="C3138" s="123" t="n"/>
      <c r="D3138" s="123" t="n"/>
      <c r="E3138" s="123" t="n"/>
      <c r="F3138" s="125" t="n"/>
      <c r="G3138" s="123" t="n"/>
      <c r="H3138" s="123" t="n"/>
      <c r="I3138" s="123" t="n"/>
      <c r="J3138" s="123" t="n"/>
      <c r="K3138" s="123" t="n"/>
      <c r="L3138" s="123" t="n"/>
      <c r="M3138" s="123">
        <f>IF(AND(B3138&lt;&gt;"",OR($C$4="",ISNUMBER(SEARCH($C$4,C3138&amp;" "&amp;E3138&amp;" "&amp;G3138&amp;" "&amp;H3138&amp;" "&amp;I3138&amp;" "&amp;J3138&amp;" "&amp;K3138&amp;" "&amp;L3138))),OR($C$5="Semua",$C$5="",G3138=$C$5),OR($C$6="Semua",$C$6="",H3138=$C$6,H3138="Pengeluaran "&amp;$C$6,AND($C$6="Uang Kos Mama",H3138="Pengeluaran Uang Kos")),OR($C$7="Semua",$C$7="",I3138=$C$7),OR($C$8="Semua",$C$8="",C3138=$C$8,E3138=$C$8),OR($C$9="Semua",$C$9="",D3138=$C$9),OR($C$10="",B3138&gt;=$C$10),OR($C$11="",B3138&lt;=$C$11),OR($C$12&lt;&gt;"Ya",K3138&lt;&gt;""),OR($C$13="Semua",$C$13="",L3138=$C$13)),"✓","")</f>
        <v/>
      </c>
      <c r="N3138" s="93">
        <f>N(N3137)+IF(M3138="✓",1,0)</f>
        <v/>
      </c>
      <c r="O3138" s="93">
        <f>N(O3137)+IF(AND(B3138&lt;&gt;"",B3138&gt;='Uang Riba'!$H$30,B3138&lt;='Uang Riba'!$I$30,OR(H3138="Dana riba",H3138="Pinjam uang riba",I3138="Pinjam dari uang riba",I3138="Ganti uang riba",I3138="Kelebihan ganti dikembalikan",AND(C3138="Kantong Uang Riba",G3138="Pengeluaran"))),1,0)</f>
        <v/>
      </c>
      <c r="X3138" s="93">
        <f>IF(AND(B3138&lt;&gt;"",B3138&gt;='Buku Akun'!$H$4,B3138&lt;='Buku Akun'!$H$5,OR(C3138='Buku Akun'!$C$4,AND(D3138="Pindah",E3138='Buku Akun'!$C$4))),B3138+IF(AND(I3138="Selisih bunga",DAY(B3138)=1),0,0.01)+ROW()/10000000,"")</f>
        <v/>
      </c>
    </row>
    <row r="3139" outlineLevel="1" ht="15" customHeight="1" s="94">
      <c r="A3139" s="123">
        <f>IF(B3139="","",ROW()-15)</f>
        <v/>
      </c>
      <c r="B3139" s="124" t="n"/>
      <c r="C3139" s="123" t="n"/>
      <c r="D3139" s="123" t="n"/>
      <c r="E3139" s="123" t="n"/>
      <c r="F3139" s="125" t="n"/>
      <c r="G3139" s="123" t="n"/>
      <c r="H3139" s="123" t="n"/>
      <c r="I3139" s="123" t="n"/>
      <c r="J3139" s="123" t="n"/>
      <c r="K3139" s="123" t="n"/>
      <c r="L3139" s="123" t="n"/>
      <c r="M3139" s="123">
        <f>IF(AND(B3139&lt;&gt;"",OR($C$4="",ISNUMBER(SEARCH($C$4,C3139&amp;" "&amp;E3139&amp;" "&amp;G3139&amp;" "&amp;H3139&amp;" "&amp;I3139&amp;" "&amp;J3139&amp;" "&amp;K3139&amp;" "&amp;L3139))),OR($C$5="Semua",$C$5="",G3139=$C$5),OR($C$6="Semua",$C$6="",H3139=$C$6,H3139="Pengeluaran "&amp;$C$6,AND($C$6="Uang Kos Mama",H3139="Pengeluaran Uang Kos")),OR($C$7="Semua",$C$7="",I3139=$C$7),OR($C$8="Semua",$C$8="",C3139=$C$8,E3139=$C$8),OR($C$9="Semua",$C$9="",D3139=$C$9),OR($C$10="",B3139&gt;=$C$10),OR($C$11="",B3139&lt;=$C$11),OR($C$12&lt;&gt;"Ya",K3139&lt;&gt;""),OR($C$13="Semua",$C$13="",L3139=$C$13)),"✓","")</f>
        <v/>
      </c>
      <c r="N3139" s="93">
        <f>N(N3138)+IF(M3139="✓",1,0)</f>
        <v/>
      </c>
      <c r="O3139" s="93">
        <f>N(O3138)+IF(AND(B3139&lt;&gt;"",B3139&gt;='Uang Riba'!$H$30,B3139&lt;='Uang Riba'!$I$30,OR(H3139="Dana riba",H3139="Pinjam uang riba",I3139="Pinjam dari uang riba",I3139="Ganti uang riba",I3139="Kelebihan ganti dikembalikan",AND(C3139="Kantong Uang Riba",G3139="Pengeluaran"))),1,0)</f>
        <v/>
      </c>
      <c r="X3139" s="93">
        <f>IF(AND(B3139&lt;&gt;"",B3139&gt;='Buku Akun'!$H$4,B3139&lt;='Buku Akun'!$H$5,OR(C3139='Buku Akun'!$C$4,AND(D3139="Pindah",E3139='Buku Akun'!$C$4))),B3139+IF(AND(I3139="Selisih bunga",DAY(B3139)=1),0,0.01)+ROW()/10000000,"")</f>
        <v/>
      </c>
    </row>
    <row r="3140" outlineLevel="1" ht="15" customHeight="1" s="94">
      <c r="A3140" s="123">
        <f>IF(B3140="","",ROW()-15)</f>
        <v/>
      </c>
      <c r="B3140" s="124" t="n"/>
      <c r="C3140" s="123" t="n"/>
      <c r="D3140" s="123" t="n"/>
      <c r="E3140" s="123" t="n"/>
      <c r="F3140" s="125" t="n"/>
      <c r="G3140" s="123" t="n"/>
      <c r="H3140" s="123" t="n"/>
      <c r="I3140" s="123" t="n"/>
      <c r="J3140" s="123" t="n"/>
      <c r="K3140" s="123" t="n"/>
      <c r="L3140" s="123" t="n"/>
      <c r="M3140" s="123">
        <f>IF(AND(B3140&lt;&gt;"",OR($C$4="",ISNUMBER(SEARCH($C$4,C3140&amp;" "&amp;E3140&amp;" "&amp;G3140&amp;" "&amp;H3140&amp;" "&amp;I3140&amp;" "&amp;J3140&amp;" "&amp;K3140&amp;" "&amp;L3140))),OR($C$5="Semua",$C$5="",G3140=$C$5),OR($C$6="Semua",$C$6="",H3140=$C$6,H3140="Pengeluaran "&amp;$C$6,AND($C$6="Uang Kos Mama",H3140="Pengeluaran Uang Kos")),OR($C$7="Semua",$C$7="",I3140=$C$7),OR($C$8="Semua",$C$8="",C3140=$C$8,E3140=$C$8),OR($C$9="Semua",$C$9="",D3140=$C$9),OR($C$10="",B3140&gt;=$C$10),OR($C$11="",B3140&lt;=$C$11),OR($C$12&lt;&gt;"Ya",K3140&lt;&gt;""),OR($C$13="Semua",$C$13="",L3140=$C$13)),"✓","")</f>
        <v/>
      </c>
      <c r="N3140" s="93">
        <f>N(N3139)+IF(M3140="✓",1,0)</f>
        <v/>
      </c>
      <c r="O3140" s="93">
        <f>N(O3139)+IF(AND(B3140&lt;&gt;"",B3140&gt;='Uang Riba'!$H$30,B3140&lt;='Uang Riba'!$I$30,OR(H3140="Dana riba",H3140="Pinjam uang riba",I3140="Pinjam dari uang riba",I3140="Ganti uang riba",I3140="Kelebihan ganti dikembalikan",AND(C3140="Kantong Uang Riba",G3140="Pengeluaran"))),1,0)</f>
        <v/>
      </c>
      <c r="X3140" s="93">
        <f>IF(AND(B3140&lt;&gt;"",B3140&gt;='Buku Akun'!$H$4,B3140&lt;='Buku Akun'!$H$5,OR(C3140='Buku Akun'!$C$4,AND(D3140="Pindah",E3140='Buku Akun'!$C$4))),B3140+IF(AND(I3140="Selisih bunga",DAY(B3140)=1),0,0.01)+ROW()/10000000,"")</f>
        <v/>
      </c>
    </row>
    <row r="3141" outlineLevel="1" ht="15" customHeight="1" s="94">
      <c r="A3141" s="123">
        <f>IF(B3141="","",ROW()-15)</f>
        <v/>
      </c>
      <c r="B3141" s="124" t="n"/>
      <c r="C3141" s="123" t="n"/>
      <c r="D3141" s="123" t="n"/>
      <c r="E3141" s="123" t="n"/>
      <c r="F3141" s="125" t="n"/>
      <c r="G3141" s="123" t="n"/>
      <c r="H3141" s="123" t="n"/>
      <c r="I3141" s="123" t="n"/>
      <c r="J3141" s="123" t="n"/>
      <c r="K3141" s="123" t="n"/>
      <c r="L3141" s="123" t="n"/>
      <c r="M3141" s="123">
        <f>IF(AND(B3141&lt;&gt;"",OR($C$4="",ISNUMBER(SEARCH($C$4,C3141&amp;" "&amp;E3141&amp;" "&amp;G3141&amp;" "&amp;H3141&amp;" "&amp;I3141&amp;" "&amp;J3141&amp;" "&amp;K3141&amp;" "&amp;L3141))),OR($C$5="Semua",$C$5="",G3141=$C$5),OR($C$6="Semua",$C$6="",H3141=$C$6,H3141="Pengeluaran "&amp;$C$6,AND($C$6="Uang Kos Mama",H3141="Pengeluaran Uang Kos")),OR($C$7="Semua",$C$7="",I3141=$C$7),OR($C$8="Semua",$C$8="",C3141=$C$8,E3141=$C$8),OR($C$9="Semua",$C$9="",D3141=$C$9),OR($C$10="",B3141&gt;=$C$10),OR($C$11="",B3141&lt;=$C$11),OR($C$12&lt;&gt;"Ya",K3141&lt;&gt;""),OR($C$13="Semua",$C$13="",L3141=$C$13)),"✓","")</f>
        <v/>
      </c>
      <c r="N3141" s="93">
        <f>N(N3140)+IF(M3141="✓",1,0)</f>
        <v/>
      </c>
      <c r="O3141" s="93">
        <f>N(O3140)+IF(AND(B3141&lt;&gt;"",B3141&gt;='Uang Riba'!$H$30,B3141&lt;='Uang Riba'!$I$30,OR(H3141="Dana riba",H3141="Pinjam uang riba",I3141="Pinjam dari uang riba",I3141="Ganti uang riba",I3141="Kelebihan ganti dikembalikan",AND(C3141="Kantong Uang Riba",G3141="Pengeluaran"))),1,0)</f>
        <v/>
      </c>
      <c r="X3141" s="93">
        <f>IF(AND(B3141&lt;&gt;"",B3141&gt;='Buku Akun'!$H$4,B3141&lt;='Buku Akun'!$H$5,OR(C3141='Buku Akun'!$C$4,AND(D3141="Pindah",E3141='Buku Akun'!$C$4))),B3141+IF(AND(I3141="Selisih bunga",DAY(B3141)=1),0,0.01)+ROW()/10000000,"")</f>
        <v/>
      </c>
    </row>
    <row r="3142" outlineLevel="1" ht="15" customHeight="1" s="94">
      <c r="A3142" s="123">
        <f>IF(B3142="","",ROW()-15)</f>
        <v/>
      </c>
      <c r="B3142" s="124" t="n"/>
      <c r="C3142" s="123" t="n"/>
      <c r="D3142" s="123" t="n"/>
      <c r="E3142" s="123" t="n"/>
      <c r="F3142" s="125" t="n"/>
      <c r="G3142" s="123" t="n"/>
      <c r="H3142" s="123" t="n"/>
      <c r="I3142" s="123" t="n"/>
      <c r="J3142" s="123" t="n"/>
      <c r="K3142" s="123" t="n"/>
      <c r="L3142" s="123" t="n"/>
      <c r="M3142" s="123">
        <f>IF(AND(B3142&lt;&gt;"",OR($C$4="",ISNUMBER(SEARCH($C$4,C3142&amp;" "&amp;E3142&amp;" "&amp;G3142&amp;" "&amp;H3142&amp;" "&amp;I3142&amp;" "&amp;J3142&amp;" "&amp;K3142&amp;" "&amp;L3142))),OR($C$5="Semua",$C$5="",G3142=$C$5),OR($C$6="Semua",$C$6="",H3142=$C$6,H3142="Pengeluaran "&amp;$C$6,AND($C$6="Uang Kos Mama",H3142="Pengeluaran Uang Kos")),OR($C$7="Semua",$C$7="",I3142=$C$7),OR($C$8="Semua",$C$8="",C3142=$C$8,E3142=$C$8),OR($C$9="Semua",$C$9="",D3142=$C$9),OR($C$10="",B3142&gt;=$C$10),OR($C$11="",B3142&lt;=$C$11),OR($C$12&lt;&gt;"Ya",K3142&lt;&gt;""),OR($C$13="Semua",$C$13="",L3142=$C$13)),"✓","")</f>
        <v/>
      </c>
      <c r="N3142" s="93">
        <f>N(N3141)+IF(M3142="✓",1,0)</f>
        <v/>
      </c>
      <c r="O3142" s="93">
        <f>N(O3141)+IF(AND(B3142&lt;&gt;"",B3142&gt;='Uang Riba'!$H$30,B3142&lt;='Uang Riba'!$I$30,OR(H3142="Dana riba",H3142="Pinjam uang riba",I3142="Pinjam dari uang riba",I3142="Ganti uang riba",I3142="Kelebihan ganti dikembalikan",AND(C3142="Kantong Uang Riba",G3142="Pengeluaran"))),1,0)</f>
        <v/>
      </c>
      <c r="X3142" s="93">
        <f>IF(AND(B3142&lt;&gt;"",B3142&gt;='Buku Akun'!$H$4,B3142&lt;='Buku Akun'!$H$5,OR(C3142='Buku Akun'!$C$4,AND(D3142="Pindah",E3142='Buku Akun'!$C$4))),B3142+IF(AND(I3142="Selisih bunga",DAY(B3142)=1),0,0.01)+ROW()/10000000,"")</f>
        <v/>
      </c>
    </row>
    <row r="3143" outlineLevel="1" ht="15" customHeight="1" s="94">
      <c r="A3143" s="123">
        <f>IF(B3143="","",ROW()-15)</f>
        <v/>
      </c>
      <c r="B3143" s="124" t="n"/>
      <c r="C3143" s="123" t="n"/>
      <c r="D3143" s="123" t="n"/>
      <c r="E3143" s="123" t="n"/>
      <c r="F3143" s="125" t="n"/>
      <c r="G3143" s="123" t="n"/>
      <c r="H3143" s="123" t="n"/>
      <c r="I3143" s="123" t="n"/>
      <c r="J3143" s="123" t="n"/>
      <c r="K3143" s="123" t="n"/>
      <c r="L3143" s="123" t="n"/>
      <c r="M3143" s="123">
        <f>IF(AND(B3143&lt;&gt;"",OR($C$4="",ISNUMBER(SEARCH($C$4,C3143&amp;" "&amp;E3143&amp;" "&amp;G3143&amp;" "&amp;H3143&amp;" "&amp;I3143&amp;" "&amp;J3143&amp;" "&amp;K3143&amp;" "&amp;L3143))),OR($C$5="Semua",$C$5="",G3143=$C$5),OR($C$6="Semua",$C$6="",H3143=$C$6,H3143="Pengeluaran "&amp;$C$6,AND($C$6="Uang Kos Mama",H3143="Pengeluaran Uang Kos")),OR($C$7="Semua",$C$7="",I3143=$C$7),OR($C$8="Semua",$C$8="",C3143=$C$8,E3143=$C$8),OR($C$9="Semua",$C$9="",D3143=$C$9),OR($C$10="",B3143&gt;=$C$10),OR($C$11="",B3143&lt;=$C$11),OR($C$12&lt;&gt;"Ya",K3143&lt;&gt;""),OR($C$13="Semua",$C$13="",L3143=$C$13)),"✓","")</f>
        <v/>
      </c>
      <c r="N3143" s="93">
        <f>N(N3142)+IF(M3143="✓",1,0)</f>
        <v/>
      </c>
      <c r="O3143" s="93">
        <f>N(O3142)+IF(AND(B3143&lt;&gt;"",B3143&gt;='Uang Riba'!$H$30,B3143&lt;='Uang Riba'!$I$30,OR(H3143="Dana riba",H3143="Pinjam uang riba",I3143="Pinjam dari uang riba",I3143="Ganti uang riba",I3143="Kelebihan ganti dikembalikan",AND(C3143="Kantong Uang Riba",G3143="Pengeluaran"))),1,0)</f>
        <v/>
      </c>
      <c r="X3143" s="93">
        <f>IF(AND(B3143&lt;&gt;"",B3143&gt;='Buku Akun'!$H$4,B3143&lt;='Buku Akun'!$H$5,OR(C3143='Buku Akun'!$C$4,AND(D3143="Pindah",E3143='Buku Akun'!$C$4))),B3143+IF(AND(I3143="Selisih bunga",DAY(B3143)=1),0,0.01)+ROW()/10000000,"")</f>
        <v/>
      </c>
    </row>
    <row r="3144" outlineLevel="1" ht="15" customHeight="1" s="94">
      <c r="A3144" s="123">
        <f>IF(B3144="","",ROW()-15)</f>
        <v/>
      </c>
      <c r="B3144" s="124" t="n"/>
      <c r="C3144" s="123" t="n"/>
      <c r="D3144" s="123" t="n"/>
      <c r="E3144" s="123" t="n"/>
      <c r="F3144" s="125" t="n"/>
      <c r="G3144" s="123" t="n"/>
      <c r="H3144" s="123" t="n"/>
      <c r="I3144" s="123" t="n"/>
      <c r="J3144" s="123" t="n"/>
      <c r="K3144" s="123" t="n"/>
      <c r="L3144" s="123" t="n"/>
      <c r="M3144" s="123">
        <f>IF(AND(B3144&lt;&gt;"",OR($C$4="",ISNUMBER(SEARCH($C$4,C3144&amp;" "&amp;E3144&amp;" "&amp;G3144&amp;" "&amp;H3144&amp;" "&amp;I3144&amp;" "&amp;J3144&amp;" "&amp;K3144&amp;" "&amp;L3144))),OR($C$5="Semua",$C$5="",G3144=$C$5),OR($C$6="Semua",$C$6="",H3144=$C$6,H3144="Pengeluaran "&amp;$C$6,AND($C$6="Uang Kos Mama",H3144="Pengeluaran Uang Kos")),OR($C$7="Semua",$C$7="",I3144=$C$7),OR($C$8="Semua",$C$8="",C3144=$C$8,E3144=$C$8),OR($C$9="Semua",$C$9="",D3144=$C$9),OR($C$10="",B3144&gt;=$C$10),OR($C$11="",B3144&lt;=$C$11),OR($C$12&lt;&gt;"Ya",K3144&lt;&gt;""),OR($C$13="Semua",$C$13="",L3144=$C$13)),"✓","")</f>
        <v/>
      </c>
      <c r="N3144" s="93">
        <f>N(N3143)+IF(M3144="✓",1,0)</f>
        <v/>
      </c>
      <c r="O3144" s="93">
        <f>N(O3143)+IF(AND(B3144&lt;&gt;"",B3144&gt;='Uang Riba'!$H$30,B3144&lt;='Uang Riba'!$I$30,OR(H3144="Dana riba",H3144="Pinjam uang riba",I3144="Pinjam dari uang riba",I3144="Ganti uang riba",I3144="Kelebihan ganti dikembalikan",AND(C3144="Kantong Uang Riba",G3144="Pengeluaran"))),1,0)</f>
        <v/>
      </c>
      <c r="X3144" s="93">
        <f>IF(AND(B3144&lt;&gt;"",B3144&gt;='Buku Akun'!$H$4,B3144&lt;='Buku Akun'!$H$5,OR(C3144='Buku Akun'!$C$4,AND(D3144="Pindah",E3144='Buku Akun'!$C$4))),B3144+IF(AND(I3144="Selisih bunga",DAY(B3144)=1),0,0.01)+ROW()/10000000,"")</f>
        <v/>
      </c>
    </row>
    <row r="3145" outlineLevel="1" ht="15" customHeight="1" s="94">
      <c r="A3145" s="123">
        <f>IF(B3145="","",ROW()-15)</f>
        <v/>
      </c>
      <c r="B3145" s="124" t="n"/>
      <c r="C3145" s="123" t="n"/>
      <c r="D3145" s="123" t="n"/>
      <c r="E3145" s="123" t="n"/>
      <c r="F3145" s="125" t="n"/>
      <c r="G3145" s="123" t="n"/>
      <c r="H3145" s="123" t="n"/>
      <c r="I3145" s="123" t="n"/>
      <c r="J3145" s="123" t="n"/>
      <c r="K3145" s="123" t="n"/>
      <c r="L3145" s="123" t="n"/>
      <c r="M3145" s="123">
        <f>IF(AND(B3145&lt;&gt;"",OR($C$4="",ISNUMBER(SEARCH($C$4,C3145&amp;" "&amp;E3145&amp;" "&amp;G3145&amp;" "&amp;H3145&amp;" "&amp;I3145&amp;" "&amp;J3145&amp;" "&amp;K3145&amp;" "&amp;L3145))),OR($C$5="Semua",$C$5="",G3145=$C$5),OR($C$6="Semua",$C$6="",H3145=$C$6,H3145="Pengeluaran "&amp;$C$6,AND($C$6="Uang Kos Mama",H3145="Pengeluaran Uang Kos")),OR($C$7="Semua",$C$7="",I3145=$C$7),OR($C$8="Semua",$C$8="",C3145=$C$8,E3145=$C$8),OR($C$9="Semua",$C$9="",D3145=$C$9),OR($C$10="",B3145&gt;=$C$10),OR($C$11="",B3145&lt;=$C$11),OR($C$12&lt;&gt;"Ya",K3145&lt;&gt;""),OR($C$13="Semua",$C$13="",L3145=$C$13)),"✓","")</f>
        <v/>
      </c>
      <c r="N3145" s="93">
        <f>N(N3144)+IF(M3145="✓",1,0)</f>
        <v/>
      </c>
      <c r="O3145" s="93">
        <f>N(O3144)+IF(AND(B3145&lt;&gt;"",B3145&gt;='Uang Riba'!$H$30,B3145&lt;='Uang Riba'!$I$30,OR(H3145="Dana riba",H3145="Pinjam uang riba",I3145="Pinjam dari uang riba",I3145="Ganti uang riba",I3145="Kelebihan ganti dikembalikan",AND(C3145="Kantong Uang Riba",G3145="Pengeluaran"))),1,0)</f>
        <v/>
      </c>
      <c r="X3145" s="93">
        <f>IF(AND(B3145&lt;&gt;"",B3145&gt;='Buku Akun'!$H$4,B3145&lt;='Buku Akun'!$H$5,OR(C3145='Buku Akun'!$C$4,AND(D3145="Pindah",E3145='Buku Akun'!$C$4))),B3145+IF(AND(I3145="Selisih bunga",DAY(B3145)=1),0,0.01)+ROW()/10000000,"")</f>
        <v/>
      </c>
    </row>
    <row r="3146" outlineLevel="1" ht="15" customHeight="1" s="94">
      <c r="A3146" s="123">
        <f>IF(B3146="","",ROW()-15)</f>
        <v/>
      </c>
      <c r="B3146" s="124" t="n"/>
      <c r="C3146" s="123" t="n"/>
      <c r="D3146" s="123" t="n"/>
      <c r="E3146" s="123" t="n"/>
      <c r="F3146" s="125" t="n"/>
      <c r="G3146" s="123" t="n"/>
      <c r="H3146" s="123" t="n"/>
      <c r="I3146" s="123" t="n"/>
      <c r="J3146" s="123" t="n"/>
      <c r="K3146" s="123" t="n"/>
      <c r="L3146" s="123" t="n"/>
      <c r="M3146" s="123">
        <f>IF(AND(B3146&lt;&gt;"",OR($C$4="",ISNUMBER(SEARCH($C$4,C3146&amp;" "&amp;E3146&amp;" "&amp;G3146&amp;" "&amp;H3146&amp;" "&amp;I3146&amp;" "&amp;J3146&amp;" "&amp;K3146&amp;" "&amp;L3146))),OR($C$5="Semua",$C$5="",G3146=$C$5),OR($C$6="Semua",$C$6="",H3146=$C$6,H3146="Pengeluaran "&amp;$C$6,AND($C$6="Uang Kos Mama",H3146="Pengeluaran Uang Kos")),OR($C$7="Semua",$C$7="",I3146=$C$7),OR($C$8="Semua",$C$8="",C3146=$C$8,E3146=$C$8),OR($C$9="Semua",$C$9="",D3146=$C$9),OR($C$10="",B3146&gt;=$C$10),OR($C$11="",B3146&lt;=$C$11),OR($C$12&lt;&gt;"Ya",K3146&lt;&gt;""),OR($C$13="Semua",$C$13="",L3146=$C$13)),"✓","")</f>
        <v/>
      </c>
      <c r="N3146" s="93">
        <f>N(N3145)+IF(M3146="✓",1,0)</f>
        <v/>
      </c>
      <c r="O3146" s="93">
        <f>N(O3145)+IF(AND(B3146&lt;&gt;"",B3146&gt;='Uang Riba'!$H$30,B3146&lt;='Uang Riba'!$I$30,OR(H3146="Dana riba",H3146="Pinjam uang riba",I3146="Pinjam dari uang riba",I3146="Ganti uang riba",I3146="Kelebihan ganti dikembalikan",AND(C3146="Kantong Uang Riba",G3146="Pengeluaran"))),1,0)</f>
        <v/>
      </c>
      <c r="X3146" s="93">
        <f>IF(AND(B3146&lt;&gt;"",B3146&gt;='Buku Akun'!$H$4,B3146&lt;='Buku Akun'!$H$5,OR(C3146='Buku Akun'!$C$4,AND(D3146="Pindah",E3146='Buku Akun'!$C$4))),B3146+IF(AND(I3146="Selisih bunga",DAY(B3146)=1),0,0.01)+ROW()/10000000,"")</f>
        <v/>
      </c>
    </row>
    <row r="3147" outlineLevel="1" ht="15" customHeight="1" s="94">
      <c r="A3147" s="123">
        <f>IF(B3147="","",ROW()-15)</f>
        <v/>
      </c>
      <c r="B3147" s="124" t="n"/>
      <c r="C3147" s="123" t="n"/>
      <c r="D3147" s="123" t="n"/>
      <c r="E3147" s="123" t="n"/>
      <c r="F3147" s="125" t="n"/>
      <c r="G3147" s="123" t="n"/>
      <c r="H3147" s="123" t="n"/>
      <c r="I3147" s="123" t="n"/>
      <c r="J3147" s="123" t="n"/>
      <c r="K3147" s="123" t="n"/>
      <c r="L3147" s="123" t="n"/>
      <c r="M3147" s="123">
        <f>IF(AND(B3147&lt;&gt;"",OR($C$4="",ISNUMBER(SEARCH($C$4,C3147&amp;" "&amp;E3147&amp;" "&amp;G3147&amp;" "&amp;H3147&amp;" "&amp;I3147&amp;" "&amp;J3147&amp;" "&amp;K3147&amp;" "&amp;L3147))),OR($C$5="Semua",$C$5="",G3147=$C$5),OR($C$6="Semua",$C$6="",H3147=$C$6,H3147="Pengeluaran "&amp;$C$6,AND($C$6="Uang Kos Mama",H3147="Pengeluaran Uang Kos")),OR($C$7="Semua",$C$7="",I3147=$C$7),OR($C$8="Semua",$C$8="",C3147=$C$8,E3147=$C$8),OR($C$9="Semua",$C$9="",D3147=$C$9),OR($C$10="",B3147&gt;=$C$10),OR($C$11="",B3147&lt;=$C$11),OR($C$12&lt;&gt;"Ya",K3147&lt;&gt;""),OR($C$13="Semua",$C$13="",L3147=$C$13)),"✓","")</f>
        <v/>
      </c>
      <c r="N3147" s="93">
        <f>N(N3146)+IF(M3147="✓",1,0)</f>
        <v/>
      </c>
      <c r="O3147" s="93">
        <f>N(O3146)+IF(AND(B3147&lt;&gt;"",B3147&gt;='Uang Riba'!$H$30,B3147&lt;='Uang Riba'!$I$30,OR(H3147="Dana riba",H3147="Pinjam uang riba",I3147="Pinjam dari uang riba",I3147="Ganti uang riba",I3147="Kelebihan ganti dikembalikan",AND(C3147="Kantong Uang Riba",G3147="Pengeluaran"))),1,0)</f>
        <v/>
      </c>
      <c r="X3147" s="93">
        <f>IF(AND(B3147&lt;&gt;"",B3147&gt;='Buku Akun'!$H$4,B3147&lt;='Buku Akun'!$H$5,OR(C3147='Buku Akun'!$C$4,AND(D3147="Pindah",E3147='Buku Akun'!$C$4))),B3147+IF(AND(I3147="Selisih bunga",DAY(B3147)=1),0,0.01)+ROW()/10000000,"")</f>
        <v/>
      </c>
    </row>
    <row r="3148" outlineLevel="1" ht="15" customHeight="1" s="94">
      <c r="A3148" s="123">
        <f>IF(B3148="","",ROW()-15)</f>
        <v/>
      </c>
      <c r="B3148" s="124" t="n"/>
      <c r="C3148" s="123" t="n"/>
      <c r="D3148" s="123" t="n"/>
      <c r="E3148" s="123" t="n"/>
      <c r="F3148" s="125" t="n"/>
      <c r="G3148" s="123" t="n"/>
      <c r="H3148" s="123" t="n"/>
      <c r="I3148" s="123" t="n"/>
      <c r="J3148" s="123" t="n"/>
      <c r="K3148" s="123" t="n"/>
      <c r="L3148" s="123" t="n"/>
      <c r="M3148" s="123">
        <f>IF(AND(B3148&lt;&gt;"",OR($C$4="",ISNUMBER(SEARCH($C$4,C3148&amp;" "&amp;E3148&amp;" "&amp;G3148&amp;" "&amp;H3148&amp;" "&amp;I3148&amp;" "&amp;J3148&amp;" "&amp;K3148&amp;" "&amp;L3148))),OR($C$5="Semua",$C$5="",G3148=$C$5),OR($C$6="Semua",$C$6="",H3148=$C$6,H3148="Pengeluaran "&amp;$C$6,AND($C$6="Uang Kos Mama",H3148="Pengeluaran Uang Kos")),OR($C$7="Semua",$C$7="",I3148=$C$7),OR($C$8="Semua",$C$8="",C3148=$C$8,E3148=$C$8),OR($C$9="Semua",$C$9="",D3148=$C$9),OR($C$10="",B3148&gt;=$C$10),OR($C$11="",B3148&lt;=$C$11),OR($C$12&lt;&gt;"Ya",K3148&lt;&gt;""),OR($C$13="Semua",$C$13="",L3148=$C$13)),"✓","")</f>
        <v/>
      </c>
      <c r="N3148" s="93">
        <f>N(N3147)+IF(M3148="✓",1,0)</f>
        <v/>
      </c>
      <c r="O3148" s="93">
        <f>N(O3147)+IF(AND(B3148&lt;&gt;"",B3148&gt;='Uang Riba'!$H$30,B3148&lt;='Uang Riba'!$I$30,OR(H3148="Dana riba",H3148="Pinjam uang riba",I3148="Pinjam dari uang riba",I3148="Ganti uang riba",I3148="Kelebihan ganti dikembalikan",AND(C3148="Kantong Uang Riba",G3148="Pengeluaran"))),1,0)</f>
        <v/>
      </c>
      <c r="X3148" s="93">
        <f>IF(AND(B3148&lt;&gt;"",B3148&gt;='Buku Akun'!$H$4,B3148&lt;='Buku Akun'!$H$5,OR(C3148='Buku Akun'!$C$4,AND(D3148="Pindah",E3148='Buku Akun'!$C$4))),B3148+IF(AND(I3148="Selisih bunga",DAY(B3148)=1),0,0.01)+ROW()/10000000,"")</f>
        <v/>
      </c>
    </row>
    <row r="3149" outlineLevel="1" ht="15" customHeight="1" s="94">
      <c r="A3149" s="123">
        <f>IF(B3149="","",ROW()-15)</f>
        <v/>
      </c>
      <c r="B3149" s="124" t="n"/>
      <c r="C3149" s="123" t="n"/>
      <c r="D3149" s="123" t="n"/>
      <c r="E3149" s="123" t="n"/>
      <c r="F3149" s="125" t="n"/>
      <c r="G3149" s="123" t="n"/>
      <c r="H3149" s="123" t="n"/>
      <c r="I3149" s="123" t="n"/>
      <c r="J3149" s="123" t="n"/>
      <c r="K3149" s="123" t="n"/>
      <c r="L3149" s="123" t="n"/>
      <c r="M3149" s="123">
        <f>IF(AND(B3149&lt;&gt;"",OR($C$4="",ISNUMBER(SEARCH($C$4,C3149&amp;" "&amp;E3149&amp;" "&amp;G3149&amp;" "&amp;H3149&amp;" "&amp;I3149&amp;" "&amp;J3149&amp;" "&amp;K3149&amp;" "&amp;L3149))),OR($C$5="Semua",$C$5="",G3149=$C$5),OR($C$6="Semua",$C$6="",H3149=$C$6,H3149="Pengeluaran "&amp;$C$6,AND($C$6="Uang Kos Mama",H3149="Pengeluaran Uang Kos")),OR($C$7="Semua",$C$7="",I3149=$C$7),OR($C$8="Semua",$C$8="",C3149=$C$8,E3149=$C$8),OR($C$9="Semua",$C$9="",D3149=$C$9),OR($C$10="",B3149&gt;=$C$10),OR($C$11="",B3149&lt;=$C$11),OR($C$12&lt;&gt;"Ya",K3149&lt;&gt;""),OR($C$13="Semua",$C$13="",L3149=$C$13)),"✓","")</f>
        <v/>
      </c>
      <c r="N3149" s="93">
        <f>N(N3148)+IF(M3149="✓",1,0)</f>
        <v/>
      </c>
      <c r="O3149" s="93">
        <f>N(O3148)+IF(AND(B3149&lt;&gt;"",B3149&gt;='Uang Riba'!$H$30,B3149&lt;='Uang Riba'!$I$30,OR(H3149="Dana riba",H3149="Pinjam uang riba",I3149="Pinjam dari uang riba",I3149="Ganti uang riba",I3149="Kelebihan ganti dikembalikan",AND(C3149="Kantong Uang Riba",G3149="Pengeluaran"))),1,0)</f>
        <v/>
      </c>
      <c r="X3149" s="93">
        <f>IF(AND(B3149&lt;&gt;"",B3149&gt;='Buku Akun'!$H$4,B3149&lt;='Buku Akun'!$H$5,OR(C3149='Buku Akun'!$C$4,AND(D3149="Pindah",E3149='Buku Akun'!$C$4))),B3149+IF(AND(I3149="Selisih bunga",DAY(B3149)=1),0,0.01)+ROW()/10000000,"")</f>
        <v/>
      </c>
    </row>
    <row r="3150" outlineLevel="1" ht="15" customHeight="1" s="94">
      <c r="A3150" s="123">
        <f>IF(B3150="","",ROW()-15)</f>
        <v/>
      </c>
      <c r="B3150" s="124" t="n"/>
      <c r="C3150" s="123" t="n"/>
      <c r="D3150" s="123" t="n"/>
      <c r="E3150" s="123" t="n"/>
      <c r="F3150" s="125" t="n"/>
      <c r="G3150" s="123" t="n"/>
      <c r="H3150" s="123" t="n"/>
      <c r="I3150" s="123" t="n"/>
      <c r="J3150" s="123" t="n"/>
      <c r="K3150" s="123" t="n"/>
      <c r="L3150" s="123" t="n"/>
      <c r="M3150" s="123">
        <f>IF(AND(B3150&lt;&gt;"",OR($C$4="",ISNUMBER(SEARCH($C$4,C3150&amp;" "&amp;E3150&amp;" "&amp;G3150&amp;" "&amp;H3150&amp;" "&amp;I3150&amp;" "&amp;J3150&amp;" "&amp;K3150&amp;" "&amp;L3150))),OR($C$5="Semua",$C$5="",G3150=$C$5),OR($C$6="Semua",$C$6="",H3150=$C$6,H3150="Pengeluaran "&amp;$C$6,AND($C$6="Uang Kos Mama",H3150="Pengeluaran Uang Kos")),OR($C$7="Semua",$C$7="",I3150=$C$7),OR($C$8="Semua",$C$8="",C3150=$C$8,E3150=$C$8),OR($C$9="Semua",$C$9="",D3150=$C$9),OR($C$10="",B3150&gt;=$C$10),OR($C$11="",B3150&lt;=$C$11),OR($C$12&lt;&gt;"Ya",K3150&lt;&gt;""),OR($C$13="Semua",$C$13="",L3150=$C$13)),"✓","")</f>
        <v/>
      </c>
      <c r="N3150" s="93">
        <f>N(N3149)+IF(M3150="✓",1,0)</f>
        <v/>
      </c>
      <c r="O3150" s="93">
        <f>N(O3149)+IF(AND(B3150&lt;&gt;"",B3150&gt;='Uang Riba'!$H$30,B3150&lt;='Uang Riba'!$I$30,OR(H3150="Dana riba",H3150="Pinjam uang riba",I3150="Pinjam dari uang riba",I3150="Ganti uang riba",I3150="Kelebihan ganti dikembalikan",AND(C3150="Kantong Uang Riba",G3150="Pengeluaran"))),1,0)</f>
        <v/>
      </c>
      <c r="X3150" s="93">
        <f>IF(AND(B3150&lt;&gt;"",B3150&gt;='Buku Akun'!$H$4,B3150&lt;='Buku Akun'!$H$5,OR(C3150='Buku Akun'!$C$4,AND(D3150="Pindah",E3150='Buku Akun'!$C$4))),B3150+IF(AND(I3150="Selisih bunga",DAY(B3150)=1),0,0.01)+ROW()/10000000,"")</f>
        <v/>
      </c>
    </row>
    <row r="3151" outlineLevel="1" ht="15" customHeight="1" s="94">
      <c r="A3151" s="123">
        <f>IF(B3151="","",ROW()-15)</f>
        <v/>
      </c>
      <c r="B3151" s="124" t="n"/>
      <c r="C3151" s="123" t="n"/>
      <c r="D3151" s="123" t="n"/>
      <c r="E3151" s="123" t="n"/>
      <c r="F3151" s="125" t="n"/>
      <c r="G3151" s="123" t="n"/>
      <c r="H3151" s="123" t="n"/>
      <c r="I3151" s="123" t="n"/>
      <c r="J3151" s="123" t="n"/>
      <c r="K3151" s="123" t="n"/>
      <c r="L3151" s="123" t="n"/>
      <c r="M3151" s="123">
        <f>IF(AND(B3151&lt;&gt;"",OR($C$4="",ISNUMBER(SEARCH($C$4,C3151&amp;" "&amp;E3151&amp;" "&amp;G3151&amp;" "&amp;H3151&amp;" "&amp;I3151&amp;" "&amp;J3151&amp;" "&amp;K3151&amp;" "&amp;L3151))),OR($C$5="Semua",$C$5="",G3151=$C$5),OR($C$6="Semua",$C$6="",H3151=$C$6,H3151="Pengeluaran "&amp;$C$6,AND($C$6="Uang Kos Mama",H3151="Pengeluaran Uang Kos")),OR($C$7="Semua",$C$7="",I3151=$C$7),OR($C$8="Semua",$C$8="",C3151=$C$8,E3151=$C$8),OR($C$9="Semua",$C$9="",D3151=$C$9),OR($C$10="",B3151&gt;=$C$10),OR($C$11="",B3151&lt;=$C$11),OR($C$12&lt;&gt;"Ya",K3151&lt;&gt;""),OR($C$13="Semua",$C$13="",L3151=$C$13)),"✓","")</f>
        <v/>
      </c>
      <c r="N3151" s="93">
        <f>N(N3150)+IF(M3151="✓",1,0)</f>
        <v/>
      </c>
      <c r="O3151" s="93">
        <f>N(O3150)+IF(AND(B3151&lt;&gt;"",B3151&gt;='Uang Riba'!$H$30,B3151&lt;='Uang Riba'!$I$30,OR(H3151="Dana riba",H3151="Pinjam uang riba",I3151="Pinjam dari uang riba",I3151="Ganti uang riba",I3151="Kelebihan ganti dikembalikan",AND(C3151="Kantong Uang Riba",G3151="Pengeluaran"))),1,0)</f>
        <v/>
      </c>
      <c r="X3151" s="93">
        <f>IF(AND(B3151&lt;&gt;"",B3151&gt;='Buku Akun'!$H$4,B3151&lt;='Buku Akun'!$H$5,OR(C3151='Buku Akun'!$C$4,AND(D3151="Pindah",E3151='Buku Akun'!$C$4))),B3151+IF(AND(I3151="Selisih bunga",DAY(B3151)=1),0,0.01)+ROW()/10000000,"")</f>
        <v/>
      </c>
    </row>
    <row r="3152" outlineLevel="1" ht="15" customHeight="1" s="94">
      <c r="A3152" s="123">
        <f>IF(B3152="","",ROW()-15)</f>
        <v/>
      </c>
      <c r="B3152" s="124" t="n"/>
      <c r="C3152" s="123" t="n"/>
      <c r="D3152" s="123" t="n"/>
      <c r="E3152" s="123" t="n"/>
      <c r="F3152" s="125" t="n"/>
      <c r="G3152" s="123" t="n"/>
      <c r="H3152" s="123" t="n"/>
      <c r="I3152" s="123" t="n"/>
      <c r="J3152" s="123" t="n"/>
      <c r="K3152" s="123" t="n"/>
      <c r="L3152" s="123" t="n"/>
      <c r="M3152" s="123">
        <f>IF(AND(B3152&lt;&gt;"",OR($C$4="",ISNUMBER(SEARCH($C$4,C3152&amp;" "&amp;E3152&amp;" "&amp;G3152&amp;" "&amp;H3152&amp;" "&amp;I3152&amp;" "&amp;J3152&amp;" "&amp;K3152&amp;" "&amp;L3152))),OR($C$5="Semua",$C$5="",G3152=$C$5),OR($C$6="Semua",$C$6="",H3152=$C$6,H3152="Pengeluaran "&amp;$C$6,AND($C$6="Uang Kos Mama",H3152="Pengeluaran Uang Kos")),OR($C$7="Semua",$C$7="",I3152=$C$7),OR($C$8="Semua",$C$8="",C3152=$C$8,E3152=$C$8),OR($C$9="Semua",$C$9="",D3152=$C$9),OR($C$10="",B3152&gt;=$C$10),OR($C$11="",B3152&lt;=$C$11),OR($C$12&lt;&gt;"Ya",K3152&lt;&gt;""),OR($C$13="Semua",$C$13="",L3152=$C$13)),"✓","")</f>
        <v/>
      </c>
      <c r="N3152" s="93">
        <f>N(N3151)+IF(M3152="✓",1,0)</f>
        <v/>
      </c>
      <c r="O3152" s="93">
        <f>N(O3151)+IF(AND(B3152&lt;&gt;"",B3152&gt;='Uang Riba'!$H$30,B3152&lt;='Uang Riba'!$I$30,OR(H3152="Dana riba",H3152="Pinjam uang riba",I3152="Pinjam dari uang riba",I3152="Ganti uang riba",I3152="Kelebihan ganti dikembalikan",AND(C3152="Kantong Uang Riba",G3152="Pengeluaran"))),1,0)</f>
        <v/>
      </c>
      <c r="X3152" s="93">
        <f>IF(AND(B3152&lt;&gt;"",B3152&gt;='Buku Akun'!$H$4,B3152&lt;='Buku Akun'!$H$5,OR(C3152='Buku Akun'!$C$4,AND(D3152="Pindah",E3152='Buku Akun'!$C$4))),B3152+IF(AND(I3152="Selisih bunga",DAY(B3152)=1),0,0.01)+ROW()/10000000,"")</f>
        <v/>
      </c>
    </row>
    <row r="3153" outlineLevel="1" ht="15" customHeight="1" s="94">
      <c r="A3153" s="123">
        <f>IF(B3153="","",ROW()-15)</f>
        <v/>
      </c>
      <c r="B3153" s="124" t="n"/>
      <c r="C3153" s="123" t="n"/>
      <c r="D3153" s="123" t="n"/>
      <c r="E3153" s="123" t="n"/>
      <c r="F3153" s="125" t="n"/>
      <c r="G3153" s="123" t="n"/>
      <c r="H3153" s="123" t="n"/>
      <c r="I3153" s="123" t="n"/>
      <c r="J3153" s="123" t="n"/>
      <c r="K3153" s="123" t="n"/>
      <c r="L3153" s="123" t="n"/>
      <c r="M3153" s="123">
        <f>IF(AND(B3153&lt;&gt;"",OR($C$4="",ISNUMBER(SEARCH($C$4,C3153&amp;" "&amp;E3153&amp;" "&amp;G3153&amp;" "&amp;H3153&amp;" "&amp;I3153&amp;" "&amp;J3153&amp;" "&amp;K3153&amp;" "&amp;L3153))),OR($C$5="Semua",$C$5="",G3153=$C$5),OR($C$6="Semua",$C$6="",H3153=$C$6,H3153="Pengeluaran "&amp;$C$6,AND($C$6="Uang Kos Mama",H3153="Pengeluaran Uang Kos")),OR($C$7="Semua",$C$7="",I3153=$C$7),OR($C$8="Semua",$C$8="",C3153=$C$8,E3153=$C$8),OR($C$9="Semua",$C$9="",D3153=$C$9),OR($C$10="",B3153&gt;=$C$10),OR($C$11="",B3153&lt;=$C$11),OR($C$12&lt;&gt;"Ya",K3153&lt;&gt;""),OR($C$13="Semua",$C$13="",L3153=$C$13)),"✓","")</f>
        <v/>
      </c>
      <c r="N3153" s="93">
        <f>N(N3152)+IF(M3153="✓",1,0)</f>
        <v/>
      </c>
      <c r="O3153" s="93">
        <f>N(O3152)+IF(AND(B3153&lt;&gt;"",B3153&gt;='Uang Riba'!$H$30,B3153&lt;='Uang Riba'!$I$30,OR(H3153="Dana riba",H3153="Pinjam uang riba",I3153="Pinjam dari uang riba",I3153="Ganti uang riba",I3153="Kelebihan ganti dikembalikan",AND(C3153="Kantong Uang Riba",G3153="Pengeluaran"))),1,0)</f>
        <v/>
      </c>
      <c r="X3153" s="93">
        <f>IF(AND(B3153&lt;&gt;"",B3153&gt;='Buku Akun'!$H$4,B3153&lt;='Buku Akun'!$H$5,OR(C3153='Buku Akun'!$C$4,AND(D3153="Pindah",E3153='Buku Akun'!$C$4))),B3153+IF(AND(I3153="Selisih bunga",DAY(B3153)=1),0,0.01)+ROW()/10000000,"")</f>
        <v/>
      </c>
    </row>
    <row r="3154" outlineLevel="1" ht="15" customHeight="1" s="94">
      <c r="A3154" s="123">
        <f>IF(B3154="","",ROW()-15)</f>
        <v/>
      </c>
      <c r="B3154" s="124" t="n"/>
      <c r="C3154" s="123" t="n"/>
      <c r="D3154" s="123" t="n"/>
      <c r="E3154" s="123" t="n"/>
      <c r="F3154" s="125" t="n"/>
      <c r="G3154" s="123" t="n"/>
      <c r="H3154" s="123" t="n"/>
      <c r="I3154" s="123" t="n"/>
      <c r="J3154" s="123" t="n"/>
      <c r="K3154" s="123" t="n"/>
      <c r="L3154" s="123" t="n"/>
      <c r="M3154" s="123">
        <f>IF(AND(B3154&lt;&gt;"",OR($C$4="",ISNUMBER(SEARCH($C$4,C3154&amp;" "&amp;E3154&amp;" "&amp;G3154&amp;" "&amp;H3154&amp;" "&amp;I3154&amp;" "&amp;J3154&amp;" "&amp;K3154&amp;" "&amp;L3154))),OR($C$5="Semua",$C$5="",G3154=$C$5),OR($C$6="Semua",$C$6="",H3154=$C$6,H3154="Pengeluaran "&amp;$C$6,AND($C$6="Uang Kos Mama",H3154="Pengeluaran Uang Kos")),OR($C$7="Semua",$C$7="",I3154=$C$7),OR($C$8="Semua",$C$8="",C3154=$C$8,E3154=$C$8),OR($C$9="Semua",$C$9="",D3154=$C$9),OR($C$10="",B3154&gt;=$C$10),OR($C$11="",B3154&lt;=$C$11),OR($C$12&lt;&gt;"Ya",K3154&lt;&gt;""),OR($C$13="Semua",$C$13="",L3154=$C$13)),"✓","")</f>
        <v/>
      </c>
      <c r="N3154" s="93">
        <f>N(N3153)+IF(M3154="✓",1,0)</f>
        <v/>
      </c>
      <c r="O3154" s="93">
        <f>N(O3153)+IF(AND(B3154&lt;&gt;"",B3154&gt;='Uang Riba'!$H$30,B3154&lt;='Uang Riba'!$I$30,OR(H3154="Dana riba",H3154="Pinjam uang riba",I3154="Pinjam dari uang riba",I3154="Ganti uang riba",I3154="Kelebihan ganti dikembalikan",AND(C3154="Kantong Uang Riba",G3154="Pengeluaran"))),1,0)</f>
        <v/>
      </c>
      <c r="X3154" s="93">
        <f>IF(AND(B3154&lt;&gt;"",B3154&gt;='Buku Akun'!$H$4,B3154&lt;='Buku Akun'!$H$5,OR(C3154='Buku Akun'!$C$4,AND(D3154="Pindah",E3154='Buku Akun'!$C$4))),B3154+IF(AND(I3154="Selisih bunga",DAY(B3154)=1),0,0.01)+ROW()/10000000,"")</f>
        <v/>
      </c>
    </row>
    <row r="3155" outlineLevel="1" ht="15" customHeight="1" s="94">
      <c r="A3155" s="123">
        <f>IF(B3155="","",ROW()-15)</f>
        <v/>
      </c>
      <c r="B3155" s="124" t="n"/>
      <c r="C3155" s="123" t="n"/>
      <c r="D3155" s="123" t="n"/>
      <c r="E3155" s="123" t="n"/>
      <c r="F3155" s="125" t="n"/>
      <c r="G3155" s="123" t="n"/>
      <c r="H3155" s="123" t="n"/>
      <c r="I3155" s="123" t="n"/>
      <c r="J3155" s="123" t="n"/>
      <c r="K3155" s="123" t="n"/>
      <c r="L3155" s="123" t="n"/>
      <c r="M3155" s="123">
        <f>IF(AND(B3155&lt;&gt;"",OR($C$4="",ISNUMBER(SEARCH($C$4,C3155&amp;" "&amp;E3155&amp;" "&amp;G3155&amp;" "&amp;H3155&amp;" "&amp;I3155&amp;" "&amp;J3155&amp;" "&amp;K3155&amp;" "&amp;L3155))),OR($C$5="Semua",$C$5="",G3155=$C$5),OR($C$6="Semua",$C$6="",H3155=$C$6,H3155="Pengeluaran "&amp;$C$6,AND($C$6="Uang Kos Mama",H3155="Pengeluaran Uang Kos")),OR($C$7="Semua",$C$7="",I3155=$C$7),OR($C$8="Semua",$C$8="",C3155=$C$8,E3155=$C$8),OR($C$9="Semua",$C$9="",D3155=$C$9),OR($C$10="",B3155&gt;=$C$10),OR($C$11="",B3155&lt;=$C$11),OR($C$12&lt;&gt;"Ya",K3155&lt;&gt;""),OR($C$13="Semua",$C$13="",L3155=$C$13)),"✓","")</f>
        <v/>
      </c>
      <c r="N3155" s="93">
        <f>N(N3154)+IF(M3155="✓",1,0)</f>
        <v/>
      </c>
      <c r="O3155" s="93">
        <f>N(O3154)+IF(AND(B3155&lt;&gt;"",B3155&gt;='Uang Riba'!$H$30,B3155&lt;='Uang Riba'!$I$30,OR(H3155="Dana riba",H3155="Pinjam uang riba",I3155="Pinjam dari uang riba",I3155="Ganti uang riba",I3155="Kelebihan ganti dikembalikan",AND(C3155="Kantong Uang Riba",G3155="Pengeluaran"))),1,0)</f>
        <v/>
      </c>
      <c r="X3155" s="93">
        <f>IF(AND(B3155&lt;&gt;"",B3155&gt;='Buku Akun'!$H$4,B3155&lt;='Buku Akun'!$H$5,OR(C3155='Buku Akun'!$C$4,AND(D3155="Pindah",E3155='Buku Akun'!$C$4))),B3155+IF(AND(I3155="Selisih bunga",DAY(B3155)=1),0,0.01)+ROW()/10000000,"")</f>
        <v/>
      </c>
    </row>
    <row r="3156" outlineLevel="1" ht="15" customHeight="1" s="94">
      <c r="A3156" s="123">
        <f>IF(B3156="","",ROW()-15)</f>
        <v/>
      </c>
      <c r="B3156" s="124" t="n"/>
      <c r="C3156" s="123" t="n"/>
      <c r="D3156" s="123" t="n"/>
      <c r="E3156" s="123" t="n"/>
      <c r="F3156" s="125" t="n"/>
      <c r="G3156" s="123" t="n"/>
      <c r="H3156" s="123" t="n"/>
      <c r="I3156" s="123" t="n"/>
      <c r="J3156" s="123" t="n"/>
      <c r="K3156" s="123" t="n"/>
      <c r="L3156" s="123" t="n"/>
      <c r="M3156" s="123">
        <f>IF(AND(B3156&lt;&gt;"",OR($C$4="",ISNUMBER(SEARCH($C$4,C3156&amp;" "&amp;E3156&amp;" "&amp;G3156&amp;" "&amp;H3156&amp;" "&amp;I3156&amp;" "&amp;J3156&amp;" "&amp;K3156&amp;" "&amp;L3156))),OR($C$5="Semua",$C$5="",G3156=$C$5),OR($C$6="Semua",$C$6="",H3156=$C$6,H3156="Pengeluaran "&amp;$C$6,AND($C$6="Uang Kos Mama",H3156="Pengeluaran Uang Kos")),OR($C$7="Semua",$C$7="",I3156=$C$7),OR($C$8="Semua",$C$8="",C3156=$C$8,E3156=$C$8),OR($C$9="Semua",$C$9="",D3156=$C$9),OR($C$10="",B3156&gt;=$C$10),OR($C$11="",B3156&lt;=$C$11),OR($C$12&lt;&gt;"Ya",K3156&lt;&gt;""),OR($C$13="Semua",$C$13="",L3156=$C$13)),"✓","")</f>
        <v/>
      </c>
      <c r="N3156" s="93">
        <f>N(N3155)+IF(M3156="✓",1,0)</f>
        <v/>
      </c>
      <c r="O3156" s="93">
        <f>N(O3155)+IF(AND(B3156&lt;&gt;"",B3156&gt;='Uang Riba'!$H$30,B3156&lt;='Uang Riba'!$I$30,OR(H3156="Dana riba",H3156="Pinjam uang riba",I3156="Pinjam dari uang riba",I3156="Ganti uang riba",I3156="Kelebihan ganti dikembalikan",AND(C3156="Kantong Uang Riba",G3156="Pengeluaran"))),1,0)</f>
        <v/>
      </c>
      <c r="X3156" s="93">
        <f>IF(AND(B3156&lt;&gt;"",B3156&gt;='Buku Akun'!$H$4,B3156&lt;='Buku Akun'!$H$5,OR(C3156='Buku Akun'!$C$4,AND(D3156="Pindah",E3156='Buku Akun'!$C$4))),B3156+IF(AND(I3156="Selisih bunga",DAY(B3156)=1),0,0.01)+ROW()/10000000,"")</f>
        <v/>
      </c>
    </row>
    <row r="3157" outlineLevel="1" ht="15" customHeight="1" s="94">
      <c r="A3157" s="123">
        <f>IF(B3157="","",ROW()-15)</f>
        <v/>
      </c>
      <c r="B3157" s="124" t="n"/>
      <c r="C3157" s="123" t="n"/>
      <c r="D3157" s="123" t="n"/>
      <c r="E3157" s="123" t="n"/>
      <c r="F3157" s="125" t="n"/>
      <c r="G3157" s="123" t="n"/>
      <c r="H3157" s="123" t="n"/>
      <c r="I3157" s="123" t="n"/>
      <c r="J3157" s="123" t="n"/>
      <c r="K3157" s="123" t="n"/>
      <c r="L3157" s="123" t="n"/>
      <c r="M3157" s="123">
        <f>IF(AND(B3157&lt;&gt;"",OR($C$4="",ISNUMBER(SEARCH($C$4,C3157&amp;" "&amp;E3157&amp;" "&amp;G3157&amp;" "&amp;H3157&amp;" "&amp;I3157&amp;" "&amp;J3157&amp;" "&amp;K3157&amp;" "&amp;L3157))),OR($C$5="Semua",$C$5="",G3157=$C$5),OR($C$6="Semua",$C$6="",H3157=$C$6,H3157="Pengeluaran "&amp;$C$6,AND($C$6="Uang Kos Mama",H3157="Pengeluaran Uang Kos")),OR($C$7="Semua",$C$7="",I3157=$C$7),OR($C$8="Semua",$C$8="",C3157=$C$8,E3157=$C$8),OR($C$9="Semua",$C$9="",D3157=$C$9),OR($C$10="",B3157&gt;=$C$10),OR($C$11="",B3157&lt;=$C$11),OR($C$12&lt;&gt;"Ya",K3157&lt;&gt;""),OR($C$13="Semua",$C$13="",L3157=$C$13)),"✓","")</f>
        <v/>
      </c>
      <c r="N3157" s="93">
        <f>N(N3156)+IF(M3157="✓",1,0)</f>
        <v/>
      </c>
      <c r="O3157" s="93">
        <f>N(O3156)+IF(AND(B3157&lt;&gt;"",B3157&gt;='Uang Riba'!$H$30,B3157&lt;='Uang Riba'!$I$30,OR(H3157="Dana riba",H3157="Pinjam uang riba",I3157="Pinjam dari uang riba",I3157="Ganti uang riba",I3157="Kelebihan ganti dikembalikan",AND(C3157="Kantong Uang Riba",G3157="Pengeluaran"))),1,0)</f>
        <v/>
      </c>
      <c r="X3157" s="93">
        <f>IF(AND(B3157&lt;&gt;"",B3157&gt;='Buku Akun'!$H$4,B3157&lt;='Buku Akun'!$H$5,OR(C3157='Buku Akun'!$C$4,AND(D3157="Pindah",E3157='Buku Akun'!$C$4))),B3157+IF(AND(I3157="Selisih bunga",DAY(B3157)=1),0,0.01)+ROW()/10000000,"")</f>
        <v/>
      </c>
    </row>
    <row r="3158" outlineLevel="1" ht="15" customHeight="1" s="94">
      <c r="A3158" s="123">
        <f>IF(B3158="","",ROW()-15)</f>
        <v/>
      </c>
      <c r="B3158" s="124" t="n"/>
      <c r="C3158" s="123" t="n"/>
      <c r="D3158" s="123" t="n"/>
      <c r="E3158" s="123" t="n"/>
      <c r="F3158" s="125" t="n"/>
      <c r="G3158" s="123" t="n"/>
      <c r="H3158" s="123" t="n"/>
      <c r="I3158" s="123" t="n"/>
      <c r="J3158" s="123" t="n"/>
      <c r="K3158" s="123" t="n"/>
      <c r="L3158" s="123" t="n"/>
      <c r="M3158" s="123">
        <f>IF(AND(B3158&lt;&gt;"",OR($C$4="",ISNUMBER(SEARCH($C$4,C3158&amp;" "&amp;E3158&amp;" "&amp;G3158&amp;" "&amp;H3158&amp;" "&amp;I3158&amp;" "&amp;J3158&amp;" "&amp;K3158&amp;" "&amp;L3158))),OR($C$5="Semua",$C$5="",G3158=$C$5),OR($C$6="Semua",$C$6="",H3158=$C$6,H3158="Pengeluaran "&amp;$C$6,AND($C$6="Uang Kos Mama",H3158="Pengeluaran Uang Kos")),OR($C$7="Semua",$C$7="",I3158=$C$7),OR($C$8="Semua",$C$8="",C3158=$C$8,E3158=$C$8),OR($C$9="Semua",$C$9="",D3158=$C$9),OR($C$10="",B3158&gt;=$C$10),OR($C$11="",B3158&lt;=$C$11),OR($C$12&lt;&gt;"Ya",K3158&lt;&gt;""),OR($C$13="Semua",$C$13="",L3158=$C$13)),"✓","")</f>
        <v/>
      </c>
      <c r="N3158" s="93">
        <f>N(N3157)+IF(M3158="✓",1,0)</f>
        <v/>
      </c>
      <c r="O3158" s="93">
        <f>N(O3157)+IF(AND(B3158&lt;&gt;"",B3158&gt;='Uang Riba'!$H$30,B3158&lt;='Uang Riba'!$I$30,OR(H3158="Dana riba",H3158="Pinjam uang riba",I3158="Pinjam dari uang riba",I3158="Ganti uang riba",I3158="Kelebihan ganti dikembalikan",AND(C3158="Kantong Uang Riba",G3158="Pengeluaran"))),1,0)</f>
        <v/>
      </c>
      <c r="X3158" s="93">
        <f>IF(AND(B3158&lt;&gt;"",B3158&gt;='Buku Akun'!$H$4,B3158&lt;='Buku Akun'!$H$5,OR(C3158='Buku Akun'!$C$4,AND(D3158="Pindah",E3158='Buku Akun'!$C$4))),B3158+IF(AND(I3158="Selisih bunga",DAY(B3158)=1),0,0.01)+ROW()/10000000,"")</f>
        <v/>
      </c>
    </row>
    <row r="3159" outlineLevel="1" ht="15" customHeight="1" s="94">
      <c r="A3159" s="123">
        <f>IF(B3159="","",ROW()-15)</f>
        <v/>
      </c>
      <c r="B3159" s="124" t="n"/>
      <c r="C3159" s="123" t="n"/>
      <c r="D3159" s="123" t="n"/>
      <c r="E3159" s="123" t="n"/>
      <c r="F3159" s="125" t="n"/>
      <c r="G3159" s="123" t="n"/>
      <c r="H3159" s="123" t="n"/>
      <c r="I3159" s="123" t="n"/>
      <c r="J3159" s="123" t="n"/>
      <c r="K3159" s="123" t="n"/>
      <c r="L3159" s="123" t="n"/>
      <c r="M3159" s="123">
        <f>IF(AND(B3159&lt;&gt;"",OR($C$4="",ISNUMBER(SEARCH($C$4,C3159&amp;" "&amp;E3159&amp;" "&amp;G3159&amp;" "&amp;H3159&amp;" "&amp;I3159&amp;" "&amp;J3159&amp;" "&amp;K3159&amp;" "&amp;L3159))),OR($C$5="Semua",$C$5="",G3159=$C$5),OR($C$6="Semua",$C$6="",H3159=$C$6,H3159="Pengeluaran "&amp;$C$6,AND($C$6="Uang Kos Mama",H3159="Pengeluaran Uang Kos")),OR($C$7="Semua",$C$7="",I3159=$C$7),OR($C$8="Semua",$C$8="",C3159=$C$8,E3159=$C$8),OR($C$9="Semua",$C$9="",D3159=$C$9),OR($C$10="",B3159&gt;=$C$10),OR($C$11="",B3159&lt;=$C$11),OR($C$12&lt;&gt;"Ya",K3159&lt;&gt;""),OR($C$13="Semua",$C$13="",L3159=$C$13)),"✓","")</f>
        <v/>
      </c>
      <c r="N3159" s="93">
        <f>N(N3158)+IF(M3159="✓",1,0)</f>
        <v/>
      </c>
      <c r="O3159" s="93">
        <f>N(O3158)+IF(AND(B3159&lt;&gt;"",B3159&gt;='Uang Riba'!$H$30,B3159&lt;='Uang Riba'!$I$30,OR(H3159="Dana riba",H3159="Pinjam uang riba",I3159="Pinjam dari uang riba",I3159="Ganti uang riba",I3159="Kelebihan ganti dikembalikan",AND(C3159="Kantong Uang Riba",G3159="Pengeluaran"))),1,0)</f>
        <v/>
      </c>
      <c r="X3159" s="93">
        <f>IF(AND(B3159&lt;&gt;"",B3159&gt;='Buku Akun'!$H$4,B3159&lt;='Buku Akun'!$H$5,OR(C3159='Buku Akun'!$C$4,AND(D3159="Pindah",E3159='Buku Akun'!$C$4))),B3159+IF(AND(I3159="Selisih bunga",DAY(B3159)=1),0,0.01)+ROW()/10000000,"")</f>
        <v/>
      </c>
    </row>
    <row r="3160" outlineLevel="1" ht="15" customHeight="1" s="94">
      <c r="A3160" s="123">
        <f>IF(B3160="","",ROW()-15)</f>
        <v/>
      </c>
      <c r="B3160" s="124" t="n"/>
      <c r="C3160" s="123" t="n"/>
      <c r="D3160" s="123" t="n"/>
      <c r="E3160" s="123" t="n"/>
      <c r="F3160" s="125" t="n"/>
      <c r="G3160" s="123" t="n"/>
      <c r="H3160" s="123" t="n"/>
      <c r="I3160" s="123" t="n"/>
      <c r="J3160" s="123" t="n"/>
      <c r="K3160" s="123" t="n"/>
      <c r="L3160" s="123" t="n"/>
      <c r="M3160" s="123">
        <f>IF(AND(B3160&lt;&gt;"",OR($C$4="",ISNUMBER(SEARCH($C$4,C3160&amp;" "&amp;E3160&amp;" "&amp;G3160&amp;" "&amp;H3160&amp;" "&amp;I3160&amp;" "&amp;J3160&amp;" "&amp;K3160&amp;" "&amp;L3160))),OR($C$5="Semua",$C$5="",G3160=$C$5),OR($C$6="Semua",$C$6="",H3160=$C$6,H3160="Pengeluaran "&amp;$C$6,AND($C$6="Uang Kos Mama",H3160="Pengeluaran Uang Kos")),OR($C$7="Semua",$C$7="",I3160=$C$7),OR($C$8="Semua",$C$8="",C3160=$C$8,E3160=$C$8),OR($C$9="Semua",$C$9="",D3160=$C$9),OR($C$10="",B3160&gt;=$C$10),OR($C$11="",B3160&lt;=$C$11),OR($C$12&lt;&gt;"Ya",K3160&lt;&gt;""),OR($C$13="Semua",$C$13="",L3160=$C$13)),"✓","")</f>
        <v/>
      </c>
      <c r="N3160" s="93">
        <f>N(N3159)+IF(M3160="✓",1,0)</f>
        <v/>
      </c>
      <c r="O3160" s="93">
        <f>N(O3159)+IF(AND(B3160&lt;&gt;"",B3160&gt;='Uang Riba'!$H$30,B3160&lt;='Uang Riba'!$I$30,OR(H3160="Dana riba",H3160="Pinjam uang riba",I3160="Pinjam dari uang riba",I3160="Ganti uang riba",I3160="Kelebihan ganti dikembalikan",AND(C3160="Kantong Uang Riba",G3160="Pengeluaran"))),1,0)</f>
        <v/>
      </c>
      <c r="X3160" s="93">
        <f>IF(AND(B3160&lt;&gt;"",B3160&gt;='Buku Akun'!$H$4,B3160&lt;='Buku Akun'!$H$5,OR(C3160='Buku Akun'!$C$4,AND(D3160="Pindah",E3160='Buku Akun'!$C$4))),B3160+IF(AND(I3160="Selisih bunga",DAY(B3160)=1),0,0.01)+ROW()/10000000,"")</f>
        <v/>
      </c>
    </row>
    <row r="3161" outlineLevel="1" ht="15" customHeight="1" s="94">
      <c r="A3161" s="123">
        <f>IF(B3161="","",ROW()-15)</f>
        <v/>
      </c>
      <c r="B3161" s="124" t="n"/>
      <c r="C3161" s="123" t="n"/>
      <c r="D3161" s="123" t="n"/>
      <c r="E3161" s="123" t="n"/>
      <c r="F3161" s="125" t="n"/>
      <c r="G3161" s="123" t="n"/>
      <c r="H3161" s="123" t="n"/>
      <c r="I3161" s="123" t="n"/>
      <c r="J3161" s="123" t="n"/>
      <c r="K3161" s="123" t="n"/>
      <c r="L3161" s="123" t="n"/>
      <c r="M3161" s="123">
        <f>IF(AND(B3161&lt;&gt;"",OR($C$4="",ISNUMBER(SEARCH($C$4,C3161&amp;" "&amp;E3161&amp;" "&amp;G3161&amp;" "&amp;H3161&amp;" "&amp;I3161&amp;" "&amp;J3161&amp;" "&amp;K3161&amp;" "&amp;L3161))),OR($C$5="Semua",$C$5="",G3161=$C$5),OR($C$6="Semua",$C$6="",H3161=$C$6,H3161="Pengeluaran "&amp;$C$6,AND($C$6="Uang Kos Mama",H3161="Pengeluaran Uang Kos")),OR($C$7="Semua",$C$7="",I3161=$C$7),OR($C$8="Semua",$C$8="",C3161=$C$8,E3161=$C$8),OR($C$9="Semua",$C$9="",D3161=$C$9),OR($C$10="",B3161&gt;=$C$10),OR($C$11="",B3161&lt;=$C$11),OR($C$12&lt;&gt;"Ya",K3161&lt;&gt;""),OR($C$13="Semua",$C$13="",L3161=$C$13)),"✓","")</f>
        <v/>
      </c>
      <c r="N3161" s="93">
        <f>N(N3160)+IF(M3161="✓",1,0)</f>
        <v/>
      </c>
      <c r="O3161" s="93">
        <f>N(O3160)+IF(AND(B3161&lt;&gt;"",B3161&gt;='Uang Riba'!$H$30,B3161&lt;='Uang Riba'!$I$30,OR(H3161="Dana riba",H3161="Pinjam uang riba",I3161="Pinjam dari uang riba",I3161="Ganti uang riba",I3161="Kelebihan ganti dikembalikan",AND(C3161="Kantong Uang Riba",G3161="Pengeluaran"))),1,0)</f>
        <v/>
      </c>
      <c r="X3161" s="93">
        <f>IF(AND(B3161&lt;&gt;"",B3161&gt;='Buku Akun'!$H$4,B3161&lt;='Buku Akun'!$H$5,OR(C3161='Buku Akun'!$C$4,AND(D3161="Pindah",E3161='Buku Akun'!$C$4))),B3161+IF(AND(I3161="Selisih bunga",DAY(B3161)=1),0,0.01)+ROW()/10000000,"")</f>
        <v/>
      </c>
    </row>
    <row r="3162" outlineLevel="1" ht="15" customHeight="1" s="94">
      <c r="A3162" s="123">
        <f>IF(B3162="","",ROW()-15)</f>
        <v/>
      </c>
      <c r="B3162" s="124" t="n"/>
      <c r="C3162" s="123" t="n"/>
      <c r="D3162" s="123" t="n"/>
      <c r="E3162" s="123" t="n"/>
      <c r="F3162" s="125" t="n"/>
      <c r="G3162" s="123" t="n"/>
      <c r="H3162" s="123" t="n"/>
      <c r="I3162" s="123" t="n"/>
      <c r="J3162" s="123" t="n"/>
      <c r="K3162" s="123" t="n"/>
      <c r="L3162" s="123" t="n"/>
      <c r="M3162" s="123">
        <f>IF(AND(B3162&lt;&gt;"",OR($C$4="",ISNUMBER(SEARCH($C$4,C3162&amp;" "&amp;E3162&amp;" "&amp;G3162&amp;" "&amp;H3162&amp;" "&amp;I3162&amp;" "&amp;J3162&amp;" "&amp;K3162&amp;" "&amp;L3162))),OR($C$5="Semua",$C$5="",G3162=$C$5),OR($C$6="Semua",$C$6="",H3162=$C$6,H3162="Pengeluaran "&amp;$C$6,AND($C$6="Uang Kos Mama",H3162="Pengeluaran Uang Kos")),OR($C$7="Semua",$C$7="",I3162=$C$7),OR($C$8="Semua",$C$8="",C3162=$C$8,E3162=$C$8),OR($C$9="Semua",$C$9="",D3162=$C$9),OR($C$10="",B3162&gt;=$C$10),OR($C$11="",B3162&lt;=$C$11),OR($C$12&lt;&gt;"Ya",K3162&lt;&gt;""),OR($C$13="Semua",$C$13="",L3162=$C$13)),"✓","")</f>
        <v/>
      </c>
      <c r="N3162" s="93">
        <f>N(N3161)+IF(M3162="✓",1,0)</f>
        <v/>
      </c>
      <c r="O3162" s="93">
        <f>N(O3161)+IF(AND(B3162&lt;&gt;"",B3162&gt;='Uang Riba'!$H$30,B3162&lt;='Uang Riba'!$I$30,OR(H3162="Dana riba",H3162="Pinjam uang riba",I3162="Pinjam dari uang riba",I3162="Ganti uang riba",I3162="Kelebihan ganti dikembalikan",AND(C3162="Kantong Uang Riba",G3162="Pengeluaran"))),1,0)</f>
        <v/>
      </c>
      <c r="X3162" s="93">
        <f>IF(AND(B3162&lt;&gt;"",B3162&gt;='Buku Akun'!$H$4,B3162&lt;='Buku Akun'!$H$5,OR(C3162='Buku Akun'!$C$4,AND(D3162="Pindah",E3162='Buku Akun'!$C$4))),B3162+IF(AND(I3162="Selisih bunga",DAY(B3162)=1),0,0.01)+ROW()/10000000,"")</f>
        <v/>
      </c>
    </row>
    <row r="3163" outlineLevel="1" ht="15" customHeight="1" s="94">
      <c r="A3163" s="123">
        <f>IF(B3163="","",ROW()-15)</f>
        <v/>
      </c>
      <c r="B3163" s="124" t="n"/>
      <c r="C3163" s="123" t="n"/>
      <c r="D3163" s="123" t="n"/>
      <c r="E3163" s="123" t="n"/>
      <c r="F3163" s="125" t="n"/>
      <c r="G3163" s="123" t="n"/>
      <c r="H3163" s="123" t="n"/>
      <c r="I3163" s="123" t="n"/>
      <c r="J3163" s="123" t="n"/>
      <c r="K3163" s="123" t="n"/>
      <c r="L3163" s="123" t="n"/>
      <c r="M3163" s="123">
        <f>IF(AND(B3163&lt;&gt;"",OR($C$4="",ISNUMBER(SEARCH($C$4,C3163&amp;" "&amp;E3163&amp;" "&amp;G3163&amp;" "&amp;H3163&amp;" "&amp;I3163&amp;" "&amp;J3163&amp;" "&amp;K3163&amp;" "&amp;L3163))),OR($C$5="Semua",$C$5="",G3163=$C$5),OR($C$6="Semua",$C$6="",H3163=$C$6,H3163="Pengeluaran "&amp;$C$6,AND($C$6="Uang Kos Mama",H3163="Pengeluaran Uang Kos")),OR($C$7="Semua",$C$7="",I3163=$C$7),OR($C$8="Semua",$C$8="",C3163=$C$8,E3163=$C$8),OR($C$9="Semua",$C$9="",D3163=$C$9),OR($C$10="",B3163&gt;=$C$10),OR($C$11="",B3163&lt;=$C$11),OR($C$12&lt;&gt;"Ya",K3163&lt;&gt;""),OR($C$13="Semua",$C$13="",L3163=$C$13)),"✓","")</f>
        <v/>
      </c>
      <c r="N3163" s="93">
        <f>N(N3162)+IF(M3163="✓",1,0)</f>
        <v/>
      </c>
      <c r="O3163" s="93">
        <f>N(O3162)+IF(AND(B3163&lt;&gt;"",B3163&gt;='Uang Riba'!$H$30,B3163&lt;='Uang Riba'!$I$30,OR(H3163="Dana riba",H3163="Pinjam uang riba",I3163="Pinjam dari uang riba",I3163="Ganti uang riba",I3163="Kelebihan ganti dikembalikan",AND(C3163="Kantong Uang Riba",G3163="Pengeluaran"))),1,0)</f>
        <v/>
      </c>
      <c r="X3163" s="93">
        <f>IF(AND(B3163&lt;&gt;"",B3163&gt;='Buku Akun'!$H$4,B3163&lt;='Buku Akun'!$H$5,OR(C3163='Buku Akun'!$C$4,AND(D3163="Pindah",E3163='Buku Akun'!$C$4))),B3163+IF(AND(I3163="Selisih bunga",DAY(B3163)=1),0,0.01)+ROW()/10000000,"")</f>
        <v/>
      </c>
    </row>
    <row r="3164" outlineLevel="1" ht="15" customHeight="1" s="94">
      <c r="A3164" s="123">
        <f>IF(B3164="","",ROW()-15)</f>
        <v/>
      </c>
      <c r="B3164" s="124" t="n"/>
      <c r="C3164" s="123" t="n"/>
      <c r="D3164" s="123" t="n"/>
      <c r="E3164" s="123" t="n"/>
      <c r="F3164" s="125" t="n"/>
      <c r="G3164" s="123" t="n"/>
      <c r="H3164" s="123" t="n"/>
      <c r="I3164" s="123" t="n"/>
      <c r="J3164" s="123" t="n"/>
      <c r="K3164" s="123" t="n"/>
      <c r="L3164" s="123" t="n"/>
      <c r="M3164" s="123">
        <f>IF(AND(B3164&lt;&gt;"",OR($C$4="",ISNUMBER(SEARCH($C$4,C3164&amp;" "&amp;E3164&amp;" "&amp;G3164&amp;" "&amp;H3164&amp;" "&amp;I3164&amp;" "&amp;J3164&amp;" "&amp;K3164&amp;" "&amp;L3164))),OR($C$5="Semua",$C$5="",G3164=$C$5),OR($C$6="Semua",$C$6="",H3164=$C$6,H3164="Pengeluaran "&amp;$C$6,AND($C$6="Uang Kos Mama",H3164="Pengeluaran Uang Kos")),OR($C$7="Semua",$C$7="",I3164=$C$7),OR($C$8="Semua",$C$8="",C3164=$C$8,E3164=$C$8),OR($C$9="Semua",$C$9="",D3164=$C$9),OR($C$10="",B3164&gt;=$C$10),OR($C$11="",B3164&lt;=$C$11),OR($C$12&lt;&gt;"Ya",K3164&lt;&gt;""),OR($C$13="Semua",$C$13="",L3164=$C$13)),"✓","")</f>
        <v/>
      </c>
      <c r="N3164" s="93">
        <f>N(N3163)+IF(M3164="✓",1,0)</f>
        <v/>
      </c>
      <c r="O3164" s="93">
        <f>N(O3163)+IF(AND(B3164&lt;&gt;"",B3164&gt;='Uang Riba'!$H$30,B3164&lt;='Uang Riba'!$I$30,OR(H3164="Dana riba",H3164="Pinjam uang riba",I3164="Pinjam dari uang riba",I3164="Ganti uang riba",I3164="Kelebihan ganti dikembalikan",AND(C3164="Kantong Uang Riba",G3164="Pengeluaran"))),1,0)</f>
        <v/>
      </c>
      <c r="X3164" s="93">
        <f>IF(AND(B3164&lt;&gt;"",B3164&gt;='Buku Akun'!$H$4,B3164&lt;='Buku Akun'!$H$5,OR(C3164='Buku Akun'!$C$4,AND(D3164="Pindah",E3164='Buku Akun'!$C$4))),B3164+IF(AND(I3164="Selisih bunga",DAY(B3164)=1),0,0.01)+ROW()/10000000,"")</f>
        <v/>
      </c>
    </row>
    <row r="3165" outlineLevel="1" ht="15" customHeight="1" s="94">
      <c r="A3165" s="123">
        <f>IF(B3165="","",ROW()-15)</f>
        <v/>
      </c>
      <c r="B3165" s="124" t="n"/>
      <c r="C3165" s="123" t="n"/>
      <c r="D3165" s="123" t="n"/>
      <c r="E3165" s="123" t="n"/>
      <c r="F3165" s="125" t="n"/>
      <c r="G3165" s="123" t="n"/>
      <c r="H3165" s="123" t="n"/>
      <c r="I3165" s="123" t="n"/>
      <c r="J3165" s="123" t="n"/>
      <c r="K3165" s="123" t="n"/>
      <c r="L3165" s="123" t="n"/>
      <c r="M3165" s="123">
        <f>IF(AND(B3165&lt;&gt;"",OR($C$4="",ISNUMBER(SEARCH($C$4,C3165&amp;" "&amp;E3165&amp;" "&amp;G3165&amp;" "&amp;H3165&amp;" "&amp;I3165&amp;" "&amp;J3165&amp;" "&amp;K3165&amp;" "&amp;L3165))),OR($C$5="Semua",$C$5="",G3165=$C$5),OR($C$6="Semua",$C$6="",H3165=$C$6,H3165="Pengeluaran "&amp;$C$6,AND($C$6="Uang Kos Mama",H3165="Pengeluaran Uang Kos")),OR($C$7="Semua",$C$7="",I3165=$C$7),OR($C$8="Semua",$C$8="",C3165=$C$8,E3165=$C$8),OR($C$9="Semua",$C$9="",D3165=$C$9),OR($C$10="",B3165&gt;=$C$10),OR($C$11="",B3165&lt;=$C$11),OR($C$12&lt;&gt;"Ya",K3165&lt;&gt;""),OR($C$13="Semua",$C$13="",L3165=$C$13)),"✓","")</f>
        <v/>
      </c>
      <c r="N3165" s="93">
        <f>N(N3164)+IF(M3165="✓",1,0)</f>
        <v/>
      </c>
      <c r="O3165" s="93">
        <f>N(O3164)+IF(AND(B3165&lt;&gt;"",B3165&gt;='Uang Riba'!$H$30,B3165&lt;='Uang Riba'!$I$30,OR(H3165="Dana riba",H3165="Pinjam uang riba",I3165="Pinjam dari uang riba",I3165="Ganti uang riba",I3165="Kelebihan ganti dikembalikan",AND(C3165="Kantong Uang Riba",G3165="Pengeluaran"))),1,0)</f>
        <v/>
      </c>
      <c r="X3165" s="93">
        <f>IF(AND(B3165&lt;&gt;"",B3165&gt;='Buku Akun'!$H$4,B3165&lt;='Buku Akun'!$H$5,OR(C3165='Buku Akun'!$C$4,AND(D3165="Pindah",E3165='Buku Akun'!$C$4))),B3165+IF(AND(I3165="Selisih bunga",DAY(B3165)=1),0,0.01)+ROW()/10000000,"")</f>
        <v/>
      </c>
    </row>
    <row r="3166" outlineLevel="1" ht="15" customHeight="1" s="94">
      <c r="A3166" s="123">
        <f>IF(B3166="","",ROW()-15)</f>
        <v/>
      </c>
      <c r="B3166" s="124" t="n"/>
      <c r="C3166" s="123" t="n"/>
      <c r="D3166" s="123" t="n"/>
      <c r="E3166" s="123" t="n"/>
      <c r="F3166" s="125" t="n"/>
      <c r="G3166" s="123" t="n"/>
      <c r="H3166" s="123" t="n"/>
      <c r="I3166" s="123" t="n"/>
      <c r="J3166" s="123" t="n"/>
      <c r="K3166" s="123" t="n"/>
      <c r="L3166" s="123" t="n"/>
      <c r="M3166" s="123">
        <f>IF(AND(B3166&lt;&gt;"",OR($C$4="",ISNUMBER(SEARCH($C$4,C3166&amp;" "&amp;E3166&amp;" "&amp;G3166&amp;" "&amp;H3166&amp;" "&amp;I3166&amp;" "&amp;J3166&amp;" "&amp;K3166&amp;" "&amp;L3166))),OR($C$5="Semua",$C$5="",G3166=$C$5),OR($C$6="Semua",$C$6="",H3166=$C$6,H3166="Pengeluaran "&amp;$C$6,AND($C$6="Uang Kos Mama",H3166="Pengeluaran Uang Kos")),OR($C$7="Semua",$C$7="",I3166=$C$7),OR($C$8="Semua",$C$8="",C3166=$C$8,E3166=$C$8),OR($C$9="Semua",$C$9="",D3166=$C$9),OR($C$10="",B3166&gt;=$C$10),OR($C$11="",B3166&lt;=$C$11),OR($C$12&lt;&gt;"Ya",K3166&lt;&gt;""),OR($C$13="Semua",$C$13="",L3166=$C$13)),"✓","")</f>
        <v/>
      </c>
      <c r="N3166" s="93">
        <f>N(N3165)+IF(M3166="✓",1,0)</f>
        <v/>
      </c>
      <c r="O3166" s="93">
        <f>N(O3165)+IF(AND(B3166&lt;&gt;"",B3166&gt;='Uang Riba'!$H$30,B3166&lt;='Uang Riba'!$I$30,OR(H3166="Dana riba",H3166="Pinjam uang riba",I3166="Pinjam dari uang riba",I3166="Ganti uang riba",I3166="Kelebihan ganti dikembalikan",AND(C3166="Kantong Uang Riba",G3166="Pengeluaran"))),1,0)</f>
        <v/>
      </c>
      <c r="X3166" s="93">
        <f>IF(AND(B3166&lt;&gt;"",B3166&gt;='Buku Akun'!$H$4,B3166&lt;='Buku Akun'!$H$5,OR(C3166='Buku Akun'!$C$4,AND(D3166="Pindah",E3166='Buku Akun'!$C$4))),B3166+IF(AND(I3166="Selisih bunga",DAY(B3166)=1),0,0.01)+ROW()/10000000,"")</f>
        <v/>
      </c>
    </row>
    <row r="3167" outlineLevel="1" ht="15" customHeight="1" s="94">
      <c r="A3167" s="123">
        <f>IF(B3167="","",ROW()-15)</f>
        <v/>
      </c>
      <c r="B3167" s="124" t="n"/>
      <c r="C3167" s="123" t="n"/>
      <c r="D3167" s="123" t="n"/>
      <c r="E3167" s="123" t="n"/>
      <c r="F3167" s="125" t="n"/>
      <c r="G3167" s="123" t="n"/>
      <c r="H3167" s="123" t="n"/>
      <c r="I3167" s="123" t="n"/>
      <c r="J3167" s="123" t="n"/>
      <c r="K3167" s="123" t="n"/>
      <c r="L3167" s="123" t="n"/>
      <c r="M3167" s="123">
        <f>IF(AND(B3167&lt;&gt;"",OR($C$4="",ISNUMBER(SEARCH($C$4,C3167&amp;" "&amp;E3167&amp;" "&amp;G3167&amp;" "&amp;H3167&amp;" "&amp;I3167&amp;" "&amp;J3167&amp;" "&amp;K3167&amp;" "&amp;L3167))),OR($C$5="Semua",$C$5="",G3167=$C$5),OR($C$6="Semua",$C$6="",H3167=$C$6,H3167="Pengeluaran "&amp;$C$6,AND($C$6="Uang Kos Mama",H3167="Pengeluaran Uang Kos")),OR($C$7="Semua",$C$7="",I3167=$C$7),OR($C$8="Semua",$C$8="",C3167=$C$8,E3167=$C$8),OR($C$9="Semua",$C$9="",D3167=$C$9),OR($C$10="",B3167&gt;=$C$10),OR($C$11="",B3167&lt;=$C$11),OR($C$12&lt;&gt;"Ya",K3167&lt;&gt;""),OR($C$13="Semua",$C$13="",L3167=$C$13)),"✓","")</f>
        <v/>
      </c>
      <c r="N3167" s="93">
        <f>N(N3166)+IF(M3167="✓",1,0)</f>
        <v/>
      </c>
      <c r="O3167" s="93">
        <f>N(O3166)+IF(AND(B3167&lt;&gt;"",B3167&gt;='Uang Riba'!$H$30,B3167&lt;='Uang Riba'!$I$30,OR(H3167="Dana riba",H3167="Pinjam uang riba",I3167="Pinjam dari uang riba",I3167="Ganti uang riba",I3167="Kelebihan ganti dikembalikan",AND(C3167="Kantong Uang Riba",G3167="Pengeluaran"))),1,0)</f>
        <v/>
      </c>
      <c r="X3167" s="93">
        <f>IF(AND(B3167&lt;&gt;"",B3167&gt;='Buku Akun'!$H$4,B3167&lt;='Buku Akun'!$H$5,OR(C3167='Buku Akun'!$C$4,AND(D3167="Pindah",E3167='Buku Akun'!$C$4))),B3167+IF(AND(I3167="Selisih bunga",DAY(B3167)=1),0,0.01)+ROW()/10000000,"")</f>
        <v/>
      </c>
    </row>
    <row r="3168" outlineLevel="1" ht="15" customHeight="1" s="94">
      <c r="A3168" s="123">
        <f>IF(B3168="","",ROW()-15)</f>
        <v/>
      </c>
      <c r="B3168" s="124" t="n"/>
      <c r="C3168" s="123" t="n"/>
      <c r="D3168" s="123" t="n"/>
      <c r="E3168" s="123" t="n"/>
      <c r="F3168" s="125" t="n"/>
      <c r="G3168" s="123" t="n"/>
      <c r="H3168" s="123" t="n"/>
      <c r="I3168" s="123" t="n"/>
      <c r="J3168" s="123" t="n"/>
      <c r="K3168" s="123" t="n"/>
      <c r="L3168" s="123" t="n"/>
      <c r="M3168" s="123">
        <f>IF(AND(B3168&lt;&gt;"",OR($C$4="",ISNUMBER(SEARCH($C$4,C3168&amp;" "&amp;E3168&amp;" "&amp;G3168&amp;" "&amp;H3168&amp;" "&amp;I3168&amp;" "&amp;J3168&amp;" "&amp;K3168&amp;" "&amp;L3168))),OR($C$5="Semua",$C$5="",G3168=$C$5),OR($C$6="Semua",$C$6="",H3168=$C$6,H3168="Pengeluaran "&amp;$C$6,AND($C$6="Uang Kos Mama",H3168="Pengeluaran Uang Kos")),OR($C$7="Semua",$C$7="",I3168=$C$7),OR($C$8="Semua",$C$8="",C3168=$C$8,E3168=$C$8),OR($C$9="Semua",$C$9="",D3168=$C$9),OR($C$10="",B3168&gt;=$C$10),OR($C$11="",B3168&lt;=$C$11),OR($C$12&lt;&gt;"Ya",K3168&lt;&gt;""),OR($C$13="Semua",$C$13="",L3168=$C$13)),"✓","")</f>
        <v/>
      </c>
      <c r="N3168" s="93">
        <f>N(N3167)+IF(M3168="✓",1,0)</f>
        <v/>
      </c>
      <c r="O3168" s="93">
        <f>N(O3167)+IF(AND(B3168&lt;&gt;"",B3168&gt;='Uang Riba'!$H$30,B3168&lt;='Uang Riba'!$I$30,OR(H3168="Dana riba",H3168="Pinjam uang riba",I3168="Pinjam dari uang riba",I3168="Ganti uang riba",I3168="Kelebihan ganti dikembalikan",AND(C3168="Kantong Uang Riba",G3168="Pengeluaran"))),1,0)</f>
        <v/>
      </c>
      <c r="X3168" s="93">
        <f>IF(AND(B3168&lt;&gt;"",B3168&gt;='Buku Akun'!$H$4,B3168&lt;='Buku Akun'!$H$5,OR(C3168='Buku Akun'!$C$4,AND(D3168="Pindah",E3168='Buku Akun'!$C$4))),B3168+IF(AND(I3168="Selisih bunga",DAY(B3168)=1),0,0.01)+ROW()/10000000,"")</f>
        <v/>
      </c>
    </row>
    <row r="3169" outlineLevel="1" ht="15" customHeight="1" s="94">
      <c r="A3169" s="123">
        <f>IF(B3169="","",ROW()-15)</f>
        <v/>
      </c>
      <c r="B3169" s="124" t="n"/>
      <c r="C3169" s="123" t="n"/>
      <c r="D3169" s="123" t="n"/>
      <c r="E3169" s="123" t="n"/>
      <c r="F3169" s="125" t="n"/>
      <c r="G3169" s="123" t="n"/>
      <c r="H3169" s="123" t="n"/>
      <c r="I3169" s="123" t="n"/>
      <c r="J3169" s="123" t="n"/>
      <c r="K3169" s="123" t="n"/>
      <c r="L3169" s="123" t="n"/>
      <c r="M3169" s="123">
        <f>IF(AND(B3169&lt;&gt;"",OR($C$4="",ISNUMBER(SEARCH($C$4,C3169&amp;" "&amp;E3169&amp;" "&amp;G3169&amp;" "&amp;H3169&amp;" "&amp;I3169&amp;" "&amp;J3169&amp;" "&amp;K3169&amp;" "&amp;L3169))),OR($C$5="Semua",$C$5="",G3169=$C$5),OR($C$6="Semua",$C$6="",H3169=$C$6,H3169="Pengeluaran "&amp;$C$6,AND($C$6="Uang Kos Mama",H3169="Pengeluaran Uang Kos")),OR($C$7="Semua",$C$7="",I3169=$C$7),OR($C$8="Semua",$C$8="",C3169=$C$8,E3169=$C$8),OR($C$9="Semua",$C$9="",D3169=$C$9),OR($C$10="",B3169&gt;=$C$10),OR($C$11="",B3169&lt;=$C$11),OR($C$12&lt;&gt;"Ya",K3169&lt;&gt;""),OR($C$13="Semua",$C$13="",L3169=$C$13)),"✓","")</f>
        <v/>
      </c>
      <c r="N3169" s="93">
        <f>N(N3168)+IF(M3169="✓",1,0)</f>
        <v/>
      </c>
      <c r="O3169" s="93">
        <f>N(O3168)+IF(AND(B3169&lt;&gt;"",B3169&gt;='Uang Riba'!$H$30,B3169&lt;='Uang Riba'!$I$30,OR(H3169="Dana riba",H3169="Pinjam uang riba",I3169="Pinjam dari uang riba",I3169="Ganti uang riba",I3169="Kelebihan ganti dikembalikan",AND(C3169="Kantong Uang Riba",G3169="Pengeluaran"))),1,0)</f>
        <v/>
      </c>
      <c r="X3169" s="93">
        <f>IF(AND(B3169&lt;&gt;"",B3169&gt;='Buku Akun'!$H$4,B3169&lt;='Buku Akun'!$H$5,OR(C3169='Buku Akun'!$C$4,AND(D3169="Pindah",E3169='Buku Akun'!$C$4))),B3169+IF(AND(I3169="Selisih bunga",DAY(B3169)=1),0,0.01)+ROW()/10000000,"")</f>
        <v/>
      </c>
    </row>
    <row r="3170" outlineLevel="1" ht="15" customHeight="1" s="94">
      <c r="A3170" s="123">
        <f>IF(B3170="","",ROW()-15)</f>
        <v/>
      </c>
      <c r="B3170" s="124" t="n"/>
      <c r="C3170" s="123" t="n"/>
      <c r="D3170" s="123" t="n"/>
      <c r="E3170" s="123" t="n"/>
      <c r="F3170" s="125" t="n"/>
      <c r="G3170" s="123" t="n"/>
      <c r="H3170" s="123" t="n"/>
      <c r="I3170" s="123" t="n"/>
      <c r="J3170" s="123" t="n"/>
      <c r="K3170" s="123" t="n"/>
      <c r="L3170" s="123" t="n"/>
      <c r="M3170" s="123">
        <f>IF(AND(B3170&lt;&gt;"",OR($C$4="",ISNUMBER(SEARCH($C$4,C3170&amp;" "&amp;E3170&amp;" "&amp;G3170&amp;" "&amp;H3170&amp;" "&amp;I3170&amp;" "&amp;J3170&amp;" "&amp;K3170&amp;" "&amp;L3170))),OR($C$5="Semua",$C$5="",G3170=$C$5),OR($C$6="Semua",$C$6="",H3170=$C$6,H3170="Pengeluaran "&amp;$C$6,AND($C$6="Uang Kos Mama",H3170="Pengeluaran Uang Kos")),OR($C$7="Semua",$C$7="",I3170=$C$7),OR($C$8="Semua",$C$8="",C3170=$C$8,E3170=$C$8),OR($C$9="Semua",$C$9="",D3170=$C$9),OR($C$10="",B3170&gt;=$C$10),OR($C$11="",B3170&lt;=$C$11),OR($C$12&lt;&gt;"Ya",K3170&lt;&gt;""),OR($C$13="Semua",$C$13="",L3170=$C$13)),"✓","")</f>
        <v/>
      </c>
      <c r="N3170" s="93">
        <f>N(N3169)+IF(M3170="✓",1,0)</f>
        <v/>
      </c>
      <c r="O3170" s="93">
        <f>N(O3169)+IF(AND(B3170&lt;&gt;"",B3170&gt;='Uang Riba'!$H$30,B3170&lt;='Uang Riba'!$I$30,OR(H3170="Dana riba",H3170="Pinjam uang riba",I3170="Pinjam dari uang riba",I3170="Ganti uang riba",I3170="Kelebihan ganti dikembalikan",AND(C3170="Kantong Uang Riba",G3170="Pengeluaran"))),1,0)</f>
        <v/>
      </c>
      <c r="X3170" s="93">
        <f>IF(AND(B3170&lt;&gt;"",B3170&gt;='Buku Akun'!$H$4,B3170&lt;='Buku Akun'!$H$5,OR(C3170='Buku Akun'!$C$4,AND(D3170="Pindah",E3170='Buku Akun'!$C$4))),B3170+IF(AND(I3170="Selisih bunga",DAY(B3170)=1),0,0.01)+ROW()/10000000,"")</f>
        <v/>
      </c>
    </row>
    <row r="3171" outlineLevel="1" ht="15" customHeight="1" s="94">
      <c r="A3171" s="123">
        <f>IF(B3171="","",ROW()-15)</f>
        <v/>
      </c>
      <c r="B3171" s="124" t="n"/>
      <c r="C3171" s="123" t="n"/>
      <c r="D3171" s="123" t="n"/>
      <c r="E3171" s="123" t="n"/>
      <c r="F3171" s="125" t="n"/>
      <c r="G3171" s="123" t="n"/>
      <c r="H3171" s="123" t="n"/>
      <c r="I3171" s="123" t="n"/>
      <c r="J3171" s="123" t="n"/>
      <c r="K3171" s="123" t="n"/>
      <c r="L3171" s="123" t="n"/>
      <c r="M3171" s="123">
        <f>IF(AND(B3171&lt;&gt;"",OR($C$4="",ISNUMBER(SEARCH($C$4,C3171&amp;" "&amp;E3171&amp;" "&amp;G3171&amp;" "&amp;H3171&amp;" "&amp;I3171&amp;" "&amp;J3171&amp;" "&amp;K3171&amp;" "&amp;L3171))),OR($C$5="Semua",$C$5="",G3171=$C$5),OR($C$6="Semua",$C$6="",H3171=$C$6,H3171="Pengeluaran "&amp;$C$6,AND($C$6="Uang Kos Mama",H3171="Pengeluaran Uang Kos")),OR($C$7="Semua",$C$7="",I3171=$C$7),OR($C$8="Semua",$C$8="",C3171=$C$8,E3171=$C$8),OR($C$9="Semua",$C$9="",D3171=$C$9),OR($C$10="",B3171&gt;=$C$10),OR($C$11="",B3171&lt;=$C$11),OR($C$12&lt;&gt;"Ya",K3171&lt;&gt;""),OR($C$13="Semua",$C$13="",L3171=$C$13)),"✓","")</f>
        <v/>
      </c>
      <c r="N3171" s="93">
        <f>N(N3170)+IF(M3171="✓",1,0)</f>
        <v/>
      </c>
      <c r="O3171" s="93">
        <f>N(O3170)+IF(AND(B3171&lt;&gt;"",B3171&gt;='Uang Riba'!$H$30,B3171&lt;='Uang Riba'!$I$30,OR(H3171="Dana riba",H3171="Pinjam uang riba",I3171="Pinjam dari uang riba",I3171="Ganti uang riba",I3171="Kelebihan ganti dikembalikan",AND(C3171="Kantong Uang Riba",G3171="Pengeluaran"))),1,0)</f>
        <v/>
      </c>
      <c r="X3171" s="93">
        <f>IF(AND(B3171&lt;&gt;"",B3171&gt;='Buku Akun'!$H$4,B3171&lt;='Buku Akun'!$H$5,OR(C3171='Buku Akun'!$C$4,AND(D3171="Pindah",E3171='Buku Akun'!$C$4))),B3171+IF(AND(I3171="Selisih bunga",DAY(B3171)=1),0,0.01)+ROW()/10000000,"")</f>
        <v/>
      </c>
    </row>
    <row r="3172" outlineLevel="1" ht="15" customHeight="1" s="94">
      <c r="A3172" s="123">
        <f>IF(B3172="","",ROW()-15)</f>
        <v/>
      </c>
      <c r="B3172" s="124" t="n"/>
      <c r="C3172" s="123" t="n"/>
      <c r="D3172" s="123" t="n"/>
      <c r="E3172" s="123" t="n"/>
      <c r="F3172" s="125" t="n"/>
      <c r="G3172" s="123" t="n"/>
      <c r="H3172" s="123" t="n"/>
      <c r="I3172" s="123" t="n"/>
      <c r="J3172" s="123" t="n"/>
      <c r="K3172" s="123" t="n"/>
      <c r="L3172" s="123" t="n"/>
      <c r="M3172" s="123">
        <f>IF(AND(B3172&lt;&gt;"",OR($C$4="",ISNUMBER(SEARCH($C$4,C3172&amp;" "&amp;E3172&amp;" "&amp;G3172&amp;" "&amp;H3172&amp;" "&amp;I3172&amp;" "&amp;J3172&amp;" "&amp;K3172&amp;" "&amp;L3172))),OR($C$5="Semua",$C$5="",G3172=$C$5),OR($C$6="Semua",$C$6="",H3172=$C$6,H3172="Pengeluaran "&amp;$C$6,AND($C$6="Uang Kos Mama",H3172="Pengeluaran Uang Kos")),OR($C$7="Semua",$C$7="",I3172=$C$7),OR($C$8="Semua",$C$8="",C3172=$C$8,E3172=$C$8),OR($C$9="Semua",$C$9="",D3172=$C$9),OR($C$10="",B3172&gt;=$C$10),OR($C$11="",B3172&lt;=$C$11),OR($C$12&lt;&gt;"Ya",K3172&lt;&gt;""),OR($C$13="Semua",$C$13="",L3172=$C$13)),"✓","")</f>
        <v/>
      </c>
      <c r="N3172" s="93">
        <f>N(N3171)+IF(M3172="✓",1,0)</f>
        <v/>
      </c>
      <c r="O3172" s="93">
        <f>N(O3171)+IF(AND(B3172&lt;&gt;"",B3172&gt;='Uang Riba'!$H$30,B3172&lt;='Uang Riba'!$I$30,OR(H3172="Dana riba",H3172="Pinjam uang riba",I3172="Pinjam dari uang riba",I3172="Ganti uang riba",I3172="Kelebihan ganti dikembalikan",AND(C3172="Kantong Uang Riba",G3172="Pengeluaran"))),1,0)</f>
        <v/>
      </c>
      <c r="X3172" s="93">
        <f>IF(AND(B3172&lt;&gt;"",B3172&gt;='Buku Akun'!$H$4,B3172&lt;='Buku Akun'!$H$5,OR(C3172='Buku Akun'!$C$4,AND(D3172="Pindah",E3172='Buku Akun'!$C$4))),B3172+IF(AND(I3172="Selisih bunga",DAY(B3172)=1),0,0.01)+ROW()/10000000,"")</f>
        <v/>
      </c>
    </row>
    <row r="3173" outlineLevel="1" ht="15" customHeight="1" s="94">
      <c r="A3173" s="123">
        <f>IF(B3173="","",ROW()-15)</f>
        <v/>
      </c>
      <c r="B3173" s="124" t="n"/>
      <c r="C3173" s="123" t="n"/>
      <c r="D3173" s="123" t="n"/>
      <c r="E3173" s="123" t="n"/>
      <c r="F3173" s="125" t="n"/>
      <c r="G3173" s="123" t="n"/>
      <c r="H3173" s="123" t="n"/>
      <c r="I3173" s="123" t="n"/>
      <c r="J3173" s="123" t="n"/>
      <c r="K3173" s="123" t="n"/>
      <c r="L3173" s="123" t="n"/>
      <c r="M3173" s="123">
        <f>IF(AND(B3173&lt;&gt;"",OR($C$4="",ISNUMBER(SEARCH($C$4,C3173&amp;" "&amp;E3173&amp;" "&amp;G3173&amp;" "&amp;H3173&amp;" "&amp;I3173&amp;" "&amp;J3173&amp;" "&amp;K3173&amp;" "&amp;L3173))),OR($C$5="Semua",$C$5="",G3173=$C$5),OR($C$6="Semua",$C$6="",H3173=$C$6,H3173="Pengeluaran "&amp;$C$6,AND($C$6="Uang Kos Mama",H3173="Pengeluaran Uang Kos")),OR($C$7="Semua",$C$7="",I3173=$C$7),OR($C$8="Semua",$C$8="",C3173=$C$8,E3173=$C$8),OR($C$9="Semua",$C$9="",D3173=$C$9),OR($C$10="",B3173&gt;=$C$10),OR($C$11="",B3173&lt;=$C$11),OR($C$12&lt;&gt;"Ya",K3173&lt;&gt;""),OR($C$13="Semua",$C$13="",L3173=$C$13)),"✓","")</f>
        <v/>
      </c>
      <c r="N3173" s="93">
        <f>N(N3172)+IF(M3173="✓",1,0)</f>
        <v/>
      </c>
      <c r="O3173" s="93">
        <f>N(O3172)+IF(AND(B3173&lt;&gt;"",B3173&gt;='Uang Riba'!$H$30,B3173&lt;='Uang Riba'!$I$30,OR(H3173="Dana riba",H3173="Pinjam uang riba",I3173="Pinjam dari uang riba",I3173="Ganti uang riba",I3173="Kelebihan ganti dikembalikan",AND(C3173="Kantong Uang Riba",G3173="Pengeluaran"))),1,0)</f>
        <v/>
      </c>
      <c r="X3173" s="93">
        <f>IF(AND(B3173&lt;&gt;"",B3173&gt;='Buku Akun'!$H$4,B3173&lt;='Buku Akun'!$H$5,OR(C3173='Buku Akun'!$C$4,AND(D3173="Pindah",E3173='Buku Akun'!$C$4))),B3173+IF(AND(I3173="Selisih bunga",DAY(B3173)=1),0,0.01)+ROW()/10000000,"")</f>
        <v/>
      </c>
    </row>
    <row r="3174" outlineLevel="1" ht="15" customHeight="1" s="94">
      <c r="A3174" s="123">
        <f>IF(B3174="","",ROW()-15)</f>
        <v/>
      </c>
      <c r="B3174" s="124" t="n"/>
      <c r="C3174" s="123" t="n"/>
      <c r="D3174" s="123" t="n"/>
      <c r="E3174" s="123" t="n"/>
      <c r="F3174" s="125" t="n"/>
      <c r="G3174" s="123" t="n"/>
      <c r="H3174" s="123" t="n"/>
      <c r="I3174" s="123" t="n"/>
      <c r="J3174" s="123" t="n"/>
      <c r="K3174" s="123" t="n"/>
      <c r="L3174" s="123" t="n"/>
      <c r="M3174" s="123">
        <f>IF(AND(B3174&lt;&gt;"",OR($C$4="",ISNUMBER(SEARCH($C$4,C3174&amp;" "&amp;E3174&amp;" "&amp;G3174&amp;" "&amp;H3174&amp;" "&amp;I3174&amp;" "&amp;J3174&amp;" "&amp;K3174&amp;" "&amp;L3174))),OR($C$5="Semua",$C$5="",G3174=$C$5),OR($C$6="Semua",$C$6="",H3174=$C$6,H3174="Pengeluaran "&amp;$C$6,AND($C$6="Uang Kos Mama",H3174="Pengeluaran Uang Kos")),OR($C$7="Semua",$C$7="",I3174=$C$7),OR($C$8="Semua",$C$8="",C3174=$C$8,E3174=$C$8),OR($C$9="Semua",$C$9="",D3174=$C$9),OR($C$10="",B3174&gt;=$C$10),OR($C$11="",B3174&lt;=$C$11),OR($C$12&lt;&gt;"Ya",K3174&lt;&gt;""),OR($C$13="Semua",$C$13="",L3174=$C$13)),"✓","")</f>
        <v/>
      </c>
      <c r="N3174" s="93">
        <f>N(N3173)+IF(M3174="✓",1,0)</f>
        <v/>
      </c>
      <c r="O3174" s="93">
        <f>N(O3173)+IF(AND(B3174&lt;&gt;"",B3174&gt;='Uang Riba'!$H$30,B3174&lt;='Uang Riba'!$I$30,OR(H3174="Dana riba",H3174="Pinjam uang riba",I3174="Pinjam dari uang riba",I3174="Ganti uang riba",I3174="Kelebihan ganti dikembalikan",AND(C3174="Kantong Uang Riba",G3174="Pengeluaran"))),1,0)</f>
        <v/>
      </c>
      <c r="X3174" s="93">
        <f>IF(AND(B3174&lt;&gt;"",B3174&gt;='Buku Akun'!$H$4,B3174&lt;='Buku Akun'!$H$5,OR(C3174='Buku Akun'!$C$4,AND(D3174="Pindah",E3174='Buku Akun'!$C$4))),B3174+IF(AND(I3174="Selisih bunga",DAY(B3174)=1),0,0.01)+ROW()/10000000,"")</f>
        <v/>
      </c>
    </row>
    <row r="3175" outlineLevel="1" ht="15" customHeight="1" s="94">
      <c r="A3175" s="123">
        <f>IF(B3175="","",ROW()-15)</f>
        <v/>
      </c>
      <c r="B3175" s="124" t="n"/>
      <c r="C3175" s="123" t="n"/>
      <c r="D3175" s="123" t="n"/>
      <c r="E3175" s="123" t="n"/>
      <c r="F3175" s="125" t="n"/>
      <c r="G3175" s="123" t="n"/>
      <c r="H3175" s="123" t="n"/>
      <c r="I3175" s="123" t="n"/>
      <c r="J3175" s="123" t="n"/>
      <c r="K3175" s="123" t="n"/>
      <c r="L3175" s="123" t="n"/>
      <c r="M3175" s="123">
        <f>IF(AND(B3175&lt;&gt;"",OR($C$4="",ISNUMBER(SEARCH($C$4,C3175&amp;" "&amp;E3175&amp;" "&amp;G3175&amp;" "&amp;H3175&amp;" "&amp;I3175&amp;" "&amp;J3175&amp;" "&amp;K3175&amp;" "&amp;L3175))),OR($C$5="Semua",$C$5="",G3175=$C$5),OR($C$6="Semua",$C$6="",H3175=$C$6,H3175="Pengeluaran "&amp;$C$6,AND($C$6="Uang Kos Mama",H3175="Pengeluaran Uang Kos")),OR($C$7="Semua",$C$7="",I3175=$C$7),OR($C$8="Semua",$C$8="",C3175=$C$8,E3175=$C$8),OR($C$9="Semua",$C$9="",D3175=$C$9),OR($C$10="",B3175&gt;=$C$10),OR($C$11="",B3175&lt;=$C$11),OR($C$12&lt;&gt;"Ya",K3175&lt;&gt;""),OR($C$13="Semua",$C$13="",L3175=$C$13)),"✓","")</f>
        <v/>
      </c>
      <c r="N3175" s="93">
        <f>N(N3174)+IF(M3175="✓",1,0)</f>
        <v/>
      </c>
      <c r="O3175" s="93">
        <f>N(O3174)+IF(AND(B3175&lt;&gt;"",B3175&gt;='Uang Riba'!$H$30,B3175&lt;='Uang Riba'!$I$30,OR(H3175="Dana riba",H3175="Pinjam uang riba",I3175="Pinjam dari uang riba",I3175="Ganti uang riba",I3175="Kelebihan ganti dikembalikan",AND(C3175="Kantong Uang Riba",G3175="Pengeluaran"))),1,0)</f>
        <v/>
      </c>
      <c r="X3175" s="93">
        <f>IF(AND(B3175&lt;&gt;"",B3175&gt;='Buku Akun'!$H$4,B3175&lt;='Buku Akun'!$H$5,OR(C3175='Buku Akun'!$C$4,AND(D3175="Pindah",E3175='Buku Akun'!$C$4))),B3175+IF(AND(I3175="Selisih bunga",DAY(B3175)=1),0,0.01)+ROW()/10000000,"")</f>
        <v/>
      </c>
    </row>
    <row r="3176" outlineLevel="1" ht="15" customHeight="1" s="94">
      <c r="A3176" s="123">
        <f>IF(B3176="","",ROW()-15)</f>
        <v/>
      </c>
      <c r="B3176" s="124" t="n"/>
      <c r="C3176" s="123" t="n"/>
      <c r="D3176" s="123" t="n"/>
      <c r="E3176" s="123" t="n"/>
      <c r="F3176" s="125" t="n"/>
      <c r="G3176" s="123" t="n"/>
      <c r="H3176" s="123" t="n"/>
      <c r="I3176" s="123" t="n"/>
      <c r="J3176" s="123" t="n"/>
      <c r="K3176" s="123" t="n"/>
      <c r="L3176" s="123" t="n"/>
      <c r="M3176" s="123">
        <f>IF(AND(B3176&lt;&gt;"",OR($C$4="",ISNUMBER(SEARCH($C$4,C3176&amp;" "&amp;E3176&amp;" "&amp;G3176&amp;" "&amp;H3176&amp;" "&amp;I3176&amp;" "&amp;J3176&amp;" "&amp;K3176&amp;" "&amp;L3176))),OR($C$5="Semua",$C$5="",G3176=$C$5),OR($C$6="Semua",$C$6="",H3176=$C$6,H3176="Pengeluaran "&amp;$C$6,AND($C$6="Uang Kos Mama",H3176="Pengeluaran Uang Kos")),OR($C$7="Semua",$C$7="",I3176=$C$7),OR($C$8="Semua",$C$8="",C3176=$C$8,E3176=$C$8),OR($C$9="Semua",$C$9="",D3176=$C$9),OR($C$10="",B3176&gt;=$C$10),OR($C$11="",B3176&lt;=$C$11),OR($C$12&lt;&gt;"Ya",K3176&lt;&gt;""),OR($C$13="Semua",$C$13="",L3176=$C$13)),"✓","")</f>
        <v/>
      </c>
      <c r="N3176" s="93">
        <f>N(N3175)+IF(M3176="✓",1,0)</f>
        <v/>
      </c>
      <c r="O3176" s="93">
        <f>N(O3175)+IF(AND(B3176&lt;&gt;"",B3176&gt;='Uang Riba'!$H$30,B3176&lt;='Uang Riba'!$I$30,OR(H3176="Dana riba",H3176="Pinjam uang riba",I3176="Pinjam dari uang riba",I3176="Ganti uang riba",I3176="Kelebihan ganti dikembalikan",AND(C3176="Kantong Uang Riba",G3176="Pengeluaran"))),1,0)</f>
        <v/>
      </c>
      <c r="X3176" s="93">
        <f>IF(AND(B3176&lt;&gt;"",B3176&gt;='Buku Akun'!$H$4,B3176&lt;='Buku Akun'!$H$5,OR(C3176='Buku Akun'!$C$4,AND(D3176="Pindah",E3176='Buku Akun'!$C$4))),B3176+IF(AND(I3176="Selisih bunga",DAY(B3176)=1),0,0.01)+ROW()/10000000,"")</f>
        <v/>
      </c>
    </row>
    <row r="3177" outlineLevel="1" ht="15" customHeight="1" s="94">
      <c r="A3177" s="123">
        <f>IF(B3177="","",ROW()-15)</f>
        <v/>
      </c>
      <c r="B3177" s="124" t="n"/>
      <c r="C3177" s="123" t="n"/>
      <c r="D3177" s="123" t="n"/>
      <c r="E3177" s="123" t="n"/>
      <c r="F3177" s="125" t="n"/>
      <c r="G3177" s="123" t="n"/>
      <c r="H3177" s="123" t="n"/>
      <c r="I3177" s="123" t="n"/>
      <c r="J3177" s="123" t="n"/>
      <c r="K3177" s="123" t="n"/>
      <c r="L3177" s="123" t="n"/>
      <c r="M3177" s="123">
        <f>IF(AND(B3177&lt;&gt;"",OR($C$4="",ISNUMBER(SEARCH($C$4,C3177&amp;" "&amp;E3177&amp;" "&amp;G3177&amp;" "&amp;H3177&amp;" "&amp;I3177&amp;" "&amp;J3177&amp;" "&amp;K3177&amp;" "&amp;L3177))),OR($C$5="Semua",$C$5="",G3177=$C$5),OR($C$6="Semua",$C$6="",H3177=$C$6,H3177="Pengeluaran "&amp;$C$6,AND($C$6="Uang Kos Mama",H3177="Pengeluaran Uang Kos")),OR($C$7="Semua",$C$7="",I3177=$C$7),OR($C$8="Semua",$C$8="",C3177=$C$8,E3177=$C$8),OR($C$9="Semua",$C$9="",D3177=$C$9),OR($C$10="",B3177&gt;=$C$10),OR($C$11="",B3177&lt;=$C$11),OR($C$12&lt;&gt;"Ya",K3177&lt;&gt;""),OR($C$13="Semua",$C$13="",L3177=$C$13)),"✓","")</f>
        <v/>
      </c>
      <c r="N3177" s="93">
        <f>N(N3176)+IF(M3177="✓",1,0)</f>
        <v/>
      </c>
      <c r="O3177" s="93">
        <f>N(O3176)+IF(AND(B3177&lt;&gt;"",B3177&gt;='Uang Riba'!$H$30,B3177&lt;='Uang Riba'!$I$30,OR(H3177="Dana riba",H3177="Pinjam uang riba",I3177="Pinjam dari uang riba",I3177="Ganti uang riba",I3177="Kelebihan ganti dikembalikan",AND(C3177="Kantong Uang Riba",G3177="Pengeluaran"))),1,0)</f>
        <v/>
      </c>
      <c r="X3177" s="93">
        <f>IF(AND(B3177&lt;&gt;"",B3177&gt;='Buku Akun'!$H$4,B3177&lt;='Buku Akun'!$H$5,OR(C3177='Buku Akun'!$C$4,AND(D3177="Pindah",E3177='Buku Akun'!$C$4))),B3177+IF(AND(I3177="Selisih bunga",DAY(B3177)=1),0,0.01)+ROW()/10000000,"")</f>
        <v/>
      </c>
    </row>
    <row r="3178" outlineLevel="1" ht="15" customHeight="1" s="94">
      <c r="A3178" s="123">
        <f>IF(B3178="","",ROW()-15)</f>
        <v/>
      </c>
      <c r="B3178" s="124" t="n"/>
      <c r="C3178" s="123" t="n"/>
      <c r="D3178" s="123" t="n"/>
      <c r="E3178" s="123" t="n"/>
      <c r="F3178" s="125" t="n"/>
      <c r="G3178" s="123" t="n"/>
      <c r="H3178" s="123" t="n"/>
      <c r="I3178" s="123" t="n"/>
      <c r="J3178" s="123" t="n"/>
      <c r="K3178" s="123" t="n"/>
      <c r="L3178" s="123" t="n"/>
      <c r="M3178" s="123">
        <f>IF(AND(B3178&lt;&gt;"",OR($C$4="",ISNUMBER(SEARCH($C$4,C3178&amp;" "&amp;E3178&amp;" "&amp;G3178&amp;" "&amp;H3178&amp;" "&amp;I3178&amp;" "&amp;J3178&amp;" "&amp;K3178&amp;" "&amp;L3178))),OR($C$5="Semua",$C$5="",G3178=$C$5),OR($C$6="Semua",$C$6="",H3178=$C$6,H3178="Pengeluaran "&amp;$C$6,AND($C$6="Uang Kos Mama",H3178="Pengeluaran Uang Kos")),OR($C$7="Semua",$C$7="",I3178=$C$7),OR($C$8="Semua",$C$8="",C3178=$C$8,E3178=$C$8),OR($C$9="Semua",$C$9="",D3178=$C$9),OR($C$10="",B3178&gt;=$C$10),OR($C$11="",B3178&lt;=$C$11),OR($C$12&lt;&gt;"Ya",K3178&lt;&gt;""),OR($C$13="Semua",$C$13="",L3178=$C$13)),"✓","")</f>
        <v/>
      </c>
      <c r="N3178" s="93">
        <f>N(N3177)+IF(M3178="✓",1,0)</f>
        <v/>
      </c>
      <c r="O3178" s="93">
        <f>N(O3177)+IF(AND(B3178&lt;&gt;"",B3178&gt;='Uang Riba'!$H$30,B3178&lt;='Uang Riba'!$I$30,OR(H3178="Dana riba",H3178="Pinjam uang riba",I3178="Pinjam dari uang riba",I3178="Ganti uang riba",I3178="Kelebihan ganti dikembalikan",AND(C3178="Kantong Uang Riba",G3178="Pengeluaran"))),1,0)</f>
        <v/>
      </c>
      <c r="X3178" s="93">
        <f>IF(AND(B3178&lt;&gt;"",B3178&gt;='Buku Akun'!$H$4,B3178&lt;='Buku Akun'!$H$5,OR(C3178='Buku Akun'!$C$4,AND(D3178="Pindah",E3178='Buku Akun'!$C$4))),B3178+IF(AND(I3178="Selisih bunga",DAY(B3178)=1),0,0.01)+ROW()/10000000,"")</f>
        <v/>
      </c>
    </row>
    <row r="3179" outlineLevel="1" ht="15" customHeight="1" s="94">
      <c r="A3179" s="123">
        <f>IF(B3179="","",ROW()-15)</f>
        <v/>
      </c>
      <c r="B3179" s="124" t="n"/>
      <c r="C3179" s="123" t="n"/>
      <c r="D3179" s="123" t="n"/>
      <c r="E3179" s="123" t="n"/>
      <c r="F3179" s="125" t="n"/>
      <c r="G3179" s="123" t="n"/>
      <c r="H3179" s="123" t="n"/>
      <c r="I3179" s="123" t="n"/>
      <c r="J3179" s="123" t="n"/>
      <c r="K3179" s="123" t="n"/>
      <c r="L3179" s="123" t="n"/>
      <c r="M3179" s="123">
        <f>IF(AND(B3179&lt;&gt;"",OR($C$4="",ISNUMBER(SEARCH($C$4,C3179&amp;" "&amp;E3179&amp;" "&amp;G3179&amp;" "&amp;H3179&amp;" "&amp;I3179&amp;" "&amp;J3179&amp;" "&amp;K3179&amp;" "&amp;L3179))),OR($C$5="Semua",$C$5="",G3179=$C$5),OR($C$6="Semua",$C$6="",H3179=$C$6,H3179="Pengeluaran "&amp;$C$6,AND($C$6="Uang Kos Mama",H3179="Pengeluaran Uang Kos")),OR($C$7="Semua",$C$7="",I3179=$C$7),OR($C$8="Semua",$C$8="",C3179=$C$8,E3179=$C$8),OR($C$9="Semua",$C$9="",D3179=$C$9),OR($C$10="",B3179&gt;=$C$10),OR($C$11="",B3179&lt;=$C$11),OR($C$12&lt;&gt;"Ya",K3179&lt;&gt;""),OR($C$13="Semua",$C$13="",L3179=$C$13)),"✓","")</f>
        <v/>
      </c>
      <c r="N3179" s="93">
        <f>N(N3178)+IF(M3179="✓",1,0)</f>
        <v/>
      </c>
      <c r="O3179" s="93">
        <f>N(O3178)+IF(AND(B3179&lt;&gt;"",B3179&gt;='Uang Riba'!$H$30,B3179&lt;='Uang Riba'!$I$30,OR(H3179="Dana riba",H3179="Pinjam uang riba",I3179="Pinjam dari uang riba",I3179="Ganti uang riba",I3179="Kelebihan ganti dikembalikan",AND(C3179="Kantong Uang Riba",G3179="Pengeluaran"))),1,0)</f>
        <v/>
      </c>
      <c r="X3179" s="93">
        <f>IF(AND(B3179&lt;&gt;"",B3179&gt;='Buku Akun'!$H$4,B3179&lt;='Buku Akun'!$H$5,OR(C3179='Buku Akun'!$C$4,AND(D3179="Pindah",E3179='Buku Akun'!$C$4))),B3179+IF(AND(I3179="Selisih bunga",DAY(B3179)=1),0,0.01)+ROW()/10000000,"")</f>
        <v/>
      </c>
    </row>
    <row r="3180" outlineLevel="1" ht="15" customHeight="1" s="94">
      <c r="A3180" s="123">
        <f>IF(B3180="","",ROW()-15)</f>
        <v/>
      </c>
      <c r="B3180" s="124" t="n"/>
      <c r="C3180" s="123" t="n"/>
      <c r="D3180" s="123" t="n"/>
      <c r="E3180" s="123" t="n"/>
      <c r="F3180" s="125" t="n"/>
      <c r="G3180" s="123" t="n"/>
      <c r="H3180" s="123" t="n"/>
      <c r="I3180" s="123" t="n"/>
      <c r="J3180" s="123" t="n"/>
      <c r="K3180" s="123" t="n"/>
      <c r="L3180" s="123" t="n"/>
      <c r="M3180" s="123">
        <f>IF(AND(B3180&lt;&gt;"",OR($C$4="",ISNUMBER(SEARCH($C$4,C3180&amp;" "&amp;E3180&amp;" "&amp;G3180&amp;" "&amp;H3180&amp;" "&amp;I3180&amp;" "&amp;J3180&amp;" "&amp;K3180&amp;" "&amp;L3180))),OR($C$5="Semua",$C$5="",G3180=$C$5),OR($C$6="Semua",$C$6="",H3180=$C$6,H3180="Pengeluaran "&amp;$C$6,AND($C$6="Uang Kos Mama",H3180="Pengeluaran Uang Kos")),OR($C$7="Semua",$C$7="",I3180=$C$7),OR($C$8="Semua",$C$8="",C3180=$C$8,E3180=$C$8),OR($C$9="Semua",$C$9="",D3180=$C$9),OR($C$10="",B3180&gt;=$C$10),OR($C$11="",B3180&lt;=$C$11),OR($C$12&lt;&gt;"Ya",K3180&lt;&gt;""),OR($C$13="Semua",$C$13="",L3180=$C$13)),"✓","")</f>
        <v/>
      </c>
      <c r="N3180" s="93">
        <f>N(N3179)+IF(M3180="✓",1,0)</f>
        <v/>
      </c>
      <c r="O3180" s="93">
        <f>N(O3179)+IF(AND(B3180&lt;&gt;"",B3180&gt;='Uang Riba'!$H$30,B3180&lt;='Uang Riba'!$I$30,OR(H3180="Dana riba",H3180="Pinjam uang riba",I3180="Pinjam dari uang riba",I3180="Ganti uang riba",I3180="Kelebihan ganti dikembalikan",AND(C3180="Kantong Uang Riba",G3180="Pengeluaran"))),1,0)</f>
        <v/>
      </c>
      <c r="X3180" s="93">
        <f>IF(AND(B3180&lt;&gt;"",B3180&gt;='Buku Akun'!$H$4,B3180&lt;='Buku Akun'!$H$5,OR(C3180='Buku Akun'!$C$4,AND(D3180="Pindah",E3180='Buku Akun'!$C$4))),B3180+IF(AND(I3180="Selisih bunga",DAY(B3180)=1),0,0.01)+ROW()/10000000,"")</f>
        <v/>
      </c>
    </row>
    <row r="3181" outlineLevel="1" ht="15" customHeight="1" s="94">
      <c r="A3181" s="123">
        <f>IF(B3181="","",ROW()-15)</f>
        <v/>
      </c>
      <c r="B3181" s="124" t="n"/>
      <c r="C3181" s="123" t="n"/>
      <c r="D3181" s="123" t="n"/>
      <c r="E3181" s="123" t="n"/>
      <c r="F3181" s="125" t="n"/>
      <c r="G3181" s="123" t="n"/>
      <c r="H3181" s="123" t="n"/>
      <c r="I3181" s="123" t="n"/>
      <c r="J3181" s="123" t="n"/>
      <c r="K3181" s="123" t="n"/>
      <c r="L3181" s="123" t="n"/>
      <c r="M3181" s="123">
        <f>IF(AND(B3181&lt;&gt;"",OR($C$4="",ISNUMBER(SEARCH($C$4,C3181&amp;" "&amp;E3181&amp;" "&amp;G3181&amp;" "&amp;H3181&amp;" "&amp;I3181&amp;" "&amp;J3181&amp;" "&amp;K3181&amp;" "&amp;L3181))),OR($C$5="Semua",$C$5="",G3181=$C$5),OR($C$6="Semua",$C$6="",H3181=$C$6,H3181="Pengeluaran "&amp;$C$6,AND($C$6="Uang Kos Mama",H3181="Pengeluaran Uang Kos")),OR($C$7="Semua",$C$7="",I3181=$C$7),OR($C$8="Semua",$C$8="",C3181=$C$8,E3181=$C$8),OR($C$9="Semua",$C$9="",D3181=$C$9),OR($C$10="",B3181&gt;=$C$10),OR($C$11="",B3181&lt;=$C$11),OR($C$12&lt;&gt;"Ya",K3181&lt;&gt;""),OR($C$13="Semua",$C$13="",L3181=$C$13)),"✓","")</f>
        <v/>
      </c>
      <c r="N3181" s="93">
        <f>N(N3180)+IF(M3181="✓",1,0)</f>
        <v/>
      </c>
      <c r="O3181" s="93">
        <f>N(O3180)+IF(AND(B3181&lt;&gt;"",B3181&gt;='Uang Riba'!$H$30,B3181&lt;='Uang Riba'!$I$30,OR(H3181="Dana riba",H3181="Pinjam uang riba",I3181="Pinjam dari uang riba",I3181="Ganti uang riba",I3181="Kelebihan ganti dikembalikan",AND(C3181="Kantong Uang Riba",G3181="Pengeluaran"))),1,0)</f>
        <v/>
      </c>
      <c r="X3181" s="93">
        <f>IF(AND(B3181&lt;&gt;"",B3181&gt;='Buku Akun'!$H$4,B3181&lt;='Buku Akun'!$H$5,OR(C3181='Buku Akun'!$C$4,AND(D3181="Pindah",E3181='Buku Akun'!$C$4))),B3181+IF(AND(I3181="Selisih bunga",DAY(B3181)=1),0,0.01)+ROW()/10000000,"")</f>
        <v/>
      </c>
    </row>
    <row r="3182" outlineLevel="1" ht="15" customHeight="1" s="94">
      <c r="A3182" s="123">
        <f>IF(B3182="","",ROW()-15)</f>
        <v/>
      </c>
      <c r="B3182" s="124" t="n"/>
      <c r="C3182" s="123" t="n"/>
      <c r="D3182" s="123" t="n"/>
      <c r="E3182" s="123" t="n"/>
      <c r="F3182" s="125" t="n"/>
      <c r="G3182" s="123" t="n"/>
      <c r="H3182" s="123" t="n"/>
      <c r="I3182" s="123" t="n"/>
      <c r="J3182" s="123" t="n"/>
      <c r="K3182" s="123" t="n"/>
      <c r="L3182" s="123" t="n"/>
      <c r="M3182" s="123">
        <f>IF(AND(B3182&lt;&gt;"",OR($C$4="",ISNUMBER(SEARCH($C$4,C3182&amp;" "&amp;E3182&amp;" "&amp;G3182&amp;" "&amp;H3182&amp;" "&amp;I3182&amp;" "&amp;J3182&amp;" "&amp;K3182&amp;" "&amp;L3182))),OR($C$5="Semua",$C$5="",G3182=$C$5),OR($C$6="Semua",$C$6="",H3182=$C$6,H3182="Pengeluaran "&amp;$C$6,AND($C$6="Uang Kos Mama",H3182="Pengeluaran Uang Kos")),OR($C$7="Semua",$C$7="",I3182=$C$7),OR($C$8="Semua",$C$8="",C3182=$C$8,E3182=$C$8),OR($C$9="Semua",$C$9="",D3182=$C$9),OR($C$10="",B3182&gt;=$C$10),OR($C$11="",B3182&lt;=$C$11),OR($C$12&lt;&gt;"Ya",K3182&lt;&gt;""),OR($C$13="Semua",$C$13="",L3182=$C$13)),"✓","")</f>
        <v/>
      </c>
      <c r="N3182" s="93">
        <f>N(N3181)+IF(M3182="✓",1,0)</f>
        <v/>
      </c>
      <c r="O3182" s="93">
        <f>N(O3181)+IF(AND(B3182&lt;&gt;"",B3182&gt;='Uang Riba'!$H$30,B3182&lt;='Uang Riba'!$I$30,OR(H3182="Dana riba",H3182="Pinjam uang riba",I3182="Pinjam dari uang riba",I3182="Ganti uang riba",I3182="Kelebihan ganti dikembalikan",AND(C3182="Kantong Uang Riba",G3182="Pengeluaran"))),1,0)</f>
        <v/>
      </c>
      <c r="X3182" s="93">
        <f>IF(AND(B3182&lt;&gt;"",B3182&gt;='Buku Akun'!$H$4,B3182&lt;='Buku Akun'!$H$5,OR(C3182='Buku Akun'!$C$4,AND(D3182="Pindah",E3182='Buku Akun'!$C$4))),B3182+IF(AND(I3182="Selisih bunga",DAY(B3182)=1),0,0.01)+ROW()/10000000,"")</f>
        <v/>
      </c>
    </row>
    <row r="3183" outlineLevel="1" ht="15" customHeight="1" s="94">
      <c r="A3183" s="123">
        <f>IF(B3183="","",ROW()-15)</f>
        <v/>
      </c>
      <c r="B3183" s="124" t="n"/>
      <c r="C3183" s="123" t="n"/>
      <c r="D3183" s="123" t="n"/>
      <c r="E3183" s="123" t="n"/>
      <c r="F3183" s="125" t="n"/>
      <c r="G3183" s="123" t="n"/>
      <c r="H3183" s="123" t="n"/>
      <c r="I3183" s="123" t="n"/>
      <c r="J3183" s="123" t="n"/>
      <c r="K3183" s="123" t="n"/>
      <c r="L3183" s="123" t="n"/>
      <c r="M3183" s="123">
        <f>IF(AND(B3183&lt;&gt;"",OR($C$4="",ISNUMBER(SEARCH($C$4,C3183&amp;" "&amp;E3183&amp;" "&amp;G3183&amp;" "&amp;H3183&amp;" "&amp;I3183&amp;" "&amp;J3183&amp;" "&amp;K3183&amp;" "&amp;L3183))),OR($C$5="Semua",$C$5="",G3183=$C$5),OR($C$6="Semua",$C$6="",H3183=$C$6,H3183="Pengeluaran "&amp;$C$6,AND($C$6="Uang Kos Mama",H3183="Pengeluaran Uang Kos")),OR($C$7="Semua",$C$7="",I3183=$C$7),OR($C$8="Semua",$C$8="",C3183=$C$8,E3183=$C$8),OR($C$9="Semua",$C$9="",D3183=$C$9),OR($C$10="",B3183&gt;=$C$10),OR($C$11="",B3183&lt;=$C$11),OR($C$12&lt;&gt;"Ya",K3183&lt;&gt;""),OR($C$13="Semua",$C$13="",L3183=$C$13)),"✓","")</f>
        <v/>
      </c>
      <c r="N3183" s="93">
        <f>N(N3182)+IF(M3183="✓",1,0)</f>
        <v/>
      </c>
      <c r="O3183" s="93">
        <f>N(O3182)+IF(AND(B3183&lt;&gt;"",B3183&gt;='Uang Riba'!$H$30,B3183&lt;='Uang Riba'!$I$30,OR(H3183="Dana riba",H3183="Pinjam uang riba",I3183="Pinjam dari uang riba",I3183="Ganti uang riba",I3183="Kelebihan ganti dikembalikan",AND(C3183="Kantong Uang Riba",G3183="Pengeluaran"))),1,0)</f>
        <v/>
      </c>
      <c r="X3183" s="93">
        <f>IF(AND(B3183&lt;&gt;"",B3183&gt;='Buku Akun'!$H$4,B3183&lt;='Buku Akun'!$H$5,OR(C3183='Buku Akun'!$C$4,AND(D3183="Pindah",E3183='Buku Akun'!$C$4))),B3183+IF(AND(I3183="Selisih bunga",DAY(B3183)=1),0,0.01)+ROW()/10000000,"")</f>
        <v/>
      </c>
    </row>
    <row r="3184" outlineLevel="1" ht="15" customHeight="1" s="94">
      <c r="A3184" s="123">
        <f>IF(B3184="","",ROW()-15)</f>
        <v/>
      </c>
      <c r="B3184" s="124" t="n"/>
      <c r="C3184" s="123" t="n"/>
      <c r="D3184" s="123" t="n"/>
      <c r="E3184" s="123" t="n"/>
      <c r="F3184" s="125" t="n"/>
      <c r="G3184" s="123" t="n"/>
      <c r="H3184" s="123" t="n"/>
      <c r="I3184" s="123" t="n"/>
      <c r="J3184" s="123" t="n"/>
      <c r="K3184" s="123" t="n"/>
      <c r="L3184" s="123" t="n"/>
      <c r="M3184" s="123">
        <f>IF(AND(B3184&lt;&gt;"",OR($C$4="",ISNUMBER(SEARCH($C$4,C3184&amp;" "&amp;E3184&amp;" "&amp;G3184&amp;" "&amp;H3184&amp;" "&amp;I3184&amp;" "&amp;J3184&amp;" "&amp;K3184&amp;" "&amp;L3184))),OR($C$5="Semua",$C$5="",G3184=$C$5),OR($C$6="Semua",$C$6="",H3184=$C$6,H3184="Pengeluaran "&amp;$C$6,AND($C$6="Uang Kos Mama",H3184="Pengeluaran Uang Kos")),OR($C$7="Semua",$C$7="",I3184=$C$7),OR($C$8="Semua",$C$8="",C3184=$C$8,E3184=$C$8),OR($C$9="Semua",$C$9="",D3184=$C$9),OR($C$10="",B3184&gt;=$C$10),OR($C$11="",B3184&lt;=$C$11),OR($C$12&lt;&gt;"Ya",K3184&lt;&gt;""),OR($C$13="Semua",$C$13="",L3184=$C$13)),"✓","")</f>
        <v/>
      </c>
      <c r="N3184" s="93">
        <f>N(N3183)+IF(M3184="✓",1,0)</f>
        <v/>
      </c>
      <c r="O3184" s="93">
        <f>N(O3183)+IF(AND(B3184&lt;&gt;"",B3184&gt;='Uang Riba'!$H$30,B3184&lt;='Uang Riba'!$I$30,OR(H3184="Dana riba",H3184="Pinjam uang riba",I3184="Pinjam dari uang riba",I3184="Ganti uang riba",I3184="Kelebihan ganti dikembalikan",AND(C3184="Kantong Uang Riba",G3184="Pengeluaran"))),1,0)</f>
        <v/>
      </c>
      <c r="X3184" s="93">
        <f>IF(AND(B3184&lt;&gt;"",B3184&gt;='Buku Akun'!$H$4,B3184&lt;='Buku Akun'!$H$5,OR(C3184='Buku Akun'!$C$4,AND(D3184="Pindah",E3184='Buku Akun'!$C$4))),B3184+IF(AND(I3184="Selisih bunga",DAY(B3184)=1),0,0.01)+ROW()/10000000,"")</f>
        <v/>
      </c>
    </row>
    <row r="3185" outlineLevel="1" ht="15" customHeight="1" s="94">
      <c r="A3185" s="123">
        <f>IF(B3185="","",ROW()-15)</f>
        <v/>
      </c>
      <c r="B3185" s="124" t="n"/>
      <c r="C3185" s="123" t="n"/>
      <c r="D3185" s="123" t="n"/>
      <c r="E3185" s="123" t="n"/>
      <c r="F3185" s="125" t="n"/>
      <c r="G3185" s="123" t="n"/>
      <c r="H3185" s="123" t="n"/>
      <c r="I3185" s="123" t="n"/>
      <c r="J3185" s="123" t="n"/>
      <c r="K3185" s="123" t="n"/>
      <c r="L3185" s="123" t="n"/>
      <c r="M3185" s="123">
        <f>IF(AND(B3185&lt;&gt;"",OR($C$4="",ISNUMBER(SEARCH($C$4,C3185&amp;" "&amp;E3185&amp;" "&amp;G3185&amp;" "&amp;H3185&amp;" "&amp;I3185&amp;" "&amp;J3185&amp;" "&amp;K3185&amp;" "&amp;L3185))),OR($C$5="Semua",$C$5="",G3185=$C$5),OR($C$6="Semua",$C$6="",H3185=$C$6,H3185="Pengeluaran "&amp;$C$6,AND($C$6="Uang Kos Mama",H3185="Pengeluaran Uang Kos")),OR($C$7="Semua",$C$7="",I3185=$C$7),OR($C$8="Semua",$C$8="",C3185=$C$8,E3185=$C$8),OR($C$9="Semua",$C$9="",D3185=$C$9),OR($C$10="",B3185&gt;=$C$10),OR($C$11="",B3185&lt;=$C$11),OR($C$12&lt;&gt;"Ya",K3185&lt;&gt;""),OR($C$13="Semua",$C$13="",L3185=$C$13)),"✓","")</f>
        <v/>
      </c>
      <c r="N3185" s="93">
        <f>N(N3184)+IF(M3185="✓",1,0)</f>
        <v/>
      </c>
      <c r="O3185" s="93">
        <f>N(O3184)+IF(AND(B3185&lt;&gt;"",B3185&gt;='Uang Riba'!$H$30,B3185&lt;='Uang Riba'!$I$30,OR(H3185="Dana riba",H3185="Pinjam uang riba",I3185="Pinjam dari uang riba",I3185="Ganti uang riba",I3185="Kelebihan ganti dikembalikan",AND(C3185="Kantong Uang Riba",G3185="Pengeluaran"))),1,0)</f>
        <v/>
      </c>
      <c r="X3185" s="93">
        <f>IF(AND(B3185&lt;&gt;"",B3185&gt;='Buku Akun'!$H$4,B3185&lt;='Buku Akun'!$H$5,OR(C3185='Buku Akun'!$C$4,AND(D3185="Pindah",E3185='Buku Akun'!$C$4))),B3185+IF(AND(I3185="Selisih bunga",DAY(B3185)=1),0,0.01)+ROW()/10000000,"")</f>
        <v/>
      </c>
    </row>
    <row r="3186" outlineLevel="1" ht="15" customHeight="1" s="94">
      <c r="A3186" s="123">
        <f>IF(B3186="","",ROW()-15)</f>
        <v/>
      </c>
      <c r="B3186" s="124" t="n"/>
      <c r="C3186" s="123" t="n"/>
      <c r="D3186" s="123" t="n"/>
      <c r="E3186" s="123" t="n"/>
      <c r="F3186" s="125" t="n"/>
      <c r="G3186" s="123" t="n"/>
      <c r="H3186" s="123" t="n"/>
      <c r="I3186" s="123" t="n"/>
      <c r="J3186" s="123" t="n"/>
      <c r="K3186" s="123" t="n"/>
      <c r="L3186" s="123" t="n"/>
      <c r="M3186" s="123">
        <f>IF(AND(B3186&lt;&gt;"",OR($C$4="",ISNUMBER(SEARCH($C$4,C3186&amp;" "&amp;E3186&amp;" "&amp;G3186&amp;" "&amp;H3186&amp;" "&amp;I3186&amp;" "&amp;J3186&amp;" "&amp;K3186&amp;" "&amp;L3186))),OR($C$5="Semua",$C$5="",G3186=$C$5),OR($C$6="Semua",$C$6="",H3186=$C$6,H3186="Pengeluaran "&amp;$C$6,AND($C$6="Uang Kos Mama",H3186="Pengeluaran Uang Kos")),OR($C$7="Semua",$C$7="",I3186=$C$7),OR($C$8="Semua",$C$8="",C3186=$C$8,E3186=$C$8),OR($C$9="Semua",$C$9="",D3186=$C$9),OR($C$10="",B3186&gt;=$C$10),OR($C$11="",B3186&lt;=$C$11),OR($C$12&lt;&gt;"Ya",K3186&lt;&gt;""),OR($C$13="Semua",$C$13="",L3186=$C$13)),"✓","")</f>
        <v/>
      </c>
      <c r="N3186" s="93">
        <f>N(N3185)+IF(M3186="✓",1,0)</f>
        <v/>
      </c>
      <c r="O3186" s="93">
        <f>N(O3185)+IF(AND(B3186&lt;&gt;"",B3186&gt;='Uang Riba'!$H$30,B3186&lt;='Uang Riba'!$I$30,OR(H3186="Dana riba",H3186="Pinjam uang riba",I3186="Pinjam dari uang riba",I3186="Ganti uang riba",I3186="Kelebihan ganti dikembalikan",AND(C3186="Kantong Uang Riba",G3186="Pengeluaran"))),1,0)</f>
        <v/>
      </c>
      <c r="X3186" s="93">
        <f>IF(AND(B3186&lt;&gt;"",B3186&gt;='Buku Akun'!$H$4,B3186&lt;='Buku Akun'!$H$5,OR(C3186='Buku Akun'!$C$4,AND(D3186="Pindah",E3186='Buku Akun'!$C$4))),B3186+IF(AND(I3186="Selisih bunga",DAY(B3186)=1),0,0.01)+ROW()/10000000,"")</f>
        <v/>
      </c>
    </row>
    <row r="3187" outlineLevel="1" ht="15" customHeight="1" s="94">
      <c r="A3187" s="123">
        <f>IF(B3187="","",ROW()-15)</f>
        <v/>
      </c>
      <c r="B3187" s="124" t="n"/>
      <c r="C3187" s="123" t="n"/>
      <c r="D3187" s="123" t="n"/>
      <c r="E3187" s="123" t="n"/>
      <c r="F3187" s="125" t="n"/>
      <c r="G3187" s="123" t="n"/>
      <c r="H3187" s="123" t="n"/>
      <c r="I3187" s="123" t="n"/>
      <c r="J3187" s="123" t="n"/>
      <c r="K3187" s="123" t="n"/>
      <c r="L3187" s="123" t="n"/>
      <c r="M3187" s="123">
        <f>IF(AND(B3187&lt;&gt;"",OR($C$4="",ISNUMBER(SEARCH($C$4,C3187&amp;" "&amp;E3187&amp;" "&amp;G3187&amp;" "&amp;H3187&amp;" "&amp;I3187&amp;" "&amp;J3187&amp;" "&amp;K3187&amp;" "&amp;L3187))),OR($C$5="Semua",$C$5="",G3187=$C$5),OR($C$6="Semua",$C$6="",H3187=$C$6,H3187="Pengeluaran "&amp;$C$6,AND($C$6="Uang Kos Mama",H3187="Pengeluaran Uang Kos")),OR($C$7="Semua",$C$7="",I3187=$C$7),OR($C$8="Semua",$C$8="",C3187=$C$8,E3187=$C$8),OR($C$9="Semua",$C$9="",D3187=$C$9),OR($C$10="",B3187&gt;=$C$10),OR($C$11="",B3187&lt;=$C$11),OR($C$12&lt;&gt;"Ya",K3187&lt;&gt;""),OR($C$13="Semua",$C$13="",L3187=$C$13)),"✓","")</f>
        <v/>
      </c>
      <c r="N3187" s="93">
        <f>N(N3186)+IF(M3187="✓",1,0)</f>
        <v/>
      </c>
      <c r="O3187" s="93">
        <f>N(O3186)+IF(AND(B3187&lt;&gt;"",B3187&gt;='Uang Riba'!$H$30,B3187&lt;='Uang Riba'!$I$30,OR(H3187="Dana riba",H3187="Pinjam uang riba",I3187="Pinjam dari uang riba",I3187="Ganti uang riba",I3187="Kelebihan ganti dikembalikan",AND(C3187="Kantong Uang Riba",G3187="Pengeluaran"))),1,0)</f>
        <v/>
      </c>
      <c r="X3187" s="93">
        <f>IF(AND(B3187&lt;&gt;"",B3187&gt;='Buku Akun'!$H$4,B3187&lt;='Buku Akun'!$H$5,OR(C3187='Buku Akun'!$C$4,AND(D3187="Pindah",E3187='Buku Akun'!$C$4))),B3187+IF(AND(I3187="Selisih bunga",DAY(B3187)=1),0,0.01)+ROW()/10000000,"")</f>
        <v/>
      </c>
    </row>
    <row r="3188" outlineLevel="1" ht="15" customHeight="1" s="94">
      <c r="A3188" s="123">
        <f>IF(B3188="","",ROW()-15)</f>
        <v/>
      </c>
      <c r="B3188" s="124" t="n"/>
      <c r="C3188" s="123" t="n"/>
      <c r="D3188" s="123" t="n"/>
      <c r="E3188" s="123" t="n"/>
      <c r="F3188" s="125" t="n"/>
      <c r="G3188" s="123" t="n"/>
      <c r="H3188" s="123" t="n"/>
      <c r="I3188" s="123" t="n"/>
      <c r="J3188" s="123" t="n"/>
      <c r="K3188" s="123" t="n"/>
      <c r="L3188" s="123" t="n"/>
      <c r="M3188" s="123">
        <f>IF(AND(B3188&lt;&gt;"",OR($C$4="",ISNUMBER(SEARCH($C$4,C3188&amp;" "&amp;E3188&amp;" "&amp;G3188&amp;" "&amp;H3188&amp;" "&amp;I3188&amp;" "&amp;J3188&amp;" "&amp;K3188&amp;" "&amp;L3188))),OR($C$5="Semua",$C$5="",G3188=$C$5),OR($C$6="Semua",$C$6="",H3188=$C$6,H3188="Pengeluaran "&amp;$C$6,AND($C$6="Uang Kos Mama",H3188="Pengeluaran Uang Kos")),OR($C$7="Semua",$C$7="",I3188=$C$7),OR($C$8="Semua",$C$8="",C3188=$C$8,E3188=$C$8),OR($C$9="Semua",$C$9="",D3188=$C$9),OR($C$10="",B3188&gt;=$C$10),OR($C$11="",B3188&lt;=$C$11),OR($C$12&lt;&gt;"Ya",K3188&lt;&gt;""),OR($C$13="Semua",$C$13="",L3188=$C$13)),"✓","")</f>
        <v/>
      </c>
      <c r="N3188" s="93">
        <f>N(N3187)+IF(M3188="✓",1,0)</f>
        <v/>
      </c>
      <c r="O3188" s="93">
        <f>N(O3187)+IF(AND(B3188&lt;&gt;"",B3188&gt;='Uang Riba'!$H$30,B3188&lt;='Uang Riba'!$I$30,OR(H3188="Dana riba",H3188="Pinjam uang riba",I3188="Pinjam dari uang riba",I3188="Ganti uang riba",I3188="Kelebihan ganti dikembalikan",AND(C3188="Kantong Uang Riba",G3188="Pengeluaran"))),1,0)</f>
        <v/>
      </c>
      <c r="X3188" s="93">
        <f>IF(AND(B3188&lt;&gt;"",B3188&gt;='Buku Akun'!$H$4,B3188&lt;='Buku Akun'!$H$5,OR(C3188='Buku Akun'!$C$4,AND(D3188="Pindah",E3188='Buku Akun'!$C$4))),B3188+IF(AND(I3188="Selisih bunga",DAY(B3188)=1),0,0.01)+ROW()/10000000,"")</f>
        <v/>
      </c>
    </row>
    <row r="3189" outlineLevel="1" ht="15" customHeight="1" s="94">
      <c r="A3189" s="123">
        <f>IF(B3189="","",ROW()-15)</f>
        <v/>
      </c>
      <c r="B3189" s="124" t="n"/>
      <c r="C3189" s="123" t="n"/>
      <c r="D3189" s="123" t="n"/>
      <c r="E3189" s="123" t="n"/>
      <c r="F3189" s="125" t="n"/>
      <c r="G3189" s="123" t="n"/>
      <c r="H3189" s="123" t="n"/>
      <c r="I3189" s="123" t="n"/>
      <c r="J3189" s="123" t="n"/>
      <c r="K3189" s="123" t="n"/>
      <c r="L3189" s="123" t="n"/>
      <c r="M3189" s="123">
        <f>IF(AND(B3189&lt;&gt;"",OR($C$4="",ISNUMBER(SEARCH($C$4,C3189&amp;" "&amp;E3189&amp;" "&amp;G3189&amp;" "&amp;H3189&amp;" "&amp;I3189&amp;" "&amp;J3189&amp;" "&amp;K3189&amp;" "&amp;L3189))),OR($C$5="Semua",$C$5="",G3189=$C$5),OR($C$6="Semua",$C$6="",H3189=$C$6,H3189="Pengeluaran "&amp;$C$6,AND($C$6="Uang Kos Mama",H3189="Pengeluaran Uang Kos")),OR($C$7="Semua",$C$7="",I3189=$C$7),OR($C$8="Semua",$C$8="",C3189=$C$8,E3189=$C$8),OR($C$9="Semua",$C$9="",D3189=$C$9),OR($C$10="",B3189&gt;=$C$10),OR($C$11="",B3189&lt;=$C$11),OR($C$12&lt;&gt;"Ya",K3189&lt;&gt;""),OR($C$13="Semua",$C$13="",L3189=$C$13)),"✓","")</f>
        <v/>
      </c>
      <c r="N3189" s="93">
        <f>N(N3188)+IF(M3189="✓",1,0)</f>
        <v/>
      </c>
      <c r="O3189" s="93">
        <f>N(O3188)+IF(AND(B3189&lt;&gt;"",B3189&gt;='Uang Riba'!$H$30,B3189&lt;='Uang Riba'!$I$30,OR(H3189="Dana riba",H3189="Pinjam uang riba",I3189="Pinjam dari uang riba",I3189="Ganti uang riba",I3189="Kelebihan ganti dikembalikan",AND(C3189="Kantong Uang Riba",G3189="Pengeluaran"))),1,0)</f>
        <v/>
      </c>
      <c r="X3189" s="93">
        <f>IF(AND(B3189&lt;&gt;"",B3189&gt;='Buku Akun'!$H$4,B3189&lt;='Buku Akun'!$H$5,OR(C3189='Buku Akun'!$C$4,AND(D3189="Pindah",E3189='Buku Akun'!$C$4))),B3189+IF(AND(I3189="Selisih bunga",DAY(B3189)=1),0,0.01)+ROW()/10000000,"")</f>
        <v/>
      </c>
    </row>
    <row r="3190" outlineLevel="1" ht="15" customHeight="1" s="94">
      <c r="A3190" s="123">
        <f>IF(B3190="","",ROW()-15)</f>
        <v/>
      </c>
      <c r="B3190" s="124" t="n"/>
      <c r="C3190" s="123" t="n"/>
      <c r="D3190" s="123" t="n"/>
      <c r="E3190" s="123" t="n"/>
      <c r="F3190" s="125" t="n"/>
      <c r="G3190" s="123" t="n"/>
      <c r="H3190" s="123" t="n"/>
      <c r="I3190" s="123" t="n"/>
      <c r="J3190" s="123" t="n"/>
      <c r="K3190" s="123" t="n"/>
      <c r="L3190" s="123" t="n"/>
      <c r="M3190" s="123">
        <f>IF(AND(B3190&lt;&gt;"",OR($C$4="",ISNUMBER(SEARCH($C$4,C3190&amp;" "&amp;E3190&amp;" "&amp;G3190&amp;" "&amp;H3190&amp;" "&amp;I3190&amp;" "&amp;J3190&amp;" "&amp;K3190&amp;" "&amp;L3190))),OR($C$5="Semua",$C$5="",G3190=$C$5),OR($C$6="Semua",$C$6="",H3190=$C$6,H3190="Pengeluaran "&amp;$C$6,AND($C$6="Uang Kos Mama",H3190="Pengeluaran Uang Kos")),OR($C$7="Semua",$C$7="",I3190=$C$7),OR($C$8="Semua",$C$8="",C3190=$C$8,E3190=$C$8),OR($C$9="Semua",$C$9="",D3190=$C$9),OR($C$10="",B3190&gt;=$C$10),OR($C$11="",B3190&lt;=$C$11),OR($C$12&lt;&gt;"Ya",K3190&lt;&gt;""),OR($C$13="Semua",$C$13="",L3190=$C$13)),"✓","")</f>
        <v/>
      </c>
      <c r="N3190" s="93">
        <f>N(N3189)+IF(M3190="✓",1,0)</f>
        <v/>
      </c>
      <c r="O3190" s="93">
        <f>N(O3189)+IF(AND(B3190&lt;&gt;"",B3190&gt;='Uang Riba'!$H$30,B3190&lt;='Uang Riba'!$I$30,OR(H3190="Dana riba",H3190="Pinjam uang riba",I3190="Pinjam dari uang riba",I3190="Ganti uang riba",I3190="Kelebihan ganti dikembalikan",AND(C3190="Kantong Uang Riba",G3190="Pengeluaran"))),1,0)</f>
        <v/>
      </c>
      <c r="X3190" s="93">
        <f>IF(AND(B3190&lt;&gt;"",B3190&gt;='Buku Akun'!$H$4,B3190&lt;='Buku Akun'!$H$5,OR(C3190='Buku Akun'!$C$4,AND(D3190="Pindah",E3190='Buku Akun'!$C$4))),B3190+IF(AND(I3190="Selisih bunga",DAY(B3190)=1),0,0.01)+ROW()/10000000,"")</f>
        <v/>
      </c>
    </row>
    <row r="3191" outlineLevel="1" ht="15" customHeight="1" s="94">
      <c r="A3191" s="123">
        <f>IF(B3191="","",ROW()-15)</f>
        <v/>
      </c>
      <c r="B3191" s="124" t="n"/>
      <c r="C3191" s="123" t="n"/>
      <c r="D3191" s="123" t="n"/>
      <c r="E3191" s="123" t="n"/>
      <c r="F3191" s="125" t="n"/>
      <c r="G3191" s="123" t="n"/>
      <c r="H3191" s="123" t="n"/>
      <c r="I3191" s="123" t="n"/>
      <c r="J3191" s="123" t="n"/>
      <c r="K3191" s="123" t="n"/>
      <c r="L3191" s="123" t="n"/>
      <c r="M3191" s="123">
        <f>IF(AND(B3191&lt;&gt;"",OR($C$4="",ISNUMBER(SEARCH($C$4,C3191&amp;" "&amp;E3191&amp;" "&amp;G3191&amp;" "&amp;H3191&amp;" "&amp;I3191&amp;" "&amp;J3191&amp;" "&amp;K3191&amp;" "&amp;L3191))),OR($C$5="Semua",$C$5="",G3191=$C$5),OR($C$6="Semua",$C$6="",H3191=$C$6,H3191="Pengeluaran "&amp;$C$6,AND($C$6="Uang Kos Mama",H3191="Pengeluaran Uang Kos")),OR($C$7="Semua",$C$7="",I3191=$C$7),OR($C$8="Semua",$C$8="",C3191=$C$8,E3191=$C$8),OR($C$9="Semua",$C$9="",D3191=$C$9),OR($C$10="",B3191&gt;=$C$10),OR($C$11="",B3191&lt;=$C$11),OR($C$12&lt;&gt;"Ya",K3191&lt;&gt;""),OR($C$13="Semua",$C$13="",L3191=$C$13)),"✓","")</f>
        <v/>
      </c>
      <c r="N3191" s="93">
        <f>N(N3190)+IF(M3191="✓",1,0)</f>
        <v/>
      </c>
      <c r="O3191" s="93">
        <f>N(O3190)+IF(AND(B3191&lt;&gt;"",B3191&gt;='Uang Riba'!$H$30,B3191&lt;='Uang Riba'!$I$30,OR(H3191="Dana riba",H3191="Pinjam uang riba",I3191="Pinjam dari uang riba",I3191="Ganti uang riba",I3191="Kelebihan ganti dikembalikan",AND(C3191="Kantong Uang Riba",G3191="Pengeluaran"))),1,0)</f>
        <v/>
      </c>
      <c r="X3191" s="93">
        <f>IF(AND(B3191&lt;&gt;"",B3191&gt;='Buku Akun'!$H$4,B3191&lt;='Buku Akun'!$H$5,OR(C3191='Buku Akun'!$C$4,AND(D3191="Pindah",E3191='Buku Akun'!$C$4))),B3191+IF(AND(I3191="Selisih bunga",DAY(B3191)=1),0,0.01)+ROW()/10000000,"")</f>
        <v/>
      </c>
    </row>
    <row r="3192" outlineLevel="1" ht="15" customHeight="1" s="94">
      <c r="A3192" s="123">
        <f>IF(B3192="","",ROW()-15)</f>
        <v/>
      </c>
      <c r="B3192" s="124" t="n"/>
      <c r="C3192" s="123" t="n"/>
      <c r="D3192" s="123" t="n"/>
      <c r="E3192" s="123" t="n"/>
      <c r="F3192" s="125" t="n"/>
      <c r="G3192" s="123" t="n"/>
      <c r="H3192" s="123" t="n"/>
      <c r="I3192" s="123" t="n"/>
      <c r="J3192" s="123" t="n"/>
      <c r="K3192" s="123" t="n"/>
      <c r="L3192" s="123" t="n"/>
      <c r="M3192" s="123">
        <f>IF(AND(B3192&lt;&gt;"",OR($C$4="",ISNUMBER(SEARCH($C$4,C3192&amp;" "&amp;E3192&amp;" "&amp;G3192&amp;" "&amp;H3192&amp;" "&amp;I3192&amp;" "&amp;J3192&amp;" "&amp;K3192&amp;" "&amp;L3192))),OR($C$5="Semua",$C$5="",G3192=$C$5),OR($C$6="Semua",$C$6="",H3192=$C$6,H3192="Pengeluaran "&amp;$C$6,AND($C$6="Uang Kos Mama",H3192="Pengeluaran Uang Kos")),OR($C$7="Semua",$C$7="",I3192=$C$7),OR($C$8="Semua",$C$8="",C3192=$C$8,E3192=$C$8),OR($C$9="Semua",$C$9="",D3192=$C$9),OR($C$10="",B3192&gt;=$C$10),OR($C$11="",B3192&lt;=$C$11),OR($C$12&lt;&gt;"Ya",K3192&lt;&gt;""),OR($C$13="Semua",$C$13="",L3192=$C$13)),"✓","")</f>
        <v/>
      </c>
      <c r="N3192" s="93">
        <f>N(N3191)+IF(M3192="✓",1,0)</f>
        <v/>
      </c>
      <c r="O3192" s="93">
        <f>N(O3191)+IF(AND(B3192&lt;&gt;"",B3192&gt;='Uang Riba'!$H$30,B3192&lt;='Uang Riba'!$I$30,OR(H3192="Dana riba",H3192="Pinjam uang riba",I3192="Pinjam dari uang riba",I3192="Ganti uang riba",I3192="Kelebihan ganti dikembalikan",AND(C3192="Kantong Uang Riba",G3192="Pengeluaran"))),1,0)</f>
        <v/>
      </c>
      <c r="X3192" s="93">
        <f>IF(AND(B3192&lt;&gt;"",B3192&gt;='Buku Akun'!$H$4,B3192&lt;='Buku Akun'!$H$5,OR(C3192='Buku Akun'!$C$4,AND(D3192="Pindah",E3192='Buku Akun'!$C$4))),B3192+IF(AND(I3192="Selisih bunga",DAY(B3192)=1),0,0.01)+ROW()/10000000,"")</f>
        <v/>
      </c>
    </row>
    <row r="3193" outlineLevel="1" ht="15" customHeight="1" s="94">
      <c r="A3193" s="123">
        <f>IF(B3193="","",ROW()-15)</f>
        <v/>
      </c>
      <c r="B3193" s="124" t="n"/>
      <c r="C3193" s="123" t="n"/>
      <c r="D3193" s="123" t="n"/>
      <c r="E3193" s="123" t="n"/>
      <c r="F3193" s="125" t="n"/>
      <c r="G3193" s="123" t="n"/>
      <c r="H3193" s="123" t="n"/>
      <c r="I3193" s="123" t="n"/>
      <c r="J3193" s="123" t="n"/>
      <c r="K3193" s="123" t="n"/>
      <c r="L3193" s="123" t="n"/>
      <c r="M3193" s="123">
        <f>IF(AND(B3193&lt;&gt;"",OR($C$4="",ISNUMBER(SEARCH($C$4,C3193&amp;" "&amp;E3193&amp;" "&amp;G3193&amp;" "&amp;H3193&amp;" "&amp;I3193&amp;" "&amp;J3193&amp;" "&amp;K3193&amp;" "&amp;L3193))),OR($C$5="Semua",$C$5="",G3193=$C$5),OR($C$6="Semua",$C$6="",H3193=$C$6,H3193="Pengeluaran "&amp;$C$6,AND($C$6="Uang Kos Mama",H3193="Pengeluaran Uang Kos")),OR($C$7="Semua",$C$7="",I3193=$C$7),OR($C$8="Semua",$C$8="",C3193=$C$8,E3193=$C$8),OR($C$9="Semua",$C$9="",D3193=$C$9),OR($C$10="",B3193&gt;=$C$10),OR($C$11="",B3193&lt;=$C$11),OR($C$12&lt;&gt;"Ya",K3193&lt;&gt;""),OR($C$13="Semua",$C$13="",L3193=$C$13)),"✓","")</f>
        <v/>
      </c>
      <c r="N3193" s="93">
        <f>N(N3192)+IF(M3193="✓",1,0)</f>
        <v/>
      </c>
      <c r="O3193" s="93">
        <f>N(O3192)+IF(AND(B3193&lt;&gt;"",B3193&gt;='Uang Riba'!$H$30,B3193&lt;='Uang Riba'!$I$30,OR(H3193="Dana riba",H3193="Pinjam uang riba",I3193="Pinjam dari uang riba",I3193="Ganti uang riba",I3193="Kelebihan ganti dikembalikan",AND(C3193="Kantong Uang Riba",G3193="Pengeluaran"))),1,0)</f>
        <v/>
      </c>
      <c r="X3193" s="93">
        <f>IF(AND(B3193&lt;&gt;"",B3193&gt;='Buku Akun'!$H$4,B3193&lt;='Buku Akun'!$H$5,OR(C3193='Buku Akun'!$C$4,AND(D3193="Pindah",E3193='Buku Akun'!$C$4))),B3193+IF(AND(I3193="Selisih bunga",DAY(B3193)=1),0,0.01)+ROW()/10000000,"")</f>
        <v/>
      </c>
    </row>
    <row r="3194" outlineLevel="1" ht="15" customHeight="1" s="94">
      <c r="A3194" s="123">
        <f>IF(B3194="","",ROW()-15)</f>
        <v/>
      </c>
      <c r="B3194" s="124" t="n"/>
      <c r="C3194" s="123" t="n"/>
      <c r="D3194" s="123" t="n"/>
      <c r="E3194" s="123" t="n"/>
      <c r="F3194" s="125" t="n"/>
      <c r="G3194" s="123" t="n"/>
      <c r="H3194" s="123" t="n"/>
      <c r="I3194" s="123" t="n"/>
      <c r="J3194" s="123" t="n"/>
      <c r="K3194" s="123" t="n"/>
      <c r="L3194" s="123" t="n"/>
      <c r="M3194" s="123">
        <f>IF(AND(B3194&lt;&gt;"",OR($C$4="",ISNUMBER(SEARCH($C$4,C3194&amp;" "&amp;E3194&amp;" "&amp;G3194&amp;" "&amp;H3194&amp;" "&amp;I3194&amp;" "&amp;J3194&amp;" "&amp;K3194&amp;" "&amp;L3194))),OR($C$5="Semua",$C$5="",G3194=$C$5),OR($C$6="Semua",$C$6="",H3194=$C$6,H3194="Pengeluaran "&amp;$C$6,AND($C$6="Uang Kos Mama",H3194="Pengeluaran Uang Kos")),OR($C$7="Semua",$C$7="",I3194=$C$7),OR($C$8="Semua",$C$8="",C3194=$C$8,E3194=$C$8),OR($C$9="Semua",$C$9="",D3194=$C$9),OR($C$10="",B3194&gt;=$C$10),OR($C$11="",B3194&lt;=$C$11),OR($C$12&lt;&gt;"Ya",K3194&lt;&gt;""),OR($C$13="Semua",$C$13="",L3194=$C$13)),"✓","")</f>
        <v/>
      </c>
      <c r="N3194" s="93">
        <f>N(N3193)+IF(M3194="✓",1,0)</f>
        <v/>
      </c>
      <c r="O3194" s="93">
        <f>N(O3193)+IF(AND(B3194&lt;&gt;"",B3194&gt;='Uang Riba'!$H$30,B3194&lt;='Uang Riba'!$I$30,OR(H3194="Dana riba",H3194="Pinjam uang riba",I3194="Pinjam dari uang riba",I3194="Ganti uang riba",I3194="Kelebihan ganti dikembalikan",AND(C3194="Kantong Uang Riba",G3194="Pengeluaran"))),1,0)</f>
        <v/>
      </c>
      <c r="X3194" s="93">
        <f>IF(AND(B3194&lt;&gt;"",B3194&gt;='Buku Akun'!$H$4,B3194&lt;='Buku Akun'!$H$5,OR(C3194='Buku Akun'!$C$4,AND(D3194="Pindah",E3194='Buku Akun'!$C$4))),B3194+IF(AND(I3194="Selisih bunga",DAY(B3194)=1),0,0.01)+ROW()/10000000,"")</f>
        <v/>
      </c>
    </row>
    <row r="3195" outlineLevel="1" ht="15" customHeight="1" s="94">
      <c r="A3195" s="123">
        <f>IF(B3195="","",ROW()-15)</f>
        <v/>
      </c>
      <c r="B3195" s="124" t="n"/>
      <c r="C3195" s="123" t="n"/>
      <c r="D3195" s="123" t="n"/>
      <c r="E3195" s="123" t="n"/>
      <c r="F3195" s="125" t="n"/>
      <c r="G3195" s="123" t="n"/>
      <c r="H3195" s="123" t="n"/>
      <c r="I3195" s="123" t="n"/>
      <c r="J3195" s="123" t="n"/>
      <c r="K3195" s="123" t="n"/>
      <c r="L3195" s="123" t="n"/>
      <c r="M3195" s="123">
        <f>IF(AND(B3195&lt;&gt;"",OR($C$4="",ISNUMBER(SEARCH($C$4,C3195&amp;" "&amp;E3195&amp;" "&amp;G3195&amp;" "&amp;H3195&amp;" "&amp;I3195&amp;" "&amp;J3195&amp;" "&amp;K3195&amp;" "&amp;L3195))),OR($C$5="Semua",$C$5="",G3195=$C$5),OR($C$6="Semua",$C$6="",H3195=$C$6,H3195="Pengeluaran "&amp;$C$6,AND($C$6="Uang Kos Mama",H3195="Pengeluaran Uang Kos")),OR($C$7="Semua",$C$7="",I3195=$C$7),OR($C$8="Semua",$C$8="",C3195=$C$8,E3195=$C$8),OR($C$9="Semua",$C$9="",D3195=$C$9),OR($C$10="",B3195&gt;=$C$10),OR($C$11="",B3195&lt;=$C$11),OR($C$12&lt;&gt;"Ya",K3195&lt;&gt;""),OR($C$13="Semua",$C$13="",L3195=$C$13)),"✓","")</f>
        <v/>
      </c>
      <c r="N3195" s="93">
        <f>N(N3194)+IF(M3195="✓",1,0)</f>
        <v/>
      </c>
      <c r="O3195" s="93">
        <f>N(O3194)+IF(AND(B3195&lt;&gt;"",B3195&gt;='Uang Riba'!$H$30,B3195&lt;='Uang Riba'!$I$30,OR(H3195="Dana riba",H3195="Pinjam uang riba",I3195="Pinjam dari uang riba",I3195="Ganti uang riba",I3195="Kelebihan ganti dikembalikan",AND(C3195="Kantong Uang Riba",G3195="Pengeluaran"))),1,0)</f>
        <v/>
      </c>
      <c r="X3195" s="93">
        <f>IF(AND(B3195&lt;&gt;"",B3195&gt;='Buku Akun'!$H$4,B3195&lt;='Buku Akun'!$H$5,OR(C3195='Buku Akun'!$C$4,AND(D3195="Pindah",E3195='Buku Akun'!$C$4))),B3195+IF(AND(I3195="Selisih bunga",DAY(B3195)=1),0,0.01)+ROW()/10000000,"")</f>
        <v/>
      </c>
    </row>
    <row r="3196" outlineLevel="1" ht="15" customHeight="1" s="94">
      <c r="A3196" s="123">
        <f>IF(B3196="","",ROW()-15)</f>
        <v/>
      </c>
      <c r="B3196" s="124" t="n"/>
      <c r="C3196" s="123" t="n"/>
      <c r="D3196" s="123" t="n"/>
      <c r="E3196" s="123" t="n"/>
      <c r="F3196" s="125" t="n"/>
      <c r="G3196" s="123" t="n"/>
      <c r="H3196" s="123" t="n"/>
      <c r="I3196" s="123" t="n"/>
      <c r="J3196" s="123" t="n"/>
      <c r="K3196" s="123" t="n"/>
      <c r="L3196" s="123" t="n"/>
      <c r="M3196" s="123">
        <f>IF(AND(B3196&lt;&gt;"",OR($C$4="",ISNUMBER(SEARCH($C$4,C3196&amp;" "&amp;E3196&amp;" "&amp;G3196&amp;" "&amp;H3196&amp;" "&amp;I3196&amp;" "&amp;J3196&amp;" "&amp;K3196&amp;" "&amp;L3196))),OR($C$5="Semua",$C$5="",G3196=$C$5),OR($C$6="Semua",$C$6="",H3196=$C$6,H3196="Pengeluaran "&amp;$C$6,AND($C$6="Uang Kos Mama",H3196="Pengeluaran Uang Kos")),OR($C$7="Semua",$C$7="",I3196=$C$7),OR($C$8="Semua",$C$8="",C3196=$C$8,E3196=$C$8),OR($C$9="Semua",$C$9="",D3196=$C$9),OR($C$10="",B3196&gt;=$C$10),OR($C$11="",B3196&lt;=$C$11),OR($C$12&lt;&gt;"Ya",K3196&lt;&gt;""),OR($C$13="Semua",$C$13="",L3196=$C$13)),"✓","")</f>
        <v/>
      </c>
      <c r="N3196" s="93">
        <f>N(N3195)+IF(M3196="✓",1,0)</f>
        <v/>
      </c>
      <c r="O3196" s="93">
        <f>N(O3195)+IF(AND(B3196&lt;&gt;"",B3196&gt;='Uang Riba'!$H$30,B3196&lt;='Uang Riba'!$I$30,OR(H3196="Dana riba",H3196="Pinjam uang riba",I3196="Pinjam dari uang riba",I3196="Ganti uang riba",I3196="Kelebihan ganti dikembalikan",AND(C3196="Kantong Uang Riba",G3196="Pengeluaran"))),1,0)</f>
        <v/>
      </c>
      <c r="X3196" s="93">
        <f>IF(AND(B3196&lt;&gt;"",B3196&gt;='Buku Akun'!$H$4,B3196&lt;='Buku Akun'!$H$5,OR(C3196='Buku Akun'!$C$4,AND(D3196="Pindah",E3196='Buku Akun'!$C$4))),B3196+IF(AND(I3196="Selisih bunga",DAY(B3196)=1),0,0.01)+ROW()/10000000,"")</f>
        <v/>
      </c>
    </row>
    <row r="3197" outlineLevel="1" ht="15" customHeight="1" s="94">
      <c r="A3197" s="123">
        <f>IF(B3197="","",ROW()-15)</f>
        <v/>
      </c>
      <c r="B3197" s="124" t="n"/>
      <c r="C3197" s="123" t="n"/>
      <c r="D3197" s="123" t="n"/>
      <c r="E3197" s="123" t="n"/>
      <c r="F3197" s="125" t="n"/>
      <c r="G3197" s="123" t="n"/>
      <c r="H3197" s="123" t="n"/>
      <c r="I3197" s="123" t="n"/>
      <c r="J3197" s="123" t="n"/>
      <c r="K3197" s="123" t="n"/>
      <c r="L3197" s="123" t="n"/>
      <c r="M3197" s="123">
        <f>IF(AND(B3197&lt;&gt;"",OR($C$4="",ISNUMBER(SEARCH($C$4,C3197&amp;" "&amp;E3197&amp;" "&amp;G3197&amp;" "&amp;H3197&amp;" "&amp;I3197&amp;" "&amp;J3197&amp;" "&amp;K3197&amp;" "&amp;L3197))),OR($C$5="Semua",$C$5="",G3197=$C$5),OR($C$6="Semua",$C$6="",H3197=$C$6,H3197="Pengeluaran "&amp;$C$6,AND($C$6="Uang Kos Mama",H3197="Pengeluaran Uang Kos")),OR($C$7="Semua",$C$7="",I3197=$C$7),OR($C$8="Semua",$C$8="",C3197=$C$8,E3197=$C$8),OR($C$9="Semua",$C$9="",D3197=$C$9),OR($C$10="",B3197&gt;=$C$10),OR($C$11="",B3197&lt;=$C$11),OR($C$12&lt;&gt;"Ya",K3197&lt;&gt;""),OR($C$13="Semua",$C$13="",L3197=$C$13)),"✓","")</f>
        <v/>
      </c>
      <c r="N3197" s="93">
        <f>N(N3196)+IF(M3197="✓",1,0)</f>
        <v/>
      </c>
      <c r="O3197" s="93">
        <f>N(O3196)+IF(AND(B3197&lt;&gt;"",B3197&gt;='Uang Riba'!$H$30,B3197&lt;='Uang Riba'!$I$30,OR(H3197="Dana riba",H3197="Pinjam uang riba",I3197="Pinjam dari uang riba",I3197="Ganti uang riba",I3197="Kelebihan ganti dikembalikan",AND(C3197="Kantong Uang Riba",G3197="Pengeluaran"))),1,0)</f>
        <v/>
      </c>
      <c r="X3197" s="93">
        <f>IF(AND(B3197&lt;&gt;"",B3197&gt;='Buku Akun'!$H$4,B3197&lt;='Buku Akun'!$H$5,OR(C3197='Buku Akun'!$C$4,AND(D3197="Pindah",E3197='Buku Akun'!$C$4))),B3197+IF(AND(I3197="Selisih bunga",DAY(B3197)=1),0,0.01)+ROW()/10000000,"")</f>
        <v/>
      </c>
    </row>
    <row r="3198" outlineLevel="1" ht="15" customHeight="1" s="94">
      <c r="A3198" s="123">
        <f>IF(B3198="","",ROW()-15)</f>
        <v/>
      </c>
      <c r="B3198" s="124" t="n"/>
      <c r="C3198" s="123" t="n"/>
      <c r="D3198" s="123" t="n"/>
      <c r="E3198" s="123" t="n"/>
      <c r="F3198" s="125" t="n"/>
      <c r="G3198" s="123" t="n"/>
      <c r="H3198" s="123" t="n"/>
      <c r="I3198" s="123" t="n"/>
      <c r="J3198" s="123" t="n"/>
      <c r="K3198" s="123" t="n"/>
      <c r="L3198" s="123" t="n"/>
      <c r="M3198" s="123">
        <f>IF(AND(B3198&lt;&gt;"",OR($C$4="",ISNUMBER(SEARCH($C$4,C3198&amp;" "&amp;E3198&amp;" "&amp;G3198&amp;" "&amp;H3198&amp;" "&amp;I3198&amp;" "&amp;J3198&amp;" "&amp;K3198&amp;" "&amp;L3198))),OR($C$5="Semua",$C$5="",G3198=$C$5),OR($C$6="Semua",$C$6="",H3198=$C$6,H3198="Pengeluaran "&amp;$C$6,AND($C$6="Uang Kos Mama",H3198="Pengeluaran Uang Kos")),OR($C$7="Semua",$C$7="",I3198=$C$7),OR($C$8="Semua",$C$8="",C3198=$C$8,E3198=$C$8),OR($C$9="Semua",$C$9="",D3198=$C$9),OR($C$10="",B3198&gt;=$C$10),OR($C$11="",B3198&lt;=$C$11),OR($C$12&lt;&gt;"Ya",K3198&lt;&gt;""),OR($C$13="Semua",$C$13="",L3198=$C$13)),"✓","")</f>
        <v/>
      </c>
      <c r="N3198" s="93">
        <f>N(N3197)+IF(M3198="✓",1,0)</f>
        <v/>
      </c>
      <c r="O3198" s="93">
        <f>N(O3197)+IF(AND(B3198&lt;&gt;"",B3198&gt;='Uang Riba'!$H$30,B3198&lt;='Uang Riba'!$I$30,OR(H3198="Dana riba",H3198="Pinjam uang riba",I3198="Pinjam dari uang riba",I3198="Ganti uang riba",I3198="Kelebihan ganti dikembalikan",AND(C3198="Kantong Uang Riba",G3198="Pengeluaran"))),1,0)</f>
        <v/>
      </c>
      <c r="X3198" s="93">
        <f>IF(AND(B3198&lt;&gt;"",B3198&gt;='Buku Akun'!$H$4,B3198&lt;='Buku Akun'!$H$5,OR(C3198='Buku Akun'!$C$4,AND(D3198="Pindah",E3198='Buku Akun'!$C$4))),B3198+IF(AND(I3198="Selisih bunga",DAY(B3198)=1),0,0.01)+ROW()/10000000,"")</f>
        <v/>
      </c>
    </row>
    <row r="3199" outlineLevel="1" ht="15" customHeight="1" s="94">
      <c r="A3199" s="123">
        <f>IF(B3199="","",ROW()-15)</f>
        <v/>
      </c>
      <c r="B3199" s="124" t="n"/>
      <c r="C3199" s="123" t="n"/>
      <c r="D3199" s="123" t="n"/>
      <c r="E3199" s="123" t="n"/>
      <c r="F3199" s="125" t="n"/>
      <c r="G3199" s="123" t="n"/>
      <c r="H3199" s="123" t="n"/>
      <c r="I3199" s="123" t="n"/>
      <c r="J3199" s="123" t="n"/>
      <c r="K3199" s="123" t="n"/>
      <c r="L3199" s="123" t="n"/>
      <c r="M3199" s="123">
        <f>IF(AND(B3199&lt;&gt;"",OR($C$4="",ISNUMBER(SEARCH($C$4,C3199&amp;" "&amp;E3199&amp;" "&amp;G3199&amp;" "&amp;H3199&amp;" "&amp;I3199&amp;" "&amp;J3199&amp;" "&amp;K3199&amp;" "&amp;L3199))),OR($C$5="Semua",$C$5="",G3199=$C$5),OR($C$6="Semua",$C$6="",H3199=$C$6,H3199="Pengeluaran "&amp;$C$6,AND($C$6="Uang Kos Mama",H3199="Pengeluaran Uang Kos")),OR($C$7="Semua",$C$7="",I3199=$C$7),OR($C$8="Semua",$C$8="",C3199=$C$8,E3199=$C$8),OR($C$9="Semua",$C$9="",D3199=$C$9),OR($C$10="",B3199&gt;=$C$10),OR($C$11="",B3199&lt;=$C$11),OR($C$12&lt;&gt;"Ya",K3199&lt;&gt;""),OR($C$13="Semua",$C$13="",L3199=$C$13)),"✓","")</f>
        <v/>
      </c>
      <c r="N3199" s="93">
        <f>N(N3198)+IF(M3199="✓",1,0)</f>
        <v/>
      </c>
      <c r="O3199" s="93">
        <f>N(O3198)+IF(AND(B3199&lt;&gt;"",B3199&gt;='Uang Riba'!$H$30,B3199&lt;='Uang Riba'!$I$30,OR(H3199="Dana riba",H3199="Pinjam uang riba",I3199="Pinjam dari uang riba",I3199="Ganti uang riba",I3199="Kelebihan ganti dikembalikan",AND(C3199="Kantong Uang Riba",G3199="Pengeluaran"))),1,0)</f>
        <v/>
      </c>
      <c r="X3199" s="93">
        <f>IF(AND(B3199&lt;&gt;"",B3199&gt;='Buku Akun'!$H$4,B3199&lt;='Buku Akun'!$H$5,OR(C3199='Buku Akun'!$C$4,AND(D3199="Pindah",E3199='Buku Akun'!$C$4))),B3199+IF(AND(I3199="Selisih bunga",DAY(B3199)=1),0,0.01)+ROW()/10000000,"")</f>
        <v/>
      </c>
    </row>
    <row r="3200" outlineLevel="1" ht="15" customHeight="1" s="94">
      <c r="A3200" s="123">
        <f>IF(B3200="","",ROW()-15)</f>
        <v/>
      </c>
      <c r="B3200" s="124" t="n"/>
      <c r="C3200" s="123" t="n"/>
      <c r="D3200" s="123" t="n"/>
      <c r="E3200" s="123" t="n"/>
      <c r="F3200" s="125" t="n"/>
      <c r="G3200" s="123" t="n"/>
      <c r="H3200" s="123" t="n"/>
      <c r="I3200" s="123" t="n"/>
      <c r="J3200" s="123" t="n"/>
      <c r="K3200" s="123" t="n"/>
      <c r="L3200" s="123" t="n"/>
      <c r="M3200" s="123">
        <f>IF(AND(B3200&lt;&gt;"",OR($C$4="",ISNUMBER(SEARCH($C$4,C3200&amp;" "&amp;E3200&amp;" "&amp;G3200&amp;" "&amp;H3200&amp;" "&amp;I3200&amp;" "&amp;J3200&amp;" "&amp;K3200&amp;" "&amp;L3200))),OR($C$5="Semua",$C$5="",G3200=$C$5),OR($C$6="Semua",$C$6="",H3200=$C$6,H3200="Pengeluaran "&amp;$C$6,AND($C$6="Uang Kos Mama",H3200="Pengeluaran Uang Kos")),OR($C$7="Semua",$C$7="",I3200=$C$7),OR($C$8="Semua",$C$8="",C3200=$C$8,E3200=$C$8),OR($C$9="Semua",$C$9="",D3200=$C$9),OR($C$10="",B3200&gt;=$C$10),OR($C$11="",B3200&lt;=$C$11),OR($C$12&lt;&gt;"Ya",K3200&lt;&gt;""),OR($C$13="Semua",$C$13="",L3200=$C$13)),"✓","")</f>
        <v/>
      </c>
      <c r="N3200" s="93">
        <f>N(N3199)+IF(M3200="✓",1,0)</f>
        <v/>
      </c>
      <c r="O3200" s="93">
        <f>N(O3199)+IF(AND(B3200&lt;&gt;"",B3200&gt;='Uang Riba'!$H$30,B3200&lt;='Uang Riba'!$I$30,OR(H3200="Dana riba",H3200="Pinjam uang riba",I3200="Pinjam dari uang riba",I3200="Ganti uang riba",I3200="Kelebihan ganti dikembalikan",AND(C3200="Kantong Uang Riba",G3200="Pengeluaran"))),1,0)</f>
        <v/>
      </c>
      <c r="X3200" s="93">
        <f>IF(AND(B3200&lt;&gt;"",B3200&gt;='Buku Akun'!$H$4,B3200&lt;='Buku Akun'!$H$5,OR(C3200='Buku Akun'!$C$4,AND(D3200="Pindah",E3200='Buku Akun'!$C$4))),B3200+IF(AND(I3200="Selisih bunga",DAY(B3200)=1),0,0.01)+ROW()/10000000,"")</f>
        <v/>
      </c>
    </row>
    <row r="3201" outlineLevel="1" ht="15" customHeight="1" s="94">
      <c r="A3201" s="123">
        <f>IF(B3201="","",ROW()-15)</f>
        <v/>
      </c>
      <c r="B3201" s="124" t="n"/>
      <c r="C3201" s="123" t="n"/>
      <c r="D3201" s="123" t="n"/>
      <c r="E3201" s="123" t="n"/>
      <c r="F3201" s="125" t="n"/>
      <c r="G3201" s="123" t="n"/>
      <c r="H3201" s="123" t="n"/>
      <c r="I3201" s="123" t="n"/>
      <c r="J3201" s="123" t="n"/>
      <c r="K3201" s="123" t="n"/>
      <c r="L3201" s="123" t="n"/>
      <c r="M3201" s="123">
        <f>IF(AND(B3201&lt;&gt;"",OR($C$4="",ISNUMBER(SEARCH($C$4,C3201&amp;" "&amp;E3201&amp;" "&amp;G3201&amp;" "&amp;H3201&amp;" "&amp;I3201&amp;" "&amp;J3201&amp;" "&amp;K3201&amp;" "&amp;L3201))),OR($C$5="Semua",$C$5="",G3201=$C$5),OR($C$6="Semua",$C$6="",H3201=$C$6,H3201="Pengeluaran "&amp;$C$6,AND($C$6="Uang Kos Mama",H3201="Pengeluaran Uang Kos")),OR($C$7="Semua",$C$7="",I3201=$C$7),OR($C$8="Semua",$C$8="",C3201=$C$8,E3201=$C$8),OR($C$9="Semua",$C$9="",D3201=$C$9),OR($C$10="",B3201&gt;=$C$10),OR($C$11="",B3201&lt;=$C$11),OR($C$12&lt;&gt;"Ya",K3201&lt;&gt;""),OR($C$13="Semua",$C$13="",L3201=$C$13)),"✓","")</f>
        <v/>
      </c>
      <c r="N3201" s="93">
        <f>N(N3200)+IF(M3201="✓",1,0)</f>
        <v/>
      </c>
      <c r="O3201" s="93">
        <f>N(O3200)+IF(AND(B3201&lt;&gt;"",B3201&gt;='Uang Riba'!$H$30,B3201&lt;='Uang Riba'!$I$30,OR(H3201="Dana riba",H3201="Pinjam uang riba",I3201="Pinjam dari uang riba",I3201="Ganti uang riba",I3201="Kelebihan ganti dikembalikan",AND(C3201="Kantong Uang Riba",G3201="Pengeluaran"))),1,0)</f>
        <v/>
      </c>
      <c r="X3201" s="93">
        <f>IF(AND(B3201&lt;&gt;"",B3201&gt;='Buku Akun'!$H$4,B3201&lt;='Buku Akun'!$H$5,OR(C3201='Buku Akun'!$C$4,AND(D3201="Pindah",E3201='Buku Akun'!$C$4))),B3201+IF(AND(I3201="Selisih bunga",DAY(B3201)=1),0,0.01)+ROW()/10000000,"")</f>
        <v/>
      </c>
    </row>
    <row r="3202" outlineLevel="1" ht="15" customHeight="1" s="94">
      <c r="A3202" s="123">
        <f>IF(B3202="","",ROW()-15)</f>
        <v/>
      </c>
      <c r="B3202" s="124" t="n"/>
      <c r="C3202" s="123" t="n"/>
      <c r="D3202" s="123" t="n"/>
      <c r="E3202" s="123" t="n"/>
      <c r="F3202" s="125" t="n"/>
      <c r="G3202" s="123" t="n"/>
      <c r="H3202" s="123" t="n"/>
      <c r="I3202" s="123" t="n"/>
      <c r="J3202" s="123" t="n"/>
      <c r="K3202" s="123" t="n"/>
      <c r="L3202" s="123" t="n"/>
      <c r="M3202" s="123">
        <f>IF(AND(B3202&lt;&gt;"",OR($C$4="",ISNUMBER(SEARCH($C$4,C3202&amp;" "&amp;E3202&amp;" "&amp;G3202&amp;" "&amp;H3202&amp;" "&amp;I3202&amp;" "&amp;J3202&amp;" "&amp;K3202&amp;" "&amp;L3202))),OR($C$5="Semua",$C$5="",G3202=$C$5),OR($C$6="Semua",$C$6="",H3202=$C$6,H3202="Pengeluaran "&amp;$C$6,AND($C$6="Uang Kos Mama",H3202="Pengeluaran Uang Kos")),OR($C$7="Semua",$C$7="",I3202=$C$7),OR($C$8="Semua",$C$8="",C3202=$C$8,E3202=$C$8),OR($C$9="Semua",$C$9="",D3202=$C$9),OR($C$10="",B3202&gt;=$C$10),OR($C$11="",B3202&lt;=$C$11),OR($C$12&lt;&gt;"Ya",K3202&lt;&gt;""),OR($C$13="Semua",$C$13="",L3202=$C$13)),"✓","")</f>
        <v/>
      </c>
      <c r="N3202" s="93">
        <f>N(N3201)+IF(M3202="✓",1,0)</f>
        <v/>
      </c>
      <c r="O3202" s="93">
        <f>N(O3201)+IF(AND(B3202&lt;&gt;"",B3202&gt;='Uang Riba'!$H$30,B3202&lt;='Uang Riba'!$I$30,OR(H3202="Dana riba",H3202="Pinjam uang riba",I3202="Pinjam dari uang riba",I3202="Ganti uang riba",I3202="Kelebihan ganti dikembalikan",AND(C3202="Kantong Uang Riba",G3202="Pengeluaran"))),1,0)</f>
        <v/>
      </c>
      <c r="X3202" s="93">
        <f>IF(AND(B3202&lt;&gt;"",B3202&gt;='Buku Akun'!$H$4,B3202&lt;='Buku Akun'!$H$5,OR(C3202='Buku Akun'!$C$4,AND(D3202="Pindah",E3202='Buku Akun'!$C$4))),B3202+IF(AND(I3202="Selisih bunga",DAY(B3202)=1),0,0.01)+ROW()/10000000,"")</f>
        <v/>
      </c>
    </row>
    <row r="3203" outlineLevel="1" ht="15" customHeight="1" s="94">
      <c r="A3203" s="123">
        <f>IF(B3203="","",ROW()-15)</f>
        <v/>
      </c>
      <c r="B3203" s="124" t="n"/>
      <c r="C3203" s="123" t="n"/>
      <c r="D3203" s="123" t="n"/>
      <c r="E3203" s="123" t="n"/>
      <c r="F3203" s="125" t="n"/>
      <c r="G3203" s="123" t="n"/>
      <c r="H3203" s="123" t="n"/>
      <c r="I3203" s="123" t="n"/>
      <c r="J3203" s="123" t="n"/>
      <c r="K3203" s="123" t="n"/>
      <c r="L3203" s="123" t="n"/>
      <c r="M3203" s="123">
        <f>IF(AND(B3203&lt;&gt;"",OR($C$4="",ISNUMBER(SEARCH($C$4,C3203&amp;" "&amp;E3203&amp;" "&amp;G3203&amp;" "&amp;H3203&amp;" "&amp;I3203&amp;" "&amp;J3203&amp;" "&amp;K3203&amp;" "&amp;L3203))),OR($C$5="Semua",$C$5="",G3203=$C$5),OR($C$6="Semua",$C$6="",H3203=$C$6,H3203="Pengeluaran "&amp;$C$6,AND($C$6="Uang Kos Mama",H3203="Pengeluaran Uang Kos")),OR($C$7="Semua",$C$7="",I3203=$C$7),OR($C$8="Semua",$C$8="",C3203=$C$8,E3203=$C$8),OR($C$9="Semua",$C$9="",D3203=$C$9),OR($C$10="",B3203&gt;=$C$10),OR($C$11="",B3203&lt;=$C$11),OR($C$12&lt;&gt;"Ya",K3203&lt;&gt;""),OR($C$13="Semua",$C$13="",L3203=$C$13)),"✓","")</f>
        <v/>
      </c>
      <c r="N3203" s="93">
        <f>N(N3202)+IF(M3203="✓",1,0)</f>
        <v/>
      </c>
      <c r="O3203" s="93">
        <f>N(O3202)+IF(AND(B3203&lt;&gt;"",B3203&gt;='Uang Riba'!$H$30,B3203&lt;='Uang Riba'!$I$30,OR(H3203="Dana riba",H3203="Pinjam uang riba",I3203="Pinjam dari uang riba",I3203="Ganti uang riba",I3203="Kelebihan ganti dikembalikan",AND(C3203="Kantong Uang Riba",G3203="Pengeluaran"))),1,0)</f>
        <v/>
      </c>
      <c r="X3203" s="93">
        <f>IF(AND(B3203&lt;&gt;"",B3203&gt;='Buku Akun'!$H$4,B3203&lt;='Buku Akun'!$H$5,OR(C3203='Buku Akun'!$C$4,AND(D3203="Pindah",E3203='Buku Akun'!$C$4))),B3203+IF(AND(I3203="Selisih bunga",DAY(B3203)=1),0,0.01)+ROW()/10000000,"")</f>
        <v/>
      </c>
    </row>
    <row r="3204" outlineLevel="1" ht="15" customHeight="1" s="94">
      <c r="A3204" s="123">
        <f>IF(B3204="","",ROW()-15)</f>
        <v/>
      </c>
      <c r="B3204" s="124" t="n"/>
      <c r="C3204" s="123" t="n"/>
      <c r="D3204" s="123" t="n"/>
      <c r="E3204" s="123" t="n"/>
      <c r="F3204" s="125" t="n"/>
      <c r="G3204" s="123" t="n"/>
      <c r="H3204" s="123" t="n"/>
      <c r="I3204" s="123" t="n"/>
      <c r="J3204" s="123" t="n"/>
      <c r="K3204" s="123" t="n"/>
      <c r="L3204" s="123" t="n"/>
      <c r="M3204" s="123">
        <f>IF(AND(B3204&lt;&gt;"",OR($C$4="",ISNUMBER(SEARCH($C$4,C3204&amp;" "&amp;E3204&amp;" "&amp;G3204&amp;" "&amp;H3204&amp;" "&amp;I3204&amp;" "&amp;J3204&amp;" "&amp;K3204&amp;" "&amp;L3204))),OR($C$5="Semua",$C$5="",G3204=$C$5),OR($C$6="Semua",$C$6="",H3204=$C$6,H3204="Pengeluaran "&amp;$C$6,AND($C$6="Uang Kos Mama",H3204="Pengeluaran Uang Kos")),OR($C$7="Semua",$C$7="",I3204=$C$7),OR($C$8="Semua",$C$8="",C3204=$C$8,E3204=$C$8),OR($C$9="Semua",$C$9="",D3204=$C$9),OR($C$10="",B3204&gt;=$C$10),OR($C$11="",B3204&lt;=$C$11),OR($C$12&lt;&gt;"Ya",K3204&lt;&gt;""),OR($C$13="Semua",$C$13="",L3204=$C$13)),"✓","")</f>
        <v/>
      </c>
      <c r="N3204" s="93">
        <f>N(N3203)+IF(M3204="✓",1,0)</f>
        <v/>
      </c>
      <c r="O3204" s="93">
        <f>N(O3203)+IF(AND(B3204&lt;&gt;"",B3204&gt;='Uang Riba'!$H$30,B3204&lt;='Uang Riba'!$I$30,OR(H3204="Dana riba",H3204="Pinjam uang riba",I3204="Pinjam dari uang riba",I3204="Ganti uang riba",I3204="Kelebihan ganti dikembalikan",AND(C3204="Kantong Uang Riba",G3204="Pengeluaran"))),1,0)</f>
        <v/>
      </c>
      <c r="X3204" s="93">
        <f>IF(AND(B3204&lt;&gt;"",B3204&gt;='Buku Akun'!$H$4,B3204&lt;='Buku Akun'!$H$5,OR(C3204='Buku Akun'!$C$4,AND(D3204="Pindah",E3204='Buku Akun'!$C$4))),B3204+IF(AND(I3204="Selisih bunga",DAY(B3204)=1),0,0.01)+ROW()/10000000,"")</f>
        <v/>
      </c>
    </row>
    <row r="3205" outlineLevel="1" ht="15" customHeight="1" s="94">
      <c r="A3205" s="123">
        <f>IF(B3205="","",ROW()-15)</f>
        <v/>
      </c>
      <c r="B3205" s="124" t="n"/>
      <c r="C3205" s="123" t="n"/>
      <c r="D3205" s="123" t="n"/>
      <c r="E3205" s="123" t="n"/>
      <c r="F3205" s="125" t="n"/>
      <c r="G3205" s="123" t="n"/>
      <c r="H3205" s="123" t="n"/>
      <c r="I3205" s="123" t="n"/>
      <c r="J3205" s="123" t="n"/>
      <c r="K3205" s="123" t="n"/>
      <c r="L3205" s="123" t="n"/>
      <c r="M3205" s="123">
        <f>IF(AND(B3205&lt;&gt;"",OR($C$4="",ISNUMBER(SEARCH($C$4,C3205&amp;" "&amp;E3205&amp;" "&amp;G3205&amp;" "&amp;H3205&amp;" "&amp;I3205&amp;" "&amp;J3205&amp;" "&amp;K3205&amp;" "&amp;L3205))),OR($C$5="Semua",$C$5="",G3205=$C$5),OR($C$6="Semua",$C$6="",H3205=$C$6,H3205="Pengeluaran "&amp;$C$6,AND($C$6="Uang Kos Mama",H3205="Pengeluaran Uang Kos")),OR($C$7="Semua",$C$7="",I3205=$C$7),OR($C$8="Semua",$C$8="",C3205=$C$8,E3205=$C$8),OR($C$9="Semua",$C$9="",D3205=$C$9),OR($C$10="",B3205&gt;=$C$10),OR($C$11="",B3205&lt;=$C$11),OR($C$12&lt;&gt;"Ya",K3205&lt;&gt;""),OR($C$13="Semua",$C$13="",L3205=$C$13)),"✓","")</f>
        <v/>
      </c>
      <c r="N3205" s="93">
        <f>N(N3204)+IF(M3205="✓",1,0)</f>
        <v/>
      </c>
      <c r="O3205" s="93">
        <f>N(O3204)+IF(AND(B3205&lt;&gt;"",B3205&gt;='Uang Riba'!$H$30,B3205&lt;='Uang Riba'!$I$30,OR(H3205="Dana riba",H3205="Pinjam uang riba",I3205="Pinjam dari uang riba",I3205="Ganti uang riba",I3205="Kelebihan ganti dikembalikan",AND(C3205="Kantong Uang Riba",G3205="Pengeluaran"))),1,0)</f>
        <v/>
      </c>
      <c r="X3205" s="93">
        <f>IF(AND(B3205&lt;&gt;"",B3205&gt;='Buku Akun'!$H$4,B3205&lt;='Buku Akun'!$H$5,OR(C3205='Buku Akun'!$C$4,AND(D3205="Pindah",E3205='Buku Akun'!$C$4))),B3205+IF(AND(I3205="Selisih bunga",DAY(B3205)=1),0,0.01)+ROW()/10000000,"")</f>
        <v/>
      </c>
    </row>
    <row r="3206" outlineLevel="1" ht="15" customHeight="1" s="94">
      <c r="A3206" s="123">
        <f>IF(B3206="","",ROW()-15)</f>
        <v/>
      </c>
      <c r="B3206" s="124" t="n"/>
      <c r="C3206" s="123" t="n"/>
      <c r="D3206" s="123" t="n"/>
      <c r="E3206" s="123" t="n"/>
      <c r="F3206" s="125" t="n"/>
      <c r="G3206" s="123" t="n"/>
      <c r="H3206" s="123" t="n"/>
      <c r="I3206" s="123" t="n"/>
      <c r="J3206" s="123" t="n"/>
      <c r="K3206" s="123" t="n"/>
      <c r="L3206" s="123" t="n"/>
      <c r="M3206" s="123">
        <f>IF(AND(B3206&lt;&gt;"",OR($C$4="",ISNUMBER(SEARCH($C$4,C3206&amp;" "&amp;E3206&amp;" "&amp;G3206&amp;" "&amp;H3206&amp;" "&amp;I3206&amp;" "&amp;J3206&amp;" "&amp;K3206&amp;" "&amp;L3206))),OR($C$5="Semua",$C$5="",G3206=$C$5),OR($C$6="Semua",$C$6="",H3206=$C$6,H3206="Pengeluaran "&amp;$C$6,AND($C$6="Uang Kos Mama",H3206="Pengeluaran Uang Kos")),OR($C$7="Semua",$C$7="",I3206=$C$7),OR($C$8="Semua",$C$8="",C3206=$C$8,E3206=$C$8),OR($C$9="Semua",$C$9="",D3206=$C$9),OR($C$10="",B3206&gt;=$C$10),OR($C$11="",B3206&lt;=$C$11),OR($C$12&lt;&gt;"Ya",K3206&lt;&gt;""),OR($C$13="Semua",$C$13="",L3206=$C$13)),"✓","")</f>
        <v/>
      </c>
      <c r="N3206" s="93">
        <f>N(N3205)+IF(M3206="✓",1,0)</f>
        <v/>
      </c>
      <c r="O3206" s="93">
        <f>N(O3205)+IF(AND(B3206&lt;&gt;"",B3206&gt;='Uang Riba'!$H$30,B3206&lt;='Uang Riba'!$I$30,OR(H3206="Dana riba",H3206="Pinjam uang riba",I3206="Pinjam dari uang riba",I3206="Ganti uang riba",I3206="Kelebihan ganti dikembalikan",AND(C3206="Kantong Uang Riba",G3206="Pengeluaran"))),1,0)</f>
        <v/>
      </c>
      <c r="X3206" s="93">
        <f>IF(AND(B3206&lt;&gt;"",B3206&gt;='Buku Akun'!$H$4,B3206&lt;='Buku Akun'!$H$5,OR(C3206='Buku Akun'!$C$4,AND(D3206="Pindah",E3206='Buku Akun'!$C$4))),B3206+IF(AND(I3206="Selisih bunga",DAY(B3206)=1),0,0.01)+ROW()/10000000,"")</f>
        <v/>
      </c>
    </row>
    <row r="3207" outlineLevel="1" ht="15" customHeight="1" s="94">
      <c r="A3207" s="123">
        <f>IF(B3207="","",ROW()-15)</f>
        <v/>
      </c>
      <c r="B3207" s="124" t="n"/>
      <c r="C3207" s="123" t="n"/>
      <c r="D3207" s="123" t="n"/>
      <c r="E3207" s="123" t="n"/>
      <c r="F3207" s="125" t="n"/>
      <c r="G3207" s="123" t="n"/>
      <c r="H3207" s="123" t="n"/>
      <c r="I3207" s="123" t="n"/>
      <c r="J3207" s="123" t="n"/>
      <c r="K3207" s="123" t="n"/>
      <c r="L3207" s="123" t="n"/>
      <c r="M3207" s="123">
        <f>IF(AND(B3207&lt;&gt;"",OR($C$4="",ISNUMBER(SEARCH($C$4,C3207&amp;" "&amp;E3207&amp;" "&amp;G3207&amp;" "&amp;H3207&amp;" "&amp;I3207&amp;" "&amp;J3207&amp;" "&amp;K3207&amp;" "&amp;L3207))),OR($C$5="Semua",$C$5="",G3207=$C$5),OR($C$6="Semua",$C$6="",H3207=$C$6,H3207="Pengeluaran "&amp;$C$6,AND($C$6="Uang Kos Mama",H3207="Pengeluaran Uang Kos")),OR($C$7="Semua",$C$7="",I3207=$C$7),OR($C$8="Semua",$C$8="",C3207=$C$8,E3207=$C$8),OR($C$9="Semua",$C$9="",D3207=$C$9),OR($C$10="",B3207&gt;=$C$10),OR($C$11="",B3207&lt;=$C$11),OR($C$12&lt;&gt;"Ya",K3207&lt;&gt;""),OR($C$13="Semua",$C$13="",L3207=$C$13)),"✓","")</f>
        <v/>
      </c>
      <c r="N3207" s="93">
        <f>N(N3206)+IF(M3207="✓",1,0)</f>
        <v/>
      </c>
      <c r="O3207" s="93">
        <f>N(O3206)+IF(AND(B3207&lt;&gt;"",B3207&gt;='Uang Riba'!$H$30,B3207&lt;='Uang Riba'!$I$30,OR(H3207="Dana riba",H3207="Pinjam uang riba",I3207="Pinjam dari uang riba",I3207="Ganti uang riba",I3207="Kelebihan ganti dikembalikan",AND(C3207="Kantong Uang Riba",G3207="Pengeluaran"))),1,0)</f>
        <v/>
      </c>
      <c r="X3207" s="93">
        <f>IF(AND(B3207&lt;&gt;"",B3207&gt;='Buku Akun'!$H$4,B3207&lt;='Buku Akun'!$H$5,OR(C3207='Buku Akun'!$C$4,AND(D3207="Pindah",E3207='Buku Akun'!$C$4))),B3207+IF(AND(I3207="Selisih bunga",DAY(B3207)=1),0,0.01)+ROW()/10000000,"")</f>
        <v/>
      </c>
    </row>
    <row r="3208" outlineLevel="1" ht="15" customHeight="1" s="94">
      <c r="A3208" s="123">
        <f>IF(B3208="","",ROW()-15)</f>
        <v/>
      </c>
      <c r="B3208" s="124" t="n"/>
      <c r="C3208" s="123" t="n"/>
      <c r="D3208" s="123" t="n"/>
      <c r="E3208" s="123" t="n"/>
      <c r="F3208" s="125" t="n"/>
      <c r="G3208" s="123" t="n"/>
      <c r="H3208" s="123" t="n"/>
      <c r="I3208" s="123" t="n"/>
      <c r="J3208" s="123" t="n"/>
      <c r="K3208" s="123" t="n"/>
      <c r="L3208" s="123" t="n"/>
      <c r="M3208" s="123">
        <f>IF(AND(B3208&lt;&gt;"",OR($C$4="",ISNUMBER(SEARCH($C$4,C3208&amp;" "&amp;E3208&amp;" "&amp;G3208&amp;" "&amp;H3208&amp;" "&amp;I3208&amp;" "&amp;J3208&amp;" "&amp;K3208&amp;" "&amp;L3208))),OR($C$5="Semua",$C$5="",G3208=$C$5),OR($C$6="Semua",$C$6="",H3208=$C$6,H3208="Pengeluaran "&amp;$C$6,AND($C$6="Uang Kos Mama",H3208="Pengeluaran Uang Kos")),OR($C$7="Semua",$C$7="",I3208=$C$7),OR($C$8="Semua",$C$8="",C3208=$C$8,E3208=$C$8),OR($C$9="Semua",$C$9="",D3208=$C$9),OR($C$10="",B3208&gt;=$C$10),OR($C$11="",B3208&lt;=$C$11),OR($C$12&lt;&gt;"Ya",K3208&lt;&gt;""),OR($C$13="Semua",$C$13="",L3208=$C$13)),"✓","")</f>
        <v/>
      </c>
      <c r="N3208" s="93">
        <f>N(N3207)+IF(M3208="✓",1,0)</f>
        <v/>
      </c>
      <c r="O3208" s="93">
        <f>N(O3207)+IF(AND(B3208&lt;&gt;"",B3208&gt;='Uang Riba'!$H$30,B3208&lt;='Uang Riba'!$I$30,OR(H3208="Dana riba",H3208="Pinjam uang riba",I3208="Pinjam dari uang riba",I3208="Ganti uang riba",I3208="Kelebihan ganti dikembalikan",AND(C3208="Kantong Uang Riba",G3208="Pengeluaran"))),1,0)</f>
        <v/>
      </c>
      <c r="X3208" s="93">
        <f>IF(AND(B3208&lt;&gt;"",B3208&gt;='Buku Akun'!$H$4,B3208&lt;='Buku Akun'!$H$5,OR(C3208='Buku Akun'!$C$4,AND(D3208="Pindah",E3208='Buku Akun'!$C$4))),B3208+IF(AND(I3208="Selisih bunga",DAY(B3208)=1),0,0.01)+ROW()/10000000,"")</f>
        <v/>
      </c>
    </row>
    <row r="3209" outlineLevel="1" ht="15" customHeight="1" s="94">
      <c r="A3209" s="123">
        <f>IF(B3209="","",ROW()-15)</f>
        <v/>
      </c>
      <c r="B3209" s="124" t="n"/>
      <c r="C3209" s="123" t="n"/>
      <c r="D3209" s="123" t="n"/>
      <c r="E3209" s="123" t="n"/>
      <c r="F3209" s="125" t="n"/>
      <c r="G3209" s="123" t="n"/>
      <c r="H3209" s="123" t="n"/>
      <c r="I3209" s="123" t="n"/>
      <c r="J3209" s="123" t="n"/>
      <c r="K3209" s="123" t="n"/>
      <c r="L3209" s="123" t="n"/>
      <c r="M3209" s="123">
        <f>IF(AND(B3209&lt;&gt;"",OR($C$4="",ISNUMBER(SEARCH($C$4,C3209&amp;" "&amp;E3209&amp;" "&amp;G3209&amp;" "&amp;H3209&amp;" "&amp;I3209&amp;" "&amp;J3209&amp;" "&amp;K3209&amp;" "&amp;L3209))),OR($C$5="Semua",$C$5="",G3209=$C$5),OR($C$6="Semua",$C$6="",H3209=$C$6,H3209="Pengeluaran "&amp;$C$6,AND($C$6="Uang Kos Mama",H3209="Pengeluaran Uang Kos")),OR($C$7="Semua",$C$7="",I3209=$C$7),OR($C$8="Semua",$C$8="",C3209=$C$8,E3209=$C$8),OR($C$9="Semua",$C$9="",D3209=$C$9),OR($C$10="",B3209&gt;=$C$10),OR($C$11="",B3209&lt;=$C$11),OR($C$12&lt;&gt;"Ya",K3209&lt;&gt;""),OR($C$13="Semua",$C$13="",L3209=$C$13)),"✓","")</f>
        <v/>
      </c>
      <c r="N3209" s="93">
        <f>N(N3208)+IF(M3209="✓",1,0)</f>
        <v/>
      </c>
      <c r="O3209" s="93">
        <f>N(O3208)+IF(AND(B3209&lt;&gt;"",B3209&gt;='Uang Riba'!$H$30,B3209&lt;='Uang Riba'!$I$30,OR(H3209="Dana riba",H3209="Pinjam uang riba",I3209="Pinjam dari uang riba",I3209="Ganti uang riba",I3209="Kelebihan ganti dikembalikan",AND(C3209="Kantong Uang Riba",G3209="Pengeluaran"))),1,0)</f>
        <v/>
      </c>
      <c r="X3209" s="93">
        <f>IF(AND(B3209&lt;&gt;"",B3209&gt;='Buku Akun'!$H$4,B3209&lt;='Buku Akun'!$H$5,OR(C3209='Buku Akun'!$C$4,AND(D3209="Pindah",E3209='Buku Akun'!$C$4))),B3209+IF(AND(I3209="Selisih bunga",DAY(B3209)=1),0,0.01)+ROW()/10000000,"")</f>
        <v/>
      </c>
    </row>
    <row r="3210" outlineLevel="1" ht="15" customHeight="1" s="94">
      <c r="A3210" s="123">
        <f>IF(B3210="","",ROW()-15)</f>
        <v/>
      </c>
      <c r="B3210" s="124" t="n"/>
      <c r="C3210" s="123" t="n"/>
      <c r="D3210" s="123" t="n"/>
      <c r="E3210" s="123" t="n"/>
      <c r="F3210" s="125" t="n"/>
      <c r="G3210" s="123" t="n"/>
      <c r="H3210" s="123" t="n"/>
      <c r="I3210" s="123" t="n"/>
      <c r="J3210" s="123" t="n"/>
      <c r="K3210" s="123" t="n"/>
      <c r="L3210" s="123" t="n"/>
      <c r="M3210" s="123">
        <f>IF(AND(B3210&lt;&gt;"",OR($C$4="",ISNUMBER(SEARCH($C$4,C3210&amp;" "&amp;E3210&amp;" "&amp;G3210&amp;" "&amp;H3210&amp;" "&amp;I3210&amp;" "&amp;J3210&amp;" "&amp;K3210&amp;" "&amp;L3210))),OR($C$5="Semua",$C$5="",G3210=$C$5),OR($C$6="Semua",$C$6="",H3210=$C$6,H3210="Pengeluaran "&amp;$C$6,AND($C$6="Uang Kos Mama",H3210="Pengeluaran Uang Kos")),OR($C$7="Semua",$C$7="",I3210=$C$7),OR($C$8="Semua",$C$8="",C3210=$C$8,E3210=$C$8),OR($C$9="Semua",$C$9="",D3210=$C$9),OR($C$10="",B3210&gt;=$C$10),OR($C$11="",B3210&lt;=$C$11),OR($C$12&lt;&gt;"Ya",K3210&lt;&gt;""),OR($C$13="Semua",$C$13="",L3210=$C$13)),"✓","")</f>
        <v/>
      </c>
      <c r="N3210" s="93">
        <f>N(N3209)+IF(M3210="✓",1,0)</f>
        <v/>
      </c>
      <c r="O3210" s="93">
        <f>N(O3209)+IF(AND(B3210&lt;&gt;"",B3210&gt;='Uang Riba'!$H$30,B3210&lt;='Uang Riba'!$I$30,OR(H3210="Dana riba",H3210="Pinjam uang riba",I3210="Pinjam dari uang riba",I3210="Ganti uang riba",I3210="Kelebihan ganti dikembalikan",AND(C3210="Kantong Uang Riba",G3210="Pengeluaran"))),1,0)</f>
        <v/>
      </c>
      <c r="X3210" s="93">
        <f>IF(AND(B3210&lt;&gt;"",B3210&gt;='Buku Akun'!$H$4,B3210&lt;='Buku Akun'!$H$5,OR(C3210='Buku Akun'!$C$4,AND(D3210="Pindah",E3210='Buku Akun'!$C$4))),B3210+IF(AND(I3210="Selisih bunga",DAY(B3210)=1),0,0.01)+ROW()/10000000,"")</f>
        <v/>
      </c>
    </row>
    <row r="3211" outlineLevel="1" ht="15" customHeight="1" s="94">
      <c r="A3211" s="123">
        <f>IF(B3211="","",ROW()-15)</f>
        <v/>
      </c>
      <c r="B3211" s="124" t="n"/>
      <c r="C3211" s="123" t="n"/>
      <c r="D3211" s="123" t="n"/>
      <c r="E3211" s="123" t="n"/>
      <c r="F3211" s="125" t="n"/>
      <c r="G3211" s="123" t="n"/>
      <c r="H3211" s="123" t="n"/>
      <c r="I3211" s="123" t="n"/>
      <c r="J3211" s="123" t="n"/>
      <c r="K3211" s="123" t="n"/>
      <c r="L3211" s="123" t="n"/>
      <c r="M3211" s="123">
        <f>IF(AND(B3211&lt;&gt;"",OR($C$4="",ISNUMBER(SEARCH($C$4,C3211&amp;" "&amp;E3211&amp;" "&amp;G3211&amp;" "&amp;H3211&amp;" "&amp;I3211&amp;" "&amp;J3211&amp;" "&amp;K3211&amp;" "&amp;L3211))),OR($C$5="Semua",$C$5="",G3211=$C$5),OR($C$6="Semua",$C$6="",H3211=$C$6,H3211="Pengeluaran "&amp;$C$6,AND($C$6="Uang Kos Mama",H3211="Pengeluaran Uang Kos")),OR($C$7="Semua",$C$7="",I3211=$C$7),OR($C$8="Semua",$C$8="",C3211=$C$8,E3211=$C$8),OR($C$9="Semua",$C$9="",D3211=$C$9),OR($C$10="",B3211&gt;=$C$10),OR($C$11="",B3211&lt;=$C$11),OR($C$12&lt;&gt;"Ya",K3211&lt;&gt;""),OR($C$13="Semua",$C$13="",L3211=$C$13)),"✓","")</f>
        <v/>
      </c>
      <c r="N3211" s="93">
        <f>N(N3210)+IF(M3211="✓",1,0)</f>
        <v/>
      </c>
      <c r="O3211" s="93">
        <f>N(O3210)+IF(AND(B3211&lt;&gt;"",B3211&gt;='Uang Riba'!$H$30,B3211&lt;='Uang Riba'!$I$30,OR(H3211="Dana riba",H3211="Pinjam uang riba",I3211="Pinjam dari uang riba",I3211="Ganti uang riba",I3211="Kelebihan ganti dikembalikan",AND(C3211="Kantong Uang Riba",G3211="Pengeluaran"))),1,0)</f>
        <v/>
      </c>
      <c r="X3211" s="93">
        <f>IF(AND(B3211&lt;&gt;"",B3211&gt;='Buku Akun'!$H$4,B3211&lt;='Buku Akun'!$H$5,OR(C3211='Buku Akun'!$C$4,AND(D3211="Pindah",E3211='Buku Akun'!$C$4))),B3211+IF(AND(I3211="Selisih bunga",DAY(B3211)=1),0,0.01)+ROW()/10000000,"")</f>
        <v/>
      </c>
    </row>
    <row r="3212" outlineLevel="1" ht="15" customHeight="1" s="94">
      <c r="A3212" s="123">
        <f>IF(B3212="","",ROW()-15)</f>
        <v/>
      </c>
      <c r="B3212" s="124" t="n"/>
      <c r="C3212" s="123" t="n"/>
      <c r="D3212" s="123" t="n"/>
      <c r="E3212" s="123" t="n"/>
      <c r="F3212" s="125" t="n"/>
      <c r="G3212" s="123" t="n"/>
      <c r="H3212" s="123" t="n"/>
      <c r="I3212" s="123" t="n"/>
      <c r="J3212" s="123" t="n"/>
      <c r="K3212" s="123" t="n"/>
      <c r="L3212" s="123" t="n"/>
      <c r="M3212" s="123">
        <f>IF(AND(B3212&lt;&gt;"",OR($C$4="",ISNUMBER(SEARCH($C$4,C3212&amp;" "&amp;E3212&amp;" "&amp;G3212&amp;" "&amp;H3212&amp;" "&amp;I3212&amp;" "&amp;J3212&amp;" "&amp;K3212&amp;" "&amp;L3212))),OR($C$5="Semua",$C$5="",G3212=$C$5),OR($C$6="Semua",$C$6="",H3212=$C$6,H3212="Pengeluaran "&amp;$C$6,AND($C$6="Uang Kos Mama",H3212="Pengeluaran Uang Kos")),OR($C$7="Semua",$C$7="",I3212=$C$7),OR($C$8="Semua",$C$8="",C3212=$C$8,E3212=$C$8),OR($C$9="Semua",$C$9="",D3212=$C$9),OR($C$10="",B3212&gt;=$C$10),OR($C$11="",B3212&lt;=$C$11),OR($C$12&lt;&gt;"Ya",K3212&lt;&gt;""),OR($C$13="Semua",$C$13="",L3212=$C$13)),"✓","")</f>
        <v/>
      </c>
      <c r="N3212" s="93">
        <f>N(N3211)+IF(M3212="✓",1,0)</f>
        <v/>
      </c>
      <c r="O3212" s="93">
        <f>N(O3211)+IF(AND(B3212&lt;&gt;"",B3212&gt;='Uang Riba'!$H$30,B3212&lt;='Uang Riba'!$I$30,OR(H3212="Dana riba",H3212="Pinjam uang riba",I3212="Pinjam dari uang riba",I3212="Ganti uang riba",I3212="Kelebihan ganti dikembalikan",AND(C3212="Kantong Uang Riba",G3212="Pengeluaran"))),1,0)</f>
        <v/>
      </c>
      <c r="X3212" s="93">
        <f>IF(AND(B3212&lt;&gt;"",B3212&gt;='Buku Akun'!$H$4,B3212&lt;='Buku Akun'!$H$5,OR(C3212='Buku Akun'!$C$4,AND(D3212="Pindah",E3212='Buku Akun'!$C$4))),B3212+IF(AND(I3212="Selisih bunga",DAY(B3212)=1),0,0.01)+ROW()/10000000,"")</f>
        <v/>
      </c>
    </row>
    <row r="3213" outlineLevel="1" ht="15" customHeight="1" s="94">
      <c r="A3213" s="123">
        <f>IF(B3213="","",ROW()-15)</f>
        <v/>
      </c>
      <c r="B3213" s="124" t="n"/>
      <c r="C3213" s="123" t="n"/>
      <c r="D3213" s="123" t="n"/>
      <c r="E3213" s="123" t="n"/>
      <c r="F3213" s="125" t="n"/>
      <c r="G3213" s="123" t="n"/>
      <c r="H3213" s="123" t="n"/>
      <c r="I3213" s="123" t="n"/>
      <c r="J3213" s="123" t="n"/>
      <c r="K3213" s="123" t="n"/>
      <c r="L3213" s="123" t="n"/>
      <c r="M3213" s="123">
        <f>IF(AND(B3213&lt;&gt;"",OR($C$4="",ISNUMBER(SEARCH($C$4,C3213&amp;" "&amp;E3213&amp;" "&amp;G3213&amp;" "&amp;H3213&amp;" "&amp;I3213&amp;" "&amp;J3213&amp;" "&amp;K3213&amp;" "&amp;L3213))),OR($C$5="Semua",$C$5="",G3213=$C$5),OR($C$6="Semua",$C$6="",H3213=$C$6,H3213="Pengeluaran "&amp;$C$6,AND($C$6="Uang Kos Mama",H3213="Pengeluaran Uang Kos")),OR($C$7="Semua",$C$7="",I3213=$C$7),OR($C$8="Semua",$C$8="",C3213=$C$8,E3213=$C$8),OR($C$9="Semua",$C$9="",D3213=$C$9),OR($C$10="",B3213&gt;=$C$10),OR($C$11="",B3213&lt;=$C$11),OR($C$12&lt;&gt;"Ya",K3213&lt;&gt;""),OR($C$13="Semua",$C$13="",L3213=$C$13)),"✓","")</f>
        <v/>
      </c>
      <c r="N3213" s="93">
        <f>N(N3212)+IF(M3213="✓",1,0)</f>
        <v/>
      </c>
      <c r="O3213" s="93">
        <f>N(O3212)+IF(AND(B3213&lt;&gt;"",B3213&gt;='Uang Riba'!$H$30,B3213&lt;='Uang Riba'!$I$30,OR(H3213="Dana riba",H3213="Pinjam uang riba",I3213="Pinjam dari uang riba",I3213="Ganti uang riba",I3213="Kelebihan ganti dikembalikan",AND(C3213="Kantong Uang Riba",G3213="Pengeluaran"))),1,0)</f>
        <v/>
      </c>
      <c r="X3213" s="93">
        <f>IF(AND(B3213&lt;&gt;"",B3213&gt;='Buku Akun'!$H$4,B3213&lt;='Buku Akun'!$H$5,OR(C3213='Buku Akun'!$C$4,AND(D3213="Pindah",E3213='Buku Akun'!$C$4))),B3213+IF(AND(I3213="Selisih bunga",DAY(B3213)=1),0,0.01)+ROW()/10000000,"")</f>
        <v/>
      </c>
    </row>
    <row r="3214" outlineLevel="1" ht="15" customHeight="1" s="94">
      <c r="A3214" s="123">
        <f>IF(B3214="","",ROW()-15)</f>
        <v/>
      </c>
      <c r="B3214" s="124" t="n"/>
      <c r="C3214" s="123" t="n"/>
      <c r="D3214" s="123" t="n"/>
      <c r="E3214" s="123" t="n"/>
      <c r="F3214" s="125" t="n"/>
      <c r="G3214" s="123" t="n"/>
      <c r="H3214" s="123" t="n"/>
      <c r="I3214" s="123" t="n"/>
      <c r="J3214" s="123" t="n"/>
      <c r="K3214" s="123" t="n"/>
      <c r="L3214" s="123" t="n"/>
      <c r="M3214" s="123">
        <f>IF(AND(B3214&lt;&gt;"",OR($C$4="",ISNUMBER(SEARCH($C$4,C3214&amp;" "&amp;E3214&amp;" "&amp;G3214&amp;" "&amp;H3214&amp;" "&amp;I3214&amp;" "&amp;J3214&amp;" "&amp;K3214&amp;" "&amp;L3214))),OR($C$5="Semua",$C$5="",G3214=$C$5),OR($C$6="Semua",$C$6="",H3214=$C$6,H3214="Pengeluaran "&amp;$C$6,AND($C$6="Uang Kos Mama",H3214="Pengeluaran Uang Kos")),OR($C$7="Semua",$C$7="",I3214=$C$7),OR($C$8="Semua",$C$8="",C3214=$C$8,E3214=$C$8),OR($C$9="Semua",$C$9="",D3214=$C$9),OR($C$10="",B3214&gt;=$C$10),OR($C$11="",B3214&lt;=$C$11),OR($C$12&lt;&gt;"Ya",K3214&lt;&gt;""),OR($C$13="Semua",$C$13="",L3214=$C$13)),"✓","")</f>
        <v/>
      </c>
      <c r="N3214" s="93">
        <f>N(N3213)+IF(M3214="✓",1,0)</f>
        <v/>
      </c>
      <c r="O3214" s="93">
        <f>N(O3213)+IF(AND(B3214&lt;&gt;"",B3214&gt;='Uang Riba'!$H$30,B3214&lt;='Uang Riba'!$I$30,OR(H3214="Dana riba",H3214="Pinjam uang riba",I3214="Pinjam dari uang riba",I3214="Ganti uang riba",I3214="Kelebihan ganti dikembalikan",AND(C3214="Kantong Uang Riba",G3214="Pengeluaran"))),1,0)</f>
        <v/>
      </c>
      <c r="X3214" s="93">
        <f>IF(AND(B3214&lt;&gt;"",B3214&gt;='Buku Akun'!$H$4,B3214&lt;='Buku Akun'!$H$5,OR(C3214='Buku Akun'!$C$4,AND(D3214="Pindah",E3214='Buku Akun'!$C$4))),B3214+IF(AND(I3214="Selisih bunga",DAY(B3214)=1),0,0.01)+ROW()/10000000,"")</f>
        <v/>
      </c>
    </row>
    <row r="3215" outlineLevel="1" ht="15" customHeight="1" s="94">
      <c r="A3215" s="123">
        <f>IF(B3215="","",ROW()-15)</f>
        <v/>
      </c>
      <c r="B3215" s="124" t="n"/>
      <c r="C3215" s="123" t="n"/>
      <c r="D3215" s="123" t="n"/>
      <c r="E3215" s="123" t="n"/>
      <c r="F3215" s="125" t="n"/>
      <c r="G3215" s="123" t="n"/>
      <c r="H3215" s="123" t="n"/>
      <c r="I3215" s="123" t="n"/>
      <c r="J3215" s="123" t="n"/>
      <c r="K3215" s="123" t="n"/>
      <c r="L3215" s="123" t="n"/>
      <c r="M3215" s="123">
        <f>IF(AND(B3215&lt;&gt;"",OR($C$4="",ISNUMBER(SEARCH($C$4,C3215&amp;" "&amp;E3215&amp;" "&amp;G3215&amp;" "&amp;H3215&amp;" "&amp;I3215&amp;" "&amp;J3215&amp;" "&amp;K3215&amp;" "&amp;L3215))),OR($C$5="Semua",$C$5="",G3215=$C$5),OR($C$6="Semua",$C$6="",H3215=$C$6,H3215="Pengeluaran "&amp;$C$6,AND($C$6="Uang Kos Mama",H3215="Pengeluaran Uang Kos")),OR($C$7="Semua",$C$7="",I3215=$C$7),OR($C$8="Semua",$C$8="",C3215=$C$8,E3215=$C$8),OR($C$9="Semua",$C$9="",D3215=$C$9),OR($C$10="",B3215&gt;=$C$10),OR($C$11="",B3215&lt;=$C$11),OR($C$12&lt;&gt;"Ya",K3215&lt;&gt;""),OR($C$13="Semua",$C$13="",L3215=$C$13)),"✓","")</f>
        <v/>
      </c>
      <c r="N3215" s="93">
        <f>N(N3214)+IF(M3215="✓",1,0)</f>
        <v/>
      </c>
      <c r="O3215" s="93">
        <f>N(O3214)+IF(AND(B3215&lt;&gt;"",B3215&gt;='Uang Riba'!$H$30,B3215&lt;='Uang Riba'!$I$30,OR(H3215="Dana riba",H3215="Pinjam uang riba",I3215="Pinjam dari uang riba",I3215="Ganti uang riba",I3215="Kelebihan ganti dikembalikan",AND(C3215="Kantong Uang Riba",G3215="Pengeluaran"))),1,0)</f>
        <v/>
      </c>
      <c r="X3215" s="93">
        <f>IF(AND(B3215&lt;&gt;"",B3215&gt;='Buku Akun'!$H$4,B3215&lt;='Buku Akun'!$H$5,OR(C3215='Buku Akun'!$C$4,AND(D3215="Pindah",E3215='Buku Akun'!$C$4))),B3215+IF(AND(I3215="Selisih bunga",DAY(B3215)=1),0,0.01)+ROW()/10000000,"")</f>
        <v/>
      </c>
    </row>
    <row r="3216" outlineLevel="1" ht="15" customHeight="1" s="94">
      <c r="A3216" s="123">
        <f>IF(B3216="","",ROW()-15)</f>
        <v/>
      </c>
      <c r="B3216" s="124" t="n"/>
      <c r="C3216" s="123" t="n"/>
      <c r="D3216" s="123" t="n"/>
      <c r="E3216" s="123" t="n"/>
      <c r="F3216" s="125" t="n"/>
      <c r="G3216" s="123" t="n"/>
      <c r="H3216" s="123" t="n"/>
      <c r="I3216" s="123" t="n"/>
      <c r="J3216" s="123" t="n"/>
      <c r="K3216" s="123" t="n"/>
      <c r="L3216" s="123" t="n"/>
      <c r="M3216" s="123">
        <f>IF(AND(B3216&lt;&gt;"",OR($C$4="",ISNUMBER(SEARCH($C$4,C3216&amp;" "&amp;E3216&amp;" "&amp;G3216&amp;" "&amp;H3216&amp;" "&amp;I3216&amp;" "&amp;J3216&amp;" "&amp;K3216&amp;" "&amp;L3216))),OR($C$5="Semua",$C$5="",G3216=$C$5),OR($C$6="Semua",$C$6="",H3216=$C$6,H3216="Pengeluaran "&amp;$C$6,AND($C$6="Uang Kos Mama",H3216="Pengeluaran Uang Kos")),OR($C$7="Semua",$C$7="",I3216=$C$7),OR($C$8="Semua",$C$8="",C3216=$C$8,E3216=$C$8),OR($C$9="Semua",$C$9="",D3216=$C$9),OR($C$10="",B3216&gt;=$C$10),OR($C$11="",B3216&lt;=$C$11),OR($C$12&lt;&gt;"Ya",K3216&lt;&gt;""),OR($C$13="Semua",$C$13="",L3216=$C$13)),"✓","")</f>
        <v/>
      </c>
      <c r="N3216" s="93">
        <f>N(N3215)+IF(M3216="✓",1,0)</f>
        <v/>
      </c>
      <c r="O3216" s="93">
        <f>N(O3215)+IF(AND(B3216&lt;&gt;"",B3216&gt;='Uang Riba'!$H$30,B3216&lt;='Uang Riba'!$I$30,OR(H3216="Dana riba",H3216="Pinjam uang riba",I3216="Pinjam dari uang riba",I3216="Ganti uang riba",I3216="Kelebihan ganti dikembalikan",AND(C3216="Kantong Uang Riba",G3216="Pengeluaran"))),1,0)</f>
        <v/>
      </c>
      <c r="X3216" s="93">
        <f>IF(AND(B3216&lt;&gt;"",B3216&gt;='Buku Akun'!$H$4,B3216&lt;='Buku Akun'!$H$5,OR(C3216='Buku Akun'!$C$4,AND(D3216="Pindah",E3216='Buku Akun'!$C$4))),B3216+IF(AND(I3216="Selisih bunga",DAY(B3216)=1),0,0.01)+ROW()/10000000,"")</f>
        <v/>
      </c>
    </row>
    <row r="3217" outlineLevel="1" ht="15" customHeight="1" s="94">
      <c r="A3217" s="123">
        <f>IF(B3217="","",ROW()-15)</f>
        <v/>
      </c>
      <c r="B3217" s="124" t="n"/>
      <c r="C3217" s="123" t="n"/>
      <c r="D3217" s="123" t="n"/>
      <c r="E3217" s="123" t="n"/>
      <c r="F3217" s="125" t="n"/>
      <c r="G3217" s="123" t="n"/>
      <c r="H3217" s="123" t="n"/>
      <c r="I3217" s="123" t="n"/>
      <c r="J3217" s="123" t="n"/>
      <c r="K3217" s="123" t="n"/>
      <c r="L3217" s="123" t="n"/>
      <c r="M3217" s="123">
        <f>IF(AND(B3217&lt;&gt;"",OR($C$4="",ISNUMBER(SEARCH($C$4,C3217&amp;" "&amp;E3217&amp;" "&amp;G3217&amp;" "&amp;H3217&amp;" "&amp;I3217&amp;" "&amp;J3217&amp;" "&amp;K3217&amp;" "&amp;L3217))),OR($C$5="Semua",$C$5="",G3217=$C$5),OR($C$6="Semua",$C$6="",H3217=$C$6,H3217="Pengeluaran "&amp;$C$6,AND($C$6="Uang Kos Mama",H3217="Pengeluaran Uang Kos")),OR($C$7="Semua",$C$7="",I3217=$C$7),OR($C$8="Semua",$C$8="",C3217=$C$8,E3217=$C$8),OR($C$9="Semua",$C$9="",D3217=$C$9),OR($C$10="",B3217&gt;=$C$10),OR($C$11="",B3217&lt;=$C$11),OR($C$12&lt;&gt;"Ya",K3217&lt;&gt;""),OR($C$13="Semua",$C$13="",L3217=$C$13)),"✓","")</f>
        <v/>
      </c>
      <c r="N3217" s="93">
        <f>N(N3216)+IF(M3217="✓",1,0)</f>
        <v/>
      </c>
      <c r="O3217" s="93">
        <f>N(O3216)+IF(AND(B3217&lt;&gt;"",B3217&gt;='Uang Riba'!$H$30,B3217&lt;='Uang Riba'!$I$30,OR(H3217="Dana riba",H3217="Pinjam uang riba",I3217="Pinjam dari uang riba",I3217="Ganti uang riba",I3217="Kelebihan ganti dikembalikan",AND(C3217="Kantong Uang Riba",G3217="Pengeluaran"))),1,0)</f>
        <v/>
      </c>
      <c r="X3217" s="93">
        <f>IF(AND(B3217&lt;&gt;"",B3217&gt;='Buku Akun'!$H$4,B3217&lt;='Buku Akun'!$H$5,OR(C3217='Buku Akun'!$C$4,AND(D3217="Pindah",E3217='Buku Akun'!$C$4))),B3217+IF(AND(I3217="Selisih bunga",DAY(B3217)=1),0,0.01)+ROW()/10000000,"")</f>
        <v/>
      </c>
    </row>
    <row r="3218" outlineLevel="1" ht="15" customHeight="1" s="94">
      <c r="A3218" s="123">
        <f>IF(B3218="","",ROW()-15)</f>
        <v/>
      </c>
      <c r="B3218" s="124" t="n"/>
      <c r="C3218" s="123" t="n"/>
      <c r="D3218" s="123" t="n"/>
      <c r="E3218" s="123" t="n"/>
      <c r="F3218" s="125" t="n"/>
      <c r="G3218" s="123" t="n"/>
      <c r="H3218" s="123" t="n"/>
      <c r="I3218" s="123" t="n"/>
      <c r="J3218" s="123" t="n"/>
      <c r="K3218" s="123" t="n"/>
      <c r="L3218" s="123" t="n"/>
      <c r="M3218" s="123">
        <f>IF(AND(B3218&lt;&gt;"",OR($C$4="",ISNUMBER(SEARCH($C$4,C3218&amp;" "&amp;E3218&amp;" "&amp;G3218&amp;" "&amp;H3218&amp;" "&amp;I3218&amp;" "&amp;J3218&amp;" "&amp;K3218&amp;" "&amp;L3218))),OR($C$5="Semua",$C$5="",G3218=$C$5),OR($C$6="Semua",$C$6="",H3218=$C$6,H3218="Pengeluaran "&amp;$C$6,AND($C$6="Uang Kos Mama",H3218="Pengeluaran Uang Kos")),OR($C$7="Semua",$C$7="",I3218=$C$7),OR($C$8="Semua",$C$8="",C3218=$C$8,E3218=$C$8),OR($C$9="Semua",$C$9="",D3218=$C$9),OR($C$10="",B3218&gt;=$C$10),OR($C$11="",B3218&lt;=$C$11),OR($C$12&lt;&gt;"Ya",K3218&lt;&gt;""),OR($C$13="Semua",$C$13="",L3218=$C$13)),"✓","")</f>
        <v/>
      </c>
      <c r="N3218" s="93">
        <f>N(N3217)+IF(M3218="✓",1,0)</f>
        <v/>
      </c>
      <c r="O3218" s="93">
        <f>N(O3217)+IF(AND(B3218&lt;&gt;"",B3218&gt;='Uang Riba'!$H$30,B3218&lt;='Uang Riba'!$I$30,OR(H3218="Dana riba",H3218="Pinjam uang riba",I3218="Pinjam dari uang riba",I3218="Ganti uang riba",I3218="Kelebihan ganti dikembalikan",AND(C3218="Kantong Uang Riba",G3218="Pengeluaran"))),1,0)</f>
        <v/>
      </c>
      <c r="X3218" s="93">
        <f>IF(AND(B3218&lt;&gt;"",B3218&gt;='Buku Akun'!$H$4,B3218&lt;='Buku Akun'!$H$5,OR(C3218='Buku Akun'!$C$4,AND(D3218="Pindah",E3218='Buku Akun'!$C$4))),B3218+IF(AND(I3218="Selisih bunga",DAY(B3218)=1),0,0.01)+ROW()/10000000,"")</f>
        <v/>
      </c>
    </row>
    <row r="3219" outlineLevel="1" ht="15" customHeight="1" s="94">
      <c r="A3219" s="123">
        <f>IF(B3219="","",ROW()-15)</f>
        <v/>
      </c>
      <c r="B3219" s="124" t="n"/>
      <c r="C3219" s="123" t="n"/>
      <c r="D3219" s="123" t="n"/>
      <c r="E3219" s="123" t="n"/>
      <c r="F3219" s="125" t="n"/>
      <c r="G3219" s="123" t="n"/>
      <c r="H3219" s="123" t="n"/>
      <c r="I3219" s="123" t="n"/>
      <c r="J3219" s="123" t="n"/>
      <c r="K3219" s="123" t="n"/>
      <c r="L3219" s="123" t="n"/>
      <c r="M3219" s="123">
        <f>IF(AND(B3219&lt;&gt;"",OR($C$4="",ISNUMBER(SEARCH($C$4,C3219&amp;" "&amp;E3219&amp;" "&amp;G3219&amp;" "&amp;H3219&amp;" "&amp;I3219&amp;" "&amp;J3219&amp;" "&amp;K3219&amp;" "&amp;L3219))),OR($C$5="Semua",$C$5="",G3219=$C$5),OR($C$6="Semua",$C$6="",H3219=$C$6,H3219="Pengeluaran "&amp;$C$6,AND($C$6="Uang Kos Mama",H3219="Pengeluaran Uang Kos")),OR($C$7="Semua",$C$7="",I3219=$C$7),OR($C$8="Semua",$C$8="",C3219=$C$8,E3219=$C$8),OR($C$9="Semua",$C$9="",D3219=$C$9),OR($C$10="",B3219&gt;=$C$10),OR($C$11="",B3219&lt;=$C$11),OR($C$12&lt;&gt;"Ya",K3219&lt;&gt;""),OR($C$13="Semua",$C$13="",L3219=$C$13)),"✓","")</f>
        <v/>
      </c>
      <c r="N3219" s="93">
        <f>N(N3218)+IF(M3219="✓",1,0)</f>
        <v/>
      </c>
      <c r="O3219" s="93">
        <f>N(O3218)+IF(AND(B3219&lt;&gt;"",B3219&gt;='Uang Riba'!$H$30,B3219&lt;='Uang Riba'!$I$30,OR(H3219="Dana riba",H3219="Pinjam uang riba",I3219="Pinjam dari uang riba",I3219="Ganti uang riba",I3219="Kelebihan ganti dikembalikan",AND(C3219="Kantong Uang Riba",G3219="Pengeluaran"))),1,0)</f>
        <v/>
      </c>
      <c r="X3219" s="93">
        <f>IF(AND(B3219&lt;&gt;"",B3219&gt;='Buku Akun'!$H$4,B3219&lt;='Buku Akun'!$H$5,OR(C3219='Buku Akun'!$C$4,AND(D3219="Pindah",E3219='Buku Akun'!$C$4))),B3219+IF(AND(I3219="Selisih bunga",DAY(B3219)=1),0,0.01)+ROW()/10000000,"")</f>
        <v/>
      </c>
    </row>
    <row r="3220" outlineLevel="1" ht="15" customHeight="1" s="94">
      <c r="A3220" s="123">
        <f>IF(B3220="","",ROW()-15)</f>
        <v/>
      </c>
      <c r="B3220" s="124" t="n"/>
      <c r="C3220" s="123" t="n"/>
      <c r="D3220" s="123" t="n"/>
      <c r="E3220" s="123" t="n"/>
      <c r="F3220" s="125" t="n"/>
      <c r="G3220" s="123" t="n"/>
      <c r="H3220" s="123" t="n"/>
      <c r="I3220" s="123" t="n"/>
      <c r="J3220" s="123" t="n"/>
      <c r="K3220" s="123" t="n"/>
      <c r="L3220" s="123" t="n"/>
      <c r="M3220" s="123">
        <f>IF(AND(B3220&lt;&gt;"",OR($C$4="",ISNUMBER(SEARCH($C$4,C3220&amp;" "&amp;E3220&amp;" "&amp;G3220&amp;" "&amp;H3220&amp;" "&amp;I3220&amp;" "&amp;J3220&amp;" "&amp;K3220&amp;" "&amp;L3220))),OR($C$5="Semua",$C$5="",G3220=$C$5),OR($C$6="Semua",$C$6="",H3220=$C$6,H3220="Pengeluaran "&amp;$C$6,AND($C$6="Uang Kos Mama",H3220="Pengeluaran Uang Kos")),OR($C$7="Semua",$C$7="",I3220=$C$7),OR($C$8="Semua",$C$8="",C3220=$C$8,E3220=$C$8),OR($C$9="Semua",$C$9="",D3220=$C$9),OR($C$10="",B3220&gt;=$C$10),OR($C$11="",B3220&lt;=$C$11),OR($C$12&lt;&gt;"Ya",K3220&lt;&gt;""),OR($C$13="Semua",$C$13="",L3220=$C$13)),"✓","")</f>
        <v/>
      </c>
      <c r="N3220" s="93">
        <f>N(N3219)+IF(M3220="✓",1,0)</f>
        <v/>
      </c>
      <c r="O3220" s="93">
        <f>N(O3219)+IF(AND(B3220&lt;&gt;"",B3220&gt;='Uang Riba'!$H$30,B3220&lt;='Uang Riba'!$I$30,OR(H3220="Dana riba",H3220="Pinjam uang riba",I3220="Pinjam dari uang riba",I3220="Ganti uang riba",I3220="Kelebihan ganti dikembalikan",AND(C3220="Kantong Uang Riba",G3220="Pengeluaran"))),1,0)</f>
        <v/>
      </c>
      <c r="X3220" s="93">
        <f>IF(AND(B3220&lt;&gt;"",B3220&gt;='Buku Akun'!$H$4,B3220&lt;='Buku Akun'!$H$5,OR(C3220='Buku Akun'!$C$4,AND(D3220="Pindah",E3220='Buku Akun'!$C$4))),B3220+IF(AND(I3220="Selisih bunga",DAY(B3220)=1),0,0.01)+ROW()/10000000,"")</f>
        <v/>
      </c>
    </row>
    <row r="3221" outlineLevel="1" ht="15" customHeight="1" s="94">
      <c r="A3221" s="123">
        <f>IF(B3221="","",ROW()-15)</f>
        <v/>
      </c>
      <c r="B3221" s="124" t="n"/>
      <c r="C3221" s="123" t="n"/>
      <c r="D3221" s="123" t="n"/>
      <c r="E3221" s="123" t="n"/>
      <c r="F3221" s="125" t="n"/>
      <c r="G3221" s="123" t="n"/>
      <c r="H3221" s="123" t="n"/>
      <c r="I3221" s="123" t="n"/>
      <c r="J3221" s="123" t="n"/>
      <c r="K3221" s="123" t="n"/>
      <c r="L3221" s="123" t="n"/>
      <c r="M3221" s="123">
        <f>IF(AND(B3221&lt;&gt;"",OR($C$4="",ISNUMBER(SEARCH($C$4,C3221&amp;" "&amp;E3221&amp;" "&amp;G3221&amp;" "&amp;H3221&amp;" "&amp;I3221&amp;" "&amp;J3221&amp;" "&amp;K3221&amp;" "&amp;L3221))),OR($C$5="Semua",$C$5="",G3221=$C$5),OR($C$6="Semua",$C$6="",H3221=$C$6,H3221="Pengeluaran "&amp;$C$6,AND($C$6="Uang Kos Mama",H3221="Pengeluaran Uang Kos")),OR($C$7="Semua",$C$7="",I3221=$C$7),OR($C$8="Semua",$C$8="",C3221=$C$8,E3221=$C$8),OR($C$9="Semua",$C$9="",D3221=$C$9),OR($C$10="",B3221&gt;=$C$10),OR($C$11="",B3221&lt;=$C$11),OR($C$12&lt;&gt;"Ya",K3221&lt;&gt;""),OR($C$13="Semua",$C$13="",L3221=$C$13)),"✓","")</f>
        <v/>
      </c>
      <c r="N3221" s="93">
        <f>N(N3220)+IF(M3221="✓",1,0)</f>
        <v/>
      </c>
      <c r="O3221" s="93">
        <f>N(O3220)+IF(AND(B3221&lt;&gt;"",B3221&gt;='Uang Riba'!$H$30,B3221&lt;='Uang Riba'!$I$30,OR(H3221="Dana riba",H3221="Pinjam uang riba",I3221="Pinjam dari uang riba",I3221="Ganti uang riba",I3221="Kelebihan ganti dikembalikan",AND(C3221="Kantong Uang Riba",G3221="Pengeluaran"))),1,0)</f>
        <v/>
      </c>
      <c r="X3221" s="93">
        <f>IF(AND(B3221&lt;&gt;"",B3221&gt;='Buku Akun'!$H$4,B3221&lt;='Buku Akun'!$H$5,OR(C3221='Buku Akun'!$C$4,AND(D3221="Pindah",E3221='Buku Akun'!$C$4))),B3221+IF(AND(I3221="Selisih bunga",DAY(B3221)=1),0,0.01)+ROW()/10000000,"")</f>
        <v/>
      </c>
    </row>
    <row r="3222" outlineLevel="1" ht="15" customHeight="1" s="94">
      <c r="A3222" s="123">
        <f>IF(B3222="","",ROW()-15)</f>
        <v/>
      </c>
      <c r="B3222" s="124" t="n"/>
      <c r="C3222" s="123" t="n"/>
      <c r="D3222" s="123" t="n"/>
      <c r="E3222" s="123" t="n"/>
      <c r="F3222" s="125" t="n"/>
      <c r="G3222" s="123" t="n"/>
      <c r="H3222" s="123" t="n"/>
      <c r="I3222" s="123" t="n"/>
      <c r="J3222" s="123" t="n"/>
      <c r="K3222" s="123" t="n"/>
      <c r="L3222" s="123" t="n"/>
      <c r="M3222" s="123">
        <f>IF(AND(B3222&lt;&gt;"",OR($C$4="",ISNUMBER(SEARCH($C$4,C3222&amp;" "&amp;E3222&amp;" "&amp;G3222&amp;" "&amp;H3222&amp;" "&amp;I3222&amp;" "&amp;J3222&amp;" "&amp;K3222&amp;" "&amp;L3222))),OR($C$5="Semua",$C$5="",G3222=$C$5),OR($C$6="Semua",$C$6="",H3222=$C$6,H3222="Pengeluaran "&amp;$C$6,AND($C$6="Uang Kos Mama",H3222="Pengeluaran Uang Kos")),OR($C$7="Semua",$C$7="",I3222=$C$7),OR($C$8="Semua",$C$8="",C3222=$C$8,E3222=$C$8),OR($C$9="Semua",$C$9="",D3222=$C$9),OR($C$10="",B3222&gt;=$C$10),OR($C$11="",B3222&lt;=$C$11),OR($C$12&lt;&gt;"Ya",K3222&lt;&gt;""),OR($C$13="Semua",$C$13="",L3222=$C$13)),"✓","")</f>
        <v/>
      </c>
      <c r="N3222" s="93">
        <f>N(N3221)+IF(M3222="✓",1,0)</f>
        <v/>
      </c>
      <c r="O3222" s="93">
        <f>N(O3221)+IF(AND(B3222&lt;&gt;"",B3222&gt;='Uang Riba'!$H$30,B3222&lt;='Uang Riba'!$I$30,OR(H3222="Dana riba",H3222="Pinjam uang riba",I3222="Pinjam dari uang riba",I3222="Ganti uang riba",I3222="Kelebihan ganti dikembalikan",AND(C3222="Kantong Uang Riba",G3222="Pengeluaran"))),1,0)</f>
        <v/>
      </c>
      <c r="X3222" s="93">
        <f>IF(AND(B3222&lt;&gt;"",B3222&gt;='Buku Akun'!$H$4,B3222&lt;='Buku Akun'!$H$5,OR(C3222='Buku Akun'!$C$4,AND(D3222="Pindah",E3222='Buku Akun'!$C$4))),B3222+IF(AND(I3222="Selisih bunga",DAY(B3222)=1),0,0.01)+ROW()/10000000,"")</f>
        <v/>
      </c>
    </row>
    <row r="3223" outlineLevel="1" ht="15" customHeight="1" s="94">
      <c r="A3223" s="123">
        <f>IF(B3223="","",ROW()-15)</f>
        <v/>
      </c>
      <c r="B3223" s="124" t="n"/>
      <c r="C3223" s="123" t="n"/>
      <c r="D3223" s="123" t="n"/>
      <c r="E3223" s="123" t="n"/>
      <c r="F3223" s="125" t="n"/>
      <c r="G3223" s="123" t="n"/>
      <c r="H3223" s="123" t="n"/>
      <c r="I3223" s="123" t="n"/>
      <c r="J3223" s="123" t="n"/>
      <c r="K3223" s="123" t="n"/>
      <c r="L3223" s="123" t="n"/>
      <c r="M3223" s="123">
        <f>IF(AND(B3223&lt;&gt;"",OR($C$4="",ISNUMBER(SEARCH($C$4,C3223&amp;" "&amp;E3223&amp;" "&amp;G3223&amp;" "&amp;H3223&amp;" "&amp;I3223&amp;" "&amp;J3223&amp;" "&amp;K3223&amp;" "&amp;L3223))),OR($C$5="Semua",$C$5="",G3223=$C$5),OR($C$6="Semua",$C$6="",H3223=$C$6,H3223="Pengeluaran "&amp;$C$6,AND($C$6="Uang Kos Mama",H3223="Pengeluaran Uang Kos")),OR($C$7="Semua",$C$7="",I3223=$C$7),OR($C$8="Semua",$C$8="",C3223=$C$8,E3223=$C$8),OR($C$9="Semua",$C$9="",D3223=$C$9),OR($C$10="",B3223&gt;=$C$10),OR($C$11="",B3223&lt;=$C$11),OR($C$12&lt;&gt;"Ya",K3223&lt;&gt;""),OR($C$13="Semua",$C$13="",L3223=$C$13)),"✓","")</f>
        <v/>
      </c>
      <c r="N3223" s="93">
        <f>N(N3222)+IF(M3223="✓",1,0)</f>
        <v/>
      </c>
      <c r="O3223" s="93">
        <f>N(O3222)+IF(AND(B3223&lt;&gt;"",B3223&gt;='Uang Riba'!$H$30,B3223&lt;='Uang Riba'!$I$30,OR(H3223="Dana riba",H3223="Pinjam uang riba",I3223="Pinjam dari uang riba",I3223="Ganti uang riba",I3223="Kelebihan ganti dikembalikan",AND(C3223="Kantong Uang Riba",G3223="Pengeluaran"))),1,0)</f>
        <v/>
      </c>
      <c r="X3223" s="93">
        <f>IF(AND(B3223&lt;&gt;"",B3223&gt;='Buku Akun'!$H$4,B3223&lt;='Buku Akun'!$H$5,OR(C3223='Buku Akun'!$C$4,AND(D3223="Pindah",E3223='Buku Akun'!$C$4))),B3223+IF(AND(I3223="Selisih bunga",DAY(B3223)=1),0,0.01)+ROW()/10000000,"")</f>
        <v/>
      </c>
    </row>
    <row r="3224" outlineLevel="1" ht="15" customHeight="1" s="94">
      <c r="A3224" s="123">
        <f>IF(B3224="","",ROW()-15)</f>
        <v/>
      </c>
      <c r="B3224" s="124" t="n"/>
      <c r="C3224" s="123" t="n"/>
      <c r="D3224" s="123" t="n"/>
      <c r="E3224" s="123" t="n"/>
      <c r="F3224" s="125" t="n"/>
      <c r="G3224" s="123" t="n"/>
      <c r="H3224" s="123" t="n"/>
      <c r="I3224" s="123" t="n"/>
      <c r="J3224" s="123" t="n"/>
      <c r="K3224" s="123" t="n"/>
      <c r="L3224" s="123" t="n"/>
      <c r="M3224" s="123">
        <f>IF(AND(B3224&lt;&gt;"",OR($C$4="",ISNUMBER(SEARCH($C$4,C3224&amp;" "&amp;E3224&amp;" "&amp;G3224&amp;" "&amp;H3224&amp;" "&amp;I3224&amp;" "&amp;J3224&amp;" "&amp;K3224&amp;" "&amp;L3224))),OR($C$5="Semua",$C$5="",G3224=$C$5),OR($C$6="Semua",$C$6="",H3224=$C$6,H3224="Pengeluaran "&amp;$C$6,AND($C$6="Uang Kos Mama",H3224="Pengeluaran Uang Kos")),OR($C$7="Semua",$C$7="",I3224=$C$7),OR($C$8="Semua",$C$8="",C3224=$C$8,E3224=$C$8),OR($C$9="Semua",$C$9="",D3224=$C$9),OR($C$10="",B3224&gt;=$C$10),OR($C$11="",B3224&lt;=$C$11),OR($C$12&lt;&gt;"Ya",K3224&lt;&gt;""),OR($C$13="Semua",$C$13="",L3224=$C$13)),"✓","")</f>
        <v/>
      </c>
      <c r="N3224" s="93">
        <f>N(N3223)+IF(M3224="✓",1,0)</f>
        <v/>
      </c>
      <c r="O3224" s="93">
        <f>N(O3223)+IF(AND(B3224&lt;&gt;"",B3224&gt;='Uang Riba'!$H$30,B3224&lt;='Uang Riba'!$I$30,OR(H3224="Dana riba",H3224="Pinjam uang riba",I3224="Pinjam dari uang riba",I3224="Ganti uang riba",I3224="Kelebihan ganti dikembalikan",AND(C3224="Kantong Uang Riba",G3224="Pengeluaran"))),1,0)</f>
        <v/>
      </c>
      <c r="X3224" s="93">
        <f>IF(AND(B3224&lt;&gt;"",B3224&gt;='Buku Akun'!$H$4,B3224&lt;='Buku Akun'!$H$5,OR(C3224='Buku Akun'!$C$4,AND(D3224="Pindah",E3224='Buku Akun'!$C$4))),B3224+IF(AND(I3224="Selisih bunga",DAY(B3224)=1),0,0.01)+ROW()/10000000,"")</f>
        <v/>
      </c>
    </row>
    <row r="3225" outlineLevel="1" ht="15" customHeight="1" s="94">
      <c r="A3225" s="123">
        <f>IF(B3225="","",ROW()-15)</f>
        <v/>
      </c>
      <c r="B3225" s="124" t="n"/>
      <c r="C3225" s="123" t="n"/>
      <c r="D3225" s="123" t="n"/>
      <c r="E3225" s="123" t="n"/>
      <c r="F3225" s="125" t="n"/>
      <c r="G3225" s="123" t="n"/>
      <c r="H3225" s="123" t="n"/>
      <c r="I3225" s="123" t="n"/>
      <c r="J3225" s="123" t="n"/>
      <c r="K3225" s="123" t="n"/>
      <c r="L3225" s="123" t="n"/>
      <c r="M3225" s="123">
        <f>IF(AND(B3225&lt;&gt;"",OR($C$4="",ISNUMBER(SEARCH($C$4,C3225&amp;" "&amp;E3225&amp;" "&amp;G3225&amp;" "&amp;H3225&amp;" "&amp;I3225&amp;" "&amp;J3225&amp;" "&amp;K3225&amp;" "&amp;L3225))),OR($C$5="Semua",$C$5="",G3225=$C$5),OR($C$6="Semua",$C$6="",H3225=$C$6,H3225="Pengeluaran "&amp;$C$6,AND($C$6="Uang Kos Mama",H3225="Pengeluaran Uang Kos")),OR($C$7="Semua",$C$7="",I3225=$C$7),OR($C$8="Semua",$C$8="",C3225=$C$8,E3225=$C$8),OR($C$9="Semua",$C$9="",D3225=$C$9),OR($C$10="",B3225&gt;=$C$10),OR($C$11="",B3225&lt;=$C$11),OR($C$12&lt;&gt;"Ya",K3225&lt;&gt;""),OR($C$13="Semua",$C$13="",L3225=$C$13)),"✓","")</f>
        <v/>
      </c>
      <c r="N3225" s="93">
        <f>N(N3224)+IF(M3225="✓",1,0)</f>
        <v/>
      </c>
      <c r="O3225" s="93">
        <f>N(O3224)+IF(AND(B3225&lt;&gt;"",B3225&gt;='Uang Riba'!$H$30,B3225&lt;='Uang Riba'!$I$30,OR(H3225="Dana riba",H3225="Pinjam uang riba",I3225="Pinjam dari uang riba",I3225="Ganti uang riba",I3225="Kelebihan ganti dikembalikan",AND(C3225="Kantong Uang Riba",G3225="Pengeluaran"))),1,0)</f>
        <v/>
      </c>
      <c r="X3225" s="93">
        <f>IF(AND(B3225&lt;&gt;"",B3225&gt;='Buku Akun'!$H$4,B3225&lt;='Buku Akun'!$H$5,OR(C3225='Buku Akun'!$C$4,AND(D3225="Pindah",E3225='Buku Akun'!$C$4))),B3225+IF(AND(I3225="Selisih bunga",DAY(B3225)=1),0,0.01)+ROW()/10000000,"")</f>
        <v/>
      </c>
    </row>
    <row r="3226" outlineLevel="1" ht="15" customHeight="1" s="94">
      <c r="A3226" s="123">
        <f>IF(B3226="","",ROW()-15)</f>
        <v/>
      </c>
      <c r="B3226" s="124" t="n"/>
      <c r="C3226" s="123" t="n"/>
      <c r="D3226" s="123" t="n"/>
      <c r="E3226" s="123" t="n"/>
      <c r="F3226" s="125" t="n"/>
      <c r="G3226" s="123" t="n"/>
      <c r="H3226" s="123" t="n"/>
      <c r="I3226" s="123" t="n"/>
      <c r="J3226" s="123" t="n"/>
      <c r="K3226" s="123" t="n"/>
      <c r="L3226" s="123" t="n"/>
      <c r="M3226" s="123">
        <f>IF(AND(B3226&lt;&gt;"",OR($C$4="",ISNUMBER(SEARCH($C$4,C3226&amp;" "&amp;E3226&amp;" "&amp;G3226&amp;" "&amp;H3226&amp;" "&amp;I3226&amp;" "&amp;J3226&amp;" "&amp;K3226&amp;" "&amp;L3226))),OR($C$5="Semua",$C$5="",G3226=$C$5),OR($C$6="Semua",$C$6="",H3226=$C$6,H3226="Pengeluaran "&amp;$C$6,AND($C$6="Uang Kos Mama",H3226="Pengeluaran Uang Kos")),OR($C$7="Semua",$C$7="",I3226=$C$7),OR($C$8="Semua",$C$8="",C3226=$C$8,E3226=$C$8),OR($C$9="Semua",$C$9="",D3226=$C$9),OR($C$10="",B3226&gt;=$C$10),OR($C$11="",B3226&lt;=$C$11),OR($C$12&lt;&gt;"Ya",K3226&lt;&gt;""),OR($C$13="Semua",$C$13="",L3226=$C$13)),"✓","")</f>
        <v/>
      </c>
      <c r="N3226" s="93">
        <f>N(N3225)+IF(M3226="✓",1,0)</f>
        <v/>
      </c>
      <c r="O3226" s="93">
        <f>N(O3225)+IF(AND(B3226&lt;&gt;"",B3226&gt;='Uang Riba'!$H$30,B3226&lt;='Uang Riba'!$I$30,OR(H3226="Dana riba",H3226="Pinjam uang riba",I3226="Pinjam dari uang riba",I3226="Ganti uang riba",I3226="Kelebihan ganti dikembalikan",AND(C3226="Kantong Uang Riba",G3226="Pengeluaran"))),1,0)</f>
        <v/>
      </c>
      <c r="X3226" s="93">
        <f>IF(AND(B3226&lt;&gt;"",B3226&gt;='Buku Akun'!$H$4,B3226&lt;='Buku Akun'!$H$5,OR(C3226='Buku Akun'!$C$4,AND(D3226="Pindah",E3226='Buku Akun'!$C$4))),B3226+IF(AND(I3226="Selisih bunga",DAY(B3226)=1),0,0.01)+ROW()/10000000,"")</f>
        <v/>
      </c>
    </row>
    <row r="3227" outlineLevel="1" ht="15" customHeight="1" s="94">
      <c r="A3227" s="123">
        <f>IF(B3227="","",ROW()-15)</f>
        <v/>
      </c>
      <c r="B3227" s="124" t="n"/>
      <c r="C3227" s="123" t="n"/>
      <c r="D3227" s="123" t="n"/>
      <c r="E3227" s="123" t="n"/>
      <c r="F3227" s="125" t="n"/>
      <c r="G3227" s="123" t="n"/>
      <c r="H3227" s="123" t="n"/>
      <c r="I3227" s="123" t="n"/>
      <c r="J3227" s="123" t="n"/>
      <c r="K3227" s="123" t="n"/>
      <c r="L3227" s="123" t="n"/>
      <c r="M3227" s="123">
        <f>IF(AND(B3227&lt;&gt;"",OR($C$4="",ISNUMBER(SEARCH($C$4,C3227&amp;" "&amp;E3227&amp;" "&amp;G3227&amp;" "&amp;H3227&amp;" "&amp;I3227&amp;" "&amp;J3227&amp;" "&amp;K3227&amp;" "&amp;L3227))),OR($C$5="Semua",$C$5="",G3227=$C$5),OR($C$6="Semua",$C$6="",H3227=$C$6,H3227="Pengeluaran "&amp;$C$6,AND($C$6="Uang Kos Mama",H3227="Pengeluaran Uang Kos")),OR($C$7="Semua",$C$7="",I3227=$C$7),OR($C$8="Semua",$C$8="",C3227=$C$8,E3227=$C$8),OR($C$9="Semua",$C$9="",D3227=$C$9),OR($C$10="",B3227&gt;=$C$10),OR($C$11="",B3227&lt;=$C$11),OR($C$12&lt;&gt;"Ya",K3227&lt;&gt;""),OR($C$13="Semua",$C$13="",L3227=$C$13)),"✓","")</f>
        <v/>
      </c>
      <c r="N3227" s="93">
        <f>N(N3226)+IF(M3227="✓",1,0)</f>
        <v/>
      </c>
      <c r="O3227" s="93">
        <f>N(O3226)+IF(AND(B3227&lt;&gt;"",B3227&gt;='Uang Riba'!$H$30,B3227&lt;='Uang Riba'!$I$30,OR(H3227="Dana riba",H3227="Pinjam uang riba",I3227="Pinjam dari uang riba",I3227="Ganti uang riba",I3227="Kelebihan ganti dikembalikan",AND(C3227="Kantong Uang Riba",G3227="Pengeluaran"))),1,0)</f>
        <v/>
      </c>
      <c r="X3227" s="93">
        <f>IF(AND(B3227&lt;&gt;"",B3227&gt;='Buku Akun'!$H$4,B3227&lt;='Buku Akun'!$H$5,OR(C3227='Buku Akun'!$C$4,AND(D3227="Pindah",E3227='Buku Akun'!$C$4))),B3227+IF(AND(I3227="Selisih bunga",DAY(B3227)=1),0,0.01)+ROW()/10000000,"")</f>
        <v/>
      </c>
    </row>
    <row r="3228" outlineLevel="1" ht="15" customHeight="1" s="94">
      <c r="A3228" s="123">
        <f>IF(B3228="","",ROW()-15)</f>
        <v/>
      </c>
      <c r="B3228" s="124" t="n"/>
      <c r="C3228" s="123" t="n"/>
      <c r="D3228" s="123" t="n"/>
      <c r="E3228" s="123" t="n"/>
      <c r="F3228" s="125" t="n"/>
      <c r="G3228" s="123" t="n"/>
      <c r="H3228" s="123" t="n"/>
      <c r="I3228" s="123" t="n"/>
      <c r="J3228" s="123" t="n"/>
      <c r="K3228" s="123" t="n"/>
      <c r="L3228" s="123" t="n"/>
      <c r="M3228" s="123">
        <f>IF(AND(B3228&lt;&gt;"",OR($C$4="",ISNUMBER(SEARCH($C$4,C3228&amp;" "&amp;E3228&amp;" "&amp;G3228&amp;" "&amp;H3228&amp;" "&amp;I3228&amp;" "&amp;J3228&amp;" "&amp;K3228&amp;" "&amp;L3228))),OR($C$5="Semua",$C$5="",G3228=$C$5),OR($C$6="Semua",$C$6="",H3228=$C$6,H3228="Pengeluaran "&amp;$C$6,AND($C$6="Uang Kos Mama",H3228="Pengeluaran Uang Kos")),OR($C$7="Semua",$C$7="",I3228=$C$7),OR($C$8="Semua",$C$8="",C3228=$C$8,E3228=$C$8),OR($C$9="Semua",$C$9="",D3228=$C$9),OR($C$10="",B3228&gt;=$C$10),OR($C$11="",B3228&lt;=$C$11),OR($C$12&lt;&gt;"Ya",K3228&lt;&gt;""),OR($C$13="Semua",$C$13="",L3228=$C$13)),"✓","")</f>
        <v/>
      </c>
      <c r="N3228" s="93">
        <f>N(N3227)+IF(M3228="✓",1,0)</f>
        <v/>
      </c>
      <c r="O3228" s="93">
        <f>N(O3227)+IF(AND(B3228&lt;&gt;"",B3228&gt;='Uang Riba'!$H$30,B3228&lt;='Uang Riba'!$I$30,OR(H3228="Dana riba",H3228="Pinjam uang riba",I3228="Pinjam dari uang riba",I3228="Ganti uang riba",I3228="Kelebihan ganti dikembalikan",AND(C3228="Kantong Uang Riba",G3228="Pengeluaran"))),1,0)</f>
        <v/>
      </c>
      <c r="X3228" s="93">
        <f>IF(AND(B3228&lt;&gt;"",B3228&gt;='Buku Akun'!$H$4,B3228&lt;='Buku Akun'!$H$5,OR(C3228='Buku Akun'!$C$4,AND(D3228="Pindah",E3228='Buku Akun'!$C$4))),B3228+IF(AND(I3228="Selisih bunga",DAY(B3228)=1),0,0.01)+ROW()/10000000,"")</f>
        <v/>
      </c>
    </row>
    <row r="3229" outlineLevel="1" ht="15" customHeight="1" s="94">
      <c r="A3229" s="123">
        <f>IF(B3229="","",ROW()-15)</f>
        <v/>
      </c>
      <c r="B3229" s="124" t="n"/>
      <c r="C3229" s="123" t="n"/>
      <c r="D3229" s="123" t="n"/>
      <c r="E3229" s="123" t="n"/>
      <c r="F3229" s="125" t="n"/>
      <c r="G3229" s="123" t="n"/>
      <c r="H3229" s="123" t="n"/>
      <c r="I3229" s="123" t="n"/>
      <c r="J3229" s="123" t="n"/>
      <c r="K3229" s="123" t="n"/>
      <c r="L3229" s="123" t="n"/>
      <c r="M3229" s="123">
        <f>IF(AND(B3229&lt;&gt;"",OR($C$4="",ISNUMBER(SEARCH($C$4,C3229&amp;" "&amp;E3229&amp;" "&amp;G3229&amp;" "&amp;H3229&amp;" "&amp;I3229&amp;" "&amp;J3229&amp;" "&amp;K3229&amp;" "&amp;L3229))),OR($C$5="Semua",$C$5="",G3229=$C$5),OR($C$6="Semua",$C$6="",H3229=$C$6,H3229="Pengeluaran "&amp;$C$6,AND($C$6="Uang Kos Mama",H3229="Pengeluaran Uang Kos")),OR($C$7="Semua",$C$7="",I3229=$C$7),OR($C$8="Semua",$C$8="",C3229=$C$8,E3229=$C$8),OR($C$9="Semua",$C$9="",D3229=$C$9),OR($C$10="",B3229&gt;=$C$10),OR($C$11="",B3229&lt;=$C$11),OR($C$12&lt;&gt;"Ya",K3229&lt;&gt;""),OR($C$13="Semua",$C$13="",L3229=$C$13)),"✓","")</f>
        <v/>
      </c>
      <c r="N3229" s="93">
        <f>N(N3228)+IF(M3229="✓",1,0)</f>
        <v/>
      </c>
      <c r="O3229" s="93">
        <f>N(O3228)+IF(AND(B3229&lt;&gt;"",B3229&gt;='Uang Riba'!$H$30,B3229&lt;='Uang Riba'!$I$30,OR(H3229="Dana riba",H3229="Pinjam uang riba",I3229="Pinjam dari uang riba",I3229="Ganti uang riba",I3229="Kelebihan ganti dikembalikan",AND(C3229="Kantong Uang Riba",G3229="Pengeluaran"))),1,0)</f>
        <v/>
      </c>
      <c r="X3229" s="93">
        <f>IF(AND(B3229&lt;&gt;"",B3229&gt;='Buku Akun'!$H$4,B3229&lt;='Buku Akun'!$H$5,OR(C3229='Buku Akun'!$C$4,AND(D3229="Pindah",E3229='Buku Akun'!$C$4))),B3229+IF(AND(I3229="Selisih bunga",DAY(B3229)=1),0,0.01)+ROW()/10000000,"")</f>
        <v/>
      </c>
    </row>
    <row r="3230" outlineLevel="1" ht="15" customHeight="1" s="94">
      <c r="A3230" s="123">
        <f>IF(B3230="","",ROW()-15)</f>
        <v/>
      </c>
      <c r="B3230" s="124" t="n"/>
      <c r="C3230" s="123" t="n"/>
      <c r="D3230" s="123" t="n"/>
      <c r="E3230" s="123" t="n"/>
      <c r="F3230" s="125" t="n"/>
      <c r="G3230" s="123" t="n"/>
      <c r="H3230" s="123" t="n"/>
      <c r="I3230" s="123" t="n"/>
      <c r="J3230" s="123" t="n"/>
      <c r="K3230" s="123" t="n"/>
      <c r="L3230" s="123" t="n"/>
      <c r="M3230" s="123">
        <f>IF(AND(B3230&lt;&gt;"",OR($C$4="",ISNUMBER(SEARCH($C$4,C3230&amp;" "&amp;E3230&amp;" "&amp;G3230&amp;" "&amp;H3230&amp;" "&amp;I3230&amp;" "&amp;J3230&amp;" "&amp;K3230&amp;" "&amp;L3230))),OR($C$5="Semua",$C$5="",G3230=$C$5),OR($C$6="Semua",$C$6="",H3230=$C$6,H3230="Pengeluaran "&amp;$C$6,AND($C$6="Uang Kos Mama",H3230="Pengeluaran Uang Kos")),OR($C$7="Semua",$C$7="",I3230=$C$7),OR($C$8="Semua",$C$8="",C3230=$C$8,E3230=$C$8),OR($C$9="Semua",$C$9="",D3230=$C$9),OR($C$10="",B3230&gt;=$C$10),OR($C$11="",B3230&lt;=$C$11),OR($C$12&lt;&gt;"Ya",K3230&lt;&gt;""),OR($C$13="Semua",$C$13="",L3230=$C$13)),"✓","")</f>
        <v/>
      </c>
      <c r="N3230" s="93">
        <f>N(N3229)+IF(M3230="✓",1,0)</f>
        <v/>
      </c>
      <c r="O3230" s="93">
        <f>N(O3229)+IF(AND(B3230&lt;&gt;"",B3230&gt;='Uang Riba'!$H$30,B3230&lt;='Uang Riba'!$I$30,OR(H3230="Dana riba",H3230="Pinjam uang riba",I3230="Pinjam dari uang riba",I3230="Ganti uang riba",I3230="Kelebihan ganti dikembalikan",AND(C3230="Kantong Uang Riba",G3230="Pengeluaran"))),1,0)</f>
        <v/>
      </c>
      <c r="X3230" s="93">
        <f>IF(AND(B3230&lt;&gt;"",B3230&gt;='Buku Akun'!$H$4,B3230&lt;='Buku Akun'!$H$5,OR(C3230='Buku Akun'!$C$4,AND(D3230="Pindah",E3230='Buku Akun'!$C$4))),B3230+IF(AND(I3230="Selisih bunga",DAY(B3230)=1),0,0.01)+ROW()/10000000,"")</f>
        <v/>
      </c>
    </row>
    <row r="3231" outlineLevel="1" ht="15" customHeight="1" s="94">
      <c r="A3231" s="123">
        <f>IF(B3231="","",ROW()-15)</f>
        <v/>
      </c>
      <c r="B3231" s="124" t="n"/>
      <c r="C3231" s="123" t="n"/>
      <c r="D3231" s="123" t="n"/>
      <c r="E3231" s="123" t="n"/>
      <c r="F3231" s="125" t="n"/>
      <c r="G3231" s="123" t="n"/>
      <c r="H3231" s="123" t="n"/>
      <c r="I3231" s="123" t="n"/>
      <c r="J3231" s="123" t="n"/>
      <c r="K3231" s="123" t="n"/>
      <c r="L3231" s="123" t="n"/>
      <c r="M3231" s="123">
        <f>IF(AND(B3231&lt;&gt;"",OR($C$4="",ISNUMBER(SEARCH($C$4,C3231&amp;" "&amp;E3231&amp;" "&amp;G3231&amp;" "&amp;H3231&amp;" "&amp;I3231&amp;" "&amp;J3231&amp;" "&amp;K3231&amp;" "&amp;L3231))),OR($C$5="Semua",$C$5="",G3231=$C$5),OR($C$6="Semua",$C$6="",H3231=$C$6,H3231="Pengeluaran "&amp;$C$6,AND($C$6="Uang Kos Mama",H3231="Pengeluaran Uang Kos")),OR($C$7="Semua",$C$7="",I3231=$C$7),OR($C$8="Semua",$C$8="",C3231=$C$8,E3231=$C$8),OR($C$9="Semua",$C$9="",D3231=$C$9),OR($C$10="",B3231&gt;=$C$10),OR($C$11="",B3231&lt;=$C$11),OR($C$12&lt;&gt;"Ya",K3231&lt;&gt;""),OR($C$13="Semua",$C$13="",L3231=$C$13)),"✓","")</f>
        <v/>
      </c>
      <c r="N3231" s="93">
        <f>N(N3230)+IF(M3231="✓",1,0)</f>
        <v/>
      </c>
      <c r="O3231" s="93">
        <f>N(O3230)+IF(AND(B3231&lt;&gt;"",B3231&gt;='Uang Riba'!$H$30,B3231&lt;='Uang Riba'!$I$30,OR(H3231="Dana riba",H3231="Pinjam uang riba",I3231="Pinjam dari uang riba",I3231="Ganti uang riba",I3231="Kelebihan ganti dikembalikan",AND(C3231="Kantong Uang Riba",G3231="Pengeluaran"))),1,0)</f>
        <v/>
      </c>
      <c r="X3231" s="93">
        <f>IF(AND(B3231&lt;&gt;"",B3231&gt;='Buku Akun'!$H$4,B3231&lt;='Buku Akun'!$H$5,OR(C3231='Buku Akun'!$C$4,AND(D3231="Pindah",E3231='Buku Akun'!$C$4))),B3231+IF(AND(I3231="Selisih bunga",DAY(B3231)=1),0,0.01)+ROW()/10000000,"")</f>
        <v/>
      </c>
    </row>
    <row r="3232" outlineLevel="1" ht="15" customHeight="1" s="94">
      <c r="A3232" s="123">
        <f>IF(B3232="","",ROW()-15)</f>
        <v/>
      </c>
      <c r="B3232" s="124" t="n"/>
      <c r="C3232" s="123" t="n"/>
      <c r="D3232" s="123" t="n"/>
      <c r="E3232" s="123" t="n"/>
      <c r="F3232" s="125" t="n"/>
      <c r="G3232" s="123" t="n"/>
      <c r="H3232" s="123" t="n"/>
      <c r="I3232" s="123" t="n"/>
      <c r="J3232" s="123" t="n"/>
      <c r="K3232" s="123" t="n"/>
      <c r="L3232" s="123" t="n"/>
      <c r="M3232" s="123">
        <f>IF(AND(B3232&lt;&gt;"",OR($C$4="",ISNUMBER(SEARCH($C$4,C3232&amp;" "&amp;E3232&amp;" "&amp;G3232&amp;" "&amp;H3232&amp;" "&amp;I3232&amp;" "&amp;J3232&amp;" "&amp;K3232&amp;" "&amp;L3232))),OR($C$5="Semua",$C$5="",G3232=$C$5),OR($C$6="Semua",$C$6="",H3232=$C$6,H3232="Pengeluaran "&amp;$C$6,AND($C$6="Uang Kos Mama",H3232="Pengeluaran Uang Kos")),OR($C$7="Semua",$C$7="",I3232=$C$7),OR($C$8="Semua",$C$8="",C3232=$C$8,E3232=$C$8),OR($C$9="Semua",$C$9="",D3232=$C$9),OR($C$10="",B3232&gt;=$C$10),OR($C$11="",B3232&lt;=$C$11),OR($C$12&lt;&gt;"Ya",K3232&lt;&gt;""),OR($C$13="Semua",$C$13="",L3232=$C$13)),"✓","")</f>
        <v/>
      </c>
      <c r="N3232" s="93">
        <f>N(N3231)+IF(M3232="✓",1,0)</f>
        <v/>
      </c>
      <c r="O3232" s="93">
        <f>N(O3231)+IF(AND(B3232&lt;&gt;"",B3232&gt;='Uang Riba'!$H$30,B3232&lt;='Uang Riba'!$I$30,OR(H3232="Dana riba",H3232="Pinjam uang riba",I3232="Pinjam dari uang riba",I3232="Ganti uang riba",I3232="Kelebihan ganti dikembalikan",AND(C3232="Kantong Uang Riba",G3232="Pengeluaran"))),1,0)</f>
        <v/>
      </c>
      <c r="X3232" s="93">
        <f>IF(AND(B3232&lt;&gt;"",B3232&gt;='Buku Akun'!$H$4,B3232&lt;='Buku Akun'!$H$5,OR(C3232='Buku Akun'!$C$4,AND(D3232="Pindah",E3232='Buku Akun'!$C$4))),B3232+IF(AND(I3232="Selisih bunga",DAY(B3232)=1),0,0.01)+ROW()/10000000,"")</f>
        <v/>
      </c>
    </row>
    <row r="3233" outlineLevel="1" ht="15" customHeight="1" s="94">
      <c r="A3233" s="123">
        <f>IF(B3233="","",ROW()-15)</f>
        <v/>
      </c>
      <c r="B3233" s="124" t="n"/>
      <c r="C3233" s="123" t="n"/>
      <c r="D3233" s="123" t="n"/>
      <c r="E3233" s="123" t="n"/>
      <c r="F3233" s="125" t="n"/>
      <c r="G3233" s="123" t="n"/>
      <c r="H3233" s="123" t="n"/>
      <c r="I3233" s="123" t="n"/>
      <c r="J3233" s="123" t="n"/>
      <c r="K3233" s="123" t="n"/>
      <c r="L3233" s="123" t="n"/>
      <c r="M3233" s="123">
        <f>IF(AND(B3233&lt;&gt;"",OR($C$4="",ISNUMBER(SEARCH($C$4,C3233&amp;" "&amp;E3233&amp;" "&amp;G3233&amp;" "&amp;H3233&amp;" "&amp;I3233&amp;" "&amp;J3233&amp;" "&amp;K3233&amp;" "&amp;L3233))),OR($C$5="Semua",$C$5="",G3233=$C$5),OR($C$6="Semua",$C$6="",H3233=$C$6,H3233="Pengeluaran "&amp;$C$6,AND($C$6="Uang Kos Mama",H3233="Pengeluaran Uang Kos")),OR($C$7="Semua",$C$7="",I3233=$C$7),OR($C$8="Semua",$C$8="",C3233=$C$8,E3233=$C$8),OR($C$9="Semua",$C$9="",D3233=$C$9),OR($C$10="",B3233&gt;=$C$10),OR($C$11="",B3233&lt;=$C$11),OR($C$12&lt;&gt;"Ya",K3233&lt;&gt;""),OR($C$13="Semua",$C$13="",L3233=$C$13)),"✓","")</f>
        <v/>
      </c>
      <c r="N3233" s="93">
        <f>N(N3232)+IF(M3233="✓",1,0)</f>
        <v/>
      </c>
      <c r="O3233" s="93">
        <f>N(O3232)+IF(AND(B3233&lt;&gt;"",B3233&gt;='Uang Riba'!$H$30,B3233&lt;='Uang Riba'!$I$30,OR(H3233="Dana riba",H3233="Pinjam uang riba",I3233="Pinjam dari uang riba",I3233="Ganti uang riba",I3233="Kelebihan ganti dikembalikan",AND(C3233="Kantong Uang Riba",G3233="Pengeluaran"))),1,0)</f>
        <v/>
      </c>
      <c r="X3233" s="93">
        <f>IF(AND(B3233&lt;&gt;"",B3233&gt;='Buku Akun'!$H$4,B3233&lt;='Buku Akun'!$H$5,OR(C3233='Buku Akun'!$C$4,AND(D3233="Pindah",E3233='Buku Akun'!$C$4))),B3233+IF(AND(I3233="Selisih bunga",DAY(B3233)=1),0,0.01)+ROW()/10000000,"")</f>
        <v/>
      </c>
    </row>
    <row r="3234" outlineLevel="1" ht="15" customHeight="1" s="94">
      <c r="A3234" s="123">
        <f>IF(B3234="","",ROW()-15)</f>
        <v/>
      </c>
      <c r="B3234" s="124" t="n"/>
      <c r="C3234" s="123" t="n"/>
      <c r="D3234" s="123" t="n"/>
      <c r="E3234" s="123" t="n"/>
      <c r="F3234" s="125" t="n"/>
      <c r="G3234" s="123" t="n"/>
      <c r="H3234" s="123" t="n"/>
      <c r="I3234" s="123" t="n"/>
      <c r="J3234" s="123" t="n"/>
      <c r="K3234" s="123" t="n"/>
      <c r="L3234" s="123" t="n"/>
      <c r="M3234" s="123">
        <f>IF(AND(B3234&lt;&gt;"",OR($C$4="",ISNUMBER(SEARCH($C$4,C3234&amp;" "&amp;E3234&amp;" "&amp;G3234&amp;" "&amp;H3234&amp;" "&amp;I3234&amp;" "&amp;J3234&amp;" "&amp;K3234&amp;" "&amp;L3234))),OR($C$5="Semua",$C$5="",G3234=$C$5),OR($C$6="Semua",$C$6="",H3234=$C$6,H3234="Pengeluaran "&amp;$C$6,AND($C$6="Uang Kos Mama",H3234="Pengeluaran Uang Kos")),OR($C$7="Semua",$C$7="",I3234=$C$7),OR($C$8="Semua",$C$8="",C3234=$C$8,E3234=$C$8),OR($C$9="Semua",$C$9="",D3234=$C$9),OR($C$10="",B3234&gt;=$C$10),OR($C$11="",B3234&lt;=$C$11),OR($C$12&lt;&gt;"Ya",K3234&lt;&gt;""),OR($C$13="Semua",$C$13="",L3234=$C$13)),"✓","")</f>
        <v/>
      </c>
      <c r="N3234" s="93">
        <f>N(N3233)+IF(M3234="✓",1,0)</f>
        <v/>
      </c>
      <c r="O3234" s="93">
        <f>N(O3233)+IF(AND(B3234&lt;&gt;"",B3234&gt;='Uang Riba'!$H$30,B3234&lt;='Uang Riba'!$I$30,OR(H3234="Dana riba",H3234="Pinjam uang riba",I3234="Pinjam dari uang riba",I3234="Ganti uang riba",I3234="Kelebihan ganti dikembalikan",AND(C3234="Kantong Uang Riba",G3234="Pengeluaran"))),1,0)</f>
        <v/>
      </c>
      <c r="X3234" s="93">
        <f>IF(AND(B3234&lt;&gt;"",B3234&gt;='Buku Akun'!$H$4,B3234&lt;='Buku Akun'!$H$5,OR(C3234='Buku Akun'!$C$4,AND(D3234="Pindah",E3234='Buku Akun'!$C$4))),B3234+IF(AND(I3234="Selisih bunga",DAY(B3234)=1),0,0.01)+ROW()/10000000,"")</f>
        <v/>
      </c>
    </row>
    <row r="3235" outlineLevel="1" ht="15" customHeight="1" s="94">
      <c r="A3235" s="123">
        <f>IF(B3235="","",ROW()-15)</f>
        <v/>
      </c>
      <c r="B3235" s="124" t="n"/>
      <c r="C3235" s="123" t="n"/>
      <c r="D3235" s="123" t="n"/>
      <c r="E3235" s="123" t="n"/>
      <c r="F3235" s="125" t="n"/>
      <c r="G3235" s="123" t="n"/>
      <c r="H3235" s="123" t="n"/>
      <c r="I3235" s="123" t="n"/>
      <c r="J3235" s="123" t="n"/>
      <c r="K3235" s="123" t="n"/>
      <c r="L3235" s="123" t="n"/>
      <c r="M3235" s="123">
        <f>IF(AND(B3235&lt;&gt;"",OR($C$4="",ISNUMBER(SEARCH($C$4,C3235&amp;" "&amp;E3235&amp;" "&amp;G3235&amp;" "&amp;H3235&amp;" "&amp;I3235&amp;" "&amp;J3235&amp;" "&amp;K3235&amp;" "&amp;L3235))),OR($C$5="Semua",$C$5="",G3235=$C$5),OR($C$6="Semua",$C$6="",H3235=$C$6,H3235="Pengeluaran "&amp;$C$6,AND($C$6="Uang Kos Mama",H3235="Pengeluaran Uang Kos")),OR($C$7="Semua",$C$7="",I3235=$C$7),OR($C$8="Semua",$C$8="",C3235=$C$8,E3235=$C$8),OR($C$9="Semua",$C$9="",D3235=$C$9),OR($C$10="",B3235&gt;=$C$10),OR($C$11="",B3235&lt;=$C$11),OR($C$12&lt;&gt;"Ya",K3235&lt;&gt;""),OR($C$13="Semua",$C$13="",L3235=$C$13)),"✓","")</f>
        <v/>
      </c>
      <c r="N3235" s="93">
        <f>N(N3234)+IF(M3235="✓",1,0)</f>
        <v/>
      </c>
      <c r="O3235" s="93">
        <f>N(O3234)+IF(AND(B3235&lt;&gt;"",B3235&gt;='Uang Riba'!$H$30,B3235&lt;='Uang Riba'!$I$30,OR(H3235="Dana riba",H3235="Pinjam uang riba",I3235="Pinjam dari uang riba",I3235="Ganti uang riba",I3235="Kelebihan ganti dikembalikan",AND(C3235="Kantong Uang Riba",G3235="Pengeluaran"))),1,0)</f>
        <v/>
      </c>
      <c r="X3235" s="93">
        <f>IF(AND(B3235&lt;&gt;"",B3235&gt;='Buku Akun'!$H$4,B3235&lt;='Buku Akun'!$H$5,OR(C3235='Buku Akun'!$C$4,AND(D3235="Pindah",E3235='Buku Akun'!$C$4))),B3235+IF(AND(I3235="Selisih bunga",DAY(B3235)=1),0,0.01)+ROW()/10000000,"")</f>
        <v/>
      </c>
    </row>
    <row r="3236" outlineLevel="1" ht="15" customHeight="1" s="94">
      <c r="A3236" s="123">
        <f>IF(B3236="","",ROW()-15)</f>
        <v/>
      </c>
      <c r="B3236" s="124" t="n"/>
      <c r="C3236" s="123" t="n"/>
      <c r="D3236" s="123" t="n"/>
      <c r="E3236" s="123" t="n"/>
      <c r="F3236" s="125" t="n"/>
      <c r="G3236" s="123" t="n"/>
      <c r="H3236" s="123" t="n"/>
      <c r="I3236" s="123" t="n"/>
      <c r="J3236" s="123" t="n"/>
      <c r="K3236" s="123" t="n"/>
      <c r="L3236" s="123" t="n"/>
      <c r="M3236" s="123">
        <f>IF(AND(B3236&lt;&gt;"",OR($C$4="",ISNUMBER(SEARCH($C$4,C3236&amp;" "&amp;E3236&amp;" "&amp;G3236&amp;" "&amp;H3236&amp;" "&amp;I3236&amp;" "&amp;J3236&amp;" "&amp;K3236&amp;" "&amp;L3236))),OR($C$5="Semua",$C$5="",G3236=$C$5),OR($C$6="Semua",$C$6="",H3236=$C$6,H3236="Pengeluaran "&amp;$C$6,AND($C$6="Uang Kos Mama",H3236="Pengeluaran Uang Kos")),OR($C$7="Semua",$C$7="",I3236=$C$7),OR($C$8="Semua",$C$8="",C3236=$C$8,E3236=$C$8),OR($C$9="Semua",$C$9="",D3236=$C$9),OR($C$10="",B3236&gt;=$C$10),OR($C$11="",B3236&lt;=$C$11),OR($C$12&lt;&gt;"Ya",K3236&lt;&gt;""),OR($C$13="Semua",$C$13="",L3236=$C$13)),"✓","")</f>
        <v/>
      </c>
      <c r="N3236" s="93">
        <f>N(N3235)+IF(M3236="✓",1,0)</f>
        <v/>
      </c>
      <c r="O3236" s="93">
        <f>N(O3235)+IF(AND(B3236&lt;&gt;"",B3236&gt;='Uang Riba'!$H$30,B3236&lt;='Uang Riba'!$I$30,OR(H3236="Dana riba",H3236="Pinjam uang riba",I3236="Pinjam dari uang riba",I3236="Ganti uang riba",I3236="Kelebihan ganti dikembalikan",AND(C3236="Kantong Uang Riba",G3236="Pengeluaran"))),1,0)</f>
        <v/>
      </c>
      <c r="X3236" s="93">
        <f>IF(AND(B3236&lt;&gt;"",B3236&gt;='Buku Akun'!$H$4,B3236&lt;='Buku Akun'!$H$5,OR(C3236='Buku Akun'!$C$4,AND(D3236="Pindah",E3236='Buku Akun'!$C$4))),B3236+IF(AND(I3236="Selisih bunga",DAY(B3236)=1),0,0.01)+ROW()/10000000,"")</f>
        <v/>
      </c>
    </row>
    <row r="3237" outlineLevel="1" ht="15" customHeight="1" s="94">
      <c r="A3237" s="123">
        <f>IF(B3237="","",ROW()-15)</f>
        <v/>
      </c>
      <c r="B3237" s="124" t="n"/>
      <c r="C3237" s="123" t="n"/>
      <c r="D3237" s="123" t="n"/>
      <c r="E3237" s="123" t="n"/>
      <c r="F3237" s="125" t="n"/>
      <c r="G3237" s="123" t="n"/>
      <c r="H3237" s="123" t="n"/>
      <c r="I3237" s="123" t="n"/>
      <c r="J3237" s="123" t="n"/>
      <c r="K3237" s="123" t="n"/>
      <c r="L3237" s="123" t="n"/>
      <c r="M3237" s="123">
        <f>IF(AND(B3237&lt;&gt;"",OR($C$4="",ISNUMBER(SEARCH($C$4,C3237&amp;" "&amp;E3237&amp;" "&amp;G3237&amp;" "&amp;H3237&amp;" "&amp;I3237&amp;" "&amp;J3237&amp;" "&amp;K3237&amp;" "&amp;L3237))),OR($C$5="Semua",$C$5="",G3237=$C$5),OR($C$6="Semua",$C$6="",H3237=$C$6,H3237="Pengeluaran "&amp;$C$6,AND($C$6="Uang Kos Mama",H3237="Pengeluaran Uang Kos")),OR($C$7="Semua",$C$7="",I3237=$C$7),OR($C$8="Semua",$C$8="",C3237=$C$8,E3237=$C$8),OR($C$9="Semua",$C$9="",D3237=$C$9),OR($C$10="",B3237&gt;=$C$10),OR($C$11="",B3237&lt;=$C$11),OR($C$12&lt;&gt;"Ya",K3237&lt;&gt;""),OR($C$13="Semua",$C$13="",L3237=$C$13)),"✓","")</f>
        <v/>
      </c>
      <c r="N3237" s="93">
        <f>N(N3236)+IF(M3237="✓",1,0)</f>
        <v/>
      </c>
      <c r="O3237" s="93">
        <f>N(O3236)+IF(AND(B3237&lt;&gt;"",B3237&gt;='Uang Riba'!$H$30,B3237&lt;='Uang Riba'!$I$30,OR(H3237="Dana riba",H3237="Pinjam uang riba",I3237="Pinjam dari uang riba",I3237="Ganti uang riba",I3237="Kelebihan ganti dikembalikan",AND(C3237="Kantong Uang Riba",G3237="Pengeluaran"))),1,0)</f>
        <v/>
      </c>
      <c r="X3237" s="93">
        <f>IF(AND(B3237&lt;&gt;"",B3237&gt;='Buku Akun'!$H$4,B3237&lt;='Buku Akun'!$H$5,OR(C3237='Buku Akun'!$C$4,AND(D3237="Pindah",E3237='Buku Akun'!$C$4))),B3237+IF(AND(I3237="Selisih bunga",DAY(B3237)=1),0,0.01)+ROW()/10000000,"")</f>
        <v/>
      </c>
    </row>
    <row r="3238" outlineLevel="1" ht="15" customHeight="1" s="94">
      <c r="A3238" s="123">
        <f>IF(B3238="","",ROW()-15)</f>
        <v/>
      </c>
      <c r="B3238" s="124" t="n"/>
      <c r="C3238" s="123" t="n"/>
      <c r="D3238" s="123" t="n"/>
      <c r="E3238" s="123" t="n"/>
      <c r="F3238" s="125" t="n"/>
      <c r="G3238" s="123" t="n"/>
      <c r="H3238" s="123" t="n"/>
      <c r="I3238" s="123" t="n"/>
      <c r="J3238" s="123" t="n"/>
      <c r="K3238" s="123" t="n"/>
      <c r="L3238" s="123" t="n"/>
      <c r="M3238" s="123">
        <f>IF(AND(B3238&lt;&gt;"",OR($C$4="",ISNUMBER(SEARCH($C$4,C3238&amp;" "&amp;E3238&amp;" "&amp;G3238&amp;" "&amp;H3238&amp;" "&amp;I3238&amp;" "&amp;J3238&amp;" "&amp;K3238&amp;" "&amp;L3238))),OR($C$5="Semua",$C$5="",G3238=$C$5),OR($C$6="Semua",$C$6="",H3238=$C$6,H3238="Pengeluaran "&amp;$C$6,AND($C$6="Uang Kos Mama",H3238="Pengeluaran Uang Kos")),OR($C$7="Semua",$C$7="",I3238=$C$7),OR($C$8="Semua",$C$8="",C3238=$C$8,E3238=$C$8),OR($C$9="Semua",$C$9="",D3238=$C$9),OR($C$10="",B3238&gt;=$C$10),OR($C$11="",B3238&lt;=$C$11),OR($C$12&lt;&gt;"Ya",K3238&lt;&gt;""),OR($C$13="Semua",$C$13="",L3238=$C$13)),"✓","")</f>
        <v/>
      </c>
      <c r="N3238" s="93">
        <f>N(N3237)+IF(M3238="✓",1,0)</f>
        <v/>
      </c>
      <c r="O3238" s="93">
        <f>N(O3237)+IF(AND(B3238&lt;&gt;"",B3238&gt;='Uang Riba'!$H$30,B3238&lt;='Uang Riba'!$I$30,OR(H3238="Dana riba",H3238="Pinjam uang riba",I3238="Pinjam dari uang riba",I3238="Ganti uang riba",I3238="Kelebihan ganti dikembalikan",AND(C3238="Kantong Uang Riba",G3238="Pengeluaran"))),1,0)</f>
        <v/>
      </c>
      <c r="X3238" s="93">
        <f>IF(AND(B3238&lt;&gt;"",B3238&gt;='Buku Akun'!$H$4,B3238&lt;='Buku Akun'!$H$5,OR(C3238='Buku Akun'!$C$4,AND(D3238="Pindah",E3238='Buku Akun'!$C$4))),B3238+IF(AND(I3238="Selisih bunga",DAY(B3238)=1),0,0.01)+ROW()/10000000,"")</f>
        <v/>
      </c>
    </row>
    <row r="3239" outlineLevel="1" ht="15" customHeight="1" s="94">
      <c r="A3239" s="123">
        <f>IF(B3239="","",ROW()-15)</f>
        <v/>
      </c>
      <c r="B3239" s="124" t="n"/>
      <c r="C3239" s="123" t="n"/>
      <c r="D3239" s="123" t="n"/>
      <c r="E3239" s="123" t="n"/>
      <c r="F3239" s="125" t="n"/>
      <c r="G3239" s="123" t="n"/>
      <c r="H3239" s="123" t="n"/>
      <c r="I3239" s="123" t="n"/>
      <c r="J3239" s="123" t="n"/>
      <c r="K3239" s="123" t="n"/>
      <c r="L3239" s="123" t="n"/>
      <c r="M3239" s="123">
        <f>IF(AND(B3239&lt;&gt;"",OR($C$4="",ISNUMBER(SEARCH($C$4,C3239&amp;" "&amp;E3239&amp;" "&amp;G3239&amp;" "&amp;H3239&amp;" "&amp;I3239&amp;" "&amp;J3239&amp;" "&amp;K3239&amp;" "&amp;L3239))),OR($C$5="Semua",$C$5="",G3239=$C$5),OR($C$6="Semua",$C$6="",H3239=$C$6,H3239="Pengeluaran "&amp;$C$6,AND($C$6="Uang Kos Mama",H3239="Pengeluaran Uang Kos")),OR($C$7="Semua",$C$7="",I3239=$C$7),OR($C$8="Semua",$C$8="",C3239=$C$8,E3239=$C$8),OR($C$9="Semua",$C$9="",D3239=$C$9),OR($C$10="",B3239&gt;=$C$10),OR($C$11="",B3239&lt;=$C$11),OR($C$12&lt;&gt;"Ya",K3239&lt;&gt;""),OR($C$13="Semua",$C$13="",L3239=$C$13)),"✓","")</f>
        <v/>
      </c>
      <c r="N3239" s="93">
        <f>N(N3238)+IF(M3239="✓",1,0)</f>
        <v/>
      </c>
      <c r="O3239" s="93">
        <f>N(O3238)+IF(AND(B3239&lt;&gt;"",B3239&gt;='Uang Riba'!$H$30,B3239&lt;='Uang Riba'!$I$30,OR(H3239="Dana riba",H3239="Pinjam uang riba",I3239="Pinjam dari uang riba",I3239="Ganti uang riba",I3239="Kelebihan ganti dikembalikan",AND(C3239="Kantong Uang Riba",G3239="Pengeluaran"))),1,0)</f>
        <v/>
      </c>
      <c r="X3239" s="93">
        <f>IF(AND(B3239&lt;&gt;"",B3239&gt;='Buku Akun'!$H$4,B3239&lt;='Buku Akun'!$H$5,OR(C3239='Buku Akun'!$C$4,AND(D3239="Pindah",E3239='Buku Akun'!$C$4))),B3239+IF(AND(I3239="Selisih bunga",DAY(B3239)=1),0,0.01)+ROW()/10000000,"")</f>
        <v/>
      </c>
    </row>
    <row r="3240" outlineLevel="1" ht="15" customHeight="1" s="94">
      <c r="A3240" s="123">
        <f>IF(B3240="","",ROW()-15)</f>
        <v/>
      </c>
      <c r="B3240" s="124" t="n"/>
      <c r="C3240" s="123" t="n"/>
      <c r="D3240" s="123" t="n"/>
      <c r="E3240" s="123" t="n"/>
      <c r="F3240" s="125" t="n"/>
      <c r="G3240" s="123" t="n"/>
      <c r="H3240" s="123" t="n"/>
      <c r="I3240" s="123" t="n"/>
      <c r="J3240" s="123" t="n"/>
      <c r="K3240" s="123" t="n"/>
      <c r="L3240" s="123" t="n"/>
      <c r="M3240" s="123">
        <f>IF(AND(B3240&lt;&gt;"",OR($C$4="",ISNUMBER(SEARCH($C$4,C3240&amp;" "&amp;E3240&amp;" "&amp;G3240&amp;" "&amp;H3240&amp;" "&amp;I3240&amp;" "&amp;J3240&amp;" "&amp;K3240&amp;" "&amp;L3240))),OR($C$5="Semua",$C$5="",G3240=$C$5),OR($C$6="Semua",$C$6="",H3240=$C$6,H3240="Pengeluaran "&amp;$C$6,AND($C$6="Uang Kos Mama",H3240="Pengeluaran Uang Kos")),OR($C$7="Semua",$C$7="",I3240=$C$7),OR($C$8="Semua",$C$8="",C3240=$C$8,E3240=$C$8),OR($C$9="Semua",$C$9="",D3240=$C$9),OR($C$10="",B3240&gt;=$C$10),OR($C$11="",B3240&lt;=$C$11),OR($C$12&lt;&gt;"Ya",K3240&lt;&gt;""),OR($C$13="Semua",$C$13="",L3240=$C$13)),"✓","")</f>
        <v/>
      </c>
      <c r="N3240" s="93">
        <f>N(N3239)+IF(M3240="✓",1,0)</f>
        <v/>
      </c>
      <c r="O3240" s="93">
        <f>N(O3239)+IF(AND(B3240&lt;&gt;"",B3240&gt;='Uang Riba'!$H$30,B3240&lt;='Uang Riba'!$I$30,OR(H3240="Dana riba",H3240="Pinjam uang riba",I3240="Pinjam dari uang riba",I3240="Ganti uang riba",I3240="Kelebihan ganti dikembalikan",AND(C3240="Kantong Uang Riba",G3240="Pengeluaran"))),1,0)</f>
        <v/>
      </c>
      <c r="X3240" s="93">
        <f>IF(AND(B3240&lt;&gt;"",B3240&gt;='Buku Akun'!$H$4,B3240&lt;='Buku Akun'!$H$5,OR(C3240='Buku Akun'!$C$4,AND(D3240="Pindah",E3240='Buku Akun'!$C$4))),B3240+IF(AND(I3240="Selisih bunga",DAY(B3240)=1),0,0.01)+ROW()/10000000,"")</f>
        <v/>
      </c>
    </row>
    <row r="3241" outlineLevel="1" ht="15" customHeight="1" s="94">
      <c r="A3241" s="123">
        <f>IF(B3241="","",ROW()-15)</f>
        <v/>
      </c>
      <c r="B3241" s="124" t="n"/>
      <c r="C3241" s="123" t="n"/>
      <c r="D3241" s="123" t="n"/>
      <c r="E3241" s="123" t="n"/>
      <c r="F3241" s="125" t="n"/>
      <c r="G3241" s="123" t="n"/>
      <c r="H3241" s="123" t="n"/>
      <c r="I3241" s="123" t="n"/>
      <c r="J3241" s="123" t="n"/>
      <c r="K3241" s="123" t="n"/>
      <c r="L3241" s="123" t="n"/>
      <c r="M3241" s="123">
        <f>IF(AND(B3241&lt;&gt;"",OR($C$4="",ISNUMBER(SEARCH($C$4,C3241&amp;" "&amp;E3241&amp;" "&amp;G3241&amp;" "&amp;H3241&amp;" "&amp;I3241&amp;" "&amp;J3241&amp;" "&amp;K3241&amp;" "&amp;L3241))),OR($C$5="Semua",$C$5="",G3241=$C$5),OR($C$6="Semua",$C$6="",H3241=$C$6,H3241="Pengeluaran "&amp;$C$6,AND($C$6="Uang Kos Mama",H3241="Pengeluaran Uang Kos")),OR($C$7="Semua",$C$7="",I3241=$C$7),OR($C$8="Semua",$C$8="",C3241=$C$8,E3241=$C$8),OR($C$9="Semua",$C$9="",D3241=$C$9),OR($C$10="",B3241&gt;=$C$10),OR($C$11="",B3241&lt;=$C$11),OR($C$12&lt;&gt;"Ya",K3241&lt;&gt;""),OR($C$13="Semua",$C$13="",L3241=$C$13)),"✓","")</f>
        <v/>
      </c>
      <c r="N3241" s="93">
        <f>N(N3240)+IF(M3241="✓",1,0)</f>
        <v/>
      </c>
      <c r="O3241" s="93">
        <f>N(O3240)+IF(AND(B3241&lt;&gt;"",B3241&gt;='Uang Riba'!$H$30,B3241&lt;='Uang Riba'!$I$30,OR(H3241="Dana riba",H3241="Pinjam uang riba",I3241="Pinjam dari uang riba",I3241="Ganti uang riba",I3241="Kelebihan ganti dikembalikan",AND(C3241="Kantong Uang Riba",G3241="Pengeluaran"))),1,0)</f>
        <v/>
      </c>
      <c r="X3241" s="93">
        <f>IF(AND(B3241&lt;&gt;"",B3241&gt;='Buku Akun'!$H$4,B3241&lt;='Buku Akun'!$H$5,OR(C3241='Buku Akun'!$C$4,AND(D3241="Pindah",E3241='Buku Akun'!$C$4))),B3241+IF(AND(I3241="Selisih bunga",DAY(B3241)=1),0,0.01)+ROW()/10000000,"")</f>
        <v/>
      </c>
    </row>
    <row r="3242" outlineLevel="1" ht="15" customHeight="1" s="94">
      <c r="A3242" s="123">
        <f>IF(B3242="","",ROW()-15)</f>
        <v/>
      </c>
      <c r="B3242" s="124" t="n"/>
      <c r="C3242" s="123" t="n"/>
      <c r="D3242" s="123" t="n"/>
      <c r="E3242" s="123" t="n"/>
      <c r="F3242" s="125" t="n"/>
      <c r="G3242" s="123" t="n"/>
      <c r="H3242" s="123" t="n"/>
      <c r="I3242" s="123" t="n"/>
      <c r="J3242" s="123" t="n"/>
      <c r="K3242" s="123" t="n"/>
      <c r="L3242" s="123" t="n"/>
      <c r="M3242" s="123">
        <f>IF(AND(B3242&lt;&gt;"",OR($C$4="",ISNUMBER(SEARCH($C$4,C3242&amp;" "&amp;E3242&amp;" "&amp;G3242&amp;" "&amp;H3242&amp;" "&amp;I3242&amp;" "&amp;J3242&amp;" "&amp;K3242&amp;" "&amp;L3242))),OR($C$5="Semua",$C$5="",G3242=$C$5),OR($C$6="Semua",$C$6="",H3242=$C$6,H3242="Pengeluaran "&amp;$C$6,AND($C$6="Uang Kos Mama",H3242="Pengeluaran Uang Kos")),OR($C$7="Semua",$C$7="",I3242=$C$7),OR($C$8="Semua",$C$8="",C3242=$C$8,E3242=$C$8),OR($C$9="Semua",$C$9="",D3242=$C$9),OR($C$10="",B3242&gt;=$C$10),OR($C$11="",B3242&lt;=$C$11),OR($C$12&lt;&gt;"Ya",K3242&lt;&gt;""),OR($C$13="Semua",$C$13="",L3242=$C$13)),"✓","")</f>
        <v/>
      </c>
      <c r="N3242" s="93">
        <f>N(N3241)+IF(M3242="✓",1,0)</f>
        <v/>
      </c>
      <c r="O3242" s="93">
        <f>N(O3241)+IF(AND(B3242&lt;&gt;"",B3242&gt;='Uang Riba'!$H$30,B3242&lt;='Uang Riba'!$I$30,OR(H3242="Dana riba",H3242="Pinjam uang riba",I3242="Pinjam dari uang riba",I3242="Ganti uang riba",I3242="Kelebihan ganti dikembalikan",AND(C3242="Kantong Uang Riba",G3242="Pengeluaran"))),1,0)</f>
        <v/>
      </c>
      <c r="X3242" s="93">
        <f>IF(AND(B3242&lt;&gt;"",B3242&gt;='Buku Akun'!$H$4,B3242&lt;='Buku Akun'!$H$5,OR(C3242='Buku Akun'!$C$4,AND(D3242="Pindah",E3242='Buku Akun'!$C$4))),B3242+IF(AND(I3242="Selisih bunga",DAY(B3242)=1),0,0.01)+ROW()/10000000,"")</f>
        <v/>
      </c>
    </row>
    <row r="3243" outlineLevel="1" ht="15" customHeight="1" s="94">
      <c r="A3243" s="123">
        <f>IF(B3243="","",ROW()-15)</f>
        <v/>
      </c>
      <c r="B3243" s="124" t="n"/>
      <c r="C3243" s="123" t="n"/>
      <c r="D3243" s="123" t="n"/>
      <c r="E3243" s="123" t="n"/>
      <c r="F3243" s="125" t="n"/>
      <c r="G3243" s="123" t="n"/>
      <c r="H3243" s="123" t="n"/>
      <c r="I3243" s="123" t="n"/>
      <c r="J3243" s="123" t="n"/>
      <c r="K3243" s="123" t="n"/>
      <c r="L3243" s="123" t="n"/>
      <c r="M3243" s="123">
        <f>IF(AND(B3243&lt;&gt;"",OR($C$4="",ISNUMBER(SEARCH($C$4,C3243&amp;" "&amp;E3243&amp;" "&amp;G3243&amp;" "&amp;H3243&amp;" "&amp;I3243&amp;" "&amp;J3243&amp;" "&amp;K3243&amp;" "&amp;L3243))),OR($C$5="Semua",$C$5="",G3243=$C$5),OR($C$6="Semua",$C$6="",H3243=$C$6,H3243="Pengeluaran "&amp;$C$6,AND($C$6="Uang Kos Mama",H3243="Pengeluaran Uang Kos")),OR($C$7="Semua",$C$7="",I3243=$C$7),OR($C$8="Semua",$C$8="",C3243=$C$8,E3243=$C$8),OR($C$9="Semua",$C$9="",D3243=$C$9),OR($C$10="",B3243&gt;=$C$10),OR($C$11="",B3243&lt;=$C$11),OR($C$12&lt;&gt;"Ya",K3243&lt;&gt;""),OR($C$13="Semua",$C$13="",L3243=$C$13)),"✓","")</f>
        <v/>
      </c>
      <c r="N3243" s="93">
        <f>N(N3242)+IF(M3243="✓",1,0)</f>
        <v/>
      </c>
      <c r="O3243" s="93">
        <f>N(O3242)+IF(AND(B3243&lt;&gt;"",B3243&gt;='Uang Riba'!$H$30,B3243&lt;='Uang Riba'!$I$30,OR(H3243="Dana riba",H3243="Pinjam uang riba",I3243="Pinjam dari uang riba",I3243="Ganti uang riba",I3243="Kelebihan ganti dikembalikan",AND(C3243="Kantong Uang Riba",G3243="Pengeluaran"))),1,0)</f>
        <v/>
      </c>
      <c r="X3243" s="93">
        <f>IF(AND(B3243&lt;&gt;"",B3243&gt;='Buku Akun'!$H$4,B3243&lt;='Buku Akun'!$H$5,OR(C3243='Buku Akun'!$C$4,AND(D3243="Pindah",E3243='Buku Akun'!$C$4))),B3243+IF(AND(I3243="Selisih bunga",DAY(B3243)=1),0,0.01)+ROW()/10000000,"")</f>
        <v/>
      </c>
    </row>
    <row r="3244" outlineLevel="1" ht="15" customHeight="1" s="94">
      <c r="A3244" s="123">
        <f>IF(B3244="","",ROW()-15)</f>
        <v/>
      </c>
      <c r="B3244" s="124" t="n"/>
      <c r="C3244" s="123" t="n"/>
      <c r="D3244" s="123" t="n"/>
      <c r="E3244" s="123" t="n"/>
      <c r="F3244" s="125" t="n"/>
      <c r="G3244" s="123" t="n"/>
      <c r="H3244" s="123" t="n"/>
      <c r="I3244" s="123" t="n"/>
      <c r="J3244" s="123" t="n"/>
      <c r="K3244" s="123" t="n"/>
      <c r="L3244" s="123" t="n"/>
      <c r="M3244" s="123">
        <f>IF(AND(B3244&lt;&gt;"",OR($C$4="",ISNUMBER(SEARCH($C$4,C3244&amp;" "&amp;E3244&amp;" "&amp;G3244&amp;" "&amp;H3244&amp;" "&amp;I3244&amp;" "&amp;J3244&amp;" "&amp;K3244&amp;" "&amp;L3244))),OR($C$5="Semua",$C$5="",G3244=$C$5),OR($C$6="Semua",$C$6="",H3244=$C$6,H3244="Pengeluaran "&amp;$C$6,AND($C$6="Uang Kos Mama",H3244="Pengeluaran Uang Kos")),OR($C$7="Semua",$C$7="",I3244=$C$7),OR($C$8="Semua",$C$8="",C3244=$C$8,E3244=$C$8),OR($C$9="Semua",$C$9="",D3244=$C$9),OR($C$10="",B3244&gt;=$C$10),OR($C$11="",B3244&lt;=$C$11),OR($C$12&lt;&gt;"Ya",K3244&lt;&gt;""),OR($C$13="Semua",$C$13="",L3244=$C$13)),"✓","")</f>
        <v/>
      </c>
      <c r="N3244" s="93">
        <f>N(N3243)+IF(M3244="✓",1,0)</f>
        <v/>
      </c>
      <c r="O3244" s="93">
        <f>N(O3243)+IF(AND(B3244&lt;&gt;"",B3244&gt;='Uang Riba'!$H$30,B3244&lt;='Uang Riba'!$I$30,OR(H3244="Dana riba",H3244="Pinjam uang riba",I3244="Pinjam dari uang riba",I3244="Ganti uang riba",I3244="Kelebihan ganti dikembalikan",AND(C3244="Kantong Uang Riba",G3244="Pengeluaran"))),1,0)</f>
        <v/>
      </c>
      <c r="X3244" s="93">
        <f>IF(AND(B3244&lt;&gt;"",B3244&gt;='Buku Akun'!$H$4,B3244&lt;='Buku Akun'!$H$5,OR(C3244='Buku Akun'!$C$4,AND(D3244="Pindah",E3244='Buku Akun'!$C$4))),B3244+IF(AND(I3244="Selisih bunga",DAY(B3244)=1),0,0.01)+ROW()/10000000,"")</f>
        <v/>
      </c>
    </row>
    <row r="3245" outlineLevel="1" ht="15" customHeight="1" s="94">
      <c r="A3245" s="123">
        <f>IF(B3245="","",ROW()-15)</f>
        <v/>
      </c>
      <c r="B3245" s="124" t="n"/>
      <c r="C3245" s="123" t="n"/>
      <c r="D3245" s="123" t="n"/>
      <c r="E3245" s="123" t="n"/>
      <c r="F3245" s="125" t="n"/>
      <c r="G3245" s="123" t="n"/>
      <c r="H3245" s="123" t="n"/>
      <c r="I3245" s="123" t="n"/>
      <c r="J3245" s="123" t="n"/>
      <c r="K3245" s="123" t="n"/>
      <c r="L3245" s="123" t="n"/>
      <c r="M3245" s="123">
        <f>IF(AND(B3245&lt;&gt;"",OR($C$4="",ISNUMBER(SEARCH($C$4,C3245&amp;" "&amp;E3245&amp;" "&amp;G3245&amp;" "&amp;H3245&amp;" "&amp;I3245&amp;" "&amp;J3245&amp;" "&amp;K3245&amp;" "&amp;L3245))),OR($C$5="Semua",$C$5="",G3245=$C$5),OR($C$6="Semua",$C$6="",H3245=$C$6,H3245="Pengeluaran "&amp;$C$6,AND($C$6="Uang Kos Mama",H3245="Pengeluaran Uang Kos")),OR($C$7="Semua",$C$7="",I3245=$C$7),OR($C$8="Semua",$C$8="",C3245=$C$8,E3245=$C$8),OR($C$9="Semua",$C$9="",D3245=$C$9),OR($C$10="",B3245&gt;=$C$10),OR($C$11="",B3245&lt;=$C$11),OR($C$12&lt;&gt;"Ya",K3245&lt;&gt;""),OR($C$13="Semua",$C$13="",L3245=$C$13)),"✓","")</f>
        <v/>
      </c>
      <c r="N3245" s="93">
        <f>N(N3244)+IF(M3245="✓",1,0)</f>
        <v/>
      </c>
      <c r="O3245" s="93">
        <f>N(O3244)+IF(AND(B3245&lt;&gt;"",B3245&gt;='Uang Riba'!$H$30,B3245&lt;='Uang Riba'!$I$30,OR(H3245="Dana riba",H3245="Pinjam uang riba",I3245="Pinjam dari uang riba",I3245="Ganti uang riba",I3245="Kelebihan ganti dikembalikan",AND(C3245="Kantong Uang Riba",G3245="Pengeluaran"))),1,0)</f>
        <v/>
      </c>
      <c r="X3245" s="93">
        <f>IF(AND(B3245&lt;&gt;"",B3245&gt;='Buku Akun'!$H$4,B3245&lt;='Buku Akun'!$H$5,OR(C3245='Buku Akun'!$C$4,AND(D3245="Pindah",E3245='Buku Akun'!$C$4))),B3245+IF(AND(I3245="Selisih bunga",DAY(B3245)=1),0,0.01)+ROW()/10000000,"")</f>
        <v/>
      </c>
    </row>
    <row r="3246" outlineLevel="1" ht="15" customHeight="1" s="94">
      <c r="A3246" s="123">
        <f>IF(B3246="","",ROW()-15)</f>
        <v/>
      </c>
      <c r="B3246" s="124" t="n"/>
      <c r="C3246" s="123" t="n"/>
      <c r="D3246" s="123" t="n"/>
      <c r="E3246" s="123" t="n"/>
      <c r="F3246" s="125" t="n"/>
      <c r="G3246" s="123" t="n"/>
      <c r="H3246" s="123" t="n"/>
      <c r="I3246" s="123" t="n"/>
      <c r="J3246" s="123" t="n"/>
      <c r="K3246" s="123" t="n"/>
      <c r="L3246" s="123" t="n"/>
      <c r="M3246" s="123">
        <f>IF(AND(B3246&lt;&gt;"",OR($C$4="",ISNUMBER(SEARCH($C$4,C3246&amp;" "&amp;E3246&amp;" "&amp;G3246&amp;" "&amp;H3246&amp;" "&amp;I3246&amp;" "&amp;J3246&amp;" "&amp;K3246&amp;" "&amp;L3246))),OR($C$5="Semua",$C$5="",G3246=$C$5),OR($C$6="Semua",$C$6="",H3246=$C$6,H3246="Pengeluaran "&amp;$C$6,AND($C$6="Uang Kos Mama",H3246="Pengeluaran Uang Kos")),OR($C$7="Semua",$C$7="",I3246=$C$7),OR($C$8="Semua",$C$8="",C3246=$C$8,E3246=$C$8),OR($C$9="Semua",$C$9="",D3246=$C$9),OR($C$10="",B3246&gt;=$C$10),OR($C$11="",B3246&lt;=$C$11),OR($C$12&lt;&gt;"Ya",K3246&lt;&gt;""),OR($C$13="Semua",$C$13="",L3246=$C$13)),"✓","")</f>
        <v/>
      </c>
      <c r="N3246" s="93">
        <f>N(N3245)+IF(M3246="✓",1,0)</f>
        <v/>
      </c>
      <c r="O3246" s="93">
        <f>N(O3245)+IF(AND(B3246&lt;&gt;"",B3246&gt;='Uang Riba'!$H$30,B3246&lt;='Uang Riba'!$I$30,OR(H3246="Dana riba",H3246="Pinjam uang riba",I3246="Pinjam dari uang riba",I3246="Ganti uang riba",I3246="Kelebihan ganti dikembalikan",AND(C3246="Kantong Uang Riba",G3246="Pengeluaran"))),1,0)</f>
        <v/>
      </c>
      <c r="X3246" s="93">
        <f>IF(AND(B3246&lt;&gt;"",B3246&gt;='Buku Akun'!$H$4,B3246&lt;='Buku Akun'!$H$5,OR(C3246='Buku Akun'!$C$4,AND(D3246="Pindah",E3246='Buku Akun'!$C$4))),B3246+IF(AND(I3246="Selisih bunga",DAY(B3246)=1),0,0.01)+ROW()/10000000,"")</f>
        <v/>
      </c>
    </row>
    <row r="3247" outlineLevel="1" ht="15" customHeight="1" s="94">
      <c r="A3247" s="123">
        <f>IF(B3247="","",ROW()-15)</f>
        <v/>
      </c>
      <c r="B3247" s="124" t="n"/>
      <c r="C3247" s="123" t="n"/>
      <c r="D3247" s="123" t="n"/>
      <c r="E3247" s="123" t="n"/>
      <c r="F3247" s="125" t="n"/>
      <c r="G3247" s="123" t="n"/>
      <c r="H3247" s="123" t="n"/>
      <c r="I3247" s="123" t="n"/>
      <c r="J3247" s="123" t="n"/>
      <c r="K3247" s="123" t="n"/>
      <c r="L3247" s="123" t="n"/>
      <c r="M3247" s="123">
        <f>IF(AND(B3247&lt;&gt;"",OR($C$4="",ISNUMBER(SEARCH($C$4,C3247&amp;" "&amp;E3247&amp;" "&amp;G3247&amp;" "&amp;H3247&amp;" "&amp;I3247&amp;" "&amp;J3247&amp;" "&amp;K3247&amp;" "&amp;L3247))),OR($C$5="Semua",$C$5="",G3247=$C$5),OR($C$6="Semua",$C$6="",H3247=$C$6,H3247="Pengeluaran "&amp;$C$6,AND($C$6="Uang Kos Mama",H3247="Pengeluaran Uang Kos")),OR($C$7="Semua",$C$7="",I3247=$C$7),OR($C$8="Semua",$C$8="",C3247=$C$8,E3247=$C$8),OR($C$9="Semua",$C$9="",D3247=$C$9),OR($C$10="",B3247&gt;=$C$10),OR($C$11="",B3247&lt;=$C$11),OR($C$12&lt;&gt;"Ya",K3247&lt;&gt;""),OR($C$13="Semua",$C$13="",L3247=$C$13)),"✓","")</f>
        <v/>
      </c>
      <c r="N3247" s="93">
        <f>N(N3246)+IF(M3247="✓",1,0)</f>
        <v/>
      </c>
      <c r="O3247" s="93">
        <f>N(O3246)+IF(AND(B3247&lt;&gt;"",B3247&gt;='Uang Riba'!$H$30,B3247&lt;='Uang Riba'!$I$30,OR(H3247="Dana riba",H3247="Pinjam uang riba",I3247="Pinjam dari uang riba",I3247="Ganti uang riba",I3247="Kelebihan ganti dikembalikan",AND(C3247="Kantong Uang Riba",G3247="Pengeluaran"))),1,0)</f>
        <v/>
      </c>
      <c r="X3247" s="93">
        <f>IF(AND(B3247&lt;&gt;"",B3247&gt;='Buku Akun'!$H$4,B3247&lt;='Buku Akun'!$H$5,OR(C3247='Buku Akun'!$C$4,AND(D3247="Pindah",E3247='Buku Akun'!$C$4))),B3247+IF(AND(I3247="Selisih bunga",DAY(B3247)=1),0,0.01)+ROW()/10000000,"")</f>
        <v/>
      </c>
    </row>
    <row r="3248" outlineLevel="1" ht="15" customHeight="1" s="94">
      <c r="A3248" s="123">
        <f>IF(B3248="","",ROW()-15)</f>
        <v/>
      </c>
      <c r="B3248" s="124" t="n"/>
      <c r="C3248" s="123" t="n"/>
      <c r="D3248" s="123" t="n"/>
      <c r="E3248" s="123" t="n"/>
      <c r="F3248" s="125" t="n"/>
      <c r="G3248" s="123" t="n"/>
      <c r="H3248" s="123" t="n"/>
      <c r="I3248" s="123" t="n"/>
      <c r="J3248" s="123" t="n"/>
      <c r="K3248" s="123" t="n"/>
      <c r="L3248" s="123" t="n"/>
      <c r="M3248" s="123">
        <f>IF(AND(B3248&lt;&gt;"",OR($C$4="",ISNUMBER(SEARCH($C$4,C3248&amp;" "&amp;E3248&amp;" "&amp;G3248&amp;" "&amp;H3248&amp;" "&amp;I3248&amp;" "&amp;J3248&amp;" "&amp;K3248&amp;" "&amp;L3248))),OR($C$5="Semua",$C$5="",G3248=$C$5),OR($C$6="Semua",$C$6="",H3248=$C$6,H3248="Pengeluaran "&amp;$C$6,AND($C$6="Uang Kos Mama",H3248="Pengeluaran Uang Kos")),OR($C$7="Semua",$C$7="",I3248=$C$7),OR($C$8="Semua",$C$8="",C3248=$C$8,E3248=$C$8),OR($C$9="Semua",$C$9="",D3248=$C$9),OR($C$10="",B3248&gt;=$C$10),OR($C$11="",B3248&lt;=$C$11),OR($C$12&lt;&gt;"Ya",K3248&lt;&gt;""),OR($C$13="Semua",$C$13="",L3248=$C$13)),"✓","")</f>
        <v/>
      </c>
      <c r="N3248" s="93">
        <f>N(N3247)+IF(M3248="✓",1,0)</f>
        <v/>
      </c>
      <c r="O3248" s="93">
        <f>N(O3247)+IF(AND(B3248&lt;&gt;"",B3248&gt;='Uang Riba'!$H$30,B3248&lt;='Uang Riba'!$I$30,OR(H3248="Dana riba",H3248="Pinjam uang riba",I3248="Pinjam dari uang riba",I3248="Ganti uang riba",I3248="Kelebihan ganti dikembalikan",AND(C3248="Kantong Uang Riba",G3248="Pengeluaran"))),1,0)</f>
        <v/>
      </c>
      <c r="X3248" s="93">
        <f>IF(AND(B3248&lt;&gt;"",B3248&gt;='Buku Akun'!$H$4,B3248&lt;='Buku Akun'!$H$5,OR(C3248='Buku Akun'!$C$4,AND(D3248="Pindah",E3248='Buku Akun'!$C$4))),B3248+IF(AND(I3248="Selisih bunga",DAY(B3248)=1),0,0.01)+ROW()/10000000,"")</f>
        <v/>
      </c>
    </row>
    <row r="3249" outlineLevel="1" ht="15" customHeight="1" s="94">
      <c r="A3249" s="123">
        <f>IF(B3249="","",ROW()-15)</f>
        <v/>
      </c>
      <c r="B3249" s="124" t="n"/>
      <c r="C3249" s="123" t="n"/>
      <c r="D3249" s="123" t="n"/>
      <c r="E3249" s="123" t="n"/>
      <c r="F3249" s="125" t="n"/>
      <c r="G3249" s="123" t="n"/>
      <c r="H3249" s="123" t="n"/>
      <c r="I3249" s="123" t="n"/>
      <c r="J3249" s="123" t="n"/>
      <c r="K3249" s="123" t="n"/>
      <c r="L3249" s="123" t="n"/>
      <c r="M3249" s="123">
        <f>IF(AND(B3249&lt;&gt;"",OR($C$4="",ISNUMBER(SEARCH($C$4,C3249&amp;" "&amp;E3249&amp;" "&amp;G3249&amp;" "&amp;H3249&amp;" "&amp;I3249&amp;" "&amp;J3249&amp;" "&amp;K3249&amp;" "&amp;L3249))),OR($C$5="Semua",$C$5="",G3249=$C$5),OR($C$6="Semua",$C$6="",H3249=$C$6,H3249="Pengeluaran "&amp;$C$6,AND($C$6="Uang Kos Mama",H3249="Pengeluaran Uang Kos")),OR($C$7="Semua",$C$7="",I3249=$C$7),OR($C$8="Semua",$C$8="",C3249=$C$8,E3249=$C$8),OR($C$9="Semua",$C$9="",D3249=$C$9),OR($C$10="",B3249&gt;=$C$10),OR($C$11="",B3249&lt;=$C$11),OR($C$12&lt;&gt;"Ya",K3249&lt;&gt;""),OR($C$13="Semua",$C$13="",L3249=$C$13)),"✓","")</f>
        <v/>
      </c>
      <c r="N3249" s="93">
        <f>N(N3248)+IF(M3249="✓",1,0)</f>
        <v/>
      </c>
      <c r="O3249" s="93">
        <f>N(O3248)+IF(AND(B3249&lt;&gt;"",B3249&gt;='Uang Riba'!$H$30,B3249&lt;='Uang Riba'!$I$30,OR(H3249="Dana riba",H3249="Pinjam uang riba",I3249="Pinjam dari uang riba",I3249="Ganti uang riba",I3249="Kelebihan ganti dikembalikan",AND(C3249="Kantong Uang Riba",G3249="Pengeluaran"))),1,0)</f>
        <v/>
      </c>
      <c r="X3249" s="93">
        <f>IF(AND(B3249&lt;&gt;"",B3249&gt;='Buku Akun'!$H$4,B3249&lt;='Buku Akun'!$H$5,OR(C3249='Buku Akun'!$C$4,AND(D3249="Pindah",E3249='Buku Akun'!$C$4))),B3249+IF(AND(I3249="Selisih bunga",DAY(B3249)=1),0,0.01)+ROW()/10000000,"")</f>
        <v/>
      </c>
    </row>
    <row r="3250" outlineLevel="1" ht="15" customHeight="1" s="94">
      <c r="A3250" s="123">
        <f>IF(B3250="","",ROW()-15)</f>
        <v/>
      </c>
      <c r="B3250" s="124" t="n"/>
      <c r="C3250" s="123" t="n"/>
      <c r="D3250" s="123" t="n"/>
      <c r="E3250" s="123" t="n"/>
      <c r="F3250" s="125" t="n"/>
      <c r="G3250" s="123" t="n"/>
      <c r="H3250" s="123" t="n"/>
      <c r="I3250" s="123" t="n"/>
      <c r="J3250" s="123" t="n"/>
      <c r="K3250" s="123" t="n"/>
      <c r="L3250" s="123" t="n"/>
      <c r="M3250" s="123">
        <f>IF(AND(B3250&lt;&gt;"",OR($C$4="",ISNUMBER(SEARCH($C$4,C3250&amp;" "&amp;E3250&amp;" "&amp;G3250&amp;" "&amp;H3250&amp;" "&amp;I3250&amp;" "&amp;J3250&amp;" "&amp;K3250&amp;" "&amp;L3250))),OR($C$5="Semua",$C$5="",G3250=$C$5),OR($C$6="Semua",$C$6="",H3250=$C$6,H3250="Pengeluaran "&amp;$C$6,AND($C$6="Uang Kos Mama",H3250="Pengeluaran Uang Kos")),OR($C$7="Semua",$C$7="",I3250=$C$7),OR($C$8="Semua",$C$8="",C3250=$C$8,E3250=$C$8),OR($C$9="Semua",$C$9="",D3250=$C$9),OR($C$10="",B3250&gt;=$C$10),OR($C$11="",B3250&lt;=$C$11),OR($C$12&lt;&gt;"Ya",K3250&lt;&gt;""),OR($C$13="Semua",$C$13="",L3250=$C$13)),"✓","")</f>
        <v/>
      </c>
      <c r="N3250" s="93">
        <f>N(N3249)+IF(M3250="✓",1,0)</f>
        <v/>
      </c>
      <c r="O3250" s="93">
        <f>N(O3249)+IF(AND(B3250&lt;&gt;"",B3250&gt;='Uang Riba'!$H$30,B3250&lt;='Uang Riba'!$I$30,OR(H3250="Dana riba",H3250="Pinjam uang riba",I3250="Pinjam dari uang riba",I3250="Ganti uang riba",I3250="Kelebihan ganti dikembalikan",AND(C3250="Kantong Uang Riba",G3250="Pengeluaran"))),1,0)</f>
        <v/>
      </c>
      <c r="X3250" s="93">
        <f>IF(AND(B3250&lt;&gt;"",B3250&gt;='Buku Akun'!$H$4,B3250&lt;='Buku Akun'!$H$5,OR(C3250='Buku Akun'!$C$4,AND(D3250="Pindah",E3250='Buku Akun'!$C$4))),B3250+IF(AND(I3250="Selisih bunga",DAY(B3250)=1),0,0.01)+ROW()/10000000,"")</f>
        <v/>
      </c>
    </row>
    <row r="3251" outlineLevel="1" ht="15" customHeight="1" s="94">
      <c r="A3251" s="123">
        <f>IF(B3251="","",ROW()-15)</f>
        <v/>
      </c>
      <c r="B3251" s="124" t="n"/>
      <c r="C3251" s="123" t="n"/>
      <c r="D3251" s="123" t="n"/>
      <c r="E3251" s="123" t="n"/>
      <c r="F3251" s="125" t="n"/>
      <c r="G3251" s="123" t="n"/>
      <c r="H3251" s="123" t="n"/>
      <c r="I3251" s="123" t="n"/>
      <c r="J3251" s="123" t="n"/>
      <c r="K3251" s="123" t="n"/>
      <c r="L3251" s="123" t="n"/>
      <c r="M3251" s="123">
        <f>IF(AND(B3251&lt;&gt;"",OR($C$4="",ISNUMBER(SEARCH($C$4,C3251&amp;" "&amp;E3251&amp;" "&amp;G3251&amp;" "&amp;H3251&amp;" "&amp;I3251&amp;" "&amp;J3251&amp;" "&amp;K3251&amp;" "&amp;L3251))),OR($C$5="Semua",$C$5="",G3251=$C$5),OR($C$6="Semua",$C$6="",H3251=$C$6,H3251="Pengeluaran "&amp;$C$6,AND($C$6="Uang Kos Mama",H3251="Pengeluaran Uang Kos")),OR($C$7="Semua",$C$7="",I3251=$C$7),OR($C$8="Semua",$C$8="",C3251=$C$8,E3251=$C$8),OR($C$9="Semua",$C$9="",D3251=$C$9),OR($C$10="",B3251&gt;=$C$10),OR($C$11="",B3251&lt;=$C$11),OR($C$12&lt;&gt;"Ya",K3251&lt;&gt;""),OR($C$13="Semua",$C$13="",L3251=$C$13)),"✓","")</f>
        <v/>
      </c>
      <c r="N3251" s="93">
        <f>N(N3250)+IF(M3251="✓",1,0)</f>
        <v/>
      </c>
      <c r="O3251" s="93">
        <f>N(O3250)+IF(AND(B3251&lt;&gt;"",B3251&gt;='Uang Riba'!$H$30,B3251&lt;='Uang Riba'!$I$30,OR(H3251="Dana riba",H3251="Pinjam uang riba",I3251="Pinjam dari uang riba",I3251="Ganti uang riba",I3251="Kelebihan ganti dikembalikan",AND(C3251="Kantong Uang Riba",G3251="Pengeluaran"))),1,0)</f>
        <v/>
      </c>
      <c r="X3251" s="93">
        <f>IF(AND(B3251&lt;&gt;"",B3251&gt;='Buku Akun'!$H$4,B3251&lt;='Buku Akun'!$H$5,OR(C3251='Buku Akun'!$C$4,AND(D3251="Pindah",E3251='Buku Akun'!$C$4))),B3251+IF(AND(I3251="Selisih bunga",DAY(B3251)=1),0,0.01)+ROW()/10000000,"")</f>
        <v/>
      </c>
    </row>
    <row r="3252" outlineLevel="1" ht="15" customHeight="1" s="94">
      <c r="A3252" s="123">
        <f>IF(B3252="","",ROW()-15)</f>
        <v/>
      </c>
      <c r="B3252" s="124" t="n"/>
      <c r="C3252" s="123" t="n"/>
      <c r="D3252" s="123" t="n"/>
      <c r="E3252" s="123" t="n"/>
      <c r="F3252" s="125" t="n"/>
      <c r="G3252" s="123" t="n"/>
      <c r="H3252" s="123" t="n"/>
      <c r="I3252" s="123" t="n"/>
      <c r="J3252" s="123" t="n"/>
      <c r="K3252" s="123" t="n"/>
      <c r="L3252" s="123" t="n"/>
      <c r="M3252" s="123">
        <f>IF(AND(B3252&lt;&gt;"",OR($C$4="",ISNUMBER(SEARCH($C$4,C3252&amp;" "&amp;E3252&amp;" "&amp;G3252&amp;" "&amp;H3252&amp;" "&amp;I3252&amp;" "&amp;J3252&amp;" "&amp;K3252&amp;" "&amp;L3252))),OR($C$5="Semua",$C$5="",G3252=$C$5),OR($C$6="Semua",$C$6="",H3252=$C$6,H3252="Pengeluaran "&amp;$C$6,AND($C$6="Uang Kos Mama",H3252="Pengeluaran Uang Kos")),OR($C$7="Semua",$C$7="",I3252=$C$7),OR($C$8="Semua",$C$8="",C3252=$C$8,E3252=$C$8),OR($C$9="Semua",$C$9="",D3252=$C$9),OR($C$10="",B3252&gt;=$C$10),OR($C$11="",B3252&lt;=$C$11),OR($C$12&lt;&gt;"Ya",K3252&lt;&gt;""),OR($C$13="Semua",$C$13="",L3252=$C$13)),"✓","")</f>
        <v/>
      </c>
      <c r="N3252" s="93">
        <f>N(N3251)+IF(M3252="✓",1,0)</f>
        <v/>
      </c>
      <c r="O3252" s="93">
        <f>N(O3251)+IF(AND(B3252&lt;&gt;"",B3252&gt;='Uang Riba'!$H$30,B3252&lt;='Uang Riba'!$I$30,OR(H3252="Dana riba",H3252="Pinjam uang riba",I3252="Pinjam dari uang riba",I3252="Ganti uang riba",I3252="Kelebihan ganti dikembalikan",AND(C3252="Kantong Uang Riba",G3252="Pengeluaran"))),1,0)</f>
        <v/>
      </c>
      <c r="X3252" s="93">
        <f>IF(AND(B3252&lt;&gt;"",B3252&gt;='Buku Akun'!$H$4,B3252&lt;='Buku Akun'!$H$5,OR(C3252='Buku Akun'!$C$4,AND(D3252="Pindah",E3252='Buku Akun'!$C$4))),B3252+IF(AND(I3252="Selisih bunga",DAY(B3252)=1),0,0.01)+ROW()/10000000,"")</f>
        <v/>
      </c>
    </row>
    <row r="3253" outlineLevel="1" ht="15" customHeight="1" s="94">
      <c r="A3253" s="123">
        <f>IF(B3253="","",ROW()-15)</f>
        <v/>
      </c>
      <c r="B3253" s="124" t="n"/>
      <c r="C3253" s="123" t="n"/>
      <c r="D3253" s="123" t="n"/>
      <c r="E3253" s="123" t="n"/>
      <c r="F3253" s="125" t="n"/>
      <c r="G3253" s="123" t="n"/>
      <c r="H3253" s="123" t="n"/>
      <c r="I3253" s="123" t="n"/>
      <c r="J3253" s="123" t="n"/>
      <c r="K3253" s="123" t="n"/>
      <c r="L3253" s="123" t="n"/>
      <c r="M3253" s="123">
        <f>IF(AND(B3253&lt;&gt;"",OR($C$4="",ISNUMBER(SEARCH($C$4,C3253&amp;" "&amp;E3253&amp;" "&amp;G3253&amp;" "&amp;H3253&amp;" "&amp;I3253&amp;" "&amp;J3253&amp;" "&amp;K3253&amp;" "&amp;L3253))),OR($C$5="Semua",$C$5="",G3253=$C$5),OR($C$6="Semua",$C$6="",H3253=$C$6,H3253="Pengeluaran "&amp;$C$6,AND($C$6="Uang Kos Mama",H3253="Pengeluaran Uang Kos")),OR($C$7="Semua",$C$7="",I3253=$C$7),OR($C$8="Semua",$C$8="",C3253=$C$8,E3253=$C$8),OR($C$9="Semua",$C$9="",D3253=$C$9),OR($C$10="",B3253&gt;=$C$10),OR($C$11="",B3253&lt;=$C$11),OR($C$12&lt;&gt;"Ya",K3253&lt;&gt;""),OR($C$13="Semua",$C$13="",L3253=$C$13)),"✓","")</f>
        <v/>
      </c>
      <c r="N3253" s="93">
        <f>N(N3252)+IF(M3253="✓",1,0)</f>
        <v/>
      </c>
      <c r="O3253" s="93">
        <f>N(O3252)+IF(AND(B3253&lt;&gt;"",B3253&gt;='Uang Riba'!$H$30,B3253&lt;='Uang Riba'!$I$30,OR(H3253="Dana riba",H3253="Pinjam uang riba",I3253="Pinjam dari uang riba",I3253="Ganti uang riba",I3253="Kelebihan ganti dikembalikan",AND(C3253="Kantong Uang Riba",G3253="Pengeluaran"))),1,0)</f>
        <v/>
      </c>
      <c r="X3253" s="93">
        <f>IF(AND(B3253&lt;&gt;"",B3253&gt;='Buku Akun'!$H$4,B3253&lt;='Buku Akun'!$H$5,OR(C3253='Buku Akun'!$C$4,AND(D3253="Pindah",E3253='Buku Akun'!$C$4))),B3253+IF(AND(I3253="Selisih bunga",DAY(B3253)=1),0,0.01)+ROW()/10000000,"")</f>
        <v/>
      </c>
    </row>
    <row r="3254" outlineLevel="1" ht="15" customHeight="1" s="94">
      <c r="A3254" s="123">
        <f>IF(B3254="","",ROW()-15)</f>
        <v/>
      </c>
      <c r="B3254" s="124" t="n"/>
      <c r="C3254" s="123" t="n"/>
      <c r="D3254" s="123" t="n"/>
      <c r="E3254" s="123" t="n"/>
      <c r="F3254" s="125" t="n"/>
      <c r="G3254" s="123" t="n"/>
      <c r="H3254" s="123" t="n"/>
      <c r="I3254" s="123" t="n"/>
      <c r="J3254" s="123" t="n"/>
      <c r="K3254" s="123" t="n"/>
      <c r="L3254" s="123" t="n"/>
      <c r="M3254" s="123">
        <f>IF(AND(B3254&lt;&gt;"",OR($C$4="",ISNUMBER(SEARCH($C$4,C3254&amp;" "&amp;E3254&amp;" "&amp;G3254&amp;" "&amp;H3254&amp;" "&amp;I3254&amp;" "&amp;J3254&amp;" "&amp;K3254&amp;" "&amp;L3254))),OR($C$5="Semua",$C$5="",G3254=$C$5),OR($C$6="Semua",$C$6="",H3254=$C$6,H3254="Pengeluaran "&amp;$C$6,AND($C$6="Uang Kos Mama",H3254="Pengeluaran Uang Kos")),OR($C$7="Semua",$C$7="",I3254=$C$7),OR($C$8="Semua",$C$8="",C3254=$C$8,E3254=$C$8),OR($C$9="Semua",$C$9="",D3254=$C$9),OR($C$10="",B3254&gt;=$C$10),OR($C$11="",B3254&lt;=$C$11),OR($C$12&lt;&gt;"Ya",K3254&lt;&gt;""),OR($C$13="Semua",$C$13="",L3254=$C$13)),"✓","")</f>
        <v/>
      </c>
      <c r="N3254" s="93">
        <f>N(N3253)+IF(M3254="✓",1,0)</f>
        <v/>
      </c>
      <c r="O3254" s="93">
        <f>N(O3253)+IF(AND(B3254&lt;&gt;"",B3254&gt;='Uang Riba'!$H$30,B3254&lt;='Uang Riba'!$I$30,OR(H3254="Dana riba",H3254="Pinjam uang riba",I3254="Pinjam dari uang riba",I3254="Ganti uang riba",I3254="Kelebihan ganti dikembalikan",AND(C3254="Kantong Uang Riba",G3254="Pengeluaran"))),1,0)</f>
        <v/>
      </c>
      <c r="X3254" s="93">
        <f>IF(AND(B3254&lt;&gt;"",B3254&gt;='Buku Akun'!$H$4,B3254&lt;='Buku Akun'!$H$5,OR(C3254='Buku Akun'!$C$4,AND(D3254="Pindah",E3254='Buku Akun'!$C$4))),B3254+IF(AND(I3254="Selisih bunga",DAY(B3254)=1),0,0.01)+ROW()/10000000,"")</f>
        <v/>
      </c>
    </row>
    <row r="3255" outlineLevel="1" ht="15" customHeight="1" s="94">
      <c r="A3255" s="123">
        <f>IF(B3255="","",ROW()-15)</f>
        <v/>
      </c>
      <c r="B3255" s="124" t="n"/>
      <c r="C3255" s="123" t="n"/>
      <c r="D3255" s="123" t="n"/>
      <c r="E3255" s="123" t="n"/>
      <c r="F3255" s="125" t="n"/>
      <c r="G3255" s="123" t="n"/>
      <c r="H3255" s="123" t="n"/>
      <c r="I3255" s="123" t="n"/>
      <c r="J3255" s="123" t="n"/>
      <c r="K3255" s="123" t="n"/>
      <c r="L3255" s="123" t="n"/>
      <c r="M3255" s="123">
        <f>IF(AND(B3255&lt;&gt;"",OR($C$4="",ISNUMBER(SEARCH($C$4,C3255&amp;" "&amp;E3255&amp;" "&amp;G3255&amp;" "&amp;H3255&amp;" "&amp;I3255&amp;" "&amp;J3255&amp;" "&amp;K3255&amp;" "&amp;L3255))),OR($C$5="Semua",$C$5="",G3255=$C$5),OR($C$6="Semua",$C$6="",H3255=$C$6,H3255="Pengeluaran "&amp;$C$6,AND($C$6="Uang Kos Mama",H3255="Pengeluaran Uang Kos")),OR($C$7="Semua",$C$7="",I3255=$C$7),OR($C$8="Semua",$C$8="",C3255=$C$8,E3255=$C$8),OR($C$9="Semua",$C$9="",D3255=$C$9),OR($C$10="",B3255&gt;=$C$10),OR($C$11="",B3255&lt;=$C$11),OR($C$12&lt;&gt;"Ya",K3255&lt;&gt;""),OR($C$13="Semua",$C$13="",L3255=$C$13)),"✓","")</f>
        <v/>
      </c>
      <c r="N3255" s="93">
        <f>N(N3254)+IF(M3255="✓",1,0)</f>
        <v/>
      </c>
      <c r="O3255" s="93">
        <f>N(O3254)+IF(AND(B3255&lt;&gt;"",B3255&gt;='Uang Riba'!$H$30,B3255&lt;='Uang Riba'!$I$30,OR(H3255="Dana riba",H3255="Pinjam uang riba",I3255="Pinjam dari uang riba",I3255="Ganti uang riba",I3255="Kelebihan ganti dikembalikan",AND(C3255="Kantong Uang Riba",G3255="Pengeluaran"))),1,0)</f>
        <v/>
      </c>
      <c r="X3255" s="93">
        <f>IF(AND(B3255&lt;&gt;"",B3255&gt;='Buku Akun'!$H$4,B3255&lt;='Buku Akun'!$H$5,OR(C3255='Buku Akun'!$C$4,AND(D3255="Pindah",E3255='Buku Akun'!$C$4))),B3255+IF(AND(I3255="Selisih bunga",DAY(B3255)=1),0,0.01)+ROW()/10000000,"")</f>
        <v/>
      </c>
    </row>
    <row r="3256" outlineLevel="1" ht="15" customHeight="1" s="94">
      <c r="A3256" s="123">
        <f>IF(B3256="","",ROW()-15)</f>
        <v/>
      </c>
      <c r="B3256" s="124" t="n"/>
      <c r="C3256" s="123" t="n"/>
      <c r="D3256" s="123" t="n"/>
      <c r="E3256" s="123" t="n"/>
      <c r="F3256" s="125" t="n"/>
      <c r="G3256" s="123" t="n"/>
      <c r="H3256" s="123" t="n"/>
      <c r="I3256" s="123" t="n"/>
      <c r="J3256" s="123" t="n"/>
      <c r="K3256" s="123" t="n"/>
      <c r="L3256" s="123" t="n"/>
      <c r="M3256" s="123">
        <f>IF(AND(B3256&lt;&gt;"",OR($C$4="",ISNUMBER(SEARCH($C$4,C3256&amp;" "&amp;E3256&amp;" "&amp;G3256&amp;" "&amp;H3256&amp;" "&amp;I3256&amp;" "&amp;J3256&amp;" "&amp;K3256&amp;" "&amp;L3256))),OR($C$5="Semua",$C$5="",G3256=$C$5),OR($C$6="Semua",$C$6="",H3256=$C$6,H3256="Pengeluaran "&amp;$C$6,AND($C$6="Uang Kos Mama",H3256="Pengeluaran Uang Kos")),OR($C$7="Semua",$C$7="",I3256=$C$7),OR($C$8="Semua",$C$8="",C3256=$C$8,E3256=$C$8),OR($C$9="Semua",$C$9="",D3256=$C$9),OR($C$10="",B3256&gt;=$C$10),OR($C$11="",B3256&lt;=$C$11),OR($C$12&lt;&gt;"Ya",K3256&lt;&gt;""),OR($C$13="Semua",$C$13="",L3256=$C$13)),"✓","")</f>
        <v/>
      </c>
      <c r="N3256" s="93">
        <f>N(N3255)+IF(M3256="✓",1,0)</f>
        <v/>
      </c>
      <c r="O3256" s="93">
        <f>N(O3255)+IF(AND(B3256&lt;&gt;"",B3256&gt;='Uang Riba'!$H$30,B3256&lt;='Uang Riba'!$I$30,OR(H3256="Dana riba",H3256="Pinjam uang riba",I3256="Pinjam dari uang riba",I3256="Ganti uang riba",I3256="Kelebihan ganti dikembalikan",AND(C3256="Kantong Uang Riba",G3256="Pengeluaran"))),1,0)</f>
        <v/>
      </c>
      <c r="X3256" s="93">
        <f>IF(AND(B3256&lt;&gt;"",B3256&gt;='Buku Akun'!$H$4,B3256&lt;='Buku Akun'!$H$5,OR(C3256='Buku Akun'!$C$4,AND(D3256="Pindah",E3256='Buku Akun'!$C$4))),B3256+IF(AND(I3256="Selisih bunga",DAY(B3256)=1),0,0.01)+ROW()/10000000,"")</f>
        <v/>
      </c>
    </row>
    <row r="3257" outlineLevel="1" ht="15" customHeight="1" s="94">
      <c r="A3257" s="123">
        <f>IF(B3257="","",ROW()-15)</f>
        <v/>
      </c>
      <c r="B3257" s="124" t="n"/>
      <c r="C3257" s="123" t="n"/>
      <c r="D3257" s="123" t="n"/>
      <c r="E3257" s="123" t="n"/>
      <c r="F3257" s="125" t="n"/>
      <c r="G3257" s="123" t="n"/>
      <c r="H3257" s="123" t="n"/>
      <c r="I3257" s="123" t="n"/>
      <c r="J3257" s="123" t="n"/>
      <c r="K3257" s="123" t="n"/>
      <c r="L3257" s="123" t="n"/>
      <c r="M3257" s="123">
        <f>IF(AND(B3257&lt;&gt;"",OR($C$4="",ISNUMBER(SEARCH($C$4,C3257&amp;" "&amp;E3257&amp;" "&amp;G3257&amp;" "&amp;H3257&amp;" "&amp;I3257&amp;" "&amp;J3257&amp;" "&amp;K3257&amp;" "&amp;L3257))),OR($C$5="Semua",$C$5="",G3257=$C$5),OR($C$6="Semua",$C$6="",H3257=$C$6,H3257="Pengeluaran "&amp;$C$6,AND($C$6="Uang Kos Mama",H3257="Pengeluaran Uang Kos")),OR($C$7="Semua",$C$7="",I3257=$C$7),OR($C$8="Semua",$C$8="",C3257=$C$8,E3257=$C$8),OR($C$9="Semua",$C$9="",D3257=$C$9),OR($C$10="",B3257&gt;=$C$10),OR($C$11="",B3257&lt;=$C$11),OR($C$12&lt;&gt;"Ya",K3257&lt;&gt;""),OR($C$13="Semua",$C$13="",L3257=$C$13)),"✓","")</f>
        <v/>
      </c>
      <c r="N3257" s="93">
        <f>N(N3256)+IF(M3257="✓",1,0)</f>
        <v/>
      </c>
      <c r="O3257" s="93">
        <f>N(O3256)+IF(AND(B3257&lt;&gt;"",B3257&gt;='Uang Riba'!$H$30,B3257&lt;='Uang Riba'!$I$30,OR(H3257="Dana riba",H3257="Pinjam uang riba",I3257="Pinjam dari uang riba",I3257="Ganti uang riba",I3257="Kelebihan ganti dikembalikan",AND(C3257="Kantong Uang Riba",G3257="Pengeluaran"))),1,0)</f>
        <v/>
      </c>
      <c r="X3257" s="93">
        <f>IF(AND(B3257&lt;&gt;"",B3257&gt;='Buku Akun'!$H$4,B3257&lt;='Buku Akun'!$H$5,OR(C3257='Buku Akun'!$C$4,AND(D3257="Pindah",E3257='Buku Akun'!$C$4))),B3257+IF(AND(I3257="Selisih bunga",DAY(B3257)=1),0,0.01)+ROW()/10000000,"")</f>
        <v/>
      </c>
    </row>
    <row r="3258" outlineLevel="1" ht="15" customHeight="1" s="94">
      <c r="A3258" s="123">
        <f>IF(B3258="","",ROW()-15)</f>
        <v/>
      </c>
      <c r="B3258" s="124" t="n"/>
      <c r="C3258" s="123" t="n"/>
      <c r="D3258" s="123" t="n"/>
      <c r="E3258" s="123" t="n"/>
      <c r="F3258" s="125" t="n"/>
      <c r="G3258" s="123" t="n"/>
      <c r="H3258" s="123" t="n"/>
      <c r="I3258" s="123" t="n"/>
      <c r="J3258" s="123" t="n"/>
      <c r="K3258" s="123" t="n"/>
      <c r="L3258" s="123" t="n"/>
      <c r="M3258" s="123">
        <f>IF(AND(B3258&lt;&gt;"",OR($C$4="",ISNUMBER(SEARCH($C$4,C3258&amp;" "&amp;E3258&amp;" "&amp;G3258&amp;" "&amp;H3258&amp;" "&amp;I3258&amp;" "&amp;J3258&amp;" "&amp;K3258&amp;" "&amp;L3258))),OR($C$5="Semua",$C$5="",G3258=$C$5),OR($C$6="Semua",$C$6="",H3258=$C$6,H3258="Pengeluaran "&amp;$C$6,AND($C$6="Uang Kos Mama",H3258="Pengeluaran Uang Kos")),OR($C$7="Semua",$C$7="",I3258=$C$7),OR($C$8="Semua",$C$8="",C3258=$C$8,E3258=$C$8),OR($C$9="Semua",$C$9="",D3258=$C$9),OR($C$10="",B3258&gt;=$C$10),OR($C$11="",B3258&lt;=$C$11),OR($C$12&lt;&gt;"Ya",K3258&lt;&gt;""),OR($C$13="Semua",$C$13="",L3258=$C$13)),"✓","")</f>
        <v/>
      </c>
      <c r="N3258" s="93">
        <f>N(N3257)+IF(M3258="✓",1,0)</f>
        <v/>
      </c>
      <c r="O3258" s="93">
        <f>N(O3257)+IF(AND(B3258&lt;&gt;"",B3258&gt;='Uang Riba'!$H$30,B3258&lt;='Uang Riba'!$I$30,OR(H3258="Dana riba",H3258="Pinjam uang riba",I3258="Pinjam dari uang riba",I3258="Ganti uang riba",I3258="Kelebihan ganti dikembalikan",AND(C3258="Kantong Uang Riba",G3258="Pengeluaran"))),1,0)</f>
        <v/>
      </c>
      <c r="X3258" s="93">
        <f>IF(AND(B3258&lt;&gt;"",B3258&gt;='Buku Akun'!$H$4,B3258&lt;='Buku Akun'!$H$5,OR(C3258='Buku Akun'!$C$4,AND(D3258="Pindah",E3258='Buku Akun'!$C$4))),B3258+IF(AND(I3258="Selisih bunga",DAY(B3258)=1),0,0.01)+ROW()/10000000,"")</f>
        <v/>
      </c>
    </row>
    <row r="3259" outlineLevel="1" ht="15" customHeight="1" s="94">
      <c r="A3259" s="123">
        <f>IF(B3259="","",ROW()-15)</f>
        <v/>
      </c>
      <c r="B3259" s="124" t="n"/>
      <c r="C3259" s="123" t="n"/>
      <c r="D3259" s="123" t="n"/>
      <c r="E3259" s="123" t="n"/>
      <c r="F3259" s="125" t="n"/>
      <c r="G3259" s="123" t="n"/>
      <c r="H3259" s="123" t="n"/>
      <c r="I3259" s="123" t="n"/>
      <c r="J3259" s="123" t="n"/>
      <c r="K3259" s="123" t="n"/>
      <c r="L3259" s="123" t="n"/>
      <c r="M3259" s="123">
        <f>IF(AND(B3259&lt;&gt;"",OR($C$4="",ISNUMBER(SEARCH($C$4,C3259&amp;" "&amp;E3259&amp;" "&amp;G3259&amp;" "&amp;H3259&amp;" "&amp;I3259&amp;" "&amp;J3259&amp;" "&amp;K3259&amp;" "&amp;L3259))),OR($C$5="Semua",$C$5="",G3259=$C$5),OR($C$6="Semua",$C$6="",H3259=$C$6,H3259="Pengeluaran "&amp;$C$6,AND($C$6="Uang Kos Mama",H3259="Pengeluaran Uang Kos")),OR($C$7="Semua",$C$7="",I3259=$C$7),OR($C$8="Semua",$C$8="",C3259=$C$8,E3259=$C$8),OR($C$9="Semua",$C$9="",D3259=$C$9),OR($C$10="",B3259&gt;=$C$10),OR($C$11="",B3259&lt;=$C$11),OR($C$12&lt;&gt;"Ya",K3259&lt;&gt;""),OR($C$13="Semua",$C$13="",L3259=$C$13)),"✓","")</f>
        <v/>
      </c>
      <c r="N3259" s="93">
        <f>N(N3258)+IF(M3259="✓",1,0)</f>
        <v/>
      </c>
      <c r="O3259" s="93">
        <f>N(O3258)+IF(AND(B3259&lt;&gt;"",B3259&gt;='Uang Riba'!$H$30,B3259&lt;='Uang Riba'!$I$30,OR(H3259="Dana riba",H3259="Pinjam uang riba",I3259="Pinjam dari uang riba",I3259="Ganti uang riba",I3259="Kelebihan ganti dikembalikan",AND(C3259="Kantong Uang Riba",G3259="Pengeluaran"))),1,0)</f>
        <v/>
      </c>
      <c r="X3259" s="93">
        <f>IF(AND(B3259&lt;&gt;"",B3259&gt;='Buku Akun'!$H$4,B3259&lt;='Buku Akun'!$H$5,OR(C3259='Buku Akun'!$C$4,AND(D3259="Pindah",E3259='Buku Akun'!$C$4))),B3259+IF(AND(I3259="Selisih bunga",DAY(B3259)=1),0,0.01)+ROW()/10000000,"")</f>
        <v/>
      </c>
    </row>
    <row r="3260" outlineLevel="1" ht="15" customHeight="1" s="94">
      <c r="A3260" s="123">
        <f>IF(B3260="","",ROW()-15)</f>
        <v/>
      </c>
      <c r="B3260" s="124" t="n"/>
      <c r="C3260" s="123" t="n"/>
      <c r="D3260" s="123" t="n"/>
      <c r="E3260" s="123" t="n"/>
      <c r="F3260" s="125" t="n"/>
      <c r="G3260" s="123" t="n"/>
      <c r="H3260" s="123" t="n"/>
      <c r="I3260" s="123" t="n"/>
      <c r="J3260" s="123" t="n"/>
      <c r="K3260" s="123" t="n"/>
      <c r="L3260" s="123" t="n"/>
      <c r="M3260" s="123">
        <f>IF(AND(B3260&lt;&gt;"",OR($C$4="",ISNUMBER(SEARCH($C$4,C3260&amp;" "&amp;E3260&amp;" "&amp;G3260&amp;" "&amp;H3260&amp;" "&amp;I3260&amp;" "&amp;J3260&amp;" "&amp;K3260&amp;" "&amp;L3260))),OR($C$5="Semua",$C$5="",G3260=$C$5),OR($C$6="Semua",$C$6="",H3260=$C$6,H3260="Pengeluaran "&amp;$C$6,AND($C$6="Uang Kos Mama",H3260="Pengeluaran Uang Kos")),OR($C$7="Semua",$C$7="",I3260=$C$7),OR($C$8="Semua",$C$8="",C3260=$C$8,E3260=$C$8),OR($C$9="Semua",$C$9="",D3260=$C$9),OR($C$10="",B3260&gt;=$C$10),OR($C$11="",B3260&lt;=$C$11),OR($C$12&lt;&gt;"Ya",K3260&lt;&gt;""),OR($C$13="Semua",$C$13="",L3260=$C$13)),"✓","")</f>
        <v/>
      </c>
      <c r="N3260" s="93">
        <f>N(N3259)+IF(M3260="✓",1,0)</f>
        <v/>
      </c>
      <c r="O3260" s="93">
        <f>N(O3259)+IF(AND(B3260&lt;&gt;"",B3260&gt;='Uang Riba'!$H$30,B3260&lt;='Uang Riba'!$I$30,OR(H3260="Dana riba",H3260="Pinjam uang riba",I3260="Pinjam dari uang riba",I3260="Ganti uang riba",I3260="Kelebihan ganti dikembalikan",AND(C3260="Kantong Uang Riba",G3260="Pengeluaran"))),1,0)</f>
        <v/>
      </c>
      <c r="X3260" s="93">
        <f>IF(AND(B3260&lt;&gt;"",B3260&gt;='Buku Akun'!$H$4,B3260&lt;='Buku Akun'!$H$5,OR(C3260='Buku Akun'!$C$4,AND(D3260="Pindah",E3260='Buku Akun'!$C$4))),B3260+IF(AND(I3260="Selisih bunga",DAY(B3260)=1),0,0.01)+ROW()/10000000,"")</f>
        <v/>
      </c>
    </row>
    <row r="3261" outlineLevel="1" ht="15" customHeight="1" s="94">
      <c r="A3261" s="123">
        <f>IF(B3261="","",ROW()-15)</f>
        <v/>
      </c>
      <c r="B3261" s="124" t="n"/>
      <c r="C3261" s="123" t="n"/>
      <c r="D3261" s="123" t="n"/>
      <c r="E3261" s="123" t="n"/>
      <c r="F3261" s="125" t="n"/>
      <c r="G3261" s="123" t="n"/>
      <c r="H3261" s="123" t="n"/>
      <c r="I3261" s="123" t="n"/>
      <c r="J3261" s="123" t="n"/>
      <c r="K3261" s="123" t="n"/>
      <c r="L3261" s="123" t="n"/>
      <c r="M3261" s="123">
        <f>IF(AND(B3261&lt;&gt;"",OR($C$4="",ISNUMBER(SEARCH($C$4,C3261&amp;" "&amp;E3261&amp;" "&amp;G3261&amp;" "&amp;H3261&amp;" "&amp;I3261&amp;" "&amp;J3261&amp;" "&amp;K3261&amp;" "&amp;L3261))),OR($C$5="Semua",$C$5="",G3261=$C$5),OR($C$6="Semua",$C$6="",H3261=$C$6,H3261="Pengeluaran "&amp;$C$6,AND($C$6="Uang Kos Mama",H3261="Pengeluaran Uang Kos")),OR($C$7="Semua",$C$7="",I3261=$C$7),OR($C$8="Semua",$C$8="",C3261=$C$8,E3261=$C$8),OR($C$9="Semua",$C$9="",D3261=$C$9),OR($C$10="",B3261&gt;=$C$10),OR($C$11="",B3261&lt;=$C$11),OR($C$12&lt;&gt;"Ya",K3261&lt;&gt;""),OR($C$13="Semua",$C$13="",L3261=$C$13)),"✓","")</f>
        <v/>
      </c>
      <c r="N3261" s="93">
        <f>N(N3260)+IF(M3261="✓",1,0)</f>
        <v/>
      </c>
      <c r="O3261" s="93">
        <f>N(O3260)+IF(AND(B3261&lt;&gt;"",B3261&gt;='Uang Riba'!$H$30,B3261&lt;='Uang Riba'!$I$30,OR(H3261="Dana riba",H3261="Pinjam uang riba",I3261="Pinjam dari uang riba",I3261="Ganti uang riba",I3261="Kelebihan ganti dikembalikan",AND(C3261="Kantong Uang Riba",G3261="Pengeluaran"))),1,0)</f>
        <v/>
      </c>
      <c r="X3261" s="93">
        <f>IF(AND(B3261&lt;&gt;"",B3261&gt;='Buku Akun'!$H$4,B3261&lt;='Buku Akun'!$H$5,OR(C3261='Buku Akun'!$C$4,AND(D3261="Pindah",E3261='Buku Akun'!$C$4))),B3261+IF(AND(I3261="Selisih bunga",DAY(B3261)=1),0,0.01)+ROW()/10000000,"")</f>
        <v/>
      </c>
    </row>
    <row r="3262" outlineLevel="1" ht="15" customHeight="1" s="94">
      <c r="A3262" s="123">
        <f>IF(B3262="","",ROW()-15)</f>
        <v/>
      </c>
      <c r="B3262" s="124" t="n"/>
      <c r="C3262" s="123" t="n"/>
      <c r="D3262" s="123" t="n"/>
      <c r="E3262" s="123" t="n"/>
      <c r="F3262" s="125" t="n"/>
      <c r="G3262" s="123" t="n"/>
      <c r="H3262" s="123" t="n"/>
      <c r="I3262" s="123" t="n"/>
      <c r="J3262" s="123" t="n"/>
      <c r="K3262" s="123" t="n"/>
      <c r="L3262" s="123" t="n"/>
      <c r="M3262" s="123">
        <f>IF(AND(B3262&lt;&gt;"",OR($C$4="",ISNUMBER(SEARCH($C$4,C3262&amp;" "&amp;E3262&amp;" "&amp;G3262&amp;" "&amp;H3262&amp;" "&amp;I3262&amp;" "&amp;J3262&amp;" "&amp;K3262&amp;" "&amp;L3262))),OR($C$5="Semua",$C$5="",G3262=$C$5),OR($C$6="Semua",$C$6="",H3262=$C$6,H3262="Pengeluaran "&amp;$C$6,AND($C$6="Uang Kos Mama",H3262="Pengeluaran Uang Kos")),OR($C$7="Semua",$C$7="",I3262=$C$7),OR($C$8="Semua",$C$8="",C3262=$C$8,E3262=$C$8),OR($C$9="Semua",$C$9="",D3262=$C$9),OR($C$10="",B3262&gt;=$C$10),OR($C$11="",B3262&lt;=$C$11),OR($C$12&lt;&gt;"Ya",K3262&lt;&gt;""),OR($C$13="Semua",$C$13="",L3262=$C$13)),"✓","")</f>
        <v/>
      </c>
      <c r="N3262" s="93">
        <f>N(N3261)+IF(M3262="✓",1,0)</f>
        <v/>
      </c>
      <c r="O3262" s="93">
        <f>N(O3261)+IF(AND(B3262&lt;&gt;"",B3262&gt;='Uang Riba'!$H$30,B3262&lt;='Uang Riba'!$I$30,OR(H3262="Dana riba",H3262="Pinjam uang riba",I3262="Pinjam dari uang riba",I3262="Ganti uang riba",I3262="Kelebihan ganti dikembalikan",AND(C3262="Kantong Uang Riba",G3262="Pengeluaran"))),1,0)</f>
        <v/>
      </c>
      <c r="X3262" s="93">
        <f>IF(AND(B3262&lt;&gt;"",B3262&gt;='Buku Akun'!$H$4,B3262&lt;='Buku Akun'!$H$5,OR(C3262='Buku Akun'!$C$4,AND(D3262="Pindah",E3262='Buku Akun'!$C$4))),B3262+IF(AND(I3262="Selisih bunga",DAY(B3262)=1),0,0.01)+ROW()/10000000,"")</f>
        <v/>
      </c>
    </row>
    <row r="3263" outlineLevel="1" ht="15" customHeight="1" s="94">
      <c r="A3263" s="123">
        <f>IF(B3263="","",ROW()-15)</f>
        <v/>
      </c>
      <c r="B3263" s="124" t="n"/>
      <c r="C3263" s="123" t="n"/>
      <c r="D3263" s="123" t="n"/>
      <c r="E3263" s="123" t="n"/>
      <c r="F3263" s="125" t="n"/>
      <c r="G3263" s="123" t="n"/>
      <c r="H3263" s="123" t="n"/>
      <c r="I3263" s="123" t="n"/>
      <c r="J3263" s="123" t="n"/>
      <c r="K3263" s="123" t="n"/>
      <c r="L3263" s="123" t="n"/>
      <c r="M3263" s="123">
        <f>IF(AND(B3263&lt;&gt;"",OR($C$4="",ISNUMBER(SEARCH($C$4,C3263&amp;" "&amp;E3263&amp;" "&amp;G3263&amp;" "&amp;H3263&amp;" "&amp;I3263&amp;" "&amp;J3263&amp;" "&amp;K3263&amp;" "&amp;L3263))),OR($C$5="Semua",$C$5="",G3263=$C$5),OR($C$6="Semua",$C$6="",H3263=$C$6,H3263="Pengeluaran "&amp;$C$6,AND($C$6="Uang Kos Mama",H3263="Pengeluaran Uang Kos")),OR($C$7="Semua",$C$7="",I3263=$C$7),OR($C$8="Semua",$C$8="",C3263=$C$8,E3263=$C$8),OR($C$9="Semua",$C$9="",D3263=$C$9),OR($C$10="",B3263&gt;=$C$10),OR($C$11="",B3263&lt;=$C$11),OR($C$12&lt;&gt;"Ya",K3263&lt;&gt;""),OR($C$13="Semua",$C$13="",L3263=$C$13)),"✓","")</f>
        <v/>
      </c>
      <c r="N3263" s="93">
        <f>N(N3262)+IF(M3263="✓",1,0)</f>
        <v/>
      </c>
      <c r="O3263" s="93">
        <f>N(O3262)+IF(AND(B3263&lt;&gt;"",B3263&gt;='Uang Riba'!$H$30,B3263&lt;='Uang Riba'!$I$30,OR(H3263="Dana riba",H3263="Pinjam uang riba",I3263="Pinjam dari uang riba",I3263="Ganti uang riba",I3263="Kelebihan ganti dikembalikan",AND(C3263="Kantong Uang Riba",G3263="Pengeluaran"))),1,0)</f>
        <v/>
      </c>
      <c r="X3263" s="93">
        <f>IF(AND(B3263&lt;&gt;"",B3263&gt;='Buku Akun'!$H$4,B3263&lt;='Buku Akun'!$H$5,OR(C3263='Buku Akun'!$C$4,AND(D3263="Pindah",E3263='Buku Akun'!$C$4))),B3263+IF(AND(I3263="Selisih bunga",DAY(B3263)=1),0,0.01)+ROW()/10000000,"")</f>
        <v/>
      </c>
    </row>
    <row r="3264" outlineLevel="1" ht="15" customHeight="1" s="94">
      <c r="A3264" s="123">
        <f>IF(B3264="","",ROW()-15)</f>
        <v/>
      </c>
      <c r="B3264" s="124" t="n"/>
      <c r="C3264" s="123" t="n"/>
      <c r="D3264" s="123" t="n"/>
      <c r="E3264" s="123" t="n"/>
      <c r="F3264" s="125" t="n"/>
      <c r="G3264" s="123" t="n"/>
      <c r="H3264" s="123" t="n"/>
      <c r="I3264" s="123" t="n"/>
      <c r="J3264" s="123" t="n"/>
      <c r="K3264" s="123" t="n"/>
      <c r="L3264" s="123" t="n"/>
      <c r="M3264" s="123">
        <f>IF(AND(B3264&lt;&gt;"",OR($C$4="",ISNUMBER(SEARCH($C$4,C3264&amp;" "&amp;E3264&amp;" "&amp;G3264&amp;" "&amp;H3264&amp;" "&amp;I3264&amp;" "&amp;J3264&amp;" "&amp;K3264&amp;" "&amp;L3264))),OR($C$5="Semua",$C$5="",G3264=$C$5),OR($C$6="Semua",$C$6="",H3264=$C$6,H3264="Pengeluaran "&amp;$C$6,AND($C$6="Uang Kos Mama",H3264="Pengeluaran Uang Kos")),OR($C$7="Semua",$C$7="",I3264=$C$7),OR($C$8="Semua",$C$8="",C3264=$C$8,E3264=$C$8),OR($C$9="Semua",$C$9="",D3264=$C$9),OR($C$10="",B3264&gt;=$C$10),OR($C$11="",B3264&lt;=$C$11),OR($C$12&lt;&gt;"Ya",K3264&lt;&gt;""),OR($C$13="Semua",$C$13="",L3264=$C$13)),"✓","")</f>
        <v/>
      </c>
      <c r="N3264" s="93">
        <f>N(N3263)+IF(M3264="✓",1,0)</f>
        <v/>
      </c>
      <c r="O3264" s="93">
        <f>N(O3263)+IF(AND(B3264&lt;&gt;"",B3264&gt;='Uang Riba'!$H$30,B3264&lt;='Uang Riba'!$I$30,OR(H3264="Dana riba",H3264="Pinjam uang riba",I3264="Pinjam dari uang riba",I3264="Ganti uang riba",I3264="Kelebihan ganti dikembalikan",AND(C3264="Kantong Uang Riba",G3264="Pengeluaran"))),1,0)</f>
        <v/>
      </c>
      <c r="X3264" s="93">
        <f>IF(AND(B3264&lt;&gt;"",B3264&gt;='Buku Akun'!$H$4,B3264&lt;='Buku Akun'!$H$5,OR(C3264='Buku Akun'!$C$4,AND(D3264="Pindah",E3264='Buku Akun'!$C$4))),B3264+IF(AND(I3264="Selisih bunga",DAY(B3264)=1),0,0.01)+ROW()/10000000,"")</f>
        <v/>
      </c>
    </row>
    <row r="3265" outlineLevel="1" ht="15" customHeight="1" s="94">
      <c r="A3265" s="123">
        <f>IF(B3265="","",ROW()-15)</f>
        <v/>
      </c>
      <c r="B3265" s="124" t="n"/>
      <c r="C3265" s="123" t="n"/>
      <c r="D3265" s="123" t="n"/>
      <c r="E3265" s="123" t="n"/>
      <c r="F3265" s="125" t="n"/>
      <c r="G3265" s="123" t="n"/>
      <c r="H3265" s="123" t="n"/>
      <c r="I3265" s="123" t="n"/>
      <c r="J3265" s="123" t="n"/>
      <c r="K3265" s="123" t="n"/>
      <c r="L3265" s="123" t="n"/>
      <c r="M3265" s="123">
        <f>IF(AND(B3265&lt;&gt;"",OR($C$4="",ISNUMBER(SEARCH($C$4,C3265&amp;" "&amp;E3265&amp;" "&amp;G3265&amp;" "&amp;H3265&amp;" "&amp;I3265&amp;" "&amp;J3265&amp;" "&amp;K3265&amp;" "&amp;L3265))),OR($C$5="Semua",$C$5="",G3265=$C$5),OR($C$6="Semua",$C$6="",H3265=$C$6,H3265="Pengeluaran "&amp;$C$6,AND($C$6="Uang Kos Mama",H3265="Pengeluaran Uang Kos")),OR($C$7="Semua",$C$7="",I3265=$C$7),OR($C$8="Semua",$C$8="",C3265=$C$8,E3265=$C$8),OR($C$9="Semua",$C$9="",D3265=$C$9),OR($C$10="",B3265&gt;=$C$10),OR($C$11="",B3265&lt;=$C$11),OR($C$12&lt;&gt;"Ya",K3265&lt;&gt;""),OR($C$13="Semua",$C$13="",L3265=$C$13)),"✓","")</f>
        <v/>
      </c>
      <c r="N3265" s="93">
        <f>N(N3264)+IF(M3265="✓",1,0)</f>
        <v/>
      </c>
      <c r="O3265" s="93">
        <f>N(O3264)+IF(AND(B3265&lt;&gt;"",B3265&gt;='Uang Riba'!$H$30,B3265&lt;='Uang Riba'!$I$30,OR(H3265="Dana riba",H3265="Pinjam uang riba",I3265="Pinjam dari uang riba",I3265="Ganti uang riba",I3265="Kelebihan ganti dikembalikan",AND(C3265="Kantong Uang Riba",G3265="Pengeluaran"))),1,0)</f>
        <v/>
      </c>
      <c r="X3265" s="93">
        <f>IF(AND(B3265&lt;&gt;"",B3265&gt;='Buku Akun'!$H$4,B3265&lt;='Buku Akun'!$H$5,OR(C3265='Buku Akun'!$C$4,AND(D3265="Pindah",E3265='Buku Akun'!$C$4))),B3265+IF(AND(I3265="Selisih bunga",DAY(B3265)=1),0,0.01)+ROW()/10000000,"")</f>
        <v/>
      </c>
    </row>
    <row r="3266" outlineLevel="1" ht="15" customHeight="1" s="94">
      <c r="A3266" s="123">
        <f>IF(B3266="","",ROW()-15)</f>
        <v/>
      </c>
      <c r="B3266" s="124" t="n"/>
      <c r="C3266" s="123" t="n"/>
      <c r="D3266" s="123" t="n"/>
      <c r="E3266" s="123" t="n"/>
      <c r="F3266" s="125" t="n"/>
      <c r="G3266" s="123" t="n"/>
      <c r="H3266" s="123" t="n"/>
      <c r="I3266" s="123" t="n"/>
      <c r="J3266" s="123" t="n"/>
      <c r="K3266" s="123" t="n"/>
      <c r="L3266" s="123" t="n"/>
      <c r="M3266" s="123">
        <f>IF(AND(B3266&lt;&gt;"",OR($C$4="",ISNUMBER(SEARCH($C$4,C3266&amp;" "&amp;E3266&amp;" "&amp;G3266&amp;" "&amp;H3266&amp;" "&amp;I3266&amp;" "&amp;J3266&amp;" "&amp;K3266&amp;" "&amp;L3266))),OR($C$5="Semua",$C$5="",G3266=$C$5),OR($C$6="Semua",$C$6="",H3266=$C$6,H3266="Pengeluaran "&amp;$C$6,AND($C$6="Uang Kos Mama",H3266="Pengeluaran Uang Kos")),OR($C$7="Semua",$C$7="",I3266=$C$7),OR($C$8="Semua",$C$8="",C3266=$C$8,E3266=$C$8),OR($C$9="Semua",$C$9="",D3266=$C$9),OR($C$10="",B3266&gt;=$C$10),OR($C$11="",B3266&lt;=$C$11),OR($C$12&lt;&gt;"Ya",K3266&lt;&gt;""),OR($C$13="Semua",$C$13="",L3266=$C$13)),"✓","")</f>
        <v/>
      </c>
      <c r="N3266" s="93">
        <f>N(N3265)+IF(M3266="✓",1,0)</f>
        <v/>
      </c>
      <c r="O3266" s="93">
        <f>N(O3265)+IF(AND(B3266&lt;&gt;"",B3266&gt;='Uang Riba'!$H$30,B3266&lt;='Uang Riba'!$I$30,OR(H3266="Dana riba",H3266="Pinjam uang riba",I3266="Pinjam dari uang riba",I3266="Ganti uang riba",I3266="Kelebihan ganti dikembalikan",AND(C3266="Kantong Uang Riba",G3266="Pengeluaran"))),1,0)</f>
        <v/>
      </c>
      <c r="X3266" s="93">
        <f>IF(AND(B3266&lt;&gt;"",B3266&gt;='Buku Akun'!$H$4,B3266&lt;='Buku Akun'!$H$5,OR(C3266='Buku Akun'!$C$4,AND(D3266="Pindah",E3266='Buku Akun'!$C$4))),B3266+IF(AND(I3266="Selisih bunga",DAY(B3266)=1),0,0.01)+ROW()/10000000,"")</f>
        <v/>
      </c>
    </row>
    <row r="3267" outlineLevel="1" ht="15" customHeight="1" s="94">
      <c r="A3267" s="123">
        <f>IF(B3267="","",ROW()-15)</f>
        <v/>
      </c>
      <c r="B3267" s="124" t="n"/>
      <c r="C3267" s="123" t="n"/>
      <c r="D3267" s="123" t="n"/>
      <c r="E3267" s="123" t="n"/>
      <c r="F3267" s="125" t="n"/>
      <c r="G3267" s="123" t="n"/>
      <c r="H3267" s="123" t="n"/>
      <c r="I3267" s="123" t="n"/>
      <c r="J3267" s="123" t="n"/>
      <c r="K3267" s="123" t="n"/>
      <c r="L3267" s="123" t="n"/>
      <c r="M3267" s="123">
        <f>IF(AND(B3267&lt;&gt;"",OR($C$4="",ISNUMBER(SEARCH($C$4,C3267&amp;" "&amp;E3267&amp;" "&amp;G3267&amp;" "&amp;H3267&amp;" "&amp;I3267&amp;" "&amp;J3267&amp;" "&amp;K3267&amp;" "&amp;L3267))),OR($C$5="Semua",$C$5="",G3267=$C$5),OR($C$6="Semua",$C$6="",H3267=$C$6,H3267="Pengeluaran "&amp;$C$6,AND($C$6="Uang Kos Mama",H3267="Pengeluaran Uang Kos")),OR($C$7="Semua",$C$7="",I3267=$C$7),OR($C$8="Semua",$C$8="",C3267=$C$8,E3267=$C$8),OR($C$9="Semua",$C$9="",D3267=$C$9),OR($C$10="",B3267&gt;=$C$10),OR($C$11="",B3267&lt;=$C$11),OR($C$12&lt;&gt;"Ya",K3267&lt;&gt;""),OR($C$13="Semua",$C$13="",L3267=$C$13)),"✓","")</f>
        <v/>
      </c>
      <c r="N3267" s="93">
        <f>N(N3266)+IF(M3267="✓",1,0)</f>
        <v/>
      </c>
      <c r="O3267" s="93">
        <f>N(O3266)+IF(AND(B3267&lt;&gt;"",B3267&gt;='Uang Riba'!$H$30,B3267&lt;='Uang Riba'!$I$30,OR(H3267="Dana riba",H3267="Pinjam uang riba",I3267="Pinjam dari uang riba",I3267="Ganti uang riba",I3267="Kelebihan ganti dikembalikan",AND(C3267="Kantong Uang Riba",G3267="Pengeluaran"))),1,0)</f>
        <v/>
      </c>
      <c r="X3267" s="93">
        <f>IF(AND(B3267&lt;&gt;"",B3267&gt;='Buku Akun'!$H$4,B3267&lt;='Buku Akun'!$H$5,OR(C3267='Buku Akun'!$C$4,AND(D3267="Pindah",E3267='Buku Akun'!$C$4))),B3267+IF(AND(I3267="Selisih bunga",DAY(B3267)=1),0,0.01)+ROW()/10000000,"")</f>
        <v/>
      </c>
    </row>
    <row r="3268" outlineLevel="1" ht="15" customHeight="1" s="94">
      <c r="A3268" s="123">
        <f>IF(B3268="","",ROW()-15)</f>
        <v/>
      </c>
      <c r="B3268" s="124" t="n"/>
      <c r="C3268" s="123" t="n"/>
      <c r="D3268" s="123" t="n"/>
      <c r="E3268" s="123" t="n"/>
      <c r="F3268" s="125" t="n"/>
      <c r="G3268" s="123" t="n"/>
      <c r="H3268" s="123" t="n"/>
      <c r="I3268" s="123" t="n"/>
      <c r="J3268" s="123" t="n"/>
      <c r="K3268" s="123" t="n"/>
      <c r="L3268" s="123" t="n"/>
      <c r="M3268" s="123">
        <f>IF(AND(B3268&lt;&gt;"",OR($C$4="",ISNUMBER(SEARCH($C$4,C3268&amp;" "&amp;E3268&amp;" "&amp;G3268&amp;" "&amp;H3268&amp;" "&amp;I3268&amp;" "&amp;J3268&amp;" "&amp;K3268&amp;" "&amp;L3268))),OR($C$5="Semua",$C$5="",G3268=$C$5),OR($C$6="Semua",$C$6="",H3268=$C$6,H3268="Pengeluaran "&amp;$C$6,AND($C$6="Uang Kos Mama",H3268="Pengeluaran Uang Kos")),OR($C$7="Semua",$C$7="",I3268=$C$7),OR($C$8="Semua",$C$8="",C3268=$C$8,E3268=$C$8),OR($C$9="Semua",$C$9="",D3268=$C$9),OR($C$10="",B3268&gt;=$C$10),OR($C$11="",B3268&lt;=$C$11),OR($C$12&lt;&gt;"Ya",K3268&lt;&gt;""),OR($C$13="Semua",$C$13="",L3268=$C$13)),"✓","")</f>
        <v/>
      </c>
      <c r="N3268" s="93">
        <f>N(N3267)+IF(M3268="✓",1,0)</f>
        <v/>
      </c>
      <c r="O3268" s="93">
        <f>N(O3267)+IF(AND(B3268&lt;&gt;"",B3268&gt;='Uang Riba'!$H$30,B3268&lt;='Uang Riba'!$I$30,OR(H3268="Dana riba",H3268="Pinjam uang riba",I3268="Pinjam dari uang riba",I3268="Ganti uang riba",I3268="Kelebihan ganti dikembalikan",AND(C3268="Kantong Uang Riba",G3268="Pengeluaran"))),1,0)</f>
        <v/>
      </c>
      <c r="X3268" s="93">
        <f>IF(AND(B3268&lt;&gt;"",B3268&gt;='Buku Akun'!$H$4,B3268&lt;='Buku Akun'!$H$5,OR(C3268='Buku Akun'!$C$4,AND(D3268="Pindah",E3268='Buku Akun'!$C$4))),B3268+IF(AND(I3268="Selisih bunga",DAY(B3268)=1),0,0.01)+ROW()/10000000,"")</f>
        <v/>
      </c>
    </row>
    <row r="3269" outlineLevel="1" ht="15" customHeight="1" s="94">
      <c r="A3269" s="123">
        <f>IF(B3269="","",ROW()-15)</f>
        <v/>
      </c>
      <c r="B3269" s="124" t="n"/>
      <c r="C3269" s="123" t="n"/>
      <c r="D3269" s="123" t="n"/>
      <c r="E3269" s="123" t="n"/>
      <c r="F3269" s="125" t="n"/>
      <c r="G3269" s="123" t="n"/>
      <c r="H3269" s="123" t="n"/>
      <c r="I3269" s="123" t="n"/>
      <c r="J3269" s="123" t="n"/>
      <c r="K3269" s="123" t="n"/>
      <c r="L3269" s="123" t="n"/>
      <c r="M3269" s="123">
        <f>IF(AND(B3269&lt;&gt;"",OR($C$4="",ISNUMBER(SEARCH($C$4,C3269&amp;" "&amp;E3269&amp;" "&amp;G3269&amp;" "&amp;H3269&amp;" "&amp;I3269&amp;" "&amp;J3269&amp;" "&amp;K3269&amp;" "&amp;L3269))),OR($C$5="Semua",$C$5="",G3269=$C$5),OR($C$6="Semua",$C$6="",H3269=$C$6,H3269="Pengeluaran "&amp;$C$6,AND($C$6="Uang Kos Mama",H3269="Pengeluaran Uang Kos")),OR($C$7="Semua",$C$7="",I3269=$C$7),OR($C$8="Semua",$C$8="",C3269=$C$8,E3269=$C$8),OR($C$9="Semua",$C$9="",D3269=$C$9),OR($C$10="",B3269&gt;=$C$10),OR($C$11="",B3269&lt;=$C$11),OR($C$12&lt;&gt;"Ya",K3269&lt;&gt;""),OR($C$13="Semua",$C$13="",L3269=$C$13)),"✓","")</f>
        <v/>
      </c>
      <c r="N3269" s="93">
        <f>N(N3268)+IF(M3269="✓",1,0)</f>
        <v/>
      </c>
      <c r="O3269" s="93">
        <f>N(O3268)+IF(AND(B3269&lt;&gt;"",B3269&gt;='Uang Riba'!$H$30,B3269&lt;='Uang Riba'!$I$30,OR(H3269="Dana riba",H3269="Pinjam uang riba",I3269="Pinjam dari uang riba",I3269="Ganti uang riba",I3269="Kelebihan ganti dikembalikan",AND(C3269="Kantong Uang Riba",G3269="Pengeluaran"))),1,0)</f>
        <v/>
      </c>
      <c r="X3269" s="93">
        <f>IF(AND(B3269&lt;&gt;"",B3269&gt;='Buku Akun'!$H$4,B3269&lt;='Buku Akun'!$H$5,OR(C3269='Buku Akun'!$C$4,AND(D3269="Pindah",E3269='Buku Akun'!$C$4))),B3269+IF(AND(I3269="Selisih bunga",DAY(B3269)=1),0,0.01)+ROW()/10000000,"")</f>
        <v/>
      </c>
    </row>
    <row r="3270" outlineLevel="1" ht="15" customHeight="1" s="94">
      <c r="A3270" s="123">
        <f>IF(B3270="","",ROW()-15)</f>
        <v/>
      </c>
      <c r="B3270" s="124" t="n"/>
      <c r="C3270" s="123" t="n"/>
      <c r="D3270" s="123" t="n"/>
      <c r="E3270" s="123" t="n"/>
      <c r="F3270" s="125" t="n"/>
      <c r="G3270" s="123" t="n"/>
      <c r="H3270" s="123" t="n"/>
      <c r="I3270" s="123" t="n"/>
      <c r="J3270" s="123" t="n"/>
      <c r="K3270" s="123" t="n"/>
      <c r="L3270" s="123" t="n"/>
      <c r="M3270" s="123">
        <f>IF(AND(B3270&lt;&gt;"",OR($C$4="",ISNUMBER(SEARCH($C$4,C3270&amp;" "&amp;E3270&amp;" "&amp;G3270&amp;" "&amp;H3270&amp;" "&amp;I3270&amp;" "&amp;J3270&amp;" "&amp;K3270&amp;" "&amp;L3270))),OR($C$5="Semua",$C$5="",G3270=$C$5),OR($C$6="Semua",$C$6="",H3270=$C$6,H3270="Pengeluaran "&amp;$C$6,AND($C$6="Uang Kos Mama",H3270="Pengeluaran Uang Kos")),OR($C$7="Semua",$C$7="",I3270=$C$7),OR($C$8="Semua",$C$8="",C3270=$C$8,E3270=$C$8),OR($C$9="Semua",$C$9="",D3270=$C$9),OR($C$10="",B3270&gt;=$C$10),OR($C$11="",B3270&lt;=$C$11),OR($C$12&lt;&gt;"Ya",K3270&lt;&gt;""),OR($C$13="Semua",$C$13="",L3270=$C$13)),"✓","")</f>
        <v/>
      </c>
      <c r="N3270" s="93">
        <f>N(N3269)+IF(M3270="✓",1,0)</f>
        <v/>
      </c>
      <c r="O3270" s="93">
        <f>N(O3269)+IF(AND(B3270&lt;&gt;"",B3270&gt;='Uang Riba'!$H$30,B3270&lt;='Uang Riba'!$I$30,OR(H3270="Dana riba",H3270="Pinjam uang riba",I3270="Pinjam dari uang riba",I3270="Ganti uang riba",I3270="Kelebihan ganti dikembalikan",AND(C3270="Kantong Uang Riba",G3270="Pengeluaran"))),1,0)</f>
        <v/>
      </c>
      <c r="X3270" s="93">
        <f>IF(AND(B3270&lt;&gt;"",B3270&gt;='Buku Akun'!$H$4,B3270&lt;='Buku Akun'!$H$5,OR(C3270='Buku Akun'!$C$4,AND(D3270="Pindah",E3270='Buku Akun'!$C$4))),B3270+IF(AND(I3270="Selisih bunga",DAY(B3270)=1),0,0.01)+ROW()/10000000,"")</f>
        <v/>
      </c>
    </row>
    <row r="3271" outlineLevel="1" ht="15" customHeight="1" s="94">
      <c r="A3271" s="123">
        <f>IF(B3271="","",ROW()-15)</f>
        <v/>
      </c>
      <c r="B3271" s="124" t="n"/>
      <c r="C3271" s="123" t="n"/>
      <c r="D3271" s="123" t="n"/>
      <c r="E3271" s="123" t="n"/>
      <c r="F3271" s="125" t="n"/>
      <c r="G3271" s="123" t="n"/>
      <c r="H3271" s="123" t="n"/>
      <c r="I3271" s="123" t="n"/>
      <c r="J3271" s="123" t="n"/>
      <c r="K3271" s="123" t="n"/>
      <c r="L3271" s="123" t="n"/>
      <c r="M3271" s="123">
        <f>IF(AND(B3271&lt;&gt;"",OR($C$4="",ISNUMBER(SEARCH($C$4,C3271&amp;" "&amp;E3271&amp;" "&amp;G3271&amp;" "&amp;H3271&amp;" "&amp;I3271&amp;" "&amp;J3271&amp;" "&amp;K3271&amp;" "&amp;L3271))),OR($C$5="Semua",$C$5="",G3271=$C$5),OR($C$6="Semua",$C$6="",H3271=$C$6,H3271="Pengeluaran "&amp;$C$6,AND($C$6="Uang Kos Mama",H3271="Pengeluaran Uang Kos")),OR($C$7="Semua",$C$7="",I3271=$C$7),OR($C$8="Semua",$C$8="",C3271=$C$8,E3271=$C$8),OR($C$9="Semua",$C$9="",D3271=$C$9),OR($C$10="",B3271&gt;=$C$10),OR($C$11="",B3271&lt;=$C$11),OR($C$12&lt;&gt;"Ya",K3271&lt;&gt;""),OR($C$13="Semua",$C$13="",L3271=$C$13)),"✓","")</f>
        <v/>
      </c>
      <c r="N3271" s="93">
        <f>N(N3270)+IF(M3271="✓",1,0)</f>
        <v/>
      </c>
      <c r="O3271" s="93">
        <f>N(O3270)+IF(AND(B3271&lt;&gt;"",B3271&gt;='Uang Riba'!$H$30,B3271&lt;='Uang Riba'!$I$30,OR(H3271="Dana riba",H3271="Pinjam uang riba",I3271="Pinjam dari uang riba",I3271="Ganti uang riba",I3271="Kelebihan ganti dikembalikan",AND(C3271="Kantong Uang Riba",G3271="Pengeluaran"))),1,0)</f>
        <v/>
      </c>
      <c r="X3271" s="93">
        <f>IF(AND(B3271&lt;&gt;"",B3271&gt;='Buku Akun'!$H$4,B3271&lt;='Buku Akun'!$H$5,OR(C3271='Buku Akun'!$C$4,AND(D3271="Pindah",E3271='Buku Akun'!$C$4))),B3271+IF(AND(I3271="Selisih bunga",DAY(B3271)=1),0,0.01)+ROW()/10000000,"")</f>
        <v/>
      </c>
    </row>
    <row r="3272" outlineLevel="1" ht="15" customHeight="1" s="94">
      <c r="A3272" s="123">
        <f>IF(B3272="","",ROW()-15)</f>
        <v/>
      </c>
      <c r="B3272" s="124" t="n"/>
      <c r="C3272" s="123" t="n"/>
      <c r="D3272" s="123" t="n"/>
      <c r="E3272" s="123" t="n"/>
      <c r="F3272" s="125" t="n"/>
      <c r="G3272" s="123" t="n"/>
      <c r="H3272" s="123" t="n"/>
      <c r="I3272" s="123" t="n"/>
      <c r="J3272" s="123" t="n"/>
      <c r="K3272" s="123" t="n"/>
      <c r="L3272" s="123" t="n"/>
      <c r="M3272" s="123">
        <f>IF(AND(B3272&lt;&gt;"",OR($C$4="",ISNUMBER(SEARCH($C$4,C3272&amp;" "&amp;E3272&amp;" "&amp;G3272&amp;" "&amp;H3272&amp;" "&amp;I3272&amp;" "&amp;J3272&amp;" "&amp;K3272&amp;" "&amp;L3272))),OR($C$5="Semua",$C$5="",G3272=$C$5),OR($C$6="Semua",$C$6="",H3272=$C$6,H3272="Pengeluaran "&amp;$C$6,AND($C$6="Uang Kos Mama",H3272="Pengeluaran Uang Kos")),OR($C$7="Semua",$C$7="",I3272=$C$7),OR($C$8="Semua",$C$8="",C3272=$C$8,E3272=$C$8),OR($C$9="Semua",$C$9="",D3272=$C$9),OR($C$10="",B3272&gt;=$C$10),OR($C$11="",B3272&lt;=$C$11),OR($C$12&lt;&gt;"Ya",K3272&lt;&gt;""),OR($C$13="Semua",$C$13="",L3272=$C$13)),"✓","")</f>
        <v/>
      </c>
      <c r="N3272" s="93">
        <f>N(N3271)+IF(M3272="✓",1,0)</f>
        <v/>
      </c>
      <c r="O3272" s="93">
        <f>N(O3271)+IF(AND(B3272&lt;&gt;"",B3272&gt;='Uang Riba'!$H$30,B3272&lt;='Uang Riba'!$I$30,OR(H3272="Dana riba",H3272="Pinjam uang riba",I3272="Pinjam dari uang riba",I3272="Ganti uang riba",I3272="Kelebihan ganti dikembalikan",AND(C3272="Kantong Uang Riba",G3272="Pengeluaran"))),1,0)</f>
        <v/>
      </c>
      <c r="X3272" s="93">
        <f>IF(AND(B3272&lt;&gt;"",B3272&gt;='Buku Akun'!$H$4,B3272&lt;='Buku Akun'!$H$5,OR(C3272='Buku Akun'!$C$4,AND(D3272="Pindah",E3272='Buku Akun'!$C$4))),B3272+IF(AND(I3272="Selisih bunga",DAY(B3272)=1),0,0.01)+ROW()/10000000,"")</f>
        <v/>
      </c>
    </row>
    <row r="3273" outlineLevel="1" ht="15" customHeight="1" s="94">
      <c r="A3273" s="123">
        <f>IF(B3273="","",ROW()-15)</f>
        <v/>
      </c>
      <c r="B3273" s="124" t="n"/>
      <c r="C3273" s="123" t="n"/>
      <c r="D3273" s="123" t="n"/>
      <c r="E3273" s="123" t="n"/>
      <c r="F3273" s="125" t="n"/>
      <c r="G3273" s="123" t="n"/>
      <c r="H3273" s="123" t="n"/>
      <c r="I3273" s="123" t="n"/>
      <c r="J3273" s="123" t="n"/>
      <c r="K3273" s="123" t="n"/>
      <c r="L3273" s="123" t="n"/>
      <c r="M3273" s="123">
        <f>IF(AND(B3273&lt;&gt;"",OR($C$4="",ISNUMBER(SEARCH($C$4,C3273&amp;" "&amp;E3273&amp;" "&amp;G3273&amp;" "&amp;H3273&amp;" "&amp;I3273&amp;" "&amp;J3273&amp;" "&amp;K3273&amp;" "&amp;L3273))),OR($C$5="Semua",$C$5="",G3273=$C$5),OR($C$6="Semua",$C$6="",H3273=$C$6,H3273="Pengeluaran "&amp;$C$6,AND($C$6="Uang Kos Mama",H3273="Pengeluaran Uang Kos")),OR($C$7="Semua",$C$7="",I3273=$C$7),OR($C$8="Semua",$C$8="",C3273=$C$8,E3273=$C$8),OR($C$9="Semua",$C$9="",D3273=$C$9),OR($C$10="",B3273&gt;=$C$10),OR($C$11="",B3273&lt;=$C$11),OR($C$12&lt;&gt;"Ya",K3273&lt;&gt;""),OR($C$13="Semua",$C$13="",L3273=$C$13)),"✓","")</f>
        <v/>
      </c>
      <c r="N3273" s="93">
        <f>N(N3272)+IF(M3273="✓",1,0)</f>
        <v/>
      </c>
      <c r="O3273" s="93">
        <f>N(O3272)+IF(AND(B3273&lt;&gt;"",B3273&gt;='Uang Riba'!$H$30,B3273&lt;='Uang Riba'!$I$30,OR(H3273="Dana riba",H3273="Pinjam uang riba",I3273="Pinjam dari uang riba",I3273="Ganti uang riba",I3273="Kelebihan ganti dikembalikan",AND(C3273="Kantong Uang Riba",G3273="Pengeluaran"))),1,0)</f>
        <v/>
      </c>
      <c r="X3273" s="93">
        <f>IF(AND(B3273&lt;&gt;"",B3273&gt;='Buku Akun'!$H$4,B3273&lt;='Buku Akun'!$H$5,OR(C3273='Buku Akun'!$C$4,AND(D3273="Pindah",E3273='Buku Akun'!$C$4))),B3273+IF(AND(I3273="Selisih bunga",DAY(B3273)=1),0,0.01)+ROW()/10000000,"")</f>
        <v/>
      </c>
    </row>
    <row r="3274" outlineLevel="1" ht="15" customHeight="1" s="94">
      <c r="A3274" s="123">
        <f>IF(B3274="","",ROW()-15)</f>
        <v/>
      </c>
      <c r="B3274" s="124" t="n"/>
      <c r="C3274" s="123" t="n"/>
      <c r="D3274" s="123" t="n"/>
      <c r="E3274" s="123" t="n"/>
      <c r="F3274" s="125" t="n"/>
      <c r="G3274" s="123" t="n"/>
      <c r="H3274" s="123" t="n"/>
      <c r="I3274" s="123" t="n"/>
      <c r="J3274" s="123" t="n"/>
      <c r="K3274" s="123" t="n"/>
      <c r="L3274" s="123" t="n"/>
      <c r="M3274" s="123">
        <f>IF(AND(B3274&lt;&gt;"",OR($C$4="",ISNUMBER(SEARCH($C$4,C3274&amp;" "&amp;E3274&amp;" "&amp;G3274&amp;" "&amp;H3274&amp;" "&amp;I3274&amp;" "&amp;J3274&amp;" "&amp;K3274&amp;" "&amp;L3274))),OR($C$5="Semua",$C$5="",G3274=$C$5),OR($C$6="Semua",$C$6="",H3274=$C$6,H3274="Pengeluaran "&amp;$C$6,AND($C$6="Uang Kos Mama",H3274="Pengeluaran Uang Kos")),OR($C$7="Semua",$C$7="",I3274=$C$7),OR($C$8="Semua",$C$8="",C3274=$C$8,E3274=$C$8),OR($C$9="Semua",$C$9="",D3274=$C$9),OR($C$10="",B3274&gt;=$C$10),OR($C$11="",B3274&lt;=$C$11),OR($C$12&lt;&gt;"Ya",K3274&lt;&gt;""),OR($C$13="Semua",$C$13="",L3274=$C$13)),"✓","")</f>
        <v/>
      </c>
      <c r="N3274" s="93">
        <f>N(N3273)+IF(M3274="✓",1,0)</f>
        <v/>
      </c>
      <c r="O3274" s="93">
        <f>N(O3273)+IF(AND(B3274&lt;&gt;"",B3274&gt;='Uang Riba'!$H$30,B3274&lt;='Uang Riba'!$I$30,OR(H3274="Dana riba",H3274="Pinjam uang riba",I3274="Pinjam dari uang riba",I3274="Ganti uang riba",I3274="Kelebihan ganti dikembalikan",AND(C3274="Kantong Uang Riba",G3274="Pengeluaran"))),1,0)</f>
        <v/>
      </c>
      <c r="X3274" s="93">
        <f>IF(AND(B3274&lt;&gt;"",B3274&gt;='Buku Akun'!$H$4,B3274&lt;='Buku Akun'!$H$5,OR(C3274='Buku Akun'!$C$4,AND(D3274="Pindah",E3274='Buku Akun'!$C$4))),B3274+IF(AND(I3274="Selisih bunga",DAY(B3274)=1),0,0.01)+ROW()/10000000,"")</f>
        <v/>
      </c>
    </row>
    <row r="3275" outlineLevel="1" ht="15" customHeight="1" s="94">
      <c r="A3275" s="123">
        <f>IF(B3275="","",ROW()-15)</f>
        <v/>
      </c>
      <c r="B3275" s="124" t="n"/>
      <c r="C3275" s="123" t="n"/>
      <c r="D3275" s="123" t="n"/>
      <c r="E3275" s="123" t="n"/>
      <c r="F3275" s="125" t="n"/>
      <c r="G3275" s="123" t="n"/>
      <c r="H3275" s="123" t="n"/>
      <c r="I3275" s="123" t="n"/>
      <c r="J3275" s="123" t="n"/>
      <c r="K3275" s="123" t="n"/>
      <c r="L3275" s="123" t="n"/>
      <c r="M3275" s="123">
        <f>IF(AND(B3275&lt;&gt;"",OR($C$4="",ISNUMBER(SEARCH($C$4,C3275&amp;" "&amp;E3275&amp;" "&amp;G3275&amp;" "&amp;H3275&amp;" "&amp;I3275&amp;" "&amp;J3275&amp;" "&amp;K3275&amp;" "&amp;L3275))),OR($C$5="Semua",$C$5="",G3275=$C$5),OR($C$6="Semua",$C$6="",H3275=$C$6,H3275="Pengeluaran "&amp;$C$6,AND($C$6="Uang Kos Mama",H3275="Pengeluaran Uang Kos")),OR($C$7="Semua",$C$7="",I3275=$C$7),OR($C$8="Semua",$C$8="",C3275=$C$8,E3275=$C$8),OR($C$9="Semua",$C$9="",D3275=$C$9),OR($C$10="",B3275&gt;=$C$10),OR($C$11="",B3275&lt;=$C$11),OR($C$12&lt;&gt;"Ya",K3275&lt;&gt;""),OR($C$13="Semua",$C$13="",L3275=$C$13)),"✓","")</f>
        <v/>
      </c>
      <c r="N3275" s="93">
        <f>N(N3274)+IF(M3275="✓",1,0)</f>
        <v/>
      </c>
      <c r="O3275" s="93">
        <f>N(O3274)+IF(AND(B3275&lt;&gt;"",B3275&gt;='Uang Riba'!$H$30,B3275&lt;='Uang Riba'!$I$30,OR(H3275="Dana riba",H3275="Pinjam uang riba",I3275="Pinjam dari uang riba",I3275="Ganti uang riba",I3275="Kelebihan ganti dikembalikan",AND(C3275="Kantong Uang Riba",G3275="Pengeluaran"))),1,0)</f>
        <v/>
      </c>
      <c r="X3275" s="93">
        <f>IF(AND(B3275&lt;&gt;"",B3275&gt;='Buku Akun'!$H$4,B3275&lt;='Buku Akun'!$H$5,OR(C3275='Buku Akun'!$C$4,AND(D3275="Pindah",E3275='Buku Akun'!$C$4))),B3275+IF(AND(I3275="Selisih bunga",DAY(B3275)=1),0,0.01)+ROW()/10000000,"")</f>
        <v/>
      </c>
    </row>
    <row r="3276" outlineLevel="1" ht="15" customHeight="1" s="94">
      <c r="A3276" s="123">
        <f>IF(B3276="","",ROW()-15)</f>
        <v/>
      </c>
      <c r="B3276" s="124" t="n"/>
      <c r="C3276" s="123" t="n"/>
      <c r="D3276" s="123" t="n"/>
      <c r="E3276" s="123" t="n"/>
      <c r="F3276" s="125" t="n"/>
      <c r="G3276" s="123" t="n"/>
      <c r="H3276" s="123" t="n"/>
      <c r="I3276" s="123" t="n"/>
      <c r="J3276" s="123" t="n"/>
      <c r="K3276" s="123" t="n"/>
      <c r="L3276" s="123" t="n"/>
      <c r="M3276" s="123">
        <f>IF(AND(B3276&lt;&gt;"",OR($C$4="",ISNUMBER(SEARCH($C$4,C3276&amp;" "&amp;E3276&amp;" "&amp;G3276&amp;" "&amp;H3276&amp;" "&amp;I3276&amp;" "&amp;J3276&amp;" "&amp;K3276&amp;" "&amp;L3276))),OR($C$5="Semua",$C$5="",G3276=$C$5),OR($C$6="Semua",$C$6="",H3276=$C$6,H3276="Pengeluaran "&amp;$C$6,AND($C$6="Uang Kos Mama",H3276="Pengeluaran Uang Kos")),OR($C$7="Semua",$C$7="",I3276=$C$7),OR($C$8="Semua",$C$8="",C3276=$C$8,E3276=$C$8),OR($C$9="Semua",$C$9="",D3276=$C$9),OR($C$10="",B3276&gt;=$C$10),OR($C$11="",B3276&lt;=$C$11),OR($C$12&lt;&gt;"Ya",K3276&lt;&gt;""),OR($C$13="Semua",$C$13="",L3276=$C$13)),"✓","")</f>
        <v/>
      </c>
      <c r="N3276" s="93">
        <f>N(N3275)+IF(M3276="✓",1,0)</f>
        <v/>
      </c>
      <c r="O3276" s="93">
        <f>N(O3275)+IF(AND(B3276&lt;&gt;"",B3276&gt;='Uang Riba'!$H$30,B3276&lt;='Uang Riba'!$I$30,OR(H3276="Dana riba",H3276="Pinjam uang riba",I3276="Pinjam dari uang riba",I3276="Ganti uang riba",I3276="Kelebihan ganti dikembalikan",AND(C3276="Kantong Uang Riba",G3276="Pengeluaran"))),1,0)</f>
        <v/>
      </c>
      <c r="X3276" s="93">
        <f>IF(AND(B3276&lt;&gt;"",B3276&gt;='Buku Akun'!$H$4,B3276&lt;='Buku Akun'!$H$5,OR(C3276='Buku Akun'!$C$4,AND(D3276="Pindah",E3276='Buku Akun'!$C$4))),B3276+IF(AND(I3276="Selisih bunga",DAY(B3276)=1),0,0.01)+ROW()/10000000,"")</f>
        <v/>
      </c>
    </row>
    <row r="3277" outlineLevel="1" ht="15" customHeight="1" s="94">
      <c r="A3277" s="123">
        <f>IF(B3277="","",ROW()-15)</f>
        <v/>
      </c>
      <c r="B3277" s="124" t="n"/>
      <c r="C3277" s="123" t="n"/>
      <c r="D3277" s="123" t="n"/>
      <c r="E3277" s="123" t="n"/>
      <c r="F3277" s="125" t="n"/>
      <c r="G3277" s="123" t="n"/>
      <c r="H3277" s="123" t="n"/>
      <c r="I3277" s="123" t="n"/>
      <c r="J3277" s="123" t="n"/>
      <c r="K3277" s="123" t="n"/>
      <c r="L3277" s="123" t="n"/>
      <c r="M3277" s="123">
        <f>IF(AND(B3277&lt;&gt;"",OR($C$4="",ISNUMBER(SEARCH($C$4,C3277&amp;" "&amp;E3277&amp;" "&amp;G3277&amp;" "&amp;H3277&amp;" "&amp;I3277&amp;" "&amp;J3277&amp;" "&amp;K3277&amp;" "&amp;L3277))),OR($C$5="Semua",$C$5="",G3277=$C$5),OR($C$6="Semua",$C$6="",H3277=$C$6,H3277="Pengeluaran "&amp;$C$6,AND($C$6="Uang Kos Mama",H3277="Pengeluaran Uang Kos")),OR($C$7="Semua",$C$7="",I3277=$C$7),OR($C$8="Semua",$C$8="",C3277=$C$8,E3277=$C$8),OR($C$9="Semua",$C$9="",D3277=$C$9),OR($C$10="",B3277&gt;=$C$10),OR($C$11="",B3277&lt;=$C$11),OR($C$12&lt;&gt;"Ya",K3277&lt;&gt;""),OR($C$13="Semua",$C$13="",L3277=$C$13)),"✓","")</f>
        <v/>
      </c>
      <c r="N3277" s="93">
        <f>N(N3276)+IF(M3277="✓",1,0)</f>
        <v/>
      </c>
      <c r="O3277" s="93">
        <f>N(O3276)+IF(AND(B3277&lt;&gt;"",B3277&gt;='Uang Riba'!$H$30,B3277&lt;='Uang Riba'!$I$30,OR(H3277="Dana riba",H3277="Pinjam uang riba",I3277="Pinjam dari uang riba",I3277="Ganti uang riba",I3277="Kelebihan ganti dikembalikan",AND(C3277="Kantong Uang Riba",G3277="Pengeluaran"))),1,0)</f>
        <v/>
      </c>
      <c r="X3277" s="93">
        <f>IF(AND(B3277&lt;&gt;"",B3277&gt;='Buku Akun'!$H$4,B3277&lt;='Buku Akun'!$H$5,OR(C3277='Buku Akun'!$C$4,AND(D3277="Pindah",E3277='Buku Akun'!$C$4))),B3277+IF(AND(I3277="Selisih bunga",DAY(B3277)=1),0,0.01)+ROW()/10000000,"")</f>
        <v/>
      </c>
    </row>
    <row r="3278" outlineLevel="1" ht="15" customHeight="1" s="94">
      <c r="A3278" s="123">
        <f>IF(B3278="","",ROW()-15)</f>
        <v/>
      </c>
      <c r="B3278" s="124" t="n"/>
      <c r="C3278" s="123" t="n"/>
      <c r="D3278" s="123" t="n"/>
      <c r="E3278" s="123" t="n"/>
      <c r="F3278" s="125" t="n"/>
      <c r="G3278" s="123" t="n"/>
      <c r="H3278" s="123" t="n"/>
      <c r="I3278" s="123" t="n"/>
      <c r="J3278" s="123" t="n"/>
      <c r="K3278" s="123" t="n"/>
      <c r="L3278" s="123" t="n"/>
      <c r="M3278" s="123">
        <f>IF(AND(B3278&lt;&gt;"",OR($C$4="",ISNUMBER(SEARCH($C$4,C3278&amp;" "&amp;E3278&amp;" "&amp;G3278&amp;" "&amp;H3278&amp;" "&amp;I3278&amp;" "&amp;J3278&amp;" "&amp;K3278&amp;" "&amp;L3278))),OR($C$5="Semua",$C$5="",G3278=$C$5),OR($C$6="Semua",$C$6="",H3278=$C$6,H3278="Pengeluaran "&amp;$C$6,AND($C$6="Uang Kos Mama",H3278="Pengeluaran Uang Kos")),OR($C$7="Semua",$C$7="",I3278=$C$7),OR($C$8="Semua",$C$8="",C3278=$C$8,E3278=$C$8),OR($C$9="Semua",$C$9="",D3278=$C$9),OR($C$10="",B3278&gt;=$C$10),OR($C$11="",B3278&lt;=$C$11),OR($C$12&lt;&gt;"Ya",K3278&lt;&gt;""),OR($C$13="Semua",$C$13="",L3278=$C$13)),"✓","")</f>
        <v/>
      </c>
      <c r="N3278" s="93">
        <f>N(N3277)+IF(M3278="✓",1,0)</f>
        <v/>
      </c>
      <c r="O3278" s="93">
        <f>N(O3277)+IF(AND(B3278&lt;&gt;"",B3278&gt;='Uang Riba'!$H$30,B3278&lt;='Uang Riba'!$I$30,OR(H3278="Dana riba",H3278="Pinjam uang riba",I3278="Pinjam dari uang riba",I3278="Ganti uang riba",I3278="Kelebihan ganti dikembalikan",AND(C3278="Kantong Uang Riba",G3278="Pengeluaran"))),1,0)</f>
        <v/>
      </c>
      <c r="X3278" s="93">
        <f>IF(AND(B3278&lt;&gt;"",B3278&gt;='Buku Akun'!$H$4,B3278&lt;='Buku Akun'!$H$5,OR(C3278='Buku Akun'!$C$4,AND(D3278="Pindah",E3278='Buku Akun'!$C$4))),B3278+IF(AND(I3278="Selisih bunga",DAY(B3278)=1),0,0.01)+ROW()/10000000,"")</f>
        <v/>
      </c>
    </row>
    <row r="3279" outlineLevel="1" ht="15" customHeight="1" s="94">
      <c r="A3279" s="123">
        <f>IF(B3279="","",ROW()-15)</f>
        <v/>
      </c>
      <c r="B3279" s="124" t="n"/>
      <c r="C3279" s="123" t="n"/>
      <c r="D3279" s="123" t="n"/>
      <c r="E3279" s="123" t="n"/>
      <c r="F3279" s="125" t="n"/>
      <c r="G3279" s="123" t="n"/>
      <c r="H3279" s="123" t="n"/>
      <c r="I3279" s="123" t="n"/>
      <c r="J3279" s="123" t="n"/>
      <c r="K3279" s="123" t="n"/>
      <c r="L3279" s="123" t="n"/>
      <c r="M3279" s="123">
        <f>IF(AND(B3279&lt;&gt;"",OR($C$4="",ISNUMBER(SEARCH($C$4,C3279&amp;" "&amp;E3279&amp;" "&amp;G3279&amp;" "&amp;H3279&amp;" "&amp;I3279&amp;" "&amp;J3279&amp;" "&amp;K3279&amp;" "&amp;L3279))),OR($C$5="Semua",$C$5="",G3279=$C$5),OR($C$6="Semua",$C$6="",H3279=$C$6,H3279="Pengeluaran "&amp;$C$6,AND($C$6="Uang Kos Mama",H3279="Pengeluaran Uang Kos")),OR($C$7="Semua",$C$7="",I3279=$C$7),OR($C$8="Semua",$C$8="",C3279=$C$8,E3279=$C$8),OR($C$9="Semua",$C$9="",D3279=$C$9),OR($C$10="",B3279&gt;=$C$10),OR($C$11="",B3279&lt;=$C$11),OR($C$12&lt;&gt;"Ya",K3279&lt;&gt;""),OR($C$13="Semua",$C$13="",L3279=$C$13)),"✓","")</f>
        <v/>
      </c>
      <c r="N3279" s="93">
        <f>N(N3278)+IF(M3279="✓",1,0)</f>
        <v/>
      </c>
      <c r="O3279" s="93">
        <f>N(O3278)+IF(AND(B3279&lt;&gt;"",B3279&gt;='Uang Riba'!$H$30,B3279&lt;='Uang Riba'!$I$30,OR(H3279="Dana riba",H3279="Pinjam uang riba",I3279="Pinjam dari uang riba",I3279="Ganti uang riba",I3279="Kelebihan ganti dikembalikan",AND(C3279="Kantong Uang Riba",G3279="Pengeluaran"))),1,0)</f>
        <v/>
      </c>
      <c r="X3279" s="93">
        <f>IF(AND(B3279&lt;&gt;"",B3279&gt;='Buku Akun'!$H$4,B3279&lt;='Buku Akun'!$H$5,OR(C3279='Buku Akun'!$C$4,AND(D3279="Pindah",E3279='Buku Akun'!$C$4))),B3279+IF(AND(I3279="Selisih bunga",DAY(B3279)=1),0,0.01)+ROW()/10000000,"")</f>
        <v/>
      </c>
    </row>
    <row r="3280" outlineLevel="1" ht="15" customHeight="1" s="94">
      <c r="A3280" s="123">
        <f>IF(B3280="","",ROW()-15)</f>
        <v/>
      </c>
      <c r="B3280" s="124" t="n"/>
      <c r="C3280" s="123" t="n"/>
      <c r="D3280" s="123" t="n"/>
      <c r="E3280" s="123" t="n"/>
      <c r="F3280" s="125" t="n"/>
      <c r="G3280" s="123" t="n"/>
      <c r="H3280" s="123" t="n"/>
      <c r="I3280" s="123" t="n"/>
      <c r="J3280" s="123" t="n"/>
      <c r="K3280" s="123" t="n"/>
      <c r="L3280" s="123" t="n"/>
      <c r="M3280" s="123">
        <f>IF(AND(B3280&lt;&gt;"",OR($C$4="",ISNUMBER(SEARCH($C$4,C3280&amp;" "&amp;E3280&amp;" "&amp;G3280&amp;" "&amp;H3280&amp;" "&amp;I3280&amp;" "&amp;J3280&amp;" "&amp;K3280&amp;" "&amp;L3280))),OR($C$5="Semua",$C$5="",G3280=$C$5),OR($C$6="Semua",$C$6="",H3280=$C$6,H3280="Pengeluaran "&amp;$C$6,AND($C$6="Uang Kos Mama",H3280="Pengeluaran Uang Kos")),OR($C$7="Semua",$C$7="",I3280=$C$7),OR($C$8="Semua",$C$8="",C3280=$C$8,E3280=$C$8),OR($C$9="Semua",$C$9="",D3280=$C$9),OR($C$10="",B3280&gt;=$C$10),OR($C$11="",B3280&lt;=$C$11),OR($C$12&lt;&gt;"Ya",K3280&lt;&gt;""),OR($C$13="Semua",$C$13="",L3280=$C$13)),"✓","")</f>
        <v/>
      </c>
      <c r="N3280" s="93">
        <f>N(N3279)+IF(M3280="✓",1,0)</f>
        <v/>
      </c>
      <c r="O3280" s="93">
        <f>N(O3279)+IF(AND(B3280&lt;&gt;"",B3280&gt;='Uang Riba'!$H$30,B3280&lt;='Uang Riba'!$I$30,OR(H3280="Dana riba",H3280="Pinjam uang riba",I3280="Pinjam dari uang riba",I3280="Ganti uang riba",I3280="Kelebihan ganti dikembalikan",AND(C3280="Kantong Uang Riba",G3280="Pengeluaran"))),1,0)</f>
        <v/>
      </c>
      <c r="X3280" s="93">
        <f>IF(AND(B3280&lt;&gt;"",B3280&gt;='Buku Akun'!$H$4,B3280&lt;='Buku Akun'!$H$5,OR(C3280='Buku Akun'!$C$4,AND(D3280="Pindah",E3280='Buku Akun'!$C$4))),B3280+IF(AND(I3280="Selisih bunga",DAY(B3280)=1),0,0.01)+ROW()/10000000,"")</f>
        <v/>
      </c>
    </row>
    <row r="3281" outlineLevel="1" ht="15" customHeight="1" s="94">
      <c r="A3281" s="123">
        <f>IF(B3281="","",ROW()-15)</f>
        <v/>
      </c>
      <c r="B3281" s="124" t="n"/>
      <c r="C3281" s="123" t="n"/>
      <c r="D3281" s="123" t="n"/>
      <c r="E3281" s="123" t="n"/>
      <c r="F3281" s="125" t="n"/>
      <c r="G3281" s="123" t="n"/>
      <c r="H3281" s="123" t="n"/>
      <c r="I3281" s="123" t="n"/>
      <c r="J3281" s="123" t="n"/>
      <c r="K3281" s="123" t="n"/>
      <c r="L3281" s="123" t="n"/>
      <c r="M3281" s="123">
        <f>IF(AND(B3281&lt;&gt;"",OR($C$4="",ISNUMBER(SEARCH($C$4,C3281&amp;" "&amp;E3281&amp;" "&amp;G3281&amp;" "&amp;H3281&amp;" "&amp;I3281&amp;" "&amp;J3281&amp;" "&amp;K3281&amp;" "&amp;L3281))),OR($C$5="Semua",$C$5="",G3281=$C$5),OR($C$6="Semua",$C$6="",H3281=$C$6,H3281="Pengeluaran "&amp;$C$6,AND($C$6="Uang Kos Mama",H3281="Pengeluaran Uang Kos")),OR($C$7="Semua",$C$7="",I3281=$C$7),OR($C$8="Semua",$C$8="",C3281=$C$8,E3281=$C$8),OR($C$9="Semua",$C$9="",D3281=$C$9),OR($C$10="",B3281&gt;=$C$10),OR($C$11="",B3281&lt;=$C$11),OR($C$12&lt;&gt;"Ya",K3281&lt;&gt;""),OR($C$13="Semua",$C$13="",L3281=$C$13)),"✓","")</f>
        <v/>
      </c>
      <c r="N3281" s="93">
        <f>N(N3280)+IF(M3281="✓",1,0)</f>
        <v/>
      </c>
      <c r="O3281" s="93">
        <f>N(O3280)+IF(AND(B3281&lt;&gt;"",B3281&gt;='Uang Riba'!$H$30,B3281&lt;='Uang Riba'!$I$30,OR(H3281="Dana riba",H3281="Pinjam uang riba",I3281="Pinjam dari uang riba",I3281="Ganti uang riba",I3281="Kelebihan ganti dikembalikan",AND(C3281="Kantong Uang Riba",G3281="Pengeluaran"))),1,0)</f>
        <v/>
      </c>
      <c r="X3281" s="93">
        <f>IF(AND(B3281&lt;&gt;"",B3281&gt;='Buku Akun'!$H$4,B3281&lt;='Buku Akun'!$H$5,OR(C3281='Buku Akun'!$C$4,AND(D3281="Pindah",E3281='Buku Akun'!$C$4))),B3281+IF(AND(I3281="Selisih bunga",DAY(B3281)=1),0,0.01)+ROW()/10000000,"")</f>
        <v/>
      </c>
    </row>
    <row r="3282" outlineLevel="1" ht="15" customHeight="1" s="94">
      <c r="A3282" s="123">
        <f>IF(B3282="","",ROW()-15)</f>
        <v/>
      </c>
      <c r="B3282" s="124" t="n"/>
      <c r="C3282" s="123" t="n"/>
      <c r="D3282" s="123" t="n"/>
      <c r="E3282" s="123" t="n"/>
      <c r="F3282" s="125" t="n"/>
      <c r="G3282" s="123" t="n"/>
      <c r="H3282" s="123" t="n"/>
      <c r="I3282" s="123" t="n"/>
      <c r="J3282" s="123" t="n"/>
      <c r="K3282" s="123" t="n"/>
      <c r="L3282" s="123" t="n"/>
      <c r="M3282" s="123">
        <f>IF(AND(B3282&lt;&gt;"",OR($C$4="",ISNUMBER(SEARCH($C$4,C3282&amp;" "&amp;E3282&amp;" "&amp;G3282&amp;" "&amp;H3282&amp;" "&amp;I3282&amp;" "&amp;J3282&amp;" "&amp;K3282&amp;" "&amp;L3282))),OR($C$5="Semua",$C$5="",G3282=$C$5),OR($C$6="Semua",$C$6="",H3282=$C$6,H3282="Pengeluaran "&amp;$C$6,AND($C$6="Uang Kos Mama",H3282="Pengeluaran Uang Kos")),OR($C$7="Semua",$C$7="",I3282=$C$7),OR($C$8="Semua",$C$8="",C3282=$C$8,E3282=$C$8),OR($C$9="Semua",$C$9="",D3282=$C$9),OR($C$10="",B3282&gt;=$C$10),OR($C$11="",B3282&lt;=$C$11),OR($C$12&lt;&gt;"Ya",K3282&lt;&gt;""),OR($C$13="Semua",$C$13="",L3282=$C$13)),"✓","")</f>
        <v/>
      </c>
      <c r="N3282" s="93">
        <f>N(N3281)+IF(M3282="✓",1,0)</f>
        <v/>
      </c>
      <c r="O3282" s="93">
        <f>N(O3281)+IF(AND(B3282&lt;&gt;"",B3282&gt;='Uang Riba'!$H$30,B3282&lt;='Uang Riba'!$I$30,OR(H3282="Dana riba",H3282="Pinjam uang riba",I3282="Pinjam dari uang riba",I3282="Ganti uang riba",I3282="Kelebihan ganti dikembalikan",AND(C3282="Kantong Uang Riba",G3282="Pengeluaran"))),1,0)</f>
        <v/>
      </c>
      <c r="X3282" s="93">
        <f>IF(AND(B3282&lt;&gt;"",B3282&gt;='Buku Akun'!$H$4,B3282&lt;='Buku Akun'!$H$5,OR(C3282='Buku Akun'!$C$4,AND(D3282="Pindah",E3282='Buku Akun'!$C$4))),B3282+IF(AND(I3282="Selisih bunga",DAY(B3282)=1),0,0.01)+ROW()/10000000,"")</f>
        <v/>
      </c>
    </row>
    <row r="3283" outlineLevel="1" ht="15" customHeight="1" s="94">
      <c r="A3283" s="123">
        <f>IF(B3283="","",ROW()-15)</f>
        <v/>
      </c>
      <c r="B3283" s="124" t="n"/>
      <c r="C3283" s="123" t="n"/>
      <c r="D3283" s="123" t="n"/>
      <c r="E3283" s="123" t="n"/>
      <c r="F3283" s="125" t="n"/>
      <c r="G3283" s="123" t="n"/>
      <c r="H3283" s="123" t="n"/>
      <c r="I3283" s="123" t="n"/>
      <c r="J3283" s="123" t="n"/>
      <c r="K3283" s="123" t="n"/>
      <c r="L3283" s="123" t="n"/>
      <c r="M3283" s="123">
        <f>IF(AND(B3283&lt;&gt;"",OR($C$4="",ISNUMBER(SEARCH($C$4,C3283&amp;" "&amp;E3283&amp;" "&amp;G3283&amp;" "&amp;H3283&amp;" "&amp;I3283&amp;" "&amp;J3283&amp;" "&amp;K3283&amp;" "&amp;L3283))),OR($C$5="Semua",$C$5="",G3283=$C$5),OR($C$6="Semua",$C$6="",H3283=$C$6,H3283="Pengeluaran "&amp;$C$6,AND($C$6="Uang Kos Mama",H3283="Pengeluaran Uang Kos")),OR($C$7="Semua",$C$7="",I3283=$C$7),OR($C$8="Semua",$C$8="",C3283=$C$8,E3283=$C$8),OR($C$9="Semua",$C$9="",D3283=$C$9),OR($C$10="",B3283&gt;=$C$10),OR($C$11="",B3283&lt;=$C$11),OR($C$12&lt;&gt;"Ya",K3283&lt;&gt;""),OR($C$13="Semua",$C$13="",L3283=$C$13)),"✓","")</f>
        <v/>
      </c>
      <c r="N3283" s="93">
        <f>N(N3282)+IF(M3283="✓",1,0)</f>
        <v/>
      </c>
      <c r="O3283" s="93">
        <f>N(O3282)+IF(AND(B3283&lt;&gt;"",B3283&gt;='Uang Riba'!$H$30,B3283&lt;='Uang Riba'!$I$30,OR(H3283="Dana riba",H3283="Pinjam uang riba",I3283="Pinjam dari uang riba",I3283="Ganti uang riba",I3283="Kelebihan ganti dikembalikan",AND(C3283="Kantong Uang Riba",G3283="Pengeluaran"))),1,0)</f>
        <v/>
      </c>
      <c r="X3283" s="93">
        <f>IF(AND(B3283&lt;&gt;"",B3283&gt;='Buku Akun'!$H$4,B3283&lt;='Buku Akun'!$H$5,OR(C3283='Buku Akun'!$C$4,AND(D3283="Pindah",E3283='Buku Akun'!$C$4))),B3283+IF(AND(I3283="Selisih bunga",DAY(B3283)=1),0,0.01)+ROW()/10000000,"")</f>
        <v/>
      </c>
    </row>
    <row r="3284" outlineLevel="1" ht="15" customHeight="1" s="94">
      <c r="A3284" s="123">
        <f>IF(B3284="","",ROW()-15)</f>
        <v/>
      </c>
      <c r="B3284" s="124" t="n"/>
      <c r="C3284" s="123" t="n"/>
      <c r="D3284" s="123" t="n"/>
      <c r="E3284" s="123" t="n"/>
      <c r="F3284" s="125" t="n"/>
      <c r="G3284" s="123" t="n"/>
      <c r="H3284" s="123" t="n"/>
      <c r="I3284" s="123" t="n"/>
      <c r="J3284" s="123" t="n"/>
      <c r="K3284" s="123" t="n"/>
      <c r="L3284" s="123" t="n"/>
      <c r="M3284" s="123">
        <f>IF(AND(B3284&lt;&gt;"",OR($C$4="",ISNUMBER(SEARCH($C$4,C3284&amp;" "&amp;E3284&amp;" "&amp;G3284&amp;" "&amp;H3284&amp;" "&amp;I3284&amp;" "&amp;J3284&amp;" "&amp;K3284&amp;" "&amp;L3284))),OR($C$5="Semua",$C$5="",G3284=$C$5),OR($C$6="Semua",$C$6="",H3284=$C$6,H3284="Pengeluaran "&amp;$C$6,AND($C$6="Uang Kos Mama",H3284="Pengeluaran Uang Kos")),OR($C$7="Semua",$C$7="",I3284=$C$7),OR($C$8="Semua",$C$8="",C3284=$C$8,E3284=$C$8),OR($C$9="Semua",$C$9="",D3284=$C$9),OR($C$10="",B3284&gt;=$C$10),OR($C$11="",B3284&lt;=$C$11),OR($C$12&lt;&gt;"Ya",K3284&lt;&gt;""),OR($C$13="Semua",$C$13="",L3284=$C$13)),"✓","")</f>
        <v/>
      </c>
      <c r="N3284" s="93">
        <f>N(N3283)+IF(M3284="✓",1,0)</f>
        <v/>
      </c>
      <c r="O3284" s="93">
        <f>N(O3283)+IF(AND(B3284&lt;&gt;"",B3284&gt;='Uang Riba'!$H$30,B3284&lt;='Uang Riba'!$I$30,OR(H3284="Dana riba",H3284="Pinjam uang riba",I3284="Pinjam dari uang riba",I3284="Ganti uang riba",I3284="Kelebihan ganti dikembalikan",AND(C3284="Kantong Uang Riba",G3284="Pengeluaran"))),1,0)</f>
        <v/>
      </c>
      <c r="X3284" s="93">
        <f>IF(AND(B3284&lt;&gt;"",B3284&gt;='Buku Akun'!$H$4,B3284&lt;='Buku Akun'!$H$5,OR(C3284='Buku Akun'!$C$4,AND(D3284="Pindah",E3284='Buku Akun'!$C$4))),B3284+IF(AND(I3284="Selisih bunga",DAY(B3284)=1),0,0.01)+ROW()/10000000,"")</f>
        <v/>
      </c>
    </row>
    <row r="3285" outlineLevel="1" ht="15" customHeight="1" s="94">
      <c r="A3285" s="123">
        <f>IF(B3285="","",ROW()-15)</f>
        <v/>
      </c>
      <c r="B3285" s="124" t="n"/>
      <c r="C3285" s="123" t="n"/>
      <c r="D3285" s="123" t="n"/>
      <c r="E3285" s="123" t="n"/>
      <c r="F3285" s="125" t="n"/>
      <c r="G3285" s="123" t="n"/>
      <c r="H3285" s="123" t="n"/>
      <c r="I3285" s="123" t="n"/>
      <c r="J3285" s="123" t="n"/>
      <c r="K3285" s="123" t="n"/>
      <c r="L3285" s="123" t="n"/>
      <c r="M3285" s="123">
        <f>IF(AND(B3285&lt;&gt;"",OR($C$4="",ISNUMBER(SEARCH($C$4,C3285&amp;" "&amp;E3285&amp;" "&amp;G3285&amp;" "&amp;H3285&amp;" "&amp;I3285&amp;" "&amp;J3285&amp;" "&amp;K3285&amp;" "&amp;L3285))),OR($C$5="Semua",$C$5="",G3285=$C$5),OR($C$6="Semua",$C$6="",H3285=$C$6,H3285="Pengeluaran "&amp;$C$6,AND($C$6="Uang Kos Mama",H3285="Pengeluaran Uang Kos")),OR($C$7="Semua",$C$7="",I3285=$C$7),OR($C$8="Semua",$C$8="",C3285=$C$8,E3285=$C$8),OR($C$9="Semua",$C$9="",D3285=$C$9),OR($C$10="",B3285&gt;=$C$10),OR($C$11="",B3285&lt;=$C$11),OR($C$12&lt;&gt;"Ya",K3285&lt;&gt;""),OR($C$13="Semua",$C$13="",L3285=$C$13)),"✓","")</f>
        <v/>
      </c>
      <c r="N3285" s="93">
        <f>N(N3284)+IF(M3285="✓",1,0)</f>
        <v/>
      </c>
      <c r="O3285" s="93">
        <f>N(O3284)+IF(AND(B3285&lt;&gt;"",B3285&gt;='Uang Riba'!$H$30,B3285&lt;='Uang Riba'!$I$30,OR(H3285="Dana riba",H3285="Pinjam uang riba",I3285="Pinjam dari uang riba",I3285="Ganti uang riba",I3285="Kelebihan ganti dikembalikan",AND(C3285="Kantong Uang Riba",G3285="Pengeluaran"))),1,0)</f>
        <v/>
      </c>
      <c r="X3285" s="93">
        <f>IF(AND(B3285&lt;&gt;"",B3285&gt;='Buku Akun'!$H$4,B3285&lt;='Buku Akun'!$H$5,OR(C3285='Buku Akun'!$C$4,AND(D3285="Pindah",E3285='Buku Akun'!$C$4))),B3285+IF(AND(I3285="Selisih bunga",DAY(B3285)=1),0,0.01)+ROW()/10000000,"")</f>
        <v/>
      </c>
    </row>
    <row r="3286" outlineLevel="1" ht="15" customHeight="1" s="94">
      <c r="A3286" s="123">
        <f>IF(B3286="","",ROW()-15)</f>
        <v/>
      </c>
      <c r="B3286" s="124" t="n"/>
      <c r="C3286" s="123" t="n"/>
      <c r="D3286" s="123" t="n"/>
      <c r="E3286" s="123" t="n"/>
      <c r="F3286" s="125" t="n"/>
      <c r="G3286" s="123" t="n"/>
      <c r="H3286" s="123" t="n"/>
      <c r="I3286" s="123" t="n"/>
      <c r="J3286" s="123" t="n"/>
      <c r="K3286" s="123" t="n"/>
      <c r="L3286" s="123" t="n"/>
      <c r="M3286" s="123">
        <f>IF(AND(B3286&lt;&gt;"",OR($C$4="",ISNUMBER(SEARCH($C$4,C3286&amp;" "&amp;E3286&amp;" "&amp;G3286&amp;" "&amp;H3286&amp;" "&amp;I3286&amp;" "&amp;J3286&amp;" "&amp;K3286&amp;" "&amp;L3286))),OR($C$5="Semua",$C$5="",G3286=$C$5),OR($C$6="Semua",$C$6="",H3286=$C$6,H3286="Pengeluaran "&amp;$C$6,AND($C$6="Uang Kos Mama",H3286="Pengeluaran Uang Kos")),OR($C$7="Semua",$C$7="",I3286=$C$7),OR($C$8="Semua",$C$8="",C3286=$C$8,E3286=$C$8),OR($C$9="Semua",$C$9="",D3286=$C$9),OR($C$10="",B3286&gt;=$C$10),OR($C$11="",B3286&lt;=$C$11),OR($C$12&lt;&gt;"Ya",K3286&lt;&gt;""),OR($C$13="Semua",$C$13="",L3286=$C$13)),"✓","")</f>
        <v/>
      </c>
      <c r="N3286" s="93">
        <f>N(N3285)+IF(M3286="✓",1,0)</f>
        <v/>
      </c>
      <c r="O3286" s="93">
        <f>N(O3285)+IF(AND(B3286&lt;&gt;"",B3286&gt;='Uang Riba'!$H$30,B3286&lt;='Uang Riba'!$I$30,OR(H3286="Dana riba",H3286="Pinjam uang riba",I3286="Pinjam dari uang riba",I3286="Ganti uang riba",I3286="Kelebihan ganti dikembalikan",AND(C3286="Kantong Uang Riba",G3286="Pengeluaran"))),1,0)</f>
        <v/>
      </c>
      <c r="X3286" s="93">
        <f>IF(AND(B3286&lt;&gt;"",B3286&gt;='Buku Akun'!$H$4,B3286&lt;='Buku Akun'!$H$5,OR(C3286='Buku Akun'!$C$4,AND(D3286="Pindah",E3286='Buku Akun'!$C$4))),B3286+IF(AND(I3286="Selisih bunga",DAY(B3286)=1),0,0.01)+ROW()/10000000,"")</f>
        <v/>
      </c>
    </row>
    <row r="3287" outlineLevel="1" ht="15" customHeight="1" s="94">
      <c r="A3287" s="123">
        <f>IF(B3287="","",ROW()-15)</f>
        <v/>
      </c>
      <c r="B3287" s="124" t="n"/>
      <c r="C3287" s="123" t="n"/>
      <c r="D3287" s="123" t="n"/>
      <c r="E3287" s="123" t="n"/>
      <c r="F3287" s="125" t="n"/>
      <c r="G3287" s="123" t="n"/>
      <c r="H3287" s="123" t="n"/>
      <c r="I3287" s="123" t="n"/>
      <c r="J3287" s="123" t="n"/>
      <c r="K3287" s="123" t="n"/>
      <c r="L3287" s="123" t="n"/>
      <c r="M3287" s="123">
        <f>IF(AND(B3287&lt;&gt;"",OR($C$4="",ISNUMBER(SEARCH($C$4,C3287&amp;" "&amp;E3287&amp;" "&amp;G3287&amp;" "&amp;H3287&amp;" "&amp;I3287&amp;" "&amp;J3287&amp;" "&amp;K3287&amp;" "&amp;L3287))),OR($C$5="Semua",$C$5="",G3287=$C$5),OR($C$6="Semua",$C$6="",H3287=$C$6,H3287="Pengeluaran "&amp;$C$6,AND($C$6="Uang Kos Mama",H3287="Pengeluaran Uang Kos")),OR($C$7="Semua",$C$7="",I3287=$C$7),OR($C$8="Semua",$C$8="",C3287=$C$8,E3287=$C$8),OR($C$9="Semua",$C$9="",D3287=$C$9),OR($C$10="",B3287&gt;=$C$10),OR($C$11="",B3287&lt;=$C$11),OR($C$12&lt;&gt;"Ya",K3287&lt;&gt;""),OR($C$13="Semua",$C$13="",L3287=$C$13)),"✓","")</f>
        <v/>
      </c>
      <c r="N3287" s="93">
        <f>N(N3286)+IF(M3287="✓",1,0)</f>
        <v/>
      </c>
      <c r="O3287" s="93">
        <f>N(O3286)+IF(AND(B3287&lt;&gt;"",B3287&gt;='Uang Riba'!$H$30,B3287&lt;='Uang Riba'!$I$30,OR(H3287="Dana riba",H3287="Pinjam uang riba",I3287="Pinjam dari uang riba",I3287="Ganti uang riba",I3287="Kelebihan ganti dikembalikan",AND(C3287="Kantong Uang Riba",G3287="Pengeluaran"))),1,0)</f>
        <v/>
      </c>
      <c r="X3287" s="93">
        <f>IF(AND(B3287&lt;&gt;"",B3287&gt;='Buku Akun'!$H$4,B3287&lt;='Buku Akun'!$H$5,OR(C3287='Buku Akun'!$C$4,AND(D3287="Pindah",E3287='Buku Akun'!$C$4))),B3287+IF(AND(I3287="Selisih bunga",DAY(B3287)=1),0,0.01)+ROW()/10000000,"")</f>
        <v/>
      </c>
    </row>
    <row r="3288" outlineLevel="1" ht="15" customHeight="1" s="94">
      <c r="A3288" s="123">
        <f>IF(B3288="","",ROW()-15)</f>
        <v/>
      </c>
      <c r="B3288" s="124" t="n"/>
      <c r="C3288" s="123" t="n"/>
      <c r="D3288" s="123" t="n"/>
      <c r="E3288" s="123" t="n"/>
      <c r="F3288" s="125" t="n"/>
      <c r="G3288" s="123" t="n"/>
      <c r="H3288" s="123" t="n"/>
      <c r="I3288" s="123" t="n"/>
      <c r="J3288" s="123" t="n"/>
      <c r="K3288" s="123" t="n"/>
      <c r="L3288" s="123" t="n"/>
      <c r="M3288" s="123">
        <f>IF(AND(B3288&lt;&gt;"",OR($C$4="",ISNUMBER(SEARCH($C$4,C3288&amp;" "&amp;E3288&amp;" "&amp;G3288&amp;" "&amp;H3288&amp;" "&amp;I3288&amp;" "&amp;J3288&amp;" "&amp;K3288&amp;" "&amp;L3288))),OR($C$5="Semua",$C$5="",G3288=$C$5),OR($C$6="Semua",$C$6="",H3288=$C$6,H3288="Pengeluaran "&amp;$C$6,AND($C$6="Uang Kos Mama",H3288="Pengeluaran Uang Kos")),OR($C$7="Semua",$C$7="",I3288=$C$7),OR($C$8="Semua",$C$8="",C3288=$C$8,E3288=$C$8),OR($C$9="Semua",$C$9="",D3288=$C$9),OR($C$10="",B3288&gt;=$C$10),OR($C$11="",B3288&lt;=$C$11),OR($C$12&lt;&gt;"Ya",K3288&lt;&gt;""),OR($C$13="Semua",$C$13="",L3288=$C$13)),"✓","")</f>
        <v/>
      </c>
      <c r="N3288" s="93">
        <f>N(N3287)+IF(M3288="✓",1,0)</f>
        <v/>
      </c>
      <c r="O3288" s="93">
        <f>N(O3287)+IF(AND(B3288&lt;&gt;"",B3288&gt;='Uang Riba'!$H$30,B3288&lt;='Uang Riba'!$I$30,OR(H3288="Dana riba",H3288="Pinjam uang riba",I3288="Pinjam dari uang riba",I3288="Ganti uang riba",I3288="Kelebihan ganti dikembalikan",AND(C3288="Kantong Uang Riba",G3288="Pengeluaran"))),1,0)</f>
        <v/>
      </c>
      <c r="X3288" s="93">
        <f>IF(AND(B3288&lt;&gt;"",B3288&gt;='Buku Akun'!$H$4,B3288&lt;='Buku Akun'!$H$5,OR(C3288='Buku Akun'!$C$4,AND(D3288="Pindah",E3288='Buku Akun'!$C$4))),B3288+IF(AND(I3288="Selisih bunga",DAY(B3288)=1),0,0.01)+ROW()/10000000,"")</f>
        <v/>
      </c>
    </row>
    <row r="3289" outlineLevel="1" ht="15" customHeight="1" s="94">
      <c r="A3289" s="123">
        <f>IF(B3289="","",ROW()-15)</f>
        <v/>
      </c>
      <c r="B3289" s="124" t="n"/>
      <c r="C3289" s="123" t="n"/>
      <c r="D3289" s="123" t="n"/>
      <c r="E3289" s="123" t="n"/>
      <c r="F3289" s="125" t="n"/>
      <c r="G3289" s="123" t="n"/>
      <c r="H3289" s="123" t="n"/>
      <c r="I3289" s="123" t="n"/>
      <c r="J3289" s="123" t="n"/>
      <c r="K3289" s="123" t="n"/>
      <c r="L3289" s="123" t="n"/>
      <c r="M3289" s="123">
        <f>IF(AND(B3289&lt;&gt;"",OR($C$4="",ISNUMBER(SEARCH($C$4,C3289&amp;" "&amp;E3289&amp;" "&amp;G3289&amp;" "&amp;H3289&amp;" "&amp;I3289&amp;" "&amp;J3289&amp;" "&amp;K3289&amp;" "&amp;L3289))),OR($C$5="Semua",$C$5="",G3289=$C$5),OR($C$6="Semua",$C$6="",H3289=$C$6,H3289="Pengeluaran "&amp;$C$6,AND($C$6="Uang Kos Mama",H3289="Pengeluaran Uang Kos")),OR($C$7="Semua",$C$7="",I3289=$C$7),OR($C$8="Semua",$C$8="",C3289=$C$8,E3289=$C$8),OR($C$9="Semua",$C$9="",D3289=$C$9),OR($C$10="",B3289&gt;=$C$10),OR($C$11="",B3289&lt;=$C$11),OR($C$12&lt;&gt;"Ya",K3289&lt;&gt;""),OR($C$13="Semua",$C$13="",L3289=$C$13)),"✓","")</f>
        <v/>
      </c>
      <c r="N3289" s="93">
        <f>N(N3288)+IF(M3289="✓",1,0)</f>
        <v/>
      </c>
      <c r="O3289" s="93">
        <f>N(O3288)+IF(AND(B3289&lt;&gt;"",B3289&gt;='Uang Riba'!$H$30,B3289&lt;='Uang Riba'!$I$30,OR(H3289="Dana riba",H3289="Pinjam uang riba",I3289="Pinjam dari uang riba",I3289="Ganti uang riba",I3289="Kelebihan ganti dikembalikan",AND(C3289="Kantong Uang Riba",G3289="Pengeluaran"))),1,0)</f>
        <v/>
      </c>
      <c r="X3289" s="93">
        <f>IF(AND(B3289&lt;&gt;"",B3289&gt;='Buku Akun'!$H$4,B3289&lt;='Buku Akun'!$H$5,OR(C3289='Buku Akun'!$C$4,AND(D3289="Pindah",E3289='Buku Akun'!$C$4))),B3289+IF(AND(I3289="Selisih bunga",DAY(B3289)=1),0,0.01)+ROW()/10000000,"")</f>
        <v/>
      </c>
    </row>
    <row r="3290" outlineLevel="1" ht="15" customHeight="1" s="94">
      <c r="A3290" s="123">
        <f>IF(B3290="","",ROW()-15)</f>
        <v/>
      </c>
      <c r="B3290" s="124" t="n"/>
      <c r="C3290" s="123" t="n"/>
      <c r="D3290" s="123" t="n"/>
      <c r="E3290" s="123" t="n"/>
      <c r="F3290" s="125" t="n"/>
      <c r="G3290" s="123" t="n"/>
      <c r="H3290" s="123" t="n"/>
      <c r="I3290" s="123" t="n"/>
      <c r="J3290" s="123" t="n"/>
      <c r="K3290" s="123" t="n"/>
      <c r="L3290" s="123" t="n"/>
      <c r="M3290" s="123">
        <f>IF(AND(B3290&lt;&gt;"",OR($C$4="",ISNUMBER(SEARCH($C$4,C3290&amp;" "&amp;E3290&amp;" "&amp;G3290&amp;" "&amp;H3290&amp;" "&amp;I3290&amp;" "&amp;J3290&amp;" "&amp;K3290&amp;" "&amp;L3290))),OR($C$5="Semua",$C$5="",G3290=$C$5),OR($C$6="Semua",$C$6="",H3290=$C$6,H3290="Pengeluaran "&amp;$C$6,AND($C$6="Uang Kos Mama",H3290="Pengeluaran Uang Kos")),OR($C$7="Semua",$C$7="",I3290=$C$7),OR($C$8="Semua",$C$8="",C3290=$C$8,E3290=$C$8),OR($C$9="Semua",$C$9="",D3290=$C$9),OR($C$10="",B3290&gt;=$C$10),OR($C$11="",B3290&lt;=$C$11),OR($C$12&lt;&gt;"Ya",K3290&lt;&gt;""),OR($C$13="Semua",$C$13="",L3290=$C$13)),"✓","")</f>
        <v/>
      </c>
      <c r="N3290" s="93">
        <f>N(N3289)+IF(M3290="✓",1,0)</f>
        <v/>
      </c>
      <c r="O3290" s="93">
        <f>N(O3289)+IF(AND(B3290&lt;&gt;"",B3290&gt;='Uang Riba'!$H$30,B3290&lt;='Uang Riba'!$I$30,OR(H3290="Dana riba",H3290="Pinjam uang riba",I3290="Pinjam dari uang riba",I3290="Ganti uang riba",I3290="Kelebihan ganti dikembalikan",AND(C3290="Kantong Uang Riba",G3290="Pengeluaran"))),1,0)</f>
        <v/>
      </c>
      <c r="X3290" s="93">
        <f>IF(AND(B3290&lt;&gt;"",B3290&gt;='Buku Akun'!$H$4,B3290&lt;='Buku Akun'!$H$5,OR(C3290='Buku Akun'!$C$4,AND(D3290="Pindah",E3290='Buku Akun'!$C$4))),B3290+IF(AND(I3290="Selisih bunga",DAY(B3290)=1),0,0.01)+ROW()/10000000,"")</f>
        <v/>
      </c>
    </row>
    <row r="3291" outlineLevel="1" ht="15" customHeight="1" s="94">
      <c r="A3291" s="123">
        <f>IF(B3291="","",ROW()-15)</f>
        <v/>
      </c>
      <c r="B3291" s="124" t="n"/>
      <c r="C3291" s="123" t="n"/>
      <c r="D3291" s="123" t="n"/>
      <c r="E3291" s="123" t="n"/>
      <c r="F3291" s="125" t="n"/>
      <c r="G3291" s="123" t="n"/>
      <c r="H3291" s="123" t="n"/>
      <c r="I3291" s="123" t="n"/>
      <c r="J3291" s="123" t="n"/>
      <c r="K3291" s="123" t="n"/>
      <c r="L3291" s="123" t="n"/>
      <c r="M3291" s="123">
        <f>IF(AND(B3291&lt;&gt;"",OR($C$4="",ISNUMBER(SEARCH($C$4,C3291&amp;" "&amp;E3291&amp;" "&amp;G3291&amp;" "&amp;H3291&amp;" "&amp;I3291&amp;" "&amp;J3291&amp;" "&amp;K3291&amp;" "&amp;L3291))),OR($C$5="Semua",$C$5="",G3291=$C$5),OR($C$6="Semua",$C$6="",H3291=$C$6,H3291="Pengeluaran "&amp;$C$6,AND($C$6="Uang Kos Mama",H3291="Pengeluaran Uang Kos")),OR($C$7="Semua",$C$7="",I3291=$C$7),OR($C$8="Semua",$C$8="",C3291=$C$8,E3291=$C$8),OR($C$9="Semua",$C$9="",D3291=$C$9),OR($C$10="",B3291&gt;=$C$10),OR($C$11="",B3291&lt;=$C$11),OR($C$12&lt;&gt;"Ya",K3291&lt;&gt;""),OR($C$13="Semua",$C$13="",L3291=$C$13)),"✓","")</f>
        <v/>
      </c>
      <c r="N3291" s="93">
        <f>N(N3290)+IF(M3291="✓",1,0)</f>
        <v/>
      </c>
      <c r="O3291" s="93">
        <f>N(O3290)+IF(AND(B3291&lt;&gt;"",B3291&gt;='Uang Riba'!$H$30,B3291&lt;='Uang Riba'!$I$30,OR(H3291="Dana riba",H3291="Pinjam uang riba",I3291="Pinjam dari uang riba",I3291="Ganti uang riba",I3291="Kelebihan ganti dikembalikan",AND(C3291="Kantong Uang Riba",G3291="Pengeluaran"))),1,0)</f>
        <v/>
      </c>
      <c r="X3291" s="93">
        <f>IF(AND(B3291&lt;&gt;"",B3291&gt;='Buku Akun'!$H$4,B3291&lt;='Buku Akun'!$H$5,OR(C3291='Buku Akun'!$C$4,AND(D3291="Pindah",E3291='Buku Akun'!$C$4))),B3291+IF(AND(I3291="Selisih bunga",DAY(B3291)=1),0,0.01)+ROW()/10000000,"")</f>
        <v/>
      </c>
    </row>
    <row r="3292" outlineLevel="1" ht="15" customHeight="1" s="94">
      <c r="A3292" s="123">
        <f>IF(B3292="","",ROW()-15)</f>
        <v/>
      </c>
      <c r="B3292" s="124" t="n"/>
      <c r="C3292" s="123" t="n"/>
      <c r="D3292" s="123" t="n"/>
      <c r="E3292" s="123" t="n"/>
      <c r="F3292" s="125" t="n"/>
      <c r="G3292" s="123" t="n"/>
      <c r="H3292" s="123" t="n"/>
      <c r="I3292" s="123" t="n"/>
      <c r="J3292" s="123" t="n"/>
      <c r="K3292" s="123" t="n"/>
      <c r="L3292" s="123" t="n"/>
      <c r="M3292" s="123">
        <f>IF(AND(B3292&lt;&gt;"",OR($C$4="",ISNUMBER(SEARCH($C$4,C3292&amp;" "&amp;E3292&amp;" "&amp;G3292&amp;" "&amp;H3292&amp;" "&amp;I3292&amp;" "&amp;J3292&amp;" "&amp;K3292&amp;" "&amp;L3292))),OR($C$5="Semua",$C$5="",G3292=$C$5),OR($C$6="Semua",$C$6="",H3292=$C$6,H3292="Pengeluaran "&amp;$C$6,AND($C$6="Uang Kos Mama",H3292="Pengeluaran Uang Kos")),OR($C$7="Semua",$C$7="",I3292=$C$7),OR($C$8="Semua",$C$8="",C3292=$C$8,E3292=$C$8),OR($C$9="Semua",$C$9="",D3292=$C$9),OR($C$10="",B3292&gt;=$C$10),OR($C$11="",B3292&lt;=$C$11),OR($C$12&lt;&gt;"Ya",K3292&lt;&gt;""),OR($C$13="Semua",$C$13="",L3292=$C$13)),"✓","")</f>
        <v/>
      </c>
      <c r="N3292" s="93">
        <f>N(N3291)+IF(M3292="✓",1,0)</f>
        <v/>
      </c>
      <c r="O3292" s="93">
        <f>N(O3291)+IF(AND(B3292&lt;&gt;"",B3292&gt;='Uang Riba'!$H$30,B3292&lt;='Uang Riba'!$I$30,OR(H3292="Dana riba",H3292="Pinjam uang riba",I3292="Pinjam dari uang riba",I3292="Ganti uang riba",I3292="Kelebihan ganti dikembalikan",AND(C3292="Kantong Uang Riba",G3292="Pengeluaran"))),1,0)</f>
        <v/>
      </c>
      <c r="X3292" s="93">
        <f>IF(AND(B3292&lt;&gt;"",B3292&gt;='Buku Akun'!$H$4,B3292&lt;='Buku Akun'!$H$5,OR(C3292='Buku Akun'!$C$4,AND(D3292="Pindah",E3292='Buku Akun'!$C$4))),B3292+IF(AND(I3292="Selisih bunga",DAY(B3292)=1),0,0.01)+ROW()/10000000,"")</f>
        <v/>
      </c>
    </row>
    <row r="3293" outlineLevel="1" ht="15" customHeight="1" s="94">
      <c r="A3293" s="123">
        <f>IF(B3293="","",ROW()-15)</f>
        <v/>
      </c>
      <c r="B3293" s="124" t="n"/>
      <c r="C3293" s="123" t="n"/>
      <c r="D3293" s="123" t="n"/>
      <c r="E3293" s="123" t="n"/>
      <c r="F3293" s="125" t="n"/>
      <c r="G3293" s="123" t="n"/>
      <c r="H3293" s="123" t="n"/>
      <c r="I3293" s="123" t="n"/>
      <c r="J3293" s="123" t="n"/>
      <c r="K3293" s="123" t="n"/>
      <c r="L3293" s="123" t="n"/>
      <c r="M3293" s="123">
        <f>IF(AND(B3293&lt;&gt;"",OR($C$4="",ISNUMBER(SEARCH($C$4,C3293&amp;" "&amp;E3293&amp;" "&amp;G3293&amp;" "&amp;H3293&amp;" "&amp;I3293&amp;" "&amp;J3293&amp;" "&amp;K3293&amp;" "&amp;L3293))),OR($C$5="Semua",$C$5="",G3293=$C$5),OR($C$6="Semua",$C$6="",H3293=$C$6,H3293="Pengeluaran "&amp;$C$6,AND($C$6="Uang Kos Mama",H3293="Pengeluaran Uang Kos")),OR($C$7="Semua",$C$7="",I3293=$C$7),OR($C$8="Semua",$C$8="",C3293=$C$8,E3293=$C$8),OR($C$9="Semua",$C$9="",D3293=$C$9),OR($C$10="",B3293&gt;=$C$10),OR($C$11="",B3293&lt;=$C$11),OR($C$12&lt;&gt;"Ya",K3293&lt;&gt;""),OR($C$13="Semua",$C$13="",L3293=$C$13)),"✓","")</f>
        <v/>
      </c>
      <c r="N3293" s="93">
        <f>N(N3292)+IF(M3293="✓",1,0)</f>
        <v/>
      </c>
      <c r="O3293" s="93">
        <f>N(O3292)+IF(AND(B3293&lt;&gt;"",B3293&gt;='Uang Riba'!$H$30,B3293&lt;='Uang Riba'!$I$30,OR(H3293="Dana riba",H3293="Pinjam uang riba",I3293="Pinjam dari uang riba",I3293="Ganti uang riba",I3293="Kelebihan ganti dikembalikan",AND(C3293="Kantong Uang Riba",G3293="Pengeluaran"))),1,0)</f>
        <v/>
      </c>
      <c r="X3293" s="93">
        <f>IF(AND(B3293&lt;&gt;"",B3293&gt;='Buku Akun'!$H$4,B3293&lt;='Buku Akun'!$H$5,OR(C3293='Buku Akun'!$C$4,AND(D3293="Pindah",E3293='Buku Akun'!$C$4))),B3293+IF(AND(I3293="Selisih bunga",DAY(B3293)=1),0,0.01)+ROW()/10000000,"")</f>
        <v/>
      </c>
    </row>
    <row r="3294" outlineLevel="1" ht="15" customHeight="1" s="94">
      <c r="A3294" s="123">
        <f>IF(B3294="","",ROW()-15)</f>
        <v/>
      </c>
      <c r="B3294" s="124" t="n"/>
      <c r="C3294" s="123" t="n"/>
      <c r="D3294" s="123" t="n"/>
      <c r="E3294" s="123" t="n"/>
      <c r="F3294" s="125" t="n"/>
      <c r="G3294" s="123" t="n"/>
      <c r="H3294" s="123" t="n"/>
      <c r="I3294" s="123" t="n"/>
      <c r="J3294" s="123" t="n"/>
      <c r="K3294" s="123" t="n"/>
      <c r="L3294" s="123" t="n"/>
      <c r="M3294" s="123">
        <f>IF(AND(B3294&lt;&gt;"",OR($C$4="",ISNUMBER(SEARCH($C$4,C3294&amp;" "&amp;E3294&amp;" "&amp;G3294&amp;" "&amp;H3294&amp;" "&amp;I3294&amp;" "&amp;J3294&amp;" "&amp;K3294&amp;" "&amp;L3294))),OR($C$5="Semua",$C$5="",G3294=$C$5),OR($C$6="Semua",$C$6="",H3294=$C$6,H3294="Pengeluaran "&amp;$C$6,AND($C$6="Uang Kos Mama",H3294="Pengeluaran Uang Kos")),OR($C$7="Semua",$C$7="",I3294=$C$7),OR($C$8="Semua",$C$8="",C3294=$C$8,E3294=$C$8),OR($C$9="Semua",$C$9="",D3294=$C$9),OR($C$10="",B3294&gt;=$C$10),OR($C$11="",B3294&lt;=$C$11),OR($C$12&lt;&gt;"Ya",K3294&lt;&gt;""),OR($C$13="Semua",$C$13="",L3294=$C$13)),"✓","")</f>
        <v/>
      </c>
      <c r="N3294" s="93">
        <f>N(N3293)+IF(M3294="✓",1,0)</f>
        <v/>
      </c>
      <c r="O3294" s="93">
        <f>N(O3293)+IF(AND(B3294&lt;&gt;"",B3294&gt;='Uang Riba'!$H$30,B3294&lt;='Uang Riba'!$I$30,OR(H3294="Dana riba",H3294="Pinjam uang riba",I3294="Pinjam dari uang riba",I3294="Ganti uang riba",I3294="Kelebihan ganti dikembalikan",AND(C3294="Kantong Uang Riba",G3294="Pengeluaran"))),1,0)</f>
        <v/>
      </c>
      <c r="X3294" s="93">
        <f>IF(AND(B3294&lt;&gt;"",B3294&gt;='Buku Akun'!$H$4,B3294&lt;='Buku Akun'!$H$5,OR(C3294='Buku Akun'!$C$4,AND(D3294="Pindah",E3294='Buku Akun'!$C$4))),B3294+IF(AND(I3294="Selisih bunga",DAY(B3294)=1),0,0.01)+ROW()/10000000,"")</f>
        <v/>
      </c>
    </row>
    <row r="3295" outlineLevel="1" ht="15" customHeight="1" s="94">
      <c r="A3295" s="123">
        <f>IF(B3295="","",ROW()-15)</f>
        <v/>
      </c>
      <c r="B3295" s="124" t="n"/>
      <c r="C3295" s="123" t="n"/>
      <c r="D3295" s="123" t="n"/>
      <c r="E3295" s="123" t="n"/>
      <c r="F3295" s="125" t="n"/>
      <c r="G3295" s="123" t="n"/>
      <c r="H3295" s="123" t="n"/>
      <c r="I3295" s="123" t="n"/>
      <c r="J3295" s="123" t="n"/>
      <c r="K3295" s="123" t="n"/>
      <c r="L3295" s="123" t="n"/>
      <c r="M3295" s="123">
        <f>IF(AND(B3295&lt;&gt;"",OR($C$4="",ISNUMBER(SEARCH($C$4,C3295&amp;" "&amp;E3295&amp;" "&amp;G3295&amp;" "&amp;H3295&amp;" "&amp;I3295&amp;" "&amp;J3295&amp;" "&amp;K3295&amp;" "&amp;L3295))),OR($C$5="Semua",$C$5="",G3295=$C$5),OR($C$6="Semua",$C$6="",H3295=$C$6,H3295="Pengeluaran "&amp;$C$6,AND($C$6="Uang Kos Mama",H3295="Pengeluaran Uang Kos")),OR($C$7="Semua",$C$7="",I3295=$C$7),OR($C$8="Semua",$C$8="",C3295=$C$8,E3295=$C$8),OR($C$9="Semua",$C$9="",D3295=$C$9),OR($C$10="",B3295&gt;=$C$10),OR($C$11="",B3295&lt;=$C$11),OR($C$12&lt;&gt;"Ya",K3295&lt;&gt;""),OR($C$13="Semua",$C$13="",L3295=$C$13)),"✓","")</f>
        <v/>
      </c>
      <c r="N3295" s="93">
        <f>N(N3294)+IF(M3295="✓",1,0)</f>
        <v/>
      </c>
      <c r="O3295" s="93">
        <f>N(O3294)+IF(AND(B3295&lt;&gt;"",B3295&gt;='Uang Riba'!$H$30,B3295&lt;='Uang Riba'!$I$30,OR(H3295="Dana riba",H3295="Pinjam uang riba",I3295="Pinjam dari uang riba",I3295="Ganti uang riba",I3295="Kelebihan ganti dikembalikan",AND(C3295="Kantong Uang Riba",G3295="Pengeluaran"))),1,0)</f>
        <v/>
      </c>
      <c r="X3295" s="93">
        <f>IF(AND(B3295&lt;&gt;"",B3295&gt;='Buku Akun'!$H$4,B3295&lt;='Buku Akun'!$H$5,OR(C3295='Buku Akun'!$C$4,AND(D3295="Pindah",E3295='Buku Akun'!$C$4))),B3295+IF(AND(I3295="Selisih bunga",DAY(B3295)=1),0,0.01)+ROW()/10000000,"")</f>
        <v/>
      </c>
    </row>
    <row r="3296" outlineLevel="1" ht="15" customHeight="1" s="94">
      <c r="A3296" s="123">
        <f>IF(B3296="","",ROW()-15)</f>
        <v/>
      </c>
      <c r="B3296" s="124" t="n"/>
      <c r="C3296" s="123" t="n"/>
      <c r="D3296" s="123" t="n"/>
      <c r="E3296" s="123" t="n"/>
      <c r="F3296" s="125" t="n"/>
      <c r="G3296" s="123" t="n"/>
      <c r="H3296" s="123" t="n"/>
      <c r="I3296" s="123" t="n"/>
      <c r="J3296" s="123" t="n"/>
      <c r="K3296" s="123" t="n"/>
      <c r="L3296" s="123" t="n"/>
      <c r="M3296" s="123">
        <f>IF(AND(B3296&lt;&gt;"",OR($C$4="",ISNUMBER(SEARCH($C$4,C3296&amp;" "&amp;E3296&amp;" "&amp;G3296&amp;" "&amp;H3296&amp;" "&amp;I3296&amp;" "&amp;J3296&amp;" "&amp;K3296&amp;" "&amp;L3296))),OR($C$5="Semua",$C$5="",G3296=$C$5),OR($C$6="Semua",$C$6="",H3296=$C$6,H3296="Pengeluaran "&amp;$C$6,AND($C$6="Uang Kos Mama",H3296="Pengeluaran Uang Kos")),OR($C$7="Semua",$C$7="",I3296=$C$7),OR($C$8="Semua",$C$8="",C3296=$C$8,E3296=$C$8),OR($C$9="Semua",$C$9="",D3296=$C$9),OR($C$10="",B3296&gt;=$C$10),OR($C$11="",B3296&lt;=$C$11),OR($C$12&lt;&gt;"Ya",K3296&lt;&gt;""),OR($C$13="Semua",$C$13="",L3296=$C$13)),"✓","")</f>
        <v/>
      </c>
      <c r="N3296" s="93">
        <f>N(N3295)+IF(M3296="✓",1,0)</f>
        <v/>
      </c>
      <c r="O3296" s="93">
        <f>N(O3295)+IF(AND(B3296&lt;&gt;"",B3296&gt;='Uang Riba'!$H$30,B3296&lt;='Uang Riba'!$I$30,OR(H3296="Dana riba",H3296="Pinjam uang riba",I3296="Pinjam dari uang riba",I3296="Ganti uang riba",I3296="Kelebihan ganti dikembalikan",AND(C3296="Kantong Uang Riba",G3296="Pengeluaran"))),1,0)</f>
        <v/>
      </c>
      <c r="X3296" s="93">
        <f>IF(AND(B3296&lt;&gt;"",B3296&gt;='Buku Akun'!$H$4,B3296&lt;='Buku Akun'!$H$5,OR(C3296='Buku Akun'!$C$4,AND(D3296="Pindah",E3296='Buku Akun'!$C$4))),B3296+IF(AND(I3296="Selisih bunga",DAY(B3296)=1),0,0.01)+ROW()/10000000,"")</f>
        <v/>
      </c>
    </row>
    <row r="3297" outlineLevel="1" ht="15" customHeight="1" s="94">
      <c r="A3297" s="123">
        <f>IF(B3297="","",ROW()-15)</f>
        <v/>
      </c>
      <c r="B3297" s="124" t="n"/>
      <c r="C3297" s="123" t="n"/>
      <c r="D3297" s="123" t="n"/>
      <c r="E3297" s="123" t="n"/>
      <c r="F3297" s="125" t="n"/>
      <c r="G3297" s="123" t="n"/>
      <c r="H3297" s="123" t="n"/>
      <c r="I3297" s="123" t="n"/>
      <c r="J3297" s="123" t="n"/>
      <c r="K3297" s="123" t="n"/>
      <c r="L3297" s="123" t="n"/>
      <c r="M3297" s="123">
        <f>IF(AND(B3297&lt;&gt;"",OR($C$4="",ISNUMBER(SEARCH($C$4,C3297&amp;" "&amp;E3297&amp;" "&amp;G3297&amp;" "&amp;H3297&amp;" "&amp;I3297&amp;" "&amp;J3297&amp;" "&amp;K3297&amp;" "&amp;L3297))),OR($C$5="Semua",$C$5="",G3297=$C$5),OR($C$6="Semua",$C$6="",H3297=$C$6,H3297="Pengeluaran "&amp;$C$6,AND($C$6="Uang Kos Mama",H3297="Pengeluaran Uang Kos")),OR($C$7="Semua",$C$7="",I3297=$C$7),OR($C$8="Semua",$C$8="",C3297=$C$8,E3297=$C$8),OR($C$9="Semua",$C$9="",D3297=$C$9),OR($C$10="",B3297&gt;=$C$10),OR($C$11="",B3297&lt;=$C$11),OR($C$12&lt;&gt;"Ya",K3297&lt;&gt;""),OR($C$13="Semua",$C$13="",L3297=$C$13)),"✓","")</f>
        <v/>
      </c>
      <c r="N3297" s="93">
        <f>N(N3296)+IF(M3297="✓",1,0)</f>
        <v/>
      </c>
      <c r="O3297" s="93">
        <f>N(O3296)+IF(AND(B3297&lt;&gt;"",B3297&gt;='Uang Riba'!$H$30,B3297&lt;='Uang Riba'!$I$30,OR(H3297="Dana riba",H3297="Pinjam uang riba",I3297="Pinjam dari uang riba",I3297="Ganti uang riba",I3297="Kelebihan ganti dikembalikan",AND(C3297="Kantong Uang Riba",G3297="Pengeluaran"))),1,0)</f>
        <v/>
      </c>
      <c r="X3297" s="93">
        <f>IF(AND(B3297&lt;&gt;"",B3297&gt;='Buku Akun'!$H$4,B3297&lt;='Buku Akun'!$H$5,OR(C3297='Buku Akun'!$C$4,AND(D3297="Pindah",E3297='Buku Akun'!$C$4))),B3297+IF(AND(I3297="Selisih bunga",DAY(B3297)=1),0,0.01)+ROW()/10000000,"")</f>
        <v/>
      </c>
    </row>
    <row r="3298" outlineLevel="1" ht="15" customHeight="1" s="94">
      <c r="A3298" s="123">
        <f>IF(B3298="","",ROW()-15)</f>
        <v/>
      </c>
      <c r="B3298" s="124" t="n"/>
      <c r="C3298" s="123" t="n"/>
      <c r="D3298" s="123" t="n"/>
      <c r="E3298" s="123" t="n"/>
      <c r="F3298" s="125" t="n"/>
      <c r="G3298" s="123" t="n"/>
      <c r="H3298" s="123" t="n"/>
      <c r="I3298" s="123" t="n"/>
      <c r="J3298" s="123" t="n"/>
      <c r="K3298" s="123" t="n"/>
      <c r="L3298" s="123" t="n"/>
      <c r="M3298" s="123">
        <f>IF(AND(B3298&lt;&gt;"",OR($C$4="",ISNUMBER(SEARCH($C$4,C3298&amp;" "&amp;E3298&amp;" "&amp;G3298&amp;" "&amp;H3298&amp;" "&amp;I3298&amp;" "&amp;J3298&amp;" "&amp;K3298&amp;" "&amp;L3298))),OR($C$5="Semua",$C$5="",G3298=$C$5),OR($C$6="Semua",$C$6="",H3298=$C$6,H3298="Pengeluaran "&amp;$C$6,AND($C$6="Uang Kos Mama",H3298="Pengeluaran Uang Kos")),OR($C$7="Semua",$C$7="",I3298=$C$7),OR($C$8="Semua",$C$8="",C3298=$C$8,E3298=$C$8),OR($C$9="Semua",$C$9="",D3298=$C$9),OR($C$10="",B3298&gt;=$C$10),OR($C$11="",B3298&lt;=$C$11),OR($C$12&lt;&gt;"Ya",K3298&lt;&gt;""),OR($C$13="Semua",$C$13="",L3298=$C$13)),"✓","")</f>
        <v/>
      </c>
      <c r="N3298" s="93">
        <f>N(N3297)+IF(M3298="✓",1,0)</f>
        <v/>
      </c>
      <c r="O3298" s="93">
        <f>N(O3297)+IF(AND(B3298&lt;&gt;"",B3298&gt;='Uang Riba'!$H$30,B3298&lt;='Uang Riba'!$I$30,OR(H3298="Dana riba",H3298="Pinjam uang riba",I3298="Pinjam dari uang riba",I3298="Ganti uang riba",I3298="Kelebihan ganti dikembalikan",AND(C3298="Kantong Uang Riba",G3298="Pengeluaran"))),1,0)</f>
        <v/>
      </c>
      <c r="X3298" s="93">
        <f>IF(AND(B3298&lt;&gt;"",B3298&gt;='Buku Akun'!$H$4,B3298&lt;='Buku Akun'!$H$5,OR(C3298='Buku Akun'!$C$4,AND(D3298="Pindah",E3298='Buku Akun'!$C$4))),B3298+IF(AND(I3298="Selisih bunga",DAY(B3298)=1),0,0.01)+ROW()/10000000,"")</f>
        <v/>
      </c>
    </row>
    <row r="3299" outlineLevel="1" ht="15" customHeight="1" s="94">
      <c r="A3299" s="123">
        <f>IF(B3299="","",ROW()-15)</f>
        <v/>
      </c>
      <c r="B3299" s="124" t="n"/>
      <c r="C3299" s="123" t="n"/>
      <c r="D3299" s="123" t="n"/>
      <c r="E3299" s="123" t="n"/>
      <c r="F3299" s="125" t="n"/>
      <c r="G3299" s="123" t="n"/>
      <c r="H3299" s="123" t="n"/>
      <c r="I3299" s="123" t="n"/>
      <c r="J3299" s="123" t="n"/>
      <c r="K3299" s="123" t="n"/>
      <c r="L3299" s="123" t="n"/>
      <c r="M3299" s="123">
        <f>IF(AND(B3299&lt;&gt;"",OR($C$4="",ISNUMBER(SEARCH($C$4,C3299&amp;" "&amp;E3299&amp;" "&amp;G3299&amp;" "&amp;H3299&amp;" "&amp;I3299&amp;" "&amp;J3299&amp;" "&amp;K3299&amp;" "&amp;L3299))),OR($C$5="Semua",$C$5="",G3299=$C$5),OR($C$6="Semua",$C$6="",H3299=$C$6,H3299="Pengeluaran "&amp;$C$6,AND($C$6="Uang Kos Mama",H3299="Pengeluaran Uang Kos")),OR($C$7="Semua",$C$7="",I3299=$C$7),OR($C$8="Semua",$C$8="",C3299=$C$8,E3299=$C$8),OR($C$9="Semua",$C$9="",D3299=$C$9),OR($C$10="",B3299&gt;=$C$10),OR($C$11="",B3299&lt;=$C$11),OR($C$12&lt;&gt;"Ya",K3299&lt;&gt;""),OR($C$13="Semua",$C$13="",L3299=$C$13)),"✓","")</f>
        <v/>
      </c>
      <c r="N3299" s="93">
        <f>N(N3298)+IF(M3299="✓",1,0)</f>
        <v/>
      </c>
      <c r="O3299" s="93">
        <f>N(O3298)+IF(AND(B3299&lt;&gt;"",B3299&gt;='Uang Riba'!$H$30,B3299&lt;='Uang Riba'!$I$30,OR(H3299="Dana riba",H3299="Pinjam uang riba",I3299="Pinjam dari uang riba",I3299="Ganti uang riba",I3299="Kelebihan ganti dikembalikan",AND(C3299="Kantong Uang Riba",G3299="Pengeluaran"))),1,0)</f>
        <v/>
      </c>
      <c r="X3299" s="93">
        <f>IF(AND(B3299&lt;&gt;"",B3299&gt;='Buku Akun'!$H$4,B3299&lt;='Buku Akun'!$H$5,OR(C3299='Buku Akun'!$C$4,AND(D3299="Pindah",E3299='Buku Akun'!$C$4))),B3299+IF(AND(I3299="Selisih bunga",DAY(B3299)=1),0,0.01)+ROW()/10000000,"")</f>
        <v/>
      </c>
    </row>
    <row r="3300" outlineLevel="1" ht="15" customHeight="1" s="94">
      <c r="A3300" s="123">
        <f>IF(B3300="","",ROW()-15)</f>
        <v/>
      </c>
      <c r="B3300" s="124" t="n"/>
      <c r="C3300" s="123" t="n"/>
      <c r="D3300" s="123" t="n"/>
      <c r="E3300" s="123" t="n"/>
      <c r="F3300" s="125" t="n"/>
      <c r="G3300" s="123" t="n"/>
      <c r="H3300" s="123" t="n"/>
      <c r="I3300" s="123" t="n"/>
      <c r="J3300" s="123" t="n"/>
      <c r="K3300" s="123" t="n"/>
      <c r="L3300" s="123" t="n"/>
      <c r="M3300" s="123">
        <f>IF(AND(B3300&lt;&gt;"",OR($C$4="",ISNUMBER(SEARCH($C$4,C3300&amp;" "&amp;E3300&amp;" "&amp;G3300&amp;" "&amp;H3300&amp;" "&amp;I3300&amp;" "&amp;J3300&amp;" "&amp;K3300&amp;" "&amp;L3300))),OR($C$5="Semua",$C$5="",G3300=$C$5),OR($C$6="Semua",$C$6="",H3300=$C$6,H3300="Pengeluaran "&amp;$C$6,AND($C$6="Uang Kos Mama",H3300="Pengeluaran Uang Kos")),OR($C$7="Semua",$C$7="",I3300=$C$7),OR($C$8="Semua",$C$8="",C3300=$C$8,E3300=$C$8),OR($C$9="Semua",$C$9="",D3300=$C$9),OR($C$10="",B3300&gt;=$C$10),OR($C$11="",B3300&lt;=$C$11),OR($C$12&lt;&gt;"Ya",K3300&lt;&gt;""),OR($C$13="Semua",$C$13="",L3300=$C$13)),"✓","")</f>
        <v/>
      </c>
      <c r="N3300" s="93">
        <f>N(N3299)+IF(M3300="✓",1,0)</f>
        <v/>
      </c>
      <c r="O3300" s="93">
        <f>N(O3299)+IF(AND(B3300&lt;&gt;"",B3300&gt;='Uang Riba'!$H$30,B3300&lt;='Uang Riba'!$I$30,OR(H3300="Dana riba",H3300="Pinjam uang riba",I3300="Pinjam dari uang riba",I3300="Ganti uang riba",I3300="Kelebihan ganti dikembalikan",AND(C3300="Kantong Uang Riba",G3300="Pengeluaran"))),1,0)</f>
        <v/>
      </c>
      <c r="X3300" s="93">
        <f>IF(AND(B3300&lt;&gt;"",B3300&gt;='Buku Akun'!$H$4,B3300&lt;='Buku Akun'!$H$5,OR(C3300='Buku Akun'!$C$4,AND(D3300="Pindah",E3300='Buku Akun'!$C$4))),B3300+IF(AND(I3300="Selisih bunga",DAY(B3300)=1),0,0.01)+ROW()/10000000,"")</f>
        <v/>
      </c>
    </row>
    <row r="3301" outlineLevel="1" ht="15" customHeight="1" s="94">
      <c r="A3301" s="123">
        <f>IF(B3301="","",ROW()-15)</f>
        <v/>
      </c>
      <c r="B3301" s="124" t="n"/>
      <c r="C3301" s="123" t="n"/>
      <c r="D3301" s="123" t="n"/>
      <c r="E3301" s="123" t="n"/>
      <c r="F3301" s="125" t="n"/>
      <c r="G3301" s="123" t="n"/>
      <c r="H3301" s="123" t="n"/>
      <c r="I3301" s="123" t="n"/>
      <c r="J3301" s="123" t="n"/>
      <c r="K3301" s="123" t="n"/>
      <c r="L3301" s="123" t="n"/>
      <c r="M3301" s="123">
        <f>IF(AND(B3301&lt;&gt;"",OR($C$4="",ISNUMBER(SEARCH($C$4,C3301&amp;" "&amp;E3301&amp;" "&amp;G3301&amp;" "&amp;H3301&amp;" "&amp;I3301&amp;" "&amp;J3301&amp;" "&amp;K3301&amp;" "&amp;L3301))),OR($C$5="Semua",$C$5="",G3301=$C$5),OR($C$6="Semua",$C$6="",H3301=$C$6,H3301="Pengeluaran "&amp;$C$6,AND($C$6="Uang Kos Mama",H3301="Pengeluaran Uang Kos")),OR($C$7="Semua",$C$7="",I3301=$C$7),OR($C$8="Semua",$C$8="",C3301=$C$8,E3301=$C$8),OR($C$9="Semua",$C$9="",D3301=$C$9),OR($C$10="",B3301&gt;=$C$10),OR($C$11="",B3301&lt;=$C$11),OR($C$12&lt;&gt;"Ya",K3301&lt;&gt;""),OR($C$13="Semua",$C$13="",L3301=$C$13)),"✓","")</f>
        <v/>
      </c>
      <c r="N3301" s="93">
        <f>N(N3300)+IF(M3301="✓",1,0)</f>
        <v/>
      </c>
      <c r="O3301" s="93">
        <f>N(O3300)+IF(AND(B3301&lt;&gt;"",B3301&gt;='Uang Riba'!$H$30,B3301&lt;='Uang Riba'!$I$30,OR(H3301="Dana riba",H3301="Pinjam uang riba",I3301="Pinjam dari uang riba",I3301="Ganti uang riba",I3301="Kelebihan ganti dikembalikan",AND(C3301="Kantong Uang Riba",G3301="Pengeluaran"))),1,0)</f>
        <v/>
      </c>
      <c r="X3301" s="93">
        <f>IF(AND(B3301&lt;&gt;"",B3301&gt;='Buku Akun'!$H$4,B3301&lt;='Buku Akun'!$H$5,OR(C3301='Buku Akun'!$C$4,AND(D3301="Pindah",E3301='Buku Akun'!$C$4))),B3301+IF(AND(I3301="Selisih bunga",DAY(B3301)=1),0,0.01)+ROW()/10000000,"")</f>
        <v/>
      </c>
    </row>
    <row r="3302" outlineLevel="1" ht="15" customHeight="1" s="94">
      <c r="A3302" s="123">
        <f>IF(B3302="","",ROW()-15)</f>
        <v/>
      </c>
      <c r="B3302" s="124" t="n"/>
      <c r="C3302" s="123" t="n"/>
      <c r="D3302" s="123" t="n"/>
      <c r="E3302" s="123" t="n"/>
      <c r="F3302" s="125" t="n"/>
      <c r="G3302" s="123" t="n"/>
      <c r="H3302" s="123" t="n"/>
      <c r="I3302" s="123" t="n"/>
      <c r="J3302" s="123" t="n"/>
      <c r="K3302" s="123" t="n"/>
      <c r="L3302" s="123" t="n"/>
      <c r="M3302" s="123">
        <f>IF(AND(B3302&lt;&gt;"",OR($C$4="",ISNUMBER(SEARCH($C$4,C3302&amp;" "&amp;E3302&amp;" "&amp;G3302&amp;" "&amp;H3302&amp;" "&amp;I3302&amp;" "&amp;J3302&amp;" "&amp;K3302&amp;" "&amp;L3302))),OR($C$5="Semua",$C$5="",G3302=$C$5),OR($C$6="Semua",$C$6="",H3302=$C$6,H3302="Pengeluaran "&amp;$C$6,AND($C$6="Uang Kos Mama",H3302="Pengeluaran Uang Kos")),OR($C$7="Semua",$C$7="",I3302=$C$7),OR($C$8="Semua",$C$8="",C3302=$C$8,E3302=$C$8),OR($C$9="Semua",$C$9="",D3302=$C$9),OR($C$10="",B3302&gt;=$C$10),OR($C$11="",B3302&lt;=$C$11),OR($C$12&lt;&gt;"Ya",K3302&lt;&gt;""),OR($C$13="Semua",$C$13="",L3302=$C$13)),"✓","")</f>
        <v/>
      </c>
      <c r="N3302" s="93">
        <f>N(N3301)+IF(M3302="✓",1,0)</f>
        <v/>
      </c>
      <c r="O3302" s="93">
        <f>N(O3301)+IF(AND(B3302&lt;&gt;"",B3302&gt;='Uang Riba'!$H$30,B3302&lt;='Uang Riba'!$I$30,OR(H3302="Dana riba",H3302="Pinjam uang riba",I3302="Pinjam dari uang riba",I3302="Ganti uang riba",I3302="Kelebihan ganti dikembalikan",AND(C3302="Kantong Uang Riba",G3302="Pengeluaran"))),1,0)</f>
        <v/>
      </c>
      <c r="X3302" s="93">
        <f>IF(AND(B3302&lt;&gt;"",B3302&gt;='Buku Akun'!$H$4,B3302&lt;='Buku Akun'!$H$5,OR(C3302='Buku Akun'!$C$4,AND(D3302="Pindah",E3302='Buku Akun'!$C$4))),B3302+IF(AND(I3302="Selisih bunga",DAY(B3302)=1),0,0.01)+ROW()/10000000,"")</f>
        <v/>
      </c>
    </row>
    <row r="3303" outlineLevel="1" ht="15" customHeight="1" s="94">
      <c r="A3303" s="123">
        <f>IF(B3303="","",ROW()-15)</f>
        <v/>
      </c>
      <c r="B3303" s="124" t="n"/>
      <c r="C3303" s="123" t="n"/>
      <c r="D3303" s="123" t="n"/>
      <c r="E3303" s="123" t="n"/>
      <c r="F3303" s="125" t="n"/>
      <c r="G3303" s="123" t="n"/>
      <c r="H3303" s="123" t="n"/>
      <c r="I3303" s="123" t="n"/>
      <c r="J3303" s="123" t="n"/>
      <c r="K3303" s="123" t="n"/>
      <c r="L3303" s="123" t="n"/>
      <c r="M3303" s="123">
        <f>IF(AND(B3303&lt;&gt;"",OR($C$4="",ISNUMBER(SEARCH($C$4,C3303&amp;" "&amp;E3303&amp;" "&amp;G3303&amp;" "&amp;H3303&amp;" "&amp;I3303&amp;" "&amp;J3303&amp;" "&amp;K3303&amp;" "&amp;L3303))),OR($C$5="Semua",$C$5="",G3303=$C$5),OR($C$6="Semua",$C$6="",H3303=$C$6,H3303="Pengeluaran "&amp;$C$6,AND($C$6="Uang Kos Mama",H3303="Pengeluaran Uang Kos")),OR($C$7="Semua",$C$7="",I3303=$C$7),OR($C$8="Semua",$C$8="",C3303=$C$8,E3303=$C$8),OR($C$9="Semua",$C$9="",D3303=$C$9),OR($C$10="",B3303&gt;=$C$10),OR($C$11="",B3303&lt;=$C$11),OR($C$12&lt;&gt;"Ya",K3303&lt;&gt;""),OR($C$13="Semua",$C$13="",L3303=$C$13)),"✓","")</f>
        <v/>
      </c>
      <c r="N3303" s="93">
        <f>N(N3302)+IF(M3303="✓",1,0)</f>
        <v/>
      </c>
      <c r="O3303" s="93">
        <f>N(O3302)+IF(AND(B3303&lt;&gt;"",B3303&gt;='Uang Riba'!$H$30,B3303&lt;='Uang Riba'!$I$30,OR(H3303="Dana riba",H3303="Pinjam uang riba",I3303="Pinjam dari uang riba",I3303="Ganti uang riba",I3303="Kelebihan ganti dikembalikan",AND(C3303="Kantong Uang Riba",G3303="Pengeluaran"))),1,0)</f>
        <v/>
      </c>
      <c r="X3303" s="93">
        <f>IF(AND(B3303&lt;&gt;"",B3303&gt;='Buku Akun'!$H$4,B3303&lt;='Buku Akun'!$H$5,OR(C3303='Buku Akun'!$C$4,AND(D3303="Pindah",E3303='Buku Akun'!$C$4))),B3303+IF(AND(I3303="Selisih bunga",DAY(B3303)=1),0,0.01)+ROW()/10000000,"")</f>
        <v/>
      </c>
    </row>
    <row r="3304" outlineLevel="1" ht="15" customHeight="1" s="94">
      <c r="A3304" s="123">
        <f>IF(B3304="","",ROW()-15)</f>
        <v/>
      </c>
      <c r="B3304" s="124" t="n"/>
      <c r="C3304" s="123" t="n"/>
      <c r="D3304" s="123" t="n"/>
      <c r="E3304" s="123" t="n"/>
      <c r="F3304" s="125" t="n"/>
      <c r="G3304" s="123" t="n"/>
      <c r="H3304" s="123" t="n"/>
      <c r="I3304" s="123" t="n"/>
      <c r="J3304" s="123" t="n"/>
      <c r="K3304" s="123" t="n"/>
      <c r="L3304" s="123" t="n"/>
      <c r="M3304" s="123">
        <f>IF(AND(B3304&lt;&gt;"",OR($C$4="",ISNUMBER(SEARCH($C$4,C3304&amp;" "&amp;E3304&amp;" "&amp;G3304&amp;" "&amp;H3304&amp;" "&amp;I3304&amp;" "&amp;J3304&amp;" "&amp;K3304&amp;" "&amp;L3304))),OR($C$5="Semua",$C$5="",G3304=$C$5),OR($C$6="Semua",$C$6="",H3304=$C$6,H3304="Pengeluaran "&amp;$C$6,AND($C$6="Uang Kos Mama",H3304="Pengeluaran Uang Kos")),OR($C$7="Semua",$C$7="",I3304=$C$7),OR($C$8="Semua",$C$8="",C3304=$C$8,E3304=$C$8),OR($C$9="Semua",$C$9="",D3304=$C$9),OR($C$10="",B3304&gt;=$C$10),OR($C$11="",B3304&lt;=$C$11),OR($C$12&lt;&gt;"Ya",K3304&lt;&gt;""),OR($C$13="Semua",$C$13="",L3304=$C$13)),"✓","")</f>
        <v/>
      </c>
      <c r="N3304" s="93">
        <f>N(N3303)+IF(M3304="✓",1,0)</f>
        <v/>
      </c>
      <c r="O3304" s="93">
        <f>N(O3303)+IF(AND(B3304&lt;&gt;"",B3304&gt;='Uang Riba'!$H$30,B3304&lt;='Uang Riba'!$I$30,OR(H3304="Dana riba",H3304="Pinjam uang riba",I3304="Pinjam dari uang riba",I3304="Ganti uang riba",I3304="Kelebihan ganti dikembalikan",AND(C3304="Kantong Uang Riba",G3304="Pengeluaran"))),1,0)</f>
        <v/>
      </c>
      <c r="X3304" s="93">
        <f>IF(AND(B3304&lt;&gt;"",B3304&gt;='Buku Akun'!$H$4,B3304&lt;='Buku Akun'!$H$5,OR(C3304='Buku Akun'!$C$4,AND(D3304="Pindah",E3304='Buku Akun'!$C$4))),B3304+IF(AND(I3304="Selisih bunga",DAY(B3304)=1),0,0.01)+ROW()/10000000,"")</f>
        <v/>
      </c>
    </row>
    <row r="3305" outlineLevel="1" ht="15" customHeight="1" s="94">
      <c r="A3305" s="123">
        <f>IF(B3305="","",ROW()-15)</f>
        <v/>
      </c>
      <c r="B3305" s="124" t="n"/>
      <c r="C3305" s="123" t="n"/>
      <c r="D3305" s="123" t="n"/>
      <c r="E3305" s="123" t="n"/>
      <c r="F3305" s="125" t="n"/>
      <c r="G3305" s="123" t="n"/>
      <c r="H3305" s="123" t="n"/>
      <c r="I3305" s="123" t="n"/>
      <c r="J3305" s="123" t="n"/>
      <c r="K3305" s="123" t="n"/>
      <c r="L3305" s="123" t="n"/>
      <c r="M3305" s="123">
        <f>IF(AND(B3305&lt;&gt;"",OR($C$4="",ISNUMBER(SEARCH($C$4,C3305&amp;" "&amp;E3305&amp;" "&amp;G3305&amp;" "&amp;H3305&amp;" "&amp;I3305&amp;" "&amp;J3305&amp;" "&amp;K3305&amp;" "&amp;L3305))),OR($C$5="Semua",$C$5="",G3305=$C$5),OR($C$6="Semua",$C$6="",H3305=$C$6,H3305="Pengeluaran "&amp;$C$6,AND($C$6="Uang Kos Mama",H3305="Pengeluaran Uang Kos")),OR($C$7="Semua",$C$7="",I3305=$C$7),OR($C$8="Semua",$C$8="",C3305=$C$8,E3305=$C$8),OR($C$9="Semua",$C$9="",D3305=$C$9),OR($C$10="",B3305&gt;=$C$10),OR($C$11="",B3305&lt;=$C$11),OR($C$12&lt;&gt;"Ya",K3305&lt;&gt;""),OR($C$13="Semua",$C$13="",L3305=$C$13)),"✓","")</f>
        <v/>
      </c>
      <c r="N3305" s="93">
        <f>N(N3304)+IF(M3305="✓",1,0)</f>
        <v/>
      </c>
      <c r="O3305" s="93">
        <f>N(O3304)+IF(AND(B3305&lt;&gt;"",B3305&gt;='Uang Riba'!$H$30,B3305&lt;='Uang Riba'!$I$30,OR(H3305="Dana riba",H3305="Pinjam uang riba",I3305="Pinjam dari uang riba",I3305="Ganti uang riba",I3305="Kelebihan ganti dikembalikan",AND(C3305="Kantong Uang Riba",G3305="Pengeluaran"))),1,0)</f>
        <v/>
      </c>
      <c r="X3305" s="93">
        <f>IF(AND(B3305&lt;&gt;"",B3305&gt;='Buku Akun'!$H$4,B3305&lt;='Buku Akun'!$H$5,OR(C3305='Buku Akun'!$C$4,AND(D3305="Pindah",E3305='Buku Akun'!$C$4))),B3305+IF(AND(I3305="Selisih bunga",DAY(B3305)=1),0,0.01)+ROW()/10000000,"")</f>
        <v/>
      </c>
    </row>
    <row r="3306" outlineLevel="1" ht="15" customHeight="1" s="94">
      <c r="A3306" s="123">
        <f>IF(B3306="","",ROW()-15)</f>
        <v/>
      </c>
      <c r="B3306" s="124" t="n"/>
      <c r="C3306" s="123" t="n"/>
      <c r="D3306" s="123" t="n"/>
      <c r="E3306" s="123" t="n"/>
      <c r="F3306" s="125" t="n"/>
      <c r="G3306" s="123" t="n"/>
      <c r="H3306" s="123" t="n"/>
      <c r="I3306" s="123" t="n"/>
      <c r="J3306" s="123" t="n"/>
      <c r="K3306" s="123" t="n"/>
      <c r="L3306" s="123" t="n"/>
      <c r="M3306" s="123">
        <f>IF(AND(B3306&lt;&gt;"",OR($C$4="",ISNUMBER(SEARCH($C$4,C3306&amp;" "&amp;E3306&amp;" "&amp;G3306&amp;" "&amp;H3306&amp;" "&amp;I3306&amp;" "&amp;J3306&amp;" "&amp;K3306&amp;" "&amp;L3306))),OR($C$5="Semua",$C$5="",G3306=$C$5),OR($C$6="Semua",$C$6="",H3306=$C$6,H3306="Pengeluaran "&amp;$C$6,AND($C$6="Uang Kos Mama",H3306="Pengeluaran Uang Kos")),OR($C$7="Semua",$C$7="",I3306=$C$7),OR($C$8="Semua",$C$8="",C3306=$C$8,E3306=$C$8),OR($C$9="Semua",$C$9="",D3306=$C$9),OR($C$10="",B3306&gt;=$C$10),OR($C$11="",B3306&lt;=$C$11),OR($C$12&lt;&gt;"Ya",K3306&lt;&gt;""),OR($C$13="Semua",$C$13="",L3306=$C$13)),"✓","")</f>
        <v/>
      </c>
      <c r="N3306" s="93">
        <f>N(N3305)+IF(M3306="✓",1,0)</f>
        <v/>
      </c>
      <c r="O3306" s="93">
        <f>N(O3305)+IF(AND(B3306&lt;&gt;"",B3306&gt;='Uang Riba'!$H$30,B3306&lt;='Uang Riba'!$I$30,OR(H3306="Dana riba",H3306="Pinjam uang riba",I3306="Pinjam dari uang riba",I3306="Ganti uang riba",I3306="Kelebihan ganti dikembalikan",AND(C3306="Kantong Uang Riba",G3306="Pengeluaran"))),1,0)</f>
        <v/>
      </c>
      <c r="X3306" s="93">
        <f>IF(AND(B3306&lt;&gt;"",B3306&gt;='Buku Akun'!$H$4,B3306&lt;='Buku Akun'!$H$5,OR(C3306='Buku Akun'!$C$4,AND(D3306="Pindah",E3306='Buku Akun'!$C$4))),B3306+IF(AND(I3306="Selisih bunga",DAY(B3306)=1),0,0.01)+ROW()/10000000,"")</f>
        <v/>
      </c>
    </row>
    <row r="3307" outlineLevel="1" ht="15" customHeight="1" s="94">
      <c r="A3307" s="123">
        <f>IF(B3307="","",ROW()-15)</f>
        <v/>
      </c>
      <c r="B3307" s="124" t="n"/>
      <c r="C3307" s="123" t="n"/>
      <c r="D3307" s="123" t="n"/>
      <c r="E3307" s="123" t="n"/>
      <c r="F3307" s="125" t="n"/>
      <c r="G3307" s="123" t="n"/>
      <c r="H3307" s="123" t="n"/>
      <c r="I3307" s="123" t="n"/>
      <c r="J3307" s="123" t="n"/>
      <c r="K3307" s="123" t="n"/>
      <c r="L3307" s="123" t="n"/>
      <c r="M3307" s="123">
        <f>IF(AND(B3307&lt;&gt;"",OR($C$4="",ISNUMBER(SEARCH($C$4,C3307&amp;" "&amp;E3307&amp;" "&amp;G3307&amp;" "&amp;H3307&amp;" "&amp;I3307&amp;" "&amp;J3307&amp;" "&amp;K3307&amp;" "&amp;L3307))),OR($C$5="Semua",$C$5="",G3307=$C$5),OR($C$6="Semua",$C$6="",H3307=$C$6,H3307="Pengeluaran "&amp;$C$6,AND($C$6="Uang Kos Mama",H3307="Pengeluaran Uang Kos")),OR($C$7="Semua",$C$7="",I3307=$C$7),OR($C$8="Semua",$C$8="",C3307=$C$8,E3307=$C$8),OR($C$9="Semua",$C$9="",D3307=$C$9),OR($C$10="",B3307&gt;=$C$10),OR($C$11="",B3307&lt;=$C$11),OR($C$12&lt;&gt;"Ya",K3307&lt;&gt;""),OR($C$13="Semua",$C$13="",L3307=$C$13)),"✓","")</f>
        <v/>
      </c>
      <c r="N3307" s="93">
        <f>N(N3306)+IF(M3307="✓",1,0)</f>
        <v/>
      </c>
      <c r="O3307" s="93">
        <f>N(O3306)+IF(AND(B3307&lt;&gt;"",B3307&gt;='Uang Riba'!$H$30,B3307&lt;='Uang Riba'!$I$30,OR(H3307="Dana riba",H3307="Pinjam uang riba",I3307="Pinjam dari uang riba",I3307="Ganti uang riba",I3307="Kelebihan ganti dikembalikan",AND(C3307="Kantong Uang Riba",G3307="Pengeluaran"))),1,0)</f>
        <v/>
      </c>
      <c r="X3307" s="93">
        <f>IF(AND(B3307&lt;&gt;"",B3307&gt;='Buku Akun'!$H$4,B3307&lt;='Buku Akun'!$H$5,OR(C3307='Buku Akun'!$C$4,AND(D3307="Pindah",E3307='Buku Akun'!$C$4))),B3307+IF(AND(I3307="Selisih bunga",DAY(B3307)=1),0,0.01)+ROW()/10000000,"")</f>
        <v/>
      </c>
    </row>
    <row r="3308" outlineLevel="1" ht="15" customHeight="1" s="94">
      <c r="A3308" s="123">
        <f>IF(B3308="","",ROW()-15)</f>
        <v/>
      </c>
      <c r="B3308" s="124" t="n"/>
      <c r="C3308" s="123" t="n"/>
      <c r="D3308" s="123" t="n"/>
      <c r="E3308" s="123" t="n"/>
      <c r="F3308" s="125" t="n"/>
      <c r="G3308" s="123" t="n"/>
      <c r="H3308" s="123" t="n"/>
      <c r="I3308" s="123" t="n"/>
      <c r="J3308" s="123" t="n"/>
      <c r="K3308" s="123" t="n"/>
      <c r="L3308" s="123" t="n"/>
      <c r="M3308" s="123">
        <f>IF(AND(B3308&lt;&gt;"",OR($C$4="",ISNUMBER(SEARCH($C$4,C3308&amp;" "&amp;E3308&amp;" "&amp;G3308&amp;" "&amp;H3308&amp;" "&amp;I3308&amp;" "&amp;J3308&amp;" "&amp;K3308&amp;" "&amp;L3308))),OR($C$5="Semua",$C$5="",G3308=$C$5),OR($C$6="Semua",$C$6="",H3308=$C$6,H3308="Pengeluaran "&amp;$C$6,AND($C$6="Uang Kos Mama",H3308="Pengeluaran Uang Kos")),OR($C$7="Semua",$C$7="",I3308=$C$7),OR($C$8="Semua",$C$8="",C3308=$C$8,E3308=$C$8),OR($C$9="Semua",$C$9="",D3308=$C$9),OR($C$10="",B3308&gt;=$C$10),OR($C$11="",B3308&lt;=$C$11),OR($C$12&lt;&gt;"Ya",K3308&lt;&gt;""),OR($C$13="Semua",$C$13="",L3308=$C$13)),"✓","")</f>
        <v/>
      </c>
      <c r="N3308" s="93">
        <f>N(N3307)+IF(M3308="✓",1,0)</f>
        <v/>
      </c>
      <c r="O3308" s="93">
        <f>N(O3307)+IF(AND(B3308&lt;&gt;"",B3308&gt;='Uang Riba'!$H$30,B3308&lt;='Uang Riba'!$I$30,OR(H3308="Dana riba",H3308="Pinjam uang riba",I3308="Pinjam dari uang riba",I3308="Ganti uang riba",I3308="Kelebihan ganti dikembalikan",AND(C3308="Kantong Uang Riba",G3308="Pengeluaran"))),1,0)</f>
        <v/>
      </c>
      <c r="X3308" s="93">
        <f>IF(AND(B3308&lt;&gt;"",B3308&gt;='Buku Akun'!$H$4,B3308&lt;='Buku Akun'!$H$5,OR(C3308='Buku Akun'!$C$4,AND(D3308="Pindah",E3308='Buku Akun'!$C$4))),B3308+IF(AND(I3308="Selisih bunga",DAY(B3308)=1),0,0.01)+ROW()/10000000,"")</f>
        <v/>
      </c>
    </row>
    <row r="3309" outlineLevel="1" ht="15" customHeight="1" s="94">
      <c r="A3309" s="123">
        <f>IF(B3309="","",ROW()-15)</f>
        <v/>
      </c>
      <c r="B3309" s="124" t="n"/>
      <c r="C3309" s="123" t="n"/>
      <c r="D3309" s="123" t="n"/>
      <c r="E3309" s="123" t="n"/>
      <c r="F3309" s="125" t="n"/>
      <c r="G3309" s="123" t="n"/>
      <c r="H3309" s="123" t="n"/>
      <c r="I3309" s="123" t="n"/>
      <c r="J3309" s="123" t="n"/>
      <c r="K3309" s="123" t="n"/>
      <c r="L3309" s="123" t="n"/>
      <c r="M3309" s="123">
        <f>IF(AND(B3309&lt;&gt;"",OR($C$4="",ISNUMBER(SEARCH($C$4,C3309&amp;" "&amp;E3309&amp;" "&amp;G3309&amp;" "&amp;H3309&amp;" "&amp;I3309&amp;" "&amp;J3309&amp;" "&amp;K3309&amp;" "&amp;L3309))),OR($C$5="Semua",$C$5="",G3309=$C$5),OR($C$6="Semua",$C$6="",H3309=$C$6,H3309="Pengeluaran "&amp;$C$6,AND($C$6="Uang Kos Mama",H3309="Pengeluaran Uang Kos")),OR($C$7="Semua",$C$7="",I3309=$C$7),OR($C$8="Semua",$C$8="",C3309=$C$8,E3309=$C$8),OR($C$9="Semua",$C$9="",D3309=$C$9),OR($C$10="",B3309&gt;=$C$10),OR($C$11="",B3309&lt;=$C$11),OR($C$12&lt;&gt;"Ya",K3309&lt;&gt;""),OR($C$13="Semua",$C$13="",L3309=$C$13)),"✓","")</f>
        <v/>
      </c>
      <c r="N3309" s="93">
        <f>N(N3308)+IF(M3309="✓",1,0)</f>
        <v/>
      </c>
      <c r="O3309" s="93">
        <f>N(O3308)+IF(AND(B3309&lt;&gt;"",B3309&gt;='Uang Riba'!$H$30,B3309&lt;='Uang Riba'!$I$30,OR(H3309="Dana riba",H3309="Pinjam uang riba",I3309="Pinjam dari uang riba",I3309="Ganti uang riba",I3309="Kelebihan ganti dikembalikan",AND(C3309="Kantong Uang Riba",G3309="Pengeluaran"))),1,0)</f>
        <v/>
      </c>
      <c r="X3309" s="93">
        <f>IF(AND(B3309&lt;&gt;"",B3309&gt;='Buku Akun'!$H$4,B3309&lt;='Buku Akun'!$H$5,OR(C3309='Buku Akun'!$C$4,AND(D3309="Pindah",E3309='Buku Akun'!$C$4))),B3309+IF(AND(I3309="Selisih bunga",DAY(B3309)=1),0,0.01)+ROW()/10000000,"")</f>
        <v/>
      </c>
    </row>
    <row r="3310" outlineLevel="1" ht="15" customHeight="1" s="94">
      <c r="A3310" s="123">
        <f>IF(B3310="","",ROW()-15)</f>
        <v/>
      </c>
      <c r="B3310" s="124" t="n"/>
      <c r="C3310" s="123" t="n"/>
      <c r="D3310" s="123" t="n"/>
      <c r="E3310" s="123" t="n"/>
      <c r="F3310" s="125" t="n"/>
      <c r="G3310" s="123" t="n"/>
      <c r="H3310" s="123" t="n"/>
      <c r="I3310" s="123" t="n"/>
      <c r="J3310" s="123" t="n"/>
      <c r="K3310" s="123" t="n"/>
      <c r="L3310" s="123" t="n"/>
      <c r="M3310" s="123">
        <f>IF(AND(B3310&lt;&gt;"",OR($C$4="",ISNUMBER(SEARCH($C$4,C3310&amp;" "&amp;E3310&amp;" "&amp;G3310&amp;" "&amp;H3310&amp;" "&amp;I3310&amp;" "&amp;J3310&amp;" "&amp;K3310&amp;" "&amp;L3310))),OR($C$5="Semua",$C$5="",G3310=$C$5),OR($C$6="Semua",$C$6="",H3310=$C$6,H3310="Pengeluaran "&amp;$C$6,AND($C$6="Uang Kos Mama",H3310="Pengeluaran Uang Kos")),OR($C$7="Semua",$C$7="",I3310=$C$7),OR($C$8="Semua",$C$8="",C3310=$C$8,E3310=$C$8),OR($C$9="Semua",$C$9="",D3310=$C$9),OR($C$10="",B3310&gt;=$C$10),OR($C$11="",B3310&lt;=$C$11),OR($C$12&lt;&gt;"Ya",K3310&lt;&gt;""),OR($C$13="Semua",$C$13="",L3310=$C$13)),"✓","")</f>
        <v/>
      </c>
      <c r="N3310" s="93">
        <f>N(N3309)+IF(M3310="✓",1,0)</f>
        <v/>
      </c>
      <c r="O3310" s="93">
        <f>N(O3309)+IF(AND(B3310&lt;&gt;"",B3310&gt;='Uang Riba'!$H$30,B3310&lt;='Uang Riba'!$I$30,OR(H3310="Dana riba",H3310="Pinjam uang riba",I3310="Pinjam dari uang riba",I3310="Ganti uang riba",I3310="Kelebihan ganti dikembalikan",AND(C3310="Kantong Uang Riba",G3310="Pengeluaran"))),1,0)</f>
        <v/>
      </c>
      <c r="X3310" s="93">
        <f>IF(AND(B3310&lt;&gt;"",B3310&gt;='Buku Akun'!$H$4,B3310&lt;='Buku Akun'!$H$5,OR(C3310='Buku Akun'!$C$4,AND(D3310="Pindah",E3310='Buku Akun'!$C$4))),B3310+IF(AND(I3310="Selisih bunga",DAY(B3310)=1),0,0.01)+ROW()/10000000,"")</f>
        <v/>
      </c>
    </row>
    <row r="3311" outlineLevel="1" ht="15" customHeight="1" s="94">
      <c r="A3311" s="123">
        <f>IF(B3311="","",ROW()-15)</f>
        <v/>
      </c>
      <c r="B3311" s="124" t="n"/>
      <c r="C3311" s="123" t="n"/>
      <c r="D3311" s="123" t="n"/>
      <c r="E3311" s="123" t="n"/>
      <c r="F3311" s="125" t="n"/>
      <c r="G3311" s="123" t="n"/>
      <c r="H3311" s="123" t="n"/>
      <c r="I3311" s="123" t="n"/>
      <c r="J3311" s="123" t="n"/>
      <c r="K3311" s="123" t="n"/>
      <c r="L3311" s="123" t="n"/>
      <c r="M3311" s="123">
        <f>IF(AND(B3311&lt;&gt;"",OR($C$4="",ISNUMBER(SEARCH($C$4,C3311&amp;" "&amp;E3311&amp;" "&amp;G3311&amp;" "&amp;H3311&amp;" "&amp;I3311&amp;" "&amp;J3311&amp;" "&amp;K3311&amp;" "&amp;L3311))),OR($C$5="Semua",$C$5="",G3311=$C$5),OR($C$6="Semua",$C$6="",H3311=$C$6,H3311="Pengeluaran "&amp;$C$6,AND($C$6="Uang Kos Mama",H3311="Pengeluaran Uang Kos")),OR($C$7="Semua",$C$7="",I3311=$C$7),OR($C$8="Semua",$C$8="",C3311=$C$8,E3311=$C$8),OR($C$9="Semua",$C$9="",D3311=$C$9),OR($C$10="",B3311&gt;=$C$10),OR($C$11="",B3311&lt;=$C$11),OR($C$12&lt;&gt;"Ya",K3311&lt;&gt;""),OR($C$13="Semua",$C$13="",L3311=$C$13)),"✓","")</f>
        <v/>
      </c>
      <c r="N3311" s="93">
        <f>N(N3310)+IF(M3311="✓",1,0)</f>
        <v/>
      </c>
      <c r="O3311" s="93">
        <f>N(O3310)+IF(AND(B3311&lt;&gt;"",B3311&gt;='Uang Riba'!$H$30,B3311&lt;='Uang Riba'!$I$30,OR(H3311="Dana riba",H3311="Pinjam uang riba",I3311="Pinjam dari uang riba",I3311="Ganti uang riba",I3311="Kelebihan ganti dikembalikan",AND(C3311="Kantong Uang Riba",G3311="Pengeluaran"))),1,0)</f>
        <v/>
      </c>
      <c r="X3311" s="93">
        <f>IF(AND(B3311&lt;&gt;"",B3311&gt;='Buku Akun'!$H$4,B3311&lt;='Buku Akun'!$H$5,OR(C3311='Buku Akun'!$C$4,AND(D3311="Pindah",E3311='Buku Akun'!$C$4))),B3311+IF(AND(I3311="Selisih bunga",DAY(B3311)=1),0,0.01)+ROW()/10000000,"")</f>
        <v/>
      </c>
    </row>
    <row r="3312" outlineLevel="1" ht="15" customHeight="1" s="94">
      <c r="A3312" s="123">
        <f>IF(B3312="","",ROW()-15)</f>
        <v/>
      </c>
      <c r="B3312" s="124" t="n"/>
      <c r="C3312" s="123" t="n"/>
      <c r="D3312" s="123" t="n"/>
      <c r="E3312" s="123" t="n"/>
      <c r="F3312" s="125" t="n"/>
      <c r="G3312" s="123" t="n"/>
      <c r="H3312" s="123" t="n"/>
      <c r="I3312" s="123" t="n"/>
      <c r="J3312" s="123" t="n"/>
      <c r="K3312" s="123" t="n"/>
      <c r="L3312" s="123" t="n"/>
      <c r="M3312" s="123">
        <f>IF(AND(B3312&lt;&gt;"",OR($C$4="",ISNUMBER(SEARCH($C$4,C3312&amp;" "&amp;E3312&amp;" "&amp;G3312&amp;" "&amp;H3312&amp;" "&amp;I3312&amp;" "&amp;J3312&amp;" "&amp;K3312&amp;" "&amp;L3312))),OR($C$5="Semua",$C$5="",G3312=$C$5),OR($C$6="Semua",$C$6="",H3312=$C$6,H3312="Pengeluaran "&amp;$C$6,AND($C$6="Uang Kos Mama",H3312="Pengeluaran Uang Kos")),OR($C$7="Semua",$C$7="",I3312=$C$7),OR($C$8="Semua",$C$8="",C3312=$C$8,E3312=$C$8),OR($C$9="Semua",$C$9="",D3312=$C$9),OR($C$10="",B3312&gt;=$C$10),OR($C$11="",B3312&lt;=$C$11),OR($C$12&lt;&gt;"Ya",K3312&lt;&gt;""),OR($C$13="Semua",$C$13="",L3312=$C$13)),"✓","")</f>
        <v/>
      </c>
      <c r="N3312" s="93">
        <f>N(N3311)+IF(M3312="✓",1,0)</f>
        <v/>
      </c>
      <c r="O3312" s="93">
        <f>N(O3311)+IF(AND(B3312&lt;&gt;"",B3312&gt;='Uang Riba'!$H$30,B3312&lt;='Uang Riba'!$I$30,OR(H3312="Dana riba",H3312="Pinjam uang riba",I3312="Pinjam dari uang riba",I3312="Ganti uang riba",I3312="Kelebihan ganti dikembalikan",AND(C3312="Kantong Uang Riba",G3312="Pengeluaran"))),1,0)</f>
        <v/>
      </c>
      <c r="X3312" s="93">
        <f>IF(AND(B3312&lt;&gt;"",B3312&gt;='Buku Akun'!$H$4,B3312&lt;='Buku Akun'!$H$5,OR(C3312='Buku Akun'!$C$4,AND(D3312="Pindah",E3312='Buku Akun'!$C$4))),B3312+IF(AND(I3312="Selisih bunga",DAY(B3312)=1),0,0.01)+ROW()/10000000,"")</f>
        <v/>
      </c>
    </row>
    <row r="3313" outlineLevel="1" ht="15" customHeight="1" s="94">
      <c r="A3313" s="123">
        <f>IF(B3313="","",ROW()-15)</f>
        <v/>
      </c>
      <c r="B3313" s="124" t="n"/>
      <c r="C3313" s="123" t="n"/>
      <c r="D3313" s="123" t="n"/>
      <c r="E3313" s="123" t="n"/>
      <c r="F3313" s="125" t="n"/>
      <c r="G3313" s="123" t="n"/>
      <c r="H3313" s="123" t="n"/>
      <c r="I3313" s="123" t="n"/>
      <c r="J3313" s="123" t="n"/>
      <c r="K3313" s="123" t="n"/>
      <c r="L3313" s="123" t="n"/>
      <c r="M3313" s="123">
        <f>IF(AND(B3313&lt;&gt;"",OR($C$4="",ISNUMBER(SEARCH($C$4,C3313&amp;" "&amp;E3313&amp;" "&amp;G3313&amp;" "&amp;H3313&amp;" "&amp;I3313&amp;" "&amp;J3313&amp;" "&amp;K3313&amp;" "&amp;L3313))),OR($C$5="Semua",$C$5="",G3313=$C$5),OR($C$6="Semua",$C$6="",H3313=$C$6,H3313="Pengeluaran "&amp;$C$6,AND($C$6="Uang Kos Mama",H3313="Pengeluaran Uang Kos")),OR($C$7="Semua",$C$7="",I3313=$C$7),OR($C$8="Semua",$C$8="",C3313=$C$8,E3313=$C$8),OR($C$9="Semua",$C$9="",D3313=$C$9),OR($C$10="",B3313&gt;=$C$10),OR($C$11="",B3313&lt;=$C$11),OR($C$12&lt;&gt;"Ya",K3313&lt;&gt;""),OR($C$13="Semua",$C$13="",L3313=$C$13)),"✓","")</f>
        <v/>
      </c>
      <c r="N3313" s="93">
        <f>N(N3312)+IF(M3313="✓",1,0)</f>
        <v/>
      </c>
      <c r="O3313" s="93">
        <f>N(O3312)+IF(AND(B3313&lt;&gt;"",B3313&gt;='Uang Riba'!$H$30,B3313&lt;='Uang Riba'!$I$30,OR(H3313="Dana riba",H3313="Pinjam uang riba",I3313="Pinjam dari uang riba",I3313="Ganti uang riba",I3313="Kelebihan ganti dikembalikan",AND(C3313="Kantong Uang Riba",G3313="Pengeluaran"))),1,0)</f>
        <v/>
      </c>
      <c r="X3313" s="93">
        <f>IF(AND(B3313&lt;&gt;"",B3313&gt;='Buku Akun'!$H$4,B3313&lt;='Buku Akun'!$H$5,OR(C3313='Buku Akun'!$C$4,AND(D3313="Pindah",E3313='Buku Akun'!$C$4))),B3313+IF(AND(I3313="Selisih bunga",DAY(B3313)=1),0,0.01)+ROW()/10000000,"")</f>
        <v/>
      </c>
    </row>
    <row r="3314" outlineLevel="1" ht="15" customHeight="1" s="94">
      <c r="A3314" s="123">
        <f>IF(B3314="","",ROW()-15)</f>
        <v/>
      </c>
      <c r="B3314" s="124" t="n"/>
      <c r="C3314" s="123" t="n"/>
      <c r="D3314" s="123" t="n"/>
      <c r="E3314" s="123" t="n"/>
      <c r="F3314" s="125" t="n"/>
      <c r="G3314" s="123" t="n"/>
      <c r="H3314" s="123" t="n"/>
      <c r="I3314" s="123" t="n"/>
      <c r="J3314" s="123" t="n"/>
      <c r="K3314" s="123" t="n"/>
      <c r="L3314" s="123" t="n"/>
      <c r="M3314" s="123">
        <f>IF(AND(B3314&lt;&gt;"",OR($C$4="",ISNUMBER(SEARCH($C$4,C3314&amp;" "&amp;E3314&amp;" "&amp;G3314&amp;" "&amp;H3314&amp;" "&amp;I3314&amp;" "&amp;J3314&amp;" "&amp;K3314&amp;" "&amp;L3314))),OR($C$5="Semua",$C$5="",G3314=$C$5),OR($C$6="Semua",$C$6="",H3314=$C$6,H3314="Pengeluaran "&amp;$C$6,AND($C$6="Uang Kos Mama",H3314="Pengeluaran Uang Kos")),OR($C$7="Semua",$C$7="",I3314=$C$7),OR($C$8="Semua",$C$8="",C3314=$C$8,E3314=$C$8),OR($C$9="Semua",$C$9="",D3314=$C$9),OR($C$10="",B3314&gt;=$C$10),OR($C$11="",B3314&lt;=$C$11),OR($C$12&lt;&gt;"Ya",K3314&lt;&gt;""),OR($C$13="Semua",$C$13="",L3314=$C$13)),"✓","")</f>
        <v/>
      </c>
      <c r="N3314" s="93">
        <f>N(N3313)+IF(M3314="✓",1,0)</f>
        <v/>
      </c>
      <c r="O3314" s="93">
        <f>N(O3313)+IF(AND(B3314&lt;&gt;"",B3314&gt;='Uang Riba'!$H$30,B3314&lt;='Uang Riba'!$I$30,OR(H3314="Dana riba",H3314="Pinjam uang riba",I3314="Pinjam dari uang riba",I3314="Ganti uang riba",I3314="Kelebihan ganti dikembalikan",AND(C3314="Kantong Uang Riba",G3314="Pengeluaran"))),1,0)</f>
        <v/>
      </c>
      <c r="X3314" s="93">
        <f>IF(AND(B3314&lt;&gt;"",B3314&gt;='Buku Akun'!$H$4,B3314&lt;='Buku Akun'!$H$5,OR(C3314='Buku Akun'!$C$4,AND(D3314="Pindah",E3314='Buku Akun'!$C$4))),B3314+IF(AND(I3314="Selisih bunga",DAY(B3314)=1),0,0.01)+ROW()/10000000,"")</f>
        <v/>
      </c>
    </row>
    <row r="3315" outlineLevel="1" ht="15" customHeight="1" s="94">
      <c r="A3315" s="123">
        <f>IF(B3315="","",ROW()-15)</f>
        <v/>
      </c>
      <c r="B3315" s="124" t="n"/>
      <c r="C3315" s="123" t="n"/>
      <c r="D3315" s="123" t="n"/>
      <c r="E3315" s="123" t="n"/>
      <c r="F3315" s="125" t="n"/>
      <c r="G3315" s="123" t="n"/>
      <c r="H3315" s="123" t="n"/>
      <c r="I3315" s="123" t="n"/>
      <c r="J3315" s="123" t="n"/>
      <c r="K3315" s="123" t="n"/>
      <c r="L3315" s="123" t="n"/>
      <c r="M3315" s="123">
        <f>IF(AND(B3315&lt;&gt;"",OR($C$4="",ISNUMBER(SEARCH($C$4,C3315&amp;" "&amp;E3315&amp;" "&amp;G3315&amp;" "&amp;H3315&amp;" "&amp;I3315&amp;" "&amp;J3315&amp;" "&amp;K3315&amp;" "&amp;L3315))),OR($C$5="Semua",$C$5="",G3315=$C$5),OR($C$6="Semua",$C$6="",H3315=$C$6,H3315="Pengeluaran "&amp;$C$6,AND($C$6="Uang Kos Mama",H3315="Pengeluaran Uang Kos")),OR($C$7="Semua",$C$7="",I3315=$C$7),OR($C$8="Semua",$C$8="",C3315=$C$8,E3315=$C$8),OR($C$9="Semua",$C$9="",D3315=$C$9),OR($C$10="",B3315&gt;=$C$10),OR($C$11="",B3315&lt;=$C$11),OR($C$12&lt;&gt;"Ya",K3315&lt;&gt;""),OR($C$13="Semua",$C$13="",L3315=$C$13)),"✓","")</f>
        <v/>
      </c>
      <c r="N3315" s="93">
        <f>N(N3314)+IF(M3315="✓",1,0)</f>
        <v/>
      </c>
      <c r="O3315" s="93">
        <f>N(O3314)+IF(AND(B3315&lt;&gt;"",B3315&gt;='Uang Riba'!$H$30,B3315&lt;='Uang Riba'!$I$30,OR(H3315="Dana riba",H3315="Pinjam uang riba",I3315="Pinjam dari uang riba",I3315="Ganti uang riba",I3315="Kelebihan ganti dikembalikan",AND(C3315="Kantong Uang Riba",G3315="Pengeluaran"))),1,0)</f>
        <v/>
      </c>
      <c r="X3315" s="93">
        <f>IF(AND(B3315&lt;&gt;"",B3315&gt;='Buku Akun'!$H$4,B3315&lt;='Buku Akun'!$H$5,OR(C3315='Buku Akun'!$C$4,AND(D3315="Pindah",E3315='Buku Akun'!$C$4))),B3315+IF(AND(I3315="Selisih bunga",DAY(B3315)=1),0,0.01)+ROW()/10000000,"")</f>
        <v/>
      </c>
    </row>
    <row r="3316" outlineLevel="1" ht="15" customHeight="1" s="94">
      <c r="A3316" s="123">
        <f>IF(B3316="","",ROW()-15)</f>
        <v/>
      </c>
      <c r="B3316" s="124" t="n"/>
      <c r="C3316" s="123" t="n"/>
      <c r="D3316" s="123" t="n"/>
      <c r="E3316" s="123" t="n"/>
      <c r="F3316" s="125" t="n"/>
      <c r="G3316" s="123" t="n"/>
      <c r="H3316" s="123" t="n"/>
      <c r="I3316" s="123" t="n"/>
      <c r="J3316" s="123" t="n"/>
      <c r="K3316" s="123" t="n"/>
      <c r="L3316" s="123" t="n"/>
      <c r="M3316" s="123">
        <f>IF(AND(B3316&lt;&gt;"",OR($C$4="",ISNUMBER(SEARCH($C$4,C3316&amp;" "&amp;E3316&amp;" "&amp;G3316&amp;" "&amp;H3316&amp;" "&amp;I3316&amp;" "&amp;J3316&amp;" "&amp;K3316&amp;" "&amp;L3316))),OR($C$5="Semua",$C$5="",G3316=$C$5),OR($C$6="Semua",$C$6="",H3316=$C$6,H3316="Pengeluaran "&amp;$C$6,AND($C$6="Uang Kos Mama",H3316="Pengeluaran Uang Kos")),OR($C$7="Semua",$C$7="",I3316=$C$7),OR($C$8="Semua",$C$8="",C3316=$C$8,E3316=$C$8),OR($C$9="Semua",$C$9="",D3316=$C$9),OR($C$10="",B3316&gt;=$C$10),OR($C$11="",B3316&lt;=$C$11),OR($C$12&lt;&gt;"Ya",K3316&lt;&gt;""),OR($C$13="Semua",$C$13="",L3316=$C$13)),"✓","")</f>
        <v/>
      </c>
      <c r="N3316" s="93">
        <f>N(N3315)+IF(M3316="✓",1,0)</f>
        <v/>
      </c>
      <c r="O3316" s="93">
        <f>N(O3315)+IF(AND(B3316&lt;&gt;"",B3316&gt;='Uang Riba'!$H$30,B3316&lt;='Uang Riba'!$I$30,OR(H3316="Dana riba",H3316="Pinjam uang riba",I3316="Pinjam dari uang riba",I3316="Ganti uang riba",I3316="Kelebihan ganti dikembalikan",AND(C3316="Kantong Uang Riba",G3316="Pengeluaran"))),1,0)</f>
        <v/>
      </c>
      <c r="X3316" s="93">
        <f>IF(AND(B3316&lt;&gt;"",B3316&gt;='Buku Akun'!$H$4,B3316&lt;='Buku Akun'!$H$5,OR(C3316='Buku Akun'!$C$4,AND(D3316="Pindah",E3316='Buku Akun'!$C$4))),B3316+IF(AND(I3316="Selisih bunga",DAY(B3316)=1),0,0.01)+ROW()/10000000,"")</f>
        <v/>
      </c>
    </row>
    <row r="3317" outlineLevel="1" ht="15" customHeight="1" s="94">
      <c r="A3317" s="123">
        <f>IF(B3317="","",ROW()-15)</f>
        <v/>
      </c>
      <c r="B3317" s="124" t="n"/>
      <c r="C3317" s="123" t="n"/>
      <c r="D3317" s="123" t="n"/>
      <c r="E3317" s="123" t="n"/>
      <c r="F3317" s="125" t="n"/>
      <c r="G3317" s="123" t="n"/>
      <c r="H3317" s="123" t="n"/>
      <c r="I3317" s="123" t="n"/>
      <c r="J3317" s="123" t="n"/>
      <c r="K3317" s="123" t="n"/>
      <c r="L3317" s="123" t="n"/>
      <c r="M3317" s="123">
        <f>IF(AND(B3317&lt;&gt;"",OR($C$4="",ISNUMBER(SEARCH($C$4,C3317&amp;" "&amp;E3317&amp;" "&amp;G3317&amp;" "&amp;H3317&amp;" "&amp;I3317&amp;" "&amp;J3317&amp;" "&amp;K3317&amp;" "&amp;L3317))),OR($C$5="Semua",$C$5="",G3317=$C$5),OR($C$6="Semua",$C$6="",H3317=$C$6,H3317="Pengeluaran "&amp;$C$6,AND($C$6="Uang Kos Mama",H3317="Pengeluaran Uang Kos")),OR($C$7="Semua",$C$7="",I3317=$C$7),OR($C$8="Semua",$C$8="",C3317=$C$8,E3317=$C$8),OR($C$9="Semua",$C$9="",D3317=$C$9),OR($C$10="",B3317&gt;=$C$10),OR($C$11="",B3317&lt;=$C$11),OR($C$12&lt;&gt;"Ya",K3317&lt;&gt;""),OR($C$13="Semua",$C$13="",L3317=$C$13)),"✓","")</f>
        <v/>
      </c>
      <c r="N3317" s="93">
        <f>N(N3316)+IF(M3317="✓",1,0)</f>
        <v/>
      </c>
      <c r="O3317" s="93">
        <f>N(O3316)+IF(AND(B3317&lt;&gt;"",B3317&gt;='Uang Riba'!$H$30,B3317&lt;='Uang Riba'!$I$30,OR(H3317="Dana riba",H3317="Pinjam uang riba",I3317="Pinjam dari uang riba",I3317="Ganti uang riba",I3317="Kelebihan ganti dikembalikan",AND(C3317="Kantong Uang Riba",G3317="Pengeluaran"))),1,0)</f>
        <v/>
      </c>
      <c r="X3317" s="93">
        <f>IF(AND(B3317&lt;&gt;"",B3317&gt;='Buku Akun'!$H$4,B3317&lt;='Buku Akun'!$H$5,OR(C3317='Buku Akun'!$C$4,AND(D3317="Pindah",E3317='Buku Akun'!$C$4))),B3317+IF(AND(I3317="Selisih bunga",DAY(B3317)=1),0,0.01)+ROW()/10000000,"")</f>
        <v/>
      </c>
    </row>
    <row r="3318" outlineLevel="1" ht="15" customHeight="1" s="94">
      <c r="A3318" s="123">
        <f>IF(B3318="","",ROW()-15)</f>
        <v/>
      </c>
      <c r="B3318" s="124" t="n"/>
      <c r="C3318" s="123" t="n"/>
      <c r="D3318" s="123" t="n"/>
      <c r="E3318" s="123" t="n"/>
      <c r="F3318" s="125" t="n"/>
      <c r="G3318" s="123" t="n"/>
      <c r="H3318" s="123" t="n"/>
      <c r="I3318" s="123" t="n"/>
      <c r="J3318" s="123" t="n"/>
      <c r="K3318" s="123" t="n"/>
      <c r="L3318" s="123" t="n"/>
      <c r="M3318" s="123">
        <f>IF(AND(B3318&lt;&gt;"",OR($C$4="",ISNUMBER(SEARCH($C$4,C3318&amp;" "&amp;E3318&amp;" "&amp;G3318&amp;" "&amp;H3318&amp;" "&amp;I3318&amp;" "&amp;J3318&amp;" "&amp;K3318&amp;" "&amp;L3318))),OR($C$5="Semua",$C$5="",G3318=$C$5),OR($C$6="Semua",$C$6="",H3318=$C$6,H3318="Pengeluaran "&amp;$C$6,AND($C$6="Uang Kos Mama",H3318="Pengeluaran Uang Kos")),OR($C$7="Semua",$C$7="",I3318=$C$7),OR($C$8="Semua",$C$8="",C3318=$C$8,E3318=$C$8),OR($C$9="Semua",$C$9="",D3318=$C$9),OR($C$10="",B3318&gt;=$C$10),OR($C$11="",B3318&lt;=$C$11),OR($C$12&lt;&gt;"Ya",K3318&lt;&gt;""),OR($C$13="Semua",$C$13="",L3318=$C$13)),"✓","")</f>
        <v/>
      </c>
      <c r="N3318" s="93">
        <f>N(N3317)+IF(M3318="✓",1,0)</f>
        <v/>
      </c>
      <c r="O3318" s="93">
        <f>N(O3317)+IF(AND(B3318&lt;&gt;"",B3318&gt;='Uang Riba'!$H$30,B3318&lt;='Uang Riba'!$I$30,OR(H3318="Dana riba",H3318="Pinjam uang riba",I3318="Pinjam dari uang riba",I3318="Ganti uang riba",I3318="Kelebihan ganti dikembalikan",AND(C3318="Kantong Uang Riba",G3318="Pengeluaran"))),1,0)</f>
        <v/>
      </c>
      <c r="X3318" s="93">
        <f>IF(AND(B3318&lt;&gt;"",B3318&gt;='Buku Akun'!$H$4,B3318&lt;='Buku Akun'!$H$5,OR(C3318='Buku Akun'!$C$4,AND(D3318="Pindah",E3318='Buku Akun'!$C$4))),B3318+IF(AND(I3318="Selisih bunga",DAY(B3318)=1),0,0.01)+ROW()/10000000,"")</f>
        <v/>
      </c>
    </row>
    <row r="3319" outlineLevel="1" ht="15" customHeight="1" s="94">
      <c r="A3319" s="123">
        <f>IF(B3319="","",ROW()-15)</f>
        <v/>
      </c>
      <c r="B3319" s="124" t="n"/>
      <c r="C3319" s="123" t="n"/>
      <c r="D3319" s="123" t="n"/>
      <c r="E3319" s="123" t="n"/>
      <c r="F3319" s="125" t="n"/>
      <c r="G3319" s="123" t="n"/>
      <c r="H3319" s="123" t="n"/>
      <c r="I3319" s="123" t="n"/>
      <c r="J3319" s="123" t="n"/>
      <c r="K3319" s="123" t="n"/>
      <c r="L3319" s="123" t="n"/>
      <c r="M3319" s="123">
        <f>IF(AND(B3319&lt;&gt;"",OR($C$4="",ISNUMBER(SEARCH($C$4,C3319&amp;" "&amp;E3319&amp;" "&amp;G3319&amp;" "&amp;H3319&amp;" "&amp;I3319&amp;" "&amp;J3319&amp;" "&amp;K3319&amp;" "&amp;L3319))),OR($C$5="Semua",$C$5="",G3319=$C$5),OR($C$6="Semua",$C$6="",H3319=$C$6,H3319="Pengeluaran "&amp;$C$6,AND($C$6="Uang Kos Mama",H3319="Pengeluaran Uang Kos")),OR($C$7="Semua",$C$7="",I3319=$C$7),OR($C$8="Semua",$C$8="",C3319=$C$8,E3319=$C$8),OR($C$9="Semua",$C$9="",D3319=$C$9),OR($C$10="",B3319&gt;=$C$10),OR($C$11="",B3319&lt;=$C$11),OR($C$12&lt;&gt;"Ya",K3319&lt;&gt;""),OR($C$13="Semua",$C$13="",L3319=$C$13)),"✓","")</f>
        <v/>
      </c>
      <c r="N3319" s="93">
        <f>N(N3318)+IF(M3319="✓",1,0)</f>
        <v/>
      </c>
      <c r="O3319" s="93">
        <f>N(O3318)+IF(AND(B3319&lt;&gt;"",B3319&gt;='Uang Riba'!$H$30,B3319&lt;='Uang Riba'!$I$30,OR(H3319="Dana riba",H3319="Pinjam uang riba",I3319="Pinjam dari uang riba",I3319="Ganti uang riba",I3319="Kelebihan ganti dikembalikan",AND(C3319="Kantong Uang Riba",G3319="Pengeluaran"))),1,0)</f>
        <v/>
      </c>
      <c r="X3319" s="93">
        <f>IF(AND(B3319&lt;&gt;"",B3319&gt;='Buku Akun'!$H$4,B3319&lt;='Buku Akun'!$H$5,OR(C3319='Buku Akun'!$C$4,AND(D3319="Pindah",E3319='Buku Akun'!$C$4))),B3319+IF(AND(I3319="Selisih bunga",DAY(B3319)=1),0,0.01)+ROW()/10000000,"")</f>
        <v/>
      </c>
    </row>
    <row r="3320" outlineLevel="1" ht="15" customHeight="1" s="94">
      <c r="A3320" s="123">
        <f>IF(B3320="","",ROW()-15)</f>
        <v/>
      </c>
      <c r="B3320" s="124" t="n"/>
      <c r="C3320" s="123" t="n"/>
      <c r="D3320" s="123" t="n"/>
      <c r="E3320" s="123" t="n"/>
      <c r="F3320" s="125" t="n"/>
      <c r="G3320" s="123" t="n"/>
      <c r="H3320" s="123" t="n"/>
      <c r="I3320" s="123" t="n"/>
      <c r="J3320" s="123" t="n"/>
      <c r="K3320" s="123" t="n"/>
      <c r="L3320" s="123" t="n"/>
      <c r="M3320" s="123">
        <f>IF(AND(B3320&lt;&gt;"",OR($C$4="",ISNUMBER(SEARCH($C$4,C3320&amp;" "&amp;E3320&amp;" "&amp;G3320&amp;" "&amp;H3320&amp;" "&amp;I3320&amp;" "&amp;J3320&amp;" "&amp;K3320&amp;" "&amp;L3320))),OR($C$5="Semua",$C$5="",G3320=$C$5),OR($C$6="Semua",$C$6="",H3320=$C$6,H3320="Pengeluaran "&amp;$C$6,AND($C$6="Uang Kos Mama",H3320="Pengeluaran Uang Kos")),OR($C$7="Semua",$C$7="",I3320=$C$7),OR($C$8="Semua",$C$8="",C3320=$C$8,E3320=$C$8),OR($C$9="Semua",$C$9="",D3320=$C$9),OR($C$10="",B3320&gt;=$C$10),OR($C$11="",B3320&lt;=$C$11),OR($C$12&lt;&gt;"Ya",K3320&lt;&gt;""),OR($C$13="Semua",$C$13="",L3320=$C$13)),"✓","")</f>
        <v/>
      </c>
      <c r="N3320" s="93">
        <f>N(N3319)+IF(M3320="✓",1,0)</f>
        <v/>
      </c>
      <c r="O3320" s="93">
        <f>N(O3319)+IF(AND(B3320&lt;&gt;"",B3320&gt;='Uang Riba'!$H$30,B3320&lt;='Uang Riba'!$I$30,OR(H3320="Dana riba",H3320="Pinjam uang riba",I3320="Pinjam dari uang riba",I3320="Ganti uang riba",I3320="Kelebihan ganti dikembalikan",AND(C3320="Kantong Uang Riba",G3320="Pengeluaran"))),1,0)</f>
        <v/>
      </c>
      <c r="X3320" s="93">
        <f>IF(AND(B3320&lt;&gt;"",B3320&gt;='Buku Akun'!$H$4,B3320&lt;='Buku Akun'!$H$5,OR(C3320='Buku Akun'!$C$4,AND(D3320="Pindah",E3320='Buku Akun'!$C$4))),B3320+IF(AND(I3320="Selisih bunga",DAY(B3320)=1),0,0.01)+ROW()/10000000,"")</f>
        <v/>
      </c>
    </row>
    <row r="3321" outlineLevel="1" ht="15" customHeight="1" s="94">
      <c r="A3321" s="123">
        <f>IF(B3321="","",ROW()-15)</f>
        <v/>
      </c>
      <c r="B3321" s="124" t="n"/>
      <c r="C3321" s="123" t="n"/>
      <c r="D3321" s="123" t="n"/>
      <c r="E3321" s="123" t="n"/>
      <c r="F3321" s="125" t="n"/>
      <c r="G3321" s="123" t="n"/>
      <c r="H3321" s="123" t="n"/>
      <c r="I3321" s="123" t="n"/>
      <c r="J3321" s="123" t="n"/>
      <c r="K3321" s="123" t="n"/>
      <c r="L3321" s="123" t="n"/>
      <c r="M3321" s="123">
        <f>IF(AND(B3321&lt;&gt;"",OR($C$4="",ISNUMBER(SEARCH($C$4,C3321&amp;" "&amp;E3321&amp;" "&amp;G3321&amp;" "&amp;H3321&amp;" "&amp;I3321&amp;" "&amp;J3321&amp;" "&amp;K3321&amp;" "&amp;L3321))),OR($C$5="Semua",$C$5="",G3321=$C$5),OR($C$6="Semua",$C$6="",H3321=$C$6,H3321="Pengeluaran "&amp;$C$6,AND($C$6="Uang Kos Mama",H3321="Pengeluaran Uang Kos")),OR($C$7="Semua",$C$7="",I3321=$C$7),OR($C$8="Semua",$C$8="",C3321=$C$8,E3321=$C$8),OR($C$9="Semua",$C$9="",D3321=$C$9),OR($C$10="",B3321&gt;=$C$10),OR($C$11="",B3321&lt;=$C$11),OR($C$12&lt;&gt;"Ya",K3321&lt;&gt;""),OR($C$13="Semua",$C$13="",L3321=$C$13)),"✓","")</f>
        <v/>
      </c>
      <c r="N3321" s="93">
        <f>N(N3320)+IF(M3321="✓",1,0)</f>
        <v/>
      </c>
      <c r="O3321" s="93">
        <f>N(O3320)+IF(AND(B3321&lt;&gt;"",B3321&gt;='Uang Riba'!$H$30,B3321&lt;='Uang Riba'!$I$30,OR(H3321="Dana riba",H3321="Pinjam uang riba",I3321="Pinjam dari uang riba",I3321="Ganti uang riba",I3321="Kelebihan ganti dikembalikan",AND(C3321="Kantong Uang Riba",G3321="Pengeluaran"))),1,0)</f>
        <v/>
      </c>
      <c r="X3321" s="93">
        <f>IF(AND(B3321&lt;&gt;"",B3321&gt;='Buku Akun'!$H$4,B3321&lt;='Buku Akun'!$H$5,OR(C3321='Buku Akun'!$C$4,AND(D3321="Pindah",E3321='Buku Akun'!$C$4))),B3321+IF(AND(I3321="Selisih bunga",DAY(B3321)=1),0,0.01)+ROW()/10000000,"")</f>
        <v/>
      </c>
    </row>
    <row r="3322" outlineLevel="1" ht="15" customHeight="1" s="94">
      <c r="A3322" s="123">
        <f>IF(B3322="","",ROW()-15)</f>
        <v/>
      </c>
      <c r="B3322" s="124" t="n"/>
      <c r="C3322" s="123" t="n"/>
      <c r="D3322" s="123" t="n"/>
      <c r="E3322" s="123" t="n"/>
      <c r="F3322" s="125" t="n"/>
      <c r="G3322" s="123" t="n"/>
      <c r="H3322" s="123" t="n"/>
      <c r="I3322" s="123" t="n"/>
      <c r="J3322" s="123" t="n"/>
      <c r="K3322" s="123" t="n"/>
      <c r="L3322" s="123" t="n"/>
      <c r="M3322" s="123">
        <f>IF(AND(B3322&lt;&gt;"",OR($C$4="",ISNUMBER(SEARCH($C$4,C3322&amp;" "&amp;E3322&amp;" "&amp;G3322&amp;" "&amp;H3322&amp;" "&amp;I3322&amp;" "&amp;J3322&amp;" "&amp;K3322&amp;" "&amp;L3322))),OR($C$5="Semua",$C$5="",G3322=$C$5),OR($C$6="Semua",$C$6="",H3322=$C$6,H3322="Pengeluaran "&amp;$C$6,AND($C$6="Uang Kos Mama",H3322="Pengeluaran Uang Kos")),OR($C$7="Semua",$C$7="",I3322=$C$7),OR($C$8="Semua",$C$8="",C3322=$C$8,E3322=$C$8),OR($C$9="Semua",$C$9="",D3322=$C$9),OR($C$10="",B3322&gt;=$C$10),OR($C$11="",B3322&lt;=$C$11),OR($C$12&lt;&gt;"Ya",K3322&lt;&gt;""),OR($C$13="Semua",$C$13="",L3322=$C$13)),"✓","")</f>
        <v/>
      </c>
      <c r="N3322" s="93">
        <f>N(N3321)+IF(M3322="✓",1,0)</f>
        <v/>
      </c>
      <c r="O3322" s="93">
        <f>N(O3321)+IF(AND(B3322&lt;&gt;"",B3322&gt;='Uang Riba'!$H$30,B3322&lt;='Uang Riba'!$I$30,OR(H3322="Dana riba",H3322="Pinjam uang riba",I3322="Pinjam dari uang riba",I3322="Ganti uang riba",I3322="Kelebihan ganti dikembalikan",AND(C3322="Kantong Uang Riba",G3322="Pengeluaran"))),1,0)</f>
        <v/>
      </c>
      <c r="X3322" s="93">
        <f>IF(AND(B3322&lt;&gt;"",B3322&gt;='Buku Akun'!$H$4,B3322&lt;='Buku Akun'!$H$5,OR(C3322='Buku Akun'!$C$4,AND(D3322="Pindah",E3322='Buku Akun'!$C$4))),B3322+IF(AND(I3322="Selisih bunga",DAY(B3322)=1),0,0.01)+ROW()/10000000,"")</f>
        <v/>
      </c>
    </row>
    <row r="3323" outlineLevel="1" ht="15" customHeight="1" s="94">
      <c r="A3323" s="123">
        <f>IF(B3323="","",ROW()-15)</f>
        <v/>
      </c>
      <c r="B3323" s="124" t="n"/>
      <c r="C3323" s="123" t="n"/>
      <c r="D3323" s="123" t="n"/>
      <c r="E3323" s="123" t="n"/>
      <c r="F3323" s="125" t="n"/>
      <c r="G3323" s="123" t="n"/>
      <c r="H3323" s="123" t="n"/>
      <c r="I3323" s="123" t="n"/>
      <c r="J3323" s="123" t="n"/>
      <c r="K3323" s="123" t="n"/>
      <c r="L3323" s="123" t="n"/>
      <c r="M3323" s="123">
        <f>IF(AND(B3323&lt;&gt;"",OR($C$4="",ISNUMBER(SEARCH($C$4,C3323&amp;" "&amp;E3323&amp;" "&amp;G3323&amp;" "&amp;H3323&amp;" "&amp;I3323&amp;" "&amp;J3323&amp;" "&amp;K3323&amp;" "&amp;L3323))),OR($C$5="Semua",$C$5="",G3323=$C$5),OR($C$6="Semua",$C$6="",H3323=$C$6,H3323="Pengeluaran "&amp;$C$6,AND($C$6="Uang Kos Mama",H3323="Pengeluaran Uang Kos")),OR($C$7="Semua",$C$7="",I3323=$C$7),OR($C$8="Semua",$C$8="",C3323=$C$8,E3323=$C$8),OR($C$9="Semua",$C$9="",D3323=$C$9),OR($C$10="",B3323&gt;=$C$10),OR($C$11="",B3323&lt;=$C$11),OR($C$12&lt;&gt;"Ya",K3323&lt;&gt;""),OR($C$13="Semua",$C$13="",L3323=$C$13)),"✓","")</f>
        <v/>
      </c>
      <c r="N3323" s="93">
        <f>N(N3322)+IF(M3323="✓",1,0)</f>
        <v/>
      </c>
      <c r="O3323" s="93">
        <f>N(O3322)+IF(AND(B3323&lt;&gt;"",B3323&gt;='Uang Riba'!$H$30,B3323&lt;='Uang Riba'!$I$30,OR(H3323="Dana riba",H3323="Pinjam uang riba",I3323="Pinjam dari uang riba",I3323="Ganti uang riba",I3323="Kelebihan ganti dikembalikan",AND(C3323="Kantong Uang Riba",G3323="Pengeluaran"))),1,0)</f>
        <v/>
      </c>
      <c r="X3323" s="93">
        <f>IF(AND(B3323&lt;&gt;"",B3323&gt;='Buku Akun'!$H$4,B3323&lt;='Buku Akun'!$H$5,OR(C3323='Buku Akun'!$C$4,AND(D3323="Pindah",E3323='Buku Akun'!$C$4))),B3323+IF(AND(I3323="Selisih bunga",DAY(B3323)=1),0,0.01)+ROW()/10000000,"")</f>
        <v/>
      </c>
    </row>
    <row r="3324" outlineLevel="1" ht="15" customHeight="1" s="94">
      <c r="A3324" s="123">
        <f>IF(B3324="","",ROW()-15)</f>
        <v/>
      </c>
      <c r="B3324" s="124" t="n"/>
      <c r="C3324" s="123" t="n"/>
      <c r="D3324" s="123" t="n"/>
      <c r="E3324" s="123" t="n"/>
      <c r="F3324" s="125" t="n"/>
      <c r="G3324" s="123" t="n"/>
      <c r="H3324" s="123" t="n"/>
      <c r="I3324" s="123" t="n"/>
      <c r="J3324" s="123" t="n"/>
      <c r="K3324" s="123" t="n"/>
      <c r="L3324" s="123" t="n"/>
      <c r="M3324" s="123">
        <f>IF(AND(B3324&lt;&gt;"",OR($C$4="",ISNUMBER(SEARCH($C$4,C3324&amp;" "&amp;E3324&amp;" "&amp;G3324&amp;" "&amp;H3324&amp;" "&amp;I3324&amp;" "&amp;J3324&amp;" "&amp;K3324&amp;" "&amp;L3324))),OR($C$5="Semua",$C$5="",G3324=$C$5),OR($C$6="Semua",$C$6="",H3324=$C$6,H3324="Pengeluaran "&amp;$C$6,AND($C$6="Uang Kos Mama",H3324="Pengeluaran Uang Kos")),OR($C$7="Semua",$C$7="",I3324=$C$7),OR($C$8="Semua",$C$8="",C3324=$C$8,E3324=$C$8),OR($C$9="Semua",$C$9="",D3324=$C$9),OR($C$10="",B3324&gt;=$C$10),OR($C$11="",B3324&lt;=$C$11),OR($C$12&lt;&gt;"Ya",K3324&lt;&gt;""),OR($C$13="Semua",$C$13="",L3324=$C$13)),"✓","")</f>
        <v/>
      </c>
      <c r="N3324" s="93">
        <f>N(N3323)+IF(M3324="✓",1,0)</f>
        <v/>
      </c>
      <c r="O3324" s="93">
        <f>N(O3323)+IF(AND(B3324&lt;&gt;"",B3324&gt;='Uang Riba'!$H$30,B3324&lt;='Uang Riba'!$I$30,OR(H3324="Dana riba",H3324="Pinjam uang riba",I3324="Pinjam dari uang riba",I3324="Ganti uang riba",I3324="Kelebihan ganti dikembalikan",AND(C3324="Kantong Uang Riba",G3324="Pengeluaran"))),1,0)</f>
        <v/>
      </c>
      <c r="X3324" s="93">
        <f>IF(AND(B3324&lt;&gt;"",B3324&gt;='Buku Akun'!$H$4,B3324&lt;='Buku Akun'!$H$5,OR(C3324='Buku Akun'!$C$4,AND(D3324="Pindah",E3324='Buku Akun'!$C$4))),B3324+IF(AND(I3324="Selisih bunga",DAY(B3324)=1),0,0.01)+ROW()/10000000,"")</f>
        <v/>
      </c>
    </row>
    <row r="3325" outlineLevel="1" ht="15" customHeight="1" s="94">
      <c r="A3325" s="123">
        <f>IF(B3325="","",ROW()-15)</f>
        <v/>
      </c>
      <c r="B3325" s="124" t="n"/>
      <c r="C3325" s="123" t="n"/>
      <c r="D3325" s="123" t="n"/>
      <c r="E3325" s="123" t="n"/>
      <c r="F3325" s="125" t="n"/>
      <c r="G3325" s="123" t="n"/>
      <c r="H3325" s="123" t="n"/>
      <c r="I3325" s="123" t="n"/>
      <c r="J3325" s="123" t="n"/>
      <c r="K3325" s="123" t="n"/>
      <c r="L3325" s="123" t="n"/>
      <c r="M3325" s="123">
        <f>IF(AND(B3325&lt;&gt;"",OR($C$4="",ISNUMBER(SEARCH($C$4,C3325&amp;" "&amp;E3325&amp;" "&amp;G3325&amp;" "&amp;H3325&amp;" "&amp;I3325&amp;" "&amp;J3325&amp;" "&amp;K3325&amp;" "&amp;L3325))),OR($C$5="Semua",$C$5="",G3325=$C$5),OR($C$6="Semua",$C$6="",H3325=$C$6,H3325="Pengeluaran "&amp;$C$6,AND($C$6="Uang Kos Mama",H3325="Pengeluaran Uang Kos")),OR($C$7="Semua",$C$7="",I3325=$C$7),OR($C$8="Semua",$C$8="",C3325=$C$8,E3325=$C$8),OR($C$9="Semua",$C$9="",D3325=$C$9),OR($C$10="",B3325&gt;=$C$10),OR($C$11="",B3325&lt;=$C$11),OR($C$12&lt;&gt;"Ya",K3325&lt;&gt;""),OR($C$13="Semua",$C$13="",L3325=$C$13)),"✓","")</f>
        <v/>
      </c>
      <c r="N3325" s="93">
        <f>N(N3324)+IF(M3325="✓",1,0)</f>
        <v/>
      </c>
      <c r="O3325" s="93">
        <f>N(O3324)+IF(AND(B3325&lt;&gt;"",B3325&gt;='Uang Riba'!$H$30,B3325&lt;='Uang Riba'!$I$30,OR(H3325="Dana riba",H3325="Pinjam uang riba",I3325="Pinjam dari uang riba",I3325="Ganti uang riba",I3325="Kelebihan ganti dikembalikan",AND(C3325="Kantong Uang Riba",G3325="Pengeluaran"))),1,0)</f>
        <v/>
      </c>
      <c r="X3325" s="93">
        <f>IF(AND(B3325&lt;&gt;"",B3325&gt;='Buku Akun'!$H$4,B3325&lt;='Buku Akun'!$H$5,OR(C3325='Buku Akun'!$C$4,AND(D3325="Pindah",E3325='Buku Akun'!$C$4))),B3325+IF(AND(I3325="Selisih bunga",DAY(B3325)=1),0,0.01)+ROW()/10000000,"")</f>
        <v/>
      </c>
    </row>
    <row r="3326" outlineLevel="1" ht="15" customHeight="1" s="94">
      <c r="A3326" s="123">
        <f>IF(B3326="","",ROW()-15)</f>
        <v/>
      </c>
      <c r="B3326" s="124" t="n"/>
      <c r="C3326" s="123" t="n"/>
      <c r="D3326" s="123" t="n"/>
      <c r="E3326" s="123" t="n"/>
      <c r="F3326" s="125" t="n"/>
      <c r="G3326" s="123" t="n"/>
      <c r="H3326" s="123" t="n"/>
      <c r="I3326" s="123" t="n"/>
      <c r="J3326" s="123" t="n"/>
      <c r="K3326" s="123" t="n"/>
      <c r="L3326" s="123" t="n"/>
      <c r="M3326" s="123">
        <f>IF(AND(B3326&lt;&gt;"",OR($C$4="",ISNUMBER(SEARCH($C$4,C3326&amp;" "&amp;E3326&amp;" "&amp;G3326&amp;" "&amp;H3326&amp;" "&amp;I3326&amp;" "&amp;J3326&amp;" "&amp;K3326&amp;" "&amp;L3326))),OR($C$5="Semua",$C$5="",G3326=$C$5),OR($C$6="Semua",$C$6="",H3326=$C$6,H3326="Pengeluaran "&amp;$C$6,AND($C$6="Uang Kos Mama",H3326="Pengeluaran Uang Kos")),OR($C$7="Semua",$C$7="",I3326=$C$7),OR($C$8="Semua",$C$8="",C3326=$C$8,E3326=$C$8),OR($C$9="Semua",$C$9="",D3326=$C$9),OR($C$10="",B3326&gt;=$C$10),OR($C$11="",B3326&lt;=$C$11),OR($C$12&lt;&gt;"Ya",K3326&lt;&gt;""),OR($C$13="Semua",$C$13="",L3326=$C$13)),"✓","")</f>
        <v/>
      </c>
      <c r="N3326" s="93">
        <f>N(N3325)+IF(M3326="✓",1,0)</f>
        <v/>
      </c>
      <c r="O3326" s="93">
        <f>N(O3325)+IF(AND(B3326&lt;&gt;"",B3326&gt;='Uang Riba'!$H$30,B3326&lt;='Uang Riba'!$I$30,OR(H3326="Dana riba",H3326="Pinjam uang riba",I3326="Pinjam dari uang riba",I3326="Ganti uang riba",I3326="Kelebihan ganti dikembalikan",AND(C3326="Kantong Uang Riba",G3326="Pengeluaran"))),1,0)</f>
        <v/>
      </c>
      <c r="X3326" s="93">
        <f>IF(AND(B3326&lt;&gt;"",B3326&gt;='Buku Akun'!$H$4,B3326&lt;='Buku Akun'!$H$5,OR(C3326='Buku Akun'!$C$4,AND(D3326="Pindah",E3326='Buku Akun'!$C$4))),B3326+IF(AND(I3326="Selisih bunga",DAY(B3326)=1),0,0.01)+ROW()/10000000,"")</f>
        <v/>
      </c>
    </row>
    <row r="3327" outlineLevel="1" ht="15" customHeight="1" s="94">
      <c r="A3327" s="123">
        <f>IF(B3327="","",ROW()-15)</f>
        <v/>
      </c>
      <c r="B3327" s="124" t="n"/>
      <c r="C3327" s="123" t="n"/>
      <c r="D3327" s="123" t="n"/>
      <c r="E3327" s="123" t="n"/>
      <c r="F3327" s="125" t="n"/>
      <c r="G3327" s="123" t="n"/>
      <c r="H3327" s="123" t="n"/>
      <c r="I3327" s="123" t="n"/>
      <c r="J3327" s="123" t="n"/>
      <c r="K3327" s="123" t="n"/>
      <c r="L3327" s="123" t="n"/>
      <c r="M3327" s="123">
        <f>IF(AND(B3327&lt;&gt;"",OR($C$4="",ISNUMBER(SEARCH($C$4,C3327&amp;" "&amp;E3327&amp;" "&amp;G3327&amp;" "&amp;H3327&amp;" "&amp;I3327&amp;" "&amp;J3327&amp;" "&amp;K3327&amp;" "&amp;L3327))),OR($C$5="Semua",$C$5="",G3327=$C$5),OR($C$6="Semua",$C$6="",H3327=$C$6,H3327="Pengeluaran "&amp;$C$6,AND($C$6="Uang Kos Mama",H3327="Pengeluaran Uang Kos")),OR($C$7="Semua",$C$7="",I3327=$C$7),OR($C$8="Semua",$C$8="",C3327=$C$8,E3327=$C$8),OR($C$9="Semua",$C$9="",D3327=$C$9),OR($C$10="",B3327&gt;=$C$10),OR($C$11="",B3327&lt;=$C$11),OR($C$12&lt;&gt;"Ya",K3327&lt;&gt;""),OR($C$13="Semua",$C$13="",L3327=$C$13)),"✓","")</f>
        <v/>
      </c>
      <c r="N3327" s="93">
        <f>N(N3326)+IF(M3327="✓",1,0)</f>
        <v/>
      </c>
      <c r="O3327" s="93">
        <f>N(O3326)+IF(AND(B3327&lt;&gt;"",B3327&gt;='Uang Riba'!$H$30,B3327&lt;='Uang Riba'!$I$30,OR(H3327="Dana riba",H3327="Pinjam uang riba",I3327="Pinjam dari uang riba",I3327="Ganti uang riba",I3327="Kelebihan ganti dikembalikan",AND(C3327="Kantong Uang Riba",G3327="Pengeluaran"))),1,0)</f>
        <v/>
      </c>
      <c r="X3327" s="93">
        <f>IF(AND(B3327&lt;&gt;"",B3327&gt;='Buku Akun'!$H$4,B3327&lt;='Buku Akun'!$H$5,OR(C3327='Buku Akun'!$C$4,AND(D3327="Pindah",E3327='Buku Akun'!$C$4))),B3327+IF(AND(I3327="Selisih bunga",DAY(B3327)=1),0,0.01)+ROW()/10000000,"")</f>
        <v/>
      </c>
    </row>
    <row r="3328" outlineLevel="1" ht="15" customHeight="1" s="94">
      <c r="A3328" s="123">
        <f>IF(B3328="","",ROW()-15)</f>
        <v/>
      </c>
      <c r="B3328" s="124" t="n"/>
      <c r="C3328" s="123" t="n"/>
      <c r="D3328" s="123" t="n"/>
      <c r="E3328" s="123" t="n"/>
      <c r="F3328" s="125" t="n"/>
      <c r="G3328" s="123" t="n"/>
      <c r="H3328" s="123" t="n"/>
      <c r="I3328" s="123" t="n"/>
      <c r="J3328" s="123" t="n"/>
      <c r="K3328" s="123" t="n"/>
      <c r="L3328" s="123" t="n"/>
      <c r="M3328" s="123">
        <f>IF(AND(B3328&lt;&gt;"",OR($C$4="",ISNUMBER(SEARCH($C$4,C3328&amp;" "&amp;E3328&amp;" "&amp;G3328&amp;" "&amp;H3328&amp;" "&amp;I3328&amp;" "&amp;J3328&amp;" "&amp;K3328&amp;" "&amp;L3328))),OR($C$5="Semua",$C$5="",G3328=$C$5),OR($C$6="Semua",$C$6="",H3328=$C$6,H3328="Pengeluaran "&amp;$C$6,AND($C$6="Uang Kos Mama",H3328="Pengeluaran Uang Kos")),OR($C$7="Semua",$C$7="",I3328=$C$7),OR($C$8="Semua",$C$8="",C3328=$C$8,E3328=$C$8),OR($C$9="Semua",$C$9="",D3328=$C$9),OR($C$10="",B3328&gt;=$C$10),OR($C$11="",B3328&lt;=$C$11),OR($C$12&lt;&gt;"Ya",K3328&lt;&gt;""),OR($C$13="Semua",$C$13="",L3328=$C$13)),"✓","")</f>
        <v/>
      </c>
      <c r="N3328" s="93">
        <f>N(N3327)+IF(M3328="✓",1,0)</f>
        <v/>
      </c>
      <c r="O3328" s="93">
        <f>N(O3327)+IF(AND(B3328&lt;&gt;"",B3328&gt;='Uang Riba'!$H$30,B3328&lt;='Uang Riba'!$I$30,OR(H3328="Dana riba",H3328="Pinjam uang riba",I3328="Pinjam dari uang riba",I3328="Ganti uang riba",I3328="Kelebihan ganti dikembalikan",AND(C3328="Kantong Uang Riba",G3328="Pengeluaran"))),1,0)</f>
        <v/>
      </c>
      <c r="X3328" s="93">
        <f>IF(AND(B3328&lt;&gt;"",B3328&gt;='Buku Akun'!$H$4,B3328&lt;='Buku Akun'!$H$5,OR(C3328='Buku Akun'!$C$4,AND(D3328="Pindah",E3328='Buku Akun'!$C$4))),B3328+IF(AND(I3328="Selisih bunga",DAY(B3328)=1),0,0.01)+ROW()/10000000,"")</f>
        <v/>
      </c>
    </row>
    <row r="3329" outlineLevel="1" ht="15" customHeight="1" s="94">
      <c r="A3329" s="123">
        <f>IF(B3329="","",ROW()-15)</f>
        <v/>
      </c>
      <c r="B3329" s="124" t="n"/>
      <c r="C3329" s="123" t="n"/>
      <c r="D3329" s="123" t="n"/>
      <c r="E3329" s="123" t="n"/>
      <c r="F3329" s="125" t="n"/>
      <c r="G3329" s="123" t="n"/>
      <c r="H3329" s="123" t="n"/>
      <c r="I3329" s="123" t="n"/>
      <c r="J3329" s="123" t="n"/>
      <c r="K3329" s="123" t="n"/>
      <c r="L3329" s="123" t="n"/>
      <c r="M3329" s="123">
        <f>IF(AND(B3329&lt;&gt;"",OR($C$4="",ISNUMBER(SEARCH($C$4,C3329&amp;" "&amp;E3329&amp;" "&amp;G3329&amp;" "&amp;H3329&amp;" "&amp;I3329&amp;" "&amp;J3329&amp;" "&amp;K3329&amp;" "&amp;L3329))),OR($C$5="Semua",$C$5="",G3329=$C$5),OR($C$6="Semua",$C$6="",H3329=$C$6,H3329="Pengeluaran "&amp;$C$6,AND($C$6="Uang Kos Mama",H3329="Pengeluaran Uang Kos")),OR($C$7="Semua",$C$7="",I3329=$C$7),OR($C$8="Semua",$C$8="",C3329=$C$8,E3329=$C$8),OR($C$9="Semua",$C$9="",D3329=$C$9),OR($C$10="",B3329&gt;=$C$10),OR($C$11="",B3329&lt;=$C$11),OR($C$12&lt;&gt;"Ya",K3329&lt;&gt;""),OR($C$13="Semua",$C$13="",L3329=$C$13)),"✓","")</f>
        <v/>
      </c>
      <c r="N3329" s="93">
        <f>N(N3328)+IF(M3329="✓",1,0)</f>
        <v/>
      </c>
      <c r="O3329" s="93">
        <f>N(O3328)+IF(AND(B3329&lt;&gt;"",B3329&gt;='Uang Riba'!$H$30,B3329&lt;='Uang Riba'!$I$30,OR(H3329="Dana riba",H3329="Pinjam uang riba",I3329="Pinjam dari uang riba",I3329="Ganti uang riba",I3329="Kelebihan ganti dikembalikan",AND(C3329="Kantong Uang Riba",G3329="Pengeluaran"))),1,0)</f>
        <v/>
      </c>
      <c r="X3329" s="93">
        <f>IF(AND(B3329&lt;&gt;"",B3329&gt;='Buku Akun'!$H$4,B3329&lt;='Buku Akun'!$H$5,OR(C3329='Buku Akun'!$C$4,AND(D3329="Pindah",E3329='Buku Akun'!$C$4))),B3329+IF(AND(I3329="Selisih bunga",DAY(B3329)=1),0,0.01)+ROW()/10000000,"")</f>
        <v/>
      </c>
    </row>
    <row r="3330" outlineLevel="1" ht="15" customHeight="1" s="94">
      <c r="A3330" s="123">
        <f>IF(B3330="","",ROW()-15)</f>
        <v/>
      </c>
      <c r="B3330" s="124" t="n"/>
      <c r="C3330" s="123" t="n"/>
      <c r="D3330" s="123" t="n"/>
      <c r="E3330" s="123" t="n"/>
      <c r="F3330" s="125" t="n"/>
      <c r="G3330" s="123" t="n"/>
      <c r="H3330" s="123" t="n"/>
      <c r="I3330" s="123" t="n"/>
      <c r="J3330" s="123" t="n"/>
      <c r="K3330" s="123" t="n"/>
      <c r="L3330" s="123" t="n"/>
      <c r="M3330" s="123">
        <f>IF(AND(B3330&lt;&gt;"",OR($C$4="",ISNUMBER(SEARCH($C$4,C3330&amp;" "&amp;E3330&amp;" "&amp;G3330&amp;" "&amp;H3330&amp;" "&amp;I3330&amp;" "&amp;J3330&amp;" "&amp;K3330&amp;" "&amp;L3330))),OR($C$5="Semua",$C$5="",G3330=$C$5),OR($C$6="Semua",$C$6="",H3330=$C$6,H3330="Pengeluaran "&amp;$C$6,AND($C$6="Uang Kos Mama",H3330="Pengeluaran Uang Kos")),OR($C$7="Semua",$C$7="",I3330=$C$7),OR($C$8="Semua",$C$8="",C3330=$C$8,E3330=$C$8),OR($C$9="Semua",$C$9="",D3330=$C$9),OR($C$10="",B3330&gt;=$C$10),OR($C$11="",B3330&lt;=$C$11),OR($C$12&lt;&gt;"Ya",K3330&lt;&gt;""),OR($C$13="Semua",$C$13="",L3330=$C$13)),"✓","")</f>
        <v/>
      </c>
      <c r="N3330" s="93">
        <f>N(N3329)+IF(M3330="✓",1,0)</f>
        <v/>
      </c>
      <c r="O3330" s="93">
        <f>N(O3329)+IF(AND(B3330&lt;&gt;"",B3330&gt;='Uang Riba'!$H$30,B3330&lt;='Uang Riba'!$I$30,OR(H3330="Dana riba",H3330="Pinjam uang riba",I3330="Pinjam dari uang riba",I3330="Ganti uang riba",I3330="Kelebihan ganti dikembalikan",AND(C3330="Kantong Uang Riba",G3330="Pengeluaran"))),1,0)</f>
        <v/>
      </c>
      <c r="X3330" s="93">
        <f>IF(AND(B3330&lt;&gt;"",B3330&gt;='Buku Akun'!$H$4,B3330&lt;='Buku Akun'!$H$5,OR(C3330='Buku Akun'!$C$4,AND(D3330="Pindah",E3330='Buku Akun'!$C$4))),B3330+IF(AND(I3330="Selisih bunga",DAY(B3330)=1),0,0.01)+ROW()/10000000,"")</f>
        <v/>
      </c>
    </row>
    <row r="3331" outlineLevel="1" ht="15" customHeight="1" s="94">
      <c r="A3331" s="123">
        <f>IF(B3331="","",ROW()-15)</f>
        <v/>
      </c>
      <c r="B3331" s="124" t="n"/>
      <c r="C3331" s="123" t="n"/>
      <c r="D3331" s="123" t="n"/>
      <c r="E3331" s="123" t="n"/>
      <c r="F3331" s="125" t="n"/>
      <c r="G3331" s="123" t="n"/>
      <c r="H3331" s="123" t="n"/>
      <c r="I3331" s="123" t="n"/>
      <c r="J3331" s="123" t="n"/>
      <c r="K3331" s="123" t="n"/>
      <c r="L3331" s="123" t="n"/>
      <c r="M3331" s="123">
        <f>IF(AND(B3331&lt;&gt;"",OR($C$4="",ISNUMBER(SEARCH($C$4,C3331&amp;" "&amp;E3331&amp;" "&amp;G3331&amp;" "&amp;H3331&amp;" "&amp;I3331&amp;" "&amp;J3331&amp;" "&amp;K3331&amp;" "&amp;L3331))),OR($C$5="Semua",$C$5="",G3331=$C$5),OR($C$6="Semua",$C$6="",H3331=$C$6,H3331="Pengeluaran "&amp;$C$6,AND($C$6="Uang Kos Mama",H3331="Pengeluaran Uang Kos")),OR($C$7="Semua",$C$7="",I3331=$C$7),OR($C$8="Semua",$C$8="",C3331=$C$8,E3331=$C$8),OR($C$9="Semua",$C$9="",D3331=$C$9),OR($C$10="",B3331&gt;=$C$10),OR($C$11="",B3331&lt;=$C$11),OR($C$12&lt;&gt;"Ya",K3331&lt;&gt;""),OR($C$13="Semua",$C$13="",L3331=$C$13)),"✓","")</f>
        <v/>
      </c>
      <c r="N3331" s="93">
        <f>N(N3330)+IF(M3331="✓",1,0)</f>
        <v/>
      </c>
      <c r="O3331" s="93">
        <f>N(O3330)+IF(AND(B3331&lt;&gt;"",B3331&gt;='Uang Riba'!$H$30,B3331&lt;='Uang Riba'!$I$30,OR(H3331="Dana riba",H3331="Pinjam uang riba",I3331="Pinjam dari uang riba",I3331="Ganti uang riba",I3331="Kelebihan ganti dikembalikan",AND(C3331="Kantong Uang Riba",G3331="Pengeluaran"))),1,0)</f>
        <v/>
      </c>
      <c r="X3331" s="93">
        <f>IF(AND(B3331&lt;&gt;"",B3331&gt;='Buku Akun'!$H$4,B3331&lt;='Buku Akun'!$H$5,OR(C3331='Buku Akun'!$C$4,AND(D3331="Pindah",E3331='Buku Akun'!$C$4))),B3331+IF(AND(I3331="Selisih bunga",DAY(B3331)=1),0,0.01)+ROW()/10000000,"")</f>
        <v/>
      </c>
    </row>
    <row r="3332" outlineLevel="1" ht="15" customHeight="1" s="94">
      <c r="A3332" s="123">
        <f>IF(B3332="","",ROW()-15)</f>
        <v/>
      </c>
      <c r="B3332" s="124" t="n"/>
      <c r="C3332" s="123" t="n"/>
      <c r="D3332" s="123" t="n"/>
      <c r="E3332" s="123" t="n"/>
      <c r="F3332" s="125" t="n"/>
      <c r="G3332" s="123" t="n"/>
      <c r="H3332" s="123" t="n"/>
      <c r="I3332" s="123" t="n"/>
      <c r="J3332" s="123" t="n"/>
      <c r="K3332" s="123" t="n"/>
      <c r="L3332" s="123" t="n"/>
      <c r="M3332" s="123">
        <f>IF(AND(B3332&lt;&gt;"",OR($C$4="",ISNUMBER(SEARCH($C$4,C3332&amp;" "&amp;E3332&amp;" "&amp;G3332&amp;" "&amp;H3332&amp;" "&amp;I3332&amp;" "&amp;J3332&amp;" "&amp;K3332&amp;" "&amp;L3332))),OR($C$5="Semua",$C$5="",G3332=$C$5),OR($C$6="Semua",$C$6="",H3332=$C$6,H3332="Pengeluaran "&amp;$C$6,AND($C$6="Uang Kos Mama",H3332="Pengeluaran Uang Kos")),OR($C$7="Semua",$C$7="",I3332=$C$7),OR($C$8="Semua",$C$8="",C3332=$C$8,E3332=$C$8),OR($C$9="Semua",$C$9="",D3332=$C$9),OR($C$10="",B3332&gt;=$C$10),OR($C$11="",B3332&lt;=$C$11),OR($C$12&lt;&gt;"Ya",K3332&lt;&gt;""),OR($C$13="Semua",$C$13="",L3332=$C$13)),"✓","")</f>
        <v/>
      </c>
      <c r="N3332" s="93">
        <f>N(N3331)+IF(M3332="✓",1,0)</f>
        <v/>
      </c>
      <c r="O3332" s="93">
        <f>N(O3331)+IF(AND(B3332&lt;&gt;"",B3332&gt;='Uang Riba'!$H$30,B3332&lt;='Uang Riba'!$I$30,OR(H3332="Dana riba",H3332="Pinjam uang riba",I3332="Pinjam dari uang riba",I3332="Ganti uang riba",I3332="Kelebihan ganti dikembalikan",AND(C3332="Kantong Uang Riba",G3332="Pengeluaran"))),1,0)</f>
        <v/>
      </c>
      <c r="X3332" s="93">
        <f>IF(AND(B3332&lt;&gt;"",B3332&gt;='Buku Akun'!$H$4,B3332&lt;='Buku Akun'!$H$5,OR(C3332='Buku Akun'!$C$4,AND(D3332="Pindah",E3332='Buku Akun'!$C$4))),B3332+IF(AND(I3332="Selisih bunga",DAY(B3332)=1),0,0.01)+ROW()/10000000,"")</f>
        <v/>
      </c>
    </row>
    <row r="3333" outlineLevel="1" ht="15" customHeight="1" s="94">
      <c r="A3333" s="123">
        <f>IF(B3333="","",ROW()-15)</f>
        <v/>
      </c>
      <c r="B3333" s="124" t="n"/>
      <c r="C3333" s="123" t="n"/>
      <c r="D3333" s="123" t="n"/>
      <c r="E3333" s="123" t="n"/>
      <c r="F3333" s="125" t="n"/>
      <c r="G3333" s="123" t="n"/>
      <c r="H3333" s="123" t="n"/>
      <c r="I3333" s="123" t="n"/>
      <c r="J3333" s="123" t="n"/>
      <c r="K3333" s="123" t="n"/>
      <c r="L3333" s="123" t="n"/>
      <c r="M3333" s="123">
        <f>IF(AND(B3333&lt;&gt;"",OR($C$4="",ISNUMBER(SEARCH($C$4,C3333&amp;" "&amp;E3333&amp;" "&amp;G3333&amp;" "&amp;H3333&amp;" "&amp;I3333&amp;" "&amp;J3333&amp;" "&amp;K3333&amp;" "&amp;L3333))),OR($C$5="Semua",$C$5="",G3333=$C$5),OR($C$6="Semua",$C$6="",H3333=$C$6,H3333="Pengeluaran "&amp;$C$6,AND($C$6="Uang Kos Mama",H3333="Pengeluaran Uang Kos")),OR($C$7="Semua",$C$7="",I3333=$C$7),OR($C$8="Semua",$C$8="",C3333=$C$8,E3333=$C$8),OR($C$9="Semua",$C$9="",D3333=$C$9),OR($C$10="",B3333&gt;=$C$10),OR($C$11="",B3333&lt;=$C$11),OR($C$12&lt;&gt;"Ya",K3333&lt;&gt;""),OR($C$13="Semua",$C$13="",L3333=$C$13)),"✓","")</f>
        <v/>
      </c>
      <c r="N3333" s="93">
        <f>N(N3332)+IF(M3333="✓",1,0)</f>
        <v/>
      </c>
      <c r="O3333" s="93">
        <f>N(O3332)+IF(AND(B3333&lt;&gt;"",B3333&gt;='Uang Riba'!$H$30,B3333&lt;='Uang Riba'!$I$30,OR(H3333="Dana riba",H3333="Pinjam uang riba",I3333="Pinjam dari uang riba",I3333="Ganti uang riba",I3333="Kelebihan ganti dikembalikan",AND(C3333="Kantong Uang Riba",G3333="Pengeluaran"))),1,0)</f>
        <v/>
      </c>
      <c r="X3333" s="93">
        <f>IF(AND(B3333&lt;&gt;"",B3333&gt;='Buku Akun'!$H$4,B3333&lt;='Buku Akun'!$H$5,OR(C3333='Buku Akun'!$C$4,AND(D3333="Pindah",E3333='Buku Akun'!$C$4))),B3333+IF(AND(I3333="Selisih bunga",DAY(B3333)=1),0,0.01)+ROW()/10000000,"")</f>
        <v/>
      </c>
    </row>
    <row r="3334" outlineLevel="1" ht="15" customHeight="1" s="94">
      <c r="A3334" s="123">
        <f>IF(B3334="","",ROW()-15)</f>
        <v/>
      </c>
      <c r="B3334" s="124" t="n"/>
      <c r="C3334" s="123" t="n"/>
      <c r="D3334" s="123" t="n"/>
      <c r="E3334" s="123" t="n"/>
      <c r="F3334" s="125" t="n"/>
      <c r="G3334" s="123" t="n"/>
      <c r="H3334" s="123" t="n"/>
      <c r="I3334" s="123" t="n"/>
      <c r="J3334" s="123" t="n"/>
      <c r="K3334" s="123" t="n"/>
      <c r="L3334" s="123" t="n"/>
      <c r="M3334" s="123">
        <f>IF(AND(B3334&lt;&gt;"",OR($C$4="",ISNUMBER(SEARCH($C$4,C3334&amp;" "&amp;E3334&amp;" "&amp;G3334&amp;" "&amp;H3334&amp;" "&amp;I3334&amp;" "&amp;J3334&amp;" "&amp;K3334&amp;" "&amp;L3334))),OR($C$5="Semua",$C$5="",G3334=$C$5),OR($C$6="Semua",$C$6="",H3334=$C$6,H3334="Pengeluaran "&amp;$C$6,AND($C$6="Uang Kos Mama",H3334="Pengeluaran Uang Kos")),OR($C$7="Semua",$C$7="",I3334=$C$7),OR($C$8="Semua",$C$8="",C3334=$C$8,E3334=$C$8),OR($C$9="Semua",$C$9="",D3334=$C$9),OR($C$10="",B3334&gt;=$C$10),OR($C$11="",B3334&lt;=$C$11),OR($C$12&lt;&gt;"Ya",K3334&lt;&gt;""),OR($C$13="Semua",$C$13="",L3334=$C$13)),"✓","")</f>
        <v/>
      </c>
      <c r="N3334" s="93">
        <f>N(N3333)+IF(M3334="✓",1,0)</f>
        <v/>
      </c>
      <c r="O3334" s="93">
        <f>N(O3333)+IF(AND(B3334&lt;&gt;"",B3334&gt;='Uang Riba'!$H$30,B3334&lt;='Uang Riba'!$I$30,OR(H3334="Dana riba",H3334="Pinjam uang riba",I3334="Pinjam dari uang riba",I3334="Ganti uang riba",I3334="Kelebihan ganti dikembalikan",AND(C3334="Kantong Uang Riba",G3334="Pengeluaran"))),1,0)</f>
        <v/>
      </c>
      <c r="X3334" s="93">
        <f>IF(AND(B3334&lt;&gt;"",B3334&gt;='Buku Akun'!$H$4,B3334&lt;='Buku Akun'!$H$5,OR(C3334='Buku Akun'!$C$4,AND(D3334="Pindah",E3334='Buku Akun'!$C$4))),B3334+IF(AND(I3334="Selisih bunga",DAY(B3334)=1),0,0.01)+ROW()/10000000,"")</f>
        <v/>
      </c>
    </row>
    <row r="3335" outlineLevel="1" ht="15" customHeight="1" s="94">
      <c r="A3335" s="123">
        <f>IF(B3335="","",ROW()-15)</f>
        <v/>
      </c>
      <c r="B3335" s="124" t="n"/>
      <c r="C3335" s="123" t="n"/>
      <c r="D3335" s="123" t="n"/>
      <c r="E3335" s="123" t="n"/>
      <c r="F3335" s="125" t="n"/>
      <c r="G3335" s="123" t="n"/>
      <c r="H3335" s="123" t="n"/>
      <c r="I3335" s="123" t="n"/>
      <c r="J3335" s="123" t="n"/>
      <c r="K3335" s="123" t="n"/>
      <c r="L3335" s="123" t="n"/>
      <c r="M3335" s="123">
        <f>IF(AND(B3335&lt;&gt;"",OR($C$4="",ISNUMBER(SEARCH($C$4,C3335&amp;" "&amp;E3335&amp;" "&amp;G3335&amp;" "&amp;H3335&amp;" "&amp;I3335&amp;" "&amp;J3335&amp;" "&amp;K3335&amp;" "&amp;L3335))),OR($C$5="Semua",$C$5="",G3335=$C$5),OR($C$6="Semua",$C$6="",H3335=$C$6,H3335="Pengeluaran "&amp;$C$6,AND($C$6="Uang Kos Mama",H3335="Pengeluaran Uang Kos")),OR($C$7="Semua",$C$7="",I3335=$C$7),OR($C$8="Semua",$C$8="",C3335=$C$8,E3335=$C$8),OR($C$9="Semua",$C$9="",D3335=$C$9),OR($C$10="",B3335&gt;=$C$10),OR($C$11="",B3335&lt;=$C$11),OR($C$12&lt;&gt;"Ya",K3335&lt;&gt;""),OR($C$13="Semua",$C$13="",L3335=$C$13)),"✓","")</f>
        <v/>
      </c>
      <c r="N3335" s="93">
        <f>N(N3334)+IF(M3335="✓",1,0)</f>
        <v/>
      </c>
      <c r="O3335" s="93">
        <f>N(O3334)+IF(AND(B3335&lt;&gt;"",B3335&gt;='Uang Riba'!$H$30,B3335&lt;='Uang Riba'!$I$30,OR(H3335="Dana riba",H3335="Pinjam uang riba",I3335="Pinjam dari uang riba",I3335="Ganti uang riba",I3335="Kelebihan ganti dikembalikan",AND(C3335="Kantong Uang Riba",G3335="Pengeluaran"))),1,0)</f>
        <v/>
      </c>
      <c r="X3335" s="93">
        <f>IF(AND(B3335&lt;&gt;"",B3335&gt;='Buku Akun'!$H$4,B3335&lt;='Buku Akun'!$H$5,OR(C3335='Buku Akun'!$C$4,AND(D3335="Pindah",E3335='Buku Akun'!$C$4))),B3335+IF(AND(I3335="Selisih bunga",DAY(B3335)=1),0,0.01)+ROW()/10000000,"")</f>
        <v/>
      </c>
    </row>
    <row r="3336" outlineLevel="1" ht="15" customHeight="1" s="94">
      <c r="A3336" s="123">
        <f>IF(B3336="","",ROW()-15)</f>
        <v/>
      </c>
      <c r="B3336" s="124" t="n"/>
      <c r="C3336" s="123" t="n"/>
      <c r="D3336" s="123" t="n"/>
      <c r="E3336" s="123" t="n"/>
      <c r="F3336" s="125" t="n"/>
      <c r="G3336" s="123" t="n"/>
      <c r="H3336" s="123" t="n"/>
      <c r="I3336" s="123" t="n"/>
      <c r="J3336" s="123" t="n"/>
      <c r="K3336" s="123" t="n"/>
      <c r="L3336" s="123" t="n"/>
      <c r="M3336" s="123">
        <f>IF(AND(B3336&lt;&gt;"",OR($C$4="",ISNUMBER(SEARCH($C$4,C3336&amp;" "&amp;E3336&amp;" "&amp;G3336&amp;" "&amp;H3336&amp;" "&amp;I3336&amp;" "&amp;J3336&amp;" "&amp;K3336&amp;" "&amp;L3336))),OR($C$5="Semua",$C$5="",G3336=$C$5),OR($C$6="Semua",$C$6="",H3336=$C$6,H3336="Pengeluaran "&amp;$C$6,AND($C$6="Uang Kos Mama",H3336="Pengeluaran Uang Kos")),OR($C$7="Semua",$C$7="",I3336=$C$7),OR($C$8="Semua",$C$8="",C3336=$C$8,E3336=$C$8),OR($C$9="Semua",$C$9="",D3336=$C$9),OR($C$10="",B3336&gt;=$C$10),OR($C$11="",B3336&lt;=$C$11),OR($C$12&lt;&gt;"Ya",K3336&lt;&gt;""),OR($C$13="Semua",$C$13="",L3336=$C$13)),"✓","")</f>
        <v/>
      </c>
      <c r="N3336" s="93">
        <f>N(N3335)+IF(M3336="✓",1,0)</f>
        <v/>
      </c>
      <c r="O3336" s="93">
        <f>N(O3335)+IF(AND(B3336&lt;&gt;"",B3336&gt;='Uang Riba'!$H$30,B3336&lt;='Uang Riba'!$I$30,OR(H3336="Dana riba",H3336="Pinjam uang riba",I3336="Pinjam dari uang riba",I3336="Ganti uang riba",I3336="Kelebihan ganti dikembalikan",AND(C3336="Kantong Uang Riba",G3336="Pengeluaran"))),1,0)</f>
        <v/>
      </c>
      <c r="X3336" s="93">
        <f>IF(AND(B3336&lt;&gt;"",B3336&gt;='Buku Akun'!$H$4,B3336&lt;='Buku Akun'!$H$5,OR(C3336='Buku Akun'!$C$4,AND(D3336="Pindah",E3336='Buku Akun'!$C$4))),B3336+IF(AND(I3336="Selisih bunga",DAY(B3336)=1),0,0.01)+ROW()/10000000,"")</f>
        <v/>
      </c>
    </row>
    <row r="3337" outlineLevel="1" ht="15" customHeight="1" s="94">
      <c r="A3337" s="123">
        <f>IF(B3337="","",ROW()-15)</f>
        <v/>
      </c>
      <c r="B3337" s="124" t="n"/>
      <c r="C3337" s="123" t="n"/>
      <c r="D3337" s="123" t="n"/>
      <c r="E3337" s="123" t="n"/>
      <c r="F3337" s="125" t="n"/>
      <c r="G3337" s="123" t="n"/>
      <c r="H3337" s="123" t="n"/>
      <c r="I3337" s="123" t="n"/>
      <c r="J3337" s="123" t="n"/>
      <c r="K3337" s="123" t="n"/>
      <c r="L3337" s="123" t="n"/>
      <c r="M3337" s="123">
        <f>IF(AND(B3337&lt;&gt;"",OR($C$4="",ISNUMBER(SEARCH($C$4,C3337&amp;" "&amp;E3337&amp;" "&amp;G3337&amp;" "&amp;H3337&amp;" "&amp;I3337&amp;" "&amp;J3337&amp;" "&amp;K3337&amp;" "&amp;L3337))),OR($C$5="Semua",$C$5="",G3337=$C$5),OR($C$6="Semua",$C$6="",H3337=$C$6,H3337="Pengeluaran "&amp;$C$6,AND($C$6="Uang Kos Mama",H3337="Pengeluaran Uang Kos")),OR($C$7="Semua",$C$7="",I3337=$C$7),OR($C$8="Semua",$C$8="",C3337=$C$8,E3337=$C$8),OR($C$9="Semua",$C$9="",D3337=$C$9),OR($C$10="",B3337&gt;=$C$10),OR($C$11="",B3337&lt;=$C$11),OR($C$12&lt;&gt;"Ya",K3337&lt;&gt;""),OR($C$13="Semua",$C$13="",L3337=$C$13)),"✓","")</f>
        <v/>
      </c>
      <c r="N3337" s="93">
        <f>N(N3336)+IF(M3337="✓",1,0)</f>
        <v/>
      </c>
      <c r="O3337" s="93">
        <f>N(O3336)+IF(AND(B3337&lt;&gt;"",B3337&gt;='Uang Riba'!$H$30,B3337&lt;='Uang Riba'!$I$30,OR(H3337="Dana riba",H3337="Pinjam uang riba",I3337="Pinjam dari uang riba",I3337="Ganti uang riba",I3337="Kelebihan ganti dikembalikan",AND(C3337="Kantong Uang Riba",G3337="Pengeluaran"))),1,0)</f>
        <v/>
      </c>
      <c r="X3337" s="93">
        <f>IF(AND(B3337&lt;&gt;"",B3337&gt;='Buku Akun'!$H$4,B3337&lt;='Buku Akun'!$H$5,OR(C3337='Buku Akun'!$C$4,AND(D3337="Pindah",E3337='Buku Akun'!$C$4))),B3337+IF(AND(I3337="Selisih bunga",DAY(B3337)=1),0,0.01)+ROW()/10000000,"")</f>
        <v/>
      </c>
    </row>
    <row r="3338" outlineLevel="1" ht="15" customHeight="1" s="94">
      <c r="A3338" s="123">
        <f>IF(B3338="","",ROW()-15)</f>
        <v/>
      </c>
      <c r="B3338" s="124" t="n"/>
      <c r="C3338" s="123" t="n"/>
      <c r="D3338" s="123" t="n"/>
      <c r="E3338" s="123" t="n"/>
      <c r="F3338" s="125" t="n"/>
      <c r="G3338" s="123" t="n"/>
      <c r="H3338" s="123" t="n"/>
      <c r="I3338" s="123" t="n"/>
      <c r="J3338" s="123" t="n"/>
      <c r="K3338" s="123" t="n"/>
      <c r="L3338" s="123" t="n"/>
      <c r="M3338" s="123">
        <f>IF(AND(B3338&lt;&gt;"",OR($C$4="",ISNUMBER(SEARCH($C$4,C3338&amp;" "&amp;E3338&amp;" "&amp;G3338&amp;" "&amp;H3338&amp;" "&amp;I3338&amp;" "&amp;J3338&amp;" "&amp;K3338&amp;" "&amp;L3338))),OR($C$5="Semua",$C$5="",G3338=$C$5),OR($C$6="Semua",$C$6="",H3338=$C$6,H3338="Pengeluaran "&amp;$C$6,AND($C$6="Uang Kos Mama",H3338="Pengeluaran Uang Kos")),OR($C$7="Semua",$C$7="",I3338=$C$7),OR($C$8="Semua",$C$8="",C3338=$C$8,E3338=$C$8),OR($C$9="Semua",$C$9="",D3338=$C$9),OR($C$10="",B3338&gt;=$C$10),OR($C$11="",B3338&lt;=$C$11),OR($C$12&lt;&gt;"Ya",K3338&lt;&gt;""),OR($C$13="Semua",$C$13="",L3338=$C$13)),"✓","")</f>
        <v/>
      </c>
      <c r="N3338" s="93">
        <f>N(N3337)+IF(M3338="✓",1,0)</f>
        <v/>
      </c>
      <c r="O3338" s="93">
        <f>N(O3337)+IF(AND(B3338&lt;&gt;"",B3338&gt;='Uang Riba'!$H$30,B3338&lt;='Uang Riba'!$I$30,OR(H3338="Dana riba",H3338="Pinjam uang riba",I3338="Pinjam dari uang riba",I3338="Ganti uang riba",I3338="Kelebihan ganti dikembalikan",AND(C3338="Kantong Uang Riba",G3338="Pengeluaran"))),1,0)</f>
        <v/>
      </c>
      <c r="X3338" s="93">
        <f>IF(AND(B3338&lt;&gt;"",B3338&gt;='Buku Akun'!$H$4,B3338&lt;='Buku Akun'!$H$5,OR(C3338='Buku Akun'!$C$4,AND(D3338="Pindah",E3338='Buku Akun'!$C$4))),B3338+IF(AND(I3338="Selisih bunga",DAY(B3338)=1),0,0.01)+ROW()/10000000,"")</f>
        <v/>
      </c>
    </row>
    <row r="3339" outlineLevel="1" ht="15" customHeight="1" s="94">
      <c r="A3339" s="123">
        <f>IF(B3339="","",ROW()-15)</f>
        <v/>
      </c>
      <c r="B3339" s="124" t="n"/>
      <c r="C3339" s="123" t="n"/>
      <c r="D3339" s="123" t="n"/>
      <c r="E3339" s="123" t="n"/>
      <c r="F3339" s="125" t="n"/>
      <c r="G3339" s="123" t="n"/>
      <c r="H3339" s="123" t="n"/>
      <c r="I3339" s="123" t="n"/>
      <c r="J3339" s="123" t="n"/>
      <c r="K3339" s="123" t="n"/>
      <c r="L3339" s="123" t="n"/>
      <c r="M3339" s="123">
        <f>IF(AND(B3339&lt;&gt;"",OR($C$4="",ISNUMBER(SEARCH($C$4,C3339&amp;" "&amp;E3339&amp;" "&amp;G3339&amp;" "&amp;H3339&amp;" "&amp;I3339&amp;" "&amp;J3339&amp;" "&amp;K3339&amp;" "&amp;L3339))),OR($C$5="Semua",$C$5="",G3339=$C$5),OR($C$6="Semua",$C$6="",H3339=$C$6,H3339="Pengeluaran "&amp;$C$6,AND($C$6="Uang Kos Mama",H3339="Pengeluaran Uang Kos")),OR($C$7="Semua",$C$7="",I3339=$C$7),OR($C$8="Semua",$C$8="",C3339=$C$8,E3339=$C$8),OR($C$9="Semua",$C$9="",D3339=$C$9),OR($C$10="",B3339&gt;=$C$10),OR($C$11="",B3339&lt;=$C$11),OR($C$12&lt;&gt;"Ya",K3339&lt;&gt;""),OR($C$13="Semua",$C$13="",L3339=$C$13)),"✓","")</f>
        <v/>
      </c>
      <c r="N3339" s="93">
        <f>N(N3338)+IF(M3339="✓",1,0)</f>
        <v/>
      </c>
      <c r="O3339" s="93">
        <f>N(O3338)+IF(AND(B3339&lt;&gt;"",B3339&gt;='Uang Riba'!$H$30,B3339&lt;='Uang Riba'!$I$30,OR(H3339="Dana riba",H3339="Pinjam uang riba",I3339="Pinjam dari uang riba",I3339="Ganti uang riba",I3339="Kelebihan ganti dikembalikan",AND(C3339="Kantong Uang Riba",G3339="Pengeluaran"))),1,0)</f>
        <v/>
      </c>
      <c r="X3339" s="93">
        <f>IF(AND(B3339&lt;&gt;"",B3339&gt;='Buku Akun'!$H$4,B3339&lt;='Buku Akun'!$H$5,OR(C3339='Buku Akun'!$C$4,AND(D3339="Pindah",E3339='Buku Akun'!$C$4))),B3339+IF(AND(I3339="Selisih bunga",DAY(B3339)=1),0,0.01)+ROW()/10000000,"")</f>
        <v/>
      </c>
    </row>
    <row r="3340" outlineLevel="1" ht="15" customHeight="1" s="94">
      <c r="A3340" s="123">
        <f>IF(B3340="","",ROW()-15)</f>
        <v/>
      </c>
      <c r="B3340" s="124" t="n"/>
      <c r="C3340" s="123" t="n"/>
      <c r="D3340" s="123" t="n"/>
      <c r="E3340" s="123" t="n"/>
      <c r="F3340" s="125" t="n"/>
      <c r="G3340" s="123" t="n"/>
      <c r="H3340" s="123" t="n"/>
      <c r="I3340" s="123" t="n"/>
      <c r="J3340" s="123" t="n"/>
      <c r="K3340" s="123" t="n"/>
      <c r="L3340" s="123" t="n"/>
      <c r="M3340" s="123">
        <f>IF(AND(B3340&lt;&gt;"",OR($C$4="",ISNUMBER(SEARCH($C$4,C3340&amp;" "&amp;E3340&amp;" "&amp;G3340&amp;" "&amp;H3340&amp;" "&amp;I3340&amp;" "&amp;J3340&amp;" "&amp;K3340&amp;" "&amp;L3340))),OR($C$5="Semua",$C$5="",G3340=$C$5),OR($C$6="Semua",$C$6="",H3340=$C$6,H3340="Pengeluaran "&amp;$C$6,AND($C$6="Uang Kos Mama",H3340="Pengeluaran Uang Kos")),OR($C$7="Semua",$C$7="",I3340=$C$7),OR($C$8="Semua",$C$8="",C3340=$C$8,E3340=$C$8),OR($C$9="Semua",$C$9="",D3340=$C$9),OR($C$10="",B3340&gt;=$C$10),OR($C$11="",B3340&lt;=$C$11),OR($C$12&lt;&gt;"Ya",K3340&lt;&gt;""),OR($C$13="Semua",$C$13="",L3340=$C$13)),"✓","")</f>
        <v/>
      </c>
      <c r="N3340" s="93">
        <f>N(N3339)+IF(M3340="✓",1,0)</f>
        <v/>
      </c>
      <c r="O3340" s="93">
        <f>N(O3339)+IF(AND(B3340&lt;&gt;"",B3340&gt;='Uang Riba'!$H$30,B3340&lt;='Uang Riba'!$I$30,OR(H3340="Dana riba",H3340="Pinjam uang riba",I3340="Pinjam dari uang riba",I3340="Ganti uang riba",I3340="Kelebihan ganti dikembalikan",AND(C3340="Kantong Uang Riba",G3340="Pengeluaran"))),1,0)</f>
        <v/>
      </c>
      <c r="X3340" s="93">
        <f>IF(AND(B3340&lt;&gt;"",B3340&gt;='Buku Akun'!$H$4,B3340&lt;='Buku Akun'!$H$5,OR(C3340='Buku Akun'!$C$4,AND(D3340="Pindah",E3340='Buku Akun'!$C$4))),B3340+IF(AND(I3340="Selisih bunga",DAY(B3340)=1),0,0.01)+ROW()/10000000,"")</f>
        <v/>
      </c>
    </row>
    <row r="3341" outlineLevel="1" ht="15" customHeight="1" s="94">
      <c r="A3341" s="123">
        <f>IF(B3341="","",ROW()-15)</f>
        <v/>
      </c>
      <c r="B3341" s="124" t="n"/>
      <c r="C3341" s="123" t="n"/>
      <c r="D3341" s="123" t="n"/>
      <c r="E3341" s="123" t="n"/>
      <c r="F3341" s="125" t="n"/>
      <c r="G3341" s="123" t="n"/>
      <c r="H3341" s="123" t="n"/>
      <c r="I3341" s="123" t="n"/>
      <c r="J3341" s="123" t="n"/>
      <c r="K3341" s="123" t="n"/>
      <c r="L3341" s="123" t="n"/>
      <c r="M3341" s="123">
        <f>IF(AND(B3341&lt;&gt;"",OR($C$4="",ISNUMBER(SEARCH($C$4,C3341&amp;" "&amp;E3341&amp;" "&amp;G3341&amp;" "&amp;H3341&amp;" "&amp;I3341&amp;" "&amp;J3341&amp;" "&amp;K3341&amp;" "&amp;L3341))),OR($C$5="Semua",$C$5="",G3341=$C$5),OR($C$6="Semua",$C$6="",H3341=$C$6,H3341="Pengeluaran "&amp;$C$6,AND($C$6="Uang Kos Mama",H3341="Pengeluaran Uang Kos")),OR($C$7="Semua",$C$7="",I3341=$C$7),OR($C$8="Semua",$C$8="",C3341=$C$8,E3341=$C$8),OR($C$9="Semua",$C$9="",D3341=$C$9),OR($C$10="",B3341&gt;=$C$10),OR($C$11="",B3341&lt;=$C$11),OR($C$12&lt;&gt;"Ya",K3341&lt;&gt;""),OR($C$13="Semua",$C$13="",L3341=$C$13)),"✓","")</f>
        <v/>
      </c>
      <c r="N3341" s="93">
        <f>N(N3340)+IF(M3341="✓",1,0)</f>
        <v/>
      </c>
      <c r="O3341" s="93">
        <f>N(O3340)+IF(AND(B3341&lt;&gt;"",B3341&gt;='Uang Riba'!$H$30,B3341&lt;='Uang Riba'!$I$30,OR(H3341="Dana riba",H3341="Pinjam uang riba",I3341="Pinjam dari uang riba",I3341="Ganti uang riba",I3341="Kelebihan ganti dikembalikan",AND(C3341="Kantong Uang Riba",G3341="Pengeluaran"))),1,0)</f>
        <v/>
      </c>
      <c r="X3341" s="93">
        <f>IF(AND(B3341&lt;&gt;"",B3341&gt;='Buku Akun'!$H$4,B3341&lt;='Buku Akun'!$H$5,OR(C3341='Buku Akun'!$C$4,AND(D3341="Pindah",E3341='Buku Akun'!$C$4))),B3341+IF(AND(I3341="Selisih bunga",DAY(B3341)=1),0,0.01)+ROW()/10000000,"")</f>
        <v/>
      </c>
    </row>
    <row r="3342" outlineLevel="1" ht="15" customHeight="1" s="94">
      <c r="A3342" s="123">
        <f>IF(B3342="","",ROW()-15)</f>
        <v/>
      </c>
      <c r="B3342" s="124" t="n"/>
      <c r="C3342" s="123" t="n"/>
      <c r="D3342" s="123" t="n"/>
      <c r="E3342" s="123" t="n"/>
      <c r="F3342" s="125" t="n"/>
      <c r="G3342" s="123" t="n"/>
      <c r="H3342" s="123" t="n"/>
      <c r="I3342" s="123" t="n"/>
      <c r="J3342" s="123" t="n"/>
      <c r="K3342" s="123" t="n"/>
      <c r="L3342" s="123" t="n"/>
      <c r="M3342" s="123">
        <f>IF(AND(B3342&lt;&gt;"",OR($C$4="",ISNUMBER(SEARCH($C$4,C3342&amp;" "&amp;E3342&amp;" "&amp;G3342&amp;" "&amp;H3342&amp;" "&amp;I3342&amp;" "&amp;J3342&amp;" "&amp;K3342&amp;" "&amp;L3342))),OR($C$5="Semua",$C$5="",G3342=$C$5),OR($C$6="Semua",$C$6="",H3342=$C$6,H3342="Pengeluaran "&amp;$C$6,AND($C$6="Uang Kos Mama",H3342="Pengeluaran Uang Kos")),OR($C$7="Semua",$C$7="",I3342=$C$7),OR($C$8="Semua",$C$8="",C3342=$C$8,E3342=$C$8),OR($C$9="Semua",$C$9="",D3342=$C$9),OR($C$10="",B3342&gt;=$C$10),OR($C$11="",B3342&lt;=$C$11),OR($C$12&lt;&gt;"Ya",K3342&lt;&gt;""),OR($C$13="Semua",$C$13="",L3342=$C$13)),"✓","")</f>
        <v/>
      </c>
      <c r="N3342" s="93">
        <f>N(N3341)+IF(M3342="✓",1,0)</f>
        <v/>
      </c>
      <c r="O3342" s="93">
        <f>N(O3341)+IF(AND(B3342&lt;&gt;"",B3342&gt;='Uang Riba'!$H$30,B3342&lt;='Uang Riba'!$I$30,OR(H3342="Dana riba",H3342="Pinjam uang riba",I3342="Pinjam dari uang riba",I3342="Ganti uang riba",I3342="Kelebihan ganti dikembalikan",AND(C3342="Kantong Uang Riba",G3342="Pengeluaran"))),1,0)</f>
        <v/>
      </c>
      <c r="X3342" s="93">
        <f>IF(AND(B3342&lt;&gt;"",B3342&gt;='Buku Akun'!$H$4,B3342&lt;='Buku Akun'!$H$5,OR(C3342='Buku Akun'!$C$4,AND(D3342="Pindah",E3342='Buku Akun'!$C$4))),B3342+IF(AND(I3342="Selisih bunga",DAY(B3342)=1),0,0.01)+ROW()/10000000,"")</f>
        <v/>
      </c>
    </row>
    <row r="3343" outlineLevel="1" ht="15" customHeight="1" s="94">
      <c r="A3343" s="123">
        <f>IF(B3343="","",ROW()-15)</f>
        <v/>
      </c>
      <c r="B3343" s="124" t="n"/>
      <c r="C3343" s="123" t="n"/>
      <c r="D3343" s="123" t="n"/>
      <c r="E3343" s="123" t="n"/>
      <c r="F3343" s="125" t="n"/>
      <c r="G3343" s="123" t="n"/>
      <c r="H3343" s="123" t="n"/>
      <c r="I3343" s="123" t="n"/>
      <c r="J3343" s="123" t="n"/>
      <c r="K3343" s="123" t="n"/>
      <c r="L3343" s="123" t="n"/>
      <c r="M3343" s="123">
        <f>IF(AND(B3343&lt;&gt;"",OR($C$4="",ISNUMBER(SEARCH($C$4,C3343&amp;" "&amp;E3343&amp;" "&amp;G3343&amp;" "&amp;H3343&amp;" "&amp;I3343&amp;" "&amp;J3343&amp;" "&amp;K3343&amp;" "&amp;L3343))),OR($C$5="Semua",$C$5="",G3343=$C$5),OR($C$6="Semua",$C$6="",H3343=$C$6,H3343="Pengeluaran "&amp;$C$6,AND($C$6="Uang Kos Mama",H3343="Pengeluaran Uang Kos")),OR($C$7="Semua",$C$7="",I3343=$C$7),OR($C$8="Semua",$C$8="",C3343=$C$8,E3343=$C$8),OR($C$9="Semua",$C$9="",D3343=$C$9),OR($C$10="",B3343&gt;=$C$10),OR($C$11="",B3343&lt;=$C$11),OR($C$12&lt;&gt;"Ya",K3343&lt;&gt;""),OR($C$13="Semua",$C$13="",L3343=$C$13)),"✓","")</f>
        <v/>
      </c>
      <c r="N3343" s="93">
        <f>N(N3342)+IF(M3343="✓",1,0)</f>
        <v/>
      </c>
      <c r="O3343" s="93">
        <f>N(O3342)+IF(AND(B3343&lt;&gt;"",B3343&gt;='Uang Riba'!$H$30,B3343&lt;='Uang Riba'!$I$30,OR(H3343="Dana riba",H3343="Pinjam uang riba",I3343="Pinjam dari uang riba",I3343="Ganti uang riba",I3343="Kelebihan ganti dikembalikan",AND(C3343="Kantong Uang Riba",G3343="Pengeluaran"))),1,0)</f>
        <v/>
      </c>
      <c r="X3343" s="93">
        <f>IF(AND(B3343&lt;&gt;"",B3343&gt;='Buku Akun'!$H$4,B3343&lt;='Buku Akun'!$H$5,OR(C3343='Buku Akun'!$C$4,AND(D3343="Pindah",E3343='Buku Akun'!$C$4))),B3343+IF(AND(I3343="Selisih bunga",DAY(B3343)=1),0,0.01)+ROW()/10000000,"")</f>
        <v/>
      </c>
    </row>
    <row r="3344" outlineLevel="1" ht="15" customHeight="1" s="94">
      <c r="A3344" s="123">
        <f>IF(B3344="","",ROW()-15)</f>
        <v/>
      </c>
      <c r="B3344" s="124" t="n"/>
      <c r="C3344" s="123" t="n"/>
      <c r="D3344" s="123" t="n"/>
      <c r="E3344" s="123" t="n"/>
      <c r="F3344" s="125" t="n"/>
      <c r="G3344" s="123" t="n"/>
      <c r="H3344" s="123" t="n"/>
      <c r="I3344" s="123" t="n"/>
      <c r="J3344" s="123" t="n"/>
      <c r="K3344" s="123" t="n"/>
      <c r="L3344" s="123" t="n"/>
      <c r="M3344" s="123">
        <f>IF(AND(B3344&lt;&gt;"",OR($C$4="",ISNUMBER(SEARCH($C$4,C3344&amp;" "&amp;E3344&amp;" "&amp;G3344&amp;" "&amp;H3344&amp;" "&amp;I3344&amp;" "&amp;J3344&amp;" "&amp;K3344&amp;" "&amp;L3344))),OR($C$5="Semua",$C$5="",G3344=$C$5),OR($C$6="Semua",$C$6="",H3344=$C$6,H3344="Pengeluaran "&amp;$C$6,AND($C$6="Uang Kos Mama",H3344="Pengeluaran Uang Kos")),OR($C$7="Semua",$C$7="",I3344=$C$7),OR($C$8="Semua",$C$8="",C3344=$C$8,E3344=$C$8),OR($C$9="Semua",$C$9="",D3344=$C$9),OR($C$10="",B3344&gt;=$C$10),OR($C$11="",B3344&lt;=$C$11),OR($C$12&lt;&gt;"Ya",K3344&lt;&gt;""),OR($C$13="Semua",$C$13="",L3344=$C$13)),"✓","")</f>
        <v/>
      </c>
      <c r="N3344" s="93">
        <f>N(N3343)+IF(M3344="✓",1,0)</f>
        <v/>
      </c>
      <c r="O3344" s="93">
        <f>N(O3343)+IF(AND(B3344&lt;&gt;"",B3344&gt;='Uang Riba'!$H$30,B3344&lt;='Uang Riba'!$I$30,OR(H3344="Dana riba",H3344="Pinjam uang riba",I3344="Pinjam dari uang riba",I3344="Ganti uang riba",I3344="Kelebihan ganti dikembalikan",AND(C3344="Kantong Uang Riba",G3344="Pengeluaran"))),1,0)</f>
        <v/>
      </c>
      <c r="X3344" s="93">
        <f>IF(AND(B3344&lt;&gt;"",B3344&gt;='Buku Akun'!$H$4,B3344&lt;='Buku Akun'!$H$5,OR(C3344='Buku Akun'!$C$4,AND(D3344="Pindah",E3344='Buku Akun'!$C$4))),B3344+IF(AND(I3344="Selisih bunga",DAY(B3344)=1),0,0.01)+ROW()/10000000,"")</f>
        <v/>
      </c>
    </row>
    <row r="3345" outlineLevel="1" ht="15" customHeight="1" s="94">
      <c r="A3345" s="123">
        <f>IF(B3345="","",ROW()-15)</f>
        <v/>
      </c>
      <c r="B3345" s="124" t="n"/>
      <c r="C3345" s="123" t="n"/>
      <c r="D3345" s="123" t="n"/>
      <c r="E3345" s="123" t="n"/>
      <c r="F3345" s="125" t="n"/>
      <c r="G3345" s="123" t="n"/>
      <c r="H3345" s="123" t="n"/>
      <c r="I3345" s="123" t="n"/>
      <c r="J3345" s="123" t="n"/>
      <c r="K3345" s="123" t="n"/>
      <c r="L3345" s="123" t="n"/>
      <c r="M3345" s="123">
        <f>IF(AND(B3345&lt;&gt;"",OR($C$4="",ISNUMBER(SEARCH($C$4,C3345&amp;" "&amp;E3345&amp;" "&amp;G3345&amp;" "&amp;H3345&amp;" "&amp;I3345&amp;" "&amp;J3345&amp;" "&amp;K3345&amp;" "&amp;L3345))),OR($C$5="Semua",$C$5="",G3345=$C$5),OR($C$6="Semua",$C$6="",H3345=$C$6,H3345="Pengeluaran "&amp;$C$6,AND($C$6="Uang Kos Mama",H3345="Pengeluaran Uang Kos")),OR($C$7="Semua",$C$7="",I3345=$C$7),OR($C$8="Semua",$C$8="",C3345=$C$8,E3345=$C$8),OR($C$9="Semua",$C$9="",D3345=$C$9),OR($C$10="",B3345&gt;=$C$10),OR($C$11="",B3345&lt;=$C$11),OR($C$12&lt;&gt;"Ya",K3345&lt;&gt;""),OR($C$13="Semua",$C$13="",L3345=$C$13)),"✓","")</f>
        <v/>
      </c>
      <c r="N3345" s="93">
        <f>N(N3344)+IF(M3345="✓",1,0)</f>
        <v/>
      </c>
      <c r="O3345" s="93">
        <f>N(O3344)+IF(AND(B3345&lt;&gt;"",B3345&gt;='Uang Riba'!$H$30,B3345&lt;='Uang Riba'!$I$30,OR(H3345="Dana riba",H3345="Pinjam uang riba",I3345="Pinjam dari uang riba",I3345="Ganti uang riba",I3345="Kelebihan ganti dikembalikan",AND(C3345="Kantong Uang Riba",G3345="Pengeluaran"))),1,0)</f>
        <v/>
      </c>
      <c r="X3345" s="93">
        <f>IF(AND(B3345&lt;&gt;"",B3345&gt;='Buku Akun'!$H$4,B3345&lt;='Buku Akun'!$H$5,OR(C3345='Buku Akun'!$C$4,AND(D3345="Pindah",E3345='Buku Akun'!$C$4))),B3345+IF(AND(I3345="Selisih bunga",DAY(B3345)=1),0,0.01)+ROW()/10000000,"")</f>
        <v/>
      </c>
    </row>
    <row r="3346" outlineLevel="1" ht="15" customHeight="1" s="94">
      <c r="A3346" s="123">
        <f>IF(B3346="","",ROW()-15)</f>
        <v/>
      </c>
      <c r="B3346" s="124" t="n"/>
      <c r="C3346" s="123" t="n"/>
      <c r="D3346" s="123" t="n"/>
      <c r="E3346" s="123" t="n"/>
      <c r="F3346" s="125" t="n"/>
      <c r="G3346" s="123" t="n"/>
      <c r="H3346" s="123" t="n"/>
      <c r="I3346" s="123" t="n"/>
      <c r="J3346" s="123" t="n"/>
      <c r="K3346" s="123" t="n"/>
      <c r="L3346" s="123" t="n"/>
      <c r="M3346" s="123">
        <f>IF(AND(B3346&lt;&gt;"",OR($C$4="",ISNUMBER(SEARCH($C$4,C3346&amp;" "&amp;E3346&amp;" "&amp;G3346&amp;" "&amp;H3346&amp;" "&amp;I3346&amp;" "&amp;J3346&amp;" "&amp;K3346&amp;" "&amp;L3346))),OR($C$5="Semua",$C$5="",G3346=$C$5),OR($C$6="Semua",$C$6="",H3346=$C$6,H3346="Pengeluaran "&amp;$C$6,AND($C$6="Uang Kos Mama",H3346="Pengeluaran Uang Kos")),OR($C$7="Semua",$C$7="",I3346=$C$7),OR($C$8="Semua",$C$8="",C3346=$C$8,E3346=$C$8),OR($C$9="Semua",$C$9="",D3346=$C$9),OR($C$10="",B3346&gt;=$C$10),OR($C$11="",B3346&lt;=$C$11),OR($C$12&lt;&gt;"Ya",K3346&lt;&gt;""),OR($C$13="Semua",$C$13="",L3346=$C$13)),"✓","")</f>
        <v/>
      </c>
      <c r="N3346" s="93">
        <f>N(N3345)+IF(M3346="✓",1,0)</f>
        <v/>
      </c>
      <c r="O3346" s="93">
        <f>N(O3345)+IF(AND(B3346&lt;&gt;"",B3346&gt;='Uang Riba'!$H$30,B3346&lt;='Uang Riba'!$I$30,OR(H3346="Dana riba",H3346="Pinjam uang riba",I3346="Pinjam dari uang riba",I3346="Ganti uang riba",I3346="Kelebihan ganti dikembalikan",AND(C3346="Kantong Uang Riba",G3346="Pengeluaran"))),1,0)</f>
        <v/>
      </c>
      <c r="X3346" s="93">
        <f>IF(AND(B3346&lt;&gt;"",B3346&gt;='Buku Akun'!$H$4,B3346&lt;='Buku Akun'!$H$5,OR(C3346='Buku Akun'!$C$4,AND(D3346="Pindah",E3346='Buku Akun'!$C$4))),B3346+IF(AND(I3346="Selisih bunga",DAY(B3346)=1),0,0.01)+ROW()/10000000,"")</f>
        <v/>
      </c>
    </row>
    <row r="3347" outlineLevel="1" ht="15" customHeight="1" s="94">
      <c r="A3347" s="123">
        <f>IF(B3347="","",ROW()-15)</f>
        <v/>
      </c>
      <c r="B3347" s="124" t="n"/>
      <c r="C3347" s="123" t="n"/>
      <c r="D3347" s="123" t="n"/>
      <c r="E3347" s="123" t="n"/>
      <c r="F3347" s="125" t="n"/>
      <c r="G3347" s="123" t="n"/>
      <c r="H3347" s="123" t="n"/>
      <c r="I3347" s="123" t="n"/>
      <c r="J3347" s="123" t="n"/>
      <c r="K3347" s="123" t="n"/>
      <c r="L3347" s="123" t="n"/>
      <c r="M3347" s="123">
        <f>IF(AND(B3347&lt;&gt;"",OR($C$4="",ISNUMBER(SEARCH($C$4,C3347&amp;" "&amp;E3347&amp;" "&amp;G3347&amp;" "&amp;H3347&amp;" "&amp;I3347&amp;" "&amp;J3347&amp;" "&amp;K3347&amp;" "&amp;L3347))),OR($C$5="Semua",$C$5="",G3347=$C$5),OR($C$6="Semua",$C$6="",H3347=$C$6,H3347="Pengeluaran "&amp;$C$6,AND($C$6="Uang Kos Mama",H3347="Pengeluaran Uang Kos")),OR($C$7="Semua",$C$7="",I3347=$C$7),OR($C$8="Semua",$C$8="",C3347=$C$8,E3347=$C$8),OR($C$9="Semua",$C$9="",D3347=$C$9),OR($C$10="",B3347&gt;=$C$10),OR($C$11="",B3347&lt;=$C$11),OR($C$12&lt;&gt;"Ya",K3347&lt;&gt;""),OR($C$13="Semua",$C$13="",L3347=$C$13)),"✓","")</f>
        <v/>
      </c>
      <c r="N3347" s="93">
        <f>N(N3346)+IF(M3347="✓",1,0)</f>
        <v/>
      </c>
      <c r="O3347" s="93">
        <f>N(O3346)+IF(AND(B3347&lt;&gt;"",B3347&gt;='Uang Riba'!$H$30,B3347&lt;='Uang Riba'!$I$30,OR(H3347="Dana riba",H3347="Pinjam uang riba",I3347="Pinjam dari uang riba",I3347="Ganti uang riba",I3347="Kelebihan ganti dikembalikan",AND(C3347="Kantong Uang Riba",G3347="Pengeluaran"))),1,0)</f>
        <v/>
      </c>
      <c r="X3347" s="93">
        <f>IF(AND(B3347&lt;&gt;"",B3347&gt;='Buku Akun'!$H$4,B3347&lt;='Buku Akun'!$H$5,OR(C3347='Buku Akun'!$C$4,AND(D3347="Pindah",E3347='Buku Akun'!$C$4))),B3347+IF(AND(I3347="Selisih bunga",DAY(B3347)=1),0,0.01)+ROW()/10000000,"")</f>
        <v/>
      </c>
    </row>
    <row r="3348" outlineLevel="1" ht="15" customHeight="1" s="94">
      <c r="A3348" s="123">
        <f>IF(B3348="","",ROW()-15)</f>
        <v/>
      </c>
      <c r="B3348" s="124" t="n"/>
      <c r="C3348" s="123" t="n"/>
      <c r="D3348" s="123" t="n"/>
      <c r="E3348" s="123" t="n"/>
      <c r="F3348" s="125" t="n"/>
      <c r="G3348" s="123" t="n"/>
      <c r="H3348" s="123" t="n"/>
      <c r="I3348" s="123" t="n"/>
      <c r="J3348" s="123" t="n"/>
      <c r="K3348" s="123" t="n"/>
      <c r="L3348" s="123" t="n"/>
      <c r="M3348" s="123">
        <f>IF(AND(B3348&lt;&gt;"",OR($C$4="",ISNUMBER(SEARCH($C$4,C3348&amp;" "&amp;E3348&amp;" "&amp;G3348&amp;" "&amp;H3348&amp;" "&amp;I3348&amp;" "&amp;J3348&amp;" "&amp;K3348&amp;" "&amp;L3348))),OR($C$5="Semua",$C$5="",G3348=$C$5),OR($C$6="Semua",$C$6="",H3348=$C$6,H3348="Pengeluaran "&amp;$C$6,AND($C$6="Uang Kos Mama",H3348="Pengeluaran Uang Kos")),OR($C$7="Semua",$C$7="",I3348=$C$7),OR($C$8="Semua",$C$8="",C3348=$C$8,E3348=$C$8),OR($C$9="Semua",$C$9="",D3348=$C$9),OR($C$10="",B3348&gt;=$C$10),OR($C$11="",B3348&lt;=$C$11),OR($C$12&lt;&gt;"Ya",K3348&lt;&gt;""),OR($C$13="Semua",$C$13="",L3348=$C$13)),"✓","")</f>
        <v/>
      </c>
      <c r="N3348" s="93">
        <f>N(N3347)+IF(M3348="✓",1,0)</f>
        <v/>
      </c>
      <c r="O3348" s="93">
        <f>N(O3347)+IF(AND(B3348&lt;&gt;"",B3348&gt;='Uang Riba'!$H$30,B3348&lt;='Uang Riba'!$I$30,OR(H3348="Dana riba",H3348="Pinjam uang riba",I3348="Pinjam dari uang riba",I3348="Ganti uang riba",I3348="Kelebihan ganti dikembalikan",AND(C3348="Kantong Uang Riba",G3348="Pengeluaran"))),1,0)</f>
        <v/>
      </c>
      <c r="X3348" s="93">
        <f>IF(AND(B3348&lt;&gt;"",B3348&gt;='Buku Akun'!$H$4,B3348&lt;='Buku Akun'!$H$5,OR(C3348='Buku Akun'!$C$4,AND(D3348="Pindah",E3348='Buku Akun'!$C$4))),B3348+IF(AND(I3348="Selisih bunga",DAY(B3348)=1),0,0.01)+ROW()/10000000,"")</f>
        <v/>
      </c>
    </row>
    <row r="3349" outlineLevel="1" ht="15" customHeight="1" s="94">
      <c r="A3349" s="123">
        <f>IF(B3349="","",ROW()-15)</f>
        <v/>
      </c>
      <c r="B3349" s="124" t="n"/>
      <c r="C3349" s="123" t="n"/>
      <c r="D3349" s="123" t="n"/>
      <c r="E3349" s="123" t="n"/>
      <c r="F3349" s="125" t="n"/>
      <c r="G3349" s="123" t="n"/>
      <c r="H3349" s="123" t="n"/>
      <c r="I3349" s="123" t="n"/>
      <c r="J3349" s="123" t="n"/>
      <c r="K3349" s="123" t="n"/>
      <c r="L3349" s="123" t="n"/>
      <c r="M3349" s="123">
        <f>IF(AND(B3349&lt;&gt;"",OR($C$4="",ISNUMBER(SEARCH($C$4,C3349&amp;" "&amp;E3349&amp;" "&amp;G3349&amp;" "&amp;H3349&amp;" "&amp;I3349&amp;" "&amp;J3349&amp;" "&amp;K3349&amp;" "&amp;L3349))),OR($C$5="Semua",$C$5="",G3349=$C$5),OR($C$6="Semua",$C$6="",H3349=$C$6,H3349="Pengeluaran "&amp;$C$6,AND($C$6="Uang Kos Mama",H3349="Pengeluaran Uang Kos")),OR($C$7="Semua",$C$7="",I3349=$C$7),OR($C$8="Semua",$C$8="",C3349=$C$8,E3349=$C$8),OR($C$9="Semua",$C$9="",D3349=$C$9),OR($C$10="",B3349&gt;=$C$10),OR($C$11="",B3349&lt;=$C$11),OR($C$12&lt;&gt;"Ya",K3349&lt;&gt;""),OR($C$13="Semua",$C$13="",L3349=$C$13)),"✓","")</f>
        <v/>
      </c>
      <c r="N3349" s="93">
        <f>N(N3348)+IF(M3349="✓",1,0)</f>
        <v/>
      </c>
      <c r="O3349" s="93">
        <f>N(O3348)+IF(AND(B3349&lt;&gt;"",B3349&gt;='Uang Riba'!$H$30,B3349&lt;='Uang Riba'!$I$30,OR(H3349="Dana riba",H3349="Pinjam uang riba",I3349="Pinjam dari uang riba",I3349="Ganti uang riba",I3349="Kelebihan ganti dikembalikan",AND(C3349="Kantong Uang Riba",G3349="Pengeluaran"))),1,0)</f>
        <v/>
      </c>
      <c r="X3349" s="93">
        <f>IF(AND(B3349&lt;&gt;"",B3349&gt;='Buku Akun'!$H$4,B3349&lt;='Buku Akun'!$H$5,OR(C3349='Buku Akun'!$C$4,AND(D3349="Pindah",E3349='Buku Akun'!$C$4))),B3349+IF(AND(I3349="Selisih bunga",DAY(B3349)=1),0,0.01)+ROW()/10000000,"")</f>
        <v/>
      </c>
    </row>
    <row r="3350" outlineLevel="1" ht="15" customHeight="1" s="94">
      <c r="A3350" s="123">
        <f>IF(B3350="","",ROW()-15)</f>
        <v/>
      </c>
      <c r="B3350" s="124" t="n"/>
      <c r="C3350" s="123" t="n"/>
      <c r="D3350" s="123" t="n"/>
      <c r="E3350" s="123" t="n"/>
      <c r="F3350" s="125" t="n"/>
      <c r="G3350" s="123" t="n"/>
      <c r="H3350" s="123" t="n"/>
      <c r="I3350" s="123" t="n"/>
      <c r="J3350" s="123" t="n"/>
      <c r="K3350" s="123" t="n"/>
      <c r="L3350" s="123" t="n"/>
      <c r="M3350" s="123">
        <f>IF(AND(B3350&lt;&gt;"",OR($C$4="",ISNUMBER(SEARCH($C$4,C3350&amp;" "&amp;E3350&amp;" "&amp;G3350&amp;" "&amp;H3350&amp;" "&amp;I3350&amp;" "&amp;J3350&amp;" "&amp;K3350&amp;" "&amp;L3350))),OR($C$5="Semua",$C$5="",G3350=$C$5),OR($C$6="Semua",$C$6="",H3350=$C$6,H3350="Pengeluaran "&amp;$C$6,AND($C$6="Uang Kos Mama",H3350="Pengeluaran Uang Kos")),OR($C$7="Semua",$C$7="",I3350=$C$7),OR($C$8="Semua",$C$8="",C3350=$C$8,E3350=$C$8),OR($C$9="Semua",$C$9="",D3350=$C$9),OR($C$10="",B3350&gt;=$C$10),OR($C$11="",B3350&lt;=$C$11),OR($C$12&lt;&gt;"Ya",K3350&lt;&gt;""),OR($C$13="Semua",$C$13="",L3350=$C$13)),"✓","")</f>
        <v/>
      </c>
      <c r="N3350" s="93">
        <f>N(N3349)+IF(M3350="✓",1,0)</f>
        <v/>
      </c>
      <c r="O3350" s="93">
        <f>N(O3349)+IF(AND(B3350&lt;&gt;"",B3350&gt;='Uang Riba'!$H$30,B3350&lt;='Uang Riba'!$I$30,OR(H3350="Dana riba",H3350="Pinjam uang riba",I3350="Pinjam dari uang riba",I3350="Ganti uang riba",I3350="Kelebihan ganti dikembalikan",AND(C3350="Kantong Uang Riba",G3350="Pengeluaran"))),1,0)</f>
        <v/>
      </c>
      <c r="X3350" s="93">
        <f>IF(AND(B3350&lt;&gt;"",B3350&gt;='Buku Akun'!$H$4,B3350&lt;='Buku Akun'!$H$5,OR(C3350='Buku Akun'!$C$4,AND(D3350="Pindah",E3350='Buku Akun'!$C$4))),B3350+IF(AND(I3350="Selisih bunga",DAY(B3350)=1),0,0.01)+ROW()/10000000,"")</f>
        <v/>
      </c>
    </row>
    <row r="3351" outlineLevel="1" ht="15" customHeight="1" s="94">
      <c r="A3351" s="123">
        <f>IF(B3351="","",ROW()-15)</f>
        <v/>
      </c>
      <c r="B3351" s="124" t="n"/>
      <c r="C3351" s="123" t="n"/>
      <c r="D3351" s="123" t="n"/>
      <c r="E3351" s="123" t="n"/>
      <c r="F3351" s="125" t="n"/>
      <c r="G3351" s="123" t="n"/>
      <c r="H3351" s="123" t="n"/>
      <c r="I3351" s="123" t="n"/>
      <c r="J3351" s="123" t="n"/>
      <c r="K3351" s="123" t="n"/>
      <c r="L3351" s="123" t="n"/>
      <c r="M3351" s="123">
        <f>IF(AND(B3351&lt;&gt;"",OR($C$4="",ISNUMBER(SEARCH($C$4,C3351&amp;" "&amp;E3351&amp;" "&amp;G3351&amp;" "&amp;H3351&amp;" "&amp;I3351&amp;" "&amp;J3351&amp;" "&amp;K3351&amp;" "&amp;L3351))),OR($C$5="Semua",$C$5="",G3351=$C$5),OR($C$6="Semua",$C$6="",H3351=$C$6,H3351="Pengeluaran "&amp;$C$6,AND($C$6="Uang Kos Mama",H3351="Pengeluaran Uang Kos")),OR($C$7="Semua",$C$7="",I3351=$C$7),OR($C$8="Semua",$C$8="",C3351=$C$8,E3351=$C$8),OR($C$9="Semua",$C$9="",D3351=$C$9),OR($C$10="",B3351&gt;=$C$10),OR($C$11="",B3351&lt;=$C$11),OR($C$12&lt;&gt;"Ya",K3351&lt;&gt;""),OR($C$13="Semua",$C$13="",L3351=$C$13)),"✓","")</f>
        <v/>
      </c>
      <c r="N3351" s="93">
        <f>N(N3350)+IF(M3351="✓",1,0)</f>
        <v/>
      </c>
      <c r="O3351" s="93">
        <f>N(O3350)+IF(AND(B3351&lt;&gt;"",B3351&gt;='Uang Riba'!$H$30,B3351&lt;='Uang Riba'!$I$30,OR(H3351="Dana riba",H3351="Pinjam uang riba",I3351="Pinjam dari uang riba",I3351="Ganti uang riba",I3351="Kelebihan ganti dikembalikan",AND(C3351="Kantong Uang Riba",G3351="Pengeluaran"))),1,0)</f>
        <v/>
      </c>
      <c r="X3351" s="93">
        <f>IF(AND(B3351&lt;&gt;"",B3351&gt;='Buku Akun'!$H$4,B3351&lt;='Buku Akun'!$H$5,OR(C3351='Buku Akun'!$C$4,AND(D3351="Pindah",E3351='Buku Akun'!$C$4))),B3351+IF(AND(I3351="Selisih bunga",DAY(B3351)=1),0,0.01)+ROW()/10000000,"")</f>
        <v/>
      </c>
    </row>
    <row r="3352" outlineLevel="1" ht="15" customHeight="1" s="94">
      <c r="A3352" s="123">
        <f>IF(B3352="","",ROW()-15)</f>
        <v/>
      </c>
      <c r="B3352" s="124" t="n"/>
      <c r="C3352" s="123" t="n"/>
      <c r="D3352" s="123" t="n"/>
      <c r="E3352" s="123" t="n"/>
      <c r="F3352" s="125" t="n"/>
      <c r="G3352" s="123" t="n"/>
      <c r="H3352" s="123" t="n"/>
      <c r="I3352" s="123" t="n"/>
      <c r="J3352" s="123" t="n"/>
      <c r="K3352" s="123" t="n"/>
      <c r="L3352" s="123" t="n"/>
      <c r="M3352" s="123">
        <f>IF(AND(B3352&lt;&gt;"",OR($C$4="",ISNUMBER(SEARCH($C$4,C3352&amp;" "&amp;E3352&amp;" "&amp;G3352&amp;" "&amp;H3352&amp;" "&amp;I3352&amp;" "&amp;J3352&amp;" "&amp;K3352&amp;" "&amp;L3352))),OR($C$5="Semua",$C$5="",G3352=$C$5),OR($C$6="Semua",$C$6="",H3352=$C$6,H3352="Pengeluaran "&amp;$C$6,AND($C$6="Uang Kos Mama",H3352="Pengeluaran Uang Kos")),OR($C$7="Semua",$C$7="",I3352=$C$7),OR($C$8="Semua",$C$8="",C3352=$C$8,E3352=$C$8),OR($C$9="Semua",$C$9="",D3352=$C$9),OR($C$10="",B3352&gt;=$C$10),OR($C$11="",B3352&lt;=$C$11),OR($C$12&lt;&gt;"Ya",K3352&lt;&gt;""),OR($C$13="Semua",$C$13="",L3352=$C$13)),"✓","")</f>
        <v/>
      </c>
      <c r="N3352" s="93">
        <f>N(N3351)+IF(M3352="✓",1,0)</f>
        <v/>
      </c>
      <c r="O3352" s="93">
        <f>N(O3351)+IF(AND(B3352&lt;&gt;"",B3352&gt;='Uang Riba'!$H$30,B3352&lt;='Uang Riba'!$I$30,OR(H3352="Dana riba",H3352="Pinjam uang riba",I3352="Pinjam dari uang riba",I3352="Ganti uang riba",I3352="Kelebihan ganti dikembalikan",AND(C3352="Kantong Uang Riba",G3352="Pengeluaran"))),1,0)</f>
        <v/>
      </c>
      <c r="X3352" s="93">
        <f>IF(AND(B3352&lt;&gt;"",B3352&gt;='Buku Akun'!$H$4,B3352&lt;='Buku Akun'!$H$5,OR(C3352='Buku Akun'!$C$4,AND(D3352="Pindah",E3352='Buku Akun'!$C$4))),B3352+IF(AND(I3352="Selisih bunga",DAY(B3352)=1),0,0.01)+ROW()/10000000,"")</f>
        <v/>
      </c>
    </row>
    <row r="3353" outlineLevel="1" ht="15" customHeight="1" s="94">
      <c r="A3353" s="123">
        <f>IF(B3353="","",ROW()-15)</f>
        <v/>
      </c>
      <c r="B3353" s="124" t="n"/>
      <c r="C3353" s="123" t="n"/>
      <c r="D3353" s="123" t="n"/>
      <c r="E3353" s="123" t="n"/>
      <c r="F3353" s="125" t="n"/>
      <c r="G3353" s="123" t="n"/>
      <c r="H3353" s="123" t="n"/>
      <c r="I3353" s="123" t="n"/>
      <c r="J3353" s="123" t="n"/>
      <c r="K3353" s="123" t="n"/>
      <c r="L3353" s="123" t="n"/>
      <c r="M3353" s="123">
        <f>IF(AND(B3353&lt;&gt;"",OR($C$4="",ISNUMBER(SEARCH($C$4,C3353&amp;" "&amp;E3353&amp;" "&amp;G3353&amp;" "&amp;H3353&amp;" "&amp;I3353&amp;" "&amp;J3353&amp;" "&amp;K3353&amp;" "&amp;L3353))),OR($C$5="Semua",$C$5="",G3353=$C$5),OR($C$6="Semua",$C$6="",H3353=$C$6,H3353="Pengeluaran "&amp;$C$6,AND($C$6="Uang Kos Mama",H3353="Pengeluaran Uang Kos")),OR($C$7="Semua",$C$7="",I3353=$C$7),OR($C$8="Semua",$C$8="",C3353=$C$8,E3353=$C$8),OR($C$9="Semua",$C$9="",D3353=$C$9),OR($C$10="",B3353&gt;=$C$10),OR($C$11="",B3353&lt;=$C$11),OR($C$12&lt;&gt;"Ya",K3353&lt;&gt;""),OR($C$13="Semua",$C$13="",L3353=$C$13)),"✓","")</f>
        <v/>
      </c>
      <c r="N3353" s="93">
        <f>N(N3352)+IF(M3353="✓",1,0)</f>
        <v/>
      </c>
      <c r="O3353" s="93">
        <f>N(O3352)+IF(AND(B3353&lt;&gt;"",B3353&gt;='Uang Riba'!$H$30,B3353&lt;='Uang Riba'!$I$30,OR(H3353="Dana riba",H3353="Pinjam uang riba",I3353="Pinjam dari uang riba",I3353="Ganti uang riba",I3353="Kelebihan ganti dikembalikan",AND(C3353="Kantong Uang Riba",G3353="Pengeluaran"))),1,0)</f>
        <v/>
      </c>
      <c r="X3353" s="93">
        <f>IF(AND(B3353&lt;&gt;"",B3353&gt;='Buku Akun'!$H$4,B3353&lt;='Buku Akun'!$H$5,OR(C3353='Buku Akun'!$C$4,AND(D3353="Pindah",E3353='Buku Akun'!$C$4))),B3353+IF(AND(I3353="Selisih bunga",DAY(B3353)=1),0,0.01)+ROW()/10000000,"")</f>
        <v/>
      </c>
    </row>
    <row r="3354" outlineLevel="1" ht="15" customHeight="1" s="94">
      <c r="A3354" s="123">
        <f>IF(B3354="","",ROW()-15)</f>
        <v/>
      </c>
      <c r="B3354" s="124" t="n"/>
      <c r="C3354" s="123" t="n"/>
      <c r="D3354" s="123" t="n"/>
      <c r="E3354" s="123" t="n"/>
      <c r="F3354" s="125" t="n"/>
      <c r="G3354" s="123" t="n"/>
      <c r="H3354" s="123" t="n"/>
      <c r="I3354" s="123" t="n"/>
      <c r="J3354" s="123" t="n"/>
      <c r="K3354" s="123" t="n"/>
      <c r="L3354" s="123" t="n"/>
      <c r="M3354" s="123">
        <f>IF(AND(B3354&lt;&gt;"",OR($C$4="",ISNUMBER(SEARCH($C$4,C3354&amp;" "&amp;E3354&amp;" "&amp;G3354&amp;" "&amp;H3354&amp;" "&amp;I3354&amp;" "&amp;J3354&amp;" "&amp;K3354&amp;" "&amp;L3354))),OR($C$5="Semua",$C$5="",G3354=$C$5),OR($C$6="Semua",$C$6="",H3354=$C$6,H3354="Pengeluaran "&amp;$C$6,AND($C$6="Uang Kos Mama",H3354="Pengeluaran Uang Kos")),OR($C$7="Semua",$C$7="",I3354=$C$7),OR($C$8="Semua",$C$8="",C3354=$C$8,E3354=$C$8),OR($C$9="Semua",$C$9="",D3354=$C$9),OR($C$10="",B3354&gt;=$C$10),OR($C$11="",B3354&lt;=$C$11),OR($C$12&lt;&gt;"Ya",K3354&lt;&gt;""),OR($C$13="Semua",$C$13="",L3354=$C$13)),"✓","")</f>
        <v/>
      </c>
      <c r="N3354" s="93">
        <f>N(N3353)+IF(M3354="✓",1,0)</f>
        <v/>
      </c>
      <c r="O3354" s="93">
        <f>N(O3353)+IF(AND(B3354&lt;&gt;"",B3354&gt;='Uang Riba'!$H$30,B3354&lt;='Uang Riba'!$I$30,OR(H3354="Dana riba",H3354="Pinjam uang riba",I3354="Pinjam dari uang riba",I3354="Ganti uang riba",I3354="Kelebihan ganti dikembalikan",AND(C3354="Kantong Uang Riba",G3354="Pengeluaran"))),1,0)</f>
        <v/>
      </c>
      <c r="X3354" s="93">
        <f>IF(AND(B3354&lt;&gt;"",B3354&gt;='Buku Akun'!$H$4,B3354&lt;='Buku Akun'!$H$5,OR(C3354='Buku Akun'!$C$4,AND(D3354="Pindah",E3354='Buku Akun'!$C$4))),B3354+IF(AND(I3354="Selisih bunga",DAY(B3354)=1),0,0.01)+ROW()/10000000,"")</f>
        <v/>
      </c>
    </row>
    <row r="3355" outlineLevel="1" ht="15" customHeight="1" s="94">
      <c r="A3355" s="123">
        <f>IF(B3355="","",ROW()-15)</f>
        <v/>
      </c>
      <c r="B3355" s="124" t="n"/>
      <c r="C3355" s="123" t="n"/>
      <c r="D3355" s="123" t="n"/>
      <c r="E3355" s="123" t="n"/>
      <c r="F3355" s="125" t="n"/>
      <c r="G3355" s="123" t="n"/>
      <c r="H3355" s="123" t="n"/>
      <c r="I3355" s="123" t="n"/>
      <c r="J3355" s="123" t="n"/>
      <c r="K3355" s="123" t="n"/>
      <c r="L3355" s="123" t="n"/>
      <c r="M3355" s="123">
        <f>IF(AND(B3355&lt;&gt;"",OR($C$4="",ISNUMBER(SEARCH($C$4,C3355&amp;" "&amp;E3355&amp;" "&amp;G3355&amp;" "&amp;H3355&amp;" "&amp;I3355&amp;" "&amp;J3355&amp;" "&amp;K3355&amp;" "&amp;L3355))),OR($C$5="Semua",$C$5="",G3355=$C$5),OR($C$6="Semua",$C$6="",H3355=$C$6,H3355="Pengeluaran "&amp;$C$6,AND($C$6="Uang Kos Mama",H3355="Pengeluaran Uang Kos")),OR($C$7="Semua",$C$7="",I3355=$C$7),OR($C$8="Semua",$C$8="",C3355=$C$8,E3355=$C$8),OR($C$9="Semua",$C$9="",D3355=$C$9),OR($C$10="",B3355&gt;=$C$10),OR($C$11="",B3355&lt;=$C$11),OR($C$12&lt;&gt;"Ya",K3355&lt;&gt;""),OR($C$13="Semua",$C$13="",L3355=$C$13)),"✓","")</f>
        <v/>
      </c>
      <c r="N3355" s="93">
        <f>N(N3354)+IF(M3355="✓",1,0)</f>
        <v/>
      </c>
      <c r="O3355" s="93">
        <f>N(O3354)+IF(AND(B3355&lt;&gt;"",B3355&gt;='Uang Riba'!$H$30,B3355&lt;='Uang Riba'!$I$30,OR(H3355="Dana riba",H3355="Pinjam uang riba",I3355="Pinjam dari uang riba",I3355="Ganti uang riba",I3355="Kelebihan ganti dikembalikan",AND(C3355="Kantong Uang Riba",G3355="Pengeluaran"))),1,0)</f>
        <v/>
      </c>
      <c r="X3355" s="93">
        <f>IF(AND(B3355&lt;&gt;"",B3355&gt;='Buku Akun'!$H$4,B3355&lt;='Buku Akun'!$H$5,OR(C3355='Buku Akun'!$C$4,AND(D3355="Pindah",E3355='Buku Akun'!$C$4))),B3355+IF(AND(I3355="Selisih bunga",DAY(B3355)=1),0,0.01)+ROW()/10000000,"")</f>
        <v/>
      </c>
    </row>
    <row r="3356" outlineLevel="1" ht="15" customHeight="1" s="94">
      <c r="A3356" s="123">
        <f>IF(B3356="","",ROW()-15)</f>
        <v/>
      </c>
      <c r="B3356" s="124" t="n"/>
      <c r="C3356" s="123" t="n"/>
      <c r="D3356" s="123" t="n"/>
      <c r="E3356" s="123" t="n"/>
      <c r="F3356" s="125" t="n"/>
      <c r="G3356" s="123" t="n"/>
      <c r="H3356" s="123" t="n"/>
      <c r="I3356" s="123" t="n"/>
      <c r="J3356" s="123" t="n"/>
      <c r="K3356" s="123" t="n"/>
      <c r="L3356" s="123" t="n"/>
      <c r="M3356" s="123">
        <f>IF(AND(B3356&lt;&gt;"",OR($C$4="",ISNUMBER(SEARCH($C$4,C3356&amp;" "&amp;E3356&amp;" "&amp;G3356&amp;" "&amp;H3356&amp;" "&amp;I3356&amp;" "&amp;J3356&amp;" "&amp;K3356&amp;" "&amp;L3356))),OR($C$5="Semua",$C$5="",G3356=$C$5),OR($C$6="Semua",$C$6="",H3356=$C$6,H3356="Pengeluaran "&amp;$C$6,AND($C$6="Uang Kos Mama",H3356="Pengeluaran Uang Kos")),OR($C$7="Semua",$C$7="",I3356=$C$7),OR($C$8="Semua",$C$8="",C3356=$C$8,E3356=$C$8),OR($C$9="Semua",$C$9="",D3356=$C$9),OR($C$10="",B3356&gt;=$C$10),OR($C$11="",B3356&lt;=$C$11),OR($C$12&lt;&gt;"Ya",K3356&lt;&gt;""),OR($C$13="Semua",$C$13="",L3356=$C$13)),"✓","")</f>
        <v/>
      </c>
      <c r="N3356" s="93">
        <f>N(N3355)+IF(M3356="✓",1,0)</f>
        <v/>
      </c>
      <c r="O3356" s="93">
        <f>N(O3355)+IF(AND(B3356&lt;&gt;"",B3356&gt;='Uang Riba'!$H$30,B3356&lt;='Uang Riba'!$I$30,OR(H3356="Dana riba",H3356="Pinjam uang riba",I3356="Pinjam dari uang riba",I3356="Ganti uang riba",I3356="Kelebihan ganti dikembalikan",AND(C3356="Kantong Uang Riba",G3356="Pengeluaran"))),1,0)</f>
        <v/>
      </c>
      <c r="X3356" s="93">
        <f>IF(AND(B3356&lt;&gt;"",B3356&gt;='Buku Akun'!$H$4,B3356&lt;='Buku Akun'!$H$5,OR(C3356='Buku Akun'!$C$4,AND(D3356="Pindah",E3356='Buku Akun'!$C$4))),B3356+IF(AND(I3356="Selisih bunga",DAY(B3356)=1),0,0.01)+ROW()/10000000,"")</f>
        <v/>
      </c>
    </row>
    <row r="3357" outlineLevel="1" ht="15" customHeight="1" s="94">
      <c r="A3357" s="123">
        <f>IF(B3357="","",ROW()-15)</f>
        <v/>
      </c>
      <c r="B3357" s="124" t="n"/>
      <c r="C3357" s="123" t="n"/>
      <c r="D3357" s="123" t="n"/>
      <c r="E3357" s="123" t="n"/>
      <c r="F3357" s="125" t="n"/>
      <c r="G3357" s="123" t="n"/>
      <c r="H3357" s="123" t="n"/>
      <c r="I3357" s="123" t="n"/>
      <c r="J3357" s="123" t="n"/>
      <c r="K3357" s="123" t="n"/>
      <c r="L3357" s="123" t="n"/>
      <c r="M3357" s="123">
        <f>IF(AND(B3357&lt;&gt;"",OR($C$4="",ISNUMBER(SEARCH($C$4,C3357&amp;" "&amp;E3357&amp;" "&amp;G3357&amp;" "&amp;H3357&amp;" "&amp;I3357&amp;" "&amp;J3357&amp;" "&amp;K3357&amp;" "&amp;L3357))),OR($C$5="Semua",$C$5="",G3357=$C$5),OR($C$6="Semua",$C$6="",H3357=$C$6,H3357="Pengeluaran "&amp;$C$6,AND($C$6="Uang Kos Mama",H3357="Pengeluaran Uang Kos")),OR($C$7="Semua",$C$7="",I3357=$C$7),OR($C$8="Semua",$C$8="",C3357=$C$8,E3357=$C$8),OR($C$9="Semua",$C$9="",D3357=$C$9),OR($C$10="",B3357&gt;=$C$10),OR($C$11="",B3357&lt;=$C$11),OR($C$12&lt;&gt;"Ya",K3357&lt;&gt;""),OR($C$13="Semua",$C$13="",L3357=$C$13)),"✓","")</f>
        <v/>
      </c>
      <c r="N3357" s="93">
        <f>N(N3356)+IF(M3357="✓",1,0)</f>
        <v/>
      </c>
      <c r="O3357" s="93">
        <f>N(O3356)+IF(AND(B3357&lt;&gt;"",B3357&gt;='Uang Riba'!$H$30,B3357&lt;='Uang Riba'!$I$30,OR(H3357="Dana riba",H3357="Pinjam uang riba",I3357="Pinjam dari uang riba",I3357="Ganti uang riba",I3357="Kelebihan ganti dikembalikan",AND(C3357="Kantong Uang Riba",G3357="Pengeluaran"))),1,0)</f>
        <v/>
      </c>
      <c r="X3357" s="93">
        <f>IF(AND(B3357&lt;&gt;"",B3357&gt;='Buku Akun'!$H$4,B3357&lt;='Buku Akun'!$H$5,OR(C3357='Buku Akun'!$C$4,AND(D3357="Pindah",E3357='Buku Akun'!$C$4))),B3357+IF(AND(I3357="Selisih bunga",DAY(B3357)=1),0,0.01)+ROW()/10000000,"")</f>
        <v/>
      </c>
    </row>
    <row r="3358" outlineLevel="1" ht="15" customHeight="1" s="94">
      <c r="A3358" s="123">
        <f>IF(B3358="","",ROW()-15)</f>
        <v/>
      </c>
      <c r="B3358" s="124" t="n"/>
      <c r="C3358" s="123" t="n"/>
      <c r="D3358" s="123" t="n"/>
      <c r="E3358" s="123" t="n"/>
      <c r="F3358" s="125" t="n"/>
      <c r="G3358" s="123" t="n"/>
      <c r="H3358" s="123" t="n"/>
      <c r="I3358" s="123" t="n"/>
      <c r="J3358" s="123" t="n"/>
      <c r="K3358" s="123" t="n"/>
      <c r="L3358" s="123" t="n"/>
      <c r="M3358" s="123">
        <f>IF(AND(B3358&lt;&gt;"",OR($C$4="",ISNUMBER(SEARCH($C$4,C3358&amp;" "&amp;E3358&amp;" "&amp;G3358&amp;" "&amp;H3358&amp;" "&amp;I3358&amp;" "&amp;J3358&amp;" "&amp;K3358&amp;" "&amp;L3358))),OR($C$5="Semua",$C$5="",G3358=$C$5),OR($C$6="Semua",$C$6="",H3358=$C$6,H3358="Pengeluaran "&amp;$C$6,AND($C$6="Uang Kos Mama",H3358="Pengeluaran Uang Kos")),OR($C$7="Semua",$C$7="",I3358=$C$7),OR($C$8="Semua",$C$8="",C3358=$C$8,E3358=$C$8),OR($C$9="Semua",$C$9="",D3358=$C$9),OR($C$10="",B3358&gt;=$C$10),OR($C$11="",B3358&lt;=$C$11),OR($C$12&lt;&gt;"Ya",K3358&lt;&gt;""),OR($C$13="Semua",$C$13="",L3358=$C$13)),"✓","")</f>
        <v/>
      </c>
      <c r="N3358" s="93">
        <f>N(N3357)+IF(M3358="✓",1,0)</f>
        <v/>
      </c>
      <c r="O3358" s="93">
        <f>N(O3357)+IF(AND(B3358&lt;&gt;"",B3358&gt;='Uang Riba'!$H$30,B3358&lt;='Uang Riba'!$I$30,OR(H3358="Dana riba",H3358="Pinjam uang riba",I3358="Pinjam dari uang riba",I3358="Ganti uang riba",I3358="Kelebihan ganti dikembalikan",AND(C3358="Kantong Uang Riba",G3358="Pengeluaran"))),1,0)</f>
        <v/>
      </c>
      <c r="X3358" s="93">
        <f>IF(AND(B3358&lt;&gt;"",B3358&gt;='Buku Akun'!$H$4,B3358&lt;='Buku Akun'!$H$5,OR(C3358='Buku Akun'!$C$4,AND(D3358="Pindah",E3358='Buku Akun'!$C$4))),B3358+IF(AND(I3358="Selisih bunga",DAY(B3358)=1),0,0.01)+ROW()/10000000,"")</f>
        <v/>
      </c>
    </row>
    <row r="3359" outlineLevel="1" ht="15" customHeight="1" s="94">
      <c r="A3359" s="123">
        <f>IF(B3359="","",ROW()-15)</f>
        <v/>
      </c>
      <c r="B3359" s="124" t="n"/>
      <c r="C3359" s="123" t="n"/>
      <c r="D3359" s="123" t="n"/>
      <c r="E3359" s="123" t="n"/>
      <c r="F3359" s="125" t="n"/>
      <c r="G3359" s="123" t="n"/>
      <c r="H3359" s="123" t="n"/>
      <c r="I3359" s="123" t="n"/>
      <c r="J3359" s="123" t="n"/>
      <c r="K3359" s="123" t="n"/>
      <c r="L3359" s="123" t="n"/>
      <c r="M3359" s="123">
        <f>IF(AND(B3359&lt;&gt;"",OR($C$4="",ISNUMBER(SEARCH($C$4,C3359&amp;" "&amp;E3359&amp;" "&amp;G3359&amp;" "&amp;H3359&amp;" "&amp;I3359&amp;" "&amp;J3359&amp;" "&amp;K3359&amp;" "&amp;L3359))),OR($C$5="Semua",$C$5="",G3359=$C$5),OR($C$6="Semua",$C$6="",H3359=$C$6,H3359="Pengeluaran "&amp;$C$6,AND($C$6="Uang Kos Mama",H3359="Pengeluaran Uang Kos")),OR($C$7="Semua",$C$7="",I3359=$C$7),OR($C$8="Semua",$C$8="",C3359=$C$8,E3359=$C$8),OR($C$9="Semua",$C$9="",D3359=$C$9),OR($C$10="",B3359&gt;=$C$10),OR($C$11="",B3359&lt;=$C$11),OR($C$12&lt;&gt;"Ya",K3359&lt;&gt;""),OR($C$13="Semua",$C$13="",L3359=$C$13)),"✓","")</f>
        <v/>
      </c>
      <c r="N3359" s="93">
        <f>N(N3358)+IF(M3359="✓",1,0)</f>
        <v/>
      </c>
      <c r="O3359" s="93">
        <f>N(O3358)+IF(AND(B3359&lt;&gt;"",B3359&gt;='Uang Riba'!$H$30,B3359&lt;='Uang Riba'!$I$30,OR(H3359="Dana riba",H3359="Pinjam uang riba",I3359="Pinjam dari uang riba",I3359="Ganti uang riba",I3359="Kelebihan ganti dikembalikan",AND(C3359="Kantong Uang Riba",G3359="Pengeluaran"))),1,0)</f>
        <v/>
      </c>
      <c r="X3359" s="93">
        <f>IF(AND(B3359&lt;&gt;"",B3359&gt;='Buku Akun'!$H$4,B3359&lt;='Buku Akun'!$H$5,OR(C3359='Buku Akun'!$C$4,AND(D3359="Pindah",E3359='Buku Akun'!$C$4))),B3359+IF(AND(I3359="Selisih bunga",DAY(B3359)=1),0,0.01)+ROW()/10000000,"")</f>
        <v/>
      </c>
    </row>
    <row r="3360" outlineLevel="1" ht="15" customHeight="1" s="94">
      <c r="A3360" s="123">
        <f>IF(B3360="","",ROW()-15)</f>
        <v/>
      </c>
      <c r="B3360" s="124" t="n"/>
      <c r="C3360" s="123" t="n"/>
      <c r="D3360" s="123" t="n"/>
      <c r="E3360" s="123" t="n"/>
      <c r="F3360" s="125" t="n"/>
      <c r="G3360" s="123" t="n"/>
      <c r="H3360" s="123" t="n"/>
      <c r="I3360" s="123" t="n"/>
      <c r="J3360" s="123" t="n"/>
      <c r="K3360" s="123" t="n"/>
      <c r="L3360" s="123" t="n"/>
      <c r="M3360" s="123">
        <f>IF(AND(B3360&lt;&gt;"",OR($C$4="",ISNUMBER(SEARCH($C$4,C3360&amp;" "&amp;E3360&amp;" "&amp;G3360&amp;" "&amp;H3360&amp;" "&amp;I3360&amp;" "&amp;J3360&amp;" "&amp;K3360&amp;" "&amp;L3360))),OR($C$5="Semua",$C$5="",G3360=$C$5),OR($C$6="Semua",$C$6="",H3360=$C$6,H3360="Pengeluaran "&amp;$C$6,AND($C$6="Uang Kos Mama",H3360="Pengeluaran Uang Kos")),OR($C$7="Semua",$C$7="",I3360=$C$7),OR($C$8="Semua",$C$8="",C3360=$C$8,E3360=$C$8),OR($C$9="Semua",$C$9="",D3360=$C$9),OR($C$10="",B3360&gt;=$C$10),OR($C$11="",B3360&lt;=$C$11),OR($C$12&lt;&gt;"Ya",K3360&lt;&gt;""),OR($C$13="Semua",$C$13="",L3360=$C$13)),"✓","")</f>
        <v/>
      </c>
      <c r="N3360" s="93">
        <f>N(N3359)+IF(M3360="✓",1,0)</f>
        <v/>
      </c>
      <c r="O3360" s="93">
        <f>N(O3359)+IF(AND(B3360&lt;&gt;"",B3360&gt;='Uang Riba'!$H$30,B3360&lt;='Uang Riba'!$I$30,OR(H3360="Dana riba",H3360="Pinjam uang riba",I3360="Pinjam dari uang riba",I3360="Ganti uang riba",I3360="Kelebihan ganti dikembalikan",AND(C3360="Kantong Uang Riba",G3360="Pengeluaran"))),1,0)</f>
        <v/>
      </c>
      <c r="X3360" s="93">
        <f>IF(AND(B3360&lt;&gt;"",B3360&gt;='Buku Akun'!$H$4,B3360&lt;='Buku Akun'!$H$5,OR(C3360='Buku Akun'!$C$4,AND(D3360="Pindah",E3360='Buku Akun'!$C$4))),B3360+IF(AND(I3360="Selisih bunga",DAY(B3360)=1),0,0.01)+ROW()/10000000,"")</f>
        <v/>
      </c>
    </row>
    <row r="3361" outlineLevel="1" ht="15" customHeight="1" s="94">
      <c r="A3361" s="123">
        <f>IF(B3361="","",ROW()-15)</f>
        <v/>
      </c>
      <c r="B3361" s="124" t="n"/>
      <c r="C3361" s="123" t="n"/>
      <c r="D3361" s="123" t="n"/>
      <c r="E3361" s="123" t="n"/>
      <c r="F3361" s="125" t="n"/>
      <c r="G3361" s="123" t="n"/>
      <c r="H3361" s="123" t="n"/>
      <c r="I3361" s="123" t="n"/>
      <c r="J3361" s="123" t="n"/>
      <c r="K3361" s="123" t="n"/>
      <c r="L3361" s="123" t="n"/>
      <c r="M3361" s="123">
        <f>IF(AND(B3361&lt;&gt;"",OR($C$4="",ISNUMBER(SEARCH($C$4,C3361&amp;" "&amp;E3361&amp;" "&amp;G3361&amp;" "&amp;H3361&amp;" "&amp;I3361&amp;" "&amp;J3361&amp;" "&amp;K3361&amp;" "&amp;L3361))),OR($C$5="Semua",$C$5="",G3361=$C$5),OR($C$6="Semua",$C$6="",H3361=$C$6,H3361="Pengeluaran "&amp;$C$6,AND($C$6="Uang Kos Mama",H3361="Pengeluaran Uang Kos")),OR($C$7="Semua",$C$7="",I3361=$C$7),OR($C$8="Semua",$C$8="",C3361=$C$8,E3361=$C$8),OR($C$9="Semua",$C$9="",D3361=$C$9),OR($C$10="",B3361&gt;=$C$10),OR($C$11="",B3361&lt;=$C$11),OR($C$12&lt;&gt;"Ya",K3361&lt;&gt;""),OR($C$13="Semua",$C$13="",L3361=$C$13)),"✓","")</f>
        <v/>
      </c>
      <c r="N3361" s="93">
        <f>N(N3360)+IF(M3361="✓",1,0)</f>
        <v/>
      </c>
      <c r="O3361" s="93">
        <f>N(O3360)+IF(AND(B3361&lt;&gt;"",B3361&gt;='Uang Riba'!$H$30,B3361&lt;='Uang Riba'!$I$30,OR(H3361="Dana riba",H3361="Pinjam uang riba",I3361="Pinjam dari uang riba",I3361="Ganti uang riba",I3361="Kelebihan ganti dikembalikan",AND(C3361="Kantong Uang Riba",G3361="Pengeluaran"))),1,0)</f>
        <v/>
      </c>
      <c r="X3361" s="93">
        <f>IF(AND(B3361&lt;&gt;"",B3361&gt;='Buku Akun'!$H$4,B3361&lt;='Buku Akun'!$H$5,OR(C3361='Buku Akun'!$C$4,AND(D3361="Pindah",E3361='Buku Akun'!$C$4))),B3361+IF(AND(I3361="Selisih bunga",DAY(B3361)=1),0,0.01)+ROW()/10000000,"")</f>
        <v/>
      </c>
    </row>
    <row r="3362" outlineLevel="1" ht="15" customHeight="1" s="94">
      <c r="A3362" s="123">
        <f>IF(B3362="","",ROW()-15)</f>
        <v/>
      </c>
      <c r="B3362" s="124" t="n"/>
      <c r="C3362" s="123" t="n"/>
      <c r="D3362" s="123" t="n"/>
      <c r="E3362" s="123" t="n"/>
      <c r="F3362" s="125" t="n"/>
      <c r="G3362" s="123" t="n"/>
      <c r="H3362" s="123" t="n"/>
      <c r="I3362" s="123" t="n"/>
      <c r="J3362" s="123" t="n"/>
      <c r="K3362" s="123" t="n"/>
      <c r="L3362" s="123" t="n"/>
      <c r="M3362" s="123">
        <f>IF(AND(B3362&lt;&gt;"",OR($C$4="",ISNUMBER(SEARCH($C$4,C3362&amp;" "&amp;E3362&amp;" "&amp;G3362&amp;" "&amp;H3362&amp;" "&amp;I3362&amp;" "&amp;J3362&amp;" "&amp;K3362&amp;" "&amp;L3362))),OR($C$5="Semua",$C$5="",G3362=$C$5),OR($C$6="Semua",$C$6="",H3362=$C$6,H3362="Pengeluaran "&amp;$C$6,AND($C$6="Uang Kos Mama",H3362="Pengeluaran Uang Kos")),OR($C$7="Semua",$C$7="",I3362=$C$7),OR($C$8="Semua",$C$8="",C3362=$C$8,E3362=$C$8),OR($C$9="Semua",$C$9="",D3362=$C$9),OR($C$10="",B3362&gt;=$C$10),OR($C$11="",B3362&lt;=$C$11),OR($C$12&lt;&gt;"Ya",K3362&lt;&gt;""),OR($C$13="Semua",$C$13="",L3362=$C$13)),"✓","")</f>
        <v/>
      </c>
      <c r="N3362" s="93">
        <f>N(N3361)+IF(M3362="✓",1,0)</f>
        <v/>
      </c>
      <c r="O3362" s="93">
        <f>N(O3361)+IF(AND(B3362&lt;&gt;"",B3362&gt;='Uang Riba'!$H$30,B3362&lt;='Uang Riba'!$I$30,OR(H3362="Dana riba",H3362="Pinjam uang riba",I3362="Pinjam dari uang riba",I3362="Ganti uang riba",I3362="Kelebihan ganti dikembalikan",AND(C3362="Kantong Uang Riba",G3362="Pengeluaran"))),1,0)</f>
        <v/>
      </c>
      <c r="X3362" s="93">
        <f>IF(AND(B3362&lt;&gt;"",B3362&gt;='Buku Akun'!$H$4,B3362&lt;='Buku Akun'!$H$5,OR(C3362='Buku Akun'!$C$4,AND(D3362="Pindah",E3362='Buku Akun'!$C$4))),B3362+IF(AND(I3362="Selisih bunga",DAY(B3362)=1),0,0.01)+ROW()/10000000,"")</f>
        <v/>
      </c>
    </row>
    <row r="3363" outlineLevel="1" ht="15" customHeight="1" s="94">
      <c r="A3363" s="123">
        <f>IF(B3363="","",ROW()-15)</f>
        <v/>
      </c>
      <c r="B3363" s="124" t="n"/>
      <c r="C3363" s="123" t="n"/>
      <c r="D3363" s="123" t="n"/>
      <c r="E3363" s="123" t="n"/>
      <c r="F3363" s="125" t="n"/>
      <c r="G3363" s="123" t="n"/>
      <c r="H3363" s="123" t="n"/>
      <c r="I3363" s="123" t="n"/>
      <c r="J3363" s="123" t="n"/>
      <c r="K3363" s="123" t="n"/>
      <c r="L3363" s="123" t="n"/>
      <c r="M3363" s="123">
        <f>IF(AND(B3363&lt;&gt;"",OR($C$4="",ISNUMBER(SEARCH($C$4,C3363&amp;" "&amp;E3363&amp;" "&amp;G3363&amp;" "&amp;H3363&amp;" "&amp;I3363&amp;" "&amp;J3363&amp;" "&amp;K3363&amp;" "&amp;L3363))),OR($C$5="Semua",$C$5="",G3363=$C$5),OR($C$6="Semua",$C$6="",H3363=$C$6,H3363="Pengeluaran "&amp;$C$6,AND($C$6="Uang Kos Mama",H3363="Pengeluaran Uang Kos")),OR($C$7="Semua",$C$7="",I3363=$C$7),OR($C$8="Semua",$C$8="",C3363=$C$8,E3363=$C$8),OR($C$9="Semua",$C$9="",D3363=$C$9),OR($C$10="",B3363&gt;=$C$10),OR($C$11="",B3363&lt;=$C$11),OR($C$12&lt;&gt;"Ya",K3363&lt;&gt;""),OR($C$13="Semua",$C$13="",L3363=$C$13)),"✓","")</f>
        <v/>
      </c>
      <c r="N3363" s="93">
        <f>N(N3362)+IF(M3363="✓",1,0)</f>
        <v/>
      </c>
      <c r="O3363" s="93">
        <f>N(O3362)+IF(AND(B3363&lt;&gt;"",B3363&gt;='Uang Riba'!$H$30,B3363&lt;='Uang Riba'!$I$30,OR(H3363="Dana riba",H3363="Pinjam uang riba",I3363="Pinjam dari uang riba",I3363="Ganti uang riba",I3363="Kelebihan ganti dikembalikan",AND(C3363="Kantong Uang Riba",G3363="Pengeluaran"))),1,0)</f>
        <v/>
      </c>
      <c r="X3363" s="93">
        <f>IF(AND(B3363&lt;&gt;"",B3363&gt;='Buku Akun'!$H$4,B3363&lt;='Buku Akun'!$H$5,OR(C3363='Buku Akun'!$C$4,AND(D3363="Pindah",E3363='Buku Akun'!$C$4))),B3363+IF(AND(I3363="Selisih bunga",DAY(B3363)=1),0,0.01)+ROW()/10000000,"")</f>
        <v/>
      </c>
    </row>
    <row r="3364" outlineLevel="1" ht="15" customHeight="1" s="94">
      <c r="A3364" s="123">
        <f>IF(B3364="","",ROW()-15)</f>
        <v/>
      </c>
      <c r="B3364" s="124" t="n"/>
      <c r="C3364" s="123" t="n"/>
      <c r="D3364" s="123" t="n"/>
      <c r="E3364" s="123" t="n"/>
      <c r="F3364" s="125" t="n"/>
      <c r="G3364" s="123" t="n"/>
      <c r="H3364" s="123" t="n"/>
      <c r="I3364" s="123" t="n"/>
      <c r="J3364" s="123" t="n"/>
      <c r="K3364" s="123" t="n"/>
      <c r="L3364" s="123" t="n"/>
      <c r="M3364" s="123">
        <f>IF(AND(B3364&lt;&gt;"",OR($C$4="",ISNUMBER(SEARCH($C$4,C3364&amp;" "&amp;E3364&amp;" "&amp;G3364&amp;" "&amp;H3364&amp;" "&amp;I3364&amp;" "&amp;J3364&amp;" "&amp;K3364&amp;" "&amp;L3364))),OR($C$5="Semua",$C$5="",G3364=$C$5),OR($C$6="Semua",$C$6="",H3364=$C$6,H3364="Pengeluaran "&amp;$C$6,AND($C$6="Uang Kos Mama",H3364="Pengeluaran Uang Kos")),OR($C$7="Semua",$C$7="",I3364=$C$7),OR($C$8="Semua",$C$8="",C3364=$C$8,E3364=$C$8),OR($C$9="Semua",$C$9="",D3364=$C$9),OR($C$10="",B3364&gt;=$C$10),OR($C$11="",B3364&lt;=$C$11),OR($C$12&lt;&gt;"Ya",K3364&lt;&gt;""),OR($C$13="Semua",$C$13="",L3364=$C$13)),"✓","")</f>
        <v/>
      </c>
      <c r="N3364" s="93">
        <f>N(N3363)+IF(M3364="✓",1,0)</f>
        <v/>
      </c>
      <c r="O3364" s="93">
        <f>N(O3363)+IF(AND(B3364&lt;&gt;"",B3364&gt;='Uang Riba'!$H$30,B3364&lt;='Uang Riba'!$I$30,OR(H3364="Dana riba",H3364="Pinjam uang riba",I3364="Pinjam dari uang riba",I3364="Ganti uang riba",I3364="Kelebihan ganti dikembalikan",AND(C3364="Kantong Uang Riba",G3364="Pengeluaran"))),1,0)</f>
        <v/>
      </c>
      <c r="X3364" s="93">
        <f>IF(AND(B3364&lt;&gt;"",B3364&gt;='Buku Akun'!$H$4,B3364&lt;='Buku Akun'!$H$5,OR(C3364='Buku Akun'!$C$4,AND(D3364="Pindah",E3364='Buku Akun'!$C$4))),B3364+IF(AND(I3364="Selisih bunga",DAY(B3364)=1),0,0.01)+ROW()/10000000,"")</f>
        <v/>
      </c>
    </row>
    <row r="3365" outlineLevel="1" ht="15" customHeight="1" s="94">
      <c r="A3365" s="123">
        <f>IF(B3365="","",ROW()-15)</f>
        <v/>
      </c>
      <c r="B3365" s="124" t="n"/>
      <c r="C3365" s="123" t="n"/>
      <c r="D3365" s="123" t="n"/>
      <c r="E3365" s="123" t="n"/>
      <c r="F3365" s="125" t="n"/>
      <c r="G3365" s="123" t="n"/>
      <c r="H3365" s="123" t="n"/>
      <c r="I3365" s="123" t="n"/>
      <c r="J3365" s="123" t="n"/>
      <c r="K3365" s="123" t="n"/>
      <c r="L3365" s="123" t="n"/>
      <c r="M3365" s="123">
        <f>IF(AND(B3365&lt;&gt;"",OR($C$4="",ISNUMBER(SEARCH($C$4,C3365&amp;" "&amp;E3365&amp;" "&amp;G3365&amp;" "&amp;H3365&amp;" "&amp;I3365&amp;" "&amp;J3365&amp;" "&amp;K3365&amp;" "&amp;L3365))),OR($C$5="Semua",$C$5="",G3365=$C$5),OR($C$6="Semua",$C$6="",H3365=$C$6,H3365="Pengeluaran "&amp;$C$6,AND($C$6="Uang Kos Mama",H3365="Pengeluaran Uang Kos")),OR($C$7="Semua",$C$7="",I3365=$C$7),OR($C$8="Semua",$C$8="",C3365=$C$8,E3365=$C$8),OR($C$9="Semua",$C$9="",D3365=$C$9),OR($C$10="",B3365&gt;=$C$10),OR($C$11="",B3365&lt;=$C$11),OR($C$12&lt;&gt;"Ya",K3365&lt;&gt;""),OR($C$13="Semua",$C$13="",L3365=$C$13)),"✓","")</f>
        <v/>
      </c>
      <c r="N3365" s="93">
        <f>N(N3364)+IF(M3365="✓",1,0)</f>
        <v/>
      </c>
      <c r="O3365" s="93">
        <f>N(O3364)+IF(AND(B3365&lt;&gt;"",B3365&gt;='Uang Riba'!$H$30,B3365&lt;='Uang Riba'!$I$30,OR(H3365="Dana riba",H3365="Pinjam uang riba",I3365="Pinjam dari uang riba",I3365="Ganti uang riba",I3365="Kelebihan ganti dikembalikan",AND(C3365="Kantong Uang Riba",G3365="Pengeluaran"))),1,0)</f>
        <v/>
      </c>
      <c r="X3365" s="93">
        <f>IF(AND(B3365&lt;&gt;"",B3365&gt;='Buku Akun'!$H$4,B3365&lt;='Buku Akun'!$H$5,OR(C3365='Buku Akun'!$C$4,AND(D3365="Pindah",E3365='Buku Akun'!$C$4))),B3365+IF(AND(I3365="Selisih bunga",DAY(B3365)=1),0,0.01)+ROW()/10000000,"")</f>
        <v/>
      </c>
    </row>
    <row r="3366" outlineLevel="1" ht="15" customHeight="1" s="94">
      <c r="A3366" s="123">
        <f>IF(B3366="","",ROW()-15)</f>
        <v/>
      </c>
      <c r="B3366" s="124" t="n"/>
      <c r="C3366" s="123" t="n"/>
      <c r="D3366" s="123" t="n"/>
      <c r="E3366" s="123" t="n"/>
      <c r="F3366" s="125" t="n"/>
      <c r="G3366" s="123" t="n"/>
      <c r="H3366" s="123" t="n"/>
      <c r="I3366" s="123" t="n"/>
      <c r="J3366" s="123" t="n"/>
      <c r="K3366" s="123" t="n"/>
      <c r="L3366" s="123" t="n"/>
      <c r="M3366" s="123">
        <f>IF(AND(B3366&lt;&gt;"",OR($C$4="",ISNUMBER(SEARCH($C$4,C3366&amp;" "&amp;E3366&amp;" "&amp;G3366&amp;" "&amp;H3366&amp;" "&amp;I3366&amp;" "&amp;J3366&amp;" "&amp;K3366&amp;" "&amp;L3366))),OR($C$5="Semua",$C$5="",G3366=$C$5),OR($C$6="Semua",$C$6="",H3366=$C$6,H3366="Pengeluaran "&amp;$C$6,AND($C$6="Uang Kos Mama",H3366="Pengeluaran Uang Kos")),OR($C$7="Semua",$C$7="",I3366=$C$7),OR($C$8="Semua",$C$8="",C3366=$C$8,E3366=$C$8),OR($C$9="Semua",$C$9="",D3366=$C$9),OR($C$10="",B3366&gt;=$C$10),OR($C$11="",B3366&lt;=$C$11),OR($C$12&lt;&gt;"Ya",K3366&lt;&gt;""),OR($C$13="Semua",$C$13="",L3366=$C$13)),"✓","")</f>
        <v/>
      </c>
      <c r="N3366" s="93">
        <f>N(N3365)+IF(M3366="✓",1,0)</f>
        <v/>
      </c>
      <c r="O3366" s="93">
        <f>N(O3365)+IF(AND(B3366&lt;&gt;"",B3366&gt;='Uang Riba'!$H$30,B3366&lt;='Uang Riba'!$I$30,OR(H3366="Dana riba",H3366="Pinjam uang riba",I3366="Pinjam dari uang riba",I3366="Ganti uang riba",I3366="Kelebihan ganti dikembalikan",AND(C3366="Kantong Uang Riba",G3366="Pengeluaran"))),1,0)</f>
        <v/>
      </c>
      <c r="X3366" s="93">
        <f>IF(AND(B3366&lt;&gt;"",B3366&gt;='Buku Akun'!$H$4,B3366&lt;='Buku Akun'!$H$5,OR(C3366='Buku Akun'!$C$4,AND(D3366="Pindah",E3366='Buku Akun'!$C$4))),B3366+IF(AND(I3366="Selisih bunga",DAY(B3366)=1),0,0.01)+ROW()/10000000,"")</f>
        <v/>
      </c>
    </row>
    <row r="3367" outlineLevel="1" ht="15" customHeight="1" s="94">
      <c r="A3367" s="123">
        <f>IF(B3367="","",ROW()-15)</f>
        <v/>
      </c>
      <c r="B3367" s="124" t="n"/>
      <c r="C3367" s="123" t="n"/>
      <c r="D3367" s="123" t="n"/>
      <c r="E3367" s="123" t="n"/>
      <c r="F3367" s="125" t="n"/>
      <c r="G3367" s="123" t="n"/>
      <c r="H3367" s="123" t="n"/>
      <c r="I3367" s="123" t="n"/>
      <c r="J3367" s="123" t="n"/>
      <c r="K3367" s="123" t="n"/>
      <c r="L3367" s="123" t="n"/>
      <c r="M3367" s="123">
        <f>IF(AND(B3367&lt;&gt;"",OR($C$4="",ISNUMBER(SEARCH($C$4,C3367&amp;" "&amp;E3367&amp;" "&amp;G3367&amp;" "&amp;H3367&amp;" "&amp;I3367&amp;" "&amp;J3367&amp;" "&amp;K3367&amp;" "&amp;L3367))),OR($C$5="Semua",$C$5="",G3367=$C$5),OR($C$6="Semua",$C$6="",H3367=$C$6,H3367="Pengeluaran "&amp;$C$6,AND($C$6="Uang Kos Mama",H3367="Pengeluaran Uang Kos")),OR($C$7="Semua",$C$7="",I3367=$C$7),OR($C$8="Semua",$C$8="",C3367=$C$8,E3367=$C$8),OR($C$9="Semua",$C$9="",D3367=$C$9),OR($C$10="",B3367&gt;=$C$10),OR($C$11="",B3367&lt;=$C$11),OR($C$12&lt;&gt;"Ya",K3367&lt;&gt;""),OR($C$13="Semua",$C$13="",L3367=$C$13)),"✓","")</f>
        <v/>
      </c>
      <c r="N3367" s="93">
        <f>N(N3366)+IF(M3367="✓",1,0)</f>
        <v/>
      </c>
      <c r="O3367" s="93">
        <f>N(O3366)+IF(AND(B3367&lt;&gt;"",B3367&gt;='Uang Riba'!$H$30,B3367&lt;='Uang Riba'!$I$30,OR(H3367="Dana riba",H3367="Pinjam uang riba",I3367="Pinjam dari uang riba",I3367="Ganti uang riba",I3367="Kelebihan ganti dikembalikan",AND(C3367="Kantong Uang Riba",G3367="Pengeluaran"))),1,0)</f>
        <v/>
      </c>
      <c r="X3367" s="93">
        <f>IF(AND(B3367&lt;&gt;"",B3367&gt;='Buku Akun'!$H$4,B3367&lt;='Buku Akun'!$H$5,OR(C3367='Buku Akun'!$C$4,AND(D3367="Pindah",E3367='Buku Akun'!$C$4))),B3367+IF(AND(I3367="Selisih bunga",DAY(B3367)=1),0,0.01)+ROW()/10000000,"")</f>
        <v/>
      </c>
    </row>
    <row r="3368" outlineLevel="1" ht="15" customHeight="1" s="94">
      <c r="A3368" s="123">
        <f>IF(B3368="","",ROW()-15)</f>
        <v/>
      </c>
      <c r="B3368" s="124" t="n"/>
      <c r="C3368" s="123" t="n"/>
      <c r="D3368" s="123" t="n"/>
      <c r="E3368" s="123" t="n"/>
      <c r="F3368" s="125" t="n"/>
      <c r="G3368" s="123" t="n"/>
      <c r="H3368" s="123" t="n"/>
      <c r="I3368" s="123" t="n"/>
      <c r="J3368" s="123" t="n"/>
      <c r="K3368" s="123" t="n"/>
      <c r="L3368" s="123" t="n"/>
      <c r="M3368" s="123">
        <f>IF(AND(B3368&lt;&gt;"",OR($C$4="",ISNUMBER(SEARCH($C$4,C3368&amp;" "&amp;E3368&amp;" "&amp;G3368&amp;" "&amp;H3368&amp;" "&amp;I3368&amp;" "&amp;J3368&amp;" "&amp;K3368&amp;" "&amp;L3368))),OR($C$5="Semua",$C$5="",G3368=$C$5),OR($C$6="Semua",$C$6="",H3368=$C$6,H3368="Pengeluaran "&amp;$C$6,AND($C$6="Uang Kos Mama",H3368="Pengeluaran Uang Kos")),OR($C$7="Semua",$C$7="",I3368=$C$7),OR($C$8="Semua",$C$8="",C3368=$C$8,E3368=$C$8),OR($C$9="Semua",$C$9="",D3368=$C$9),OR($C$10="",B3368&gt;=$C$10),OR($C$11="",B3368&lt;=$C$11),OR($C$12&lt;&gt;"Ya",K3368&lt;&gt;""),OR($C$13="Semua",$C$13="",L3368=$C$13)),"✓","")</f>
        <v/>
      </c>
      <c r="N3368" s="93">
        <f>N(N3367)+IF(M3368="✓",1,0)</f>
        <v/>
      </c>
      <c r="O3368" s="93">
        <f>N(O3367)+IF(AND(B3368&lt;&gt;"",B3368&gt;='Uang Riba'!$H$30,B3368&lt;='Uang Riba'!$I$30,OR(H3368="Dana riba",H3368="Pinjam uang riba",I3368="Pinjam dari uang riba",I3368="Ganti uang riba",I3368="Kelebihan ganti dikembalikan",AND(C3368="Kantong Uang Riba",G3368="Pengeluaran"))),1,0)</f>
        <v/>
      </c>
      <c r="X3368" s="93">
        <f>IF(AND(B3368&lt;&gt;"",B3368&gt;='Buku Akun'!$H$4,B3368&lt;='Buku Akun'!$H$5,OR(C3368='Buku Akun'!$C$4,AND(D3368="Pindah",E3368='Buku Akun'!$C$4))),B3368+IF(AND(I3368="Selisih bunga",DAY(B3368)=1),0,0.01)+ROW()/10000000,"")</f>
        <v/>
      </c>
    </row>
    <row r="3369" outlineLevel="1" ht="15" customHeight="1" s="94">
      <c r="A3369" s="123">
        <f>IF(B3369="","",ROW()-15)</f>
        <v/>
      </c>
      <c r="B3369" s="124" t="n"/>
      <c r="C3369" s="123" t="n"/>
      <c r="D3369" s="123" t="n"/>
      <c r="E3369" s="123" t="n"/>
      <c r="F3369" s="125" t="n"/>
      <c r="G3369" s="123" t="n"/>
      <c r="H3369" s="123" t="n"/>
      <c r="I3369" s="123" t="n"/>
      <c r="J3369" s="123" t="n"/>
      <c r="K3369" s="123" t="n"/>
      <c r="L3369" s="123" t="n"/>
      <c r="M3369" s="123">
        <f>IF(AND(B3369&lt;&gt;"",OR($C$4="",ISNUMBER(SEARCH($C$4,C3369&amp;" "&amp;E3369&amp;" "&amp;G3369&amp;" "&amp;H3369&amp;" "&amp;I3369&amp;" "&amp;J3369&amp;" "&amp;K3369&amp;" "&amp;L3369))),OR($C$5="Semua",$C$5="",G3369=$C$5),OR($C$6="Semua",$C$6="",H3369=$C$6,H3369="Pengeluaran "&amp;$C$6,AND($C$6="Uang Kos Mama",H3369="Pengeluaran Uang Kos")),OR($C$7="Semua",$C$7="",I3369=$C$7),OR($C$8="Semua",$C$8="",C3369=$C$8,E3369=$C$8),OR($C$9="Semua",$C$9="",D3369=$C$9),OR($C$10="",B3369&gt;=$C$10),OR($C$11="",B3369&lt;=$C$11),OR($C$12&lt;&gt;"Ya",K3369&lt;&gt;""),OR($C$13="Semua",$C$13="",L3369=$C$13)),"✓","")</f>
        <v/>
      </c>
      <c r="N3369" s="93">
        <f>N(N3368)+IF(M3369="✓",1,0)</f>
        <v/>
      </c>
      <c r="O3369" s="93">
        <f>N(O3368)+IF(AND(B3369&lt;&gt;"",B3369&gt;='Uang Riba'!$H$30,B3369&lt;='Uang Riba'!$I$30,OR(H3369="Dana riba",H3369="Pinjam uang riba",I3369="Pinjam dari uang riba",I3369="Ganti uang riba",I3369="Kelebihan ganti dikembalikan",AND(C3369="Kantong Uang Riba",G3369="Pengeluaran"))),1,0)</f>
        <v/>
      </c>
      <c r="X3369" s="93">
        <f>IF(AND(B3369&lt;&gt;"",B3369&gt;='Buku Akun'!$H$4,B3369&lt;='Buku Akun'!$H$5,OR(C3369='Buku Akun'!$C$4,AND(D3369="Pindah",E3369='Buku Akun'!$C$4))),B3369+IF(AND(I3369="Selisih bunga",DAY(B3369)=1),0,0.01)+ROW()/10000000,"")</f>
        <v/>
      </c>
    </row>
    <row r="3370" outlineLevel="1" ht="15" customHeight="1" s="94">
      <c r="A3370" s="123">
        <f>IF(B3370="","",ROW()-15)</f>
        <v/>
      </c>
      <c r="B3370" s="124" t="n"/>
      <c r="C3370" s="123" t="n"/>
      <c r="D3370" s="123" t="n"/>
      <c r="E3370" s="123" t="n"/>
      <c r="F3370" s="125" t="n"/>
      <c r="G3370" s="123" t="n"/>
      <c r="H3370" s="123" t="n"/>
      <c r="I3370" s="123" t="n"/>
      <c r="J3370" s="123" t="n"/>
      <c r="K3370" s="123" t="n"/>
      <c r="L3370" s="123" t="n"/>
      <c r="M3370" s="123">
        <f>IF(AND(B3370&lt;&gt;"",OR($C$4="",ISNUMBER(SEARCH($C$4,C3370&amp;" "&amp;E3370&amp;" "&amp;G3370&amp;" "&amp;H3370&amp;" "&amp;I3370&amp;" "&amp;J3370&amp;" "&amp;K3370&amp;" "&amp;L3370))),OR($C$5="Semua",$C$5="",G3370=$C$5),OR($C$6="Semua",$C$6="",H3370=$C$6,H3370="Pengeluaran "&amp;$C$6,AND($C$6="Uang Kos Mama",H3370="Pengeluaran Uang Kos")),OR($C$7="Semua",$C$7="",I3370=$C$7),OR($C$8="Semua",$C$8="",C3370=$C$8,E3370=$C$8),OR($C$9="Semua",$C$9="",D3370=$C$9),OR($C$10="",B3370&gt;=$C$10),OR($C$11="",B3370&lt;=$C$11),OR($C$12&lt;&gt;"Ya",K3370&lt;&gt;""),OR($C$13="Semua",$C$13="",L3370=$C$13)),"✓","")</f>
        <v/>
      </c>
      <c r="N3370" s="93">
        <f>N(N3369)+IF(M3370="✓",1,0)</f>
        <v/>
      </c>
      <c r="O3370" s="93">
        <f>N(O3369)+IF(AND(B3370&lt;&gt;"",B3370&gt;='Uang Riba'!$H$30,B3370&lt;='Uang Riba'!$I$30,OR(H3370="Dana riba",H3370="Pinjam uang riba",I3370="Pinjam dari uang riba",I3370="Ganti uang riba",I3370="Kelebihan ganti dikembalikan",AND(C3370="Kantong Uang Riba",G3370="Pengeluaran"))),1,0)</f>
        <v/>
      </c>
      <c r="X3370" s="93">
        <f>IF(AND(B3370&lt;&gt;"",B3370&gt;='Buku Akun'!$H$4,B3370&lt;='Buku Akun'!$H$5,OR(C3370='Buku Akun'!$C$4,AND(D3370="Pindah",E3370='Buku Akun'!$C$4))),B3370+IF(AND(I3370="Selisih bunga",DAY(B3370)=1),0,0.01)+ROW()/10000000,"")</f>
        <v/>
      </c>
    </row>
    <row r="3371" outlineLevel="1" ht="15" customHeight="1" s="94">
      <c r="A3371" s="123">
        <f>IF(B3371="","",ROW()-15)</f>
        <v/>
      </c>
      <c r="B3371" s="124" t="n"/>
      <c r="C3371" s="123" t="n"/>
      <c r="D3371" s="123" t="n"/>
      <c r="E3371" s="123" t="n"/>
      <c r="F3371" s="125" t="n"/>
      <c r="G3371" s="123" t="n"/>
      <c r="H3371" s="123" t="n"/>
      <c r="I3371" s="123" t="n"/>
      <c r="J3371" s="123" t="n"/>
      <c r="K3371" s="123" t="n"/>
      <c r="L3371" s="123" t="n"/>
      <c r="M3371" s="123">
        <f>IF(AND(B3371&lt;&gt;"",OR($C$4="",ISNUMBER(SEARCH($C$4,C3371&amp;" "&amp;E3371&amp;" "&amp;G3371&amp;" "&amp;H3371&amp;" "&amp;I3371&amp;" "&amp;J3371&amp;" "&amp;K3371&amp;" "&amp;L3371))),OR($C$5="Semua",$C$5="",G3371=$C$5),OR($C$6="Semua",$C$6="",H3371=$C$6,H3371="Pengeluaran "&amp;$C$6,AND($C$6="Uang Kos Mama",H3371="Pengeluaran Uang Kos")),OR($C$7="Semua",$C$7="",I3371=$C$7),OR($C$8="Semua",$C$8="",C3371=$C$8,E3371=$C$8),OR($C$9="Semua",$C$9="",D3371=$C$9),OR($C$10="",B3371&gt;=$C$10),OR($C$11="",B3371&lt;=$C$11),OR($C$12&lt;&gt;"Ya",K3371&lt;&gt;""),OR($C$13="Semua",$C$13="",L3371=$C$13)),"✓","")</f>
        <v/>
      </c>
      <c r="N3371" s="93">
        <f>N(N3370)+IF(M3371="✓",1,0)</f>
        <v/>
      </c>
      <c r="O3371" s="93">
        <f>N(O3370)+IF(AND(B3371&lt;&gt;"",B3371&gt;='Uang Riba'!$H$30,B3371&lt;='Uang Riba'!$I$30,OR(H3371="Dana riba",H3371="Pinjam uang riba",I3371="Pinjam dari uang riba",I3371="Ganti uang riba",I3371="Kelebihan ganti dikembalikan",AND(C3371="Kantong Uang Riba",G3371="Pengeluaran"))),1,0)</f>
        <v/>
      </c>
      <c r="X3371" s="93">
        <f>IF(AND(B3371&lt;&gt;"",B3371&gt;='Buku Akun'!$H$4,B3371&lt;='Buku Akun'!$H$5,OR(C3371='Buku Akun'!$C$4,AND(D3371="Pindah",E3371='Buku Akun'!$C$4))),B3371+IF(AND(I3371="Selisih bunga",DAY(B3371)=1),0,0.01)+ROW()/10000000,"")</f>
        <v/>
      </c>
    </row>
    <row r="3372" outlineLevel="1" ht="15" customHeight="1" s="94">
      <c r="A3372" s="123">
        <f>IF(B3372="","",ROW()-15)</f>
        <v/>
      </c>
      <c r="B3372" s="124" t="n"/>
      <c r="C3372" s="123" t="n"/>
      <c r="D3372" s="123" t="n"/>
      <c r="E3372" s="123" t="n"/>
      <c r="F3372" s="125" t="n"/>
      <c r="G3372" s="123" t="n"/>
      <c r="H3372" s="123" t="n"/>
      <c r="I3372" s="123" t="n"/>
      <c r="J3372" s="123" t="n"/>
      <c r="K3372" s="123" t="n"/>
      <c r="L3372" s="123" t="n"/>
      <c r="M3372" s="123">
        <f>IF(AND(B3372&lt;&gt;"",OR($C$4="",ISNUMBER(SEARCH($C$4,C3372&amp;" "&amp;E3372&amp;" "&amp;G3372&amp;" "&amp;H3372&amp;" "&amp;I3372&amp;" "&amp;J3372&amp;" "&amp;K3372&amp;" "&amp;L3372))),OR($C$5="Semua",$C$5="",G3372=$C$5),OR($C$6="Semua",$C$6="",H3372=$C$6,H3372="Pengeluaran "&amp;$C$6,AND($C$6="Uang Kos Mama",H3372="Pengeluaran Uang Kos")),OR($C$7="Semua",$C$7="",I3372=$C$7),OR($C$8="Semua",$C$8="",C3372=$C$8,E3372=$C$8),OR($C$9="Semua",$C$9="",D3372=$C$9),OR($C$10="",B3372&gt;=$C$10),OR($C$11="",B3372&lt;=$C$11),OR($C$12&lt;&gt;"Ya",K3372&lt;&gt;""),OR($C$13="Semua",$C$13="",L3372=$C$13)),"✓","")</f>
        <v/>
      </c>
      <c r="N3372" s="93">
        <f>N(N3371)+IF(M3372="✓",1,0)</f>
        <v/>
      </c>
      <c r="O3372" s="93">
        <f>N(O3371)+IF(AND(B3372&lt;&gt;"",B3372&gt;='Uang Riba'!$H$30,B3372&lt;='Uang Riba'!$I$30,OR(H3372="Dana riba",H3372="Pinjam uang riba",I3372="Pinjam dari uang riba",I3372="Ganti uang riba",I3372="Kelebihan ganti dikembalikan",AND(C3372="Kantong Uang Riba",G3372="Pengeluaran"))),1,0)</f>
        <v/>
      </c>
      <c r="X3372" s="93">
        <f>IF(AND(B3372&lt;&gt;"",B3372&gt;='Buku Akun'!$H$4,B3372&lt;='Buku Akun'!$H$5,OR(C3372='Buku Akun'!$C$4,AND(D3372="Pindah",E3372='Buku Akun'!$C$4))),B3372+IF(AND(I3372="Selisih bunga",DAY(B3372)=1),0,0.01)+ROW()/10000000,"")</f>
        <v/>
      </c>
    </row>
    <row r="3373" outlineLevel="1" ht="15" customHeight="1" s="94">
      <c r="A3373" s="123">
        <f>IF(B3373="","",ROW()-15)</f>
        <v/>
      </c>
      <c r="B3373" s="124" t="n"/>
      <c r="C3373" s="123" t="n"/>
      <c r="D3373" s="123" t="n"/>
      <c r="E3373" s="123" t="n"/>
      <c r="F3373" s="125" t="n"/>
      <c r="G3373" s="123" t="n"/>
      <c r="H3373" s="123" t="n"/>
      <c r="I3373" s="123" t="n"/>
      <c r="J3373" s="123" t="n"/>
      <c r="K3373" s="123" t="n"/>
      <c r="L3373" s="123" t="n"/>
      <c r="M3373" s="123">
        <f>IF(AND(B3373&lt;&gt;"",OR($C$4="",ISNUMBER(SEARCH($C$4,C3373&amp;" "&amp;E3373&amp;" "&amp;G3373&amp;" "&amp;H3373&amp;" "&amp;I3373&amp;" "&amp;J3373&amp;" "&amp;K3373&amp;" "&amp;L3373))),OR($C$5="Semua",$C$5="",G3373=$C$5),OR($C$6="Semua",$C$6="",H3373=$C$6,H3373="Pengeluaran "&amp;$C$6,AND($C$6="Uang Kos Mama",H3373="Pengeluaran Uang Kos")),OR($C$7="Semua",$C$7="",I3373=$C$7),OR($C$8="Semua",$C$8="",C3373=$C$8,E3373=$C$8),OR($C$9="Semua",$C$9="",D3373=$C$9),OR($C$10="",B3373&gt;=$C$10),OR($C$11="",B3373&lt;=$C$11),OR($C$12&lt;&gt;"Ya",K3373&lt;&gt;""),OR($C$13="Semua",$C$13="",L3373=$C$13)),"✓","")</f>
        <v/>
      </c>
      <c r="N3373" s="93">
        <f>N(N3372)+IF(M3373="✓",1,0)</f>
        <v/>
      </c>
      <c r="O3373" s="93">
        <f>N(O3372)+IF(AND(B3373&lt;&gt;"",B3373&gt;='Uang Riba'!$H$30,B3373&lt;='Uang Riba'!$I$30,OR(H3373="Dana riba",H3373="Pinjam uang riba",I3373="Pinjam dari uang riba",I3373="Ganti uang riba",I3373="Kelebihan ganti dikembalikan",AND(C3373="Kantong Uang Riba",G3373="Pengeluaran"))),1,0)</f>
        <v/>
      </c>
      <c r="X3373" s="93">
        <f>IF(AND(B3373&lt;&gt;"",B3373&gt;='Buku Akun'!$H$4,B3373&lt;='Buku Akun'!$H$5,OR(C3373='Buku Akun'!$C$4,AND(D3373="Pindah",E3373='Buku Akun'!$C$4))),B3373+IF(AND(I3373="Selisih bunga",DAY(B3373)=1),0,0.01)+ROW()/10000000,"")</f>
        <v/>
      </c>
    </row>
    <row r="3374" outlineLevel="1" ht="15" customHeight="1" s="94">
      <c r="A3374" s="123">
        <f>IF(B3374="","",ROW()-15)</f>
        <v/>
      </c>
      <c r="B3374" s="124" t="n"/>
      <c r="C3374" s="123" t="n"/>
      <c r="D3374" s="123" t="n"/>
      <c r="E3374" s="123" t="n"/>
      <c r="F3374" s="125" t="n"/>
      <c r="G3374" s="123" t="n"/>
      <c r="H3374" s="123" t="n"/>
      <c r="I3374" s="123" t="n"/>
      <c r="J3374" s="123" t="n"/>
      <c r="K3374" s="123" t="n"/>
      <c r="L3374" s="123" t="n"/>
      <c r="M3374" s="123">
        <f>IF(AND(B3374&lt;&gt;"",OR($C$4="",ISNUMBER(SEARCH($C$4,C3374&amp;" "&amp;E3374&amp;" "&amp;G3374&amp;" "&amp;H3374&amp;" "&amp;I3374&amp;" "&amp;J3374&amp;" "&amp;K3374&amp;" "&amp;L3374))),OR($C$5="Semua",$C$5="",G3374=$C$5),OR($C$6="Semua",$C$6="",H3374=$C$6,H3374="Pengeluaran "&amp;$C$6,AND($C$6="Uang Kos Mama",H3374="Pengeluaran Uang Kos")),OR($C$7="Semua",$C$7="",I3374=$C$7),OR($C$8="Semua",$C$8="",C3374=$C$8,E3374=$C$8),OR($C$9="Semua",$C$9="",D3374=$C$9),OR($C$10="",B3374&gt;=$C$10),OR($C$11="",B3374&lt;=$C$11),OR($C$12&lt;&gt;"Ya",K3374&lt;&gt;""),OR($C$13="Semua",$C$13="",L3374=$C$13)),"✓","")</f>
        <v/>
      </c>
      <c r="N3374" s="93">
        <f>N(N3373)+IF(M3374="✓",1,0)</f>
        <v/>
      </c>
      <c r="O3374" s="93">
        <f>N(O3373)+IF(AND(B3374&lt;&gt;"",B3374&gt;='Uang Riba'!$H$30,B3374&lt;='Uang Riba'!$I$30,OR(H3374="Dana riba",H3374="Pinjam uang riba",I3374="Pinjam dari uang riba",I3374="Ganti uang riba",I3374="Kelebihan ganti dikembalikan",AND(C3374="Kantong Uang Riba",G3374="Pengeluaran"))),1,0)</f>
        <v/>
      </c>
      <c r="X3374" s="93">
        <f>IF(AND(B3374&lt;&gt;"",B3374&gt;='Buku Akun'!$H$4,B3374&lt;='Buku Akun'!$H$5,OR(C3374='Buku Akun'!$C$4,AND(D3374="Pindah",E3374='Buku Akun'!$C$4))),B3374+IF(AND(I3374="Selisih bunga",DAY(B3374)=1),0,0.01)+ROW()/10000000,"")</f>
        <v/>
      </c>
    </row>
    <row r="3375" outlineLevel="1" ht="15" customHeight="1" s="94">
      <c r="A3375" s="123">
        <f>IF(B3375="","",ROW()-15)</f>
        <v/>
      </c>
      <c r="B3375" s="124" t="n"/>
      <c r="C3375" s="123" t="n"/>
      <c r="D3375" s="123" t="n"/>
      <c r="E3375" s="123" t="n"/>
      <c r="F3375" s="125" t="n"/>
      <c r="G3375" s="123" t="n"/>
      <c r="H3375" s="123" t="n"/>
      <c r="I3375" s="123" t="n"/>
      <c r="J3375" s="123" t="n"/>
      <c r="K3375" s="123" t="n"/>
      <c r="L3375" s="123" t="n"/>
      <c r="M3375" s="123">
        <f>IF(AND(B3375&lt;&gt;"",OR($C$4="",ISNUMBER(SEARCH($C$4,C3375&amp;" "&amp;E3375&amp;" "&amp;G3375&amp;" "&amp;H3375&amp;" "&amp;I3375&amp;" "&amp;J3375&amp;" "&amp;K3375&amp;" "&amp;L3375))),OR($C$5="Semua",$C$5="",G3375=$C$5),OR($C$6="Semua",$C$6="",H3375=$C$6,H3375="Pengeluaran "&amp;$C$6,AND($C$6="Uang Kos Mama",H3375="Pengeluaran Uang Kos")),OR($C$7="Semua",$C$7="",I3375=$C$7),OR($C$8="Semua",$C$8="",C3375=$C$8,E3375=$C$8),OR($C$9="Semua",$C$9="",D3375=$C$9),OR($C$10="",B3375&gt;=$C$10),OR($C$11="",B3375&lt;=$C$11),OR($C$12&lt;&gt;"Ya",K3375&lt;&gt;""),OR($C$13="Semua",$C$13="",L3375=$C$13)),"✓","")</f>
        <v/>
      </c>
      <c r="N3375" s="93">
        <f>N(N3374)+IF(M3375="✓",1,0)</f>
        <v/>
      </c>
      <c r="O3375" s="93">
        <f>N(O3374)+IF(AND(B3375&lt;&gt;"",B3375&gt;='Uang Riba'!$H$30,B3375&lt;='Uang Riba'!$I$30,OR(H3375="Dana riba",H3375="Pinjam uang riba",I3375="Pinjam dari uang riba",I3375="Ganti uang riba",I3375="Kelebihan ganti dikembalikan",AND(C3375="Kantong Uang Riba",G3375="Pengeluaran"))),1,0)</f>
        <v/>
      </c>
      <c r="X3375" s="93">
        <f>IF(AND(B3375&lt;&gt;"",B3375&gt;='Buku Akun'!$H$4,B3375&lt;='Buku Akun'!$H$5,OR(C3375='Buku Akun'!$C$4,AND(D3375="Pindah",E3375='Buku Akun'!$C$4))),B3375+IF(AND(I3375="Selisih bunga",DAY(B3375)=1),0,0.01)+ROW()/10000000,"")</f>
        <v/>
      </c>
    </row>
    <row r="3376" outlineLevel="1" ht="15" customHeight="1" s="94">
      <c r="A3376" s="123">
        <f>IF(B3376="","",ROW()-15)</f>
        <v/>
      </c>
      <c r="B3376" s="124" t="n"/>
      <c r="C3376" s="123" t="n"/>
      <c r="D3376" s="123" t="n"/>
      <c r="E3376" s="123" t="n"/>
      <c r="F3376" s="125" t="n"/>
      <c r="G3376" s="123" t="n"/>
      <c r="H3376" s="123" t="n"/>
      <c r="I3376" s="123" t="n"/>
      <c r="J3376" s="123" t="n"/>
      <c r="K3376" s="123" t="n"/>
      <c r="L3376" s="123" t="n"/>
      <c r="M3376" s="123">
        <f>IF(AND(B3376&lt;&gt;"",OR($C$4="",ISNUMBER(SEARCH($C$4,C3376&amp;" "&amp;E3376&amp;" "&amp;G3376&amp;" "&amp;H3376&amp;" "&amp;I3376&amp;" "&amp;J3376&amp;" "&amp;K3376&amp;" "&amp;L3376))),OR($C$5="Semua",$C$5="",G3376=$C$5),OR($C$6="Semua",$C$6="",H3376=$C$6,H3376="Pengeluaran "&amp;$C$6,AND($C$6="Uang Kos Mama",H3376="Pengeluaran Uang Kos")),OR($C$7="Semua",$C$7="",I3376=$C$7),OR($C$8="Semua",$C$8="",C3376=$C$8,E3376=$C$8),OR($C$9="Semua",$C$9="",D3376=$C$9),OR($C$10="",B3376&gt;=$C$10),OR($C$11="",B3376&lt;=$C$11),OR($C$12&lt;&gt;"Ya",K3376&lt;&gt;""),OR($C$13="Semua",$C$13="",L3376=$C$13)),"✓","")</f>
        <v/>
      </c>
      <c r="N3376" s="93">
        <f>N(N3375)+IF(M3376="✓",1,0)</f>
        <v/>
      </c>
      <c r="O3376" s="93">
        <f>N(O3375)+IF(AND(B3376&lt;&gt;"",B3376&gt;='Uang Riba'!$H$30,B3376&lt;='Uang Riba'!$I$30,OR(H3376="Dana riba",H3376="Pinjam uang riba",I3376="Pinjam dari uang riba",I3376="Ganti uang riba",I3376="Kelebihan ganti dikembalikan",AND(C3376="Kantong Uang Riba",G3376="Pengeluaran"))),1,0)</f>
        <v/>
      </c>
      <c r="X3376" s="93">
        <f>IF(AND(B3376&lt;&gt;"",B3376&gt;='Buku Akun'!$H$4,B3376&lt;='Buku Akun'!$H$5,OR(C3376='Buku Akun'!$C$4,AND(D3376="Pindah",E3376='Buku Akun'!$C$4))),B3376+IF(AND(I3376="Selisih bunga",DAY(B3376)=1),0,0.01)+ROW()/10000000,"")</f>
        <v/>
      </c>
    </row>
    <row r="3377" outlineLevel="1" ht="15" customHeight="1" s="94">
      <c r="A3377" s="123">
        <f>IF(B3377="","",ROW()-15)</f>
        <v/>
      </c>
      <c r="B3377" s="124" t="n"/>
      <c r="C3377" s="123" t="n"/>
      <c r="D3377" s="123" t="n"/>
      <c r="E3377" s="123" t="n"/>
      <c r="F3377" s="125" t="n"/>
      <c r="G3377" s="123" t="n"/>
      <c r="H3377" s="123" t="n"/>
      <c r="I3377" s="123" t="n"/>
      <c r="J3377" s="123" t="n"/>
      <c r="K3377" s="123" t="n"/>
      <c r="L3377" s="123" t="n"/>
      <c r="M3377" s="123">
        <f>IF(AND(B3377&lt;&gt;"",OR($C$4="",ISNUMBER(SEARCH($C$4,C3377&amp;" "&amp;E3377&amp;" "&amp;G3377&amp;" "&amp;H3377&amp;" "&amp;I3377&amp;" "&amp;J3377&amp;" "&amp;K3377&amp;" "&amp;L3377))),OR($C$5="Semua",$C$5="",G3377=$C$5),OR($C$6="Semua",$C$6="",H3377=$C$6,H3377="Pengeluaran "&amp;$C$6,AND($C$6="Uang Kos Mama",H3377="Pengeluaran Uang Kos")),OR($C$7="Semua",$C$7="",I3377=$C$7),OR($C$8="Semua",$C$8="",C3377=$C$8,E3377=$C$8),OR($C$9="Semua",$C$9="",D3377=$C$9),OR($C$10="",B3377&gt;=$C$10),OR($C$11="",B3377&lt;=$C$11),OR($C$12&lt;&gt;"Ya",K3377&lt;&gt;""),OR($C$13="Semua",$C$13="",L3377=$C$13)),"✓","")</f>
        <v/>
      </c>
      <c r="N3377" s="93">
        <f>N(N3376)+IF(M3377="✓",1,0)</f>
        <v/>
      </c>
      <c r="O3377" s="93">
        <f>N(O3376)+IF(AND(B3377&lt;&gt;"",B3377&gt;='Uang Riba'!$H$30,B3377&lt;='Uang Riba'!$I$30,OR(H3377="Dana riba",H3377="Pinjam uang riba",I3377="Pinjam dari uang riba",I3377="Ganti uang riba",I3377="Kelebihan ganti dikembalikan",AND(C3377="Kantong Uang Riba",G3377="Pengeluaran"))),1,0)</f>
        <v/>
      </c>
      <c r="X3377" s="93">
        <f>IF(AND(B3377&lt;&gt;"",B3377&gt;='Buku Akun'!$H$4,B3377&lt;='Buku Akun'!$H$5,OR(C3377='Buku Akun'!$C$4,AND(D3377="Pindah",E3377='Buku Akun'!$C$4))),B3377+IF(AND(I3377="Selisih bunga",DAY(B3377)=1),0,0.01)+ROW()/10000000,"")</f>
        <v/>
      </c>
    </row>
    <row r="3378" outlineLevel="1" ht="15" customHeight="1" s="94">
      <c r="A3378" s="123">
        <f>IF(B3378="","",ROW()-15)</f>
        <v/>
      </c>
      <c r="B3378" s="124" t="n"/>
      <c r="C3378" s="123" t="n"/>
      <c r="D3378" s="123" t="n"/>
      <c r="E3378" s="123" t="n"/>
      <c r="F3378" s="125" t="n"/>
      <c r="G3378" s="123" t="n"/>
      <c r="H3378" s="123" t="n"/>
      <c r="I3378" s="123" t="n"/>
      <c r="J3378" s="123" t="n"/>
      <c r="K3378" s="123" t="n"/>
      <c r="L3378" s="123" t="n"/>
      <c r="M3378" s="123">
        <f>IF(AND(B3378&lt;&gt;"",OR($C$4="",ISNUMBER(SEARCH($C$4,C3378&amp;" "&amp;E3378&amp;" "&amp;G3378&amp;" "&amp;H3378&amp;" "&amp;I3378&amp;" "&amp;J3378&amp;" "&amp;K3378&amp;" "&amp;L3378))),OR($C$5="Semua",$C$5="",G3378=$C$5),OR($C$6="Semua",$C$6="",H3378=$C$6,H3378="Pengeluaran "&amp;$C$6,AND($C$6="Uang Kos Mama",H3378="Pengeluaran Uang Kos")),OR($C$7="Semua",$C$7="",I3378=$C$7),OR($C$8="Semua",$C$8="",C3378=$C$8,E3378=$C$8),OR($C$9="Semua",$C$9="",D3378=$C$9),OR($C$10="",B3378&gt;=$C$10),OR($C$11="",B3378&lt;=$C$11),OR($C$12&lt;&gt;"Ya",K3378&lt;&gt;""),OR($C$13="Semua",$C$13="",L3378=$C$13)),"✓","")</f>
        <v/>
      </c>
      <c r="N3378" s="93">
        <f>N(N3377)+IF(M3378="✓",1,0)</f>
        <v/>
      </c>
      <c r="O3378" s="93">
        <f>N(O3377)+IF(AND(B3378&lt;&gt;"",B3378&gt;='Uang Riba'!$H$30,B3378&lt;='Uang Riba'!$I$30,OR(H3378="Dana riba",H3378="Pinjam uang riba",I3378="Pinjam dari uang riba",I3378="Ganti uang riba",I3378="Kelebihan ganti dikembalikan",AND(C3378="Kantong Uang Riba",G3378="Pengeluaran"))),1,0)</f>
        <v/>
      </c>
      <c r="X3378" s="93">
        <f>IF(AND(B3378&lt;&gt;"",B3378&gt;='Buku Akun'!$H$4,B3378&lt;='Buku Akun'!$H$5,OR(C3378='Buku Akun'!$C$4,AND(D3378="Pindah",E3378='Buku Akun'!$C$4))),B3378+IF(AND(I3378="Selisih bunga",DAY(B3378)=1),0,0.01)+ROW()/10000000,"")</f>
        <v/>
      </c>
    </row>
    <row r="3379" outlineLevel="1" ht="15" customHeight="1" s="94">
      <c r="A3379" s="123">
        <f>IF(B3379="","",ROW()-15)</f>
        <v/>
      </c>
      <c r="B3379" s="124" t="n"/>
      <c r="C3379" s="123" t="n"/>
      <c r="D3379" s="123" t="n"/>
      <c r="E3379" s="123" t="n"/>
      <c r="F3379" s="125" t="n"/>
      <c r="G3379" s="123" t="n"/>
      <c r="H3379" s="123" t="n"/>
      <c r="I3379" s="123" t="n"/>
      <c r="J3379" s="123" t="n"/>
      <c r="K3379" s="123" t="n"/>
      <c r="L3379" s="123" t="n"/>
      <c r="M3379" s="123">
        <f>IF(AND(B3379&lt;&gt;"",OR($C$4="",ISNUMBER(SEARCH($C$4,C3379&amp;" "&amp;E3379&amp;" "&amp;G3379&amp;" "&amp;H3379&amp;" "&amp;I3379&amp;" "&amp;J3379&amp;" "&amp;K3379&amp;" "&amp;L3379))),OR($C$5="Semua",$C$5="",G3379=$C$5),OR($C$6="Semua",$C$6="",H3379=$C$6,H3379="Pengeluaran "&amp;$C$6,AND($C$6="Uang Kos Mama",H3379="Pengeluaran Uang Kos")),OR($C$7="Semua",$C$7="",I3379=$C$7),OR($C$8="Semua",$C$8="",C3379=$C$8,E3379=$C$8),OR($C$9="Semua",$C$9="",D3379=$C$9),OR($C$10="",B3379&gt;=$C$10),OR($C$11="",B3379&lt;=$C$11),OR($C$12&lt;&gt;"Ya",K3379&lt;&gt;""),OR($C$13="Semua",$C$13="",L3379=$C$13)),"✓","")</f>
        <v/>
      </c>
      <c r="N3379" s="93">
        <f>N(N3378)+IF(M3379="✓",1,0)</f>
        <v/>
      </c>
      <c r="O3379" s="93">
        <f>N(O3378)+IF(AND(B3379&lt;&gt;"",B3379&gt;='Uang Riba'!$H$30,B3379&lt;='Uang Riba'!$I$30,OR(H3379="Dana riba",H3379="Pinjam uang riba",I3379="Pinjam dari uang riba",I3379="Ganti uang riba",I3379="Kelebihan ganti dikembalikan",AND(C3379="Kantong Uang Riba",G3379="Pengeluaran"))),1,0)</f>
        <v/>
      </c>
      <c r="X3379" s="93">
        <f>IF(AND(B3379&lt;&gt;"",B3379&gt;='Buku Akun'!$H$4,B3379&lt;='Buku Akun'!$H$5,OR(C3379='Buku Akun'!$C$4,AND(D3379="Pindah",E3379='Buku Akun'!$C$4))),B3379+IF(AND(I3379="Selisih bunga",DAY(B3379)=1),0,0.01)+ROW()/10000000,"")</f>
        <v/>
      </c>
    </row>
    <row r="3380" outlineLevel="1" ht="15" customHeight="1" s="94">
      <c r="A3380" s="123">
        <f>IF(B3380="","",ROW()-15)</f>
        <v/>
      </c>
      <c r="B3380" s="124" t="n"/>
      <c r="C3380" s="123" t="n"/>
      <c r="D3380" s="123" t="n"/>
      <c r="E3380" s="123" t="n"/>
      <c r="F3380" s="125" t="n"/>
      <c r="G3380" s="123" t="n"/>
      <c r="H3380" s="123" t="n"/>
      <c r="I3380" s="123" t="n"/>
      <c r="J3380" s="123" t="n"/>
      <c r="K3380" s="123" t="n"/>
      <c r="L3380" s="123" t="n"/>
      <c r="M3380" s="123">
        <f>IF(AND(B3380&lt;&gt;"",OR($C$4="",ISNUMBER(SEARCH($C$4,C3380&amp;" "&amp;E3380&amp;" "&amp;G3380&amp;" "&amp;H3380&amp;" "&amp;I3380&amp;" "&amp;J3380&amp;" "&amp;K3380&amp;" "&amp;L3380))),OR($C$5="Semua",$C$5="",G3380=$C$5),OR($C$6="Semua",$C$6="",H3380=$C$6,H3380="Pengeluaran "&amp;$C$6,AND($C$6="Uang Kos Mama",H3380="Pengeluaran Uang Kos")),OR($C$7="Semua",$C$7="",I3380=$C$7),OR($C$8="Semua",$C$8="",C3380=$C$8,E3380=$C$8),OR($C$9="Semua",$C$9="",D3380=$C$9),OR($C$10="",B3380&gt;=$C$10),OR($C$11="",B3380&lt;=$C$11),OR($C$12&lt;&gt;"Ya",K3380&lt;&gt;""),OR($C$13="Semua",$C$13="",L3380=$C$13)),"✓","")</f>
        <v/>
      </c>
      <c r="N3380" s="93">
        <f>N(N3379)+IF(M3380="✓",1,0)</f>
        <v/>
      </c>
      <c r="O3380" s="93">
        <f>N(O3379)+IF(AND(B3380&lt;&gt;"",B3380&gt;='Uang Riba'!$H$30,B3380&lt;='Uang Riba'!$I$30,OR(H3380="Dana riba",H3380="Pinjam uang riba",I3380="Pinjam dari uang riba",I3380="Ganti uang riba",I3380="Kelebihan ganti dikembalikan",AND(C3380="Kantong Uang Riba",G3380="Pengeluaran"))),1,0)</f>
        <v/>
      </c>
      <c r="X3380" s="93">
        <f>IF(AND(B3380&lt;&gt;"",B3380&gt;='Buku Akun'!$H$4,B3380&lt;='Buku Akun'!$H$5,OR(C3380='Buku Akun'!$C$4,AND(D3380="Pindah",E3380='Buku Akun'!$C$4))),B3380+IF(AND(I3380="Selisih bunga",DAY(B3380)=1),0,0.01)+ROW()/10000000,"")</f>
        <v/>
      </c>
    </row>
    <row r="3381" outlineLevel="1" ht="15" customHeight="1" s="94">
      <c r="A3381" s="123">
        <f>IF(B3381="","",ROW()-15)</f>
        <v/>
      </c>
      <c r="B3381" s="124" t="n"/>
      <c r="C3381" s="123" t="n"/>
      <c r="D3381" s="123" t="n"/>
      <c r="E3381" s="123" t="n"/>
      <c r="F3381" s="125" t="n"/>
      <c r="G3381" s="123" t="n"/>
      <c r="H3381" s="123" t="n"/>
      <c r="I3381" s="123" t="n"/>
      <c r="J3381" s="123" t="n"/>
      <c r="K3381" s="123" t="n"/>
      <c r="L3381" s="123" t="n"/>
      <c r="M3381" s="123">
        <f>IF(AND(B3381&lt;&gt;"",OR($C$4="",ISNUMBER(SEARCH($C$4,C3381&amp;" "&amp;E3381&amp;" "&amp;G3381&amp;" "&amp;H3381&amp;" "&amp;I3381&amp;" "&amp;J3381&amp;" "&amp;K3381&amp;" "&amp;L3381))),OR($C$5="Semua",$C$5="",G3381=$C$5),OR($C$6="Semua",$C$6="",H3381=$C$6,H3381="Pengeluaran "&amp;$C$6,AND($C$6="Uang Kos Mama",H3381="Pengeluaran Uang Kos")),OR($C$7="Semua",$C$7="",I3381=$C$7),OR($C$8="Semua",$C$8="",C3381=$C$8,E3381=$C$8),OR($C$9="Semua",$C$9="",D3381=$C$9),OR($C$10="",B3381&gt;=$C$10),OR($C$11="",B3381&lt;=$C$11),OR($C$12&lt;&gt;"Ya",K3381&lt;&gt;""),OR($C$13="Semua",$C$13="",L3381=$C$13)),"✓","")</f>
        <v/>
      </c>
      <c r="N3381" s="93">
        <f>N(N3380)+IF(M3381="✓",1,0)</f>
        <v/>
      </c>
      <c r="O3381" s="93">
        <f>N(O3380)+IF(AND(B3381&lt;&gt;"",B3381&gt;='Uang Riba'!$H$30,B3381&lt;='Uang Riba'!$I$30,OR(H3381="Dana riba",H3381="Pinjam uang riba",I3381="Pinjam dari uang riba",I3381="Ganti uang riba",I3381="Kelebihan ganti dikembalikan",AND(C3381="Kantong Uang Riba",G3381="Pengeluaran"))),1,0)</f>
        <v/>
      </c>
      <c r="X3381" s="93">
        <f>IF(AND(B3381&lt;&gt;"",B3381&gt;='Buku Akun'!$H$4,B3381&lt;='Buku Akun'!$H$5,OR(C3381='Buku Akun'!$C$4,AND(D3381="Pindah",E3381='Buku Akun'!$C$4))),B3381+IF(AND(I3381="Selisih bunga",DAY(B3381)=1),0,0.01)+ROW()/10000000,"")</f>
        <v/>
      </c>
    </row>
    <row r="3382" outlineLevel="1" ht="15" customHeight="1" s="94">
      <c r="A3382" s="123">
        <f>IF(B3382="","",ROW()-15)</f>
        <v/>
      </c>
      <c r="B3382" s="124" t="n"/>
      <c r="C3382" s="123" t="n"/>
      <c r="D3382" s="123" t="n"/>
      <c r="E3382" s="123" t="n"/>
      <c r="F3382" s="125" t="n"/>
      <c r="G3382" s="123" t="n"/>
      <c r="H3382" s="123" t="n"/>
      <c r="I3382" s="123" t="n"/>
      <c r="J3382" s="123" t="n"/>
      <c r="K3382" s="123" t="n"/>
      <c r="L3382" s="123" t="n"/>
      <c r="M3382" s="123">
        <f>IF(AND(B3382&lt;&gt;"",OR($C$4="",ISNUMBER(SEARCH($C$4,C3382&amp;" "&amp;E3382&amp;" "&amp;G3382&amp;" "&amp;H3382&amp;" "&amp;I3382&amp;" "&amp;J3382&amp;" "&amp;K3382&amp;" "&amp;L3382))),OR($C$5="Semua",$C$5="",G3382=$C$5),OR($C$6="Semua",$C$6="",H3382=$C$6,H3382="Pengeluaran "&amp;$C$6,AND($C$6="Uang Kos Mama",H3382="Pengeluaran Uang Kos")),OR($C$7="Semua",$C$7="",I3382=$C$7),OR($C$8="Semua",$C$8="",C3382=$C$8,E3382=$C$8),OR($C$9="Semua",$C$9="",D3382=$C$9),OR($C$10="",B3382&gt;=$C$10),OR($C$11="",B3382&lt;=$C$11),OR($C$12&lt;&gt;"Ya",K3382&lt;&gt;""),OR($C$13="Semua",$C$13="",L3382=$C$13)),"✓","")</f>
        <v/>
      </c>
      <c r="N3382" s="93">
        <f>N(N3381)+IF(M3382="✓",1,0)</f>
        <v/>
      </c>
      <c r="O3382" s="93">
        <f>N(O3381)+IF(AND(B3382&lt;&gt;"",B3382&gt;='Uang Riba'!$H$30,B3382&lt;='Uang Riba'!$I$30,OR(H3382="Dana riba",H3382="Pinjam uang riba",I3382="Pinjam dari uang riba",I3382="Ganti uang riba",I3382="Kelebihan ganti dikembalikan",AND(C3382="Kantong Uang Riba",G3382="Pengeluaran"))),1,0)</f>
        <v/>
      </c>
      <c r="X3382" s="93">
        <f>IF(AND(B3382&lt;&gt;"",B3382&gt;='Buku Akun'!$H$4,B3382&lt;='Buku Akun'!$H$5,OR(C3382='Buku Akun'!$C$4,AND(D3382="Pindah",E3382='Buku Akun'!$C$4))),B3382+IF(AND(I3382="Selisih bunga",DAY(B3382)=1),0,0.01)+ROW()/10000000,"")</f>
        <v/>
      </c>
    </row>
    <row r="3383" outlineLevel="1" ht="15" customHeight="1" s="94">
      <c r="A3383" s="123">
        <f>IF(B3383="","",ROW()-15)</f>
        <v/>
      </c>
      <c r="B3383" s="124" t="n"/>
      <c r="C3383" s="123" t="n"/>
      <c r="D3383" s="123" t="n"/>
      <c r="E3383" s="123" t="n"/>
      <c r="F3383" s="125" t="n"/>
      <c r="G3383" s="123" t="n"/>
      <c r="H3383" s="123" t="n"/>
      <c r="I3383" s="123" t="n"/>
      <c r="J3383" s="123" t="n"/>
      <c r="K3383" s="123" t="n"/>
      <c r="L3383" s="123" t="n"/>
      <c r="M3383" s="123">
        <f>IF(AND(B3383&lt;&gt;"",OR($C$4="",ISNUMBER(SEARCH($C$4,C3383&amp;" "&amp;E3383&amp;" "&amp;G3383&amp;" "&amp;H3383&amp;" "&amp;I3383&amp;" "&amp;J3383&amp;" "&amp;K3383&amp;" "&amp;L3383))),OR($C$5="Semua",$C$5="",G3383=$C$5),OR($C$6="Semua",$C$6="",H3383=$C$6,H3383="Pengeluaran "&amp;$C$6,AND($C$6="Uang Kos Mama",H3383="Pengeluaran Uang Kos")),OR($C$7="Semua",$C$7="",I3383=$C$7),OR($C$8="Semua",$C$8="",C3383=$C$8,E3383=$C$8),OR($C$9="Semua",$C$9="",D3383=$C$9),OR($C$10="",B3383&gt;=$C$10),OR($C$11="",B3383&lt;=$C$11),OR($C$12&lt;&gt;"Ya",K3383&lt;&gt;""),OR($C$13="Semua",$C$13="",L3383=$C$13)),"✓","")</f>
        <v/>
      </c>
      <c r="N3383" s="93">
        <f>N(N3382)+IF(M3383="✓",1,0)</f>
        <v/>
      </c>
      <c r="O3383" s="93">
        <f>N(O3382)+IF(AND(B3383&lt;&gt;"",B3383&gt;='Uang Riba'!$H$30,B3383&lt;='Uang Riba'!$I$30,OR(H3383="Dana riba",H3383="Pinjam uang riba",I3383="Pinjam dari uang riba",I3383="Ganti uang riba",I3383="Kelebihan ganti dikembalikan",AND(C3383="Kantong Uang Riba",G3383="Pengeluaran"))),1,0)</f>
        <v/>
      </c>
      <c r="X3383" s="93">
        <f>IF(AND(B3383&lt;&gt;"",B3383&gt;='Buku Akun'!$H$4,B3383&lt;='Buku Akun'!$H$5,OR(C3383='Buku Akun'!$C$4,AND(D3383="Pindah",E3383='Buku Akun'!$C$4))),B3383+IF(AND(I3383="Selisih bunga",DAY(B3383)=1),0,0.01)+ROW()/10000000,"")</f>
        <v/>
      </c>
    </row>
    <row r="3384" outlineLevel="1" ht="15" customHeight="1" s="94">
      <c r="A3384" s="123">
        <f>IF(B3384="","",ROW()-15)</f>
        <v/>
      </c>
      <c r="B3384" s="124" t="n"/>
      <c r="C3384" s="123" t="n"/>
      <c r="D3384" s="123" t="n"/>
      <c r="E3384" s="123" t="n"/>
      <c r="F3384" s="125" t="n"/>
      <c r="G3384" s="123" t="n"/>
      <c r="H3384" s="123" t="n"/>
      <c r="I3384" s="123" t="n"/>
      <c r="J3384" s="123" t="n"/>
      <c r="K3384" s="123" t="n"/>
      <c r="L3384" s="123" t="n"/>
      <c r="M3384" s="123">
        <f>IF(AND(B3384&lt;&gt;"",OR($C$4="",ISNUMBER(SEARCH($C$4,C3384&amp;" "&amp;E3384&amp;" "&amp;G3384&amp;" "&amp;H3384&amp;" "&amp;I3384&amp;" "&amp;J3384&amp;" "&amp;K3384&amp;" "&amp;L3384))),OR($C$5="Semua",$C$5="",G3384=$C$5),OR($C$6="Semua",$C$6="",H3384=$C$6,H3384="Pengeluaran "&amp;$C$6,AND($C$6="Uang Kos Mama",H3384="Pengeluaran Uang Kos")),OR($C$7="Semua",$C$7="",I3384=$C$7),OR($C$8="Semua",$C$8="",C3384=$C$8,E3384=$C$8),OR($C$9="Semua",$C$9="",D3384=$C$9),OR($C$10="",B3384&gt;=$C$10),OR($C$11="",B3384&lt;=$C$11),OR($C$12&lt;&gt;"Ya",K3384&lt;&gt;""),OR($C$13="Semua",$C$13="",L3384=$C$13)),"✓","")</f>
        <v/>
      </c>
      <c r="N3384" s="93">
        <f>N(N3383)+IF(M3384="✓",1,0)</f>
        <v/>
      </c>
      <c r="O3384" s="93">
        <f>N(O3383)+IF(AND(B3384&lt;&gt;"",B3384&gt;='Uang Riba'!$H$30,B3384&lt;='Uang Riba'!$I$30,OR(H3384="Dana riba",H3384="Pinjam uang riba",I3384="Pinjam dari uang riba",I3384="Ganti uang riba",I3384="Kelebihan ganti dikembalikan",AND(C3384="Kantong Uang Riba",G3384="Pengeluaran"))),1,0)</f>
        <v/>
      </c>
      <c r="X3384" s="93">
        <f>IF(AND(B3384&lt;&gt;"",B3384&gt;='Buku Akun'!$H$4,B3384&lt;='Buku Akun'!$H$5,OR(C3384='Buku Akun'!$C$4,AND(D3384="Pindah",E3384='Buku Akun'!$C$4))),B3384+IF(AND(I3384="Selisih bunga",DAY(B3384)=1),0,0.01)+ROW()/10000000,"")</f>
        <v/>
      </c>
    </row>
    <row r="3385" outlineLevel="1" ht="15" customHeight="1" s="94">
      <c r="A3385" s="123">
        <f>IF(B3385="","",ROW()-15)</f>
        <v/>
      </c>
      <c r="B3385" s="124" t="n"/>
      <c r="C3385" s="123" t="n"/>
      <c r="D3385" s="123" t="n"/>
      <c r="E3385" s="123" t="n"/>
      <c r="F3385" s="125" t="n"/>
      <c r="G3385" s="123" t="n"/>
      <c r="H3385" s="123" t="n"/>
      <c r="I3385" s="123" t="n"/>
      <c r="J3385" s="123" t="n"/>
      <c r="K3385" s="123" t="n"/>
      <c r="L3385" s="123" t="n"/>
      <c r="M3385" s="123">
        <f>IF(AND(B3385&lt;&gt;"",OR($C$4="",ISNUMBER(SEARCH($C$4,C3385&amp;" "&amp;E3385&amp;" "&amp;G3385&amp;" "&amp;H3385&amp;" "&amp;I3385&amp;" "&amp;J3385&amp;" "&amp;K3385&amp;" "&amp;L3385))),OR($C$5="Semua",$C$5="",G3385=$C$5),OR($C$6="Semua",$C$6="",H3385=$C$6,H3385="Pengeluaran "&amp;$C$6,AND($C$6="Uang Kos Mama",H3385="Pengeluaran Uang Kos")),OR($C$7="Semua",$C$7="",I3385=$C$7),OR($C$8="Semua",$C$8="",C3385=$C$8,E3385=$C$8),OR($C$9="Semua",$C$9="",D3385=$C$9),OR($C$10="",B3385&gt;=$C$10),OR($C$11="",B3385&lt;=$C$11),OR($C$12&lt;&gt;"Ya",K3385&lt;&gt;""),OR($C$13="Semua",$C$13="",L3385=$C$13)),"✓","")</f>
        <v/>
      </c>
      <c r="N3385" s="93">
        <f>N(N3384)+IF(M3385="✓",1,0)</f>
        <v/>
      </c>
      <c r="O3385" s="93">
        <f>N(O3384)+IF(AND(B3385&lt;&gt;"",B3385&gt;='Uang Riba'!$H$30,B3385&lt;='Uang Riba'!$I$30,OR(H3385="Dana riba",H3385="Pinjam uang riba",I3385="Pinjam dari uang riba",I3385="Ganti uang riba",I3385="Kelebihan ganti dikembalikan",AND(C3385="Kantong Uang Riba",G3385="Pengeluaran"))),1,0)</f>
        <v/>
      </c>
      <c r="X3385" s="93">
        <f>IF(AND(B3385&lt;&gt;"",B3385&gt;='Buku Akun'!$H$4,B3385&lt;='Buku Akun'!$H$5,OR(C3385='Buku Akun'!$C$4,AND(D3385="Pindah",E3385='Buku Akun'!$C$4))),B3385+IF(AND(I3385="Selisih bunga",DAY(B3385)=1),0,0.01)+ROW()/10000000,"")</f>
        <v/>
      </c>
    </row>
    <row r="3386" outlineLevel="1" ht="15" customHeight="1" s="94">
      <c r="A3386" s="123">
        <f>IF(B3386="","",ROW()-15)</f>
        <v/>
      </c>
      <c r="B3386" s="124" t="n"/>
      <c r="C3386" s="123" t="n"/>
      <c r="D3386" s="123" t="n"/>
      <c r="E3386" s="123" t="n"/>
      <c r="F3386" s="125" t="n"/>
      <c r="G3386" s="123" t="n"/>
      <c r="H3386" s="123" t="n"/>
      <c r="I3386" s="123" t="n"/>
      <c r="J3386" s="123" t="n"/>
      <c r="K3386" s="123" t="n"/>
      <c r="L3386" s="123" t="n"/>
      <c r="M3386" s="123">
        <f>IF(AND(B3386&lt;&gt;"",OR($C$4="",ISNUMBER(SEARCH($C$4,C3386&amp;" "&amp;E3386&amp;" "&amp;G3386&amp;" "&amp;H3386&amp;" "&amp;I3386&amp;" "&amp;J3386&amp;" "&amp;K3386&amp;" "&amp;L3386))),OR($C$5="Semua",$C$5="",G3386=$C$5),OR($C$6="Semua",$C$6="",H3386=$C$6,H3386="Pengeluaran "&amp;$C$6,AND($C$6="Uang Kos Mama",H3386="Pengeluaran Uang Kos")),OR($C$7="Semua",$C$7="",I3386=$C$7),OR($C$8="Semua",$C$8="",C3386=$C$8,E3386=$C$8),OR($C$9="Semua",$C$9="",D3386=$C$9),OR($C$10="",B3386&gt;=$C$10),OR($C$11="",B3386&lt;=$C$11),OR($C$12&lt;&gt;"Ya",K3386&lt;&gt;""),OR($C$13="Semua",$C$13="",L3386=$C$13)),"✓","")</f>
        <v/>
      </c>
      <c r="N3386" s="93">
        <f>N(N3385)+IF(M3386="✓",1,0)</f>
        <v/>
      </c>
      <c r="O3386" s="93">
        <f>N(O3385)+IF(AND(B3386&lt;&gt;"",B3386&gt;='Uang Riba'!$H$30,B3386&lt;='Uang Riba'!$I$30,OR(H3386="Dana riba",H3386="Pinjam uang riba",I3386="Pinjam dari uang riba",I3386="Ganti uang riba",I3386="Kelebihan ganti dikembalikan",AND(C3386="Kantong Uang Riba",G3386="Pengeluaran"))),1,0)</f>
        <v/>
      </c>
      <c r="X3386" s="93">
        <f>IF(AND(B3386&lt;&gt;"",B3386&gt;='Buku Akun'!$H$4,B3386&lt;='Buku Akun'!$H$5,OR(C3386='Buku Akun'!$C$4,AND(D3386="Pindah",E3386='Buku Akun'!$C$4))),B3386+IF(AND(I3386="Selisih bunga",DAY(B3386)=1),0,0.01)+ROW()/10000000,"")</f>
        <v/>
      </c>
    </row>
    <row r="3387" outlineLevel="1" ht="15" customHeight="1" s="94">
      <c r="A3387" s="123">
        <f>IF(B3387="","",ROW()-15)</f>
        <v/>
      </c>
      <c r="B3387" s="124" t="n"/>
      <c r="C3387" s="123" t="n"/>
      <c r="D3387" s="123" t="n"/>
      <c r="E3387" s="123" t="n"/>
      <c r="F3387" s="125" t="n"/>
      <c r="G3387" s="123" t="n"/>
      <c r="H3387" s="123" t="n"/>
      <c r="I3387" s="123" t="n"/>
      <c r="J3387" s="123" t="n"/>
      <c r="K3387" s="123" t="n"/>
      <c r="L3387" s="123" t="n"/>
      <c r="M3387" s="123">
        <f>IF(AND(B3387&lt;&gt;"",OR($C$4="",ISNUMBER(SEARCH($C$4,C3387&amp;" "&amp;E3387&amp;" "&amp;G3387&amp;" "&amp;H3387&amp;" "&amp;I3387&amp;" "&amp;J3387&amp;" "&amp;K3387&amp;" "&amp;L3387))),OR($C$5="Semua",$C$5="",G3387=$C$5),OR($C$6="Semua",$C$6="",H3387=$C$6,H3387="Pengeluaran "&amp;$C$6,AND($C$6="Uang Kos Mama",H3387="Pengeluaran Uang Kos")),OR($C$7="Semua",$C$7="",I3387=$C$7),OR($C$8="Semua",$C$8="",C3387=$C$8,E3387=$C$8),OR($C$9="Semua",$C$9="",D3387=$C$9),OR($C$10="",B3387&gt;=$C$10),OR($C$11="",B3387&lt;=$C$11),OR($C$12&lt;&gt;"Ya",K3387&lt;&gt;""),OR($C$13="Semua",$C$13="",L3387=$C$13)),"✓","")</f>
        <v/>
      </c>
      <c r="N3387" s="93">
        <f>N(N3386)+IF(M3387="✓",1,0)</f>
        <v/>
      </c>
      <c r="O3387" s="93">
        <f>N(O3386)+IF(AND(B3387&lt;&gt;"",B3387&gt;='Uang Riba'!$H$30,B3387&lt;='Uang Riba'!$I$30,OR(H3387="Dana riba",H3387="Pinjam uang riba",I3387="Pinjam dari uang riba",I3387="Ganti uang riba",I3387="Kelebihan ganti dikembalikan",AND(C3387="Kantong Uang Riba",G3387="Pengeluaran"))),1,0)</f>
        <v/>
      </c>
      <c r="X3387" s="93">
        <f>IF(AND(B3387&lt;&gt;"",B3387&gt;='Buku Akun'!$H$4,B3387&lt;='Buku Akun'!$H$5,OR(C3387='Buku Akun'!$C$4,AND(D3387="Pindah",E3387='Buku Akun'!$C$4))),B3387+IF(AND(I3387="Selisih bunga",DAY(B3387)=1),0,0.01)+ROW()/10000000,"")</f>
        <v/>
      </c>
    </row>
    <row r="3388" outlineLevel="1" ht="15" customHeight="1" s="94">
      <c r="A3388" s="123">
        <f>IF(B3388="","",ROW()-15)</f>
        <v/>
      </c>
      <c r="B3388" s="124" t="n"/>
      <c r="C3388" s="123" t="n"/>
      <c r="D3388" s="123" t="n"/>
      <c r="E3388" s="123" t="n"/>
      <c r="F3388" s="125" t="n"/>
      <c r="G3388" s="123" t="n"/>
      <c r="H3388" s="123" t="n"/>
      <c r="I3388" s="123" t="n"/>
      <c r="J3388" s="123" t="n"/>
      <c r="K3388" s="123" t="n"/>
      <c r="L3388" s="123" t="n"/>
      <c r="M3388" s="123">
        <f>IF(AND(B3388&lt;&gt;"",OR($C$4="",ISNUMBER(SEARCH($C$4,C3388&amp;" "&amp;E3388&amp;" "&amp;G3388&amp;" "&amp;H3388&amp;" "&amp;I3388&amp;" "&amp;J3388&amp;" "&amp;K3388&amp;" "&amp;L3388))),OR($C$5="Semua",$C$5="",G3388=$C$5),OR($C$6="Semua",$C$6="",H3388=$C$6,H3388="Pengeluaran "&amp;$C$6,AND($C$6="Uang Kos Mama",H3388="Pengeluaran Uang Kos")),OR($C$7="Semua",$C$7="",I3388=$C$7),OR($C$8="Semua",$C$8="",C3388=$C$8,E3388=$C$8),OR($C$9="Semua",$C$9="",D3388=$C$9),OR($C$10="",B3388&gt;=$C$10),OR($C$11="",B3388&lt;=$C$11),OR($C$12&lt;&gt;"Ya",K3388&lt;&gt;""),OR($C$13="Semua",$C$13="",L3388=$C$13)),"✓","")</f>
        <v/>
      </c>
      <c r="N3388" s="93">
        <f>N(N3387)+IF(M3388="✓",1,0)</f>
        <v/>
      </c>
      <c r="O3388" s="93">
        <f>N(O3387)+IF(AND(B3388&lt;&gt;"",B3388&gt;='Uang Riba'!$H$30,B3388&lt;='Uang Riba'!$I$30,OR(H3388="Dana riba",H3388="Pinjam uang riba",I3388="Pinjam dari uang riba",I3388="Ganti uang riba",I3388="Kelebihan ganti dikembalikan",AND(C3388="Kantong Uang Riba",G3388="Pengeluaran"))),1,0)</f>
        <v/>
      </c>
      <c r="X3388" s="93">
        <f>IF(AND(B3388&lt;&gt;"",B3388&gt;='Buku Akun'!$H$4,B3388&lt;='Buku Akun'!$H$5,OR(C3388='Buku Akun'!$C$4,AND(D3388="Pindah",E3388='Buku Akun'!$C$4))),B3388+IF(AND(I3388="Selisih bunga",DAY(B3388)=1),0,0.01)+ROW()/10000000,"")</f>
        <v/>
      </c>
    </row>
    <row r="3389" outlineLevel="1" ht="15" customHeight="1" s="94">
      <c r="A3389" s="123">
        <f>IF(B3389="","",ROW()-15)</f>
        <v/>
      </c>
      <c r="B3389" s="124" t="n"/>
      <c r="C3389" s="123" t="n"/>
      <c r="D3389" s="123" t="n"/>
      <c r="E3389" s="123" t="n"/>
      <c r="F3389" s="125" t="n"/>
      <c r="G3389" s="123" t="n"/>
      <c r="H3389" s="123" t="n"/>
      <c r="I3389" s="123" t="n"/>
      <c r="J3389" s="123" t="n"/>
      <c r="K3389" s="123" t="n"/>
      <c r="L3389" s="123" t="n"/>
      <c r="M3389" s="123">
        <f>IF(AND(B3389&lt;&gt;"",OR($C$4="",ISNUMBER(SEARCH($C$4,C3389&amp;" "&amp;E3389&amp;" "&amp;G3389&amp;" "&amp;H3389&amp;" "&amp;I3389&amp;" "&amp;J3389&amp;" "&amp;K3389&amp;" "&amp;L3389))),OR($C$5="Semua",$C$5="",G3389=$C$5),OR($C$6="Semua",$C$6="",H3389=$C$6,H3389="Pengeluaran "&amp;$C$6,AND($C$6="Uang Kos Mama",H3389="Pengeluaran Uang Kos")),OR($C$7="Semua",$C$7="",I3389=$C$7),OR($C$8="Semua",$C$8="",C3389=$C$8,E3389=$C$8),OR($C$9="Semua",$C$9="",D3389=$C$9),OR($C$10="",B3389&gt;=$C$10),OR($C$11="",B3389&lt;=$C$11),OR($C$12&lt;&gt;"Ya",K3389&lt;&gt;""),OR($C$13="Semua",$C$13="",L3389=$C$13)),"✓","")</f>
        <v/>
      </c>
      <c r="N3389" s="93">
        <f>N(N3388)+IF(M3389="✓",1,0)</f>
        <v/>
      </c>
      <c r="O3389" s="93">
        <f>N(O3388)+IF(AND(B3389&lt;&gt;"",B3389&gt;='Uang Riba'!$H$30,B3389&lt;='Uang Riba'!$I$30,OR(H3389="Dana riba",H3389="Pinjam uang riba",I3389="Pinjam dari uang riba",I3389="Ganti uang riba",I3389="Kelebihan ganti dikembalikan",AND(C3389="Kantong Uang Riba",G3389="Pengeluaran"))),1,0)</f>
        <v/>
      </c>
      <c r="X3389" s="93">
        <f>IF(AND(B3389&lt;&gt;"",B3389&gt;='Buku Akun'!$H$4,B3389&lt;='Buku Akun'!$H$5,OR(C3389='Buku Akun'!$C$4,AND(D3389="Pindah",E3389='Buku Akun'!$C$4))),B3389+IF(AND(I3389="Selisih bunga",DAY(B3389)=1),0,0.01)+ROW()/10000000,"")</f>
        <v/>
      </c>
    </row>
    <row r="3390" outlineLevel="1" ht="15" customHeight="1" s="94">
      <c r="A3390" s="123">
        <f>IF(B3390="","",ROW()-15)</f>
        <v/>
      </c>
      <c r="B3390" s="124" t="n"/>
      <c r="C3390" s="123" t="n"/>
      <c r="D3390" s="123" t="n"/>
      <c r="E3390" s="123" t="n"/>
      <c r="F3390" s="125" t="n"/>
      <c r="G3390" s="123" t="n"/>
      <c r="H3390" s="123" t="n"/>
      <c r="I3390" s="123" t="n"/>
      <c r="J3390" s="123" t="n"/>
      <c r="K3390" s="123" t="n"/>
      <c r="L3390" s="123" t="n"/>
      <c r="M3390" s="123">
        <f>IF(AND(B3390&lt;&gt;"",OR($C$4="",ISNUMBER(SEARCH($C$4,C3390&amp;" "&amp;E3390&amp;" "&amp;G3390&amp;" "&amp;H3390&amp;" "&amp;I3390&amp;" "&amp;J3390&amp;" "&amp;K3390&amp;" "&amp;L3390))),OR($C$5="Semua",$C$5="",G3390=$C$5),OR($C$6="Semua",$C$6="",H3390=$C$6,H3390="Pengeluaran "&amp;$C$6,AND($C$6="Uang Kos Mama",H3390="Pengeluaran Uang Kos")),OR($C$7="Semua",$C$7="",I3390=$C$7),OR($C$8="Semua",$C$8="",C3390=$C$8,E3390=$C$8),OR($C$9="Semua",$C$9="",D3390=$C$9),OR($C$10="",B3390&gt;=$C$10),OR($C$11="",B3390&lt;=$C$11),OR($C$12&lt;&gt;"Ya",K3390&lt;&gt;""),OR($C$13="Semua",$C$13="",L3390=$C$13)),"✓","")</f>
        <v/>
      </c>
      <c r="N3390" s="93">
        <f>N(N3389)+IF(M3390="✓",1,0)</f>
        <v/>
      </c>
      <c r="O3390" s="93">
        <f>N(O3389)+IF(AND(B3390&lt;&gt;"",B3390&gt;='Uang Riba'!$H$30,B3390&lt;='Uang Riba'!$I$30,OR(H3390="Dana riba",H3390="Pinjam uang riba",I3390="Pinjam dari uang riba",I3390="Ganti uang riba",I3390="Kelebihan ganti dikembalikan",AND(C3390="Kantong Uang Riba",G3390="Pengeluaran"))),1,0)</f>
        <v/>
      </c>
      <c r="X3390" s="93">
        <f>IF(AND(B3390&lt;&gt;"",B3390&gt;='Buku Akun'!$H$4,B3390&lt;='Buku Akun'!$H$5,OR(C3390='Buku Akun'!$C$4,AND(D3390="Pindah",E3390='Buku Akun'!$C$4))),B3390+IF(AND(I3390="Selisih bunga",DAY(B3390)=1),0,0.01)+ROW()/10000000,"")</f>
        <v/>
      </c>
    </row>
    <row r="3391" outlineLevel="1" ht="15" customHeight="1" s="94">
      <c r="A3391" s="123">
        <f>IF(B3391="","",ROW()-15)</f>
        <v/>
      </c>
      <c r="B3391" s="124" t="n"/>
      <c r="C3391" s="123" t="n"/>
      <c r="D3391" s="123" t="n"/>
      <c r="E3391" s="123" t="n"/>
      <c r="F3391" s="125" t="n"/>
      <c r="G3391" s="123" t="n"/>
      <c r="H3391" s="123" t="n"/>
      <c r="I3391" s="123" t="n"/>
      <c r="J3391" s="123" t="n"/>
      <c r="K3391" s="123" t="n"/>
      <c r="L3391" s="123" t="n"/>
      <c r="M3391" s="123">
        <f>IF(AND(B3391&lt;&gt;"",OR($C$4="",ISNUMBER(SEARCH($C$4,C3391&amp;" "&amp;E3391&amp;" "&amp;G3391&amp;" "&amp;H3391&amp;" "&amp;I3391&amp;" "&amp;J3391&amp;" "&amp;K3391&amp;" "&amp;L3391))),OR($C$5="Semua",$C$5="",G3391=$C$5),OR($C$6="Semua",$C$6="",H3391=$C$6,H3391="Pengeluaran "&amp;$C$6,AND($C$6="Uang Kos Mama",H3391="Pengeluaran Uang Kos")),OR($C$7="Semua",$C$7="",I3391=$C$7),OR($C$8="Semua",$C$8="",C3391=$C$8,E3391=$C$8),OR($C$9="Semua",$C$9="",D3391=$C$9),OR($C$10="",B3391&gt;=$C$10),OR($C$11="",B3391&lt;=$C$11),OR($C$12&lt;&gt;"Ya",K3391&lt;&gt;""),OR($C$13="Semua",$C$13="",L3391=$C$13)),"✓","")</f>
        <v/>
      </c>
      <c r="N3391" s="93">
        <f>N(N3390)+IF(M3391="✓",1,0)</f>
        <v/>
      </c>
      <c r="O3391" s="93">
        <f>N(O3390)+IF(AND(B3391&lt;&gt;"",B3391&gt;='Uang Riba'!$H$30,B3391&lt;='Uang Riba'!$I$30,OR(H3391="Dana riba",H3391="Pinjam uang riba",I3391="Pinjam dari uang riba",I3391="Ganti uang riba",I3391="Kelebihan ganti dikembalikan",AND(C3391="Kantong Uang Riba",G3391="Pengeluaran"))),1,0)</f>
        <v/>
      </c>
      <c r="X3391" s="93">
        <f>IF(AND(B3391&lt;&gt;"",B3391&gt;='Buku Akun'!$H$4,B3391&lt;='Buku Akun'!$H$5,OR(C3391='Buku Akun'!$C$4,AND(D3391="Pindah",E3391='Buku Akun'!$C$4))),B3391+IF(AND(I3391="Selisih bunga",DAY(B3391)=1),0,0.01)+ROW()/10000000,"")</f>
        <v/>
      </c>
    </row>
    <row r="3392" outlineLevel="1" ht="15" customHeight="1" s="94">
      <c r="A3392" s="123">
        <f>IF(B3392="","",ROW()-15)</f>
        <v/>
      </c>
      <c r="B3392" s="124" t="n"/>
      <c r="C3392" s="123" t="n"/>
      <c r="D3392" s="123" t="n"/>
      <c r="E3392" s="123" t="n"/>
      <c r="F3392" s="125" t="n"/>
      <c r="G3392" s="123" t="n"/>
      <c r="H3392" s="123" t="n"/>
      <c r="I3392" s="123" t="n"/>
      <c r="J3392" s="123" t="n"/>
      <c r="K3392" s="123" t="n"/>
      <c r="L3392" s="123" t="n"/>
      <c r="M3392" s="123">
        <f>IF(AND(B3392&lt;&gt;"",OR($C$4="",ISNUMBER(SEARCH($C$4,C3392&amp;" "&amp;E3392&amp;" "&amp;G3392&amp;" "&amp;H3392&amp;" "&amp;I3392&amp;" "&amp;J3392&amp;" "&amp;K3392&amp;" "&amp;L3392))),OR($C$5="Semua",$C$5="",G3392=$C$5),OR($C$6="Semua",$C$6="",H3392=$C$6,H3392="Pengeluaran "&amp;$C$6,AND($C$6="Uang Kos Mama",H3392="Pengeluaran Uang Kos")),OR($C$7="Semua",$C$7="",I3392=$C$7),OR($C$8="Semua",$C$8="",C3392=$C$8,E3392=$C$8),OR($C$9="Semua",$C$9="",D3392=$C$9),OR($C$10="",B3392&gt;=$C$10),OR($C$11="",B3392&lt;=$C$11),OR($C$12&lt;&gt;"Ya",K3392&lt;&gt;""),OR($C$13="Semua",$C$13="",L3392=$C$13)),"✓","")</f>
        <v/>
      </c>
      <c r="N3392" s="93">
        <f>N(N3391)+IF(M3392="✓",1,0)</f>
        <v/>
      </c>
      <c r="O3392" s="93">
        <f>N(O3391)+IF(AND(B3392&lt;&gt;"",B3392&gt;='Uang Riba'!$H$30,B3392&lt;='Uang Riba'!$I$30,OR(H3392="Dana riba",H3392="Pinjam uang riba",I3392="Pinjam dari uang riba",I3392="Ganti uang riba",I3392="Kelebihan ganti dikembalikan",AND(C3392="Kantong Uang Riba",G3392="Pengeluaran"))),1,0)</f>
        <v/>
      </c>
      <c r="X3392" s="93">
        <f>IF(AND(B3392&lt;&gt;"",B3392&gt;='Buku Akun'!$H$4,B3392&lt;='Buku Akun'!$H$5,OR(C3392='Buku Akun'!$C$4,AND(D3392="Pindah",E3392='Buku Akun'!$C$4))),B3392+IF(AND(I3392="Selisih bunga",DAY(B3392)=1),0,0.01)+ROW()/10000000,"")</f>
        <v/>
      </c>
    </row>
    <row r="3393" outlineLevel="1" ht="15" customHeight="1" s="94">
      <c r="A3393" s="123">
        <f>IF(B3393="","",ROW()-15)</f>
        <v/>
      </c>
      <c r="B3393" s="124" t="n"/>
      <c r="C3393" s="123" t="n"/>
      <c r="D3393" s="123" t="n"/>
      <c r="E3393" s="123" t="n"/>
      <c r="F3393" s="125" t="n"/>
      <c r="G3393" s="123" t="n"/>
      <c r="H3393" s="123" t="n"/>
      <c r="I3393" s="123" t="n"/>
      <c r="J3393" s="123" t="n"/>
      <c r="K3393" s="123" t="n"/>
      <c r="L3393" s="123" t="n"/>
      <c r="M3393" s="123">
        <f>IF(AND(B3393&lt;&gt;"",OR($C$4="",ISNUMBER(SEARCH($C$4,C3393&amp;" "&amp;E3393&amp;" "&amp;G3393&amp;" "&amp;H3393&amp;" "&amp;I3393&amp;" "&amp;J3393&amp;" "&amp;K3393&amp;" "&amp;L3393))),OR($C$5="Semua",$C$5="",G3393=$C$5),OR($C$6="Semua",$C$6="",H3393=$C$6,H3393="Pengeluaran "&amp;$C$6,AND($C$6="Uang Kos Mama",H3393="Pengeluaran Uang Kos")),OR($C$7="Semua",$C$7="",I3393=$C$7),OR($C$8="Semua",$C$8="",C3393=$C$8,E3393=$C$8),OR($C$9="Semua",$C$9="",D3393=$C$9),OR($C$10="",B3393&gt;=$C$10),OR($C$11="",B3393&lt;=$C$11),OR($C$12&lt;&gt;"Ya",K3393&lt;&gt;""),OR($C$13="Semua",$C$13="",L3393=$C$13)),"✓","")</f>
        <v/>
      </c>
      <c r="N3393" s="93">
        <f>N(N3392)+IF(M3393="✓",1,0)</f>
        <v/>
      </c>
      <c r="O3393" s="93">
        <f>N(O3392)+IF(AND(B3393&lt;&gt;"",B3393&gt;='Uang Riba'!$H$30,B3393&lt;='Uang Riba'!$I$30,OR(H3393="Dana riba",H3393="Pinjam uang riba",I3393="Pinjam dari uang riba",I3393="Ganti uang riba",I3393="Kelebihan ganti dikembalikan",AND(C3393="Kantong Uang Riba",G3393="Pengeluaran"))),1,0)</f>
        <v/>
      </c>
      <c r="X3393" s="93">
        <f>IF(AND(B3393&lt;&gt;"",B3393&gt;='Buku Akun'!$H$4,B3393&lt;='Buku Akun'!$H$5,OR(C3393='Buku Akun'!$C$4,AND(D3393="Pindah",E3393='Buku Akun'!$C$4))),B3393+IF(AND(I3393="Selisih bunga",DAY(B3393)=1),0,0.01)+ROW()/10000000,"")</f>
        <v/>
      </c>
    </row>
    <row r="3394" outlineLevel="1" ht="15" customHeight="1" s="94">
      <c r="A3394" s="123">
        <f>IF(B3394="","",ROW()-15)</f>
        <v/>
      </c>
      <c r="B3394" s="124" t="n"/>
      <c r="C3394" s="123" t="n"/>
      <c r="D3394" s="123" t="n"/>
      <c r="E3394" s="123" t="n"/>
      <c r="F3394" s="125" t="n"/>
      <c r="G3394" s="123" t="n"/>
      <c r="H3394" s="123" t="n"/>
      <c r="I3394" s="123" t="n"/>
      <c r="J3394" s="123" t="n"/>
      <c r="K3394" s="123" t="n"/>
      <c r="L3394" s="123" t="n"/>
      <c r="M3394" s="123">
        <f>IF(AND(B3394&lt;&gt;"",OR($C$4="",ISNUMBER(SEARCH($C$4,C3394&amp;" "&amp;E3394&amp;" "&amp;G3394&amp;" "&amp;H3394&amp;" "&amp;I3394&amp;" "&amp;J3394&amp;" "&amp;K3394&amp;" "&amp;L3394))),OR($C$5="Semua",$C$5="",G3394=$C$5),OR($C$6="Semua",$C$6="",H3394=$C$6,H3394="Pengeluaran "&amp;$C$6,AND($C$6="Uang Kos Mama",H3394="Pengeluaran Uang Kos")),OR($C$7="Semua",$C$7="",I3394=$C$7),OR($C$8="Semua",$C$8="",C3394=$C$8,E3394=$C$8),OR($C$9="Semua",$C$9="",D3394=$C$9),OR($C$10="",B3394&gt;=$C$10),OR($C$11="",B3394&lt;=$C$11),OR($C$12&lt;&gt;"Ya",K3394&lt;&gt;""),OR($C$13="Semua",$C$13="",L3394=$C$13)),"✓","")</f>
        <v/>
      </c>
      <c r="N3394" s="93">
        <f>N(N3393)+IF(M3394="✓",1,0)</f>
        <v/>
      </c>
      <c r="O3394" s="93">
        <f>N(O3393)+IF(AND(B3394&lt;&gt;"",B3394&gt;='Uang Riba'!$H$30,B3394&lt;='Uang Riba'!$I$30,OR(H3394="Dana riba",H3394="Pinjam uang riba",I3394="Pinjam dari uang riba",I3394="Ganti uang riba",I3394="Kelebihan ganti dikembalikan",AND(C3394="Kantong Uang Riba",G3394="Pengeluaran"))),1,0)</f>
        <v/>
      </c>
      <c r="X3394" s="93">
        <f>IF(AND(B3394&lt;&gt;"",B3394&gt;='Buku Akun'!$H$4,B3394&lt;='Buku Akun'!$H$5,OR(C3394='Buku Akun'!$C$4,AND(D3394="Pindah",E3394='Buku Akun'!$C$4))),B3394+IF(AND(I3394="Selisih bunga",DAY(B3394)=1),0,0.01)+ROW()/10000000,"")</f>
        <v/>
      </c>
    </row>
    <row r="3395" outlineLevel="1" ht="15" customHeight="1" s="94">
      <c r="A3395" s="123">
        <f>IF(B3395="","",ROW()-15)</f>
        <v/>
      </c>
      <c r="B3395" s="124" t="n"/>
      <c r="C3395" s="123" t="n"/>
      <c r="D3395" s="123" t="n"/>
      <c r="E3395" s="123" t="n"/>
      <c r="F3395" s="125" t="n"/>
      <c r="G3395" s="123" t="n"/>
      <c r="H3395" s="123" t="n"/>
      <c r="I3395" s="123" t="n"/>
      <c r="J3395" s="123" t="n"/>
      <c r="K3395" s="123" t="n"/>
      <c r="L3395" s="123" t="n"/>
      <c r="M3395" s="123">
        <f>IF(AND(B3395&lt;&gt;"",OR($C$4="",ISNUMBER(SEARCH($C$4,C3395&amp;" "&amp;E3395&amp;" "&amp;G3395&amp;" "&amp;H3395&amp;" "&amp;I3395&amp;" "&amp;J3395&amp;" "&amp;K3395&amp;" "&amp;L3395))),OR($C$5="Semua",$C$5="",G3395=$C$5),OR($C$6="Semua",$C$6="",H3395=$C$6,H3395="Pengeluaran "&amp;$C$6,AND($C$6="Uang Kos Mama",H3395="Pengeluaran Uang Kos")),OR($C$7="Semua",$C$7="",I3395=$C$7),OR($C$8="Semua",$C$8="",C3395=$C$8,E3395=$C$8),OR($C$9="Semua",$C$9="",D3395=$C$9),OR($C$10="",B3395&gt;=$C$10),OR($C$11="",B3395&lt;=$C$11),OR($C$12&lt;&gt;"Ya",K3395&lt;&gt;""),OR($C$13="Semua",$C$13="",L3395=$C$13)),"✓","")</f>
        <v/>
      </c>
      <c r="N3395" s="93">
        <f>N(N3394)+IF(M3395="✓",1,0)</f>
        <v/>
      </c>
      <c r="O3395" s="93">
        <f>N(O3394)+IF(AND(B3395&lt;&gt;"",B3395&gt;='Uang Riba'!$H$30,B3395&lt;='Uang Riba'!$I$30,OR(H3395="Dana riba",H3395="Pinjam uang riba",I3395="Pinjam dari uang riba",I3395="Ganti uang riba",I3395="Kelebihan ganti dikembalikan",AND(C3395="Kantong Uang Riba",G3395="Pengeluaran"))),1,0)</f>
        <v/>
      </c>
      <c r="X3395" s="93">
        <f>IF(AND(B3395&lt;&gt;"",B3395&gt;='Buku Akun'!$H$4,B3395&lt;='Buku Akun'!$H$5,OR(C3395='Buku Akun'!$C$4,AND(D3395="Pindah",E3395='Buku Akun'!$C$4))),B3395+IF(AND(I3395="Selisih bunga",DAY(B3395)=1),0,0.01)+ROW()/10000000,"")</f>
        <v/>
      </c>
    </row>
    <row r="3396" outlineLevel="1" ht="15" customHeight="1" s="94">
      <c r="A3396" s="123">
        <f>IF(B3396="","",ROW()-15)</f>
        <v/>
      </c>
      <c r="B3396" s="124" t="n"/>
      <c r="C3396" s="123" t="n"/>
      <c r="D3396" s="123" t="n"/>
      <c r="E3396" s="123" t="n"/>
      <c r="F3396" s="125" t="n"/>
      <c r="G3396" s="123" t="n"/>
      <c r="H3396" s="123" t="n"/>
      <c r="I3396" s="123" t="n"/>
      <c r="J3396" s="123" t="n"/>
      <c r="K3396" s="123" t="n"/>
      <c r="L3396" s="123" t="n"/>
      <c r="M3396" s="123">
        <f>IF(AND(B3396&lt;&gt;"",OR($C$4="",ISNUMBER(SEARCH($C$4,C3396&amp;" "&amp;E3396&amp;" "&amp;G3396&amp;" "&amp;H3396&amp;" "&amp;I3396&amp;" "&amp;J3396&amp;" "&amp;K3396&amp;" "&amp;L3396))),OR($C$5="Semua",$C$5="",G3396=$C$5),OR($C$6="Semua",$C$6="",H3396=$C$6,H3396="Pengeluaran "&amp;$C$6,AND($C$6="Uang Kos Mama",H3396="Pengeluaran Uang Kos")),OR($C$7="Semua",$C$7="",I3396=$C$7),OR($C$8="Semua",$C$8="",C3396=$C$8,E3396=$C$8),OR($C$9="Semua",$C$9="",D3396=$C$9),OR($C$10="",B3396&gt;=$C$10),OR($C$11="",B3396&lt;=$C$11),OR($C$12&lt;&gt;"Ya",K3396&lt;&gt;""),OR($C$13="Semua",$C$13="",L3396=$C$13)),"✓","")</f>
        <v/>
      </c>
      <c r="N3396" s="93">
        <f>N(N3395)+IF(M3396="✓",1,0)</f>
        <v/>
      </c>
      <c r="O3396" s="93">
        <f>N(O3395)+IF(AND(B3396&lt;&gt;"",B3396&gt;='Uang Riba'!$H$30,B3396&lt;='Uang Riba'!$I$30,OR(H3396="Dana riba",H3396="Pinjam uang riba",I3396="Pinjam dari uang riba",I3396="Ganti uang riba",I3396="Kelebihan ganti dikembalikan",AND(C3396="Kantong Uang Riba",G3396="Pengeluaran"))),1,0)</f>
        <v/>
      </c>
      <c r="X3396" s="93">
        <f>IF(AND(B3396&lt;&gt;"",B3396&gt;='Buku Akun'!$H$4,B3396&lt;='Buku Akun'!$H$5,OR(C3396='Buku Akun'!$C$4,AND(D3396="Pindah",E3396='Buku Akun'!$C$4))),B3396+IF(AND(I3396="Selisih bunga",DAY(B3396)=1),0,0.01)+ROW()/10000000,"")</f>
        <v/>
      </c>
    </row>
    <row r="3397" outlineLevel="1" ht="15" customHeight="1" s="94">
      <c r="A3397" s="123">
        <f>IF(B3397="","",ROW()-15)</f>
        <v/>
      </c>
      <c r="B3397" s="124" t="n"/>
      <c r="C3397" s="123" t="n"/>
      <c r="D3397" s="123" t="n"/>
      <c r="E3397" s="123" t="n"/>
      <c r="F3397" s="125" t="n"/>
      <c r="G3397" s="123" t="n"/>
      <c r="H3397" s="123" t="n"/>
      <c r="I3397" s="123" t="n"/>
      <c r="J3397" s="123" t="n"/>
      <c r="K3397" s="123" t="n"/>
      <c r="L3397" s="123" t="n"/>
      <c r="M3397" s="123">
        <f>IF(AND(B3397&lt;&gt;"",OR($C$4="",ISNUMBER(SEARCH($C$4,C3397&amp;" "&amp;E3397&amp;" "&amp;G3397&amp;" "&amp;H3397&amp;" "&amp;I3397&amp;" "&amp;J3397&amp;" "&amp;K3397&amp;" "&amp;L3397))),OR($C$5="Semua",$C$5="",G3397=$C$5),OR($C$6="Semua",$C$6="",H3397=$C$6,H3397="Pengeluaran "&amp;$C$6,AND($C$6="Uang Kos Mama",H3397="Pengeluaran Uang Kos")),OR($C$7="Semua",$C$7="",I3397=$C$7),OR($C$8="Semua",$C$8="",C3397=$C$8,E3397=$C$8),OR($C$9="Semua",$C$9="",D3397=$C$9),OR($C$10="",B3397&gt;=$C$10),OR($C$11="",B3397&lt;=$C$11),OR($C$12&lt;&gt;"Ya",K3397&lt;&gt;""),OR($C$13="Semua",$C$13="",L3397=$C$13)),"✓","")</f>
        <v/>
      </c>
      <c r="N3397" s="93">
        <f>N(N3396)+IF(M3397="✓",1,0)</f>
        <v/>
      </c>
      <c r="O3397" s="93">
        <f>N(O3396)+IF(AND(B3397&lt;&gt;"",B3397&gt;='Uang Riba'!$H$30,B3397&lt;='Uang Riba'!$I$30,OR(H3397="Dana riba",H3397="Pinjam uang riba",I3397="Pinjam dari uang riba",I3397="Ganti uang riba",I3397="Kelebihan ganti dikembalikan",AND(C3397="Kantong Uang Riba",G3397="Pengeluaran"))),1,0)</f>
        <v/>
      </c>
      <c r="X3397" s="93">
        <f>IF(AND(B3397&lt;&gt;"",B3397&gt;='Buku Akun'!$H$4,B3397&lt;='Buku Akun'!$H$5,OR(C3397='Buku Akun'!$C$4,AND(D3397="Pindah",E3397='Buku Akun'!$C$4))),B3397+IF(AND(I3397="Selisih bunga",DAY(B3397)=1),0,0.01)+ROW()/10000000,"")</f>
        <v/>
      </c>
    </row>
    <row r="3398" outlineLevel="1" ht="15" customHeight="1" s="94">
      <c r="A3398" s="123">
        <f>IF(B3398="","",ROW()-15)</f>
        <v/>
      </c>
      <c r="B3398" s="124" t="n"/>
      <c r="C3398" s="123" t="n"/>
      <c r="D3398" s="123" t="n"/>
      <c r="E3398" s="123" t="n"/>
      <c r="F3398" s="125" t="n"/>
      <c r="G3398" s="123" t="n"/>
      <c r="H3398" s="123" t="n"/>
      <c r="I3398" s="123" t="n"/>
      <c r="J3398" s="123" t="n"/>
      <c r="K3398" s="123" t="n"/>
      <c r="L3398" s="123" t="n"/>
      <c r="M3398" s="123">
        <f>IF(AND(B3398&lt;&gt;"",OR($C$4="",ISNUMBER(SEARCH($C$4,C3398&amp;" "&amp;E3398&amp;" "&amp;G3398&amp;" "&amp;H3398&amp;" "&amp;I3398&amp;" "&amp;J3398&amp;" "&amp;K3398&amp;" "&amp;L3398))),OR($C$5="Semua",$C$5="",G3398=$C$5),OR($C$6="Semua",$C$6="",H3398=$C$6,H3398="Pengeluaran "&amp;$C$6,AND($C$6="Uang Kos Mama",H3398="Pengeluaran Uang Kos")),OR($C$7="Semua",$C$7="",I3398=$C$7),OR($C$8="Semua",$C$8="",C3398=$C$8,E3398=$C$8),OR($C$9="Semua",$C$9="",D3398=$C$9),OR($C$10="",B3398&gt;=$C$10),OR($C$11="",B3398&lt;=$C$11),OR($C$12&lt;&gt;"Ya",K3398&lt;&gt;""),OR($C$13="Semua",$C$13="",L3398=$C$13)),"✓","")</f>
        <v/>
      </c>
      <c r="N3398" s="93">
        <f>N(N3397)+IF(M3398="✓",1,0)</f>
        <v/>
      </c>
      <c r="O3398" s="93">
        <f>N(O3397)+IF(AND(B3398&lt;&gt;"",B3398&gt;='Uang Riba'!$H$30,B3398&lt;='Uang Riba'!$I$30,OR(H3398="Dana riba",H3398="Pinjam uang riba",I3398="Pinjam dari uang riba",I3398="Ganti uang riba",I3398="Kelebihan ganti dikembalikan",AND(C3398="Kantong Uang Riba",G3398="Pengeluaran"))),1,0)</f>
        <v/>
      </c>
      <c r="X3398" s="93">
        <f>IF(AND(B3398&lt;&gt;"",B3398&gt;='Buku Akun'!$H$4,B3398&lt;='Buku Akun'!$H$5,OR(C3398='Buku Akun'!$C$4,AND(D3398="Pindah",E3398='Buku Akun'!$C$4))),B3398+IF(AND(I3398="Selisih bunga",DAY(B3398)=1),0,0.01)+ROW()/10000000,"")</f>
        <v/>
      </c>
    </row>
    <row r="3399" outlineLevel="1" ht="15" customHeight="1" s="94">
      <c r="A3399" s="123">
        <f>IF(B3399="","",ROW()-15)</f>
        <v/>
      </c>
      <c r="B3399" s="124" t="n"/>
      <c r="C3399" s="123" t="n"/>
      <c r="D3399" s="123" t="n"/>
      <c r="E3399" s="123" t="n"/>
      <c r="F3399" s="125" t="n"/>
      <c r="G3399" s="123" t="n"/>
      <c r="H3399" s="123" t="n"/>
      <c r="I3399" s="123" t="n"/>
      <c r="J3399" s="123" t="n"/>
      <c r="K3399" s="123" t="n"/>
      <c r="L3399" s="123" t="n"/>
      <c r="M3399" s="123">
        <f>IF(AND(B3399&lt;&gt;"",OR($C$4="",ISNUMBER(SEARCH($C$4,C3399&amp;" "&amp;E3399&amp;" "&amp;G3399&amp;" "&amp;H3399&amp;" "&amp;I3399&amp;" "&amp;J3399&amp;" "&amp;K3399&amp;" "&amp;L3399))),OR($C$5="Semua",$C$5="",G3399=$C$5),OR($C$6="Semua",$C$6="",H3399=$C$6,H3399="Pengeluaran "&amp;$C$6,AND($C$6="Uang Kos Mama",H3399="Pengeluaran Uang Kos")),OR($C$7="Semua",$C$7="",I3399=$C$7),OR($C$8="Semua",$C$8="",C3399=$C$8,E3399=$C$8),OR($C$9="Semua",$C$9="",D3399=$C$9),OR($C$10="",B3399&gt;=$C$10),OR($C$11="",B3399&lt;=$C$11),OR($C$12&lt;&gt;"Ya",K3399&lt;&gt;""),OR($C$13="Semua",$C$13="",L3399=$C$13)),"✓","")</f>
        <v/>
      </c>
      <c r="N3399" s="93">
        <f>N(N3398)+IF(M3399="✓",1,0)</f>
        <v/>
      </c>
      <c r="O3399" s="93">
        <f>N(O3398)+IF(AND(B3399&lt;&gt;"",B3399&gt;='Uang Riba'!$H$30,B3399&lt;='Uang Riba'!$I$30,OR(H3399="Dana riba",H3399="Pinjam uang riba",I3399="Pinjam dari uang riba",I3399="Ganti uang riba",I3399="Kelebihan ganti dikembalikan",AND(C3399="Kantong Uang Riba",G3399="Pengeluaran"))),1,0)</f>
        <v/>
      </c>
      <c r="X3399" s="93">
        <f>IF(AND(B3399&lt;&gt;"",B3399&gt;='Buku Akun'!$H$4,B3399&lt;='Buku Akun'!$H$5,OR(C3399='Buku Akun'!$C$4,AND(D3399="Pindah",E3399='Buku Akun'!$C$4))),B3399+IF(AND(I3399="Selisih bunga",DAY(B3399)=1),0,0.01)+ROW()/10000000,"")</f>
        <v/>
      </c>
    </row>
    <row r="3400" outlineLevel="1" ht="15" customHeight="1" s="94">
      <c r="A3400" s="123">
        <f>IF(B3400="","",ROW()-15)</f>
        <v/>
      </c>
      <c r="B3400" s="124" t="n"/>
      <c r="C3400" s="123" t="n"/>
      <c r="D3400" s="123" t="n"/>
      <c r="E3400" s="123" t="n"/>
      <c r="F3400" s="125" t="n"/>
      <c r="G3400" s="123" t="n"/>
      <c r="H3400" s="123" t="n"/>
      <c r="I3400" s="123" t="n"/>
      <c r="J3400" s="123" t="n"/>
      <c r="K3400" s="123" t="n"/>
      <c r="L3400" s="123" t="n"/>
      <c r="M3400" s="123">
        <f>IF(AND(B3400&lt;&gt;"",OR($C$4="",ISNUMBER(SEARCH($C$4,C3400&amp;" "&amp;E3400&amp;" "&amp;G3400&amp;" "&amp;H3400&amp;" "&amp;I3400&amp;" "&amp;J3400&amp;" "&amp;K3400&amp;" "&amp;L3400))),OR($C$5="Semua",$C$5="",G3400=$C$5),OR($C$6="Semua",$C$6="",H3400=$C$6,H3400="Pengeluaran "&amp;$C$6,AND($C$6="Uang Kos Mama",H3400="Pengeluaran Uang Kos")),OR($C$7="Semua",$C$7="",I3400=$C$7),OR($C$8="Semua",$C$8="",C3400=$C$8,E3400=$C$8),OR($C$9="Semua",$C$9="",D3400=$C$9),OR($C$10="",B3400&gt;=$C$10),OR($C$11="",B3400&lt;=$C$11),OR($C$12&lt;&gt;"Ya",K3400&lt;&gt;""),OR($C$13="Semua",$C$13="",L3400=$C$13)),"✓","")</f>
        <v/>
      </c>
      <c r="N3400" s="93">
        <f>N(N3399)+IF(M3400="✓",1,0)</f>
        <v/>
      </c>
      <c r="O3400" s="93">
        <f>N(O3399)+IF(AND(B3400&lt;&gt;"",B3400&gt;='Uang Riba'!$H$30,B3400&lt;='Uang Riba'!$I$30,OR(H3400="Dana riba",H3400="Pinjam uang riba",I3400="Pinjam dari uang riba",I3400="Ganti uang riba",I3400="Kelebihan ganti dikembalikan",AND(C3400="Kantong Uang Riba",G3400="Pengeluaran"))),1,0)</f>
        <v/>
      </c>
      <c r="X3400" s="93">
        <f>IF(AND(B3400&lt;&gt;"",B3400&gt;='Buku Akun'!$H$4,B3400&lt;='Buku Akun'!$H$5,OR(C3400='Buku Akun'!$C$4,AND(D3400="Pindah",E3400='Buku Akun'!$C$4))),B3400+IF(AND(I3400="Selisih bunga",DAY(B3400)=1),0,0.01)+ROW()/10000000,"")</f>
        <v/>
      </c>
    </row>
    <row r="3401" outlineLevel="1" ht="15" customHeight="1" s="94">
      <c r="A3401" s="123">
        <f>IF(B3401="","",ROW()-15)</f>
        <v/>
      </c>
      <c r="B3401" s="124" t="n"/>
      <c r="C3401" s="123" t="n"/>
      <c r="D3401" s="123" t="n"/>
      <c r="E3401" s="123" t="n"/>
      <c r="F3401" s="125" t="n"/>
      <c r="G3401" s="123" t="n"/>
      <c r="H3401" s="123" t="n"/>
      <c r="I3401" s="123" t="n"/>
      <c r="J3401" s="123" t="n"/>
      <c r="K3401" s="123" t="n"/>
      <c r="L3401" s="123" t="n"/>
      <c r="M3401" s="123">
        <f>IF(AND(B3401&lt;&gt;"",OR($C$4="",ISNUMBER(SEARCH($C$4,C3401&amp;" "&amp;E3401&amp;" "&amp;G3401&amp;" "&amp;H3401&amp;" "&amp;I3401&amp;" "&amp;J3401&amp;" "&amp;K3401&amp;" "&amp;L3401))),OR($C$5="Semua",$C$5="",G3401=$C$5),OR($C$6="Semua",$C$6="",H3401=$C$6,H3401="Pengeluaran "&amp;$C$6,AND($C$6="Uang Kos Mama",H3401="Pengeluaran Uang Kos")),OR($C$7="Semua",$C$7="",I3401=$C$7),OR($C$8="Semua",$C$8="",C3401=$C$8,E3401=$C$8),OR($C$9="Semua",$C$9="",D3401=$C$9),OR($C$10="",B3401&gt;=$C$10),OR($C$11="",B3401&lt;=$C$11),OR($C$12&lt;&gt;"Ya",K3401&lt;&gt;""),OR($C$13="Semua",$C$13="",L3401=$C$13)),"✓","")</f>
        <v/>
      </c>
      <c r="N3401" s="93">
        <f>N(N3400)+IF(M3401="✓",1,0)</f>
        <v/>
      </c>
      <c r="O3401" s="93">
        <f>N(O3400)+IF(AND(B3401&lt;&gt;"",B3401&gt;='Uang Riba'!$H$30,B3401&lt;='Uang Riba'!$I$30,OR(H3401="Dana riba",H3401="Pinjam uang riba",I3401="Pinjam dari uang riba",I3401="Ganti uang riba",I3401="Kelebihan ganti dikembalikan",AND(C3401="Kantong Uang Riba",G3401="Pengeluaran"))),1,0)</f>
        <v/>
      </c>
      <c r="X3401" s="93">
        <f>IF(AND(B3401&lt;&gt;"",B3401&gt;='Buku Akun'!$H$4,B3401&lt;='Buku Akun'!$H$5,OR(C3401='Buku Akun'!$C$4,AND(D3401="Pindah",E3401='Buku Akun'!$C$4))),B3401+IF(AND(I3401="Selisih bunga",DAY(B3401)=1),0,0.01)+ROW()/10000000,"")</f>
        <v/>
      </c>
    </row>
    <row r="3402" outlineLevel="1" ht="15" customHeight="1" s="94">
      <c r="A3402" s="123">
        <f>IF(B3402="","",ROW()-15)</f>
        <v/>
      </c>
      <c r="B3402" s="124" t="n"/>
      <c r="C3402" s="123" t="n"/>
      <c r="D3402" s="123" t="n"/>
      <c r="E3402" s="123" t="n"/>
      <c r="F3402" s="125" t="n"/>
      <c r="G3402" s="123" t="n"/>
      <c r="H3402" s="123" t="n"/>
      <c r="I3402" s="123" t="n"/>
      <c r="J3402" s="123" t="n"/>
      <c r="K3402" s="123" t="n"/>
      <c r="L3402" s="123" t="n"/>
      <c r="M3402" s="123">
        <f>IF(AND(B3402&lt;&gt;"",OR($C$4="",ISNUMBER(SEARCH($C$4,C3402&amp;" "&amp;E3402&amp;" "&amp;G3402&amp;" "&amp;H3402&amp;" "&amp;I3402&amp;" "&amp;J3402&amp;" "&amp;K3402&amp;" "&amp;L3402))),OR($C$5="Semua",$C$5="",G3402=$C$5),OR($C$6="Semua",$C$6="",H3402=$C$6,H3402="Pengeluaran "&amp;$C$6,AND($C$6="Uang Kos Mama",H3402="Pengeluaran Uang Kos")),OR($C$7="Semua",$C$7="",I3402=$C$7),OR($C$8="Semua",$C$8="",C3402=$C$8,E3402=$C$8),OR($C$9="Semua",$C$9="",D3402=$C$9),OR($C$10="",B3402&gt;=$C$10),OR($C$11="",B3402&lt;=$C$11),OR($C$12&lt;&gt;"Ya",K3402&lt;&gt;""),OR($C$13="Semua",$C$13="",L3402=$C$13)),"✓","")</f>
        <v/>
      </c>
      <c r="N3402" s="93">
        <f>N(N3401)+IF(M3402="✓",1,0)</f>
        <v/>
      </c>
      <c r="O3402" s="93">
        <f>N(O3401)+IF(AND(B3402&lt;&gt;"",B3402&gt;='Uang Riba'!$H$30,B3402&lt;='Uang Riba'!$I$30,OR(H3402="Dana riba",H3402="Pinjam uang riba",I3402="Pinjam dari uang riba",I3402="Ganti uang riba",I3402="Kelebihan ganti dikembalikan",AND(C3402="Kantong Uang Riba",G3402="Pengeluaran"))),1,0)</f>
        <v/>
      </c>
      <c r="X3402" s="93">
        <f>IF(AND(B3402&lt;&gt;"",B3402&gt;='Buku Akun'!$H$4,B3402&lt;='Buku Akun'!$H$5,OR(C3402='Buku Akun'!$C$4,AND(D3402="Pindah",E3402='Buku Akun'!$C$4))),B3402+IF(AND(I3402="Selisih bunga",DAY(B3402)=1),0,0.01)+ROW()/10000000,"")</f>
        <v/>
      </c>
    </row>
    <row r="3403" outlineLevel="1" ht="15" customHeight="1" s="94">
      <c r="A3403" s="123">
        <f>IF(B3403="","",ROW()-15)</f>
        <v/>
      </c>
      <c r="B3403" s="124" t="n"/>
      <c r="C3403" s="123" t="n"/>
      <c r="D3403" s="123" t="n"/>
      <c r="E3403" s="123" t="n"/>
      <c r="F3403" s="125" t="n"/>
      <c r="G3403" s="123" t="n"/>
      <c r="H3403" s="123" t="n"/>
      <c r="I3403" s="123" t="n"/>
      <c r="J3403" s="123" t="n"/>
      <c r="K3403" s="123" t="n"/>
      <c r="L3403" s="123" t="n"/>
      <c r="M3403" s="123">
        <f>IF(AND(B3403&lt;&gt;"",OR($C$4="",ISNUMBER(SEARCH($C$4,C3403&amp;" "&amp;E3403&amp;" "&amp;G3403&amp;" "&amp;H3403&amp;" "&amp;I3403&amp;" "&amp;J3403&amp;" "&amp;K3403&amp;" "&amp;L3403))),OR($C$5="Semua",$C$5="",G3403=$C$5),OR($C$6="Semua",$C$6="",H3403=$C$6,H3403="Pengeluaran "&amp;$C$6,AND($C$6="Uang Kos Mama",H3403="Pengeluaran Uang Kos")),OR($C$7="Semua",$C$7="",I3403=$C$7),OR($C$8="Semua",$C$8="",C3403=$C$8,E3403=$C$8),OR($C$9="Semua",$C$9="",D3403=$C$9),OR($C$10="",B3403&gt;=$C$10),OR($C$11="",B3403&lt;=$C$11),OR($C$12&lt;&gt;"Ya",K3403&lt;&gt;""),OR($C$13="Semua",$C$13="",L3403=$C$13)),"✓","")</f>
        <v/>
      </c>
      <c r="N3403" s="93">
        <f>N(N3402)+IF(M3403="✓",1,0)</f>
        <v/>
      </c>
      <c r="O3403" s="93">
        <f>N(O3402)+IF(AND(B3403&lt;&gt;"",B3403&gt;='Uang Riba'!$H$30,B3403&lt;='Uang Riba'!$I$30,OR(H3403="Dana riba",H3403="Pinjam uang riba",I3403="Pinjam dari uang riba",I3403="Ganti uang riba",I3403="Kelebihan ganti dikembalikan",AND(C3403="Kantong Uang Riba",G3403="Pengeluaran"))),1,0)</f>
        <v/>
      </c>
      <c r="X3403" s="93">
        <f>IF(AND(B3403&lt;&gt;"",B3403&gt;='Buku Akun'!$H$4,B3403&lt;='Buku Akun'!$H$5,OR(C3403='Buku Akun'!$C$4,AND(D3403="Pindah",E3403='Buku Akun'!$C$4))),B3403+IF(AND(I3403="Selisih bunga",DAY(B3403)=1),0,0.01)+ROW()/10000000,"")</f>
        <v/>
      </c>
    </row>
    <row r="3404" outlineLevel="1" ht="15" customHeight="1" s="94">
      <c r="A3404" s="123">
        <f>IF(B3404="","",ROW()-15)</f>
        <v/>
      </c>
      <c r="B3404" s="124" t="n"/>
      <c r="C3404" s="123" t="n"/>
      <c r="D3404" s="123" t="n"/>
      <c r="E3404" s="123" t="n"/>
      <c r="F3404" s="125" t="n"/>
      <c r="G3404" s="123" t="n"/>
      <c r="H3404" s="123" t="n"/>
      <c r="I3404" s="123" t="n"/>
      <c r="J3404" s="123" t="n"/>
      <c r="K3404" s="123" t="n"/>
      <c r="L3404" s="123" t="n"/>
      <c r="M3404" s="123">
        <f>IF(AND(B3404&lt;&gt;"",OR($C$4="",ISNUMBER(SEARCH($C$4,C3404&amp;" "&amp;E3404&amp;" "&amp;G3404&amp;" "&amp;H3404&amp;" "&amp;I3404&amp;" "&amp;J3404&amp;" "&amp;K3404&amp;" "&amp;L3404))),OR($C$5="Semua",$C$5="",G3404=$C$5),OR($C$6="Semua",$C$6="",H3404=$C$6,H3404="Pengeluaran "&amp;$C$6,AND($C$6="Uang Kos Mama",H3404="Pengeluaran Uang Kos")),OR($C$7="Semua",$C$7="",I3404=$C$7),OR($C$8="Semua",$C$8="",C3404=$C$8,E3404=$C$8),OR($C$9="Semua",$C$9="",D3404=$C$9),OR($C$10="",B3404&gt;=$C$10),OR($C$11="",B3404&lt;=$C$11),OR($C$12&lt;&gt;"Ya",K3404&lt;&gt;""),OR($C$13="Semua",$C$13="",L3404=$C$13)),"✓","")</f>
        <v/>
      </c>
      <c r="N3404" s="93">
        <f>N(N3403)+IF(M3404="✓",1,0)</f>
        <v/>
      </c>
      <c r="O3404" s="93">
        <f>N(O3403)+IF(AND(B3404&lt;&gt;"",B3404&gt;='Uang Riba'!$H$30,B3404&lt;='Uang Riba'!$I$30,OR(H3404="Dana riba",H3404="Pinjam uang riba",I3404="Pinjam dari uang riba",I3404="Ganti uang riba",I3404="Kelebihan ganti dikembalikan",AND(C3404="Kantong Uang Riba",G3404="Pengeluaran"))),1,0)</f>
        <v/>
      </c>
      <c r="X3404" s="93">
        <f>IF(AND(B3404&lt;&gt;"",B3404&gt;='Buku Akun'!$H$4,B3404&lt;='Buku Akun'!$H$5,OR(C3404='Buku Akun'!$C$4,AND(D3404="Pindah",E3404='Buku Akun'!$C$4))),B3404+IF(AND(I3404="Selisih bunga",DAY(B3404)=1),0,0.01)+ROW()/10000000,"")</f>
        <v/>
      </c>
    </row>
    <row r="3405" outlineLevel="1" ht="15" customHeight="1" s="94">
      <c r="A3405" s="123">
        <f>IF(B3405="","",ROW()-15)</f>
        <v/>
      </c>
      <c r="B3405" s="124" t="n"/>
      <c r="C3405" s="123" t="n"/>
      <c r="D3405" s="123" t="n"/>
      <c r="E3405" s="123" t="n"/>
      <c r="F3405" s="125" t="n"/>
      <c r="G3405" s="123" t="n"/>
      <c r="H3405" s="123" t="n"/>
      <c r="I3405" s="123" t="n"/>
      <c r="J3405" s="123" t="n"/>
      <c r="K3405" s="123" t="n"/>
      <c r="L3405" s="123" t="n"/>
      <c r="M3405" s="123">
        <f>IF(AND(B3405&lt;&gt;"",OR($C$4="",ISNUMBER(SEARCH($C$4,C3405&amp;" "&amp;E3405&amp;" "&amp;G3405&amp;" "&amp;H3405&amp;" "&amp;I3405&amp;" "&amp;J3405&amp;" "&amp;K3405&amp;" "&amp;L3405))),OR($C$5="Semua",$C$5="",G3405=$C$5),OR($C$6="Semua",$C$6="",H3405=$C$6,H3405="Pengeluaran "&amp;$C$6,AND($C$6="Uang Kos Mama",H3405="Pengeluaran Uang Kos")),OR($C$7="Semua",$C$7="",I3405=$C$7),OR($C$8="Semua",$C$8="",C3405=$C$8,E3405=$C$8),OR($C$9="Semua",$C$9="",D3405=$C$9),OR($C$10="",B3405&gt;=$C$10),OR($C$11="",B3405&lt;=$C$11),OR($C$12&lt;&gt;"Ya",K3405&lt;&gt;""),OR($C$13="Semua",$C$13="",L3405=$C$13)),"✓","")</f>
        <v/>
      </c>
      <c r="N3405" s="93">
        <f>N(N3404)+IF(M3405="✓",1,0)</f>
        <v/>
      </c>
      <c r="O3405" s="93">
        <f>N(O3404)+IF(AND(B3405&lt;&gt;"",B3405&gt;='Uang Riba'!$H$30,B3405&lt;='Uang Riba'!$I$30,OR(H3405="Dana riba",H3405="Pinjam uang riba",I3405="Pinjam dari uang riba",I3405="Ganti uang riba",I3405="Kelebihan ganti dikembalikan",AND(C3405="Kantong Uang Riba",G3405="Pengeluaran"))),1,0)</f>
        <v/>
      </c>
      <c r="X3405" s="93">
        <f>IF(AND(B3405&lt;&gt;"",B3405&gt;='Buku Akun'!$H$4,B3405&lt;='Buku Akun'!$H$5,OR(C3405='Buku Akun'!$C$4,AND(D3405="Pindah",E3405='Buku Akun'!$C$4))),B3405+IF(AND(I3405="Selisih bunga",DAY(B3405)=1),0,0.01)+ROW()/10000000,"")</f>
        <v/>
      </c>
    </row>
    <row r="3406" outlineLevel="1" ht="15" customHeight="1" s="94">
      <c r="A3406" s="123">
        <f>IF(B3406="","",ROW()-15)</f>
        <v/>
      </c>
      <c r="B3406" s="124" t="n"/>
      <c r="C3406" s="123" t="n"/>
      <c r="D3406" s="123" t="n"/>
      <c r="E3406" s="123" t="n"/>
      <c r="F3406" s="125" t="n"/>
      <c r="G3406" s="123" t="n"/>
      <c r="H3406" s="123" t="n"/>
      <c r="I3406" s="123" t="n"/>
      <c r="J3406" s="123" t="n"/>
      <c r="K3406" s="123" t="n"/>
      <c r="L3406" s="123" t="n"/>
      <c r="M3406" s="123">
        <f>IF(AND(B3406&lt;&gt;"",OR($C$4="",ISNUMBER(SEARCH($C$4,C3406&amp;" "&amp;E3406&amp;" "&amp;G3406&amp;" "&amp;H3406&amp;" "&amp;I3406&amp;" "&amp;J3406&amp;" "&amp;K3406&amp;" "&amp;L3406))),OR($C$5="Semua",$C$5="",G3406=$C$5),OR($C$6="Semua",$C$6="",H3406=$C$6,H3406="Pengeluaran "&amp;$C$6,AND($C$6="Uang Kos Mama",H3406="Pengeluaran Uang Kos")),OR($C$7="Semua",$C$7="",I3406=$C$7),OR($C$8="Semua",$C$8="",C3406=$C$8,E3406=$C$8),OR($C$9="Semua",$C$9="",D3406=$C$9),OR($C$10="",B3406&gt;=$C$10),OR($C$11="",B3406&lt;=$C$11),OR($C$12&lt;&gt;"Ya",K3406&lt;&gt;""),OR($C$13="Semua",$C$13="",L3406=$C$13)),"✓","")</f>
        <v/>
      </c>
      <c r="N3406" s="93">
        <f>N(N3405)+IF(M3406="✓",1,0)</f>
        <v/>
      </c>
      <c r="O3406" s="93">
        <f>N(O3405)+IF(AND(B3406&lt;&gt;"",B3406&gt;='Uang Riba'!$H$30,B3406&lt;='Uang Riba'!$I$30,OR(H3406="Dana riba",H3406="Pinjam uang riba",I3406="Pinjam dari uang riba",I3406="Ganti uang riba",I3406="Kelebihan ganti dikembalikan",AND(C3406="Kantong Uang Riba",G3406="Pengeluaran"))),1,0)</f>
        <v/>
      </c>
      <c r="X3406" s="93">
        <f>IF(AND(B3406&lt;&gt;"",B3406&gt;='Buku Akun'!$H$4,B3406&lt;='Buku Akun'!$H$5,OR(C3406='Buku Akun'!$C$4,AND(D3406="Pindah",E3406='Buku Akun'!$C$4))),B3406+IF(AND(I3406="Selisih bunga",DAY(B3406)=1),0,0.01)+ROW()/10000000,"")</f>
        <v/>
      </c>
    </row>
    <row r="3407" outlineLevel="1" ht="15" customHeight="1" s="94">
      <c r="A3407" s="123">
        <f>IF(B3407="","",ROW()-15)</f>
        <v/>
      </c>
      <c r="B3407" s="124" t="n"/>
      <c r="C3407" s="123" t="n"/>
      <c r="D3407" s="123" t="n"/>
      <c r="E3407" s="123" t="n"/>
      <c r="F3407" s="125" t="n"/>
      <c r="G3407" s="123" t="n"/>
      <c r="H3407" s="123" t="n"/>
      <c r="I3407" s="123" t="n"/>
      <c r="J3407" s="123" t="n"/>
      <c r="K3407" s="123" t="n"/>
      <c r="L3407" s="123" t="n"/>
      <c r="M3407" s="123">
        <f>IF(AND(B3407&lt;&gt;"",OR($C$4="",ISNUMBER(SEARCH($C$4,C3407&amp;" "&amp;E3407&amp;" "&amp;G3407&amp;" "&amp;H3407&amp;" "&amp;I3407&amp;" "&amp;J3407&amp;" "&amp;K3407&amp;" "&amp;L3407))),OR($C$5="Semua",$C$5="",G3407=$C$5),OR($C$6="Semua",$C$6="",H3407=$C$6,H3407="Pengeluaran "&amp;$C$6,AND($C$6="Uang Kos Mama",H3407="Pengeluaran Uang Kos")),OR($C$7="Semua",$C$7="",I3407=$C$7),OR($C$8="Semua",$C$8="",C3407=$C$8,E3407=$C$8),OR($C$9="Semua",$C$9="",D3407=$C$9),OR($C$10="",B3407&gt;=$C$10),OR($C$11="",B3407&lt;=$C$11),OR($C$12&lt;&gt;"Ya",K3407&lt;&gt;""),OR($C$13="Semua",$C$13="",L3407=$C$13)),"✓","")</f>
        <v/>
      </c>
      <c r="N3407" s="93">
        <f>N(N3406)+IF(M3407="✓",1,0)</f>
        <v/>
      </c>
      <c r="O3407" s="93">
        <f>N(O3406)+IF(AND(B3407&lt;&gt;"",B3407&gt;='Uang Riba'!$H$30,B3407&lt;='Uang Riba'!$I$30,OR(H3407="Dana riba",H3407="Pinjam uang riba",I3407="Pinjam dari uang riba",I3407="Ganti uang riba",I3407="Kelebihan ganti dikembalikan",AND(C3407="Kantong Uang Riba",G3407="Pengeluaran"))),1,0)</f>
        <v/>
      </c>
      <c r="X3407" s="93">
        <f>IF(AND(B3407&lt;&gt;"",B3407&gt;='Buku Akun'!$H$4,B3407&lt;='Buku Akun'!$H$5,OR(C3407='Buku Akun'!$C$4,AND(D3407="Pindah",E3407='Buku Akun'!$C$4))),B3407+IF(AND(I3407="Selisih bunga",DAY(B3407)=1),0,0.01)+ROW()/10000000,"")</f>
        <v/>
      </c>
    </row>
    <row r="3408" outlineLevel="1" ht="15" customHeight="1" s="94">
      <c r="A3408" s="123">
        <f>IF(B3408="","",ROW()-15)</f>
        <v/>
      </c>
      <c r="B3408" s="124" t="n"/>
      <c r="C3408" s="123" t="n"/>
      <c r="D3408" s="123" t="n"/>
      <c r="E3408" s="123" t="n"/>
      <c r="F3408" s="125" t="n"/>
      <c r="G3408" s="123" t="n"/>
      <c r="H3408" s="123" t="n"/>
      <c r="I3408" s="123" t="n"/>
      <c r="J3408" s="123" t="n"/>
      <c r="K3408" s="123" t="n"/>
      <c r="L3408" s="123" t="n"/>
      <c r="M3408" s="123">
        <f>IF(AND(B3408&lt;&gt;"",OR($C$4="",ISNUMBER(SEARCH($C$4,C3408&amp;" "&amp;E3408&amp;" "&amp;G3408&amp;" "&amp;H3408&amp;" "&amp;I3408&amp;" "&amp;J3408&amp;" "&amp;K3408&amp;" "&amp;L3408))),OR($C$5="Semua",$C$5="",G3408=$C$5),OR($C$6="Semua",$C$6="",H3408=$C$6,H3408="Pengeluaran "&amp;$C$6,AND($C$6="Uang Kos Mama",H3408="Pengeluaran Uang Kos")),OR($C$7="Semua",$C$7="",I3408=$C$7),OR($C$8="Semua",$C$8="",C3408=$C$8,E3408=$C$8),OR($C$9="Semua",$C$9="",D3408=$C$9),OR($C$10="",B3408&gt;=$C$10),OR($C$11="",B3408&lt;=$C$11),OR($C$12&lt;&gt;"Ya",K3408&lt;&gt;""),OR($C$13="Semua",$C$13="",L3408=$C$13)),"✓","")</f>
        <v/>
      </c>
      <c r="N3408" s="93">
        <f>N(N3407)+IF(M3408="✓",1,0)</f>
        <v/>
      </c>
      <c r="O3408" s="93">
        <f>N(O3407)+IF(AND(B3408&lt;&gt;"",B3408&gt;='Uang Riba'!$H$30,B3408&lt;='Uang Riba'!$I$30,OR(H3408="Dana riba",H3408="Pinjam uang riba",I3408="Pinjam dari uang riba",I3408="Ganti uang riba",I3408="Kelebihan ganti dikembalikan",AND(C3408="Kantong Uang Riba",G3408="Pengeluaran"))),1,0)</f>
        <v/>
      </c>
      <c r="X3408" s="93">
        <f>IF(AND(B3408&lt;&gt;"",B3408&gt;='Buku Akun'!$H$4,B3408&lt;='Buku Akun'!$H$5,OR(C3408='Buku Akun'!$C$4,AND(D3408="Pindah",E3408='Buku Akun'!$C$4))),B3408+IF(AND(I3408="Selisih bunga",DAY(B3408)=1),0,0.01)+ROW()/10000000,"")</f>
        <v/>
      </c>
    </row>
    <row r="3409" outlineLevel="1" ht="15" customHeight="1" s="94">
      <c r="A3409" s="123">
        <f>IF(B3409="","",ROW()-15)</f>
        <v/>
      </c>
      <c r="B3409" s="124" t="n"/>
      <c r="C3409" s="123" t="n"/>
      <c r="D3409" s="123" t="n"/>
      <c r="E3409" s="123" t="n"/>
      <c r="F3409" s="125" t="n"/>
      <c r="G3409" s="123" t="n"/>
      <c r="H3409" s="123" t="n"/>
      <c r="I3409" s="123" t="n"/>
      <c r="J3409" s="123" t="n"/>
      <c r="K3409" s="123" t="n"/>
      <c r="L3409" s="123" t="n"/>
      <c r="M3409" s="123">
        <f>IF(AND(B3409&lt;&gt;"",OR($C$4="",ISNUMBER(SEARCH($C$4,C3409&amp;" "&amp;E3409&amp;" "&amp;G3409&amp;" "&amp;H3409&amp;" "&amp;I3409&amp;" "&amp;J3409&amp;" "&amp;K3409&amp;" "&amp;L3409))),OR($C$5="Semua",$C$5="",G3409=$C$5),OR($C$6="Semua",$C$6="",H3409=$C$6,H3409="Pengeluaran "&amp;$C$6,AND($C$6="Uang Kos Mama",H3409="Pengeluaran Uang Kos")),OR($C$7="Semua",$C$7="",I3409=$C$7),OR($C$8="Semua",$C$8="",C3409=$C$8,E3409=$C$8),OR($C$9="Semua",$C$9="",D3409=$C$9),OR($C$10="",B3409&gt;=$C$10),OR($C$11="",B3409&lt;=$C$11),OR($C$12&lt;&gt;"Ya",K3409&lt;&gt;""),OR($C$13="Semua",$C$13="",L3409=$C$13)),"✓","")</f>
        <v/>
      </c>
      <c r="N3409" s="93">
        <f>N(N3408)+IF(M3409="✓",1,0)</f>
        <v/>
      </c>
      <c r="O3409" s="93">
        <f>N(O3408)+IF(AND(B3409&lt;&gt;"",B3409&gt;='Uang Riba'!$H$30,B3409&lt;='Uang Riba'!$I$30,OR(H3409="Dana riba",H3409="Pinjam uang riba",I3409="Pinjam dari uang riba",I3409="Ganti uang riba",I3409="Kelebihan ganti dikembalikan",AND(C3409="Kantong Uang Riba",G3409="Pengeluaran"))),1,0)</f>
        <v/>
      </c>
      <c r="X3409" s="93">
        <f>IF(AND(B3409&lt;&gt;"",B3409&gt;='Buku Akun'!$H$4,B3409&lt;='Buku Akun'!$H$5,OR(C3409='Buku Akun'!$C$4,AND(D3409="Pindah",E3409='Buku Akun'!$C$4))),B3409+IF(AND(I3409="Selisih bunga",DAY(B3409)=1),0,0.01)+ROW()/10000000,"")</f>
        <v/>
      </c>
    </row>
    <row r="3410" outlineLevel="1" ht="15" customHeight="1" s="94">
      <c r="A3410" s="123">
        <f>IF(B3410="","",ROW()-15)</f>
        <v/>
      </c>
      <c r="B3410" s="124" t="n"/>
      <c r="C3410" s="123" t="n"/>
      <c r="D3410" s="123" t="n"/>
      <c r="E3410" s="123" t="n"/>
      <c r="F3410" s="125" t="n"/>
      <c r="G3410" s="123" t="n"/>
      <c r="H3410" s="123" t="n"/>
      <c r="I3410" s="123" t="n"/>
      <c r="J3410" s="123" t="n"/>
      <c r="K3410" s="123" t="n"/>
      <c r="L3410" s="123" t="n"/>
      <c r="M3410" s="123">
        <f>IF(AND(B3410&lt;&gt;"",OR($C$4="",ISNUMBER(SEARCH($C$4,C3410&amp;" "&amp;E3410&amp;" "&amp;G3410&amp;" "&amp;H3410&amp;" "&amp;I3410&amp;" "&amp;J3410&amp;" "&amp;K3410&amp;" "&amp;L3410))),OR($C$5="Semua",$C$5="",G3410=$C$5),OR($C$6="Semua",$C$6="",H3410=$C$6,H3410="Pengeluaran "&amp;$C$6,AND($C$6="Uang Kos Mama",H3410="Pengeluaran Uang Kos")),OR($C$7="Semua",$C$7="",I3410=$C$7),OR($C$8="Semua",$C$8="",C3410=$C$8,E3410=$C$8),OR($C$9="Semua",$C$9="",D3410=$C$9),OR($C$10="",B3410&gt;=$C$10),OR($C$11="",B3410&lt;=$C$11),OR($C$12&lt;&gt;"Ya",K3410&lt;&gt;""),OR($C$13="Semua",$C$13="",L3410=$C$13)),"✓","")</f>
        <v/>
      </c>
      <c r="N3410" s="93">
        <f>N(N3409)+IF(M3410="✓",1,0)</f>
        <v/>
      </c>
      <c r="O3410" s="93">
        <f>N(O3409)+IF(AND(B3410&lt;&gt;"",B3410&gt;='Uang Riba'!$H$30,B3410&lt;='Uang Riba'!$I$30,OR(H3410="Dana riba",H3410="Pinjam uang riba",I3410="Pinjam dari uang riba",I3410="Ganti uang riba",I3410="Kelebihan ganti dikembalikan",AND(C3410="Kantong Uang Riba",G3410="Pengeluaran"))),1,0)</f>
        <v/>
      </c>
      <c r="X3410" s="93">
        <f>IF(AND(B3410&lt;&gt;"",B3410&gt;='Buku Akun'!$H$4,B3410&lt;='Buku Akun'!$H$5,OR(C3410='Buku Akun'!$C$4,AND(D3410="Pindah",E3410='Buku Akun'!$C$4))),B3410+IF(AND(I3410="Selisih bunga",DAY(B3410)=1),0,0.01)+ROW()/10000000,"")</f>
        <v/>
      </c>
    </row>
    <row r="3411" outlineLevel="1" ht="15" customHeight="1" s="94">
      <c r="A3411" s="123">
        <f>IF(B3411="","",ROW()-15)</f>
        <v/>
      </c>
      <c r="B3411" s="124" t="n"/>
      <c r="C3411" s="123" t="n"/>
      <c r="D3411" s="123" t="n"/>
      <c r="E3411" s="123" t="n"/>
      <c r="F3411" s="125" t="n"/>
      <c r="G3411" s="123" t="n"/>
      <c r="H3411" s="123" t="n"/>
      <c r="I3411" s="123" t="n"/>
      <c r="J3411" s="123" t="n"/>
      <c r="K3411" s="123" t="n"/>
      <c r="L3411" s="123" t="n"/>
      <c r="M3411" s="123">
        <f>IF(AND(B3411&lt;&gt;"",OR($C$4="",ISNUMBER(SEARCH($C$4,C3411&amp;" "&amp;E3411&amp;" "&amp;G3411&amp;" "&amp;H3411&amp;" "&amp;I3411&amp;" "&amp;J3411&amp;" "&amp;K3411&amp;" "&amp;L3411))),OR($C$5="Semua",$C$5="",G3411=$C$5),OR($C$6="Semua",$C$6="",H3411=$C$6,H3411="Pengeluaran "&amp;$C$6,AND($C$6="Uang Kos Mama",H3411="Pengeluaran Uang Kos")),OR($C$7="Semua",$C$7="",I3411=$C$7),OR($C$8="Semua",$C$8="",C3411=$C$8,E3411=$C$8),OR($C$9="Semua",$C$9="",D3411=$C$9),OR($C$10="",B3411&gt;=$C$10),OR($C$11="",B3411&lt;=$C$11),OR($C$12&lt;&gt;"Ya",K3411&lt;&gt;""),OR($C$13="Semua",$C$13="",L3411=$C$13)),"✓","")</f>
        <v/>
      </c>
      <c r="N3411" s="93">
        <f>N(N3410)+IF(M3411="✓",1,0)</f>
        <v/>
      </c>
      <c r="O3411" s="93">
        <f>N(O3410)+IF(AND(B3411&lt;&gt;"",B3411&gt;='Uang Riba'!$H$30,B3411&lt;='Uang Riba'!$I$30,OR(H3411="Dana riba",H3411="Pinjam uang riba",I3411="Pinjam dari uang riba",I3411="Ganti uang riba",I3411="Kelebihan ganti dikembalikan",AND(C3411="Kantong Uang Riba",G3411="Pengeluaran"))),1,0)</f>
        <v/>
      </c>
      <c r="X3411" s="93">
        <f>IF(AND(B3411&lt;&gt;"",B3411&gt;='Buku Akun'!$H$4,B3411&lt;='Buku Akun'!$H$5,OR(C3411='Buku Akun'!$C$4,AND(D3411="Pindah",E3411='Buku Akun'!$C$4))),B3411+IF(AND(I3411="Selisih bunga",DAY(B3411)=1),0,0.01)+ROW()/10000000,"")</f>
        <v/>
      </c>
    </row>
    <row r="3412" outlineLevel="1" ht="15" customHeight="1" s="94">
      <c r="A3412" s="123">
        <f>IF(B3412="","",ROW()-15)</f>
        <v/>
      </c>
      <c r="B3412" s="124" t="n"/>
      <c r="C3412" s="123" t="n"/>
      <c r="D3412" s="123" t="n"/>
      <c r="E3412" s="123" t="n"/>
      <c r="F3412" s="125" t="n"/>
      <c r="G3412" s="123" t="n"/>
      <c r="H3412" s="123" t="n"/>
      <c r="I3412" s="123" t="n"/>
      <c r="J3412" s="123" t="n"/>
      <c r="K3412" s="123" t="n"/>
      <c r="L3412" s="123" t="n"/>
      <c r="M3412" s="123">
        <f>IF(AND(B3412&lt;&gt;"",OR($C$4="",ISNUMBER(SEARCH($C$4,C3412&amp;" "&amp;E3412&amp;" "&amp;G3412&amp;" "&amp;H3412&amp;" "&amp;I3412&amp;" "&amp;J3412&amp;" "&amp;K3412&amp;" "&amp;L3412))),OR($C$5="Semua",$C$5="",G3412=$C$5),OR($C$6="Semua",$C$6="",H3412=$C$6,H3412="Pengeluaran "&amp;$C$6,AND($C$6="Uang Kos Mama",H3412="Pengeluaran Uang Kos")),OR($C$7="Semua",$C$7="",I3412=$C$7),OR($C$8="Semua",$C$8="",C3412=$C$8,E3412=$C$8),OR($C$9="Semua",$C$9="",D3412=$C$9),OR($C$10="",B3412&gt;=$C$10),OR($C$11="",B3412&lt;=$C$11),OR($C$12&lt;&gt;"Ya",K3412&lt;&gt;""),OR($C$13="Semua",$C$13="",L3412=$C$13)),"✓","")</f>
        <v/>
      </c>
      <c r="N3412" s="93">
        <f>N(N3411)+IF(M3412="✓",1,0)</f>
        <v/>
      </c>
      <c r="O3412" s="93">
        <f>N(O3411)+IF(AND(B3412&lt;&gt;"",B3412&gt;='Uang Riba'!$H$30,B3412&lt;='Uang Riba'!$I$30,OR(H3412="Dana riba",H3412="Pinjam uang riba",I3412="Pinjam dari uang riba",I3412="Ganti uang riba",I3412="Kelebihan ganti dikembalikan",AND(C3412="Kantong Uang Riba",G3412="Pengeluaran"))),1,0)</f>
        <v/>
      </c>
      <c r="X3412" s="93">
        <f>IF(AND(B3412&lt;&gt;"",B3412&gt;='Buku Akun'!$H$4,B3412&lt;='Buku Akun'!$H$5,OR(C3412='Buku Akun'!$C$4,AND(D3412="Pindah",E3412='Buku Akun'!$C$4))),B3412+IF(AND(I3412="Selisih bunga",DAY(B3412)=1),0,0.01)+ROW()/10000000,"")</f>
        <v/>
      </c>
    </row>
    <row r="3413" outlineLevel="1" ht="15" customHeight="1" s="94">
      <c r="A3413" s="123">
        <f>IF(B3413="","",ROW()-15)</f>
        <v/>
      </c>
      <c r="B3413" s="124" t="n"/>
      <c r="C3413" s="123" t="n"/>
      <c r="D3413" s="123" t="n"/>
      <c r="E3413" s="123" t="n"/>
      <c r="F3413" s="125" t="n"/>
      <c r="G3413" s="123" t="n"/>
      <c r="H3413" s="123" t="n"/>
      <c r="I3413" s="123" t="n"/>
      <c r="J3413" s="123" t="n"/>
      <c r="K3413" s="123" t="n"/>
      <c r="L3413" s="123" t="n"/>
      <c r="M3413" s="123">
        <f>IF(AND(B3413&lt;&gt;"",OR($C$4="",ISNUMBER(SEARCH($C$4,C3413&amp;" "&amp;E3413&amp;" "&amp;G3413&amp;" "&amp;H3413&amp;" "&amp;I3413&amp;" "&amp;J3413&amp;" "&amp;K3413&amp;" "&amp;L3413))),OR($C$5="Semua",$C$5="",G3413=$C$5),OR($C$6="Semua",$C$6="",H3413=$C$6,H3413="Pengeluaran "&amp;$C$6,AND($C$6="Uang Kos Mama",H3413="Pengeluaran Uang Kos")),OR($C$7="Semua",$C$7="",I3413=$C$7),OR($C$8="Semua",$C$8="",C3413=$C$8,E3413=$C$8),OR($C$9="Semua",$C$9="",D3413=$C$9),OR($C$10="",B3413&gt;=$C$10),OR($C$11="",B3413&lt;=$C$11),OR($C$12&lt;&gt;"Ya",K3413&lt;&gt;""),OR($C$13="Semua",$C$13="",L3413=$C$13)),"✓","")</f>
        <v/>
      </c>
      <c r="N3413" s="93">
        <f>N(N3412)+IF(M3413="✓",1,0)</f>
        <v/>
      </c>
      <c r="O3413" s="93">
        <f>N(O3412)+IF(AND(B3413&lt;&gt;"",B3413&gt;='Uang Riba'!$H$30,B3413&lt;='Uang Riba'!$I$30,OR(H3413="Dana riba",H3413="Pinjam uang riba",I3413="Pinjam dari uang riba",I3413="Ganti uang riba",I3413="Kelebihan ganti dikembalikan",AND(C3413="Kantong Uang Riba",G3413="Pengeluaran"))),1,0)</f>
        <v/>
      </c>
      <c r="X3413" s="93">
        <f>IF(AND(B3413&lt;&gt;"",B3413&gt;='Buku Akun'!$H$4,B3413&lt;='Buku Akun'!$H$5,OR(C3413='Buku Akun'!$C$4,AND(D3413="Pindah",E3413='Buku Akun'!$C$4))),B3413+IF(AND(I3413="Selisih bunga",DAY(B3413)=1),0,0.01)+ROW()/10000000,"")</f>
        <v/>
      </c>
    </row>
    <row r="3414" outlineLevel="1" ht="15" customHeight="1" s="94">
      <c r="A3414" s="123">
        <f>IF(B3414="","",ROW()-15)</f>
        <v/>
      </c>
      <c r="B3414" s="124" t="n"/>
      <c r="C3414" s="123" t="n"/>
      <c r="D3414" s="123" t="n"/>
      <c r="E3414" s="123" t="n"/>
      <c r="F3414" s="125" t="n"/>
      <c r="G3414" s="123" t="n"/>
      <c r="H3414" s="123" t="n"/>
      <c r="I3414" s="123" t="n"/>
      <c r="J3414" s="123" t="n"/>
      <c r="K3414" s="123" t="n"/>
      <c r="L3414" s="123" t="n"/>
      <c r="M3414" s="123">
        <f>IF(AND(B3414&lt;&gt;"",OR($C$4="",ISNUMBER(SEARCH($C$4,C3414&amp;" "&amp;E3414&amp;" "&amp;G3414&amp;" "&amp;H3414&amp;" "&amp;I3414&amp;" "&amp;J3414&amp;" "&amp;K3414&amp;" "&amp;L3414))),OR($C$5="Semua",$C$5="",G3414=$C$5),OR($C$6="Semua",$C$6="",H3414=$C$6,H3414="Pengeluaran "&amp;$C$6,AND($C$6="Uang Kos Mama",H3414="Pengeluaran Uang Kos")),OR($C$7="Semua",$C$7="",I3414=$C$7),OR($C$8="Semua",$C$8="",C3414=$C$8,E3414=$C$8),OR($C$9="Semua",$C$9="",D3414=$C$9),OR($C$10="",B3414&gt;=$C$10),OR($C$11="",B3414&lt;=$C$11),OR($C$12&lt;&gt;"Ya",K3414&lt;&gt;""),OR($C$13="Semua",$C$13="",L3414=$C$13)),"✓","")</f>
        <v/>
      </c>
      <c r="N3414" s="93">
        <f>N(N3413)+IF(M3414="✓",1,0)</f>
        <v/>
      </c>
      <c r="O3414" s="93">
        <f>N(O3413)+IF(AND(B3414&lt;&gt;"",B3414&gt;='Uang Riba'!$H$30,B3414&lt;='Uang Riba'!$I$30,OR(H3414="Dana riba",H3414="Pinjam uang riba",I3414="Pinjam dari uang riba",I3414="Ganti uang riba",I3414="Kelebihan ganti dikembalikan",AND(C3414="Kantong Uang Riba",G3414="Pengeluaran"))),1,0)</f>
        <v/>
      </c>
      <c r="X3414" s="93">
        <f>IF(AND(B3414&lt;&gt;"",B3414&gt;='Buku Akun'!$H$4,B3414&lt;='Buku Akun'!$H$5,OR(C3414='Buku Akun'!$C$4,AND(D3414="Pindah",E3414='Buku Akun'!$C$4))),B3414+IF(AND(I3414="Selisih bunga",DAY(B3414)=1),0,0.01)+ROW()/10000000,"")</f>
        <v/>
      </c>
    </row>
    <row r="3415" outlineLevel="1" ht="15" customHeight="1" s="94">
      <c r="A3415" s="123">
        <f>IF(B3415="","",ROW()-15)</f>
        <v/>
      </c>
      <c r="B3415" s="124" t="n"/>
      <c r="C3415" s="123" t="n"/>
      <c r="D3415" s="123" t="n"/>
      <c r="E3415" s="123" t="n"/>
      <c r="F3415" s="125" t="n"/>
      <c r="G3415" s="123" t="n"/>
      <c r="H3415" s="123" t="n"/>
      <c r="I3415" s="123" t="n"/>
      <c r="J3415" s="123" t="n"/>
      <c r="K3415" s="123" t="n"/>
      <c r="L3415" s="123" t="n"/>
      <c r="M3415" s="123">
        <f>IF(AND(B3415&lt;&gt;"",OR($C$4="",ISNUMBER(SEARCH($C$4,C3415&amp;" "&amp;E3415&amp;" "&amp;G3415&amp;" "&amp;H3415&amp;" "&amp;I3415&amp;" "&amp;J3415&amp;" "&amp;K3415&amp;" "&amp;L3415))),OR($C$5="Semua",$C$5="",G3415=$C$5),OR($C$6="Semua",$C$6="",H3415=$C$6,H3415="Pengeluaran "&amp;$C$6,AND($C$6="Uang Kos Mama",H3415="Pengeluaran Uang Kos")),OR($C$7="Semua",$C$7="",I3415=$C$7),OR($C$8="Semua",$C$8="",C3415=$C$8,E3415=$C$8),OR($C$9="Semua",$C$9="",D3415=$C$9),OR($C$10="",B3415&gt;=$C$10),OR($C$11="",B3415&lt;=$C$11),OR($C$12&lt;&gt;"Ya",K3415&lt;&gt;""),OR($C$13="Semua",$C$13="",L3415=$C$13)),"✓","")</f>
        <v/>
      </c>
      <c r="N3415" s="93">
        <f>N(N3414)+IF(M3415="✓",1,0)</f>
        <v/>
      </c>
      <c r="O3415" s="93">
        <f>N(O3414)+IF(AND(B3415&lt;&gt;"",B3415&gt;='Uang Riba'!$H$30,B3415&lt;='Uang Riba'!$I$30,OR(H3415="Dana riba",H3415="Pinjam uang riba",I3415="Pinjam dari uang riba",I3415="Ganti uang riba",I3415="Kelebihan ganti dikembalikan",AND(C3415="Kantong Uang Riba",G3415="Pengeluaran"))),1,0)</f>
        <v/>
      </c>
      <c r="X3415" s="93">
        <f>IF(AND(B3415&lt;&gt;"",B3415&gt;='Buku Akun'!$H$4,B3415&lt;='Buku Akun'!$H$5,OR(C3415='Buku Akun'!$C$4,AND(D3415="Pindah",E3415='Buku Akun'!$C$4))),B3415+IF(AND(I3415="Selisih bunga",DAY(B3415)=1),0,0.01)+ROW()/10000000,"")</f>
        <v/>
      </c>
    </row>
    <row r="3416" outlineLevel="1" ht="15" customHeight="1" s="94">
      <c r="A3416" s="123">
        <f>IF(B3416="","",ROW()-15)</f>
        <v/>
      </c>
      <c r="B3416" s="124" t="n"/>
      <c r="C3416" s="123" t="n"/>
      <c r="D3416" s="123" t="n"/>
      <c r="E3416" s="123" t="n"/>
      <c r="F3416" s="125" t="n"/>
      <c r="G3416" s="123" t="n"/>
      <c r="H3416" s="123" t="n"/>
      <c r="I3416" s="123" t="n"/>
      <c r="J3416" s="123" t="n"/>
      <c r="K3416" s="123" t="n"/>
      <c r="L3416" s="123" t="n"/>
      <c r="M3416" s="123">
        <f>IF(AND(B3416&lt;&gt;"",OR($C$4="",ISNUMBER(SEARCH($C$4,C3416&amp;" "&amp;E3416&amp;" "&amp;G3416&amp;" "&amp;H3416&amp;" "&amp;I3416&amp;" "&amp;J3416&amp;" "&amp;K3416&amp;" "&amp;L3416))),OR($C$5="Semua",$C$5="",G3416=$C$5),OR($C$6="Semua",$C$6="",H3416=$C$6,H3416="Pengeluaran "&amp;$C$6,AND($C$6="Uang Kos Mama",H3416="Pengeluaran Uang Kos")),OR($C$7="Semua",$C$7="",I3416=$C$7),OR($C$8="Semua",$C$8="",C3416=$C$8,E3416=$C$8),OR($C$9="Semua",$C$9="",D3416=$C$9),OR($C$10="",B3416&gt;=$C$10),OR($C$11="",B3416&lt;=$C$11),OR($C$12&lt;&gt;"Ya",K3416&lt;&gt;""),OR($C$13="Semua",$C$13="",L3416=$C$13)),"✓","")</f>
        <v/>
      </c>
      <c r="N3416" s="93">
        <f>N(N3415)+IF(M3416="✓",1,0)</f>
        <v/>
      </c>
      <c r="O3416" s="93">
        <f>N(O3415)+IF(AND(B3416&lt;&gt;"",B3416&gt;='Uang Riba'!$H$30,B3416&lt;='Uang Riba'!$I$30,OR(H3416="Dana riba",H3416="Pinjam uang riba",I3416="Pinjam dari uang riba",I3416="Ganti uang riba",I3416="Kelebihan ganti dikembalikan",AND(C3416="Kantong Uang Riba",G3416="Pengeluaran"))),1,0)</f>
        <v/>
      </c>
      <c r="X3416" s="93">
        <f>IF(AND(B3416&lt;&gt;"",B3416&gt;='Buku Akun'!$H$4,B3416&lt;='Buku Akun'!$H$5,OR(C3416='Buku Akun'!$C$4,AND(D3416="Pindah",E3416='Buku Akun'!$C$4))),B3416+IF(AND(I3416="Selisih bunga",DAY(B3416)=1),0,0.01)+ROW()/10000000,"")</f>
        <v/>
      </c>
    </row>
    <row r="3417" outlineLevel="1" ht="15" customHeight="1" s="94">
      <c r="A3417" s="123">
        <f>IF(B3417="","",ROW()-15)</f>
        <v/>
      </c>
      <c r="B3417" s="124" t="n"/>
      <c r="C3417" s="123" t="n"/>
      <c r="D3417" s="123" t="n"/>
      <c r="E3417" s="123" t="n"/>
      <c r="F3417" s="125" t="n"/>
      <c r="G3417" s="123" t="n"/>
      <c r="H3417" s="123" t="n"/>
      <c r="I3417" s="123" t="n"/>
      <c r="J3417" s="123" t="n"/>
      <c r="K3417" s="123" t="n"/>
      <c r="L3417" s="123" t="n"/>
      <c r="M3417" s="123">
        <f>IF(AND(B3417&lt;&gt;"",OR($C$4="",ISNUMBER(SEARCH($C$4,C3417&amp;" "&amp;E3417&amp;" "&amp;G3417&amp;" "&amp;H3417&amp;" "&amp;I3417&amp;" "&amp;J3417&amp;" "&amp;K3417&amp;" "&amp;L3417))),OR($C$5="Semua",$C$5="",G3417=$C$5),OR($C$6="Semua",$C$6="",H3417=$C$6,H3417="Pengeluaran "&amp;$C$6,AND($C$6="Uang Kos Mama",H3417="Pengeluaran Uang Kos")),OR($C$7="Semua",$C$7="",I3417=$C$7),OR($C$8="Semua",$C$8="",C3417=$C$8,E3417=$C$8),OR($C$9="Semua",$C$9="",D3417=$C$9),OR($C$10="",B3417&gt;=$C$10),OR($C$11="",B3417&lt;=$C$11),OR($C$12&lt;&gt;"Ya",K3417&lt;&gt;""),OR($C$13="Semua",$C$13="",L3417=$C$13)),"✓","")</f>
        <v/>
      </c>
      <c r="N3417" s="93">
        <f>N(N3416)+IF(M3417="✓",1,0)</f>
        <v/>
      </c>
      <c r="O3417" s="93">
        <f>N(O3416)+IF(AND(B3417&lt;&gt;"",B3417&gt;='Uang Riba'!$H$30,B3417&lt;='Uang Riba'!$I$30,OR(H3417="Dana riba",H3417="Pinjam uang riba",I3417="Pinjam dari uang riba",I3417="Ganti uang riba",I3417="Kelebihan ganti dikembalikan",AND(C3417="Kantong Uang Riba",G3417="Pengeluaran"))),1,0)</f>
        <v/>
      </c>
      <c r="X3417" s="93">
        <f>IF(AND(B3417&lt;&gt;"",B3417&gt;='Buku Akun'!$H$4,B3417&lt;='Buku Akun'!$H$5,OR(C3417='Buku Akun'!$C$4,AND(D3417="Pindah",E3417='Buku Akun'!$C$4))),B3417+IF(AND(I3417="Selisih bunga",DAY(B3417)=1),0,0.01)+ROW()/10000000,"")</f>
        <v/>
      </c>
    </row>
    <row r="3418" outlineLevel="1" ht="15" customHeight="1" s="94">
      <c r="A3418" s="123">
        <f>IF(B3418="","",ROW()-15)</f>
        <v/>
      </c>
      <c r="B3418" s="124" t="n"/>
      <c r="C3418" s="123" t="n"/>
      <c r="D3418" s="123" t="n"/>
      <c r="E3418" s="123" t="n"/>
      <c r="F3418" s="125" t="n"/>
      <c r="G3418" s="123" t="n"/>
      <c r="H3418" s="123" t="n"/>
      <c r="I3418" s="123" t="n"/>
      <c r="J3418" s="123" t="n"/>
      <c r="K3418" s="123" t="n"/>
      <c r="L3418" s="123" t="n"/>
      <c r="M3418" s="123">
        <f>IF(AND(B3418&lt;&gt;"",OR($C$4="",ISNUMBER(SEARCH($C$4,C3418&amp;" "&amp;E3418&amp;" "&amp;G3418&amp;" "&amp;H3418&amp;" "&amp;I3418&amp;" "&amp;J3418&amp;" "&amp;K3418&amp;" "&amp;L3418))),OR($C$5="Semua",$C$5="",G3418=$C$5),OR($C$6="Semua",$C$6="",H3418=$C$6,H3418="Pengeluaran "&amp;$C$6,AND($C$6="Uang Kos Mama",H3418="Pengeluaran Uang Kos")),OR($C$7="Semua",$C$7="",I3418=$C$7),OR($C$8="Semua",$C$8="",C3418=$C$8,E3418=$C$8),OR($C$9="Semua",$C$9="",D3418=$C$9),OR($C$10="",B3418&gt;=$C$10),OR($C$11="",B3418&lt;=$C$11),OR($C$12&lt;&gt;"Ya",K3418&lt;&gt;""),OR($C$13="Semua",$C$13="",L3418=$C$13)),"✓","")</f>
        <v/>
      </c>
      <c r="N3418" s="93">
        <f>N(N3417)+IF(M3418="✓",1,0)</f>
        <v/>
      </c>
      <c r="O3418" s="93">
        <f>N(O3417)+IF(AND(B3418&lt;&gt;"",B3418&gt;='Uang Riba'!$H$30,B3418&lt;='Uang Riba'!$I$30,OR(H3418="Dana riba",H3418="Pinjam uang riba",I3418="Pinjam dari uang riba",I3418="Ganti uang riba",I3418="Kelebihan ganti dikembalikan",AND(C3418="Kantong Uang Riba",G3418="Pengeluaran"))),1,0)</f>
        <v/>
      </c>
      <c r="X3418" s="93">
        <f>IF(AND(B3418&lt;&gt;"",B3418&gt;='Buku Akun'!$H$4,B3418&lt;='Buku Akun'!$H$5,OR(C3418='Buku Akun'!$C$4,AND(D3418="Pindah",E3418='Buku Akun'!$C$4))),B3418+IF(AND(I3418="Selisih bunga",DAY(B3418)=1),0,0.01)+ROW()/10000000,"")</f>
        <v/>
      </c>
    </row>
    <row r="3419" outlineLevel="1" ht="15" customHeight="1" s="94">
      <c r="A3419" s="123">
        <f>IF(B3419="","",ROW()-15)</f>
        <v/>
      </c>
      <c r="B3419" s="124" t="n"/>
      <c r="C3419" s="123" t="n"/>
      <c r="D3419" s="123" t="n"/>
      <c r="E3419" s="123" t="n"/>
      <c r="F3419" s="125" t="n"/>
      <c r="G3419" s="123" t="n"/>
      <c r="H3419" s="123" t="n"/>
      <c r="I3419" s="123" t="n"/>
      <c r="J3419" s="123" t="n"/>
      <c r="K3419" s="123" t="n"/>
      <c r="L3419" s="123" t="n"/>
      <c r="M3419" s="123">
        <f>IF(AND(B3419&lt;&gt;"",OR($C$4="",ISNUMBER(SEARCH($C$4,C3419&amp;" "&amp;E3419&amp;" "&amp;G3419&amp;" "&amp;H3419&amp;" "&amp;I3419&amp;" "&amp;J3419&amp;" "&amp;K3419&amp;" "&amp;L3419))),OR($C$5="Semua",$C$5="",G3419=$C$5),OR($C$6="Semua",$C$6="",H3419=$C$6,H3419="Pengeluaran "&amp;$C$6,AND($C$6="Uang Kos Mama",H3419="Pengeluaran Uang Kos")),OR($C$7="Semua",$C$7="",I3419=$C$7),OR($C$8="Semua",$C$8="",C3419=$C$8,E3419=$C$8),OR($C$9="Semua",$C$9="",D3419=$C$9),OR($C$10="",B3419&gt;=$C$10),OR($C$11="",B3419&lt;=$C$11),OR($C$12&lt;&gt;"Ya",K3419&lt;&gt;""),OR($C$13="Semua",$C$13="",L3419=$C$13)),"✓","")</f>
        <v/>
      </c>
      <c r="N3419" s="93">
        <f>N(N3418)+IF(M3419="✓",1,0)</f>
        <v/>
      </c>
      <c r="O3419" s="93">
        <f>N(O3418)+IF(AND(B3419&lt;&gt;"",B3419&gt;='Uang Riba'!$H$30,B3419&lt;='Uang Riba'!$I$30,OR(H3419="Dana riba",H3419="Pinjam uang riba",I3419="Pinjam dari uang riba",I3419="Ganti uang riba",I3419="Kelebihan ganti dikembalikan",AND(C3419="Kantong Uang Riba",G3419="Pengeluaran"))),1,0)</f>
        <v/>
      </c>
      <c r="X3419" s="93">
        <f>IF(AND(B3419&lt;&gt;"",B3419&gt;='Buku Akun'!$H$4,B3419&lt;='Buku Akun'!$H$5,OR(C3419='Buku Akun'!$C$4,AND(D3419="Pindah",E3419='Buku Akun'!$C$4))),B3419+IF(AND(I3419="Selisih bunga",DAY(B3419)=1),0,0.01)+ROW()/10000000,"")</f>
        <v/>
      </c>
    </row>
    <row r="3420" outlineLevel="1" ht="15" customHeight="1" s="94">
      <c r="A3420" s="123">
        <f>IF(B3420="","",ROW()-15)</f>
        <v/>
      </c>
      <c r="B3420" s="124" t="n"/>
      <c r="C3420" s="123" t="n"/>
      <c r="D3420" s="123" t="n"/>
      <c r="E3420" s="123" t="n"/>
      <c r="F3420" s="125" t="n"/>
      <c r="G3420" s="123" t="n"/>
      <c r="H3420" s="123" t="n"/>
      <c r="I3420" s="123" t="n"/>
      <c r="J3420" s="123" t="n"/>
      <c r="K3420" s="123" t="n"/>
      <c r="L3420" s="123" t="n"/>
      <c r="M3420" s="123">
        <f>IF(AND(B3420&lt;&gt;"",OR($C$4="",ISNUMBER(SEARCH($C$4,C3420&amp;" "&amp;E3420&amp;" "&amp;G3420&amp;" "&amp;H3420&amp;" "&amp;I3420&amp;" "&amp;J3420&amp;" "&amp;K3420&amp;" "&amp;L3420))),OR($C$5="Semua",$C$5="",G3420=$C$5),OR($C$6="Semua",$C$6="",H3420=$C$6,H3420="Pengeluaran "&amp;$C$6,AND($C$6="Uang Kos Mama",H3420="Pengeluaran Uang Kos")),OR($C$7="Semua",$C$7="",I3420=$C$7),OR($C$8="Semua",$C$8="",C3420=$C$8,E3420=$C$8),OR($C$9="Semua",$C$9="",D3420=$C$9),OR($C$10="",B3420&gt;=$C$10),OR($C$11="",B3420&lt;=$C$11),OR($C$12&lt;&gt;"Ya",K3420&lt;&gt;""),OR($C$13="Semua",$C$13="",L3420=$C$13)),"✓","")</f>
        <v/>
      </c>
      <c r="N3420" s="93">
        <f>N(N3419)+IF(M3420="✓",1,0)</f>
        <v/>
      </c>
      <c r="O3420" s="93">
        <f>N(O3419)+IF(AND(B3420&lt;&gt;"",B3420&gt;='Uang Riba'!$H$30,B3420&lt;='Uang Riba'!$I$30,OR(H3420="Dana riba",H3420="Pinjam uang riba",I3420="Pinjam dari uang riba",I3420="Ganti uang riba",I3420="Kelebihan ganti dikembalikan",AND(C3420="Kantong Uang Riba",G3420="Pengeluaran"))),1,0)</f>
        <v/>
      </c>
      <c r="X3420" s="93">
        <f>IF(AND(B3420&lt;&gt;"",B3420&gt;='Buku Akun'!$H$4,B3420&lt;='Buku Akun'!$H$5,OR(C3420='Buku Akun'!$C$4,AND(D3420="Pindah",E3420='Buku Akun'!$C$4))),B3420+IF(AND(I3420="Selisih bunga",DAY(B3420)=1),0,0.01)+ROW()/10000000,"")</f>
        <v/>
      </c>
    </row>
    <row r="3421" outlineLevel="1" ht="15" customHeight="1" s="94">
      <c r="A3421" s="123">
        <f>IF(B3421="","",ROW()-15)</f>
        <v/>
      </c>
      <c r="B3421" s="124" t="n"/>
      <c r="C3421" s="123" t="n"/>
      <c r="D3421" s="123" t="n"/>
      <c r="E3421" s="123" t="n"/>
      <c r="F3421" s="125" t="n"/>
      <c r="G3421" s="123" t="n"/>
      <c r="H3421" s="123" t="n"/>
      <c r="I3421" s="123" t="n"/>
      <c r="J3421" s="123" t="n"/>
      <c r="K3421" s="123" t="n"/>
      <c r="L3421" s="123" t="n"/>
      <c r="M3421" s="123">
        <f>IF(AND(B3421&lt;&gt;"",OR($C$4="",ISNUMBER(SEARCH($C$4,C3421&amp;" "&amp;E3421&amp;" "&amp;G3421&amp;" "&amp;H3421&amp;" "&amp;I3421&amp;" "&amp;J3421&amp;" "&amp;K3421&amp;" "&amp;L3421))),OR($C$5="Semua",$C$5="",G3421=$C$5),OR($C$6="Semua",$C$6="",H3421=$C$6,H3421="Pengeluaran "&amp;$C$6,AND($C$6="Uang Kos Mama",H3421="Pengeluaran Uang Kos")),OR($C$7="Semua",$C$7="",I3421=$C$7),OR($C$8="Semua",$C$8="",C3421=$C$8,E3421=$C$8),OR($C$9="Semua",$C$9="",D3421=$C$9),OR($C$10="",B3421&gt;=$C$10),OR($C$11="",B3421&lt;=$C$11),OR($C$12&lt;&gt;"Ya",K3421&lt;&gt;""),OR($C$13="Semua",$C$13="",L3421=$C$13)),"✓","")</f>
        <v/>
      </c>
      <c r="N3421" s="93">
        <f>N(N3420)+IF(M3421="✓",1,0)</f>
        <v/>
      </c>
      <c r="O3421" s="93">
        <f>N(O3420)+IF(AND(B3421&lt;&gt;"",B3421&gt;='Uang Riba'!$H$30,B3421&lt;='Uang Riba'!$I$30,OR(H3421="Dana riba",H3421="Pinjam uang riba",I3421="Pinjam dari uang riba",I3421="Ganti uang riba",I3421="Kelebihan ganti dikembalikan",AND(C3421="Kantong Uang Riba",G3421="Pengeluaran"))),1,0)</f>
        <v/>
      </c>
      <c r="X3421" s="93">
        <f>IF(AND(B3421&lt;&gt;"",B3421&gt;='Buku Akun'!$H$4,B3421&lt;='Buku Akun'!$H$5,OR(C3421='Buku Akun'!$C$4,AND(D3421="Pindah",E3421='Buku Akun'!$C$4))),B3421+IF(AND(I3421="Selisih bunga",DAY(B3421)=1),0,0.01)+ROW()/10000000,"")</f>
        <v/>
      </c>
    </row>
    <row r="3422" outlineLevel="1" ht="15" customHeight="1" s="94">
      <c r="A3422" s="123">
        <f>IF(B3422="","",ROW()-15)</f>
        <v/>
      </c>
      <c r="B3422" s="124" t="n"/>
      <c r="C3422" s="123" t="n"/>
      <c r="D3422" s="123" t="n"/>
      <c r="E3422" s="123" t="n"/>
      <c r="F3422" s="125" t="n"/>
      <c r="G3422" s="123" t="n"/>
      <c r="H3422" s="123" t="n"/>
      <c r="I3422" s="123" t="n"/>
      <c r="J3422" s="123" t="n"/>
      <c r="K3422" s="123" t="n"/>
      <c r="L3422" s="123" t="n"/>
      <c r="M3422" s="123">
        <f>IF(AND(B3422&lt;&gt;"",OR($C$4="",ISNUMBER(SEARCH($C$4,C3422&amp;" "&amp;E3422&amp;" "&amp;G3422&amp;" "&amp;H3422&amp;" "&amp;I3422&amp;" "&amp;J3422&amp;" "&amp;K3422&amp;" "&amp;L3422))),OR($C$5="Semua",$C$5="",G3422=$C$5),OR($C$6="Semua",$C$6="",H3422=$C$6,H3422="Pengeluaran "&amp;$C$6,AND($C$6="Uang Kos Mama",H3422="Pengeluaran Uang Kos")),OR($C$7="Semua",$C$7="",I3422=$C$7),OR($C$8="Semua",$C$8="",C3422=$C$8,E3422=$C$8),OR($C$9="Semua",$C$9="",D3422=$C$9),OR($C$10="",B3422&gt;=$C$10),OR($C$11="",B3422&lt;=$C$11),OR($C$12&lt;&gt;"Ya",K3422&lt;&gt;""),OR($C$13="Semua",$C$13="",L3422=$C$13)),"✓","")</f>
        <v/>
      </c>
      <c r="N3422" s="93">
        <f>N(N3421)+IF(M3422="✓",1,0)</f>
        <v/>
      </c>
      <c r="O3422" s="93">
        <f>N(O3421)+IF(AND(B3422&lt;&gt;"",B3422&gt;='Uang Riba'!$H$30,B3422&lt;='Uang Riba'!$I$30,OR(H3422="Dana riba",H3422="Pinjam uang riba",I3422="Pinjam dari uang riba",I3422="Ganti uang riba",I3422="Kelebihan ganti dikembalikan",AND(C3422="Kantong Uang Riba",G3422="Pengeluaran"))),1,0)</f>
        <v/>
      </c>
      <c r="X3422" s="93">
        <f>IF(AND(B3422&lt;&gt;"",B3422&gt;='Buku Akun'!$H$4,B3422&lt;='Buku Akun'!$H$5,OR(C3422='Buku Akun'!$C$4,AND(D3422="Pindah",E3422='Buku Akun'!$C$4))),B3422+IF(AND(I3422="Selisih bunga",DAY(B3422)=1),0,0.01)+ROW()/10000000,"")</f>
        <v/>
      </c>
    </row>
    <row r="3423" outlineLevel="1" ht="15" customHeight="1" s="94">
      <c r="A3423" s="123">
        <f>IF(B3423="","",ROW()-15)</f>
        <v/>
      </c>
      <c r="B3423" s="124" t="n"/>
      <c r="C3423" s="123" t="n"/>
      <c r="D3423" s="123" t="n"/>
      <c r="E3423" s="123" t="n"/>
      <c r="F3423" s="125" t="n"/>
      <c r="G3423" s="123" t="n"/>
      <c r="H3423" s="123" t="n"/>
      <c r="I3423" s="123" t="n"/>
      <c r="J3423" s="123" t="n"/>
      <c r="K3423" s="123" t="n"/>
      <c r="L3423" s="123" t="n"/>
      <c r="M3423" s="123">
        <f>IF(AND(B3423&lt;&gt;"",OR($C$4="",ISNUMBER(SEARCH($C$4,C3423&amp;" "&amp;E3423&amp;" "&amp;G3423&amp;" "&amp;H3423&amp;" "&amp;I3423&amp;" "&amp;J3423&amp;" "&amp;K3423&amp;" "&amp;L3423))),OR($C$5="Semua",$C$5="",G3423=$C$5),OR($C$6="Semua",$C$6="",H3423=$C$6,H3423="Pengeluaran "&amp;$C$6,AND($C$6="Uang Kos Mama",H3423="Pengeluaran Uang Kos")),OR($C$7="Semua",$C$7="",I3423=$C$7),OR($C$8="Semua",$C$8="",C3423=$C$8,E3423=$C$8),OR($C$9="Semua",$C$9="",D3423=$C$9),OR($C$10="",B3423&gt;=$C$10),OR($C$11="",B3423&lt;=$C$11),OR($C$12&lt;&gt;"Ya",K3423&lt;&gt;""),OR($C$13="Semua",$C$13="",L3423=$C$13)),"✓","")</f>
        <v/>
      </c>
      <c r="N3423" s="93">
        <f>N(N3422)+IF(M3423="✓",1,0)</f>
        <v/>
      </c>
      <c r="O3423" s="93">
        <f>N(O3422)+IF(AND(B3423&lt;&gt;"",B3423&gt;='Uang Riba'!$H$30,B3423&lt;='Uang Riba'!$I$30,OR(H3423="Dana riba",H3423="Pinjam uang riba",I3423="Pinjam dari uang riba",I3423="Ganti uang riba",I3423="Kelebihan ganti dikembalikan",AND(C3423="Kantong Uang Riba",G3423="Pengeluaran"))),1,0)</f>
        <v/>
      </c>
      <c r="X3423" s="93">
        <f>IF(AND(B3423&lt;&gt;"",B3423&gt;='Buku Akun'!$H$4,B3423&lt;='Buku Akun'!$H$5,OR(C3423='Buku Akun'!$C$4,AND(D3423="Pindah",E3423='Buku Akun'!$C$4))),B3423+IF(AND(I3423="Selisih bunga",DAY(B3423)=1),0,0.01)+ROW()/10000000,"")</f>
        <v/>
      </c>
    </row>
    <row r="3424" outlineLevel="1" ht="15" customHeight="1" s="94">
      <c r="A3424" s="123">
        <f>IF(B3424="","",ROW()-15)</f>
        <v/>
      </c>
      <c r="B3424" s="124" t="n"/>
      <c r="C3424" s="123" t="n"/>
      <c r="D3424" s="123" t="n"/>
      <c r="E3424" s="123" t="n"/>
      <c r="F3424" s="125" t="n"/>
      <c r="G3424" s="123" t="n"/>
      <c r="H3424" s="123" t="n"/>
      <c r="I3424" s="123" t="n"/>
      <c r="J3424" s="123" t="n"/>
      <c r="K3424" s="123" t="n"/>
      <c r="L3424" s="123" t="n"/>
      <c r="M3424" s="123">
        <f>IF(AND(B3424&lt;&gt;"",OR($C$4="",ISNUMBER(SEARCH($C$4,C3424&amp;" "&amp;E3424&amp;" "&amp;G3424&amp;" "&amp;H3424&amp;" "&amp;I3424&amp;" "&amp;J3424&amp;" "&amp;K3424&amp;" "&amp;L3424))),OR($C$5="Semua",$C$5="",G3424=$C$5),OR($C$6="Semua",$C$6="",H3424=$C$6,H3424="Pengeluaran "&amp;$C$6,AND($C$6="Uang Kos Mama",H3424="Pengeluaran Uang Kos")),OR($C$7="Semua",$C$7="",I3424=$C$7),OR($C$8="Semua",$C$8="",C3424=$C$8,E3424=$C$8),OR($C$9="Semua",$C$9="",D3424=$C$9),OR($C$10="",B3424&gt;=$C$10),OR($C$11="",B3424&lt;=$C$11),OR($C$12&lt;&gt;"Ya",K3424&lt;&gt;""),OR($C$13="Semua",$C$13="",L3424=$C$13)),"✓","")</f>
        <v/>
      </c>
      <c r="N3424" s="93">
        <f>N(N3423)+IF(M3424="✓",1,0)</f>
        <v/>
      </c>
      <c r="O3424" s="93">
        <f>N(O3423)+IF(AND(B3424&lt;&gt;"",B3424&gt;='Uang Riba'!$H$30,B3424&lt;='Uang Riba'!$I$30,OR(H3424="Dana riba",H3424="Pinjam uang riba",I3424="Pinjam dari uang riba",I3424="Ganti uang riba",I3424="Kelebihan ganti dikembalikan",AND(C3424="Kantong Uang Riba",G3424="Pengeluaran"))),1,0)</f>
        <v/>
      </c>
      <c r="X3424" s="93">
        <f>IF(AND(B3424&lt;&gt;"",B3424&gt;='Buku Akun'!$H$4,B3424&lt;='Buku Akun'!$H$5,OR(C3424='Buku Akun'!$C$4,AND(D3424="Pindah",E3424='Buku Akun'!$C$4))),B3424+IF(AND(I3424="Selisih bunga",DAY(B3424)=1),0,0.01)+ROW()/10000000,"")</f>
        <v/>
      </c>
    </row>
    <row r="3425" outlineLevel="1" ht="15" customHeight="1" s="94">
      <c r="A3425" s="123">
        <f>IF(B3425="","",ROW()-15)</f>
        <v/>
      </c>
      <c r="B3425" s="124" t="n"/>
      <c r="C3425" s="123" t="n"/>
      <c r="D3425" s="123" t="n"/>
      <c r="E3425" s="123" t="n"/>
      <c r="F3425" s="125" t="n"/>
      <c r="G3425" s="123" t="n"/>
      <c r="H3425" s="123" t="n"/>
      <c r="I3425" s="123" t="n"/>
      <c r="J3425" s="123" t="n"/>
      <c r="K3425" s="123" t="n"/>
      <c r="L3425" s="123" t="n"/>
      <c r="M3425" s="123">
        <f>IF(AND(B3425&lt;&gt;"",OR($C$4="",ISNUMBER(SEARCH($C$4,C3425&amp;" "&amp;E3425&amp;" "&amp;G3425&amp;" "&amp;H3425&amp;" "&amp;I3425&amp;" "&amp;J3425&amp;" "&amp;K3425&amp;" "&amp;L3425))),OR($C$5="Semua",$C$5="",G3425=$C$5),OR($C$6="Semua",$C$6="",H3425=$C$6,H3425="Pengeluaran "&amp;$C$6,AND($C$6="Uang Kos Mama",H3425="Pengeluaran Uang Kos")),OR($C$7="Semua",$C$7="",I3425=$C$7),OR($C$8="Semua",$C$8="",C3425=$C$8,E3425=$C$8),OR($C$9="Semua",$C$9="",D3425=$C$9),OR($C$10="",B3425&gt;=$C$10),OR($C$11="",B3425&lt;=$C$11),OR($C$12&lt;&gt;"Ya",K3425&lt;&gt;""),OR($C$13="Semua",$C$13="",L3425=$C$13)),"✓","")</f>
        <v/>
      </c>
      <c r="N3425" s="93">
        <f>N(N3424)+IF(M3425="✓",1,0)</f>
        <v/>
      </c>
      <c r="O3425" s="93">
        <f>N(O3424)+IF(AND(B3425&lt;&gt;"",B3425&gt;='Uang Riba'!$H$30,B3425&lt;='Uang Riba'!$I$30,OR(H3425="Dana riba",H3425="Pinjam uang riba",I3425="Pinjam dari uang riba",I3425="Ganti uang riba",I3425="Kelebihan ganti dikembalikan",AND(C3425="Kantong Uang Riba",G3425="Pengeluaran"))),1,0)</f>
        <v/>
      </c>
      <c r="X3425" s="93">
        <f>IF(AND(B3425&lt;&gt;"",B3425&gt;='Buku Akun'!$H$4,B3425&lt;='Buku Akun'!$H$5,OR(C3425='Buku Akun'!$C$4,AND(D3425="Pindah",E3425='Buku Akun'!$C$4))),B3425+IF(AND(I3425="Selisih bunga",DAY(B3425)=1),0,0.01)+ROW()/10000000,"")</f>
        <v/>
      </c>
    </row>
    <row r="3426" outlineLevel="1" ht="15" customHeight="1" s="94">
      <c r="A3426" s="123">
        <f>IF(B3426="","",ROW()-15)</f>
        <v/>
      </c>
      <c r="B3426" s="124" t="n"/>
      <c r="C3426" s="123" t="n"/>
      <c r="D3426" s="123" t="n"/>
      <c r="E3426" s="123" t="n"/>
      <c r="F3426" s="125" t="n"/>
      <c r="G3426" s="123" t="n"/>
      <c r="H3426" s="123" t="n"/>
      <c r="I3426" s="123" t="n"/>
      <c r="J3426" s="123" t="n"/>
      <c r="K3426" s="123" t="n"/>
      <c r="L3426" s="123" t="n"/>
      <c r="M3426" s="123">
        <f>IF(AND(B3426&lt;&gt;"",OR($C$4="",ISNUMBER(SEARCH($C$4,C3426&amp;" "&amp;E3426&amp;" "&amp;G3426&amp;" "&amp;H3426&amp;" "&amp;I3426&amp;" "&amp;J3426&amp;" "&amp;K3426&amp;" "&amp;L3426))),OR($C$5="Semua",$C$5="",G3426=$C$5),OR($C$6="Semua",$C$6="",H3426=$C$6,H3426="Pengeluaran "&amp;$C$6,AND($C$6="Uang Kos Mama",H3426="Pengeluaran Uang Kos")),OR($C$7="Semua",$C$7="",I3426=$C$7),OR($C$8="Semua",$C$8="",C3426=$C$8,E3426=$C$8),OR($C$9="Semua",$C$9="",D3426=$C$9),OR($C$10="",B3426&gt;=$C$10),OR($C$11="",B3426&lt;=$C$11),OR($C$12&lt;&gt;"Ya",K3426&lt;&gt;""),OR($C$13="Semua",$C$13="",L3426=$C$13)),"✓","")</f>
        <v/>
      </c>
      <c r="N3426" s="93">
        <f>N(N3425)+IF(M3426="✓",1,0)</f>
        <v/>
      </c>
      <c r="O3426" s="93">
        <f>N(O3425)+IF(AND(B3426&lt;&gt;"",B3426&gt;='Uang Riba'!$H$30,B3426&lt;='Uang Riba'!$I$30,OR(H3426="Dana riba",H3426="Pinjam uang riba",I3426="Pinjam dari uang riba",I3426="Ganti uang riba",I3426="Kelebihan ganti dikembalikan",AND(C3426="Kantong Uang Riba",G3426="Pengeluaran"))),1,0)</f>
        <v/>
      </c>
      <c r="X3426" s="93">
        <f>IF(AND(B3426&lt;&gt;"",B3426&gt;='Buku Akun'!$H$4,B3426&lt;='Buku Akun'!$H$5,OR(C3426='Buku Akun'!$C$4,AND(D3426="Pindah",E3426='Buku Akun'!$C$4))),B3426+IF(AND(I3426="Selisih bunga",DAY(B3426)=1),0,0.01)+ROW()/10000000,"")</f>
        <v/>
      </c>
    </row>
    <row r="3427" outlineLevel="1" ht="15" customHeight="1" s="94">
      <c r="A3427" s="123">
        <f>IF(B3427="","",ROW()-15)</f>
        <v/>
      </c>
      <c r="B3427" s="124" t="n"/>
      <c r="C3427" s="123" t="n"/>
      <c r="D3427" s="123" t="n"/>
      <c r="E3427" s="123" t="n"/>
      <c r="F3427" s="125" t="n"/>
      <c r="G3427" s="123" t="n"/>
      <c r="H3427" s="123" t="n"/>
      <c r="I3427" s="123" t="n"/>
      <c r="J3427" s="123" t="n"/>
      <c r="K3427" s="123" t="n"/>
      <c r="L3427" s="123" t="n"/>
      <c r="M3427" s="123">
        <f>IF(AND(B3427&lt;&gt;"",OR($C$4="",ISNUMBER(SEARCH($C$4,C3427&amp;" "&amp;E3427&amp;" "&amp;G3427&amp;" "&amp;H3427&amp;" "&amp;I3427&amp;" "&amp;J3427&amp;" "&amp;K3427&amp;" "&amp;L3427))),OR($C$5="Semua",$C$5="",G3427=$C$5),OR($C$6="Semua",$C$6="",H3427=$C$6,H3427="Pengeluaran "&amp;$C$6,AND($C$6="Uang Kos Mama",H3427="Pengeluaran Uang Kos")),OR($C$7="Semua",$C$7="",I3427=$C$7),OR($C$8="Semua",$C$8="",C3427=$C$8,E3427=$C$8),OR($C$9="Semua",$C$9="",D3427=$C$9),OR($C$10="",B3427&gt;=$C$10),OR($C$11="",B3427&lt;=$C$11),OR($C$12&lt;&gt;"Ya",K3427&lt;&gt;""),OR($C$13="Semua",$C$13="",L3427=$C$13)),"✓","")</f>
        <v/>
      </c>
      <c r="N3427" s="93">
        <f>N(N3426)+IF(M3427="✓",1,0)</f>
        <v/>
      </c>
      <c r="O3427" s="93">
        <f>N(O3426)+IF(AND(B3427&lt;&gt;"",B3427&gt;='Uang Riba'!$H$30,B3427&lt;='Uang Riba'!$I$30,OR(H3427="Dana riba",H3427="Pinjam uang riba",I3427="Pinjam dari uang riba",I3427="Ganti uang riba",I3427="Kelebihan ganti dikembalikan",AND(C3427="Kantong Uang Riba",G3427="Pengeluaran"))),1,0)</f>
        <v/>
      </c>
      <c r="X3427" s="93">
        <f>IF(AND(B3427&lt;&gt;"",B3427&gt;='Buku Akun'!$H$4,B3427&lt;='Buku Akun'!$H$5,OR(C3427='Buku Akun'!$C$4,AND(D3427="Pindah",E3427='Buku Akun'!$C$4))),B3427+IF(AND(I3427="Selisih bunga",DAY(B3427)=1),0,0.01)+ROW()/10000000,"")</f>
        <v/>
      </c>
    </row>
    <row r="3428" outlineLevel="1" ht="15" customHeight="1" s="94">
      <c r="A3428" s="123">
        <f>IF(B3428="","",ROW()-15)</f>
        <v/>
      </c>
      <c r="B3428" s="124" t="n"/>
      <c r="C3428" s="123" t="n"/>
      <c r="D3428" s="123" t="n"/>
      <c r="E3428" s="123" t="n"/>
      <c r="F3428" s="125" t="n"/>
      <c r="G3428" s="123" t="n"/>
      <c r="H3428" s="123" t="n"/>
      <c r="I3428" s="123" t="n"/>
      <c r="J3428" s="123" t="n"/>
      <c r="K3428" s="123" t="n"/>
      <c r="L3428" s="123" t="n"/>
      <c r="M3428" s="123">
        <f>IF(AND(B3428&lt;&gt;"",OR($C$4="",ISNUMBER(SEARCH($C$4,C3428&amp;" "&amp;E3428&amp;" "&amp;G3428&amp;" "&amp;H3428&amp;" "&amp;I3428&amp;" "&amp;J3428&amp;" "&amp;K3428&amp;" "&amp;L3428))),OR($C$5="Semua",$C$5="",G3428=$C$5),OR($C$6="Semua",$C$6="",H3428=$C$6,H3428="Pengeluaran "&amp;$C$6,AND($C$6="Uang Kos Mama",H3428="Pengeluaran Uang Kos")),OR($C$7="Semua",$C$7="",I3428=$C$7),OR($C$8="Semua",$C$8="",C3428=$C$8,E3428=$C$8),OR($C$9="Semua",$C$9="",D3428=$C$9),OR($C$10="",B3428&gt;=$C$10),OR($C$11="",B3428&lt;=$C$11),OR($C$12&lt;&gt;"Ya",K3428&lt;&gt;""),OR($C$13="Semua",$C$13="",L3428=$C$13)),"✓","")</f>
        <v/>
      </c>
      <c r="N3428" s="93">
        <f>N(N3427)+IF(M3428="✓",1,0)</f>
        <v/>
      </c>
      <c r="O3428" s="93">
        <f>N(O3427)+IF(AND(B3428&lt;&gt;"",B3428&gt;='Uang Riba'!$H$30,B3428&lt;='Uang Riba'!$I$30,OR(H3428="Dana riba",H3428="Pinjam uang riba",I3428="Pinjam dari uang riba",I3428="Ganti uang riba",I3428="Kelebihan ganti dikembalikan",AND(C3428="Kantong Uang Riba",G3428="Pengeluaran"))),1,0)</f>
        <v/>
      </c>
      <c r="X3428" s="93">
        <f>IF(AND(B3428&lt;&gt;"",B3428&gt;='Buku Akun'!$H$4,B3428&lt;='Buku Akun'!$H$5,OR(C3428='Buku Akun'!$C$4,AND(D3428="Pindah",E3428='Buku Akun'!$C$4))),B3428+IF(AND(I3428="Selisih bunga",DAY(B3428)=1),0,0.01)+ROW()/10000000,"")</f>
        <v/>
      </c>
    </row>
    <row r="3429" outlineLevel="1" ht="15" customHeight="1" s="94">
      <c r="A3429" s="123">
        <f>IF(B3429="","",ROW()-15)</f>
        <v/>
      </c>
      <c r="B3429" s="124" t="n"/>
      <c r="C3429" s="123" t="n"/>
      <c r="D3429" s="123" t="n"/>
      <c r="E3429" s="123" t="n"/>
      <c r="F3429" s="125" t="n"/>
      <c r="G3429" s="123" t="n"/>
      <c r="H3429" s="123" t="n"/>
      <c r="I3429" s="123" t="n"/>
      <c r="J3429" s="123" t="n"/>
      <c r="K3429" s="123" t="n"/>
      <c r="L3429" s="123" t="n"/>
      <c r="M3429" s="123">
        <f>IF(AND(B3429&lt;&gt;"",OR($C$4="",ISNUMBER(SEARCH($C$4,C3429&amp;" "&amp;E3429&amp;" "&amp;G3429&amp;" "&amp;H3429&amp;" "&amp;I3429&amp;" "&amp;J3429&amp;" "&amp;K3429&amp;" "&amp;L3429))),OR($C$5="Semua",$C$5="",G3429=$C$5),OR($C$6="Semua",$C$6="",H3429=$C$6,H3429="Pengeluaran "&amp;$C$6,AND($C$6="Uang Kos Mama",H3429="Pengeluaran Uang Kos")),OR($C$7="Semua",$C$7="",I3429=$C$7),OR($C$8="Semua",$C$8="",C3429=$C$8,E3429=$C$8),OR($C$9="Semua",$C$9="",D3429=$C$9),OR($C$10="",B3429&gt;=$C$10),OR($C$11="",B3429&lt;=$C$11),OR($C$12&lt;&gt;"Ya",K3429&lt;&gt;""),OR($C$13="Semua",$C$13="",L3429=$C$13)),"✓","")</f>
        <v/>
      </c>
      <c r="N3429" s="93">
        <f>N(N3428)+IF(M3429="✓",1,0)</f>
        <v/>
      </c>
      <c r="O3429" s="93">
        <f>N(O3428)+IF(AND(B3429&lt;&gt;"",B3429&gt;='Uang Riba'!$H$30,B3429&lt;='Uang Riba'!$I$30,OR(H3429="Dana riba",H3429="Pinjam uang riba",I3429="Pinjam dari uang riba",I3429="Ganti uang riba",I3429="Kelebihan ganti dikembalikan",AND(C3429="Kantong Uang Riba",G3429="Pengeluaran"))),1,0)</f>
        <v/>
      </c>
      <c r="X3429" s="93">
        <f>IF(AND(B3429&lt;&gt;"",B3429&gt;='Buku Akun'!$H$4,B3429&lt;='Buku Akun'!$H$5,OR(C3429='Buku Akun'!$C$4,AND(D3429="Pindah",E3429='Buku Akun'!$C$4))),B3429+IF(AND(I3429="Selisih bunga",DAY(B3429)=1),0,0.01)+ROW()/10000000,"")</f>
        <v/>
      </c>
    </row>
    <row r="3430" outlineLevel="1" ht="15" customHeight="1" s="94">
      <c r="A3430" s="123">
        <f>IF(B3430="","",ROW()-15)</f>
        <v/>
      </c>
      <c r="B3430" s="124" t="n"/>
      <c r="C3430" s="123" t="n"/>
      <c r="D3430" s="123" t="n"/>
      <c r="E3430" s="123" t="n"/>
      <c r="F3430" s="125" t="n"/>
      <c r="G3430" s="123" t="n"/>
      <c r="H3430" s="123" t="n"/>
      <c r="I3430" s="123" t="n"/>
      <c r="J3430" s="123" t="n"/>
      <c r="K3430" s="123" t="n"/>
      <c r="L3430" s="123" t="n"/>
      <c r="M3430" s="123">
        <f>IF(AND(B3430&lt;&gt;"",OR($C$4="",ISNUMBER(SEARCH($C$4,C3430&amp;" "&amp;E3430&amp;" "&amp;G3430&amp;" "&amp;H3430&amp;" "&amp;I3430&amp;" "&amp;J3430&amp;" "&amp;K3430&amp;" "&amp;L3430))),OR($C$5="Semua",$C$5="",G3430=$C$5),OR($C$6="Semua",$C$6="",H3430=$C$6,H3430="Pengeluaran "&amp;$C$6,AND($C$6="Uang Kos Mama",H3430="Pengeluaran Uang Kos")),OR($C$7="Semua",$C$7="",I3430=$C$7),OR($C$8="Semua",$C$8="",C3430=$C$8,E3430=$C$8),OR($C$9="Semua",$C$9="",D3430=$C$9),OR($C$10="",B3430&gt;=$C$10),OR($C$11="",B3430&lt;=$C$11),OR($C$12&lt;&gt;"Ya",K3430&lt;&gt;""),OR($C$13="Semua",$C$13="",L3430=$C$13)),"✓","")</f>
        <v/>
      </c>
      <c r="N3430" s="93">
        <f>N(N3429)+IF(M3430="✓",1,0)</f>
        <v/>
      </c>
      <c r="O3430" s="93">
        <f>N(O3429)+IF(AND(B3430&lt;&gt;"",B3430&gt;='Uang Riba'!$H$30,B3430&lt;='Uang Riba'!$I$30,OR(H3430="Dana riba",H3430="Pinjam uang riba",I3430="Pinjam dari uang riba",I3430="Ganti uang riba",I3430="Kelebihan ganti dikembalikan",AND(C3430="Kantong Uang Riba",G3430="Pengeluaran"))),1,0)</f>
        <v/>
      </c>
      <c r="X3430" s="93">
        <f>IF(AND(B3430&lt;&gt;"",B3430&gt;='Buku Akun'!$H$4,B3430&lt;='Buku Akun'!$H$5,OR(C3430='Buku Akun'!$C$4,AND(D3430="Pindah",E3430='Buku Akun'!$C$4))),B3430+IF(AND(I3430="Selisih bunga",DAY(B3430)=1),0,0.01)+ROW()/10000000,"")</f>
        <v/>
      </c>
    </row>
    <row r="3431" outlineLevel="1" ht="15" customHeight="1" s="94">
      <c r="A3431" s="123">
        <f>IF(B3431="","",ROW()-15)</f>
        <v/>
      </c>
      <c r="B3431" s="124" t="n"/>
      <c r="C3431" s="123" t="n"/>
      <c r="D3431" s="123" t="n"/>
      <c r="E3431" s="123" t="n"/>
      <c r="F3431" s="125" t="n"/>
      <c r="G3431" s="123" t="n"/>
      <c r="H3431" s="123" t="n"/>
      <c r="I3431" s="123" t="n"/>
      <c r="J3431" s="123" t="n"/>
      <c r="K3431" s="123" t="n"/>
      <c r="L3431" s="123" t="n"/>
      <c r="M3431" s="123">
        <f>IF(AND(B3431&lt;&gt;"",OR($C$4="",ISNUMBER(SEARCH($C$4,C3431&amp;" "&amp;E3431&amp;" "&amp;G3431&amp;" "&amp;H3431&amp;" "&amp;I3431&amp;" "&amp;J3431&amp;" "&amp;K3431&amp;" "&amp;L3431))),OR($C$5="Semua",$C$5="",G3431=$C$5),OR($C$6="Semua",$C$6="",H3431=$C$6,H3431="Pengeluaran "&amp;$C$6,AND($C$6="Uang Kos Mama",H3431="Pengeluaran Uang Kos")),OR($C$7="Semua",$C$7="",I3431=$C$7),OR($C$8="Semua",$C$8="",C3431=$C$8,E3431=$C$8),OR($C$9="Semua",$C$9="",D3431=$C$9),OR($C$10="",B3431&gt;=$C$10),OR($C$11="",B3431&lt;=$C$11),OR($C$12&lt;&gt;"Ya",K3431&lt;&gt;""),OR($C$13="Semua",$C$13="",L3431=$C$13)),"✓","")</f>
        <v/>
      </c>
      <c r="N3431" s="93">
        <f>N(N3430)+IF(M3431="✓",1,0)</f>
        <v/>
      </c>
      <c r="O3431" s="93">
        <f>N(O3430)+IF(AND(B3431&lt;&gt;"",B3431&gt;='Uang Riba'!$H$30,B3431&lt;='Uang Riba'!$I$30,OR(H3431="Dana riba",H3431="Pinjam uang riba",I3431="Pinjam dari uang riba",I3431="Ganti uang riba",I3431="Kelebihan ganti dikembalikan",AND(C3431="Kantong Uang Riba",G3431="Pengeluaran"))),1,0)</f>
        <v/>
      </c>
      <c r="X3431" s="93">
        <f>IF(AND(B3431&lt;&gt;"",B3431&gt;='Buku Akun'!$H$4,B3431&lt;='Buku Akun'!$H$5,OR(C3431='Buku Akun'!$C$4,AND(D3431="Pindah",E3431='Buku Akun'!$C$4))),B3431+IF(AND(I3431="Selisih bunga",DAY(B3431)=1),0,0.01)+ROW()/10000000,"")</f>
        <v/>
      </c>
    </row>
    <row r="3432" outlineLevel="1" ht="15" customHeight="1" s="94">
      <c r="A3432" s="123">
        <f>IF(B3432="","",ROW()-15)</f>
        <v/>
      </c>
      <c r="B3432" s="124" t="n"/>
      <c r="C3432" s="123" t="n"/>
      <c r="D3432" s="123" t="n"/>
      <c r="E3432" s="123" t="n"/>
      <c r="F3432" s="125" t="n"/>
      <c r="G3432" s="123" t="n"/>
      <c r="H3432" s="123" t="n"/>
      <c r="I3432" s="123" t="n"/>
      <c r="J3432" s="123" t="n"/>
      <c r="K3432" s="123" t="n"/>
      <c r="L3432" s="123" t="n"/>
      <c r="M3432" s="123">
        <f>IF(AND(B3432&lt;&gt;"",OR($C$4="",ISNUMBER(SEARCH($C$4,C3432&amp;" "&amp;E3432&amp;" "&amp;G3432&amp;" "&amp;H3432&amp;" "&amp;I3432&amp;" "&amp;J3432&amp;" "&amp;K3432&amp;" "&amp;L3432))),OR($C$5="Semua",$C$5="",G3432=$C$5),OR($C$6="Semua",$C$6="",H3432=$C$6,H3432="Pengeluaran "&amp;$C$6,AND($C$6="Uang Kos Mama",H3432="Pengeluaran Uang Kos")),OR($C$7="Semua",$C$7="",I3432=$C$7),OR($C$8="Semua",$C$8="",C3432=$C$8,E3432=$C$8),OR($C$9="Semua",$C$9="",D3432=$C$9),OR($C$10="",B3432&gt;=$C$10),OR($C$11="",B3432&lt;=$C$11),OR($C$12&lt;&gt;"Ya",K3432&lt;&gt;""),OR($C$13="Semua",$C$13="",L3432=$C$13)),"✓","")</f>
        <v/>
      </c>
      <c r="N3432" s="93">
        <f>N(N3431)+IF(M3432="✓",1,0)</f>
        <v/>
      </c>
      <c r="O3432" s="93">
        <f>N(O3431)+IF(AND(B3432&lt;&gt;"",B3432&gt;='Uang Riba'!$H$30,B3432&lt;='Uang Riba'!$I$30,OR(H3432="Dana riba",H3432="Pinjam uang riba",I3432="Pinjam dari uang riba",I3432="Ganti uang riba",I3432="Kelebihan ganti dikembalikan",AND(C3432="Kantong Uang Riba",G3432="Pengeluaran"))),1,0)</f>
        <v/>
      </c>
      <c r="X3432" s="93">
        <f>IF(AND(B3432&lt;&gt;"",B3432&gt;='Buku Akun'!$H$4,B3432&lt;='Buku Akun'!$H$5,OR(C3432='Buku Akun'!$C$4,AND(D3432="Pindah",E3432='Buku Akun'!$C$4))),B3432+IF(AND(I3432="Selisih bunga",DAY(B3432)=1),0,0.01)+ROW()/10000000,"")</f>
        <v/>
      </c>
    </row>
    <row r="3433" outlineLevel="1" ht="15" customHeight="1" s="94">
      <c r="A3433" s="123">
        <f>IF(B3433="","",ROW()-15)</f>
        <v/>
      </c>
      <c r="B3433" s="124" t="n"/>
      <c r="C3433" s="123" t="n"/>
      <c r="D3433" s="123" t="n"/>
      <c r="E3433" s="123" t="n"/>
      <c r="F3433" s="125" t="n"/>
      <c r="G3433" s="123" t="n"/>
      <c r="H3433" s="123" t="n"/>
      <c r="I3433" s="123" t="n"/>
      <c r="J3433" s="123" t="n"/>
      <c r="K3433" s="123" t="n"/>
      <c r="L3433" s="123" t="n"/>
      <c r="M3433" s="123">
        <f>IF(AND(B3433&lt;&gt;"",OR($C$4="",ISNUMBER(SEARCH($C$4,C3433&amp;" "&amp;E3433&amp;" "&amp;G3433&amp;" "&amp;H3433&amp;" "&amp;I3433&amp;" "&amp;J3433&amp;" "&amp;K3433&amp;" "&amp;L3433))),OR($C$5="Semua",$C$5="",G3433=$C$5),OR($C$6="Semua",$C$6="",H3433=$C$6,H3433="Pengeluaran "&amp;$C$6,AND($C$6="Uang Kos Mama",H3433="Pengeluaran Uang Kos")),OR($C$7="Semua",$C$7="",I3433=$C$7),OR($C$8="Semua",$C$8="",C3433=$C$8,E3433=$C$8),OR($C$9="Semua",$C$9="",D3433=$C$9),OR($C$10="",B3433&gt;=$C$10),OR($C$11="",B3433&lt;=$C$11),OR($C$12&lt;&gt;"Ya",K3433&lt;&gt;""),OR($C$13="Semua",$C$13="",L3433=$C$13)),"✓","")</f>
        <v/>
      </c>
      <c r="N3433" s="93">
        <f>N(N3432)+IF(M3433="✓",1,0)</f>
        <v/>
      </c>
      <c r="O3433" s="93">
        <f>N(O3432)+IF(AND(B3433&lt;&gt;"",B3433&gt;='Uang Riba'!$H$30,B3433&lt;='Uang Riba'!$I$30,OR(H3433="Dana riba",H3433="Pinjam uang riba",I3433="Pinjam dari uang riba",I3433="Ganti uang riba",I3433="Kelebihan ganti dikembalikan",AND(C3433="Kantong Uang Riba",G3433="Pengeluaran"))),1,0)</f>
        <v/>
      </c>
      <c r="X3433" s="93">
        <f>IF(AND(B3433&lt;&gt;"",B3433&gt;='Buku Akun'!$H$4,B3433&lt;='Buku Akun'!$H$5,OR(C3433='Buku Akun'!$C$4,AND(D3433="Pindah",E3433='Buku Akun'!$C$4))),B3433+IF(AND(I3433="Selisih bunga",DAY(B3433)=1),0,0.01)+ROW()/10000000,"")</f>
        <v/>
      </c>
    </row>
    <row r="3434" outlineLevel="1" ht="15" customHeight="1" s="94">
      <c r="A3434" s="123">
        <f>IF(B3434="","",ROW()-15)</f>
        <v/>
      </c>
      <c r="B3434" s="124" t="n"/>
      <c r="C3434" s="123" t="n"/>
      <c r="D3434" s="123" t="n"/>
      <c r="E3434" s="123" t="n"/>
      <c r="F3434" s="125" t="n"/>
      <c r="G3434" s="123" t="n"/>
      <c r="H3434" s="123" t="n"/>
      <c r="I3434" s="123" t="n"/>
      <c r="J3434" s="123" t="n"/>
      <c r="K3434" s="123" t="n"/>
      <c r="L3434" s="123" t="n"/>
      <c r="M3434" s="123">
        <f>IF(AND(B3434&lt;&gt;"",OR($C$4="",ISNUMBER(SEARCH($C$4,C3434&amp;" "&amp;E3434&amp;" "&amp;G3434&amp;" "&amp;H3434&amp;" "&amp;I3434&amp;" "&amp;J3434&amp;" "&amp;K3434&amp;" "&amp;L3434))),OR($C$5="Semua",$C$5="",G3434=$C$5),OR($C$6="Semua",$C$6="",H3434=$C$6,H3434="Pengeluaran "&amp;$C$6,AND($C$6="Uang Kos Mama",H3434="Pengeluaran Uang Kos")),OR($C$7="Semua",$C$7="",I3434=$C$7),OR($C$8="Semua",$C$8="",C3434=$C$8,E3434=$C$8),OR($C$9="Semua",$C$9="",D3434=$C$9),OR($C$10="",B3434&gt;=$C$10),OR($C$11="",B3434&lt;=$C$11),OR($C$12&lt;&gt;"Ya",K3434&lt;&gt;""),OR($C$13="Semua",$C$13="",L3434=$C$13)),"✓","")</f>
        <v/>
      </c>
      <c r="N3434" s="93">
        <f>N(N3433)+IF(M3434="✓",1,0)</f>
        <v/>
      </c>
      <c r="O3434" s="93">
        <f>N(O3433)+IF(AND(B3434&lt;&gt;"",B3434&gt;='Uang Riba'!$H$30,B3434&lt;='Uang Riba'!$I$30,OR(H3434="Dana riba",H3434="Pinjam uang riba",I3434="Pinjam dari uang riba",I3434="Ganti uang riba",I3434="Kelebihan ganti dikembalikan",AND(C3434="Kantong Uang Riba",G3434="Pengeluaran"))),1,0)</f>
        <v/>
      </c>
      <c r="X3434" s="93">
        <f>IF(AND(B3434&lt;&gt;"",B3434&gt;='Buku Akun'!$H$4,B3434&lt;='Buku Akun'!$H$5,OR(C3434='Buku Akun'!$C$4,AND(D3434="Pindah",E3434='Buku Akun'!$C$4))),B3434+IF(AND(I3434="Selisih bunga",DAY(B3434)=1),0,0.01)+ROW()/10000000,"")</f>
        <v/>
      </c>
    </row>
    <row r="3435" outlineLevel="1" ht="15" customHeight="1" s="94">
      <c r="A3435" s="123">
        <f>IF(B3435="","",ROW()-15)</f>
        <v/>
      </c>
      <c r="B3435" s="124" t="n"/>
      <c r="C3435" s="123" t="n"/>
      <c r="D3435" s="123" t="n"/>
      <c r="E3435" s="123" t="n"/>
      <c r="F3435" s="125" t="n"/>
      <c r="G3435" s="123" t="n"/>
      <c r="H3435" s="123" t="n"/>
      <c r="I3435" s="123" t="n"/>
      <c r="J3435" s="123" t="n"/>
      <c r="K3435" s="123" t="n"/>
      <c r="L3435" s="123" t="n"/>
      <c r="M3435" s="123">
        <f>IF(AND(B3435&lt;&gt;"",OR($C$4="",ISNUMBER(SEARCH($C$4,C3435&amp;" "&amp;E3435&amp;" "&amp;G3435&amp;" "&amp;H3435&amp;" "&amp;I3435&amp;" "&amp;J3435&amp;" "&amp;K3435&amp;" "&amp;L3435))),OR($C$5="Semua",$C$5="",G3435=$C$5),OR($C$6="Semua",$C$6="",H3435=$C$6,H3435="Pengeluaran "&amp;$C$6,AND($C$6="Uang Kos Mama",H3435="Pengeluaran Uang Kos")),OR($C$7="Semua",$C$7="",I3435=$C$7),OR($C$8="Semua",$C$8="",C3435=$C$8,E3435=$C$8),OR($C$9="Semua",$C$9="",D3435=$C$9),OR($C$10="",B3435&gt;=$C$10),OR($C$11="",B3435&lt;=$C$11),OR($C$12&lt;&gt;"Ya",K3435&lt;&gt;""),OR($C$13="Semua",$C$13="",L3435=$C$13)),"✓","")</f>
        <v/>
      </c>
      <c r="N3435" s="93">
        <f>N(N3434)+IF(M3435="✓",1,0)</f>
        <v/>
      </c>
      <c r="O3435" s="93">
        <f>N(O3434)+IF(AND(B3435&lt;&gt;"",B3435&gt;='Uang Riba'!$H$30,B3435&lt;='Uang Riba'!$I$30,OR(H3435="Dana riba",H3435="Pinjam uang riba",I3435="Pinjam dari uang riba",I3435="Ganti uang riba",I3435="Kelebihan ganti dikembalikan",AND(C3435="Kantong Uang Riba",G3435="Pengeluaran"))),1,0)</f>
        <v/>
      </c>
      <c r="X3435" s="93">
        <f>IF(AND(B3435&lt;&gt;"",B3435&gt;='Buku Akun'!$H$4,B3435&lt;='Buku Akun'!$H$5,OR(C3435='Buku Akun'!$C$4,AND(D3435="Pindah",E3435='Buku Akun'!$C$4))),B3435+IF(AND(I3435="Selisih bunga",DAY(B3435)=1),0,0.01)+ROW()/10000000,"")</f>
        <v/>
      </c>
    </row>
    <row r="3436" outlineLevel="1" ht="15" customHeight="1" s="94">
      <c r="A3436" s="123">
        <f>IF(B3436="","",ROW()-15)</f>
        <v/>
      </c>
      <c r="B3436" s="124" t="n"/>
      <c r="C3436" s="123" t="n"/>
      <c r="D3436" s="123" t="n"/>
      <c r="E3436" s="123" t="n"/>
      <c r="F3436" s="125" t="n"/>
      <c r="G3436" s="123" t="n"/>
      <c r="H3436" s="123" t="n"/>
      <c r="I3436" s="123" t="n"/>
      <c r="J3436" s="123" t="n"/>
      <c r="K3436" s="123" t="n"/>
      <c r="L3436" s="123" t="n"/>
      <c r="M3436" s="123">
        <f>IF(AND(B3436&lt;&gt;"",OR($C$4="",ISNUMBER(SEARCH($C$4,C3436&amp;" "&amp;E3436&amp;" "&amp;G3436&amp;" "&amp;H3436&amp;" "&amp;I3436&amp;" "&amp;J3436&amp;" "&amp;K3436&amp;" "&amp;L3436))),OR($C$5="Semua",$C$5="",G3436=$C$5),OR($C$6="Semua",$C$6="",H3436=$C$6,H3436="Pengeluaran "&amp;$C$6,AND($C$6="Uang Kos Mama",H3436="Pengeluaran Uang Kos")),OR($C$7="Semua",$C$7="",I3436=$C$7),OR($C$8="Semua",$C$8="",C3436=$C$8,E3436=$C$8),OR($C$9="Semua",$C$9="",D3436=$C$9),OR($C$10="",B3436&gt;=$C$10),OR($C$11="",B3436&lt;=$C$11),OR($C$12&lt;&gt;"Ya",K3436&lt;&gt;""),OR($C$13="Semua",$C$13="",L3436=$C$13)),"✓","")</f>
        <v/>
      </c>
      <c r="N3436" s="93">
        <f>N(N3435)+IF(M3436="✓",1,0)</f>
        <v/>
      </c>
      <c r="O3436" s="93">
        <f>N(O3435)+IF(AND(B3436&lt;&gt;"",B3436&gt;='Uang Riba'!$H$30,B3436&lt;='Uang Riba'!$I$30,OR(H3436="Dana riba",H3436="Pinjam uang riba",I3436="Pinjam dari uang riba",I3436="Ganti uang riba",I3436="Kelebihan ganti dikembalikan",AND(C3436="Kantong Uang Riba",G3436="Pengeluaran"))),1,0)</f>
        <v/>
      </c>
      <c r="X3436" s="93">
        <f>IF(AND(B3436&lt;&gt;"",B3436&gt;='Buku Akun'!$H$4,B3436&lt;='Buku Akun'!$H$5,OR(C3436='Buku Akun'!$C$4,AND(D3436="Pindah",E3436='Buku Akun'!$C$4))),B3436+IF(AND(I3436="Selisih bunga",DAY(B3436)=1),0,0.01)+ROW()/10000000,"")</f>
        <v/>
      </c>
    </row>
    <row r="3437" outlineLevel="1" ht="15" customHeight="1" s="94">
      <c r="A3437" s="123">
        <f>IF(B3437="","",ROW()-15)</f>
        <v/>
      </c>
      <c r="B3437" s="124" t="n"/>
      <c r="C3437" s="123" t="n"/>
      <c r="D3437" s="123" t="n"/>
      <c r="E3437" s="123" t="n"/>
      <c r="F3437" s="125" t="n"/>
      <c r="G3437" s="123" t="n"/>
      <c r="H3437" s="123" t="n"/>
      <c r="I3437" s="123" t="n"/>
      <c r="J3437" s="123" t="n"/>
      <c r="K3437" s="123" t="n"/>
      <c r="L3437" s="123" t="n"/>
      <c r="M3437" s="123">
        <f>IF(AND(B3437&lt;&gt;"",OR($C$4="",ISNUMBER(SEARCH($C$4,C3437&amp;" "&amp;E3437&amp;" "&amp;G3437&amp;" "&amp;H3437&amp;" "&amp;I3437&amp;" "&amp;J3437&amp;" "&amp;K3437&amp;" "&amp;L3437))),OR($C$5="Semua",$C$5="",G3437=$C$5),OR($C$6="Semua",$C$6="",H3437=$C$6,H3437="Pengeluaran "&amp;$C$6,AND($C$6="Uang Kos Mama",H3437="Pengeluaran Uang Kos")),OR($C$7="Semua",$C$7="",I3437=$C$7),OR($C$8="Semua",$C$8="",C3437=$C$8,E3437=$C$8),OR($C$9="Semua",$C$9="",D3437=$C$9),OR($C$10="",B3437&gt;=$C$10),OR($C$11="",B3437&lt;=$C$11),OR($C$12&lt;&gt;"Ya",K3437&lt;&gt;""),OR($C$13="Semua",$C$13="",L3437=$C$13)),"✓","")</f>
        <v/>
      </c>
      <c r="N3437" s="93">
        <f>N(N3436)+IF(M3437="✓",1,0)</f>
        <v/>
      </c>
      <c r="O3437" s="93">
        <f>N(O3436)+IF(AND(B3437&lt;&gt;"",B3437&gt;='Uang Riba'!$H$30,B3437&lt;='Uang Riba'!$I$30,OR(H3437="Dana riba",H3437="Pinjam uang riba",I3437="Pinjam dari uang riba",I3437="Ganti uang riba",I3437="Kelebihan ganti dikembalikan",AND(C3437="Kantong Uang Riba",G3437="Pengeluaran"))),1,0)</f>
        <v/>
      </c>
      <c r="X3437" s="93">
        <f>IF(AND(B3437&lt;&gt;"",B3437&gt;='Buku Akun'!$H$4,B3437&lt;='Buku Akun'!$H$5,OR(C3437='Buku Akun'!$C$4,AND(D3437="Pindah",E3437='Buku Akun'!$C$4))),B3437+IF(AND(I3437="Selisih bunga",DAY(B3437)=1),0,0.01)+ROW()/10000000,"")</f>
        <v/>
      </c>
    </row>
    <row r="3438" outlineLevel="1" ht="15" customHeight="1" s="94">
      <c r="A3438" s="123">
        <f>IF(B3438="","",ROW()-15)</f>
        <v/>
      </c>
      <c r="B3438" s="124" t="n"/>
      <c r="C3438" s="123" t="n"/>
      <c r="D3438" s="123" t="n"/>
      <c r="E3438" s="123" t="n"/>
      <c r="F3438" s="125" t="n"/>
      <c r="G3438" s="123" t="n"/>
      <c r="H3438" s="123" t="n"/>
      <c r="I3438" s="123" t="n"/>
      <c r="J3438" s="123" t="n"/>
      <c r="K3438" s="123" t="n"/>
      <c r="L3438" s="123" t="n"/>
      <c r="M3438" s="123">
        <f>IF(AND(B3438&lt;&gt;"",OR($C$4="",ISNUMBER(SEARCH($C$4,C3438&amp;" "&amp;E3438&amp;" "&amp;G3438&amp;" "&amp;H3438&amp;" "&amp;I3438&amp;" "&amp;J3438&amp;" "&amp;K3438&amp;" "&amp;L3438))),OR($C$5="Semua",$C$5="",G3438=$C$5),OR($C$6="Semua",$C$6="",H3438=$C$6,H3438="Pengeluaran "&amp;$C$6,AND($C$6="Uang Kos Mama",H3438="Pengeluaran Uang Kos")),OR($C$7="Semua",$C$7="",I3438=$C$7),OR($C$8="Semua",$C$8="",C3438=$C$8,E3438=$C$8),OR($C$9="Semua",$C$9="",D3438=$C$9),OR($C$10="",B3438&gt;=$C$10),OR($C$11="",B3438&lt;=$C$11),OR($C$12&lt;&gt;"Ya",K3438&lt;&gt;""),OR($C$13="Semua",$C$13="",L3438=$C$13)),"✓","")</f>
        <v/>
      </c>
      <c r="N3438" s="93">
        <f>N(N3437)+IF(M3438="✓",1,0)</f>
        <v/>
      </c>
      <c r="O3438" s="93">
        <f>N(O3437)+IF(AND(B3438&lt;&gt;"",B3438&gt;='Uang Riba'!$H$30,B3438&lt;='Uang Riba'!$I$30,OR(H3438="Dana riba",H3438="Pinjam uang riba",I3438="Pinjam dari uang riba",I3438="Ganti uang riba",I3438="Kelebihan ganti dikembalikan",AND(C3438="Kantong Uang Riba",G3438="Pengeluaran"))),1,0)</f>
        <v/>
      </c>
      <c r="X3438" s="93">
        <f>IF(AND(B3438&lt;&gt;"",B3438&gt;='Buku Akun'!$H$4,B3438&lt;='Buku Akun'!$H$5,OR(C3438='Buku Akun'!$C$4,AND(D3438="Pindah",E3438='Buku Akun'!$C$4))),B3438+IF(AND(I3438="Selisih bunga",DAY(B3438)=1),0,0.01)+ROW()/10000000,"")</f>
        <v/>
      </c>
    </row>
    <row r="3439" outlineLevel="1" ht="15" customHeight="1" s="94">
      <c r="A3439" s="123">
        <f>IF(B3439="","",ROW()-15)</f>
        <v/>
      </c>
      <c r="B3439" s="124" t="n"/>
      <c r="C3439" s="123" t="n"/>
      <c r="D3439" s="123" t="n"/>
      <c r="E3439" s="123" t="n"/>
      <c r="F3439" s="125" t="n"/>
      <c r="G3439" s="123" t="n"/>
      <c r="H3439" s="123" t="n"/>
      <c r="I3439" s="123" t="n"/>
      <c r="J3439" s="123" t="n"/>
      <c r="K3439" s="123" t="n"/>
      <c r="L3439" s="123" t="n"/>
      <c r="M3439" s="123">
        <f>IF(AND(B3439&lt;&gt;"",OR($C$4="",ISNUMBER(SEARCH($C$4,C3439&amp;" "&amp;E3439&amp;" "&amp;G3439&amp;" "&amp;H3439&amp;" "&amp;I3439&amp;" "&amp;J3439&amp;" "&amp;K3439&amp;" "&amp;L3439))),OR($C$5="Semua",$C$5="",G3439=$C$5),OR($C$6="Semua",$C$6="",H3439=$C$6,H3439="Pengeluaran "&amp;$C$6,AND($C$6="Uang Kos Mama",H3439="Pengeluaran Uang Kos")),OR($C$7="Semua",$C$7="",I3439=$C$7),OR($C$8="Semua",$C$8="",C3439=$C$8,E3439=$C$8),OR($C$9="Semua",$C$9="",D3439=$C$9),OR($C$10="",B3439&gt;=$C$10),OR($C$11="",B3439&lt;=$C$11),OR($C$12&lt;&gt;"Ya",K3439&lt;&gt;""),OR($C$13="Semua",$C$13="",L3439=$C$13)),"✓","")</f>
        <v/>
      </c>
      <c r="N3439" s="93">
        <f>N(N3438)+IF(M3439="✓",1,0)</f>
        <v/>
      </c>
      <c r="O3439" s="93">
        <f>N(O3438)+IF(AND(B3439&lt;&gt;"",B3439&gt;='Uang Riba'!$H$30,B3439&lt;='Uang Riba'!$I$30,OR(H3439="Dana riba",H3439="Pinjam uang riba",I3439="Pinjam dari uang riba",I3439="Ganti uang riba",I3439="Kelebihan ganti dikembalikan",AND(C3439="Kantong Uang Riba",G3439="Pengeluaran"))),1,0)</f>
        <v/>
      </c>
      <c r="X3439" s="93">
        <f>IF(AND(B3439&lt;&gt;"",B3439&gt;='Buku Akun'!$H$4,B3439&lt;='Buku Akun'!$H$5,OR(C3439='Buku Akun'!$C$4,AND(D3439="Pindah",E3439='Buku Akun'!$C$4))),B3439+IF(AND(I3439="Selisih bunga",DAY(B3439)=1),0,0.01)+ROW()/10000000,"")</f>
        <v/>
      </c>
    </row>
    <row r="3440" outlineLevel="1" ht="15" customHeight="1" s="94">
      <c r="A3440" s="123">
        <f>IF(B3440="","",ROW()-15)</f>
        <v/>
      </c>
      <c r="B3440" s="124" t="n"/>
      <c r="C3440" s="123" t="n"/>
      <c r="D3440" s="123" t="n"/>
      <c r="E3440" s="123" t="n"/>
      <c r="F3440" s="125" t="n"/>
      <c r="G3440" s="123" t="n"/>
      <c r="H3440" s="123" t="n"/>
      <c r="I3440" s="123" t="n"/>
      <c r="J3440" s="123" t="n"/>
      <c r="K3440" s="123" t="n"/>
      <c r="L3440" s="123" t="n"/>
      <c r="M3440" s="123">
        <f>IF(AND(B3440&lt;&gt;"",OR($C$4="",ISNUMBER(SEARCH($C$4,C3440&amp;" "&amp;E3440&amp;" "&amp;G3440&amp;" "&amp;H3440&amp;" "&amp;I3440&amp;" "&amp;J3440&amp;" "&amp;K3440&amp;" "&amp;L3440))),OR($C$5="Semua",$C$5="",G3440=$C$5),OR($C$6="Semua",$C$6="",H3440=$C$6,H3440="Pengeluaran "&amp;$C$6,AND($C$6="Uang Kos Mama",H3440="Pengeluaran Uang Kos")),OR($C$7="Semua",$C$7="",I3440=$C$7),OR($C$8="Semua",$C$8="",C3440=$C$8,E3440=$C$8),OR($C$9="Semua",$C$9="",D3440=$C$9),OR($C$10="",B3440&gt;=$C$10),OR($C$11="",B3440&lt;=$C$11),OR($C$12&lt;&gt;"Ya",K3440&lt;&gt;""),OR($C$13="Semua",$C$13="",L3440=$C$13)),"✓","")</f>
        <v/>
      </c>
      <c r="N3440" s="93">
        <f>N(N3439)+IF(M3440="✓",1,0)</f>
        <v/>
      </c>
      <c r="O3440" s="93">
        <f>N(O3439)+IF(AND(B3440&lt;&gt;"",B3440&gt;='Uang Riba'!$H$30,B3440&lt;='Uang Riba'!$I$30,OR(H3440="Dana riba",H3440="Pinjam uang riba",I3440="Pinjam dari uang riba",I3440="Ganti uang riba",I3440="Kelebihan ganti dikembalikan",AND(C3440="Kantong Uang Riba",G3440="Pengeluaran"))),1,0)</f>
        <v/>
      </c>
      <c r="X3440" s="93">
        <f>IF(AND(B3440&lt;&gt;"",B3440&gt;='Buku Akun'!$H$4,B3440&lt;='Buku Akun'!$H$5,OR(C3440='Buku Akun'!$C$4,AND(D3440="Pindah",E3440='Buku Akun'!$C$4))),B3440+IF(AND(I3440="Selisih bunga",DAY(B3440)=1),0,0.01)+ROW()/10000000,"")</f>
        <v/>
      </c>
    </row>
    <row r="3441" outlineLevel="1" ht="15" customHeight="1" s="94">
      <c r="A3441" s="123">
        <f>IF(B3441="","",ROW()-15)</f>
        <v/>
      </c>
      <c r="B3441" s="124" t="n"/>
      <c r="C3441" s="123" t="n"/>
      <c r="D3441" s="123" t="n"/>
      <c r="E3441" s="123" t="n"/>
      <c r="F3441" s="125" t="n"/>
      <c r="G3441" s="123" t="n"/>
      <c r="H3441" s="123" t="n"/>
      <c r="I3441" s="123" t="n"/>
      <c r="J3441" s="123" t="n"/>
      <c r="K3441" s="123" t="n"/>
      <c r="L3441" s="123" t="n"/>
      <c r="M3441" s="123">
        <f>IF(AND(B3441&lt;&gt;"",OR($C$4="",ISNUMBER(SEARCH($C$4,C3441&amp;" "&amp;E3441&amp;" "&amp;G3441&amp;" "&amp;H3441&amp;" "&amp;I3441&amp;" "&amp;J3441&amp;" "&amp;K3441&amp;" "&amp;L3441))),OR($C$5="Semua",$C$5="",G3441=$C$5),OR($C$6="Semua",$C$6="",H3441=$C$6,H3441="Pengeluaran "&amp;$C$6,AND($C$6="Uang Kos Mama",H3441="Pengeluaran Uang Kos")),OR($C$7="Semua",$C$7="",I3441=$C$7),OR($C$8="Semua",$C$8="",C3441=$C$8,E3441=$C$8),OR($C$9="Semua",$C$9="",D3441=$C$9),OR($C$10="",B3441&gt;=$C$10),OR($C$11="",B3441&lt;=$C$11),OR($C$12&lt;&gt;"Ya",K3441&lt;&gt;""),OR($C$13="Semua",$C$13="",L3441=$C$13)),"✓","")</f>
        <v/>
      </c>
      <c r="N3441" s="93">
        <f>N(N3440)+IF(M3441="✓",1,0)</f>
        <v/>
      </c>
      <c r="O3441" s="93">
        <f>N(O3440)+IF(AND(B3441&lt;&gt;"",B3441&gt;='Uang Riba'!$H$30,B3441&lt;='Uang Riba'!$I$30,OR(H3441="Dana riba",H3441="Pinjam uang riba",I3441="Pinjam dari uang riba",I3441="Ganti uang riba",I3441="Kelebihan ganti dikembalikan",AND(C3441="Kantong Uang Riba",G3441="Pengeluaran"))),1,0)</f>
        <v/>
      </c>
      <c r="X3441" s="93">
        <f>IF(AND(B3441&lt;&gt;"",B3441&gt;='Buku Akun'!$H$4,B3441&lt;='Buku Akun'!$H$5,OR(C3441='Buku Akun'!$C$4,AND(D3441="Pindah",E3441='Buku Akun'!$C$4))),B3441+IF(AND(I3441="Selisih bunga",DAY(B3441)=1),0,0.01)+ROW()/10000000,"")</f>
        <v/>
      </c>
    </row>
    <row r="3442" outlineLevel="1" ht="15" customHeight="1" s="94">
      <c r="A3442" s="123">
        <f>IF(B3442="","",ROW()-15)</f>
        <v/>
      </c>
      <c r="B3442" s="124" t="n"/>
      <c r="C3442" s="123" t="n"/>
      <c r="D3442" s="123" t="n"/>
      <c r="E3442" s="123" t="n"/>
      <c r="F3442" s="125" t="n"/>
      <c r="G3442" s="123" t="n"/>
      <c r="H3442" s="123" t="n"/>
      <c r="I3442" s="123" t="n"/>
      <c r="J3442" s="123" t="n"/>
      <c r="K3442" s="123" t="n"/>
      <c r="L3442" s="123" t="n"/>
      <c r="M3442" s="123">
        <f>IF(AND(B3442&lt;&gt;"",OR($C$4="",ISNUMBER(SEARCH($C$4,C3442&amp;" "&amp;E3442&amp;" "&amp;G3442&amp;" "&amp;H3442&amp;" "&amp;I3442&amp;" "&amp;J3442&amp;" "&amp;K3442&amp;" "&amp;L3442))),OR($C$5="Semua",$C$5="",G3442=$C$5),OR($C$6="Semua",$C$6="",H3442=$C$6,H3442="Pengeluaran "&amp;$C$6,AND($C$6="Uang Kos Mama",H3442="Pengeluaran Uang Kos")),OR($C$7="Semua",$C$7="",I3442=$C$7),OR($C$8="Semua",$C$8="",C3442=$C$8,E3442=$C$8),OR($C$9="Semua",$C$9="",D3442=$C$9),OR($C$10="",B3442&gt;=$C$10),OR($C$11="",B3442&lt;=$C$11),OR($C$12&lt;&gt;"Ya",K3442&lt;&gt;""),OR($C$13="Semua",$C$13="",L3442=$C$13)),"✓","")</f>
        <v/>
      </c>
      <c r="N3442" s="93">
        <f>N(N3441)+IF(M3442="✓",1,0)</f>
        <v/>
      </c>
      <c r="O3442" s="93">
        <f>N(O3441)+IF(AND(B3442&lt;&gt;"",B3442&gt;='Uang Riba'!$H$30,B3442&lt;='Uang Riba'!$I$30,OR(H3442="Dana riba",H3442="Pinjam uang riba",I3442="Pinjam dari uang riba",I3442="Ganti uang riba",I3442="Kelebihan ganti dikembalikan",AND(C3442="Kantong Uang Riba",G3442="Pengeluaran"))),1,0)</f>
        <v/>
      </c>
      <c r="X3442" s="93">
        <f>IF(AND(B3442&lt;&gt;"",B3442&gt;='Buku Akun'!$H$4,B3442&lt;='Buku Akun'!$H$5,OR(C3442='Buku Akun'!$C$4,AND(D3442="Pindah",E3442='Buku Akun'!$C$4))),B3442+IF(AND(I3442="Selisih bunga",DAY(B3442)=1),0,0.01)+ROW()/10000000,"")</f>
        <v/>
      </c>
    </row>
    <row r="3443" outlineLevel="1" ht="15" customHeight="1" s="94">
      <c r="A3443" s="123">
        <f>IF(B3443="","",ROW()-15)</f>
        <v/>
      </c>
      <c r="B3443" s="124" t="n"/>
      <c r="C3443" s="123" t="n"/>
      <c r="D3443" s="123" t="n"/>
      <c r="E3443" s="123" t="n"/>
      <c r="F3443" s="125" t="n"/>
      <c r="G3443" s="123" t="n"/>
      <c r="H3443" s="123" t="n"/>
      <c r="I3443" s="123" t="n"/>
      <c r="J3443" s="123" t="n"/>
      <c r="K3443" s="123" t="n"/>
      <c r="L3443" s="123" t="n"/>
      <c r="M3443" s="123">
        <f>IF(AND(B3443&lt;&gt;"",OR($C$4="",ISNUMBER(SEARCH($C$4,C3443&amp;" "&amp;E3443&amp;" "&amp;G3443&amp;" "&amp;H3443&amp;" "&amp;I3443&amp;" "&amp;J3443&amp;" "&amp;K3443&amp;" "&amp;L3443))),OR($C$5="Semua",$C$5="",G3443=$C$5),OR($C$6="Semua",$C$6="",H3443=$C$6,H3443="Pengeluaran "&amp;$C$6,AND($C$6="Uang Kos Mama",H3443="Pengeluaran Uang Kos")),OR($C$7="Semua",$C$7="",I3443=$C$7),OR($C$8="Semua",$C$8="",C3443=$C$8,E3443=$C$8),OR($C$9="Semua",$C$9="",D3443=$C$9),OR($C$10="",B3443&gt;=$C$10),OR($C$11="",B3443&lt;=$C$11),OR($C$12&lt;&gt;"Ya",K3443&lt;&gt;""),OR($C$13="Semua",$C$13="",L3443=$C$13)),"✓","")</f>
        <v/>
      </c>
      <c r="N3443" s="93">
        <f>N(N3442)+IF(M3443="✓",1,0)</f>
        <v/>
      </c>
      <c r="O3443" s="93">
        <f>N(O3442)+IF(AND(B3443&lt;&gt;"",B3443&gt;='Uang Riba'!$H$30,B3443&lt;='Uang Riba'!$I$30,OR(H3443="Dana riba",H3443="Pinjam uang riba",I3443="Pinjam dari uang riba",I3443="Ganti uang riba",I3443="Kelebihan ganti dikembalikan",AND(C3443="Kantong Uang Riba",G3443="Pengeluaran"))),1,0)</f>
        <v/>
      </c>
      <c r="X3443" s="93">
        <f>IF(AND(B3443&lt;&gt;"",B3443&gt;='Buku Akun'!$H$4,B3443&lt;='Buku Akun'!$H$5,OR(C3443='Buku Akun'!$C$4,AND(D3443="Pindah",E3443='Buku Akun'!$C$4))),B3443+IF(AND(I3443="Selisih bunga",DAY(B3443)=1),0,0.01)+ROW()/10000000,"")</f>
        <v/>
      </c>
    </row>
    <row r="3444" outlineLevel="1" ht="15" customHeight="1" s="94">
      <c r="A3444" s="123">
        <f>IF(B3444="","",ROW()-15)</f>
        <v/>
      </c>
      <c r="B3444" s="124" t="n"/>
      <c r="C3444" s="123" t="n"/>
      <c r="D3444" s="123" t="n"/>
      <c r="E3444" s="123" t="n"/>
      <c r="F3444" s="125" t="n"/>
      <c r="G3444" s="123" t="n"/>
      <c r="H3444" s="123" t="n"/>
      <c r="I3444" s="123" t="n"/>
      <c r="J3444" s="123" t="n"/>
      <c r="K3444" s="123" t="n"/>
      <c r="L3444" s="123" t="n"/>
      <c r="M3444" s="123">
        <f>IF(AND(B3444&lt;&gt;"",OR($C$4="",ISNUMBER(SEARCH($C$4,C3444&amp;" "&amp;E3444&amp;" "&amp;G3444&amp;" "&amp;H3444&amp;" "&amp;I3444&amp;" "&amp;J3444&amp;" "&amp;K3444&amp;" "&amp;L3444))),OR($C$5="Semua",$C$5="",G3444=$C$5),OR($C$6="Semua",$C$6="",H3444=$C$6,H3444="Pengeluaran "&amp;$C$6,AND($C$6="Uang Kos Mama",H3444="Pengeluaran Uang Kos")),OR($C$7="Semua",$C$7="",I3444=$C$7),OR($C$8="Semua",$C$8="",C3444=$C$8,E3444=$C$8),OR($C$9="Semua",$C$9="",D3444=$C$9),OR($C$10="",B3444&gt;=$C$10),OR($C$11="",B3444&lt;=$C$11),OR($C$12&lt;&gt;"Ya",K3444&lt;&gt;""),OR($C$13="Semua",$C$13="",L3444=$C$13)),"✓","")</f>
        <v/>
      </c>
      <c r="N3444" s="93">
        <f>N(N3443)+IF(M3444="✓",1,0)</f>
        <v/>
      </c>
      <c r="O3444" s="93">
        <f>N(O3443)+IF(AND(B3444&lt;&gt;"",B3444&gt;='Uang Riba'!$H$30,B3444&lt;='Uang Riba'!$I$30,OR(H3444="Dana riba",H3444="Pinjam uang riba",I3444="Pinjam dari uang riba",I3444="Ganti uang riba",I3444="Kelebihan ganti dikembalikan",AND(C3444="Kantong Uang Riba",G3444="Pengeluaran"))),1,0)</f>
        <v/>
      </c>
      <c r="X3444" s="93">
        <f>IF(AND(B3444&lt;&gt;"",B3444&gt;='Buku Akun'!$H$4,B3444&lt;='Buku Akun'!$H$5,OR(C3444='Buku Akun'!$C$4,AND(D3444="Pindah",E3444='Buku Akun'!$C$4))),B3444+IF(AND(I3444="Selisih bunga",DAY(B3444)=1),0,0.01)+ROW()/10000000,"")</f>
        <v/>
      </c>
    </row>
    <row r="3445" outlineLevel="1" ht="15" customHeight="1" s="94">
      <c r="A3445" s="123">
        <f>IF(B3445="","",ROW()-15)</f>
        <v/>
      </c>
      <c r="B3445" s="124" t="n"/>
      <c r="C3445" s="123" t="n"/>
      <c r="D3445" s="123" t="n"/>
      <c r="E3445" s="123" t="n"/>
      <c r="F3445" s="125" t="n"/>
      <c r="G3445" s="123" t="n"/>
      <c r="H3445" s="123" t="n"/>
      <c r="I3445" s="123" t="n"/>
      <c r="J3445" s="123" t="n"/>
      <c r="K3445" s="123" t="n"/>
      <c r="L3445" s="123" t="n"/>
      <c r="M3445" s="123">
        <f>IF(AND(B3445&lt;&gt;"",OR($C$4="",ISNUMBER(SEARCH($C$4,C3445&amp;" "&amp;E3445&amp;" "&amp;G3445&amp;" "&amp;H3445&amp;" "&amp;I3445&amp;" "&amp;J3445&amp;" "&amp;K3445&amp;" "&amp;L3445))),OR($C$5="Semua",$C$5="",G3445=$C$5),OR($C$6="Semua",$C$6="",H3445=$C$6,H3445="Pengeluaran "&amp;$C$6,AND($C$6="Uang Kos Mama",H3445="Pengeluaran Uang Kos")),OR($C$7="Semua",$C$7="",I3445=$C$7),OR($C$8="Semua",$C$8="",C3445=$C$8,E3445=$C$8),OR($C$9="Semua",$C$9="",D3445=$C$9),OR($C$10="",B3445&gt;=$C$10),OR($C$11="",B3445&lt;=$C$11),OR($C$12&lt;&gt;"Ya",K3445&lt;&gt;""),OR($C$13="Semua",$C$13="",L3445=$C$13)),"✓","")</f>
        <v/>
      </c>
      <c r="N3445" s="93">
        <f>N(N3444)+IF(M3445="✓",1,0)</f>
        <v/>
      </c>
      <c r="O3445" s="93">
        <f>N(O3444)+IF(AND(B3445&lt;&gt;"",B3445&gt;='Uang Riba'!$H$30,B3445&lt;='Uang Riba'!$I$30,OR(H3445="Dana riba",H3445="Pinjam uang riba",I3445="Pinjam dari uang riba",I3445="Ganti uang riba",I3445="Kelebihan ganti dikembalikan",AND(C3445="Kantong Uang Riba",G3445="Pengeluaran"))),1,0)</f>
        <v/>
      </c>
      <c r="X3445" s="93">
        <f>IF(AND(B3445&lt;&gt;"",B3445&gt;='Buku Akun'!$H$4,B3445&lt;='Buku Akun'!$H$5,OR(C3445='Buku Akun'!$C$4,AND(D3445="Pindah",E3445='Buku Akun'!$C$4))),B3445+IF(AND(I3445="Selisih bunga",DAY(B3445)=1),0,0.01)+ROW()/10000000,"")</f>
        <v/>
      </c>
    </row>
    <row r="3446" outlineLevel="1" ht="15" customHeight="1" s="94">
      <c r="A3446" s="123">
        <f>IF(B3446="","",ROW()-15)</f>
        <v/>
      </c>
      <c r="B3446" s="124" t="n"/>
      <c r="C3446" s="123" t="n"/>
      <c r="D3446" s="123" t="n"/>
      <c r="E3446" s="123" t="n"/>
      <c r="F3446" s="125" t="n"/>
      <c r="G3446" s="123" t="n"/>
      <c r="H3446" s="123" t="n"/>
      <c r="I3446" s="123" t="n"/>
      <c r="J3446" s="123" t="n"/>
      <c r="K3446" s="123" t="n"/>
      <c r="L3446" s="123" t="n"/>
      <c r="M3446" s="123">
        <f>IF(AND(B3446&lt;&gt;"",OR($C$4="",ISNUMBER(SEARCH($C$4,C3446&amp;" "&amp;E3446&amp;" "&amp;G3446&amp;" "&amp;H3446&amp;" "&amp;I3446&amp;" "&amp;J3446&amp;" "&amp;K3446&amp;" "&amp;L3446))),OR($C$5="Semua",$C$5="",G3446=$C$5),OR($C$6="Semua",$C$6="",H3446=$C$6,H3446="Pengeluaran "&amp;$C$6,AND($C$6="Uang Kos Mama",H3446="Pengeluaran Uang Kos")),OR($C$7="Semua",$C$7="",I3446=$C$7),OR($C$8="Semua",$C$8="",C3446=$C$8,E3446=$C$8),OR($C$9="Semua",$C$9="",D3446=$C$9),OR($C$10="",B3446&gt;=$C$10),OR($C$11="",B3446&lt;=$C$11),OR($C$12&lt;&gt;"Ya",K3446&lt;&gt;""),OR($C$13="Semua",$C$13="",L3446=$C$13)),"✓","")</f>
        <v/>
      </c>
      <c r="N3446" s="93">
        <f>N(N3445)+IF(M3446="✓",1,0)</f>
        <v/>
      </c>
      <c r="O3446" s="93">
        <f>N(O3445)+IF(AND(B3446&lt;&gt;"",B3446&gt;='Uang Riba'!$H$30,B3446&lt;='Uang Riba'!$I$30,OR(H3446="Dana riba",H3446="Pinjam uang riba",I3446="Pinjam dari uang riba",I3446="Ganti uang riba",I3446="Kelebihan ganti dikembalikan",AND(C3446="Kantong Uang Riba",G3446="Pengeluaran"))),1,0)</f>
        <v/>
      </c>
      <c r="X3446" s="93">
        <f>IF(AND(B3446&lt;&gt;"",B3446&gt;='Buku Akun'!$H$4,B3446&lt;='Buku Akun'!$H$5,OR(C3446='Buku Akun'!$C$4,AND(D3446="Pindah",E3446='Buku Akun'!$C$4))),B3446+IF(AND(I3446="Selisih bunga",DAY(B3446)=1),0,0.01)+ROW()/10000000,"")</f>
        <v/>
      </c>
    </row>
    <row r="3447" outlineLevel="1" ht="15" customHeight="1" s="94">
      <c r="A3447" s="123">
        <f>IF(B3447="","",ROW()-15)</f>
        <v/>
      </c>
      <c r="B3447" s="124" t="n"/>
      <c r="C3447" s="123" t="n"/>
      <c r="D3447" s="123" t="n"/>
      <c r="E3447" s="123" t="n"/>
      <c r="F3447" s="125" t="n"/>
      <c r="G3447" s="123" t="n"/>
      <c r="H3447" s="123" t="n"/>
      <c r="I3447" s="123" t="n"/>
      <c r="J3447" s="123" t="n"/>
      <c r="K3447" s="123" t="n"/>
      <c r="L3447" s="123" t="n"/>
      <c r="M3447" s="123">
        <f>IF(AND(B3447&lt;&gt;"",OR($C$4="",ISNUMBER(SEARCH($C$4,C3447&amp;" "&amp;E3447&amp;" "&amp;G3447&amp;" "&amp;H3447&amp;" "&amp;I3447&amp;" "&amp;J3447&amp;" "&amp;K3447&amp;" "&amp;L3447))),OR($C$5="Semua",$C$5="",G3447=$C$5),OR($C$6="Semua",$C$6="",H3447=$C$6,H3447="Pengeluaran "&amp;$C$6,AND($C$6="Uang Kos Mama",H3447="Pengeluaran Uang Kos")),OR($C$7="Semua",$C$7="",I3447=$C$7),OR($C$8="Semua",$C$8="",C3447=$C$8,E3447=$C$8),OR($C$9="Semua",$C$9="",D3447=$C$9),OR($C$10="",B3447&gt;=$C$10),OR($C$11="",B3447&lt;=$C$11),OR($C$12&lt;&gt;"Ya",K3447&lt;&gt;""),OR($C$13="Semua",$C$13="",L3447=$C$13)),"✓","")</f>
        <v/>
      </c>
      <c r="N3447" s="93">
        <f>N(N3446)+IF(M3447="✓",1,0)</f>
        <v/>
      </c>
      <c r="O3447" s="93">
        <f>N(O3446)+IF(AND(B3447&lt;&gt;"",B3447&gt;='Uang Riba'!$H$30,B3447&lt;='Uang Riba'!$I$30,OR(H3447="Dana riba",H3447="Pinjam uang riba",I3447="Pinjam dari uang riba",I3447="Ganti uang riba",I3447="Kelebihan ganti dikembalikan",AND(C3447="Kantong Uang Riba",G3447="Pengeluaran"))),1,0)</f>
        <v/>
      </c>
      <c r="X3447" s="93">
        <f>IF(AND(B3447&lt;&gt;"",B3447&gt;='Buku Akun'!$H$4,B3447&lt;='Buku Akun'!$H$5,OR(C3447='Buku Akun'!$C$4,AND(D3447="Pindah",E3447='Buku Akun'!$C$4))),B3447+IF(AND(I3447="Selisih bunga",DAY(B3447)=1),0,0.01)+ROW()/10000000,"")</f>
        <v/>
      </c>
    </row>
    <row r="3448" outlineLevel="1" ht="15" customHeight="1" s="94">
      <c r="A3448" s="123">
        <f>IF(B3448="","",ROW()-15)</f>
        <v/>
      </c>
      <c r="B3448" s="124" t="n"/>
      <c r="C3448" s="123" t="n"/>
      <c r="D3448" s="123" t="n"/>
      <c r="E3448" s="123" t="n"/>
      <c r="F3448" s="125" t="n"/>
      <c r="G3448" s="123" t="n"/>
      <c r="H3448" s="123" t="n"/>
      <c r="I3448" s="123" t="n"/>
      <c r="J3448" s="123" t="n"/>
      <c r="K3448" s="123" t="n"/>
      <c r="L3448" s="123" t="n"/>
      <c r="M3448" s="123">
        <f>IF(AND(B3448&lt;&gt;"",OR($C$4="",ISNUMBER(SEARCH($C$4,C3448&amp;" "&amp;E3448&amp;" "&amp;G3448&amp;" "&amp;H3448&amp;" "&amp;I3448&amp;" "&amp;J3448&amp;" "&amp;K3448&amp;" "&amp;L3448))),OR($C$5="Semua",$C$5="",G3448=$C$5),OR($C$6="Semua",$C$6="",H3448=$C$6,H3448="Pengeluaran "&amp;$C$6,AND($C$6="Uang Kos Mama",H3448="Pengeluaran Uang Kos")),OR($C$7="Semua",$C$7="",I3448=$C$7),OR($C$8="Semua",$C$8="",C3448=$C$8,E3448=$C$8),OR($C$9="Semua",$C$9="",D3448=$C$9),OR($C$10="",B3448&gt;=$C$10),OR($C$11="",B3448&lt;=$C$11),OR($C$12&lt;&gt;"Ya",K3448&lt;&gt;""),OR($C$13="Semua",$C$13="",L3448=$C$13)),"✓","")</f>
        <v/>
      </c>
      <c r="N3448" s="93">
        <f>N(N3447)+IF(M3448="✓",1,0)</f>
        <v/>
      </c>
      <c r="O3448" s="93">
        <f>N(O3447)+IF(AND(B3448&lt;&gt;"",B3448&gt;='Uang Riba'!$H$30,B3448&lt;='Uang Riba'!$I$30,OR(H3448="Dana riba",H3448="Pinjam uang riba",I3448="Pinjam dari uang riba",I3448="Ganti uang riba",I3448="Kelebihan ganti dikembalikan",AND(C3448="Kantong Uang Riba",G3448="Pengeluaran"))),1,0)</f>
        <v/>
      </c>
      <c r="X3448" s="93">
        <f>IF(AND(B3448&lt;&gt;"",B3448&gt;='Buku Akun'!$H$4,B3448&lt;='Buku Akun'!$H$5,OR(C3448='Buku Akun'!$C$4,AND(D3448="Pindah",E3448='Buku Akun'!$C$4))),B3448+IF(AND(I3448="Selisih bunga",DAY(B3448)=1),0,0.01)+ROW()/10000000,"")</f>
        <v/>
      </c>
    </row>
    <row r="3449" outlineLevel="1" ht="15" customHeight="1" s="94">
      <c r="A3449" s="123">
        <f>IF(B3449="","",ROW()-15)</f>
        <v/>
      </c>
      <c r="B3449" s="124" t="n"/>
      <c r="C3449" s="123" t="n"/>
      <c r="D3449" s="123" t="n"/>
      <c r="E3449" s="123" t="n"/>
      <c r="F3449" s="125" t="n"/>
      <c r="G3449" s="123" t="n"/>
      <c r="H3449" s="123" t="n"/>
      <c r="I3449" s="123" t="n"/>
      <c r="J3449" s="123" t="n"/>
      <c r="K3449" s="123" t="n"/>
      <c r="L3449" s="123" t="n"/>
      <c r="M3449" s="123">
        <f>IF(AND(B3449&lt;&gt;"",OR($C$4="",ISNUMBER(SEARCH($C$4,C3449&amp;" "&amp;E3449&amp;" "&amp;G3449&amp;" "&amp;H3449&amp;" "&amp;I3449&amp;" "&amp;J3449&amp;" "&amp;K3449&amp;" "&amp;L3449))),OR($C$5="Semua",$C$5="",G3449=$C$5),OR($C$6="Semua",$C$6="",H3449=$C$6,H3449="Pengeluaran "&amp;$C$6,AND($C$6="Uang Kos Mama",H3449="Pengeluaran Uang Kos")),OR($C$7="Semua",$C$7="",I3449=$C$7),OR($C$8="Semua",$C$8="",C3449=$C$8,E3449=$C$8),OR($C$9="Semua",$C$9="",D3449=$C$9),OR($C$10="",B3449&gt;=$C$10),OR($C$11="",B3449&lt;=$C$11),OR($C$12&lt;&gt;"Ya",K3449&lt;&gt;""),OR($C$13="Semua",$C$13="",L3449=$C$13)),"✓","")</f>
        <v/>
      </c>
      <c r="N3449" s="93">
        <f>N(N3448)+IF(M3449="✓",1,0)</f>
        <v/>
      </c>
      <c r="O3449" s="93">
        <f>N(O3448)+IF(AND(B3449&lt;&gt;"",B3449&gt;='Uang Riba'!$H$30,B3449&lt;='Uang Riba'!$I$30,OR(H3449="Dana riba",H3449="Pinjam uang riba",I3449="Pinjam dari uang riba",I3449="Ganti uang riba",I3449="Kelebihan ganti dikembalikan",AND(C3449="Kantong Uang Riba",G3449="Pengeluaran"))),1,0)</f>
        <v/>
      </c>
      <c r="X3449" s="93">
        <f>IF(AND(B3449&lt;&gt;"",B3449&gt;='Buku Akun'!$H$4,B3449&lt;='Buku Akun'!$H$5,OR(C3449='Buku Akun'!$C$4,AND(D3449="Pindah",E3449='Buku Akun'!$C$4))),B3449+IF(AND(I3449="Selisih bunga",DAY(B3449)=1),0,0.01)+ROW()/10000000,"")</f>
        <v/>
      </c>
    </row>
    <row r="3450" outlineLevel="1" ht="15" customHeight="1" s="94">
      <c r="A3450" s="123">
        <f>IF(B3450="","",ROW()-15)</f>
        <v/>
      </c>
      <c r="B3450" s="124" t="n"/>
      <c r="C3450" s="123" t="n"/>
      <c r="D3450" s="123" t="n"/>
      <c r="E3450" s="123" t="n"/>
      <c r="F3450" s="125" t="n"/>
      <c r="G3450" s="123" t="n"/>
      <c r="H3450" s="123" t="n"/>
      <c r="I3450" s="123" t="n"/>
      <c r="J3450" s="123" t="n"/>
      <c r="K3450" s="123" t="n"/>
      <c r="L3450" s="123" t="n"/>
      <c r="M3450" s="123">
        <f>IF(AND(B3450&lt;&gt;"",OR($C$4="",ISNUMBER(SEARCH($C$4,C3450&amp;" "&amp;E3450&amp;" "&amp;G3450&amp;" "&amp;H3450&amp;" "&amp;I3450&amp;" "&amp;J3450&amp;" "&amp;K3450&amp;" "&amp;L3450))),OR($C$5="Semua",$C$5="",G3450=$C$5),OR($C$6="Semua",$C$6="",H3450=$C$6,H3450="Pengeluaran "&amp;$C$6,AND($C$6="Uang Kos Mama",H3450="Pengeluaran Uang Kos")),OR($C$7="Semua",$C$7="",I3450=$C$7),OR($C$8="Semua",$C$8="",C3450=$C$8,E3450=$C$8),OR($C$9="Semua",$C$9="",D3450=$C$9),OR($C$10="",B3450&gt;=$C$10),OR($C$11="",B3450&lt;=$C$11),OR($C$12&lt;&gt;"Ya",K3450&lt;&gt;""),OR($C$13="Semua",$C$13="",L3450=$C$13)),"✓","")</f>
        <v/>
      </c>
      <c r="N3450" s="93">
        <f>N(N3449)+IF(M3450="✓",1,0)</f>
        <v/>
      </c>
      <c r="O3450" s="93">
        <f>N(O3449)+IF(AND(B3450&lt;&gt;"",B3450&gt;='Uang Riba'!$H$30,B3450&lt;='Uang Riba'!$I$30,OR(H3450="Dana riba",H3450="Pinjam uang riba",I3450="Pinjam dari uang riba",I3450="Ganti uang riba",I3450="Kelebihan ganti dikembalikan",AND(C3450="Kantong Uang Riba",G3450="Pengeluaran"))),1,0)</f>
        <v/>
      </c>
      <c r="X3450" s="93">
        <f>IF(AND(B3450&lt;&gt;"",B3450&gt;='Buku Akun'!$H$4,B3450&lt;='Buku Akun'!$H$5,OR(C3450='Buku Akun'!$C$4,AND(D3450="Pindah",E3450='Buku Akun'!$C$4))),B3450+IF(AND(I3450="Selisih bunga",DAY(B3450)=1),0,0.01)+ROW()/10000000,"")</f>
        <v/>
      </c>
    </row>
    <row r="3451" outlineLevel="1" ht="15" customHeight="1" s="94">
      <c r="A3451" s="123">
        <f>IF(B3451="","",ROW()-15)</f>
        <v/>
      </c>
      <c r="B3451" s="124" t="n"/>
      <c r="C3451" s="123" t="n"/>
      <c r="D3451" s="123" t="n"/>
      <c r="E3451" s="123" t="n"/>
      <c r="F3451" s="125" t="n"/>
      <c r="G3451" s="123" t="n"/>
      <c r="H3451" s="123" t="n"/>
      <c r="I3451" s="123" t="n"/>
      <c r="J3451" s="123" t="n"/>
      <c r="K3451" s="123" t="n"/>
      <c r="L3451" s="123" t="n"/>
      <c r="M3451" s="123">
        <f>IF(AND(B3451&lt;&gt;"",OR($C$4="",ISNUMBER(SEARCH($C$4,C3451&amp;" "&amp;E3451&amp;" "&amp;G3451&amp;" "&amp;H3451&amp;" "&amp;I3451&amp;" "&amp;J3451&amp;" "&amp;K3451&amp;" "&amp;L3451))),OR($C$5="Semua",$C$5="",G3451=$C$5),OR($C$6="Semua",$C$6="",H3451=$C$6,H3451="Pengeluaran "&amp;$C$6,AND($C$6="Uang Kos Mama",H3451="Pengeluaran Uang Kos")),OR($C$7="Semua",$C$7="",I3451=$C$7),OR($C$8="Semua",$C$8="",C3451=$C$8,E3451=$C$8),OR($C$9="Semua",$C$9="",D3451=$C$9),OR($C$10="",B3451&gt;=$C$10),OR($C$11="",B3451&lt;=$C$11),OR($C$12&lt;&gt;"Ya",K3451&lt;&gt;""),OR($C$13="Semua",$C$13="",L3451=$C$13)),"✓","")</f>
        <v/>
      </c>
      <c r="N3451" s="93">
        <f>N(N3450)+IF(M3451="✓",1,0)</f>
        <v/>
      </c>
      <c r="O3451" s="93">
        <f>N(O3450)+IF(AND(B3451&lt;&gt;"",B3451&gt;='Uang Riba'!$H$30,B3451&lt;='Uang Riba'!$I$30,OR(H3451="Dana riba",H3451="Pinjam uang riba",I3451="Pinjam dari uang riba",I3451="Ganti uang riba",I3451="Kelebihan ganti dikembalikan",AND(C3451="Kantong Uang Riba",G3451="Pengeluaran"))),1,0)</f>
        <v/>
      </c>
      <c r="X3451" s="93">
        <f>IF(AND(B3451&lt;&gt;"",B3451&gt;='Buku Akun'!$H$4,B3451&lt;='Buku Akun'!$H$5,OR(C3451='Buku Akun'!$C$4,AND(D3451="Pindah",E3451='Buku Akun'!$C$4))),B3451+IF(AND(I3451="Selisih bunga",DAY(B3451)=1),0,0.01)+ROW()/10000000,"")</f>
        <v/>
      </c>
    </row>
    <row r="3452" outlineLevel="1" ht="15" customHeight="1" s="94">
      <c r="A3452" s="123">
        <f>IF(B3452="","",ROW()-15)</f>
        <v/>
      </c>
      <c r="B3452" s="124" t="n"/>
      <c r="C3452" s="123" t="n"/>
      <c r="D3452" s="123" t="n"/>
      <c r="E3452" s="123" t="n"/>
      <c r="F3452" s="125" t="n"/>
      <c r="G3452" s="123" t="n"/>
      <c r="H3452" s="123" t="n"/>
      <c r="I3452" s="123" t="n"/>
      <c r="J3452" s="123" t="n"/>
      <c r="K3452" s="123" t="n"/>
      <c r="L3452" s="123" t="n"/>
      <c r="M3452" s="123">
        <f>IF(AND(B3452&lt;&gt;"",OR($C$4="",ISNUMBER(SEARCH($C$4,C3452&amp;" "&amp;E3452&amp;" "&amp;G3452&amp;" "&amp;H3452&amp;" "&amp;I3452&amp;" "&amp;J3452&amp;" "&amp;K3452&amp;" "&amp;L3452))),OR($C$5="Semua",$C$5="",G3452=$C$5),OR($C$6="Semua",$C$6="",H3452=$C$6,H3452="Pengeluaran "&amp;$C$6,AND($C$6="Uang Kos Mama",H3452="Pengeluaran Uang Kos")),OR($C$7="Semua",$C$7="",I3452=$C$7),OR($C$8="Semua",$C$8="",C3452=$C$8,E3452=$C$8),OR($C$9="Semua",$C$9="",D3452=$C$9),OR($C$10="",B3452&gt;=$C$10),OR($C$11="",B3452&lt;=$C$11),OR($C$12&lt;&gt;"Ya",K3452&lt;&gt;""),OR($C$13="Semua",$C$13="",L3452=$C$13)),"✓","")</f>
        <v/>
      </c>
      <c r="N3452" s="93">
        <f>N(N3451)+IF(M3452="✓",1,0)</f>
        <v/>
      </c>
      <c r="O3452" s="93">
        <f>N(O3451)+IF(AND(B3452&lt;&gt;"",B3452&gt;='Uang Riba'!$H$30,B3452&lt;='Uang Riba'!$I$30,OR(H3452="Dana riba",H3452="Pinjam uang riba",I3452="Pinjam dari uang riba",I3452="Ganti uang riba",I3452="Kelebihan ganti dikembalikan",AND(C3452="Kantong Uang Riba",G3452="Pengeluaran"))),1,0)</f>
        <v/>
      </c>
      <c r="X3452" s="93">
        <f>IF(AND(B3452&lt;&gt;"",B3452&gt;='Buku Akun'!$H$4,B3452&lt;='Buku Akun'!$H$5,OR(C3452='Buku Akun'!$C$4,AND(D3452="Pindah",E3452='Buku Akun'!$C$4))),B3452+IF(AND(I3452="Selisih bunga",DAY(B3452)=1),0,0.01)+ROW()/10000000,"")</f>
        <v/>
      </c>
    </row>
    <row r="3453" outlineLevel="1" ht="15" customHeight="1" s="94">
      <c r="A3453" s="123">
        <f>IF(B3453="","",ROW()-15)</f>
        <v/>
      </c>
      <c r="B3453" s="124" t="n"/>
      <c r="C3453" s="123" t="n"/>
      <c r="D3453" s="123" t="n"/>
      <c r="E3453" s="123" t="n"/>
      <c r="F3453" s="125" t="n"/>
      <c r="G3453" s="123" t="n"/>
      <c r="H3453" s="123" t="n"/>
      <c r="I3453" s="123" t="n"/>
      <c r="J3453" s="123" t="n"/>
      <c r="K3453" s="123" t="n"/>
      <c r="L3453" s="123" t="n"/>
      <c r="M3453" s="123">
        <f>IF(AND(B3453&lt;&gt;"",OR($C$4="",ISNUMBER(SEARCH($C$4,C3453&amp;" "&amp;E3453&amp;" "&amp;G3453&amp;" "&amp;H3453&amp;" "&amp;I3453&amp;" "&amp;J3453&amp;" "&amp;K3453&amp;" "&amp;L3453))),OR($C$5="Semua",$C$5="",G3453=$C$5),OR($C$6="Semua",$C$6="",H3453=$C$6,H3453="Pengeluaran "&amp;$C$6,AND($C$6="Uang Kos Mama",H3453="Pengeluaran Uang Kos")),OR($C$7="Semua",$C$7="",I3453=$C$7),OR($C$8="Semua",$C$8="",C3453=$C$8,E3453=$C$8),OR($C$9="Semua",$C$9="",D3453=$C$9),OR($C$10="",B3453&gt;=$C$10),OR($C$11="",B3453&lt;=$C$11),OR($C$12&lt;&gt;"Ya",K3453&lt;&gt;""),OR($C$13="Semua",$C$13="",L3453=$C$13)),"✓","")</f>
        <v/>
      </c>
      <c r="N3453" s="93">
        <f>N(N3452)+IF(M3453="✓",1,0)</f>
        <v/>
      </c>
      <c r="O3453" s="93">
        <f>N(O3452)+IF(AND(B3453&lt;&gt;"",B3453&gt;='Uang Riba'!$H$30,B3453&lt;='Uang Riba'!$I$30,OR(H3453="Dana riba",H3453="Pinjam uang riba",I3453="Pinjam dari uang riba",I3453="Ganti uang riba",I3453="Kelebihan ganti dikembalikan",AND(C3453="Kantong Uang Riba",G3453="Pengeluaran"))),1,0)</f>
        <v/>
      </c>
      <c r="X3453" s="93">
        <f>IF(AND(B3453&lt;&gt;"",B3453&gt;='Buku Akun'!$H$4,B3453&lt;='Buku Akun'!$H$5,OR(C3453='Buku Akun'!$C$4,AND(D3453="Pindah",E3453='Buku Akun'!$C$4))),B3453+IF(AND(I3453="Selisih bunga",DAY(B3453)=1),0,0.01)+ROW()/10000000,"")</f>
        <v/>
      </c>
    </row>
    <row r="3454" outlineLevel="1" ht="15" customHeight="1" s="94">
      <c r="A3454" s="123">
        <f>IF(B3454="","",ROW()-15)</f>
        <v/>
      </c>
      <c r="B3454" s="124" t="n"/>
      <c r="C3454" s="123" t="n"/>
      <c r="D3454" s="123" t="n"/>
      <c r="E3454" s="123" t="n"/>
      <c r="F3454" s="125" t="n"/>
      <c r="G3454" s="123" t="n"/>
      <c r="H3454" s="123" t="n"/>
      <c r="I3454" s="123" t="n"/>
      <c r="J3454" s="123" t="n"/>
      <c r="K3454" s="123" t="n"/>
      <c r="L3454" s="123" t="n"/>
      <c r="M3454" s="123">
        <f>IF(AND(B3454&lt;&gt;"",OR($C$4="",ISNUMBER(SEARCH($C$4,C3454&amp;" "&amp;E3454&amp;" "&amp;G3454&amp;" "&amp;H3454&amp;" "&amp;I3454&amp;" "&amp;J3454&amp;" "&amp;K3454&amp;" "&amp;L3454))),OR($C$5="Semua",$C$5="",G3454=$C$5),OR($C$6="Semua",$C$6="",H3454=$C$6,H3454="Pengeluaran "&amp;$C$6,AND($C$6="Uang Kos Mama",H3454="Pengeluaran Uang Kos")),OR($C$7="Semua",$C$7="",I3454=$C$7),OR($C$8="Semua",$C$8="",C3454=$C$8,E3454=$C$8),OR($C$9="Semua",$C$9="",D3454=$C$9),OR($C$10="",B3454&gt;=$C$10),OR($C$11="",B3454&lt;=$C$11),OR($C$12&lt;&gt;"Ya",K3454&lt;&gt;""),OR($C$13="Semua",$C$13="",L3454=$C$13)),"✓","")</f>
        <v/>
      </c>
      <c r="N3454" s="93">
        <f>N(N3453)+IF(M3454="✓",1,0)</f>
        <v/>
      </c>
      <c r="O3454" s="93">
        <f>N(O3453)+IF(AND(B3454&lt;&gt;"",B3454&gt;='Uang Riba'!$H$30,B3454&lt;='Uang Riba'!$I$30,OR(H3454="Dana riba",H3454="Pinjam uang riba",I3454="Pinjam dari uang riba",I3454="Ganti uang riba",I3454="Kelebihan ganti dikembalikan",AND(C3454="Kantong Uang Riba",G3454="Pengeluaran"))),1,0)</f>
        <v/>
      </c>
      <c r="X3454" s="93">
        <f>IF(AND(B3454&lt;&gt;"",B3454&gt;='Buku Akun'!$H$4,B3454&lt;='Buku Akun'!$H$5,OR(C3454='Buku Akun'!$C$4,AND(D3454="Pindah",E3454='Buku Akun'!$C$4))),B3454+IF(AND(I3454="Selisih bunga",DAY(B3454)=1),0,0.01)+ROW()/10000000,"")</f>
        <v/>
      </c>
    </row>
    <row r="3455" outlineLevel="1" ht="15" customHeight="1" s="94">
      <c r="A3455" s="123">
        <f>IF(B3455="","",ROW()-15)</f>
        <v/>
      </c>
      <c r="B3455" s="124" t="n"/>
      <c r="C3455" s="123" t="n"/>
      <c r="D3455" s="123" t="n"/>
      <c r="E3455" s="123" t="n"/>
      <c r="F3455" s="125" t="n"/>
      <c r="G3455" s="123" t="n"/>
      <c r="H3455" s="123" t="n"/>
      <c r="I3455" s="123" t="n"/>
      <c r="J3455" s="123" t="n"/>
      <c r="K3455" s="123" t="n"/>
      <c r="L3455" s="123" t="n"/>
      <c r="M3455" s="123">
        <f>IF(AND(B3455&lt;&gt;"",OR($C$4="",ISNUMBER(SEARCH($C$4,C3455&amp;" "&amp;E3455&amp;" "&amp;G3455&amp;" "&amp;H3455&amp;" "&amp;I3455&amp;" "&amp;J3455&amp;" "&amp;K3455&amp;" "&amp;L3455))),OR($C$5="Semua",$C$5="",G3455=$C$5),OR($C$6="Semua",$C$6="",H3455=$C$6,H3455="Pengeluaran "&amp;$C$6,AND($C$6="Uang Kos Mama",H3455="Pengeluaran Uang Kos")),OR($C$7="Semua",$C$7="",I3455=$C$7),OR($C$8="Semua",$C$8="",C3455=$C$8,E3455=$C$8),OR($C$9="Semua",$C$9="",D3455=$C$9),OR($C$10="",B3455&gt;=$C$10),OR($C$11="",B3455&lt;=$C$11),OR($C$12&lt;&gt;"Ya",K3455&lt;&gt;""),OR($C$13="Semua",$C$13="",L3455=$C$13)),"✓","")</f>
        <v/>
      </c>
      <c r="N3455" s="93">
        <f>N(N3454)+IF(M3455="✓",1,0)</f>
        <v/>
      </c>
      <c r="O3455" s="93">
        <f>N(O3454)+IF(AND(B3455&lt;&gt;"",B3455&gt;='Uang Riba'!$H$30,B3455&lt;='Uang Riba'!$I$30,OR(H3455="Dana riba",H3455="Pinjam uang riba",I3455="Pinjam dari uang riba",I3455="Ganti uang riba",I3455="Kelebihan ganti dikembalikan",AND(C3455="Kantong Uang Riba",G3455="Pengeluaran"))),1,0)</f>
        <v/>
      </c>
      <c r="X3455" s="93">
        <f>IF(AND(B3455&lt;&gt;"",B3455&gt;='Buku Akun'!$H$4,B3455&lt;='Buku Akun'!$H$5,OR(C3455='Buku Akun'!$C$4,AND(D3455="Pindah",E3455='Buku Akun'!$C$4))),B3455+IF(AND(I3455="Selisih bunga",DAY(B3455)=1),0,0.01)+ROW()/10000000,"")</f>
        <v/>
      </c>
    </row>
    <row r="3456" outlineLevel="1" ht="15" customHeight="1" s="94">
      <c r="A3456" s="123">
        <f>IF(B3456="","",ROW()-15)</f>
        <v/>
      </c>
      <c r="B3456" s="124" t="n"/>
      <c r="C3456" s="123" t="n"/>
      <c r="D3456" s="123" t="n"/>
      <c r="E3456" s="123" t="n"/>
      <c r="F3456" s="125" t="n"/>
      <c r="G3456" s="123" t="n"/>
      <c r="H3456" s="123" t="n"/>
      <c r="I3456" s="123" t="n"/>
      <c r="J3456" s="123" t="n"/>
      <c r="K3456" s="123" t="n"/>
      <c r="L3456" s="123" t="n"/>
      <c r="M3456" s="123">
        <f>IF(AND(B3456&lt;&gt;"",OR($C$4="",ISNUMBER(SEARCH($C$4,C3456&amp;" "&amp;E3456&amp;" "&amp;G3456&amp;" "&amp;H3456&amp;" "&amp;I3456&amp;" "&amp;J3456&amp;" "&amp;K3456&amp;" "&amp;L3456))),OR($C$5="Semua",$C$5="",G3456=$C$5),OR($C$6="Semua",$C$6="",H3456=$C$6,H3456="Pengeluaran "&amp;$C$6,AND($C$6="Uang Kos Mama",H3456="Pengeluaran Uang Kos")),OR($C$7="Semua",$C$7="",I3456=$C$7),OR($C$8="Semua",$C$8="",C3456=$C$8,E3456=$C$8),OR($C$9="Semua",$C$9="",D3456=$C$9),OR($C$10="",B3456&gt;=$C$10),OR($C$11="",B3456&lt;=$C$11),OR($C$12&lt;&gt;"Ya",K3456&lt;&gt;""),OR($C$13="Semua",$C$13="",L3456=$C$13)),"✓","")</f>
        <v/>
      </c>
      <c r="N3456" s="93">
        <f>N(N3455)+IF(M3456="✓",1,0)</f>
        <v/>
      </c>
      <c r="O3456" s="93">
        <f>N(O3455)+IF(AND(B3456&lt;&gt;"",B3456&gt;='Uang Riba'!$H$30,B3456&lt;='Uang Riba'!$I$30,OR(H3456="Dana riba",H3456="Pinjam uang riba",I3456="Pinjam dari uang riba",I3456="Ganti uang riba",I3456="Kelebihan ganti dikembalikan",AND(C3456="Kantong Uang Riba",G3456="Pengeluaran"))),1,0)</f>
        <v/>
      </c>
      <c r="X3456" s="93">
        <f>IF(AND(B3456&lt;&gt;"",B3456&gt;='Buku Akun'!$H$4,B3456&lt;='Buku Akun'!$H$5,OR(C3456='Buku Akun'!$C$4,AND(D3456="Pindah",E3456='Buku Akun'!$C$4))),B3456+IF(AND(I3456="Selisih bunga",DAY(B3456)=1),0,0.01)+ROW()/10000000,"")</f>
        <v/>
      </c>
    </row>
    <row r="3457" outlineLevel="1" ht="15" customHeight="1" s="94">
      <c r="A3457" s="123">
        <f>IF(B3457="","",ROW()-15)</f>
        <v/>
      </c>
      <c r="B3457" s="124" t="n"/>
      <c r="C3457" s="123" t="n"/>
      <c r="D3457" s="123" t="n"/>
      <c r="E3457" s="123" t="n"/>
      <c r="F3457" s="125" t="n"/>
      <c r="G3457" s="123" t="n"/>
      <c r="H3457" s="123" t="n"/>
      <c r="I3457" s="123" t="n"/>
      <c r="J3457" s="123" t="n"/>
      <c r="K3457" s="123" t="n"/>
      <c r="L3457" s="123" t="n"/>
      <c r="M3457" s="123">
        <f>IF(AND(B3457&lt;&gt;"",OR($C$4="",ISNUMBER(SEARCH($C$4,C3457&amp;" "&amp;E3457&amp;" "&amp;G3457&amp;" "&amp;H3457&amp;" "&amp;I3457&amp;" "&amp;J3457&amp;" "&amp;K3457&amp;" "&amp;L3457))),OR($C$5="Semua",$C$5="",G3457=$C$5),OR($C$6="Semua",$C$6="",H3457=$C$6,H3457="Pengeluaran "&amp;$C$6,AND($C$6="Uang Kos Mama",H3457="Pengeluaran Uang Kos")),OR($C$7="Semua",$C$7="",I3457=$C$7),OR($C$8="Semua",$C$8="",C3457=$C$8,E3457=$C$8),OR($C$9="Semua",$C$9="",D3457=$C$9),OR($C$10="",B3457&gt;=$C$10),OR($C$11="",B3457&lt;=$C$11),OR($C$12&lt;&gt;"Ya",K3457&lt;&gt;""),OR($C$13="Semua",$C$13="",L3457=$C$13)),"✓","")</f>
        <v/>
      </c>
      <c r="N3457" s="93">
        <f>N(N3456)+IF(M3457="✓",1,0)</f>
        <v/>
      </c>
      <c r="O3457" s="93">
        <f>N(O3456)+IF(AND(B3457&lt;&gt;"",B3457&gt;='Uang Riba'!$H$30,B3457&lt;='Uang Riba'!$I$30,OR(H3457="Dana riba",H3457="Pinjam uang riba",I3457="Pinjam dari uang riba",I3457="Ganti uang riba",I3457="Kelebihan ganti dikembalikan",AND(C3457="Kantong Uang Riba",G3457="Pengeluaran"))),1,0)</f>
        <v/>
      </c>
      <c r="X3457" s="93">
        <f>IF(AND(B3457&lt;&gt;"",B3457&gt;='Buku Akun'!$H$4,B3457&lt;='Buku Akun'!$H$5,OR(C3457='Buku Akun'!$C$4,AND(D3457="Pindah",E3457='Buku Akun'!$C$4))),B3457+IF(AND(I3457="Selisih bunga",DAY(B3457)=1),0,0.01)+ROW()/10000000,"")</f>
        <v/>
      </c>
    </row>
    <row r="3458" outlineLevel="1" ht="15" customHeight="1" s="94">
      <c r="A3458" s="123">
        <f>IF(B3458="","",ROW()-15)</f>
        <v/>
      </c>
      <c r="B3458" s="124" t="n"/>
      <c r="C3458" s="123" t="n"/>
      <c r="D3458" s="123" t="n"/>
      <c r="E3458" s="123" t="n"/>
      <c r="F3458" s="125" t="n"/>
      <c r="G3458" s="123" t="n"/>
      <c r="H3458" s="123" t="n"/>
      <c r="I3458" s="123" t="n"/>
      <c r="J3458" s="123" t="n"/>
      <c r="K3458" s="123" t="n"/>
      <c r="L3458" s="123" t="n"/>
      <c r="M3458" s="123">
        <f>IF(AND(B3458&lt;&gt;"",OR($C$4="",ISNUMBER(SEARCH($C$4,C3458&amp;" "&amp;E3458&amp;" "&amp;G3458&amp;" "&amp;H3458&amp;" "&amp;I3458&amp;" "&amp;J3458&amp;" "&amp;K3458&amp;" "&amp;L3458))),OR($C$5="Semua",$C$5="",G3458=$C$5),OR($C$6="Semua",$C$6="",H3458=$C$6,H3458="Pengeluaran "&amp;$C$6,AND($C$6="Uang Kos Mama",H3458="Pengeluaran Uang Kos")),OR($C$7="Semua",$C$7="",I3458=$C$7),OR($C$8="Semua",$C$8="",C3458=$C$8,E3458=$C$8),OR($C$9="Semua",$C$9="",D3458=$C$9),OR($C$10="",B3458&gt;=$C$10),OR($C$11="",B3458&lt;=$C$11),OR($C$12&lt;&gt;"Ya",K3458&lt;&gt;""),OR($C$13="Semua",$C$13="",L3458=$C$13)),"✓","")</f>
        <v/>
      </c>
      <c r="N3458" s="93">
        <f>N(N3457)+IF(M3458="✓",1,0)</f>
        <v/>
      </c>
      <c r="O3458" s="93">
        <f>N(O3457)+IF(AND(B3458&lt;&gt;"",B3458&gt;='Uang Riba'!$H$30,B3458&lt;='Uang Riba'!$I$30,OR(H3458="Dana riba",H3458="Pinjam uang riba",I3458="Pinjam dari uang riba",I3458="Ganti uang riba",I3458="Kelebihan ganti dikembalikan",AND(C3458="Kantong Uang Riba",G3458="Pengeluaran"))),1,0)</f>
        <v/>
      </c>
      <c r="X3458" s="93">
        <f>IF(AND(B3458&lt;&gt;"",B3458&gt;='Buku Akun'!$H$4,B3458&lt;='Buku Akun'!$H$5,OR(C3458='Buku Akun'!$C$4,AND(D3458="Pindah",E3458='Buku Akun'!$C$4))),B3458+IF(AND(I3458="Selisih bunga",DAY(B3458)=1),0,0.01)+ROW()/10000000,"")</f>
        <v/>
      </c>
    </row>
    <row r="3459" outlineLevel="1" ht="15" customHeight="1" s="94">
      <c r="A3459" s="123">
        <f>IF(B3459="","",ROW()-15)</f>
        <v/>
      </c>
      <c r="B3459" s="124" t="n"/>
      <c r="C3459" s="123" t="n"/>
      <c r="D3459" s="123" t="n"/>
      <c r="E3459" s="123" t="n"/>
      <c r="F3459" s="125" t="n"/>
      <c r="G3459" s="123" t="n"/>
      <c r="H3459" s="123" t="n"/>
      <c r="I3459" s="123" t="n"/>
      <c r="J3459" s="123" t="n"/>
      <c r="K3459" s="123" t="n"/>
      <c r="L3459" s="123" t="n"/>
      <c r="M3459" s="123">
        <f>IF(AND(B3459&lt;&gt;"",OR($C$4="",ISNUMBER(SEARCH($C$4,C3459&amp;" "&amp;E3459&amp;" "&amp;G3459&amp;" "&amp;H3459&amp;" "&amp;I3459&amp;" "&amp;J3459&amp;" "&amp;K3459&amp;" "&amp;L3459))),OR($C$5="Semua",$C$5="",G3459=$C$5),OR($C$6="Semua",$C$6="",H3459=$C$6,H3459="Pengeluaran "&amp;$C$6,AND($C$6="Uang Kos Mama",H3459="Pengeluaran Uang Kos")),OR($C$7="Semua",$C$7="",I3459=$C$7),OR($C$8="Semua",$C$8="",C3459=$C$8,E3459=$C$8),OR($C$9="Semua",$C$9="",D3459=$C$9),OR($C$10="",B3459&gt;=$C$10),OR($C$11="",B3459&lt;=$C$11),OR($C$12&lt;&gt;"Ya",K3459&lt;&gt;""),OR($C$13="Semua",$C$13="",L3459=$C$13)),"✓","")</f>
        <v/>
      </c>
      <c r="N3459" s="93">
        <f>N(N3458)+IF(M3459="✓",1,0)</f>
        <v/>
      </c>
      <c r="O3459" s="93">
        <f>N(O3458)+IF(AND(B3459&lt;&gt;"",B3459&gt;='Uang Riba'!$H$30,B3459&lt;='Uang Riba'!$I$30,OR(H3459="Dana riba",H3459="Pinjam uang riba",I3459="Pinjam dari uang riba",I3459="Ganti uang riba",I3459="Kelebihan ganti dikembalikan",AND(C3459="Kantong Uang Riba",G3459="Pengeluaran"))),1,0)</f>
        <v/>
      </c>
      <c r="X3459" s="93">
        <f>IF(AND(B3459&lt;&gt;"",B3459&gt;='Buku Akun'!$H$4,B3459&lt;='Buku Akun'!$H$5,OR(C3459='Buku Akun'!$C$4,AND(D3459="Pindah",E3459='Buku Akun'!$C$4))),B3459+IF(AND(I3459="Selisih bunga",DAY(B3459)=1),0,0.01)+ROW()/10000000,"")</f>
        <v/>
      </c>
    </row>
    <row r="3460" outlineLevel="1" ht="15" customHeight="1" s="94">
      <c r="A3460" s="123">
        <f>IF(B3460="","",ROW()-15)</f>
        <v/>
      </c>
      <c r="B3460" s="124" t="n"/>
      <c r="C3460" s="123" t="n"/>
      <c r="D3460" s="123" t="n"/>
      <c r="E3460" s="123" t="n"/>
      <c r="F3460" s="125" t="n"/>
      <c r="G3460" s="123" t="n"/>
      <c r="H3460" s="123" t="n"/>
      <c r="I3460" s="123" t="n"/>
      <c r="J3460" s="123" t="n"/>
      <c r="K3460" s="123" t="n"/>
      <c r="L3460" s="123" t="n"/>
      <c r="M3460" s="123">
        <f>IF(AND(B3460&lt;&gt;"",OR($C$4="",ISNUMBER(SEARCH($C$4,C3460&amp;" "&amp;E3460&amp;" "&amp;G3460&amp;" "&amp;H3460&amp;" "&amp;I3460&amp;" "&amp;J3460&amp;" "&amp;K3460&amp;" "&amp;L3460))),OR($C$5="Semua",$C$5="",G3460=$C$5),OR($C$6="Semua",$C$6="",H3460=$C$6,H3460="Pengeluaran "&amp;$C$6,AND($C$6="Uang Kos Mama",H3460="Pengeluaran Uang Kos")),OR($C$7="Semua",$C$7="",I3460=$C$7),OR($C$8="Semua",$C$8="",C3460=$C$8,E3460=$C$8),OR($C$9="Semua",$C$9="",D3460=$C$9),OR($C$10="",B3460&gt;=$C$10),OR($C$11="",B3460&lt;=$C$11),OR($C$12&lt;&gt;"Ya",K3460&lt;&gt;""),OR($C$13="Semua",$C$13="",L3460=$C$13)),"✓","")</f>
        <v/>
      </c>
      <c r="N3460" s="93">
        <f>N(N3459)+IF(M3460="✓",1,0)</f>
        <v/>
      </c>
      <c r="O3460" s="93">
        <f>N(O3459)+IF(AND(B3460&lt;&gt;"",B3460&gt;='Uang Riba'!$H$30,B3460&lt;='Uang Riba'!$I$30,OR(H3460="Dana riba",H3460="Pinjam uang riba",I3460="Pinjam dari uang riba",I3460="Ganti uang riba",I3460="Kelebihan ganti dikembalikan",AND(C3460="Kantong Uang Riba",G3460="Pengeluaran"))),1,0)</f>
        <v/>
      </c>
      <c r="X3460" s="93">
        <f>IF(AND(B3460&lt;&gt;"",B3460&gt;='Buku Akun'!$H$4,B3460&lt;='Buku Akun'!$H$5,OR(C3460='Buku Akun'!$C$4,AND(D3460="Pindah",E3460='Buku Akun'!$C$4))),B3460+IF(AND(I3460="Selisih bunga",DAY(B3460)=1),0,0.01)+ROW()/10000000,"")</f>
        <v/>
      </c>
    </row>
    <row r="3461" outlineLevel="1" ht="15" customHeight="1" s="94">
      <c r="A3461" s="123">
        <f>IF(B3461="","",ROW()-15)</f>
        <v/>
      </c>
      <c r="B3461" s="124" t="n"/>
      <c r="C3461" s="123" t="n"/>
      <c r="D3461" s="123" t="n"/>
      <c r="E3461" s="123" t="n"/>
      <c r="F3461" s="125" t="n"/>
      <c r="G3461" s="123" t="n"/>
      <c r="H3461" s="123" t="n"/>
      <c r="I3461" s="123" t="n"/>
      <c r="J3461" s="123" t="n"/>
      <c r="K3461" s="123" t="n"/>
      <c r="L3461" s="123" t="n"/>
      <c r="M3461" s="123">
        <f>IF(AND(B3461&lt;&gt;"",OR($C$4="",ISNUMBER(SEARCH($C$4,C3461&amp;" "&amp;E3461&amp;" "&amp;G3461&amp;" "&amp;H3461&amp;" "&amp;I3461&amp;" "&amp;J3461&amp;" "&amp;K3461&amp;" "&amp;L3461))),OR($C$5="Semua",$C$5="",G3461=$C$5),OR($C$6="Semua",$C$6="",H3461=$C$6,H3461="Pengeluaran "&amp;$C$6,AND($C$6="Uang Kos Mama",H3461="Pengeluaran Uang Kos")),OR($C$7="Semua",$C$7="",I3461=$C$7),OR($C$8="Semua",$C$8="",C3461=$C$8,E3461=$C$8),OR($C$9="Semua",$C$9="",D3461=$C$9),OR($C$10="",B3461&gt;=$C$10),OR($C$11="",B3461&lt;=$C$11),OR($C$12&lt;&gt;"Ya",K3461&lt;&gt;""),OR($C$13="Semua",$C$13="",L3461=$C$13)),"✓","")</f>
        <v/>
      </c>
      <c r="N3461" s="93">
        <f>N(N3460)+IF(M3461="✓",1,0)</f>
        <v/>
      </c>
      <c r="O3461" s="93">
        <f>N(O3460)+IF(AND(B3461&lt;&gt;"",B3461&gt;='Uang Riba'!$H$30,B3461&lt;='Uang Riba'!$I$30,OR(H3461="Dana riba",H3461="Pinjam uang riba",I3461="Pinjam dari uang riba",I3461="Ganti uang riba",I3461="Kelebihan ganti dikembalikan",AND(C3461="Kantong Uang Riba",G3461="Pengeluaran"))),1,0)</f>
        <v/>
      </c>
      <c r="X3461" s="93">
        <f>IF(AND(B3461&lt;&gt;"",B3461&gt;='Buku Akun'!$H$4,B3461&lt;='Buku Akun'!$H$5,OR(C3461='Buku Akun'!$C$4,AND(D3461="Pindah",E3461='Buku Akun'!$C$4))),B3461+IF(AND(I3461="Selisih bunga",DAY(B3461)=1),0,0.01)+ROW()/10000000,"")</f>
        <v/>
      </c>
    </row>
    <row r="3462" outlineLevel="1" ht="15" customHeight="1" s="94">
      <c r="A3462" s="123">
        <f>IF(B3462="","",ROW()-15)</f>
        <v/>
      </c>
      <c r="B3462" s="124" t="n"/>
      <c r="C3462" s="123" t="n"/>
      <c r="D3462" s="123" t="n"/>
      <c r="E3462" s="123" t="n"/>
      <c r="F3462" s="125" t="n"/>
      <c r="G3462" s="123" t="n"/>
      <c r="H3462" s="123" t="n"/>
      <c r="I3462" s="123" t="n"/>
      <c r="J3462" s="123" t="n"/>
      <c r="K3462" s="123" t="n"/>
      <c r="L3462" s="123" t="n"/>
      <c r="M3462" s="123">
        <f>IF(AND(B3462&lt;&gt;"",OR($C$4="",ISNUMBER(SEARCH($C$4,C3462&amp;" "&amp;E3462&amp;" "&amp;G3462&amp;" "&amp;H3462&amp;" "&amp;I3462&amp;" "&amp;J3462&amp;" "&amp;K3462&amp;" "&amp;L3462))),OR($C$5="Semua",$C$5="",G3462=$C$5),OR($C$6="Semua",$C$6="",H3462=$C$6,H3462="Pengeluaran "&amp;$C$6,AND($C$6="Uang Kos Mama",H3462="Pengeluaran Uang Kos")),OR($C$7="Semua",$C$7="",I3462=$C$7),OR($C$8="Semua",$C$8="",C3462=$C$8,E3462=$C$8),OR($C$9="Semua",$C$9="",D3462=$C$9),OR($C$10="",B3462&gt;=$C$10),OR($C$11="",B3462&lt;=$C$11),OR($C$12&lt;&gt;"Ya",K3462&lt;&gt;""),OR($C$13="Semua",$C$13="",L3462=$C$13)),"✓","")</f>
        <v/>
      </c>
      <c r="N3462" s="93">
        <f>N(N3461)+IF(M3462="✓",1,0)</f>
        <v/>
      </c>
      <c r="O3462" s="93">
        <f>N(O3461)+IF(AND(B3462&lt;&gt;"",B3462&gt;='Uang Riba'!$H$30,B3462&lt;='Uang Riba'!$I$30,OR(H3462="Dana riba",H3462="Pinjam uang riba",I3462="Pinjam dari uang riba",I3462="Ganti uang riba",I3462="Kelebihan ganti dikembalikan",AND(C3462="Kantong Uang Riba",G3462="Pengeluaran"))),1,0)</f>
        <v/>
      </c>
      <c r="X3462" s="93">
        <f>IF(AND(B3462&lt;&gt;"",B3462&gt;='Buku Akun'!$H$4,B3462&lt;='Buku Akun'!$H$5,OR(C3462='Buku Akun'!$C$4,AND(D3462="Pindah",E3462='Buku Akun'!$C$4))),B3462+IF(AND(I3462="Selisih bunga",DAY(B3462)=1),0,0.01)+ROW()/10000000,"")</f>
        <v/>
      </c>
    </row>
    <row r="3463" outlineLevel="1" ht="15" customHeight="1" s="94">
      <c r="A3463" s="123">
        <f>IF(B3463="","",ROW()-15)</f>
        <v/>
      </c>
      <c r="B3463" s="124" t="n"/>
      <c r="C3463" s="123" t="n"/>
      <c r="D3463" s="123" t="n"/>
      <c r="E3463" s="123" t="n"/>
      <c r="F3463" s="125" t="n"/>
      <c r="G3463" s="123" t="n"/>
      <c r="H3463" s="123" t="n"/>
      <c r="I3463" s="123" t="n"/>
      <c r="J3463" s="123" t="n"/>
      <c r="K3463" s="123" t="n"/>
      <c r="L3463" s="123" t="n"/>
      <c r="M3463" s="123">
        <f>IF(AND(B3463&lt;&gt;"",OR($C$4="",ISNUMBER(SEARCH($C$4,C3463&amp;" "&amp;E3463&amp;" "&amp;G3463&amp;" "&amp;H3463&amp;" "&amp;I3463&amp;" "&amp;J3463&amp;" "&amp;K3463&amp;" "&amp;L3463))),OR($C$5="Semua",$C$5="",G3463=$C$5),OR($C$6="Semua",$C$6="",H3463=$C$6,H3463="Pengeluaran "&amp;$C$6,AND($C$6="Uang Kos Mama",H3463="Pengeluaran Uang Kos")),OR($C$7="Semua",$C$7="",I3463=$C$7),OR($C$8="Semua",$C$8="",C3463=$C$8,E3463=$C$8),OR($C$9="Semua",$C$9="",D3463=$C$9),OR($C$10="",B3463&gt;=$C$10),OR($C$11="",B3463&lt;=$C$11),OR($C$12&lt;&gt;"Ya",K3463&lt;&gt;""),OR($C$13="Semua",$C$13="",L3463=$C$13)),"✓","")</f>
        <v/>
      </c>
      <c r="N3463" s="93">
        <f>N(N3462)+IF(M3463="✓",1,0)</f>
        <v/>
      </c>
      <c r="O3463" s="93">
        <f>N(O3462)+IF(AND(B3463&lt;&gt;"",B3463&gt;='Uang Riba'!$H$30,B3463&lt;='Uang Riba'!$I$30,OR(H3463="Dana riba",H3463="Pinjam uang riba",I3463="Pinjam dari uang riba",I3463="Ganti uang riba",I3463="Kelebihan ganti dikembalikan",AND(C3463="Kantong Uang Riba",G3463="Pengeluaran"))),1,0)</f>
        <v/>
      </c>
      <c r="X3463" s="93">
        <f>IF(AND(B3463&lt;&gt;"",B3463&gt;='Buku Akun'!$H$4,B3463&lt;='Buku Akun'!$H$5,OR(C3463='Buku Akun'!$C$4,AND(D3463="Pindah",E3463='Buku Akun'!$C$4))),B3463+IF(AND(I3463="Selisih bunga",DAY(B3463)=1),0,0.01)+ROW()/10000000,"")</f>
        <v/>
      </c>
    </row>
    <row r="3464" outlineLevel="1" ht="15" customHeight="1" s="94">
      <c r="A3464" s="123">
        <f>IF(B3464="","",ROW()-15)</f>
        <v/>
      </c>
      <c r="B3464" s="124" t="n"/>
      <c r="C3464" s="123" t="n"/>
      <c r="D3464" s="123" t="n"/>
      <c r="E3464" s="123" t="n"/>
      <c r="F3464" s="125" t="n"/>
      <c r="G3464" s="123" t="n"/>
      <c r="H3464" s="123" t="n"/>
      <c r="I3464" s="123" t="n"/>
      <c r="J3464" s="123" t="n"/>
      <c r="K3464" s="123" t="n"/>
      <c r="L3464" s="123" t="n"/>
      <c r="M3464" s="123">
        <f>IF(AND(B3464&lt;&gt;"",OR($C$4="",ISNUMBER(SEARCH($C$4,C3464&amp;" "&amp;E3464&amp;" "&amp;G3464&amp;" "&amp;H3464&amp;" "&amp;I3464&amp;" "&amp;J3464&amp;" "&amp;K3464&amp;" "&amp;L3464))),OR($C$5="Semua",$C$5="",G3464=$C$5),OR($C$6="Semua",$C$6="",H3464=$C$6,H3464="Pengeluaran "&amp;$C$6,AND($C$6="Uang Kos Mama",H3464="Pengeluaran Uang Kos")),OR($C$7="Semua",$C$7="",I3464=$C$7),OR($C$8="Semua",$C$8="",C3464=$C$8,E3464=$C$8),OR($C$9="Semua",$C$9="",D3464=$C$9),OR($C$10="",B3464&gt;=$C$10),OR($C$11="",B3464&lt;=$C$11),OR($C$12&lt;&gt;"Ya",K3464&lt;&gt;""),OR($C$13="Semua",$C$13="",L3464=$C$13)),"✓","")</f>
        <v/>
      </c>
      <c r="N3464" s="93">
        <f>N(N3463)+IF(M3464="✓",1,0)</f>
        <v/>
      </c>
      <c r="O3464" s="93">
        <f>N(O3463)+IF(AND(B3464&lt;&gt;"",B3464&gt;='Uang Riba'!$H$30,B3464&lt;='Uang Riba'!$I$30,OR(H3464="Dana riba",H3464="Pinjam uang riba",I3464="Pinjam dari uang riba",I3464="Ganti uang riba",I3464="Kelebihan ganti dikembalikan",AND(C3464="Kantong Uang Riba",G3464="Pengeluaran"))),1,0)</f>
        <v/>
      </c>
      <c r="X3464" s="93">
        <f>IF(AND(B3464&lt;&gt;"",B3464&gt;='Buku Akun'!$H$4,B3464&lt;='Buku Akun'!$H$5,OR(C3464='Buku Akun'!$C$4,AND(D3464="Pindah",E3464='Buku Akun'!$C$4))),B3464+IF(AND(I3464="Selisih bunga",DAY(B3464)=1),0,0.01)+ROW()/10000000,"")</f>
        <v/>
      </c>
    </row>
    <row r="3465" outlineLevel="1" ht="15" customHeight="1" s="94">
      <c r="A3465" s="123">
        <f>IF(B3465="","",ROW()-15)</f>
        <v/>
      </c>
      <c r="B3465" s="124" t="n"/>
      <c r="C3465" s="123" t="n"/>
      <c r="D3465" s="123" t="n"/>
      <c r="E3465" s="123" t="n"/>
      <c r="F3465" s="125" t="n"/>
      <c r="G3465" s="123" t="n"/>
      <c r="H3465" s="123" t="n"/>
      <c r="I3465" s="123" t="n"/>
      <c r="J3465" s="123" t="n"/>
      <c r="K3465" s="123" t="n"/>
      <c r="L3465" s="123" t="n"/>
      <c r="M3465" s="123">
        <f>IF(AND(B3465&lt;&gt;"",OR($C$4="",ISNUMBER(SEARCH($C$4,C3465&amp;" "&amp;E3465&amp;" "&amp;G3465&amp;" "&amp;H3465&amp;" "&amp;I3465&amp;" "&amp;J3465&amp;" "&amp;K3465&amp;" "&amp;L3465))),OR($C$5="Semua",$C$5="",G3465=$C$5),OR($C$6="Semua",$C$6="",H3465=$C$6,H3465="Pengeluaran "&amp;$C$6,AND($C$6="Uang Kos Mama",H3465="Pengeluaran Uang Kos")),OR($C$7="Semua",$C$7="",I3465=$C$7),OR($C$8="Semua",$C$8="",C3465=$C$8,E3465=$C$8),OR($C$9="Semua",$C$9="",D3465=$C$9),OR($C$10="",B3465&gt;=$C$10),OR($C$11="",B3465&lt;=$C$11),OR($C$12&lt;&gt;"Ya",K3465&lt;&gt;""),OR($C$13="Semua",$C$13="",L3465=$C$13)),"✓","")</f>
        <v/>
      </c>
      <c r="N3465" s="93">
        <f>N(N3464)+IF(M3465="✓",1,0)</f>
        <v/>
      </c>
      <c r="O3465" s="93">
        <f>N(O3464)+IF(AND(B3465&lt;&gt;"",B3465&gt;='Uang Riba'!$H$30,B3465&lt;='Uang Riba'!$I$30,OR(H3465="Dana riba",H3465="Pinjam uang riba",I3465="Pinjam dari uang riba",I3465="Ganti uang riba",I3465="Kelebihan ganti dikembalikan",AND(C3465="Kantong Uang Riba",G3465="Pengeluaran"))),1,0)</f>
        <v/>
      </c>
      <c r="X3465" s="93">
        <f>IF(AND(B3465&lt;&gt;"",B3465&gt;='Buku Akun'!$H$4,B3465&lt;='Buku Akun'!$H$5,OR(C3465='Buku Akun'!$C$4,AND(D3465="Pindah",E3465='Buku Akun'!$C$4))),B3465+IF(AND(I3465="Selisih bunga",DAY(B3465)=1),0,0.01)+ROW()/10000000,"")</f>
        <v/>
      </c>
    </row>
    <row r="3466" outlineLevel="1" ht="15" customHeight="1" s="94">
      <c r="A3466" s="123">
        <f>IF(B3466="","",ROW()-15)</f>
        <v/>
      </c>
      <c r="B3466" s="124" t="n"/>
      <c r="C3466" s="123" t="n"/>
      <c r="D3466" s="123" t="n"/>
      <c r="E3466" s="123" t="n"/>
      <c r="F3466" s="125" t="n"/>
      <c r="G3466" s="123" t="n"/>
      <c r="H3466" s="123" t="n"/>
      <c r="I3466" s="123" t="n"/>
      <c r="J3466" s="123" t="n"/>
      <c r="K3466" s="123" t="n"/>
      <c r="L3466" s="123" t="n"/>
      <c r="M3466" s="123">
        <f>IF(AND(B3466&lt;&gt;"",OR($C$4="",ISNUMBER(SEARCH($C$4,C3466&amp;" "&amp;E3466&amp;" "&amp;G3466&amp;" "&amp;H3466&amp;" "&amp;I3466&amp;" "&amp;J3466&amp;" "&amp;K3466&amp;" "&amp;L3466))),OR($C$5="Semua",$C$5="",G3466=$C$5),OR($C$6="Semua",$C$6="",H3466=$C$6,H3466="Pengeluaran "&amp;$C$6,AND($C$6="Uang Kos Mama",H3466="Pengeluaran Uang Kos")),OR($C$7="Semua",$C$7="",I3466=$C$7),OR($C$8="Semua",$C$8="",C3466=$C$8,E3466=$C$8),OR($C$9="Semua",$C$9="",D3466=$C$9),OR($C$10="",B3466&gt;=$C$10),OR($C$11="",B3466&lt;=$C$11),OR($C$12&lt;&gt;"Ya",K3466&lt;&gt;""),OR($C$13="Semua",$C$13="",L3466=$C$13)),"✓","")</f>
        <v/>
      </c>
      <c r="N3466" s="93">
        <f>N(N3465)+IF(M3466="✓",1,0)</f>
        <v/>
      </c>
      <c r="O3466" s="93">
        <f>N(O3465)+IF(AND(B3466&lt;&gt;"",B3466&gt;='Uang Riba'!$H$30,B3466&lt;='Uang Riba'!$I$30,OR(H3466="Dana riba",H3466="Pinjam uang riba",I3466="Pinjam dari uang riba",I3466="Ganti uang riba",I3466="Kelebihan ganti dikembalikan",AND(C3466="Kantong Uang Riba",G3466="Pengeluaran"))),1,0)</f>
        <v/>
      </c>
      <c r="X3466" s="93">
        <f>IF(AND(B3466&lt;&gt;"",B3466&gt;='Buku Akun'!$H$4,B3466&lt;='Buku Akun'!$H$5,OR(C3466='Buku Akun'!$C$4,AND(D3466="Pindah",E3466='Buku Akun'!$C$4))),B3466+IF(AND(I3466="Selisih bunga",DAY(B3466)=1),0,0.01)+ROW()/10000000,"")</f>
        <v/>
      </c>
    </row>
    <row r="3467" outlineLevel="1" ht="15" customHeight="1" s="94">
      <c r="A3467" s="123">
        <f>IF(B3467="","",ROW()-15)</f>
        <v/>
      </c>
      <c r="B3467" s="124" t="n"/>
      <c r="C3467" s="123" t="n"/>
      <c r="D3467" s="123" t="n"/>
      <c r="E3467" s="123" t="n"/>
      <c r="F3467" s="125" t="n"/>
      <c r="G3467" s="123" t="n"/>
      <c r="H3467" s="123" t="n"/>
      <c r="I3467" s="123" t="n"/>
      <c r="J3467" s="123" t="n"/>
      <c r="K3467" s="123" t="n"/>
      <c r="L3467" s="123" t="n"/>
      <c r="M3467" s="123">
        <f>IF(AND(B3467&lt;&gt;"",OR($C$4="",ISNUMBER(SEARCH($C$4,C3467&amp;" "&amp;E3467&amp;" "&amp;G3467&amp;" "&amp;H3467&amp;" "&amp;I3467&amp;" "&amp;J3467&amp;" "&amp;K3467&amp;" "&amp;L3467))),OR($C$5="Semua",$C$5="",G3467=$C$5),OR($C$6="Semua",$C$6="",H3467=$C$6,H3467="Pengeluaran "&amp;$C$6,AND($C$6="Uang Kos Mama",H3467="Pengeluaran Uang Kos")),OR($C$7="Semua",$C$7="",I3467=$C$7),OR($C$8="Semua",$C$8="",C3467=$C$8,E3467=$C$8),OR($C$9="Semua",$C$9="",D3467=$C$9),OR($C$10="",B3467&gt;=$C$10),OR($C$11="",B3467&lt;=$C$11),OR($C$12&lt;&gt;"Ya",K3467&lt;&gt;""),OR($C$13="Semua",$C$13="",L3467=$C$13)),"✓","")</f>
        <v/>
      </c>
      <c r="N3467" s="93">
        <f>N(N3466)+IF(M3467="✓",1,0)</f>
        <v/>
      </c>
      <c r="O3467" s="93">
        <f>N(O3466)+IF(AND(B3467&lt;&gt;"",B3467&gt;='Uang Riba'!$H$30,B3467&lt;='Uang Riba'!$I$30,OR(H3467="Dana riba",H3467="Pinjam uang riba",I3467="Pinjam dari uang riba",I3467="Ganti uang riba",I3467="Kelebihan ganti dikembalikan",AND(C3467="Kantong Uang Riba",G3467="Pengeluaran"))),1,0)</f>
        <v/>
      </c>
      <c r="X3467" s="93">
        <f>IF(AND(B3467&lt;&gt;"",B3467&gt;='Buku Akun'!$H$4,B3467&lt;='Buku Akun'!$H$5,OR(C3467='Buku Akun'!$C$4,AND(D3467="Pindah",E3467='Buku Akun'!$C$4))),B3467+IF(AND(I3467="Selisih bunga",DAY(B3467)=1),0,0.01)+ROW()/10000000,"")</f>
        <v/>
      </c>
    </row>
    <row r="3468" outlineLevel="1" ht="15" customHeight="1" s="94">
      <c r="A3468" s="123">
        <f>IF(B3468="","",ROW()-15)</f>
        <v/>
      </c>
      <c r="B3468" s="124" t="n"/>
      <c r="C3468" s="123" t="n"/>
      <c r="D3468" s="123" t="n"/>
      <c r="E3468" s="123" t="n"/>
      <c r="F3468" s="125" t="n"/>
      <c r="G3468" s="123" t="n"/>
      <c r="H3468" s="123" t="n"/>
      <c r="I3468" s="123" t="n"/>
      <c r="J3468" s="123" t="n"/>
      <c r="K3468" s="123" t="n"/>
      <c r="L3468" s="123" t="n"/>
      <c r="M3468" s="123">
        <f>IF(AND(B3468&lt;&gt;"",OR($C$4="",ISNUMBER(SEARCH($C$4,C3468&amp;" "&amp;E3468&amp;" "&amp;G3468&amp;" "&amp;H3468&amp;" "&amp;I3468&amp;" "&amp;J3468&amp;" "&amp;K3468&amp;" "&amp;L3468))),OR($C$5="Semua",$C$5="",G3468=$C$5),OR($C$6="Semua",$C$6="",H3468=$C$6,H3468="Pengeluaran "&amp;$C$6,AND($C$6="Uang Kos Mama",H3468="Pengeluaran Uang Kos")),OR($C$7="Semua",$C$7="",I3468=$C$7),OR($C$8="Semua",$C$8="",C3468=$C$8,E3468=$C$8),OR($C$9="Semua",$C$9="",D3468=$C$9),OR($C$10="",B3468&gt;=$C$10),OR($C$11="",B3468&lt;=$C$11),OR($C$12&lt;&gt;"Ya",K3468&lt;&gt;""),OR($C$13="Semua",$C$13="",L3468=$C$13)),"✓","")</f>
        <v/>
      </c>
      <c r="N3468" s="93">
        <f>N(N3467)+IF(M3468="✓",1,0)</f>
        <v/>
      </c>
      <c r="O3468" s="93">
        <f>N(O3467)+IF(AND(B3468&lt;&gt;"",B3468&gt;='Uang Riba'!$H$30,B3468&lt;='Uang Riba'!$I$30,OR(H3468="Dana riba",H3468="Pinjam uang riba",I3468="Pinjam dari uang riba",I3468="Ganti uang riba",I3468="Kelebihan ganti dikembalikan",AND(C3468="Kantong Uang Riba",G3468="Pengeluaran"))),1,0)</f>
        <v/>
      </c>
      <c r="X3468" s="93">
        <f>IF(AND(B3468&lt;&gt;"",B3468&gt;='Buku Akun'!$H$4,B3468&lt;='Buku Akun'!$H$5,OR(C3468='Buku Akun'!$C$4,AND(D3468="Pindah",E3468='Buku Akun'!$C$4))),B3468+IF(AND(I3468="Selisih bunga",DAY(B3468)=1),0,0.01)+ROW()/10000000,"")</f>
        <v/>
      </c>
    </row>
    <row r="3469" outlineLevel="1" ht="15" customHeight="1" s="94">
      <c r="A3469" s="123">
        <f>IF(B3469="","",ROW()-15)</f>
        <v/>
      </c>
      <c r="B3469" s="124" t="n"/>
      <c r="C3469" s="123" t="n"/>
      <c r="D3469" s="123" t="n"/>
      <c r="E3469" s="123" t="n"/>
      <c r="F3469" s="125" t="n"/>
      <c r="G3469" s="123" t="n"/>
      <c r="H3469" s="123" t="n"/>
      <c r="I3469" s="123" t="n"/>
      <c r="J3469" s="123" t="n"/>
      <c r="K3469" s="123" t="n"/>
      <c r="L3469" s="123" t="n"/>
      <c r="M3469" s="123">
        <f>IF(AND(B3469&lt;&gt;"",OR($C$4="",ISNUMBER(SEARCH($C$4,C3469&amp;" "&amp;E3469&amp;" "&amp;G3469&amp;" "&amp;H3469&amp;" "&amp;I3469&amp;" "&amp;J3469&amp;" "&amp;K3469&amp;" "&amp;L3469))),OR($C$5="Semua",$C$5="",G3469=$C$5),OR($C$6="Semua",$C$6="",H3469=$C$6,H3469="Pengeluaran "&amp;$C$6,AND($C$6="Uang Kos Mama",H3469="Pengeluaran Uang Kos")),OR($C$7="Semua",$C$7="",I3469=$C$7),OR($C$8="Semua",$C$8="",C3469=$C$8,E3469=$C$8),OR($C$9="Semua",$C$9="",D3469=$C$9),OR($C$10="",B3469&gt;=$C$10),OR($C$11="",B3469&lt;=$C$11),OR($C$12&lt;&gt;"Ya",K3469&lt;&gt;""),OR($C$13="Semua",$C$13="",L3469=$C$13)),"✓","")</f>
        <v/>
      </c>
      <c r="N3469" s="93">
        <f>N(N3468)+IF(M3469="✓",1,0)</f>
        <v/>
      </c>
      <c r="O3469" s="93">
        <f>N(O3468)+IF(AND(B3469&lt;&gt;"",B3469&gt;='Uang Riba'!$H$30,B3469&lt;='Uang Riba'!$I$30,OR(H3469="Dana riba",H3469="Pinjam uang riba",I3469="Pinjam dari uang riba",I3469="Ganti uang riba",I3469="Kelebihan ganti dikembalikan",AND(C3469="Kantong Uang Riba",G3469="Pengeluaran"))),1,0)</f>
        <v/>
      </c>
      <c r="X3469" s="93">
        <f>IF(AND(B3469&lt;&gt;"",B3469&gt;='Buku Akun'!$H$4,B3469&lt;='Buku Akun'!$H$5,OR(C3469='Buku Akun'!$C$4,AND(D3469="Pindah",E3469='Buku Akun'!$C$4))),B3469+IF(AND(I3469="Selisih bunga",DAY(B3469)=1),0,0.01)+ROW()/10000000,"")</f>
        <v/>
      </c>
    </row>
    <row r="3470" outlineLevel="1" ht="15" customHeight="1" s="94">
      <c r="A3470" s="123">
        <f>IF(B3470="","",ROW()-15)</f>
        <v/>
      </c>
      <c r="B3470" s="124" t="n"/>
      <c r="C3470" s="123" t="n"/>
      <c r="D3470" s="123" t="n"/>
      <c r="E3470" s="123" t="n"/>
      <c r="F3470" s="125" t="n"/>
      <c r="G3470" s="123" t="n"/>
      <c r="H3470" s="123" t="n"/>
      <c r="I3470" s="123" t="n"/>
      <c r="J3470" s="123" t="n"/>
      <c r="K3470" s="123" t="n"/>
      <c r="L3470" s="123" t="n"/>
      <c r="M3470" s="123">
        <f>IF(AND(B3470&lt;&gt;"",OR($C$4="",ISNUMBER(SEARCH($C$4,C3470&amp;" "&amp;E3470&amp;" "&amp;G3470&amp;" "&amp;H3470&amp;" "&amp;I3470&amp;" "&amp;J3470&amp;" "&amp;K3470&amp;" "&amp;L3470))),OR($C$5="Semua",$C$5="",G3470=$C$5),OR($C$6="Semua",$C$6="",H3470=$C$6,H3470="Pengeluaran "&amp;$C$6,AND($C$6="Uang Kos Mama",H3470="Pengeluaran Uang Kos")),OR($C$7="Semua",$C$7="",I3470=$C$7),OR($C$8="Semua",$C$8="",C3470=$C$8,E3470=$C$8),OR($C$9="Semua",$C$9="",D3470=$C$9),OR($C$10="",B3470&gt;=$C$10),OR($C$11="",B3470&lt;=$C$11),OR($C$12&lt;&gt;"Ya",K3470&lt;&gt;""),OR($C$13="Semua",$C$13="",L3470=$C$13)),"✓","")</f>
        <v/>
      </c>
      <c r="N3470" s="93">
        <f>N(N3469)+IF(M3470="✓",1,0)</f>
        <v/>
      </c>
      <c r="O3470" s="93">
        <f>N(O3469)+IF(AND(B3470&lt;&gt;"",B3470&gt;='Uang Riba'!$H$30,B3470&lt;='Uang Riba'!$I$30,OR(H3470="Dana riba",H3470="Pinjam uang riba",I3470="Pinjam dari uang riba",I3470="Ganti uang riba",I3470="Kelebihan ganti dikembalikan",AND(C3470="Kantong Uang Riba",G3470="Pengeluaran"))),1,0)</f>
        <v/>
      </c>
      <c r="X3470" s="93">
        <f>IF(AND(B3470&lt;&gt;"",B3470&gt;='Buku Akun'!$H$4,B3470&lt;='Buku Akun'!$H$5,OR(C3470='Buku Akun'!$C$4,AND(D3470="Pindah",E3470='Buku Akun'!$C$4))),B3470+IF(AND(I3470="Selisih bunga",DAY(B3470)=1),0,0.01)+ROW()/10000000,"")</f>
        <v/>
      </c>
    </row>
    <row r="3471" outlineLevel="1" ht="15" customHeight="1" s="94">
      <c r="A3471" s="123">
        <f>IF(B3471="","",ROW()-15)</f>
        <v/>
      </c>
      <c r="B3471" s="124" t="n"/>
      <c r="C3471" s="123" t="n"/>
      <c r="D3471" s="123" t="n"/>
      <c r="E3471" s="123" t="n"/>
      <c r="F3471" s="125" t="n"/>
      <c r="G3471" s="123" t="n"/>
      <c r="H3471" s="123" t="n"/>
      <c r="I3471" s="123" t="n"/>
      <c r="J3471" s="123" t="n"/>
      <c r="K3471" s="123" t="n"/>
      <c r="L3471" s="123" t="n"/>
      <c r="M3471" s="123">
        <f>IF(AND(B3471&lt;&gt;"",OR($C$4="",ISNUMBER(SEARCH($C$4,C3471&amp;" "&amp;E3471&amp;" "&amp;G3471&amp;" "&amp;H3471&amp;" "&amp;I3471&amp;" "&amp;J3471&amp;" "&amp;K3471&amp;" "&amp;L3471))),OR($C$5="Semua",$C$5="",G3471=$C$5),OR($C$6="Semua",$C$6="",H3471=$C$6,H3471="Pengeluaran "&amp;$C$6,AND($C$6="Uang Kos Mama",H3471="Pengeluaran Uang Kos")),OR($C$7="Semua",$C$7="",I3471=$C$7),OR($C$8="Semua",$C$8="",C3471=$C$8,E3471=$C$8),OR($C$9="Semua",$C$9="",D3471=$C$9),OR($C$10="",B3471&gt;=$C$10),OR($C$11="",B3471&lt;=$C$11),OR($C$12&lt;&gt;"Ya",K3471&lt;&gt;""),OR($C$13="Semua",$C$13="",L3471=$C$13)),"✓","")</f>
        <v/>
      </c>
      <c r="N3471" s="93">
        <f>N(N3470)+IF(M3471="✓",1,0)</f>
        <v/>
      </c>
      <c r="O3471" s="93">
        <f>N(O3470)+IF(AND(B3471&lt;&gt;"",B3471&gt;='Uang Riba'!$H$30,B3471&lt;='Uang Riba'!$I$30,OR(H3471="Dana riba",H3471="Pinjam uang riba",I3471="Pinjam dari uang riba",I3471="Ganti uang riba",I3471="Kelebihan ganti dikembalikan",AND(C3471="Kantong Uang Riba",G3471="Pengeluaran"))),1,0)</f>
        <v/>
      </c>
      <c r="X3471" s="93">
        <f>IF(AND(B3471&lt;&gt;"",B3471&gt;='Buku Akun'!$H$4,B3471&lt;='Buku Akun'!$H$5,OR(C3471='Buku Akun'!$C$4,AND(D3471="Pindah",E3471='Buku Akun'!$C$4))),B3471+IF(AND(I3471="Selisih bunga",DAY(B3471)=1),0,0.01)+ROW()/10000000,"")</f>
        <v/>
      </c>
    </row>
    <row r="3472" outlineLevel="1" ht="15" customHeight="1" s="94">
      <c r="A3472" s="123">
        <f>IF(B3472="","",ROW()-15)</f>
        <v/>
      </c>
      <c r="B3472" s="124" t="n"/>
      <c r="C3472" s="123" t="n"/>
      <c r="D3472" s="123" t="n"/>
      <c r="E3472" s="123" t="n"/>
      <c r="F3472" s="125" t="n"/>
      <c r="G3472" s="123" t="n"/>
      <c r="H3472" s="123" t="n"/>
      <c r="I3472" s="123" t="n"/>
      <c r="J3472" s="123" t="n"/>
      <c r="K3472" s="123" t="n"/>
      <c r="L3472" s="123" t="n"/>
      <c r="M3472" s="123">
        <f>IF(AND(B3472&lt;&gt;"",OR($C$4="",ISNUMBER(SEARCH($C$4,C3472&amp;" "&amp;E3472&amp;" "&amp;G3472&amp;" "&amp;H3472&amp;" "&amp;I3472&amp;" "&amp;J3472&amp;" "&amp;K3472&amp;" "&amp;L3472))),OR($C$5="Semua",$C$5="",G3472=$C$5),OR($C$6="Semua",$C$6="",H3472=$C$6,H3472="Pengeluaran "&amp;$C$6,AND($C$6="Uang Kos Mama",H3472="Pengeluaran Uang Kos")),OR($C$7="Semua",$C$7="",I3472=$C$7),OR($C$8="Semua",$C$8="",C3472=$C$8,E3472=$C$8),OR($C$9="Semua",$C$9="",D3472=$C$9),OR($C$10="",B3472&gt;=$C$10),OR($C$11="",B3472&lt;=$C$11),OR($C$12&lt;&gt;"Ya",K3472&lt;&gt;""),OR($C$13="Semua",$C$13="",L3472=$C$13)),"✓","")</f>
        <v/>
      </c>
      <c r="N3472" s="93">
        <f>N(N3471)+IF(M3472="✓",1,0)</f>
        <v/>
      </c>
      <c r="O3472" s="93">
        <f>N(O3471)+IF(AND(B3472&lt;&gt;"",B3472&gt;='Uang Riba'!$H$30,B3472&lt;='Uang Riba'!$I$30,OR(H3472="Dana riba",H3472="Pinjam uang riba",I3472="Pinjam dari uang riba",I3472="Ganti uang riba",I3472="Kelebihan ganti dikembalikan",AND(C3472="Kantong Uang Riba",G3472="Pengeluaran"))),1,0)</f>
        <v/>
      </c>
      <c r="X3472" s="93">
        <f>IF(AND(B3472&lt;&gt;"",B3472&gt;='Buku Akun'!$H$4,B3472&lt;='Buku Akun'!$H$5,OR(C3472='Buku Akun'!$C$4,AND(D3472="Pindah",E3472='Buku Akun'!$C$4))),B3472+IF(AND(I3472="Selisih bunga",DAY(B3472)=1),0,0.01)+ROW()/10000000,"")</f>
        <v/>
      </c>
    </row>
    <row r="3473" outlineLevel="1" ht="15" customHeight="1" s="94">
      <c r="A3473" s="123">
        <f>IF(B3473="","",ROW()-15)</f>
        <v/>
      </c>
      <c r="B3473" s="124" t="n"/>
      <c r="C3473" s="123" t="n"/>
      <c r="D3473" s="123" t="n"/>
      <c r="E3473" s="123" t="n"/>
      <c r="F3473" s="125" t="n"/>
      <c r="G3473" s="123" t="n"/>
      <c r="H3473" s="123" t="n"/>
      <c r="I3473" s="123" t="n"/>
      <c r="J3473" s="123" t="n"/>
      <c r="K3473" s="123" t="n"/>
      <c r="L3473" s="123" t="n"/>
      <c r="M3473" s="123">
        <f>IF(AND(B3473&lt;&gt;"",OR($C$4="",ISNUMBER(SEARCH($C$4,C3473&amp;" "&amp;E3473&amp;" "&amp;G3473&amp;" "&amp;H3473&amp;" "&amp;I3473&amp;" "&amp;J3473&amp;" "&amp;K3473&amp;" "&amp;L3473))),OR($C$5="Semua",$C$5="",G3473=$C$5),OR($C$6="Semua",$C$6="",H3473=$C$6,H3473="Pengeluaran "&amp;$C$6,AND($C$6="Uang Kos Mama",H3473="Pengeluaran Uang Kos")),OR($C$7="Semua",$C$7="",I3473=$C$7),OR($C$8="Semua",$C$8="",C3473=$C$8,E3473=$C$8),OR($C$9="Semua",$C$9="",D3473=$C$9),OR($C$10="",B3473&gt;=$C$10),OR($C$11="",B3473&lt;=$C$11),OR($C$12&lt;&gt;"Ya",K3473&lt;&gt;""),OR($C$13="Semua",$C$13="",L3473=$C$13)),"✓","")</f>
        <v/>
      </c>
      <c r="N3473" s="93">
        <f>N(N3472)+IF(M3473="✓",1,0)</f>
        <v/>
      </c>
      <c r="O3473" s="93">
        <f>N(O3472)+IF(AND(B3473&lt;&gt;"",B3473&gt;='Uang Riba'!$H$30,B3473&lt;='Uang Riba'!$I$30,OR(H3473="Dana riba",H3473="Pinjam uang riba",I3473="Pinjam dari uang riba",I3473="Ganti uang riba",I3473="Kelebihan ganti dikembalikan",AND(C3473="Kantong Uang Riba",G3473="Pengeluaran"))),1,0)</f>
        <v/>
      </c>
      <c r="X3473" s="93">
        <f>IF(AND(B3473&lt;&gt;"",B3473&gt;='Buku Akun'!$H$4,B3473&lt;='Buku Akun'!$H$5,OR(C3473='Buku Akun'!$C$4,AND(D3473="Pindah",E3473='Buku Akun'!$C$4))),B3473+IF(AND(I3473="Selisih bunga",DAY(B3473)=1),0,0.01)+ROW()/10000000,"")</f>
        <v/>
      </c>
    </row>
    <row r="3474" outlineLevel="1" ht="15" customHeight="1" s="94">
      <c r="A3474" s="123">
        <f>IF(B3474="","",ROW()-15)</f>
        <v/>
      </c>
      <c r="B3474" s="124" t="n"/>
      <c r="C3474" s="123" t="n"/>
      <c r="D3474" s="123" t="n"/>
      <c r="E3474" s="123" t="n"/>
      <c r="F3474" s="125" t="n"/>
      <c r="G3474" s="123" t="n"/>
      <c r="H3474" s="123" t="n"/>
      <c r="I3474" s="123" t="n"/>
      <c r="J3474" s="123" t="n"/>
      <c r="K3474" s="123" t="n"/>
      <c r="L3474" s="123" t="n"/>
      <c r="M3474" s="123">
        <f>IF(AND(B3474&lt;&gt;"",OR($C$4="",ISNUMBER(SEARCH($C$4,C3474&amp;" "&amp;E3474&amp;" "&amp;G3474&amp;" "&amp;H3474&amp;" "&amp;I3474&amp;" "&amp;J3474&amp;" "&amp;K3474&amp;" "&amp;L3474))),OR($C$5="Semua",$C$5="",G3474=$C$5),OR($C$6="Semua",$C$6="",H3474=$C$6,H3474="Pengeluaran "&amp;$C$6,AND($C$6="Uang Kos Mama",H3474="Pengeluaran Uang Kos")),OR($C$7="Semua",$C$7="",I3474=$C$7),OR($C$8="Semua",$C$8="",C3474=$C$8,E3474=$C$8),OR($C$9="Semua",$C$9="",D3474=$C$9),OR($C$10="",B3474&gt;=$C$10),OR($C$11="",B3474&lt;=$C$11),OR($C$12&lt;&gt;"Ya",K3474&lt;&gt;""),OR($C$13="Semua",$C$13="",L3474=$C$13)),"✓","")</f>
        <v/>
      </c>
      <c r="N3474" s="93">
        <f>N(N3473)+IF(M3474="✓",1,0)</f>
        <v/>
      </c>
      <c r="O3474" s="93">
        <f>N(O3473)+IF(AND(B3474&lt;&gt;"",B3474&gt;='Uang Riba'!$H$30,B3474&lt;='Uang Riba'!$I$30,OR(H3474="Dana riba",H3474="Pinjam uang riba",I3474="Pinjam dari uang riba",I3474="Ganti uang riba",I3474="Kelebihan ganti dikembalikan",AND(C3474="Kantong Uang Riba",G3474="Pengeluaran"))),1,0)</f>
        <v/>
      </c>
      <c r="X3474" s="93">
        <f>IF(AND(B3474&lt;&gt;"",B3474&gt;='Buku Akun'!$H$4,B3474&lt;='Buku Akun'!$H$5,OR(C3474='Buku Akun'!$C$4,AND(D3474="Pindah",E3474='Buku Akun'!$C$4))),B3474+IF(AND(I3474="Selisih bunga",DAY(B3474)=1),0,0.01)+ROW()/10000000,"")</f>
        <v/>
      </c>
    </row>
    <row r="3475" outlineLevel="1" ht="15" customHeight="1" s="94">
      <c r="A3475" s="123">
        <f>IF(B3475="","",ROW()-15)</f>
        <v/>
      </c>
      <c r="B3475" s="124" t="n"/>
      <c r="C3475" s="123" t="n"/>
      <c r="D3475" s="123" t="n"/>
      <c r="E3475" s="123" t="n"/>
      <c r="F3475" s="125" t="n"/>
      <c r="G3475" s="123" t="n"/>
      <c r="H3475" s="123" t="n"/>
      <c r="I3475" s="123" t="n"/>
      <c r="J3475" s="123" t="n"/>
      <c r="K3475" s="123" t="n"/>
      <c r="L3475" s="123" t="n"/>
      <c r="M3475" s="123">
        <f>IF(AND(B3475&lt;&gt;"",OR($C$4="",ISNUMBER(SEARCH($C$4,C3475&amp;" "&amp;E3475&amp;" "&amp;G3475&amp;" "&amp;H3475&amp;" "&amp;I3475&amp;" "&amp;J3475&amp;" "&amp;K3475&amp;" "&amp;L3475))),OR($C$5="Semua",$C$5="",G3475=$C$5),OR($C$6="Semua",$C$6="",H3475=$C$6,H3475="Pengeluaran "&amp;$C$6,AND($C$6="Uang Kos Mama",H3475="Pengeluaran Uang Kos")),OR($C$7="Semua",$C$7="",I3475=$C$7),OR($C$8="Semua",$C$8="",C3475=$C$8,E3475=$C$8),OR($C$9="Semua",$C$9="",D3475=$C$9),OR($C$10="",B3475&gt;=$C$10),OR($C$11="",B3475&lt;=$C$11),OR($C$12&lt;&gt;"Ya",K3475&lt;&gt;""),OR($C$13="Semua",$C$13="",L3475=$C$13)),"✓","")</f>
        <v/>
      </c>
      <c r="N3475" s="93">
        <f>N(N3474)+IF(M3475="✓",1,0)</f>
        <v/>
      </c>
      <c r="O3475" s="93">
        <f>N(O3474)+IF(AND(B3475&lt;&gt;"",B3475&gt;='Uang Riba'!$H$30,B3475&lt;='Uang Riba'!$I$30,OR(H3475="Dana riba",H3475="Pinjam uang riba",I3475="Pinjam dari uang riba",I3475="Ganti uang riba",I3475="Kelebihan ganti dikembalikan",AND(C3475="Kantong Uang Riba",G3475="Pengeluaran"))),1,0)</f>
        <v/>
      </c>
      <c r="X3475" s="93">
        <f>IF(AND(B3475&lt;&gt;"",B3475&gt;='Buku Akun'!$H$4,B3475&lt;='Buku Akun'!$H$5,OR(C3475='Buku Akun'!$C$4,AND(D3475="Pindah",E3475='Buku Akun'!$C$4))),B3475+IF(AND(I3475="Selisih bunga",DAY(B3475)=1),0,0.01)+ROW()/10000000,"")</f>
        <v/>
      </c>
    </row>
    <row r="3476" outlineLevel="1" ht="15" customHeight="1" s="94">
      <c r="A3476" s="123">
        <f>IF(B3476="","",ROW()-15)</f>
        <v/>
      </c>
      <c r="B3476" s="124" t="n"/>
      <c r="C3476" s="123" t="n"/>
      <c r="D3476" s="123" t="n"/>
      <c r="E3476" s="123" t="n"/>
      <c r="F3476" s="125" t="n"/>
      <c r="G3476" s="123" t="n"/>
      <c r="H3476" s="123" t="n"/>
      <c r="I3476" s="123" t="n"/>
      <c r="J3476" s="123" t="n"/>
      <c r="K3476" s="123" t="n"/>
      <c r="L3476" s="123" t="n"/>
      <c r="M3476" s="123">
        <f>IF(AND(B3476&lt;&gt;"",OR($C$4="",ISNUMBER(SEARCH($C$4,C3476&amp;" "&amp;E3476&amp;" "&amp;G3476&amp;" "&amp;H3476&amp;" "&amp;I3476&amp;" "&amp;J3476&amp;" "&amp;K3476&amp;" "&amp;L3476))),OR($C$5="Semua",$C$5="",G3476=$C$5),OR($C$6="Semua",$C$6="",H3476=$C$6,H3476="Pengeluaran "&amp;$C$6,AND($C$6="Uang Kos Mama",H3476="Pengeluaran Uang Kos")),OR($C$7="Semua",$C$7="",I3476=$C$7),OR($C$8="Semua",$C$8="",C3476=$C$8,E3476=$C$8),OR($C$9="Semua",$C$9="",D3476=$C$9),OR($C$10="",B3476&gt;=$C$10),OR($C$11="",B3476&lt;=$C$11),OR($C$12&lt;&gt;"Ya",K3476&lt;&gt;""),OR($C$13="Semua",$C$13="",L3476=$C$13)),"✓","")</f>
        <v/>
      </c>
      <c r="N3476" s="93">
        <f>N(N3475)+IF(M3476="✓",1,0)</f>
        <v/>
      </c>
      <c r="O3476" s="93">
        <f>N(O3475)+IF(AND(B3476&lt;&gt;"",B3476&gt;='Uang Riba'!$H$30,B3476&lt;='Uang Riba'!$I$30,OR(H3476="Dana riba",H3476="Pinjam uang riba",I3476="Pinjam dari uang riba",I3476="Ganti uang riba",I3476="Kelebihan ganti dikembalikan",AND(C3476="Kantong Uang Riba",G3476="Pengeluaran"))),1,0)</f>
        <v/>
      </c>
      <c r="X3476" s="93">
        <f>IF(AND(B3476&lt;&gt;"",B3476&gt;='Buku Akun'!$H$4,B3476&lt;='Buku Akun'!$H$5,OR(C3476='Buku Akun'!$C$4,AND(D3476="Pindah",E3476='Buku Akun'!$C$4))),B3476+IF(AND(I3476="Selisih bunga",DAY(B3476)=1),0,0.01)+ROW()/10000000,"")</f>
        <v/>
      </c>
    </row>
    <row r="3477" outlineLevel="1" ht="15" customHeight="1" s="94">
      <c r="A3477" s="123">
        <f>IF(B3477="","",ROW()-15)</f>
        <v/>
      </c>
      <c r="B3477" s="124" t="n"/>
      <c r="C3477" s="123" t="n"/>
      <c r="D3477" s="123" t="n"/>
      <c r="E3477" s="123" t="n"/>
      <c r="F3477" s="125" t="n"/>
      <c r="G3477" s="123" t="n"/>
      <c r="H3477" s="123" t="n"/>
      <c r="I3477" s="123" t="n"/>
      <c r="J3477" s="123" t="n"/>
      <c r="K3477" s="123" t="n"/>
      <c r="L3477" s="123" t="n"/>
      <c r="M3477" s="123">
        <f>IF(AND(B3477&lt;&gt;"",OR($C$4="",ISNUMBER(SEARCH($C$4,C3477&amp;" "&amp;E3477&amp;" "&amp;G3477&amp;" "&amp;H3477&amp;" "&amp;I3477&amp;" "&amp;J3477&amp;" "&amp;K3477&amp;" "&amp;L3477))),OR($C$5="Semua",$C$5="",G3477=$C$5),OR($C$6="Semua",$C$6="",H3477=$C$6,H3477="Pengeluaran "&amp;$C$6,AND($C$6="Uang Kos Mama",H3477="Pengeluaran Uang Kos")),OR($C$7="Semua",$C$7="",I3477=$C$7),OR($C$8="Semua",$C$8="",C3477=$C$8,E3477=$C$8),OR($C$9="Semua",$C$9="",D3477=$C$9),OR($C$10="",B3477&gt;=$C$10),OR($C$11="",B3477&lt;=$C$11),OR($C$12&lt;&gt;"Ya",K3477&lt;&gt;""),OR($C$13="Semua",$C$13="",L3477=$C$13)),"✓","")</f>
        <v/>
      </c>
      <c r="N3477" s="93">
        <f>N(N3476)+IF(M3477="✓",1,0)</f>
        <v/>
      </c>
      <c r="O3477" s="93">
        <f>N(O3476)+IF(AND(B3477&lt;&gt;"",B3477&gt;='Uang Riba'!$H$30,B3477&lt;='Uang Riba'!$I$30,OR(H3477="Dana riba",H3477="Pinjam uang riba",I3477="Pinjam dari uang riba",I3477="Ganti uang riba",I3477="Kelebihan ganti dikembalikan",AND(C3477="Kantong Uang Riba",G3477="Pengeluaran"))),1,0)</f>
        <v/>
      </c>
      <c r="X3477" s="93">
        <f>IF(AND(B3477&lt;&gt;"",B3477&gt;='Buku Akun'!$H$4,B3477&lt;='Buku Akun'!$H$5,OR(C3477='Buku Akun'!$C$4,AND(D3477="Pindah",E3477='Buku Akun'!$C$4))),B3477+IF(AND(I3477="Selisih bunga",DAY(B3477)=1),0,0.01)+ROW()/10000000,"")</f>
        <v/>
      </c>
    </row>
    <row r="3478" outlineLevel="1" ht="15" customHeight="1" s="94">
      <c r="A3478" s="123">
        <f>IF(B3478="","",ROW()-15)</f>
        <v/>
      </c>
      <c r="B3478" s="124" t="n"/>
      <c r="C3478" s="123" t="n"/>
      <c r="D3478" s="123" t="n"/>
      <c r="E3478" s="123" t="n"/>
      <c r="F3478" s="125" t="n"/>
      <c r="G3478" s="123" t="n"/>
      <c r="H3478" s="123" t="n"/>
      <c r="I3478" s="123" t="n"/>
      <c r="J3478" s="123" t="n"/>
      <c r="K3478" s="123" t="n"/>
      <c r="L3478" s="123" t="n"/>
      <c r="M3478" s="123">
        <f>IF(AND(B3478&lt;&gt;"",OR($C$4="",ISNUMBER(SEARCH($C$4,C3478&amp;" "&amp;E3478&amp;" "&amp;G3478&amp;" "&amp;H3478&amp;" "&amp;I3478&amp;" "&amp;J3478&amp;" "&amp;K3478&amp;" "&amp;L3478))),OR($C$5="Semua",$C$5="",G3478=$C$5),OR($C$6="Semua",$C$6="",H3478=$C$6,H3478="Pengeluaran "&amp;$C$6,AND($C$6="Uang Kos Mama",H3478="Pengeluaran Uang Kos")),OR($C$7="Semua",$C$7="",I3478=$C$7),OR($C$8="Semua",$C$8="",C3478=$C$8,E3478=$C$8),OR($C$9="Semua",$C$9="",D3478=$C$9),OR($C$10="",B3478&gt;=$C$10),OR($C$11="",B3478&lt;=$C$11),OR($C$12&lt;&gt;"Ya",K3478&lt;&gt;""),OR($C$13="Semua",$C$13="",L3478=$C$13)),"✓","")</f>
        <v/>
      </c>
      <c r="N3478" s="93">
        <f>N(N3477)+IF(M3478="✓",1,0)</f>
        <v/>
      </c>
      <c r="O3478" s="93">
        <f>N(O3477)+IF(AND(B3478&lt;&gt;"",B3478&gt;='Uang Riba'!$H$30,B3478&lt;='Uang Riba'!$I$30,OR(H3478="Dana riba",H3478="Pinjam uang riba",I3478="Pinjam dari uang riba",I3478="Ganti uang riba",I3478="Kelebihan ganti dikembalikan",AND(C3478="Kantong Uang Riba",G3478="Pengeluaran"))),1,0)</f>
        <v/>
      </c>
      <c r="X3478" s="93">
        <f>IF(AND(B3478&lt;&gt;"",B3478&gt;='Buku Akun'!$H$4,B3478&lt;='Buku Akun'!$H$5,OR(C3478='Buku Akun'!$C$4,AND(D3478="Pindah",E3478='Buku Akun'!$C$4))),B3478+IF(AND(I3478="Selisih bunga",DAY(B3478)=1),0,0.01)+ROW()/10000000,"")</f>
        <v/>
      </c>
    </row>
    <row r="3479" outlineLevel="1" ht="15" customHeight="1" s="94">
      <c r="A3479" s="123">
        <f>IF(B3479="","",ROW()-15)</f>
        <v/>
      </c>
      <c r="B3479" s="124" t="n"/>
      <c r="C3479" s="123" t="n"/>
      <c r="D3479" s="123" t="n"/>
      <c r="E3479" s="123" t="n"/>
      <c r="F3479" s="125" t="n"/>
      <c r="G3479" s="123" t="n"/>
      <c r="H3479" s="123" t="n"/>
      <c r="I3479" s="123" t="n"/>
      <c r="J3479" s="123" t="n"/>
      <c r="K3479" s="123" t="n"/>
      <c r="L3479" s="123" t="n"/>
      <c r="M3479" s="123">
        <f>IF(AND(B3479&lt;&gt;"",OR($C$4="",ISNUMBER(SEARCH($C$4,C3479&amp;" "&amp;E3479&amp;" "&amp;G3479&amp;" "&amp;H3479&amp;" "&amp;I3479&amp;" "&amp;J3479&amp;" "&amp;K3479&amp;" "&amp;L3479))),OR($C$5="Semua",$C$5="",G3479=$C$5),OR($C$6="Semua",$C$6="",H3479=$C$6,H3479="Pengeluaran "&amp;$C$6,AND($C$6="Uang Kos Mama",H3479="Pengeluaran Uang Kos")),OR($C$7="Semua",$C$7="",I3479=$C$7),OR($C$8="Semua",$C$8="",C3479=$C$8,E3479=$C$8),OR($C$9="Semua",$C$9="",D3479=$C$9),OR($C$10="",B3479&gt;=$C$10),OR($C$11="",B3479&lt;=$C$11),OR($C$12&lt;&gt;"Ya",K3479&lt;&gt;""),OR($C$13="Semua",$C$13="",L3479=$C$13)),"✓","")</f>
        <v/>
      </c>
      <c r="N3479" s="93">
        <f>N(N3478)+IF(M3479="✓",1,0)</f>
        <v/>
      </c>
      <c r="O3479" s="93">
        <f>N(O3478)+IF(AND(B3479&lt;&gt;"",B3479&gt;='Uang Riba'!$H$30,B3479&lt;='Uang Riba'!$I$30,OR(H3479="Dana riba",H3479="Pinjam uang riba",I3479="Pinjam dari uang riba",I3479="Ganti uang riba",I3479="Kelebihan ganti dikembalikan",AND(C3479="Kantong Uang Riba",G3479="Pengeluaran"))),1,0)</f>
        <v/>
      </c>
      <c r="X3479" s="93">
        <f>IF(AND(B3479&lt;&gt;"",B3479&gt;='Buku Akun'!$H$4,B3479&lt;='Buku Akun'!$H$5,OR(C3479='Buku Akun'!$C$4,AND(D3479="Pindah",E3479='Buku Akun'!$C$4))),B3479+IF(AND(I3479="Selisih bunga",DAY(B3479)=1),0,0.01)+ROW()/10000000,"")</f>
        <v/>
      </c>
    </row>
    <row r="3480" outlineLevel="1" ht="15" customHeight="1" s="94">
      <c r="A3480" s="123">
        <f>IF(B3480="","",ROW()-15)</f>
        <v/>
      </c>
      <c r="B3480" s="124" t="n"/>
      <c r="C3480" s="123" t="n"/>
      <c r="D3480" s="123" t="n"/>
      <c r="E3480" s="123" t="n"/>
      <c r="F3480" s="125" t="n"/>
      <c r="G3480" s="123" t="n"/>
      <c r="H3480" s="123" t="n"/>
      <c r="I3480" s="123" t="n"/>
      <c r="J3480" s="123" t="n"/>
      <c r="K3480" s="123" t="n"/>
      <c r="L3480" s="123" t="n"/>
      <c r="M3480" s="123">
        <f>IF(AND(B3480&lt;&gt;"",OR($C$4="",ISNUMBER(SEARCH($C$4,C3480&amp;" "&amp;E3480&amp;" "&amp;G3480&amp;" "&amp;H3480&amp;" "&amp;I3480&amp;" "&amp;J3480&amp;" "&amp;K3480&amp;" "&amp;L3480))),OR($C$5="Semua",$C$5="",G3480=$C$5),OR($C$6="Semua",$C$6="",H3480=$C$6,H3480="Pengeluaran "&amp;$C$6,AND($C$6="Uang Kos Mama",H3480="Pengeluaran Uang Kos")),OR($C$7="Semua",$C$7="",I3480=$C$7),OR($C$8="Semua",$C$8="",C3480=$C$8,E3480=$C$8),OR($C$9="Semua",$C$9="",D3480=$C$9),OR($C$10="",B3480&gt;=$C$10),OR($C$11="",B3480&lt;=$C$11),OR($C$12&lt;&gt;"Ya",K3480&lt;&gt;""),OR($C$13="Semua",$C$13="",L3480=$C$13)),"✓","")</f>
        <v/>
      </c>
      <c r="N3480" s="93">
        <f>N(N3479)+IF(M3480="✓",1,0)</f>
        <v/>
      </c>
      <c r="O3480" s="93">
        <f>N(O3479)+IF(AND(B3480&lt;&gt;"",B3480&gt;='Uang Riba'!$H$30,B3480&lt;='Uang Riba'!$I$30,OR(H3480="Dana riba",H3480="Pinjam uang riba",I3480="Pinjam dari uang riba",I3480="Ganti uang riba",I3480="Kelebihan ganti dikembalikan",AND(C3480="Kantong Uang Riba",G3480="Pengeluaran"))),1,0)</f>
        <v/>
      </c>
      <c r="X3480" s="93">
        <f>IF(AND(B3480&lt;&gt;"",B3480&gt;='Buku Akun'!$H$4,B3480&lt;='Buku Akun'!$H$5,OR(C3480='Buku Akun'!$C$4,AND(D3480="Pindah",E3480='Buku Akun'!$C$4))),B3480+IF(AND(I3480="Selisih bunga",DAY(B3480)=1),0,0.01)+ROW()/10000000,"")</f>
        <v/>
      </c>
    </row>
    <row r="3481" outlineLevel="1" ht="15" customHeight="1" s="94">
      <c r="A3481" s="123">
        <f>IF(B3481="","",ROW()-15)</f>
        <v/>
      </c>
      <c r="B3481" s="124" t="n"/>
      <c r="C3481" s="123" t="n"/>
      <c r="D3481" s="123" t="n"/>
      <c r="E3481" s="123" t="n"/>
      <c r="F3481" s="125" t="n"/>
      <c r="G3481" s="123" t="n"/>
      <c r="H3481" s="123" t="n"/>
      <c r="I3481" s="123" t="n"/>
      <c r="J3481" s="123" t="n"/>
      <c r="K3481" s="123" t="n"/>
      <c r="L3481" s="123" t="n"/>
      <c r="M3481" s="123">
        <f>IF(AND(B3481&lt;&gt;"",OR($C$4="",ISNUMBER(SEARCH($C$4,C3481&amp;" "&amp;E3481&amp;" "&amp;G3481&amp;" "&amp;H3481&amp;" "&amp;I3481&amp;" "&amp;J3481&amp;" "&amp;K3481&amp;" "&amp;L3481))),OR($C$5="Semua",$C$5="",G3481=$C$5),OR($C$6="Semua",$C$6="",H3481=$C$6,H3481="Pengeluaran "&amp;$C$6,AND($C$6="Uang Kos Mama",H3481="Pengeluaran Uang Kos")),OR($C$7="Semua",$C$7="",I3481=$C$7),OR($C$8="Semua",$C$8="",C3481=$C$8,E3481=$C$8),OR($C$9="Semua",$C$9="",D3481=$C$9),OR($C$10="",B3481&gt;=$C$10),OR($C$11="",B3481&lt;=$C$11),OR($C$12&lt;&gt;"Ya",K3481&lt;&gt;""),OR($C$13="Semua",$C$13="",L3481=$C$13)),"✓","")</f>
        <v/>
      </c>
      <c r="N3481" s="93">
        <f>N(N3480)+IF(M3481="✓",1,0)</f>
        <v/>
      </c>
      <c r="O3481" s="93">
        <f>N(O3480)+IF(AND(B3481&lt;&gt;"",B3481&gt;='Uang Riba'!$H$30,B3481&lt;='Uang Riba'!$I$30,OR(H3481="Dana riba",H3481="Pinjam uang riba",I3481="Pinjam dari uang riba",I3481="Ganti uang riba",I3481="Kelebihan ganti dikembalikan",AND(C3481="Kantong Uang Riba",G3481="Pengeluaran"))),1,0)</f>
        <v/>
      </c>
      <c r="X3481" s="93">
        <f>IF(AND(B3481&lt;&gt;"",B3481&gt;='Buku Akun'!$H$4,B3481&lt;='Buku Akun'!$H$5,OR(C3481='Buku Akun'!$C$4,AND(D3481="Pindah",E3481='Buku Akun'!$C$4))),B3481+IF(AND(I3481="Selisih bunga",DAY(B3481)=1),0,0.01)+ROW()/10000000,"")</f>
        <v/>
      </c>
    </row>
    <row r="3482" outlineLevel="1" ht="15" customHeight="1" s="94">
      <c r="A3482" s="123">
        <f>IF(B3482="","",ROW()-15)</f>
        <v/>
      </c>
      <c r="B3482" s="124" t="n"/>
      <c r="C3482" s="123" t="n"/>
      <c r="D3482" s="123" t="n"/>
      <c r="E3482" s="123" t="n"/>
      <c r="F3482" s="125" t="n"/>
      <c r="G3482" s="123" t="n"/>
      <c r="H3482" s="123" t="n"/>
      <c r="I3482" s="123" t="n"/>
      <c r="J3482" s="123" t="n"/>
      <c r="K3482" s="123" t="n"/>
      <c r="L3482" s="123" t="n"/>
      <c r="M3482" s="123">
        <f>IF(AND(B3482&lt;&gt;"",OR($C$4="",ISNUMBER(SEARCH($C$4,C3482&amp;" "&amp;E3482&amp;" "&amp;G3482&amp;" "&amp;H3482&amp;" "&amp;I3482&amp;" "&amp;J3482&amp;" "&amp;K3482&amp;" "&amp;L3482))),OR($C$5="Semua",$C$5="",G3482=$C$5),OR($C$6="Semua",$C$6="",H3482=$C$6,H3482="Pengeluaran "&amp;$C$6,AND($C$6="Uang Kos Mama",H3482="Pengeluaran Uang Kos")),OR($C$7="Semua",$C$7="",I3482=$C$7),OR($C$8="Semua",$C$8="",C3482=$C$8,E3482=$C$8),OR($C$9="Semua",$C$9="",D3482=$C$9),OR($C$10="",B3482&gt;=$C$10),OR($C$11="",B3482&lt;=$C$11),OR($C$12&lt;&gt;"Ya",K3482&lt;&gt;""),OR($C$13="Semua",$C$13="",L3482=$C$13)),"✓","")</f>
        <v/>
      </c>
      <c r="N3482" s="93">
        <f>N(N3481)+IF(M3482="✓",1,0)</f>
        <v/>
      </c>
      <c r="O3482" s="93">
        <f>N(O3481)+IF(AND(B3482&lt;&gt;"",B3482&gt;='Uang Riba'!$H$30,B3482&lt;='Uang Riba'!$I$30,OR(H3482="Dana riba",H3482="Pinjam uang riba",I3482="Pinjam dari uang riba",I3482="Ganti uang riba",I3482="Kelebihan ganti dikembalikan",AND(C3482="Kantong Uang Riba",G3482="Pengeluaran"))),1,0)</f>
        <v/>
      </c>
      <c r="X3482" s="93">
        <f>IF(AND(B3482&lt;&gt;"",B3482&gt;='Buku Akun'!$H$4,B3482&lt;='Buku Akun'!$H$5,OR(C3482='Buku Akun'!$C$4,AND(D3482="Pindah",E3482='Buku Akun'!$C$4))),B3482+IF(AND(I3482="Selisih bunga",DAY(B3482)=1),0,0.01)+ROW()/10000000,"")</f>
        <v/>
      </c>
    </row>
    <row r="3483" outlineLevel="1" ht="15" customHeight="1" s="94">
      <c r="A3483" s="123">
        <f>IF(B3483="","",ROW()-15)</f>
        <v/>
      </c>
      <c r="B3483" s="124" t="n"/>
      <c r="C3483" s="123" t="n"/>
      <c r="D3483" s="123" t="n"/>
      <c r="E3483" s="123" t="n"/>
      <c r="F3483" s="125" t="n"/>
      <c r="G3483" s="123" t="n"/>
      <c r="H3483" s="123" t="n"/>
      <c r="I3483" s="123" t="n"/>
      <c r="J3483" s="123" t="n"/>
      <c r="K3483" s="123" t="n"/>
      <c r="L3483" s="123" t="n"/>
      <c r="M3483" s="123">
        <f>IF(AND(B3483&lt;&gt;"",OR($C$4="",ISNUMBER(SEARCH($C$4,C3483&amp;" "&amp;E3483&amp;" "&amp;G3483&amp;" "&amp;H3483&amp;" "&amp;I3483&amp;" "&amp;J3483&amp;" "&amp;K3483&amp;" "&amp;L3483))),OR($C$5="Semua",$C$5="",G3483=$C$5),OR($C$6="Semua",$C$6="",H3483=$C$6,H3483="Pengeluaran "&amp;$C$6,AND($C$6="Uang Kos Mama",H3483="Pengeluaran Uang Kos")),OR($C$7="Semua",$C$7="",I3483=$C$7),OR($C$8="Semua",$C$8="",C3483=$C$8,E3483=$C$8),OR($C$9="Semua",$C$9="",D3483=$C$9),OR($C$10="",B3483&gt;=$C$10),OR($C$11="",B3483&lt;=$C$11),OR($C$12&lt;&gt;"Ya",K3483&lt;&gt;""),OR($C$13="Semua",$C$13="",L3483=$C$13)),"✓","")</f>
        <v/>
      </c>
      <c r="N3483" s="93">
        <f>N(N3482)+IF(M3483="✓",1,0)</f>
        <v/>
      </c>
      <c r="O3483" s="93">
        <f>N(O3482)+IF(AND(B3483&lt;&gt;"",B3483&gt;='Uang Riba'!$H$30,B3483&lt;='Uang Riba'!$I$30,OR(H3483="Dana riba",H3483="Pinjam uang riba",I3483="Pinjam dari uang riba",I3483="Ganti uang riba",I3483="Kelebihan ganti dikembalikan",AND(C3483="Kantong Uang Riba",G3483="Pengeluaran"))),1,0)</f>
        <v/>
      </c>
      <c r="X3483" s="93">
        <f>IF(AND(B3483&lt;&gt;"",B3483&gt;='Buku Akun'!$H$4,B3483&lt;='Buku Akun'!$H$5,OR(C3483='Buku Akun'!$C$4,AND(D3483="Pindah",E3483='Buku Akun'!$C$4))),B3483+IF(AND(I3483="Selisih bunga",DAY(B3483)=1),0,0.01)+ROW()/10000000,"")</f>
        <v/>
      </c>
    </row>
    <row r="3484" outlineLevel="1" ht="15" customHeight="1" s="94">
      <c r="A3484" s="123">
        <f>IF(B3484="","",ROW()-15)</f>
        <v/>
      </c>
      <c r="B3484" s="124" t="n"/>
      <c r="C3484" s="123" t="n"/>
      <c r="D3484" s="123" t="n"/>
      <c r="E3484" s="123" t="n"/>
      <c r="F3484" s="125" t="n"/>
      <c r="G3484" s="123" t="n"/>
      <c r="H3484" s="123" t="n"/>
      <c r="I3484" s="123" t="n"/>
      <c r="J3484" s="123" t="n"/>
      <c r="K3484" s="123" t="n"/>
      <c r="L3484" s="123" t="n"/>
      <c r="M3484" s="123">
        <f>IF(AND(B3484&lt;&gt;"",OR($C$4="",ISNUMBER(SEARCH($C$4,C3484&amp;" "&amp;E3484&amp;" "&amp;G3484&amp;" "&amp;H3484&amp;" "&amp;I3484&amp;" "&amp;J3484&amp;" "&amp;K3484&amp;" "&amp;L3484))),OR($C$5="Semua",$C$5="",G3484=$C$5),OR($C$6="Semua",$C$6="",H3484=$C$6,H3484="Pengeluaran "&amp;$C$6,AND($C$6="Uang Kos Mama",H3484="Pengeluaran Uang Kos")),OR($C$7="Semua",$C$7="",I3484=$C$7),OR($C$8="Semua",$C$8="",C3484=$C$8,E3484=$C$8),OR($C$9="Semua",$C$9="",D3484=$C$9),OR($C$10="",B3484&gt;=$C$10),OR($C$11="",B3484&lt;=$C$11),OR($C$12&lt;&gt;"Ya",K3484&lt;&gt;""),OR($C$13="Semua",$C$13="",L3484=$C$13)),"✓","")</f>
        <v/>
      </c>
      <c r="N3484" s="93">
        <f>N(N3483)+IF(M3484="✓",1,0)</f>
        <v/>
      </c>
      <c r="O3484" s="93">
        <f>N(O3483)+IF(AND(B3484&lt;&gt;"",B3484&gt;='Uang Riba'!$H$30,B3484&lt;='Uang Riba'!$I$30,OR(H3484="Dana riba",H3484="Pinjam uang riba",I3484="Pinjam dari uang riba",I3484="Ganti uang riba",I3484="Kelebihan ganti dikembalikan",AND(C3484="Kantong Uang Riba",G3484="Pengeluaran"))),1,0)</f>
        <v/>
      </c>
      <c r="X3484" s="93">
        <f>IF(AND(B3484&lt;&gt;"",B3484&gt;='Buku Akun'!$H$4,B3484&lt;='Buku Akun'!$H$5,OR(C3484='Buku Akun'!$C$4,AND(D3484="Pindah",E3484='Buku Akun'!$C$4))),B3484+IF(AND(I3484="Selisih bunga",DAY(B3484)=1),0,0.01)+ROW()/10000000,"")</f>
        <v/>
      </c>
    </row>
    <row r="3485" outlineLevel="1" ht="15" customHeight="1" s="94">
      <c r="A3485" s="123">
        <f>IF(B3485="","",ROW()-15)</f>
        <v/>
      </c>
      <c r="B3485" s="124" t="n"/>
      <c r="C3485" s="123" t="n"/>
      <c r="D3485" s="123" t="n"/>
      <c r="E3485" s="123" t="n"/>
      <c r="F3485" s="125" t="n"/>
      <c r="G3485" s="123" t="n"/>
      <c r="H3485" s="123" t="n"/>
      <c r="I3485" s="123" t="n"/>
      <c r="J3485" s="123" t="n"/>
      <c r="K3485" s="123" t="n"/>
      <c r="L3485" s="123" t="n"/>
      <c r="M3485" s="123">
        <f>IF(AND(B3485&lt;&gt;"",OR($C$4="",ISNUMBER(SEARCH($C$4,C3485&amp;" "&amp;E3485&amp;" "&amp;G3485&amp;" "&amp;H3485&amp;" "&amp;I3485&amp;" "&amp;J3485&amp;" "&amp;K3485&amp;" "&amp;L3485))),OR($C$5="Semua",$C$5="",G3485=$C$5),OR($C$6="Semua",$C$6="",H3485=$C$6,H3485="Pengeluaran "&amp;$C$6,AND($C$6="Uang Kos Mama",H3485="Pengeluaran Uang Kos")),OR($C$7="Semua",$C$7="",I3485=$C$7),OR($C$8="Semua",$C$8="",C3485=$C$8,E3485=$C$8),OR($C$9="Semua",$C$9="",D3485=$C$9),OR($C$10="",B3485&gt;=$C$10),OR($C$11="",B3485&lt;=$C$11),OR($C$12&lt;&gt;"Ya",K3485&lt;&gt;""),OR($C$13="Semua",$C$13="",L3485=$C$13)),"✓","")</f>
        <v/>
      </c>
      <c r="N3485" s="93">
        <f>N(N3484)+IF(M3485="✓",1,0)</f>
        <v/>
      </c>
      <c r="O3485" s="93">
        <f>N(O3484)+IF(AND(B3485&lt;&gt;"",B3485&gt;='Uang Riba'!$H$30,B3485&lt;='Uang Riba'!$I$30,OR(H3485="Dana riba",H3485="Pinjam uang riba",I3485="Pinjam dari uang riba",I3485="Ganti uang riba",I3485="Kelebihan ganti dikembalikan",AND(C3485="Kantong Uang Riba",G3485="Pengeluaran"))),1,0)</f>
        <v/>
      </c>
      <c r="X3485" s="93">
        <f>IF(AND(B3485&lt;&gt;"",B3485&gt;='Buku Akun'!$H$4,B3485&lt;='Buku Akun'!$H$5,OR(C3485='Buku Akun'!$C$4,AND(D3485="Pindah",E3485='Buku Akun'!$C$4))),B3485+IF(AND(I3485="Selisih bunga",DAY(B3485)=1),0,0.01)+ROW()/10000000,"")</f>
        <v/>
      </c>
    </row>
    <row r="3486" outlineLevel="1" ht="15" customHeight="1" s="94">
      <c r="A3486" s="123">
        <f>IF(B3486="","",ROW()-15)</f>
        <v/>
      </c>
      <c r="B3486" s="124" t="n"/>
      <c r="C3486" s="123" t="n"/>
      <c r="D3486" s="123" t="n"/>
      <c r="E3486" s="123" t="n"/>
      <c r="F3486" s="125" t="n"/>
      <c r="G3486" s="123" t="n"/>
      <c r="H3486" s="123" t="n"/>
      <c r="I3486" s="123" t="n"/>
      <c r="J3486" s="123" t="n"/>
      <c r="K3486" s="123" t="n"/>
      <c r="L3486" s="123" t="n"/>
      <c r="M3486" s="123">
        <f>IF(AND(B3486&lt;&gt;"",OR($C$4="",ISNUMBER(SEARCH($C$4,C3486&amp;" "&amp;E3486&amp;" "&amp;G3486&amp;" "&amp;H3486&amp;" "&amp;I3486&amp;" "&amp;J3486&amp;" "&amp;K3486&amp;" "&amp;L3486))),OR($C$5="Semua",$C$5="",G3486=$C$5),OR($C$6="Semua",$C$6="",H3486=$C$6,H3486="Pengeluaran "&amp;$C$6,AND($C$6="Uang Kos Mama",H3486="Pengeluaran Uang Kos")),OR($C$7="Semua",$C$7="",I3486=$C$7),OR($C$8="Semua",$C$8="",C3486=$C$8,E3486=$C$8),OR($C$9="Semua",$C$9="",D3486=$C$9),OR($C$10="",B3486&gt;=$C$10),OR($C$11="",B3486&lt;=$C$11),OR($C$12&lt;&gt;"Ya",K3486&lt;&gt;""),OR($C$13="Semua",$C$13="",L3486=$C$13)),"✓","")</f>
        <v/>
      </c>
      <c r="N3486" s="93">
        <f>N(N3485)+IF(M3486="✓",1,0)</f>
        <v/>
      </c>
      <c r="O3486" s="93">
        <f>N(O3485)+IF(AND(B3486&lt;&gt;"",B3486&gt;='Uang Riba'!$H$30,B3486&lt;='Uang Riba'!$I$30,OR(H3486="Dana riba",H3486="Pinjam uang riba",I3486="Pinjam dari uang riba",I3486="Ganti uang riba",I3486="Kelebihan ganti dikembalikan",AND(C3486="Kantong Uang Riba",G3486="Pengeluaran"))),1,0)</f>
        <v/>
      </c>
      <c r="X3486" s="93">
        <f>IF(AND(B3486&lt;&gt;"",B3486&gt;='Buku Akun'!$H$4,B3486&lt;='Buku Akun'!$H$5,OR(C3486='Buku Akun'!$C$4,AND(D3486="Pindah",E3486='Buku Akun'!$C$4))),B3486+IF(AND(I3486="Selisih bunga",DAY(B3486)=1),0,0.01)+ROW()/10000000,"")</f>
        <v/>
      </c>
    </row>
    <row r="3487" outlineLevel="1" ht="15" customHeight="1" s="94">
      <c r="A3487" s="123">
        <f>IF(B3487="","",ROW()-15)</f>
        <v/>
      </c>
      <c r="B3487" s="124" t="n"/>
      <c r="C3487" s="123" t="n"/>
      <c r="D3487" s="123" t="n"/>
      <c r="E3487" s="123" t="n"/>
      <c r="F3487" s="125" t="n"/>
      <c r="G3487" s="123" t="n"/>
      <c r="H3487" s="123" t="n"/>
      <c r="I3487" s="123" t="n"/>
      <c r="J3487" s="123" t="n"/>
      <c r="K3487" s="123" t="n"/>
      <c r="L3487" s="123" t="n"/>
      <c r="M3487" s="123">
        <f>IF(AND(B3487&lt;&gt;"",OR($C$4="",ISNUMBER(SEARCH($C$4,C3487&amp;" "&amp;E3487&amp;" "&amp;G3487&amp;" "&amp;H3487&amp;" "&amp;I3487&amp;" "&amp;J3487&amp;" "&amp;K3487&amp;" "&amp;L3487))),OR($C$5="Semua",$C$5="",G3487=$C$5),OR($C$6="Semua",$C$6="",H3487=$C$6,H3487="Pengeluaran "&amp;$C$6,AND($C$6="Uang Kos Mama",H3487="Pengeluaran Uang Kos")),OR($C$7="Semua",$C$7="",I3487=$C$7),OR($C$8="Semua",$C$8="",C3487=$C$8,E3487=$C$8),OR($C$9="Semua",$C$9="",D3487=$C$9),OR($C$10="",B3487&gt;=$C$10),OR($C$11="",B3487&lt;=$C$11),OR($C$12&lt;&gt;"Ya",K3487&lt;&gt;""),OR($C$13="Semua",$C$13="",L3487=$C$13)),"✓","")</f>
        <v/>
      </c>
      <c r="N3487" s="93">
        <f>N(N3486)+IF(M3487="✓",1,0)</f>
        <v/>
      </c>
      <c r="O3487" s="93">
        <f>N(O3486)+IF(AND(B3487&lt;&gt;"",B3487&gt;='Uang Riba'!$H$30,B3487&lt;='Uang Riba'!$I$30,OR(H3487="Dana riba",H3487="Pinjam uang riba",I3487="Pinjam dari uang riba",I3487="Ganti uang riba",I3487="Kelebihan ganti dikembalikan",AND(C3487="Kantong Uang Riba",G3487="Pengeluaran"))),1,0)</f>
        <v/>
      </c>
      <c r="X3487" s="93">
        <f>IF(AND(B3487&lt;&gt;"",B3487&gt;='Buku Akun'!$H$4,B3487&lt;='Buku Akun'!$H$5,OR(C3487='Buku Akun'!$C$4,AND(D3487="Pindah",E3487='Buku Akun'!$C$4))),B3487+IF(AND(I3487="Selisih bunga",DAY(B3487)=1),0,0.01)+ROW()/10000000,"")</f>
        <v/>
      </c>
    </row>
    <row r="3488" outlineLevel="1" ht="15" customHeight="1" s="94">
      <c r="A3488" s="123">
        <f>IF(B3488="","",ROW()-15)</f>
        <v/>
      </c>
      <c r="B3488" s="124" t="n"/>
      <c r="C3488" s="123" t="n"/>
      <c r="D3488" s="123" t="n"/>
      <c r="E3488" s="123" t="n"/>
      <c r="F3488" s="125" t="n"/>
      <c r="G3488" s="123" t="n"/>
      <c r="H3488" s="123" t="n"/>
      <c r="I3488" s="123" t="n"/>
      <c r="J3488" s="123" t="n"/>
      <c r="K3488" s="123" t="n"/>
      <c r="L3488" s="123" t="n"/>
      <c r="M3488" s="123">
        <f>IF(AND(B3488&lt;&gt;"",OR($C$4="",ISNUMBER(SEARCH($C$4,C3488&amp;" "&amp;E3488&amp;" "&amp;G3488&amp;" "&amp;H3488&amp;" "&amp;I3488&amp;" "&amp;J3488&amp;" "&amp;K3488&amp;" "&amp;L3488))),OR($C$5="Semua",$C$5="",G3488=$C$5),OR($C$6="Semua",$C$6="",H3488=$C$6,H3488="Pengeluaran "&amp;$C$6,AND($C$6="Uang Kos Mama",H3488="Pengeluaran Uang Kos")),OR($C$7="Semua",$C$7="",I3488=$C$7),OR($C$8="Semua",$C$8="",C3488=$C$8,E3488=$C$8),OR($C$9="Semua",$C$9="",D3488=$C$9),OR($C$10="",B3488&gt;=$C$10),OR($C$11="",B3488&lt;=$C$11),OR($C$12&lt;&gt;"Ya",K3488&lt;&gt;""),OR($C$13="Semua",$C$13="",L3488=$C$13)),"✓","")</f>
        <v/>
      </c>
      <c r="N3488" s="93">
        <f>N(N3487)+IF(M3488="✓",1,0)</f>
        <v/>
      </c>
      <c r="O3488" s="93">
        <f>N(O3487)+IF(AND(B3488&lt;&gt;"",B3488&gt;='Uang Riba'!$H$30,B3488&lt;='Uang Riba'!$I$30,OR(H3488="Dana riba",H3488="Pinjam uang riba",I3488="Pinjam dari uang riba",I3488="Ganti uang riba",I3488="Kelebihan ganti dikembalikan",AND(C3488="Kantong Uang Riba",G3488="Pengeluaran"))),1,0)</f>
        <v/>
      </c>
      <c r="X3488" s="93">
        <f>IF(AND(B3488&lt;&gt;"",B3488&gt;='Buku Akun'!$H$4,B3488&lt;='Buku Akun'!$H$5,OR(C3488='Buku Akun'!$C$4,AND(D3488="Pindah",E3488='Buku Akun'!$C$4))),B3488+IF(AND(I3488="Selisih bunga",DAY(B3488)=1),0,0.01)+ROW()/10000000,"")</f>
        <v/>
      </c>
    </row>
    <row r="3489" outlineLevel="1" ht="15" customHeight="1" s="94">
      <c r="A3489" s="123">
        <f>IF(B3489="","",ROW()-15)</f>
        <v/>
      </c>
      <c r="B3489" s="124" t="n"/>
      <c r="C3489" s="123" t="n"/>
      <c r="D3489" s="123" t="n"/>
      <c r="E3489" s="123" t="n"/>
      <c r="F3489" s="125" t="n"/>
      <c r="G3489" s="123" t="n"/>
      <c r="H3489" s="123" t="n"/>
      <c r="I3489" s="123" t="n"/>
      <c r="J3489" s="123" t="n"/>
      <c r="K3489" s="123" t="n"/>
      <c r="L3489" s="123" t="n"/>
      <c r="M3489" s="123">
        <f>IF(AND(B3489&lt;&gt;"",OR($C$4="",ISNUMBER(SEARCH($C$4,C3489&amp;" "&amp;E3489&amp;" "&amp;G3489&amp;" "&amp;H3489&amp;" "&amp;I3489&amp;" "&amp;J3489&amp;" "&amp;K3489&amp;" "&amp;L3489))),OR($C$5="Semua",$C$5="",G3489=$C$5),OR($C$6="Semua",$C$6="",H3489=$C$6,H3489="Pengeluaran "&amp;$C$6,AND($C$6="Uang Kos Mama",H3489="Pengeluaran Uang Kos")),OR($C$7="Semua",$C$7="",I3489=$C$7),OR($C$8="Semua",$C$8="",C3489=$C$8,E3489=$C$8),OR($C$9="Semua",$C$9="",D3489=$C$9),OR($C$10="",B3489&gt;=$C$10),OR($C$11="",B3489&lt;=$C$11),OR($C$12&lt;&gt;"Ya",K3489&lt;&gt;""),OR($C$13="Semua",$C$13="",L3489=$C$13)),"✓","")</f>
        <v/>
      </c>
      <c r="N3489" s="93">
        <f>N(N3488)+IF(M3489="✓",1,0)</f>
        <v/>
      </c>
      <c r="O3489" s="93">
        <f>N(O3488)+IF(AND(B3489&lt;&gt;"",B3489&gt;='Uang Riba'!$H$30,B3489&lt;='Uang Riba'!$I$30,OR(H3489="Dana riba",H3489="Pinjam uang riba",I3489="Pinjam dari uang riba",I3489="Ganti uang riba",I3489="Kelebihan ganti dikembalikan",AND(C3489="Kantong Uang Riba",G3489="Pengeluaran"))),1,0)</f>
        <v/>
      </c>
      <c r="X3489" s="93">
        <f>IF(AND(B3489&lt;&gt;"",B3489&gt;='Buku Akun'!$H$4,B3489&lt;='Buku Akun'!$H$5,OR(C3489='Buku Akun'!$C$4,AND(D3489="Pindah",E3489='Buku Akun'!$C$4))),B3489+IF(AND(I3489="Selisih bunga",DAY(B3489)=1),0,0.01)+ROW()/10000000,"")</f>
        <v/>
      </c>
    </row>
    <row r="3490" outlineLevel="1" ht="15" customHeight="1" s="94">
      <c r="A3490" s="123">
        <f>IF(B3490="","",ROW()-15)</f>
        <v/>
      </c>
      <c r="B3490" s="124" t="n"/>
      <c r="C3490" s="123" t="n"/>
      <c r="D3490" s="123" t="n"/>
      <c r="E3490" s="123" t="n"/>
      <c r="F3490" s="125" t="n"/>
      <c r="G3490" s="123" t="n"/>
      <c r="H3490" s="123" t="n"/>
      <c r="I3490" s="123" t="n"/>
      <c r="J3490" s="123" t="n"/>
      <c r="K3490" s="123" t="n"/>
      <c r="L3490" s="123" t="n"/>
      <c r="M3490" s="123">
        <f>IF(AND(B3490&lt;&gt;"",OR($C$4="",ISNUMBER(SEARCH($C$4,C3490&amp;" "&amp;E3490&amp;" "&amp;G3490&amp;" "&amp;H3490&amp;" "&amp;I3490&amp;" "&amp;J3490&amp;" "&amp;K3490&amp;" "&amp;L3490))),OR($C$5="Semua",$C$5="",G3490=$C$5),OR($C$6="Semua",$C$6="",H3490=$C$6,H3490="Pengeluaran "&amp;$C$6,AND($C$6="Uang Kos Mama",H3490="Pengeluaran Uang Kos")),OR($C$7="Semua",$C$7="",I3490=$C$7),OR($C$8="Semua",$C$8="",C3490=$C$8,E3490=$C$8),OR($C$9="Semua",$C$9="",D3490=$C$9),OR($C$10="",B3490&gt;=$C$10),OR($C$11="",B3490&lt;=$C$11),OR($C$12&lt;&gt;"Ya",K3490&lt;&gt;""),OR($C$13="Semua",$C$13="",L3490=$C$13)),"✓","")</f>
        <v/>
      </c>
      <c r="N3490" s="93">
        <f>N(N3489)+IF(M3490="✓",1,0)</f>
        <v/>
      </c>
      <c r="O3490" s="93">
        <f>N(O3489)+IF(AND(B3490&lt;&gt;"",B3490&gt;='Uang Riba'!$H$30,B3490&lt;='Uang Riba'!$I$30,OR(H3490="Dana riba",H3490="Pinjam uang riba",I3490="Pinjam dari uang riba",I3490="Ganti uang riba",I3490="Kelebihan ganti dikembalikan",AND(C3490="Kantong Uang Riba",G3490="Pengeluaran"))),1,0)</f>
        <v/>
      </c>
      <c r="X3490" s="93">
        <f>IF(AND(B3490&lt;&gt;"",B3490&gt;='Buku Akun'!$H$4,B3490&lt;='Buku Akun'!$H$5,OR(C3490='Buku Akun'!$C$4,AND(D3490="Pindah",E3490='Buku Akun'!$C$4))),B3490+IF(AND(I3490="Selisih bunga",DAY(B3490)=1),0,0.01)+ROW()/10000000,"")</f>
        <v/>
      </c>
    </row>
    <row r="3491" outlineLevel="1" ht="15" customHeight="1" s="94">
      <c r="A3491" s="123">
        <f>IF(B3491="","",ROW()-15)</f>
        <v/>
      </c>
      <c r="B3491" s="124" t="n"/>
      <c r="C3491" s="123" t="n"/>
      <c r="D3491" s="123" t="n"/>
      <c r="E3491" s="123" t="n"/>
      <c r="F3491" s="125" t="n"/>
      <c r="G3491" s="123" t="n"/>
      <c r="H3491" s="123" t="n"/>
      <c r="I3491" s="123" t="n"/>
      <c r="J3491" s="123" t="n"/>
      <c r="K3491" s="123" t="n"/>
      <c r="L3491" s="123" t="n"/>
      <c r="M3491" s="123">
        <f>IF(AND(B3491&lt;&gt;"",OR($C$4="",ISNUMBER(SEARCH($C$4,C3491&amp;" "&amp;E3491&amp;" "&amp;G3491&amp;" "&amp;H3491&amp;" "&amp;I3491&amp;" "&amp;J3491&amp;" "&amp;K3491&amp;" "&amp;L3491))),OR($C$5="Semua",$C$5="",G3491=$C$5),OR($C$6="Semua",$C$6="",H3491=$C$6,H3491="Pengeluaran "&amp;$C$6,AND($C$6="Uang Kos Mama",H3491="Pengeluaran Uang Kos")),OR($C$7="Semua",$C$7="",I3491=$C$7),OR($C$8="Semua",$C$8="",C3491=$C$8,E3491=$C$8),OR($C$9="Semua",$C$9="",D3491=$C$9),OR($C$10="",B3491&gt;=$C$10),OR($C$11="",B3491&lt;=$C$11),OR($C$12&lt;&gt;"Ya",K3491&lt;&gt;""),OR($C$13="Semua",$C$13="",L3491=$C$13)),"✓","")</f>
        <v/>
      </c>
      <c r="N3491" s="93">
        <f>N(N3490)+IF(M3491="✓",1,0)</f>
        <v/>
      </c>
      <c r="O3491" s="93">
        <f>N(O3490)+IF(AND(B3491&lt;&gt;"",B3491&gt;='Uang Riba'!$H$30,B3491&lt;='Uang Riba'!$I$30,OR(H3491="Dana riba",H3491="Pinjam uang riba",I3491="Pinjam dari uang riba",I3491="Ganti uang riba",I3491="Kelebihan ganti dikembalikan",AND(C3491="Kantong Uang Riba",G3491="Pengeluaran"))),1,0)</f>
        <v/>
      </c>
      <c r="X3491" s="93">
        <f>IF(AND(B3491&lt;&gt;"",B3491&gt;='Buku Akun'!$H$4,B3491&lt;='Buku Akun'!$H$5,OR(C3491='Buku Akun'!$C$4,AND(D3491="Pindah",E3491='Buku Akun'!$C$4))),B3491+IF(AND(I3491="Selisih bunga",DAY(B3491)=1),0,0.01)+ROW()/10000000,"")</f>
        <v/>
      </c>
    </row>
    <row r="3492" outlineLevel="1" ht="15" customHeight="1" s="94">
      <c r="A3492" s="123">
        <f>IF(B3492="","",ROW()-15)</f>
        <v/>
      </c>
      <c r="B3492" s="124" t="n"/>
      <c r="C3492" s="123" t="n"/>
      <c r="D3492" s="123" t="n"/>
      <c r="E3492" s="123" t="n"/>
      <c r="F3492" s="125" t="n"/>
      <c r="G3492" s="123" t="n"/>
      <c r="H3492" s="123" t="n"/>
      <c r="I3492" s="123" t="n"/>
      <c r="J3492" s="123" t="n"/>
      <c r="K3492" s="123" t="n"/>
      <c r="L3492" s="123" t="n"/>
      <c r="M3492" s="123">
        <f>IF(AND(B3492&lt;&gt;"",OR($C$4="",ISNUMBER(SEARCH($C$4,C3492&amp;" "&amp;E3492&amp;" "&amp;G3492&amp;" "&amp;H3492&amp;" "&amp;I3492&amp;" "&amp;J3492&amp;" "&amp;K3492&amp;" "&amp;L3492))),OR($C$5="Semua",$C$5="",G3492=$C$5),OR($C$6="Semua",$C$6="",H3492=$C$6,H3492="Pengeluaran "&amp;$C$6,AND($C$6="Uang Kos Mama",H3492="Pengeluaran Uang Kos")),OR($C$7="Semua",$C$7="",I3492=$C$7),OR($C$8="Semua",$C$8="",C3492=$C$8,E3492=$C$8),OR($C$9="Semua",$C$9="",D3492=$C$9),OR($C$10="",B3492&gt;=$C$10),OR($C$11="",B3492&lt;=$C$11),OR($C$12&lt;&gt;"Ya",K3492&lt;&gt;""),OR($C$13="Semua",$C$13="",L3492=$C$13)),"✓","")</f>
        <v/>
      </c>
      <c r="N3492" s="93">
        <f>N(N3491)+IF(M3492="✓",1,0)</f>
        <v/>
      </c>
      <c r="O3492" s="93">
        <f>N(O3491)+IF(AND(B3492&lt;&gt;"",B3492&gt;='Uang Riba'!$H$30,B3492&lt;='Uang Riba'!$I$30,OR(H3492="Dana riba",H3492="Pinjam uang riba",I3492="Pinjam dari uang riba",I3492="Ganti uang riba",I3492="Kelebihan ganti dikembalikan",AND(C3492="Kantong Uang Riba",G3492="Pengeluaran"))),1,0)</f>
        <v/>
      </c>
      <c r="X3492" s="93">
        <f>IF(AND(B3492&lt;&gt;"",B3492&gt;='Buku Akun'!$H$4,B3492&lt;='Buku Akun'!$H$5,OR(C3492='Buku Akun'!$C$4,AND(D3492="Pindah",E3492='Buku Akun'!$C$4))),B3492+IF(AND(I3492="Selisih bunga",DAY(B3492)=1),0,0.01)+ROW()/10000000,"")</f>
        <v/>
      </c>
    </row>
    <row r="3493" outlineLevel="1" ht="15" customHeight="1" s="94">
      <c r="A3493" s="123">
        <f>IF(B3493="","",ROW()-15)</f>
        <v/>
      </c>
      <c r="B3493" s="124" t="n"/>
      <c r="C3493" s="123" t="n"/>
      <c r="D3493" s="123" t="n"/>
      <c r="E3493" s="123" t="n"/>
      <c r="F3493" s="125" t="n"/>
      <c r="G3493" s="123" t="n"/>
      <c r="H3493" s="123" t="n"/>
      <c r="I3493" s="123" t="n"/>
      <c r="J3493" s="123" t="n"/>
      <c r="K3493" s="123" t="n"/>
      <c r="L3493" s="123" t="n"/>
      <c r="M3493" s="123">
        <f>IF(AND(B3493&lt;&gt;"",OR($C$4="",ISNUMBER(SEARCH($C$4,C3493&amp;" "&amp;E3493&amp;" "&amp;G3493&amp;" "&amp;H3493&amp;" "&amp;I3493&amp;" "&amp;J3493&amp;" "&amp;K3493&amp;" "&amp;L3493))),OR($C$5="Semua",$C$5="",G3493=$C$5),OR($C$6="Semua",$C$6="",H3493=$C$6,H3493="Pengeluaran "&amp;$C$6,AND($C$6="Uang Kos Mama",H3493="Pengeluaran Uang Kos")),OR($C$7="Semua",$C$7="",I3493=$C$7),OR($C$8="Semua",$C$8="",C3493=$C$8,E3493=$C$8),OR($C$9="Semua",$C$9="",D3493=$C$9),OR($C$10="",B3493&gt;=$C$10),OR($C$11="",B3493&lt;=$C$11),OR($C$12&lt;&gt;"Ya",K3493&lt;&gt;""),OR($C$13="Semua",$C$13="",L3493=$C$13)),"✓","")</f>
        <v/>
      </c>
      <c r="N3493" s="93">
        <f>N(N3492)+IF(M3493="✓",1,0)</f>
        <v/>
      </c>
      <c r="O3493" s="93">
        <f>N(O3492)+IF(AND(B3493&lt;&gt;"",B3493&gt;='Uang Riba'!$H$30,B3493&lt;='Uang Riba'!$I$30,OR(H3493="Dana riba",H3493="Pinjam uang riba",I3493="Pinjam dari uang riba",I3493="Ganti uang riba",I3493="Kelebihan ganti dikembalikan",AND(C3493="Kantong Uang Riba",G3493="Pengeluaran"))),1,0)</f>
        <v/>
      </c>
      <c r="X3493" s="93">
        <f>IF(AND(B3493&lt;&gt;"",B3493&gt;='Buku Akun'!$H$4,B3493&lt;='Buku Akun'!$H$5,OR(C3493='Buku Akun'!$C$4,AND(D3493="Pindah",E3493='Buku Akun'!$C$4))),B3493+IF(AND(I3493="Selisih bunga",DAY(B3493)=1),0,0.01)+ROW()/10000000,"")</f>
        <v/>
      </c>
    </row>
    <row r="3494" outlineLevel="1" ht="15" customHeight="1" s="94">
      <c r="A3494" s="123">
        <f>IF(B3494="","",ROW()-15)</f>
        <v/>
      </c>
      <c r="B3494" s="124" t="n"/>
      <c r="C3494" s="123" t="n"/>
      <c r="D3494" s="123" t="n"/>
      <c r="E3494" s="123" t="n"/>
      <c r="F3494" s="125" t="n"/>
      <c r="G3494" s="123" t="n"/>
      <c r="H3494" s="123" t="n"/>
      <c r="I3494" s="123" t="n"/>
      <c r="J3494" s="123" t="n"/>
      <c r="K3494" s="123" t="n"/>
      <c r="L3494" s="123" t="n"/>
      <c r="M3494" s="123">
        <f>IF(AND(B3494&lt;&gt;"",OR($C$4="",ISNUMBER(SEARCH($C$4,C3494&amp;" "&amp;E3494&amp;" "&amp;G3494&amp;" "&amp;H3494&amp;" "&amp;I3494&amp;" "&amp;J3494&amp;" "&amp;K3494&amp;" "&amp;L3494))),OR($C$5="Semua",$C$5="",G3494=$C$5),OR($C$6="Semua",$C$6="",H3494=$C$6,H3494="Pengeluaran "&amp;$C$6,AND($C$6="Uang Kos Mama",H3494="Pengeluaran Uang Kos")),OR($C$7="Semua",$C$7="",I3494=$C$7),OR($C$8="Semua",$C$8="",C3494=$C$8,E3494=$C$8),OR($C$9="Semua",$C$9="",D3494=$C$9),OR($C$10="",B3494&gt;=$C$10),OR($C$11="",B3494&lt;=$C$11),OR($C$12&lt;&gt;"Ya",K3494&lt;&gt;""),OR($C$13="Semua",$C$13="",L3494=$C$13)),"✓","")</f>
        <v/>
      </c>
      <c r="N3494" s="93">
        <f>N(N3493)+IF(M3494="✓",1,0)</f>
        <v/>
      </c>
      <c r="O3494" s="93">
        <f>N(O3493)+IF(AND(B3494&lt;&gt;"",B3494&gt;='Uang Riba'!$H$30,B3494&lt;='Uang Riba'!$I$30,OR(H3494="Dana riba",H3494="Pinjam uang riba",I3494="Pinjam dari uang riba",I3494="Ganti uang riba",I3494="Kelebihan ganti dikembalikan",AND(C3494="Kantong Uang Riba",G3494="Pengeluaran"))),1,0)</f>
        <v/>
      </c>
      <c r="X3494" s="93">
        <f>IF(AND(B3494&lt;&gt;"",B3494&gt;='Buku Akun'!$H$4,B3494&lt;='Buku Akun'!$H$5,OR(C3494='Buku Akun'!$C$4,AND(D3494="Pindah",E3494='Buku Akun'!$C$4))),B3494+IF(AND(I3494="Selisih bunga",DAY(B3494)=1),0,0.01)+ROW()/10000000,"")</f>
        <v/>
      </c>
    </row>
    <row r="3495" outlineLevel="1" ht="15" customHeight="1" s="94">
      <c r="A3495" s="123">
        <f>IF(B3495="","",ROW()-15)</f>
        <v/>
      </c>
      <c r="B3495" s="124" t="n"/>
      <c r="C3495" s="123" t="n"/>
      <c r="D3495" s="123" t="n"/>
      <c r="E3495" s="123" t="n"/>
      <c r="F3495" s="125" t="n"/>
      <c r="G3495" s="123" t="n"/>
      <c r="H3495" s="123" t="n"/>
      <c r="I3495" s="123" t="n"/>
      <c r="J3495" s="123" t="n"/>
      <c r="K3495" s="123" t="n"/>
      <c r="L3495" s="123" t="n"/>
      <c r="M3495" s="123">
        <f>IF(AND(B3495&lt;&gt;"",OR($C$4="",ISNUMBER(SEARCH($C$4,C3495&amp;" "&amp;E3495&amp;" "&amp;G3495&amp;" "&amp;H3495&amp;" "&amp;I3495&amp;" "&amp;J3495&amp;" "&amp;K3495&amp;" "&amp;L3495))),OR($C$5="Semua",$C$5="",G3495=$C$5),OR($C$6="Semua",$C$6="",H3495=$C$6,H3495="Pengeluaran "&amp;$C$6,AND($C$6="Uang Kos Mama",H3495="Pengeluaran Uang Kos")),OR($C$7="Semua",$C$7="",I3495=$C$7),OR($C$8="Semua",$C$8="",C3495=$C$8,E3495=$C$8),OR($C$9="Semua",$C$9="",D3495=$C$9),OR($C$10="",B3495&gt;=$C$10),OR($C$11="",B3495&lt;=$C$11),OR($C$12&lt;&gt;"Ya",K3495&lt;&gt;""),OR($C$13="Semua",$C$13="",L3495=$C$13)),"✓","")</f>
        <v/>
      </c>
      <c r="N3495" s="93">
        <f>N(N3494)+IF(M3495="✓",1,0)</f>
        <v/>
      </c>
      <c r="O3495" s="93">
        <f>N(O3494)+IF(AND(B3495&lt;&gt;"",B3495&gt;='Uang Riba'!$H$30,B3495&lt;='Uang Riba'!$I$30,OR(H3495="Dana riba",H3495="Pinjam uang riba",I3495="Pinjam dari uang riba",I3495="Ganti uang riba",I3495="Kelebihan ganti dikembalikan",AND(C3495="Kantong Uang Riba",G3495="Pengeluaran"))),1,0)</f>
        <v/>
      </c>
      <c r="X3495" s="93">
        <f>IF(AND(B3495&lt;&gt;"",B3495&gt;='Buku Akun'!$H$4,B3495&lt;='Buku Akun'!$H$5,OR(C3495='Buku Akun'!$C$4,AND(D3495="Pindah",E3495='Buku Akun'!$C$4))),B3495+IF(AND(I3495="Selisih bunga",DAY(B3495)=1),0,0.01)+ROW()/10000000,"")</f>
        <v/>
      </c>
    </row>
    <row r="3496" outlineLevel="1" ht="15" customHeight="1" s="94">
      <c r="A3496" s="123">
        <f>IF(B3496="","",ROW()-15)</f>
        <v/>
      </c>
      <c r="B3496" s="124" t="n"/>
      <c r="C3496" s="123" t="n"/>
      <c r="D3496" s="123" t="n"/>
      <c r="E3496" s="123" t="n"/>
      <c r="F3496" s="125" t="n"/>
      <c r="G3496" s="123" t="n"/>
      <c r="H3496" s="123" t="n"/>
      <c r="I3496" s="123" t="n"/>
      <c r="J3496" s="123" t="n"/>
      <c r="K3496" s="123" t="n"/>
      <c r="L3496" s="123" t="n"/>
      <c r="M3496" s="123">
        <f>IF(AND(B3496&lt;&gt;"",OR($C$4="",ISNUMBER(SEARCH($C$4,C3496&amp;" "&amp;E3496&amp;" "&amp;G3496&amp;" "&amp;H3496&amp;" "&amp;I3496&amp;" "&amp;J3496&amp;" "&amp;K3496&amp;" "&amp;L3496))),OR($C$5="Semua",$C$5="",G3496=$C$5),OR($C$6="Semua",$C$6="",H3496=$C$6,H3496="Pengeluaran "&amp;$C$6,AND($C$6="Uang Kos Mama",H3496="Pengeluaran Uang Kos")),OR($C$7="Semua",$C$7="",I3496=$C$7),OR($C$8="Semua",$C$8="",C3496=$C$8,E3496=$C$8),OR($C$9="Semua",$C$9="",D3496=$C$9),OR($C$10="",B3496&gt;=$C$10),OR($C$11="",B3496&lt;=$C$11),OR($C$12&lt;&gt;"Ya",K3496&lt;&gt;""),OR($C$13="Semua",$C$13="",L3496=$C$13)),"✓","")</f>
        <v/>
      </c>
      <c r="N3496" s="93">
        <f>N(N3495)+IF(M3496="✓",1,0)</f>
        <v/>
      </c>
      <c r="O3496" s="93">
        <f>N(O3495)+IF(AND(B3496&lt;&gt;"",B3496&gt;='Uang Riba'!$H$30,B3496&lt;='Uang Riba'!$I$30,OR(H3496="Dana riba",H3496="Pinjam uang riba",I3496="Pinjam dari uang riba",I3496="Ganti uang riba",I3496="Kelebihan ganti dikembalikan",AND(C3496="Kantong Uang Riba",G3496="Pengeluaran"))),1,0)</f>
        <v/>
      </c>
      <c r="X3496" s="93">
        <f>IF(AND(B3496&lt;&gt;"",B3496&gt;='Buku Akun'!$H$4,B3496&lt;='Buku Akun'!$H$5,OR(C3496='Buku Akun'!$C$4,AND(D3496="Pindah",E3496='Buku Akun'!$C$4))),B3496+IF(AND(I3496="Selisih bunga",DAY(B3496)=1),0,0.01)+ROW()/10000000,"")</f>
        <v/>
      </c>
    </row>
    <row r="3497" outlineLevel="1" ht="15" customHeight="1" s="94">
      <c r="A3497" s="123">
        <f>IF(B3497="","",ROW()-15)</f>
        <v/>
      </c>
      <c r="B3497" s="124" t="n"/>
      <c r="C3497" s="123" t="n"/>
      <c r="D3497" s="123" t="n"/>
      <c r="E3497" s="123" t="n"/>
      <c r="F3497" s="125" t="n"/>
      <c r="G3497" s="123" t="n"/>
      <c r="H3497" s="123" t="n"/>
      <c r="I3497" s="123" t="n"/>
      <c r="J3497" s="123" t="n"/>
      <c r="K3497" s="123" t="n"/>
      <c r="L3497" s="123" t="n"/>
      <c r="M3497" s="123">
        <f>IF(AND(B3497&lt;&gt;"",OR($C$4="",ISNUMBER(SEARCH($C$4,C3497&amp;" "&amp;E3497&amp;" "&amp;G3497&amp;" "&amp;H3497&amp;" "&amp;I3497&amp;" "&amp;J3497&amp;" "&amp;K3497&amp;" "&amp;L3497))),OR($C$5="Semua",$C$5="",G3497=$C$5),OR($C$6="Semua",$C$6="",H3497=$C$6,H3497="Pengeluaran "&amp;$C$6,AND($C$6="Uang Kos Mama",H3497="Pengeluaran Uang Kos")),OR($C$7="Semua",$C$7="",I3497=$C$7),OR($C$8="Semua",$C$8="",C3497=$C$8,E3497=$C$8),OR($C$9="Semua",$C$9="",D3497=$C$9),OR($C$10="",B3497&gt;=$C$10),OR($C$11="",B3497&lt;=$C$11),OR($C$12&lt;&gt;"Ya",K3497&lt;&gt;""),OR($C$13="Semua",$C$13="",L3497=$C$13)),"✓","")</f>
        <v/>
      </c>
      <c r="N3497" s="93">
        <f>N(N3496)+IF(M3497="✓",1,0)</f>
        <v/>
      </c>
      <c r="O3497" s="93">
        <f>N(O3496)+IF(AND(B3497&lt;&gt;"",B3497&gt;='Uang Riba'!$H$30,B3497&lt;='Uang Riba'!$I$30,OR(H3497="Dana riba",H3497="Pinjam uang riba",I3497="Pinjam dari uang riba",I3497="Ganti uang riba",I3497="Kelebihan ganti dikembalikan",AND(C3497="Kantong Uang Riba",G3497="Pengeluaran"))),1,0)</f>
        <v/>
      </c>
      <c r="X3497" s="93">
        <f>IF(AND(B3497&lt;&gt;"",B3497&gt;='Buku Akun'!$H$4,B3497&lt;='Buku Akun'!$H$5,OR(C3497='Buku Akun'!$C$4,AND(D3497="Pindah",E3497='Buku Akun'!$C$4))),B3497+IF(AND(I3497="Selisih bunga",DAY(B3497)=1),0,0.01)+ROW()/10000000,"")</f>
        <v/>
      </c>
    </row>
    <row r="3498" outlineLevel="1" ht="15" customHeight="1" s="94">
      <c r="A3498" s="123">
        <f>IF(B3498="","",ROW()-15)</f>
        <v/>
      </c>
      <c r="B3498" s="124" t="n"/>
      <c r="C3498" s="123" t="n"/>
      <c r="D3498" s="123" t="n"/>
      <c r="E3498" s="123" t="n"/>
      <c r="F3498" s="125" t="n"/>
      <c r="G3498" s="123" t="n"/>
      <c r="H3498" s="123" t="n"/>
      <c r="I3498" s="123" t="n"/>
      <c r="J3498" s="123" t="n"/>
      <c r="K3498" s="123" t="n"/>
      <c r="L3498" s="123" t="n"/>
      <c r="M3498" s="123">
        <f>IF(AND(B3498&lt;&gt;"",OR($C$4="",ISNUMBER(SEARCH($C$4,C3498&amp;" "&amp;E3498&amp;" "&amp;G3498&amp;" "&amp;H3498&amp;" "&amp;I3498&amp;" "&amp;J3498&amp;" "&amp;K3498&amp;" "&amp;L3498))),OR($C$5="Semua",$C$5="",G3498=$C$5),OR($C$6="Semua",$C$6="",H3498=$C$6,H3498="Pengeluaran "&amp;$C$6,AND($C$6="Uang Kos Mama",H3498="Pengeluaran Uang Kos")),OR($C$7="Semua",$C$7="",I3498=$C$7),OR($C$8="Semua",$C$8="",C3498=$C$8,E3498=$C$8),OR($C$9="Semua",$C$9="",D3498=$C$9),OR($C$10="",B3498&gt;=$C$10),OR($C$11="",B3498&lt;=$C$11),OR($C$12&lt;&gt;"Ya",K3498&lt;&gt;""),OR($C$13="Semua",$C$13="",L3498=$C$13)),"✓","")</f>
        <v/>
      </c>
      <c r="N3498" s="93">
        <f>N(N3497)+IF(M3498="✓",1,0)</f>
        <v/>
      </c>
      <c r="O3498" s="93">
        <f>N(O3497)+IF(AND(B3498&lt;&gt;"",B3498&gt;='Uang Riba'!$H$30,B3498&lt;='Uang Riba'!$I$30,OR(H3498="Dana riba",H3498="Pinjam uang riba",I3498="Pinjam dari uang riba",I3498="Ganti uang riba",I3498="Kelebihan ganti dikembalikan",AND(C3498="Kantong Uang Riba",G3498="Pengeluaran"))),1,0)</f>
        <v/>
      </c>
      <c r="X3498" s="93">
        <f>IF(AND(B3498&lt;&gt;"",B3498&gt;='Buku Akun'!$H$4,B3498&lt;='Buku Akun'!$H$5,OR(C3498='Buku Akun'!$C$4,AND(D3498="Pindah",E3498='Buku Akun'!$C$4))),B3498+IF(AND(I3498="Selisih bunga",DAY(B3498)=1),0,0.01)+ROW()/10000000,"")</f>
        <v/>
      </c>
    </row>
    <row r="3499" outlineLevel="1" ht="15" customHeight="1" s="94">
      <c r="A3499" s="123">
        <f>IF(B3499="","",ROW()-15)</f>
        <v/>
      </c>
      <c r="B3499" s="124" t="n"/>
      <c r="C3499" s="123" t="n"/>
      <c r="D3499" s="123" t="n"/>
      <c r="E3499" s="123" t="n"/>
      <c r="F3499" s="125" t="n"/>
      <c r="G3499" s="123" t="n"/>
      <c r="H3499" s="123" t="n"/>
      <c r="I3499" s="123" t="n"/>
      <c r="J3499" s="123" t="n"/>
      <c r="K3499" s="123" t="n"/>
      <c r="L3499" s="123" t="n"/>
      <c r="M3499" s="123">
        <f>IF(AND(B3499&lt;&gt;"",OR($C$4="",ISNUMBER(SEARCH($C$4,C3499&amp;" "&amp;E3499&amp;" "&amp;G3499&amp;" "&amp;H3499&amp;" "&amp;I3499&amp;" "&amp;J3499&amp;" "&amp;K3499&amp;" "&amp;L3499))),OR($C$5="Semua",$C$5="",G3499=$C$5),OR($C$6="Semua",$C$6="",H3499=$C$6,H3499="Pengeluaran "&amp;$C$6,AND($C$6="Uang Kos Mama",H3499="Pengeluaran Uang Kos")),OR($C$7="Semua",$C$7="",I3499=$C$7),OR($C$8="Semua",$C$8="",C3499=$C$8,E3499=$C$8),OR($C$9="Semua",$C$9="",D3499=$C$9),OR($C$10="",B3499&gt;=$C$10),OR($C$11="",B3499&lt;=$C$11),OR($C$12&lt;&gt;"Ya",K3499&lt;&gt;""),OR($C$13="Semua",$C$13="",L3499=$C$13)),"✓","")</f>
        <v/>
      </c>
      <c r="N3499" s="93">
        <f>N(N3498)+IF(M3499="✓",1,0)</f>
        <v/>
      </c>
      <c r="O3499" s="93">
        <f>N(O3498)+IF(AND(B3499&lt;&gt;"",B3499&gt;='Uang Riba'!$H$30,B3499&lt;='Uang Riba'!$I$30,OR(H3499="Dana riba",H3499="Pinjam uang riba",I3499="Pinjam dari uang riba",I3499="Ganti uang riba",I3499="Kelebihan ganti dikembalikan",AND(C3499="Kantong Uang Riba",G3499="Pengeluaran"))),1,0)</f>
        <v/>
      </c>
      <c r="X3499" s="93">
        <f>IF(AND(B3499&lt;&gt;"",B3499&gt;='Buku Akun'!$H$4,B3499&lt;='Buku Akun'!$H$5,OR(C3499='Buku Akun'!$C$4,AND(D3499="Pindah",E3499='Buku Akun'!$C$4))),B3499+IF(AND(I3499="Selisih bunga",DAY(B3499)=1),0,0.01)+ROW()/10000000,"")</f>
        <v/>
      </c>
    </row>
    <row r="3500" outlineLevel="1" ht="15" customHeight="1" s="94">
      <c r="A3500" s="123">
        <f>IF(B3500="","",ROW()-15)</f>
        <v/>
      </c>
      <c r="B3500" s="124" t="n"/>
      <c r="C3500" s="123" t="n"/>
      <c r="D3500" s="123" t="n"/>
      <c r="E3500" s="123" t="n"/>
      <c r="F3500" s="125" t="n"/>
      <c r="G3500" s="123" t="n"/>
      <c r="H3500" s="123" t="n"/>
      <c r="I3500" s="123" t="n"/>
      <c r="J3500" s="123" t="n"/>
      <c r="K3500" s="123" t="n"/>
      <c r="L3500" s="123" t="n"/>
      <c r="M3500" s="123">
        <f>IF(AND(B3500&lt;&gt;"",OR($C$4="",ISNUMBER(SEARCH($C$4,C3500&amp;" "&amp;E3500&amp;" "&amp;G3500&amp;" "&amp;H3500&amp;" "&amp;I3500&amp;" "&amp;J3500&amp;" "&amp;K3500&amp;" "&amp;L3500))),OR($C$5="Semua",$C$5="",G3500=$C$5),OR($C$6="Semua",$C$6="",H3500=$C$6,H3500="Pengeluaran "&amp;$C$6,AND($C$6="Uang Kos Mama",H3500="Pengeluaran Uang Kos")),OR($C$7="Semua",$C$7="",I3500=$C$7),OR($C$8="Semua",$C$8="",C3500=$C$8,E3500=$C$8),OR($C$9="Semua",$C$9="",D3500=$C$9),OR($C$10="",B3500&gt;=$C$10),OR($C$11="",B3500&lt;=$C$11),OR($C$12&lt;&gt;"Ya",K3500&lt;&gt;""),OR($C$13="Semua",$C$13="",L3500=$C$13)),"✓","")</f>
        <v/>
      </c>
      <c r="N3500" s="93">
        <f>N(N3499)+IF(M3500="✓",1,0)</f>
        <v/>
      </c>
      <c r="O3500" s="93">
        <f>N(O3499)+IF(AND(B3500&lt;&gt;"",B3500&gt;='Uang Riba'!$H$30,B3500&lt;='Uang Riba'!$I$30,OR(H3500="Dana riba",H3500="Pinjam uang riba",I3500="Pinjam dari uang riba",I3500="Ganti uang riba",I3500="Kelebihan ganti dikembalikan",AND(C3500="Kantong Uang Riba",G3500="Pengeluaran"))),1,0)</f>
        <v/>
      </c>
      <c r="X3500" s="93">
        <f>IF(AND(B3500&lt;&gt;"",B3500&gt;='Buku Akun'!$H$4,B3500&lt;='Buku Akun'!$H$5,OR(C3500='Buku Akun'!$C$4,AND(D3500="Pindah",E3500='Buku Akun'!$C$4))),B3500+IF(AND(I3500="Selisih bunga",DAY(B3500)=1),0,0.01)+ROW()/10000000,"")</f>
        <v/>
      </c>
    </row>
    <row r="3501" outlineLevel="1" ht="15" customHeight="1" s="94">
      <c r="A3501" s="123">
        <f>IF(B3501="","",ROW()-15)</f>
        <v/>
      </c>
      <c r="B3501" s="124" t="n"/>
      <c r="C3501" s="123" t="n"/>
      <c r="D3501" s="123" t="n"/>
      <c r="E3501" s="123" t="n"/>
      <c r="F3501" s="125" t="n"/>
      <c r="G3501" s="123" t="n"/>
      <c r="H3501" s="123" t="n"/>
      <c r="I3501" s="123" t="n"/>
      <c r="J3501" s="123" t="n"/>
      <c r="K3501" s="123" t="n"/>
      <c r="L3501" s="123" t="n"/>
      <c r="M3501" s="123">
        <f>IF(AND(B3501&lt;&gt;"",OR($C$4="",ISNUMBER(SEARCH($C$4,C3501&amp;" "&amp;E3501&amp;" "&amp;G3501&amp;" "&amp;H3501&amp;" "&amp;I3501&amp;" "&amp;J3501&amp;" "&amp;K3501&amp;" "&amp;L3501))),OR($C$5="Semua",$C$5="",G3501=$C$5),OR($C$6="Semua",$C$6="",H3501=$C$6,H3501="Pengeluaran "&amp;$C$6,AND($C$6="Uang Kos Mama",H3501="Pengeluaran Uang Kos")),OR($C$7="Semua",$C$7="",I3501=$C$7),OR($C$8="Semua",$C$8="",C3501=$C$8,E3501=$C$8),OR($C$9="Semua",$C$9="",D3501=$C$9),OR($C$10="",B3501&gt;=$C$10),OR($C$11="",B3501&lt;=$C$11),OR($C$12&lt;&gt;"Ya",K3501&lt;&gt;""),OR($C$13="Semua",$C$13="",L3501=$C$13)),"✓","")</f>
        <v/>
      </c>
      <c r="N3501" s="93">
        <f>N(N3500)+IF(M3501="✓",1,0)</f>
        <v/>
      </c>
      <c r="O3501" s="93">
        <f>N(O3500)+IF(AND(B3501&lt;&gt;"",B3501&gt;='Uang Riba'!$H$30,B3501&lt;='Uang Riba'!$I$30,OR(H3501="Dana riba",H3501="Pinjam uang riba",I3501="Pinjam dari uang riba",I3501="Ganti uang riba",I3501="Kelebihan ganti dikembalikan",AND(C3501="Kantong Uang Riba",G3501="Pengeluaran"))),1,0)</f>
        <v/>
      </c>
      <c r="X3501" s="93">
        <f>IF(AND(B3501&lt;&gt;"",B3501&gt;='Buku Akun'!$H$4,B3501&lt;='Buku Akun'!$H$5,OR(C3501='Buku Akun'!$C$4,AND(D3501="Pindah",E3501='Buku Akun'!$C$4))),B3501+IF(AND(I3501="Selisih bunga",DAY(B3501)=1),0,0.01)+ROW()/10000000,"")</f>
        <v/>
      </c>
    </row>
    <row r="3502" outlineLevel="1" ht="15" customHeight="1" s="94">
      <c r="A3502" s="123">
        <f>IF(B3502="","",ROW()-15)</f>
        <v/>
      </c>
      <c r="B3502" s="124" t="n"/>
      <c r="C3502" s="123" t="n"/>
      <c r="D3502" s="123" t="n"/>
      <c r="E3502" s="123" t="n"/>
      <c r="F3502" s="125" t="n"/>
      <c r="G3502" s="123" t="n"/>
      <c r="H3502" s="123" t="n"/>
      <c r="I3502" s="123" t="n"/>
      <c r="J3502" s="123" t="n"/>
      <c r="K3502" s="123" t="n"/>
      <c r="L3502" s="123" t="n"/>
      <c r="M3502" s="123">
        <f>IF(AND(B3502&lt;&gt;"",OR($C$4="",ISNUMBER(SEARCH($C$4,C3502&amp;" "&amp;E3502&amp;" "&amp;G3502&amp;" "&amp;H3502&amp;" "&amp;I3502&amp;" "&amp;J3502&amp;" "&amp;K3502&amp;" "&amp;L3502))),OR($C$5="Semua",$C$5="",G3502=$C$5),OR($C$6="Semua",$C$6="",H3502=$C$6,H3502="Pengeluaran "&amp;$C$6,AND($C$6="Uang Kos Mama",H3502="Pengeluaran Uang Kos")),OR($C$7="Semua",$C$7="",I3502=$C$7),OR($C$8="Semua",$C$8="",C3502=$C$8,E3502=$C$8),OR($C$9="Semua",$C$9="",D3502=$C$9),OR($C$10="",B3502&gt;=$C$10),OR($C$11="",B3502&lt;=$C$11),OR($C$12&lt;&gt;"Ya",K3502&lt;&gt;""),OR($C$13="Semua",$C$13="",L3502=$C$13)),"✓","")</f>
        <v/>
      </c>
      <c r="N3502" s="93">
        <f>N(N3501)+IF(M3502="✓",1,0)</f>
        <v/>
      </c>
      <c r="O3502" s="93">
        <f>N(O3501)+IF(AND(B3502&lt;&gt;"",B3502&gt;='Uang Riba'!$H$30,B3502&lt;='Uang Riba'!$I$30,OR(H3502="Dana riba",H3502="Pinjam uang riba",I3502="Pinjam dari uang riba",I3502="Ganti uang riba",I3502="Kelebihan ganti dikembalikan",AND(C3502="Kantong Uang Riba",G3502="Pengeluaran"))),1,0)</f>
        <v/>
      </c>
      <c r="X3502" s="93">
        <f>IF(AND(B3502&lt;&gt;"",B3502&gt;='Buku Akun'!$H$4,B3502&lt;='Buku Akun'!$H$5,OR(C3502='Buku Akun'!$C$4,AND(D3502="Pindah",E3502='Buku Akun'!$C$4))),B3502+IF(AND(I3502="Selisih bunga",DAY(B3502)=1),0,0.01)+ROW()/10000000,"")</f>
        <v/>
      </c>
    </row>
    <row r="3503" outlineLevel="1" ht="15" customHeight="1" s="94">
      <c r="A3503" s="123">
        <f>IF(B3503="","",ROW()-15)</f>
        <v/>
      </c>
      <c r="B3503" s="124" t="n"/>
      <c r="C3503" s="123" t="n"/>
      <c r="D3503" s="123" t="n"/>
      <c r="E3503" s="123" t="n"/>
      <c r="F3503" s="125" t="n"/>
      <c r="G3503" s="123" t="n"/>
      <c r="H3503" s="123" t="n"/>
      <c r="I3503" s="123" t="n"/>
      <c r="J3503" s="123" t="n"/>
      <c r="K3503" s="123" t="n"/>
      <c r="L3503" s="123" t="n"/>
      <c r="M3503" s="123">
        <f>IF(AND(B3503&lt;&gt;"",OR($C$4="",ISNUMBER(SEARCH($C$4,C3503&amp;" "&amp;E3503&amp;" "&amp;G3503&amp;" "&amp;H3503&amp;" "&amp;I3503&amp;" "&amp;J3503&amp;" "&amp;K3503&amp;" "&amp;L3503))),OR($C$5="Semua",$C$5="",G3503=$C$5),OR($C$6="Semua",$C$6="",H3503=$C$6,H3503="Pengeluaran "&amp;$C$6,AND($C$6="Uang Kos Mama",H3503="Pengeluaran Uang Kos")),OR($C$7="Semua",$C$7="",I3503=$C$7),OR($C$8="Semua",$C$8="",C3503=$C$8,E3503=$C$8),OR($C$9="Semua",$C$9="",D3503=$C$9),OR($C$10="",B3503&gt;=$C$10),OR($C$11="",B3503&lt;=$C$11),OR($C$12&lt;&gt;"Ya",K3503&lt;&gt;""),OR($C$13="Semua",$C$13="",L3503=$C$13)),"✓","")</f>
        <v/>
      </c>
      <c r="N3503" s="93">
        <f>N(N3502)+IF(M3503="✓",1,0)</f>
        <v/>
      </c>
      <c r="O3503" s="93">
        <f>N(O3502)+IF(AND(B3503&lt;&gt;"",B3503&gt;='Uang Riba'!$H$30,B3503&lt;='Uang Riba'!$I$30,OR(H3503="Dana riba",H3503="Pinjam uang riba",I3503="Pinjam dari uang riba",I3503="Ganti uang riba",I3503="Kelebihan ganti dikembalikan",AND(C3503="Kantong Uang Riba",G3503="Pengeluaran"))),1,0)</f>
        <v/>
      </c>
      <c r="X3503" s="93">
        <f>IF(AND(B3503&lt;&gt;"",B3503&gt;='Buku Akun'!$H$4,B3503&lt;='Buku Akun'!$H$5,OR(C3503='Buku Akun'!$C$4,AND(D3503="Pindah",E3503='Buku Akun'!$C$4))),B3503+IF(AND(I3503="Selisih bunga",DAY(B3503)=1),0,0.01)+ROW()/10000000,"")</f>
        <v/>
      </c>
    </row>
    <row r="3504" outlineLevel="1" ht="15" customHeight="1" s="94">
      <c r="A3504" s="123">
        <f>IF(B3504="","",ROW()-15)</f>
        <v/>
      </c>
      <c r="B3504" s="124" t="n"/>
      <c r="C3504" s="123" t="n"/>
      <c r="D3504" s="123" t="n"/>
      <c r="E3504" s="123" t="n"/>
      <c r="F3504" s="125" t="n"/>
      <c r="G3504" s="123" t="n"/>
      <c r="H3504" s="123" t="n"/>
      <c r="I3504" s="123" t="n"/>
      <c r="J3504" s="123" t="n"/>
      <c r="K3504" s="123" t="n"/>
      <c r="L3504" s="123" t="n"/>
      <c r="M3504" s="123">
        <f>IF(AND(B3504&lt;&gt;"",OR($C$4="",ISNUMBER(SEARCH($C$4,C3504&amp;" "&amp;E3504&amp;" "&amp;G3504&amp;" "&amp;H3504&amp;" "&amp;I3504&amp;" "&amp;J3504&amp;" "&amp;K3504&amp;" "&amp;L3504))),OR($C$5="Semua",$C$5="",G3504=$C$5),OR($C$6="Semua",$C$6="",H3504=$C$6,H3504="Pengeluaran "&amp;$C$6,AND($C$6="Uang Kos Mama",H3504="Pengeluaran Uang Kos")),OR($C$7="Semua",$C$7="",I3504=$C$7),OR($C$8="Semua",$C$8="",C3504=$C$8,E3504=$C$8),OR($C$9="Semua",$C$9="",D3504=$C$9),OR($C$10="",B3504&gt;=$C$10),OR($C$11="",B3504&lt;=$C$11),OR($C$12&lt;&gt;"Ya",K3504&lt;&gt;""),OR($C$13="Semua",$C$13="",L3504=$C$13)),"✓","")</f>
        <v/>
      </c>
      <c r="N3504" s="93">
        <f>N(N3503)+IF(M3504="✓",1,0)</f>
        <v/>
      </c>
      <c r="O3504" s="93">
        <f>N(O3503)+IF(AND(B3504&lt;&gt;"",B3504&gt;='Uang Riba'!$H$30,B3504&lt;='Uang Riba'!$I$30,OR(H3504="Dana riba",H3504="Pinjam uang riba",I3504="Pinjam dari uang riba",I3504="Ganti uang riba",I3504="Kelebihan ganti dikembalikan",AND(C3504="Kantong Uang Riba",G3504="Pengeluaran"))),1,0)</f>
        <v/>
      </c>
      <c r="X3504" s="93">
        <f>IF(AND(B3504&lt;&gt;"",B3504&gt;='Buku Akun'!$H$4,B3504&lt;='Buku Akun'!$H$5,OR(C3504='Buku Akun'!$C$4,AND(D3504="Pindah",E3504='Buku Akun'!$C$4))),B3504+IF(AND(I3504="Selisih bunga",DAY(B3504)=1),0,0.01)+ROW()/10000000,"")</f>
        <v/>
      </c>
    </row>
    <row r="3505" outlineLevel="1" ht="15" customHeight="1" s="94">
      <c r="A3505" s="123">
        <f>IF(B3505="","",ROW()-15)</f>
        <v/>
      </c>
      <c r="B3505" s="124" t="n"/>
      <c r="C3505" s="123" t="n"/>
      <c r="D3505" s="123" t="n"/>
      <c r="E3505" s="123" t="n"/>
      <c r="F3505" s="125" t="n"/>
      <c r="G3505" s="123" t="n"/>
      <c r="H3505" s="123" t="n"/>
      <c r="I3505" s="123" t="n"/>
      <c r="J3505" s="123" t="n"/>
      <c r="K3505" s="123" t="n"/>
      <c r="L3505" s="123" t="n"/>
      <c r="M3505" s="123">
        <f>IF(AND(B3505&lt;&gt;"",OR($C$4="",ISNUMBER(SEARCH($C$4,C3505&amp;" "&amp;E3505&amp;" "&amp;G3505&amp;" "&amp;H3505&amp;" "&amp;I3505&amp;" "&amp;J3505&amp;" "&amp;K3505&amp;" "&amp;L3505))),OR($C$5="Semua",$C$5="",G3505=$C$5),OR($C$6="Semua",$C$6="",H3505=$C$6,H3505="Pengeluaran "&amp;$C$6,AND($C$6="Uang Kos Mama",H3505="Pengeluaran Uang Kos")),OR($C$7="Semua",$C$7="",I3505=$C$7),OR($C$8="Semua",$C$8="",C3505=$C$8,E3505=$C$8),OR($C$9="Semua",$C$9="",D3505=$C$9),OR($C$10="",B3505&gt;=$C$10),OR($C$11="",B3505&lt;=$C$11),OR($C$12&lt;&gt;"Ya",K3505&lt;&gt;""),OR($C$13="Semua",$C$13="",L3505=$C$13)),"✓","")</f>
        <v/>
      </c>
      <c r="N3505" s="93">
        <f>N(N3504)+IF(M3505="✓",1,0)</f>
        <v/>
      </c>
      <c r="O3505" s="93">
        <f>N(O3504)+IF(AND(B3505&lt;&gt;"",B3505&gt;='Uang Riba'!$H$30,B3505&lt;='Uang Riba'!$I$30,OR(H3505="Dana riba",H3505="Pinjam uang riba",I3505="Pinjam dari uang riba",I3505="Ganti uang riba",I3505="Kelebihan ganti dikembalikan",AND(C3505="Kantong Uang Riba",G3505="Pengeluaran"))),1,0)</f>
        <v/>
      </c>
      <c r="X3505" s="93">
        <f>IF(AND(B3505&lt;&gt;"",B3505&gt;='Buku Akun'!$H$4,B3505&lt;='Buku Akun'!$H$5,OR(C3505='Buku Akun'!$C$4,AND(D3505="Pindah",E3505='Buku Akun'!$C$4))),B3505+IF(AND(I3505="Selisih bunga",DAY(B3505)=1),0,0.01)+ROW()/10000000,"")</f>
        <v/>
      </c>
    </row>
    <row r="3506" outlineLevel="1" ht="15" customHeight="1" s="94">
      <c r="A3506" s="123">
        <f>IF(B3506="","",ROW()-15)</f>
        <v/>
      </c>
      <c r="B3506" s="124" t="n"/>
      <c r="C3506" s="123" t="n"/>
      <c r="D3506" s="123" t="n"/>
      <c r="E3506" s="123" t="n"/>
      <c r="F3506" s="125" t="n"/>
      <c r="G3506" s="123" t="n"/>
      <c r="H3506" s="123" t="n"/>
      <c r="I3506" s="123" t="n"/>
      <c r="J3506" s="123" t="n"/>
      <c r="K3506" s="123" t="n"/>
      <c r="L3506" s="123" t="n"/>
      <c r="M3506" s="123">
        <f>IF(AND(B3506&lt;&gt;"",OR($C$4="",ISNUMBER(SEARCH($C$4,C3506&amp;" "&amp;E3506&amp;" "&amp;G3506&amp;" "&amp;H3506&amp;" "&amp;I3506&amp;" "&amp;J3506&amp;" "&amp;K3506&amp;" "&amp;L3506))),OR($C$5="Semua",$C$5="",G3506=$C$5),OR($C$6="Semua",$C$6="",H3506=$C$6,H3506="Pengeluaran "&amp;$C$6,AND($C$6="Uang Kos Mama",H3506="Pengeluaran Uang Kos")),OR($C$7="Semua",$C$7="",I3506=$C$7),OR($C$8="Semua",$C$8="",C3506=$C$8,E3506=$C$8),OR($C$9="Semua",$C$9="",D3506=$C$9),OR($C$10="",B3506&gt;=$C$10),OR($C$11="",B3506&lt;=$C$11),OR($C$12&lt;&gt;"Ya",K3506&lt;&gt;""),OR($C$13="Semua",$C$13="",L3506=$C$13)),"✓","")</f>
        <v/>
      </c>
      <c r="N3506" s="93">
        <f>N(N3505)+IF(M3506="✓",1,0)</f>
        <v/>
      </c>
      <c r="O3506" s="93">
        <f>N(O3505)+IF(AND(B3506&lt;&gt;"",B3506&gt;='Uang Riba'!$H$30,B3506&lt;='Uang Riba'!$I$30,OR(H3506="Dana riba",H3506="Pinjam uang riba",I3506="Pinjam dari uang riba",I3506="Ganti uang riba",I3506="Kelebihan ganti dikembalikan",AND(C3506="Kantong Uang Riba",G3506="Pengeluaran"))),1,0)</f>
        <v/>
      </c>
      <c r="X3506" s="93">
        <f>IF(AND(B3506&lt;&gt;"",B3506&gt;='Buku Akun'!$H$4,B3506&lt;='Buku Akun'!$H$5,OR(C3506='Buku Akun'!$C$4,AND(D3506="Pindah",E3506='Buku Akun'!$C$4))),B3506+IF(AND(I3506="Selisih bunga",DAY(B3506)=1),0,0.01)+ROW()/10000000,"")</f>
        <v/>
      </c>
    </row>
    <row r="3507" outlineLevel="1" ht="15" customHeight="1" s="94">
      <c r="A3507" s="123">
        <f>IF(B3507="","",ROW()-15)</f>
        <v/>
      </c>
      <c r="B3507" s="124" t="n"/>
      <c r="C3507" s="123" t="n"/>
      <c r="D3507" s="123" t="n"/>
      <c r="E3507" s="123" t="n"/>
      <c r="F3507" s="125" t="n"/>
      <c r="G3507" s="123" t="n"/>
      <c r="H3507" s="123" t="n"/>
      <c r="I3507" s="123" t="n"/>
      <c r="J3507" s="123" t="n"/>
      <c r="K3507" s="123" t="n"/>
      <c r="L3507" s="123" t="n"/>
      <c r="M3507" s="123">
        <f>IF(AND(B3507&lt;&gt;"",OR($C$4="",ISNUMBER(SEARCH($C$4,C3507&amp;" "&amp;E3507&amp;" "&amp;G3507&amp;" "&amp;H3507&amp;" "&amp;I3507&amp;" "&amp;J3507&amp;" "&amp;K3507&amp;" "&amp;L3507))),OR($C$5="Semua",$C$5="",G3507=$C$5),OR($C$6="Semua",$C$6="",H3507=$C$6,H3507="Pengeluaran "&amp;$C$6,AND($C$6="Uang Kos Mama",H3507="Pengeluaran Uang Kos")),OR($C$7="Semua",$C$7="",I3507=$C$7),OR($C$8="Semua",$C$8="",C3507=$C$8,E3507=$C$8),OR($C$9="Semua",$C$9="",D3507=$C$9),OR($C$10="",B3507&gt;=$C$10),OR($C$11="",B3507&lt;=$C$11),OR($C$12&lt;&gt;"Ya",K3507&lt;&gt;""),OR($C$13="Semua",$C$13="",L3507=$C$13)),"✓","")</f>
        <v/>
      </c>
      <c r="N3507" s="93">
        <f>N(N3506)+IF(M3507="✓",1,0)</f>
        <v/>
      </c>
      <c r="O3507" s="93">
        <f>N(O3506)+IF(AND(B3507&lt;&gt;"",B3507&gt;='Uang Riba'!$H$30,B3507&lt;='Uang Riba'!$I$30,OR(H3507="Dana riba",H3507="Pinjam uang riba",I3507="Pinjam dari uang riba",I3507="Ganti uang riba",I3507="Kelebihan ganti dikembalikan",AND(C3507="Kantong Uang Riba",G3507="Pengeluaran"))),1,0)</f>
        <v/>
      </c>
      <c r="X3507" s="93">
        <f>IF(AND(B3507&lt;&gt;"",B3507&gt;='Buku Akun'!$H$4,B3507&lt;='Buku Akun'!$H$5,OR(C3507='Buku Akun'!$C$4,AND(D3507="Pindah",E3507='Buku Akun'!$C$4))),B3507+IF(AND(I3507="Selisih bunga",DAY(B3507)=1),0,0.01)+ROW()/10000000,"")</f>
        <v/>
      </c>
    </row>
    <row r="3508" outlineLevel="1" ht="15" customHeight="1" s="94">
      <c r="A3508" s="123">
        <f>IF(B3508="","",ROW()-15)</f>
        <v/>
      </c>
      <c r="B3508" s="124" t="n"/>
      <c r="C3508" s="123" t="n"/>
      <c r="D3508" s="123" t="n"/>
      <c r="E3508" s="123" t="n"/>
      <c r="F3508" s="125" t="n"/>
      <c r="G3508" s="123" t="n"/>
      <c r="H3508" s="123" t="n"/>
      <c r="I3508" s="123" t="n"/>
      <c r="J3508" s="123" t="n"/>
      <c r="K3508" s="123" t="n"/>
      <c r="L3508" s="123" t="n"/>
      <c r="M3508" s="123">
        <f>IF(AND(B3508&lt;&gt;"",OR($C$4="",ISNUMBER(SEARCH($C$4,C3508&amp;" "&amp;E3508&amp;" "&amp;G3508&amp;" "&amp;H3508&amp;" "&amp;I3508&amp;" "&amp;J3508&amp;" "&amp;K3508&amp;" "&amp;L3508))),OR($C$5="Semua",$C$5="",G3508=$C$5),OR($C$6="Semua",$C$6="",H3508=$C$6,H3508="Pengeluaran "&amp;$C$6,AND($C$6="Uang Kos Mama",H3508="Pengeluaran Uang Kos")),OR($C$7="Semua",$C$7="",I3508=$C$7),OR($C$8="Semua",$C$8="",C3508=$C$8,E3508=$C$8),OR($C$9="Semua",$C$9="",D3508=$C$9),OR($C$10="",B3508&gt;=$C$10),OR($C$11="",B3508&lt;=$C$11),OR($C$12&lt;&gt;"Ya",K3508&lt;&gt;""),OR($C$13="Semua",$C$13="",L3508=$C$13)),"✓","")</f>
        <v/>
      </c>
      <c r="N3508" s="93">
        <f>N(N3507)+IF(M3508="✓",1,0)</f>
        <v/>
      </c>
      <c r="O3508" s="93">
        <f>N(O3507)+IF(AND(B3508&lt;&gt;"",B3508&gt;='Uang Riba'!$H$30,B3508&lt;='Uang Riba'!$I$30,OR(H3508="Dana riba",H3508="Pinjam uang riba",I3508="Pinjam dari uang riba",I3508="Ganti uang riba",I3508="Kelebihan ganti dikembalikan",AND(C3508="Kantong Uang Riba",G3508="Pengeluaran"))),1,0)</f>
        <v/>
      </c>
      <c r="X3508" s="93">
        <f>IF(AND(B3508&lt;&gt;"",B3508&gt;='Buku Akun'!$H$4,B3508&lt;='Buku Akun'!$H$5,OR(C3508='Buku Akun'!$C$4,AND(D3508="Pindah",E3508='Buku Akun'!$C$4))),B3508+IF(AND(I3508="Selisih bunga",DAY(B3508)=1),0,0.01)+ROW()/10000000,"")</f>
        <v/>
      </c>
    </row>
    <row r="3509" outlineLevel="1" ht="15" customHeight="1" s="94">
      <c r="A3509" s="123">
        <f>IF(B3509="","",ROW()-15)</f>
        <v/>
      </c>
      <c r="B3509" s="124" t="n"/>
      <c r="C3509" s="123" t="n"/>
      <c r="D3509" s="123" t="n"/>
      <c r="E3509" s="123" t="n"/>
      <c r="F3509" s="125" t="n"/>
      <c r="G3509" s="123" t="n"/>
      <c r="H3509" s="123" t="n"/>
      <c r="I3509" s="123" t="n"/>
      <c r="J3509" s="123" t="n"/>
      <c r="K3509" s="123" t="n"/>
      <c r="L3509" s="123" t="n"/>
      <c r="M3509" s="123">
        <f>IF(AND(B3509&lt;&gt;"",OR($C$4="",ISNUMBER(SEARCH($C$4,C3509&amp;" "&amp;E3509&amp;" "&amp;G3509&amp;" "&amp;H3509&amp;" "&amp;I3509&amp;" "&amp;J3509&amp;" "&amp;K3509&amp;" "&amp;L3509))),OR($C$5="Semua",$C$5="",G3509=$C$5),OR($C$6="Semua",$C$6="",H3509=$C$6,H3509="Pengeluaran "&amp;$C$6,AND($C$6="Uang Kos Mama",H3509="Pengeluaran Uang Kos")),OR($C$7="Semua",$C$7="",I3509=$C$7),OR($C$8="Semua",$C$8="",C3509=$C$8,E3509=$C$8),OR($C$9="Semua",$C$9="",D3509=$C$9),OR($C$10="",B3509&gt;=$C$10),OR($C$11="",B3509&lt;=$C$11),OR($C$12&lt;&gt;"Ya",K3509&lt;&gt;""),OR($C$13="Semua",$C$13="",L3509=$C$13)),"✓","")</f>
        <v/>
      </c>
      <c r="N3509" s="93">
        <f>N(N3508)+IF(M3509="✓",1,0)</f>
        <v/>
      </c>
      <c r="O3509" s="93">
        <f>N(O3508)+IF(AND(B3509&lt;&gt;"",B3509&gt;='Uang Riba'!$H$30,B3509&lt;='Uang Riba'!$I$30,OR(H3509="Dana riba",H3509="Pinjam uang riba",I3509="Pinjam dari uang riba",I3509="Ganti uang riba",I3509="Kelebihan ganti dikembalikan",AND(C3509="Kantong Uang Riba",G3509="Pengeluaran"))),1,0)</f>
        <v/>
      </c>
      <c r="X3509" s="93">
        <f>IF(AND(B3509&lt;&gt;"",B3509&gt;='Buku Akun'!$H$4,B3509&lt;='Buku Akun'!$H$5,OR(C3509='Buku Akun'!$C$4,AND(D3509="Pindah",E3509='Buku Akun'!$C$4))),B3509+IF(AND(I3509="Selisih bunga",DAY(B3509)=1),0,0.01)+ROW()/10000000,"")</f>
        <v/>
      </c>
    </row>
    <row r="3510" outlineLevel="1" ht="15" customHeight="1" s="94">
      <c r="A3510" s="123">
        <f>IF(B3510="","",ROW()-15)</f>
        <v/>
      </c>
      <c r="B3510" s="124" t="n"/>
      <c r="C3510" s="123" t="n"/>
      <c r="D3510" s="123" t="n"/>
      <c r="E3510" s="123" t="n"/>
      <c r="F3510" s="125" t="n"/>
      <c r="G3510" s="123" t="n"/>
      <c r="H3510" s="123" t="n"/>
      <c r="I3510" s="123" t="n"/>
      <c r="J3510" s="123" t="n"/>
      <c r="K3510" s="123" t="n"/>
      <c r="L3510" s="123" t="n"/>
      <c r="M3510" s="123">
        <f>IF(AND(B3510&lt;&gt;"",OR($C$4="",ISNUMBER(SEARCH($C$4,C3510&amp;" "&amp;E3510&amp;" "&amp;G3510&amp;" "&amp;H3510&amp;" "&amp;I3510&amp;" "&amp;J3510&amp;" "&amp;K3510&amp;" "&amp;L3510))),OR($C$5="Semua",$C$5="",G3510=$C$5),OR($C$6="Semua",$C$6="",H3510=$C$6,H3510="Pengeluaran "&amp;$C$6,AND($C$6="Uang Kos Mama",H3510="Pengeluaran Uang Kos")),OR($C$7="Semua",$C$7="",I3510=$C$7),OR($C$8="Semua",$C$8="",C3510=$C$8,E3510=$C$8),OR($C$9="Semua",$C$9="",D3510=$C$9),OR($C$10="",B3510&gt;=$C$10),OR($C$11="",B3510&lt;=$C$11),OR($C$12&lt;&gt;"Ya",K3510&lt;&gt;""),OR($C$13="Semua",$C$13="",L3510=$C$13)),"✓","")</f>
        <v/>
      </c>
      <c r="N3510" s="93">
        <f>N(N3509)+IF(M3510="✓",1,0)</f>
        <v/>
      </c>
      <c r="O3510" s="93">
        <f>N(O3509)+IF(AND(B3510&lt;&gt;"",B3510&gt;='Uang Riba'!$H$30,B3510&lt;='Uang Riba'!$I$30,OR(H3510="Dana riba",H3510="Pinjam uang riba",I3510="Pinjam dari uang riba",I3510="Ganti uang riba",I3510="Kelebihan ganti dikembalikan",AND(C3510="Kantong Uang Riba",G3510="Pengeluaran"))),1,0)</f>
        <v/>
      </c>
      <c r="X3510" s="93">
        <f>IF(AND(B3510&lt;&gt;"",B3510&gt;='Buku Akun'!$H$4,B3510&lt;='Buku Akun'!$H$5,OR(C3510='Buku Akun'!$C$4,AND(D3510="Pindah",E3510='Buku Akun'!$C$4))),B3510+IF(AND(I3510="Selisih bunga",DAY(B3510)=1),0,0.01)+ROW()/10000000,"")</f>
        <v/>
      </c>
    </row>
    <row r="3511" outlineLevel="1" ht="15" customHeight="1" s="94">
      <c r="A3511" s="123">
        <f>IF(B3511="","",ROW()-15)</f>
        <v/>
      </c>
      <c r="B3511" s="124" t="n"/>
      <c r="C3511" s="123" t="n"/>
      <c r="D3511" s="123" t="n"/>
      <c r="E3511" s="123" t="n"/>
      <c r="F3511" s="125" t="n"/>
      <c r="G3511" s="123" t="n"/>
      <c r="H3511" s="123" t="n"/>
      <c r="I3511" s="123" t="n"/>
      <c r="J3511" s="123" t="n"/>
      <c r="K3511" s="123" t="n"/>
      <c r="L3511" s="123" t="n"/>
      <c r="M3511" s="123">
        <f>IF(AND(B3511&lt;&gt;"",OR($C$4="",ISNUMBER(SEARCH($C$4,C3511&amp;" "&amp;E3511&amp;" "&amp;G3511&amp;" "&amp;H3511&amp;" "&amp;I3511&amp;" "&amp;J3511&amp;" "&amp;K3511&amp;" "&amp;L3511))),OR($C$5="Semua",$C$5="",G3511=$C$5),OR($C$6="Semua",$C$6="",H3511=$C$6,H3511="Pengeluaran "&amp;$C$6,AND($C$6="Uang Kos Mama",H3511="Pengeluaran Uang Kos")),OR($C$7="Semua",$C$7="",I3511=$C$7),OR($C$8="Semua",$C$8="",C3511=$C$8,E3511=$C$8),OR($C$9="Semua",$C$9="",D3511=$C$9),OR($C$10="",B3511&gt;=$C$10),OR($C$11="",B3511&lt;=$C$11),OR($C$12&lt;&gt;"Ya",K3511&lt;&gt;""),OR($C$13="Semua",$C$13="",L3511=$C$13)),"✓","")</f>
        <v/>
      </c>
      <c r="N3511" s="93">
        <f>N(N3510)+IF(M3511="✓",1,0)</f>
        <v/>
      </c>
      <c r="O3511" s="93">
        <f>N(O3510)+IF(AND(B3511&lt;&gt;"",B3511&gt;='Uang Riba'!$H$30,B3511&lt;='Uang Riba'!$I$30,OR(H3511="Dana riba",H3511="Pinjam uang riba",I3511="Pinjam dari uang riba",I3511="Ganti uang riba",I3511="Kelebihan ganti dikembalikan",AND(C3511="Kantong Uang Riba",G3511="Pengeluaran"))),1,0)</f>
        <v/>
      </c>
      <c r="X3511" s="93">
        <f>IF(AND(B3511&lt;&gt;"",B3511&gt;='Buku Akun'!$H$4,B3511&lt;='Buku Akun'!$H$5,OR(C3511='Buku Akun'!$C$4,AND(D3511="Pindah",E3511='Buku Akun'!$C$4))),B3511+IF(AND(I3511="Selisih bunga",DAY(B3511)=1),0,0.01)+ROW()/10000000,"")</f>
        <v/>
      </c>
    </row>
    <row r="3512" outlineLevel="1" ht="15" customHeight="1" s="94">
      <c r="A3512" s="123">
        <f>IF(B3512="","",ROW()-15)</f>
        <v/>
      </c>
      <c r="B3512" s="124" t="n"/>
      <c r="C3512" s="123" t="n"/>
      <c r="D3512" s="123" t="n"/>
      <c r="E3512" s="123" t="n"/>
      <c r="F3512" s="125" t="n"/>
      <c r="G3512" s="123" t="n"/>
      <c r="H3512" s="123" t="n"/>
      <c r="I3512" s="123" t="n"/>
      <c r="J3512" s="123" t="n"/>
      <c r="K3512" s="123" t="n"/>
      <c r="L3512" s="123" t="n"/>
      <c r="M3512" s="123">
        <f>IF(AND(B3512&lt;&gt;"",OR($C$4="",ISNUMBER(SEARCH($C$4,C3512&amp;" "&amp;E3512&amp;" "&amp;G3512&amp;" "&amp;H3512&amp;" "&amp;I3512&amp;" "&amp;J3512&amp;" "&amp;K3512&amp;" "&amp;L3512))),OR($C$5="Semua",$C$5="",G3512=$C$5),OR($C$6="Semua",$C$6="",H3512=$C$6,H3512="Pengeluaran "&amp;$C$6,AND($C$6="Uang Kos Mama",H3512="Pengeluaran Uang Kos")),OR($C$7="Semua",$C$7="",I3512=$C$7),OR($C$8="Semua",$C$8="",C3512=$C$8,E3512=$C$8),OR($C$9="Semua",$C$9="",D3512=$C$9),OR($C$10="",B3512&gt;=$C$10),OR($C$11="",B3512&lt;=$C$11),OR($C$12&lt;&gt;"Ya",K3512&lt;&gt;""),OR($C$13="Semua",$C$13="",L3512=$C$13)),"✓","")</f>
        <v/>
      </c>
      <c r="N3512" s="93">
        <f>N(N3511)+IF(M3512="✓",1,0)</f>
        <v/>
      </c>
      <c r="O3512" s="93">
        <f>N(O3511)+IF(AND(B3512&lt;&gt;"",B3512&gt;='Uang Riba'!$H$30,B3512&lt;='Uang Riba'!$I$30,OR(H3512="Dana riba",H3512="Pinjam uang riba",I3512="Pinjam dari uang riba",I3512="Ganti uang riba",I3512="Kelebihan ganti dikembalikan",AND(C3512="Kantong Uang Riba",G3512="Pengeluaran"))),1,0)</f>
        <v/>
      </c>
      <c r="X3512" s="93">
        <f>IF(AND(B3512&lt;&gt;"",B3512&gt;='Buku Akun'!$H$4,B3512&lt;='Buku Akun'!$H$5,OR(C3512='Buku Akun'!$C$4,AND(D3512="Pindah",E3512='Buku Akun'!$C$4))),B3512+IF(AND(I3512="Selisih bunga",DAY(B3512)=1),0,0.01)+ROW()/10000000,"")</f>
        <v/>
      </c>
    </row>
    <row r="3513" outlineLevel="1" ht="15" customHeight="1" s="94">
      <c r="A3513" s="123">
        <f>IF(B3513="","",ROW()-15)</f>
        <v/>
      </c>
      <c r="B3513" s="124" t="n"/>
      <c r="C3513" s="123" t="n"/>
      <c r="D3513" s="123" t="n"/>
      <c r="E3513" s="123" t="n"/>
      <c r="F3513" s="125" t="n"/>
      <c r="G3513" s="123" t="n"/>
      <c r="H3513" s="123" t="n"/>
      <c r="I3513" s="123" t="n"/>
      <c r="J3513" s="123" t="n"/>
      <c r="K3513" s="123" t="n"/>
      <c r="L3513" s="123" t="n"/>
      <c r="M3513" s="123">
        <f>IF(AND(B3513&lt;&gt;"",OR($C$4="",ISNUMBER(SEARCH($C$4,C3513&amp;" "&amp;E3513&amp;" "&amp;G3513&amp;" "&amp;H3513&amp;" "&amp;I3513&amp;" "&amp;J3513&amp;" "&amp;K3513&amp;" "&amp;L3513))),OR($C$5="Semua",$C$5="",G3513=$C$5),OR($C$6="Semua",$C$6="",H3513=$C$6,H3513="Pengeluaran "&amp;$C$6,AND($C$6="Uang Kos Mama",H3513="Pengeluaran Uang Kos")),OR($C$7="Semua",$C$7="",I3513=$C$7),OR($C$8="Semua",$C$8="",C3513=$C$8,E3513=$C$8),OR($C$9="Semua",$C$9="",D3513=$C$9),OR($C$10="",B3513&gt;=$C$10),OR($C$11="",B3513&lt;=$C$11),OR($C$12&lt;&gt;"Ya",K3513&lt;&gt;""),OR($C$13="Semua",$C$13="",L3513=$C$13)),"✓","")</f>
        <v/>
      </c>
      <c r="N3513" s="93">
        <f>N(N3512)+IF(M3513="✓",1,0)</f>
        <v/>
      </c>
      <c r="O3513" s="93">
        <f>N(O3512)+IF(AND(B3513&lt;&gt;"",B3513&gt;='Uang Riba'!$H$30,B3513&lt;='Uang Riba'!$I$30,OR(H3513="Dana riba",H3513="Pinjam uang riba",I3513="Pinjam dari uang riba",I3513="Ganti uang riba",I3513="Kelebihan ganti dikembalikan",AND(C3513="Kantong Uang Riba",G3513="Pengeluaran"))),1,0)</f>
        <v/>
      </c>
      <c r="X3513" s="93">
        <f>IF(AND(B3513&lt;&gt;"",B3513&gt;='Buku Akun'!$H$4,B3513&lt;='Buku Akun'!$H$5,OR(C3513='Buku Akun'!$C$4,AND(D3513="Pindah",E3513='Buku Akun'!$C$4))),B3513+IF(AND(I3513="Selisih bunga",DAY(B3513)=1),0,0.01)+ROW()/10000000,"")</f>
        <v/>
      </c>
    </row>
    <row r="3514" outlineLevel="1" ht="15" customHeight="1" s="94">
      <c r="A3514" s="123">
        <f>IF(B3514="","",ROW()-15)</f>
        <v/>
      </c>
      <c r="B3514" s="124" t="n"/>
      <c r="C3514" s="123" t="n"/>
      <c r="D3514" s="123" t="n"/>
      <c r="E3514" s="123" t="n"/>
      <c r="F3514" s="125" t="n"/>
      <c r="G3514" s="123" t="n"/>
      <c r="H3514" s="123" t="n"/>
      <c r="I3514" s="123" t="n"/>
      <c r="J3514" s="123" t="n"/>
      <c r="K3514" s="123" t="n"/>
      <c r="L3514" s="123" t="n"/>
      <c r="M3514" s="123">
        <f>IF(AND(B3514&lt;&gt;"",OR($C$4="",ISNUMBER(SEARCH($C$4,C3514&amp;" "&amp;E3514&amp;" "&amp;G3514&amp;" "&amp;H3514&amp;" "&amp;I3514&amp;" "&amp;J3514&amp;" "&amp;K3514&amp;" "&amp;L3514))),OR($C$5="Semua",$C$5="",G3514=$C$5),OR($C$6="Semua",$C$6="",H3514=$C$6,H3514="Pengeluaran "&amp;$C$6,AND($C$6="Uang Kos Mama",H3514="Pengeluaran Uang Kos")),OR($C$7="Semua",$C$7="",I3514=$C$7),OR($C$8="Semua",$C$8="",C3514=$C$8,E3514=$C$8),OR($C$9="Semua",$C$9="",D3514=$C$9),OR($C$10="",B3514&gt;=$C$10),OR($C$11="",B3514&lt;=$C$11),OR($C$12&lt;&gt;"Ya",K3514&lt;&gt;""),OR($C$13="Semua",$C$13="",L3514=$C$13)),"✓","")</f>
        <v/>
      </c>
      <c r="N3514" s="93">
        <f>N(N3513)+IF(M3514="✓",1,0)</f>
        <v/>
      </c>
      <c r="O3514" s="93">
        <f>N(O3513)+IF(AND(B3514&lt;&gt;"",B3514&gt;='Uang Riba'!$H$30,B3514&lt;='Uang Riba'!$I$30,OR(H3514="Dana riba",H3514="Pinjam uang riba",I3514="Pinjam dari uang riba",I3514="Ganti uang riba",I3514="Kelebihan ganti dikembalikan",AND(C3514="Kantong Uang Riba",G3514="Pengeluaran"))),1,0)</f>
        <v/>
      </c>
      <c r="X3514" s="93">
        <f>IF(AND(B3514&lt;&gt;"",B3514&gt;='Buku Akun'!$H$4,B3514&lt;='Buku Akun'!$H$5,OR(C3514='Buku Akun'!$C$4,AND(D3514="Pindah",E3514='Buku Akun'!$C$4))),B3514+IF(AND(I3514="Selisih bunga",DAY(B3514)=1),0,0.01)+ROW()/10000000,"")</f>
        <v/>
      </c>
    </row>
    <row r="3515" outlineLevel="1" ht="15" customHeight="1" s="94">
      <c r="A3515" s="123">
        <f>IF(B3515="","",ROW()-15)</f>
        <v/>
      </c>
      <c r="B3515" s="124" t="n"/>
      <c r="C3515" s="123" t="n"/>
      <c r="D3515" s="123" t="n"/>
      <c r="E3515" s="123" t="n"/>
      <c r="F3515" s="125" t="n"/>
      <c r="G3515" s="123" t="n"/>
      <c r="H3515" s="123" t="n"/>
      <c r="I3515" s="123" t="n"/>
      <c r="J3515" s="123" t="n"/>
      <c r="K3515" s="123" t="n"/>
      <c r="L3515" s="123" t="n"/>
      <c r="M3515" s="123">
        <f>IF(AND(B3515&lt;&gt;"",OR($C$4="",ISNUMBER(SEARCH($C$4,C3515&amp;" "&amp;E3515&amp;" "&amp;G3515&amp;" "&amp;H3515&amp;" "&amp;I3515&amp;" "&amp;J3515&amp;" "&amp;K3515&amp;" "&amp;L3515))),OR($C$5="Semua",$C$5="",G3515=$C$5),OR($C$6="Semua",$C$6="",H3515=$C$6,H3515="Pengeluaran "&amp;$C$6,AND($C$6="Uang Kos Mama",H3515="Pengeluaran Uang Kos")),OR($C$7="Semua",$C$7="",I3515=$C$7),OR($C$8="Semua",$C$8="",C3515=$C$8,E3515=$C$8),OR($C$9="Semua",$C$9="",D3515=$C$9),OR($C$10="",B3515&gt;=$C$10),OR($C$11="",B3515&lt;=$C$11),OR($C$12&lt;&gt;"Ya",K3515&lt;&gt;""),OR($C$13="Semua",$C$13="",L3515=$C$13)),"✓","")</f>
        <v/>
      </c>
      <c r="N3515" s="93">
        <f>N(N3514)+IF(M3515="✓",1,0)</f>
        <v/>
      </c>
      <c r="O3515" s="93">
        <f>N(O3514)+IF(AND(B3515&lt;&gt;"",B3515&gt;='Uang Riba'!$H$30,B3515&lt;='Uang Riba'!$I$30,OR(H3515="Dana riba",H3515="Pinjam uang riba",I3515="Pinjam dari uang riba",I3515="Ganti uang riba",I3515="Kelebihan ganti dikembalikan",AND(C3515="Kantong Uang Riba",G3515="Pengeluaran"))),1,0)</f>
        <v/>
      </c>
      <c r="X3515" s="93">
        <f>IF(AND(B3515&lt;&gt;"",B3515&gt;='Buku Akun'!$H$4,B3515&lt;='Buku Akun'!$H$5,OR(C3515='Buku Akun'!$C$4,AND(D3515="Pindah",E3515='Buku Akun'!$C$4))),B3515+IF(AND(I3515="Selisih bunga",DAY(B3515)=1),0,0.01)+ROW()/10000000,"")</f>
        <v/>
      </c>
    </row>
    <row r="3516" outlineLevel="1" ht="15" customHeight="1" s="94">
      <c r="A3516" s="123">
        <f>IF(B3516="","",ROW()-15)</f>
        <v/>
      </c>
      <c r="B3516" s="124" t="n"/>
      <c r="C3516" s="123" t="n"/>
      <c r="D3516" s="123" t="n"/>
      <c r="E3516" s="123" t="n"/>
      <c r="F3516" s="125" t="n"/>
      <c r="G3516" s="123" t="n"/>
      <c r="H3516" s="123" t="n"/>
      <c r="I3516" s="123" t="n"/>
      <c r="J3516" s="123" t="n"/>
      <c r="K3516" s="123" t="n"/>
      <c r="L3516" s="123" t="n"/>
      <c r="M3516" s="123">
        <f>IF(AND(B3516&lt;&gt;"",OR($C$4="",ISNUMBER(SEARCH($C$4,C3516&amp;" "&amp;E3516&amp;" "&amp;G3516&amp;" "&amp;H3516&amp;" "&amp;I3516&amp;" "&amp;J3516&amp;" "&amp;K3516&amp;" "&amp;L3516))),OR($C$5="Semua",$C$5="",G3516=$C$5),OR($C$6="Semua",$C$6="",H3516=$C$6,H3516="Pengeluaran "&amp;$C$6,AND($C$6="Uang Kos Mama",H3516="Pengeluaran Uang Kos")),OR($C$7="Semua",$C$7="",I3516=$C$7),OR($C$8="Semua",$C$8="",C3516=$C$8,E3516=$C$8),OR($C$9="Semua",$C$9="",D3516=$C$9),OR($C$10="",B3516&gt;=$C$10),OR($C$11="",B3516&lt;=$C$11),OR($C$12&lt;&gt;"Ya",K3516&lt;&gt;""),OR($C$13="Semua",$C$13="",L3516=$C$13)),"✓","")</f>
        <v/>
      </c>
      <c r="N3516" s="93">
        <f>N(N3515)+IF(M3516="✓",1,0)</f>
        <v/>
      </c>
      <c r="O3516" s="93">
        <f>N(O3515)+IF(AND(B3516&lt;&gt;"",B3516&gt;='Uang Riba'!$H$30,B3516&lt;='Uang Riba'!$I$30,OR(H3516="Dana riba",H3516="Pinjam uang riba",I3516="Pinjam dari uang riba",I3516="Ganti uang riba",I3516="Kelebihan ganti dikembalikan",AND(C3516="Kantong Uang Riba",G3516="Pengeluaran"))),1,0)</f>
        <v/>
      </c>
      <c r="X3516" s="93">
        <f>IF(AND(B3516&lt;&gt;"",B3516&gt;='Buku Akun'!$H$4,B3516&lt;='Buku Akun'!$H$5,OR(C3516='Buku Akun'!$C$4,AND(D3516="Pindah",E3516='Buku Akun'!$C$4))),B3516+IF(AND(I3516="Selisih bunga",DAY(B3516)=1),0,0.01)+ROW()/10000000,"")</f>
        <v/>
      </c>
    </row>
    <row r="3517" outlineLevel="1" ht="15" customHeight="1" s="94">
      <c r="A3517" s="123">
        <f>IF(B3517="","",ROW()-15)</f>
        <v/>
      </c>
      <c r="B3517" s="124" t="n"/>
      <c r="C3517" s="123" t="n"/>
      <c r="D3517" s="123" t="n"/>
      <c r="E3517" s="123" t="n"/>
      <c r="F3517" s="125" t="n"/>
      <c r="G3517" s="123" t="n"/>
      <c r="H3517" s="123" t="n"/>
      <c r="I3517" s="123" t="n"/>
      <c r="J3517" s="123" t="n"/>
      <c r="K3517" s="123" t="n"/>
      <c r="L3517" s="123" t="n"/>
      <c r="M3517" s="123">
        <f>IF(AND(B3517&lt;&gt;"",OR($C$4="",ISNUMBER(SEARCH($C$4,C3517&amp;" "&amp;E3517&amp;" "&amp;G3517&amp;" "&amp;H3517&amp;" "&amp;I3517&amp;" "&amp;J3517&amp;" "&amp;K3517&amp;" "&amp;L3517))),OR($C$5="Semua",$C$5="",G3517=$C$5),OR($C$6="Semua",$C$6="",H3517=$C$6,H3517="Pengeluaran "&amp;$C$6,AND($C$6="Uang Kos Mama",H3517="Pengeluaran Uang Kos")),OR($C$7="Semua",$C$7="",I3517=$C$7),OR($C$8="Semua",$C$8="",C3517=$C$8,E3517=$C$8),OR($C$9="Semua",$C$9="",D3517=$C$9),OR($C$10="",B3517&gt;=$C$10),OR($C$11="",B3517&lt;=$C$11),OR($C$12&lt;&gt;"Ya",K3517&lt;&gt;""),OR($C$13="Semua",$C$13="",L3517=$C$13)),"✓","")</f>
        <v/>
      </c>
      <c r="N3517" s="93">
        <f>N(N3516)+IF(M3517="✓",1,0)</f>
        <v/>
      </c>
      <c r="O3517" s="93">
        <f>N(O3516)+IF(AND(B3517&lt;&gt;"",B3517&gt;='Uang Riba'!$H$30,B3517&lt;='Uang Riba'!$I$30,OR(H3517="Dana riba",H3517="Pinjam uang riba",I3517="Pinjam dari uang riba",I3517="Ganti uang riba",I3517="Kelebihan ganti dikembalikan",AND(C3517="Kantong Uang Riba",G3517="Pengeluaran"))),1,0)</f>
        <v/>
      </c>
      <c r="X3517" s="93">
        <f>IF(AND(B3517&lt;&gt;"",B3517&gt;='Buku Akun'!$H$4,B3517&lt;='Buku Akun'!$H$5,OR(C3517='Buku Akun'!$C$4,AND(D3517="Pindah",E3517='Buku Akun'!$C$4))),B3517+IF(AND(I3517="Selisih bunga",DAY(B3517)=1),0,0.01)+ROW()/10000000,"")</f>
        <v/>
      </c>
    </row>
    <row r="3518" outlineLevel="1" ht="15" customHeight="1" s="94">
      <c r="A3518" s="123">
        <f>IF(B3518="","",ROW()-15)</f>
        <v/>
      </c>
      <c r="B3518" s="124" t="n"/>
      <c r="C3518" s="123" t="n"/>
      <c r="D3518" s="123" t="n"/>
      <c r="E3518" s="123" t="n"/>
      <c r="F3518" s="125" t="n"/>
      <c r="G3518" s="123" t="n"/>
      <c r="H3518" s="123" t="n"/>
      <c r="I3518" s="123" t="n"/>
      <c r="J3518" s="123" t="n"/>
      <c r="K3518" s="123" t="n"/>
      <c r="L3518" s="123" t="n"/>
      <c r="M3518" s="123">
        <f>IF(AND(B3518&lt;&gt;"",OR($C$4="",ISNUMBER(SEARCH($C$4,C3518&amp;" "&amp;E3518&amp;" "&amp;G3518&amp;" "&amp;H3518&amp;" "&amp;I3518&amp;" "&amp;J3518&amp;" "&amp;K3518&amp;" "&amp;L3518))),OR($C$5="Semua",$C$5="",G3518=$C$5),OR($C$6="Semua",$C$6="",H3518=$C$6,H3518="Pengeluaran "&amp;$C$6,AND($C$6="Uang Kos Mama",H3518="Pengeluaran Uang Kos")),OR($C$7="Semua",$C$7="",I3518=$C$7),OR($C$8="Semua",$C$8="",C3518=$C$8,E3518=$C$8),OR($C$9="Semua",$C$9="",D3518=$C$9),OR($C$10="",B3518&gt;=$C$10),OR($C$11="",B3518&lt;=$C$11),OR($C$12&lt;&gt;"Ya",K3518&lt;&gt;""),OR($C$13="Semua",$C$13="",L3518=$C$13)),"✓","")</f>
        <v/>
      </c>
      <c r="N3518" s="93">
        <f>N(N3517)+IF(M3518="✓",1,0)</f>
        <v/>
      </c>
      <c r="O3518" s="93">
        <f>N(O3517)+IF(AND(B3518&lt;&gt;"",B3518&gt;='Uang Riba'!$H$30,B3518&lt;='Uang Riba'!$I$30,OR(H3518="Dana riba",H3518="Pinjam uang riba",I3518="Pinjam dari uang riba",I3518="Ganti uang riba",I3518="Kelebihan ganti dikembalikan",AND(C3518="Kantong Uang Riba",G3518="Pengeluaran"))),1,0)</f>
        <v/>
      </c>
      <c r="X3518" s="93">
        <f>IF(AND(B3518&lt;&gt;"",B3518&gt;='Buku Akun'!$H$4,B3518&lt;='Buku Akun'!$H$5,OR(C3518='Buku Akun'!$C$4,AND(D3518="Pindah",E3518='Buku Akun'!$C$4))),B3518+IF(AND(I3518="Selisih bunga",DAY(B3518)=1),0,0.01)+ROW()/10000000,"")</f>
        <v/>
      </c>
    </row>
    <row r="3519" outlineLevel="1" ht="15" customHeight="1" s="94">
      <c r="A3519" s="123">
        <f>IF(B3519="","",ROW()-15)</f>
        <v/>
      </c>
      <c r="B3519" s="124" t="n"/>
      <c r="C3519" s="123" t="n"/>
      <c r="D3519" s="123" t="n"/>
      <c r="E3519" s="123" t="n"/>
      <c r="F3519" s="125" t="n"/>
      <c r="G3519" s="123" t="n"/>
      <c r="H3519" s="123" t="n"/>
      <c r="I3519" s="123" t="n"/>
      <c r="J3519" s="123" t="n"/>
      <c r="K3519" s="123" t="n"/>
      <c r="L3519" s="123" t="n"/>
      <c r="M3519" s="123">
        <f>IF(AND(B3519&lt;&gt;"",OR($C$4="",ISNUMBER(SEARCH($C$4,C3519&amp;" "&amp;E3519&amp;" "&amp;G3519&amp;" "&amp;H3519&amp;" "&amp;I3519&amp;" "&amp;J3519&amp;" "&amp;K3519&amp;" "&amp;L3519))),OR($C$5="Semua",$C$5="",G3519=$C$5),OR($C$6="Semua",$C$6="",H3519=$C$6,H3519="Pengeluaran "&amp;$C$6,AND($C$6="Uang Kos Mama",H3519="Pengeluaran Uang Kos")),OR($C$7="Semua",$C$7="",I3519=$C$7),OR($C$8="Semua",$C$8="",C3519=$C$8,E3519=$C$8),OR($C$9="Semua",$C$9="",D3519=$C$9),OR($C$10="",B3519&gt;=$C$10),OR($C$11="",B3519&lt;=$C$11),OR($C$12&lt;&gt;"Ya",K3519&lt;&gt;""),OR($C$13="Semua",$C$13="",L3519=$C$13)),"✓","")</f>
        <v/>
      </c>
      <c r="N3519" s="93">
        <f>N(N3518)+IF(M3519="✓",1,0)</f>
        <v/>
      </c>
      <c r="O3519" s="93">
        <f>N(O3518)+IF(AND(B3519&lt;&gt;"",B3519&gt;='Uang Riba'!$H$30,B3519&lt;='Uang Riba'!$I$30,OR(H3519="Dana riba",H3519="Pinjam uang riba",I3519="Pinjam dari uang riba",I3519="Ganti uang riba",I3519="Kelebihan ganti dikembalikan",AND(C3519="Kantong Uang Riba",G3519="Pengeluaran"))),1,0)</f>
        <v/>
      </c>
      <c r="X3519" s="93">
        <f>IF(AND(B3519&lt;&gt;"",B3519&gt;='Buku Akun'!$H$4,B3519&lt;='Buku Akun'!$H$5,OR(C3519='Buku Akun'!$C$4,AND(D3519="Pindah",E3519='Buku Akun'!$C$4))),B3519+IF(AND(I3519="Selisih bunga",DAY(B3519)=1),0,0.01)+ROW()/10000000,"")</f>
        <v/>
      </c>
    </row>
    <row r="3520" outlineLevel="1" ht="15" customHeight="1" s="94">
      <c r="A3520" s="123">
        <f>IF(B3520="","",ROW()-15)</f>
        <v/>
      </c>
      <c r="B3520" s="124" t="n"/>
      <c r="C3520" s="123" t="n"/>
      <c r="D3520" s="123" t="n"/>
      <c r="E3520" s="123" t="n"/>
      <c r="F3520" s="125" t="n"/>
      <c r="G3520" s="123" t="n"/>
      <c r="H3520" s="123" t="n"/>
      <c r="I3520" s="123" t="n"/>
      <c r="J3520" s="123" t="n"/>
      <c r="K3520" s="123" t="n"/>
      <c r="L3520" s="123" t="n"/>
      <c r="M3520" s="123">
        <f>IF(AND(B3520&lt;&gt;"",OR($C$4="",ISNUMBER(SEARCH($C$4,C3520&amp;" "&amp;E3520&amp;" "&amp;G3520&amp;" "&amp;H3520&amp;" "&amp;I3520&amp;" "&amp;J3520&amp;" "&amp;K3520&amp;" "&amp;L3520))),OR($C$5="Semua",$C$5="",G3520=$C$5),OR($C$6="Semua",$C$6="",H3520=$C$6,H3520="Pengeluaran "&amp;$C$6,AND($C$6="Uang Kos Mama",H3520="Pengeluaran Uang Kos")),OR($C$7="Semua",$C$7="",I3520=$C$7),OR($C$8="Semua",$C$8="",C3520=$C$8,E3520=$C$8),OR($C$9="Semua",$C$9="",D3520=$C$9),OR($C$10="",B3520&gt;=$C$10),OR($C$11="",B3520&lt;=$C$11),OR($C$12&lt;&gt;"Ya",K3520&lt;&gt;""),OR($C$13="Semua",$C$13="",L3520=$C$13)),"✓","")</f>
        <v/>
      </c>
      <c r="N3520" s="93">
        <f>N(N3519)+IF(M3520="✓",1,0)</f>
        <v/>
      </c>
      <c r="O3520" s="93">
        <f>N(O3519)+IF(AND(B3520&lt;&gt;"",B3520&gt;='Uang Riba'!$H$30,B3520&lt;='Uang Riba'!$I$30,OR(H3520="Dana riba",H3520="Pinjam uang riba",I3520="Pinjam dari uang riba",I3520="Ganti uang riba",I3520="Kelebihan ganti dikembalikan",AND(C3520="Kantong Uang Riba",G3520="Pengeluaran"))),1,0)</f>
        <v/>
      </c>
      <c r="X3520" s="93">
        <f>IF(AND(B3520&lt;&gt;"",B3520&gt;='Buku Akun'!$H$4,B3520&lt;='Buku Akun'!$H$5,OR(C3520='Buku Akun'!$C$4,AND(D3520="Pindah",E3520='Buku Akun'!$C$4))),B3520+IF(AND(I3520="Selisih bunga",DAY(B3520)=1),0,0.01)+ROW()/10000000,"")</f>
        <v/>
      </c>
    </row>
    <row r="3521" outlineLevel="1" ht="15" customHeight="1" s="94">
      <c r="A3521" s="123">
        <f>IF(B3521="","",ROW()-15)</f>
        <v/>
      </c>
      <c r="B3521" s="124" t="n"/>
      <c r="C3521" s="123" t="n"/>
      <c r="D3521" s="123" t="n"/>
      <c r="E3521" s="123" t="n"/>
      <c r="F3521" s="125" t="n"/>
      <c r="G3521" s="123" t="n"/>
      <c r="H3521" s="123" t="n"/>
      <c r="I3521" s="123" t="n"/>
      <c r="J3521" s="123" t="n"/>
      <c r="K3521" s="123" t="n"/>
      <c r="L3521" s="123" t="n"/>
      <c r="M3521" s="123">
        <f>IF(AND(B3521&lt;&gt;"",OR($C$4="",ISNUMBER(SEARCH($C$4,C3521&amp;" "&amp;E3521&amp;" "&amp;G3521&amp;" "&amp;H3521&amp;" "&amp;I3521&amp;" "&amp;J3521&amp;" "&amp;K3521&amp;" "&amp;L3521))),OR($C$5="Semua",$C$5="",G3521=$C$5),OR($C$6="Semua",$C$6="",H3521=$C$6,H3521="Pengeluaran "&amp;$C$6,AND($C$6="Uang Kos Mama",H3521="Pengeluaran Uang Kos")),OR($C$7="Semua",$C$7="",I3521=$C$7),OR($C$8="Semua",$C$8="",C3521=$C$8,E3521=$C$8),OR($C$9="Semua",$C$9="",D3521=$C$9),OR($C$10="",B3521&gt;=$C$10),OR($C$11="",B3521&lt;=$C$11),OR($C$12&lt;&gt;"Ya",K3521&lt;&gt;""),OR($C$13="Semua",$C$13="",L3521=$C$13)),"✓","")</f>
        <v/>
      </c>
      <c r="N3521" s="93">
        <f>N(N3520)+IF(M3521="✓",1,0)</f>
        <v/>
      </c>
      <c r="O3521" s="93">
        <f>N(O3520)+IF(AND(B3521&lt;&gt;"",B3521&gt;='Uang Riba'!$H$30,B3521&lt;='Uang Riba'!$I$30,OR(H3521="Dana riba",H3521="Pinjam uang riba",I3521="Pinjam dari uang riba",I3521="Ganti uang riba",I3521="Kelebihan ganti dikembalikan",AND(C3521="Kantong Uang Riba",G3521="Pengeluaran"))),1,0)</f>
        <v/>
      </c>
      <c r="X3521" s="93">
        <f>IF(AND(B3521&lt;&gt;"",B3521&gt;='Buku Akun'!$H$4,B3521&lt;='Buku Akun'!$H$5,OR(C3521='Buku Akun'!$C$4,AND(D3521="Pindah",E3521='Buku Akun'!$C$4))),B3521+IF(AND(I3521="Selisih bunga",DAY(B3521)=1),0,0.01)+ROW()/10000000,"")</f>
        <v/>
      </c>
    </row>
    <row r="3522" outlineLevel="1" ht="15" customHeight="1" s="94">
      <c r="A3522" s="123">
        <f>IF(B3522="","",ROW()-15)</f>
        <v/>
      </c>
      <c r="B3522" s="124" t="n"/>
      <c r="C3522" s="123" t="n"/>
      <c r="D3522" s="123" t="n"/>
      <c r="E3522" s="123" t="n"/>
      <c r="F3522" s="125" t="n"/>
      <c r="G3522" s="123" t="n"/>
      <c r="H3522" s="123" t="n"/>
      <c r="I3522" s="123" t="n"/>
      <c r="J3522" s="123" t="n"/>
      <c r="K3522" s="123" t="n"/>
      <c r="L3522" s="123" t="n"/>
      <c r="M3522" s="123">
        <f>IF(AND(B3522&lt;&gt;"",OR($C$4="",ISNUMBER(SEARCH($C$4,C3522&amp;" "&amp;E3522&amp;" "&amp;G3522&amp;" "&amp;H3522&amp;" "&amp;I3522&amp;" "&amp;J3522&amp;" "&amp;K3522&amp;" "&amp;L3522))),OR($C$5="Semua",$C$5="",G3522=$C$5),OR($C$6="Semua",$C$6="",H3522=$C$6,H3522="Pengeluaran "&amp;$C$6,AND($C$6="Uang Kos Mama",H3522="Pengeluaran Uang Kos")),OR($C$7="Semua",$C$7="",I3522=$C$7),OR($C$8="Semua",$C$8="",C3522=$C$8,E3522=$C$8),OR($C$9="Semua",$C$9="",D3522=$C$9),OR($C$10="",B3522&gt;=$C$10),OR($C$11="",B3522&lt;=$C$11),OR($C$12&lt;&gt;"Ya",K3522&lt;&gt;""),OR($C$13="Semua",$C$13="",L3522=$C$13)),"✓","")</f>
        <v/>
      </c>
      <c r="N3522" s="93">
        <f>N(N3521)+IF(M3522="✓",1,0)</f>
        <v/>
      </c>
      <c r="O3522" s="93">
        <f>N(O3521)+IF(AND(B3522&lt;&gt;"",B3522&gt;='Uang Riba'!$H$30,B3522&lt;='Uang Riba'!$I$30,OR(H3522="Dana riba",H3522="Pinjam uang riba",I3522="Pinjam dari uang riba",I3522="Ganti uang riba",I3522="Kelebihan ganti dikembalikan",AND(C3522="Kantong Uang Riba",G3522="Pengeluaran"))),1,0)</f>
        <v/>
      </c>
      <c r="X3522" s="93">
        <f>IF(AND(B3522&lt;&gt;"",B3522&gt;='Buku Akun'!$H$4,B3522&lt;='Buku Akun'!$H$5,OR(C3522='Buku Akun'!$C$4,AND(D3522="Pindah",E3522='Buku Akun'!$C$4))),B3522+IF(AND(I3522="Selisih bunga",DAY(B3522)=1),0,0.01)+ROW()/10000000,"")</f>
        <v/>
      </c>
    </row>
    <row r="3523" outlineLevel="1" ht="15" customHeight="1" s="94">
      <c r="A3523" s="123">
        <f>IF(B3523="","",ROW()-15)</f>
        <v/>
      </c>
      <c r="B3523" s="124" t="n"/>
      <c r="C3523" s="123" t="n"/>
      <c r="D3523" s="123" t="n"/>
      <c r="E3523" s="123" t="n"/>
      <c r="F3523" s="125" t="n"/>
      <c r="G3523" s="123" t="n"/>
      <c r="H3523" s="123" t="n"/>
      <c r="I3523" s="123" t="n"/>
      <c r="J3523" s="123" t="n"/>
      <c r="K3523" s="123" t="n"/>
      <c r="L3523" s="123" t="n"/>
      <c r="M3523" s="123">
        <f>IF(AND(B3523&lt;&gt;"",OR($C$4="",ISNUMBER(SEARCH($C$4,C3523&amp;" "&amp;E3523&amp;" "&amp;G3523&amp;" "&amp;H3523&amp;" "&amp;I3523&amp;" "&amp;J3523&amp;" "&amp;K3523&amp;" "&amp;L3523))),OR($C$5="Semua",$C$5="",G3523=$C$5),OR($C$6="Semua",$C$6="",H3523=$C$6,H3523="Pengeluaran "&amp;$C$6,AND($C$6="Uang Kos Mama",H3523="Pengeluaran Uang Kos")),OR($C$7="Semua",$C$7="",I3523=$C$7),OR($C$8="Semua",$C$8="",C3523=$C$8,E3523=$C$8),OR($C$9="Semua",$C$9="",D3523=$C$9),OR($C$10="",B3523&gt;=$C$10),OR($C$11="",B3523&lt;=$C$11),OR($C$12&lt;&gt;"Ya",K3523&lt;&gt;""),OR($C$13="Semua",$C$13="",L3523=$C$13)),"✓","")</f>
        <v/>
      </c>
      <c r="N3523" s="93">
        <f>N(N3522)+IF(M3523="✓",1,0)</f>
        <v/>
      </c>
      <c r="O3523" s="93">
        <f>N(O3522)+IF(AND(B3523&lt;&gt;"",B3523&gt;='Uang Riba'!$H$30,B3523&lt;='Uang Riba'!$I$30,OR(H3523="Dana riba",H3523="Pinjam uang riba",I3523="Pinjam dari uang riba",I3523="Ganti uang riba",I3523="Kelebihan ganti dikembalikan",AND(C3523="Kantong Uang Riba",G3523="Pengeluaran"))),1,0)</f>
        <v/>
      </c>
      <c r="X3523" s="93">
        <f>IF(AND(B3523&lt;&gt;"",B3523&gt;='Buku Akun'!$H$4,B3523&lt;='Buku Akun'!$H$5,OR(C3523='Buku Akun'!$C$4,AND(D3523="Pindah",E3523='Buku Akun'!$C$4))),B3523+IF(AND(I3523="Selisih bunga",DAY(B3523)=1),0,0.01)+ROW()/10000000,"")</f>
        <v/>
      </c>
    </row>
    <row r="3524" outlineLevel="1" ht="15" customHeight="1" s="94">
      <c r="A3524" s="123">
        <f>IF(B3524="","",ROW()-15)</f>
        <v/>
      </c>
      <c r="B3524" s="124" t="n"/>
      <c r="C3524" s="123" t="n"/>
      <c r="D3524" s="123" t="n"/>
      <c r="E3524" s="123" t="n"/>
      <c r="F3524" s="125" t="n"/>
      <c r="G3524" s="123" t="n"/>
      <c r="H3524" s="123" t="n"/>
      <c r="I3524" s="123" t="n"/>
      <c r="J3524" s="123" t="n"/>
      <c r="K3524" s="123" t="n"/>
      <c r="L3524" s="123" t="n"/>
      <c r="M3524" s="123">
        <f>IF(AND(B3524&lt;&gt;"",OR($C$4="",ISNUMBER(SEARCH($C$4,C3524&amp;" "&amp;E3524&amp;" "&amp;G3524&amp;" "&amp;H3524&amp;" "&amp;I3524&amp;" "&amp;J3524&amp;" "&amp;K3524&amp;" "&amp;L3524))),OR($C$5="Semua",$C$5="",G3524=$C$5),OR($C$6="Semua",$C$6="",H3524=$C$6,H3524="Pengeluaran "&amp;$C$6,AND($C$6="Uang Kos Mama",H3524="Pengeluaran Uang Kos")),OR($C$7="Semua",$C$7="",I3524=$C$7),OR($C$8="Semua",$C$8="",C3524=$C$8,E3524=$C$8),OR($C$9="Semua",$C$9="",D3524=$C$9),OR($C$10="",B3524&gt;=$C$10),OR($C$11="",B3524&lt;=$C$11),OR($C$12&lt;&gt;"Ya",K3524&lt;&gt;""),OR($C$13="Semua",$C$13="",L3524=$C$13)),"✓","")</f>
        <v/>
      </c>
      <c r="N3524" s="93">
        <f>N(N3523)+IF(M3524="✓",1,0)</f>
        <v/>
      </c>
      <c r="O3524" s="93">
        <f>N(O3523)+IF(AND(B3524&lt;&gt;"",B3524&gt;='Uang Riba'!$H$30,B3524&lt;='Uang Riba'!$I$30,OR(H3524="Dana riba",H3524="Pinjam uang riba",I3524="Pinjam dari uang riba",I3524="Ganti uang riba",I3524="Kelebihan ganti dikembalikan",AND(C3524="Kantong Uang Riba",G3524="Pengeluaran"))),1,0)</f>
        <v/>
      </c>
      <c r="X3524" s="93">
        <f>IF(AND(B3524&lt;&gt;"",B3524&gt;='Buku Akun'!$H$4,B3524&lt;='Buku Akun'!$H$5,OR(C3524='Buku Akun'!$C$4,AND(D3524="Pindah",E3524='Buku Akun'!$C$4))),B3524+IF(AND(I3524="Selisih bunga",DAY(B3524)=1),0,0.01)+ROW()/10000000,"")</f>
        <v/>
      </c>
    </row>
    <row r="3525" outlineLevel="1" ht="15" customHeight="1" s="94">
      <c r="A3525" s="123">
        <f>IF(B3525="","",ROW()-15)</f>
        <v/>
      </c>
      <c r="B3525" s="124" t="n"/>
      <c r="C3525" s="123" t="n"/>
      <c r="D3525" s="123" t="n"/>
      <c r="E3525" s="123" t="n"/>
      <c r="F3525" s="125" t="n"/>
      <c r="G3525" s="123" t="n"/>
      <c r="H3525" s="123" t="n"/>
      <c r="I3525" s="123" t="n"/>
      <c r="J3525" s="123" t="n"/>
      <c r="K3525" s="123" t="n"/>
      <c r="L3525" s="123" t="n"/>
      <c r="M3525" s="123">
        <f>IF(AND(B3525&lt;&gt;"",OR($C$4="",ISNUMBER(SEARCH($C$4,C3525&amp;" "&amp;E3525&amp;" "&amp;G3525&amp;" "&amp;H3525&amp;" "&amp;I3525&amp;" "&amp;J3525&amp;" "&amp;K3525&amp;" "&amp;L3525))),OR($C$5="Semua",$C$5="",G3525=$C$5),OR($C$6="Semua",$C$6="",H3525=$C$6,H3525="Pengeluaran "&amp;$C$6,AND($C$6="Uang Kos Mama",H3525="Pengeluaran Uang Kos")),OR($C$7="Semua",$C$7="",I3525=$C$7),OR($C$8="Semua",$C$8="",C3525=$C$8,E3525=$C$8),OR($C$9="Semua",$C$9="",D3525=$C$9),OR($C$10="",B3525&gt;=$C$10),OR($C$11="",B3525&lt;=$C$11),OR($C$12&lt;&gt;"Ya",K3525&lt;&gt;""),OR($C$13="Semua",$C$13="",L3525=$C$13)),"✓","")</f>
        <v/>
      </c>
      <c r="N3525" s="93">
        <f>N(N3524)+IF(M3525="✓",1,0)</f>
        <v/>
      </c>
      <c r="O3525" s="93">
        <f>N(O3524)+IF(AND(B3525&lt;&gt;"",B3525&gt;='Uang Riba'!$H$30,B3525&lt;='Uang Riba'!$I$30,OR(H3525="Dana riba",H3525="Pinjam uang riba",I3525="Pinjam dari uang riba",I3525="Ganti uang riba",I3525="Kelebihan ganti dikembalikan",AND(C3525="Kantong Uang Riba",G3525="Pengeluaran"))),1,0)</f>
        <v/>
      </c>
      <c r="X3525" s="93">
        <f>IF(AND(B3525&lt;&gt;"",B3525&gt;='Buku Akun'!$H$4,B3525&lt;='Buku Akun'!$H$5,OR(C3525='Buku Akun'!$C$4,AND(D3525="Pindah",E3525='Buku Akun'!$C$4))),B3525+IF(AND(I3525="Selisih bunga",DAY(B3525)=1),0,0.01)+ROW()/10000000,"")</f>
        <v/>
      </c>
    </row>
    <row r="3526" outlineLevel="1" ht="15" customHeight="1" s="94">
      <c r="A3526" s="123">
        <f>IF(B3526="","",ROW()-15)</f>
        <v/>
      </c>
      <c r="B3526" s="124" t="n"/>
      <c r="C3526" s="123" t="n"/>
      <c r="D3526" s="123" t="n"/>
      <c r="E3526" s="123" t="n"/>
      <c r="F3526" s="125" t="n"/>
      <c r="G3526" s="123" t="n"/>
      <c r="H3526" s="123" t="n"/>
      <c r="I3526" s="123" t="n"/>
      <c r="J3526" s="123" t="n"/>
      <c r="K3526" s="123" t="n"/>
      <c r="L3526" s="123" t="n"/>
      <c r="M3526" s="123">
        <f>IF(AND(B3526&lt;&gt;"",OR($C$4="",ISNUMBER(SEARCH($C$4,C3526&amp;" "&amp;E3526&amp;" "&amp;G3526&amp;" "&amp;H3526&amp;" "&amp;I3526&amp;" "&amp;J3526&amp;" "&amp;K3526&amp;" "&amp;L3526))),OR($C$5="Semua",$C$5="",G3526=$C$5),OR($C$6="Semua",$C$6="",H3526=$C$6,H3526="Pengeluaran "&amp;$C$6,AND($C$6="Uang Kos Mama",H3526="Pengeluaran Uang Kos")),OR($C$7="Semua",$C$7="",I3526=$C$7),OR($C$8="Semua",$C$8="",C3526=$C$8,E3526=$C$8),OR($C$9="Semua",$C$9="",D3526=$C$9),OR($C$10="",B3526&gt;=$C$10),OR($C$11="",B3526&lt;=$C$11),OR($C$12&lt;&gt;"Ya",K3526&lt;&gt;""),OR($C$13="Semua",$C$13="",L3526=$C$13)),"✓","")</f>
        <v/>
      </c>
      <c r="N3526" s="93">
        <f>N(N3525)+IF(M3526="✓",1,0)</f>
        <v/>
      </c>
      <c r="O3526" s="93">
        <f>N(O3525)+IF(AND(B3526&lt;&gt;"",B3526&gt;='Uang Riba'!$H$30,B3526&lt;='Uang Riba'!$I$30,OR(H3526="Dana riba",H3526="Pinjam uang riba",I3526="Pinjam dari uang riba",I3526="Ganti uang riba",I3526="Kelebihan ganti dikembalikan",AND(C3526="Kantong Uang Riba",G3526="Pengeluaran"))),1,0)</f>
        <v/>
      </c>
      <c r="X3526" s="93">
        <f>IF(AND(B3526&lt;&gt;"",B3526&gt;='Buku Akun'!$H$4,B3526&lt;='Buku Akun'!$H$5,OR(C3526='Buku Akun'!$C$4,AND(D3526="Pindah",E3526='Buku Akun'!$C$4))),B3526+IF(AND(I3526="Selisih bunga",DAY(B3526)=1),0,0.01)+ROW()/10000000,"")</f>
        <v/>
      </c>
    </row>
    <row r="3527" outlineLevel="1" ht="15" customHeight="1" s="94">
      <c r="A3527" s="123">
        <f>IF(B3527="","",ROW()-15)</f>
        <v/>
      </c>
      <c r="B3527" s="124" t="n"/>
      <c r="C3527" s="123" t="n"/>
      <c r="D3527" s="123" t="n"/>
      <c r="E3527" s="123" t="n"/>
      <c r="F3527" s="125" t="n"/>
      <c r="G3527" s="123" t="n"/>
      <c r="H3527" s="123" t="n"/>
      <c r="I3527" s="123" t="n"/>
      <c r="J3527" s="123" t="n"/>
      <c r="K3527" s="123" t="n"/>
      <c r="L3527" s="123" t="n"/>
      <c r="M3527" s="123">
        <f>IF(AND(B3527&lt;&gt;"",OR($C$4="",ISNUMBER(SEARCH($C$4,C3527&amp;" "&amp;E3527&amp;" "&amp;G3527&amp;" "&amp;H3527&amp;" "&amp;I3527&amp;" "&amp;J3527&amp;" "&amp;K3527&amp;" "&amp;L3527))),OR($C$5="Semua",$C$5="",G3527=$C$5),OR($C$6="Semua",$C$6="",H3527=$C$6,H3527="Pengeluaran "&amp;$C$6,AND($C$6="Uang Kos Mama",H3527="Pengeluaran Uang Kos")),OR($C$7="Semua",$C$7="",I3527=$C$7),OR($C$8="Semua",$C$8="",C3527=$C$8,E3527=$C$8),OR($C$9="Semua",$C$9="",D3527=$C$9),OR($C$10="",B3527&gt;=$C$10),OR($C$11="",B3527&lt;=$C$11),OR($C$12&lt;&gt;"Ya",K3527&lt;&gt;""),OR($C$13="Semua",$C$13="",L3527=$C$13)),"✓","")</f>
        <v/>
      </c>
      <c r="N3527" s="93">
        <f>N(N3526)+IF(M3527="✓",1,0)</f>
        <v/>
      </c>
      <c r="O3527" s="93">
        <f>N(O3526)+IF(AND(B3527&lt;&gt;"",B3527&gt;='Uang Riba'!$H$30,B3527&lt;='Uang Riba'!$I$30,OR(H3527="Dana riba",H3527="Pinjam uang riba",I3527="Pinjam dari uang riba",I3527="Ganti uang riba",I3527="Kelebihan ganti dikembalikan",AND(C3527="Kantong Uang Riba",G3527="Pengeluaran"))),1,0)</f>
        <v/>
      </c>
      <c r="X3527" s="93">
        <f>IF(AND(B3527&lt;&gt;"",B3527&gt;='Buku Akun'!$H$4,B3527&lt;='Buku Akun'!$H$5,OR(C3527='Buku Akun'!$C$4,AND(D3527="Pindah",E3527='Buku Akun'!$C$4))),B3527+IF(AND(I3527="Selisih bunga",DAY(B3527)=1),0,0.01)+ROW()/10000000,"")</f>
        <v/>
      </c>
    </row>
    <row r="3528" outlineLevel="1" ht="15" customHeight="1" s="94">
      <c r="A3528" s="123">
        <f>IF(B3528="","",ROW()-15)</f>
        <v/>
      </c>
      <c r="B3528" s="124" t="n"/>
      <c r="C3528" s="123" t="n"/>
      <c r="D3528" s="123" t="n"/>
      <c r="E3528" s="123" t="n"/>
      <c r="F3528" s="125" t="n"/>
      <c r="G3528" s="123" t="n"/>
      <c r="H3528" s="123" t="n"/>
      <c r="I3528" s="123" t="n"/>
      <c r="J3528" s="123" t="n"/>
      <c r="K3528" s="123" t="n"/>
      <c r="L3528" s="123" t="n"/>
      <c r="M3528" s="123">
        <f>IF(AND(B3528&lt;&gt;"",OR($C$4="",ISNUMBER(SEARCH($C$4,C3528&amp;" "&amp;E3528&amp;" "&amp;G3528&amp;" "&amp;H3528&amp;" "&amp;I3528&amp;" "&amp;J3528&amp;" "&amp;K3528&amp;" "&amp;L3528))),OR($C$5="Semua",$C$5="",G3528=$C$5),OR($C$6="Semua",$C$6="",H3528=$C$6,H3528="Pengeluaran "&amp;$C$6,AND($C$6="Uang Kos Mama",H3528="Pengeluaran Uang Kos")),OR($C$7="Semua",$C$7="",I3528=$C$7),OR($C$8="Semua",$C$8="",C3528=$C$8,E3528=$C$8),OR($C$9="Semua",$C$9="",D3528=$C$9),OR($C$10="",B3528&gt;=$C$10),OR($C$11="",B3528&lt;=$C$11),OR($C$12&lt;&gt;"Ya",K3528&lt;&gt;""),OR($C$13="Semua",$C$13="",L3528=$C$13)),"✓","")</f>
        <v/>
      </c>
      <c r="N3528" s="93">
        <f>N(N3527)+IF(M3528="✓",1,0)</f>
        <v/>
      </c>
      <c r="O3528" s="93">
        <f>N(O3527)+IF(AND(B3528&lt;&gt;"",B3528&gt;='Uang Riba'!$H$30,B3528&lt;='Uang Riba'!$I$30,OR(H3528="Dana riba",H3528="Pinjam uang riba",I3528="Pinjam dari uang riba",I3528="Ganti uang riba",I3528="Kelebihan ganti dikembalikan",AND(C3528="Kantong Uang Riba",G3528="Pengeluaran"))),1,0)</f>
        <v/>
      </c>
      <c r="X3528" s="93">
        <f>IF(AND(B3528&lt;&gt;"",B3528&gt;='Buku Akun'!$H$4,B3528&lt;='Buku Akun'!$H$5,OR(C3528='Buku Akun'!$C$4,AND(D3528="Pindah",E3528='Buku Akun'!$C$4))),B3528+IF(AND(I3528="Selisih bunga",DAY(B3528)=1),0,0.01)+ROW()/10000000,"")</f>
        <v/>
      </c>
    </row>
    <row r="3529" outlineLevel="1" ht="15" customHeight="1" s="94">
      <c r="A3529" s="123">
        <f>IF(B3529="","",ROW()-15)</f>
        <v/>
      </c>
      <c r="B3529" s="124" t="n"/>
      <c r="C3529" s="123" t="n"/>
      <c r="D3529" s="123" t="n"/>
      <c r="E3529" s="123" t="n"/>
      <c r="F3529" s="125" t="n"/>
      <c r="G3529" s="123" t="n"/>
      <c r="H3529" s="123" t="n"/>
      <c r="I3529" s="123" t="n"/>
      <c r="J3529" s="123" t="n"/>
      <c r="K3529" s="123" t="n"/>
      <c r="L3529" s="123" t="n"/>
      <c r="M3529" s="123">
        <f>IF(AND(B3529&lt;&gt;"",OR($C$4="",ISNUMBER(SEARCH($C$4,C3529&amp;" "&amp;E3529&amp;" "&amp;G3529&amp;" "&amp;H3529&amp;" "&amp;I3529&amp;" "&amp;J3529&amp;" "&amp;K3529&amp;" "&amp;L3529))),OR($C$5="Semua",$C$5="",G3529=$C$5),OR($C$6="Semua",$C$6="",H3529=$C$6,H3529="Pengeluaran "&amp;$C$6,AND($C$6="Uang Kos Mama",H3529="Pengeluaran Uang Kos")),OR($C$7="Semua",$C$7="",I3529=$C$7),OR($C$8="Semua",$C$8="",C3529=$C$8,E3529=$C$8),OR($C$9="Semua",$C$9="",D3529=$C$9),OR($C$10="",B3529&gt;=$C$10),OR($C$11="",B3529&lt;=$C$11),OR($C$12&lt;&gt;"Ya",K3529&lt;&gt;""),OR($C$13="Semua",$C$13="",L3529=$C$13)),"✓","")</f>
        <v/>
      </c>
      <c r="N3529" s="93">
        <f>N(N3528)+IF(M3529="✓",1,0)</f>
        <v/>
      </c>
      <c r="O3529" s="93">
        <f>N(O3528)+IF(AND(B3529&lt;&gt;"",B3529&gt;='Uang Riba'!$H$30,B3529&lt;='Uang Riba'!$I$30,OR(H3529="Dana riba",H3529="Pinjam uang riba",I3529="Pinjam dari uang riba",I3529="Ganti uang riba",I3529="Kelebihan ganti dikembalikan",AND(C3529="Kantong Uang Riba",G3529="Pengeluaran"))),1,0)</f>
        <v/>
      </c>
      <c r="X3529" s="93">
        <f>IF(AND(B3529&lt;&gt;"",B3529&gt;='Buku Akun'!$H$4,B3529&lt;='Buku Akun'!$H$5,OR(C3529='Buku Akun'!$C$4,AND(D3529="Pindah",E3529='Buku Akun'!$C$4))),B3529+IF(AND(I3529="Selisih bunga",DAY(B3529)=1),0,0.01)+ROW()/10000000,"")</f>
        <v/>
      </c>
    </row>
    <row r="3530" outlineLevel="1" ht="15" customHeight="1" s="94">
      <c r="A3530" s="123">
        <f>IF(B3530="","",ROW()-15)</f>
        <v/>
      </c>
      <c r="B3530" s="124" t="n"/>
      <c r="C3530" s="123" t="n"/>
      <c r="D3530" s="123" t="n"/>
      <c r="E3530" s="123" t="n"/>
      <c r="F3530" s="125" t="n"/>
      <c r="G3530" s="123" t="n"/>
      <c r="H3530" s="123" t="n"/>
      <c r="I3530" s="123" t="n"/>
      <c r="J3530" s="123" t="n"/>
      <c r="K3530" s="123" t="n"/>
      <c r="L3530" s="123" t="n"/>
      <c r="M3530" s="123">
        <f>IF(AND(B3530&lt;&gt;"",OR($C$4="",ISNUMBER(SEARCH($C$4,C3530&amp;" "&amp;E3530&amp;" "&amp;G3530&amp;" "&amp;H3530&amp;" "&amp;I3530&amp;" "&amp;J3530&amp;" "&amp;K3530&amp;" "&amp;L3530))),OR($C$5="Semua",$C$5="",G3530=$C$5),OR($C$6="Semua",$C$6="",H3530=$C$6,H3530="Pengeluaran "&amp;$C$6,AND($C$6="Uang Kos Mama",H3530="Pengeluaran Uang Kos")),OR($C$7="Semua",$C$7="",I3530=$C$7),OR($C$8="Semua",$C$8="",C3530=$C$8,E3530=$C$8),OR($C$9="Semua",$C$9="",D3530=$C$9),OR($C$10="",B3530&gt;=$C$10),OR($C$11="",B3530&lt;=$C$11),OR($C$12&lt;&gt;"Ya",K3530&lt;&gt;""),OR($C$13="Semua",$C$13="",L3530=$C$13)),"✓","")</f>
        <v/>
      </c>
      <c r="N3530" s="93">
        <f>N(N3529)+IF(M3530="✓",1,0)</f>
        <v/>
      </c>
      <c r="O3530" s="93">
        <f>N(O3529)+IF(AND(B3530&lt;&gt;"",B3530&gt;='Uang Riba'!$H$30,B3530&lt;='Uang Riba'!$I$30,OR(H3530="Dana riba",H3530="Pinjam uang riba",I3530="Pinjam dari uang riba",I3530="Ganti uang riba",I3530="Kelebihan ganti dikembalikan",AND(C3530="Kantong Uang Riba",G3530="Pengeluaran"))),1,0)</f>
        <v/>
      </c>
      <c r="X3530" s="93">
        <f>IF(AND(B3530&lt;&gt;"",B3530&gt;='Buku Akun'!$H$4,B3530&lt;='Buku Akun'!$H$5,OR(C3530='Buku Akun'!$C$4,AND(D3530="Pindah",E3530='Buku Akun'!$C$4))),B3530+IF(AND(I3530="Selisih bunga",DAY(B3530)=1),0,0.01)+ROW()/10000000,"")</f>
        <v/>
      </c>
    </row>
    <row r="3531" outlineLevel="1" ht="15" customHeight="1" s="94">
      <c r="A3531" s="123">
        <f>IF(B3531="","",ROW()-15)</f>
        <v/>
      </c>
      <c r="B3531" s="124" t="n"/>
      <c r="C3531" s="123" t="n"/>
      <c r="D3531" s="123" t="n"/>
      <c r="E3531" s="123" t="n"/>
      <c r="F3531" s="125" t="n"/>
      <c r="G3531" s="123" t="n"/>
      <c r="H3531" s="123" t="n"/>
      <c r="I3531" s="123" t="n"/>
      <c r="J3531" s="123" t="n"/>
      <c r="K3531" s="123" t="n"/>
      <c r="L3531" s="123" t="n"/>
      <c r="M3531" s="123">
        <f>IF(AND(B3531&lt;&gt;"",OR($C$4="",ISNUMBER(SEARCH($C$4,C3531&amp;" "&amp;E3531&amp;" "&amp;G3531&amp;" "&amp;H3531&amp;" "&amp;I3531&amp;" "&amp;J3531&amp;" "&amp;K3531&amp;" "&amp;L3531))),OR($C$5="Semua",$C$5="",G3531=$C$5),OR($C$6="Semua",$C$6="",H3531=$C$6,H3531="Pengeluaran "&amp;$C$6,AND($C$6="Uang Kos Mama",H3531="Pengeluaran Uang Kos")),OR($C$7="Semua",$C$7="",I3531=$C$7),OR($C$8="Semua",$C$8="",C3531=$C$8,E3531=$C$8),OR($C$9="Semua",$C$9="",D3531=$C$9),OR($C$10="",B3531&gt;=$C$10),OR($C$11="",B3531&lt;=$C$11),OR($C$12&lt;&gt;"Ya",K3531&lt;&gt;""),OR($C$13="Semua",$C$13="",L3531=$C$13)),"✓","")</f>
        <v/>
      </c>
      <c r="N3531" s="93">
        <f>N(N3530)+IF(M3531="✓",1,0)</f>
        <v/>
      </c>
      <c r="O3531" s="93">
        <f>N(O3530)+IF(AND(B3531&lt;&gt;"",B3531&gt;='Uang Riba'!$H$30,B3531&lt;='Uang Riba'!$I$30,OR(H3531="Dana riba",H3531="Pinjam uang riba",I3531="Pinjam dari uang riba",I3531="Ganti uang riba",I3531="Kelebihan ganti dikembalikan",AND(C3531="Kantong Uang Riba",G3531="Pengeluaran"))),1,0)</f>
        <v/>
      </c>
      <c r="X3531" s="93">
        <f>IF(AND(B3531&lt;&gt;"",B3531&gt;='Buku Akun'!$H$4,B3531&lt;='Buku Akun'!$H$5,OR(C3531='Buku Akun'!$C$4,AND(D3531="Pindah",E3531='Buku Akun'!$C$4))),B3531+IF(AND(I3531="Selisih bunga",DAY(B3531)=1),0,0.01)+ROW()/10000000,"")</f>
        <v/>
      </c>
    </row>
    <row r="3532" outlineLevel="1" ht="15" customHeight="1" s="94">
      <c r="A3532" s="123">
        <f>IF(B3532="","",ROW()-15)</f>
        <v/>
      </c>
      <c r="B3532" s="124" t="n"/>
      <c r="C3532" s="123" t="n"/>
      <c r="D3532" s="123" t="n"/>
      <c r="E3532" s="123" t="n"/>
      <c r="F3532" s="125" t="n"/>
      <c r="G3532" s="123" t="n"/>
      <c r="H3532" s="123" t="n"/>
      <c r="I3532" s="123" t="n"/>
      <c r="J3532" s="123" t="n"/>
      <c r="K3532" s="123" t="n"/>
      <c r="L3532" s="123" t="n"/>
      <c r="M3532" s="123">
        <f>IF(AND(B3532&lt;&gt;"",OR($C$4="",ISNUMBER(SEARCH($C$4,C3532&amp;" "&amp;E3532&amp;" "&amp;G3532&amp;" "&amp;H3532&amp;" "&amp;I3532&amp;" "&amp;J3532&amp;" "&amp;K3532&amp;" "&amp;L3532))),OR($C$5="Semua",$C$5="",G3532=$C$5),OR($C$6="Semua",$C$6="",H3532=$C$6,H3532="Pengeluaran "&amp;$C$6,AND($C$6="Uang Kos Mama",H3532="Pengeluaran Uang Kos")),OR($C$7="Semua",$C$7="",I3532=$C$7),OR($C$8="Semua",$C$8="",C3532=$C$8,E3532=$C$8),OR($C$9="Semua",$C$9="",D3532=$C$9),OR($C$10="",B3532&gt;=$C$10),OR($C$11="",B3532&lt;=$C$11),OR($C$12&lt;&gt;"Ya",K3532&lt;&gt;""),OR($C$13="Semua",$C$13="",L3532=$C$13)),"✓","")</f>
        <v/>
      </c>
      <c r="N3532" s="93">
        <f>N(N3531)+IF(M3532="✓",1,0)</f>
        <v/>
      </c>
      <c r="O3532" s="93">
        <f>N(O3531)+IF(AND(B3532&lt;&gt;"",B3532&gt;='Uang Riba'!$H$30,B3532&lt;='Uang Riba'!$I$30,OR(H3532="Dana riba",H3532="Pinjam uang riba",I3532="Pinjam dari uang riba",I3532="Ganti uang riba",I3532="Kelebihan ganti dikembalikan",AND(C3532="Kantong Uang Riba",G3532="Pengeluaran"))),1,0)</f>
        <v/>
      </c>
      <c r="X3532" s="93">
        <f>IF(AND(B3532&lt;&gt;"",B3532&gt;='Buku Akun'!$H$4,B3532&lt;='Buku Akun'!$H$5,OR(C3532='Buku Akun'!$C$4,AND(D3532="Pindah",E3532='Buku Akun'!$C$4))),B3532+IF(AND(I3532="Selisih bunga",DAY(B3532)=1),0,0.01)+ROW()/10000000,"")</f>
        <v/>
      </c>
    </row>
    <row r="3533" outlineLevel="1" ht="15" customHeight="1" s="94">
      <c r="A3533" s="123">
        <f>IF(B3533="","",ROW()-15)</f>
        <v/>
      </c>
      <c r="B3533" s="124" t="n"/>
      <c r="C3533" s="123" t="n"/>
      <c r="D3533" s="123" t="n"/>
      <c r="E3533" s="123" t="n"/>
      <c r="F3533" s="125" t="n"/>
      <c r="G3533" s="123" t="n"/>
      <c r="H3533" s="123" t="n"/>
      <c r="I3533" s="123" t="n"/>
      <c r="J3533" s="123" t="n"/>
      <c r="K3533" s="123" t="n"/>
      <c r="L3533" s="123" t="n"/>
      <c r="M3533" s="123">
        <f>IF(AND(B3533&lt;&gt;"",OR($C$4="",ISNUMBER(SEARCH($C$4,C3533&amp;" "&amp;E3533&amp;" "&amp;G3533&amp;" "&amp;H3533&amp;" "&amp;I3533&amp;" "&amp;J3533&amp;" "&amp;K3533&amp;" "&amp;L3533))),OR($C$5="Semua",$C$5="",G3533=$C$5),OR($C$6="Semua",$C$6="",H3533=$C$6,H3533="Pengeluaran "&amp;$C$6,AND($C$6="Uang Kos Mama",H3533="Pengeluaran Uang Kos")),OR($C$7="Semua",$C$7="",I3533=$C$7),OR($C$8="Semua",$C$8="",C3533=$C$8,E3533=$C$8),OR($C$9="Semua",$C$9="",D3533=$C$9),OR($C$10="",B3533&gt;=$C$10),OR($C$11="",B3533&lt;=$C$11),OR($C$12&lt;&gt;"Ya",K3533&lt;&gt;""),OR($C$13="Semua",$C$13="",L3533=$C$13)),"✓","")</f>
        <v/>
      </c>
      <c r="N3533" s="93">
        <f>N(N3532)+IF(M3533="✓",1,0)</f>
        <v/>
      </c>
      <c r="O3533" s="93">
        <f>N(O3532)+IF(AND(B3533&lt;&gt;"",B3533&gt;='Uang Riba'!$H$30,B3533&lt;='Uang Riba'!$I$30,OR(H3533="Dana riba",H3533="Pinjam uang riba",I3533="Pinjam dari uang riba",I3533="Ganti uang riba",I3533="Kelebihan ganti dikembalikan",AND(C3533="Kantong Uang Riba",G3533="Pengeluaran"))),1,0)</f>
        <v/>
      </c>
      <c r="X3533" s="93">
        <f>IF(AND(B3533&lt;&gt;"",B3533&gt;='Buku Akun'!$H$4,B3533&lt;='Buku Akun'!$H$5,OR(C3533='Buku Akun'!$C$4,AND(D3533="Pindah",E3533='Buku Akun'!$C$4))),B3533+IF(AND(I3533="Selisih bunga",DAY(B3533)=1),0,0.01)+ROW()/10000000,"")</f>
        <v/>
      </c>
    </row>
    <row r="3534" outlineLevel="1" ht="15" customHeight="1" s="94">
      <c r="A3534" s="123">
        <f>IF(B3534="","",ROW()-15)</f>
        <v/>
      </c>
      <c r="B3534" s="124" t="n"/>
      <c r="C3534" s="123" t="n"/>
      <c r="D3534" s="123" t="n"/>
      <c r="E3534" s="123" t="n"/>
      <c r="F3534" s="125" t="n"/>
      <c r="G3534" s="123" t="n"/>
      <c r="H3534" s="123" t="n"/>
      <c r="I3534" s="123" t="n"/>
      <c r="J3534" s="123" t="n"/>
      <c r="K3534" s="123" t="n"/>
      <c r="L3534" s="123" t="n"/>
      <c r="M3534" s="123">
        <f>IF(AND(B3534&lt;&gt;"",OR($C$4="",ISNUMBER(SEARCH($C$4,C3534&amp;" "&amp;E3534&amp;" "&amp;G3534&amp;" "&amp;H3534&amp;" "&amp;I3534&amp;" "&amp;J3534&amp;" "&amp;K3534&amp;" "&amp;L3534))),OR($C$5="Semua",$C$5="",G3534=$C$5),OR($C$6="Semua",$C$6="",H3534=$C$6,H3534="Pengeluaran "&amp;$C$6,AND($C$6="Uang Kos Mama",H3534="Pengeluaran Uang Kos")),OR($C$7="Semua",$C$7="",I3534=$C$7),OR($C$8="Semua",$C$8="",C3534=$C$8,E3534=$C$8),OR($C$9="Semua",$C$9="",D3534=$C$9),OR($C$10="",B3534&gt;=$C$10),OR($C$11="",B3534&lt;=$C$11),OR($C$12&lt;&gt;"Ya",K3534&lt;&gt;""),OR($C$13="Semua",$C$13="",L3534=$C$13)),"✓","")</f>
        <v/>
      </c>
      <c r="N3534" s="93">
        <f>N(N3533)+IF(M3534="✓",1,0)</f>
        <v/>
      </c>
      <c r="O3534" s="93">
        <f>N(O3533)+IF(AND(B3534&lt;&gt;"",B3534&gt;='Uang Riba'!$H$30,B3534&lt;='Uang Riba'!$I$30,OR(H3534="Dana riba",H3534="Pinjam uang riba",I3534="Pinjam dari uang riba",I3534="Ganti uang riba",I3534="Kelebihan ganti dikembalikan",AND(C3534="Kantong Uang Riba",G3534="Pengeluaran"))),1,0)</f>
        <v/>
      </c>
      <c r="X3534" s="93">
        <f>IF(AND(B3534&lt;&gt;"",B3534&gt;='Buku Akun'!$H$4,B3534&lt;='Buku Akun'!$H$5,OR(C3534='Buku Akun'!$C$4,AND(D3534="Pindah",E3534='Buku Akun'!$C$4))),B3534+IF(AND(I3534="Selisih bunga",DAY(B3534)=1),0,0.01)+ROW()/10000000,"")</f>
        <v/>
      </c>
    </row>
    <row r="3535" outlineLevel="1" ht="15" customHeight="1" s="94">
      <c r="A3535" s="123">
        <f>IF(B3535="","",ROW()-15)</f>
        <v/>
      </c>
      <c r="B3535" s="124" t="n"/>
      <c r="C3535" s="123" t="n"/>
      <c r="D3535" s="123" t="n"/>
      <c r="E3535" s="123" t="n"/>
      <c r="F3535" s="125" t="n"/>
      <c r="G3535" s="123" t="n"/>
      <c r="H3535" s="123" t="n"/>
      <c r="I3535" s="123" t="n"/>
      <c r="J3535" s="123" t="n"/>
      <c r="K3535" s="123" t="n"/>
      <c r="L3535" s="123" t="n"/>
      <c r="M3535" s="123">
        <f>IF(AND(B3535&lt;&gt;"",OR($C$4="",ISNUMBER(SEARCH($C$4,C3535&amp;" "&amp;E3535&amp;" "&amp;G3535&amp;" "&amp;H3535&amp;" "&amp;I3535&amp;" "&amp;J3535&amp;" "&amp;K3535&amp;" "&amp;L3535))),OR($C$5="Semua",$C$5="",G3535=$C$5),OR($C$6="Semua",$C$6="",H3535=$C$6,H3535="Pengeluaran "&amp;$C$6,AND($C$6="Uang Kos Mama",H3535="Pengeluaran Uang Kos")),OR($C$7="Semua",$C$7="",I3535=$C$7),OR($C$8="Semua",$C$8="",C3535=$C$8,E3535=$C$8),OR($C$9="Semua",$C$9="",D3535=$C$9),OR($C$10="",B3535&gt;=$C$10),OR($C$11="",B3535&lt;=$C$11),OR($C$12&lt;&gt;"Ya",K3535&lt;&gt;""),OR($C$13="Semua",$C$13="",L3535=$C$13)),"✓","")</f>
        <v/>
      </c>
      <c r="N3535" s="93">
        <f>N(N3534)+IF(M3535="✓",1,0)</f>
        <v/>
      </c>
      <c r="O3535" s="93">
        <f>N(O3534)+IF(AND(B3535&lt;&gt;"",B3535&gt;='Uang Riba'!$H$30,B3535&lt;='Uang Riba'!$I$30,OR(H3535="Dana riba",H3535="Pinjam uang riba",I3535="Pinjam dari uang riba",I3535="Ganti uang riba",I3535="Kelebihan ganti dikembalikan",AND(C3535="Kantong Uang Riba",G3535="Pengeluaran"))),1,0)</f>
        <v/>
      </c>
      <c r="X3535" s="93">
        <f>IF(AND(B3535&lt;&gt;"",B3535&gt;='Buku Akun'!$H$4,B3535&lt;='Buku Akun'!$H$5,OR(C3535='Buku Akun'!$C$4,AND(D3535="Pindah",E3535='Buku Akun'!$C$4))),B3535+IF(AND(I3535="Selisih bunga",DAY(B3535)=1),0,0.01)+ROW()/10000000,"")</f>
        <v/>
      </c>
    </row>
    <row r="3536" outlineLevel="1" ht="15" customHeight="1" s="94">
      <c r="A3536" s="123">
        <f>IF(B3536="","",ROW()-15)</f>
        <v/>
      </c>
      <c r="B3536" s="124" t="n"/>
      <c r="C3536" s="123" t="n"/>
      <c r="D3536" s="123" t="n"/>
      <c r="E3536" s="123" t="n"/>
      <c r="F3536" s="125" t="n"/>
      <c r="G3536" s="123" t="n"/>
      <c r="H3536" s="123" t="n"/>
      <c r="I3536" s="123" t="n"/>
      <c r="J3536" s="123" t="n"/>
      <c r="K3536" s="123" t="n"/>
      <c r="L3536" s="123" t="n"/>
      <c r="M3536" s="123">
        <f>IF(AND(B3536&lt;&gt;"",OR($C$4="",ISNUMBER(SEARCH($C$4,C3536&amp;" "&amp;E3536&amp;" "&amp;G3536&amp;" "&amp;H3536&amp;" "&amp;I3536&amp;" "&amp;J3536&amp;" "&amp;K3536&amp;" "&amp;L3536))),OR($C$5="Semua",$C$5="",G3536=$C$5),OR($C$6="Semua",$C$6="",H3536=$C$6,H3536="Pengeluaran "&amp;$C$6,AND($C$6="Uang Kos Mama",H3536="Pengeluaran Uang Kos")),OR($C$7="Semua",$C$7="",I3536=$C$7),OR($C$8="Semua",$C$8="",C3536=$C$8,E3536=$C$8),OR($C$9="Semua",$C$9="",D3536=$C$9),OR($C$10="",B3536&gt;=$C$10),OR($C$11="",B3536&lt;=$C$11),OR($C$12&lt;&gt;"Ya",K3536&lt;&gt;""),OR($C$13="Semua",$C$13="",L3536=$C$13)),"✓","")</f>
        <v/>
      </c>
      <c r="N3536" s="93">
        <f>N(N3535)+IF(M3536="✓",1,0)</f>
        <v/>
      </c>
      <c r="O3536" s="93">
        <f>N(O3535)+IF(AND(B3536&lt;&gt;"",B3536&gt;='Uang Riba'!$H$30,B3536&lt;='Uang Riba'!$I$30,OR(H3536="Dana riba",H3536="Pinjam uang riba",I3536="Pinjam dari uang riba",I3536="Ganti uang riba",I3536="Kelebihan ganti dikembalikan",AND(C3536="Kantong Uang Riba",G3536="Pengeluaran"))),1,0)</f>
        <v/>
      </c>
      <c r="X3536" s="93">
        <f>IF(AND(B3536&lt;&gt;"",B3536&gt;='Buku Akun'!$H$4,B3536&lt;='Buku Akun'!$H$5,OR(C3536='Buku Akun'!$C$4,AND(D3536="Pindah",E3536='Buku Akun'!$C$4))),B3536+IF(AND(I3536="Selisih bunga",DAY(B3536)=1),0,0.01)+ROW()/10000000,"")</f>
        <v/>
      </c>
    </row>
    <row r="3537" outlineLevel="1" ht="15" customHeight="1" s="94">
      <c r="A3537" s="123">
        <f>IF(B3537="","",ROW()-15)</f>
        <v/>
      </c>
      <c r="B3537" s="124" t="n"/>
      <c r="C3537" s="123" t="n"/>
      <c r="D3537" s="123" t="n"/>
      <c r="E3537" s="123" t="n"/>
      <c r="F3537" s="125" t="n"/>
      <c r="G3537" s="123" t="n"/>
      <c r="H3537" s="123" t="n"/>
      <c r="I3537" s="123" t="n"/>
      <c r="J3537" s="123" t="n"/>
      <c r="K3537" s="123" t="n"/>
      <c r="L3537" s="123" t="n"/>
      <c r="M3537" s="123">
        <f>IF(AND(B3537&lt;&gt;"",OR($C$4="",ISNUMBER(SEARCH($C$4,C3537&amp;" "&amp;E3537&amp;" "&amp;G3537&amp;" "&amp;H3537&amp;" "&amp;I3537&amp;" "&amp;J3537&amp;" "&amp;K3537&amp;" "&amp;L3537))),OR($C$5="Semua",$C$5="",G3537=$C$5),OR($C$6="Semua",$C$6="",H3537=$C$6,H3537="Pengeluaran "&amp;$C$6,AND($C$6="Uang Kos Mama",H3537="Pengeluaran Uang Kos")),OR($C$7="Semua",$C$7="",I3537=$C$7),OR($C$8="Semua",$C$8="",C3537=$C$8,E3537=$C$8),OR($C$9="Semua",$C$9="",D3537=$C$9),OR($C$10="",B3537&gt;=$C$10),OR($C$11="",B3537&lt;=$C$11),OR($C$12&lt;&gt;"Ya",K3537&lt;&gt;""),OR($C$13="Semua",$C$13="",L3537=$C$13)),"✓","")</f>
        <v/>
      </c>
      <c r="N3537" s="93">
        <f>N(N3536)+IF(M3537="✓",1,0)</f>
        <v/>
      </c>
      <c r="O3537" s="93">
        <f>N(O3536)+IF(AND(B3537&lt;&gt;"",B3537&gt;='Uang Riba'!$H$30,B3537&lt;='Uang Riba'!$I$30,OR(H3537="Dana riba",H3537="Pinjam uang riba",I3537="Pinjam dari uang riba",I3537="Ganti uang riba",I3537="Kelebihan ganti dikembalikan",AND(C3537="Kantong Uang Riba",G3537="Pengeluaran"))),1,0)</f>
        <v/>
      </c>
      <c r="X3537" s="93">
        <f>IF(AND(B3537&lt;&gt;"",B3537&gt;='Buku Akun'!$H$4,B3537&lt;='Buku Akun'!$H$5,OR(C3537='Buku Akun'!$C$4,AND(D3537="Pindah",E3537='Buku Akun'!$C$4))),B3537+IF(AND(I3537="Selisih bunga",DAY(B3537)=1),0,0.01)+ROW()/10000000,"")</f>
        <v/>
      </c>
    </row>
    <row r="3538" outlineLevel="1" ht="15" customHeight="1" s="94">
      <c r="A3538" s="123">
        <f>IF(B3538="","",ROW()-15)</f>
        <v/>
      </c>
      <c r="B3538" s="124" t="n"/>
      <c r="C3538" s="123" t="n"/>
      <c r="D3538" s="123" t="n"/>
      <c r="E3538" s="123" t="n"/>
      <c r="F3538" s="125" t="n"/>
      <c r="G3538" s="123" t="n"/>
      <c r="H3538" s="123" t="n"/>
      <c r="I3538" s="123" t="n"/>
      <c r="J3538" s="123" t="n"/>
      <c r="K3538" s="123" t="n"/>
      <c r="L3538" s="123" t="n"/>
      <c r="M3538" s="123">
        <f>IF(AND(B3538&lt;&gt;"",OR($C$4="",ISNUMBER(SEARCH($C$4,C3538&amp;" "&amp;E3538&amp;" "&amp;G3538&amp;" "&amp;H3538&amp;" "&amp;I3538&amp;" "&amp;J3538&amp;" "&amp;K3538&amp;" "&amp;L3538))),OR($C$5="Semua",$C$5="",G3538=$C$5),OR($C$6="Semua",$C$6="",H3538=$C$6,H3538="Pengeluaran "&amp;$C$6,AND($C$6="Uang Kos Mama",H3538="Pengeluaran Uang Kos")),OR($C$7="Semua",$C$7="",I3538=$C$7),OR($C$8="Semua",$C$8="",C3538=$C$8,E3538=$C$8),OR($C$9="Semua",$C$9="",D3538=$C$9),OR($C$10="",B3538&gt;=$C$10),OR($C$11="",B3538&lt;=$C$11),OR($C$12&lt;&gt;"Ya",K3538&lt;&gt;""),OR($C$13="Semua",$C$13="",L3538=$C$13)),"✓","")</f>
        <v/>
      </c>
      <c r="N3538" s="93">
        <f>N(N3537)+IF(M3538="✓",1,0)</f>
        <v/>
      </c>
      <c r="O3538" s="93">
        <f>N(O3537)+IF(AND(B3538&lt;&gt;"",B3538&gt;='Uang Riba'!$H$30,B3538&lt;='Uang Riba'!$I$30,OR(H3538="Dana riba",H3538="Pinjam uang riba",I3538="Pinjam dari uang riba",I3538="Ganti uang riba",I3538="Kelebihan ganti dikembalikan",AND(C3538="Kantong Uang Riba",G3538="Pengeluaran"))),1,0)</f>
        <v/>
      </c>
      <c r="X3538" s="93">
        <f>IF(AND(B3538&lt;&gt;"",B3538&gt;='Buku Akun'!$H$4,B3538&lt;='Buku Akun'!$H$5,OR(C3538='Buku Akun'!$C$4,AND(D3538="Pindah",E3538='Buku Akun'!$C$4))),B3538+IF(AND(I3538="Selisih bunga",DAY(B3538)=1),0,0.01)+ROW()/10000000,"")</f>
        <v/>
      </c>
    </row>
    <row r="3539" outlineLevel="1" ht="15" customHeight="1" s="94">
      <c r="A3539" s="123">
        <f>IF(B3539="","",ROW()-15)</f>
        <v/>
      </c>
      <c r="B3539" s="124" t="n"/>
      <c r="C3539" s="123" t="n"/>
      <c r="D3539" s="123" t="n"/>
      <c r="E3539" s="123" t="n"/>
      <c r="F3539" s="125" t="n"/>
      <c r="G3539" s="123" t="n"/>
      <c r="H3539" s="123" t="n"/>
      <c r="I3539" s="123" t="n"/>
      <c r="J3539" s="123" t="n"/>
      <c r="K3539" s="123" t="n"/>
      <c r="L3539" s="123" t="n"/>
      <c r="M3539" s="123">
        <f>IF(AND(B3539&lt;&gt;"",OR($C$4="",ISNUMBER(SEARCH($C$4,C3539&amp;" "&amp;E3539&amp;" "&amp;G3539&amp;" "&amp;H3539&amp;" "&amp;I3539&amp;" "&amp;J3539&amp;" "&amp;K3539&amp;" "&amp;L3539))),OR($C$5="Semua",$C$5="",G3539=$C$5),OR($C$6="Semua",$C$6="",H3539=$C$6,H3539="Pengeluaran "&amp;$C$6,AND($C$6="Uang Kos Mama",H3539="Pengeluaran Uang Kos")),OR($C$7="Semua",$C$7="",I3539=$C$7),OR($C$8="Semua",$C$8="",C3539=$C$8,E3539=$C$8),OR($C$9="Semua",$C$9="",D3539=$C$9),OR($C$10="",B3539&gt;=$C$10),OR($C$11="",B3539&lt;=$C$11),OR($C$12&lt;&gt;"Ya",K3539&lt;&gt;""),OR($C$13="Semua",$C$13="",L3539=$C$13)),"✓","")</f>
        <v/>
      </c>
      <c r="N3539" s="93">
        <f>N(N3538)+IF(M3539="✓",1,0)</f>
        <v/>
      </c>
      <c r="O3539" s="93">
        <f>N(O3538)+IF(AND(B3539&lt;&gt;"",B3539&gt;='Uang Riba'!$H$30,B3539&lt;='Uang Riba'!$I$30,OR(H3539="Dana riba",H3539="Pinjam uang riba",I3539="Pinjam dari uang riba",I3539="Ganti uang riba",I3539="Kelebihan ganti dikembalikan",AND(C3539="Kantong Uang Riba",G3539="Pengeluaran"))),1,0)</f>
        <v/>
      </c>
      <c r="X3539" s="93">
        <f>IF(AND(B3539&lt;&gt;"",B3539&gt;='Buku Akun'!$H$4,B3539&lt;='Buku Akun'!$H$5,OR(C3539='Buku Akun'!$C$4,AND(D3539="Pindah",E3539='Buku Akun'!$C$4))),B3539+IF(AND(I3539="Selisih bunga",DAY(B3539)=1),0,0.01)+ROW()/10000000,"")</f>
        <v/>
      </c>
    </row>
    <row r="3540" outlineLevel="1" ht="15" customHeight="1" s="94">
      <c r="A3540" s="123">
        <f>IF(B3540="","",ROW()-15)</f>
        <v/>
      </c>
      <c r="B3540" s="124" t="n"/>
      <c r="C3540" s="123" t="n"/>
      <c r="D3540" s="123" t="n"/>
      <c r="E3540" s="123" t="n"/>
      <c r="F3540" s="125" t="n"/>
      <c r="G3540" s="123" t="n"/>
      <c r="H3540" s="123" t="n"/>
      <c r="I3540" s="123" t="n"/>
      <c r="J3540" s="123" t="n"/>
      <c r="K3540" s="123" t="n"/>
      <c r="L3540" s="123" t="n"/>
      <c r="M3540" s="123">
        <f>IF(AND(B3540&lt;&gt;"",OR($C$4="",ISNUMBER(SEARCH($C$4,C3540&amp;" "&amp;E3540&amp;" "&amp;G3540&amp;" "&amp;H3540&amp;" "&amp;I3540&amp;" "&amp;J3540&amp;" "&amp;K3540&amp;" "&amp;L3540))),OR($C$5="Semua",$C$5="",G3540=$C$5),OR($C$6="Semua",$C$6="",H3540=$C$6,H3540="Pengeluaran "&amp;$C$6,AND($C$6="Uang Kos Mama",H3540="Pengeluaran Uang Kos")),OR($C$7="Semua",$C$7="",I3540=$C$7),OR($C$8="Semua",$C$8="",C3540=$C$8,E3540=$C$8),OR($C$9="Semua",$C$9="",D3540=$C$9),OR($C$10="",B3540&gt;=$C$10),OR($C$11="",B3540&lt;=$C$11),OR($C$12&lt;&gt;"Ya",K3540&lt;&gt;""),OR($C$13="Semua",$C$13="",L3540=$C$13)),"✓","")</f>
        <v/>
      </c>
      <c r="N3540" s="93">
        <f>N(N3539)+IF(M3540="✓",1,0)</f>
        <v/>
      </c>
      <c r="O3540" s="93">
        <f>N(O3539)+IF(AND(B3540&lt;&gt;"",B3540&gt;='Uang Riba'!$H$30,B3540&lt;='Uang Riba'!$I$30,OR(H3540="Dana riba",H3540="Pinjam uang riba",I3540="Pinjam dari uang riba",I3540="Ganti uang riba",I3540="Kelebihan ganti dikembalikan",AND(C3540="Kantong Uang Riba",G3540="Pengeluaran"))),1,0)</f>
        <v/>
      </c>
      <c r="X3540" s="93">
        <f>IF(AND(B3540&lt;&gt;"",B3540&gt;='Buku Akun'!$H$4,B3540&lt;='Buku Akun'!$H$5,OR(C3540='Buku Akun'!$C$4,AND(D3540="Pindah",E3540='Buku Akun'!$C$4))),B3540+IF(AND(I3540="Selisih bunga",DAY(B3540)=1),0,0.01)+ROW()/10000000,"")</f>
        <v/>
      </c>
    </row>
    <row r="3541" outlineLevel="1" ht="15" customHeight="1" s="94">
      <c r="A3541" s="123">
        <f>IF(B3541="","",ROW()-15)</f>
        <v/>
      </c>
      <c r="B3541" s="124" t="n"/>
      <c r="C3541" s="123" t="n"/>
      <c r="D3541" s="123" t="n"/>
      <c r="E3541" s="123" t="n"/>
      <c r="F3541" s="125" t="n"/>
      <c r="G3541" s="123" t="n"/>
      <c r="H3541" s="123" t="n"/>
      <c r="I3541" s="123" t="n"/>
      <c r="J3541" s="123" t="n"/>
      <c r="K3541" s="123" t="n"/>
      <c r="L3541" s="123" t="n"/>
      <c r="M3541" s="123">
        <f>IF(AND(B3541&lt;&gt;"",OR($C$4="",ISNUMBER(SEARCH($C$4,C3541&amp;" "&amp;E3541&amp;" "&amp;G3541&amp;" "&amp;H3541&amp;" "&amp;I3541&amp;" "&amp;J3541&amp;" "&amp;K3541&amp;" "&amp;L3541))),OR($C$5="Semua",$C$5="",G3541=$C$5),OR($C$6="Semua",$C$6="",H3541=$C$6,H3541="Pengeluaran "&amp;$C$6,AND($C$6="Uang Kos Mama",H3541="Pengeluaran Uang Kos")),OR($C$7="Semua",$C$7="",I3541=$C$7),OR($C$8="Semua",$C$8="",C3541=$C$8,E3541=$C$8),OR($C$9="Semua",$C$9="",D3541=$C$9),OR($C$10="",B3541&gt;=$C$10),OR($C$11="",B3541&lt;=$C$11),OR($C$12&lt;&gt;"Ya",K3541&lt;&gt;""),OR($C$13="Semua",$C$13="",L3541=$C$13)),"✓","")</f>
        <v/>
      </c>
      <c r="N3541" s="93">
        <f>N(N3540)+IF(M3541="✓",1,0)</f>
        <v/>
      </c>
      <c r="O3541" s="93">
        <f>N(O3540)+IF(AND(B3541&lt;&gt;"",B3541&gt;='Uang Riba'!$H$30,B3541&lt;='Uang Riba'!$I$30,OR(H3541="Dana riba",H3541="Pinjam uang riba",I3541="Pinjam dari uang riba",I3541="Ganti uang riba",I3541="Kelebihan ganti dikembalikan",AND(C3541="Kantong Uang Riba",G3541="Pengeluaran"))),1,0)</f>
        <v/>
      </c>
      <c r="X3541" s="93">
        <f>IF(AND(B3541&lt;&gt;"",B3541&gt;='Buku Akun'!$H$4,B3541&lt;='Buku Akun'!$H$5,OR(C3541='Buku Akun'!$C$4,AND(D3541="Pindah",E3541='Buku Akun'!$C$4))),B3541+IF(AND(I3541="Selisih bunga",DAY(B3541)=1),0,0.01)+ROW()/10000000,"")</f>
        <v/>
      </c>
    </row>
    <row r="3542" outlineLevel="1" ht="15" customHeight="1" s="94">
      <c r="A3542" s="123">
        <f>IF(B3542="","",ROW()-15)</f>
        <v/>
      </c>
      <c r="B3542" s="124" t="n"/>
      <c r="C3542" s="123" t="n"/>
      <c r="D3542" s="123" t="n"/>
      <c r="E3542" s="123" t="n"/>
      <c r="F3542" s="125" t="n"/>
      <c r="G3542" s="123" t="n"/>
      <c r="H3542" s="123" t="n"/>
      <c r="I3542" s="123" t="n"/>
      <c r="J3542" s="123" t="n"/>
      <c r="K3542" s="123" t="n"/>
      <c r="L3542" s="123" t="n"/>
      <c r="M3542" s="123">
        <f>IF(AND(B3542&lt;&gt;"",OR($C$4="",ISNUMBER(SEARCH($C$4,C3542&amp;" "&amp;E3542&amp;" "&amp;G3542&amp;" "&amp;H3542&amp;" "&amp;I3542&amp;" "&amp;J3542&amp;" "&amp;K3542&amp;" "&amp;L3542))),OR($C$5="Semua",$C$5="",G3542=$C$5),OR($C$6="Semua",$C$6="",H3542=$C$6,H3542="Pengeluaran "&amp;$C$6,AND($C$6="Uang Kos Mama",H3542="Pengeluaran Uang Kos")),OR($C$7="Semua",$C$7="",I3542=$C$7),OR($C$8="Semua",$C$8="",C3542=$C$8,E3542=$C$8),OR($C$9="Semua",$C$9="",D3542=$C$9),OR($C$10="",B3542&gt;=$C$10),OR($C$11="",B3542&lt;=$C$11),OR($C$12&lt;&gt;"Ya",K3542&lt;&gt;""),OR($C$13="Semua",$C$13="",L3542=$C$13)),"✓","")</f>
        <v/>
      </c>
      <c r="N3542" s="93">
        <f>N(N3541)+IF(M3542="✓",1,0)</f>
        <v/>
      </c>
      <c r="O3542" s="93">
        <f>N(O3541)+IF(AND(B3542&lt;&gt;"",B3542&gt;='Uang Riba'!$H$30,B3542&lt;='Uang Riba'!$I$30,OR(H3542="Dana riba",H3542="Pinjam uang riba",I3542="Pinjam dari uang riba",I3542="Ganti uang riba",I3542="Kelebihan ganti dikembalikan",AND(C3542="Kantong Uang Riba",G3542="Pengeluaran"))),1,0)</f>
        <v/>
      </c>
      <c r="X3542" s="93">
        <f>IF(AND(B3542&lt;&gt;"",B3542&gt;='Buku Akun'!$H$4,B3542&lt;='Buku Akun'!$H$5,OR(C3542='Buku Akun'!$C$4,AND(D3542="Pindah",E3542='Buku Akun'!$C$4))),B3542+IF(AND(I3542="Selisih bunga",DAY(B3542)=1),0,0.01)+ROW()/10000000,"")</f>
        <v/>
      </c>
    </row>
    <row r="3543" outlineLevel="1" ht="15" customHeight="1" s="94">
      <c r="A3543" s="123">
        <f>IF(B3543="","",ROW()-15)</f>
        <v/>
      </c>
      <c r="B3543" s="124" t="n"/>
      <c r="C3543" s="123" t="n"/>
      <c r="D3543" s="123" t="n"/>
      <c r="E3543" s="123" t="n"/>
      <c r="F3543" s="125" t="n"/>
      <c r="G3543" s="123" t="n"/>
      <c r="H3543" s="123" t="n"/>
      <c r="I3543" s="123" t="n"/>
      <c r="J3543" s="123" t="n"/>
      <c r="K3543" s="123" t="n"/>
      <c r="L3543" s="123" t="n"/>
      <c r="M3543" s="123">
        <f>IF(AND(B3543&lt;&gt;"",OR($C$4="",ISNUMBER(SEARCH($C$4,C3543&amp;" "&amp;E3543&amp;" "&amp;G3543&amp;" "&amp;H3543&amp;" "&amp;I3543&amp;" "&amp;J3543&amp;" "&amp;K3543&amp;" "&amp;L3543))),OR($C$5="Semua",$C$5="",G3543=$C$5),OR($C$6="Semua",$C$6="",H3543=$C$6,H3543="Pengeluaran "&amp;$C$6,AND($C$6="Uang Kos Mama",H3543="Pengeluaran Uang Kos")),OR($C$7="Semua",$C$7="",I3543=$C$7),OR($C$8="Semua",$C$8="",C3543=$C$8,E3543=$C$8),OR($C$9="Semua",$C$9="",D3543=$C$9),OR($C$10="",B3543&gt;=$C$10),OR($C$11="",B3543&lt;=$C$11),OR($C$12&lt;&gt;"Ya",K3543&lt;&gt;""),OR($C$13="Semua",$C$13="",L3543=$C$13)),"✓","")</f>
        <v/>
      </c>
      <c r="N3543" s="93">
        <f>N(N3542)+IF(M3543="✓",1,0)</f>
        <v/>
      </c>
      <c r="O3543" s="93">
        <f>N(O3542)+IF(AND(B3543&lt;&gt;"",B3543&gt;='Uang Riba'!$H$30,B3543&lt;='Uang Riba'!$I$30,OR(H3543="Dana riba",H3543="Pinjam uang riba",I3543="Pinjam dari uang riba",I3543="Ganti uang riba",I3543="Kelebihan ganti dikembalikan",AND(C3543="Kantong Uang Riba",G3543="Pengeluaran"))),1,0)</f>
        <v/>
      </c>
      <c r="X3543" s="93">
        <f>IF(AND(B3543&lt;&gt;"",B3543&gt;='Buku Akun'!$H$4,B3543&lt;='Buku Akun'!$H$5,OR(C3543='Buku Akun'!$C$4,AND(D3543="Pindah",E3543='Buku Akun'!$C$4))),B3543+IF(AND(I3543="Selisih bunga",DAY(B3543)=1),0,0.01)+ROW()/10000000,"")</f>
        <v/>
      </c>
    </row>
    <row r="3544" outlineLevel="1" ht="15" customHeight="1" s="94">
      <c r="A3544" s="123">
        <f>IF(B3544="","",ROW()-15)</f>
        <v/>
      </c>
      <c r="B3544" s="124" t="n"/>
      <c r="C3544" s="123" t="n"/>
      <c r="D3544" s="123" t="n"/>
      <c r="E3544" s="123" t="n"/>
      <c r="F3544" s="125" t="n"/>
      <c r="G3544" s="123" t="n"/>
      <c r="H3544" s="123" t="n"/>
      <c r="I3544" s="123" t="n"/>
      <c r="J3544" s="123" t="n"/>
      <c r="K3544" s="123" t="n"/>
      <c r="L3544" s="123" t="n"/>
      <c r="M3544" s="123">
        <f>IF(AND(B3544&lt;&gt;"",OR($C$4="",ISNUMBER(SEARCH($C$4,C3544&amp;" "&amp;E3544&amp;" "&amp;G3544&amp;" "&amp;H3544&amp;" "&amp;I3544&amp;" "&amp;J3544&amp;" "&amp;K3544&amp;" "&amp;L3544))),OR($C$5="Semua",$C$5="",G3544=$C$5),OR($C$6="Semua",$C$6="",H3544=$C$6,H3544="Pengeluaran "&amp;$C$6,AND($C$6="Uang Kos Mama",H3544="Pengeluaran Uang Kos")),OR($C$7="Semua",$C$7="",I3544=$C$7),OR($C$8="Semua",$C$8="",C3544=$C$8,E3544=$C$8),OR($C$9="Semua",$C$9="",D3544=$C$9),OR($C$10="",B3544&gt;=$C$10),OR($C$11="",B3544&lt;=$C$11),OR($C$12&lt;&gt;"Ya",K3544&lt;&gt;""),OR($C$13="Semua",$C$13="",L3544=$C$13)),"✓","")</f>
        <v/>
      </c>
      <c r="N3544" s="93">
        <f>N(N3543)+IF(M3544="✓",1,0)</f>
        <v/>
      </c>
      <c r="O3544" s="93">
        <f>N(O3543)+IF(AND(B3544&lt;&gt;"",B3544&gt;='Uang Riba'!$H$30,B3544&lt;='Uang Riba'!$I$30,OR(H3544="Dana riba",H3544="Pinjam uang riba",I3544="Pinjam dari uang riba",I3544="Ganti uang riba",I3544="Kelebihan ganti dikembalikan",AND(C3544="Kantong Uang Riba",G3544="Pengeluaran"))),1,0)</f>
        <v/>
      </c>
      <c r="X3544" s="93">
        <f>IF(AND(B3544&lt;&gt;"",B3544&gt;='Buku Akun'!$H$4,B3544&lt;='Buku Akun'!$H$5,OR(C3544='Buku Akun'!$C$4,AND(D3544="Pindah",E3544='Buku Akun'!$C$4))),B3544+IF(AND(I3544="Selisih bunga",DAY(B3544)=1),0,0.01)+ROW()/10000000,"")</f>
        <v/>
      </c>
    </row>
    <row r="3545" outlineLevel="1" ht="15" customHeight="1" s="94">
      <c r="A3545" s="123">
        <f>IF(B3545="","",ROW()-15)</f>
        <v/>
      </c>
      <c r="B3545" s="124" t="n"/>
      <c r="C3545" s="123" t="n"/>
      <c r="D3545" s="123" t="n"/>
      <c r="E3545" s="123" t="n"/>
      <c r="F3545" s="125" t="n"/>
      <c r="G3545" s="123" t="n"/>
      <c r="H3545" s="123" t="n"/>
      <c r="I3545" s="123" t="n"/>
      <c r="J3545" s="123" t="n"/>
      <c r="K3545" s="123" t="n"/>
      <c r="L3545" s="123" t="n"/>
      <c r="M3545" s="123">
        <f>IF(AND(B3545&lt;&gt;"",OR($C$4="",ISNUMBER(SEARCH($C$4,C3545&amp;" "&amp;E3545&amp;" "&amp;G3545&amp;" "&amp;H3545&amp;" "&amp;I3545&amp;" "&amp;J3545&amp;" "&amp;K3545&amp;" "&amp;L3545))),OR($C$5="Semua",$C$5="",G3545=$C$5),OR($C$6="Semua",$C$6="",H3545=$C$6,H3545="Pengeluaran "&amp;$C$6,AND($C$6="Uang Kos Mama",H3545="Pengeluaran Uang Kos")),OR($C$7="Semua",$C$7="",I3545=$C$7),OR($C$8="Semua",$C$8="",C3545=$C$8,E3545=$C$8),OR($C$9="Semua",$C$9="",D3545=$C$9),OR($C$10="",B3545&gt;=$C$10),OR($C$11="",B3545&lt;=$C$11),OR($C$12&lt;&gt;"Ya",K3545&lt;&gt;""),OR($C$13="Semua",$C$13="",L3545=$C$13)),"✓","")</f>
        <v/>
      </c>
      <c r="N3545" s="93">
        <f>N(N3544)+IF(M3545="✓",1,0)</f>
        <v/>
      </c>
      <c r="O3545" s="93">
        <f>N(O3544)+IF(AND(B3545&lt;&gt;"",B3545&gt;='Uang Riba'!$H$30,B3545&lt;='Uang Riba'!$I$30,OR(H3545="Dana riba",H3545="Pinjam uang riba",I3545="Pinjam dari uang riba",I3545="Ganti uang riba",I3545="Kelebihan ganti dikembalikan",AND(C3545="Kantong Uang Riba",G3545="Pengeluaran"))),1,0)</f>
        <v/>
      </c>
      <c r="X3545" s="93">
        <f>IF(AND(B3545&lt;&gt;"",B3545&gt;='Buku Akun'!$H$4,B3545&lt;='Buku Akun'!$H$5,OR(C3545='Buku Akun'!$C$4,AND(D3545="Pindah",E3545='Buku Akun'!$C$4))),B3545+IF(AND(I3545="Selisih bunga",DAY(B3545)=1),0,0.01)+ROW()/10000000,"")</f>
        <v/>
      </c>
    </row>
    <row r="3546" outlineLevel="1" ht="15" customHeight="1" s="94">
      <c r="A3546" s="123">
        <f>IF(B3546="","",ROW()-15)</f>
        <v/>
      </c>
      <c r="B3546" s="124" t="n"/>
      <c r="C3546" s="123" t="n"/>
      <c r="D3546" s="123" t="n"/>
      <c r="E3546" s="123" t="n"/>
      <c r="F3546" s="125" t="n"/>
      <c r="G3546" s="123" t="n"/>
      <c r="H3546" s="123" t="n"/>
      <c r="I3546" s="123" t="n"/>
      <c r="J3546" s="123" t="n"/>
      <c r="K3546" s="123" t="n"/>
      <c r="L3546" s="123" t="n"/>
      <c r="M3546" s="123">
        <f>IF(AND(B3546&lt;&gt;"",OR($C$4="",ISNUMBER(SEARCH($C$4,C3546&amp;" "&amp;E3546&amp;" "&amp;G3546&amp;" "&amp;H3546&amp;" "&amp;I3546&amp;" "&amp;J3546&amp;" "&amp;K3546&amp;" "&amp;L3546))),OR($C$5="Semua",$C$5="",G3546=$C$5),OR($C$6="Semua",$C$6="",H3546=$C$6,H3546="Pengeluaran "&amp;$C$6,AND($C$6="Uang Kos Mama",H3546="Pengeluaran Uang Kos")),OR($C$7="Semua",$C$7="",I3546=$C$7),OR($C$8="Semua",$C$8="",C3546=$C$8,E3546=$C$8),OR($C$9="Semua",$C$9="",D3546=$C$9),OR($C$10="",B3546&gt;=$C$10),OR($C$11="",B3546&lt;=$C$11),OR($C$12&lt;&gt;"Ya",K3546&lt;&gt;""),OR($C$13="Semua",$C$13="",L3546=$C$13)),"✓","")</f>
        <v/>
      </c>
      <c r="N3546" s="93">
        <f>N(N3545)+IF(M3546="✓",1,0)</f>
        <v/>
      </c>
      <c r="O3546" s="93">
        <f>N(O3545)+IF(AND(B3546&lt;&gt;"",B3546&gt;='Uang Riba'!$H$30,B3546&lt;='Uang Riba'!$I$30,OR(H3546="Dana riba",H3546="Pinjam uang riba",I3546="Pinjam dari uang riba",I3546="Ganti uang riba",I3546="Kelebihan ganti dikembalikan",AND(C3546="Kantong Uang Riba",G3546="Pengeluaran"))),1,0)</f>
        <v/>
      </c>
      <c r="X3546" s="93">
        <f>IF(AND(B3546&lt;&gt;"",B3546&gt;='Buku Akun'!$H$4,B3546&lt;='Buku Akun'!$H$5,OR(C3546='Buku Akun'!$C$4,AND(D3546="Pindah",E3546='Buku Akun'!$C$4))),B3546+IF(AND(I3546="Selisih bunga",DAY(B3546)=1),0,0.01)+ROW()/10000000,"")</f>
        <v/>
      </c>
    </row>
    <row r="3547" outlineLevel="1" ht="15" customHeight="1" s="94">
      <c r="A3547" s="123">
        <f>IF(B3547="","",ROW()-15)</f>
        <v/>
      </c>
      <c r="B3547" s="124" t="n"/>
      <c r="C3547" s="123" t="n"/>
      <c r="D3547" s="123" t="n"/>
      <c r="E3547" s="123" t="n"/>
      <c r="F3547" s="125" t="n"/>
      <c r="G3547" s="123" t="n"/>
      <c r="H3547" s="123" t="n"/>
      <c r="I3547" s="123" t="n"/>
      <c r="J3547" s="123" t="n"/>
      <c r="K3547" s="123" t="n"/>
      <c r="L3547" s="123" t="n"/>
      <c r="M3547" s="123">
        <f>IF(AND(B3547&lt;&gt;"",OR($C$4="",ISNUMBER(SEARCH($C$4,C3547&amp;" "&amp;E3547&amp;" "&amp;G3547&amp;" "&amp;H3547&amp;" "&amp;I3547&amp;" "&amp;J3547&amp;" "&amp;K3547&amp;" "&amp;L3547))),OR($C$5="Semua",$C$5="",G3547=$C$5),OR($C$6="Semua",$C$6="",H3547=$C$6,H3547="Pengeluaran "&amp;$C$6,AND($C$6="Uang Kos Mama",H3547="Pengeluaran Uang Kos")),OR($C$7="Semua",$C$7="",I3547=$C$7),OR($C$8="Semua",$C$8="",C3547=$C$8,E3547=$C$8),OR($C$9="Semua",$C$9="",D3547=$C$9),OR($C$10="",B3547&gt;=$C$10),OR($C$11="",B3547&lt;=$C$11),OR($C$12&lt;&gt;"Ya",K3547&lt;&gt;""),OR($C$13="Semua",$C$13="",L3547=$C$13)),"✓","")</f>
        <v/>
      </c>
      <c r="N3547" s="93">
        <f>N(N3546)+IF(M3547="✓",1,0)</f>
        <v/>
      </c>
      <c r="O3547" s="93">
        <f>N(O3546)+IF(AND(B3547&lt;&gt;"",B3547&gt;='Uang Riba'!$H$30,B3547&lt;='Uang Riba'!$I$30,OR(H3547="Dana riba",H3547="Pinjam uang riba",I3547="Pinjam dari uang riba",I3547="Ganti uang riba",I3547="Kelebihan ganti dikembalikan",AND(C3547="Kantong Uang Riba",G3547="Pengeluaran"))),1,0)</f>
        <v/>
      </c>
      <c r="X3547" s="93">
        <f>IF(AND(B3547&lt;&gt;"",B3547&gt;='Buku Akun'!$H$4,B3547&lt;='Buku Akun'!$H$5,OR(C3547='Buku Akun'!$C$4,AND(D3547="Pindah",E3547='Buku Akun'!$C$4))),B3547+IF(AND(I3547="Selisih bunga",DAY(B3547)=1),0,0.01)+ROW()/10000000,"")</f>
        <v/>
      </c>
    </row>
    <row r="3548" outlineLevel="1" ht="15" customHeight="1" s="94">
      <c r="A3548" s="123">
        <f>IF(B3548="","",ROW()-15)</f>
        <v/>
      </c>
      <c r="B3548" s="124" t="n"/>
      <c r="C3548" s="123" t="n"/>
      <c r="D3548" s="123" t="n"/>
      <c r="E3548" s="123" t="n"/>
      <c r="F3548" s="125" t="n"/>
      <c r="G3548" s="123" t="n"/>
      <c r="H3548" s="123" t="n"/>
      <c r="I3548" s="123" t="n"/>
      <c r="J3548" s="123" t="n"/>
      <c r="K3548" s="123" t="n"/>
      <c r="L3548" s="123" t="n"/>
      <c r="M3548" s="123">
        <f>IF(AND(B3548&lt;&gt;"",OR($C$4="",ISNUMBER(SEARCH($C$4,C3548&amp;" "&amp;E3548&amp;" "&amp;G3548&amp;" "&amp;H3548&amp;" "&amp;I3548&amp;" "&amp;J3548&amp;" "&amp;K3548&amp;" "&amp;L3548))),OR($C$5="Semua",$C$5="",G3548=$C$5),OR($C$6="Semua",$C$6="",H3548=$C$6,H3548="Pengeluaran "&amp;$C$6,AND($C$6="Uang Kos Mama",H3548="Pengeluaran Uang Kos")),OR($C$7="Semua",$C$7="",I3548=$C$7),OR($C$8="Semua",$C$8="",C3548=$C$8,E3548=$C$8),OR($C$9="Semua",$C$9="",D3548=$C$9),OR($C$10="",B3548&gt;=$C$10),OR($C$11="",B3548&lt;=$C$11),OR($C$12&lt;&gt;"Ya",K3548&lt;&gt;""),OR($C$13="Semua",$C$13="",L3548=$C$13)),"✓","")</f>
        <v/>
      </c>
      <c r="N3548" s="93">
        <f>N(N3547)+IF(M3548="✓",1,0)</f>
        <v/>
      </c>
      <c r="O3548" s="93">
        <f>N(O3547)+IF(AND(B3548&lt;&gt;"",B3548&gt;='Uang Riba'!$H$30,B3548&lt;='Uang Riba'!$I$30,OR(H3548="Dana riba",H3548="Pinjam uang riba",I3548="Pinjam dari uang riba",I3548="Ganti uang riba",I3548="Kelebihan ganti dikembalikan",AND(C3548="Kantong Uang Riba",G3548="Pengeluaran"))),1,0)</f>
        <v/>
      </c>
      <c r="X3548" s="93">
        <f>IF(AND(B3548&lt;&gt;"",B3548&gt;='Buku Akun'!$H$4,B3548&lt;='Buku Akun'!$H$5,OR(C3548='Buku Akun'!$C$4,AND(D3548="Pindah",E3548='Buku Akun'!$C$4))),B3548+IF(AND(I3548="Selisih bunga",DAY(B3548)=1),0,0.01)+ROW()/10000000,"")</f>
        <v/>
      </c>
    </row>
    <row r="3549" outlineLevel="1" ht="15" customHeight="1" s="94">
      <c r="A3549" s="123">
        <f>IF(B3549="","",ROW()-15)</f>
        <v/>
      </c>
      <c r="B3549" s="124" t="n"/>
      <c r="C3549" s="123" t="n"/>
      <c r="D3549" s="123" t="n"/>
      <c r="E3549" s="123" t="n"/>
      <c r="F3549" s="125" t="n"/>
      <c r="G3549" s="123" t="n"/>
      <c r="H3549" s="123" t="n"/>
      <c r="I3549" s="123" t="n"/>
      <c r="J3549" s="123" t="n"/>
      <c r="K3549" s="123" t="n"/>
      <c r="L3549" s="123" t="n"/>
      <c r="M3549" s="123">
        <f>IF(AND(B3549&lt;&gt;"",OR($C$4="",ISNUMBER(SEARCH($C$4,C3549&amp;" "&amp;E3549&amp;" "&amp;G3549&amp;" "&amp;H3549&amp;" "&amp;I3549&amp;" "&amp;J3549&amp;" "&amp;K3549&amp;" "&amp;L3549))),OR($C$5="Semua",$C$5="",G3549=$C$5),OR($C$6="Semua",$C$6="",H3549=$C$6,H3549="Pengeluaran "&amp;$C$6,AND($C$6="Uang Kos Mama",H3549="Pengeluaran Uang Kos")),OR($C$7="Semua",$C$7="",I3549=$C$7),OR($C$8="Semua",$C$8="",C3549=$C$8,E3549=$C$8),OR($C$9="Semua",$C$9="",D3549=$C$9),OR($C$10="",B3549&gt;=$C$10),OR($C$11="",B3549&lt;=$C$11),OR($C$12&lt;&gt;"Ya",K3549&lt;&gt;""),OR($C$13="Semua",$C$13="",L3549=$C$13)),"✓","")</f>
        <v/>
      </c>
      <c r="N3549" s="93">
        <f>N(N3548)+IF(M3549="✓",1,0)</f>
        <v/>
      </c>
      <c r="O3549" s="93">
        <f>N(O3548)+IF(AND(B3549&lt;&gt;"",B3549&gt;='Uang Riba'!$H$30,B3549&lt;='Uang Riba'!$I$30,OR(H3549="Dana riba",H3549="Pinjam uang riba",I3549="Pinjam dari uang riba",I3549="Ganti uang riba",I3549="Kelebihan ganti dikembalikan",AND(C3549="Kantong Uang Riba",G3549="Pengeluaran"))),1,0)</f>
        <v/>
      </c>
      <c r="X3549" s="93">
        <f>IF(AND(B3549&lt;&gt;"",B3549&gt;='Buku Akun'!$H$4,B3549&lt;='Buku Akun'!$H$5,OR(C3549='Buku Akun'!$C$4,AND(D3549="Pindah",E3549='Buku Akun'!$C$4))),B3549+IF(AND(I3549="Selisih bunga",DAY(B3549)=1),0,0.01)+ROW()/10000000,"")</f>
        <v/>
      </c>
    </row>
    <row r="3550" outlineLevel="1" ht="15" customHeight="1" s="94">
      <c r="A3550" s="123">
        <f>IF(B3550="","",ROW()-15)</f>
        <v/>
      </c>
      <c r="B3550" s="124" t="n"/>
      <c r="C3550" s="123" t="n"/>
      <c r="D3550" s="123" t="n"/>
      <c r="E3550" s="123" t="n"/>
      <c r="F3550" s="125" t="n"/>
      <c r="G3550" s="123" t="n"/>
      <c r="H3550" s="123" t="n"/>
      <c r="I3550" s="123" t="n"/>
      <c r="J3550" s="123" t="n"/>
      <c r="K3550" s="123" t="n"/>
      <c r="L3550" s="123" t="n"/>
      <c r="M3550" s="123">
        <f>IF(AND(B3550&lt;&gt;"",OR($C$4="",ISNUMBER(SEARCH($C$4,C3550&amp;" "&amp;E3550&amp;" "&amp;G3550&amp;" "&amp;H3550&amp;" "&amp;I3550&amp;" "&amp;J3550&amp;" "&amp;K3550&amp;" "&amp;L3550))),OR($C$5="Semua",$C$5="",G3550=$C$5),OR($C$6="Semua",$C$6="",H3550=$C$6,H3550="Pengeluaran "&amp;$C$6,AND($C$6="Uang Kos Mama",H3550="Pengeluaran Uang Kos")),OR($C$7="Semua",$C$7="",I3550=$C$7),OR($C$8="Semua",$C$8="",C3550=$C$8,E3550=$C$8),OR($C$9="Semua",$C$9="",D3550=$C$9),OR($C$10="",B3550&gt;=$C$10),OR($C$11="",B3550&lt;=$C$11),OR($C$12&lt;&gt;"Ya",K3550&lt;&gt;""),OR($C$13="Semua",$C$13="",L3550=$C$13)),"✓","")</f>
        <v/>
      </c>
      <c r="N3550" s="93">
        <f>N(N3549)+IF(M3550="✓",1,0)</f>
        <v/>
      </c>
      <c r="O3550" s="93">
        <f>N(O3549)+IF(AND(B3550&lt;&gt;"",B3550&gt;='Uang Riba'!$H$30,B3550&lt;='Uang Riba'!$I$30,OR(H3550="Dana riba",H3550="Pinjam uang riba",I3550="Pinjam dari uang riba",I3550="Ganti uang riba",I3550="Kelebihan ganti dikembalikan",AND(C3550="Kantong Uang Riba",G3550="Pengeluaran"))),1,0)</f>
        <v/>
      </c>
      <c r="X3550" s="93">
        <f>IF(AND(B3550&lt;&gt;"",B3550&gt;='Buku Akun'!$H$4,B3550&lt;='Buku Akun'!$H$5,OR(C3550='Buku Akun'!$C$4,AND(D3550="Pindah",E3550='Buku Akun'!$C$4))),B3550+IF(AND(I3550="Selisih bunga",DAY(B3550)=1),0,0.01)+ROW()/10000000,"")</f>
        <v/>
      </c>
    </row>
    <row r="3551" outlineLevel="1" ht="15" customHeight="1" s="94">
      <c r="A3551" s="123">
        <f>IF(B3551="","",ROW()-15)</f>
        <v/>
      </c>
      <c r="B3551" s="124" t="n"/>
      <c r="C3551" s="123" t="n"/>
      <c r="D3551" s="123" t="n"/>
      <c r="E3551" s="123" t="n"/>
      <c r="F3551" s="125" t="n"/>
      <c r="G3551" s="123" t="n"/>
      <c r="H3551" s="123" t="n"/>
      <c r="I3551" s="123" t="n"/>
      <c r="J3551" s="123" t="n"/>
      <c r="K3551" s="123" t="n"/>
      <c r="L3551" s="123" t="n"/>
      <c r="M3551" s="123">
        <f>IF(AND(B3551&lt;&gt;"",OR($C$4="",ISNUMBER(SEARCH($C$4,C3551&amp;" "&amp;E3551&amp;" "&amp;G3551&amp;" "&amp;H3551&amp;" "&amp;I3551&amp;" "&amp;J3551&amp;" "&amp;K3551&amp;" "&amp;L3551))),OR($C$5="Semua",$C$5="",G3551=$C$5),OR($C$6="Semua",$C$6="",H3551=$C$6,H3551="Pengeluaran "&amp;$C$6,AND($C$6="Uang Kos Mama",H3551="Pengeluaran Uang Kos")),OR($C$7="Semua",$C$7="",I3551=$C$7),OR($C$8="Semua",$C$8="",C3551=$C$8,E3551=$C$8),OR($C$9="Semua",$C$9="",D3551=$C$9),OR($C$10="",B3551&gt;=$C$10),OR($C$11="",B3551&lt;=$C$11),OR($C$12&lt;&gt;"Ya",K3551&lt;&gt;""),OR($C$13="Semua",$C$13="",L3551=$C$13)),"✓","")</f>
        <v/>
      </c>
      <c r="N3551" s="93">
        <f>N(N3550)+IF(M3551="✓",1,0)</f>
        <v/>
      </c>
      <c r="O3551" s="93">
        <f>N(O3550)+IF(AND(B3551&lt;&gt;"",B3551&gt;='Uang Riba'!$H$30,B3551&lt;='Uang Riba'!$I$30,OR(H3551="Dana riba",H3551="Pinjam uang riba",I3551="Pinjam dari uang riba",I3551="Ganti uang riba",I3551="Kelebihan ganti dikembalikan",AND(C3551="Kantong Uang Riba",G3551="Pengeluaran"))),1,0)</f>
        <v/>
      </c>
      <c r="X3551" s="93">
        <f>IF(AND(B3551&lt;&gt;"",B3551&gt;='Buku Akun'!$H$4,B3551&lt;='Buku Akun'!$H$5,OR(C3551='Buku Akun'!$C$4,AND(D3551="Pindah",E3551='Buku Akun'!$C$4))),B3551+IF(AND(I3551="Selisih bunga",DAY(B3551)=1),0,0.01)+ROW()/10000000,"")</f>
        <v/>
      </c>
    </row>
    <row r="3552" outlineLevel="1" ht="15" customHeight="1" s="94">
      <c r="A3552" s="123">
        <f>IF(B3552="","",ROW()-15)</f>
        <v/>
      </c>
      <c r="B3552" s="124" t="n"/>
      <c r="C3552" s="123" t="n"/>
      <c r="D3552" s="123" t="n"/>
      <c r="E3552" s="123" t="n"/>
      <c r="F3552" s="125" t="n"/>
      <c r="G3552" s="123" t="n"/>
      <c r="H3552" s="123" t="n"/>
      <c r="I3552" s="123" t="n"/>
      <c r="J3552" s="123" t="n"/>
      <c r="K3552" s="123" t="n"/>
      <c r="L3552" s="123" t="n"/>
      <c r="M3552" s="123">
        <f>IF(AND(B3552&lt;&gt;"",OR($C$4="",ISNUMBER(SEARCH($C$4,C3552&amp;" "&amp;E3552&amp;" "&amp;G3552&amp;" "&amp;H3552&amp;" "&amp;I3552&amp;" "&amp;J3552&amp;" "&amp;K3552&amp;" "&amp;L3552))),OR($C$5="Semua",$C$5="",G3552=$C$5),OR($C$6="Semua",$C$6="",H3552=$C$6,H3552="Pengeluaran "&amp;$C$6,AND($C$6="Uang Kos Mama",H3552="Pengeluaran Uang Kos")),OR($C$7="Semua",$C$7="",I3552=$C$7),OR($C$8="Semua",$C$8="",C3552=$C$8,E3552=$C$8),OR($C$9="Semua",$C$9="",D3552=$C$9),OR($C$10="",B3552&gt;=$C$10),OR($C$11="",B3552&lt;=$C$11),OR($C$12&lt;&gt;"Ya",K3552&lt;&gt;""),OR($C$13="Semua",$C$13="",L3552=$C$13)),"✓","")</f>
        <v/>
      </c>
      <c r="N3552" s="93">
        <f>N(N3551)+IF(M3552="✓",1,0)</f>
        <v/>
      </c>
      <c r="O3552" s="93">
        <f>N(O3551)+IF(AND(B3552&lt;&gt;"",B3552&gt;='Uang Riba'!$H$30,B3552&lt;='Uang Riba'!$I$30,OR(H3552="Dana riba",H3552="Pinjam uang riba",I3552="Pinjam dari uang riba",I3552="Ganti uang riba",I3552="Kelebihan ganti dikembalikan",AND(C3552="Kantong Uang Riba",G3552="Pengeluaran"))),1,0)</f>
        <v/>
      </c>
      <c r="X3552" s="93">
        <f>IF(AND(B3552&lt;&gt;"",B3552&gt;='Buku Akun'!$H$4,B3552&lt;='Buku Akun'!$H$5,OR(C3552='Buku Akun'!$C$4,AND(D3552="Pindah",E3552='Buku Akun'!$C$4))),B3552+IF(AND(I3552="Selisih bunga",DAY(B3552)=1),0,0.01)+ROW()/10000000,"")</f>
        <v/>
      </c>
    </row>
    <row r="3553" outlineLevel="1" ht="15" customHeight="1" s="94">
      <c r="A3553" s="123">
        <f>IF(B3553="","",ROW()-15)</f>
        <v/>
      </c>
      <c r="B3553" s="124" t="n"/>
      <c r="C3553" s="123" t="n"/>
      <c r="D3553" s="123" t="n"/>
      <c r="E3553" s="123" t="n"/>
      <c r="F3553" s="125" t="n"/>
      <c r="G3553" s="123" t="n"/>
      <c r="H3553" s="123" t="n"/>
      <c r="I3553" s="123" t="n"/>
      <c r="J3553" s="123" t="n"/>
      <c r="K3553" s="123" t="n"/>
      <c r="L3553" s="123" t="n"/>
      <c r="M3553" s="123">
        <f>IF(AND(B3553&lt;&gt;"",OR($C$4="",ISNUMBER(SEARCH($C$4,C3553&amp;" "&amp;E3553&amp;" "&amp;G3553&amp;" "&amp;H3553&amp;" "&amp;I3553&amp;" "&amp;J3553&amp;" "&amp;K3553&amp;" "&amp;L3553))),OR($C$5="Semua",$C$5="",G3553=$C$5),OR($C$6="Semua",$C$6="",H3553=$C$6,H3553="Pengeluaran "&amp;$C$6,AND($C$6="Uang Kos Mama",H3553="Pengeluaran Uang Kos")),OR($C$7="Semua",$C$7="",I3553=$C$7),OR($C$8="Semua",$C$8="",C3553=$C$8,E3553=$C$8),OR($C$9="Semua",$C$9="",D3553=$C$9),OR($C$10="",B3553&gt;=$C$10),OR($C$11="",B3553&lt;=$C$11),OR($C$12&lt;&gt;"Ya",K3553&lt;&gt;""),OR($C$13="Semua",$C$13="",L3553=$C$13)),"✓","")</f>
        <v/>
      </c>
      <c r="N3553" s="93">
        <f>N(N3552)+IF(M3553="✓",1,0)</f>
        <v/>
      </c>
      <c r="O3553" s="93">
        <f>N(O3552)+IF(AND(B3553&lt;&gt;"",B3553&gt;='Uang Riba'!$H$30,B3553&lt;='Uang Riba'!$I$30,OR(H3553="Dana riba",H3553="Pinjam uang riba",I3553="Pinjam dari uang riba",I3553="Ganti uang riba",I3553="Kelebihan ganti dikembalikan",AND(C3553="Kantong Uang Riba",G3553="Pengeluaran"))),1,0)</f>
        <v/>
      </c>
      <c r="X3553" s="93">
        <f>IF(AND(B3553&lt;&gt;"",B3553&gt;='Buku Akun'!$H$4,B3553&lt;='Buku Akun'!$H$5,OR(C3553='Buku Akun'!$C$4,AND(D3553="Pindah",E3553='Buku Akun'!$C$4))),B3553+IF(AND(I3553="Selisih bunga",DAY(B3553)=1),0,0.01)+ROW()/10000000,"")</f>
        <v/>
      </c>
    </row>
    <row r="3554" outlineLevel="1" ht="15" customHeight="1" s="94">
      <c r="A3554" s="123">
        <f>IF(B3554="","",ROW()-15)</f>
        <v/>
      </c>
      <c r="B3554" s="124" t="n"/>
      <c r="C3554" s="123" t="n"/>
      <c r="D3554" s="123" t="n"/>
      <c r="E3554" s="123" t="n"/>
      <c r="F3554" s="125" t="n"/>
      <c r="G3554" s="123" t="n"/>
      <c r="H3554" s="123" t="n"/>
      <c r="I3554" s="123" t="n"/>
      <c r="J3554" s="123" t="n"/>
      <c r="K3554" s="123" t="n"/>
      <c r="L3554" s="123" t="n"/>
      <c r="M3554" s="123">
        <f>IF(AND(B3554&lt;&gt;"",OR($C$4="",ISNUMBER(SEARCH($C$4,C3554&amp;" "&amp;E3554&amp;" "&amp;G3554&amp;" "&amp;H3554&amp;" "&amp;I3554&amp;" "&amp;J3554&amp;" "&amp;K3554&amp;" "&amp;L3554))),OR($C$5="Semua",$C$5="",G3554=$C$5),OR($C$6="Semua",$C$6="",H3554=$C$6,H3554="Pengeluaran "&amp;$C$6,AND($C$6="Uang Kos Mama",H3554="Pengeluaran Uang Kos")),OR($C$7="Semua",$C$7="",I3554=$C$7),OR($C$8="Semua",$C$8="",C3554=$C$8,E3554=$C$8),OR($C$9="Semua",$C$9="",D3554=$C$9),OR($C$10="",B3554&gt;=$C$10),OR($C$11="",B3554&lt;=$C$11),OR($C$12&lt;&gt;"Ya",K3554&lt;&gt;""),OR($C$13="Semua",$C$13="",L3554=$C$13)),"✓","")</f>
        <v/>
      </c>
      <c r="N3554" s="93">
        <f>N(N3553)+IF(M3554="✓",1,0)</f>
        <v/>
      </c>
      <c r="O3554" s="93">
        <f>N(O3553)+IF(AND(B3554&lt;&gt;"",B3554&gt;='Uang Riba'!$H$30,B3554&lt;='Uang Riba'!$I$30,OR(H3554="Dana riba",H3554="Pinjam uang riba",I3554="Pinjam dari uang riba",I3554="Ganti uang riba",I3554="Kelebihan ganti dikembalikan",AND(C3554="Kantong Uang Riba",G3554="Pengeluaran"))),1,0)</f>
        <v/>
      </c>
      <c r="X3554" s="93">
        <f>IF(AND(B3554&lt;&gt;"",B3554&gt;='Buku Akun'!$H$4,B3554&lt;='Buku Akun'!$H$5,OR(C3554='Buku Akun'!$C$4,AND(D3554="Pindah",E3554='Buku Akun'!$C$4))),B3554+IF(AND(I3554="Selisih bunga",DAY(B3554)=1),0,0.01)+ROW()/10000000,"")</f>
        <v/>
      </c>
    </row>
    <row r="3555" outlineLevel="1" ht="15" customHeight="1" s="94">
      <c r="A3555" s="123">
        <f>IF(B3555="","",ROW()-15)</f>
        <v/>
      </c>
      <c r="B3555" s="124" t="n"/>
      <c r="C3555" s="123" t="n"/>
      <c r="D3555" s="123" t="n"/>
      <c r="E3555" s="123" t="n"/>
      <c r="F3555" s="125" t="n"/>
      <c r="G3555" s="123" t="n"/>
      <c r="H3555" s="123" t="n"/>
      <c r="I3555" s="123" t="n"/>
      <c r="J3555" s="123" t="n"/>
      <c r="K3555" s="123" t="n"/>
      <c r="L3555" s="123" t="n"/>
      <c r="M3555" s="123">
        <f>IF(AND(B3555&lt;&gt;"",OR($C$4="",ISNUMBER(SEARCH($C$4,C3555&amp;" "&amp;E3555&amp;" "&amp;G3555&amp;" "&amp;H3555&amp;" "&amp;I3555&amp;" "&amp;J3555&amp;" "&amp;K3555&amp;" "&amp;L3555))),OR($C$5="Semua",$C$5="",G3555=$C$5),OR($C$6="Semua",$C$6="",H3555=$C$6,H3555="Pengeluaran "&amp;$C$6,AND($C$6="Uang Kos Mama",H3555="Pengeluaran Uang Kos")),OR($C$7="Semua",$C$7="",I3555=$C$7),OR($C$8="Semua",$C$8="",C3555=$C$8,E3555=$C$8),OR($C$9="Semua",$C$9="",D3555=$C$9),OR($C$10="",B3555&gt;=$C$10),OR($C$11="",B3555&lt;=$C$11),OR($C$12&lt;&gt;"Ya",K3555&lt;&gt;""),OR($C$13="Semua",$C$13="",L3555=$C$13)),"✓","")</f>
        <v/>
      </c>
      <c r="N3555" s="93">
        <f>N(N3554)+IF(M3555="✓",1,0)</f>
        <v/>
      </c>
      <c r="O3555" s="93">
        <f>N(O3554)+IF(AND(B3555&lt;&gt;"",B3555&gt;='Uang Riba'!$H$30,B3555&lt;='Uang Riba'!$I$30,OR(H3555="Dana riba",H3555="Pinjam uang riba",I3555="Pinjam dari uang riba",I3555="Ganti uang riba",I3555="Kelebihan ganti dikembalikan",AND(C3555="Kantong Uang Riba",G3555="Pengeluaran"))),1,0)</f>
        <v/>
      </c>
      <c r="X3555" s="93">
        <f>IF(AND(B3555&lt;&gt;"",B3555&gt;='Buku Akun'!$H$4,B3555&lt;='Buku Akun'!$H$5,OR(C3555='Buku Akun'!$C$4,AND(D3555="Pindah",E3555='Buku Akun'!$C$4))),B3555+IF(AND(I3555="Selisih bunga",DAY(B3555)=1),0,0.01)+ROW()/10000000,"")</f>
        <v/>
      </c>
    </row>
    <row r="3556" outlineLevel="1" ht="15" customHeight="1" s="94">
      <c r="A3556" s="123">
        <f>IF(B3556="","",ROW()-15)</f>
        <v/>
      </c>
      <c r="B3556" s="124" t="n"/>
      <c r="C3556" s="123" t="n"/>
      <c r="D3556" s="123" t="n"/>
      <c r="E3556" s="123" t="n"/>
      <c r="F3556" s="125" t="n"/>
      <c r="G3556" s="123" t="n"/>
      <c r="H3556" s="123" t="n"/>
      <c r="I3556" s="123" t="n"/>
      <c r="J3556" s="123" t="n"/>
      <c r="K3556" s="123" t="n"/>
      <c r="L3556" s="123" t="n"/>
      <c r="M3556" s="123">
        <f>IF(AND(B3556&lt;&gt;"",OR($C$4="",ISNUMBER(SEARCH($C$4,C3556&amp;" "&amp;E3556&amp;" "&amp;G3556&amp;" "&amp;H3556&amp;" "&amp;I3556&amp;" "&amp;J3556&amp;" "&amp;K3556&amp;" "&amp;L3556))),OR($C$5="Semua",$C$5="",G3556=$C$5),OR($C$6="Semua",$C$6="",H3556=$C$6,H3556="Pengeluaran "&amp;$C$6,AND($C$6="Uang Kos Mama",H3556="Pengeluaran Uang Kos")),OR($C$7="Semua",$C$7="",I3556=$C$7),OR($C$8="Semua",$C$8="",C3556=$C$8,E3556=$C$8),OR($C$9="Semua",$C$9="",D3556=$C$9),OR($C$10="",B3556&gt;=$C$10),OR($C$11="",B3556&lt;=$C$11),OR($C$12&lt;&gt;"Ya",K3556&lt;&gt;""),OR($C$13="Semua",$C$13="",L3556=$C$13)),"✓","")</f>
        <v/>
      </c>
      <c r="N3556" s="93">
        <f>N(N3555)+IF(M3556="✓",1,0)</f>
        <v/>
      </c>
      <c r="O3556" s="93">
        <f>N(O3555)+IF(AND(B3556&lt;&gt;"",B3556&gt;='Uang Riba'!$H$30,B3556&lt;='Uang Riba'!$I$30,OR(H3556="Dana riba",H3556="Pinjam uang riba",I3556="Pinjam dari uang riba",I3556="Ganti uang riba",I3556="Kelebihan ganti dikembalikan",AND(C3556="Kantong Uang Riba",G3556="Pengeluaran"))),1,0)</f>
        <v/>
      </c>
      <c r="X3556" s="93">
        <f>IF(AND(B3556&lt;&gt;"",B3556&gt;='Buku Akun'!$H$4,B3556&lt;='Buku Akun'!$H$5,OR(C3556='Buku Akun'!$C$4,AND(D3556="Pindah",E3556='Buku Akun'!$C$4))),B3556+IF(AND(I3556="Selisih bunga",DAY(B3556)=1),0,0.01)+ROW()/10000000,"")</f>
        <v/>
      </c>
    </row>
    <row r="3557" outlineLevel="1" ht="15" customHeight="1" s="94">
      <c r="A3557" s="123">
        <f>IF(B3557="","",ROW()-15)</f>
        <v/>
      </c>
      <c r="B3557" s="124" t="n"/>
      <c r="C3557" s="123" t="n"/>
      <c r="D3557" s="123" t="n"/>
      <c r="E3557" s="123" t="n"/>
      <c r="F3557" s="125" t="n"/>
      <c r="G3557" s="123" t="n"/>
      <c r="H3557" s="123" t="n"/>
      <c r="I3557" s="123" t="n"/>
      <c r="J3557" s="123" t="n"/>
      <c r="K3557" s="123" t="n"/>
      <c r="L3557" s="123" t="n"/>
      <c r="M3557" s="123">
        <f>IF(AND(B3557&lt;&gt;"",OR($C$4="",ISNUMBER(SEARCH($C$4,C3557&amp;" "&amp;E3557&amp;" "&amp;G3557&amp;" "&amp;H3557&amp;" "&amp;I3557&amp;" "&amp;J3557&amp;" "&amp;K3557&amp;" "&amp;L3557))),OR($C$5="Semua",$C$5="",G3557=$C$5),OR($C$6="Semua",$C$6="",H3557=$C$6,H3557="Pengeluaran "&amp;$C$6,AND($C$6="Uang Kos Mama",H3557="Pengeluaran Uang Kos")),OR($C$7="Semua",$C$7="",I3557=$C$7),OR($C$8="Semua",$C$8="",C3557=$C$8,E3557=$C$8),OR($C$9="Semua",$C$9="",D3557=$C$9),OR($C$10="",B3557&gt;=$C$10),OR($C$11="",B3557&lt;=$C$11),OR($C$12&lt;&gt;"Ya",K3557&lt;&gt;""),OR($C$13="Semua",$C$13="",L3557=$C$13)),"✓","")</f>
        <v/>
      </c>
      <c r="N3557" s="93">
        <f>N(N3556)+IF(M3557="✓",1,0)</f>
        <v/>
      </c>
      <c r="O3557" s="93">
        <f>N(O3556)+IF(AND(B3557&lt;&gt;"",B3557&gt;='Uang Riba'!$H$30,B3557&lt;='Uang Riba'!$I$30,OR(H3557="Dana riba",H3557="Pinjam uang riba",I3557="Pinjam dari uang riba",I3557="Ganti uang riba",I3557="Kelebihan ganti dikembalikan",AND(C3557="Kantong Uang Riba",G3557="Pengeluaran"))),1,0)</f>
        <v/>
      </c>
      <c r="X3557" s="93">
        <f>IF(AND(B3557&lt;&gt;"",B3557&gt;='Buku Akun'!$H$4,B3557&lt;='Buku Akun'!$H$5,OR(C3557='Buku Akun'!$C$4,AND(D3557="Pindah",E3557='Buku Akun'!$C$4))),B3557+IF(AND(I3557="Selisih bunga",DAY(B3557)=1),0,0.01)+ROW()/10000000,"")</f>
        <v/>
      </c>
    </row>
    <row r="3558" outlineLevel="1" ht="15" customHeight="1" s="94">
      <c r="A3558" s="123">
        <f>IF(B3558="","",ROW()-15)</f>
        <v/>
      </c>
      <c r="B3558" s="124" t="n"/>
      <c r="C3558" s="123" t="n"/>
      <c r="D3558" s="123" t="n"/>
      <c r="E3558" s="123" t="n"/>
      <c r="F3558" s="125" t="n"/>
      <c r="G3558" s="123" t="n"/>
      <c r="H3558" s="123" t="n"/>
      <c r="I3558" s="123" t="n"/>
      <c r="J3558" s="123" t="n"/>
      <c r="K3558" s="123" t="n"/>
      <c r="L3558" s="123" t="n"/>
      <c r="M3558" s="123">
        <f>IF(AND(B3558&lt;&gt;"",OR($C$4="",ISNUMBER(SEARCH($C$4,C3558&amp;" "&amp;E3558&amp;" "&amp;G3558&amp;" "&amp;H3558&amp;" "&amp;I3558&amp;" "&amp;J3558&amp;" "&amp;K3558&amp;" "&amp;L3558))),OR($C$5="Semua",$C$5="",G3558=$C$5),OR($C$6="Semua",$C$6="",H3558=$C$6,H3558="Pengeluaran "&amp;$C$6,AND($C$6="Uang Kos Mama",H3558="Pengeluaran Uang Kos")),OR($C$7="Semua",$C$7="",I3558=$C$7),OR($C$8="Semua",$C$8="",C3558=$C$8,E3558=$C$8),OR($C$9="Semua",$C$9="",D3558=$C$9),OR($C$10="",B3558&gt;=$C$10),OR($C$11="",B3558&lt;=$C$11),OR($C$12&lt;&gt;"Ya",K3558&lt;&gt;""),OR($C$13="Semua",$C$13="",L3558=$C$13)),"✓","")</f>
        <v/>
      </c>
      <c r="N3558" s="93">
        <f>N(N3557)+IF(M3558="✓",1,0)</f>
        <v/>
      </c>
      <c r="O3558" s="93">
        <f>N(O3557)+IF(AND(B3558&lt;&gt;"",B3558&gt;='Uang Riba'!$H$30,B3558&lt;='Uang Riba'!$I$30,OR(H3558="Dana riba",H3558="Pinjam uang riba",I3558="Pinjam dari uang riba",I3558="Ganti uang riba",I3558="Kelebihan ganti dikembalikan",AND(C3558="Kantong Uang Riba",G3558="Pengeluaran"))),1,0)</f>
        <v/>
      </c>
      <c r="X3558" s="93">
        <f>IF(AND(B3558&lt;&gt;"",B3558&gt;='Buku Akun'!$H$4,B3558&lt;='Buku Akun'!$H$5,OR(C3558='Buku Akun'!$C$4,AND(D3558="Pindah",E3558='Buku Akun'!$C$4))),B3558+IF(AND(I3558="Selisih bunga",DAY(B3558)=1),0,0.01)+ROW()/10000000,"")</f>
        <v/>
      </c>
    </row>
    <row r="3559" outlineLevel="1" ht="15" customHeight="1" s="94">
      <c r="A3559" s="123">
        <f>IF(B3559="","",ROW()-15)</f>
        <v/>
      </c>
      <c r="B3559" s="124" t="n"/>
      <c r="C3559" s="123" t="n"/>
      <c r="D3559" s="123" t="n"/>
      <c r="E3559" s="123" t="n"/>
      <c r="F3559" s="125" t="n"/>
      <c r="G3559" s="123" t="n"/>
      <c r="H3559" s="123" t="n"/>
      <c r="I3559" s="123" t="n"/>
      <c r="J3559" s="123" t="n"/>
      <c r="K3559" s="123" t="n"/>
      <c r="L3559" s="123" t="n"/>
      <c r="M3559" s="123">
        <f>IF(AND(B3559&lt;&gt;"",OR($C$4="",ISNUMBER(SEARCH($C$4,C3559&amp;" "&amp;E3559&amp;" "&amp;G3559&amp;" "&amp;H3559&amp;" "&amp;I3559&amp;" "&amp;J3559&amp;" "&amp;K3559&amp;" "&amp;L3559))),OR($C$5="Semua",$C$5="",G3559=$C$5),OR($C$6="Semua",$C$6="",H3559=$C$6,H3559="Pengeluaran "&amp;$C$6,AND($C$6="Uang Kos Mama",H3559="Pengeluaran Uang Kos")),OR($C$7="Semua",$C$7="",I3559=$C$7),OR($C$8="Semua",$C$8="",C3559=$C$8,E3559=$C$8),OR($C$9="Semua",$C$9="",D3559=$C$9),OR($C$10="",B3559&gt;=$C$10),OR($C$11="",B3559&lt;=$C$11),OR($C$12&lt;&gt;"Ya",K3559&lt;&gt;""),OR($C$13="Semua",$C$13="",L3559=$C$13)),"✓","")</f>
        <v/>
      </c>
      <c r="N3559" s="93">
        <f>N(N3558)+IF(M3559="✓",1,0)</f>
        <v/>
      </c>
      <c r="O3559" s="93">
        <f>N(O3558)+IF(AND(B3559&lt;&gt;"",B3559&gt;='Uang Riba'!$H$30,B3559&lt;='Uang Riba'!$I$30,OR(H3559="Dana riba",H3559="Pinjam uang riba",I3559="Pinjam dari uang riba",I3559="Ganti uang riba",I3559="Kelebihan ganti dikembalikan",AND(C3559="Kantong Uang Riba",G3559="Pengeluaran"))),1,0)</f>
        <v/>
      </c>
      <c r="X3559" s="93">
        <f>IF(AND(B3559&lt;&gt;"",B3559&gt;='Buku Akun'!$H$4,B3559&lt;='Buku Akun'!$H$5,OR(C3559='Buku Akun'!$C$4,AND(D3559="Pindah",E3559='Buku Akun'!$C$4))),B3559+IF(AND(I3559="Selisih bunga",DAY(B3559)=1),0,0.01)+ROW()/10000000,"")</f>
        <v/>
      </c>
    </row>
    <row r="3560" outlineLevel="1" ht="15" customHeight="1" s="94">
      <c r="A3560" s="123">
        <f>IF(B3560="","",ROW()-15)</f>
        <v/>
      </c>
      <c r="B3560" s="124" t="n"/>
      <c r="C3560" s="123" t="n"/>
      <c r="D3560" s="123" t="n"/>
      <c r="E3560" s="123" t="n"/>
      <c r="F3560" s="125" t="n"/>
      <c r="G3560" s="123" t="n"/>
      <c r="H3560" s="123" t="n"/>
      <c r="I3560" s="123" t="n"/>
      <c r="J3560" s="123" t="n"/>
      <c r="K3560" s="123" t="n"/>
      <c r="L3560" s="123" t="n"/>
      <c r="M3560" s="123">
        <f>IF(AND(B3560&lt;&gt;"",OR($C$4="",ISNUMBER(SEARCH($C$4,C3560&amp;" "&amp;E3560&amp;" "&amp;G3560&amp;" "&amp;H3560&amp;" "&amp;I3560&amp;" "&amp;J3560&amp;" "&amp;K3560&amp;" "&amp;L3560))),OR($C$5="Semua",$C$5="",G3560=$C$5),OR($C$6="Semua",$C$6="",H3560=$C$6,H3560="Pengeluaran "&amp;$C$6,AND($C$6="Uang Kos Mama",H3560="Pengeluaran Uang Kos")),OR($C$7="Semua",$C$7="",I3560=$C$7),OR($C$8="Semua",$C$8="",C3560=$C$8,E3560=$C$8),OR($C$9="Semua",$C$9="",D3560=$C$9),OR($C$10="",B3560&gt;=$C$10),OR($C$11="",B3560&lt;=$C$11),OR($C$12&lt;&gt;"Ya",K3560&lt;&gt;""),OR($C$13="Semua",$C$13="",L3560=$C$13)),"✓","")</f>
        <v/>
      </c>
      <c r="N3560" s="93">
        <f>N(N3559)+IF(M3560="✓",1,0)</f>
        <v/>
      </c>
      <c r="O3560" s="93">
        <f>N(O3559)+IF(AND(B3560&lt;&gt;"",B3560&gt;='Uang Riba'!$H$30,B3560&lt;='Uang Riba'!$I$30,OR(H3560="Dana riba",H3560="Pinjam uang riba",I3560="Pinjam dari uang riba",I3560="Ganti uang riba",I3560="Kelebihan ganti dikembalikan",AND(C3560="Kantong Uang Riba",G3560="Pengeluaran"))),1,0)</f>
        <v/>
      </c>
      <c r="X3560" s="93">
        <f>IF(AND(B3560&lt;&gt;"",B3560&gt;='Buku Akun'!$H$4,B3560&lt;='Buku Akun'!$H$5,OR(C3560='Buku Akun'!$C$4,AND(D3560="Pindah",E3560='Buku Akun'!$C$4))),B3560+IF(AND(I3560="Selisih bunga",DAY(B3560)=1),0,0.01)+ROW()/10000000,"")</f>
        <v/>
      </c>
    </row>
    <row r="3561" outlineLevel="1" ht="15" customHeight="1" s="94">
      <c r="A3561" s="123">
        <f>IF(B3561="","",ROW()-15)</f>
        <v/>
      </c>
      <c r="B3561" s="124" t="n"/>
      <c r="C3561" s="123" t="n"/>
      <c r="D3561" s="123" t="n"/>
      <c r="E3561" s="123" t="n"/>
      <c r="F3561" s="125" t="n"/>
      <c r="G3561" s="123" t="n"/>
      <c r="H3561" s="123" t="n"/>
      <c r="I3561" s="123" t="n"/>
      <c r="J3561" s="123" t="n"/>
      <c r="K3561" s="123" t="n"/>
      <c r="L3561" s="123" t="n"/>
      <c r="M3561" s="123">
        <f>IF(AND(B3561&lt;&gt;"",OR($C$4="",ISNUMBER(SEARCH($C$4,C3561&amp;" "&amp;E3561&amp;" "&amp;G3561&amp;" "&amp;H3561&amp;" "&amp;I3561&amp;" "&amp;J3561&amp;" "&amp;K3561&amp;" "&amp;L3561))),OR($C$5="Semua",$C$5="",G3561=$C$5),OR($C$6="Semua",$C$6="",H3561=$C$6,H3561="Pengeluaran "&amp;$C$6,AND($C$6="Uang Kos Mama",H3561="Pengeluaran Uang Kos")),OR($C$7="Semua",$C$7="",I3561=$C$7),OR($C$8="Semua",$C$8="",C3561=$C$8,E3561=$C$8),OR($C$9="Semua",$C$9="",D3561=$C$9),OR($C$10="",B3561&gt;=$C$10),OR($C$11="",B3561&lt;=$C$11),OR($C$12&lt;&gt;"Ya",K3561&lt;&gt;""),OR($C$13="Semua",$C$13="",L3561=$C$13)),"✓","")</f>
        <v/>
      </c>
      <c r="N3561" s="93">
        <f>N(N3560)+IF(M3561="✓",1,0)</f>
        <v/>
      </c>
      <c r="O3561" s="93">
        <f>N(O3560)+IF(AND(B3561&lt;&gt;"",B3561&gt;='Uang Riba'!$H$30,B3561&lt;='Uang Riba'!$I$30,OR(H3561="Dana riba",H3561="Pinjam uang riba",I3561="Pinjam dari uang riba",I3561="Ganti uang riba",I3561="Kelebihan ganti dikembalikan",AND(C3561="Kantong Uang Riba",G3561="Pengeluaran"))),1,0)</f>
        <v/>
      </c>
      <c r="X3561" s="93">
        <f>IF(AND(B3561&lt;&gt;"",B3561&gt;='Buku Akun'!$H$4,B3561&lt;='Buku Akun'!$H$5,OR(C3561='Buku Akun'!$C$4,AND(D3561="Pindah",E3561='Buku Akun'!$C$4))),B3561+IF(AND(I3561="Selisih bunga",DAY(B3561)=1),0,0.01)+ROW()/10000000,"")</f>
        <v/>
      </c>
    </row>
    <row r="3562" outlineLevel="1" ht="15" customHeight="1" s="94">
      <c r="A3562" s="123">
        <f>IF(B3562="","",ROW()-15)</f>
        <v/>
      </c>
      <c r="B3562" s="124" t="n"/>
      <c r="C3562" s="123" t="n"/>
      <c r="D3562" s="123" t="n"/>
      <c r="E3562" s="123" t="n"/>
      <c r="F3562" s="125" t="n"/>
      <c r="G3562" s="123" t="n"/>
      <c r="H3562" s="123" t="n"/>
      <c r="I3562" s="123" t="n"/>
      <c r="J3562" s="123" t="n"/>
      <c r="K3562" s="123" t="n"/>
      <c r="L3562" s="123" t="n"/>
      <c r="M3562" s="123">
        <f>IF(AND(B3562&lt;&gt;"",OR($C$4="",ISNUMBER(SEARCH($C$4,C3562&amp;" "&amp;E3562&amp;" "&amp;G3562&amp;" "&amp;H3562&amp;" "&amp;I3562&amp;" "&amp;J3562&amp;" "&amp;K3562&amp;" "&amp;L3562))),OR($C$5="Semua",$C$5="",G3562=$C$5),OR($C$6="Semua",$C$6="",H3562=$C$6,H3562="Pengeluaran "&amp;$C$6,AND($C$6="Uang Kos Mama",H3562="Pengeluaran Uang Kos")),OR($C$7="Semua",$C$7="",I3562=$C$7),OR($C$8="Semua",$C$8="",C3562=$C$8,E3562=$C$8),OR($C$9="Semua",$C$9="",D3562=$C$9),OR($C$10="",B3562&gt;=$C$10),OR($C$11="",B3562&lt;=$C$11),OR($C$12&lt;&gt;"Ya",K3562&lt;&gt;""),OR($C$13="Semua",$C$13="",L3562=$C$13)),"✓","")</f>
        <v/>
      </c>
      <c r="N3562" s="93">
        <f>N(N3561)+IF(M3562="✓",1,0)</f>
        <v/>
      </c>
      <c r="O3562" s="93">
        <f>N(O3561)+IF(AND(B3562&lt;&gt;"",B3562&gt;='Uang Riba'!$H$30,B3562&lt;='Uang Riba'!$I$30,OR(H3562="Dana riba",H3562="Pinjam uang riba",I3562="Pinjam dari uang riba",I3562="Ganti uang riba",I3562="Kelebihan ganti dikembalikan",AND(C3562="Kantong Uang Riba",G3562="Pengeluaran"))),1,0)</f>
        <v/>
      </c>
      <c r="X3562" s="93">
        <f>IF(AND(B3562&lt;&gt;"",B3562&gt;='Buku Akun'!$H$4,B3562&lt;='Buku Akun'!$H$5,OR(C3562='Buku Akun'!$C$4,AND(D3562="Pindah",E3562='Buku Akun'!$C$4))),B3562+IF(AND(I3562="Selisih bunga",DAY(B3562)=1),0,0.01)+ROW()/10000000,"")</f>
        <v/>
      </c>
    </row>
    <row r="3563" outlineLevel="1" ht="15" customHeight="1" s="94">
      <c r="A3563" s="123">
        <f>IF(B3563="","",ROW()-15)</f>
        <v/>
      </c>
      <c r="B3563" s="124" t="n"/>
      <c r="C3563" s="123" t="n"/>
      <c r="D3563" s="123" t="n"/>
      <c r="E3563" s="123" t="n"/>
      <c r="F3563" s="125" t="n"/>
      <c r="G3563" s="123" t="n"/>
      <c r="H3563" s="123" t="n"/>
      <c r="I3563" s="123" t="n"/>
      <c r="J3563" s="123" t="n"/>
      <c r="K3563" s="123" t="n"/>
      <c r="L3563" s="123" t="n"/>
      <c r="M3563" s="123">
        <f>IF(AND(B3563&lt;&gt;"",OR($C$4="",ISNUMBER(SEARCH($C$4,C3563&amp;" "&amp;E3563&amp;" "&amp;G3563&amp;" "&amp;H3563&amp;" "&amp;I3563&amp;" "&amp;J3563&amp;" "&amp;K3563&amp;" "&amp;L3563))),OR($C$5="Semua",$C$5="",G3563=$C$5),OR($C$6="Semua",$C$6="",H3563=$C$6,H3563="Pengeluaran "&amp;$C$6,AND($C$6="Uang Kos Mama",H3563="Pengeluaran Uang Kos")),OR($C$7="Semua",$C$7="",I3563=$C$7),OR($C$8="Semua",$C$8="",C3563=$C$8,E3563=$C$8),OR($C$9="Semua",$C$9="",D3563=$C$9),OR($C$10="",B3563&gt;=$C$10),OR($C$11="",B3563&lt;=$C$11),OR($C$12&lt;&gt;"Ya",K3563&lt;&gt;""),OR($C$13="Semua",$C$13="",L3563=$C$13)),"✓","")</f>
        <v/>
      </c>
      <c r="N3563" s="93">
        <f>N(N3562)+IF(M3563="✓",1,0)</f>
        <v/>
      </c>
      <c r="O3563" s="93">
        <f>N(O3562)+IF(AND(B3563&lt;&gt;"",B3563&gt;='Uang Riba'!$H$30,B3563&lt;='Uang Riba'!$I$30,OR(H3563="Dana riba",H3563="Pinjam uang riba",I3563="Pinjam dari uang riba",I3563="Ganti uang riba",I3563="Kelebihan ganti dikembalikan",AND(C3563="Kantong Uang Riba",G3563="Pengeluaran"))),1,0)</f>
        <v/>
      </c>
      <c r="X3563" s="93">
        <f>IF(AND(B3563&lt;&gt;"",B3563&gt;='Buku Akun'!$H$4,B3563&lt;='Buku Akun'!$H$5,OR(C3563='Buku Akun'!$C$4,AND(D3563="Pindah",E3563='Buku Akun'!$C$4))),B3563+IF(AND(I3563="Selisih bunga",DAY(B3563)=1),0,0.01)+ROW()/10000000,"")</f>
        <v/>
      </c>
    </row>
    <row r="3564" outlineLevel="1" ht="15" customHeight="1" s="94">
      <c r="A3564" s="123">
        <f>IF(B3564="","",ROW()-15)</f>
        <v/>
      </c>
      <c r="B3564" s="124" t="n"/>
      <c r="C3564" s="123" t="n"/>
      <c r="D3564" s="123" t="n"/>
      <c r="E3564" s="123" t="n"/>
      <c r="F3564" s="125" t="n"/>
      <c r="G3564" s="123" t="n"/>
      <c r="H3564" s="123" t="n"/>
      <c r="I3564" s="123" t="n"/>
      <c r="J3564" s="123" t="n"/>
      <c r="K3564" s="123" t="n"/>
      <c r="L3564" s="123" t="n"/>
      <c r="M3564" s="123">
        <f>IF(AND(B3564&lt;&gt;"",OR($C$4="",ISNUMBER(SEARCH($C$4,C3564&amp;" "&amp;E3564&amp;" "&amp;G3564&amp;" "&amp;H3564&amp;" "&amp;I3564&amp;" "&amp;J3564&amp;" "&amp;K3564&amp;" "&amp;L3564))),OR($C$5="Semua",$C$5="",G3564=$C$5),OR($C$6="Semua",$C$6="",H3564=$C$6,H3564="Pengeluaran "&amp;$C$6,AND($C$6="Uang Kos Mama",H3564="Pengeluaran Uang Kos")),OR($C$7="Semua",$C$7="",I3564=$C$7),OR($C$8="Semua",$C$8="",C3564=$C$8,E3564=$C$8),OR($C$9="Semua",$C$9="",D3564=$C$9),OR($C$10="",B3564&gt;=$C$10),OR($C$11="",B3564&lt;=$C$11),OR($C$12&lt;&gt;"Ya",K3564&lt;&gt;""),OR($C$13="Semua",$C$13="",L3564=$C$13)),"✓","")</f>
        <v/>
      </c>
      <c r="N3564" s="93">
        <f>N(N3563)+IF(M3564="✓",1,0)</f>
        <v/>
      </c>
      <c r="O3564" s="93">
        <f>N(O3563)+IF(AND(B3564&lt;&gt;"",B3564&gt;='Uang Riba'!$H$30,B3564&lt;='Uang Riba'!$I$30,OR(H3564="Dana riba",H3564="Pinjam uang riba",I3564="Pinjam dari uang riba",I3564="Ganti uang riba",I3564="Kelebihan ganti dikembalikan",AND(C3564="Kantong Uang Riba",G3564="Pengeluaran"))),1,0)</f>
        <v/>
      </c>
      <c r="X3564" s="93">
        <f>IF(AND(B3564&lt;&gt;"",B3564&gt;='Buku Akun'!$H$4,B3564&lt;='Buku Akun'!$H$5,OR(C3564='Buku Akun'!$C$4,AND(D3564="Pindah",E3564='Buku Akun'!$C$4))),B3564+IF(AND(I3564="Selisih bunga",DAY(B3564)=1),0,0.01)+ROW()/10000000,"")</f>
        <v/>
      </c>
    </row>
    <row r="3565" outlineLevel="1" ht="15" customHeight="1" s="94">
      <c r="A3565" s="123">
        <f>IF(B3565="","",ROW()-15)</f>
        <v/>
      </c>
      <c r="B3565" s="124" t="n"/>
      <c r="C3565" s="123" t="n"/>
      <c r="D3565" s="123" t="n"/>
      <c r="E3565" s="123" t="n"/>
      <c r="F3565" s="125" t="n"/>
      <c r="G3565" s="123" t="n"/>
      <c r="H3565" s="123" t="n"/>
      <c r="I3565" s="123" t="n"/>
      <c r="J3565" s="123" t="n"/>
      <c r="K3565" s="123" t="n"/>
      <c r="L3565" s="123" t="n"/>
      <c r="M3565" s="123">
        <f>IF(AND(B3565&lt;&gt;"",OR($C$4="",ISNUMBER(SEARCH($C$4,C3565&amp;" "&amp;E3565&amp;" "&amp;G3565&amp;" "&amp;H3565&amp;" "&amp;I3565&amp;" "&amp;J3565&amp;" "&amp;K3565&amp;" "&amp;L3565))),OR($C$5="Semua",$C$5="",G3565=$C$5),OR($C$6="Semua",$C$6="",H3565=$C$6,H3565="Pengeluaran "&amp;$C$6,AND($C$6="Uang Kos Mama",H3565="Pengeluaran Uang Kos")),OR($C$7="Semua",$C$7="",I3565=$C$7),OR($C$8="Semua",$C$8="",C3565=$C$8,E3565=$C$8),OR($C$9="Semua",$C$9="",D3565=$C$9),OR($C$10="",B3565&gt;=$C$10),OR($C$11="",B3565&lt;=$C$11),OR($C$12&lt;&gt;"Ya",K3565&lt;&gt;""),OR($C$13="Semua",$C$13="",L3565=$C$13)),"✓","")</f>
        <v/>
      </c>
      <c r="N3565" s="93">
        <f>N(N3564)+IF(M3565="✓",1,0)</f>
        <v/>
      </c>
      <c r="O3565" s="93">
        <f>N(O3564)+IF(AND(B3565&lt;&gt;"",B3565&gt;='Uang Riba'!$H$30,B3565&lt;='Uang Riba'!$I$30,OR(H3565="Dana riba",H3565="Pinjam uang riba",I3565="Pinjam dari uang riba",I3565="Ganti uang riba",I3565="Kelebihan ganti dikembalikan",AND(C3565="Kantong Uang Riba",G3565="Pengeluaran"))),1,0)</f>
        <v/>
      </c>
      <c r="X3565" s="93">
        <f>IF(AND(B3565&lt;&gt;"",B3565&gt;='Buku Akun'!$H$4,B3565&lt;='Buku Akun'!$H$5,OR(C3565='Buku Akun'!$C$4,AND(D3565="Pindah",E3565='Buku Akun'!$C$4))),B3565+IF(AND(I3565="Selisih bunga",DAY(B3565)=1),0,0.01)+ROW()/10000000,"")</f>
        <v/>
      </c>
    </row>
    <row r="3566" outlineLevel="1" ht="15" customHeight="1" s="94">
      <c r="A3566" s="123">
        <f>IF(B3566="","",ROW()-15)</f>
        <v/>
      </c>
      <c r="B3566" s="124" t="n"/>
      <c r="C3566" s="123" t="n"/>
      <c r="D3566" s="123" t="n"/>
      <c r="E3566" s="123" t="n"/>
      <c r="F3566" s="125" t="n"/>
      <c r="G3566" s="123" t="n"/>
      <c r="H3566" s="123" t="n"/>
      <c r="I3566" s="123" t="n"/>
      <c r="J3566" s="123" t="n"/>
      <c r="K3566" s="123" t="n"/>
      <c r="L3566" s="123" t="n"/>
      <c r="M3566" s="123">
        <f>IF(AND(B3566&lt;&gt;"",OR($C$4="",ISNUMBER(SEARCH($C$4,C3566&amp;" "&amp;E3566&amp;" "&amp;G3566&amp;" "&amp;H3566&amp;" "&amp;I3566&amp;" "&amp;J3566&amp;" "&amp;K3566&amp;" "&amp;L3566))),OR($C$5="Semua",$C$5="",G3566=$C$5),OR($C$6="Semua",$C$6="",H3566=$C$6,H3566="Pengeluaran "&amp;$C$6,AND($C$6="Uang Kos Mama",H3566="Pengeluaran Uang Kos")),OR($C$7="Semua",$C$7="",I3566=$C$7),OR($C$8="Semua",$C$8="",C3566=$C$8,E3566=$C$8),OR($C$9="Semua",$C$9="",D3566=$C$9),OR($C$10="",B3566&gt;=$C$10),OR($C$11="",B3566&lt;=$C$11),OR($C$12&lt;&gt;"Ya",K3566&lt;&gt;""),OR($C$13="Semua",$C$13="",L3566=$C$13)),"✓","")</f>
        <v/>
      </c>
      <c r="N3566" s="93">
        <f>N(N3565)+IF(M3566="✓",1,0)</f>
        <v/>
      </c>
      <c r="O3566" s="93">
        <f>N(O3565)+IF(AND(B3566&lt;&gt;"",B3566&gt;='Uang Riba'!$H$30,B3566&lt;='Uang Riba'!$I$30,OR(H3566="Dana riba",H3566="Pinjam uang riba",I3566="Pinjam dari uang riba",I3566="Ganti uang riba",I3566="Kelebihan ganti dikembalikan",AND(C3566="Kantong Uang Riba",G3566="Pengeluaran"))),1,0)</f>
        <v/>
      </c>
      <c r="X3566" s="93">
        <f>IF(AND(B3566&lt;&gt;"",B3566&gt;='Buku Akun'!$H$4,B3566&lt;='Buku Akun'!$H$5,OR(C3566='Buku Akun'!$C$4,AND(D3566="Pindah",E3566='Buku Akun'!$C$4))),B3566+IF(AND(I3566="Selisih bunga",DAY(B3566)=1),0,0.01)+ROW()/10000000,"")</f>
        <v/>
      </c>
    </row>
    <row r="3567" outlineLevel="1" ht="15" customHeight="1" s="94">
      <c r="A3567" s="123">
        <f>IF(B3567="","",ROW()-15)</f>
        <v/>
      </c>
      <c r="B3567" s="124" t="n"/>
      <c r="C3567" s="123" t="n"/>
      <c r="D3567" s="123" t="n"/>
      <c r="E3567" s="123" t="n"/>
      <c r="F3567" s="125" t="n"/>
      <c r="G3567" s="123" t="n"/>
      <c r="H3567" s="123" t="n"/>
      <c r="I3567" s="123" t="n"/>
      <c r="J3567" s="123" t="n"/>
      <c r="K3567" s="123" t="n"/>
      <c r="L3567" s="123" t="n"/>
      <c r="M3567" s="123">
        <f>IF(AND(B3567&lt;&gt;"",OR($C$4="",ISNUMBER(SEARCH($C$4,C3567&amp;" "&amp;E3567&amp;" "&amp;G3567&amp;" "&amp;H3567&amp;" "&amp;I3567&amp;" "&amp;J3567&amp;" "&amp;K3567&amp;" "&amp;L3567))),OR($C$5="Semua",$C$5="",G3567=$C$5),OR($C$6="Semua",$C$6="",H3567=$C$6,H3567="Pengeluaran "&amp;$C$6,AND($C$6="Uang Kos Mama",H3567="Pengeluaran Uang Kos")),OR($C$7="Semua",$C$7="",I3567=$C$7),OR($C$8="Semua",$C$8="",C3567=$C$8,E3567=$C$8),OR($C$9="Semua",$C$9="",D3567=$C$9),OR($C$10="",B3567&gt;=$C$10),OR($C$11="",B3567&lt;=$C$11),OR($C$12&lt;&gt;"Ya",K3567&lt;&gt;""),OR($C$13="Semua",$C$13="",L3567=$C$13)),"✓","")</f>
        <v/>
      </c>
      <c r="N3567" s="93">
        <f>N(N3566)+IF(M3567="✓",1,0)</f>
        <v/>
      </c>
      <c r="O3567" s="93">
        <f>N(O3566)+IF(AND(B3567&lt;&gt;"",B3567&gt;='Uang Riba'!$H$30,B3567&lt;='Uang Riba'!$I$30,OR(H3567="Dana riba",H3567="Pinjam uang riba",I3567="Pinjam dari uang riba",I3567="Ganti uang riba",I3567="Kelebihan ganti dikembalikan",AND(C3567="Kantong Uang Riba",G3567="Pengeluaran"))),1,0)</f>
        <v/>
      </c>
      <c r="X3567" s="93">
        <f>IF(AND(B3567&lt;&gt;"",B3567&gt;='Buku Akun'!$H$4,B3567&lt;='Buku Akun'!$H$5,OR(C3567='Buku Akun'!$C$4,AND(D3567="Pindah",E3567='Buku Akun'!$C$4))),B3567+IF(AND(I3567="Selisih bunga",DAY(B3567)=1),0,0.01)+ROW()/10000000,"")</f>
        <v/>
      </c>
    </row>
    <row r="3568" outlineLevel="1" ht="15" customHeight="1" s="94">
      <c r="A3568" s="123">
        <f>IF(B3568="","",ROW()-15)</f>
        <v/>
      </c>
      <c r="B3568" s="124" t="n"/>
      <c r="C3568" s="123" t="n"/>
      <c r="D3568" s="123" t="n"/>
      <c r="E3568" s="123" t="n"/>
      <c r="F3568" s="125" t="n"/>
      <c r="G3568" s="123" t="n"/>
      <c r="H3568" s="123" t="n"/>
      <c r="I3568" s="123" t="n"/>
      <c r="J3568" s="123" t="n"/>
      <c r="K3568" s="123" t="n"/>
      <c r="L3568" s="123" t="n"/>
      <c r="M3568" s="123">
        <f>IF(AND(B3568&lt;&gt;"",OR($C$4="",ISNUMBER(SEARCH($C$4,C3568&amp;" "&amp;E3568&amp;" "&amp;G3568&amp;" "&amp;H3568&amp;" "&amp;I3568&amp;" "&amp;J3568&amp;" "&amp;K3568&amp;" "&amp;L3568))),OR($C$5="Semua",$C$5="",G3568=$C$5),OR($C$6="Semua",$C$6="",H3568=$C$6,H3568="Pengeluaran "&amp;$C$6,AND($C$6="Uang Kos Mama",H3568="Pengeluaran Uang Kos")),OR($C$7="Semua",$C$7="",I3568=$C$7),OR($C$8="Semua",$C$8="",C3568=$C$8,E3568=$C$8),OR($C$9="Semua",$C$9="",D3568=$C$9),OR($C$10="",B3568&gt;=$C$10),OR($C$11="",B3568&lt;=$C$11),OR($C$12&lt;&gt;"Ya",K3568&lt;&gt;""),OR($C$13="Semua",$C$13="",L3568=$C$13)),"✓","")</f>
        <v/>
      </c>
      <c r="N3568" s="93">
        <f>N(N3567)+IF(M3568="✓",1,0)</f>
        <v/>
      </c>
      <c r="O3568" s="93">
        <f>N(O3567)+IF(AND(B3568&lt;&gt;"",B3568&gt;='Uang Riba'!$H$30,B3568&lt;='Uang Riba'!$I$30,OR(H3568="Dana riba",H3568="Pinjam uang riba",I3568="Pinjam dari uang riba",I3568="Ganti uang riba",I3568="Kelebihan ganti dikembalikan",AND(C3568="Kantong Uang Riba",G3568="Pengeluaran"))),1,0)</f>
        <v/>
      </c>
      <c r="X3568" s="93">
        <f>IF(AND(B3568&lt;&gt;"",B3568&gt;='Buku Akun'!$H$4,B3568&lt;='Buku Akun'!$H$5,OR(C3568='Buku Akun'!$C$4,AND(D3568="Pindah",E3568='Buku Akun'!$C$4))),B3568+IF(AND(I3568="Selisih bunga",DAY(B3568)=1),0,0.01)+ROW()/10000000,"")</f>
        <v/>
      </c>
    </row>
    <row r="3569" outlineLevel="1" ht="15" customHeight="1" s="94">
      <c r="A3569" s="123">
        <f>IF(B3569="","",ROW()-15)</f>
        <v/>
      </c>
      <c r="B3569" s="124" t="n"/>
      <c r="C3569" s="123" t="n"/>
      <c r="D3569" s="123" t="n"/>
      <c r="E3569" s="123" t="n"/>
      <c r="F3569" s="125" t="n"/>
      <c r="G3569" s="123" t="n"/>
      <c r="H3569" s="123" t="n"/>
      <c r="I3569" s="123" t="n"/>
      <c r="J3569" s="123" t="n"/>
      <c r="K3569" s="123" t="n"/>
      <c r="L3569" s="123" t="n"/>
      <c r="M3569" s="123">
        <f>IF(AND(B3569&lt;&gt;"",OR($C$4="",ISNUMBER(SEARCH($C$4,C3569&amp;" "&amp;E3569&amp;" "&amp;G3569&amp;" "&amp;H3569&amp;" "&amp;I3569&amp;" "&amp;J3569&amp;" "&amp;K3569&amp;" "&amp;L3569))),OR($C$5="Semua",$C$5="",G3569=$C$5),OR($C$6="Semua",$C$6="",H3569=$C$6,H3569="Pengeluaran "&amp;$C$6,AND($C$6="Uang Kos Mama",H3569="Pengeluaran Uang Kos")),OR($C$7="Semua",$C$7="",I3569=$C$7),OR($C$8="Semua",$C$8="",C3569=$C$8,E3569=$C$8),OR($C$9="Semua",$C$9="",D3569=$C$9),OR($C$10="",B3569&gt;=$C$10),OR($C$11="",B3569&lt;=$C$11),OR($C$12&lt;&gt;"Ya",K3569&lt;&gt;""),OR($C$13="Semua",$C$13="",L3569=$C$13)),"✓","")</f>
        <v/>
      </c>
      <c r="N3569" s="93">
        <f>N(N3568)+IF(M3569="✓",1,0)</f>
        <v/>
      </c>
      <c r="O3569" s="93">
        <f>N(O3568)+IF(AND(B3569&lt;&gt;"",B3569&gt;='Uang Riba'!$H$30,B3569&lt;='Uang Riba'!$I$30,OR(H3569="Dana riba",H3569="Pinjam uang riba",I3569="Pinjam dari uang riba",I3569="Ganti uang riba",I3569="Kelebihan ganti dikembalikan",AND(C3569="Kantong Uang Riba",G3569="Pengeluaran"))),1,0)</f>
        <v/>
      </c>
      <c r="X3569" s="93">
        <f>IF(AND(B3569&lt;&gt;"",B3569&gt;='Buku Akun'!$H$4,B3569&lt;='Buku Akun'!$H$5,OR(C3569='Buku Akun'!$C$4,AND(D3569="Pindah",E3569='Buku Akun'!$C$4))),B3569+IF(AND(I3569="Selisih bunga",DAY(B3569)=1),0,0.01)+ROW()/10000000,"")</f>
        <v/>
      </c>
    </row>
    <row r="3570" outlineLevel="1" ht="15" customHeight="1" s="94">
      <c r="A3570" s="123">
        <f>IF(B3570="","",ROW()-15)</f>
        <v/>
      </c>
      <c r="B3570" s="124" t="n"/>
      <c r="C3570" s="123" t="n"/>
      <c r="D3570" s="123" t="n"/>
      <c r="E3570" s="123" t="n"/>
      <c r="F3570" s="125" t="n"/>
      <c r="G3570" s="123" t="n"/>
      <c r="H3570" s="123" t="n"/>
      <c r="I3570" s="123" t="n"/>
      <c r="J3570" s="123" t="n"/>
      <c r="K3570" s="123" t="n"/>
      <c r="L3570" s="123" t="n"/>
      <c r="M3570" s="123">
        <f>IF(AND(B3570&lt;&gt;"",OR($C$4="",ISNUMBER(SEARCH($C$4,C3570&amp;" "&amp;E3570&amp;" "&amp;G3570&amp;" "&amp;H3570&amp;" "&amp;I3570&amp;" "&amp;J3570&amp;" "&amp;K3570&amp;" "&amp;L3570))),OR($C$5="Semua",$C$5="",G3570=$C$5),OR($C$6="Semua",$C$6="",H3570=$C$6,H3570="Pengeluaran "&amp;$C$6,AND($C$6="Uang Kos Mama",H3570="Pengeluaran Uang Kos")),OR($C$7="Semua",$C$7="",I3570=$C$7),OR($C$8="Semua",$C$8="",C3570=$C$8,E3570=$C$8),OR($C$9="Semua",$C$9="",D3570=$C$9),OR($C$10="",B3570&gt;=$C$10),OR($C$11="",B3570&lt;=$C$11),OR($C$12&lt;&gt;"Ya",K3570&lt;&gt;""),OR($C$13="Semua",$C$13="",L3570=$C$13)),"✓","")</f>
        <v/>
      </c>
      <c r="N3570" s="93">
        <f>N(N3569)+IF(M3570="✓",1,0)</f>
        <v/>
      </c>
      <c r="O3570" s="93">
        <f>N(O3569)+IF(AND(B3570&lt;&gt;"",B3570&gt;='Uang Riba'!$H$30,B3570&lt;='Uang Riba'!$I$30,OR(H3570="Dana riba",H3570="Pinjam uang riba",I3570="Pinjam dari uang riba",I3570="Ganti uang riba",I3570="Kelebihan ganti dikembalikan",AND(C3570="Kantong Uang Riba",G3570="Pengeluaran"))),1,0)</f>
        <v/>
      </c>
      <c r="X3570" s="93">
        <f>IF(AND(B3570&lt;&gt;"",B3570&gt;='Buku Akun'!$H$4,B3570&lt;='Buku Akun'!$H$5,OR(C3570='Buku Akun'!$C$4,AND(D3570="Pindah",E3570='Buku Akun'!$C$4))),B3570+IF(AND(I3570="Selisih bunga",DAY(B3570)=1),0,0.01)+ROW()/10000000,"")</f>
        <v/>
      </c>
    </row>
    <row r="3571" outlineLevel="1" ht="15" customHeight="1" s="94">
      <c r="A3571" s="123">
        <f>IF(B3571="","",ROW()-15)</f>
        <v/>
      </c>
      <c r="B3571" s="124" t="n"/>
      <c r="C3571" s="123" t="n"/>
      <c r="D3571" s="123" t="n"/>
      <c r="E3571" s="123" t="n"/>
      <c r="F3571" s="125" t="n"/>
      <c r="G3571" s="123" t="n"/>
      <c r="H3571" s="123" t="n"/>
      <c r="I3571" s="123" t="n"/>
      <c r="J3571" s="123" t="n"/>
      <c r="K3571" s="123" t="n"/>
      <c r="L3571" s="123" t="n"/>
      <c r="M3571" s="123">
        <f>IF(AND(B3571&lt;&gt;"",OR($C$4="",ISNUMBER(SEARCH($C$4,C3571&amp;" "&amp;E3571&amp;" "&amp;G3571&amp;" "&amp;H3571&amp;" "&amp;I3571&amp;" "&amp;J3571&amp;" "&amp;K3571&amp;" "&amp;L3571))),OR($C$5="Semua",$C$5="",G3571=$C$5),OR($C$6="Semua",$C$6="",H3571=$C$6,H3571="Pengeluaran "&amp;$C$6,AND($C$6="Uang Kos Mama",H3571="Pengeluaran Uang Kos")),OR($C$7="Semua",$C$7="",I3571=$C$7),OR($C$8="Semua",$C$8="",C3571=$C$8,E3571=$C$8),OR($C$9="Semua",$C$9="",D3571=$C$9),OR($C$10="",B3571&gt;=$C$10),OR($C$11="",B3571&lt;=$C$11),OR($C$12&lt;&gt;"Ya",K3571&lt;&gt;""),OR($C$13="Semua",$C$13="",L3571=$C$13)),"✓","")</f>
        <v/>
      </c>
      <c r="N3571" s="93">
        <f>N(N3570)+IF(M3571="✓",1,0)</f>
        <v/>
      </c>
      <c r="O3571" s="93">
        <f>N(O3570)+IF(AND(B3571&lt;&gt;"",B3571&gt;='Uang Riba'!$H$30,B3571&lt;='Uang Riba'!$I$30,OR(H3571="Dana riba",H3571="Pinjam uang riba",I3571="Pinjam dari uang riba",I3571="Ganti uang riba",I3571="Kelebihan ganti dikembalikan",AND(C3571="Kantong Uang Riba",G3571="Pengeluaran"))),1,0)</f>
        <v/>
      </c>
      <c r="X3571" s="93">
        <f>IF(AND(B3571&lt;&gt;"",B3571&gt;='Buku Akun'!$H$4,B3571&lt;='Buku Akun'!$H$5,OR(C3571='Buku Akun'!$C$4,AND(D3571="Pindah",E3571='Buku Akun'!$C$4))),B3571+IF(AND(I3571="Selisih bunga",DAY(B3571)=1),0,0.01)+ROW()/10000000,"")</f>
        <v/>
      </c>
    </row>
    <row r="3572" outlineLevel="1" ht="15" customHeight="1" s="94">
      <c r="A3572" s="123">
        <f>IF(B3572="","",ROW()-15)</f>
        <v/>
      </c>
      <c r="B3572" s="124" t="n"/>
      <c r="C3572" s="123" t="n"/>
      <c r="D3572" s="123" t="n"/>
      <c r="E3572" s="123" t="n"/>
      <c r="F3572" s="125" t="n"/>
      <c r="G3572" s="123" t="n"/>
      <c r="H3572" s="123" t="n"/>
      <c r="I3572" s="123" t="n"/>
      <c r="J3572" s="123" t="n"/>
      <c r="K3572" s="123" t="n"/>
      <c r="L3572" s="123" t="n"/>
      <c r="M3572" s="123">
        <f>IF(AND(B3572&lt;&gt;"",OR($C$4="",ISNUMBER(SEARCH($C$4,C3572&amp;" "&amp;E3572&amp;" "&amp;G3572&amp;" "&amp;H3572&amp;" "&amp;I3572&amp;" "&amp;J3572&amp;" "&amp;K3572&amp;" "&amp;L3572))),OR($C$5="Semua",$C$5="",G3572=$C$5),OR($C$6="Semua",$C$6="",H3572=$C$6,H3572="Pengeluaran "&amp;$C$6,AND($C$6="Uang Kos Mama",H3572="Pengeluaran Uang Kos")),OR($C$7="Semua",$C$7="",I3572=$C$7),OR($C$8="Semua",$C$8="",C3572=$C$8,E3572=$C$8),OR($C$9="Semua",$C$9="",D3572=$C$9),OR($C$10="",B3572&gt;=$C$10),OR($C$11="",B3572&lt;=$C$11),OR($C$12&lt;&gt;"Ya",K3572&lt;&gt;""),OR($C$13="Semua",$C$13="",L3572=$C$13)),"✓","")</f>
        <v/>
      </c>
      <c r="N3572" s="93">
        <f>N(N3571)+IF(M3572="✓",1,0)</f>
        <v/>
      </c>
      <c r="O3572" s="93">
        <f>N(O3571)+IF(AND(B3572&lt;&gt;"",B3572&gt;='Uang Riba'!$H$30,B3572&lt;='Uang Riba'!$I$30,OR(H3572="Dana riba",H3572="Pinjam uang riba",I3572="Pinjam dari uang riba",I3572="Ganti uang riba",I3572="Kelebihan ganti dikembalikan",AND(C3572="Kantong Uang Riba",G3572="Pengeluaran"))),1,0)</f>
        <v/>
      </c>
      <c r="X3572" s="93">
        <f>IF(AND(B3572&lt;&gt;"",B3572&gt;='Buku Akun'!$H$4,B3572&lt;='Buku Akun'!$H$5,OR(C3572='Buku Akun'!$C$4,AND(D3572="Pindah",E3572='Buku Akun'!$C$4))),B3572+IF(AND(I3572="Selisih bunga",DAY(B3572)=1),0,0.01)+ROW()/10000000,"")</f>
        <v/>
      </c>
    </row>
    <row r="3573" outlineLevel="1" ht="15" customHeight="1" s="94">
      <c r="A3573" s="123">
        <f>IF(B3573="","",ROW()-15)</f>
        <v/>
      </c>
      <c r="B3573" s="124" t="n"/>
      <c r="C3573" s="123" t="n"/>
      <c r="D3573" s="123" t="n"/>
      <c r="E3573" s="123" t="n"/>
      <c r="F3573" s="125" t="n"/>
      <c r="G3573" s="123" t="n"/>
      <c r="H3573" s="123" t="n"/>
      <c r="I3573" s="123" t="n"/>
      <c r="J3573" s="123" t="n"/>
      <c r="K3573" s="123" t="n"/>
      <c r="L3573" s="123" t="n"/>
      <c r="M3573" s="123">
        <f>IF(AND(B3573&lt;&gt;"",OR($C$4="",ISNUMBER(SEARCH($C$4,C3573&amp;" "&amp;E3573&amp;" "&amp;G3573&amp;" "&amp;H3573&amp;" "&amp;I3573&amp;" "&amp;J3573&amp;" "&amp;K3573&amp;" "&amp;L3573))),OR($C$5="Semua",$C$5="",G3573=$C$5),OR($C$6="Semua",$C$6="",H3573=$C$6,H3573="Pengeluaran "&amp;$C$6,AND($C$6="Uang Kos Mama",H3573="Pengeluaran Uang Kos")),OR($C$7="Semua",$C$7="",I3573=$C$7),OR($C$8="Semua",$C$8="",C3573=$C$8,E3573=$C$8),OR($C$9="Semua",$C$9="",D3573=$C$9),OR($C$10="",B3573&gt;=$C$10),OR($C$11="",B3573&lt;=$C$11),OR($C$12&lt;&gt;"Ya",K3573&lt;&gt;""),OR($C$13="Semua",$C$13="",L3573=$C$13)),"✓","")</f>
        <v/>
      </c>
      <c r="N3573" s="93">
        <f>N(N3572)+IF(M3573="✓",1,0)</f>
        <v/>
      </c>
      <c r="O3573" s="93">
        <f>N(O3572)+IF(AND(B3573&lt;&gt;"",B3573&gt;='Uang Riba'!$H$30,B3573&lt;='Uang Riba'!$I$30,OR(H3573="Dana riba",H3573="Pinjam uang riba",I3573="Pinjam dari uang riba",I3573="Ganti uang riba",I3573="Kelebihan ganti dikembalikan",AND(C3573="Kantong Uang Riba",G3573="Pengeluaran"))),1,0)</f>
        <v/>
      </c>
      <c r="X3573" s="93">
        <f>IF(AND(B3573&lt;&gt;"",B3573&gt;='Buku Akun'!$H$4,B3573&lt;='Buku Akun'!$H$5,OR(C3573='Buku Akun'!$C$4,AND(D3573="Pindah",E3573='Buku Akun'!$C$4))),B3573+IF(AND(I3573="Selisih bunga",DAY(B3573)=1),0,0.01)+ROW()/10000000,"")</f>
        <v/>
      </c>
    </row>
    <row r="3574" outlineLevel="1" ht="15" customHeight="1" s="94">
      <c r="A3574" s="123">
        <f>IF(B3574="","",ROW()-15)</f>
        <v/>
      </c>
      <c r="B3574" s="124" t="n"/>
      <c r="C3574" s="123" t="n"/>
      <c r="D3574" s="123" t="n"/>
      <c r="E3574" s="123" t="n"/>
      <c r="F3574" s="125" t="n"/>
      <c r="G3574" s="123" t="n"/>
      <c r="H3574" s="123" t="n"/>
      <c r="I3574" s="123" t="n"/>
      <c r="J3574" s="123" t="n"/>
      <c r="K3574" s="123" t="n"/>
      <c r="L3574" s="123" t="n"/>
      <c r="M3574" s="123">
        <f>IF(AND(B3574&lt;&gt;"",OR($C$4="",ISNUMBER(SEARCH($C$4,C3574&amp;" "&amp;E3574&amp;" "&amp;G3574&amp;" "&amp;H3574&amp;" "&amp;I3574&amp;" "&amp;J3574&amp;" "&amp;K3574&amp;" "&amp;L3574))),OR($C$5="Semua",$C$5="",G3574=$C$5),OR($C$6="Semua",$C$6="",H3574=$C$6,H3574="Pengeluaran "&amp;$C$6,AND($C$6="Uang Kos Mama",H3574="Pengeluaran Uang Kos")),OR($C$7="Semua",$C$7="",I3574=$C$7),OR($C$8="Semua",$C$8="",C3574=$C$8,E3574=$C$8),OR($C$9="Semua",$C$9="",D3574=$C$9),OR($C$10="",B3574&gt;=$C$10),OR($C$11="",B3574&lt;=$C$11),OR($C$12&lt;&gt;"Ya",K3574&lt;&gt;""),OR($C$13="Semua",$C$13="",L3574=$C$13)),"✓","")</f>
        <v/>
      </c>
      <c r="N3574" s="93">
        <f>N(N3573)+IF(M3574="✓",1,0)</f>
        <v/>
      </c>
      <c r="O3574" s="93">
        <f>N(O3573)+IF(AND(B3574&lt;&gt;"",B3574&gt;='Uang Riba'!$H$30,B3574&lt;='Uang Riba'!$I$30,OR(H3574="Dana riba",H3574="Pinjam uang riba",I3574="Pinjam dari uang riba",I3574="Ganti uang riba",I3574="Kelebihan ganti dikembalikan",AND(C3574="Kantong Uang Riba",G3574="Pengeluaran"))),1,0)</f>
        <v/>
      </c>
      <c r="X3574" s="93">
        <f>IF(AND(B3574&lt;&gt;"",B3574&gt;='Buku Akun'!$H$4,B3574&lt;='Buku Akun'!$H$5,OR(C3574='Buku Akun'!$C$4,AND(D3574="Pindah",E3574='Buku Akun'!$C$4))),B3574+IF(AND(I3574="Selisih bunga",DAY(B3574)=1),0,0.01)+ROW()/10000000,"")</f>
        <v/>
      </c>
    </row>
    <row r="3575" outlineLevel="1" ht="15" customHeight="1" s="94">
      <c r="A3575" s="123">
        <f>IF(B3575="","",ROW()-15)</f>
        <v/>
      </c>
      <c r="B3575" s="124" t="n"/>
      <c r="C3575" s="123" t="n"/>
      <c r="D3575" s="123" t="n"/>
      <c r="E3575" s="123" t="n"/>
      <c r="F3575" s="125" t="n"/>
      <c r="G3575" s="123" t="n"/>
      <c r="H3575" s="123" t="n"/>
      <c r="I3575" s="123" t="n"/>
      <c r="J3575" s="123" t="n"/>
      <c r="K3575" s="123" t="n"/>
      <c r="L3575" s="123" t="n"/>
      <c r="M3575" s="123">
        <f>IF(AND(B3575&lt;&gt;"",OR($C$4="",ISNUMBER(SEARCH($C$4,C3575&amp;" "&amp;E3575&amp;" "&amp;G3575&amp;" "&amp;H3575&amp;" "&amp;I3575&amp;" "&amp;J3575&amp;" "&amp;K3575&amp;" "&amp;L3575))),OR($C$5="Semua",$C$5="",G3575=$C$5),OR($C$6="Semua",$C$6="",H3575=$C$6,H3575="Pengeluaran "&amp;$C$6,AND($C$6="Uang Kos Mama",H3575="Pengeluaran Uang Kos")),OR($C$7="Semua",$C$7="",I3575=$C$7),OR($C$8="Semua",$C$8="",C3575=$C$8,E3575=$C$8),OR($C$9="Semua",$C$9="",D3575=$C$9),OR($C$10="",B3575&gt;=$C$10),OR($C$11="",B3575&lt;=$C$11),OR($C$12&lt;&gt;"Ya",K3575&lt;&gt;""),OR($C$13="Semua",$C$13="",L3575=$C$13)),"✓","")</f>
        <v/>
      </c>
      <c r="N3575" s="93">
        <f>N(N3574)+IF(M3575="✓",1,0)</f>
        <v/>
      </c>
      <c r="O3575" s="93">
        <f>N(O3574)+IF(AND(B3575&lt;&gt;"",B3575&gt;='Uang Riba'!$H$30,B3575&lt;='Uang Riba'!$I$30,OR(H3575="Dana riba",H3575="Pinjam uang riba",I3575="Pinjam dari uang riba",I3575="Ganti uang riba",I3575="Kelebihan ganti dikembalikan",AND(C3575="Kantong Uang Riba",G3575="Pengeluaran"))),1,0)</f>
        <v/>
      </c>
      <c r="X3575" s="93">
        <f>IF(AND(B3575&lt;&gt;"",B3575&gt;='Buku Akun'!$H$4,B3575&lt;='Buku Akun'!$H$5,OR(C3575='Buku Akun'!$C$4,AND(D3575="Pindah",E3575='Buku Akun'!$C$4))),B3575+IF(AND(I3575="Selisih bunga",DAY(B3575)=1),0,0.01)+ROW()/10000000,"")</f>
        <v/>
      </c>
    </row>
    <row r="3576" outlineLevel="1" ht="15" customHeight="1" s="94">
      <c r="A3576" s="123">
        <f>IF(B3576="","",ROW()-15)</f>
        <v/>
      </c>
      <c r="B3576" s="124" t="n"/>
      <c r="C3576" s="123" t="n"/>
      <c r="D3576" s="123" t="n"/>
      <c r="E3576" s="123" t="n"/>
      <c r="F3576" s="125" t="n"/>
      <c r="G3576" s="123" t="n"/>
      <c r="H3576" s="123" t="n"/>
      <c r="I3576" s="123" t="n"/>
      <c r="J3576" s="123" t="n"/>
      <c r="K3576" s="123" t="n"/>
      <c r="L3576" s="123" t="n"/>
      <c r="M3576" s="123">
        <f>IF(AND(B3576&lt;&gt;"",OR($C$4="",ISNUMBER(SEARCH($C$4,C3576&amp;" "&amp;E3576&amp;" "&amp;G3576&amp;" "&amp;H3576&amp;" "&amp;I3576&amp;" "&amp;J3576&amp;" "&amp;K3576&amp;" "&amp;L3576))),OR($C$5="Semua",$C$5="",G3576=$C$5),OR($C$6="Semua",$C$6="",H3576=$C$6,H3576="Pengeluaran "&amp;$C$6,AND($C$6="Uang Kos Mama",H3576="Pengeluaran Uang Kos")),OR($C$7="Semua",$C$7="",I3576=$C$7),OR($C$8="Semua",$C$8="",C3576=$C$8,E3576=$C$8),OR($C$9="Semua",$C$9="",D3576=$C$9),OR($C$10="",B3576&gt;=$C$10),OR($C$11="",B3576&lt;=$C$11),OR($C$12&lt;&gt;"Ya",K3576&lt;&gt;""),OR($C$13="Semua",$C$13="",L3576=$C$13)),"✓","")</f>
        <v/>
      </c>
      <c r="N3576" s="93">
        <f>N(N3575)+IF(M3576="✓",1,0)</f>
        <v/>
      </c>
      <c r="O3576" s="93">
        <f>N(O3575)+IF(AND(B3576&lt;&gt;"",B3576&gt;='Uang Riba'!$H$30,B3576&lt;='Uang Riba'!$I$30,OR(H3576="Dana riba",H3576="Pinjam uang riba",I3576="Pinjam dari uang riba",I3576="Ganti uang riba",I3576="Kelebihan ganti dikembalikan",AND(C3576="Kantong Uang Riba",G3576="Pengeluaran"))),1,0)</f>
        <v/>
      </c>
      <c r="X3576" s="93">
        <f>IF(AND(B3576&lt;&gt;"",B3576&gt;='Buku Akun'!$H$4,B3576&lt;='Buku Akun'!$H$5,OR(C3576='Buku Akun'!$C$4,AND(D3576="Pindah",E3576='Buku Akun'!$C$4))),B3576+IF(AND(I3576="Selisih bunga",DAY(B3576)=1),0,0.01)+ROW()/10000000,"")</f>
        <v/>
      </c>
    </row>
    <row r="3577" outlineLevel="1" ht="15" customHeight="1" s="94">
      <c r="A3577" s="123">
        <f>IF(B3577="","",ROW()-15)</f>
        <v/>
      </c>
      <c r="B3577" s="124" t="n"/>
      <c r="C3577" s="123" t="n"/>
      <c r="D3577" s="123" t="n"/>
      <c r="E3577" s="123" t="n"/>
      <c r="F3577" s="125" t="n"/>
      <c r="G3577" s="123" t="n"/>
      <c r="H3577" s="123" t="n"/>
      <c r="I3577" s="123" t="n"/>
      <c r="J3577" s="123" t="n"/>
      <c r="K3577" s="123" t="n"/>
      <c r="L3577" s="123" t="n"/>
      <c r="M3577" s="123">
        <f>IF(AND(B3577&lt;&gt;"",OR($C$4="",ISNUMBER(SEARCH($C$4,C3577&amp;" "&amp;E3577&amp;" "&amp;G3577&amp;" "&amp;H3577&amp;" "&amp;I3577&amp;" "&amp;J3577&amp;" "&amp;K3577&amp;" "&amp;L3577))),OR($C$5="Semua",$C$5="",G3577=$C$5),OR($C$6="Semua",$C$6="",H3577=$C$6,H3577="Pengeluaran "&amp;$C$6,AND($C$6="Uang Kos Mama",H3577="Pengeluaran Uang Kos")),OR($C$7="Semua",$C$7="",I3577=$C$7),OR($C$8="Semua",$C$8="",C3577=$C$8,E3577=$C$8),OR($C$9="Semua",$C$9="",D3577=$C$9),OR($C$10="",B3577&gt;=$C$10),OR($C$11="",B3577&lt;=$C$11),OR($C$12&lt;&gt;"Ya",K3577&lt;&gt;""),OR($C$13="Semua",$C$13="",L3577=$C$13)),"✓","")</f>
        <v/>
      </c>
      <c r="N3577" s="93">
        <f>N(N3576)+IF(M3577="✓",1,0)</f>
        <v/>
      </c>
      <c r="O3577" s="93">
        <f>N(O3576)+IF(AND(B3577&lt;&gt;"",B3577&gt;='Uang Riba'!$H$30,B3577&lt;='Uang Riba'!$I$30,OR(H3577="Dana riba",H3577="Pinjam uang riba",I3577="Pinjam dari uang riba",I3577="Ganti uang riba",I3577="Kelebihan ganti dikembalikan",AND(C3577="Kantong Uang Riba",G3577="Pengeluaran"))),1,0)</f>
        <v/>
      </c>
      <c r="X3577" s="93">
        <f>IF(AND(B3577&lt;&gt;"",B3577&gt;='Buku Akun'!$H$4,B3577&lt;='Buku Akun'!$H$5,OR(C3577='Buku Akun'!$C$4,AND(D3577="Pindah",E3577='Buku Akun'!$C$4))),B3577+IF(AND(I3577="Selisih bunga",DAY(B3577)=1),0,0.01)+ROW()/10000000,"")</f>
        <v/>
      </c>
    </row>
    <row r="3578" outlineLevel="1" ht="15" customHeight="1" s="94">
      <c r="A3578" s="123">
        <f>IF(B3578="","",ROW()-15)</f>
        <v/>
      </c>
      <c r="B3578" s="124" t="n"/>
      <c r="C3578" s="123" t="n"/>
      <c r="D3578" s="123" t="n"/>
      <c r="E3578" s="123" t="n"/>
      <c r="F3578" s="125" t="n"/>
      <c r="G3578" s="123" t="n"/>
      <c r="H3578" s="123" t="n"/>
      <c r="I3578" s="123" t="n"/>
      <c r="J3578" s="123" t="n"/>
      <c r="K3578" s="123" t="n"/>
      <c r="L3578" s="123" t="n"/>
      <c r="M3578" s="123">
        <f>IF(AND(B3578&lt;&gt;"",OR($C$4="",ISNUMBER(SEARCH($C$4,C3578&amp;" "&amp;E3578&amp;" "&amp;G3578&amp;" "&amp;H3578&amp;" "&amp;I3578&amp;" "&amp;J3578&amp;" "&amp;K3578&amp;" "&amp;L3578))),OR($C$5="Semua",$C$5="",G3578=$C$5),OR($C$6="Semua",$C$6="",H3578=$C$6,H3578="Pengeluaran "&amp;$C$6,AND($C$6="Uang Kos Mama",H3578="Pengeluaran Uang Kos")),OR($C$7="Semua",$C$7="",I3578=$C$7),OR($C$8="Semua",$C$8="",C3578=$C$8,E3578=$C$8),OR($C$9="Semua",$C$9="",D3578=$C$9),OR($C$10="",B3578&gt;=$C$10),OR($C$11="",B3578&lt;=$C$11),OR($C$12&lt;&gt;"Ya",K3578&lt;&gt;""),OR($C$13="Semua",$C$13="",L3578=$C$13)),"✓","")</f>
        <v/>
      </c>
      <c r="N3578" s="93">
        <f>N(N3577)+IF(M3578="✓",1,0)</f>
        <v/>
      </c>
      <c r="O3578" s="93">
        <f>N(O3577)+IF(AND(B3578&lt;&gt;"",B3578&gt;='Uang Riba'!$H$30,B3578&lt;='Uang Riba'!$I$30,OR(H3578="Dana riba",H3578="Pinjam uang riba",I3578="Pinjam dari uang riba",I3578="Ganti uang riba",I3578="Kelebihan ganti dikembalikan",AND(C3578="Kantong Uang Riba",G3578="Pengeluaran"))),1,0)</f>
        <v/>
      </c>
      <c r="X3578" s="93">
        <f>IF(AND(B3578&lt;&gt;"",B3578&gt;='Buku Akun'!$H$4,B3578&lt;='Buku Akun'!$H$5,OR(C3578='Buku Akun'!$C$4,AND(D3578="Pindah",E3578='Buku Akun'!$C$4))),B3578+IF(AND(I3578="Selisih bunga",DAY(B3578)=1),0,0.01)+ROW()/10000000,"")</f>
        <v/>
      </c>
    </row>
    <row r="3579" outlineLevel="1" ht="15" customHeight="1" s="94">
      <c r="A3579" s="123">
        <f>IF(B3579="","",ROW()-15)</f>
        <v/>
      </c>
      <c r="B3579" s="124" t="n"/>
      <c r="C3579" s="123" t="n"/>
      <c r="D3579" s="123" t="n"/>
      <c r="E3579" s="123" t="n"/>
      <c r="F3579" s="125" t="n"/>
      <c r="G3579" s="123" t="n"/>
      <c r="H3579" s="123" t="n"/>
      <c r="I3579" s="123" t="n"/>
      <c r="J3579" s="123" t="n"/>
      <c r="K3579" s="123" t="n"/>
      <c r="L3579" s="123" t="n"/>
      <c r="M3579" s="123">
        <f>IF(AND(B3579&lt;&gt;"",OR($C$4="",ISNUMBER(SEARCH($C$4,C3579&amp;" "&amp;E3579&amp;" "&amp;G3579&amp;" "&amp;H3579&amp;" "&amp;I3579&amp;" "&amp;J3579&amp;" "&amp;K3579&amp;" "&amp;L3579))),OR($C$5="Semua",$C$5="",G3579=$C$5),OR($C$6="Semua",$C$6="",H3579=$C$6,H3579="Pengeluaran "&amp;$C$6,AND($C$6="Uang Kos Mama",H3579="Pengeluaran Uang Kos")),OR($C$7="Semua",$C$7="",I3579=$C$7),OR($C$8="Semua",$C$8="",C3579=$C$8,E3579=$C$8),OR($C$9="Semua",$C$9="",D3579=$C$9),OR($C$10="",B3579&gt;=$C$10),OR($C$11="",B3579&lt;=$C$11),OR($C$12&lt;&gt;"Ya",K3579&lt;&gt;""),OR($C$13="Semua",$C$13="",L3579=$C$13)),"✓","")</f>
        <v/>
      </c>
      <c r="N3579" s="93">
        <f>N(N3578)+IF(M3579="✓",1,0)</f>
        <v/>
      </c>
      <c r="O3579" s="93">
        <f>N(O3578)+IF(AND(B3579&lt;&gt;"",B3579&gt;='Uang Riba'!$H$30,B3579&lt;='Uang Riba'!$I$30,OR(H3579="Dana riba",H3579="Pinjam uang riba",I3579="Pinjam dari uang riba",I3579="Ganti uang riba",I3579="Kelebihan ganti dikembalikan",AND(C3579="Kantong Uang Riba",G3579="Pengeluaran"))),1,0)</f>
        <v/>
      </c>
      <c r="X3579" s="93">
        <f>IF(AND(B3579&lt;&gt;"",B3579&gt;='Buku Akun'!$H$4,B3579&lt;='Buku Akun'!$H$5,OR(C3579='Buku Akun'!$C$4,AND(D3579="Pindah",E3579='Buku Akun'!$C$4))),B3579+IF(AND(I3579="Selisih bunga",DAY(B3579)=1),0,0.01)+ROW()/10000000,"")</f>
        <v/>
      </c>
    </row>
    <row r="3580" outlineLevel="1" ht="15" customHeight="1" s="94">
      <c r="A3580" s="123">
        <f>IF(B3580="","",ROW()-15)</f>
        <v/>
      </c>
      <c r="B3580" s="124" t="n"/>
      <c r="C3580" s="123" t="n"/>
      <c r="D3580" s="123" t="n"/>
      <c r="E3580" s="123" t="n"/>
      <c r="F3580" s="125" t="n"/>
      <c r="G3580" s="123" t="n"/>
      <c r="H3580" s="123" t="n"/>
      <c r="I3580" s="123" t="n"/>
      <c r="J3580" s="123" t="n"/>
      <c r="K3580" s="123" t="n"/>
      <c r="L3580" s="123" t="n"/>
      <c r="M3580" s="123">
        <f>IF(AND(B3580&lt;&gt;"",OR($C$4="",ISNUMBER(SEARCH($C$4,C3580&amp;" "&amp;E3580&amp;" "&amp;G3580&amp;" "&amp;H3580&amp;" "&amp;I3580&amp;" "&amp;J3580&amp;" "&amp;K3580&amp;" "&amp;L3580))),OR($C$5="Semua",$C$5="",G3580=$C$5),OR($C$6="Semua",$C$6="",H3580=$C$6,H3580="Pengeluaran "&amp;$C$6,AND($C$6="Uang Kos Mama",H3580="Pengeluaran Uang Kos")),OR($C$7="Semua",$C$7="",I3580=$C$7),OR($C$8="Semua",$C$8="",C3580=$C$8,E3580=$C$8),OR($C$9="Semua",$C$9="",D3580=$C$9),OR($C$10="",B3580&gt;=$C$10),OR($C$11="",B3580&lt;=$C$11),OR($C$12&lt;&gt;"Ya",K3580&lt;&gt;""),OR($C$13="Semua",$C$13="",L3580=$C$13)),"✓","")</f>
        <v/>
      </c>
      <c r="N3580" s="93">
        <f>N(N3579)+IF(M3580="✓",1,0)</f>
        <v/>
      </c>
      <c r="O3580" s="93">
        <f>N(O3579)+IF(AND(B3580&lt;&gt;"",B3580&gt;='Uang Riba'!$H$30,B3580&lt;='Uang Riba'!$I$30,OR(H3580="Dana riba",H3580="Pinjam uang riba",I3580="Pinjam dari uang riba",I3580="Ganti uang riba",I3580="Kelebihan ganti dikembalikan",AND(C3580="Kantong Uang Riba",G3580="Pengeluaran"))),1,0)</f>
        <v/>
      </c>
      <c r="X3580" s="93">
        <f>IF(AND(B3580&lt;&gt;"",B3580&gt;='Buku Akun'!$H$4,B3580&lt;='Buku Akun'!$H$5,OR(C3580='Buku Akun'!$C$4,AND(D3580="Pindah",E3580='Buku Akun'!$C$4))),B3580+IF(AND(I3580="Selisih bunga",DAY(B3580)=1),0,0.01)+ROW()/10000000,"")</f>
        <v/>
      </c>
    </row>
    <row r="3581" outlineLevel="1" ht="15" customHeight="1" s="94">
      <c r="A3581" s="123">
        <f>IF(B3581="","",ROW()-15)</f>
        <v/>
      </c>
      <c r="B3581" s="124" t="n"/>
      <c r="C3581" s="123" t="n"/>
      <c r="D3581" s="123" t="n"/>
      <c r="E3581" s="123" t="n"/>
      <c r="F3581" s="125" t="n"/>
      <c r="G3581" s="123" t="n"/>
      <c r="H3581" s="123" t="n"/>
      <c r="I3581" s="123" t="n"/>
      <c r="J3581" s="123" t="n"/>
      <c r="K3581" s="123" t="n"/>
      <c r="L3581" s="123" t="n"/>
      <c r="M3581" s="123">
        <f>IF(AND(B3581&lt;&gt;"",OR($C$4="",ISNUMBER(SEARCH($C$4,C3581&amp;" "&amp;E3581&amp;" "&amp;G3581&amp;" "&amp;H3581&amp;" "&amp;I3581&amp;" "&amp;J3581&amp;" "&amp;K3581&amp;" "&amp;L3581))),OR($C$5="Semua",$C$5="",G3581=$C$5),OR($C$6="Semua",$C$6="",H3581=$C$6,H3581="Pengeluaran "&amp;$C$6,AND($C$6="Uang Kos Mama",H3581="Pengeluaran Uang Kos")),OR($C$7="Semua",$C$7="",I3581=$C$7),OR($C$8="Semua",$C$8="",C3581=$C$8,E3581=$C$8),OR($C$9="Semua",$C$9="",D3581=$C$9),OR($C$10="",B3581&gt;=$C$10),OR($C$11="",B3581&lt;=$C$11),OR($C$12&lt;&gt;"Ya",K3581&lt;&gt;""),OR($C$13="Semua",$C$13="",L3581=$C$13)),"✓","")</f>
        <v/>
      </c>
      <c r="N3581" s="93">
        <f>N(N3580)+IF(M3581="✓",1,0)</f>
        <v/>
      </c>
      <c r="O3581" s="93">
        <f>N(O3580)+IF(AND(B3581&lt;&gt;"",B3581&gt;='Uang Riba'!$H$30,B3581&lt;='Uang Riba'!$I$30,OR(H3581="Dana riba",H3581="Pinjam uang riba",I3581="Pinjam dari uang riba",I3581="Ganti uang riba",I3581="Kelebihan ganti dikembalikan",AND(C3581="Kantong Uang Riba",G3581="Pengeluaran"))),1,0)</f>
        <v/>
      </c>
      <c r="X3581" s="93">
        <f>IF(AND(B3581&lt;&gt;"",B3581&gt;='Buku Akun'!$H$4,B3581&lt;='Buku Akun'!$H$5,OR(C3581='Buku Akun'!$C$4,AND(D3581="Pindah",E3581='Buku Akun'!$C$4))),B3581+IF(AND(I3581="Selisih bunga",DAY(B3581)=1),0,0.01)+ROW()/10000000,"")</f>
        <v/>
      </c>
    </row>
    <row r="3582" outlineLevel="1" ht="15" customHeight="1" s="94">
      <c r="A3582" s="123">
        <f>IF(B3582="","",ROW()-15)</f>
        <v/>
      </c>
      <c r="B3582" s="124" t="n"/>
      <c r="C3582" s="123" t="n"/>
      <c r="D3582" s="123" t="n"/>
      <c r="E3582" s="123" t="n"/>
      <c r="F3582" s="125" t="n"/>
      <c r="G3582" s="123" t="n"/>
      <c r="H3582" s="123" t="n"/>
      <c r="I3582" s="123" t="n"/>
      <c r="J3582" s="123" t="n"/>
      <c r="K3582" s="123" t="n"/>
      <c r="L3582" s="123" t="n"/>
      <c r="M3582" s="123">
        <f>IF(AND(B3582&lt;&gt;"",OR($C$4="",ISNUMBER(SEARCH($C$4,C3582&amp;" "&amp;E3582&amp;" "&amp;G3582&amp;" "&amp;H3582&amp;" "&amp;I3582&amp;" "&amp;J3582&amp;" "&amp;K3582&amp;" "&amp;L3582))),OR($C$5="Semua",$C$5="",G3582=$C$5),OR($C$6="Semua",$C$6="",H3582=$C$6,H3582="Pengeluaran "&amp;$C$6,AND($C$6="Uang Kos Mama",H3582="Pengeluaran Uang Kos")),OR($C$7="Semua",$C$7="",I3582=$C$7),OR($C$8="Semua",$C$8="",C3582=$C$8,E3582=$C$8),OR($C$9="Semua",$C$9="",D3582=$C$9),OR($C$10="",B3582&gt;=$C$10),OR($C$11="",B3582&lt;=$C$11),OR($C$12&lt;&gt;"Ya",K3582&lt;&gt;""),OR($C$13="Semua",$C$13="",L3582=$C$13)),"✓","")</f>
        <v/>
      </c>
      <c r="N3582" s="93">
        <f>N(N3581)+IF(M3582="✓",1,0)</f>
        <v/>
      </c>
      <c r="O3582" s="93">
        <f>N(O3581)+IF(AND(B3582&lt;&gt;"",B3582&gt;='Uang Riba'!$H$30,B3582&lt;='Uang Riba'!$I$30,OR(H3582="Dana riba",H3582="Pinjam uang riba",I3582="Pinjam dari uang riba",I3582="Ganti uang riba",I3582="Kelebihan ganti dikembalikan",AND(C3582="Kantong Uang Riba",G3582="Pengeluaran"))),1,0)</f>
        <v/>
      </c>
      <c r="X3582" s="93">
        <f>IF(AND(B3582&lt;&gt;"",B3582&gt;='Buku Akun'!$H$4,B3582&lt;='Buku Akun'!$H$5,OR(C3582='Buku Akun'!$C$4,AND(D3582="Pindah",E3582='Buku Akun'!$C$4))),B3582+IF(AND(I3582="Selisih bunga",DAY(B3582)=1),0,0.01)+ROW()/10000000,"")</f>
        <v/>
      </c>
    </row>
    <row r="3583" outlineLevel="1" ht="15" customHeight="1" s="94">
      <c r="A3583" s="123">
        <f>IF(B3583="","",ROW()-15)</f>
        <v/>
      </c>
      <c r="B3583" s="124" t="n"/>
      <c r="C3583" s="123" t="n"/>
      <c r="D3583" s="123" t="n"/>
      <c r="E3583" s="123" t="n"/>
      <c r="F3583" s="125" t="n"/>
      <c r="G3583" s="123" t="n"/>
      <c r="H3583" s="123" t="n"/>
      <c r="I3583" s="123" t="n"/>
      <c r="J3583" s="123" t="n"/>
      <c r="K3583" s="123" t="n"/>
      <c r="L3583" s="123" t="n"/>
      <c r="M3583" s="123">
        <f>IF(AND(B3583&lt;&gt;"",OR($C$4="",ISNUMBER(SEARCH($C$4,C3583&amp;" "&amp;E3583&amp;" "&amp;G3583&amp;" "&amp;H3583&amp;" "&amp;I3583&amp;" "&amp;J3583&amp;" "&amp;K3583&amp;" "&amp;L3583))),OR($C$5="Semua",$C$5="",G3583=$C$5),OR($C$6="Semua",$C$6="",H3583=$C$6,H3583="Pengeluaran "&amp;$C$6,AND($C$6="Uang Kos Mama",H3583="Pengeluaran Uang Kos")),OR($C$7="Semua",$C$7="",I3583=$C$7),OR($C$8="Semua",$C$8="",C3583=$C$8,E3583=$C$8),OR($C$9="Semua",$C$9="",D3583=$C$9),OR($C$10="",B3583&gt;=$C$10),OR($C$11="",B3583&lt;=$C$11),OR($C$12&lt;&gt;"Ya",K3583&lt;&gt;""),OR($C$13="Semua",$C$13="",L3583=$C$13)),"✓","")</f>
        <v/>
      </c>
      <c r="N3583" s="93">
        <f>N(N3582)+IF(M3583="✓",1,0)</f>
        <v/>
      </c>
      <c r="O3583" s="93">
        <f>N(O3582)+IF(AND(B3583&lt;&gt;"",B3583&gt;='Uang Riba'!$H$30,B3583&lt;='Uang Riba'!$I$30,OR(H3583="Dana riba",H3583="Pinjam uang riba",I3583="Pinjam dari uang riba",I3583="Ganti uang riba",I3583="Kelebihan ganti dikembalikan",AND(C3583="Kantong Uang Riba",G3583="Pengeluaran"))),1,0)</f>
        <v/>
      </c>
      <c r="X3583" s="93">
        <f>IF(AND(B3583&lt;&gt;"",B3583&gt;='Buku Akun'!$H$4,B3583&lt;='Buku Akun'!$H$5,OR(C3583='Buku Akun'!$C$4,AND(D3583="Pindah",E3583='Buku Akun'!$C$4))),B3583+IF(AND(I3583="Selisih bunga",DAY(B3583)=1),0,0.01)+ROW()/10000000,"")</f>
        <v/>
      </c>
    </row>
    <row r="3584" outlineLevel="1" ht="15" customHeight="1" s="94">
      <c r="A3584" s="123">
        <f>IF(B3584="","",ROW()-15)</f>
        <v/>
      </c>
      <c r="B3584" s="124" t="n"/>
      <c r="C3584" s="123" t="n"/>
      <c r="D3584" s="123" t="n"/>
      <c r="E3584" s="123" t="n"/>
      <c r="F3584" s="125" t="n"/>
      <c r="G3584" s="123" t="n"/>
      <c r="H3584" s="123" t="n"/>
      <c r="I3584" s="123" t="n"/>
      <c r="J3584" s="123" t="n"/>
      <c r="K3584" s="123" t="n"/>
      <c r="L3584" s="123" t="n"/>
      <c r="M3584" s="123">
        <f>IF(AND(B3584&lt;&gt;"",OR($C$4="",ISNUMBER(SEARCH($C$4,C3584&amp;" "&amp;E3584&amp;" "&amp;G3584&amp;" "&amp;H3584&amp;" "&amp;I3584&amp;" "&amp;J3584&amp;" "&amp;K3584&amp;" "&amp;L3584))),OR($C$5="Semua",$C$5="",G3584=$C$5),OR($C$6="Semua",$C$6="",H3584=$C$6,H3584="Pengeluaran "&amp;$C$6,AND($C$6="Uang Kos Mama",H3584="Pengeluaran Uang Kos")),OR($C$7="Semua",$C$7="",I3584=$C$7),OR($C$8="Semua",$C$8="",C3584=$C$8,E3584=$C$8),OR($C$9="Semua",$C$9="",D3584=$C$9),OR($C$10="",B3584&gt;=$C$10),OR($C$11="",B3584&lt;=$C$11),OR($C$12&lt;&gt;"Ya",K3584&lt;&gt;""),OR($C$13="Semua",$C$13="",L3584=$C$13)),"✓","")</f>
        <v/>
      </c>
      <c r="N3584" s="93">
        <f>N(N3583)+IF(M3584="✓",1,0)</f>
        <v/>
      </c>
      <c r="O3584" s="93">
        <f>N(O3583)+IF(AND(B3584&lt;&gt;"",B3584&gt;='Uang Riba'!$H$30,B3584&lt;='Uang Riba'!$I$30,OR(H3584="Dana riba",H3584="Pinjam uang riba",I3584="Pinjam dari uang riba",I3584="Ganti uang riba",I3584="Kelebihan ganti dikembalikan",AND(C3584="Kantong Uang Riba",G3584="Pengeluaran"))),1,0)</f>
        <v/>
      </c>
      <c r="X3584" s="93">
        <f>IF(AND(B3584&lt;&gt;"",B3584&gt;='Buku Akun'!$H$4,B3584&lt;='Buku Akun'!$H$5,OR(C3584='Buku Akun'!$C$4,AND(D3584="Pindah",E3584='Buku Akun'!$C$4))),B3584+IF(AND(I3584="Selisih bunga",DAY(B3584)=1),0,0.01)+ROW()/10000000,"")</f>
        <v/>
      </c>
    </row>
    <row r="3585" outlineLevel="1" ht="15" customHeight="1" s="94">
      <c r="A3585" s="123">
        <f>IF(B3585="","",ROW()-15)</f>
        <v/>
      </c>
      <c r="B3585" s="124" t="n"/>
      <c r="C3585" s="123" t="n"/>
      <c r="D3585" s="123" t="n"/>
      <c r="E3585" s="123" t="n"/>
      <c r="F3585" s="125" t="n"/>
      <c r="G3585" s="123" t="n"/>
      <c r="H3585" s="123" t="n"/>
      <c r="I3585" s="123" t="n"/>
      <c r="J3585" s="123" t="n"/>
      <c r="K3585" s="123" t="n"/>
      <c r="L3585" s="123" t="n"/>
      <c r="M3585" s="123">
        <f>IF(AND(B3585&lt;&gt;"",OR($C$4="",ISNUMBER(SEARCH($C$4,C3585&amp;" "&amp;E3585&amp;" "&amp;G3585&amp;" "&amp;H3585&amp;" "&amp;I3585&amp;" "&amp;J3585&amp;" "&amp;K3585&amp;" "&amp;L3585))),OR($C$5="Semua",$C$5="",G3585=$C$5),OR($C$6="Semua",$C$6="",H3585=$C$6,H3585="Pengeluaran "&amp;$C$6,AND($C$6="Uang Kos Mama",H3585="Pengeluaran Uang Kos")),OR($C$7="Semua",$C$7="",I3585=$C$7),OR($C$8="Semua",$C$8="",C3585=$C$8,E3585=$C$8),OR($C$9="Semua",$C$9="",D3585=$C$9),OR($C$10="",B3585&gt;=$C$10),OR($C$11="",B3585&lt;=$C$11),OR($C$12&lt;&gt;"Ya",K3585&lt;&gt;""),OR($C$13="Semua",$C$13="",L3585=$C$13)),"✓","")</f>
        <v/>
      </c>
      <c r="N3585" s="93">
        <f>N(N3584)+IF(M3585="✓",1,0)</f>
        <v/>
      </c>
      <c r="O3585" s="93">
        <f>N(O3584)+IF(AND(B3585&lt;&gt;"",B3585&gt;='Uang Riba'!$H$30,B3585&lt;='Uang Riba'!$I$30,OR(H3585="Dana riba",H3585="Pinjam uang riba",I3585="Pinjam dari uang riba",I3585="Ganti uang riba",I3585="Kelebihan ganti dikembalikan",AND(C3585="Kantong Uang Riba",G3585="Pengeluaran"))),1,0)</f>
        <v/>
      </c>
      <c r="X3585" s="93">
        <f>IF(AND(B3585&lt;&gt;"",B3585&gt;='Buku Akun'!$H$4,B3585&lt;='Buku Akun'!$H$5,OR(C3585='Buku Akun'!$C$4,AND(D3585="Pindah",E3585='Buku Akun'!$C$4))),B3585+IF(AND(I3585="Selisih bunga",DAY(B3585)=1),0,0.01)+ROW()/10000000,"")</f>
        <v/>
      </c>
    </row>
    <row r="3586" outlineLevel="1" ht="15" customHeight="1" s="94">
      <c r="A3586" s="123">
        <f>IF(B3586="","",ROW()-15)</f>
        <v/>
      </c>
      <c r="B3586" s="124" t="n"/>
      <c r="C3586" s="123" t="n"/>
      <c r="D3586" s="123" t="n"/>
      <c r="E3586" s="123" t="n"/>
      <c r="F3586" s="125" t="n"/>
      <c r="G3586" s="123" t="n"/>
      <c r="H3586" s="123" t="n"/>
      <c r="I3586" s="123" t="n"/>
      <c r="J3586" s="123" t="n"/>
      <c r="K3586" s="123" t="n"/>
      <c r="L3586" s="123" t="n"/>
      <c r="M3586" s="123">
        <f>IF(AND(B3586&lt;&gt;"",OR($C$4="",ISNUMBER(SEARCH($C$4,C3586&amp;" "&amp;E3586&amp;" "&amp;G3586&amp;" "&amp;H3586&amp;" "&amp;I3586&amp;" "&amp;J3586&amp;" "&amp;K3586&amp;" "&amp;L3586))),OR($C$5="Semua",$C$5="",G3586=$C$5),OR($C$6="Semua",$C$6="",H3586=$C$6,H3586="Pengeluaran "&amp;$C$6,AND($C$6="Uang Kos Mama",H3586="Pengeluaran Uang Kos")),OR($C$7="Semua",$C$7="",I3586=$C$7),OR($C$8="Semua",$C$8="",C3586=$C$8,E3586=$C$8),OR($C$9="Semua",$C$9="",D3586=$C$9),OR($C$10="",B3586&gt;=$C$10),OR($C$11="",B3586&lt;=$C$11),OR($C$12&lt;&gt;"Ya",K3586&lt;&gt;""),OR($C$13="Semua",$C$13="",L3586=$C$13)),"✓","")</f>
        <v/>
      </c>
      <c r="N3586" s="93">
        <f>N(N3585)+IF(M3586="✓",1,0)</f>
        <v/>
      </c>
      <c r="O3586" s="93">
        <f>N(O3585)+IF(AND(B3586&lt;&gt;"",B3586&gt;='Uang Riba'!$H$30,B3586&lt;='Uang Riba'!$I$30,OR(H3586="Dana riba",H3586="Pinjam uang riba",I3586="Pinjam dari uang riba",I3586="Ganti uang riba",I3586="Kelebihan ganti dikembalikan",AND(C3586="Kantong Uang Riba",G3586="Pengeluaran"))),1,0)</f>
        <v/>
      </c>
      <c r="X3586" s="93">
        <f>IF(AND(B3586&lt;&gt;"",B3586&gt;='Buku Akun'!$H$4,B3586&lt;='Buku Akun'!$H$5,OR(C3586='Buku Akun'!$C$4,AND(D3586="Pindah",E3586='Buku Akun'!$C$4))),B3586+IF(AND(I3586="Selisih bunga",DAY(B3586)=1),0,0.01)+ROW()/10000000,"")</f>
        <v/>
      </c>
    </row>
    <row r="3587" outlineLevel="1" ht="15" customHeight="1" s="94">
      <c r="A3587" s="123">
        <f>IF(B3587="","",ROW()-15)</f>
        <v/>
      </c>
      <c r="B3587" s="124" t="n"/>
      <c r="C3587" s="123" t="n"/>
      <c r="D3587" s="123" t="n"/>
      <c r="E3587" s="123" t="n"/>
      <c r="F3587" s="125" t="n"/>
      <c r="G3587" s="123" t="n"/>
      <c r="H3587" s="123" t="n"/>
      <c r="I3587" s="123" t="n"/>
      <c r="J3587" s="123" t="n"/>
      <c r="K3587" s="123" t="n"/>
      <c r="L3587" s="123" t="n"/>
      <c r="M3587" s="123">
        <f>IF(AND(B3587&lt;&gt;"",OR($C$4="",ISNUMBER(SEARCH($C$4,C3587&amp;" "&amp;E3587&amp;" "&amp;G3587&amp;" "&amp;H3587&amp;" "&amp;I3587&amp;" "&amp;J3587&amp;" "&amp;K3587&amp;" "&amp;L3587))),OR($C$5="Semua",$C$5="",G3587=$C$5),OR($C$6="Semua",$C$6="",H3587=$C$6,H3587="Pengeluaran "&amp;$C$6,AND($C$6="Uang Kos Mama",H3587="Pengeluaran Uang Kos")),OR($C$7="Semua",$C$7="",I3587=$C$7),OR($C$8="Semua",$C$8="",C3587=$C$8,E3587=$C$8),OR($C$9="Semua",$C$9="",D3587=$C$9),OR($C$10="",B3587&gt;=$C$10),OR($C$11="",B3587&lt;=$C$11),OR($C$12&lt;&gt;"Ya",K3587&lt;&gt;""),OR($C$13="Semua",$C$13="",L3587=$C$13)),"✓","")</f>
        <v/>
      </c>
      <c r="N3587" s="93">
        <f>N(N3586)+IF(M3587="✓",1,0)</f>
        <v/>
      </c>
      <c r="O3587" s="93">
        <f>N(O3586)+IF(AND(B3587&lt;&gt;"",B3587&gt;='Uang Riba'!$H$30,B3587&lt;='Uang Riba'!$I$30,OR(H3587="Dana riba",H3587="Pinjam uang riba",I3587="Pinjam dari uang riba",I3587="Ganti uang riba",I3587="Kelebihan ganti dikembalikan",AND(C3587="Kantong Uang Riba",G3587="Pengeluaran"))),1,0)</f>
        <v/>
      </c>
      <c r="X3587" s="93">
        <f>IF(AND(B3587&lt;&gt;"",B3587&gt;='Buku Akun'!$H$4,B3587&lt;='Buku Akun'!$H$5,OR(C3587='Buku Akun'!$C$4,AND(D3587="Pindah",E3587='Buku Akun'!$C$4))),B3587+IF(AND(I3587="Selisih bunga",DAY(B3587)=1),0,0.01)+ROW()/10000000,"")</f>
        <v/>
      </c>
    </row>
    <row r="3588" outlineLevel="1" ht="15" customHeight="1" s="94">
      <c r="A3588" s="123">
        <f>IF(B3588="","",ROW()-15)</f>
        <v/>
      </c>
      <c r="B3588" s="124" t="n"/>
      <c r="C3588" s="123" t="n"/>
      <c r="D3588" s="123" t="n"/>
      <c r="E3588" s="123" t="n"/>
      <c r="F3588" s="125" t="n"/>
      <c r="G3588" s="123" t="n"/>
      <c r="H3588" s="123" t="n"/>
      <c r="I3588" s="123" t="n"/>
      <c r="J3588" s="123" t="n"/>
      <c r="K3588" s="123" t="n"/>
      <c r="L3588" s="123" t="n"/>
      <c r="M3588" s="123">
        <f>IF(AND(B3588&lt;&gt;"",OR($C$4="",ISNUMBER(SEARCH($C$4,C3588&amp;" "&amp;E3588&amp;" "&amp;G3588&amp;" "&amp;H3588&amp;" "&amp;I3588&amp;" "&amp;J3588&amp;" "&amp;K3588&amp;" "&amp;L3588))),OR($C$5="Semua",$C$5="",G3588=$C$5),OR($C$6="Semua",$C$6="",H3588=$C$6,H3588="Pengeluaran "&amp;$C$6,AND($C$6="Uang Kos Mama",H3588="Pengeluaran Uang Kos")),OR($C$7="Semua",$C$7="",I3588=$C$7),OR($C$8="Semua",$C$8="",C3588=$C$8,E3588=$C$8),OR($C$9="Semua",$C$9="",D3588=$C$9),OR($C$10="",B3588&gt;=$C$10),OR($C$11="",B3588&lt;=$C$11),OR($C$12&lt;&gt;"Ya",K3588&lt;&gt;""),OR($C$13="Semua",$C$13="",L3588=$C$13)),"✓","")</f>
        <v/>
      </c>
      <c r="N3588" s="93">
        <f>N(N3587)+IF(M3588="✓",1,0)</f>
        <v/>
      </c>
      <c r="O3588" s="93">
        <f>N(O3587)+IF(AND(B3588&lt;&gt;"",B3588&gt;='Uang Riba'!$H$30,B3588&lt;='Uang Riba'!$I$30,OR(H3588="Dana riba",H3588="Pinjam uang riba",I3588="Pinjam dari uang riba",I3588="Ganti uang riba",I3588="Kelebihan ganti dikembalikan",AND(C3588="Kantong Uang Riba",G3588="Pengeluaran"))),1,0)</f>
        <v/>
      </c>
      <c r="X3588" s="93">
        <f>IF(AND(B3588&lt;&gt;"",B3588&gt;='Buku Akun'!$H$4,B3588&lt;='Buku Akun'!$H$5,OR(C3588='Buku Akun'!$C$4,AND(D3588="Pindah",E3588='Buku Akun'!$C$4))),B3588+IF(AND(I3588="Selisih bunga",DAY(B3588)=1),0,0.01)+ROW()/10000000,"")</f>
        <v/>
      </c>
    </row>
    <row r="3589" outlineLevel="1" ht="15" customHeight="1" s="94">
      <c r="A3589" s="123">
        <f>IF(B3589="","",ROW()-15)</f>
        <v/>
      </c>
      <c r="B3589" s="124" t="n"/>
      <c r="C3589" s="123" t="n"/>
      <c r="D3589" s="123" t="n"/>
      <c r="E3589" s="123" t="n"/>
      <c r="F3589" s="125" t="n"/>
      <c r="G3589" s="123" t="n"/>
      <c r="H3589" s="123" t="n"/>
      <c r="I3589" s="123" t="n"/>
      <c r="J3589" s="123" t="n"/>
      <c r="K3589" s="123" t="n"/>
      <c r="L3589" s="123" t="n"/>
      <c r="M3589" s="123">
        <f>IF(AND(B3589&lt;&gt;"",OR($C$4="",ISNUMBER(SEARCH($C$4,C3589&amp;" "&amp;E3589&amp;" "&amp;G3589&amp;" "&amp;H3589&amp;" "&amp;I3589&amp;" "&amp;J3589&amp;" "&amp;K3589&amp;" "&amp;L3589))),OR($C$5="Semua",$C$5="",G3589=$C$5),OR($C$6="Semua",$C$6="",H3589=$C$6,H3589="Pengeluaran "&amp;$C$6,AND($C$6="Uang Kos Mama",H3589="Pengeluaran Uang Kos")),OR($C$7="Semua",$C$7="",I3589=$C$7),OR($C$8="Semua",$C$8="",C3589=$C$8,E3589=$C$8),OR($C$9="Semua",$C$9="",D3589=$C$9),OR($C$10="",B3589&gt;=$C$10),OR($C$11="",B3589&lt;=$C$11),OR($C$12&lt;&gt;"Ya",K3589&lt;&gt;""),OR($C$13="Semua",$C$13="",L3589=$C$13)),"✓","")</f>
        <v/>
      </c>
      <c r="N3589" s="93">
        <f>N(N3588)+IF(M3589="✓",1,0)</f>
        <v/>
      </c>
      <c r="O3589" s="93">
        <f>N(O3588)+IF(AND(B3589&lt;&gt;"",B3589&gt;='Uang Riba'!$H$30,B3589&lt;='Uang Riba'!$I$30,OR(H3589="Dana riba",H3589="Pinjam uang riba",I3589="Pinjam dari uang riba",I3589="Ganti uang riba",I3589="Kelebihan ganti dikembalikan",AND(C3589="Kantong Uang Riba",G3589="Pengeluaran"))),1,0)</f>
        <v/>
      </c>
      <c r="X3589" s="93">
        <f>IF(AND(B3589&lt;&gt;"",B3589&gt;='Buku Akun'!$H$4,B3589&lt;='Buku Akun'!$H$5,OR(C3589='Buku Akun'!$C$4,AND(D3589="Pindah",E3589='Buku Akun'!$C$4))),B3589+IF(AND(I3589="Selisih bunga",DAY(B3589)=1),0,0.01)+ROW()/10000000,"")</f>
        <v/>
      </c>
    </row>
    <row r="3590" outlineLevel="1" ht="15" customHeight="1" s="94">
      <c r="A3590" s="123">
        <f>IF(B3590="","",ROW()-15)</f>
        <v/>
      </c>
      <c r="B3590" s="124" t="n"/>
      <c r="C3590" s="123" t="n"/>
      <c r="D3590" s="123" t="n"/>
      <c r="E3590" s="123" t="n"/>
      <c r="F3590" s="125" t="n"/>
      <c r="G3590" s="123" t="n"/>
      <c r="H3590" s="123" t="n"/>
      <c r="I3590" s="123" t="n"/>
      <c r="J3590" s="123" t="n"/>
      <c r="K3590" s="123" t="n"/>
      <c r="L3590" s="123" t="n"/>
      <c r="M3590" s="123">
        <f>IF(AND(B3590&lt;&gt;"",OR($C$4="",ISNUMBER(SEARCH($C$4,C3590&amp;" "&amp;E3590&amp;" "&amp;G3590&amp;" "&amp;H3590&amp;" "&amp;I3590&amp;" "&amp;J3590&amp;" "&amp;K3590&amp;" "&amp;L3590))),OR($C$5="Semua",$C$5="",G3590=$C$5),OR($C$6="Semua",$C$6="",H3590=$C$6,H3590="Pengeluaran "&amp;$C$6,AND($C$6="Uang Kos Mama",H3590="Pengeluaran Uang Kos")),OR($C$7="Semua",$C$7="",I3590=$C$7),OR($C$8="Semua",$C$8="",C3590=$C$8,E3590=$C$8),OR($C$9="Semua",$C$9="",D3590=$C$9),OR($C$10="",B3590&gt;=$C$10),OR($C$11="",B3590&lt;=$C$11),OR($C$12&lt;&gt;"Ya",K3590&lt;&gt;""),OR($C$13="Semua",$C$13="",L3590=$C$13)),"✓","")</f>
        <v/>
      </c>
      <c r="N3590" s="93">
        <f>N(N3589)+IF(M3590="✓",1,0)</f>
        <v/>
      </c>
      <c r="O3590" s="93">
        <f>N(O3589)+IF(AND(B3590&lt;&gt;"",B3590&gt;='Uang Riba'!$H$30,B3590&lt;='Uang Riba'!$I$30,OR(H3590="Dana riba",H3590="Pinjam uang riba",I3590="Pinjam dari uang riba",I3590="Ganti uang riba",I3590="Kelebihan ganti dikembalikan",AND(C3590="Kantong Uang Riba",G3590="Pengeluaran"))),1,0)</f>
        <v/>
      </c>
      <c r="X3590" s="93">
        <f>IF(AND(B3590&lt;&gt;"",B3590&gt;='Buku Akun'!$H$4,B3590&lt;='Buku Akun'!$H$5,OR(C3590='Buku Akun'!$C$4,AND(D3590="Pindah",E3590='Buku Akun'!$C$4))),B3590+IF(AND(I3590="Selisih bunga",DAY(B3590)=1),0,0.01)+ROW()/10000000,"")</f>
        <v/>
      </c>
    </row>
    <row r="3591" outlineLevel="1" ht="15" customHeight="1" s="94">
      <c r="A3591" s="123">
        <f>IF(B3591="","",ROW()-15)</f>
        <v/>
      </c>
      <c r="B3591" s="124" t="n"/>
      <c r="C3591" s="123" t="n"/>
      <c r="D3591" s="123" t="n"/>
      <c r="E3591" s="123" t="n"/>
      <c r="F3591" s="125" t="n"/>
      <c r="G3591" s="123" t="n"/>
      <c r="H3591" s="123" t="n"/>
      <c r="I3591" s="123" t="n"/>
      <c r="J3591" s="123" t="n"/>
      <c r="K3591" s="123" t="n"/>
      <c r="L3591" s="123" t="n"/>
      <c r="M3591" s="123">
        <f>IF(AND(B3591&lt;&gt;"",OR($C$4="",ISNUMBER(SEARCH($C$4,C3591&amp;" "&amp;E3591&amp;" "&amp;G3591&amp;" "&amp;H3591&amp;" "&amp;I3591&amp;" "&amp;J3591&amp;" "&amp;K3591&amp;" "&amp;L3591))),OR($C$5="Semua",$C$5="",G3591=$C$5),OR($C$6="Semua",$C$6="",H3591=$C$6,H3591="Pengeluaran "&amp;$C$6,AND($C$6="Uang Kos Mama",H3591="Pengeluaran Uang Kos")),OR($C$7="Semua",$C$7="",I3591=$C$7),OR($C$8="Semua",$C$8="",C3591=$C$8,E3591=$C$8),OR($C$9="Semua",$C$9="",D3591=$C$9),OR($C$10="",B3591&gt;=$C$10),OR($C$11="",B3591&lt;=$C$11),OR($C$12&lt;&gt;"Ya",K3591&lt;&gt;""),OR($C$13="Semua",$C$13="",L3591=$C$13)),"✓","")</f>
        <v/>
      </c>
      <c r="N3591" s="93">
        <f>N(N3590)+IF(M3591="✓",1,0)</f>
        <v/>
      </c>
      <c r="O3591" s="93">
        <f>N(O3590)+IF(AND(B3591&lt;&gt;"",B3591&gt;='Uang Riba'!$H$30,B3591&lt;='Uang Riba'!$I$30,OR(H3591="Dana riba",H3591="Pinjam uang riba",I3591="Pinjam dari uang riba",I3591="Ganti uang riba",I3591="Kelebihan ganti dikembalikan",AND(C3591="Kantong Uang Riba",G3591="Pengeluaran"))),1,0)</f>
        <v/>
      </c>
      <c r="X3591" s="93">
        <f>IF(AND(B3591&lt;&gt;"",B3591&gt;='Buku Akun'!$H$4,B3591&lt;='Buku Akun'!$H$5,OR(C3591='Buku Akun'!$C$4,AND(D3591="Pindah",E3591='Buku Akun'!$C$4))),B3591+IF(AND(I3591="Selisih bunga",DAY(B3591)=1),0,0.01)+ROW()/10000000,"")</f>
        <v/>
      </c>
    </row>
    <row r="3592" outlineLevel="1" ht="15" customHeight="1" s="94">
      <c r="A3592" s="123">
        <f>IF(B3592="","",ROW()-15)</f>
        <v/>
      </c>
      <c r="B3592" s="124" t="n"/>
      <c r="C3592" s="123" t="n"/>
      <c r="D3592" s="123" t="n"/>
      <c r="E3592" s="123" t="n"/>
      <c r="F3592" s="125" t="n"/>
      <c r="G3592" s="123" t="n"/>
      <c r="H3592" s="123" t="n"/>
      <c r="I3592" s="123" t="n"/>
      <c r="J3592" s="123" t="n"/>
      <c r="K3592" s="123" t="n"/>
      <c r="L3592" s="123" t="n"/>
      <c r="M3592" s="123">
        <f>IF(AND(B3592&lt;&gt;"",OR($C$4="",ISNUMBER(SEARCH($C$4,C3592&amp;" "&amp;E3592&amp;" "&amp;G3592&amp;" "&amp;H3592&amp;" "&amp;I3592&amp;" "&amp;J3592&amp;" "&amp;K3592&amp;" "&amp;L3592))),OR($C$5="Semua",$C$5="",G3592=$C$5),OR($C$6="Semua",$C$6="",H3592=$C$6,H3592="Pengeluaran "&amp;$C$6,AND($C$6="Uang Kos Mama",H3592="Pengeluaran Uang Kos")),OR($C$7="Semua",$C$7="",I3592=$C$7),OR($C$8="Semua",$C$8="",C3592=$C$8,E3592=$C$8),OR($C$9="Semua",$C$9="",D3592=$C$9),OR($C$10="",B3592&gt;=$C$10),OR($C$11="",B3592&lt;=$C$11),OR($C$12&lt;&gt;"Ya",K3592&lt;&gt;""),OR($C$13="Semua",$C$13="",L3592=$C$13)),"✓","")</f>
        <v/>
      </c>
      <c r="N3592" s="93">
        <f>N(N3591)+IF(M3592="✓",1,0)</f>
        <v/>
      </c>
      <c r="O3592" s="93">
        <f>N(O3591)+IF(AND(B3592&lt;&gt;"",B3592&gt;='Uang Riba'!$H$30,B3592&lt;='Uang Riba'!$I$30,OR(H3592="Dana riba",H3592="Pinjam uang riba",I3592="Pinjam dari uang riba",I3592="Ganti uang riba",I3592="Kelebihan ganti dikembalikan",AND(C3592="Kantong Uang Riba",G3592="Pengeluaran"))),1,0)</f>
        <v/>
      </c>
      <c r="X3592" s="93">
        <f>IF(AND(B3592&lt;&gt;"",B3592&gt;='Buku Akun'!$H$4,B3592&lt;='Buku Akun'!$H$5,OR(C3592='Buku Akun'!$C$4,AND(D3592="Pindah",E3592='Buku Akun'!$C$4))),B3592+IF(AND(I3592="Selisih bunga",DAY(B3592)=1),0,0.01)+ROW()/10000000,"")</f>
        <v/>
      </c>
    </row>
    <row r="3593" outlineLevel="1" ht="15" customHeight="1" s="94">
      <c r="A3593" s="123">
        <f>IF(B3593="","",ROW()-15)</f>
        <v/>
      </c>
      <c r="B3593" s="124" t="n"/>
      <c r="C3593" s="123" t="n"/>
      <c r="D3593" s="123" t="n"/>
      <c r="E3593" s="123" t="n"/>
      <c r="F3593" s="125" t="n"/>
      <c r="G3593" s="123" t="n"/>
      <c r="H3593" s="123" t="n"/>
      <c r="I3593" s="123" t="n"/>
      <c r="J3593" s="123" t="n"/>
      <c r="K3593" s="123" t="n"/>
      <c r="L3593" s="123" t="n"/>
      <c r="M3593" s="123">
        <f>IF(AND(B3593&lt;&gt;"",OR($C$4="",ISNUMBER(SEARCH($C$4,C3593&amp;" "&amp;E3593&amp;" "&amp;G3593&amp;" "&amp;H3593&amp;" "&amp;I3593&amp;" "&amp;J3593&amp;" "&amp;K3593&amp;" "&amp;L3593))),OR($C$5="Semua",$C$5="",G3593=$C$5),OR($C$6="Semua",$C$6="",H3593=$C$6,H3593="Pengeluaran "&amp;$C$6,AND($C$6="Uang Kos Mama",H3593="Pengeluaran Uang Kos")),OR($C$7="Semua",$C$7="",I3593=$C$7),OR($C$8="Semua",$C$8="",C3593=$C$8,E3593=$C$8),OR($C$9="Semua",$C$9="",D3593=$C$9),OR($C$10="",B3593&gt;=$C$10),OR($C$11="",B3593&lt;=$C$11),OR($C$12&lt;&gt;"Ya",K3593&lt;&gt;""),OR($C$13="Semua",$C$13="",L3593=$C$13)),"✓","")</f>
        <v/>
      </c>
      <c r="N3593" s="93">
        <f>N(N3592)+IF(M3593="✓",1,0)</f>
        <v/>
      </c>
      <c r="O3593" s="93">
        <f>N(O3592)+IF(AND(B3593&lt;&gt;"",B3593&gt;='Uang Riba'!$H$30,B3593&lt;='Uang Riba'!$I$30,OR(H3593="Dana riba",H3593="Pinjam uang riba",I3593="Pinjam dari uang riba",I3593="Ganti uang riba",I3593="Kelebihan ganti dikembalikan",AND(C3593="Kantong Uang Riba",G3593="Pengeluaran"))),1,0)</f>
        <v/>
      </c>
      <c r="X3593" s="93">
        <f>IF(AND(B3593&lt;&gt;"",B3593&gt;='Buku Akun'!$H$4,B3593&lt;='Buku Akun'!$H$5,OR(C3593='Buku Akun'!$C$4,AND(D3593="Pindah",E3593='Buku Akun'!$C$4))),B3593+IF(AND(I3593="Selisih bunga",DAY(B3593)=1),0,0.01)+ROW()/10000000,"")</f>
        <v/>
      </c>
    </row>
    <row r="3594" outlineLevel="1" ht="15" customHeight="1" s="94">
      <c r="A3594" s="123">
        <f>IF(B3594="","",ROW()-15)</f>
        <v/>
      </c>
      <c r="B3594" s="124" t="n"/>
      <c r="C3594" s="123" t="n"/>
      <c r="D3594" s="123" t="n"/>
      <c r="E3594" s="123" t="n"/>
      <c r="F3594" s="125" t="n"/>
      <c r="G3594" s="123" t="n"/>
      <c r="H3594" s="123" t="n"/>
      <c r="I3594" s="123" t="n"/>
      <c r="J3594" s="123" t="n"/>
      <c r="K3594" s="123" t="n"/>
      <c r="L3594" s="123" t="n"/>
      <c r="M3594" s="123">
        <f>IF(AND(B3594&lt;&gt;"",OR($C$4="",ISNUMBER(SEARCH($C$4,C3594&amp;" "&amp;E3594&amp;" "&amp;G3594&amp;" "&amp;H3594&amp;" "&amp;I3594&amp;" "&amp;J3594&amp;" "&amp;K3594&amp;" "&amp;L3594))),OR($C$5="Semua",$C$5="",G3594=$C$5),OR($C$6="Semua",$C$6="",H3594=$C$6,H3594="Pengeluaran "&amp;$C$6,AND($C$6="Uang Kos Mama",H3594="Pengeluaran Uang Kos")),OR($C$7="Semua",$C$7="",I3594=$C$7),OR($C$8="Semua",$C$8="",C3594=$C$8,E3594=$C$8),OR($C$9="Semua",$C$9="",D3594=$C$9),OR($C$10="",B3594&gt;=$C$10),OR($C$11="",B3594&lt;=$C$11),OR($C$12&lt;&gt;"Ya",K3594&lt;&gt;""),OR($C$13="Semua",$C$13="",L3594=$C$13)),"✓","")</f>
        <v/>
      </c>
      <c r="N3594" s="93">
        <f>N(N3593)+IF(M3594="✓",1,0)</f>
        <v/>
      </c>
      <c r="O3594" s="93">
        <f>N(O3593)+IF(AND(B3594&lt;&gt;"",B3594&gt;='Uang Riba'!$H$30,B3594&lt;='Uang Riba'!$I$30,OR(H3594="Dana riba",H3594="Pinjam uang riba",I3594="Pinjam dari uang riba",I3594="Ganti uang riba",I3594="Kelebihan ganti dikembalikan",AND(C3594="Kantong Uang Riba",G3594="Pengeluaran"))),1,0)</f>
        <v/>
      </c>
      <c r="X3594" s="93">
        <f>IF(AND(B3594&lt;&gt;"",B3594&gt;='Buku Akun'!$H$4,B3594&lt;='Buku Akun'!$H$5,OR(C3594='Buku Akun'!$C$4,AND(D3594="Pindah",E3594='Buku Akun'!$C$4))),B3594+IF(AND(I3594="Selisih bunga",DAY(B3594)=1),0,0.01)+ROW()/10000000,"")</f>
        <v/>
      </c>
    </row>
    <row r="3595" outlineLevel="1" ht="15" customHeight="1" s="94">
      <c r="A3595" s="123">
        <f>IF(B3595="","",ROW()-15)</f>
        <v/>
      </c>
      <c r="B3595" s="124" t="n"/>
      <c r="C3595" s="123" t="n"/>
      <c r="D3595" s="123" t="n"/>
      <c r="E3595" s="123" t="n"/>
      <c r="F3595" s="125" t="n"/>
      <c r="G3595" s="123" t="n"/>
      <c r="H3595" s="123" t="n"/>
      <c r="I3595" s="123" t="n"/>
      <c r="J3595" s="123" t="n"/>
      <c r="K3595" s="123" t="n"/>
      <c r="L3595" s="123" t="n"/>
      <c r="M3595" s="123">
        <f>IF(AND(B3595&lt;&gt;"",OR($C$4="",ISNUMBER(SEARCH($C$4,C3595&amp;" "&amp;E3595&amp;" "&amp;G3595&amp;" "&amp;H3595&amp;" "&amp;I3595&amp;" "&amp;J3595&amp;" "&amp;K3595&amp;" "&amp;L3595))),OR($C$5="Semua",$C$5="",G3595=$C$5),OR($C$6="Semua",$C$6="",H3595=$C$6,H3595="Pengeluaran "&amp;$C$6,AND($C$6="Uang Kos Mama",H3595="Pengeluaran Uang Kos")),OR($C$7="Semua",$C$7="",I3595=$C$7),OR($C$8="Semua",$C$8="",C3595=$C$8,E3595=$C$8),OR($C$9="Semua",$C$9="",D3595=$C$9),OR($C$10="",B3595&gt;=$C$10),OR($C$11="",B3595&lt;=$C$11),OR($C$12&lt;&gt;"Ya",K3595&lt;&gt;""),OR($C$13="Semua",$C$13="",L3595=$C$13)),"✓","")</f>
        <v/>
      </c>
      <c r="N3595" s="93">
        <f>N(N3594)+IF(M3595="✓",1,0)</f>
        <v/>
      </c>
      <c r="O3595" s="93">
        <f>N(O3594)+IF(AND(B3595&lt;&gt;"",B3595&gt;='Uang Riba'!$H$30,B3595&lt;='Uang Riba'!$I$30,OR(H3595="Dana riba",H3595="Pinjam uang riba",I3595="Pinjam dari uang riba",I3595="Ganti uang riba",I3595="Kelebihan ganti dikembalikan",AND(C3595="Kantong Uang Riba",G3595="Pengeluaran"))),1,0)</f>
        <v/>
      </c>
      <c r="X3595" s="93">
        <f>IF(AND(B3595&lt;&gt;"",B3595&gt;='Buku Akun'!$H$4,B3595&lt;='Buku Akun'!$H$5,OR(C3595='Buku Akun'!$C$4,AND(D3595="Pindah",E3595='Buku Akun'!$C$4))),B3595+IF(AND(I3595="Selisih bunga",DAY(B3595)=1),0,0.01)+ROW()/10000000,"")</f>
        <v/>
      </c>
    </row>
    <row r="3596" outlineLevel="1" ht="15" customHeight="1" s="94">
      <c r="A3596" s="123">
        <f>IF(B3596="","",ROW()-15)</f>
        <v/>
      </c>
      <c r="B3596" s="124" t="n"/>
      <c r="C3596" s="123" t="n"/>
      <c r="D3596" s="123" t="n"/>
      <c r="E3596" s="123" t="n"/>
      <c r="F3596" s="125" t="n"/>
      <c r="G3596" s="123" t="n"/>
      <c r="H3596" s="123" t="n"/>
      <c r="I3596" s="123" t="n"/>
      <c r="J3596" s="123" t="n"/>
      <c r="K3596" s="123" t="n"/>
      <c r="L3596" s="123" t="n"/>
      <c r="M3596" s="123">
        <f>IF(AND(B3596&lt;&gt;"",OR($C$4="",ISNUMBER(SEARCH($C$4,C3596&amp;" "&amp;E3596&amp;" "&amp;G3596&amp;" "&amp;H3596&amp;" "&amp;I3596&amp;" "&amp;J3596&amp;" "&amp;K3596&amp;" "&amp;L3596))),OR($C$5="Semua",$C$5="",G3596=$C$5),OR($C$6="Semua",$C$6="",H3596=$C$6,H3596="Pengeluaran "&amp;$C$6,AND($C$6="Uang Kos Mama",H3596="Pengeluaran Uang Kos")),OR($C$7="Semua",$C$7="",I3596=$C$7),OR($C$8="Semua",$C$8="",C3596=$C$8,E3596=$C$8),OR($C$9="Semua",$C$9="",D3596=$C$9),OR($C$10="",B3596&gt;=$C$10),OR($C$11="",B3596&lt;=$C$11),OR($C$12&lt;&gt;"Ya",K3596&lt;&gt;""),OR($C$13="Semua",$C$13="",L3596=$C$13)),"✓","")</f>
        <v/>
      </c>
      <c r="N3596" s="93">
        <f>N(N3595)+IF(M3596="✓",1,0)</f>
        <v/>
      </c>
      <c r="O3596" s="93">
        <f>N(O3595)+IF(AND(B3596&lt;&gt;"",B3596&gt;='Uang Riba'!$H$30,B3596&lt;='Uang Riba'!$I$30,OR(H3596="Dana riba",H3596="Pinjam uang riba",I3596="Pinjam dari uang riba",I3596="Ganti uang riba",I3596="Kelebihan ganti dikembalikan",AND(C3596="Kantong Uang Riba",G3596="Pengeluaran"))),1,0)</f>
        <v/>
      </c>
      <c r="X3596" s="93">
        <f>IF(AND(B3596&lt;&gt;"",B3596&gt;='Buku Akun'!$H$4,B3596&lt;='Buku Akun'!$H$5,OR(C3596='Buku Akun'!$C$4,AND(D3596="Pindah",E3596='Buku Akun'!$C$4))),B3596+IF(AND(I3596="Selisih bunga",DAY(B3596)=1),0,0.01)+ROW()/10000000,"")</f>
        <v/>
      </c>
    </row>
    <row r="3597" outlineLevel="1" ht="15" customHeight="1" s="94">
      <c r="A3597" s="123">
        <f>IF(B3597="","",ROW()-15)</f>
        <v/>
      </c>
      <c r="B3597" s="124" t="n"/>
      <c r="C3597" s="123" t="n"/>
      <c r="D3597" s="123" t="n"/>
      <c r="E3597" s="123" t="n"/>
      <c r="F3597" s="125" t="n"/>
      <c r="G3597" s="123" t="n"/>
      <c r="H3597" s="123" t="n"/>
      <c r="I3597" s="123" t="n"/>
      <c r="J3597" s="123" t="n"/>
      <c r="K3597" s="123" t="n"/>
      <c r="L3597" s="123" t="n"/>
      <c r="M3597" s="123">
        <f>IF(AND(B3597&lt;&gt;"",OR($C$4="",ISNUMBER(SEARCH($C$4,C3597&amp;" "&amp;E3597&amp;" "&amp;G3597&amp;" "&amp;H3597&amp;" "&amp;I3597&amp;" "&amp;J3597&amp;" "&amp;K3597&amp;" "&amp;L3597))),OR($C$5="Semua",$C$5="",G3597=$C$5),OR($C$6="Semua",$C$6="",H3597=$C$6,H3597="Pengeluaran "&amp;$C$6,AND($C$6="Uang Kos Mama",H3597="Pengeluaran Uang Kos")),OR($C$7="Semua",$C$7="",I3597=$C$7),OR($C$8="Semua",$C$8="",C3597=$C$8,E3597=$C$8),OR($C$9="Semua",$C$9="",D3597=$C$9),OR($C$10="",B3597&gt;=$C$10),OR($C$11="",B3597&lt;=$C$11),OR($C$12&lt;&gt;"Ya",K3597&lt;&gt;""),OR($C$13="Semua",$C$13="",L3597=$C$13)),"✓","")</f>
        <v/>
      </c>
      <c r="N3597" s="93">
        <f>N(N3596)+IF(M3597="✓",1,0)</f>
        <v/>
      </c>
      <c r="O3597" s="93">
        <f>N(O3596)+IF(AND(B3597&lt;&gt;"",B3597&gt;='Uang Riba'!$H$30,B3597&lt;='Uang Riba'!$I$30,OR(H3597="Dana riba",H3597="Pinjam uang riba",I3597="Pinjam dari uang riba",I3597="Ganti uang riba",I3597="Kelebihan ganti dikembalikan",AND(C3597="Kantong Uang Riba",G3597="Pengeluaran"))),1,0)</f>
        <v/>
      </c>
      <c r="X3597" s="93">
        <f>IF(AND(B3597&lt;&gt;"",B3597&gt;='Buku Akun'!$H$4,B3597&lt;='Buku Akun'!$H$5,OR(C3597='Buku Akun'!$C$4,AND(D3597="Pindah",E3597='Buku Akun'!$C$4))),B3597+IF(AND(I3597="Selisih bunga",DAY(B3597)=1),0,0.01)+ROW()/10000000,"")</f>
        <v/>
      </c>
    </row>
    <row r="3598" outlineLevel="1" ht="15" customHeight="1" s="94">
      <c r="A3598" s="123">
        <f>IF(B3598="","",ROW()-15)</f>
        <v/>
      </c>
      <c r="B3598" s="124" t="n"/>
      <c r="C3598" s="123" t="n"/>
      <c r="D3598" s="123" t="n"/>
      <c r="E3598" s="123" t="n"/>
      <c r="F3598" s="125" t="n"/>
      <c r="G3598" s="123" t="n"/>
      <c r="H3598" s="123" t="n"/>
      <c r="I3598" s="123" t="n"/>
      <c r="J3598" s="123" t="n"/>
      <c r="K3598" s="123" t="n"/>
      <c r="L3598" s="123" t="n"/>
      <c r="M3598" s="123">
        <f>IF(AND(B3598&lt;&gt;"",OR($C$4="",ISNUMBER(SEARCH($C$4,C3598&amp;" "&amp;E3598&amp;" "&amp;G3598&amp;" "&amp;H3598&amp;" "&amp;I3598&amp;" "&amp;J3598&amp;" "&amp;K3598&amp;" "&amp;L3598))),OR($C$5="Semua",$C$5="",G3598=$C$5),OR($C$6="Semua",$C$6="",H3598=$C$6,H3598="Pengeluaran "&amp;$C$6,AND($C$6="Uang Kos Mama",H3598="Pengeluaran Uang Kos")),OR($C$7="Semua",$C$7="",I3598=$C$7),OR($C$8="Semua",$C$8="",C3598=$C$8,E3598=$C$8),OR($C$9="Semua",$C$9="",D3598=$C$9),OR($C$10="",B3598&gt;=$C$10),OR($C$11="",B3598&lt;=$C$11),OR($C$12&lt;&gt;"Ya",K3598&lt;&gt;""),OR($C$13="Semua",$C$13="",L3598=$C$13)),"✓","")</f>
        <v/>
      </c>
      <c r="N3598" s="93">
        <f>N(N3597)+IF(M3598="✓",1,0)</f>
        <v/>
      </c>
      <c r="O3598" s="93">
        <f>N(O3597)+IF(AND(B3598&lt;&gt;"",B3598&gt;='Uang Riba'!$H$30,B3598&lt;='Uang Riba'!$I$30,OR(H3598="Dana riba",H3598="Pinjam uang riba",I3598="Pinjam dari uang riba",I3598="Ganti uang riba",I3598="Kelebihan ganti dikembalikan",AND(C3598="Kantong Uang Riba",G3598="Pengeluaran"))),1,0)</f>
        <v/>
      </c>
      <c r="X3598" s="93">
        <f>IF(AND(B3598&lt;&gt;"",B3598&gt;='Buku Akun'!$H$4,B3598&lt;='Buku Akun'!$H$5,OR(C3598='Buku Akun'!$C$4,AND(D3598="Pindah",E3598='Buku Akun'!$C$4))),B3598+IF(AND(I3598="Selisih bunga",DAY(B3598)=1),0,0.01)+ROW()/10000000,"")</f>
        <v/>
      </c>
    </row>
    <row r="3599" outlineLevel="1" ht="15" customHeight="1" s="94">
      <c r="A3599" s="123">
        <f>IF(B3599="","",ROW()-15)</f>
        <v/>
      </c>
      <c r="B3599" s="124" t="n"/>
      <c r="C3599" s="123" t="n"/>
      <c r="D3599" s="123" t="n"/>
      <c r="E3599" s="123" t="n"/>
      <c r="F3599" s="125" t="n"/>
      <c r="G3599" s="123" t="n"/>
      <c r="H3599" s="123" t="n"/>
      <c r="I3599" s="123" t="n"/>
      <c r="J3599" s="123" t="n"/>
      <c r="K3599" s="123" t="n"/>
      <c r="L3599" s="123" t="n"/>
      <c r="M3599" s="123">
        <f>IF(AND(B3599&lt;&gt;"",OR($C$4="",ISNUMBER(SEARCH($C$4,C3599&amp;" "&amp;E3599&amp;" "&amp;G3599&amp;" "&amp;H3599&amp;" "&amp;I3599&amp;" "&amp;J3599&amp;" "&amp;K3599&amp;" "&amp;L3599))),OR($C$5="Semua",$C$5="",G3599=$C$5),OR($C$6="Semua",$C$6="",H3599=$C$6,H3599="Pengeluaran "&amp;$C$6,AND($C$6="Uang Kos Mama",H3599="Pengeluaran Uang Kos")),OR($C$7="Semua",$C$7="",I3599=$C$7),OR($C$8="Semua",$C$8="",C3599=$C$8,E3599=$C$8),OR($C$9="Semua",$C$9="",D3599=$C$9),OR($C$10="",B3599&gt;=$C$10),OR($C$11="",B3599&lt;=$C$11),OR($C$12&lt;&gt;"Ya",K3599&lt;&gt;""),OR($C$13="Semua",$C$13="",L3599=$C$13)),"✓","")</f>
        <v/>
      </c>
      <c r="N3599" s="93">
        <f>N(N3598)+IF(M3599="✓",1,0)</f>
        <v/>
      </c>
      <c r="O3599" s="93">
        <f>N(O3598)+IF(AND(B3599&lt;&gt;"",B3599&gt;='Uang Riba'!$H$30,B3599&lt;='Uang Riba'!$I$30,OR(H3599="Dana riba",H3599="Pinjam uang riba",I3599="Pinjam dari uang riba",I3599="Ganti uang riba",I3599="Kelebihan ganti dikembalikan",AND(C3599="Kantong Uang Riba",G3599="Pengeluaran"))),1,0)</f>
        <v/>
      </c>
      <c r="X3599" s="93">
        <f>IF(AND(B3599&lt;&gt;"",B3599&gt;='Buku Akun'!$H$4,B3599&lt;='Buku Akun'!$H$5,OR(C3599='Buku Akun'!$C$4,AND(D3599="Pindah",E3599='Buku Akun'!$C$4))),B3599+IF(AND(I3599="Selisih bunga",DAY(B3599)=1),0,0.01)+ROW()/10000000,"")</f>
        <v/>
      </c>
    </row>
    <row r="3600" outlineLevel="1" ht="15" customHeight="1" s="94">
      <c r="A3600" s="123">
        <f>IF(B3600="","",ROW()-15)</f>
        <v/>
      </c>
      <c r="B3600" s="124" t="n"/>
      <c r="C3600" s="123" t="n"/>
      <c r="D3600" s="123" t="n"/>
      <c r="E3600" s="123" t="n"/>
      <c r="F3600" s="125" t="n"/>
      <c r="G3600" s="123" t="n"/>
      <c r="H3600" s="123" t="n"/>
      <c r="I3600" s="123" t="n"/>
      <c r="J3600" s="123" t="n"/>
      <c r="K3600" s="123" t="n"/>
      <c r="L3600" s="123" t="n"/>
      <c r="M3600" s="123">
        <f>IF(AND(B3600&lt;&gt;"",OR($C$4="",ISNUMBER(SEARCH($C$4,C3600&amp;" "&amp;E3600&amp;" "&amp;G3600&amp;" "&amp;H3600&amp;" "&amp;I3600&amp;" "&amp;J3600&amp;" "&amp;K3600&amp;" "&amp;L3600))),OR($C$5="Semua",$C$5="",G3600=$C$5),OR($C$6="Semua",$C$6="",H3600=$C$6,H3600="Pengeluaran "&amp;$C$6,AND($C$6="Uang Kos Mama",H3600="Pengeluaran Uang Kos")),OR($C$7="Semua",$C$7="",I3600=$C$7),OR($C$8="Semua",$C$8="",C3600=$C$8,E3600=$C$8),OR($C$9="Semua",$C$9="",D3600=$C$9),OR($C$10="",B3600&gt;=$C$10),OR($C$11="",B3600&lt;=$C$11),OR($C$12&lt;&gt;"Ya",K3600&lt;&gt;""),OR($C$13="Semua",$C$13="",L3600=$C$13)),"✓","")</f>
        <v/>
      </c>
      <c r="N3600" s="93">
        <f>N(N3599)+IF(M3600="✓",1,0)</f>
        <v/>
      </c>
      <c r="O3600" s="93">
        <f>N(O3599)+IF(AND(B3600&lt;&gt;"",B3600&gt;='Uang Riba'!$H$30,B3600&lt;='Uang Riba'!$I$30,OR(H3600="Dana riba",H3600="Pinjam uang riba",I3600="Pinjam dari uang riba",I3600="Ganti uang riba",I3600="Kelebihan ganti dikembalikan",AND(C3600="Kantong Uang Riba",G3600="Pengeluaran"))),1,0)</f>
        <v/>
      </c>
      <c r="X3600" s="93">
        <f>IF(AND(B3600&lt;&gt;"",B3600&gt;='Buku Akun'!$H$4,B3600&lt;='Buku Akun'!$H$5,OR(C3600='Buku Akun'!$C$4,AND(D3600="Pindah",E3600='Buku Akun'!$C$4))),B3600+IF(AND(I3600="Selisih bunga",DAY(B3600)=1),0,0.01)+ROW()/10000000,"")</f>
        <v/>
      </c>
    </row>
    <row r="3601" outlineLevel="1" ht="15" customHeight="1" s="94">
      <c r="A3601" s="123">
        <f>IF(B3601="","",ROW()-15)</f>
        <v/>
      </c>
      <c r="B3601" s="124" t="n"/>
      <c r="C3601" s="123" t="n"/>
      <c r="D3601" s="123" t="n"/>
      <c r="E3601" s="123" t="n"/>
      <c r="F3601" s="125" t="n"/>
      <c r="G3601" s="123" t="n"/>
      <c r="H3601" s="123" t="n"/>
      <c r="I3601" s="123" t="n"/>
      <c r="J3601" s="123" t="n"/>
      <c r="K3601" s="123" t="n"/>
      <c r="L3601" s="123" t="n"/>
      <c r="M3601" s="123">
        <f>IF(AND(B3601&lt;&gt;"",OR($C$4="",ISNUMBER(SEARCH($C$4,C3601&amp;" "&amp;E3601&amp;" "&amp;G3601&amp;" "&amp;H3601&amp;" "&amp;I3601&amp;" "&amp;J3601&amp;" "&amp;K3601&amp;" "&amp;L3601))),OR($C$5="Semua",$C$5="",G3601=$C$5),OR($C$6="Semua",$C$6="",H3601=$C$6,H3601="Pengeluaran "&amp;$C$6,AND($C$6="Uang Kos Mama",H3601="Pengeluaran Uang Kos")),OR($C$7="Semua",$C$7="",I3601=$C$7),OR($C$8="Semua",$C$8="",C3601=$C$8,E3601=$C$8),OR($C$9="Semua",$C$9="",D3601=$C$9),OR($C$10="",B3601&gt;=$C$10),OR($C$11="",B3601&lt;=$C$11),OR($C$12&lt;&gt;"Ya",K3601&lt;&gt;""),OR($C$13="Semua",$C$13="",L3601=$C$13)),"✓","")</f>
        <v/>
      </c>
      <c r="N3601" s="93">
        <f>N(N3600)+IF(M3601="✓",1,0)</f>
        <v/>
      </c>
      <c r="O3601" s="93">
        <f>N(O3600)+IF(AND(B3601&lt;&gt;"",B3601&gt;='Uang Riba'!$H$30,B3601&lt;='Uang Riba'!$I$30,OR(H3601="Dana riba",H3601="Pinjam uang riba",I3601="Pinjam dari uang riba",I3601="Ganti uang riba",I3601="Kelebihan ganti dikembalikan",AND(C3601="Kantong Uang Riba",G3601="Pengeluaran"))),1,0)</f>
        <v/>
      </c>
      <c r="X3601" s="93">
        <f>IF(AND(B3601&lt;&gt;"",B3601&gt;='Buku Akun'!$H$4,B3601&lt;='Buku Akun'!$H$5,OR(C3601='Buku Akun'!$C$4,AND(D3601="Pindah",E3601='Buku Akun'!$C$4))),B3601+IF(AND(I3601="Selisih bunga",DAY(B3601)=1),0,0.01)+ROW()/10000000,"")</f>
        <v/>
      </c>
    </row>
    <row r="3602" outlineLevel="1" ht="15" customHeight="1" s="94">
      <c r="A3602" s="123">
        <f>IF(B3602="","",ROW()-15)</f>
        <v/>
      </c>
      <c r="B3602" s="124" t="n"/>
      <c r="C3602" s="123" t="n"/>
      <c r="D3602" s="123" t="n"/>
      <c r="E3602" s="123" t="n"/>
      <c r="F3602" s="125" t="n"/>
      <c r="G3602" s="123" t="n"/>
      <c r="H3602" s="123" t="n"/>
      <c r="I3602" s="123" t="n"/>
      <c r="J3602" s="123" t="n"/>
      <c r="K3602" s="123" t="n"/>
      <c r="L3602" s="123" t="n"/>
      <c r="M3602" s="123">
        <f>IF(AND(B3602&lt;&gt;"",OR($C$4="",ISNUMBER(SEARCH($C$4,C3602&amp;" "&amp;E3602&amp;" "&amp;G3602&amp;" "&amp;H3602&amp;" "&amp;I3602&amp;" "&amp;J3602&amp;" "&amp;K3602&amp;" "&amp;L3602))),OR($C$5="Semua",$C$5="",G3602=$C$5),OR($C$6="Semua",$C$6="",H3602=$C$6,H3602="Pengeluaran "&amp;$C$6,AND($C$6="Uang Kos Mama",H3602="Pengeluaran Uang Kos")),OR($C$7="Semua",$C$7="",I3602=$C$7),OR($C$8="Semua",$C$8="",C3602=$C$8,E3602=$C$8),OR($C$9="Semua",$C$9="",D3602=$C$9),OR($C$10="",B3602&gt;=$C$10),OR($C$11="",B3602&lt;=$C$11),OR($C$12&lt;&gt;"Ya",K3602&lt;&gt;""),OR($C$13="Semua",$C$13="",L3602=$C$13)),"✓","")</f>
        <v/>
      </c>
      <c r="N3602" s="93">
        <f>N(N3601)+IF(M3602="✓",1,0)</f>
        <v/>
      </c>
      <c r="O3602" s="93">
        <f>N(O3601)+IF(AND(B3602&lt;&gt;"",B3602&gt;='Uang Riba'!$H$30,B3602&lt;='Uang Riba'!$I$30,OR(H3602="Dana riba",H3602="Pinjam uang riba",I3602="Pinjam dari uang riba",I3602="Ganti uang riba",I3602="Kelebihan ganti dikembalikan",AND(C3602="Kantong Uang Riba",G3602="Pengeluaran"))),1,0)</f>
        <v/>
      </c>
      <c r="X3602" s="93">
        <f>IF(AND(B3602&lt;&gt;"",B3602&gt;='Buku Akun'!$H$4,B3602&lt;='Buku Akun'!$H$5,OR(C3602='Buku Akun'!$C$4,AND(D3602="Pindah",E3602='Buku Akun'!$C$4))),B3602+IF(AND(I3602="Selisih bunga",DAY(B3602)=1),0,0.01)+ROW()/10000000,"")</f>
        <v/>
      </c>
    </row>
    <row r="3603" outlineLevel="1" ht="15" customHeight="1" s="94">
      <c r="A3603" s="123">
        <f>IF(B3603="","",ROW()-15)</f>
        <v/>
      </c>
      <c r="B3603" s="124" t="n"/>
      <c r="C3603" s="123" t="n"/>
      <c r="D3603" s="123" t="n"/>
      <c r="E3603" s="123" t="n"/>
      <c r="F3603" s="125" t="n"/>
      <c r="G3603" s="123" t="n"/>
      <c r="H3603" s="123" t="n"/>
      <c r="I3603" s="123" t="n"/>
      <c r="J3603" s="123" t="n"/>
      <c r="K3603" s="123" t="n"/>
      <c r="L3603" s="123" t="n"/>
      <c r="M3603" s="123">
        <f>IF(AND(B3603&lt;&gt;"",OR($C$4="",ISNUMBER(SEARCH($C$4,C3603&amp;" "&amp;E3603&amp;" "&amp;G3603&amp;" "&amp;H3603&amp;" "&amp;I3603&amp;" "&amp;J3603&amp;" "&amp;K3603&amp;" "&amp;L3603))),OR($C$5="Semua",$C$5="",G3603=$C$5),OR($C$6="Semua",$C$6="",H3603=$C$6,H3603="Pengeluaran "&amp;$C$6,AND($C$6="Uang Kos Mama",H3603="Pengeluaran Uang Kos")),OR($C$7="Semua",$C$7="",I3603=$C$7),OR($C$8="Semua",$C$8="",C3603=$C$8,E3603=$C$8),OR($C$9="Semua",$C$9="",D3603=$C$9),OR($C$10="",B3603&gt;=$C$10),OR($C$11="",B3603&lt;=$C$11),OR($C$12&lt;&gt;"Ya",K3603&lt;&gt;""),OR($C$13="Semua",$C$13="",L3603=$C$13)),"✓","")</f>
        <v/>
      </c>
      <c r="N3603" s="93">
        <f>N(N3602)+IF(M3603="✓",1,0)</f>
        <v/>
      </c>
      <c r="O3603" s="93">
        <f>N(O3602)+IF(AND(B3603&lt;&gt;"",B3603&gt;='Uang Riba'!$H$30,B3603&lt;='Uang Riba'!$I$30,OR(H3603="Dana riba",H3603="Pinjam uang riba",I3603="Pinjam dari uang riba",I3603="Ganti uang riba",I3603="Kelebihan ganti dikembalikan",AND(C3603="Kantong Uang Riba",G3603="Pengeluaran"))),1,0)</f>
        <v/>
      </c>
      <c r="X3603" s="93">
        <f>IF(AND(B3603&lt;&gt;"",B3603&gt;='Buku Akun'!$H$4,B3603&lt;='Buku Akun'!$H$5,OR(C3603='Buku Akun'!$C$4,AND(D3603="Pindah",E3603='Buku Akun'!$C$4))),B3603+IF(AND(I3603="Selisih bunga",DAY(B3603)=1),0,0.01)+ROW()/10000000,"")</f>
        <v/>
      </c>
    </row>
    <row r="3604" outlineLevel="1" ht="15" customHeight="1" s="94">
      <c r="A3604" s="123">
        <f>IF(B3604="","",ROW()-15)</f>
        <v/>
      </c>
      <c r="B3604" s="124" t="n"/>
      <c r="C3604" s="123" t="n"/>
      <c r="D3604" s="123" t="n"/>
      <c r="E3604" s="123" t="n"/>
      <c r="F3604" s="125" t="n"/>
      <c r="G3604" s="123" t="n"/>
      <c r="H3604" s="123" t="n"/>
      <c r="I3604" s="123" t="n"/>
      <c r="J3604" s="123" t="n"/>
      <c r="K3604" s="123" t="n"/>
      <c r="L3604" s="123" t="n"/>
      <c r="M3604" s="123">
        <f>IF(AND(B3604&lt;&gt;"",OR($C$4="",ISNUMBER(SEARCH($C$4,C3604&amp;" "&amp;E3604&amp;" "&amp;G3604&amp;" "&amp;H3604&amp;" "&amp;I3604&amp;" "&amp;J3604&amp;" "&amp;K3604&amp;" "&amp;L3604))),OR($C$5="Semua",$C$5="",G3604=$C$5),OR($C$6="Semua",$C$6="",H3604=$C$6,H3604="Pengeluaran "&amp;$C$6,AND($C$6="Uang Kos Mama",H3604="Pengeluaran Uang Kos")),OR($C$7="Semua",$C$7="",I3604=$C$7),OR($C$8="Semua",$C$8="",C3604=$C$8,E3604=$C$8),OR($C$9="Semua",$C$9="",D3604=$C$9),OR($C$10="",B3604&gt;=$C$10),OR($C$11="",B3604&lt;=$C$11),OR($C$12&lt;&gt;"Ya",K3604&lt;&gt;""),OR($C$13="Semua",$C$13="",L3604=$C$13)),"✓","")</f>
        <v/>
      </c>
      <c r="N3604" s="93">
        <f>N(N3603)+IF(M3604="✓",1,0)</f>
        <v/>
      </c>
      <c r="O3604" s="93">
        <f>N(O3603)+IF(AND(B3604&lt;&gt;"",B3604&gt;='Uang Riba'!$H$30,B3604&lt;='Uang Riba'!$I$30,OR(H3604="Dana riba",H3604="Pinjam uang riba",I3604="Pinjam dari uang riba",I3604="Ganti uang riba",I3604="Kelebihan ganti dikembalikan",AND(C3604="Kantong Uang Riba",G3604="Pengeluaran"))),1,0)</f>
        <v/>
      </c>
      <c r="X3604" s="93">
        <f>IF(AND(B3604&lt;&gt;"",B3604&gt;='Buku Akun'!$H$4,B3604&lt;='Buku Akun'!$H$5,OR(C3604='Buku Akun'!$C$4,AND(D3604="Pindah",E3604='Buku Akun'!$C$4))),B3604+IF(AND(I3604="Selisih bunga",DAY(B3604)=1),0,0.01)+ROW()/10000000,"")</f>
        <v/>
      </c>
    </row>
    <row r="3605" outlineLevel="1" ht="15" customHeight="1" s="94">
      <c r="A3605" s="123">
        <f>IF(B3605="","",ROW()-15)</f>
        <v/>
      </c>
      <c r="B3605" s="124" t="n"/>
      <c r="C3605" s="123" t="n"/>
      <c r="D3605" s="123" t="n"/>
      <c r="E3605" s="123" t="n"/>
      <c r="F3605" s="125" t="n"/>
      <c r="G3605" s="123" t="n"/>
      <c r="H3605" s="123" t="n"/>
      <c r="I3605" s="123" t="n"/>
      <c r="J3605" s="123" t="n"/>
      <c r="K3605" s="123" t="n"/>
      <c r="L3605" s="123" t="n"/>
      <c r="M3605" s="123">
        <f>IF(AND(B3605&lt;&gt;"",OR($C$4="",ISNUMBER(SEARCH($C$4,C3605&amp;" "&amp;E3605&amp;" "&amp;G3605&amp;" "&amp;H3605&amp;" "&amp;I3605&amp;" "&amp;J3605&amp;" "&amp;K3605&amp;" "&amp;L3605))),OR($C$5="Semua",$C$5="",G3605=$C$5),OR($C$6="Semua",$C$6="",H3605=$C$6,H3605="Pengeluaran "&amp;$C$6,AND($C$6="Uang Kos Mama",H3605="Pengeluaran Uang Kos")),OR($C$7="Semua",$C$7="",I3605=$C$7),OR($C$8="Semua",$C$8="",C3605=$C$8,E3605=$C$8),OR($C$9="Semua",$C$9="",D3605=$C$9),OR($C$10="",B3605&gt;=$C$10),OR($C$11="",B3605&lt;=$C$11),OR($C$12&lt;&gt;"Ya",K3605&lt;&gt;""),OR($C$13="Semua",$C$13="",L3605=$C$13)),"✓","")</f>
        <v/>
      </c>
      <c r="N3605" s="93">
        <f>N(N3604)+IF(M3605="✓",1,0)</f>
        <v/>
      </c>
      <c r="O3605" s="93">
        <f>N(O3604)+IF(AND(B3605&lt;&gt;"",B3605&gt;='Uang Riba'!$H$30,B3605&lt;='Uang Riba'!$I$30,OR(H3605="Dana riba",H3605="Pinjam uang riba",I3605="Pinjam dari uang riba",I3605="Ganti uang riba",I3605="Kelebihan ganti dikembalikan",AND(C3605="Kantong Uang Riba",G3605="Pengeluaran"))),1,0)</f>
        <v/>
      </c>
      <c r="X3605" s="93">
        <f>IF(AND(B3605&lt;&gt;"",B3605&gt;='Buku Akun'!$H$4,B3605&lt;='Buku Akun'!$H$5,OR(C3605='Buku Akun'!$C$4,AND(D3605="Pindah",E3605='Buku Akun'!$C$4))),B3605+IF(AND(I3605="Selisih bunga",DAY(B3605)=1),0,0.01)+ROW()/10000000,"")</f>
        <v/>
      </c>
    </row>
    <row r="3606" outlineLevel="1" ht="15" customHeight="1" s="94">
      <c r="A3606" s="123">
        <f>IF(B3606="","",ROW()-15)</f>
        <v/>
      </c>
      <c r="B3606" s="124" t="n"/>
      <c r="C3606" s="123" t="n"/>
      <c r="D3606" s="123" t="n"/>
      <c r="E3606" s="123" t="n"/>
      <c r="F3606" s="125" t="n"/>
      <c r="G3606" s="123" t="n"/>
      <c r="H3606" s="123" t="n"/>
      <c r="I3606" s="123" t="n"/>
      <c r="J3606" s="123" t="n"/>
      <c r="K3606" s="123" t="n"/>
      <c r="L3606" s="123" t="n"/>
      <c r="M3606" s="123">
        <f>IF(AND(B3606&lt;&gt;"",OR($C$4="",ISNUMBER(SEARCH($C$4,C3606&amp;" "&amp;E3606&amp;" "&amp;G3606&amp;" "&amp;H3606&amp;" "&amp;I3606&amp;" "&amp;J3606&amp;" "&amp;K3606&amp;" "&amp;L3606))),OR($C$5="Semua",$C$5="",G3606=$C$5),OR($C$6="Semua",$C$6="",H3606=$C$6,H3606="Pengeluaran "&amp;$C$6,AND($C$6="Uang Kos Mama",H3606="Pengeluaran Uang Kos")),OR($C$7="Semua",$C$7="",I3606=$C$7),OR($C$8="Semua",$C$8="",C3606=$C$8,E3606=$C$8),OR($C$9="Semua",$C$9="",D3606=$C$9),OR($C$10="",B3606&gt;=$C$10),OR($C$11="",B3606&lt;=$C$11),OR($C$12&lt;&gt;"Ya",K3606&lt;&gt;""),OR($C$13="Semua",$C$13="",L3606=$C$13)),"✓","")</f>
        <v/>
      </c>
      <c r="N3606" s="93">
        <f>N(N3605)+IF(M3606="✓",1,0)</f>
        <v/>
      </c>
      <c r="O3606" s="93">
        <f>N(O3605)+IF(AND(B3606&lt;&gt;"",B3606&gt;='Uang Riba'!$H$30,B3606&lt;='Uang Riba'!$I$30,OR(H3606="Dana riba",H3606="Pinjam uang riba",I3606="Pinjam dari uang riba",I3606="Ganti uang riba",I3606="Kelebihan ganti dikembalikan",AND(C3606="Kantong Uang Riba",G3606="Pengeluaran"))),1,0)</f>
        <v/>
      </c>
      <c r="X3606" s="93">
        <f>IF(AND(B3606&lt;&gt;"",B3606&gt;='Buku Akun'!$H$4,B3606&lt;='Buku Akun'!$H$5,OR(C3606='Buku Akun'!$C$4,AND(D3606="Pindah",E3606='Buku Akun'!$C$4))),B3606+IF(AND(I3606="Selisih bunga",DAY(B3606)=1),0,0.01)+ROW()/10000000,"")</f>
        <v/>
      </c>
    </row>
    <row r="3607" outlineLevel="1" ht="15" customHeight="1" s="94">
      <c r="A3607" s="123">
        <f>IF(B3607="","",ROW()-15)</f>
        <v/>
      </c>
      <c r="B3607" s="124" t="n"/>
      <c r="C3607" s="123" t="n"/>
      <c r="D3607" s="123" t="n"/>
      <c r="E3607" s="123" t="n"/>
      <c r="F3607" s="125" t="n"/>
      <c r="G3607" s="123" t="n"/>
      <c r="H3607" s="123" t="n"/>
      <c r="I3607" s="123" t="n"/>
      <c r="J3607" s="123" t="n"/>
      <c r="K3607" s="123" t="n"/>
      <c r="L3607" s="123" t="n"/>
      <c r="M3607" s="123">
        <f>IF(AND(B3607&lt;&gt;"",OR($C$4="",ISNUMBER(SEARCH($C$4,C3607&amp;" "&amp;E3607&amp;" "&amp;G3607&amp;" "&amp;H3607&amp;" "&amp;I3607&amp;" "&amp;J3607&amp;" "&amp;K3607&amp;" "&amp;L3607))),OR($C$5="Semua",$C$5="",G3607=$C$5),OR($C$6="Semua",$C$6="",H3607=$C$6,H3607="Pengeluaran "&amp;$C$6,AND($C$6="Uang Kos Mama",H3607="Pengeluaran Uang Kos")),OR($C$7="Semua",$C$7="",I3607=$C$7),OR($C$8="Semua",$C$8="",C3607=$C$8,E3607=$C$8),OR($C$9="Semua",$C$9="",D3607=$C$9),OR($C$10="",B3607&gt;=$C$10),OR($C$11="",B3607&lt;=$C$11),OR($C$12&lt;&gt;"Ya",K3607&lt;&gt;""),OR($C$13="Semua",$C$13="",L3607=$C$13)),"✓","")</f>
        <v/>
      </c>
      <c r="N3607" s="93">
        <f>N(N3606)+IF(M3607="✓",1,0)</f>
        <v/>
      </c>
      <c r="O3607" s="93">
        <f>N(O3606)+IF(AND(B3607&lt;&gt;"",B3607&gt;='Uang Riba'!$H$30,B3607&lt;='Uang Riba'!$I$30,OR(H3607="Dana riba",H3607="Pinjam uang riba",I3607="Pinjam dari uang riba",I3607="Ganti uang riba",I3607="Kelebihan ganti dikembalikan",AND(C3607="Kantong Uang Riba",G3607="Pengeluaran"))),1,0)</f>
        <v/>
      </c>
      <c r="X3607" s="93">
        <f>IF(AND(B3607&lt;&gt;"",B3607&gt;='Buku Akun'!$H$4,B3607&lt;='Buku Akun'!$H$5,OR(C3607='Buku Akun'!$C$4,AND(D3607="Pindah",E3607='Buku Akun'!$C$4))),B3607+IF(AND(I3607="Selisih bunga",DAY(B3607)=1),0,0.01)+ROW()/10000000,"")</f>
        <v/>
      </c>
    </row>
    <row r="3608" outlineLevel="1" ht="15" customHeight="1" s="94">
      <c r="A3608" s="123">
        <f>IF(B3608="","",ROW()-15)</f>
        <v/>
      </c>
      <c r="B3608" s="124" t="n"/>
      <c r="C3608" s="123" t="n"/>
      <c r="D3608" s="123" t="n"/>
      <c r="E3608" s="123" t="n"/>
      <c r="F3608" s="125" t="n"/>
      <c r="G3608" s="123" t="n"/>
      <c r="H3608" s="123" t="n"/>
      <c r="I3608" s="123" t="n"/>
      <c r="J3608" s="123" t="n"/>
      <c r="K3608" s="123" t="n"/>
      <c r="L3608" s="123" t="n"/>
      <c r="M3608" s="123">
        <f>IF(AND(B3608&lt;&gt;"",OR($C$4="",ISNUMBER(SEARCH($C$4,C3608&amp;" "&amp;E3608&amp;" "&amp;G3608&amp;" "&amp;H3608&amp;" "&amp;I3608&amp;" "&amp;J3608&amp;" "&amp;K3608&amp;" "&amp;L3608))),OR($C$5="Semua",$C$5="",G3608=$C$5),OR($C$6="Semua",$C$6="",H3608=$C$6,H3608="Pengeluaran "&amp;$C$6,AND($C$6="Uang Kos Mama",H3608="Pengeluaran Uang Kos")),OR($C$7="Semua",$C$7="",I3608=$C$7),OR($C$8="Semua",$C$8="",C3608=$C$8,E3608=$C$8),OR($C$9="Semua",$C$9="",D3608=$C$9),OR($C$10="",B3608&gt;=$C$10),OR($C$11="",B3608&lt;=$C$11),OR($C$12&lt;&gt;"Ya",K3608&lt;&gt;""),OR($C$13="Semua",$C$13="",L3608=$C$13)),"✓","")</f>
        <v/>
      </c>
      <c r="N3608" s="93">
        <f>N(N3607)+IF(M3608="✓",1,0)</f>
        <v/>
      </c>
      <c r="O3608" s="93">
        <f>N(O3607)+IF(AND(B3608&lt;&gt;"",B3608&gt;='Uang Riba'!$H$30,B3608&lt;='Uang Riba'!$I$30,OR(H3608="Dana riba",H3608="Pinjam uang riba",I3608="Pinjam dari uang riba",I3608="Ganti uang riba",I3608="Kelebihan ganti dikembalikan",AND(C3608="Kantong Uang Riba",G3608="Pengeluaran"))),1,0)</f>
        <v/>
      </c>
      <c r="X3608" s="93">
        <f>IF(AND(B3608&lt;&gt;"",B3608&gt;='Buku Akun'!$H$4,B3608&lt;='Buku Akun'!$H$5,OR(C3608='Buku Akun'!$C$4,AND(D3608="Pindah",E3608='Buku Akun'!$C$4))),B3608+IF(AND(I3608="Selisih bunga",DAY(B3608)=1),0,0.01)+ROW()/10000000,"")</f>
        <v/>
      </c>
    </row>
    <row r="3609" outlineLevel="1" ht="15" customHeight="1" s="94">
      <c r="A3609" s="123">
        <f>IF(B3609="","",ROW()-15)</f>
        <v/>
      </c>
      <c r="B3609" s="124" t="n"/>
      <c r="C3609" s="123" t="n"/>
      <c r="D3609" s="123" t="n"/>
      <c r="E3609" s="123" t="n"/>
      <c r="F3609" s="125" t="n"/>
      <c r="G3609" s="123" t="n"/>
      <c r="H3609" s="123" t="n"/>
      <c r="I3609" s="123" t="n"/>
      <c r="J3609" s="123" t="n"/>
      <c r="K3609" s="123" t="n"/>
      <c r="L3609" s="123" t="n"/>
      <c r="M3609" s="123">
        <f>IF(AND(B3609&lt;&gt;"",OR($C$4="",ISNUMBER(SEARCH($C$4,C3609&amp;" "&amp;E3609&amp;" "&amp;G3609&amp;" "&amp;H3609&amp;" "&amp;I3609&amp;" "&amp;J3609&amp;" "&amp;K3609&amp;" "&amp;L3609))),OR($C$5="Semua",$C$5="",G3609=$C$5),OR($C$6="Semua",$C$6="",H3609=$C$6,H3609="Pengeluaran "&amp;$C$6,AND($C$6="Uang Kos Mama",H3609="Pengeluaran Uang Kos")),OR($C$7="Semua",$C$7="",I3609=$C$7),OR($C$8="Semua",$C$8="",C3609=$C$8,E3609=$C$8),OR($C$9="Semua",$C$9="",D3609=$C$9),OR($C$10="",B3609&gt;=$C$10),OR($C$11="",B3609&lt;=$C$11),OR($C$12&lt;&gt;"Ya",K3609&lt;&gt;""),OR($C$13="Semua",$C$13="",L3609=$C$13)),"✓","")</f>
        <v/>
      </c>
      <c r="N3609" s="93">
        <f>N(N3608)+IF(M3609="✓",1,0)</f>
        <v/>
      </c>
      <c r="O3609" s="93">
        <f>N(O3608)+IF(AND(B3609&lt;&gt;"",B3609&gt;='Uang Riba'!$H$30,B3609&lt;='Uang Riba'!$I$30,OR(H3609="Dana riba",H3609="Pinjam uang riba",I3609="Pinjam dari uang riba",I3609="Ganti uang riba",I3609="Kelebihan ganti dikembalikan",AND(C3609="Kantong Uang Riba",G3609="Pengeluaran"))),1,0)</f>
        <v/>
      </c>
      <c r="X3609" s="93">
        <f>IF(AND(B3609&lt;&gt;"",B3609&gt;='Buku Akun'!$H$4,B3609&lt;='Buku Akun'!$H$5,OR(C3609='Buku Akun'!$C$4,AND(D3609="Pindah",E3609='Buku Akun'!$C$4))),B3609+IF(AND(I3609="Selisih bunga",DAY(B3609)=1),0,0.01)+ROW()/10000000,"")</f>
        <v/>
      </c>
    </row>
    <row r="3610" outlineLevel="1" ht="15" customHeight="1" s="94">
      <c r="A3610" s="123">
        <f>IF(B3610="","",ROW()-15)</f>
        <v/>
      </c>
      <c r="B3610" s="124" t="n"/>
      <c r="C3610" s="123" t="n"/>
      <c r="D3610" s="123" t="n"/>
      <c r="E3610" s="123" t="n"/>
      <c r="F3610" s="125" t="n"/>
      <c r="G3610" s="123" t="n"/>
      <c r="H3610" s="123" t="n"/>
      <c r="I3610" s="123" t="n"/>
      <c r="J3610" s="123" t="n"/>
      <c r="K3610" s="123" t="n"/>
      <c r="L3610" s="123" t="n"/>
      <c r="M3610" s="123">
        <f>IF(AND(B3610&lt;&gt;"",OR($C$4="",ISNUMBER(SEARCH($C$4,C3610&amp;" "&amp;E3610&amp;" "&amp;G3610&amp;" "&amp;H3610&amp;" "&amp;I3610&amp;" "&amp;J3610&amp;" "&amp;K3610&amp;" "&amp;L3610))),OR($C$5="Semua",$C$5="",G3610=$C$5),OR($C$6="Semua",$C$6="",H3610=$C$6,H3610="Pengeluaran "&amp;$C$6,AND($C$6="Uang Kos Mama",H3610="Pengeluaran Uang Kos")),OR($C$7="Semua",$C$7="",I3610=$C$7),OR($C$8="Semua",$C$8="",C3610=$C$8,E3610=$C$8),OR($C$9="Semua",$C$9="",D3610=$C$9),OR($C$10="",B3610&gt;=$C$10),OR($C$11="",B3610&lt;=$C$11),OR($C$12&lt;&gt;"Ya",K3610&lt;&gt;""),OR($C$13="Semua",$C$13="",L3610=$C$13)),"✓","")</f>
        <v/>
      </c>
      <c r="N3610" s="93">
        <f>N(N3609)+IF(M3610="✓",1,0)</f>
        <v/>
      </c>
      <c r="O3610" s="93">
        <f>N(O3609)+IF(AND(B3610&lt;&gt;"",B3610&gt;='Uang Riba'!$H$30,B3610&lt;='Uang Riba'!$I$30,OR(H3610="Dana riba",H3610="Pinjam uang riba",I3610="Pinjam dari uang riba",I3610="Ganti uang riba",I3610="Kelebihan ganti dikembalikan",AND(C3610="Kantong Uang Riba",G3610="Pengeluaran"))),1,0)</f>
        <v/>
      </c>
      <c r="X3610" s="93">
        <f>IF(AND(B3610&lt;&gt;"",B3610&gt;='Buku Akun'!$H$4,B3610&lt;='Buku Akun'!$H$5,OR(C3610='Buku Akun'!$C$4,AND(D3610="Pindah",E3610='Buku Akun'!$C$4))),B3610+IF(AND(I3610="Selisih bunga",DAY(B3610)=1),0,0.01)+ROW()/10000000,"")</f>
        <v/>
      </c>
    </row>
    <row r="3611" outlineLevel="1" ht="15" customHeight="1" s="94">
      <c r="A3611" s="123">
        <f>IF(B3611="","",ROW()-15)</f>
        <v/>
      </c>
      <c r="B3611" s="124" t="n"/>
      <c r="C3611" s="123" t="n"/>
      <c r="D3611" s="123" t="n"/>
      <c r="E3611" s="123" t="n"/>
      <c r="F3611" s="125" t="n"/>
      <c r="G3611" s="123" t="n"/>
      <c r="H3611" s="123" t="n"/>
      <c r="I3611" s="123" t="n"/>
      <c r="J3611" s="123" t="n"/>
      <c r="K3611" s="123" t="n"/>
      <c r="L3611" s="123" t="n"/>
      <c r="M3611" s="123">
        <f>IF(AND(B3611&lt;&gt;"",OR($C$4="",ISNUMBER(SEARCH($C$4,C3611&amp;" "&amp;E3611&amp;" "&amp;G3611&amp;" "&amp;H3611&amp;" "&amp;I3611&amp;" "&amp;J3611&amp;" "&amp;K3611&amp;" "&amp;L3611))),OR($C$5="Semua",$C$5="",G3611=$C$5),OR($C$6="Semua",$C$6="",H3611=$C$6,H3611="Pengeluaran "&amp;$C$6,AND($C$6="Uang Kos Mama",H3611="Pengeluaran Uang Kos")),OR($C$7="Semua",$C$7="",I3611=$C$7),OR($C$8="Semua",$C$8="",C3611=$C$8,E3611=$C$8),OR($C$9="Semua",$C$9="",D3611=$C$9),OR($C$10="",B3611&gt;=$C$10),OR($C$11="",B3611&lt;=$C$11),OR($C$12&lt;&gt;"Ya",K3611&lt;&gt;""),OR($C$13="Semua",$C$13="",L3611=$C$13)),"✓","")</f>
        <v/>
      </c>
      <c r="N3611" s="93">
        <f>N(N3610)+IF(M3611="✓",1,0)</f>
        <v/>
      </c>
      <c r="O3611" s="93">
        <f>N(O3610)+IF(AND(B3611&lt;&gt;"",B3611&gt;='Uang Riba'!$H$30,B3611&lt;='Uang Riba'!$I$30,OR(H3611="Dana riba",H3611="Pinjam uang riba",I3611="Pinjam dari uang riba",I3611="Ganti uang riba",I3611="Kelebihan ganti dikembalikan",AND(C3611="Kantong Uang Riba",G3611="Pengeluaran"))),1,0)</f>
        <v/>
      </c>
      <c r="X3611" s="93">
        <f>IF(AND(B3611&lt;&gt;"",B3611&gt;='Buku Akun'!$H$4,B3611&lt;='Buku Akun'!$H$5,OR(C3611='Buku Akun'!$C$4,AND(D3611="Pindah",E3611='Buku Akun'!$C$4))),B3611+IF(AND(I3611="Selisih bunga",DAY(B3611)=1),0,0.01)+ROW()/10000000,"")</f>
        <v/>
      </c>
    </row>
    <row r="3612" outlineLevel="1" ht="15" customHeight="1" s="94">
      <c r="A3612" s="123">
        <f>IF(B3612="","",ROW()-15)</f>
        <v/>
      </c>
      <c r="B3612" s="124" t="n"/>
      <c r="C3612" s="123" t="n"/>
      <c r="D3612" s="123" t="n"/>
      <c r="E3612" s="123" t="n"/>
      <c r="F3612" s="125" t="n"/>
      <c r="G3612" s="123" t="n"/>
      <c r="H3612" s="123" t="n"/>
      <c r="I3612" s="123" t="n"/>
      <c r="J3612" s="123" t="n"/>
      <c r="K3612" s="123" t="n"/>
      <c r="L3612" s="123" t="n"/>
      <c r="M3612" s="123">
        <f>IF(AND(B3612&lt;&gt;"",OR($C$4="",ISNUMBER(SEARCH($C$4,C3612&amp;" "&amp;E3612&amp;" "&amp;G3612&amp;" "&amp;H3612&amp;" "&amp;I3612&amp;" "&amp;J3612&amp;" "&amp;K3612&amp;" "&amp;L3612))),OR($C$5="Semua",$C$5="",G3612=$C$5),OR($C$6="Semua",$C$6="",H3612=$C$6,H3612="Pengeluaran "&amp;$C$6,AND($C$6="Uang Kos Mama",H3612="Pengeluaran Uang Kos")),OR($C$7="Semua",$C$7="",I3612=$C$7),OR($C$8="Semua",$C$8="",C3612=$C$8,E3612=$C$8),OR($C$9="Semua",$C$9="",D3612=$C$9),OR($C$10="",B3612&gt;=$C$10),OR($C$11="",B3612&lt;=$C$11),OR($C$12&lt;&gt;"Ya",K3612&lt;&gt;""),OR($C$13="Semua",$C$13="",L3612=$C$13)),"✓","")</f>
        <v/>
      </c>
      <c r="N3612" s="93">
        <f>N(N3611)+IF(M3612="✓",1,0)</f>
        <v/>
      </c>
      <c r="O3612" s="93">
        <f>N(O3611)+IF(AND(B3612&lt;&gt;"",B3612&gt;='Uang Riba'!$H$30,B3612&lt;='Uang Riba'!$I$30,OR(H3612="Dana riba",H3612="Pinjam uang riba",I3612="Pinjam dari uang riba",I3612="Ganti uang riba",I3612="Kelebihan ganti dikembalikan",AND(C3612="Kantong Uang Riba",G3612="Pengeluaran"))),1,0)</f>
        <v/>
      </c>
      <c r="X3612" s="93">
        <f>IF(AND(B3612&lt;&gt;"",B3612&gt;='Buku Akun'!$H$4,B3612&lt;='Buku Akun'!$H$5,OR(C3612='Buku Akun'!$C$4,AND(D3612="Pindah",E3612='Buku Akun'!$C$4))),B3612+IF(AND(I3612="Selisih bunga",DAY(B3612)=1),0,0.01)+ROW()/10000000,"")</f>
        <v/>
      </c>
    </row>
    <row r="3613" outlineLevel="1" ht="15" customHeight="1" s="94">
      <c r="A3613" s="123">
        <f>IF(B3613="","",ROW()-15)</f>
        <v/>
      </c>
      <c r="B3613" s="124" t="n"/>
      <c r="C3613" s="123" t="n"/>
      <c r="D3613" s="123" t="n"/>
      <c r="E3613" s="123" t="n"/>
      <c r="F3613" s="125" t="n"/>
      <c r="G3613" s="123" t="n"/>
      <c r="H3613" s="123" t="n"/>
      <c r="I3613" s="123" t="n"/>
      <c r="J3613" s="123" t="n"/>
      <c r="K3613" s="123" t="n"/>
      <c r="L3613" s="123" t="n"/>
      <c r="M3613" s="123">
        <f>IF(AND(B3613&lt;&gt;"",OR($C$4="",ISNUMBER(SEARCH($C$4,C3613&amp;" "&amp;E3613&amp;" "&amp;G3613&amp;" "&amp;H3613&amp;" "&amp;I3613&amp;" "&amp;J3613&amp;" "&amp;K3613&amp;" "&amp;L3613))),OR($C$5="Semua",$C$5="",G3613=$C$5),OR($C$6="Semua",$C$6="",H3613=$C$6,H3613="Pengeluaran "&amp;$C$6,AND($C$6="Uang Kos Mama",H3613="Pengeluaran Uang Kos")),OR($C$7="Semua",$C$7="",I3613=$C$7),OR($C$8="Semua",$C$8="",C3613=$C$8,E3613=$C$8),OR($C$9="Semua",$C$9="",D3613=$C$9),OR($C$10="",B3613&gt;=$C$10),OR($C$11="",B3613&lt;=$C$11),OR($C$12&lt;&gt;"Ya",K3613&lt;&gt;""),OR($C$13="Semua",$C$13="",L3613=$C$13)),"✓","")</f>
        <v/>
      </c>
      <c r="N3613" s="93">
        <f>N(N3612)+IF(M3613="✓",1,0)</f>
        <v/>
      </c>
      <c r="O3613" s="93">
        <f>N(O3612)+IF(AND(B3613&lt;&gt;"",B3613&gt;='Uang Riba'!$H$30,B3613&lt;='Uang Riba'!$I$30,OR(H3613="Dana riba",H3613="Pinjam uang riba",I3613="Pinjam dari uang riba",I3613="Ganti uang riba",I3613="Kelebihan ganti dikembalikan",AND(C3613="Kantong Uang Riba",G3613="Pengeluaran"))),1,0)</f>
        <v/>
      </c>
      <c r="X3613" s="93">
        <f>IF(AND(B3613&lt;&gt;"",B3613&gt;='Buku Akun'!$H$4,B3613&lt;='Buku Akun'!$H$5,OR(C3613='Buku Akun'!$C$4,AND(D3613="Pindah",E3613='Buku Akun'!$C$4))),B3613+IF(AND(I3613="Selisih bunga",DAY(B3613)=1),0,0.01)+ROW()/10000000,"")</f>
        <v/>
      </c>
    </row>
    <row r="3614" outlineLevel="1" ht="15" customHeight="1" s="94">
      <c r="A3614" s="123">
        <f>IF(B3614="","",ROW()-15)</f>
        <v/>
      </c>
      <c r="B3614" s="124" t="n"/>
      <c r="C3614" s="123" t="n"/>
      <c r="D3614" s="123" t="n"/>
      <c r="E3614" s="123" t="n"/>
      <c r="F3614" s="125" t="n"/>
      <c r="G3614" s="123" t="n"/>
      <c r="H3614" s="123" t="n"/>
      <c r="I3614" s="123" t="n"/>
      <c r="J3614" s="123" t="n"/>
      <c r="K3614" s="123" t="n"/>
      <c r="L3614" s="123" t="n"/>
      <c r="M3614" s="123">
        <f>IF(AND(B3614&lt;&gt;"",OR($C$4="",ISNUMBER(SEARCH($C$4,C3614&amp;" "&amp;E3614&amp;" "&amp;G3614&amp;" "&amp;H3614&amp;" "&amp;I3614&amp;" "&amp;J3614&amp;" "&amp;K3614&amp;" "&amp;L3614))),OR($C$5="Semua",$C$5="",G3614=$C$5),OR($C$6="Semua",$C$6="",H3614=$C$6,H3614="Pengeluaran "&amp;$C$6,AND($C$6="Uang Kos Mama",H3614="Pengeluaran Uang Kos")),OR($C$7="Semua",$C$7="",I3614=$C$7),OR($C$8="Semua",$C$8="",C3614=$C$8,E3614=$C$8),OR($C$9="Semua",$C$9="",D3614=$C$9),OR($C$10="",B3614&gt;=$C$10),OR($C$11="",B3614&lt;=$C$11),OR($C$12&lt;&gt;"Ya",K3614&lt;&gt;""),OR($C$13="Semua",$C$13="",L3614=$C$13)),"✓","")</f>
        <v/>
      </c>
      <c r="N3614" s="93">
        <f>N(N3613)+IF(M3614="✓",1,0)</f>
        <v/>
      </c>
      <c r="O3614" s="93">
        <f>N(O3613)+IF(AND(B3614&lt;&gt;"",B3614&gt;='Uang Riba'!$H$30,B3614&lt;='Uang Riba'!$I$30,OR(H3614="Dana riba",H3614="Pinjam uang riba",I3614="Pinjam dari uang riba",I3614="Ganti uang riba",I3614="Kelebihan ganti dikembalikan",AND(C3614="Kantong Uang Riba",G3614="Pengeluaran"))),1,0)</f>
        <v/>
      </c>
      <c r="X3614" s="93">
        <f>IF(AND(B3614&lt;&gt;"",B3614&gt;='Buku Akun'!$H$4,B3614&lt;='Buku Akun'!$H$5,OR(C3614='Buku Akun'!$C$4,AND(D3614="Pindah",E3614='Buku Akun'!$C$4))),B3614+IF(AND(I3614="Selisih bunga",DAY(B3614)=1),0,0.01)+ROW()/10000000,"")</f>
        <v/>
      </c>
    </row>
    <row r="3615" outlineLevel="1" ht="15" customHeight="1" s="94">
      <c r="A3615" s="123">
        <f>IF(B3615="","",ROW()-15)</f>
        <v/>
      </c>
      <c r="B3615" s="124" t="n"/>
      <c r="C3615" s="123" t="n"/>
      <c r="D3615" s="123" t="n"/>
      <c r="E3615" s="123" t="n"/>
      <c r="F3615" s="125" t="n"/>
      <c r="G3615" s="123" t="n"/>
      <c r="H3615" s="123" t="n"/>
      <c r="I3615" s="123" t="n"/>
      <c r="J3615" s="123" t="n"/>
      <c r="K3615" s="123" t="n"/>
      <c r="L3615" s="123" t="n"/>
      <c r="M3615" s="123">
        <f>IF(AND(B3615&lt;&gt;"",OR($C$4="",ISNUMBER(SEARCH($C$4,C3615&amp;" "&amp;E3615&amp;" "&amp;G3615&amp;" "&amp;H3615&amp;" "&amp;I3615&amp;" "&amp;J3615&amp;" "&amp;K3615&amp;" "&amp;L3615))),OR($C$5="Semua",$C$5="",G3615=$C$5),OR($C$6="Semua",$C$6="",H3615=$C$6,H3615="Pengeluaran "&amp;$C$6,AND($C$6="Uang Kos Mama",H3615="Pengeluaran Uang Kos")),OR($C$7="Semua",$C$7="",I3615=$C$7),OR($C$8="Semua",$C$8="",C3615=$C$8,E3615=$C$8),OR($C$9="Semua",$C$9="",D3615=$C$9),OR($C$10="",B3615&gt;=$C$10),OR($C$11="",B3615&lt;=$C$11),OR($C$12&lt;&gt;"Ya",K3615&lt;&gt;""),OR($C$13="Semua",$C$13="",L3615=$C$13)),"✓","")</f>
        <v/>
      </c>
      <c r="N3615" s="93">
        <f>N(N3614)+IF(M3615="✓",1,0)</f>
        <v/>
      </c>
      <c r="O3615" s="93">
        <f>N(O3614)+IF(AND(B3615&lt;&gt;"",B3615&gt;='Uang Riba'!$H$30,B3615&lt;='Uang Riba'!$I$30,OR(H3615="Dana riba",H3615="Pinjam uang riba",I3615="Pinjam dari uang riba",I3615="Ganti uang riba",I3615="Kelebihan ganti dikembalikan",AND(C3615="Kantong Uang Riba",G3615="Pengeluaran"))),1,0)</f>
        <v/>
      </c>
      <c r="X3615" s="93">
        <f>IF(AND(B3615&lt;&gt;"",B3615&gt;='Buku Akun'!$H$4,B3615&lt;='Buku Akun'!$H$5,OR(C3615='Buku Akun'!$C$4,AND(D3615="Pindah",E3615='Buku Akun'!$C$4))),B3615+IF(AND(I3615="Selisih bunga",DAY(B3615)=1),0,0.01)+ROW()/10000000,"")</f>
        <v/>
      </c>
    </row>
    <row r="3616" outlineLevel="1" ht="15" customHeight="1" s="94">
      <c r="A3616" s="123">
        <f>IF(B3616="","",ROW()-15)</f>
        <v/>
      </c>
      <c r="B3616" s="124" t="n"/>
      <c r="C3616" s="123" t="n"/>
      <c r="D3616" s="123" t="n"/>
      <c r="E3616" s="123" t="n"/>
      <c r="F3616" s="125" t="n"/>
      <c r="G3616" s="123" t="n"/>
      <c r="H3616" s="123" t="n"/>
      <c r="I3616" s="123" t="n"/>
      <c r="J3616" s="123" t="n"/>
      <c r="K3616" s="123" t="n"/>
      <c r="L3616" s="123" t="n"/>
      <c r="M3616" s="123">
        <f>IF(AND(B3616&lt;&gt;"",OR($C$4="",ISNUMBER(SEARCH($C$4,C3616&amp;" "&amp;E3616&amp;" "&amp;G3616&amp;" "&amp;H3616&amp;" "&amp;I3616&amp;" "&amp;J3616&amp;" "&amp;K3616&amp;" "&amp;L3616))),OR($C$5="Semua",$C$5="",G3616=$C$5),OR($C$6="Semua",$C$6="",H3616=$C$6,H3616="Pengeluaran "&amp;$C$6,AND($C$6="Uang Kos Mama",H3616="Pengeluaran Uang Kos")),OR($C$7="Semua",$C$7="",I3616=$C$7),OR($C$8="Semua",$C$8="",C3616=$C$8,E3616=$C$8),OR($C$9="Semua",$C$9="",D3616=$C$9),OR($C$10="",B3616&gt;=$C$10),OR($C$11="",B3616&lt;=$C$11),OR($C$12&lt;&gt;"Ya",K3616&lt;&gt;""),OR($C$13="Semua",$C$13="",L3616=$C$13)),"✓","")</f>
        <v/>
      </c>
      <c r="N3616" s="93">
        <f>N(N3615)+IF(M3616="✓",1,0)</f>
        <v/>
      </c>
      <c r="O3616" s="93">
        <f>N(O3615)+IF(AND(B3616&lt;&gt;"",B3616&gt;='Uang Riba'!$H$30,B3616&lt;='Uang Riba'!$I$30,OR(H3616="Dana riba",H3616="Pinjam uang riba",I3616="Pinjam dari uang riba",I3616="Ganti uang riba",I3616="Kelebihan ganti dikembalikan",AND(C3616="Kantong Uang Riba",G3616="Pengeluaran"))),1,0)</f>
        <v/>
      </c>
      <c r="X3616" s="93">
        <f>IF(AND(B3616&lt;&gt;"",B3616&gt;='Buku Akun'!$H$4,B3616&lt;='Buku Akun'!$H$5,OR(C3616='Buku Akun'!$C$4,AND(D3616="Pindah",E3616='Buku Akun'!$C$4))),B3616+IF(AND(I3616="Selisih bunga",DAY(B3616)=1),0,0.01)+ROW()/10000000,"")</f>
        <v/>
      </c>
    </row>
    <row r="3617" outlineLevel="1" ht="15" customHeight="1" s="94">
      <c r="A3617" s="123">
        <f>IF(B3617="","",ROW()-15)</f>
        <v/>
      </c>
      <c r="B3617" s="124" t="n"/>
      <c r="C3617" s="123" t="n"/>
      <c r="D3617" s="123" t="n"/>
      <c r="E3617" s="123" t="n"/>
      <c r="F3617" s="125" t="n"/>
      <c r="G3617" s="123" t="n"/>
      <c r="H3617" s="123" t="n"/>
      <c r="I3617" s="123" t="n"/>
      <c r="J3617" s="123" t="n"/>
      <c r="K3617" s="123" t="n"/>
      <c r="L3617" s="123" t="n"/>
      <c r="M3617" s="123">
        <f>IF(AND(B3617&lt;&gt;"",OR($C$4="",ISNUMBER(SEARCH($C$4,C3617&amp;" "&amp;E3617&amp;" "&amp;G3617&amp;" "&amp;H3617&amp;" "&amp;I3617&amp;" "&amp;J3617&amp;" "&amp;K3617&amp;" "&amp;L3617))),OR($C$5="Semua",$C$5="",G3617=$C$5),OR($C$6="Semua",$C$6="",H3617=$C$6,H3617="Pengeluaran "&amp;$C$6,AND($C$6="Uang Kos Mama",H3617="Pengeluaran Uang Kos")),OR($C$7="Semua",$C$7="",I3617=$C$7),OR($C$8="Semua",$C$8="",C3617=$C$8,E3617=$C$8),OR($C$9="Semua",$C$9="",D3617=$C$9),OR($C$10="",B3617&gt;=$C$10),OR($C$11="",B3617&lt;=$C$11),OR($C$12&lt;&gt;"Ya",K3617&lt;&gt;""),OR($C$13="Semua",$C$13="",L3617=$C$13)),"✓","")</f>
        <v/>
      </c>
      <c r="N3617" s="93">
        <f>N(N3616)+IF(M3617="✓",1,0)</f>
        <v/>
      </c>
      <c r="O3617" s="93">
        <f>N(O3616)+IF(AND(B3617&lt;&gt;"",B3617&gt;='Uang Riba'!$H$30,B3617&lt;='Uang Riba'!$I$30,OR(H3617="Dana riba",H3617="Pinjam uang riba",I3617="Pinjam dari uang riba",I3617="Ganti uang riba",I3617="Kelebihan ganti dikembalikan",AND(C3617="Kantong Uang Riba",G3617="Pengeluaran"))),1,0)</f>
        <v/>
      </c>
      <c r="X3617" s="93">
        <f>IF(AND(B3617&lt;&gt;"",B3617&gt;='Buku Akun'!$H$4,B3617&lt;='Buku Akun'!$H$5,OR(C3617='Buku Akun'!$C$4,AND(D3617="Pindah",E3617='Buku Akun'!$C$4))),B3617+IF(AND(I3617="Selisih bunga",DAY(B3617)=1),0,0.01)+ROW()/10000000,"")</f>
        <v/>
      </c>
    </row>
    <row r="3618" outlineLevel="1" ht="15" customHeight="1" s="94">
      <c r="A3618" s="123">
        <f>IF(B3618="","",ROW()-15)</f>
        <v/>
      </c>
      <c r="B3618" s="124" t="n"/>
      <c r="C3618" s="123" t="n"/>
      <c r="D3618" s="123" t="n"/>
      <c r="E3618" s="123" t="n"/>
      <c r="F3618" s="125" t="n"/>
      <c r="G3618" s="123" t="n"/>
      <c r="H3618" s="123" t="n"/>
      <c r="I3618" s="123" t="n"/>
      <c r="J3618" s="123" t="n"/>
      <c r="K3618" s="123" t="n"/>
      <c r="L3618" s="123" t="n"/>
      <c r="M3618" s="123">
        <f>IF(AND(B3618&lt;&gt;"",OR($C$4="",ISNUMBER(SEARCH($C$4,C3618&amp;" "&amp;E3618&amp;" "&amp;G3618&amp;" "&amp;H3618&amp;" "&amp;I3618&amp;" "&amp;J3618&amp;" "&amp;K3618&amp;" "&amp;L3618))),OR($C$5="Semua",$C$5="",G3618=$C$5),OR($C$6="Semua",$C$6="",H3618=$C$6,H3618="Pengeluaran "&amp;$C$6,AND($C$6="Uang Kos Mama",H3618="Pengeluaran Uang Kos")),OR($C$7="Semua",$C$7="",I3618=$C$7),OR($C$8="Semua",$C$8="",C3618=$C$8,E3618=$C$8),OR($C$9="Semua",$C$9="",D3618=$C$9),OR($C$10="",B3618&gt;=$C$10),OR($C$11="",B3618&lt;=$C$11),OR($C$12&lt;&gt;"Ya",K3618&lt;&gt;""),OR($C$13="Semua",$C$13="",L3618=$C$13)),"✓","")</f>
        <v/>
      </c>
      <c r="N3618" s="93">
        <f>N(N3617)+IF(M3618="✓",1,0)</f>
        <v/>
      </c>
      <c r="O3618" s="93">
        <f>N(O3617)+IF(AND(B3618&lt;&gt;"",B3618&gt;='Uang Riba'!$H$30,B3618&lt;='Uang Riba'!$I$30,OR(H3618="Dana riba",H3618="Pinjam uang riba",I3618="Pinjam dari uang riba",I3618="Ganti uang riba",I3618="Kelebihan ganti dikembalikan",AND(C3618="Kantong Uang Riba",G3618="Pengeluaran"))),1,0)</f>
        <v/>
      </c>
      <c r="X3618" s="93">
        <f>IF(AND(B3618&lt;&gt;"",B3618&gt;='Buku Akun'!$H$4,B3618&lt;='Buku Akun'!$H$5,OR(C3618='Buku Akun'!$C$4,AND(D3618="Pindah",E3618='Buku Akun'!$C$4))),B3618+IF(AND(I3618="Selisih bunga",DAY(B3618)=1),0,0.01)+ROW()/10000000,"")</f>
        <v/>
      </c>
    </row>
    <row r="3619" outlineLevel="1" ht="15" customHeight="1" s="94">
      <c r="A3619" s="123">
        <f>IF(B3619="","",ROW()-15)</f>
        <v/>
      </c>
      <c r="B3619" s="124" t="n"/>
      <c r="C3619" s="123" t="n"/>
      <c r="D3619" s="123" t="n"/>
      <c r="E3619" s="123" t="n"/>
      <c r="F3619" s="125" t="n"/>
      <c r="G3619" s="123" t="n"/>
      <c r="H3619" s="123" t="n"/>
      <c r="I3619" s="123" t="n"/>
      <c r="J3619" s="123" t="n"/>
      <c r="K3619" s="123" t="n"/>
      <c r="L3619" s="123" t="n"/>
      <c r="M3619" s="123">
        <f>IF(AND(B3619&lt;&gt;"",OR($C$4="",ISNUMBER(SEARCH($C$4,C3619&amp;" "&amp;E3619&amp;" "&amp;G3619&amp;" "&amp;H3619&amp;" "&amp;I3619&amp;" "&amp;J3619&amp;" "&amp;K3619&amp;" "&amp;L3619))),OR($C$5="Semua",$C$5="",G3619=$C$5),OR($C$6="Semua",$C$6="",H3619=$C$6,H3619="Pengeluaran "&amp;$C$6,AND($C$6="Uang Kos Mama",H3619="Pengeluaran Uang Kos")),OR($C$7="Semua",$C$7="",I3619=$C$7),OR($C$8="Semua",$C$8="",C3619=$C$8,E3619=$C$8),OR($C$9="Semua",$C$9="",D3619=$C$9),OR($C$10="",B3619&gt;=$C$10),OR($C$11="",B3619&lt;=$C$11),OR($C$12&lt;&gt;"Ya",K3619&lt;&gt;""),OR($C$13="Semua",$C$13="",L3619=$C$13)),"✓","")</f>
        <v/>
      </c>
      <c r="N3619" s="93">
        <f>N(N3618)+IF(M3619="✓",1,0)</f>
        <v/>
      </c>
      <c r="O3619" s="93">
        <f>N(O3618)+IF(AND(B3619&lt;&gt;"",B3619&gt;='Uang Riba'!$H$30,B3619&lt;='Uang Riba'!$I$30,OR(H3619="Dana riba",H3619="Pinjam uang riba",I3619="Pinjam dari uang riba",I3619="Ganti uang riba",I3619="Kelebihan ganti dikembalikan",AND(C3619="Kantong Uang Riba",G3619="Pengeluaran"))),1,0)</f>
        <v/>
      </c>
      <c r="X3619" s="93">
        <f>IF(AND(B3619&lt;&gt;"",B3619&gt;='Buku Akun'!$H$4,B3619&lt;='Buku Akun'!$H$5,OR(C3619='Buku Akun'!$C$4,AND(D3619="Pindah",E3619='Buku Akun'!$C$4))),B3619+IF(AND(I3619="Selisih bunga",DAY(B3619)=1),0,0.01)+ROW()/10000000,"")</f>
        <v/>
      </c>
    </row>
    <row r="3620" outlineLevel="1" ht="15" customHeight="1" s="94">
      <c r="A3620" s="123">
        <f>IF(B3620="","",ROW()-15)</f>
        <v/>
      </c>
      <c r="B3620" s="124" t="n"/>
      <c r="C3620" s="123" t="n"/>
      <c r="D3620" s="123" t="n"/>
      <c r="E3620" s="123" t="n"/>
      <c r="F3620" s="125" t="n"/>
      <c r="G3620" s="123" t="n"/>
      <c r="H3620" s="123" t="n"/>
      <c r="I3620" s="123" t="n"/>
      <c r="J3620" s="123" t="n"/>
      <c r="K3620" s="123" t="n"/>
      <c r="L3620" s="123" t="n"/>
      <c r="M3620" s="123">
        <f>IF(AND(B3620&lt;&gt;"",OR($C$4="",ISNUMBER(SEARCH($C$4,C3620&amp;" "&amp;E3620&amp;" "&amp;G3620&amp;" "&amp;H3620&amp;" "&amp;I3620&amp;" "&amp;J3620&amp;" "&amp;K3620&amp;" "&amp;L3620))),OR($C$5="Semua",$C$5="",G3620=$C$5),OR($C$6="Semua",$C$6="",H3620=$C$6,H3620="Pengeluaran "&amp;$C$6,AND($C$6="Uang Kos Mama",H3620="Pengeluaran Uang Kos")),OR($C$7="Semua",$C$7="",I3620=$C$7),OR($C$8="Semua",$C$8="",C3620=$C$8,E3620=$C$8),OR($C$9="Semua",$C$9="",D3620=$C$9),OR($C$10="",B3620&gt;=$C$10),OR($C$11="",B3620&lt;=$C$11),OR($C$12&lt;&gt;"Ya",K3620&lt;&gt;""),OR($C$13="Semua",$C$13="",L3620=$C$13)),"✓","")</f>
        <v/>
      </c>
      <c r="N3620" s="93">
        <f>N(N3619)+IF(M3620="✓",1,0)</f>
        <v/>
      </c>
      <c r="O3620" s="93">
        <f>N(O3619)+IF(AND(B3620&lt;&gt;"",B3620&gt;='Uang Riba'!$H$30,B3620&lt;='Uang Riba'!$I$30,OR(H3620="Dana riba",H3620="Pinjam uang riba",I3620="Pinjam dari uang riba",I3620="Ganti uang riba",I3620="Kelebihan ganti dikembalikan",AND(C3620="Kantong Uang Riba",G3620="Pengeluaran"))),1,0)</f>
        <v/>
      </c>
      <c r="X3620" s="93">
        <f>IF(AND(B3620&lt;&gt;"",B3620&gt;='Buku Akun'!$H$4,B3620&lt;='Buku Akun'!$H$5,OR(C3620='Buku Akun'!$C$4,AND(D3620="Pindah",E3620='Buku Akun'!$C$4))),B3620+IF(AND(I3620="Selisih bunga",DAY(B3620)=1),0,0.01)+ROW()/10000000,"")</f>
        <v/>
      </c>
    </row>
    <row r="3621" outlineLevel="1" ht="15" customHeight="1" s="94">
      <c r="A3621" s="123">
        <f>IF(B3621="","",ROW()-15)</f>
        <v/>
      </c>
      <c r="B3621" s="124" t="n"/>
      <c r="C3621" s="123" t="n"/>
      <c r="D3621" s="123" t="n"/>
      <c r="E3621" s="123" t="n"/>
      <c r="F3621" s="125" t="n"/>
      <c r="G3621" s="123" t="n"/>
      <c r="H3621" s="123" t="n"/>
      <c r="I3621" s="123" t="n"/>
      <c r="J3621" s="123" t="n"/>
      <c r="K3621" s="123" t="n"/>
      <c r="L3621" s="123" t="n"/>
      <c r="M3621" s="123">
        <f>IF(AND(B3621&lt;&gt;"",OR($C$4="",ISNUMBER(SEARCH($C$4,C3621&amp;" "&amp;E3621&amp;" "&amp;G3621&amp;" "&amp;H3621&amp;" "&amp;I3621&amp;" "&amp;J3621&amp;" "&amp;K3621&amp;" "&amp;L3621))),OR($C$5="Semua",$C$5="",G3621=$C$5),OR($C$6="Semua",$C$6="",H3621=$C$6,H3621="Pengeluaran "&amp;$C$6,AND($C$6="Uang Kos Mama",H3621="Pengeluaran Uang Kos")),OR($C$7="Semua",$C$7="",I3621=$C$7),OR($C$8="Semua",$C$8="",C3621=$C$8,E3621=$C$8),OR($C$9="Semua",$C$9="",D3621=$C$9),OR($C$10="",B3621&gt;=$C$10),OR($C$11="",B3621&lt;=$C$11),OR($C$12&lt;&gt;"Ya",K3621&lt;&gt;""),OR($C$13="Semua",$C$13="",L3621=$C$13)),"✓","")</f>
        <v/>
      </c>
      <c r="N3621" s="93">
        <f>N(N3620)+IF(M3621="✓",1,0)</f>
        <v/>
      </c>
      <c r="O3621" s="93">
        <f>N(O3620)+IF(AND(B3621&lt;&gt;"",B3621&gt;='Uang Riba'!$H$30,B3621&lt;='Uang Riba'!$I$30,OR(H3621="Dana riba",H3621="Pinjam uang riba",I3621="Pinjam dari uang riba",I3621="Ganti uang riba",I3621="Kelebihan ganti dikembalikan",AND(C3621="Kantong Uang Riba",G3621="Pengeluaran"))),1,0)</f>
        <v/>
      </c>
      <c r="X3621" s="93">
        <f>IF(AND(B3621&lt;&gt;"",B3621&gt;='Buku Akun'!$H$4,B3621&lt;='Buku Akun'!$H$5,OR(C3621='Buku Akun'!$C$4,AND(D3621="Pindah",E3621='Buku Akun'!$C$4))),B3621+IF(AND(I3621="Selisih bunga",DAY(B3621)=1),0,0.01)+ROW()/10000000,"")</f>
        <v/>
      </c>
    </row>
    <row r="3622" outlineLevel="1" ht="15" customHeight="1" s="94">
      <c r="A3622" s="123">
        <f>IF(B3622="","",ROW()-15)</f>
        <v/>
      </c>
      <c r="B3622" s="124" t="n"/>
      <c r="C3622" s="123" t="n"/>
      <c r="D3622" s="123" t="n"/>
      <c r="E3622" s="123" t="n"/>
      <c r="F3622" s="125" t="n"/>
      <c r="G3622" s="123" t="n"/>
      <c r="H3622" s="123" t="n"/>
      <c r="I3622" s="123" t="n"/>
      <c r="J3622" s="123" t="n"/>
      <c r="K3622" s="123" t="n"/>
      <c r="L3622" s="123" t="n"/>
      <c r="M3622" s="123">
        <f>IF(AND(B3622&lt;&gt;"",OR($C$4="",ISNUMBER(SEARCH($C$4,C3622&amp;" "&amp;E3622&amp;" "&amp;G3622&amp;" "&amp;H3622&amp;" "&amp;I3622&amp;" "&amp;J3622&amp;" "&amp;K3622&amp;" "&amp;L3622))),OR($C$5="Semua",$C$5="",G3622=$C$5),OR($C$6="Semua",$C$6="",H3622=$C$6,H3622="Pengeluaran "&amp;$C$6,AND($C$6="Uang Kos Mama",H3622="Pengeluaran Uang Kos")),OR($C$7="Semua",$C$7="",I3622=$C$7),OR($C$8="Semua",$C$8="",C3622=$C$8,E3622=$C$8),OR($C$9="Semua",$C$9="",D3622=$C$9),OR($C$10="",B3622&gt;=$C$10),OR($C$11="",B3622&lt;=$C$11),OR($C$12&lt;&gt;"Ya",K3622&lt;&gt;""),OR($C$13="Semua",$C$13="",L3622=$C$13)),"✓","")</f>
        <v/>
      </c>
      <c r="N3622" s="93">
        <f>N(N3621)+IF(M3622="✓",1,0)</f>
        <v/>
      </c>
      <c r="O3622" s="93">
        <f>N(O3621)+IF(AND(B3622&lt;&gt;"",B3622&gt;='Uang Riba'!$H$30,B3622&lt;='Uang Riba'!$I$30,OR(H3622="Dana riba",H3622="Pinjam uang riba",I3622="Pinjam dari uang riba",I3622="Ganti uang riba",I3622="Kelebihan ganti dikembalikan",AND(C3622="Kantong Uang Riba",G3622="Pengeluaran"))),1,0)</f>
        <v/>
      </c>
      <c r="X3622" s="93">
        <f>IF(AND(B3622&lt;&gt;"",B3622&gt;='Buku Akun'!$H$4,B3622&lt;='Buku Akun'!$H$5,OR(C3622='Buku Akun'!$C$4,AND(D3622="Pindah",E3622='Buku Akun'!$C$4))),B3622+IF(AND(I3622="Selisih bunga",DAY(B3622)=1),0,0.01)+ROW()/10000000,"")</f>
        <v/>
      </c>
    </row>
    <row r="3623" outlineLevel="1" ht="15" customHeight="1" s="94">
      <c r="A3623" s="123">
        <f>IF(B3623="","",ROW()-15)</f>
        <v/>
      </c>
      <c r="B3623" s="124" t="n"/>
      <c r="C3623" s="123" t="n"/>
      <c r="D3623" s="123" t="n"/>
      <c r="E3623" s="123" t="n"/>
      <c r="F3623" s="125" t="n"/>
      <c r="G3623" s="123" t="n"/>
      <c r="H3623" s="123" t="n"/>
      <c r="I3623" s="123" t="n"/>
      <c r="J3623" s="123" t="n"/>
      <c r="K3623" s="123" t="n"/>
      <c r="L3623" s="123" t="n"/>
      <c r="M3623" s="123">
        <f>IF(AND(B3623&lt;&gt;"",OR($C$4="",ISNUMBER(SEARCH($C$4,C3623&amp;" "&amp;E3623&amp;" "&amp;G3623&amp;" "&amp;H3623&amp;" "&amp;I3623&amp;" "&amp;J3623&amp;" "&amp;K3623&amp;" "&amp;L3623))),OR($C$5="Semua",$C$5="",G3623=$C$5),OR($C$6="Semua",$C$6="",H3623=$C$6,H3623="Pengeluaran "&amp;$C$6,AND($C$6="Uang Kos Mama",H3623="Pengeluaran Uang Kos")),OR($C$7="Semua",$C$7="",I3623=$C$7),OR($C$8="Semua",$C$8="",C3623=$C$8,E3623=$C$8),OR($C$9="Semua",$C$9="",D3623=$C$9),OR($C$10="",B3623&gt;=$C$10),OR($C$11="",B3623&lt;=$C$11),OR($C$12&lt;&gt;"Ya",K3623&lt;&gt;""),OR($C$13="Semua",$C$13="",L3623=$C$13)),"✓","")</f>
        <v/>
      </c>
      <c r="N3623" s="93">
        <f>N(N3622)+IF(M3623="✓",1,0)</f>
        <v/>
      </c>
      <c r="O3623" s="93">
        <f>N(O3622)+IF(AND(B3623&lt;&gt;"",B3623&gt;='Uang Riba'!$H$30,B3623&lt;='Uang Riba'!$I$30,OR(H3623="Dana riba",H3623="Pinjam uang riba",I3623="Pinjam dari uang riba",I3623="Ganti uang riba",I3623="Kelebihan ganti dikembalikan",AND(C3623="Kantong Uang Riba",G3623="Pengeluaran"))),1,0)</f>
        <v/>
      </c>
      <c r="X3623" s="93">
        <f>IF(AND(B3623&lt;&gt;"",B3623&gt;='Buku Akun'!$H$4,B3623&lt;='Buku Akun'!$H$5,OR(C3623='Buku Akun'!$C$4,AND(D3623="Pindah",E3623='Buku Akun'!$C$4))),B3623+IF(AND(I3623="Selisih bunga",DAY(B3623)=1),0,0.01)+ROW()/10000000,"")</f>
        <v/>
      </c>
    </row>
    <row r="3624" outlineLevel="1" ht="15" customHeight="1" s="94">
      <c r="A3624" s="123">
        <f>IF(B3624="","",ROW()-15)</f>
        <v/>
      </c>
      <c r="B3624" s="124" t="n"/>
      <c r="C3624" s="123" t="n"/>
      <c r="D3624" s="123" t="n"/>
      <c r="E3624" s="123" t="n"/>
      <c r="F3624" s="125" t="n"/>
      <c r="G3624" s="123" t="n"/>
      <c r="H3624" s="123" t="n"/>
      <c r="I3624" s="123" t="n"/>
      <c r="J3624" s="123" t="n"/>
      <c r="K3624" s="123" t="n"/>
      <c r="L3624" s="123" t="n"/>
      <c r="M3624" s="123">
        <f>IF(AND(B3624&lt;&gt;"",OR($C$4="",ISNUMBER(SEARCH($C$4,C3624&amp;" "&amp;E3624&amp;" "&amp;G3624&amp;" "&amp;H3624&amp;" "&amp;I3624&amp;" "&amp;J3624&amp;" "&amp;K3624&amp;" "&amp;L3624))),OR($C$5="Semua",$C$5="",G3624=$C$5),OR($C$6="Semua",$C$6="",H3624=$C$6,H3624="Pengeluaran "&amp;$C$6,AND($C$6="Uang Kos Mama",H3624="Pengeluaran Uang Kos")),OR($C$7="Semua",$C$7="",I3624=$C$7),OR($C$8="Semua",$C$8="",C3624=$C$8,E3624=$C$8),OR($C$9="Semua",$C$9="",D3624=$C$9),OR($C$10="",B3624&gt;=$C$10),OR($C$11="",B3624&lt;=$C$11),OR($C$12&lt;&gt;"Ya",K3624&lt;&gt;""),OR($C$13="Semua",$C$13="",L3624=$C$13)),"✓","")</f>
        <v/>
      </c>
      <c r="N3624" s="93">
        <f>N(N3623)+IF(M3624="✓",1,0)</f>
        <v/>
      </c>
      <c r="O3624" s="93">
        <f>N(O3623)+IF(AND(B3624&lt;&gt;"",B3624&gt;='Uang Riba'!$H$30,B3624&lt;='Uang Riba'!$I$30,OR(H3624="Dana riba",H3624="Pinjam uang riba",I3624="Pinjam dari uang riba",I3624="Ganti uang riba",I3624="Kelebihan ganti dikembalikan",AND(C3624="Kantong Uang Riba",G3624="Pengeluaran"))),1,0)</f>
        <v/>
      </c>
      <c r="X3624" s="93">
        <f>IF(AND(B3624&lt;&gt;"",B3624&gt;='Buku Akun'!$H$4,B3624&lt;='Buku Akun'!$H$5,OR(C3624='Buku Akun'!$C$4,AND(D3624="Pindah",E3624='Buku Akun'!$C$4))),B3624+IF(AND(I3624="Selisih bunga",DAY(B3624)=1),0,0.01)+ROW()/10000000,"")</f>
        <v/>
      </c>
    </row>
    <row r="3625" outlineLevel="1" ht="15" customHeight="1" s="94">
      <c r="A3625" s="123">
        <f>IF(B3625="","",ROW()-15)</f>
        <v/>
      </c>
      <c r="B3625" s="124" t="n"/>
      <c r="C3625" s="123" t="n"/>
      <c r="D3625" s="123" t="n"/>
      <c r="E3625" s="123" t="n"/>
      <c r="F3625" s="125" t="n"/>
      <c r="G3625" s="123" t="n"/>
      <c r="H3625" s="123" t="n"/>
      <c r="I3625" s="123" t="n"/>
      <c r="J3625" s="123" t="n"/>
      <c r="K3625" s="123" t="n"/>
      <c r="L3625" s="123" t="n"/>
      <c r="M3625" s="123">
        <f>IF(AND(B3625&lt;&gt;"",OR($C$4="",ISNUMBER(SEARCH($C$4,C3625&amp;" "&amp;E3625&amp;" "&amp;G3625&amp;" "&amp;H3625&amp;" "&amp;I3625&amp;" "&amp;J3625&amp;" "&amp;K3625&amp;" "&amp;L3625))),OR($C$5="Semua",$C$5="",G3625=$C$5),OR($C$6="Semua",$C$6="",H3625=$C$6,H3625="Pengeluaran "&amp;$C$6,AND($C$6="Uang Kos Mama",H3625="Pengeluaran Uang Kos")),OR($C$7="Semua",$C$7="",I3625=$C$7),OR($C$8="Semua",$C$8="",C3625=$C$8,E3625=$C$8),OR($C$9="Semua",$C$9="",D3625=$C$9),OR($C$10="",B3625&gt;=$C$10),OR($C$11="",B3625&lt;=$C$11),OR($C$12&lt;&gt;"Ya",K3625&lt;&gt;""),OR($C$13="Semua",$C$13="",L3625=$C$13)),"✓","")</f>
        <v/>
      </c>
      <c r="N3625" s="93">
        <f>N(N3624)+IF(M3625="✓",1,0)</f>
        <v/>
      </c>
      <c r="O3625" s="93">
        <f>N(O3624)+IF(AND(B3625&lt;&gt;"",B3625&gt;='Uang Riba'!$H$30,B3625&lt;='Uang Riba'!$I$30,OR(H3625="Dana riba",H3625="Pinjam uang riba",I3625="Pinjam dari uang riba",I3625="Ganti uang riba",I3625="Kelebihan ganti dikembalikan",AND(C3625="Kantong Uang Riba",G3625="Pengeluaran"))),1,0)</f>
        <v/>
      </c>
      <c r="X3625" s="93">
        <f>IF(AND(B3625&lt;&gt;"",B3625&gt;='Buku Akun'!$H$4,B3625&lt;='Buku Akun'!$H$5,OR(C3625='Buku Akun'!$C$4,AND(D3625="Pindah",E3625='Buku Akun'!$C$4))),B3625+IF(AND(I3625="Selisih bunga",DAY(B3625)=1),0,0.01)+ROW()/10000000,"")</f>
        <v/>
      </c>
    </row>
    <row r="3626" outlineLevel="1" ht="15" customHeight="1" s="94">
      <c r="A3626" s="123">
        <f>IF(B3626="","",ROW()-15)</f>
        <v/>
      </c>
      <c r="B3626" s="124" t="n"/>
      <c r="C3626" s="123" t="n"/>
      <c r="D3626" s="123" t="n"/>
      <c r="E3626" s="123" t="n"/>
      <c r="F3626" s="125" t="n"/>
      <c r="G3626" s="123" t="n"/>
      <c r="H3626" s="123" t="n"/>
      <c r="I3626" s="123" t="n"/>
      <c r="J3626" s="123" t="n"/>
      <c r="K3626" s="123" t="n"/>
      <c r="L3626" s="123" t="n"/>
      <c r="M3626" s="123">
        <f>IF(AND(B3626&lt;&gt;"",OR($C$4="",ISNUMBER(SEARCH($C$4,C3626&amp;" "&amp;E3626&amp;" "&amp;G3626&amp;" "&amp;H3626&amp;" "&amp;I3626&amp;" "&amp;J3626&amp;" "&amp;K3626&amp;" "&amp;L3626))),OR($C$5="Semua",$C$5="",G3626=$C$5),OR($C$6="Semua",$C$6="",H3626=$C$6,H3626="Pengeluaran "&amp;$C$6,AND($C$6="Uang Kos Mama",H3626="Pengeluaran Uang Kos")),OR($C$7="Semua",$C$7="",I3626=$C$7),OR($C$8="Semua",$C$8="",C3626=$C$8,E3626=$C$8),OR($C$9="Semua",$C$9="",D3626=$C$9),OR($C$10="",B3626&gt;=$C$10),OR($C$11="",B3626&lt;=$C$11),OR($C$12&lt;&gt;"Ya",K3626&lt;&gt;""),OR($C$13="Semua",$C$13="",L3626=$C$13)),"✓","")</f>
        <v/>
      </c>
      <c r="N3626" s="93">
        <f>N(N3625)+IF(M3626="✓",1,0)</f>
        <v/>
      </c>
      <c r="O3626" s="93">
        <f>N(O3625)+IF(AND(B3626&lt;&gt;"",B3626&gt;='Uang Riba'!$H$30,B3626&lt;='Uang Riba'!$I$30,OR(H3626="Dana riba",H3626="Pinjam uang riba",I3626="Pinjam dari uang riba",I3626="Ganti uang riba",I3626="Kelebihan ganti dikembalikan",AND(C3626="Kantong Uang Riba",G3626="Pengeluaran"))),1,0)</f>
        <v/>
      </c>
      <c r="X3626" s="93">
        <f>IF(AND(B3626&lt;&gt;"",B3626&gt;='Buku Akun'!$H$4,B3626&lt;='Buku Akun'!$H$5,OR(C3626='Buku Akun'!$C$4,AND(D3626="Pindah",E3626='Buku Akun'!$C$4))),B3626+IF(AND(I3626="Selisih bunga",DAY(B3626)=1),0,0.01)+ROW()/10000000,"")</f>
        <v/>
      </c>
    </row>
    <row r="3627" outlineLevel="1" ht="15" customHeight="1" s="94">
      <c r="A3627" s="123">
        <f>IF(B3627="","",ROW()-15)</f>
        <v/>
      </c>
      <c r="B3627" s="124" t="n"/>
      <c r="C3627" s="123" t="n"/>
      <c r="D3627" s="123" t="n"/>
      <c r="E3627" s="123" t="n"/>
      <c r="F3627" s="125" t="n"/>
      <c r="G3627" s="123" t="n"/>
      <c r="H3627" s="123" t="n"/>
      <c r="I3627" s="123" t="n"/>
      <c r="J3627" s="123" t="n"/>
      <c r="K3627" s="123" t="n"/>
      <c r="L3627" s="123" t="n"/>
      <c r="M3627" s="123">
        <f>IF(AND(B3627&lt;&gt;"",OR($C$4="",ISNUMBER(SEARCH($C$4,C3627&amp;" "&amp;E3627&amp;" "&amp;G3627&amp;" "&amp;H3627&amp;" "&amp;I3627&amp;" "&amp;J3627&amp;" "&amp;K3627&amp;" "&amp;L3627))),OR($C$5="Semua",$C$5="",G3627=$C$5),OR($C$6="Semua",$C$6="",H3627=$C$6,H3627="Pengeluaran "&amp;$C$6,AND($C$6="Uang Kos Mama",H3627="Pengeluaran Uang Kos")),OR($C$7="Semua",$C$7="",I3627=$C$7),OR($C$8="Semua",$C$8="",C3627=$C$8,E3627=$C$8),OR($C$9="Semua",$C$9="",D3627=$C$9),OR($C$10="",B3627&gt;=$C$10),OR($C$11="",B3627&lt;=$C$11),OR($C$12&lt;&gt;"Ya",K3627&lt;&gt;""),OR($C$13="Semua",$C$13="",L3627=$C$13)),"✓","")</f>
        <v/>
      </c>
      <c r="N3627" s="93">
        <f>N(N3626)+IF(M3627="✓",1,0)</f>
        <v/>
      </c>
      <c r="O3627" s="93">
        <f>N(O3626)+IF(AND(B3627&lt;&gt;"",B3627&gt;='Uang Riba'!$H$30,B3627&lt;='Uang Riba'!$I$30,OR(H3627="Dana riba",H3627="Pinjam uang riba",I3627="Pinjam dari uang riba",I3627="Ganti uang riba",I3627="Kelebihan ganti dikembalikan",AND(C3627="Kantong Uang Riba",G3627="Pengeluaran"))),1,0)</f>
        <v/>
      </c>
      <c r="X3627" s="93">
        <f>IF(AND(B3627&lt;&gt;"",B3627&gt;='Buku Akun'!$H$4,B3627&lt;='Buku Akun'!$H$5,OR(C3627='Buku Akun'!$C$4,AND(D3627="Pindah",E3627='Buku Akun'!$C$4))),B3627+IF(AND(I3627="Selisih bunga",DAY(B3627)=1),0,0.01)+ROW()/10000000,"")</f>
        <v/>
      </c>
    </row>
    <row r="3628" outlineLevel="1" ht="15" customHeight="1" s="94">
      <c r="A3628" s="123">
        <f>IF(B3628="","",ROW()-15)</f>
        <v/>
      </c>
      <c r="B3628" s="124" t="n"/>
      <c r="C3628" s="123" t="n"/>
      <c r="D3628" s="123" t="n"/>
      <c r="E3628" s="123" t="n"/>
      <c r="F3628" s="125" t="n"/>
      <c r="G3628" s="123" t="n"/>
      <c r="H3628" s="123" t="n"/>
      <c r="I3628" s="123" t="n"/>
      <c r="J3628" s="123" t="n"/>
      <c r="K3628" s="123" t="n"/>
      <c r="L3628" s="123" t="n"/>
      <c r="M3628" s="123">
        <f>IF(AND(B3628&lt;&gt;"",OR($C$4="",ISNUMBER(SEARCH($C$4,C3628&amp;" "&amp;E3628&amp;" "&amp;G3628&amp;" "&amp;H3628&amp;" "&amp;I3628&amp;" "&amp;J3628&amp;" "&amp;K3628&amp;" "&amp;L3628))),OR($C$5="Semua",$C$5="",G3628=$C$5),OR($C$6="Semua",$C$6="",H3628=$C$6,H3628="Pengeluaran "&amp;$C$6,AND($C$6="Uang Kos Mama",H3628="Pengeluaran Uang Kos")),OR($C$7="Semua",$C$7="",I3628=$C$7),OR($C$8="Semua",$C$8="",C3628=$C$8,E3628=$C$8),OR($C$9="Semua",$C$9="",D3628=$C$9),OR($C$10="",B3628&gt;=$C$10),OR($C$11="",B3628&lt;=$C$11),OR($C$12&lt;&gt;"Ya",K3628&lt;&gt;""),OR($C$13="Semua",$C$13="",L3628=$C$13)),"✓","")</f>
        <v/>
      </c>
      <c r="N3628" s="93">
        <f>N(N3627)+IF(M3628="✓",1,0)</f>
        <v/>
      </c>
      <c r="O3628" s="93">
        <f>N(O3627)+IF(AND(B3628&lt;&gt;"",B3628&gt;='Uang Riba'!$H$30,B3628&lt;='Uang Riba'!$I$30,OR(H3628="Dana riba",H3628="Pinjam uang riba",I3628="Pinjam dari uang riba",I3628="Ganti uang riba",I3628="Kelebihan ganti dikembalikan",AND(C3628="Kantong Uang Riba",G3628="Pengeluaran"))),1,0)</f>
        <v/>
      </c>
      <c r="X3628" s="93">
        <f>IF(AND(B3628&lt;&gt;"",B3628&gt;='Buku Akun'!$H$4,B3628&lt;='Buku Akun'!$H$5,OR(C3628='Buku Akun'!$C$4,AND(D3628="Pindah",E3628='Buku Akun'!$C$4))),B3628+IF(AND(I3628="Selisih bunga",DAY(B3628)=1),0,0.01)+ROW()/10000000,"")</f>
        <v/>
      </c>
    </row>
    <row r="3629" outlineLevel="1" ht="15" customHeight="1" s="94">
      <c r="A3629" s="123">
        <f>IF(B3629="","",ROW()-15)</f>
        <v/>
      </c>
      <c r="B3629" s="124" t="n"/>
      <c r="C3629" s="123" t="n"/>
      <c r="D3629" s="123" t="n"/>
      <c r="E3629" s="123" t="n"/>
      <c r="F3629" s="125" t="n"/>
      <c r="G3629" s="123" t="n"/>
      <c r="H3629" s="123" t="n"/>
      <c r="I3629" s="123" t="n"/>
      <c r="J3629" s="123" t="n"/>
      <c r="K3629" s="123" t="n"/>
      <c r="L3629" s="123" t="n"/>
      <c r="M3629" s="123">
        <f>IF(AND(B3629&lt;&gt;"",OR($C$4="",ISNUMBER(SEARCH($C$4,C3629&amp;" "&amp;E3629&amp;" "&amp;G3629&amp;" "&amp;H3629&amp;" "&amp;I3629&amp;" "&amp;J3629&amp;" "&amp;K3629&amp;" "&amp;L3629))),OR($C$5="Semua",$C$5="",G3629=$C$5),OR($C$6="Semua",$C$6="",H3629=$C$6,H3629="Pengeluaran "&amp;$C$6,AND($C$6="Uang Kos Mama",H3629="Pengeluaran Uang Kos")),OR($C$7="Semua",$C$7="",I3629=$C$7),OR($C$8="Semua",$C$8="",C3629=$C$8,E3629=$C$8),OR($C$9="Semua",$C$9="",D3629=$C$9),OR($C$10="",B3629&gt;=$C$10),OR($C$11="",B3629&lt;=$C$11),OR($C$12&lt;&gt;"Ya",K3629&lt;&gt;""),OR($C$13="Semua",$C$13="",L3629=$C$13)),"✓","")</f>
        <v/>
      </c>
      <c r="N3629" s="93">
        <f>N(N3628)+IF(M3629="✓",1,0)</f>
        <v/>
      </c>
      <c r="O3629" s="93">
        <f>N(O3628)+IF(AND(B3629&lt;&gt;"",B3629&gt;='Uang Riba'!$H$30,B3629&lt;='Uang Riba'!$I$30,OR(H3629="Dana riba",H3629="Pinjam uang riba",I3629="Pinjam dari uang riba",I3629="Ganti uang riba",I3629="Kelebihan ganti dikembalikan",AND(C3629="Kantong Uang Riba",G3629="Pengeluaran"))),1,0)</f>
        <v/>
      </c>
      <c r="X3629" s="93">
        <f>IF(AND(B3629&lt;&gt;"",B3629&gt;='Buku Akun'!$H$4,B3629&lt;='Buku Akun'!$H$5,OR(C3629='Buku Akun'!$C$4,AND(D3629="Pindah",E3629='Buku Akun'!$C$4))),B3629+IF(AND(I3629="Selisih bunga",DAY(B3629)=1),0,0.01)+ROW()/10000000,"")</f>
        <v/>
      </c>
    </row>
    <row r="3630" outlineLevel="1" ht="15" customHeight="1" s="94">
      <c r="A3630" s="123">
        <f>IF(B3630="","",ROW()-15)</f>
        <v/>
      </c>
      <c r="B3630" s="124" t="n"/>
      <c r="C3630" s="123" t="n"/>
      <c r="D3630" s="123" t="n"/>
      <c r="E3630" s="123" t="n"/>
      <c r="F3630" s="125" t="n"/>
      <c r="G3630" s="123" t="n"/>
      <c r="H3630" s="123" t="n"/>
      <c r="I3630" s="123" t="n"/>
      <c r="J3630" s="123" t="n"/>
      <c r="K3630" s="123" t="n"/>
      <c r="L3630" s="123" t="n"/>
      <c r="M3630" s="123">
        <f>IF(AND(B3630&lt;&gt;"",OR($C$4="",ISNUMBER(SEARCH($C$4,C3630&amp;" "&amp;E3630&amp;" "&amp;G3630&amp;" "&amp;H3630&amp;" "&amp;I3630&amp;" "&amp;J3630&amp;" "&amp;K3630&amp;" "&amp;L3630))),OR($C$5="Semua",$C$5="",G3630=$C$5),OR($C$6="Semua",$C$6="",H3630=$C$6,H3630="Pengeluaran "&amp;$C$6,AND($C$6="Uang Kos Mama",H3630="Pengeluaran Uang Kos")),OR($C$7="Semua",$C$7="",I3630=$C$7),OR($C$8="Semua",$C$8="",C3630=$C$8,E3630=$C$8),OR($C$9="Semua",$C$9="",D3630=$C$9),OR($C$10="",B3630&gt;=$C$10),OR($C$11="",B3630&lt;=$C$11),OR($C$12&lt;&gt;"Ya",K3630&lt;&gt;""),OR($C$13="Semua",$C$13="",L3630=$C$13)),"✓","")</f>
        <v/>
      </c>
      <c r="N3630" s="93">
        <f>N(N3629)+IF(M3630="✓",1,0)</f>
        <v/>
      </c>
      <c r="O3630" s="93">
        <f>N(O3629)+IF(AND(B3630&lt;&gt;"",B3630&gt;='Uang Riba'!$H$30,B3630&lt;='Uang Riba'!$I$30,OR(H3630="Dana riba",H3630="Pinjam uang riba",I3630="Pinjam dari uang riba",I3630="Ganti uang riba",I3630="Kelebihan ganti dikembalikan",AND(C3630="Kantong Uang Riba",G3630="Pengeluaran"))),1,0)</f>
        <v/>
      </c>
      <c r="X3630" s="93">
        <f>IF(AND(B3630&lt;&gt;"",B3630&gt;='Buku Akun'!$H$4,B3630&lt;='Buku Akun'!$H$5,OR(C3630='Buku Akun'!$C$4,AND(D3630="Pindah",E3630='Buku Akun'!$C$4))),B3630+IF(AND(I3630="Selisih bunga",DAY(B3630)=1),0,0.01)+ROW()/10000000,"")</f>
        <v/>
      </c>
    </row>
    <row r="3631" outlineLevel="1" ht="15" customHeight="1" s="94">
      <c r="A3631" s="123">
        <f>IF(B3631="","",ROW()-15)</f>
        <v/>
      </c>
      <c r="B3631" s="124" t="n"/>
      <c r="C3631" s="123" t="n"/>
      <c r="D3631" s="123" t="n"/>
      <c r="E3631" s="123" t="n"/>
      <c r="F3631" s="125" t="n"/>
      <c r="G3631" s="123" t="n"/>
      <c r="H3631" s="123" t="n"/>
      <c r="I3631" s="123" t="n"/>
      <c r="J3631" s="123" t="n"/>
      <c r="K3631" s="123" t="n"/>
      <c r="L3631" s="123" t="n"/>
      <c r="M3631" s="123">
        <f>IF(AND(B3631&lt;&gt;"",OR($C$4="",ISNUMBER(SEARCH($C$4,C3631&amp;" "&amp;E3631&amp;" "&amp;G3631&amp;" "&amp;H3631&amp;" "&amp;I3631&amp;" "&amp;J3631&amp;" "&amp;K3631&amp;" "&amp;L3631))),OR($C$5="Semua",$C$5="",G3631=$C$5),OR($C$6="Semua",$C$6="",H3631=$C$6,H3631="Pengeluaran "&amp;$C$6,AND($C$6="Uang Kos Mama",H3631="Pengeluaran Uang Kos")),OR($C$7="Semua",$C$7="",I3631=$C$7),OR($C$8="Semua",$C$8="",C3631=$C$8,E3631=$C$8),OR($C$9="Semua",$C$9="",D3631=$C$9),OR($C$10="",B3631&gt;=$C$10),OR($C$11="",B3631&lt;=$C$11),OR($C$12&lt;&gt;"Ya",K3631&lt;&gt;""),OR($C$13="Semua",$C$13="",L3631=$C$13)),"✓","")</f>
        <v/>
      </c>
      <c r="N3631" s="93">
        <f>N(N3630)+IF(M3631="✓",1,0)</f>
        <v/>
      </c>
      <c r="O3631" s="93">
        <f>N(O3630)+IF(AND(B3631&lt;&gt;"",B3631&gt;='Uang Riba'!$H$30,B3631&lt;='Uang Riba'!$I$30,OR(H3631="Dana riba",H3631="Pinjam uang riba",I3631="Pinjam dari uang riba",I3631="Ganti uang riba",I3631="Kelebihan ganti dikembalikan",AND(C3631="Kantong Uang Riba",G3631="Pengeluaran"))),1,0)</f>
        <v/>
      </c>
      <c r="X3631" s="93">
        <f>IF(AND(B3631&lt;&gt;"",B3631&gt;='Buku Akun'!$H$4,B3631&lt;='Buku Akun'!$H$5,OR(C3631='Buku Akun'!$C$4,AND(D3631="Pindah",E3631='Buku Akun'!$C$4))),B3631+IF(AND(I3631="Selisih bunga",DAY(B3631)=1),0,0.01)+ROW()/10000000,"")</f>
        <v/>
      </c>
    </row>
    <row r="3632" outlineLevel="1" ht="15" customHeight="1" s="94">
      <c r="A3632" s="123">
        <f>IF(B3632="","",ROW()-15)</f>
        <v/>
      </c>
      <c r="B3632" s="124" t="n"/>
      <c r="C3632" s="123" t="n"/>
      <c r="D3632" s="123" t="n"/>
      <c r="E3632" s="123" t="n"/>
      <c r="F3632" s="125" t="n"/>
      <c r="G3632" s="123" t="n"/>
      <c r="H3632" s="123" t="n"/>
      <c r="I3632" s="123" t="n"/>
      <c r="J3632" s="123" t="n"/>
      <c r="K3632" s="123" t="n"/>
      <c r="L3632" s="123" t="n"/>
      <c r="M3632" s="123">
        <f>IF(AND(B3632&lt;&gt;"",OR($C$4="",ISNUMBER(SEARCH($C$4,C3632&amp;" "&amp;E3632&amp;" "&amp;G3632&amp;" "&amp;H3632&amp;" "&amp;I3632&amp;" "&amp;J3632&amp;" "&amp;K3632&amp;" "&amp;L3632))),OR($C$5="Semua",$C$5="",G3632=$C$5),OR($C$6="Semua",$C$6="",H3632=$C$6,H3632="Pengeluaran "&amp;$C$6,AND($C$6="Uang Kos Mama",H3632="Pengeluaran Uang Kos")),OR($C$7="Semua",$C$7="",I3632=$C$7),OR($C$8="Semua",$C$8="",C3632=$C$8,E3632=$C$8),OR($C$9="Semua",$C$9="",D3632=$C$9),OR($C$10="",B3632&gt;=$C$10),OR($C$11="",B3632&lt;=$C$11),OR($C$12&lt;&gt;"Ya",K3632&lt;&gt;""),OR($C$13="Semua",$C$13="",L3632=$C$13)),"✓","")</f>
        <v/>
      </c>
      <c r="N3632" s="93">
        <f>N(N3631)+IF(M3632="✓",1,0)</f>
        <v/>
      </c>
      <c r="O3632" s="93">
        <f>N(O3631)+IF(AND(B3632&lt;&gt;"",B3632&gt;='Uang Riba'!$H$30,B3632&lt;='Uang Riba'!$I$30,OR(H3632="Dana riba",H3632="Pinjam uang riba",I3632="Pinjam dari uang riba",I3632="Ganti uang riba",I3632="Kelebihan ganti dikembalikan",AND(C3632="Kantong Uang Riba",G3632="Pengeluaran"))),1,0)</f>
        <v/>
      </c>
      <c r="X3632" s="93">
        <f>IF(AND(B3632&lt;&gt;"",B3632&gt;='Buku Akun'!$H$4,B3632&lt;='Buku Akun'!$H$5,OR(C3632='Buku Akun'!$C$4,AND(D3632="Pindah",E3632='Buku Akun'!$C$4))),B3632+IF(AND(I3632="Selisih bunga",DAY(B3632)=1),0,0.01)+ROW()/10000000,"")</f>
        <v/>
      </c>
    </row>
    <row r="3633" outlineLevel="1" ht="15" customHeight="1" s="94">
      <c r="A3633" s="123">
        <f>IF(B3633="","",ROW()-15)</f>
        <v/>
      </c>
      <c r="B3633" s="124" t="n"/>
      <c r="C3633" s="123" t="n"/>
      <c r="D3633" s="123" t="n"/>
      <c r="E3633" s="123" t="n"/>
      <c r="F3633" s="125" t="n"/>
      <c r="G3633" s="123" t="n"/>
      <c r="H3633" s="123" t="n"/>
      <c r="I3633" s="123" t="n"/>
      <c r="J3633" s="123" t="n"/>
      <c r="K3633" s="123" t="n"/>
      <c r="L3633" s="123" t="n"/>
      <c r="M3633" s="123">
        <f>IF(AND(B3633&lt;&gt;"",OR($C$4="",ISNUMBER(SEARCH($C$4,C3633&amp;" "&amp;E3633&amp;" "&amp;G3633&amp;" "&amp;H3633&amp;" "&amp;I3633&amp;" "&amp;J3633&amp;" "&amp;K3633&amp;" "&amp;L3633))),OR($C$5="Semua",$C$5="",G3633=$C$5),OR($C$6="Semua",$C$6="",H3633=$C$6,H3633="Pengeluaran "&amp;$C$6,AND($C$6="Uang Kos Mama",H3633="Pengeluaran Uang Kos")),OR($C$7="Semua",$C$7="",I3633=$C$7),OR($C$8="Semua",$C$8="",C3633=$C$8,E3633=$C$8),OR($C$9="Semua",$C$9="",D3633=$C$9),OR($C$10="",B3633&gt;=$C$10),OR($C$11="",B3633&lt;=$C$11),OR($C$12&lt;&gt;"Ya",K3633&lt;&gt;""),OR($C$13="Semua",$C$13="",L3633=$C$13)),"✓","")</f>
        <v/>
      </c>
      <c r="N3633" s="93">
        <f>N(N3632)+IF(M3633="✓",1,0)</f>
        <v/>
      </c>
      <c r="O3633" s="93">
        <f>N(O3632)+IF(AND(B3633&lt;&gt;"",B3633&gt;='Uang Riba'!$H$30,B3633&lt;='Uang Riba'!$I$30,OR(H3633="Dana riba",H3633="Pinjam uang riba",I3633="Pinjam dari uang riba",I3633="Ganti uang riba",I3633="Kelebihan ganti dikembalikan",AND(C3633="Kantong Uang Riba",G3633="Pengeluaran"))),1,0)</f>
        <v/>
      </c>
      <c r="X3633" s="93">
        <f>IF(AND(B3633&lt;&gt;"",B3633&gt;='Buku Akun'!$H$4,B3633&lt;='Buku Akun'!$H$5,OR(C3633='Buku Akun'!$C$4,AND(D3633="Pindah",E3633='Buku Akun'!$C$4))),B3633+IF(AND(I3633="Selisih bunga",DAY(B3633)=1),0,0.01)+ROW()/10000000,"")</f>
        <v/>
      </c>
    </row>
    <row r="3634" outlineLevel="1" ht="15" customHeight="1" s="94">
      <c r="A3634" s="123">
        <f>IF(B3634="","",ROW()-15)</f>
        <v/>
      </c>
      <c r="B3634" s="124" t="n"/>
      <c r="C3634" s="123" t="n"/>
      <c r="D3634" s="123" t="n"/>
      <c r="E3634" s="123" t="n"/>
      <c r="F3634" s="125" t="n"/>
      <c r="G3634" s="123" t="n"/>
      <c r="H3634" s="123" t="n"/>
      <c r="I3634" s="123" t="n"/>
      <c r="J3634" s="123" t="n"/>
      <c r="K3634" s="123" t="n"/>
      <c r="L3634" s="123" t="n"/>
      <c r="M3634" s="123">
        <f>IF(AND(B3634&lt;&gt;"",OR($C$4="",ISNUMBER(SEARCH($C$4,C3634&amp;" "&amp;E3634&amp;" "&amp;G3634&amp;" "&amp;H3634&amp;" "&amp;I3634&amp;" "&amp;J3634&amp;" "&amp;K3634&amp;" "&amp;L3634))),OR($C$5="Semua",$C$5="",G3634=$C$5),OR($C$6="Semua",$C$6="",H3634=$C$6,H3634="Pengeluaran "&amp;$C$6,AND($C$6="Uang Kos Mama",H3634="Pengeluaran Uang Kos")),OR($C$7="Semua",$C$7="",I3634=$C$7),OR($C$8="Semua",$C$8="",C3634=$C$8,E3634=$C$8),OR($C$9="Semua",$C$9="",D3634=$C$9),OR($C$10="",B3634&gt;=$C$10),OR($C$11="",B3634&lt;=$C$11),OR($C$12&lt;&gt;"Ya",K3634&lt;&gt;""),OR($C$13="Semua",$C$13="",L3634=$C$13)),"✓","")</f>
        <v/>
      </c>
      <c r="N3634" s="93">
        <f>N(N3633)+IF(M3634="✓",1,0)</f>
        <v/>
      </c>
      <c r="O3634" s="93">
        <f>N(O3633)+IF(AND(B3634&lt;&gt;"",B3634&gt;='Uang Riba'!$H$30,B3634&lt;='Uang Riba'!$I$30,OR(H3634="Dana riba",H3634="Pinjam uang riba",I3634="Pinjam dari uang riba",I3634="Ganti uang riba",I3634="Kelebihan ganti dikembalikan",AND(C3634="Kantong Uang Riba",G3634="Pengeluaran"))),1,0)</f>
        <v/>
      </c>
      <c r="X3634" s="93">
        <f>IF(AND(B3634&lt;&gt;"",B3634&gt;='Buku Akun'!$H$4,B3634&lt;='Buku Akun'!$H$5,OR(C3634='Buku Akun'!$C$4,AND(D3634="Pindah",E3634='Buku Akun'!$C$4))),B3634+IF(AND(I3634="Selisih bunga",DAY(B3634)=1),0,0.01)+ROW()/10000000,"")</f>
        <v/>
      </c>
    </row>
    <row r="3635" outlineLevel="1" ht="15" customHeight="1" s="94">
      <c r="A3635" s="123">
        <f>IF(B3635="","",ROW()-15)</f>
        <v/>
      </c>
      <c r="B3635" s="124" t="n"/>
      <c r="C3635" s="123" t="n"/>
      <c r="D3635" s="123" t="n"/>
      <c r="E3635" s="123" t="n"/>
      <c r="F3635" s="125" t="n"/>
      <c r="G3635" s="123" t="n"/>
      <c r="H3635" s="123" t="n"/>
      <c r="I3635" s="123" t="n"/>
      <c r="J3635" s="123" t="n"/>
      <c r="K3635" s="123" t="n"/>
      <c r="L3635" s="123" t="n"/>
      <c r="M3635" s="123">
        <f>IF(AND(B3635&lt;&gt;"",OR($C$4="",ISNUMBER(SEARCH($C$4,C3635&amp;" "&amp;E3635&amp;" "&amp;G3635&amp;" "&amp;H3635&amp;" "&amp;I3635&amp;" "&amp;J3635&amp;" "&amp;K3635&amp;" "&amp;L3635))),OR($C$5="Semua",$C$5="",G3635=$C$5),OR($C$6="Semua",$C$6="",H3635=$C$6,H3635="Pengeluaran "&amp;$C$6,AND($C$6="Uang Kos Mama",H3635="Pengeluaran Uang Kos")),OR($C$7="Semua",$C$7="",I3635=$C$7),OR($C$8="Semua",$C$8="",C3635=$C$8,E3635=$C$8),OR($C$9="Semua",$C$9="",D3635=$C$9),OR($C$10="",B3635&gt;=$C$10),OR($C$11="",B3635&lt;=$C$11),OR($C$12&lt;&gt;"Ya",K3635&lt;&gt;""),OR($C$13="Semua",$C$13="",L3635=$C$13)),"✓","")</f>
        <v/>
      </c>
      <c r="N3635" s="93">
        <f>N(N3634)+IF(M3635="✓",1,0)</f>
        <v/>
      </c>
      <c r="O3635" s="93">
        <f>N(O3634)+IF(AND(B3635&lt;&gt;"",B3635&gt;='Uang Riba'!$H$30,B3635&lt;='Uang Riba'!$I$30,OR(H3635="Dana riba",H3635="Pinjam uang riba",I3635="Pinjam dari uang riba",I3635="Ganti uang riba",I3635="Kelebihan ganti dikembalikan",AND(C3635="Kantong Uang Riba",G3635="Pengeluaran"))),1,0)</f>
        <v/>
      </c>
      <c r="X3635" s="93">
        <f>IF(AND(B3635&lt;&gt;"",B3635&gt;='Buku Akun'!$H$4,B3635&lt;='Buku Akun'!$H$5,OR(C3635='Buku Akun'!$C$4,AND(D3635="Pindah",E3635='Buku Akun'!$C$4))),B3635+IF(AND(I3635="Selisih bunga",DAY(B3635)=1),0,0.01)+ROW()/10000000,"")</f>
        <v/>
      </c>
    </row>
    <row r="3636" outlineLevel="1" ht="15" customHeight="1" s="94">
      <c r="A3636" s="123">
        <f>IF(B3636="","",ROW()-15)</f>
        <v/>
      </c>
      <c r="B3636" s="124" t="n"/>
      <c r="C3636" s="123" t="n"/>
      <c r="D3636" s="123" t="n"/>
      <c r="E3636" s="123" t="n"/>
      <c r="F3636" s="125" t="n"/>
      <c r="G3636" s="123" t="n"/>
      <c r="H3636" s="123" t="n"/>
      <c r="I3636" s="123" t="n"/>
      <c r="J3636" s="123" t="n"/>
      <c r="K3636" s="123" t="n"/>
      <c r="L3636" s="123" t="n"/>
      <c r="M3636" s="123">
        <f>IF(AND(B3636&lt;&gt;"",OR($C$4="",ISNUMBER(SEARCH($C$4,C3636&amp;" "&amp;E3636&amp;" "&amp;G3636&amp;" "&amp;H3636&amp;" "&amp;I3636&amp;" "&amp;J3636&amp;" "&amp;K3636&amp;" "&amp;L3636))),OR($C$5="Semua",$C$5="",G3636=$C$5),OR($C$6="Semua",$C$6="",H3636=$C$6,H3636="Pengeluaran "&amp;$C$6,AND($C$6="Uang Kos Mama",H3636="Pengeluaran Uang Kos")),OR($C$7="Semua",$C$7="",I3636=$C$7),OR($C$8="Semua",$C$8="",C3636=$C$8,E3636=$C$8),OR($C$9="Semua",$C$9="",D3636=$C$9),OR($C$10="",B3636&gt;=$C$10),OR($C$11="",B3636&lt;=$C$11),OR($C$12&lt;&gt;"Ya",K3636&lt;&gt;""),OR($C$13="Semua",$C$13="",L3636=$C$13)),"✓","")</f>
        <v/>
      </c>
      <c r="N3636" s="93">
        <f>N(N3635)+IF(M3636="✓",1,0)</f>
        <v/>
      </c>
      <c r="O3636" s="93">
        <f>N(O3635)+IF(AND(B3636&lt;&gt;"",B3636&gt;='Uang Riba'!$H$30,B3636&lt;='Uang Riba'!$I$30,OR(H3636="Dana riba",H3636="Pinjam uang riba",I3636="Pinjam dari uang riba",I3636="Ganti uang riba",I3636="Kelebihan ganti dikembalikan",AND(C3636="Kantong Uang Riba",G3636="Pengeluaran"))),1,0)</f>
        <v/>
      </c>
      <c r="X3636" s="93">
        <f>IF(AND(B3636&lt;&gt;"",B3636&gt;='Buku Akun'!$H$4,B3636&lt;='Buku Akun'!$H$5,OR(C3636='Buku Akun'!$C$4,AND(D3636="Pindah",E3636='Buku Akun'!$C$4))),B3636+IF(AND(I3636="Selisih bunga",DAY(B3636)=1),0,0.01)+ROW()/10000000,"")</f>
        <v/>
      </c>
    </row>
    <row r="3637" outlineLevel="1" ht="15" customHeight="1" s="94">
      <c r="A3637" s="123">
        <f>IF(B3637="","",ROW()-15)</f>
        <v/>
      </c>
      <c r="B3637" s="124" t="n"/>
      <c r="C3637" s="123" t="n"/>
      <c r="D3637" s="123" t="n"/>
      <c r="E3637" s="123" t="n"/>
      <c r="F3637" s="125" t="n"/>
      <c r="G3637" s="123" t="n"/>
      <c r="H3637" s="123" t="n"/>
      <c r="I3637" s="123" t="n"/>
      <c r="J3637" s="123" t="n"/>
      <c r="K3637" s="123" t="n"/>
      <c r="L3637" s="123" t="n"/>
      <c r="M3637" s="123">
        <f>IF(AND(B3637&lt;&gt;"",OR($C$4="",ISNUMBER(SEARCH($C$4,C3637&amp;" "&amp;E3637&amp;" "&amp;G3637&amp;" "&amp;H3637&amp;" "&amp;I3637&amp;" "&amp;J3637&amp;" "&amp;K3637&amp;" "&amp;L3637))),OR($C$5="Semua",$C$5="",G3637=$C$5),OR($C$6="Semua",$C$6="",H3637=$C$6,H3637="Pengeluaran "&amp;$C$6,AND($C$6="Uang Kos Mama",H3637="Pengeluaran Uang Kos")),OR($C$7="Semua",$C$7="",I3637=$C$7),OR($C$8="Semua",$C$8="",C3637=$C$8,E3637=$C$8),OR($C$9="Semua",$C$9="",D3637=$C$9),OR($C$10="",B3637&gt;=$C$10),OR($C$11="",B3637&lt;=$C$11),OR($C$12&lt;&gt;"Ya",K3637&lt;&gt;""),OR($C$13="Semua",$C$13="",L3637=$C$13)),"✓","")</f>
        <v/>
      </c>
      <c r="N3637" s="93">
        <f>N(N3636)+IF(M3637="✓",1,0)</f>
        <v/>
      </c>
      <c r="O3637" s="93">
        <f>N(O3636)+IF(AND(B3637&lt;&gt;"",B3637&gt;='Uang Riba'!$H$30,B3637&lt;='Uang Riba'!$I$30,OR(H3637="Dana riba",H3637="Pinjam uang riba",I3637="Pinjam dari uang riba",I3637="Ganti uang riba",I3637="Kelebihan ganti dikembalikan",AND(C3637="Kantong Uang Riba",G3637="Pengeluaran"))),1,0)</f>
        <v/>
      </c>
      <c r="X3637" s="93">
        <f>IF(AND(B3637&lt;&gt;"",B3637&gt;='Buku Akun'!$H$4,B3637&lt;='Buku Akun'!$H$5,OR(C3637='Buku Akun'!$C$4,AND(D3637="Pindah",E3637='Buku Akun'!$C$4))),B3637+IF(AND(I3637="Selisih bunga",DAY(B3637)=1),0,0.01)+ROW()/10000000,"")</f>
        <v/>
      </c>
    </row>
    <row r="3638" outlineLevel="1" ht="15" customHeight="1" s="94">
      <c r="A3638" s="123">
        <f>IF(B3638="","",ROW()-15)</f>
        <v/>
      </c>
      <c r="B3638" s="124" t="n"/>
      <c r="C3638" s="123" t="n"/>
      <c r="D3638" s="123" t="n"/>
      <c r="E3638" s="123" t="n"/>
      <c r="F3638" s="125" t="n"/>
      <c r="G3638" s="123" t="n"/>
      <c r="H3638" s="123" t="n"/>
      <c r="I3638" s="123" t="n"/>
      <c r="J3638" s="123" t="n"/>
      <c r="K3638" s="123" t="n"/>
      <c r="L3638" s="123" t="n"/>
      <c r="M3638" s="123">
        <f>IF(AND(B3638&lt;&gt;"",OR($C$4="",ISNUMBER(SEARCH($C$4,C3638&amp;" "&amp;E3638&amp;" "&amp;G3638&amp;" "&amp;H3638&amp;" "&amp;I3638&amp;" "&amp;J3638&amp;" "&amp;K3638&amp;" "&amp;L3638))),OR($C$5="Semua",$C$5="",G3638=$C$5),OR($C$6="Semua",$C$6="",H3638=$C$6,H3638="Pengeluaran "&amp;$C$6,AND($C$6="Uang Kos Mama",H3638="Pengeluaran Uang Kos")),OR($C$7="Semua",$C$7="",I3638=$C$7),OR($C$8="Semua",$C$8="",C3638=$C$8,E3638=$C$8),OR($C$9="Semua",$C$9="",D3638=$C$9),OR($C$10="",B3638&gt;=$C$10),OR($C$11="",B3638&lt;=$C$11),OR($C$12&lt;&gt;"Ya",K3638&lt;&gt;""),OR($C$13="Semua",$C$13="",L3638=$C$13)),"✓","")</f>
        <v/>
      </c>
      <c r="N3638" s="93">
        <f>N(N3637)+IF(M3638="✓",1,0)</f>
        <v/>
      </c>
      <c r="O3638" s="93">
        <f>N(O3637)+IF(AND(B3638&lt;&gt;"",B3638&gt;='Uang Riba'!$H$30,B3638&lt;='Uang Riba'!$I$30,OR(H3638="Dana riba",H3638="Pinjam uang riba",I3638="Pinjam dari uang riba",I3638="Ganti uang riba",I3638="Kelebihan ganti dikembalikan",AND(C3638="Kantong Uang Riba",G3638="Pengeluaran"))),1,0)</f>
        <v/>
      </c>
      <c r="X3638" s="93">
        <f>IF(AND(B3638&lt;&gt;"",B3638&gt;='Buku Akun'!$H$4,B3638&lt;='Buku Akun'!$H$5,OR(C3638='Buku Akun'!$C$4,AND(D3638="Pindah",E3638='Buku Akun'!$C$4))),B3638+IF(AND(I3638="Selisih bunga",DAY(B3638)=1),0,0.01)+ROW()/10000000,"")</f>
        <v/>
      </c>
    </row>
    <row r="3639" outlineLevel="1" ht="15" customHeight="1" s="94">
      <c r="A3639" s="123">
        <f>IF(B3639="","",ROW()-15)</f>
        <v/>
      </c>
      <c r="B3639" s="124" t="n"/>
      <c r="C3639" s="123" t="n"/>
      <c r="D3639" s="123" t="n"/>
      <c r="E3639" s="123" t="n"/>
      <c r="F3639" s="125" t="n"/>
      <c r="G3639" s="123" t="n"/>
      <c r="H3639" s="123" t="n"/>
      <c r="I3639" s="123" t="n"/>
      <c r="J3639" s="123" t="n"/>
      <c r="K3639" s="123" t="n"/>
      <c r="L3639" s="123" t="n"/>
      <c r="M3639" s="123">
        <f>IF(AND(B3639&lt;&gt;"",OR($C$4="",ISNUMBER(SEARCH($C$4,C3639&amp;" "&amp;E3639&amp;" "&amp;G3639&amp;" "&amp;H3639&amp;" "&amp;I3639&amp;" "&amp;J3639&amp;" "&amp;K3639&amp;" "&amp;L3639))),OR($C$5="Semua",$C$5="",G3639=$C$5),OR($C$6="Semua",$C$6="",H3639=$C$6,H3639="Pengeluaran "&amp;$C$6,AND($C$6="Uang Kos Mama",H3639="Pengeluaran Uang Kos")),OR($C$7="Semua",$C$7="",I3639=$C$7),OR($C$8="Semua",$C$8="",C3639=$C$8,E3639=$C$8),OR($C$9="Semua",$C$9="",D3639=$C$9),OR($C$10="",B3639&gt;=$C$10),OR($C$11="",B3639&lt;=$C$11),OR($C$12&lt;&gt;"Ya",K3639&lt;&gt;""),OR($C$13="Semua",$C$13="",L3639=$C$13)),"✓","")</f>
        <v/>
      </c>
      <c r="N3639" s="93">
        <f>N(N3638)+IF(M3639="✓",1,0)</f>
        <v/>
      </c>
      <c r="O3639" s="93">
        <f>N(O3638)+IF(AND(B3639&lt;&gt;"",B3639&gt;='Uang Riba'!$H$30,B3639&lt;='Uang Riba'!$I$30,OR(H3639="Dana riba",H3639="Pinjam uang riba",I3639="Pinjam dari uang riba",I3639="Ganti uang riba",I3639="Kelebihan ganti dikembalikan",AND(C3639="Kantong Uang Riba",G3639="Pengeluaran"))),1,0)</f>
        <v/>
      </c>
      <c r="X3639" s="93">
        <f>IF(AND(B3639&lt;&gt;"",B3639&gt;='Buku Akun'!$H$4,B3639&lt;='Buku Akun'!$H$5,OR(C3639='Buku Akun'!$C$4,AND(D3639="Pindah",E3639='Buku Akun'!$C$4))),B3639+IF(AND(I3639="Selisih bunga",DAY(B3639)=1),0,0.01)+ROW()/10000000,"")</f>
        <v/>
      </c>
    </row>
    <row r="3640" outlineLevel="1" ht="15" customHeight="1" s="94">
      <c r="A3640" s="123">
        <f>IF(B3640="","",ROW()-15)</f>
        <v/>
      </c>
      <c r="B3640" s="124" t="n"/>
      <c r="C3640" s="123" t="n"/>
      <c r="D3640" s="123" t="n"/>
      <c r="E3640" s="123" t="n"/>
      <c r="F3640" s="125" t="n"/>
      <c r="G3640" s="123" t="n"/>
      <c r="H3640" s="123" t="n"/>
      <c r="I3640" s="123" t="n"/>
      <c r="J3640" s="123" t="n"/>
      <c r="K3640" s="123" t="n"/>
      <c r="L3640" s="123" t="n"/>
      <c r="M3640" s="123">
        <f>IF(AND(B3640&lt;&gt;"",OR($C$4="",ISNUMBER(SEARCH($C$4,C3640&amp;" "&amp;E3640&amp;" "&amp;G3640&amp;" "&amp;H3640&amp;" "&amp;I3640&amp;" "&amp;J3640&amp;" "&amp;K3640&amp;" "&amp;L3640))),OR($C$5="Semua",$C$5="",G3640=$C$5),OR($C$6="Semua",$C$6="",H3640=$C$6,H3640="Pengeluaran "&amp;$C$6,AND($C$6="Uang Kos Mama",H3640="Pengeluaran Uang Kos")),OR($C$7="Semua",$C$7="",I3640=$C$7),OR($C$8="Semua",$C$8="",C3640=$C$8,E3640=$C$8),OR($C$9="Semua",$C$9="",D3640=$C$9),OR($C$10="",B3640&gt;=$C$10),OR($C$11="",B3640&lt;=$C$11),OR($C$12&lt;&gt;"Ya",K3640&lt;&gt;""),OR($C$13="Semua",$C$13="",L3640=$C$13)),"✓","")</f>
        <v/>
      </c>
      <c r="N3640" s="93">
        <f>N(N3639)+IF(M3640="✓",1,0)</f>
        <v/>
      </c>
      <c r="O3640" s="93">
        <f>N(O3639)+IF(AND(B3640&lt;&gt;"",B3640&gt;='Uang Riba'!$H$30,B3640&lt;='Uang Riba'!$I$30,OR(H3640="Dana riba",H3640="Pinjam uang riba",I3640="Pinjam dari uang riba",I3640="Ganti uang riba",I3640="Kelebihan ganti dikembalikan",AND(C3640="Kantong Uang Riba",G3640="Pengeluaran"))),1,0)</f>
        <v/>
      </c>
      <c r="X3640" s="93">
        <f>IF(AND(B3640&lt;&gt;"",B3640&gt;='Buku Akun'!$H$4,B3640&lt;='Buku Akun'!$H$5,OR(C3640='Buku Akun'!$C$4,AND(D3640="Pindah",E3640='Buku Akun'!$C$4))),B3640+IF(AND(I3640="Selisih bunga",DAY(B3640)=1),0,0.01)+ROW()/10000000,"")</f>
        <v/>
      </c>
    </row>
    <row r="3641" outlineLevel="1" ht="15" customHeight="1" s="94">
      <c r="A3641" s="123">
        <f>IF(B3641="","",ROW()-15)</f>
        <v/>
      </c>
      <c r="B3641" s="124" t="n"/>
      <c r="C3641" s="123" t="n"/>
      <c r="D3641" s="123" t="n"/>
      <c r="E3641" s="123" t="n"/>
      <c r="F3641" s="125" t="n"/>
      <c r="G3641" s="123" t="n"/>
      <c r="H3641" s="123" t="n"/>
      <c r="I3641" s="123" t="n"/>
      <c r="J3641" s="123" t="n"/>
      <c r="K3641" s="123" t="n"/>
      <c r="L3641" s="123" t="n"/>
      <c r="M3641" s="123">
        <f>IF(AND(B3641&lt;&gt;"",OR($C$4="",ISNUMBER(SEARCH($C$4,C3641&amp;" "&amp;E3641&amp;" "&amp;G3641&amp;" "&amp;H3641&amp;" "&amp;I3641&amp;" "&amp;J3641&amp;" "&amp;K3641&amp;" "&amp;L3641))),OR($C$5="Semua",$C$5="",G3641=$C$5),OR($C$6="Semua",$C$6="",H3641=$C$6,H3641="Pengeluaran "&amp;$C$6,AND($C$6="Uang Kos Mama",H3641="Pengeluaran Uang Kos")),OR($C$7="Semua",$C$7="",I3641=$C$7),OR($C$8="Semua",$C$8="",C3641=$C$8,E3641=$C$8),OR($C$9="Semua",$C$9="",D3641=$C$9),OR($C$10="",B3641&gt;=$C$10),OR($C$11="",B3641&lt;=$C$11),OR($C$12&lt;&gt;"Ya",K3641&lt;&gt;""),OR($C$13="Semua",$C$13="",L3641=$C$13)),"✓","")</f>
        <v/>
      </c>
      <c r="N3641" s="93">
        <f>N(N3640)+IF(M3641="✓",1,0)</f>
        <v/>
      </c>
      <c r="O3641" s="93">
        <f>N(O3640)+IF(AND(B3641&lt;&gt;"",B3641&gt;='Uang Riba'!$H$30,B3641&lt;='Uang Riba'!$I$30,OR(H3641="Dana riba",H3641="Pinjam uang riba",I3641="Pinjam dari uang riba",I3641="Ganti uang riba",I3641="Kelebihan ganti dikembalikan",AND(C3641="Kantong Uang Riba",G3641="Pengeluaran"))),1,0)</f>
        <v/>
      </c>
      <c r="X3641" s="93">
        <f>IF(AND(B3641&lt;&gt;"",B3641&gt;='Buku Akun'!$H$4,B3641&lt;='Buku Akun'!$H$5,OR(C3641='Buku Akun'!$C$4,AND(D3641="Pindah",E3641='Buku Akun'!$C$4))),B3641+IF(AND(I3641="Selisih bunga",DAY(B3641)=1),0,0.01)+ROW()/10000000,"")</f>
        <v/>
      </c>
    </row>
    <row r="3642" outlineLevel="1" ht="15" customHeight="1" s="94">
      <c r="A3642" s="123">
        <f>IF(B3642="","",ROW()-15)</f>
        <v/>
      </c>
      <c r="B3642" s="124" t="n"/>
      <c r="C3642" s="123" t="n"/>
      <c r="D3642" s="123" t="n"/>
      <c r="E3642" s="123" t="n"/>
      <c r="F3642" s="125" t="n"/>
      <c r="G3642" s="123" t="n"/>
      <c r="H3642" s="123" t="n"/>
      <c r="I3642" s="123" t="n"/>
      <c r="J3642" s="123" t="n"/>
      <c r="K3642" s="123" t="n"/>
      <c r="L3642" s="123" t="n"/>
      <c r="M3642" s="123">
        <f>IF(AND(B3642&lt;&gt;"",OR($C$4="",ISNUMBER(SEARCH($C$4,C3642&amp;" "&amp;E3642&amp;" "&amp;G3642&amp;" "&amp;H3642&amp;" "&amp;I3642&amp;" "&amp;J3642&amp;" "&amp;K3642&amp;" "&amp;L3642))),OR($C$5="Semua",$C$5="",G3642=$C$5),OR($C$6="Semua",$C$6="",H3642=$C$6,H3642="Pengeluaran "&amp;$C$6,AND($C$6="Uang Kos Mama",H3642="Pengeluaran Uang Kos")),OR($C$7="Semua",$C$7="",I3642=$C$7),OR($C$8="Semua",$C$8="",C3642=$C$8,E3642=$C$8),OR($C$9="Semua",$C$9="",D3642=$C$9),OR($C$10="",B3642&gt;=$C$10),OR($C$11="",B3642&lt;=$C$11),OR($C$12&lt;&gt;"Ya",K3642&lt;&gt;""),OR($C$13="Semua",$C$13="",L3642=$C$13)),"✓","")</f>
        <v/>
      </c>
      <c r="N3642" s="93">
        <f>N(N3641)+IF(M3642="✓",1,0)</f>
        <v/>
      </c>
      <c r="O3642" s="93">
        <f>N(O3641)+IF(AND(B3642&lt;&gt;"",B3642&gt;='Uang Riba'!$H$30,B3642&lt;='Uang Riba'!$I$30,OR(H3642="Dana riba",H3642="Pinjam uang riba",I3642="Pinjam dari uang riba",I3642="Ganti uang riba",I3642="Kelebihan ganti dikembalikan",AND(C3642="Kantong Uang Riba",G3642="Pengeluaran"))),1,0)</f>
        <v/>
      </c>
      <c r="X3642" s="93">
        <f>IF(AND(B3642&lt;&gt;"",B3642&gt;='Buku Akun'!$H$4,B3642&lt;='Buku Akun'!$H$5,OR(C3642='Buku Akun'!$C$4,AND(D3642="Pindah",E3642='Buku Akun'!$C$4))),B3642+IF(AND(I3642="Selisih bunga",DAY(B3642)=1),0,0.01)+ROW()/10000000,"")</f>
        <v/>
      </c>
    </row>
    <row r="3643" outlineLevel="1" ht="15" customHeight="1" s="94">
      <c r="A3643" s="123">
        <f>IF(B3643="","",ROW()-15)</f>
        <v/>
      </c>
      <c r="B3643" s="124" t="n"/>
      <c r="C3643" s="123" t="n"/>
      <c r="D3643" s="123" t="n"/>
      <c r="E3643" s="123" t="n"/>
      <c r="F3643" s="125" t="n"/>
      <c r="G3643" s="123" t="n"/>
      <c r="H3643" s="123" t="n"/>
      <c r="I3643" s="123" t="n"/>
      <c r="J3643" s="123" t="n"/>
      <c r="K3643" s="123" t="n"/>
      <c r="L3643" s="123" t="n"/>
      <c r="M3643" s="123">
        <f>IF(AND(B3643&lt;&gt;"",OR($C$4="",ISNUMBER(SEARCH($C$4,C3643&amp;" "&amp;E3643&amp;" "&amp;G3643&amp;" "&amp;H3643&amp;" "&amp;I3643&amp;" "&amp;J3643&amp;" "&amp;K3643&amp;" "&amp;L3643))),OR($C$5="Semua",$C$5="",G3643=$C$5),OR($C$6="Semua",$C$6="",H3643=$C$6,H3643="Pengeluaran "&amp;$C$6,AND($C$6="Uang Kos Mama",H3643="Pengeluaran Uang Kos")),OR($C$7="Semua",$C$7="",I3643=$C$7),OR($C$8="Semua",$C$8="",C3643=$C$8,E3643=$C$8),OR($C$9="Semua",$C$9="",D3643=$C$9),OR($C$10="",B3643&gt;=$C$10),OR($C$11="",B3643&lt;=$C$11),OR($C$12&lt;&gt;"Ya",K3643&lt;&gt;""),OR($C$13="Semua",$C$13="",L3643=$C$13)),"✓","")</f>
        <v/>
      </c>
      <c r="N3643" s="93">
        <f>N(N3642)+IF(M3643="✓",1,0)</f>
        <v/>
      </c>
      <c r="O3643" s="93">
        <f>N(O3642)+IF(AND(B3643&lt;&gt;"",B3643&gt;='Uang Riba'!$H$30,B3643&lt;='Uang Riba'!$I$30,OR(H3643="Dana riba",H3643="Pinjam uang riba",I3643="Pinjam dari uang riba",I3643="Ganti uang riba",I3643="Kelebihan ganti dikembalikan",AND(C3643="Kantong Uang Riba",G3643="Pengeluaran"))),1,0)</f>
        <v/>
      </c>
      <c r="X3643" s="93">
        <f>IF(AND(B3643&lt;&gt;"",B3643&gt;='Buku Akun'!$H$4,B3643&lt;='Buku Akun'!$H$5,OR(C3643='Buku Akun'!$C$4,AND(D3643="Pindah",E3643='Buku Akun'!$C$4))),B3643+IF(AND(I3643="Selisih bunga",DAY(B3643)=1),0,0.01)+ROW()/10000000,"")</f>
        <v/>
      </c>
    </row>
    <row r="3644" outlineLevel="1" ht="15" customHeight="1" s="94">
      <c r="A3644" s="123">
        <f>IF(B3644="","",ROW()-15)</f>
        <v/>
      </c>
      <c r="B3644" s="124" t="n"/>
      <c r="C3644" s="123" t="n"/>
      <c r="D3644" s="123" t="n"/>
      <c r="E3644" s="123" t="n"/>
      <c r="F3644" s="125" t="n"/>
      <c r="G3644" s="123" t="n"/>
      <c r="H3644" s="123" t="n"/>
      <c r="I3644" s="123" t="n"/>
      <c r="J3644" s="123" t="n"/>
      <c r="K3644" s="123" t="n"/>
      <c r="L3644" s="123" t="n"/>
      <c r="M3644" s="123">
        <f>IF(AND(B3644&lt;&gt;"",OR($C$4="",ISNUMBER(SEARCH($C$4,C3644&amp;" "&amp;E3644&amp;" "&amp;G3644&amp;" "&amp;H3644&amp;" "&amp;I3644&amp;" "&amp;J3644&amp;" "&amp;K3644&amp;" "&amp;L3644))),OR($C$5="Semua",$C$5="",G3644=$C$5),OR($C$6="Semua",$C$6="",H3644=$C$6,H3644="Pengeluaran "&amp;$C$6,AND($C$6="Uang Kos Mama",H3644="Pengeluaran Uang Kos")),OR($C$7="Semua",$C$7="",I3644=$C$7),OR($C$8="Semua",$C$8="",C3644=$C$8,E3644=$C$8),OR($C$9="Semua",$C$9="",D3644=$C$9),OR($C$10="",B3644&gt;=$C$10),OR($C$11="",B3644&lt;=$C$11),OR($C$12&lt;&gt;"Ya",K3644&lt;&gt;""),OR($C$13="Semua",$C$13="",L3644=$C$13)),"✓","")</f>
        <v/>
      </c>
      <c r="N3644" s="93">
        <f>N(N3643)+IF(M3644="✓",1,0)</f>
        <v/>
      </c>
      <c r="O3644" s="93">
        <f>N(O3643)+IF(AND(B3644&lt;&gt;"",B3644&gt;='Uang Riba'!$H$30,B3644&lt;='Uang Riba'!$I$30,OR(H3644="Dana riba",H3644="Pinjam uang riba",I3644="Pinjam dari uang riba",I3644="Ganti uang riba",I3644="Kelebihan ganti dikembalikan",AND(C3644="Kantong Uang Riba",G3644="Pengeluaran"))),1,0)</f>
        <v/>
      </c>
      <c r="X3644" s="93">
        <f>IF(AND(B3644&lt;&gt;"",B3644&gt;='Buku Akun'!$H$4,B3644&lt;='Buku Akun'!$H$5,OR(C3644='Buku Akun'!$C$4,AND(D3644="Pindah",E3644='Buku Akun'!$C$4))),B3644+IF(AND(I3644="Selisih bunga",DAY(B3644)=1),0,0.01)+ROW()/10000000,"")</f>
        <v/>
      </c>
    </row>
    <row r="3645" outlineLevel="1" ht="15" customHeight="1" s="94">
      <c r="A3645" s="123">
        <f>IF(B3645="","",ROW()-15)</f>
        <v/>
      </c>
      <c r="B3645" s="124" t="n"/>
      <c r="C3645" s="123" t="n"/>
      <c r="D3645" s="123" t="n"/>
      <c r="E3645" s="123" t="n"/>
      <c r="F3645" s="125" t="n"/>
      <c r="G3645" s="123" t="n"/>
      <c r="H3645" s="123" t="n"/>
      <c r="I3645" s="123" t="n"/>
      <c r="J3645" s="123" t="n"/>
      <c r="K3645" s="123" t="n"/>
      <c r="L3645" s="123" t="n"/>
      <c r="M3645" s="123">
        <f>IF(AND(B3645&lt;&gt;"",OR($C$4="",ISNUMBER(SEARCH($C$4,C3645&amp;" "&amp;E3645&amp;" "&amp;G3645&amp;" "&amp;H3645&amp;" "&amp;I3645&amp;" "&amp;J3645&amp;" "&amp;K3645&amp;" "&amp;L3645))),OR($C$5="Semua",$C$5="",G3645=$C$5),OR($C$6="Semua",$C$6="",H3645=$C$6,H3645="Pengeluaran "&amp;$C$6,AND($C$6="Uang Kos Mama",H3645="Pengeluaran Uang Kos")),OR($C$7="Semua",$C$7="",I3645=$C$7),OR($C$8="Semua",$C$8="",C3645=$C$8,E3645=$C$8),OR($C$9="Semua",$C$9="",D3645=$C$9),OR($C$10="",B3645&gt;=$C$10),OR($C$11="",B3645&lt;=$C$11),OR($C$12&lt;&gt;"Ya",K3645&lt;&gt;""),OR($C$13="Semua",$C$13="",L3645=$C$13)),"✓","")</f>
        <v/>
      </c>
      <c r="N3645" s="93">
        <f>N(N3644)+IF(M3645="✓",1,0)</f>
        <v/>
      </c>
      <c r="O3645" s="93">
        <f>N(O3644)+IF(AND(B3645&lt;&gt;"",B3645&gt;='Uang Riba'!$H$30,B3645&lt;='Uang Riba'!$I$30,OR(H3645="Dana riba",H3645="Pinjam uang riba",I3645="Pinjam dari uang riba",I3645="Ganti uang riba",I3645="Kelebihan ganti dikembalikan",AND(C3645="Kantong Uang Riba",G3645="Pengeluaran"))),1,0)</f>
        <v/>
      </c>
      <c r="X3645" s="93">
        <f>IF(AND(B3645&lt;&gt;"",B3645&gt;='Buku Akun'!$H$4,B3645&lt;='Buku Akun'!$H$5,OR(C3645='Buku Akun'!$C$4,AND(D3645="Pindah",E3645='Buku Akun'!$C$4))),B3645+IF(AND(I3645="Selisih bunga",DAY(B3645)=1),0,0.01)+ROW()/10000000,"")</f>
        <v/>
      </c>
    </row>
    <row r="3646" outlineLevel="1" ht="15" customHeight="1" s="94">
      <c r="A3646" s="123">
        <f>IF(B3646="","",ROW()-15)</f>
        <v/>
      </c>
      <c r="B3646" s="124" t="n"/>
      <c r="C3646" s="123" t="n"/>
      <c r="D3646" s="123" t="n"/>
      <c r="E3646" s="123" t="n"/>
      <c r="F3646" s="125" t="n"/>
      <c r="G3646" s="123" t="n"/>
      <c r="H3646" s="123" t="n"/>
      <c r="I3646" s="123" t="n"/>
      <c r="J3646" s="123" t="n"/>
      <c r="K3646" s="123" t="n"/>
      <c r="L3646" s="123" t="n"/>
      <c r="M3646" s="123">
        <f>IF(AND(B3646&lt;&gt;"",OR($C$4="",ISNUMBER(SEARCH($C$4,C3646&amp;" "&amp;E3646&amp;" "&amp;G3646&amp;" "&amp;H3646&amp;" "&amp;I3646&amp;" "&amp;J3646&amp;" "&amp;K3646&amp;" "&amp;L3646))),OR($C$5="Semua",$C$5="",G3646=$C$5),OR($C$6="Semua",$C$6="",H3646=$C$6,H3646="Pengeluaran "&amp;$C$6,AND($C$6="Uang Kos Mama",H3646="Pengeluaran Uang Kos")),OR($C$7="Semua",$C$7="",I3646=$C$7),OR($C$8="Semua",$C$8="",C3646=$C$8,E3646=$C$8),OR($C$9="Semua",$C$9="",D3646=$C$9),OR($C$10="",B3646&gt;=$C$10),OR($C$11="",B3646&lt;=$C$11),OR($C$12&lt;&gt;"Ya",K3646&lt;&gt;""),OR($C$13="Semua",$C$13="",L3646=$C$13)),"✓","")</f>
        <v/>
      </c>
      <c r="N3646" s="93">
        <f>N(N3645)+IF(M3646="✓",1,0)</f>
        <v/>
      </c>
      <c r="O3646" s="93">
        <f>N(O3645)+IF(AND(B3646&lt;&gt;"",B3646&gt;='Uang Riba'!$H$30,B3646&lt;='Uang Riba'!$I$30,OR(H3646="Dana riba",H3646="Pinjam uang riba",I3646="Pinjam dari uang riba",I3646="Ganti uang riba",I3646="Kelebihan ganti dikembalikan",AND(C3646="Kantong Uang Riba",G3646="Pengeluaran"))),1,0)</f>
        <v/>
      </c>
      <c r="X3646" s="93">
        <f>IF(AND(B3646&lt;&gt;"",B3646&gt;='Buku Akun'!$H$4,B3646&lt;='Buku Akun'!$H$5,OR(C3646='Buku Akun'!$C$4,AND(D3646="Pindah",E3646='Buku Akun'!$C$4))),B3646+IF(AND(I3646="Selisih bunga",DAY(B3646)=1),0,0.01)+ROW()/10000000,"")</f>
        <v/>
      </c>
    </row>
    <row r="3647" outlineLevel="1" ht="15" customHeight="1" s="94">
      <c r="A3647" s="123">
        <f>IF(B3647="","",ROW()-15)</f>
        <v/>
      </c>
      <c r="B3647" s="124" t="n"/>
      <c r="C3647" s="123" t="n"/>
      <c r="D3647" s="123" t="n"/>
      <c r="E3647" s="123" t="n"/>
      <c r="F3647" s="125" t="n"/>
      <c r="G3647" s="123" t="n"/>
      <c r="H3647" s="123" t="n"/>
      <c r="I3647" s="123" t="n"/>
      <c r="J3647" s="123" t="n"/>
      <c r="K3647" s="123" t="n"/>
      <c r="L3647" s="123" t="n"/>
      <c r="M3647" s="123">
        <f>IF(AND(B3647&lt;&gt;"",OR($C$4="",ISNUMBER(SEARCH($C$4,C3647&amp;" "&amp;E3647&amp;" "&amp;G3647&amp;" "&amp;H3647&amp;" "&amp;I3647&amp;" "&amp;J3647&amp;" "&amp;K3647&amp;" "&amp;L3647))),OR($C$5="Semua",$C$5="",G3647=$C$5),OR($C$6="Semua",$C$6="",H3647=$C$6,H3647="Pengeluaran "&amp;$C$6,AND($C$6="Uang Kos Mama",H3647="Pengeluaran Uang Kos")),OR($C$7="Semua",$C$7="",I3647=$C$7),OR($C$8="Semua",$C$8="",C3647=$C$8,E3647=$C$8),OR($C$9="Semua",$C$9="",D3647=$C$9),OR($C$10="",B3647&gt;=$C$10),OR($C$11="",B3647&lt;=$C$11),OR($C$12&lt;&gt;"Ya",K3647&lt;&gt;""),OR($C$13="Semua",$C$13="",L3647=$C$13)),"✓","")</f>
        <v/>
      </c>
      <c r="N3647" s="93">
        <f>N(N3646)+IF(M3647="✓",1,0)</f>
        <v/>
      </c>
      <c r="O3647" s="93">
        <f>N(O3646)+IF(AND(B3647&lt;&gt;"",B3647&gt;='Uang Riba'!$H$30,B3647&lt;='Uang Riba'!$I$30,OR(H3647="Dana riba",H3647="Pinjam uang riba",I3647="Pinjam dari uang riba",I3647="Ganti uang riba",I3647="Kelebihan ganti dikembalikan",AND(C3647="Kantong Uang Riba",G3647="Pengeluaran"))),1,0)</f>
        <v/>
      </c>
      <c r="X3647" s="93">
        <f>IF(AND(B3647&lt;&gt;"",B3647&gt;='Buku Akun'!$H$4,B3647&lt;='Buku Akun'!$H$5,OR(C3647='Buku Akun'!$C$4,AND(D3647="Pindah",E3647='Buku Akun'!$C$4))),B3647+IF(AND(I3647="Selisih bunga",DAY(B3647)=1),0,0.01)+ROW()/10000000,"")</f>
        <v/>
      </c>
    </row>
    <row r="3648" outlineLevel="1" ht="15" customHeight="1" s="94">
      <c r="A3648" s="123">
        <f>IF(B3648="","",ROW()-15)</f>
        <v/>
      </c>
      <c r="B3648" s="124" t="n"/>
      <c r="C3648" s="123" t="n"/>
      <c r="D3648" s="123" t="n"/>
      <c r="E3648" s="123" t="n"/>
      <c r="F3648" s="125" t="n"/>
      <c r="G3648" s="123" t="n"/>
      <c r="H3648" s="123" t="n"/>
      <c r="I3648" s="123" t="n"/>
      <c r="J3648" s="123" t="n"/>
      <c r="K3648" s="123" t="n"/>
      <c r="L3648" s="123" t="n"/>
      <c r="M3648" s="123">
        <f>IF(AND(B3648&lt;&gt;"",OR($C$4="",ISNUMBER(SEARCH($C$4,C3648&amp;" "&amp;E3648&amp;" "&amp;G3648&amp;" "&amp;H3648&amp;" "&amp;I3648&amp;" "&amp;J3648&amp;" "&amp;K3648&amp;" "&amp;L3648))),OR($C$5="Semua",$C$5="",G3648=$C$5),OR($C$6="Semua",$C$6="",H3648=$C$6,H3648="Pengeluaran "&amp;$C$6,AND($C$6="Uang Kos Mama",H3648="Pengeluaran Uang Kos")),OR($C$7="Semua",$C$7="",I3648=$C$7),OR($C$8="Semua",$C$8="",C3648=$C$8,E3648=$C$8),OR($C$9="Semua",$C$9="",D3648=$C$9),OR($C$10="",B3648&gt;=$C$10),OR($C$11="",B3648&lt;=$C$11),OR($C$12&lt;&gt;"Ya",K3648&lt;&gt;""),OR($C$13="Semua",$C$13="",L3648=$C$13)),"✓","")</f>
        <v/>
      </c>
      <c r="N3648" s="93">
        <f>N(N3647)+IF(M3648="✓",1,0)</f>
        <v/>
      </c>
      <c r="O3648" s="93">
        <f>N(O3647)+IF(AND(B3648&lt;&gt;"",B3648&gt;='Uang Riba'!$H$30,B3648&lt;='Uang Riba'!$I$30,OR(H3648="Dana riba",H3648="Pinjam uang riba",I3648="Pinjam dari uang riba",I3648="Ganti uang riba",I3648="Kelebihan ganti dikembalikan",AND(C3648="Kantong Uang Riba",G3648="Pengeluaran"))),1,0)</f>
        <v/>
      </c>
      <c r="X3648" s="93">
        <f>IF(AND(B3648&lt;&gt;"",B3648&gt;='Buku Akun'!$H$4,B3648&lt;='Buku Akun'!$H$5,OR(C3648='Buku Akun'!$C$4,AND(D3648="Pindah",E3648='Buku Akun'!$C$4))),B3648+IF(AND(I3648="Selisih bunga",DAY(B3648)=1),0,0.01)+ROW()/10000000,"")</f>
        <v/>
      </c>
    </row>
    <row r="3649" outlineLevel="1" ht="15" customHeight="1" s="94">
      <c r="A3649" s="123">
        <f>IF(B3649="","",ROW()-15)</f>
        <v/>
      </c>
      <c r="B3649" s="124" t="n"/>
      <c r="C3649" s="123" t="n"/>
      <c r="D3649" s="123" t="n"/>
      <c r="E3649" s="123" t="n"/>
      <c r="F3649" s="125" t="n"/>
      <c r="G3649" s="123" t="n"/>
      <c r="H3649" s="123" t="n"/>
      <c r="I3649" s="123" t="n"/>
      <c r="J3649" s="123" t="n"/>
      <c r="K3649" s="123" t="n"/>
      <c r="L3649" s="123" t="n"/>
      <c r="M3649" s="123">
        <f>IF(AND(B3649&lt;&gt;"",OR($C$4="",ISNUMBER(SEARCH($C$4,C3649&amp;" "&amp;E3649&amp;" "&amp;G3649&amp;" "&amp;H3649&amp;" "&amp;I3649&amp;" "&amp;J3649&amp;" "&amp;K3649&amp;" "&amp;L3649))),OR($C$5="Semua",$C$5="",G3649=$C$5),OR($C$6="Semua",$C$6="",H3649=$C$6,H3649="Pengeluaran "&amp;$C$6,AND($C$6="Uang Kos Mama",H3649="Pengeluaran Uang Kos")),OR($C$7="Semua",$C$7="",I3649=$C$7),OR($C$8="Semua",$C$8="",C3649=$C$8,E3649=$C$8),OR($C$9="Semua",$C$9="",D3649=$C$9),OR($C$10="",B3649&gt;=$C$10),OR($C$11="",B3649&lt;=$C$11),OR($C$12&lt;&gt;"Ya",K3649&lt;&gt;""),OR($C$13="Semua",$C$13="",L3649=$C$13)),"✓","")</f>
        <v/>
      </c>
      <c r="N3649" s="93">
        <f>N(N3648)+IF(M3649="✓",1,0)</f>
        <v/>
      </c>
      <c r="O3649" s="93">
        <f>N(O3648)+IF(AND(B3649&lt;&gt;"",B3649&gt;='Uang Riba'!$H$30,B3649&lt;='Uang Riba'!$I$30,OR(H3649="Dana riba",H3649="Pinjam uang riba",I3649="Pinjam dari uang riba",I3649="Ganti uang riba",I3649="Kelebihan ganti dikembalikan",AND(C3649="Kantong Uang Riba",G3649="Pengeluaran"))),1,0)</f>
        <v/>
      </c>
      <c r="X3649" s="93">
        <f>IF(AND(B3649&lt;&gt;"",B3649&gt;='Buku Akun'!$H$4,B3649&lt;='Buku Akun'!$H$5,OR(C3649='Buku Akun'!$C$4,AND(D3649="Pindah",E3649='Buku Akun'!$C$4))),B3649+IF(AND(I3649="Selisih bunga",DAY(B3649)=1),0,0.01)+ROW()/10000000,"")</f>
        <v/>
      </c>
    </row>
    <row r="3650" outlineLevel="1" ht="15" customHeight="1" s="94">
      <c r="A3650" s="123">
        <f>IF(B3650="","",ROW()-15)</f>
        <v/>
      </c>
      <c r="B3650" s="124" t="n"/>
      <c r="C3650" s="123" t="n"/>
      <c r="D3650" s="123" t="n"/>
      <c r="E3650" s="123" t="n"/>
      <c r="F3650" s="125" t="n"/>
      <c r="G3650" s="123" t="n"/>
      <c r="H3650" s="123" t="n"/>
      <c r="I3650" s="123" t="n"/>
      <c r="J3650" s="123" t="n"/>
      <c r="K3650" s="123" t="n"/>
      <c r="L3650" s="123" t="n"/>
      <c r="M3650" s="123">
        <f>IF(AND(B3650&lt;&gt;"",OR($C$4="",ISNUMBER(SEARCH($C$4,C3650&amp;" "&amp;E3650&amp;" "&amp;G3650&amp;" "&amp;H3650&amp;" "&amp;I3650&amp;" "&amp;J3650&amp;" "&amp;K3650&amp;" "&amp;L3650))),OR($C$5="Semua",$C$5="",G3650=$C$5),OR($C$6="Semua",$C$6="",H3650=$C$6,H3650="Pengeluaran "&amp;$C$6,AND($C$6="Uang Kos Mama",H3650="Pengeluaran Uang Kos")),OR($C$7="Semua",$C$7="",I3650=$C$7),OR($C$8="Semua",$C$8="",C3650=$C$8,E3650=$C$8),OR($C$9="Semua",$C$9="",D3650=$C$9),OR($C$10="",B3650&gt;=$C$10),OR($C$11="",B3650&lt;=$C$11),OR($C$12&lt;&gt;"Ya",K3650&lt;&gt;""),OR($C$13="Semua",$C$13="",L3650=$C$13)),"✓","")</f>
        <v/>
      </c>
      <c r="N3650" s="93">
        <f>N(N3649)+IF(M3650="✓",1,0)</f>
        <v/>
      </c>
      <c r="O3650" s="93">
        <f>N(O3649)+IF(AND(B3650&lt;&gt;"",B3650&gt;='Uang Riba'!$H$30,B3650&lt;='Uang Riba'!$I$30,OR(H3650="Dana riba",H3650="Pinjam uang riba",I3650="Pinjam dari uang riba",I3650="Ganti uang riba",I3650="Kelebihan ganti dikembalikan",AND(C3650="Kantong Uang Riba",G3650="Pengeluaran"))),1,0)</f>
        <v/>
      </c>
      <c r="X3650" s="93">
        <f>IF(AND(B3650&lt;&gt;"",B3650&gt;='Buku Akun'!$H$4,B3650&lt;='Buku Akun'!$H$5,OR(C3650='Buku Akun'!$C$4,AND(D3650="Pindah",E3650='Buku Akun'!$C$4))),B3650+IF(AND(I3650="Selisih bunga",DAY(B3650)=1),0,0.01)+ROW()/10000000,"")</f>
        <v/>
      </c>
    </row>
    <row r="3651" outlineLevel="1" ht="15" customHeight="1" s="94">
      <c r="A3651" s="123">
        <f>IF(B3651="","",ROW()-15)</f>
        <v/>
      </c>
      <c r="B3651" s="124" t="n"/>
      <c r="C3651" s="123" t="n"/>
      <c r="D3651" s="123" t="n"/>
      <c r="E3651" s="123" t="n"/>
      <c r="F3651" s="125" t="n"/>
      <c r="G3651" s="123" t="n"/>
      <c r="H3651" s="123" t="n"/>
      <c r="I3651" s="123" t="n"/>
      <c r="J3651" s="123" t="n"/>
      <c r="K3651" s="123" t="n"/>
      <c r="L3651" s="123" t="n"/>
      <c r="M3651" s="123">
        <f>IF(AND(B3651&lt;&gt;"",OR($C$4="",ISNUMBER(SEARCH($C$4,C3651&amp;" "&amp;E3651&amp;" "&amp;G3651&amp;" "&amp;H3651&amp;" "&amp;I3651&amp;" "&amp;J3651&amp;" "&amp;K3651&amp;" "&amp;L3651))),OR($C$5="Semua",$C$5="",G3651=$C$5),OR($C$6="Semua",$C$6="",H3651=$C$6,H3651="Pengeluaran "&amp;$C$6,AND($C$6="Uang Kos Mama",H3651="Pengeluaran Uang Kos")),OR($C$7="Semua",$C$7="",I3651=$C$7),OR($C$8="Semua",$C$8="",C3651=$C$8,E3651=$C$8),OR($C$9="Semua",$C$9="",D3651=$C$9),OR($C$10="",B3651&gt;=$C$10),OR($C$11="",B3651&lt;=$C$11),OR($C$12&lt;&gt;"Ya",K3651&lt;&gt;""),OR($C$13="Semua",$C$13="",L3651=$C$13)),"✓","")</f>
        <v/>
      </c>
      <c r="N3651" s="93">
        <f>N(N3650)+IF(M3651="✓",1,0)</f>
        <v/>
      </c>
      <c r="O3651" s="93">
        <f>N(O3650)+IF(AND(B3651&lt;&gt;"",B3651&gt;='Uang Riba'!$H$30,B3651&lt;='Uang Riba'!$I$30,OR(H3651="Dana riba",H3651="Pinjam uang riba",I3651="Pinjam dari uang riba",I3651="Ganti uang riba",I3651="Kelebihan ganti dikembalikan",AND(C3651="Kantong Uang Riba",G3651="Pengeluaran"))),1,0)</f>
        <v/>
      </c>
      <c r="X3651" s="93">
        <f>IF(AND(B3651&lt;&gt;"",B3651&gt;='Buku Akun'!$H$4,B3651&lt;='Buku Akun'!$H$5,OR(C3651='Buku Akun'!$C$4,AND(D3651="Pindah",E3651='Buku Akun'!$C$4))),B3651+IF(AND(I3651="Selisih bunga",DAY(B3651)=1),0,0.01)+ROW()/10000000,"")</f>
        <v/>
      </c>
    </row>
    <row r="3652" outlineLevel="1" ht="15" customHeight="1" s="94">
      <c r="A3652" s="123">
        <f>IF(B3652="","",ROW()-15)</f>
        <v/>
      </c>
      <c r="B3652" s="124" t="n"/>
      <c r="C3652" s="123" t="n"/>
      <c r="D3652" s="123" t="n"/>
      <c r="E3652" s="123" t="n"/>
      <c r="F3652" s="125" t="n"/>
      <c r="G3652" s="123" t="n"/>
      <c r="H3652" s="123" t="n"/>
      <c r="I3652" s="123" t="n"/>
      <c r="J3652" s="123" t="n"/>
      <c r="K3652" s="123" t="n"/>
      <c r="L3652" s="123" t="n"/>
      <c r="M3652" s="123">
        <f>IF(AND(B3652&lt;&gt;"",OR($C$4="",ISNUMBER(SEARCH($C$4,C3652&amp;" "&amp;E3652&amp;" "&amp;G3652&amp;" "&amp;H3652&amp;" "&amp;I3652&amp;" "&amp;J3652&amp;" "&amp;K3652&amp;" "&amp;L3652))),OR($C$5="Semua",$C$5="",G3652=$C$5),OR($C$6="Semua",$C$6="",H3652=$C$6,H3652="Pengeluaran "&amp;$C$6,AND($C$6="Uang Kos Mama",H3652="Pengeluaran Uang Kos")),OR($C$7="Semua",$C$7="",I3652=$C$7),OR($C$8="Semua",$C$8="",C3652=$C$8,E3652=$C$8),OR($C$9="Semua",$C$9="",D3652=$C$9),OR($C$10="",B3652&gt;=$C$10),OR($C$11="",B3652&lt;=$C$11),OR($C$12&lt;&gt;"Ya",K3652&lt;&gt;""),OR($C$13="Semua",$C$13="",L3652=$C$13)),"✓","")</f>
        <v/>
      </c>
      <c r="N3652" s="93">
        <f>N(N3651)+IF(M3652="✓",1,0)</f>
        <v/>
      </c>
      <c r="O3652" s="93">
        <f>N(O3651)+IF(AND(B3652&lt;&gt;"",B3652&gt;='Uang Riba'!$H$30,B3652&lt;='Uang Riba'!$I$30,OR(H3652="Dana riba",H3652="Pinjam uang riba",I3652="Pinjam dari uang riba",I3652="Ganti uang riba",I3652="Kelebihan ganti dikembalikan",AND(C3652="Kantong Uang Riba",G3652="Pengeluaran"))),1,0)</f>
        <v/>
      </c>
      <c r="X3652" s="93">
        <f>IF(AND(B3652&lt;&gt;"",B3652&gt;='Buku Akun'!$H$4,B3652&lt;='Buku Akun'!$H$5,OR(C3652='Buku Akun'!$C$4,AND(D3652="Pindah",E3652='Buku Akun'!$C$4))),B3652+IF(AND(I3652="Selisih bunga",DAY(B3652)=1),0,0.01)+ROW()/10000000,"")</f>
        <v/>
      </c>
    </row>
    <row r="3653" outlineLevel="1" ht="15" customHeight="1" s="94">
      <c r="A3653" s="123">
        <f>IF(B3653="","",ROW()-15)</f>
        <v/>
      </c>
      <c r="B3653" s="124" t="n"/>
      <c r="C3653" s="123" t="n"/>
      <c r="D3653" s="123" t="n"/>
      <c r="E3653" s="123" t="n"/>
      <c r="F3653" s="125" t="n"/>
      <c r="G3653" s="123" t="n"/>
      <c r="H3653" s="123" t="n"/>
      <c r="I3653" s="123" t="n"/>
      <c r="J3653" s="123" t="n"/>
      <c r="K3653" s="123" t="n"/>
      <c r="L3653" s="123" t="n"/>
      <c r="M3653" s="123">
        <f>IF(AND(B3653&lt;&gt;"",OR($C$4="",ISNUMBER(SEARCH($C$4,C3653&amp;" "&amp;E3653&amp;" "&amp;G3653&amp;" "&amp;H3653&amp;" "&amp;I3653&amp;" "&amp;J3653&amp;" "&amp;K3653&amp;" "&amp;L3653))),OR($C$5="Semua",$C$5="",G3653=$C$5),OR($C$6="Semua",$C$6="",H3653=$C$6,H3653="Pengeluaran "&amp;$C$6,AND($C$6="Uang Kos Mama",H3653="Pengeluaran Uang Kos")),OR($C$7="Semua",$C$7="",I3653=$C$7),OR($C$8="Semua",$C$8="",C3653=$C$8,E3653=$C$8),OR($C$9="Semua",$C$9="",D3653=$C$9),OR($C$10="",B3653&gt;=$C$10),OR($C$11="",B3653&lt;=$C$11),OR($C$12&lt;&gt;"Ya",K3653&lt;&gt;""),OR($C$13="Semua",$C$13="",L3653=$C$13)),"✓","")</f>
        <v/>
      </c>
      <c r="N3653" s="93">
        <f>N(N3652)+IF(M3653="✓",1,0)</f>
        <v/>
      </c>
      <c r="O3653" s="93">
        <f>N(O3652)+IF(AND(B3653&lt;&gt;"",B3653&gt;='Uang Riba'!$H$30,B3653&lt;='Uang Riba'!$I$30,OR(H3653="Dana riba",H3653="Pinjam uang riba",I3653="Pinjam dari uang riba",I3653="Ganti uang riba",I3653="Kelebihan ganti dikembalikan",AND(C3653="Kantong Uang Riba",G3653="Pengeluaran"))),1,0)</f>
        <v/>
      </c>
      <c r="X3653" s="93">
        <f>IF(AND(B3653&lt;&gt;"",B3653&gt;='Buku Akun'!$H$4,B3653&lt;='Buku Akun'!$H$5,OR(C3653='Buku Akun'!$C$4,AND(D3653="Pindah",E3653='Buku Akun'!$C$4))),B3653+IF(AND(I3653="Selisih bunga",DAY(B3653)=1),0,0.01)+ROW()/10000000,"")</f>
        <v/>
      </c>
    </row>
    <row r="3654" outlineLevel="1" ht="15" customHeight="1" s="94">
      <c r="A3654" s="123">
        <f>IF(B3654="","",ROW()-15)</f>
        <v/>
      </c>
      <c r="B3654" s="124" t="n"/>
      <c r="C3654" s="123" t="n"/>
      <c r="D3654" s="123" t="n"/>
      <c r="E3654" s="123" t="n"/>
      <c r="F3654" s="125" t="n"/>
      <c r="G3654" s="123" t="n"/>
      <c r="H3654" s="123" t="n"/>
      <c r="I3654" s="123" t="n"/>
      <c r="J3654" s="123" t="n"/>
      <c r="K3654" s="123" t="n"/>
      <c r="L3654" s="123" t="n"/>
      <c r="M3654" s="123">
        <f>IF(AND(B3654&lt;&gt;"",OR($C$4="",ISNUMBER(SEARCH($C$4,C3654&amp;" "&amp;E3654&amp;" "&amp;G3654&amp;" "&amp;H3654&amp;" "&amp;I3654&amp;" "&amp;J3654&amp;" "&amp;K3654&amp;" "&amp;L3654))),OR($C$5="Semua",$C$5="",G3654=$C$5),OR($C$6="Semua",$C$6="",H3654=$C$6,H3654="Pengeluaran "&amp;$C$6,AND($C$6="Uang Kos Mama",H3654="Pengeluaran Uang Kos")),OR($C$7="Semua",$C$7="",I3654=$C$7),OR($C$8="Semua",$C$8="",C3654=$C$8,E3654=$C$8),OR($C$9="Semua",$C$9="",D3654=$C$9),OR($C$10="",B3654&gt;=$C$10),OR($C$11="",B3654&lt;=$C$11),OR($C$12&lt;&gt;"Ya",K3654&lt;&gt;""),OR($C$13="Semua",$C$13="",L3654=$C$13)),"✓","")</f>
        <v/>
      </c>
      <c r="N3654" s="93">
        <f>N(N3653)+IF(M3654="✓",1,0)</f>
        <v/>
      </c>
      <c r="O3654" s="93">
        <f>N(O3653)+IF(AND(B3654&lt;&gt;"",B3654&gt;='Uang Riba'!$H$30,B3654&lt;='Uang Riba'!$I$30,OR(H3654="Dana riba",H3654="Pinjam uang riba",I3654="Pinjam dari uang riba",I3654="Ganti uang riba",I3654="Kelebihan ganti dikembalikan",AND(C3654="Kantong Uang Riba",G3654="Pengeluaran"))),1,0)</f>
        <v/>
      </c>
      <c r="X3654" s="93">
        <f>IF(AND(B3654&lt;&gt;"",B3654&gt;='Buku Akun'!$H$4,B3654&lt;='Buku Akun'!$H$5,OR(C3654='Buku Akun'!$C$4,AND(D3654="Pindah",E3654='Buku Akun'!$C$4))),B3654+IF(AND(I3654="Selisih bunga",DAY(B3654)=1),0,0.01)+ROW()/10000000,"")</f>
        <v/>
      </c>
    </row>
    <row r="3655" outlineLevel="1" ht="15" customHeight="1" s="94">
      <c r="A3655" s="123">
        <f>IF(B3655="","",ROW()-15)</f>
        <v/>
      </c>
      <c r="B3655" s="124" t="n"/>
      <c r="C3655" s="123" t="n"/>
      <c r="D3655" s="123" t="n"/>
      <c r="E3655" s="123" t="n"/>
      <c r="F3655" s="125" t="n"/>
      <c r="G3655" s="123" t="n"/>
      <c r="H3655" s="123" t="n"/>
      <c r="I3655" s="123" t="n"/>
      <c r="J3655" s="123" t="n"/>
      <c r="K3655" s="123" t="n"/>
      <c r="L3655" s="123" t="n"/>
      <c r="M3655" s="123">
        <f>IF(AND(B3655&lt;&gt;"",OR($C$4="",ISNUMBER(SEARCH($C$4,C3655&amp;" "&amp;E3655&amp;" "&amp;G3655&amp;" "&amp;H3655&amp;" "&amp;I3655&amp;" "&amp;J3655&amp;" "&amp;K3655&amp;" "&amp;L3655))),OR($C$5="Semua",$C$5="",G3655=$C$5),OR($C$6="Semua",$C$6="",H3655=$C$6,H3655="Pengeluaran "&amp;$C$6,AND($C$6="Uang Kos Mama",H3655="Pengeluaran Uang Kos")),OR($C$7="Semua",$C$7="",I3655=$C$7),OR($C$8="Semua",$C$8="",C3655=$C$8,E3655=$C$8),OR($C$9="Semua",$C$9="",D3655=$C$9),OR($C$10="",B3655&gt;=$C$10),OR($C$11="",B3655&lt;=$C$11),OR($C$12&lt;&gt;"Ya",K3655&lt;&gt;""),OR($C$13="Semua",$C$13="",L3655=$C$13)),"✓","")</f>
        <v/>
      </c>
      <c r="N3655" s="93">
        <f>N(N3654)+IF(M3655="✓",1,0)</f>
        <v/>
      </c>
      <c r="O3655" s="93">
        <f>N(O3654)+IF(AND(B3655&lt;&gt;"",B3655&gt;='Uang Riba'!$H$30,B3655&lt;='Uang Riba'!$I$30,OR(H3655="Dana riba",H3655="Pinjam uang riba",I3655="Pinjam dari uang riba",I3655="Ganti uang riba",I3655="Kelebihan ganti dikembalikan",AND(C3655="Kantong Uang Riba",G3655="Pengeluaran"))),1,0)</f>
        <v/>
      </c>
      <c r="X3655" s="93">
        <f>IF(AND(B3655&lt;&gt;"",B3655&gt;='Buku Akun'!$H$4,B3655&lt;='Buku Akun'!$H$5,OR(C3655='Buku Akun'!$C$4,AND(D3655="Pindah",E3655='Buku Akun'!$C$4))),B3655+IF(AND(I3655="Selisih bunga",DAY(B3655)=1),0,0.01)+ROW()/10000000,"")</f>
        <v/>
      </c>
    </row>
    <row r="3656" outlineLevel="1" ht="15" customHeight="1" s="94">
      <c r="A3656" s="123">
        <f>IF(B3656="","",ROW()-15)</f>
        <v/>
      </c>
      <c r="B3656" s="124" t="n"/>
      <c r="C3656" s="123" t="n"/>
      <c r="D3656" s="123" t="n"/>
      <c r="E3656" s="123" t="n"/>
      <c r="F3656" s="125" t="n"/>
      <c r="G3656" s="123" t="n"/>
      <c r="H3656" s="123" t="n"/>
      <c r="I3656" s="123" t="n"/>
      <c r="J3656" s="123" t="n"/>
      <c r="K3656" s="123" t="n"/>
      <c r="L3656" s="123" t="n"/>
      <c r="M3656" s="123">
        <f>IF(AND(B3656&lt;&gt;"",OR($C$4="",ISNUMBER(SEARCH($C$4,C3656&amp;" "&amp;E3656&amp;" "&amp;G3656&amp;" "&amp;H3656&amp;" "&amp;I3656&amp;" "&amp;J3656&amp;" "&amp;K3656&amp;" "&amp;L3656))),OR($C$5="Semua",$C$5="",G3656=$C$5),OR($C$6="Semua",$C$6="",H3656=$C$6,H3656="Pengeluaran "&amp;$C$6,AND($C$6="Uang Kos Mama",H3656="Pengeluaran Uang Kos")),OR($C$7="Semua",$C$7="",I3656=$C$7),OR($C$8="Semua",$C$8="",C3656=$C$8,E3656=$C$8),OR($C$9="Semua",$C$9="",D3656=$C$9),OR($C$10="",B3656&gt;=$C$10),OR($C$11="",B3656&lt;=$C$11),OR($C$12&lt;&gt;"Ya",K3656&lt;&gt;""),OR($C$13="Semua",$C$13="",L3656=$C$13)),"✓","")</f>
        <v/>
      </c>
      <c r="N3656" s="93">
        <f>N(N3655)+IF(M3656="✓",1,0)</f>
        <v/>
      </c>
      <c r="O3656" s="93">
        <f>N(O3655)+IF(AND(B3656&lt;&gt;"",B3656&gt;='Uang Riba'!$H$30,B3656&lt;='Uang Riba'!$I$30,OR(H3656="Dana riba",H3656="Pinjam uang riba",I3656="Pinjam dari uang riba",I3656="Ganti uang riba",I3656="Kelebihan ganti dikembalikan",AND(C3656="Kantong Uang Riba",G3656="Pengeluaran"))),1,0)</f>
        <v/>
      </c>
      <c r="X3656" s="93">
        <f>IF(AND(B3656&lt;&gt;"",B3656&gt;='Buku Akun'!$H$4,B3656&lt;='Buku Akun'!$H$5,OR(C3656='Buku Akun'!$C$4,AND(D3656="Pindah",E3656='Buku Akun'!$C$4))),B3656+IF(AND(I3656="Selisih bunga",DAY(B3656)=1),0,0.01)+ROW()/10000000,"")</f>
        <v/>
      </c>
    </row>
    <row r="3657" outlineLevel="1" ht="15" customHeight="1" s="94">
      <c r="A3657" s="123">
        <f>IF(B3657="","",ROW()-15)</f>
        <v/>
      </c>
      <c r="B3657" s="124" t="n"/>
      <c r="C3657" s="123" t="n"/>
      <c r="D3657" s="123" t="n"/>
      <c r="E3657" s="123" t="n"/>
      <c r="F3657" s="125" t="n"/>
      <c r="G3657" s="123" t="n"/>
      <c r="H3657" s="123" t="n"/>
      <c r="I3657" s="123" t="n"/>
      <c r="J3657" s="123" t="n"/>
      <c r="K3657" s="123" t="n"/>
      <c r="L3657" s="123" t="n"/>
      <c r="M3657" s="123">
        <f>IF(AND(B3657&lt;&gt;"",OR($C$4="",ISNUMBER(SEARCH($C$4,C3657&amp;" "&amp;E3657&amp;" "&amp;G3657&amp;" "&amp;H3657&amp;" "&amp;I3657&amp;" "&amp;J3657&amp;" "&amp;K3657&amp;" "&amp;L3657))),OR($C$5="Semua",$C$5="",G3657=$C$5),OR($C$6="Semua",$C$6="",H3657=$C$6,H3657="Pengeluaran "&amp;$C$6,AND($C$6="Uang Kos Mama",H3657="Pengeluaran Uang Kos")),OR($C$7="Semua",$C$7="",I3657=$C$7),OR($C$8="Semua",$C$8="",C3657=$C$8,E3657=$C$8),OR($C$9="Semua",$C$9="",D3657=$C$9),OR($C$10="",B3657&gt;=$C$10),OR($C$11="",B3657&lt;=$C$11),OR($C$12&lt;&gt;"Ya",K3657&lt;&gt;""),OR($C$13="Semua",$C$13="",L3657=$C$13)),"✓","")</f>
        <v/>
      </c>
      <c r="N3657" s="93">
        <f>N(N3656)+IF(M3657="✓",1,0)</f>
        <v/>
      </c>
      <c r="O3657" s="93">
        <f>N(O3656)+IF(AND(B3657&lt;&gt;"",B3657&gt;='Uang Riba'!$H$30,B3657&lt;='Uang Riba'!$I$30,OR(H3657="Dana riba",H3657="Pinjam uang riba",I3657="Pinjam dari uang riba",I3657="Ganti uang riba",I3657="Kelebihan ganti dikembalikan",AND(C3657="Kantong Uang Riba",G3657="Pengeluaran"))),1,0)</f>
        <v/>
      </c>
      <c r="X3657" s="93">
        <f>IF(AND(B3657&lt;&gt;"",B3657&gt;='Buku Akun'!$H$4,B3657&lt;='Buku Akun'!$H$5,OR(C3657='Buku Akun'!$C$4,AND(D3657="Pindah",E3657='Buku Akun'!$C$4))),B3657+IF(AND(I3657="Selisih bunga",DAY(B3657)=1),0,0.01)+ROW()/10000000,"")</f>
        <v/>
      </c>
    </row>
    <row r="3658" outlineLevel="1" ht="15" customHeight="1" s="94">
      <c r="A3658" s="123">
        <f>IF(B3658="","",ROW()-15)</f>
        <v/>
      </c>
      <c r="B3658" s="124" t="n"/>
      <c r="C3658" s="123" t="n"/>
      <c r="D3658" s="123" t="n"/>
      <c r="E3658" s="123" t="n"/>
      <c r="F3658" s="125" t="n"/>
      <c r="G3658" s="123" t="n"/>
      <c r="H3658" s="123" t="n"/>
      <c r="I3658" s="123" t="n"/>
      <c r="J3658" s="123" t="n"/>
      <c r="K3658" s="123" t="n"/>
      <c r="L3658" s="123" t="n"/>
      <c r="M3658" s="123">
        <f>IF(AND(B3658&lt;&gt;"",OR($C$4="",ISNUMBER(SEARCH($C$4,C3658&amp;" "&amp;E3658&amp;" "&amp;G3658&amp;" "&amp;H3658&amp;" "&amp;I3658&amp;" "&amp;J3658&amp;" "&amp;K3658&amp;" "&amp;L3658))),OR($C$5="Semua",$C$5="",G3658=$C$5),OR($C$6="Semua",$C$6="",H3658=$C$6,H3658="Pengeluaran "&amp;$C$6,AND($C$6="Uang Kos Mama",H3658="Pengeluaran Uang Kos")),OR($C$7="Semua",$C$7="",I3658=$C$7),OR($C$8="Semua",$C$8="",C3658=$C$8,E3658=$C$8),OR($C$9="Semua",$C$9="",D3658=$C$9),OR($C$10="",B3658&gt;=$C$10),OR($C$11="",B3658&lt;=$C$11),OR($C$12&lt;&gt;"Ya",K3658&lt;&gt;""),OR($C$13="Semua",$C$13="",L3658=$C$13)),"✓","")</f>
        <v/>
      </c>
      <c r="N3658" s="93">
        <f>N(N3657)+IF(M3658="✓",1,0)</f>
        <v/>
      </c>
      <c r="O3658" s="93">
        <f>N(O3657)+IF(AND(B3658&lt;&gt;"",B3658&gt;='Uang Riba'!$H$30,B3658&lt;='Uang Riba'!$I$30,OR(H3658="Dana riba",H3658="Pinjam uang riba",I3658="Pinjam dari uang riba",I3658="Ganti uang riba",I3658="Kelebihan ganti dikembalikan",AND(C3658="Kantong Uang Riba",G3658="Pengeluaran"))),1,0)</f>
        <v/>
      </c>
      <c r="X3658" s="93">
        <f>IF(AND(B3658&lt;&gt;"",B3658&gt;='Buku Akun'!$H$4,B3658&lt;='Buku Akun'!$H$5,OR(C3658='Buku Akun'!$C$4,AND(D3658="Pindah",E3658='Buku Akun'!$C$4))),B3658+IF(AND(I3658="Selisih bunga",DAY(B3658)=1),0,0.01)+ROW()/10000000,"")</f>
        <v/>
      </c>
    </row>
    <row r="3659" outlineLevel="1" ht="15" customHeight="1" s="94">
      <c r="A3659" s="123">
        <f>IF(B3659="","",ROW()-15)</f>
        <v/>
      </c>
      <c r="B3659" s="124" t="n"/>
      <c r="C3659" s="123" t="n"/>
      <c r="D3659" s="123" t="n"/>
      <c r="E3659" s="123" t="n"/>
      <c r="F3659" s="125" t="n"/>
      <c r="G3659" s="123" t="n"/>
      <c r="H3659" s="123" t="n"/>
      <c r="I3659" s="123" t="n"/>
      <c r="J3659" s="123" t="n"/>
      <c r="K3659" s="123" t="n"/>
      <c r="L3659" s="123" t="n"/>
      <c r="M3659" s="123">
        <f>IF(AND(B3659&lt;&gt;"",OR($C$4="",ISNUMBER(SEARCH($C$4,C3659&amp;" "&amp;E3659&amp;" "&amp;G3659&amp;" "&amp;H3659&amp;" "&amp;I3659&amp;" "&amp;J3659&amp;" "&amp;K3659&amp;" "&amp;L3659))),OR($C$5="Semua",$C$5="",G3659=$C$5),OR($C$6="Semua",$C$6="",H3659=$C$6,H3659="Pengeluaran "&amp;$C$6,AND($C$6="Uang Kos Mama",H3659="Pengeluaran Uang Kos")),OR($C$7="Semua",$C$7="",I3659=$C$7),OR($C$8="Semua",$C$8="",C3659=$C$8,E3659=$C$8),OR($C$9="Semua",$C$9="",D3659=$C$9),OR($C$10="",B3659&gt;=$C$10),OR($C$11="",B3659&lt;=$C$11),OR($C$12&lt;&gt;"Ya",K3659&lt;&gt;""),OR($C$13="Semua",$C$13="",L3659=$C$13)),"✓","")</f>
        <v/>
      </c>
      <c r="N3659" s="93">
        <f>N(N3658)+IF(M3659="✓",1,0)</f>
        <v/>
      </c>
      <c r="O3659" s="93">
        <f>N(O3658)+IF(AND(B3659&lt;&gt;"",B3659&gt;='Uang Riba'!$H$30,B3659&lt;='Uang Riba'!$I$30,OR(H3659="Dana riba",H3659="Pinjam uang riba",I3659="Pinjam dari uang riba",I3659="Ganti uang riba",I3659="Kelebihan ganti dikembalikan",AND(C3659="Kantong Uang Riba",G3659="Pengeluaran"))),1,0)</f>
        <v/>
      </c>
      <c r="X3659" s="93">
        <f>IF(AND(B3659&lt;&gt;"",B3659&gt;='Buku Akun'!$H$4,B3659&lt;='Buku Akun'!$H$5,OR(C3659='Buku Akun'!$C$4,AND(D3659="Pindah",E3659='Buku Akun'!$C$4))),B3659+IF(AND(I3659="Selisih bunga",DAY(B3659)=1),0,0.01)+ROW()/10000000,"")</f>
        <v/>
      </c>
    </row>
    <row r="3660" outlineLevel="1" ht="15" customHeight="1" s="94">
      <c r="A3660" s="123">
        <f>IF(B3660="","",ROW()-15)</f>
        <v/>
      </c>
      <c r="B3660" s="124" t="n"/>
      <c r="C3660" s="123" t="n"/>
      <c r="D3660" s="123" t="n"/>
      <c r="E3660" s="123" t="n"/>
      <c r="F3660" s="125" t="n"/>
      <c r="G3660" s="123" t="n"/>
      <c r="H3660" s="123" t="n"/>
      <c r="I3660" s="123" t="n"/>
      <c r="J3660" s="123" t="n"/>
      <c r="K3660" s="123" t="n"/>
      <c r="L3660" s="123" t="n"/>
      <c r="M3660" s="123">
        <f>IF(AND(B3660&lt;&gt;"",OR($C$4="",ISNUMBER(SEARCH($C$4,C3660&amp;" "&amp;E3660&amp;" "&amp;G3660&amp;" "&amp;H3660&amp;" "&amp;I3660&amp;" "&amp;J3660&amp;" "&amp;K3660&amp;" "&amp;L3660))),OR($C$5="Semua",$C$5="",G3660=$C$5),OR($C$6="Semua",$C$6="",H3660=$C$6,H3660="Pengeluaran "&amp;$C$6,AND($C$6="Uang Kos Mama",H3660="Pengeluaran Uang Kos")),OR($C$7="Semua",$C$7="",I3660=$C$7),OR($C$8="Semua",$C$8="",C3660=$C$8,E3660=$C$8),OR($C$9="Semua",$C$9="",D3660=$C$9),OR($C$10="",B3660&gt;=$C$10),OR($C$11="",B3660&lt;=$C$11),OR($C$12&lt;&gt;"Ya",K3660&lt;&gt;""),OR($C$13="Semua",$C$13="",L3660=$C$13)),"✓","")</f>
        <v/>
      </c>
      <c r="N3660" s="93">
        <f>N(N3659)+IF(M3660="✓",1,0)</f>
        <v/>
      </c>
      <c r="O3660" s="93">
        <f>N(O3659)+IF(AND(B3660&lt;&gt;"",B3660&gt;='Uang Riba'!$H$30,B3660&lt;='Uang Riba'!$I$30,OR(H3660="Dana riba",H3660="Pinjam uang riba",I3660="Pinjam dari uang riba",I3660="Ganti uang riba",I3660="Kelebihan ganti dikembalikan",AND(C3660="Kantong Uang Riba",G3660="Pengeluaran"))),1,0)</f>
        <v/>
      </c>
      <c r="X3660" s="93">
        <f>IF(AND(B3660&lt;&gt;"",B3660&gt;='Buku Akun'!$H$4,B3660&lt;='Buku Akun'!$H$5,OR(C3660='Buku Akun'!$C$4,AND(D3660="Pindah",E3660='Buku Akun'!$C$4))),B3660+IF(AND(I3660="Selisih bunga",DAY(B3660)=1),0,0.01)+ROW()/10000000,"")</f>
        <v/>
      </c>
    </row>
    <row r="3661" outlineLevel="1" ht="15" customHeight="1" s="94">
      <c r="A3661" s="123">
        <f>IF(B3661="","",ROW()-15)</f>
        <v/>
      </c>
      <c r="B3661" s="124" t="n"/>
      <c r="C3661" s="123" t="n"/>
      <c r="D3661" s="123" t="n"/>
      <c r="E3661" s="123" t="n"/>
      <c r="F3661" s="125" t="n"/>
      <c r="G3661" s="123" t="n"/>
      <c r="H3661" s="123" t="n"/>
      <c r="I3661" s="123" t="n"/>
      <c r="J3661" s="123" t="n"/>
      <c r="K3661" s="123" t="n"/>
      <c r="L3661" s="123" t="n"/>
      <c r="M3661" s="123">
        <f>IF(AND(B3661&lt;&gt;"",OR($C$4="",ISNUMBER(SEARCH($C$4,C3661&amp;" "&amp;E3661&amp;" "&amp;G3661&amp;" "&amp;H3661&amp;" "&amp;I3661&amp;" "&amp;J3661&amp;" "&amp;K3661&amp;" "&amp;L3661))),OR($C$5="Semua",$C$5="",G3661=$C$5),OR($C$6="Semua",$C$6="",H3661=$C$6,H3661="Pengeluaran "&amp;$C$6,AND($C$6="Uang Kos Mama",H3661="Pengeluaran Uang Kos")),OR($C$7="Semua",$C$7="",I3661=$C$7),OR($C$8="Semua",$C$8="",C3661=$C$8,E3661=$C$8),OR($C$9="Semua",$C$9="",D3661=$C$9),OR($C$10="",B3661&gt;=$C$10),OR($C$11="",B3661&lt;=$C$11),OR($C$12&lt;&gt;"Ya",K3661&lt;&gt;""),OR($C$13="Semua",$C$13="",L3661=$C$13)),"✓","")</f>
        <v/>
      </c>
      <c r="N3661" s="93">
        <f>N(N3660)+IF(M3661="✓",1,0)</f>
        <v/>
      </c>
      <c r="O3661" s="93">
        <f>N(O3660)+IF(AND(B3661&lt;&gt;"",B3661&gt;='Uang Riba'!$H$30,B3661&lt;='Uang Riba'!$I$30,OR(H3661="Dana riba",H3661="Pinjam uang riba",I3661="Pinjam dari uang riba",I3661="Ganti uang riba",I3661="Kelebihan ganti dikembalikan",AND(C3661="Kantong Uang Riba",G3661="Pengeluaran"))),1,0)</f>
        <v/>
      </c>
      <c r="X3661" s="93">
        <f>IF(AND(B3661&lt;&gt;"",B3661&gt;='Buku Akun'!$H$4,B3661&lt;='Buku Akun'!$H$5,OR(C3661='Buku Akun'!$C$4,AND(D3661="Pindah",E3661='Buku Akun'!$C$4))),B3661+IF(AND(I3661="Selisih bunga",DAY(B3661)=1),0,0.01)+ROW()/10000000,"")</f>
        <v/>
      </c>
    </row>
    <row r="3662" outlineLevel="1" ht="15" customHeight="1" s="94">
      <c r="A3662" s="123">
        <f>IF(B3662="","",ROW()-15)</f>
        <v/>
      </c>
      <c r="B3662" s="124" t="n"/>
      <c r="C3662" s="123" t="n"/>
      <c r="D3662" s="123" t="n"/>
      <c r="E3662" s="123" t="n"/>
      <c r="F3662" s="125" t="n"/>
      <c r="G3662" s="123" t="n"/>
      <c r="H3662" s="123" t="n"/>
      <c r="I3662" s="123" t="n"/>
      <c r="J3662" s="123" t="n"/>
      <c r="K3662" s="123" t="n"/>
      <c r="L3662" s="123" t="n"/>
      <c r="M3662" s="123">
        <f>IF(AND(B3662&lt;&gt;"",OR($C$4="",ISNUMBER(SEARCH($C$4,C3662&amp;" "&amp;E3662&amp;" "&amp;G3662&amp;" "&amp;H3662&amp;" "&amp;I3662&amp;" "&amp;J3662&amp;" "&amp;K3662&amp;" "&amp;L3662))),OR($C$5="Semua",$C$5="",G3662=$C$5),OR($C$6="Semua",$C$6="",H3662=$C$6,H3662="Pengeluaran "&amp;$C$6,AND($C$6="Uang Kos Mama",H3662="Pengeluaran Uang Kos")),OR($C$7="Semua",$C$7="",I3662=$C$7),OR($C$8="Semua",$C$8="",C3662=$C$8,E3662=$C$8),OR($C$9="Semua",$C$9="",D3662=$C$9),OR($C$10="",B3662&gt;=$C$10),OR($C$11="",B3662&lt;=$C$11),OR($C$12&lt;&gt;"Ya",K3662&lt;&gt;""),OR($C$13="Semua",$C$13="",L3662=$C$13)),"✓","")</f>
        <v/>
      </c>
      <c r="N3662" s="93">
        <f>N(N3661)+IF(M3662="✓",1,0)</f>
        <v/>
      </c>
      <c r="O3662" s="93">
        <f>N(O3661)+IF(AND(B3662&lt;&gt;"",B3662&gt;='Uang Riba'!$H$30,B3662&lt;='Uang Riba'!$I$30,OR(H3662="Dana riba",H3662="Pinjam uang riba",I3662="Pinjam dari uang riba",I3662="Ganti uang riba",I3662="Kelebihan ganti dikembalikan",AND(C3662="Kantong Uang Riba",G3662="Pengeluaran"))),1,0)</f>
        <v/>
      </c>
      <c r="X3662" s="93">
        <f>IF(AND(B3662&lt;&gt;"",B3662&gt;='Buku Akun'!$H$4,B3662&lt;='Buku Akun'!$H$5,OR(C3662='Buku Akun'!$C$4,AND(D3662="Pindah",E3662='Buku Akun'!$C$4))),B3662+IF(AND(I3662="Selisih bunga",DAY(B3662)=1),0,0.01)+ROW()/10000000,"")</f>
        <v/>
      </c>
    </row>
    <row r="3663" outlineLevel="1" ht="15" customHeight="1" s="94">
      <c r="A3663" s="123">
        <f>IF(B3663="","",ROW()-15)</f>
        <v/>
      </c>
      <c r="B3663" s="124" t="n"/>
      <c r="C3663" s="123" t="n"/>
      <c r="D3663" s="123" t="n"/>
      <c r="E3663" s="123" t="n"/>
      <c r="F3663" s="125" t="n"/>
      <c r="G3663" s="123" t="n"/>
      <c r="H3663" s="123" t="n"/>
      <c r="I3663" s="123" t="n"/>
      <c r="J3663" s="123" t="n"/>
      <c r="K3663" s="123" t="n"/>
      <c r="L3663" s="123" t="n"/>
      <c r="M3663" s="123">
        <f>IF(AND(B3663&lt;&gt;"",OR($C$4="",ISNUMBER(SEARCH($C$4,C3663&amp;" "&amp;E3663&amp;" "&amp;G3663&amp;" "&amp;H3663&amp;" "&amp;I3663&amp;" "&amp;J3663&amp;" "&amp;K3663&amp;" "&amp;L3663))),OR($C$5="Semua",$C$5="",G3663=$C$5),OR($C$6="Semua",$C$6="",H3663=$C$6,H3663="Pengeluaran "&amp;$C$6,AND($C$6="Uang Kos Mama",H3663="Pengeluaran Uang Kos")),OR($C$7="Semua",$C$7="",I3663=$C$7),OR($C$8="Semua",$C$8="",C3663=$C$8,E3663=$C$8),OR($C$9="Semua",$C$9="",D3663=$C$9),OR($C$10="",B3663&gt;=$C$10),OR($C$11="",B3663&lt;=$C$11),OR($C$12&lt;&gt;"Ya",K3663&lt;&gt;""),OR($C$13="Semua",$C$13="",L3663=$C$13)),"✓","")</f>
        <v/>
      </c>
      <c r="N3663" s="93">
        <f>N(N3662)+IF(M3663="✓",1,0)</f>
        <v/>
      </c>
      <c r="O3663" s="93">
        <f>N(O3662)+IF(AND(B3663&lt;&gt;"",B3663&gt;='Uang Riba'!$H$30,B3663&lt;='Uang Riba'!$I$30,OR(H3663="Dana riba",H3663="Pinjam uang riba",I3663="Pinjam dari uang riba",I3663="Ganti uang riba",I3663="Kelebihan ganti dikembalikan",AND(C3663="Kantong Uang Riba",G3663="Pengeluaran"))),1,0)</f>
        <v/>
      </c>
      <c r="X3663" s="93">
        <f>IF(AND(B3663&lt;&gt;"",B3663&gt;='Buku Akun'!$H$4,B3663&lt;='Buku Akun'!$H$5,OR(C3663='Buku Akun'!$C$4,AND(D3663="Pindah",E3663='Buku Akun'!$C$4))),B3663+IF(AND(I3663="Selisih bunga",DAY(B3663)=1),0,0.01)+ROW()/10000000,"")</f>
        <v/>
      </c>
    </row>
    <row r="3664" outlineLevel="1" ht="15" customHeight="1" s="94">
      <c r="A3664" s="123">
        <f>IF(B3664="","",ROW()-15)</f>
        <v/>
      </c>
      <c r="B3664" s="124" t="n"/>
      <c r="C3664" s="123" t="n"/>
      <c r="D3664" s="123" t="n"/>
      <c r="E3664" s="123" t="n"/>
      <c r="F3664" s="125" t="n"/>
      <c r="G3664" s="123" t="n"/>
      <c r="H3664" s="123" t="n"/>
      <c r="I3664" s="123" t="n"/>
      <c r="J3664" s="123" t="n"/>
      <c r="K3664" s="123" t="n"/>
      <c r="L3664" s="123" t="n"/>
      <c r="M3664" s="123">
        <f>IF(AND(B3664&lt;&gt;"",OR($C$4="",ISNUMBER(SEARCH($C$4,C3664&amp;" "&amp;E3664&amp;" "&amp;G3664&amp;" "&amp;H3664&amp;" "&amp;I3664&amp;" "&amp;J3664&amp;" "&amp;K3664&amp;" "&amp;L3664))),OR($C$5="Semua",$C$5="",G3664=$C$5),OR($C$6="Semua",$C$6="",H3664=$C$6,H3664="Pengeluaran "&amp;$C$6,AND($C$6="Uang Kos Mama",H3664="Pengeluaran Uang Kos")),OR($C$7="Semua",$C$7="",I3664=$C$7),OR($C$8="Semua",$C$8="",C3664=$C$8,E3664=$C$8),OR($C$9="Semua",$C$9="",D3664=$C$9),OR($C$10="",B3664&gt;=$C$10),OR($C$11="",B3664&lt;=$C$11),OR($C$12&lt;&gt;"Ya",K3664&lt;&gt;""),OR($C$13="Semua",$C$13="",L3664=$C$13)),"✓","")</f>
        <v/>
      </c>
      <c r="N3664" s="93">
        <f>N(N3663)+IF(M3664="✓",1,0)</f>
        <v/>
      </c>
      <c r="O3664" s="93">
        <f>N(O3663)+IF(AND(B3664&lt;&gt;"",B3664&gt;='Uang Riba'!$H$30,B3664&lt;='Uang Riba'!$I$30,OR(H3664="Dana riba",H3664="Pinjam uang riba",I3664="Pinjam dari uang riba",I3664="Ganti uang riba",I3664="Kelebihan ganti dikembalikan",AND(C3664="Kantong Uang Riba",G3664="Pengeluaran"))),1,0)</f>
        <v/>
      </c>
      <c r="X3664" s="93">
        <f>IF(AND(B3664&lt;&gt;"",B3664&gt;='Buku Akun'!$H$4,B3664&lt;='Buku Akun'!$H$5,OR(C3664='Buku Akun'!$C$4,AND(D3664="Pindah",E3664='Buku Akun'!$C$4))),B3664+IF(AND(I3664="Selisih bunga",DAY(B3664)=1),0,0.01)+ROW()/10000000,"")</f>
        <v/>
      </c>
    </row>
    <row r="3665" outlineLevel="1" ht="15" customHeight="1" s="94">
      <c r="A3665" s="123">
        <f>IF(B3665="","",ROW()-15)</f>
        <v/>
      </c>
      <c r="B3665" s="124" t="n"/>
      <c r="C3665" s="123" t="n"/>
      <c r="D3665" s="123" t="n"/>
      <c r="E3665" s="123" t="n"/>
      <c r="F3665" s="125" t="n"/>
      <c r="G3665" s="123" t="n"/>
      <c r="H3665" s="123" t="n"/>
      <c r="I3665" s="123" t="n"/>
      <c r="J3665" s="123" t="n"/>
      <c r="K3665" s="123" t="n"/>
      <c r="L3665" s="123" t="n"/>
      <c r="M3665" s="123">
        <f>IF(AND(B3665&lt;&gt;"",OR($C$4="",ISNUMBER(SEARCH($C$4,C3665&amp;" "&amp;E3665&amp;" "&amp;G3665&amp;" "&amp;H3665&amp;" "&amp;I3665&amp;" "&amp;J3665&amp;" "&amp;K3665&amp;" "&amp;L3665))),OR($C$5="Semua",$C$5="",G3665=$C$5),OR($C$6="Semua",$C$6="",H3665=$C$6,H3665="Pengeluaran "&amp;$C$6,AND($C$6="Uang Kos Mama",H3665="Pengeluaran Uang Kos")),OR($C$7="Semua",$C$7="",I3665=$C$7),OR($C$8="Semua",$C$8="",C3665=$C$8,E3665=$C$8),OR($C$9="Semua",$C$9="",D3665=$C$9),OR($C$10="",B3665&gt;=$C$10),OR($C$11="",B3665&lt;=$C$11),OR($C$12&lt;&gt;"Ya",K3665&lt;&gt;""),OR($C$13="Semua",$C$13="",L3665=$C$13)),"✓","")</f>
        <v/>
      </c>
      <c r="N3665" s="93">
        <f>N(N3664)+IF(M3665="✓",1,0)</f>
        <v/>
      </c>
      <c r="O3665" s="93">
        <f>N(O3664)+IF(AND(B3665&lt;&gt;"",B3665&gt;='Uang Riba'!$H$30,B3665&lt;='Uang Riba'!$I$30,OR(H3665="Dana riba",H3665="Pinjam uang riba",I3665="Pinjam dari uang riba",I3665="Ganti uang riba",I3665="Kelebihan ganti dikembalikan",AND(C3665="Kantong Uang Riba",G3665="Pengeluaran"))),1,0)</f>
        <v/>
      </c>
      <c r="X3665" s="93">
        <f>IF(AND(B3665&lt;&gt;"",B3665&gt;='Buku Akun'!$H$4,B3665&lt;='Buku Akun'!$H$5,OR(C3665='Buku Akun'!$C$4,AND(D3665="Pindah",E3665='Buku Akun'!$C$4))),B3665+IF(AND(I3665="Selisih bunga",DAY(B3665)=1),0,0.01)+ROW()/10000000,"")</f>
        <v/>
      </c>
    </row>
    <row r="3666" outlineLevel="1" ht="15" customHeight="1" s="94">
      <c r="A3666" s="123">
        <f>IF(B3666="","",ROW()-15)</f>
        <v/>
      </c>
      <c r="B3666" s="124" t="n"/>
      <c r="C3666" s="123" t="n"/>
      <c r="D3666" s="123" t="n"/>
      <c r="E3666" s="123" t="n"/>
      <c r="F3666" s="125" t="n"/>
      <c r="G3666" s="123" t="n"/>
      <c r="H3666" s="123" t="n"/>
      <c r="I3666" s="123" t="n"/>
      <c r="J3666" s="123" t="n"/>
      <c r="K3666" s="123" t="n"/>
      <c r="L3666" s="123" t="n"/>
      <c r="M3666" s="123">
        <f>IF(AND(B3666&lt;&gt;"",OR($C$4="",ISNUMBER(SEARCH($C$4,C3666&amp;" "&amp;E3666&amp;" "&amp;G3666&amp;" "&amp;H3666&amp;" "&amp;I3666&amp;" "&amp;J3666&amp;" "&amp;K3666&amp;" "&amp;L3666))),OR($C$5="Semua",$C$5="",G3666=$C$5),OR($C$6="Semua",$C$6="",H3666=$C$6,H3666="Pengeluaran "&amp;$C$6,AND($C$6="Uang Kos Mama",H3666="Pengeluaran Uang Kos")),OR($C$7="Semua",$C$7="",I3666=$C$7),OR($C$8="Semua",$C$8="",C3666=$C$8,E3666=$C$8),OR($C$9="Semua",$C$9="",D3666=$C$9),OR($C$10="",B3666&gt;=$C$10),OR($C$11="",B3666&lt;=$C$11),OR($C$12&lt;&gt;"Ya",K3666&lt;&gt;""),OR($C$13="Semua",$C$13="",L3666=$C$13)),"✓","")</f>
        <v/>
      </c>
      <c r="N3666" s="93">
        <f>N(N3665)+IF(M3666="✓",1,0)</f>
        <v/>
      </c>
      <c r="O3666" s="93">
        <f>N(O3665)+IF(AND(B3666&lt;&gt;"",B3666&gt;='Uang Riba'!$H$30,B3666&lt;='Uang Riba'!$I$30,OR(H3666="Dana riba",H3666="Pinjam uang riba",I3666="Pinjam dari uang riba",I3666="Ganti uang riba",I3666="Kelebihan ganti dikembalikan",AND(C3666="Kantong Uang Riba",G3666="Pengeluaran"))),1,0)</f>
        <v/>
      </c>
      <c r="X3666" s="93">
        <f>IF(AND(B3666&lt;&gt;"",B3666&gt;='Buku Akun'!$H$4,B3666&lt;='Buku Akun'!$H$5,OR(C3666='Buku Akun'!$C$4,AND(D3666="Pindah",E3666='Buku Akun'!$C$4))),B3666+IF(AND(I3666="Selisih bunga",DAY(B3666)=1),0,0.01)+ROW()/10000000,"")</f>
        <v/>
      </c>
    </row>
    <row r="3667" outlineLevel="1" ht="15" customHeight="1" s="94">
      <c r="A3667" s="123">
        <f>IF(B3667="","",ROW()-15)</f>
        <v/>
      </c>
      <c r="B3667" s="124" t="n"/>
      <c r="C3667" s="123" t="n"/>
      <c r="D3667" s="123" t="n"/>
      <c r="E3667" s="123" t="n"/>
      <c r="F3667" s="125" t="n"/>
      <c r="G3667" s="123" t="n"/>
      <c r="H3667" s="123" t="n"/>
      <c r="I3667" s="123" t="n"/>
      <c r="J3667" s="123" t="n"/>
      <c r="K3667" s="123" t="n"/>
      <c r="L3667" s="123" t="n"/>
      <c r="M3667" s="123">
        <f>IF(AND(B3667&lt;&gt;"",OR($C$4="",ISNUMBER(SEARCH($C$4,C3667&amp;" "&amp;E3667&amp;" "&amp;G3667&amp;" "&amp;H3667&amp;" "&amp;I3667&amp;" "&amp;J3667&amp;" "&amp;K3667&amp;" "&amp;L3667))),OR($C$5="Semua",$C$5="",G3667=$C$5),OR($C$6="Semua",$C$6="",H3667=$C$6,H3667="Pengeluaran "&amp;$C$6,AND($C$6="Uang Kos Mama",H3667="Pengeluaran Uang Kos")),OR($C$7="Semua",$C$7="",I3667=$C$7),OR($C$8="Semua",$C$8="",C3667=$C$8,E3667=$C$8),OR($C$9="Semua",$C$9="",D3667=$C$9),OR($C$10="",B3667&gt;=$C$10),OR($C$11="",B3667&lt;=$C$11),OR($C$12&lt;&gt;"Ya",K3667&lt;&gt;""),OR($C$13="Semua",$C$13="",L3667=$C$13)),"✓","")</f>
        <v/>
      </c>
      <c r="N3667" s="93">
        <f>N(N3666)+IF(M3667="✓",1,0)</f>
        <v/>
      </c>
      <c r="O3667" s="93">
        <f>N(O3666)+IF(AND(B3667&lt;&gt;"",B3667&gt;='Uang Riba'!$H$30,B3667&lt;='Uang Riba'!$I$30,OR(H3667="Dana riba",H3667="Pinjam uang riba",I3667="Pinjam dari uang riba",I3667="Ganti uang riba",I3667="Kelebihan ganti dikembalikan",AND(C3667="Kantong Uang Riba",G3667="Pengeluaran"))),1,0)</f>
        <v/>
      </c>
      <c r="X3667" s="93">
        <f>IF(AND(B3667&lt;&gt;"",B3667&gt;='Buku Akun'!$H$4,B3667&lt;='Buku Akun'!$H$5,OR(C3667='Buku Akun'!$C$4,AND(D3667="Pindah",E3667='Buku Akun'!$C$4))),B3667+IF(AND(I3667="Selisih bunga",DAY(B3667)=1),0,0.01)+ROW()/10000000,"")</f>
        <v/>
      </c>
    </row>
    <row r="3668" outlineLevel="1" ht="15" customHeight="1" s="94">
      <c r="A3668" s="123">
        <f>IF(B3668="","",ROW()-15)</f>
        <v/>
      </c>
      <c r="B3668" s="124" t="n"/>
      <c r="C3668" s="123" t="n"/>
      <c r="D3668" s="123" t="n"/>
      <c r="E3668" s="123" t="n"/>
      <c r="F3668" s="125" t="n"/>
      <c r="G3668" s="123" t="n"/>
      <c r="H3668" s="123" t="n"/>
      <c r="I3668" s="123" t="n"/>
      <c r="J3668" s="123" t="n"/>
      <c r="K3668" s="123" t="n"/>
      <c r="L3668" s="123" t="n"/>
      <c r="M3668" s="123">
        <f>IF(AND(B3668&lt;&gt;"",OR($C$4="",ISNUMBER(SEARCH($C$4,C3668&amp;" "&amp;E3668&amp;" "&amp;G3668&amp;" "&amp;H3668&amp;" "&amp;I3668&amp;" "&amp;J3668&amp;" "&amp;K3668&amp;" "&amp;L3668))),OR($C$5="Semua",$C$5="",G3668=$C$5),OR($C$6="Semua",$C$6="",H3668=$C$6,H3668="Pengeluaran "&amp;$C$6,AND($C$6="Uang Kos Mama",H3668="Pengeluaran Uang Kos")),OR($C$7="Semua",$C$7="",I3668=$C$7),OR($C$8="Semua",$C$8="",C3668=$C$8,E3668=$C$8),OR($C$9="Semua",$C$9="",D3668=$C$9),OR($C$10="",B3668&gt;=$C$10),OR($C$11="",B3668&lt;=$C$11),OR($C$12&lt;&gt;"Ya",K3668&lt;&gt;""),OR($C$13="Semua",$C$13="",L3668=$C$13)),"✓","")</f>
        <v/>
      </c>
      <c r="N3668" s="93">
        <f>N(N3667)+IF(M3668="✓",1,0)</f>
        <v/>
      </c>
      <c r="O3668" s="93">
        <f>N(O3667)+IF(AND(B3668&lt;&gt;"",B3668&gt;='Uang Riba'!$H$30,B3668&lt;='Uang Riba'!$I$30,OR(H3668="Dana riba",H3668="Pinjam uang riba",I3668="Pinjam dari uang riba",I3668="Ganti uang riba",I3668="Kelebihan ganti dikembalikan",AND(C3668="Kantong Uang Riba",G3668="Pengeluaran"))),1,0)</f>
        <v/>
      </c>
      <c r="X3668" s="93">
        <f>IF(AND(B3668&lt;&gt;"",B3668&gt;='Buku Akun'!$H$4,B3668&lt;='Buku Akun'!$H$5,OR(C3668='Buku Akun'!$C$4,AND(D3668="Pindah",E3668='Buku Akun'!$C$4))),B3668+IF(AND(I3668="Selisih bunga",DAY(B3668)=1),0,0.01)+ROW()/10000000,"")</f>
        <v/>
      </c>
    </row>
    <row r="3669" outlineLevel="1" ht="15" customHeight="1" s="94">
      <c r="A3669" s="123">
        <f>IF(B3669="","",ROW()-15)</f>
        <v/>
      </c>
      <c r="B3669" s="124" t="n"/>
      <c r="C3669" s="123" t="n"/>
      <c r="D3669" s="123" t="n"/>
      <c r="E3669" s="123" t="n"/>
      <c r="F3669" s="125" t="n"/>
      <c r="G3669" s="123" t="n"/>
      <c r="H3669" s="123" t="n"/>
      <c r="I3669" s="123" t="n"/>
      <c r="J3669" s="123" t="n"/>
      <c r="K3669" s="123" t="n"/>
      <c r="L3669" s="123" t="n"/>
      <c r="M3669" s="123">
        <f>IF(AND(B3669&lt;&gt;"",OR($C$4="",ISNUMBER(SEARCH($C$4,C3669&amp;" "&amp;E3669&amp;" "&amp;G3669&amp;" "&amp;H3669&amp;" "&amp;I3669&amp;" "&amp;J3669&amp;" "&amp;K3669&amp;" "&amp;L3669))),OR($C$5="Semua",$C$5="",G3669=$C$5),OR($C$6="Semua",$C$6="",H3669=$C$6,H3669="Pengeluaran "&amp;$C$6,AND($C$6="Uang Kos Mama",H3669="Pengeluaran Uang Kos")),OR($C$7="Semua",$C$7="",I3669=$C$7),OR($C$8="Semua",$C$8="",C3669=$C$8,E3669=$C$8),OR($C$9="Semua",$C$9="",D3669=$C$9),OR($C$10="",B3669&gt;=$C$10),OR($C$11="",B3669&lt;=$C$11),OR($C$12&lt;&gt;"Ya",K3669&lt;&gt;""),OR($C$13="Semua",$C$13="",L3669=$C$13)),"✓","")</f>
        <v/>
      </c>
      <c r="N3669" s="93">
        <f>N(N3668)+IF(M3669="✓",1,0)</f>
        <v/>
      </c>
      <c r="O3669" s="93">
        <f>N(O3668)+IF(AND(B3669&lt;&gt;"",B3669&gt;='Uang Riba'!$H$30,B3669&lt;='Uang Riba'!$I$30,OR(H3669="Dana riba",H3669="Pinjam uang riba",I3669="Pinjam dari uang riba",I3669="Ganti uang riba",I3669="Kelebihan ganti dikembalikan",AND(C3669="Kantong Uang Riba",G3669="Pengeluaran"))),1,0)</f>
        <v/>
      </c>
      <c r="X3669" s="93">
        <f>IF(AND(B3669&lt;&gt;"",B3669&gt;='Buku Akun'!$H$4,B3669&lt;='Buku Akun'!$H$5,OR(C3669='Buku Akun'!$C$4,AND(D3669="Pindah",E3669='Buku Akun'!$C$4))),B3669+IF(AND(I3669="Selisih bunga",DAY(B3669)=1),0,0.01)+ROW()/10000000,"")</f>
        <v/>
      </c>
    </row>
    <row r="3670" outlineLevel="1" ht="15" customHeight="1" s="94">
      <c r="A3670" s="123">
        <f>IF(B3670="","",ROW()-15)</f>
        <v/>
      </c>
      <c r="B3670" s="124" t="n"/>
      <c r="C3670" s="123" t="n"/>
      <c r="D3670" s="123" t="n"/>
      <c r="E3670" s="123" t="n"/>
      <c r="F3670" s="125" t="n"/>
      <c r="G3670" s="123" t="n"/>
      <c r="H3670" s="123" t="n"/>
      <c r="I3670" s="123" t="n"/>
      <c r="J3670" s="123" t="n"/>
      <c r="K3670" s="123" t="n"/>
      <c r="L3670" s="123" t="n"/>
      <c r="M3670" s="123">
        <f>IF(AND(B3670&lt;&gt;"",OR($C$4="",ISNUMBER(SEARCH($C$4,C3670&amp;" "&amp;E3670&amp;" "&amp;G3670&amp;" "&amp;H3670&amp;" "&amp;I3670&amp;" "&amp;J3670&amp;" "&amp;K3670&amp;" "&amp;L3670))),OR($C$5="Semua",$C$5="",G3670=$C$5),OR($C$6="Semua",$C$6="",H3670=$C$6,H3670="Pengeluaran "&amp;$C$6,AND($C$6="Uang Kos Mama",H3670="Pengeluaran Uang Kos")),OR($C$7="Semua",$C$7="",I3670=$C$7),OR($C$8="Semua",$C$8="",C3670=$C$8,E3670=$C$8),OR($C$9="Semua",$C$9="",D3670=$C$9),OR($C$10="",B3670&gt;=$C$10),OR($C$11="",B3670&lt;=$C$11),OR($C$12&lt;&gt;"Ya",K3670&lt;&gt;""),OR($C$13="Semua",$C$13="",L3670=$C$13)),"✓","")</f>
        <v/>
      </c>
      <c r="N3670" s="93">
        <f>N(N3669)+IF(M3670="✓",1,0)</f>
        <v/>
      </c>
      <c r="O3670" s="93">
        <f>N(O3669)+IF(AND(B3670&lt;&gt;"",B3670&gt;='Uang Riba'!$H$30,B3670&lt;='Uang Riba'!$I$30,OR(H3670="Dana riba",H3670="Pinjam uang riba",I3670="Pinjam dari uang riba",I3670="Ganti uang riba",I3670="Kelebihan ganti dikembalikan",AND(C3670="Kantong Uang Riba",G3670="Pengeluaran"))),1,0)</f>
        <v/>
      </c>
      <c r="X3670" s="93">
        <f>IF(AND(B3670&lt;&gt;"",B3670&gt;='Buku Akun'!$H$4,B3670&lt;='Buku Akun'!$H$5,OR(C3670='Buku Akun'!$C$4,AND(D3670="Pindah",E3670='Buku Akun'!$C$4))),B3670+IF(AND(I3670="Selisih bunga",DAY(B3670)=1),0,0.01)+ROW()/10000000,"")</f>
        <v/>
      </c>
    </row>
    <row r="3671" outlineLevel="1" ht="15" customHeight="1" s="94">
      <c r="A3671" s="123">
        <f>IF(B3671="","",ROW()-15)</f>
        <v/>
      </c>
      <c r="B3671" s="124" t="n"/>
      <c r="C3671" s="123" t="n"/>
      <c r="D3671" s="123" t="n"/>
      <c r="E3671" s="123" t="n"/>
      <c r="F3671" s="125" t="n"/>
      <c r="G3671" s="123" t="n"/>
      <c r="H3671" s="123" t="n"/>
      <c r="I3671" s="123" t="n"/>
      <c r="J3671" s="123" t="n"/>
      <c r="K3671" s="123" t="n"/>
      <c r="L3671" s="123" t="n"/>
      <c r="M3671" s="123">
        <f>IF(AND(B3671&lt;&gt;"",OR($C$4="",ISNUMBER(SEARCH($C$4,C3671&amp;" "&amp;E3671&amp;" "&amp;G3671&amp;" "&amp;H3671&amp;" "&amp;I3671&amp;" "&amp;J3671&amp;" "&amp;K3671&amp;" "&amp;L3671))),OR($C$5="Semua",$C$5="",G3671=$C$5),OR($C$6="Semua",$C$6="",H3671=$C$6,H3671="Pengeluaran "&amp;$C$6,AND($C$6="Uang Kos Mama",H3671="Pengeluaran Uang Kos")),OR($C$7="Semua",$C$7="",I3671=$C$7),OR($C$8="Semua",$C$8="",C3671=$C$8,E3671=$C$8),OR($C$9="Semua",$C$9="",D3671=$C$9),OR($C$10="",B3671&gt;=$C$10),OR($C$11="",B3671&lt;=$C$11),OR($C$12&lt;&gt;"Ya",K3671&lt;&gt;""),OR($C$13="Semua",$C$13="",L3671=$C$13)),"✓","")</f>
        <v/>
      </c>
      <c r="N3671" s="93">
        <f>N(N3670)+IF(M3671="✓",1,0)</f>
        <v/>
      </c>
      <c r="O3671" s="93">
        <f>N(O3670)+IF(AND(B3671&lt;&gt;"",B3671&gt;='Uang Riba'!$H$30,B3671&lt;='Uang Riba'!$I$30,OR(H3671="Dana riba",H3671="Pinjam uang riba",I3671="Pinjam dari uang riba",I3671="Ganti uang riba",I3671="Kelebihan ganti dikembalikan",AND(C3671="Kantong Uang Riba",G3671="Pengeluaran"))),1,0)</f>
        <v/>
      </c>
      <c r="X3671" s="93">
        <f>IF(AND(B3671&lt;&gt;"",B3671&gt;='Buku Akun'!$H$4,B3671&lt;='Buku Akun'!$H$5,OR(C3671='Buku Akun'!$C$4,AND(D3671="Pindah",E3671='Buku Akun'!$C$4))),B3671+IF(AND(I3671="Selisih bunga",DAY(B3671)=1),0,0.01)+ROW()/10000000,"")</f>
        <v/>
      </c>
    </row>
    <row r="3672" outlineLevel="1" ht="15" customHeight="1" s="94">
      <c r="A3672" s="123">
        <f>IF(B3672="","",ROW()-15)</f>
        <v/>
      </c>
      <c r="B3672" s="124" t="n"/>
      <c r="C3672" s="123" t="n"/>
      <c r="D3672" s="123" t="n"/>
      <c r="E3672" s="123" t="n"/>
      <c r="F3672" s="125" t="n"/>
      <c r="G3672" s="123" t="n"/>
      <c r="H3672" s="123" t="n"/>
      <c r="I3672" s="123" t="n"/>
      <c r="J3672" s="123" t="n"/>
      <c r="K3672" s="123" t="n"/>
      <c r="L3672" s="123" t="n"/>
      <c r="M3672" s="123">
        <f>IF(AND(B3672&lt;&gt;"",OR($C$4="",ISNUMBER(SEARCH($C$4,C3672&amp;" "&amp;E3672&amp;" "&amp;G3672&amp;" "&amp;H3672&amp;" "&amp;I3672&amp;" "&amp;J3672&amp;" "&amp;K3672&amp;" "&amp;L3672))),OR($C$5="Semua",$C$5="",G3672=$C$5),OR($C$6="Semua",$C$6="",H3672=$C$6,H3672="Pengeluaran "&amp;$C$6,AND($C$6="Uang Kos Mama",H3672="Pengeluaran Uang Kos")),OR($C$7="Semua",$C$7="",I3672=$C$7),OR($C$8="Semua",$C$8="",C3672=$C$8,E3672=$C$8),OR($C$9="Semua",$C$9="",D3672=$C$9),OR($C$10="",B3672&gt;=$C$10),OR($C$11="",B3672&lt;=$C$11),OR($C$12&lt;&gt;"Ya",K3672&lt;&gt;""),OR($C$13="Semua",$C$13="",L3672=$C$13)),"✓","")</f>
        <v/>
      </c>
      <c r="N3672" s="93">
        <f>N(N3671)+IF(M3672="✓",1,0)</f>
        <v/>
      </c>
      <c r="O3672" s="93">
        <f>N(O3671)+IF(AND(B3672&lt;&gt;"",B3672&gt;='Uang Riba'!$H$30,B3672&lt;='Uang Riba'!$I$30,OR(H3672="Dana riba",H3672="Pinjam uang riba",I3672="Pinjam dari uang riba",I3672="Ganti uang riba",I3672="Kelebihan ganti dikembalikan",AND(C3672="Kantong Uang Riba",G3672="Pengeluaran"))),1,0)</f>
        <v/>
      </c>
      <c r="X3672" s="93">
        <f>IF(AND(B3672&lt;&gt;"",B3672&gt;='Buku Akun'!$H$4,B3672&lt;='Buku Akun'!$H$5,OR(C3672='Buku Akun'!$C$4,AND(D3672="Pindah",E3672='Buku Akun'!$C$4))),B3672+IF(AND(I3672="Selisih bunga",DAY(B3672)=1),0,0.01)+ROW()/10000000,"")</f>
        <v/>
      </c>
    </row>
    <row r="3673" outlineLevel="1" ht="15" customHeight="1" s="94">
      <c r="A3673" s="123">
        <f>IF(B3673="","",ROW()-15)</f>
        <v/>
      </c>
      <c r="B3673" s="124" t="n"/>
      <c r="C3673" s="123" t="n"/>
      <c r="D3673" s="123" t="n"/>
      <c r="E3673" s="123" t="n"/>
      <c r="F3673" s="125" t="n"/>
      <c r="G3673" s="123" t="n"/>
      <c r="H3673" s="123" t="n"/>
      <c r="I3673" s="123" t="n"/>
      <c r="J3673" s="123" t="n"/>
      <c r="K3673" s="123" t="n"/>
      <c r="L3673" s="123" t="n"/>
      <c r="M3673" s="123">
        <f>IF(AND(B3673&lt;&gt;"",OR($C$4="",ISNUMBER(SEARCH($C$4,C3673&amp;" "&amp;E3673&amp;" "&amp;G3673&amp;" "&amp;H3673&amp;" "&amp;I3673&amp;" "&amp;J3673&amp;" "&amp;K3673&amp;" "&amp;L3673))),OR($C$5="Semua",$C$5="",G3673=$C$5),OR($C$6="Semua",$C$6="",H3673=$C$6,H3673="Pengeluaran "&amp;$C$6,AND($C$6="Uang Kos Mama",H3673="Pengeluaran Uang Kos")),OR($C$7="Semua",$C$7="",I3673=$C$7),OR($C$8="Semua",$C$8="",C3673=$C$8,E3673=$C$8),OR($C$9="Semua",$C$9="",D3673=$C$9),OR($C$10="",B3673&gt;=$C$10),OR($C$11="",B3673&lt;=$C$11),OR($C$12&lt;&gt;"Ya",K3673&lt;&gt;""),OR($C$13="Semua",$C$13="",L3673=$C$13)),"✓","")</f>
        <v/>
      </c>
      <c r="N3673" s="93">
        <f>N(N3672)+IF(M3673="✓",1,0)</f>
        <v/>
      </c>
      <c r="O3673" s="93">
        <f>N(O3672)+IF(AND(B3673&lt;&gt;"",B3673&gt;='Uang Riba'!$H$30,B3673&lt;='Uang Riba'!$I$30,OR(H3673="Dana riba",H3673="Pinjam uang riba",I3673="Pinjam dari uang riba",I3673="Ganti uang riba",I3673="Kelebihan ganti dikembalikan",AND(C3673="Kantong Uang Riba",G3673="Pengeluaran"))),1,0)</f>
        <v/>
      </c>
      <c r="X3673" s="93">
        <f>IF(AND(B3673&lt;&gt;"",B3673&gt;='Buku Akun'!$H$4,B3673&lt;='Buku Akun'!$H$5,OR(C3673='Buku Akun'!$C$4,AND(D3673="Pindah",E3673='Buku Akun'!$C$4))),B3673+IF(AND(I3673="Selisih bunga",DAY(B3673)=1),0,0.01)+ROW()/10000000,"")</f>
        <v/>
      </c>
    </row>
    <row r="3674" outlineLevel="1" ht="15" customHeight="1" s="94">
      <c r="A3674" s="123">
        <f>IF(B3674="","",ROW()-15)</f>
        <v/>
      </c>
      <c r="B3674" s="124" t="n"/>
      <c r="C3674" s="123" t="n"/>
      <c r="D3674" s="123" t="n"/>
      <c r="E3674" s="123" t="n"/>
      <c r="F3674" s="125" t="n"/>
      <c r="G3674" s="123" t="n"/>
      <c r="H3674" s="123" t="n"/>
      <c r="I3674" s="123" t="n"/>
      <c r="J3674" s="123" t="n"/>
      <c r="K3674" s="123" t="n"/>
      <c r="L3674" s="123" t="n"/>
      <c r="M3674" s="123">
        <f>IF(AND(B3674&lt;&gt;"",OR($C$4="",ISNUMBER(SEARCH($C$4,C3674&amp;" "&amp;E3674&amp;" "&amp;G3674&amp;" "&amp;H3674&amp;" "&amp;I3674&amp;" "&amp;J3674&amp;" "&amp;K3674&amp;" "&amp;L3674))),OR($C$5="Semua",$C$5="",G3674=$C$5),OR($C$6="Semua",$C$6="",H3674=$C$6,H3674="Pengeluaran "&amp;$C$6,AND($C$6="Uang Kos Mama",H3674="Pengeluaran Uang Kos")),OR($C$7="Semua",$C$7="",I3674=$C$7),OR($C$8="Semua",$C$8="",C3674=$C$8,E3674=$C$8),OR($C$9="Semua",$C$9="",D3674=$C$9),OR($C$10="",B3674&gt;=$C$10),OR($C$11="",B3674&lt;=$C$11),OR($C$12&lt;&gt;"Ya",K3674&lt;&gt;""),OR($C$13="Semua",$C$13="",L3674=$C$13)),"✓","")</f>
        <v/>
      </c>
      <c r="N3674" s="93">
        <f>N(N3673)+IF(M3674="✓",1,0)</f>
        <v/>
      </c>
      <c r="O3674" s="93">
        <f>N(O3673)+IF(AND(B3674&lt;&gt;"",B3674&gt;='Uang Riba'!$H$30,B3674&lt;='Uang Riba'!$I$30,OR(H3674="Dana riba",H3674="Pinjam uang riba",I3674="Pinjam dari uang riba",I3674="Ganti uang riba",I3674="Kelebihan ganti dikembalikan",AND(C3674="Kantong Uang Riba",G3674="Pengeluaran"))),1,0)</f>
        <v/>
      </c>
      <c r="X3674" s="93">
        <f>IF(AND(B3674&lt;&gt;"",B3674&gt;='Buku Akun'!$H$4,B3674&lt;='Buku Akun'!$H$5,OR(C3674='Buku Akun'!$C$4,AND(D3674="Pindah",E3674='Buku Akun'!$C$4))),B3674+IF(AND(I3674="Selisih bunga",DAY(B3674)=1),0,0.01)+ROW()/10000000,"")</f>
        <v/>
      </c>
    </row>
    <row r="3675" outlineLevel="1" ht="15" customHeight="1" s="94">
      <c r="A3675" s="123">
        <f>IF(B3675="","",ROW()-15)</f>
        <v/>
      </c>
      <c r="B3675" s="124" t="n"/>
      <c r="C3675" s="123" t="n"/>
      <c r="D3675" s="123" t="n"/>
      <c r="E3675" s="123" t="n"/>
      <c r="F3675" s="125" t="n"/>
      <c r="G3675" s="123" t="n"/>
      <c r="H3675" s="123" t="n"/>
      <c r="I3675" s="123" t="n"/>
      <c r="J3675" s="123" t="n"/>
      <c r="K3675" s="123" t="n"/>
      <c r="L3675" s="123" t="n"/>
      <c r="M3675" s="123">
        <f>IF(AND(B3675&lt;&gt;"",OR($C$4="",ISNUMBER(SEARCH($C$4,C3675&amp;" "&amp;E3675&amp;" "&amp;G3675&amp;" "&amp;H3675&amp;" "&amp;I3675&amp;" "&amp;J3675&amp;" "&amp;K3675&amp;" "&amp;L3675))),OR($C$5="Semua",$C$5="",G3675=$C$5),OR($C$6="Semua",$C$6="",H3675=$C$6,H3675="Pengeluaran "&amp;$C$6,AND($C$6="Uang Kos Mama",H3675="Pengeluaran Uang Kos")),OR($C$7="Semua",$C$7="",I3675=$C$7),OR($C$8="Semua",$C$8="",C3675=$C$8,E3675=$C$8),OR($C$9="Semua",$C$9="",D3675=$C$9),OR($C$10="",B3675&gt;=$C$10),OR($C$11="",B3675&lt;=$C$11),OR($C$12&lt;&gt;"Ya",K3675&lt;&gt;""),OR($C$13="Semua",$C$13="",L3675=$C$13)),"✓","")</f>
        <v/>
      </c>
      <c r="N3675" s="93">
        <f>N(N3674)+IF(M3675="✓",1,0)</f>
        <v/>
      </c>
      <c r="O3675" s="93">
        <f>N(O3674)+IF(AND(B3675&lt;&gt;"",B3675&gt;='Uang Riba'!$H$30,B3675&lt;='Uang Riba'!$I$30,OR(H3675="Dana riba",H3675="Pinjam uang riba",I3675="Pinjam dari uang riba",I3675="Ganti uang riba",I3675="Kelebihan ganti dikembalikan",AND(C3675="Kantong Uang Riba",G3675="Pengeluaran"))),1,0)</f>
        <v/>
      </c>
      <c r="X3675" s="93">
        <f>IF(AND(B3675&lt;&gt;"",B3675&gt;='Buku Akun'!$H$4,B3675&lt;='Buku Akun'!$H$5,OR(C3675='Buku Akun'!$C$4,AND(D3675="Pindah",E3675='Buku Akun'!$C$4))),B3675+IF(AND(I3675="Selisih bunga",DAY(B3675)=1),0,0.01)+ROW()/10000000,"")</f>
        <v/>
      </c>
    </row>
    <row r="3676" outlineLevel="1" ht="15" customHeight="1" s="94">
      <c r="A3676" s="123">
        <f>IF(B3676="","",ROW()-15)</f>
        <v/>
      </c>
      <c r="B3676" s="124" t="n"/>
      <c r="C3676" s="123" t="n"/>
      <c r="D3676" s="123" t="n"/>
      <c r="E3676" s="123" t="n"/>
      <c r="F3676" s="125" t="n"/>
      <c r="G3676" s="123" t="n"/>
      <c r="H3676" s="123" t="n"/>
      <c r="I3676" s="123" t="n"/>
      <c r="J3676" s="123" t="n"/>
      <c r="K3676" s="123" t="n"/>
      <c r="L3676" s="123" t="n"/>
      <c r="M3676" s="123">
        <f>IF(AND(B3676&lt;&gt;"",OR($C$4="",ISNUMBER(SEARCH($C$4,C3676&amp;" "&amp;E3676&amp;" "&amp;G3676&amp;" "&amp;H3676&amp;" "&amp;I3676&amp;" "&amp;J3676&amp;" "&amp;K3676&amp;" "&amp;L3676))),OR($C$5="Semua",$C$5="",G3676=$C$5),OR($C$6="Semua",$C$6="",H3676=$C$6,H3676="Pengeluaran "&amp;$C$6,AND($C$6="Uang Kos Mama",H3676="Pengeluaran Uang Kos")),OR($C$7="Semua",$C$7="",I3676=$C$7),OR($C$8="Semua",$C$8="",C3676=$C$8,E3676=$C$8),OR($C$9="Semua",$C$9="",D3676=$C$9),OR($C$10="",B3676&gt;=$C$10),OR($C$11="",B3676&lt;=$C$11),OR($C$12&lt;&gt;"Ya",K3676&lt;&gt;""),OR($C$13="Semua",$C$13="",L3676=$C$13)),"✓","")</f>
        <v/>
      </c>
      <c r="N3676" s="93">
        <f>N(N3675)+IF(M3676="✓",1,0)</f>
        <v/>
      </c>
      <c r="O3676" s="93">
        <f>N(O3675)+IF(AND(B3676&lt;&gt;"",B3676&gt;='Uang Riba'!$H$30,B3676&lt;='Uang Riba'!$I$30,OR(H3676="Dana riba",H3676="Pinjam uang riba",I3676="Pinjam dari uang riba",I3676="Ganti uang riba",I3676="Kelebihan ganti dikembalikan",AND(C3676="Kantong Uang Riba",G3676="Pengeluaran"))),1,0)</f>
        <v/>
      </c>
      <c r="X3676" s="93">
        <f>IF(AND(B3676&lt;&gt;"",B3676&gt;='Buku Akun'!$H$4,B3676&lt;='Buku Akun'!$H$5,OR(C3676='Buku Akun'!$C$4,AND(D3676="Pindah",E3676='Buku Akun'!$C$4))),B3676+IF(AND(I3676="Selisih bunga",DAY(B3676)=1),0,0.01)+ROW()/10000000,"")</f>
        <v/>
      </c>
    </row>
    <row r="3677" outlineLevel="1" ht="15" customHeight="1" s="94">
      <c r="A3677" s="123">
        <f>IF(B3677="","",ROW()-15)</f>
        <v/>
      </c>
      <c r="B3677" s="124" t="n"/>
      <c r="C3677" s="123" t="n"/>
      <c r="D3677" s="123" t="n"/>
      <c r="E3677" s="123" t="n"/>
      <c r="F3677" s="125" t="n"/>
      <c r="G3677" s="123" t="n"/>
      <c r="H3677" s="123" t="n"/>
      <c r="I3677" s="123" t="n"/>
      <c r="J3677" s="123" t="n"/>
      <c r="K3677" s="123" t="n"/>
      <c r="L3677" s="123" t="n"/>
      <c r="M3677" s="123">
        <f>IF(AND(B3677&lt;&gt;"",OR($C$4="",ISNUMBER(SEARCH($C$4,C3677&amp;" "&amp;E3677&amp;" "&amp;G3677&amp;" "&amp;H3677&amp;" "&amp;I3677&amp;" "&amp;J3677&amp;" "&amp;K3677&amp;" "&amp;L3677))),OR($C$5="Semua",$C$5="",G3677=$C$5),OR($C$6="Semua",$C$6="",H3677=$C$6,H3677="Pengeluaran "&amp;$C$6,AND($C$6="Uang Kos Mama",H3677="Pengeluaran Uang Kos")),OR($C$7="Semua",$C$7="",I3677=$C$7),OR($C$8="Semua",$C$8="",C3677=$C$8,E3677=$C$8),OR($C$9="Semua",$C$9="",D3677=$C$9),OR($C$10="",B3677&gt;=$C$10),OR($C$11="",B3677&lt;=$C$11),OR($C$12&lt;&gt;"Ya",K3677&lt;&gt;""),OR($C$13="Semua",$C$13="",L3677=$C$13)),"✓","")</f>
        <v/>
      </c>
      <c r="N3677" s="93">
        <f>N(N3676)+IF(M3677="✓",1,0)</f>
        <v/>
      </c>
      <c r="O3677" s="93">
        <f>N(O3676)+IF(AND(B3677&lt;&gt;"",B3677&gt;='Uang Riba'!$H$30,B3677&lt;='Uang Riba'!$I$30,OR(H3677="Dana riba",H3677="Pinjam uang riba",I3677="Pinjam dari uang riba",I3677="Ganti uang riba",I3677="Kelebihan ganti dikembalikan",AND(C3677="Kantong Uang Riba",G3677="Pengeluaran"))),1,0)</f>
        <v/>
      </c>
      <c r="X3677" s="93">
        <f>IF(AND(B3677&lt;&gt;"",B3677&gt;='Buku Akun'!$H$4,B3677&lt;='Buku Akun'!$H$5,OR(C3677='Buku Akun'!$C$4,AND(D3677="Pindah",E3677='Buku Akun'!$C$4))),B3677+IF(AND(I3677="Selisih bunga",DAY(B3677)=1),0,0.01)+ROW()/10000000,"")</f>
        <v/>
      </c>
    </row>
    <row r="3678" outlineLevel="1" ht="15" customHeight="1" s="94">
      <c r="A3678" s="123">
        <f>IF(B3678="","",ROW()-15)</f>
        <v/>
      </c>
      <c r="B3678" s="124" t="n"/>
      <c r="C3678" s="123" t="n"/>
      <c r="D3678" s="123" t="n"/>
      <c r="E3678" s="123" t="n"/>
      <c r="F3678" s="125" t="n"/>
      <c r="G3678" s="123" t="n"/>
      <c r="H3678" s="123" t="n"/>
      <c r="I3678" s="123" t="n"/>
      <c r="J3678" s="123" t="n"/>
      <c r="K3678" s="123" t="n"/>
      <c r="L3678" s="123" t="n"/>
      <c r="M3678" s="123">
        <f>IF(AND(B3678&lt;&gt;"",OR($C$4="",ISNUMBER(SEARCH($C$4,C3678&amp;" "&amp;E3678&amp;" "&amp;G3678&amp;" "&amp;H3678&amp;" "&amp;I3678&amp;" "&amp;J3678&amp;" "&amp;K3678&amp;" "&amp;L3678))),OR($C$5="Semua",$C$5="",G3678=$C$5),OR($C$6="Semua",$C$6="",H3678=$C$6,H3678="Pengeluaran "&amp;$C$6,AND($C$6="Uang Kos Mama",H3678="Pengeluaran Uang Kos")),OR($C$7="Semua",$C$7="",I3678=$C$7),OR($C$8="Semua",$C$8="",C3678=$C$8,E3678=$C$8),OR($C$9="Semua",$C$9="",D3678=$C$9),OR($C$10="",B3678&gt;=$C$10),OR($C$11="",B3678&lt;=$C$11),OR($C$12&lt;&gt;"Ya",K3678&lt;&gt;""),OR($C$13="Semua",$C$13="",L3678=$C$13)),"✓","")</f>
        <v/>
      </c>
      <c r="N3678" s="93">
        <f>N(N3677)+IF(M3678="✓",1,0)</f>
        <v/>
      </c>
      <c r="O3678" s="93">
        <f>N(O3677)+IF(AND(B3678&lt;&gt;"",B3678&gt;='Uang Riba'!$H$30,B3678&lt;='Uang Riba'!$I$30,OR(H3678="Dana riba",H3678="Pinjam uang riba",I3678="Pinjam dari uang riba",I3678="Ganti uang riba",I3678="Kelebihan ganti dikembalikan",AND(C3678="Kantong Uang Riba",G3678="Pengeluaran"))),1,0)</f>
        <v/>
      </c>
      <c r="X3678" s="93">
        <f>IF(AND(B3678&lt;&gt;"",B3678&gt;='Buku Akun'!$H$4,B3678&lt;='Buku Akun'!$H$5,OR(C3678='Buku Akun'!$C$4,AND(D3678="Pindah",E3678='Buku Akun'!$C$4))),B3678+IF(AND(I3678="Selisih bunga",DAY(B3678)=1),0,0.01)+ROW()/10000000,"")</f>
        <v/>
      </c>
    </row>
    <row r="3679" outlineLevel="1" ht="15" customHeight="1" s="94">
      <c r="A3679" s="123">
        <f>IF(B3679="","",ROW()-15)</f>
        <v/>
      </c>
      <c r="B3679" s="124" t="n"/>
      <c r="C3679" s="123" t="n"/>
      <c r="D3679" s="123" t="n"/>
      <c r="E3679" s="123" t="n"/>
      <c r="F3679" s="125" t="n"/>
      <c r="G3679" s="123" t="n"/>
      <c r="H3679" s="123" t="n"/>
      <c r="I3679" s="123" t="n"/>
      <c r="J3679" s="123" t="n"/>
      <c r="K3679" s="123" t="n"/>
      <c r="L3679" s="123" t="n"/>
      <c r="M3679" s="123">
        <f>IF(AND(B3679&lt;&gt;"",OR($C$4="",ISNUMBER(SEARCH($C$4,C3679&amp;" "&amp;E3679&amp;" "&amp;G3679&amp;" "&amp;H3679&amp;" "&amp;I3679&amp;" "&amp;J3679&amp;" "&amp;K3679&amp;" "&amp;L3679))),OR($C$5="Semua",$C$5="",G3679=$C$5),OR($C$6="Semua",$C$6="",H3679=$C$6,H3679="Pengeluaran "&amp;$C$6,AND($C$6="Uang Kos Mama",H3679="Pengeluaran Uang Kos")),OR($C$7="Semua",$C$7="",I3679=$C$7),OR($C$8="Semua",$C$8="",C3679=$C$8,E3679=$C$8),OR($C$9="Semua",$C$9="",D3679=$C$9),OR($C$10="",B3679&gt;=$C$10),OR($C$11="",B3679&lt;=$C$11),OR($C$12&lt;&gt;"Ya",K3679&lt;&gt;""),OR($C$13="Semua",$C$13="",L3679=$C$13)),"✓","")</f>
        <v/>
      </c>
      <c r="N3679" s="93">
        <f>N(N3678)+IF(M3679="✓",1,0)</f>
        <v/>
      </c>
      <c r="O3679" s="93">
        <f>N(O3678)+IF(AND(B3679&lt;&gt;"",B3679&gt;='Uang Riba'!$H$30,B3679&lt;='Uang Riba'!$I$30,OR(H3679="Dana riba",H3679="Pinjam uang riba",I3679="Pinjam dari uang riba",I3679="Ganti uang riba",I3679="Kelebihan ganti dikembalikan",AND(C3679="Kantong Uang Riba",G3679="Pengeluaran"))),1,0)</f>
        <v/>
      </c>
      <c r="X3679" s="93">
        <f>IF(AND(B3679&lt;&gt;"",B3679&gt;='Buku Akun'!$H$4,B3679&lt;='Buku Akun'!$H$5,OR(C3679='Buku Akun'!$C$4,AND(D3679="Pindah",E3679='Buku Akun'!$C$4))),B3679+IF(AND(I3679="Selisih bunga",DAY(B3679)=1),0,0.01)+ROW()/10000000,"")</f>
        <v/>
      </c>
    </row>
    <row r="3680" outlineLevel="1" ht="15" customHeight="1" s="94">
      <c r="A3680" s="123">
        <f>IF(B3680="","",ROW()-15)</f>
        <v/>
      </c>
      <c r="B3680" s="124" t="n"/>
      <c r="C3680" s="123" t="n"/>
      <c r="D3680" s="123" t="n"/>
      <c r="E3680" s="123" t="n"/>
      <c r="F3680" s="125" t="n"/>
      <c r="G3680" s="123" t="n"/>
      <c r="H3680" s="123" t="n"/>
      <c r="I3680" s="123" t="n"/>
      <c r="J3680" s="123" t="n"/>
      <c r="K3680" s="123" t="n"/>
      <c r="L3680" s="123" t="n"/>
      <c r="M3680" s="123">
        <f>IF(AND(B3680&lt;&gt;"",OR($C$4="",ISNUMBER(SEARCH($C$4,C3680&amp;" "&amp;E3680&amp;" "&amp;G3680&amp;" "&amp;H3680&amp;" "&amp;I3680&amp;" "&amp;J3680&amp;" "&amp;K3680&amp;" "&amp;L3680))),OR($C$5="Semua",$C$5="",G3680=$C$5),OR($C$6="Semua",$C$6="",H3680=$C$6,H3680="Pengeluaran "&amp;$C$6,AND($C$6="Uang Kos Mama",H3680="Pengeluaran Uang Kos")),OR($C$7="Semua",$C$7="",I3680=$C$7),OR($C$8="Semua",$C$8="",C3680=$C$8,E3680=$C$8),OR($C$9="Semua",$C$9="",D3680=$C$9),OR($C$10="",B3680&gt;=$C$10),OR($C$11="",B3680&lt;=$C$11),OR($C$12&lt;&gt;"Ya",K3680&lt;&gt;""),OR($C$13="Semua",$C$13="",L3680=$C$13)),"✓","")</f>
        <v/>
      </c>
      <c r="N3680" s="93">
        <f>N(N3679)+IF(M3680="✓",1,0)</f>
        <v/>
      </c>
      <c r="O3680" s="93">
        <f>N(O3679)+IF(AND(B3680&lt;&gt;"",B3680&gt;='Uang Riba'!$H$30,B3680&lt;='Uang Riba'!$I$30,OR(H3680="Dana riba",H3680="Pinjam uang riba",I3680="Pinjam dari uang riba",I3680="Ganti uang riba",I3680="Kelebihan ganti dikembalikan",AND(C3680="Kantong Uang Riba",G3680="Pengeluaran"))),1,0)</f>
        <v/>
      </c>
      <c r="X3680" s="93">
        <f>IF(AND(B3680&lt;&gt;"",B3680&gt;='Buku Akun'!$H$4,B3680&lt;='Buku Akun'!$H$5,OR(C3680='Buku Akun'!$C$4,AND(D3680="Pindah",E3680='Buku Akun'!$C$4))),B3680+IF(AND(I3680="Selisih bunga",DAY(B3680)=1),0,0.01)+ROW()/10000000,"")</f>
        <v/>
      </c>
    </row>
    <row r="3681" outlineLevel="1" ht="15" customHeight="1" s="94">
      <c r="A3681" s="123">
        <f>IF(B3681="","",ROW()-15)</f>
        <v/>
      </c>
      <c r="B3681" s="124" t="n"/>
      <c r="C3681" s="123" t="n"/>
      <c r="D3681" s="123" t="n"/>
      <c r="E3681" s="123" t="n"/>
      <c r="F3681" s="125" t="n"/>
      <c r="G3681" s="123" t="n"/>
      <c r="H3681" s="123" t="n"/>
      <c r="I3681" s="123" t="n"/>
      <c r="J3681" s="123" t="n"/>
      <c r="K3681" s="123" t="n"/>
      <c r="L3681" s="123" t="n"/>
      <c r="M3681" s="123">
        <f>IF(AND(B3681&lt;&gt;"",OR($C$4="",ISNUMBER(SEARCH($C$4,C3681&amp;" "&amp;E3681&amp;" "&amp;G3681&amp;" "&amp;H3681&amp;" "&amp;I3681&amp;" "&amp;J3681&amp;" "&amp;K3681&amp;" "&amp;L3681))),OR($C$5="Semua",$C$5="",G3681=$C$5),OR($C$6="Semua",$C$6="",H3681=$C$6,H3681="Pengeluaran "&amp;$C$6,AND($C$6="Uang Kos Mama",H3681="Pengeluaran Uang Kos")),OR($C$7="Semua",$C$7="",I3681=$C$7),OR($C$8="Semua",$C$8="",C3681=$C$8,E3681=$C$8),OR($C$9="Semua",$C$9="",D3681=$C$9),OR($C$10="",B3681&gt;=$C$10),OR($C$11="",B3681&lt;=$C$11),OR($C$12&lt;&gt;"Ya",K3681&lt;&gt;""),OR($C$13="Semua",$C$13="",L3681=$C$13)),"✓","")</f>
        <v/>
      </c>
      <c r="N3681" s="93">
        <f>N(N3680)+IF(M3681="✓",1,0)</f>
        <v/>
      </c>
      <c r="O3681" s="93">
        <f>N(O3680)+IF(AND(B3681&lt;&gt;"",B3681&gt;='Uang Riba'!$H$30,B3681&lt;='Uang Riba'!$I$30,OR(H3681="Dana riba",H3681="Pinjam uang riba",I3681="Pinjam dari uang riba",I3681="Ganti uang riba",I3681="Kelebihan ganti dikembalikan",AND(C3681="Kantong Uang Riba",G3681="Pengeluaran"))),1,0)</f>
        <v/>
      </c>
      <c r="X3681" s="93">
        <f>IF(AND(B3681&lt;&gt;"",B3681&gt;='Buku Akun'!$H$4,B3681&lt;='Buku Akun'!$H$5,OR(C3681='Buku Akun'!$C$4,AND(D3681="Pindah",E3681='Buku Akun'!$C$4))),B3681+IF(AND(I3681="Selisih bunga",DAY(B3681)=1),0,0.01)+ROW()/10000000,"")</f>
        <v/>
      </c>
    </row>
    <row r="3682" outlineLevel="1" ht="15" customHeight="1" s="94">
      <c r="A3682" s="123">
        <f>IF(B3682="","",ROW()-15)</f>
        <v/>
      </c>
      <c r="B3682" s="124" t="n"/>
      <c r="C3682" s="123" t="n"/>
      <c r="D3682" s="123" t="n"/>
      <c r="E3682" s="123" t="n"/>
      <c r="F3682" s="125" t="n"/>
      <c r="G3682" s="123" t="n"/>
      <c r="H3682" s="123" t="n"/>
      <c r="I3682" s="123" t="n"/>
      <c r="J3682" s="123" t="n"/>
      <c r="K3682" s="123" t="n"/>
      <c r="L3682" s="123" t="n"/>
      <c r="M3682" s="123">
        <f>IF(AND(B3682&lt;&gt;"",OR($C$4="",ISNUMBER(SEARCH($C$4,C3682&amp;" "&amp;E3682&amp;" "&amp;G3682&amp;" "&amp;H3682&amp;" "&amp;I3682&amp;" "&amp;J3682&amp;" "&amp;K3682&amp;" "&amp;L3682))),OR($C$5="Semua",$C$5="",G3682=$C$5),OR($C$6="Semua",$C$6="",H3682=$C$6,H3682="Pengeluaran "&amp;$C$6,AND($C$6="Uang Kos Mama",H3682="Pengeluaran Uang Kos")),OR($C$7="Semua",$C$7="",I3682=$C$7),OR($C$8="Semua",$C$8="",C3682=$C$8,E3682=$C$8),OR($C$9="Semua",$C$9="",D3682=$C$9),OR($C$10="",B3682&gt;=$C$10),OR($C$11="",B3682&lt;=$C$11),OR($C$12&lt;&gt;"Ya",K3682&lt;&gt;""),OR($C$13="Semua",$C$13="",L3682=$C$13)),"✓","")</f>
        <v/>
      </c>
      <c r="N3682" s="93">
        <f>N(N3681)+IF(M3682="✓",1,0)</f>
        <v/>
      </c>
      <c r="O3682" s="93">
        <f>N(O3681)+IF(AND(B3682&lt;&gt;"",B3682&gt;='Uang Riba'!$H$30,B3682&lt;='Uang Riba'!$I$30,OR(H3682="Dana riba",H3682="Pinjam uang riba",I3682="Pinjam dari uang riba",I3682="Ganti uang riba",I3682="Kelebihan ganti dikembalikan",AND(C3682="Kantong Uang Riba",G3682="Pengeluaran"))),1,0)</f>
        <v/>
      </c>
      <c r="X3682" s="93">
        <f>IF(AND(B3682&lt;&gt;"",B3682&gt;='Buku Akun'!$H$4,B3682&lt;='Buku Akun'!$H$5,OR(C3682='Buku Akun'!$C$4,AND(D3682="Pindah",E3682='Buku Akun'!$C$4))),B3682+IF(AND(I3682="Selisih bunga",DAY(B3682)=1),0,0.01)+ROW()/10000000,"")</f>
        <v/>
      </c>
    </row>
    <row r="3683" outlineLevel="1" ht="15" customHeight="1" s="94">
      <c r="A3683" s="123">
        <f>IF(B3683="","",ROW()-15)</f>
        <v/>
      </c>
      <c r="B3683" s="124" t="n"/>
      <c r="C3683" s="123" t="n"/>
      <c r="D3683" s="123" t="n"/>
      <c r="E3683" s="123" t="n"/>
      <c r="F3683" s="125" t="n"/>
      <c r="G3683" s="123" t="n"/>
      <c r="H3683" s="123" t="n"/>
      <c r="I3683" s="123" t="n"/>
      <c r="J3683" s="123" t="n"/>
      <c r="K3683" s="123" t="n"/>
      <c r="L3683" s="123" t="n"/>
      <c r="M3683" s="123">
        <f>IF(AND(B3683&lt;&gt;"",OR($C$4="",ISNUMBER(SEARCH($C$4,C3683&amp;" "&amp;E3683&amp;" "&amp;G3683&amp;" "&amp;H3683&amp;" "&amp;I3683&amp;" "&amp;J3683&amp;" "&amp;K3683&amp;" "&amp;L3683))),OR($C$5="Semua",$C$5="",G3683=$C$5),OR($C$6="Semua",$C$6="",H3683=$C$6,H3683="Pengeluaran "&amp;$C$6,AND($C$6="Uang Kos Mama",H3683="Pengeluaran Uang Kos")),OR($C$7="Semua",$C$7="",I3683=$C$7),OR($C$8="Semua",$C$8="",C3683=$C$8,E3683=$C$8),OR($C$9="Semua",$C$9="",D3683=$C$9),OR($C$10="",B3683&gt;=$C$10),OR($C$11="",B3683&lt;=$C$11),OR($C$12&lt;&gt;"Ya",K3683&lt;&gt;""),OR($C$13="Semua",$C$13="",L3683=$C$13)),"✓","")</f>
        <v/>
      </c>
      <c r="N3683" s="93">
        <f>N(N3682)+IF(M3683="✓",1,0)</f>
        <v/>
      </c>
      <c r="O3683" s="93">
        <f>N(O3682)+IF(AND(B3683&lt;&gt;"",B3683&gt;='Uang Riba'!$H$30,B3683&lt;='Uang Riba'!$I$30,OR(H3683="Dana riba",H3683="Pinjam uang riba",I3683="Pinjam dari uang riba",I3683="Ganti uang riba",I3683="Kelebihan ganti dikembalikan",AND(C3683="Kantong Uang Riba",G3683="Pengeluaran"))),1,0)</f>
        <v/>
      </c>
      <c r="X3683" s="93">
        <f>IF(AND(B3683&lt;&gt;"",B3683&gt;='Buku Akun'!$H$4,B3683&lt;='Buku Akun'!$H$5,OR(C3683='Buku Akun'!$C$4,AND(D3683="Pindah",E3683='Buku Akun'!$C$4))),B3683+IF(AND(I3683="Selisih bunga",DAY(B3683)=1),0,0.01)+ROW()/10000000,"")</f>
        <v/>
      </c>
    </row>
    <row r="3684" outlineLevel="1" ht="15" customHeight="1" s="94">
      <c r="A3684" s="123">
        <f>IF(B3684="","",ROW()-15)</f>
        <v/>
      </c>
      <c r="B3684" s="124" t="n"/>
      <c r="C3684" s="123" t="n"/>
      <c r="D3684" s="123" t="n"/>
      <c r="E3684" s="123" t="n"/>
      <c r="F3684" s="125" t="n"/>
      <c r="G3684" s="123" t="n"/>
      <c r="H3684" s="123" t="n"/>
      <c r="I3684" s="123" t="n"/>
      <c r="J3684" s="123" t="n"/>
      <c r="K3684" s="123" t="n"/>
      <c r="L3684" s="123" t="n"/>
      <c r="M3684" s="123">
        <f>IF(AND(B3684&lt;&gt;"",OR($C$4="",ISNUMBER(SEARCH($C$4,C3684&amp;" "&amp;E3684&amp;" "&amp;G3684&amp;" "&amp;H3684&amp;" "&amp;I3684&amp;" "&amp;J3684&amp;" "&amp;K3684&amp;" "&amp;L3684))),OR($C$5="Semua",$C$5="",G3684=$C$5),OR($C$6="Semua",$C$6="",H3684=$C$6,H3684="Pengeluaran "&amp;$C$6,AND($C$6="Uang Kos Mama",H3684="Pengeluaran Uang Kos")),OR($C$7="Semua",$C$7="",I3684=$C$7),OR($C$8="Semua",$C$8="",C3684=$C$8,E3684=$C$8),OR($C$9="Semua",$C$9="",D3684=$C$9),OR($C$10="",B3684&gt;=$C$10),OR($C$11="",B3684&lt;=$C$11),OR($C$12&lt;&gt;"Ya",K3684&lt;&gt;""),OR($C$13="Semua",$C$13="",L3684=$C$13)),"✓","")</f>
        <v/>
      </c>
      <c r="N3684" s="93">
        <f>N(N3683)+IF(M3684="✓",1,0)</f>
        <v/>
      </c>
      <c r="O3684" s="93">
        <f>N(O3683)+IF(AND(B3684&lt;&gt;"",B3684&gt;='Uang Riba'!$H$30,B3684&lt;='Uang Riba'!$I$30,OR(H3684="Dana riba",H3684="Pinjam uang riba",I3684="Pinjam dari uang riba",I3684="Ganti uang riba",I3684="Kelebihan ganti dikembalikan",AND(C3684="Kantong Uang Riba",G3684="Pengeluaran"))),1,0)</f>
        <v/>
      </c>
      <c r="X3684" s="93">
        <f>IF(AND(B3684&lt;&gt;"",B3684&gt;='Buku Akun'!$H$4,B3684&lt;='Buku Akun'!$H$5,OR(C3684='Buku Akun'!$C$4,AND(D3684="Pindah",E3684='Buku Akun'!$C$4))),B3684+IF(AND(I3684="Selisih bunga",DAY(B3684)=1),0,0.01)+ROW()/10000000,"")</f>
        <v/>
      </c>
    </row>
    <row r="3685" outlineLevel="1" ht="15" customHeight="1" s="94">
      <c r="A3685" s="123">
        <f>IF(B3685="","",ROW()-15)</f>
        <v/>
      </c>
      <c r="B3685" s="124" t="n"/>
      <c r="C3685" s="123" t="n"/>
      <c r="D3685" s="123" t="n"/>
      <c r="E3685" s="123" t="n"/>
      <c r="F3685" s="125" t="n"/>
      <c r="G3685" s="123" t="n"/>
      <c r="H3685" s="123" t="n"/>
      <c r="I3685" s="123" t="n"/>
      <c r="J3685" s="123" t="n"/>
      <c r="K3685" s="123" t="n"/>
      <c r="L3685" s="123" t="n"/>
      <c r="M3685" s="123">
        <f>IF(AND(B3685&lt;&gt;"",OR($C$4="",ISNUMBER(SEARCH($C$4,C3685&amp;" "&amp;E3685&amp;" "&amp;G3685&amp;" "&amp;H3685&amp;" "&amp;I3685&amp;" "&amp;J3685&amp;" "&amp;K3685&amp;" "&amp;L3685))),OR($C$5="Semua",$C$5="",G3685=$C$5),OR($C$6="Semua",$C$6="",H3685=$C$6,H3685="Pengeluaran "&amp;$C$6,AND($C$6="Uang Kos Mama",H3685="Pengeluaran Uang Kos")),OR($C$7="Semua",$C$7="",I3685=$C$7),OR($C$8="Semua",$C$8="",C3685=$C$8,E3685=$C$8),OR($C$9="Semua",$C$9="",D3685=$C$9),OR($C$10="",B3685&gt;=$C$10),OR($C$11="",B3685&lt;=$C$11),OR($C$12&lt;&gt;"Ya",K3685&lt;&gt;""),OR($C$13="Semua",$C$13="",L3685=$C$13)),"✓","")</f>
        <v/>
      </c>
      <c r="N3685" s="93">
        <f>N(N3684)+IF(M3685="✓",1,0)</f>
        <v/>
      </c>
      <c r="O3685" s="93">
        <f>N(O3684)+IF(AND(B3685&lt;&gt;"",B3685&gt;='Uang Riba'!$H$30,B3685&lt;='Uang Riba'!$I$30,OR(H3685="Dana riba",H3685="Pinjam uang riba",I3685="Pinjam dari uang riba",I3685="Ganti uang riba",I3685="Kelebihan ganti dikembalikan",AND(C3685="Kantong Uang Riba",G3685="Pengeluaran"))),1,0)</f>
        <v/>
      </c>
      <c r="X3685" s="93">
        <f>IF(AND(B3685&lt;&gt;"",B3685&gt;='Buku Akun'!$H$4,B3685&lt;='Buku Akun'!$H$5,OR(C3685='Buku Akun'!$C$4,AND(D3685="Pindah",E3685='Buku Akun'!$C$4))),B3685+IF(AND(I3685="Selisih bunga",DAY(B3685)=1),0,0.01)+ROW()/10000000,"")</f>
        <v/>
      </c>
    </row>
    <row r="3686" outlineLevel="1" ht="15" customHeight="1" s="94">
      <c r="A3686" s="123">
        <f>IF(B3686="","",ROW()-15)</f>
        <v/>
      </c>
      <c r="B3686" s="124" t="n"/>
      <c r="C3686" s="123" t="n"/>
      <c r="D3686" s="123" t="n"/>
      <c r="E3686" s="123" t="n"/>
      <c r="F3686" s="125" t="n"/>
      <c r="G3686" s="123" t="n"/>
      <c r="H3686" s="123" t="n"/>
      <c r="I3686" s="123" t="n"/>
      <c r="J3686" s="123" t="n"/>
      <c r="K3686" s="123" t="n"/>
      <c r="L3686" s="123" t="n"/>
      <c r="M3686" s="123">
        <f>IF(AND(B3686&lt;&gt;"",OR($C$4="",ISNUMBER(SEARCH($C$4,C3686&amp;" "&amp;E3686&amp;" "&amp;G3686&amp;" "&amp;H3686&amp;" "&amp;I3686&amp;" "&amp;J3686&amp;" "&amp;K3686&amp;" "&amp;L3686))),OR($C$5="Semua",$C$5="",G3686=$C$5),OR($C$6="Semua",$C$6="",H3686=$C$6,H3686="Pengeluaran "&amp;$C$6,AND($C$6="Uang Kos Mama",H3686="Pengeluaran Uang Kos")),OR($C$7="Semua",$C$7="",I3686=$C$7),OR($C$8="Semua",$C$8="",C3686=$C$8,E3686=$C$8),OR($C$9="Semua",$C$9="",D3686=$C$9),OR($C$10="",B3686&gt;=$C$10),OR($C$11="",B3686&lt;=$C$11),OR($C$12&lt;&gt;"Ya",K3686&lt;&gt;""),OR($C$13="Semua",$C$13="",L3686=$C$13)),"✓","")</f>
        <v/>
      </c>
      <c r="N3686" s="93">
        <f>N(N3685)+IF(M3686="✓",1,0)</f>
        <v/>
      </c>
      <c r="O3686" s="93">
        <f>N(O3685)+IF(AND(B3686&lt;&gt;"",B3686&gt;='Uang Riba'!$H$30,B3686&lt;='Uang Riba'!$I$30,OR(H3686="Dana riba",H3686="Pinjam uang riba",I3686="Pinjam dari uang riba",I3686="Ganti uang riba",I3686="Kelebihan ganti dikembalikan",AND(C3686="Kantong Uang Riba",G3686="Pengeluaran"))),1,0)</f>
        <v/>
      </c>
      <c r="X3686" s="93">
        <f>IF(AND(B3686&lt;&gt;"",B3686&gt;='Buku Akun'!$H$4,B3686&lt;='Buku Akun'!$H$5,OR(C3686='Buku Akun'!$C$4,AND(D3686="Pindah",E3686='Buku Akun'!$C$4))),B3686+IF(AND(I3686="Selisih bunga",DAY(B3686)=1),0,0.01)+ROW()/10000000,"")</f>
        <v/>
      </c>
    </row>
    <row r="3687" outlineLevel="1" ht="15" customHeight="1" s="94">
      <c r="A3687" s="123">
        <f>IF(B3687="","",ROW()-15)</f>
        <v/>
      </c>
      <c r="B3687" s="124" t="n"/>
      <c r="C3687" s="123" t="n"/>
      <c r="D3687" s="123" t="n"/>
      <c r="E3687" s="123" t="n"/>
      <c r="F3687" s="125" t="n"/>
      <c r="G3687" s="123" t="n"/>
      <c r="H3687" s="123" t="n"/>
      <c r="I3687" s="123" t="n"/>
      <c r="J3687" s="123" t="n"/>
      <c r="K3687" s="123" t="n"/>
      <c r="L3687" s="123" t="n"/>
      <c r="M3687" s="123">
        <f>IF(AND(B3687&lt;&gt;"",OR($C$4="",ISNUMBER(SEARCH($C$4,C3687&amp;" "&amp;E3687&amp;" "&amp;G3687&amp;" "&amp;H3687&amp;" "&amp;I3687&amp;" "&amp;J3687&amp;" "&amp;K3687&amp;" "&amp;L3687))),OR($C$5="Semua",$C$5="",G3687=$C$5),OR($C$6="Semua",$C$6="",H3687=$C$6,H3687="Pengeluaran "&amp;$C$6,AND($C$6="Uang Kos Mama",H3687="Pengeluaran Uang Kos")),OR($C$7="Semua",$C$7="",I3687=$C$7),OR($C$8="Semua",$C$8="",C3687=$C$8,E3687=$C$8),OR($C$9="Semua",$C$9="",D3687=$C$9),OR($C$10="",B3687&gt;=$C$10),OR($C$11="",B3687&lt;=$C$11),OR($C$12&lt;&gt;"Ya",K3687&lt;&gt;""),OR($C$13="Semua",$C$13="",L3687=$C$13)),"✓","")</f>
        <v/>
      </c>
      <c r="N3687" s="93">
        <f>N(N3686)+IF(M3687="✓",1,0)</f>
        <v/>
      </c>
      <c r="O3687" s="93">
        <f>N(O3686)+IF(AND(B3687&lt;&gt;"",B3687&gt;='Uang Riba'!$H$30,B3687&lt;='Uang Riba'!$I$30,OR(H3687="Dana riba",H3687="Pinjam uang riba",I3687="Pinjam dari uang riba",I3687="Ganti uang riba",I3687="Kelebihan ganti dikembalikan",AND(C3687="Kantong Uang Riba",G3687="Pengeluaran"))),1,0)</f>
        <v/>
      </c>
      <c r="X3687" s="93">
        <f>IF(AND(B3687&lt;&gt;"",B3687&gt;='Buku Akun'!$H$4,B3687&lt;='Buku Akun'!$H$5,OR(C3687='Buku Akun'!$C$4,AND(D3687="Pindah",E3687='Buku Akun'!$C$4))),B3687+IF(AND(I3687="Selisih bunga",DAY(B3687)=1),0,0.01)+ROW()/10000000,"")</f>
        <v/>
      </c>
    </row>
    <row r="3688" outlineLevel="1" ht="15" customHeight="1" s="94">
      <c r="A3688" s="123">
        <f>IF(B3688="","",ROW()-15)</f>
        <v/>
      </c>
      <c r="B3688" s="124" t="n"/>
      <c r="C3688" s="123" t="n"/>
      <c r="D3688" s="123" t="n"/>
      <c r="E3688" s="123" t="n"/>
      <c r="F3688" s="125" t="n"/>
      <c r="G3688" s="123" t="n"/>
      <c r="H3688" s="123" t="n"/>
      <c r="I3688" s="123" t="n"/>
      <c r="J3688" s="123" t="n"/>
      <c r="K3688" s="123" t="n"/>
      <c r="L3688" s="123" t="n"/>
      <c r="M3688" s="123">
        <f>IF(AND(B3688&lt;&gt;"",OR($C$4="",ISNUMBER(SEARCH($C$4,C3688&amp;" "&amp;E3688&amp;" "&amp;G3688&amp;" "&amp;H3688&amp;" "&amp;I3688&amp;" "&amp;J3688&amp;" "&amp;K3688&amp;" "&amp;L3688))),OR($C$5="Semua",$C$5="",G3688=$C$5),OR($C$6="Semua",$C$6="",H3688=$C$6,H3688="Pengeluaran "&amp;$C$6,AND($C$6="Uang Kos Mama",H3688="Pengeluaran Uang Kos")),OR($C$7="Semua",$C$7="",I3688=$C$7),OR($C$8="Semua",$C$8="",C3688=$C$8,E3688=$C$8),OR($C$9="Semua",$C$9="",D3688=$C$9),OR($C$10="",B3688&gt;=$C$10),OR($C$11="",B3688&lt;=$C$11),OR($C$12&lt;&gt;"Ya",K3688&lt;&gt;""),OR($C$13="Semua",$C$13="",L3688=$C$13)),"✓","")</f>
        <v/>
      </c>
      <c r="N3688" s="93">
        <f>N(N3687)+IF(M3688="✓",1,0)</f>
        <v/>
      </c>
      <c r="O3688" s="93">
        <f>N(O3687)+IF(AND(B3688&lt;&gt;"",B3688&gt;='Uang Riba'!$H$30,B3688&lt;='Uang Riba'!$I$30,OR(H3688="Dana riba",H3688="Pinjam uang riba",I3688="Pinjam dari uang riba",I3688="Ganti uang riba",I3688="Kelebihan ganti dikembalikan",AND(C3688="Kantong Uang Riba",G3688="Pengeluaran"))),1,0)</f>
        <v/>
      </c>
      <c r="X3688" s="93">
        <f>IF(AND(B3688&lt;&gt;"",B3688&gt;='Buku Akun'!$H$4,B3688&lt;='Buku Akun'!$H$5,OR(C3688='Buku Akun'!$C$4,AND(D3688="Pindah",E3688='Buku Akun'!$C$4))),B3688+IF(AND(I3688="Selisih bunga",DAY(B3688)=1),0,0.01)+ROW()/10000000,"")</f>
        <v/>
      </c>
    </row>
    <row r="3689" outlineLevel="1" ht="15" customHeight="1" s="94">
      <c r="A3689" s="123">
        <f>IF(B3689="","",ROW()-15)</f>
        <v/>
      </c>
      <c r="B3689" s="124" t="n"/>
      <c r="C3689" s="123" t="n"/>
      <c r="D3689" s="123" t="n"/>
      <c r="E3689" s="123" t="n"/>
      <c r="F3689" s="125" t="n"/>
      <c r="G3689" s="123" t="n"/>
      <c r="H3689" s="123" t="n"/>
      <c r="I3689" s="123" t="n"/>
      <c r="J3689" s="123" t="n"/>
      <c r="K3689" s="123" t="n"/>
      <c r="L3689" s="123" t="n"/>
      <c r="M3689" s="123">
        <f>IF(AND(B3689&lt;&gt;"",OR($C$4="",ISNUMBER(SEARCH($C$4,C3689&amp;" "&amp;E3689&amp;" "&amp;G3689&amp;" "&amp;H3689&amp;" "&amp;I3689&amp;" "&amp;J3689&amp;" "&amp;K3689&amp;" "&amp;L3689))),OR($C$5="Semua",$C$5="",G3689=$C$5),OR($C$6="Semua",$C$6="",H3689=$C$6,H3689="Pengeluaran "&amp;$C$6,AND($C$6="Uang Kos Mama",H3689="Pengeluaran Uang Kos")),OR($C$7="Semua",$C$7="",I3689=$C$7),OR($C$8="Semua",$C$8="",C3689=$C$8,E3689=$C$8),OR($C$9="Semua",$C$9="",D3689=$C$9),OR($C$10="",B3689&gt;=$C$10),OR($C$11="",B3689&lt;=$C$11),OR($C$12&lt;&gt;"Ya",K3689&lt;&gt;""),OR($C$13="Semua",$C$13="",L3689=$C$13)),"✓","")</f>
        <v/>
      </c>
      <c r="N3689" s="93">
        <f>N(N3688)+IF(M3689="✓",1,0)</f>
        <v/>
      </c>
      <c r="O3689" s="93">
        <f>N(O3688)+IF(AND(B3689&lt;&gt;"",B3689&gt;='Uang Riba'!$H$30,B3689&lt;='Uang Riba'!$I$30,OR(H3689="Dana riba",H3689="Pinjam uang riba",I3689="Pinjam dari uang riba",I3689="Ganti uang riba",I3689="Kelebihan ganti dikembalikan",AND(C3689="Kantong Uang Riba",G3689="Pengeluaran"))),1,0)</f>
        <v/>
      </c>
      <c r="X3689" s="93">
        <f>IF(AND(B3689&lt;&gt;"",B3689&gt;='Buku Akun'!$H$4,B3689&lt;='Buku Akun'!$H$5,OR(C3689='Buku Akun'!$C$4,AND(D3689="Pindah",E3689='Buku Akun'!$C$4))),B3689+IF(AND(I3689="Selisih bunga",DAY(B3689)=1),0,0.01)+ROW()/10000000,"")</f>
        <v/>
      </c>
    </row>
    <row r="3690" outlineLevel="1" ht="15" customHeight="1" s="94">
      <c r="A3690" s="123">
        <f>IF(B3690="","",ROW()-15)</f>
        <v/>
      </c>
      <c r="B3690" s="124" t="n"/>
      <c r="C3690" s="123" t="n"/>
      <c r="D3690" s="123" t="n"/>
      <c r="E3690" s="123" t="n"/>
      <c r="F3690" s="125" t="n"/>
      <c r="G3690" s="123" t="n"/>
      <c r="H3690" s="123" t="n"/>
      <c r="I3690" s="123" t="n"/>
      <c r="J3690" s="123" t="n"/>
      <c r="K3690" s="123" t="n"/>
      <c r="L3690" s="123" t="n"/>
      <c r="M3690" s="123">
        <f>IF(AND(B3690&lt;&gt;"",OR($C$4="",ISNUMBER(SEARCH($C$4,C3690&amp;" "&amp;E3690&amp;" "&amp;G3690&amp;" "&amp;H3690&amp;" "&amp;I3690&amp;" "&amp;J3690&amp;" "&amp;K3690&amp;" "&amp;L3690))),OR($C$5="Semua",$C$5="",G3690=$C$5),OR($C$6="Semua",$C$6="",H3690=$C$6,H3690="Pengeluaran "&amp;$C$6,AND($C$6="Uang Kos Mama",H3690="Pengeluaran Uang Kos")),OR($C$7="Semua",$C$7="",I3690=$C$7),OR($C$8="Semua",$C$8="",C3690=$C$8,E3690=$C$8),OR($C$9="Semua",$C$9="",D3690=$C$9),OR($C$10="",B3690&gt;=$C$10),OR($C$11="",B3690&lt;=$C$11),OR($C$12&lt;&gt;"Ya",K3690&lt;&gt;""),OR($C$13="Semua",$C$13="",L3690=$C$13)),"✓","")</f>
        <v/>
      </c>
      <c r="N3690" s="93">
        <f>N(N3689)+IF(M3690="✓",1,0)</f>
        <v/>
      </c>
      <c r="O3690" s="93">
        <f>N(O3689)+IF(AND(B3690&lt;&gt;"",B3690&gt;='Uang Riba'!$H$30,B3690&lt;='Uang Riba'!$I$30,OR(H3690="Dana riba",H3690="Pinjam uang riba",I3690="Pinjam dari uang riba",I3690="Ganti uang riba",I3690="Kelebihan ganti dikembalikan",AND(C3690="Kantong Uang Riba",G3690="Pengeluaran"))),1,0)</f>
        <v/>
      </c>
      <c r="X3690" s="93">
        <f>IF(AND(B3690&lt;&gt;"",B3690&gt;='Buku Akun'!$H$4,B3690&lt;='Buku Akun'!$H$5,OR(C3690='Buku Akun'!$C$4,AND(D3690="Pindah",E3690='Buku Akun'!$C$4))),B3690+IF(AND(I3690="Selisih bunga",DAY(B3690)=1),0,0.01)+ROW()/10000000,"")</f>
        <v/>
      </c>
    </row>
    <row r="3691" outlineLevel="1" ht="15" customHeight="1" s="94">
      <c r="A3691" s="123">
        <f>IF(B3691="","",ROW()-15)</f>
        <v/>
      </c>
      <c r="B3691" s="124" t="n"/>
      <c r="C3691" s="123" t="n"/>
      <c r="D3691" s="123" t="n"/>
      <c r="E3691" s="123" t="n"/>
      <c r="F3691" s="125" t="n"/>
      <c r="G3691" s="123" t="n"/>
      <c r="H3691" s="123" t="n"/>
      <c r="I3691" s="123" t="n"/>
      <c r="J3691" s="123" t="n"/>
      <c r="K3691" s="123" t="n"/>
      <c r="L3691" s="123" t="n"/>
      <c r="M3691" s="123">
        <f>IF(AND(B3691&lt;&gt;"",OR($C$4="",ISNUMBER(SEARCH($C$4,C3691&amp;" "&amp;E3691&amp;" "&amp;G3691&amp;" "&amp;H3691&amp;" "&amp;I3691&amp;" "&amp;J3691&amp;" "&amp;K3691&amp;" "&amp;L3691))),OR($C$5="Semua",$C$5="",G3691=$C$5),OR($C$6="Semua",$C$6="",H3691=$C$6,H3691="Pengeluaran "&amp;$C$6,AND($C$6="Uang Kos Mama",H3691="Pengeluaran Uang Kos")),OR($C$7="Semua",$C$7="",I3691=$C$7),OR($C$8="Semua",$C$8="",C3691=$C$8,E3691=$C$8),OR($C$9="Semua",$C$9="",D3691=$C$9),OR($C$10="",B3691&gt;=$C$10),OR($C$11="",B3691&lt;=$C$11),OR($C$12&lt;&gt;"Ya",K3691&lt;&gt;""),OR($C$13="Semua",$C$13="",L3691=$C$13)),"✓","")</f>
        <v/>
      </c>
      <c r="N3691" s="93">
        <f>N(N3690)+IF(M3691="✓",1,0)</f>
        <v/>
      </c>
      <c r="O3691" s="93">
        <f>N(O3690)+IF(AND(B3691&lt;&gt;"",B3691&gt;='Uang Riba'!$H$30,B3691&lt;='Uang Riba'!$I$30,OR(H3691="Dana riba",H3691="Pinjam uang riba",I3691="Pinjam dari uang riba",I3691="Ganti uang riba",I3691="Kelebihan ganti dikembalikan",AND(C3691="Kantong Uang Riba",G3691="Pengeluaran"))),1,0)</f>
        <v/>
      </c>
      <c r="X3691" s="93">
        <f>IF(AND(B3691&lt;&gt;"",B3691&gt;='Buku Akun'!$H$4,B3691&lt;='Buku Akun'!$H$5,OR(C3691='Buku Akun'!$C$4,AND(D3691="Pindah",E3691='Buku Akun'!$C$4))),B3691+IF(AND(I3691="Selisih bunga",DAY(B3691)=1),0,0.01)+ROW()/10000000,"")</f>
        <v/>
      </c>
    </row>
    <row r="3692" outlineLevel="1" ht="15" customHeight="1" s="94">
      <c r="A3692" s="123">
        <f>IF(B3692="","",ROW()-15)</f>
        <v/>
      </c>
      <c r="B3692" s="124" t="n"/>
      <c r="C3692" s="123" t="n"/>
      <c r="D3692" s="123" t="n"/>
      <c r="E3692" s="123" t="n"/>
      <c r="F3692" s="125" t="n"/>
      <c r="G3692" s="123" t="n"/>
      <c r="H3692" s="123" t="n"/>
      <c r="I3692" s="123" t="n"/>
      <c r="J3692" s="123" t="n"/>
      <c r="K3692" s="123" t="n"/>
      <c r="L3692" s="123" t="n"/>
      <c r="M3692" s="123">
        <f>IF(AND(B3692&lt;&gt;"",OR($C$4="",ISNUMBER(SEARCH($C$4,C3692&amp;" "&amp;E3692&amp;" "&amp;G3692&amp;" "&amp;H3692&amp;" "&amp;I3692&amp;" "&amp;J3692&amp;" "&amp;K3692&amp;" "&amp;L3692))),OR($C$5="Semua",$C$5="",G3692=$C$5),OR($C$6="Semua",$C$6="",H3692=$C$6,H3692="Pengeluaran "&amp;$C$6,AND($C$6="Uang Kos Mama",H3692="Pengeluaran Uang Kos")),OR($C$7="Semua",$C$7="",I3692=$C$7),OR($C$8="Semua",$C$8="",C3692=$C$8,E3692=$C$8),OR($C$9="Semua",$C$9="",D3692=$C$9),OR($C$10="",B3692&gt;=$C$10),OR($C$11="",B3692&lt;=$C$11),OR($C$12&lt;&gt;"Ya",K3692&lt;&gt;""),OR($C$13="Semua",$C$13="",L3692=$C$13)),"✓","")</f>
        <v/>
      </c>
      <c r="N3692" s="93">
        <f>N(N3691)+IF(M3692="✓",1,0)</f>
        <v/>
      </c>
      <c r="O3692" s="93">
        <f>N(O3691)+IF(AND(B3692&lt;&gt;"",B3692&gt;='Uang Riba'!$H$30,B3692&lt;='Uang Riba'!$I$30,OR(H3692="Dana riba",H3692="Pinjam uang riba",I3692="Pinjam dari uang riba",I3692="Ganti uang riba",I3692="Kelebihan ganti dikembalikan",AND(C3692="Kantong Uang Riba",G3692="Pengeluaran"))),1,0)</f>
        <v/>
      </c>
      <c r="X3692" s="93">
        <f>IF(AND(B3692&lt;&gt;"",B3692&gt;='Buku Akun'!$H$4,B3692&lt;='Buku Akun'!$H$5,OR(C3692='Buku Akun'!$C$4,AND(D3692="Pindah",E3692='Buku Akun'!$C$4))),B3692+IF(AND(I3692="Selisih bunga",DAY(B3692)=1),0,0.01)+ROW()/10000000,"")</f>
        <v/>
      </c>
    </row>
    <row r="3693" outlineLevel="1" ht="15" customHeight="1" s="94">
      <c r="A3693" s="123">
        <f>IF(B3693="","",ROW()-15)</f>
        <v/>
      </c>
      <c r="B3693" s="124" t="n"/>
      <c r="C3693" s="123" t="n"/>
      <c r="D3693" s="123" t="n"/>
      <c r="E3693" s="123" t="n"/>
      <c r="F3693" s="125" t="n"/>
      <c r="G3693" s="123" t="n"/>
      <c r="H3693" s="123" t="n"/>
      <c r="I3693" s="123" t="n"/>
      <c r="J3693" s="123" t="n"/>
      <c r="K3693" s="123" t="n"/>
      <c r="L3693" s="123" t="n"/>
      <c r="M3693" s="123">
        <f>IF(AND(B3693&lt;&gt;"",OR($C$4="",ISNUMBER(SEARCH($C$4,C3693&amp;" "&amp;E3693&amp;" "&amp;G3693&amp;" "&amp;H3693&amp;" "&amp;I3693&amp;" "&amp;J3693&amp;" "&amp;K3693&amp;" "&amp;L3693))),OR($C$5="Semua",$C$5="",G3693=$C$5),OR($C$6="Semua",$C$6="",H3693=$C$6,H3693="Pengeluaran "&amp;$C$6,AND($C$6="Uang Kos Mama",H3693="Pengeluaran Uang Kos")),OR($C$7="Semua",$C$7="",I3693=$C$7),OR($C$8="Semua",$C$8="",C3693=$C$8,E3693=$C$8),OR($C$9="Semua",$C$9="",D3693=$C$9),OR($C$10="",B3693&gt;=$C$10),OR($C$11="",B3693&lt;=$C$11),OR($C$12&lt;&gt;"Ya",K3693&lt;&gt;""),OR($C$13="Semua",$C$13="",L3693=$C$13)),"✓","")</f>
        <v/>
      </c>
      <c r="N3693" s="93">
        <f>N(N3692)+IF(M3693="✓",1,0)</f>
        <v/>
      </c>
      <c r="O3693" s="93">
        <f>N(O3692)+IF(AND(B3693&lt;&gt;"",B3693&gt;='Uang Riba'!$H$30,B3693&lt;='Uang Riba'!$I$30,OR(H3693="Dana riba",H3693="Pinjam uang riba",I3693="Pinjam dari uang riba",I3693="Ganti uang riba",I3693="Kelebihan ganti dikembalikan",AND(C3693="Kantong Uang Riba",G3693="Pengeluaran"))),1,0)</f>
        <v/>
      </c>
      <c r="X3693" s="93">
        <f>IF(AND(B3693&lt;&gt;"",B3693&gt;='Buku Akun'!$H$4,B3693&lt;='Buku Akun'!$H$5,OR(C3693='Buku Akun'!$C$4,AND(D3693="Pindah",E3693='Buku Akun'!$C$4))),B3693+IF(AND(I3693="Selisih bunga",DAY(B3693)=1),0,0.01)+ROW()/10000000,"")</f>
        <v/>
      </c>
    </row>
    <row r="3694" outlineLevel="1" ht="15" customHeight="1" s="94">
      <c r="A3694" s="123">
        <f>IF(B3694="","",ROW()-15)</f>
        <v/>
      </c>
      <c r="B3694" s="124" t="n"/>
      <c r="C3694" s="123" t="n"/>
      <c r="D3694" s="123" t="n"/>
      <c r="E3694" s="123" t="n"/>
      <c r="F3694" s="125" t="n"/>
      <c r="G3694" s="123" t="n"/>
      <c r="H3694" s="123" t="n"/>
      <c r="I3694" s="123" t="n"/>
      <c r="J3694" s="123" t="n"/>
      <c r="K3694" s="123" t="n"/>
      <c r="L3694" s="123" t="n"/>
      <c r="M3694" s="123">
        <f>IF(AND(B3694&lt;&gt;"",OR($C$4="",ISNUMBER(SEARCH($C$4,C3694&amp;" "&amp;E3694&amp;" "&amp;G3694&amp;" "&amp;H3694&amp;" "&amp;I3694&amp;" "&amp;J3694&amp;" "&amp;K3694&amp;" "&amp;L3694))),OR($C$5="Semua",$C$5="",G3694=$C$5),OR($C$6="Semua",$C$6="",H3694=$C$6,H3694="Pengeluaran "&amp;$C$6,AND($C$6="Uang Kos Mama",H3694="Pengeluaran Uang Kos")),OR($C$7="Semua",$C$7="",I3694=$C$7),OR($C$8="Semua",$C$8="",C3694=$C$8,E3694=$C$8),OR($C$9="Semua",$C$9="",D3694=$C$9),OR($C$10="",B3694&gt;=$C$10),OR($C$11="",B3694&lt;=$C$11),OR($C$12&lt;&gt;"Ya",K3694&lt;&gt;""),OR($C$13="Semua",$C$13="",L3694=$C$13)),"✓","")</f>
        <v/>
      </c>
      <c r="N3694" s="93">
        <f>N(N3693)+IF(M3694="✓",1,0)</f>
        <v/>
      </c>
      <c r="O3694" s="93">
        <f>N(O3693)+IF(AND(B3694&lt;&gt;"",B3694&gt;='Uang Riba'!$H$30,B3694&lt;='Uang Riba'!$I$30,OR(H3694="Dana riba",H3694="Pinjam uang riba",I3694="Pinjam dari uang riba",I3694="Ganti uang riba",I3694="Kelebihan ganti dikembalikan",AND(C3694="Kantong Uang Riba",G3694="Pengeluaran"))),1,0)</f>
        <v/>
      </c>
      <c r="X3694" s="93">
        <f>IF(AND(B3694&lt;&gt;"",B3694&gt;='Buku Akun'!$H$4,B3694&lt;='Buku Akun'!$H$5,OR(C3694='Buku Akun'!$C$4,AND(D3694="Pindah",E3694='Buku Akun'!$C$4))),B3694+IF(AND(I3694="Selisih bunga",DAY(B3694)=1),0,0.01)+ROW()/10000000,"")</f>
        <v/>
      </c>
    </row>
    <row r="3695" outlineLevel="1" ht="15" customHeight="1" s="94">
      <c r="A3695" s="123">
        <f>IF(B3695="","",ROW()-15)</f>
        <v/>
      </c>
      <c r="B3695" s="124" t="n"/>
      <c r="C3695" s="123" t="n"/>
      <c r="D3695" s="123" t="n"/>
      <c r="E3695" s="123" t="n"/>
      <c r="F3695" s="125" t="n"/>
      <c r="G3695" s="123" t="n"/>
      <c r="H3695" s="123" t="n"/>
      <c r="I3695" s="123" t="n"/>
      <c r="J3695" s="123" t="n"/>
      <c r="K3695" s="123" t="n"/>
      <c r="L3695" s="123" t="n"/>
      <c r="M3695" s="123">
        <f>IF(AND(B3695&lt;&gt;"",OR($C$4="",ISNUMBER(SEARCH($C$4,C3695&amp;" "&amp;E3695&amp;" "&amp;G3695&amp;" "&amp;H3695&amp;" "&amp;I3695&amp;" "&amp;J3695&amp;" "&amp;K3695&amp;" "&amp;L3695))),OR($C$5="Semua",$C$5="",G3695=$C$5),OR($C$6="Semua",$C$6="",H3695=$C$6,H3695="Pengeluaran "&amp;$C$6,AND($C$6="Uang Kos Mama",H3695="Pengeluaran Uang Kos")),OR($C$7="Semua",$C$7="",I3695=$C$7),OR($C$8="Semua",$C$8="",C3695=$C$8,E3695=$C$8),OR($C$9="Semua",$C$9="",D3695=$C$9),OR($C$10="",B3695&gt;=$C$10),OR($C$11="",B3695&lt;=$C$11),OR($C$12&lt;&gt;"Ya",K3695&lt;&gt;""),OR($C$13="Semua",$C$13="",L3695=$C$13)),"✓","")</f>
        <v/>
      </c>
      <c r="N3695" s="93">
        <f>N(N3694)+IF(M3695="✓",1,0)</f>
        <v/>
      </c>
      <c r="O3695" s="93">
        <f>N(O3694)+IF(AND(B3695&lt;&gt;"",B3695&gt;='Uang Riba'!$H$30,B3695&lt;='Uang Riba'!$I$30,OR(H3695="Dana riba",H3695="Pinjam uang riba",I3695="Pinjam dari uang riba",I3695="Ganti uang riba",I3695="Kelebihan ganti dikembalikan",AND(C3695="Kantong Uang Riba",G3695="Pengeluaran"))),1,0)</f>
        <v/>
      </c>
      <c r="X3695" s="93">
        <f>IF(AND(B3695&lt;&gt;"",B3695&gt;='Buku Akun'!$H$4,B3695&lt;='Buku Akun'!$H$5,OR(C3695='Buku Akun'!$C$4,AND(D3695="Pindah",E3695='Buku Akun'!$C$4))),B3695+IF(AND(I3695="Selisih bunga",DAY(B3695)=1),0,0.01)+ROW()/10000000,"")</f>
        <v/>
      </c>
    </row>
    <row r="3696" outlineLevel="1" ht="15" customHeight="1" s="94">
      <c r="A3696" s="123">
        <f>IF(B3696="","",ROW()-15)</f>
        <v/>
      </c>
      <c r="B3696" s="124" t="n"/>
      <c r="C3696" s="123" t="n"/>
      <c r="D3696" s="123" t="n"/>
      <c r="E3696" s="123" t="n"/>
      <c r="F3696" s="125" t="n"/>
      <c r="G3696" s="123" t="n"/>
      <c r="H3696" s="123" t="n"/>
      <c r="I3696" s="123" t="n"/>
      <c r="J3696" s="123" t="n"/>
      <c r="K3696" s="123" t="n"/>
      <c r="L3696" s="123" t="n"/>
      <c r="M3696" s="123">
        <f>IF(AND(B3696&lt;&gt;"",OR($C$4="",ISNUMBER(SEARCH($C$4,C3696&amp;" "&amp;E3696&amp;" "&amp;G3696&amp;" "&amp;H3696&amp;" "&amp;I3696&amp;" "&amp;J3696&amp;" "&amp;K3696&amp;" "&amp;L3696))),OR($C$5="Semua",$C$5="",G3696=$C$5),OR($C$6="Semua",$C$6="",H3696=$C$6,H3696="Pengeluaran "&amp;$C$6,AND($C$6="Uang Kos Mama",H3696="Pengeluaran Uang Kos")),OR($C$7="Semua",$C$7="",I3696=$C$7),OR($C$8="Semua",$C$8="",C3696=$C$8,E3696=$C$8),OR($C$9="Semua",$C$9="",D3696=$C$9),OR($C$10="",B3696&gt;=$C$10),OR($C$11="",B3696&lt;=$C$11),OR($C$12&lt;&gt;"Ya",K3696&lt;&gt;""),OR($C$13="Semua",$C$13="",L3696=$C$13)),"✓","")</f>
        <v/>
      </c>
      <c r="N3696" s="93">
        <f>N(N3695)+IF(M3696="✓",1,0)</f>
        <v/>
      </c>
      <c r="O3696" s="93">
        <f>N(O3695)+IF(AND(B3696&lt;&gt;"",B3696&gt;='Uang Riba'!$H$30,B3696&lt;='Uang Riba'!$I$30,OR(H3696="Dana riba",H3696="Pinjam uang riba",I3696="Pinjam dari uang riba",I3696="Ganti uang riba",I3696="Kelebihan ganti dikembalikan",AND(C3696="Kantong Uang Riba",G3696="Pengeluaran"))),1,0)</f>
        <v/>
      </c>
      <c r="X3696" s="93">
        <f>IF(AND(B3696&lt;&gt;"",B3696&gt;='Buku Akun'!$H$4,B3696&lt;='Buku Akun'!$H$5,OR(C3696='Buku Akun'!$C$4,AND(D3696="Pindah",E3696='Buku Akun'!$C$4))),B3696+IF(AND(I3696="Selisih bunga",DAY(B3696)=1),0,0.01)+ROW()/10000000,"")</f>
        <v/>
      </c>
    </row>
    <row r="3697" outlineLevel="1" ht="15" customHeight="1" s="94">
      <c r="A3697" s="123">
        <f>IF(B3697="","",ROW()-15)</f>
        <v/>
      </c>
      <c r="B3697" s="124" t="n"/>
      <c r="C3697" s="123" t="n"/>
      <c r="D3697" s="123" t="n"/>
      <c r="E3697" s="123" t="n"/>
      <c r="F3697" s="125" t="n"/>
      <c r="G3697" s="123" t="n"/>
      <c r="H3697" s="123" t="n"/>
      <c r="I3697" s="123" t="n"/>
      <c r="J3697" s="123" t="n"/>
      <c r="K3697" s="123" t="n"/>
      <c r="L3697" s="123" t="n"/>
      <c r="M3697" s="123">
        <f>IF(AND(B3697&lt;&gt;"",OR($C$4="",ISNUMBER(SEARCH($C$4,C3697&amp;" "&amp;E3697&amp;" "&amp;G3697&amp;" "&amp;H3697&amp;" "&amp;I3697&amp;" "&amp;J3697&amp;" "&amp;K3697&amp;" "&amp;L3697))),OR($C$5="Semua",$C$5="",G3697=$C$5),OR($C$6="Semua",$C$6="",H3697=$C$6,H3697="Pengeluaran "&amp;$C$6,AND($C$6="Uang Kos Mama",H3697="Pengeluaran Uang Kos")),OR($C$7="Semua",$C$7="",I3697=$C$7),OR($C$8="Semua",$C$8="",C3697=$C$8,E3697=$C$8),OR($C$9="Semua",$C$9="",D3697=$C$9),OR($C$10="",B3697&gt;=$C$10),OR($C$11="",B3697&lt;=$C$11),OR($C$12&lt;&gt;"Ya",K3697&lt;&gt;""),OR($C$13="Semua",$C$13="",L3697=$C$13)),"✓","")</f>
        <v/>
      </c>
      <c r="N3697" s="93">
        <f>N(N3696)+IF(M3697="✓",1,0)</f>
        <v/>
      </c>
      <c r="O3697" s="93">
        <f>N(O3696)+IF(AND(B3697&lt;&gt;"",B3697&gt;='Uang Riba'!$H$30,B3697&lt;='Uang Riba'!$I$30,OR(H3697="Dana riba",H3697="Pinjam uang riba",I3697="Pinjam dari uang riba",I3697="Ganti uang riba",I3697="Kelebihan ganti dikembalikan",AND(C3697="Kantong Uang Riba",G3697="Pengeluaran"))),1,0)</f>
        <v/>
      </c>
      <c r="X3697" s="93">
        <f>IF(AND(B3697&lt;&gt;"",B3697&gt;='Buku Akun'!$H$4,B3697&lt;='Buku Akun'!$H$5,OR(C3697='Buku Akun'!$C$4,AND(D3697="Pindah",E3697='Buku Akun'!$C$4))),B3697+IF(AND(I3697="Selisih bunga",DAY(B3697)=1),0,0.01)+ROW()/10000000,"")</f>
        <v/>
      </c>
    </row>
    <row r="3698" outlineLevel="1" ht="15" customHeight="1" s="94">
      <c r="A3698" s="123">
        <f>IF(B3698="","",ROW()-15)</f>
        <v/>
      </c>
      <c r="B3698" s="124" t="n"/>
      <c r="C3698" s="123" t="n"/>
      <c r="D3698" s="123" t="n"/>
      <c r="E3698" s="123" t="n"/>
      <c r="F3698" s="125" t="n"/>
      <c r="G3698" s="123" t="n"/>
      <c r="H3698" s="123" t="n"/>
      <c r="I3698" s="123" t="n"/>
      <c r="J3698" s="123" t="n"/>
      <c r="K3698" s="123" t="n"/>
      <c r="L3698" s="123" t="n"/>
      <c r="M3698" s="123">
        <f>IF(AND(B3698&lt;&gt;"",OR($C$4="",ISNUMBER(SEARCH($C$4,C3698&amp;" "&amp;E3698&amp;" "&amp;G3698&amp;" "&amp;H3698&amp;" "&amp;I3698&amp;" "&amp;J3698&amp;" "&amp;K3698&amp;" "&amp;L3698))),OR($C$5="Semua",$C$5="",G3698=$C$5),OR($C$6="Semua",$C$6="",H3698=$C$6,H3698="Pengeluaran "&amp;$C$6,AND($C$6="Uang Kos Mama",H3698="Pengeluaran Uang Kos")),OR($C$7="Semua",$C$7="",I3698=$C$7),OR($C$8="Semua",$C$8="",C3698=$C$8,E3698=$C$8),OR($C$9="Semua",$C$9="",D3698=$C$9),OR($C$10="",B3698&gt;=$C$10),OR($C$11="",B3698&lt;=$C$11),OR($C$12&lt;&gt;"Ya",K3698&lt;&gt;""),OR($C$13="Semua",$C$13="",L3698=$C$13)),"✓","")</f>
        <v/>
      </c>
      <c r="N3698" s="93">
        <f>N(N3697)+IF(M3698="✓",1,0)</f>
        <v/>
      </c>
      <c r="O3698" s="93">
        <f>N(O3697)+IF(AND(B3698&lt;&gt;"",B3698&gt;='Uang Riba'!$H$30,B3698&lt;='Uang Riba'!$I$30,OR(H3698="Dana riba",H3698="Pinjam uang riba",I3698="Pinjam dari uang riba",I3698="Ganti uang riba",I3698="Kelebihan ganti dikembalikan",AND(C3698="Kantong Uang Riba",G3698="Pengeluaran"))),1,0)</f>
        <v/>
      </c>
      <c r="X3698" s="93">
        <f>IF(AND(B3698&lt;&gt;"",B3698&gt;='Buku Akun'!$H$4,B3698&lt;='Buku Akun'!$H$5,OR(C3698='Buku Akun'!$C$4,AND(D3698="Pindah",E3698='Buku Akun'!$C$4))),B3698+IF(AND(I3698="Selisih bunga",DAY(B3698)=1),0,0.01)+ROW()/10000000,"")</f>
        <v/>
      </c>
    </row>
    <row r="3699" outlineLevel="1" ht="15" customHeight="1" s="94">
      <c r="A3699" s="123">
        <f>IF(B3699="","",ROW()-15)</f>
        <v/>
      </c>
      <c r="B3699" s="124" t="n"/>
      <c r="C3699" s="123" t="n"/>
      <c r="D3699" s="123" t="n"/>
      <c r="E3699" s="123" t="n"/>
      <c r="F3699" s="125" t="n"/>
      <c r="G3699" s="123" t="n"/>
      <c r="H3699" s="123" t="n"/>
      <c r="I3699" s="123" t="n"/>
      <c r="J3699" s="123" t="n"/>
      <c r="K3699" s="123" t="n"/>
      <c r="L3699" s="123" t="n"/>
      <c r="M3699" s="123">
        <f>IF(AND(B3699&lt;&gt;"",OR($C$4="",ISNUMBER(SEARCH($C$4,C3699&amp;" "&amp;E3699&amp;" "&amp;G3699&amp;" "&amp;H3699&amp;" "&amp;I3699&amp;" "&amp;J3699&amp;" "&amp;K3699&amp;" "&amp;L3699))),OR($C$5="Semua",$C$5="",G3699=$C$5),OR($C$6="Semua",$C$6="",H3699=$C$6,H3699="Pengeluaran "&amp;$C$6,AND($C$6="Uang Kos Mama",H3699="Pengeluaran Uang Kos")),OR($C$7="Semua",$C$7="",I3699=$C$7),OR($C$8="Semua",$C$8="",C3699=$C$8,E3699=$C$8),OR($C$9="Semua",$C$9="",D3699=$C$9),OR($C$10="",B3699&gt;=$C$10),OR($C$11="",B3699&lt;=$C$11),OR($C$12&lt;&gt;"Ya",K3699&lt;&gt;""),OR($C$13="Semua",$C$13="",L3699=$C$13)),"✓","")</f>
        <v/>
      </c>
      <c r="N3699" s="93">
        <f>N(N3698)+IF(M3699="✓",1,0)</f>
        <v/>
      </c>
      <c r="O3699" s="93">
        <f>N(O3698)+IF(AND(B3699&lt;&gt;"",B3699&gt;='Uang Riba'!$H$30,B3699&lt;='Uang Riba'!$I$30,OR(H3699="Dana riba",H3699="Pinjam uang riba",I3699="Pinjam dari uang riba",I3699="Ganti uang riba",I3699="Kelebihan ganti dikembalikan",AND(C3699="Kantong Uang Riba",G3699="Pengeluaran"))),1,0)</f>
        <v/>
      </c>
      <c r="X3699" s="93">
        <f>IF(AND(B3699&lt;&gt;"",B3699&gt;='Buku Akun'!$H$4,B3699&lt;='Buku Akun'!$H$5,OR(C3699='Buku Akun'!$C$4,AND(D3699="Pindah",E3699='Buku Akun'!$C$4))),B3699+IF(AND(I3699="Selisih bunga",DAY(B3699)=1),0,0.01)+ROW()/10000000,"")</f>
        <v/>
      </c>
    </row>
    <row r="3700" outlineLevel="1" ht="15" customHeight="1" s="94">
      <c r="A3700" s="123">
        <f>IF(B3700="","",ROW()-15)</f>
        <v/>
      </c>
      <c r="B3700" s="124" t="n"/>
      <c r="C3700" s="123" t="n"/>
      <c r="D3700" s="123" t="n"/>
      <c r="E3700" s="123" t="n"/>
      <c r="F3700" s="125" t="n"/>
      <c r="G3700" s="123" t="n"/>
      <c r="H3700" s="123" t="n"/>
      <c r="I3700" s="123" t="n"/>
      <c r="J3700" s="123" t="n"/>
      <c r="K3700" s="123" t="n"/>
      <c r="L3700" s="123" t="n"/>
      <c r="M3700" s="123">
        <f>IF(AND(B3700&lt;&gt;"",OR($C$4="",ISNUMBER(SEARCH($C$4,C3700&amp;" "&amp;E3700&amp;" "&amp;G3700&amp;" "&amp;H3700&amp;" "&amp;I3700&amp;" "&amp;J3700&amp;" "&amp;K3700&amp;" "&amp;L3700))),OR($C$5="Semua",$C$5="",G3700=$C$5),OR($C$6="Semua",$C$6="",H3700=$C$6,H3700="Pengeluaran "&amp;$C$6,AND($C$6="Uang Kos Mama",H3700="Pengeluaran Uang Kos")),OR($C$7="Semua",$C$7="",I3700=$C$7),OR($C$8="Semua",$C$8="",C3700=$C$8,E3700=$C$8),OR($C$9="Semua",$C$9="",D3700=$C$9),OR($C$10="",B3700&gt;=$C$10),OR($C$11="",B3700&lt;=$C$11),OR($C$12&lt;&gt;"Ya",K3700&lt;&gt;""),OR($C$13="Semua",$C$13="",L3700=$C$13)),"✓","")</f>
        <v/>
      </c>
      <c r="N3700" s="93">
        <f>N(N3699)+IF(M3700="✓",1,0)</f>
        <v/>
      </c>
      <c r="O3700" s="93">
        <f>N(O3699)+IF(AND(B3700&lt;&gt;"",B3700&gt;='Uang Riba'!$H$30,B3700&lt;='Uang Riba'!$I$30,OR(H3700="Dana riba",H3700="Pinjam uang riba",I3700="Pinjam dari uang riba",I3700="Ganti uang riba",I3700="Kelebihan ganti dikembalikan",AND(C3700="Kantong Uang Riba",G3700="Pengeluaran"))),1,0)</f>
        <v/>
      </c>
      <c r="X3700" s="93">
        <f>IF(AND(B3700&lt;&gt;"",B3700&gt;='Buku Akun'!$H$4,B3700&lt;='Buku Akun'!$H$5,OR(C3700='Buku Akun'!$C$4,AND(D3700="Pindah",E3700='Buku Akun'!$C$4))),B3700+IF(AND(I3700="Selisih bunga",DAY(B3700)=1),0,0.01)+ROW()/10000000,"")</f>
        <v/>
      </c>
    </row>
    <row r="3701" outlineLevel="1" ht="15" customHeight="1" s="94">
      <c r="A3701" s="123">
        <f>IF(B3701="","",ROW()-15)</f>
        <v/>
      </c>
      <c r="B3701" s="124" t="n"/>
      <c r="C3701" s="123" t="n"/>
      <c r="D3701" s="123" t="n"/>
      <c r="E3701" s="123" t="n"/>
      <c r="F3701" s="125" t="n"/>
      <c r="G3701" s="123" t="n"/>
      <c r="H3701" s="123" t="n"/>
      <c r="I3701" s="123" t="n"/>
      <c r="J3701" s="123" t="n"/>
      <c r="K3701" s="123" t="n"/>
      <c r="L3701" s="123" t="n"/>
      <c r="M3701" s="123">
        <f>IF(AND(B3701&lt;&gt;"",OR($C$4="",ISNUMBER(SEARCH($C$4,C3701&amp;" "&amp;E3701&amp;" "&amp;G3701&amp;" "&amp;H3701&amp;" "&amp;I3701&amp;" "&amp;J3701&amp;" "&amp;K3701&amp;" "&amp;L3701))),OR($C$5="Semua",$C$5="",G3701=$C$5),OR($C$6="Semua",$C$6="",H3701=$C$6,H3701="Pengeluaran "&amp;$C$6,AND($C$6="Uang Kos Mama",H3701="Pengeluaran Uang Kos")),OR($C$7="Semua",$C$7="",I3701=$C$7),OR($C$8="Semua",$C$8="",C3701=$C$8,E3701=$C$8),OR($C$9="Semua",$C$9="",D3701=$C$9),OR($C$10="",B3701&gt;=$C$10),OR($C$11="",B3701&lt;=$C$11),OR($C$12&lt;&gt;"Ya",K3701&lt;&gt;""),OR($C$13="Semua",$C$13="",L3701=$C$13)),"✓","")</f>
        <v/>
      </c>
      <c r="N3701" s="93">
        <f>N(N3700)+IF(M3701="✓",1,0)</f>
        <v/>
      </c>
      <c r="O3701" s="93">
        <f>N(O3700)+IF(AND(B3701&lt;&gt;"",B3701&gt;='Uang Riba'!$H$30,B3701&lt;='Uang Riba'!$I$30,OR(H3701="Dana riba",H3701="Pinjam uang riba",I3701="Pinjam dari uang riba",I3701="Ganti uang riba",I3701="Kelebihan ganti dikembalikan",AND(C3701="Kantong Uang Riba",G3701="Pengeluaran"))),1,0)</f>
        <v/>
      </c>
      <c r="X3701" s="93">
        <f>IF(AND(B3701&lt;&gt;"",B3701&gt;='Buku Akun'!$H$4,B3701&lt;='Buku Akun'!$H$5,OR(C3701='Buku Akun'!$C$4,AND(D3701="Pindah",E3701='Buku Akun'!$C$4))),B3701+IF(AND(I3701="Selisih bunga",DAY(B3701)=1),0,0.01)+ROW()/10000000,"")</f>
        <v/>
      </c>
    </row>
    <row r="3702" outlineLevel="1" ht="15" customHeight="1" s="94">
      <c r="A3702" s="123">
        <f>IF(B3702="","",ROW()-15)</f>
        <v/>
      </c>
      <c r="B3702" s="124" t="n"/>
      <c r="C3702" s="123" t="n"/>
      <c r="D3702" s="123" t="n"/>
      <c r="E3702" s="123" t="n"/>
      <c r="F3702" s="125" t="n"/>
      <c r="G3702" s="123" t="n"/>
      <c r="H3702" s="123" t="n"/>
      <c r="I3702" s="123" t="n"/>
      <c r="J3702" s="123" t="n"/>
      <c r="K3702" s="123" t="n"/>
      <c r="L3702" s="123" t="n"/>
      <c r="M3702" s="123">
        <f>IF(AND(B3702&lt;&gt;"",OR($C$4="",ISNUMBER(SEARCH($C$4,C3702&amp;" "&amp;E3702&amp;" "&amp;G3702&amp;" "&amp;H3702&amp;" "&amp;I3702&amp;" "&amp;J3702&amp;" "&amp;K3702&amp;" "&amp;L3702))),OR($C$5="Semua",$C$5="",G3702=$C$5),OR($C$6="Semua",$C$6="",H3702=$C$6,H3702="Pengeluaran "&amp;$C$6,AND($C$6="Uang Kos Mama",H3702="Pengeluaran Uang Kos")),OR($C$7="Semua",$C$7="",I3702=$C$7),OR($C$8="Semua",$C$8="",C3702=$C$8,E3702=$C$8),OR($C$9="Semua",$C$9="",D3702=$C$9),OR($C$10="",B3702&gt;=$C$10),OR($C$11="",B3702&lt;=$C$11),OR($C$12&lt;&gt;"Ya",K3702&lt;&gt;""),OR($C$13="Semua",$C$13="",L3702=$C$13)),"✓","")</f>
        <v/>
      </c>
      <c r="N3702" s="93">
        <f>N(N3701)+IF(M3702="✓",1,0)</f>
        <v/>
      </c>
      <c r="O3702" s="93">
        <f>N(O3701)+IF(AND(B3702&lt;&gt;"",B3702&gt;='Uang Riba'!$H$30,B3702&lt;='Uang Riba'!$I$30,OR(H3702="Dana riba",H3702="Pinjam uang riba",I3702="Pinjam dari uang riba",I3702="Ganti uang riba",I3702="Kelebihan ganti dikembalikan",AND(C3702="Kantong Uang Riba",G3702="Pengeluaran"))),1,0)</f>
        <v/>
      </c>
      <c r="X3702" s="93">
        <f>IF(AND(B3702&lt;&gt;"",B3702&gt;='Buku Akun'!$H$4,B3702&lt;='Buku Akun'!$H$5,OR(C3702='Buku Akun'!$C$4,AND(D3702="Pindah",E3702='Buku Akun'!$C$4))),B3702+IF(AND(I3702="Selisih bunga",DAY(B3702)=1),0,0.01)+ROW()/10000000,"")</f>
        <v/>
      </c>
    </row>
    <row r="3703" outlineLevel="1" ht="15" customHeight="1" s="94">
      <c r="A3703" s="123">
        <f>IF(B3703="","",ROW()-15)</f>
        <v/>
      </c>
      <c r="B3703" s="124" t="n"/>
      <c r="C3703" s="123" t="n"/>
      <c r="D3703" s="123" t="n"/>
      <c r="E3703" s="123" t="n"/>
      <c r="F3703" s="125" t="n"/>
      <c r="G3703" s="123" t="n"/>
      <c r="H3703" s="123" t="n"/>
      <c r="I3703" s="123" t="n"/>
      <c r="J3703" s="123" t="n"/>
      <c r="K3703" s="123" t="n"/>
      <c r="L3703" s="123" t="n"/>
      <c r="M3703" s="123">
        <f>IF(AND(B3703&lt;&gt;"",OR($C$4="",ISNUMBER(SEARCH($C$4,C3703&amp;" "&amp;E3703&amp;" "&amp;G3703&amp;" "&amp;H3703&amp;" "&amp;I3703&amp;" "&amp;J3703&amp;" "&amp;K3703&amp;" "&amp;L3703))),OR($C$5="Semua",$C$5="",G3703=$C$5),OR($C$6="Semua",$C$6="",H3703=$C$6,H3703="Pengeluaran "&amp;$C$6,AND($C$6="Uang Kos Mama",H3703="Pengeluaran Uang Kos")),OR($C$7="Semua",$C$7="",I3703=$C$7),OR($C$8="Semua",$C$8="",C3703=$C$8,E3703=$C$8),OR($C$9="Semua",$C$9="",D3703=$C$9),OR($C$10="",B3703&gt;=$C$10),OR($C$11="",B3703&lt;=$C$11),OR($C$12&lt;&gt;"Ya",K3703&lt;&gt;""),OR($C$13="Semua",$C$13="",L3703=$C$13)),"✓","")</f>
        <v/>
      </c>
      <c r="N3703" s="93">
        <f>N(N3702)+IF(M3703="✓",1,0)</f>
        <v/>
      </c>
      <c r="O3703" s="93">
        <f>N(O3702)+IF(AND(B3703&lt;&gt;"",B3703&gt;='Uang Riba'!$H$30,B3703&lt;='Uang Riba'!$I$30,OR(H3703="Dana riba",H3703="Pinjam uang riba",I3703="Pinjam dari uang riba",I3703="Ganti uang riba",I3703="Kelebihan ganti dikembalikan",AND(C3703="Kantong Uang Riba",G3703="Pengeluaran"))),1,0)</f>
        <v/>
      </c>
      <c r="X3703" s="93">
        <f>IF(AND(B3703&lt;&gt;"",B3703&gt;='Buku Akun'!$H$4,B3703&lt;='Buku Akun'!$H$5,OR(C3703='Buku Akun'!$C$4,AND(D3703="Pindah",E3703='Buku Akun'!$C$4))),B3703+IF(AND(I3703="Selisih bunga",DAY(B3703)=1),0,0.01)+ROW()/10000000,"")</f>
        <v/>
      </c>
    </row>
    <row r="3704" outlineLevel="1" ht="15" customHeight="1" s="94">
      <c r="A3704" s="123">
        <f>IF(B3704="","",ROW()-15)</f>
        <v/>
      </c>
      <c r="B3704" s="124" t="n"/>
      <c r="C3704" s="123" t="n"/>
      <c r="D3704" s="123" t="n"/>
      <c r="E3704" s="123" t="n"/>
      <c r="F3704" s="125" t="n"/>
      <c r="G3704" s="123" t="n"/>
      <c r="H3704" s="123" t="n"/>
      <c r="I3704" s="123" t="n"/>
      <c r="J3704" s="123" t="n"/>
      <c r="K3704" s="123" t="n"/>
      <c r="L3704" s="123" t="n"/>
      <c r="M3704" s="123">
        <f>IF(AND(B3704&lt;&gt;"",OR($C$4="",ISNUMBER(SEARCH($C$4,C3704&amp;" "&amp;E3704&amp;" "&amp;G3704&amp;" "&amp;H3704&amp;" "&amp;I3704&amp;" "&amp;J3704&amp;" "&amp;K3704&amp;" "&amp;L3704))),OR($C$5="Semua",$C$5="",G3704=$C$5),OR($C$6="Semua",$C$6="",H3704=$C$6,H3704="Pengeluaran "&amp;$C$6,AND($C$6="Uang Kos Mama",H3704="Pengeluaran Uang Kos")),OR($C$7="Semua",$C$7="",I3704=$C$7),OR($C$8="Semua",$C$8="",C3704=$C$8,E3704=$C$8),OR($C$9="Semua",$C$9="",D3704=$C$9),OR($C$10="",B3704&gt;=$C$10),OR($C$11="",B3704&lt;=$C$11),OR($C$12&lt;&gt;"Ya",K3704&lt;&gt;""),OR($C$13="Semua",$C$13="",L3704=$C$13)),"✓","")</f>
        <v/>
      </c>
      <c r="N3704" s="93">
        <f>N(N3703)+IF(M3704="✓",1,0)</f>
        <v/>
      </c>
      <c r="O3704" s="93">
        <f>N(O3703)+IF(AND(B3704&lt;&gt;"",B3704&gt;='Uang Riba'!$H$30,B3704&lt;='Uang Riba'!$I$30,OR(H3704="Dana riba",H3704="Pinjam uang riba",I3704="Pinjam dari uang riba",I3704="Ganti uang riba",I3704="Kelebihan ganti dikembalikan",AND(C3704="Kantong Uang Riba",G3704="Pengeluaran"))),1,0)</f>
        <v/>
      </c>
      <c r="X3704" s="93">
        <f>IF(AND(B3704&lt;&gt;"",B3704&gt;='Buku Akun'!$H$4,B3704&lt;='Buku Akun'!$H$5,OR(C3704='Buku Akun'!$C$4,AND(D3704="Pindah",E3704='Buku Akun'!$C$4))),B3704+IF(AND(I3704="Selisih bunga",DAY(B3704)=1),0,0.01)+ROW()/10000000,"")</f>
        <v/>
      </c>
    </row>
    <row r="3705" outlineLevel="1" ht="15" customHeight="1" s="94">
      <c r="A3705" s="123">
        <f>IF(B3705="","",ROW()-15)</f>
        <v/>
      </c>
      <c r="B3705" s="124" t="n"/>
      <c r="C3705" s="123" t="n"/>
      <c r="D3705" s="123" t="n"/>
      <c r="E3705" s="123" t="n"/>
      <c r="F3705" s="125" t="n"/>
      <c r="G3705" s="123" t="n"/>
      <c r="H3705" s="123" t="n"/>
      <c r="I3705" s="123" t="n"/>
      <c r="J3705" s="123" t="n"/>
      <c r="K3705" s="123" t="n"/>
      <c r="L3705" s="123" t="n"/>
      <c r="M3705" s="123">
        <f>IF(AND(B3705&lt;&gt;"",OR($C$4="",ISNUMBER(SEARCH($C$4,C3705&amp;" "&amp;E3705&amp;" "&amp;G3705&amp;" "&amp;H3705&amp;" "&amp;I3705&amp;" "&amp;J3705&amp;" "&amp;K3705&amp;" "&amp;L3705))),OR($C$5="Semua",$C$5="",G3705=$C$5),OR($C$6="Semua",$C$6="",H3705=$C$6,H3705="Pengeluaran "&amp;$C$6,AND($C$6="Uang Kos Mama",H3705="Pengeluaran Uang Kos")),OR($C$7="Semua",$C$7="",I3705=$C$7),OR($C$8="Semua",$C$8="",C3705=$C$8,E3705=$C$8),OR($C$9="Semua",$C$9="",D3705=$C$9),OR($C$10="",B3705&gt;=$C$10),OR($C$11="",B3705&lt;=$C$11),OR($C$12&lt;&gt;"Ya",K3705&lt;&gt;""),OR($C$13="Semua",$C$13="",L3705=$C$13)),"✓","")</f>
        <v/>
      </c>
      <c r="N3705" s="93">
        <f>N(N3704)+IF(M3705="✓",1,0)</f>
        <v/>
      </c>
      <c r="O3705" s="93">
        <f>N(O3704)+IF(AND(B3705&lt;&gt;"",B3705&gt;='Uang Riba'!$H$30,B3705&lt;='Uang Riba'!$I$30,OR(H3705="Dana riba",H3705="Pinjam uang riba",I3705="Pinjam dari uang riba",I3705="Ganti uang riba",I3705="Kelebihan ganti dikembalikan",AND(C3705="Kantong Uang Riba",G3705="Pengeluaran"))),1,0)</f>
        <v/>
      </c>
      <c r="X3705" s="93">
        <f>IF(AND(B3705&lt;&gt;"",B3705&gt;='Buku Akun'!$H$4,B3705&lt;='Buku Akun'!$H$5,OR(C3705='Buku Akun'!$C$4,AND(D3705="Pindah",E3705='Buku Akun'!$C$4))),B3705+IF(AND(I3705="Selisih bunga",DAY(B3705)=1),0,0.01)+ROW()/10000000,"")</f>
        <v/>
      </c>
    </row>
    <row r="3706" outlineLevel="1" ht="15" customHeight="1" s="94">
      <c r="A3706" s="123">
        <f>IF(B3706="","",ROW()-15)</f>
        <v/>
      </c>
      <c r="B3706" s="124" t="n"/>
      <c r="C3706" s="123" t="n"/>
      <c r="D3706" s="123" t="n"/>
      <c r="E3706" s="123" t="n"/>
      <c r="F3706" s="125" t="n"/>
      <c r="G3706" s="123" t="n"/>
      <c r="H3706" s="123" t="n"/>
      <c r="I3706" s="123" t="n"/>
      <c r="J3706" s="123" t="n"/>
      <c r="K3706" s="123" t="n"/>
      <c r="L3706" s="123" t="n"/>
      <c r="M3706" s="123">
        <f>IF(AND(B3706&lt;&gt;"",OR($C$4="",ISNUMBER(SEARCH($C$4,C3706&amp;" "&amp;E3706&amp;" "&amp;G3706&amp;" "&amp;H3706&amp;" "&amp;I3706&amp;" "&amp;J3706&amp;" "&amp;K3706&amp;" "&amp;L3706))),OR($C$5="Semua",$C$5="",G3706=$C$5),OR($C$6="Semua",$C$6="",H3706=$C$6,H3706="Pengeluaran "&amp;$C$6,AND($C$6="Uang Kos Mama",H3706="Pengeluaran Uang Kos")),OR($C$7="Semua",$C$7="",I3706=$C$7),OR($C$8="Semua",$C$8="",C3706=$C$8,E3706=$C$8),OR($C$9="Semua",$C$9="",D3706=$C$9),OR($C$10="",B3706&gt;=$C$10),OR($C$11="",B3706&lt;=$C$11),OR($C$12&lt;&gt;"Ya",K3706&lt;&gt;""),OR($C$13="Semua",$C$13="",L3706=$C$13)),"✓","")</f>
        <v/>
      </c>
      <c r="N3706" s="93">
        <f>N(N3705)+IF(M3706="✓",1,0)</f>
        <v/>
      </c>
      <c r="O3706" s="93">
        <f>N(O3705)+IF(AND(B3706&lt;&gt;"",B3706&gt;='Uang Riba'!$H$30,B3706&lt;='Uang Riba'!$I$30,OR(H3706="Dana riba",H3706="Pinjam uang riba",I3706="Pinjam dari uang riba",I3706="Ganti uang riba",I3706="Kelebihan ganti dikembalikan",AND(C3706="Kantong Uang Riba",G3706="Pengeluaran"))),1,0)</f>
        <v/>
      </c>
      <c r="X3706" s="93">
        <f>IF(AND(B3706&lt;&gt;"",B3706&gt;='Buku Akun'!$H$4,B3706&lt;='Buku Akun'!$H$5,OR(C3706='Buku Akun'!$C$4,AND(D3706="Pindah",E3706='Buku Akun'!$C$4))),B3706+IF(AND(I3706="Selisih bunga",DAY(B3706)=1),0,0.01)+ROW()/10000000,"")</f>
        <v/>
      </c>
    </row>
    <row r="3707" outlineLevel="1" ht="15" customHeight="1" s="94">
      <c r="A3707" s="123">
        <f>IF(B3707="","",ROW()-15)</f>
        <v/>
      </c>
      <c r="B3707" s="124" t="n"/>
      <c r="C3707" s="123" t="n"/>
      <c r="D3707" s="123" t="n"/>
      <c r="E3707" s="123" t="n"/>
      <c r="F3707" s="125" t="n"/>
      <c r="G3707" s="123" t="n"/>
      <c r="H3707" s="123" t="n"/>
      <c r="I3707" s="123" t="n"/>
      <c r="J3707" s="123" t="n"/>
      <c r="K3707" s="123" t="n"/>
      <c r="L3707" s="123" t="n"/>
      <c r="M3707" s="123">
        <f>IF(AND(B3707&lt;&gt;"",OR($C$4="",ISNUMBER(SEARCH($C$4,C3707&amp;" "&amp;E3707&amp;" "&amp;G3707&amp;" "&amp;H3707&amp;" "&amp;I3707&amp;" "&amp;J3707&amp;" "&amp;K3707&amp;" "&amp;L3707))),OR($C$5="Semua",$C$5="",G3707=$C$5),OR($C$6="Semua",$C$6="",H3707=$C$6,H3707="Pengeluaran "&amp;$C$6,AND($C$6="Uang Kos Mama",H3707="Pengeluaran Uang Kos")),OR($C$7="Semua",$C$7="",I3707=$C$7),OR($C$8="Semua",$C$8="",C3707=$C$8,E3707=$C$8),OR($C$9="Semua",$C$9="",D3707=$C$9),OR($C$10="",B3707&gt;=$C$10),OR($C$11="",B3707&lt;=$C$11),OR($C$12&lt;&gt;"Ya",K3707&lt;&gt;""),OR($C$13="Semua",$C$13="",L3707=$C$13)),"✓","")</f>
        <v/>
      </c>
      <c r="N3707" s="93">
        <f>N(N3706)+IF(M3707="✓",1,0)</f>
        <v/>
      </c>
      <c r="O3707" s="93">
        <f>N(O3706)+IF(AND(B3707&lt;&gt;"",B3707&gt;='Uang Riba'!$H$30,B3707&lt;='Uang Riba'!$I$30,OR(H3707="Dana riba",H3707="Pinjam uang riba",I3707="Pinjam dari uang riba",I3707="Ganti uang riba",I3707="Kelebihan ganti dikembalikan",AND(C3707="Kantong Uang Riba",G3707="Pengeluaran"))),1,0)</f>
        <v/>
      </c>
      <c r="X3707" s="93">
        <f>IF(AND(B3707&lt;&gt;"",B3707&gt;='Buku Akun'!$H$4,B3707&lt;='Buku Akun'!$H$5,OR(C3707='Buku Akun'!$C$4,AND(D3707="Pindah",E3707='Buku Akun'!$C$4))),B3707+IF(AND(I3707="Selisih bunga",DAY(B3707)=1),0,0.01)+ROW()/10000000,"")</f>
        <v/>
      </c>
    </row>
    <row r="3708" outlineLevel="1" ht="15" customHeight="1" s="94">
      <c r="A3708" s="123">
        <f>IF(B3708="","",ROW()-15)</f>
        <v/>
      </c>
      <c r="B3708" s="124" t="n"/>
      <c r="C3708" s="123" t="n"/>
      <c r="D3708" s="123" t="n"/>
      <c r="E3708" s="123" t="n"/>
      <c r="F3708" s="125" t="n"/>
      <c r="G3708" s="123" t="n"/>
      <c r="H3708" s="123" t="n"/>
      <c r="I3708" s="123" t="n"/>
      <c r="J3708" s="123" t="n"/>
      <c r="K3708" s="123" t="n"/>
      <c r="L3708" s="123" t="n"/>
      <c r="M3708" s="123">
        <f>IF(AND(B3708&lt;&gt;"",OR($C$4="",ISNUMBER(SEARCH($C$4,C3708&amp;" "&amp;E3708&amp;" "&amp;G3708&amp;" "&amp;H3708&amp;" "&amp;I3708&amp;" "&amp;J3708&amp;" "&amp;K3708&amp;" "&amp;L3708))),OR($C$5="Semua",$C$5="",G3708=$C$5),OR($C$6="Semua",$C$6="",H3708=$C$6,H3708="Pengeluaran "&amp;$C$6,AND($C$6="Uang Kos Mama",H3708="Pengeluaran Uang Kos")),OR($C$7="Semua",$C$7="",I3708=$C$7),OR($C$8="Semua",$C$8="",C3708=$C$8,E3708=$C$8),OR($C$9="Semua",$C$9="",D3708=$C$9),OR($C$10="",B3708&gt;=$C$10),OR($C$11="",B3708&lt;=$C$11),OR($C$12&lt;&gt;"Ya",K3708&lt;&gt;""),OR($C$13="Semua",$C$13="",L3708=$C$13)),"✓","")</f>
        <v/>
      </c>
      <c r="N3708" s="93">
        <f>N(N3707)+IF(M3708="✓",1,0)</f>
        <v/>
      </c>
      <c r="O3708" s="93">
        <f>N(O3707)+IF(AND(B3708&lt;&gt;"",B3708&gt;='Uang Riba'!$H$30,B3708&lt;='Uang Riba'!$I$30,OR(H3708="Dana riba",H3708="Pinjam uang riba",I3708="Pinjam dari uang riba",I3708="Ganti uang riba",I3708="Kelebihan ganti dikembalikan",AND(C3708="Kantong Uang Riba",G3708="Pengeluaran"))),1,0)</f>
        <v/>
      </c>
      <c r="X3708" s="93">
        <f>IF(AND(B3708&lt;&gt;"",B3708&gt;='Buku Akun'!$H$4,B3708&lt;='Buku Akun'!$H$5,OR(C3708='Buku Akun'!$C$4,AND(D3708="Pindah",E3708='Buku Akun'!$C$4))),B3708+IF(AND(I3708="Selisih bunga",DAY(B3708)=1),0,0.01)+ROW()/10000000,"")</f>
        <v/>
      </c>
    </row>
    <row r="3709" outlineLevel="1" ht="15" customHeight="1" s="94">
      <c r="A3709" s="123">
        <f>IF(B3709="","",ROW()-15)</f>
        <v/>
      </c>
      <c r="B3709" s="124" t="n"/>
      <c r="C3709" s="123" t="n"/>
      <c r="D3709" s="123" t="n"/>
      <c r="E3709" s="123" t="n"/>
      <c r="F3709" s="125" t="n"/>
      <c r="G3709" s="123" t="n"/>
      <c r="H3709" s="123" t="n"/>
      <c r="I3709" s="123" t="n"/>
      <c r="J3709" s="123" t="n"/>
      <c r="K3709" s="123" t="n"/>
      <c r="L3709" s="123" t="n"/>
      <c r="M3709" s="123">
        <f>IF(AND(B3709&lt;&gt;"",OR($C$4="",ISNUMBER(SEARCH($C$4,C3709&amp;" "&amp;E3709&amp;" "&amp;G3709&amp;" "&amp;H3709&amp;" "&amp;I3709&amp;" "&amp;J3709&amp;" "&amp;K3709&amp;" "&amp;L3709))),OR($C$5="Semua",$C$5="",G3709=$C$5),OR($C$6="Semua",$C$6="",H3709=$C$6,H3709="Pengeluaran "&amp;$C$6,AND($C$6="Uang Kos Mama",H3709="Pengeluaran Uang Kos")),OR($C$7="Semua",$C$7="",I3709=$C$7),OR($C$8="Semua",$C$8="",C3709=$C$8,E3709=$C$8),OR($C$9="Semua",$C$9="",D3709=$C$9),OR($C$10="",B3709&gt;=$C$10),OR($C$11="",B3709&lt;=$C$11),OR($C$12&lt;&gt;"Ya",K3709&lt;&gt;""),OR($C$13="Semua",$C$13="",L3709=$C$13)),"✓","")</f>
        <v/>
      </c>
      <c r="N3709" s="93">
        <f>N(N3708)+IF(M3709="✓",1,0)</f>
        <v/>
      </c>
      <c r="O3709" s="93">
        <f>N(O3708)+IF(AND(B3709&lt;&gt;"",B3709&gt;='Uang Riba'!$H$30,B3709&lt;='Uang Riba'!$I$30,OR(H3709="Dana riba",H3709="Pinjam uang riba",I3709="Pinjam dari uang riba",I3709="Ganti uang riba",I3709="Kelebihan ganti dikembalikan",AND(C3709="Kantong Uang Riba",G3709="Pengeluaran"))),1,0)</f>
        <v/>
      </c>
      <c r="X3709" s="93">
        <f>IF(AND(B3709&lt;&gt;"",B3709&gt;='Buku Akun'!$H$4,B3709&lt;='Buku Akun'!$H$5,OR(C3709='Buku Akun'!$C$4,AND(D3709="Pindah",E3709='Buku Akun'!$C$4))),B3709+IF(AND(I3709="Selisih bunga",DAY(B3709)=1),0,0.01)+ROW()/10000000,"")</f>
        <v/>
      </c>
    </row>
    <row r="3710" outlineLevel="1" ht="15" customHeight="1" s="94">
      <c r="A3710" s="123">
        <f>IF(B3710="","",ROW()-15)</f>
        <v/>
      </c>
      <c r="B3710" s="124" t="n"/>
      <c r="C3710" s="123" t="n"/>
      <c r="D3710" s="123" t="n"/>
      <c r="E3710" s="123" t="n"/>
      <c r="F3710" s="125" t="n"/>
      <c r="G3710" s="123" t="n"/>
      <c r="H3710" s="123" t="n"/>
      <c r="I3710" s="123" t="n"/>
      <c r="J3710" s="123" t="n"/>
      <c r="K3710" s="123" t="n"/>
      <c r="L3710" s="123" t="n"/>
      <c r="M3710" s="123">
        <f>IF(AND(B3710&lt;&gt;"",OR($C$4="",ISNUMBER(SEARCH($C$4,C3710&amp;" "&amp;E3710&amp;" "&amp;G3710&amp;" "&amp;H3710&amp;" "&amp;I3710&amp;" "&amp;J3710&amp;" "&amp;K3710&amp;" "&amp;L3710))),OR($C$5="Semua",$C$5="",G3710=$C$5),OR($C$6="Semua",$C$6="",H3710=$C$6,H3710="Pengeluaran "&amp;$C$6,AND($C$6="Uang Kos Mama",H3710="Pengeluaran Uang Kos")),OR($C$7="Semua",$C$7="",I3710=$C$7),OR($C$8="Semua",$C$8="",C3710=$C$8,E3710=$C$8),OR($C$9="Semua",$C$9="",D3710=$C$9),OR($C$10="",B3710&gt;=$C$10),OR($C$11="",B3710&lt;=$C$11),OR($C$12&lt;&gt;"Ya",K3710&lt;&gt;""),OR($C$13="Semua",$C$13="",L3710=$C$13)),"✓","")</f>
        <v/>
      </c>
      <c r="N3710" s="93">
        <f>N(N3709)+IF(M3710="✓",1,0)</f>
        <v/>
      </c>
      <c r="O3710" s="93">
        <f>N(O3709)+IF(AND(B3710&lt;&gt;"",B3710&gt;='Uang Riba'!$H$30,B3710&lt;='Uang Riba'!$I$30,OR(H3710="Dana riba",H3710="Pinjam uang riba",I3710="Pinjam dari uang riba",I3710="Ganti uang riba",I3710="Kelebihan ganti dikembalikan",AND(C3710="Kantong Uang Riba",G3710="Pengeluaran"))),1,0)</f>
        <v/>
      </c>
      <c r="X3710" s="93">
        <f>IF(AND(B3710&lt;&gt;"",B3710&gt;='Buku Akun'!$H$4,B3710&lt;='Buku Akun'!$H$5,OR(C3710='Buku Akun'!$C$4,AND(D3710="Pindah",E3710='Buku Akun'!$C$4))),B3710+IF(AND(I3710="Selisih bunga",DAY(B3710)=1),0,0.01)+ROW()/10000000,"")</f>
        <v/>
      </c>
    </row>
    <row r="3711" outlineLevel="1" ht="15" customHeight="1" s="94">
      <c r="A3711" s="123">
        <f>IF(B3711="","",ROW()-15)</f>
        <v/>
      </c>
      <c r="B3711" s="124" t="n"/>
      <c r="C3711" s="123" t="n"/>
      <c r="D3711" s="123" t="n"/>
      <c r="E3711" s="123" t="n"/>
      <c r="F3711" s="125" t="n"/>
      <c r="G3711" s="123" t="n"/>
      <c r="H3711" s="123" t="n"/>
      <c r="I3711" s="123" t="n"/>
      <c r="J3711" s="123" t="n"/>
      <c r="K3711" s="123" t="n"/>
      <c r="L3711" s="123" t="n"/>
      <c r="M3711" s="123">
        <f>IF(AND(B3711&lt;&gt;"",OR($C$4="",ISNUMBER(SEARCH($C$4,C3711&amp;" "&amp;E3711&amp;" "&amp;G3711&amp;" "&amp;H3711&amp;" "&amp;I3711&amp;" "&amp;J3711&amp;" "&amp;K3711&amp;" "&amp;L3711))),OR($C$5="Semua",$C$5="",G3711=$C$5),OR($C$6="Semua",$C$6="",H3711=$C$6,H3711="Pengeluaran "&amp;$C$6,AND($C$6="Uang Kos Mama",H3711="Pengeluaran Uang Kos")),OR($C$7="Semua",$C$7="",I3711=$C$7),OR($C$8="Semua",$C$8="",C3711=$C$8,E3711=$C$8),OR($C$9="Semua",$C$9="",D3711=$C$9),OR($C$10="",B3711&gt;=$C$10),OR($C$11="",B3711&lt;=$C$11),OR($C$12&lt;&gt;"Ya",K3711&lt;&gt;""),OR($C$13="Semua",$C$13="",L3711=$C$13)),"✓","")</f>
        <v/>
      </c>
      <c r="N3711" s="93">
        <f>N(N3710)+IF(M3711="✓",1,0)</f>
        <v/>
      </c>
      <c r="O3711" s="93">
        <f>N(O3710)+IF(AND(B3711&lt;&gt;"",B3711&gt;='Uang Riba'!$H$30,B3711&lt;='Uang Riba'!$I$30,OR(H3711="Dana riba",H3711="Pinjam uang riba",I3711="Pinjam dari uang riba",I3711="Ganti uang riba",I3711="Kelebihan ganti dikembalikan",AND(C3711="Kantong Uang Riba",G3711="Pengeluaran"))),1,0)</f>
        <v/>
      </c>
      <c r="X3711" s="93">
        <f>IF(AND(B3711&lt;&gt;"",B3711&gt;='Buku Akun'!$H$4,B3711&lt;='Buku Akun'!$H$5,OR(C3711='Buku Akun'!$C$4,AND(D3711="Pindah",E3711='Buku Akun'!$C$4))),B3711+IF(AND(I3711="Selisih bunga",DAY(B3711)=1),0,0.01)+ROW()/10000000,"")</f>
        <v/>
      </c>
    </row>
    <row r="3712" outlineLevel="1" ht="15" customHeight="1" s="94">
      <c r="A3712" s="123">
        <f>IF(B3712="","",ROW()-15)</f>
        <v/>
      </c>
      <c r="B3712" s="124" t="n"/>
      <c r="C3712" s="123" t="n"/>
      <c r="D3712" s="123" t="n"/>
      <c r="E3712" s="123" t="n"/>
      <c r="F3712" s="125" t="n"/>
      <c r="G3712" s="123" t="n"/>
      <c r="H3712" s="123" t="n"/>
      <c r="I3712" s="123" t="n"/>
      <c r="J3712" s="123" t="n"/>
      <c r="K3712" s="123" t="n"/>
      <c r="L3712" s="123" t="n"/>
      <c r="M3712" s="123">
        <f>IF(AND(B3712&lt;&gt;"",OR($C$4="",ISNUMBER(SEARCH($C$4,C3712&amp;" "&amp;E3712&amp;" "&amp;G3712&amp;" "&amp;H3712&amp;" "&amp;I3712&amp;" "&amp;J3712&amp;" "&amp;K3712&amp;" "&amp;L3712))),OR($C$5="Semua",$C$5="",G3712=$C$5),OR($C$6="Semua",$C$6="",H3712=$C$6,H3712="Pengeluaran "&amp;$C$6,AND($C$6="Uang Kos Mama",H3712="Pengeluaran Uang Kos")),OR($C$7="Semua",$C$7="",I3712=$C$7),OR($C$8="Semua",$C$8="",C3712=$C$8,E3712=$C$8),OR($C$9="Semua",$C$9="",D3712=$C$9),OR($C$10="",B3712&gt;=$C$10),OR($C$11="",B3712&lt;=$C$11),OR($C$12&lt;&gt;"Ya",K3712&lt;&gt;""),OR($C$13="Semua",$C$13="",L3712=$C$13)),"✓","")</f>
        <v/>
      </c>
      <c r="N3712" s="93">
        <f>N(N3711)+IF(M3712="✓",1,0)</f>
        <v/>
      </c>
      <c r="O3712" s="93">
        <f>N(O3711)+IF(AND(B3712&lt;&gt;"",B3712&gt;='Uang Riba'!$H$30,B3712&lt;='Uang Riba'!$I$30,OR(H3712="Dana riba",H3712="Pinjam uang riba",I3712="Pinjam dari uang riba",I3712="Ganti uang riba",I3712="Kelebihan ganti dikembalikan",AND(C3712="Kantong Uang Riba",G3712="Pengeluaran"))),1,0)</f>
        <v/>
      </c>
      <c r="X3712" s="93">
        <f>IF(AND(B3712&lt;&gt;"",B3712&gt;='Buku Akun'!$H$4,B3712&lt;='Buku Akun'!$H$5,OR(C3712='Buku Akun'!$C$4,AND(D3712="Pindah",E3712='Buku Akun'!$C$4))),B3712+IF(AND(I3712="Selisih bunga",DAY(B3712)=1),0,0.01)+ROW()/10000000,"")</f>
        <v/>
      </c>
    </row>
    <row r="3713" outlineLevel="1" ht="15" customHeight="1" s="94">
      <c r="A3713" s="123">
        <f>IF(B3713="","",ROW()-15)</f>
        <v/>
      </c>
      <c r="B3713" s="124" t="n"/>
      <c r="C3713" s="123" t="n"/>
      <c r="D3713" s="123" t="n"/>
      <c r="E3713" s="123" t="n"/>
      <c r="F3713" s="125" t="n"/>
      <c r="G3713" s="123" t="n"/>
      <c r="H3713" s="123" t="n"/>
      <c r="I3713" s="123" t="n"/>
      <c r="J3713" s="123" t="n"/>
      <c r="K3713" s="123" t="n"/>
      <c r="L3713" s="123" t="n"/>
      <c r="M3713" s="123">
        <f>IF(AND(B3713&lt;&gt;"",OR($C$4="",ISNUMBER(SEARCH($C$4,C3713&amp;" "&amp;E3713&amp;" "&amp;G3713&amp;" "&amp;H3713&amp;" "&amp;I3713&amp;" "&amp;J3713&amp;" "&amp;K3713&amp;" "&amp;L3713))),OR($C$5="Semua",$C$5="",G3713=$C$5),OR($C$6="Semua",$C$6="",H3713=$C$6,H3713="Pengeluaran "&amp;$C$6,AND($C$6="Uang Kos Mama",H3713="Pengeluaran Uang Kos")),OR($C$7="Semua",$C$7="",I3713=$C$7),OR($C$8="Semua",$C$8="",C3713=$C$8,E3713=$C$8),OR($C$9="Semua",$C$9="",D3713=$C$9),OR($C$10="",B3713&gt;=$C$10),OR($C$11="",B3713&lt;=$C$11),OR($C$12&lt;&gt;"Ya",K3713&lt;&gt;""),OR($C$13="Semua",$C$13="",L3713=$C$13)),"✓","")</f>
        <v/>
      </c>
      <c r="N3713" s="93">
        <f>N(N3712)+IF(M3713="✓",1,0)</f>
        <v/>
      </c>
      <c r="O3713" s="93">
        <f>N(O3712)+IF(AND(B3713&lt;&gt;"",B3713&gt;='Uang Riba'!$H$30,B3713&lt;='Uang Riba'!$I$30,OR(H3713="Dana riba",H3713="Pinjam uang riba",I3713="Pinjam dari uang riba",I3713="Ganti uang riba",I3713="Kelebihan ganti dikembalikan",AND(C3713="Kantong Uang Riba",G3713="Pengeluaran"))),1,0)</f>
        <v/>
      </c>
      <c r="X3713" s="93">
        <f>IF(AND(B3713&lt;&gt;"",B3713&gt;='Buku Akun'!$H$4,B3713&lt;='Buku Akun'!$H$5,OR(C3713='Buku Akun'!$C$4,AND(D3713="Pindah",E3713='Buku Akun'!$C$4))),B3713+IF(AND(I3713="Selisih bunga",DAY(B3713)=1),0,0.01)+ROW()/10000000,"")</f>
        <v/>
      </c>
    </row>
    <row r="3714" outlineLevel="1" ht="15" customHeight="1" s="94">
      <c r="A3714" s="123">
        <f>IF(B3714="","",ROW()-15)</f>
        <v/>
      </c>
      <c r="B3714" s="124" t="n"/>
      <c r="C3714" s="123" t="n"/>
      <c r="D3714" s="123" t="n"/>
      <c r="E3714" s="123" t="n"/>
      <c r="F3714" s="125" t="n"/>
      <c r="G3714" s="123" t="n"/>
      <c r="H3714" s="123" t="n"/>
      <c r="I3714" s="123" t="n"/>
      <c r="J3714" s="123" t="n"/>
      <c r="K3714" s="123" t="n"/>
      <c r="L3714" s="123" t="n"/>
      <c r="M3714" s="123">
        <f>IF(AND(B3714&lt;&gt;"",OR($C$4="",ISNUMBER(SEARCH($C$4,C3714&amp;" "&amp;E3714&amp;" "&amp;G3714&amp;" "&amp;H3714&amp;" "&amp;I3714&amp;" "&amp;J3714&amp;" "&amp;K3714&amp;" "&amp;L3714))),OR($C$5="Semua",$C$5="",G3714=$C$5),OR($C$6="Semua",$C$6="",H3714=$C$6,H3714="Pengeluaran "&amp;$C$6,AND($C$6="Uang Kos Mama",H3714="Pengeluaran Uang Kos")),OR($C$7="Semua",$C$7="",I3714=$C$7),OR($C$8="Semua",$C$8="",C3714=$C$8,E3714=$C$8),OR($C$9="Semua",$C$9="",D3714=$C$9),OR($C$10="",B3714&gt;=$C$10),OR($C$11="",B3714&lt;=$C$11),OR($C$12&lt;&gt;"Ya",K3714&lt;&gt;""),OR($C$13="Semua",$C$13="",L3714=$C$13)),"✓","")</f>
        <v/>
      </c>
      <c r="N3714" s="93">
        <f>N(N3713)+IF(M3714="✓",1,0)</f>
        <v/>
      </c>
      <c r="O3714" s="93">
        <f>N(O3713)+IF(AND(B3714&lt;&gt;"",B3714&gt;='Uang Riba'!$H$30,B3714&lt;='Uang Riba'!$I$30,OR(H3714="Dana riba",H3714="Pinjam uang riba",I3714="Pinjam dari uang riba",I3714="Ganti uang riba",I3714="Kelebihan ganti dikembalikan",AND(C3714="Kantong Uang Riba",G3714="Pengeluaran"))),1,0)</f>
        <v/>
      </c>
      <c r="X3714" s="93">
        <f>IF(AND(B3714&lt;&gt;"",B3714&gt;='Buku Akun'!$H$4,B3714&lt;='Buku Akun'!$H$5,OR(C3714='Buku Akun'!$C$4,AND(D3714="Pindah",E3714='Buku Akun'!$C$4))),B3714+IF(AND(I3714="Selisih bunga",DAY(B3714)=1),0,0.01)+ROW()/10000000,"")</f>
        <v/>
      </c>
    </row>
    <row r="3715" outlineLevel="1" ht="15" customHeight="1" s="94">
      <c r="A3715" s="123">
        <f>IF(B3715="","",ROW()-15)</f>
        <v/>
      </c>
      <c r="B3715" s="124" t="n"/>
      <c r="C3715" s="123" t="n"/>
      <c r="D3715" s="123" t="n"/>
      <c r="E3715" s="123" t="n"/>
      <c r="F3715" s="125" t="n"/>
      <c r="G3715" s="123" t="n"/>
      <c r="H3715" s="123" t="n"/>
      <c r="I3715" s="123" t="n"/>
      <c r="J3715" s="123" t="n"/>
      <c r="K3715" s="123" t="n"/>
      <c r="L3715" s="123" t="n"/>
      <c r="M3715" s="123">
        <f>IF(AND(B3715&lt;&gt;"",OR($C$4="",ISNUMBER(SEARCH($C$4,C3715&amp;" "&amp;E3715&amp;" "&amp;G3715&amp;" "&amp;H3715&amp;" "&amp;I3715&amp;" "&amp;J3715&amp;" "&amp;K3715&amp;" "&amp;L3715))),OR($C$5="Semua",$C$5="",G3715=$C$5),OR($C$6="Semua",$C$6="",H3715=$C$6,H3715="Pengeluaran "&amp;$C$6,AND($C$6="Uang Kos Mama",H3715="Pengeluaran Uang Kos")),OR($C$7="Semua",$C$7="",I3715=$C$7),OR($C$8="Semua",$C$8="",C3715=$C$8,E3715=$C$8),OR($C$9="Semua",$C$9="",D3715=$C$9),OR($C$10="",B3715&gt;=$C$10),OR($C$11="",B3715&lt;=$C$11),OR($C$12&lt;&gt;"Ya",K3715&lt;&gt;""),OR($C$13="Semua",$C$13="",L3715=$C$13)),"✓","")</f>
        <v/>
      </c>
      <c r="N3715" s="93">
        <f>N(N3714)+IF(M3715="✓",1,0)</f>
        <v/>
      </c>
      <c r="O3715" s="93">
        <f>N(O3714)+IF(AND(B3715&lt;&gt;"",B3715&gt;='Uang Riba'!$H$30,B3715&lt;='Uang Riba'!$I$30,OR(H3715="Dana riba",H3715="Pinjam uang riba",I3715="Pinjam dari uang riba",I3715="Ganti uang riba",I3715="Kelebihan ganti dikembalikan",AND(C3715="Kantong Uang Riba",G3715="Pengeluaran"))),1,0)</f>
        <v/>
      </c>
      <c r="X3715" s="93">
        <f>IF(AND(B3715&lt;&gt;"",B3715&gt;='Buku Akun'!$H$4,B3715&lt;='Buku Akun'!$H$5,OR(C3715='Buku Akun'!$C$4,AND(D3715="Pindah",E3715='Buku Akun'!$C$4))),B3715+IF(AND(I3715="Selisih bunga",DAY(B3715)=1),0,0.01)+ROW()/10000000,"")</f>
        <v/>
      </c>
    </row>
    <row r="3716" outlineLevel="1" ht="15" customHeight="1" s="94">
      <c r="A3716" s="123">
        <f>IF(B3716="","",ROW()-15)</f>
        <v/>
      </c>
      <c r="B3716" s="124" t="n"/>
      <c r="C3716" s="123" t="n"/>
      <c r="D3716" s="123" t="n"/>
      <c r="E3716" s="123" t="n"/>
      <c r="F3716" s="125" t="n"/>
      <c r="G3716" s="123" t="n"/>
      <c r="H3716" s="123" t="n"/>
      <c r="I3716" s="123" t="n"/>
      <c r="J3716" s="123" t="n"/>
      <c r="K3716" s="123" t="n"/>
      <c r="L3716" s="123" t="n"/>
      <c r="M3716" s="123">
        <f>IF(AND(B3716&lt;&gt;"",OR($C$4="",ISNUMBER(SEARCH($C$4,C3716&amp;" "&amp;E3716&amp;" "&amp;G3716&amp;" "&amp;H3716&amp;" "&amp;I3716&amp;" "&amp;J3716&amp;" "&amp;K3716&amp;" "&amp;L3716))),OR($C$5="Semua",$C$5="",G3716=$C$5),OR($C$6="Semua",$C$6="",H3716=$C$6,H3716="Pengeluaran "&amp;$C$6,AND($C$6="Uang Kos Mama",H3716="Pengeluaran Uang Kos")),OR($C$7="Semua",$C$7="",I3716=$C$7),OR($C$8="Semua",$C$8="",C3716=$C$8,E3716=$C$8),OR($C$9="Semua",$C$9="",D3716=$C$9),OR($C$10="",B3716&gt;=$C$10),OR($C$11="",B3716&lt;=$C$11),OR($C$12&lt;&gt;"Ya",K3716&lt;&gt;""),OR($C$13="Semua",$C$13="",L3716=$C$13)),"✓","")</f>
        <v/>
      </c>
      <c r="N3716" s="93">
        <f>N(N3715)+IF(M3716="✓",1,0)</f>
        <v/>
      </c>
      <c r="O3716" s="93">
        <f>N(O3715)+IF(AND(B3716&lt;&gt;"",B3716&gt;='Uang Riba'!$H$30,B3716&lt;='Uang Riba'!$I$30,OR(H3716="Dana riba",H3716="Pinjam uang riba",I3716="Pinjam dari uang riba",I3716="Ganti uang riba",I3716="Kelebihan ganti dikembalikan",AND(C3716="Kantong Uang Riba",G3716="Pengeluaran"))),1,0)</f>
        <v/>
      </c>
      <c r="X3716" s="93">
        <f>IF(AND(B3716&lt;&gt;"",B3716&gt;='Buku Akun'!$H$4,B3716&lt;='Buku Akun'!$H$5,OR(C3716='Buku Akun'!$C$4,AND(D3716="Pindah",E3716='Buku Akun'!$C$4))),B3716+IF(AND(I3716="Selisih bunga",DAY(B3716)=1),0,0.01)+ROW()/10000000,"")</f>
        <v/>
      </c>
    </row>
    <row r="3717" outlineLevel="1" ht="15" customHeight="1" s="94">
      <c r="A3717" s="123">
        <f>IF(B3717="","",ROW()-15)</f>
        <v/>
      </c>
      <c r="B3717" s="124" t="n"/>
      <c r="C3717" s="123" t="n"/>
      <c r="D3717" s="123" t="n"/>
      <c r="E3717" s="123" t="n"/>
      <c r="F3717" s="125" t="n"/>
      <c r="G3717" s="123" t="n"/>
      <c r="H3717" s="123" t="n"/>
      <c r="I3717" s="123" t="n"/>
      <c r="J3717" s="123" t="n"/>
      <c r="K3717" s="123" t="n"/>
      <c r="L3717" s="123" t="n"/>
      <c r="M3717" s="123">
        <f>IF(AND(B3717&lt;&gt;"",OR($C$4="",ISNUMBER(SEARCH($C$4,C3717&amp;" "&amp;E3717&amp;" "&amp;G3717&amp;" "&amp;H3717&amp;" "&amp;I3717&amp;" "&amp;J3717&amp;" "&amp;K3717&amp;" "&amp;L3717))),OR($C$5="Semua",$C$5="",G3717=$C$5),OR($C$6="Semua",$C$6="",H3717=$C$6,H3717="Pengeluaran "&amp;$C$6,AND($C$6="Uang Kos Mama",H3717="Pengeluaran Uang Kos")),OR($C$7="Semua",$C$7="",I3717=$C$7),OR($C$8="Semua",$C$8="",C3717=$C$8,E3717=$C$8),OR($C$9="Semua",$C$9="",D3717=$C$9),OR($C$10="",B3717&gt;=$C$10),OR($C$11="",B3717&lt;=$C$11),OR($C$12&lt;&gt;"Ya",K3717&lt;&gt;""),OR($C$13="Semua",$C$13="",L3717=$C$13)),"✓","")</f>
        <v/>
      </c>
      <c r="N3717" s="93">
        <f>N(N3716)+IF(M3717="✓",1,0)</f>
        <v/>
      </c>
      <c r="O3717" s="93">
        <f>N(O3716)+IF(AND(B3717&lt;&gt;"",B3717&gt;='Uang Riba'!$H$30,B3717&lt;='Uang Riba'!$I$30,OR(H3717="Dana riba",H3717="Pinjam uang riba",I3717="Pinjam dari uang riba",I3717="Ganti uang riba",I3717="Kelebihan ganti dikembalikan",AND(C3717="Kantong Uang Riba",G3717="Pengeluaran"))),1,0)</f>
        <v/>
      </c>
      <c r="X3717" s="93">
        <f>IF(AND(B3717&lt;&gt;"",B3717&gt;='Buku Akun'!$H$4,B3717&lt;='Buku Akun'!$H$5,OR(C3717='Buku Akun'!$C$4,AND(D3717="Pindah",E3717='Buku Akun'!$C$4))),B3717+IF(AND(I3717="Selisih bunga",DAY(B3717)=1),0,0.01)+ROW()/10000000,"")</f>
        <v/>
      </c>
    </row>
    <row r="3718" outlineLevel="1" ht="15" customHeight="1" s="94">
      <c r="A3718" s="123">
        <f>IF(B3718="","",ROW()-15)</f>
        <v/>
      </c>
      <c r="B3718" s="124" t="n"/>
      <c r="C3718" s="123" t="n"/>
      <c r="D3718" s="123" t="n"/>
      <c r="E3718" s="123" t="n"/>
      <c r="F3718" s="125" t="n"/>
      <c r="G3718" s="123" t="n"/>
      <c r="H3718" s="123" t="n"/>
      <c r="I3718" s="123" t="n"/>
      <c r="J3718" s="123" t="n"/>
      <c r="K3718" s="123" t="n"/>
      <c r="L3718" s="123" t="n"/>
      <c r="M3718" s="123">
        <f>IF(AND(B3718&lt;&gt;"",OR($C$4="",ISNUMBER(SEARCH($C$4,C3718&amp;" "&amp;E3718&amp;" "&amp;G3718&amp;" "&amp;H3718&amp;" "&amp;I3718&amp;" "&amp;J3718&amp;" "&amp;K3718&amp;" "&amp;L3718))),OR($C$5="Semua",$C$5="",G3718=$C$5),OR($C$6="Semua",$C$6="",H3718=$C$6,H3718="Pengeluaran "&amp;$C$6,AND($C$6="Uang Kos Mama",H3718="Pengeluaran Uang Kos")),OR($C$7="Semua",$C$7="",I3718=$C$7),OR($C$8="Semua",$C$8="",C3718=$C$8,E3718=$C$8),OR($C$9="Semua",$C$9="",D3718=$C$9),OR($C$10="",B3718&gt;=$C$10),OR($C$11="",B3718&lt;=$C$11),OR($C$12&lt;&gt;"Ya",K3718&lt;&gt;""),OR($C$13="Semua",$C$13="",L3718=$C$13)),"✓","")</f>
        <v/>
      </c>
      <c r="N3718" s="93">
        <f>N(N3717)+IF(M3718="✓",1,0)</f>
        <v/>
      </c>
      <c r="O3718" s="93">
        <f>N(O3717)+IF(AND(B3718&lt;&gt;"",B3718&gt;='Uang Riba'!$H$30,B3718&lt;='Uang Riba'!$I$30,OR(H3718="Dana riba",H3718="Pinjam uang riba",I3718="Pinjam dari uang riba",I3718="Ganti uang riba",I3718="Kelebihan ganti dikembalikan",AND(C3718="Kantong Uang Riba",G3718="Pengeluaran"))),1,0)</f>
        <v/>
      </c>
      <c r="X3718" s="93">
        <f>IF(AND(B3718&lt;&gt;"",B3718&gt;='Buku Akun'!$H$4,B3718&lt;='Buku Akun'!$H$5,OR(C3718='Buku Akun'!$C$4,AND(D3718="Pindah",E3718='Buku Akun'!$C$4))),B3718+IF(AND(I3718="Selisih bunga",DAY(B3718)=1),0,0.01)+ROW()/10000000,"")</f>
        <v/>
      </c>
    </row>
    <row r="3719" outlineLevel="1" ht="15" customHeight="1" s="94">
      <c r="A3719" s="123">
        <f>IF(B3719="","",ROW()-15)</f>
        <v/>
      </c>
      <c r="B3719" s="124" t="n"/>
      <c r="C3719" s="123" t="n"/>
      <c r="D3719" s="123" t="n"/>
      <c r="E3719" s="123" t="n"/>
      <c r="F3719" s="125" t="n"/>
      <c r="G3719" s="123" t="n"/>
      <c r="H3719" s="123" t="n"/>
      <c r="I3719" s="123" t="n"/>
      <c r="J3719" s="123" t="n"/>
      <c r="K3719" s="123" t="n"/>
      <c r="L3719" s="123" t="n"/>
      <c r="M3719" s="123">
        <f>IF(AND(B3719&lt;&gt;"",OR($C$4="",ISNUMBER(SEARCH($C$4,C3719&amp;" "&amp;E3719&amp;" "&amp;G3719&amp;" "&amp;H3719&amp;" "&amp;I3719&amp;" "&amp;J3719&amp;" "&amp;K3719&amp;" "&amp;L3719))),OR($C$5="Semua",$C$5="",G3719=$C$5),OR($C$6="Semua",$C$6="",H3719=$C$6,H3719="Pengeluaran "&amp;$C$6,AND($C$6="Uang Kos Mama",H3719="Pengeluaran Uang Kos")),OR($C$7="Semua",$C$7="",I3719=$C$7),OR($C$8="Semua",$C$8="",C3719=$C$8,E3719=$C$8),OR($C$9="Semua",$C$9="",D3719=$C$9),OR($C$10="",B3719&gt;=$C$10),OR($C$11="",B3719&lt;=$C$11),OR($C$12&lt;&gt;"Ya",K3719&lt;&gt;""),OR($C$13="Semua",$C$13="",L3719=$C$13)),"✓","")</f>
        <v/>
      </c>
      <c r="N3719" s="93">
        <f>N(N3718)+IF(M3719="✓",1,0)</f>
        <v/>
      </c>
      <c r="O3719" s="93">
        <f>N(O3718)+IF(AND(B3719&lt;&gt;"",B3719&gt;='Uang Riba'!$H$30,B3719&lt;='Uang Riba'!$I$30,OR(H3719="Dana riba",H3719="Pinjam uang riba",I3719="Pinjam dari uang riba",I3719="Ganti uang riba",I3719="Kelebihan ganti dikembalikan",AND(C3719="Kantong Uang Riba",G3719="Pengeluaran"))),1,0)</f>
        <v/>
      </c>
      <c r="X3719" s="93">
        <f>IF(AND(B3719&lt;&gt;"",B3719&gt;='Buku Akun'!$H$4,B3719&lt;='Buku Akun'!$H$5,OR(C3719='Buku Akun'!$C$4,AND(D3719="Pindah",E3719='Buku Akun'!$C$4))),B3719+IF(AND(I3719="Selisih bunga",DAY(B3719)=1),0,0.01)+ROW()/10000000,"")</f>
        <v/>
      </c>
    </row>
    <row r="3720" outlineLevel="1" ht="15" customHeight="1" s="94">
      <c r="A3720" s="123">
        <f>IF(B3720="","",ROW()-15)</f>
        <v/>
      </c>
      <c r="B3720" s="124" t="n"/>
      <c r="C3720" s="123" t="n"/>
      <c r="D3720" s="123" t="n"/>
      <c r="E3720" s="123" t="n"/>
      <c r="F3720" s="125" t="n"/>
      <c r="G3720" s="123" t="n"/>
      <c r="H3720" s="123" t="n"/>
      <c r="I3720" s="123" t="n"/>
      <c r="J3720" s="123" t="n"/>
      <c r="K3720" s="123" t="n"/>
      <c r="L3720" s="123" t="n"/>
      <c r="M3720" s="123">
        <f>IF(AND(B3720&lt;&gt;"",OR($C$4="",ISNUMBER(SEARCH($C$4,C3720&amp;" "&amp;E3720&amp;" "&amp;G3720&amp;" "&amp;H3720&amp;" "&amp;I3720&amp;" "&amp;J3720&amp;" "&amp;K3720&amp;" "&amp;L3720))),OR($C$5="Semua",$C$5="",G3720=$C$5),OR($C$6="Semua",$C$6="",H3720=$C$6,H3720="Pengeluaran "&amp;$C$6,AND($C$6="Uang Kos Mama",H3720="Pengeluaran Uang Kos")),OR($C$7="Semua",$C$7="",I3720=$C$7),OR($C$8="Semua",$C$8="",C3720=$C$8,E3720=$C$8),OR($C$9="Semua",$C$9="",D3720=$C$9),OR($C$10="",B3720&gt;=$C$10),OR($C$11="",B3720&lt;=$C$11),OR($C$12&lt;&gt;"Ya",K3720&lt;&gt;""),OR($C$13="Semua",$C$13="",L3720=$C$13)),"✓","")</f>
        <v/>
      </c>
      <c r="N3720" s="93">
        <f>N(N3719)+IF(M3720="✓",1,0)</f>
        <v/>
      </c>
      <c r="O3720" s="93">
        <f>N(O3719)+IF(AND(B3720&lt;&gt;"",B3720&gt;='Uang Riba'!$H$30,B3720&lt;='Uang Riba'!$I$30,OR(H3720="Dana riba",H3720="Pinjam uang riba",I3720="Pinjam dari uang riba",I3720="Ganti uang riba",I3720="Kelebihan ganti dikembalikan",AND(C3720="Kantong Uang Riba",G3720="Pengeluaran"))),1,0)</f>
        <v/>
      </c>
      <c r="X3720" s="93">
        <f>IF(AND(B3720&lt;&gt;"",B3720&gt;='Buku Akun'!$H$4,B3720&lt;='Buku Akun'!$H$5,OR(C3720='Buku Akun'!$C$4,AND(D3720="Pindah",E3720='Buku Akun'!$C$4))),B3720+IF(AND(I3720="Selisih bunga",DAY(B3720)=1),0,0.01)+ROW()/10000000,"")</f>
        <v/>
      </c>
    </row>
    <row r="3721" outlineLevel="1" ht="15" customHeight="1" s="94">
      <c r="A3721" s="123">
        <f>IF(B3721="","",ROW()-15)</f>
        <v/>
      </c>
      <c r="B3721" s="124" t="n"/>
      <c r="C3721" s="123" t="n"/>
      <c r="D3721" s="123" t="n"/>
      <c r="E3721" s="123" t="n"/>
      <c r="F3721" s="125" t="n"/>
      <c r="G3721" s="123" t="n"/>
      <c r="H3721" s="123" t="n"/>
      <c r="I3721" s="123" t="n"/>
      <c r="J3721" s="123" t="n"/>
      <c r="K3721" s="123" t="n"/>
      <c r="L3721" s="123" t="n"/>
      <c r="M3721" s="123">
        <f>IF(AND(B3721&lt;&gt;"",OR($C$4="",ISNUMBER(SEARCH($C$4,C3721&amp;" "&amp;E3721&amp;" "&amp;G3721&amp;" "&amp;H3721&amp;" "&amp;I3721&amp;" "&amp;J3721&amp;" "&amp;K3721&amp;" "&amp;L3721))),OR($C$5="Semua",$C$5="",G3721=$C$5),OR($C$6="Semua",$C$6="",H3721=$C$6,H3721="Pengeluaran "&amp;$C$6,AND($C$6="Uang Kos Mama",H3721="Pengeluaran Uang Kos")),OR($C$7="Semua",$C$7="",I3721=$C$7),OR($C$8="Semua",$C$8="",C3721=$C$8,E3721=$C$8),OR($C$9="Semua",$C$9="",D3721=$C$9),OR($C$10="",B3721&gt;=$C$10),OR($C$11="",B3721&lt;=$C$11),OR($C$12&lt;&gt;"Ya",K3721&lt;&gt;""),OR($C$13="Semua",$C$13="",L3721=$C$13)),"✓","")</f>
        <v/>
      </c>
      <c r="N3721" s="93">
        <f>N(N3720)+IF(M3721="✓",1,0)</f>
        <v/>
      </c>
      <c r="O3721" s="93">
        <f>N(O3720)+IF(AND(B3721&lt;&gt;"",B3721&gt;='Uang Riba'!$H$30,B3721&lt;='Uang Riba'!$I$30,OR(H3721="Dana riba",H3721="Pinjam uang riba",I3721="Pinjam dari uang riba",I3721="Ganti uang riba",I3721="Kelebihan ganti dikembalikan",AND(C3721="Kantong Uang Riba",G3721="Pengeluaran"))),1,0)</f>
        <v/>
      </c>
      <c r="X3721" s="93">
        <f>IF(AND(B3721&lt;&gt;"",B3721&gt;='Buku Akun'!$H$4,B3721&lt;='Buku Akun'!$H$5,OR(C3721='Buku Akun'!$C$4,AND(D3721="Pindah",E3721='Buku Akun'!$C$4))),B3721+IF(AND(I3721="Selisih bunga",DAY(B3721)=1),0,0.01)+ROW()/10000000,"")</f>
        <v/>
      </c>
    </row>
    <row r="3722" outlineLevel="1" ht="15" customHeight="1" s="94">
      <c r="A3722" s="123">
        <f>IF(B3722="","",ROW()-15)</f>
        <v/>
      </c>
      <c r="B3722" s="124" t="n"/>
      <c r="C3722" s="123" t="n"/>
      <c r="D3722" s="123" t="n"/>
      <c r="E3722" s="123" t="n"/>
      <c r="F3722" s="125" t="n"/>
      <c r="G3722" s="123" t="n"/>
      <c r="H3722" s="123" t="n"/>
      <c r="I3722" s="123" t="n"/>
      <c r="J3722" s="123" t="n"/>
      <c r="K3722" s="123" t="n"/>
      <c r="L3722" s="123" t="n"/>
      <c r="M3722" s="123">
        <f>IF(AND(B3722&lt;&gt;"",OR($C$4="",ISNUMBER(SEARCH($C$4,C3722&amp;" "&amp;E3722&amp;" "&amp;G3722&amp;" "&amp;H3722&amp;" "&amp;I3722&amp;" "&amp;J3722&amp;" "&amp;K3722&amp;" "&amp;L3722))),OR($C$5="Semua",$C$5="",G3722=$C$5),OR($C$6="Semua",$C$6="",H3722=$C$6,H3722="Pengeluaran "&amp;$C$6,AND($C$6="Uang Kos Mama",H3722="Pengeluaran Uang Kos")),OR($C$7="Semua",$C$7="",I3722=$C$7),OR($C$8="Semua",$C$8="",C3722=$C$8,E3722=$C$8),OR($C$9="Semua",$C$9="",D3722=$C$9),OR($C$10="",B3722&gt;=$C$10),OR($C$11="",B3722&lt;=$C$11),OR($C$12&lt;&gt;"Ya",K3722&lt;&gt;""),OR($C$13="Semua",$C$13="",L3722=$C$13)),"✓","")</f>
        <v/>
      </c>
      <c r="N3722" s="93">
        <f>N(N3721)+IF(M3722="✓",1,0)</f>
        <v/>
      </c>
      <c r="O3722" s="93">
        <f>N(O3721)+IF(AND(B3722&lt;&gt;"",B3722&gt;='Uang Riba'!$H$30,B3722&lt;='Uang Riba'!$I$30,OR(H3722="Dana riba",H3722="Pinjam uang riba",I3722="Pinjam dari uang riba",I3722="Ganti uang riba",I3722="Kelebihan ganti dikembalikan",AND(C3722="Kantong Uang Riba",G3722="Pengeluaran"))),1,0)</f>
        <v/>
      </c>
      <c r="X3722" s="93">
        <f>IF(AND(B3722&lt;&gt;"",B3722&gt;='Buku Akun'!$H$4,B3722&lt;='Buku Akun'!$H$5,OR(C3722='Buku Akun'!$C$4,AND(D3722="Pindah",E3722='Buku Akun'!$C$4))),B3722+IF(AND(I3722="Selisih bunga",DAY(B3722)=1),0,0.01)+ROW()/10000000,"")</f>
        <v/>
      </c>
    </row>
    <row r="3723" outlineLevel="1" ht="15" customHeight="1" s="94">
      <c r="A3723" s="123">
        <f>IF(B3723="","",ROW()-15)</f>
        <v/>
      </c>
      <c r="B3723" s="124" t="n"/>
      <c r="C3723" s="123" t="n"/>
      <c r="D3723" s="123" t="n"/>
      <c r="E3723" s="123" t="n"/>
      <c r="F3723" s="125" t="n"/>
      <c r="G3723" s="123" t="n"/>
      <c r="H3723" s="123" t="n"/>
      <c r="I3723" s="123" t="n"/>
      <c r="J3723" s="123" t="n"/>
      <c r="K3723" s="123" t="n"/>
      <c r="L3723" s="123" t="n"/>
      <c r="M3723" s="123">
        <f>IF(AND(B3723&lt;&gt;"",OR($C$4="",ISNUMBER(SEARCH($C$4,C3723&amp;" "&amp;E3723&amp;" "&amp;G3723&amp;" "&amp;H3723&amp;" "&amp;I3723&amp;" "&amp;J3723&amp;" "&amp;K3723&amp;" "&amp;L3723))),OR($C$5="Semua",$C$5="",G3723=$C$5),OR($C$6="Semua",$C$6="",H3723=$C$6,H3723="Pengeluaran "&amp;$C$6,AND($C$6="Uang Kos Mama",H3723="Pengeluaran Uang Kos")),OR($C$7="Semua",$C$7="",I3723=$C$7),OR($C$8="Semua",$C$8="",C3723=$C$8,E3723=$C$8),OR($C$9="Semua",$C$9="",D3723=$C$9),OR($C$10="",B3723&gt;=$C$10),OR($C$11="",B3723&lt;=$C$11),OR($C$12&lt;&gt;"Ya",K3723&lt;&gt;""),OR($C$13="Semua",$C$13="",L3723=$C$13)),"✓","")</f>
        <v/>
      </c>
      <c r="N3723" s="93">
        <f>N(N3722)+IF(M3723="✓",1,0)</f>
        <v/>
      </c>
      <c r="O3723" s="93">
        <f>N(O3722)+IF(AND(B3723&lt;&gt;"",B3723&gt;='Uang Riba'!$H$30,B3723&lt;='Uang Riba'!$I$30,OR(H3723="Dana riba",H3723="Pinjam uang riba",I3723="Pinjam dari uang riba",I3723="Ganti uang riba",I3723="Kelebihan ganti dikembalikan",AND(C3723="Kantong Uang Riba",G3723="Pengeluaran"))),1,0)</f>
        <v/>
      </c>
      <c r="X3723" s="93">
        <f>IF(AND(B3723&lt;&gt;"",B3723&gt;='Buku Akun'!$H$4,B3723&lt;='Buku Akun'!$H$5,OR(C3723='Buku Akun'!$C$4,AND(D3723="Pindah",E3723='Buku Akun'!$C$4))),B3723+IF(AND(I3723="Selisih bunga",DAY(B3723)=1),0,0.01)+ROW()/10000000,"")</f>
        <v/>
      </c>
    </row>
    <row r="3724" outlineLevel="1" ht="15" customHeight="1" s="94">
      <c r="A3724" s="123">
        <f>IF(B3724="","",ROW()-15)</f>
        <v/>
      </c>
      <c r="B3724" s="124" t="n"/>
      <c r="C3724" s="123" t="n"/>
      <c r="D3724" s="123" t="n"/>
      <c r="E3724" s="123" t="n"/>
      <c r="F3724" s="125" t="n"/>
      <c r="G3724" s="123" t="n"/>
      <c r="H3724" s="123" t="n"/>
      <c r="I3724" s="123" t="n"/>
      <c r="J3724" s="123" t="n"/>
      <c r="K3724" s="123" t="n"/>
      <c r="L3724" s="123" t="n"/>
      <c r="M3724" s="123">
        <f>IF(AND(B3724&lt;&gt;"",OR($C$4="",ISNUMBER(SEARCH($C$4,C3724&amp;" "&amp;E3724&amp;" "&amp;G3724&amp;" "&amp;H3724&amp;" "&amp;I3724&amp;" "&amp;J3724&amp;" "&amp;K3724&amp;" "&amp;L3724))),OR($C$5="Semua",$C$5="",G3724=$C$5),OR($C$6="Semua",$C$6="",H3724=$C$6,H3724="Pengeluaran "&amp;$C$6,AND($C$6="Uang Kos Mama",H3724="Pengeluaran Uang Kos")),OR($C$7="Semua",$C$7="",I3724=$C$7),OR($C$8="Semua",$C$8="",C3724=$C$8,E3724=$C$8),OR($C$9="Semua",$C$9="",D3724=$C$9),OR($C$10="",B3724&gt;=$C$10),OR($C$11="",B3724&lt;=$C$11),OR($C$12&lt;&gt;"Ya",K3724&lt;&gt;""),OR($C$13="Semua",$C$13="",L3724=$C$13)),"✓","")</f>
        <v/>
      </c>
      <c r="N3724" s="93">
        <f>N(N3723)+IF(M3724="✓",1,0)</f>
        <v/>
      </c>
      <c r="O3724" s="93">
        <f>N(O3723)+IF(AND(B3724&lt;&gt;"",B3724&gt;='Uang Riba'!$H$30,B3724&lt;='Uang Riba'!$I$30,OR(H3724="Dana riba",H3724="Pinjam uang riba",I3724="Pinjam dari uang riba",I3724="Ganti uang riba",I3724="Kelebihan ganti dikembalikan",AND(C3724="Kantong Uang Riba",G3724="Pengeluaran"))),1,0)</f>
        <v/>
      </c>
      <c r="X3724" s="93">
        <f>IF(AND(B3724&lt;&gt;"",B3724&gt;='Buku Akun'!$H$4,B3724&lt;='Buku Akun'!$H$5,OR(C3724='Buku Akun'!$C$4,AND(D3724="Pindah",E3724='Buku Akun'!$C$4))),B3724+IF(AND(I3724="Selisih bunga",DAY(B3724)=1),0,0.01)+ROW()/10000000,"")</f>
        <v/>
      </c>
    </row>
    <row r="3725" outlineLevel="1" ht="15" customHeight="1" s="94">
      <c r="A3725" s="123">
        <f>IF(B3725="","",ROW()-15)</f>
        <v/>
      </c>
      <c r="B3725" s="124" t="n"/>
      <c r="C3725" s="123" t="n"/>
      <c r="D3725" s="123" t="n"/>
      <c r="E3725" s="123" t="n"/>
      <c r="F3725" s="125" t="n"/>
      <c r="G3725" s="123" t="n"/>
      <c r="H3725" s="123" t="n"/>
      <c r="I3725" s="123" t="n"/>
      <c r="J3725" s="123" t="n"/>
      <c r="K3725" s="123" t="n"/>
      <c r="L3725" s="123" t="n"/>
      <c r="M3725" s="123">
        <f>IF(AND(B3725&lt;&gt;"",OR($C$4="",ISNUMBER(SEARCH($C$4,C3725&amp;" "&amp;E3725&amp;" "&amp;G3725&amp;" "&amp;H3725&amp;" "&amp;I3725&amp;" "&amp;J3725&amp;" "&amp;K3725&amp;" "&amp;L3725))),OR($C$5="Semua",$C$5="",G3725=$C$5),OR($C$6="Semua",$C$6="",H3725=$C$6,H3725="Pengeluaran "&amp;$C$6,AND($C$6="Uang Kos Mama",H3725="Pengeluaran Uang Kos")),OR($C$7="Semua",$C$7="",I3725=$C$7),OR($C$8="Semua",$C$8="",C3725=$C$8,E3725=$C$8),OR($C$9="Semua",$C$9="",D3725=$C$9),OR($C$10="",B3725&gt;=$C$10),OR($C$11="",B3725&lt;=$C$11),OR($C$12&lt;&gt;"Ya",K3725&lt;&gt;""),OR($C$13="Semua",$C$13="",L3725=$C$13)),"✓","")</f>
        <v/>
      </c>
      <c r="N3725" s="93">
        <f>N(N3724)+IF(M3725="✓",1,0)</f>
        <v/>
      </c>
      <c r="O3725" s="93">
        <f>N(O3724)+IF(AND(B3725&lt;&gt;"",B3725&gt;='Uang Riba'!$H$30,B3725&lt;='Uang Riba'!$I$30,OR(H3725="Dana riba",H3725="Pinjam uang riba",I3725="Pinjam dari uang riba",I3725="Ganti uang riba",I3725="Kelebihan ganti dikembalikan",AND(C3725="Kantong Uang Riba",G3725="Pengeluaran"))),1,0)</f>
        <v/>
      </c>
      <c r="X3725" s="93">
        <f>IF(AND(B3725&lt;&gt;"",B3725&gt;='Buku Akun'!$H$4,B3725&lt;='Buku Akun'!$H$5,OR(C3725='Buku Akun'!$C$4,AND(D3725="Pindah",E3725='Buku Akun'!$C$4))),B3725+IF(AND(I3725="Selisih bunga",DAY(B3725)=1),0,0.01)+ROW()/10000000,"")</f>
        <v/>
      </c>
    </row>
    <row r="3726" outlineLevel="1" ht="15" customHeight="1" s="94">
      <c r="A3726" s="123">
        <f>IF(B3726="","",ROW()-15)</f>
        <v/>
      </c>
      <c r="B3726" s="124" t="n"/>
      <c r="C3726" s="123" t="n"/>
      <c r="D3726" s="123" t="n"/>
      <c r="E3726" s="123" t="n"/>
      <c r="F3726" s="125" t="n"/>
      <c r="G3726" s="123" t="n"/>
      <c r="H3726" s="123" t="n"/>
      <c r="I3726" s="123" t="n"/>
      <c r="J3726" s="123" t="n"/>
      <c r="K3726" s="123" t="n"/>
      <c r="L3726" s="123" t="n"/>
      <c r="M3726" s="123">
        <f>IF(AND(B3726&lt;&gt;"",OR($C$4="",ISNUMBER(SEARCH($C$4,C3726&amp;" "&amp;E3726&amp;" "&amp;G3726&amp;" "&amp;H3726&amp;" "&amp;I3726&amp;" "&amp;J3726&amp;" "&amp;K3726&amp;" "&amp;L3726))),OR($C$5="Semua",$C$5="",G3726=$C$5),OR($C$6="Semua",$C$6="",H3726=$C$6,H3726="Pengeluaran "&amp;$C$6,AND($C$6="Uang Kos Mama",H3726="Pengeluaran Uang Kos")),OR($C$7="Semua",$C$7="",I3726=$C$7),OR($C$8="Semua",$C$8="",C3726=$C$8,E3726=$C$8),OR($C$9="Semua",$C$9="",D3726=$C$9),OR($C$10="",B3726&gt;=$C$10),OR($C$11="",B3726&lt;=$C$11),OR($C$12&lt;&gt;"Ya",K3726&lt;&gt;""),OR($C$13="Semua",$C$13="",L3726=$C$13)),"✓","")</f>
        <v/>
      </c>
      <c r="N3726" s="93">
        <f>N(N3725)+IF(M3726="✓",1,0)</f>
        <v/>
      </c>
      <c r="O3726" s="93">
        <f>N(O3725)+IF(AND(B3726&lt;&gt;"",B3726&gt;='Uang Riba'!$H$30,B3726&lt;='Uang Riba'!$I$30,OR(H3726="Dana riba",H3726="Pinjam uang riba",I3726="Pinjam dari uang riba",I3726="Ganti uang riba",I3726="Kelebihan ganti dikembalikan",AND(C3726="Kantong Uang Riba",G3726="Pengeluaran"))),1,0)</f>
        <v/>
      </c>
      <c r="X3726" s="93">
        <f>IF(AND(B3726&lt;&gt;"",B3726&gt;='Buku Akun'!$H$4,B3726&lt;='Buku Akun'!$H$5,OR(C3726='Buku Akun'!$C$4,AND(D3726="Pindah",E3726='Buku Akun'!$C$4))),B3726+IF(AND(I3726="Selisih bunga",DAY(B3726)=1),0,0.01)+ROW()/10000000,"")</f>
        <v/>
      </c>
    </row>
    <row r="3727" outlineLevel="1" ht="15" customHeight="1" s="94">
      <c r="A3727" s="123">
        <f>IF(B3727="","",ROW()-15)</f>
        <v/>
      </c>
      <c r="B3727" s="124" t="n"/>
      <c r="C3727" s="123" t="n"/>
      <c r="D3727" s="123" t="n"/>
      <c r="E3727" s="123" t="n"/>
      <c r="F3727" s="125" t="n"/>
      <c r="G3727" s="123" t="n"/>
      <c r="H3727" s="123" t="n"/>
      <c r="I3727" s="123" t="n"/>
      <c r="J3727" s="123" t="n"/>
      <c r="K3727" s="123" t="n"/>
      <c r="L3727" s="123" t="n"/>
      <c r="M3727" s="123">
        <f>IF(AND(B3727&lt;&gt;"",OR($C$4="",ISNUMBER(SEARCH($C$4,C3727&amp;" "&amp;E3727&amp;" "&amp;G3727&amp;" "&amp;H3727&amp;" "&amp;I3727&amp;" "&amp;J3727&amp;" "&amp;K3727&amp;" "&amp;L3727))),OR($C$5="Semua",$C$5="",G3727=$C$5),OR($C$6="Semua",$C$6="",H3727=$C$6,H3727="Pengeluaran "&amp;$C$6,AND($C$6="Uang Kos Mama",H3727="Pengeluaran Uang Kos")),OR($C$7="Semua",$C$7="",I3727=$C$7),OR($C$8="Semua",$C$8="",C3727=$C$8,E3727=$C$8),OR($C$9="Semua",$C$9="",D3727=$C$9),OR($C$10="",B3727&gt;=$C$10),OR($C$11="",B3727&lt;=$C$11),OR($C$12&lt;&gt;"Ya",K3727&lt;&gt;""),OR($C$13="Semua",$C$13="",L3727=$C$13)),"✓","")</f>
        <v/>
      </c>
      <c r="N3727" s="93">
        <f>N(N3726)+IF(M3727="✓",1,0)</f>
        <v/>
      </c>
      <c r="O3727" s="93">
        <f>N(O3726)+IF(AND(B3727&lt;&gt;"",B3727&gt;='Uang Riba'!$H$30,B3727&lt;='Uang Riba'!$I$30,OR(H3727="Dana riba",H3727="Pinjam uang riba",I3727="Pinjam dari uang riba",I3727="Ganti uang riba",I3727="Kelebihan ganti dikembalikan",AND(C3727="Kantong Uang Riba",G3727="Pengeluaran"))),1,0)</f>
        <v/>
      </c>
      <c r="X3727" s="93">
        <f>IF(AND(B3727&lt;&gt;"",B3727&gt;='Buku Akun'!$H$4,B3727&lt;='Buku Akun'!$H$5,OR(C3727='Buku Akun'!$C$4,AND(D3727="Pindah",E3727='Buku Akun'!$C$4))),B3727+IF(AND(I3727="Selisih bunga",DAY(B3727)=1),0,0.01)+ROW()/10000000,"")</f>
        <v/>
      </c>
    </row>
    <row r="3728" outlineLevel="1" ht="15" customHeight="1" s="94">
      <c r="A3728" s="123">
        <f>IF(B3728="","",ROW()-15)</f>
        <v/>
      </c>
      <c r="B3728" s="124" t="n"/>
      <c r="C3728" s="123" t="n"/>
      <c r="D3728" s="123" t="n"/>
      <c r="E3728" s="123" t="n"/>
      <c r="F3728" s="125" t="n"/>
      <c r="G3728" s="123" t="n"/>
      <c r="H3728" s="123" t="n"/>
      <c r="I3728" s="123" t="n"/>
      <c r="J3728" s="123" t="n"/>
      <c r="K3728" s="123" t="n"/>
      <c r="L3728" s="123" t="n"/>
      <c r="M3728" s="123">
        <f>IF(AND(B3728&lt;&gt;"",OR($C$4="",ISNUMBER(SEARCH($C$4,C3728&amp;" "&amp;E3728&amp;" "&amp;G3728&amp;" "&amp;H3728&amp;" "&amp;I3728&amp;" "&amp;J3728&amp;" "&amp;K3728&amp;" "&amp;L3728))),OR($C$5="Semua",$C$5="",G3728=$C$5),OR($C$6="Semua",$C$6="",H3728=$C$6,H3728="Pengeluaran "&amp;$C$6,AND($C$6="Uang Kos Mama",H3728="Pengeluaran Uang Kos")),OR($C$7="Semua",$C$7="",I3728=$C$7),OR($C$8="Semua",$C$8="",C3728=$C$8,E3728=$C$8),OR($C$9="Semua",$C$9="",D3728=$C$9),OR($C$10="",B3728&gt;=$C$10),OR($C$11="",B3728&lt;=$C$11),OR($C$12&lt;&gt;"Ya",K3728&lt;&gt;""),OR($C$13="Semua",$C$13="",L3728=$C$13)),"✓","")</f>
        <v/>
      </c>
      <c r="N3728" s="93">
        <f>N(N3727)+IF(M3728="✓",1,0)</f>
        <v/>
      </c>
      <c r="O3728" s="93">
        <f>N(O3727)+IF(AND(B3728&lt;&gt;"",B3728&gt;='Uang Riba'!$H$30,B3728&lt;='Uang Riba'!$I$30,OR(H3728="Dana riba",H3728="Pinjam uang riba",I3728="Pinjam dari uang riba",I3728="Ganti uang riba",I3728="Kelebihan ganti dikembalikan",AND(C3728="Kantong Uang Riba",G3728="Pengeluaran"))),1,0)</f>
        <v/>
      </c>
      <c r="X3728" s="93">
        <f>IF(AND(B3728&lt;&gt;"",B3728&gt;='Buku Akun'!$H$4,B3728&lt;='Buku Akun'!$H$5,OR(C3728='Buku Akun'!$C$4,AND(D3728="Pindah",E3728='Buku Akun'!$C$4))),B3728+IF(AND(I3728="Selisih bunga",DAY(B3728)=1),0,0.01)+ROW()/10000000,"")</f>
        <v/>
      </c>
    </row>
    <row r="3729" outlineLevel="1" ht="15" customHeight="1" s="94">
      <c r="A3729" s="123">
        <f>IF(B3729="","",ROW()-15)</f>
        <v/>
      </c>
      <c r="B3729" s="124" t="n"/>
      <c r="C3729" s="123" t="n"/>
      <c r="D3729" s="123" t="n"/>
      <c r="E3729" s="123" t="n"/>
      <c r="F3729" s="125" t="n"/>
      <c r="G3729" s="123" t="n"/>
      <c r="H3729" s="123" t="n"/>
      <c r="I3729" s="123" t="n"/>
      <c r="J3729" s="123" t="n"/>
      <c r="K3729" s="123" t="n"/>
      <c r="L3729" s="123" t="n"/>
      <c r="M3729" s="123">
        <f>IF(AND(B3729&lt;&gt;"",OR($C$4="",ISNUMBER(SEARCH($C$4,C3729&amp;" "&amp;E3729&amp;" "&amp;G3729&amp;" "&amp;H3729&amp;" "&amp;I3729&amp;" "&amp;J3729&amp;" "&amp;K3729&amp;" "&amp;L3729))),OR($C$5="Semua",$C$5="",G3729=$C$5),OR($C$6="Semua",$C$6="",H3729=$C$6,H3729="Pengeluaran "&amp;$C$6,AND($C$6="Uang Kos Mama",H3729="Pengeluaran Uang Kos")),OR($C$7="Semua",$C$7="",I3729=$C$7),OR($C$8="Semua",$C$8="",C3729=$C$8,E3729=$C$8),OR($C$9="Semua",$C$9="",D3729=$C$9),OR($C$10="",B3729&gt;=$C$10),OR($C$11="",B3729&lt;=$C$11),OR($C$12&lt;&gt;"Ya",K3729&lt;&gt;""),OR($C$13="Semua",$C$13="",L3729=$C$13)),"✓","")</f>
        <v/>
      </c>
      <c r="N3729" s="93">
        <f>N(N3728)+IF(M3729="✓",1,0)</f>
        <v/>
      </c>
      <c r="O3729" s="93">
        <f>N(O3728)+IF(AND(B3729&lt;&gt;"",B3729&gt;='Uang Riba'!$H$30,B3729&lt;='Uang Riba'!$I$30,OR(H3729="Dana riba",H3729="Pinjam uang riba",I3729="Pinjam dari uang riba",I3729="Ganti uang riba",I3729="Kelebihan ganti dikembalikan",AND(C3729="Kantong Uang Riba",G3729="Pengeluaran"))),1,0)</f>
        <v/>
      </c>
      <c r="X3729" s="93">
        <f>IF(AND(B3729&lt;&gt;"",B3729&gt;='Buku Akun'!$H$4,B3729&lt;='Buku Akun'!$H$5,OR(C3729='Buku Akun'!$C$4,AND(D3729="Pindah",E3729='Buku Akun'!$C$4))),B3729+IF(AND(I3729="Selisih bunga",DAY(B3729)=1),0,0.01)+ROW()/10000000,"")</f>
        <v/>
      </c>
    </row>
    <row r="3730" outlineLevel="1" ht="15" customHeight="1" s="94">
      <c r="A3730" s="123">
        <f>IF(B3730="","",ROW()-15)</f>
        <v/>
      </c>
      <c r="B3730" s="124" t="n"/>
      <c r="C3730" s="123" t="n"/>
      <c r="D3730" s="123" t="n"/>
      <c r="E3730" s="123" t="n"/>
      <c r="F3730" s="125" t="n"/>
      <c r="G3730" s="123" t="n"/>
      <c r="H3730" s="123" t="n"/>
      <c r="I3730" s="123" t="n"/>
      <c r="J3730" s="123" t="n"/>
      <c r="K3730" s="123" t="n"/>
      <c r="L3730" s="123" t="n"/>
      <c r="M3730" s="123">
        <f>IF(AND(B3730&lt;&gt;"",OR($C$4="",ISNUMBER(SEARCH($C$4,C3730&amp;" "&amp;E3730&amp;" "&amp;G3730&amp;" "&amp;H3730&amp;" "&amp;I3730&amp;" "&amp;J3730&amp;" "&amp;K3730&amp;" "&amp;L3730))),OR($C$5="Semua",$C$5="",G3730=$C$5),OR($C$6="Semua",$C$6="",H3730=$C$6,H3730="Pengeluaran "&amp;$C$6,AND($C$6="Uang Kos Mama",H3730="Pengeluaran Uang Kos")),OR($C$7="Semua",$C$7="",I3730=$C$7),OR($C$8="Semua",$C$8="",C3730=$C$8,E3730=$C$8),OR($C$9="Semua",$C$9="",D3730=$C$9),OR($C$10="",B3730&gt;=$C$10),OR($C$11="",B3730&lt;=$C$11),OR($C$12&lt;&gt;"Ya",K3730&lt;&gt;""),OR($C$13="Semua",$C$13="",L3730=$C$13)),"✓","")</f>
        <v/>
      </c>
      <c r="N3730" s="93">
        <f>N(N3729)+IF(M3730="✓",1,0)</f>
        <v/>
      </c>
      <c r="O3730" s="93">
        <f>N(O3729)+IF(AND(B3730&lt;&gt;"",B3730&gt;='Uang Riba'!$H$30,B3730&lt;='Uang Riba'!$I$30,OR(H3730="Dana riba",H3730="Pinjam uang riba",I3730="Pinjam dari uang riba",I3730="Ganti uang riba",I3730="Kelebihan ganti dikembalikan",AND(C3730="Kantong Uang Riba",G3730="Pengeluaran"))),1,0)</f>
        <v/>
      </c>
      <c r="X3730" s="93">
        <f>IF(AND(B3730&lt;&gt;"",B3730&gt;='Buku Akun'!$H$4,B3730&lt;='Buku Akun'!$H$5,OR(C3730='Buku Akun'!$C$4,AND(D3730="Pindah",E3730='Buku Akun'!$C$4))),B3730+IF(AND(I3730="Selisih bunga",DAY(B3730)=1),0,0.01)+ROW()/10000000,"")</f>
        <v/>
      </c>
    </row>
    <row r="3731" outlineLevel="1" ht="15" customHeight="1" s="94">
      <c r="A3731" s="123">
        <f>IF(B3731="","",ROW()-15)</f>
        <v/>
      </c>
      <c r="B3731" s="124" t="n"/>
      <c r="C3731" s="123" t="n"/>
      <c r="D3731" s="123" t="n"/>
      <c r="E3731" s="123" t="n"/>
      <c r="F3731" s="125" t="n"/>
      <c r="G3731" s="123" t="n"/>
      <c r="H3731" s="123" t="n"/>
      <c r="I3731" s="123" t="n"/>
      <c r="J3731" s="123" t="n"/>
      <c r="K3731" s="123" t="n"/>
      <c r="L3731" s="123" t="n"/>
      <c r="M3731" s="123">
        <f>IF(AND(B3731&lt;&gt;"",OR($C$4="",ISNUMBER(SEARCH($C$4,C3731&amp;" "&amp;E3731&amp;" "&amp;G3731&amp;" "&amp;H3731&amp;" "&amp;I3731&amp;" "&amp;J3731&amp;" "&amp;K3731&amp;" "&amp;L3731))),OR($C$5="Semua",$C$5="",G3731=$C$5),OR($C$6="Semua",$C$6="",H3731=$C$6,H3731="Pengeluaran "&amp;$C$6,AND($C$6="Uang Kos Mama",H3731="Pengeluaran Uang Kos")),OR($C$7="Semua",$C$7="",I3731=$C$7),OR($C$8="Semua",$C$8="",C3731=$C$8,E3731=$C$8),OR($C$9="Semua",$C$9="",D3731=$C$9),OR($C$10="",B3731&gt;=$C$10),OR($C$11="",B3731&lt;=$C$11),OR($C$12&lt;&gt;"Ya",K3731&lt;&gt;""),OR($C$13="Semua",$C$13="",L3731=$C$13)),"✓","")</f>
        <v/>
      </c>
      <c r="N3731" s="93">
        <f>N(N3730)+IF(M3731="✓",1,0)</f>
        <v/>
      </c>
      <c r="O3731" s="93">
        <f>N(O3730)+IF(AND(B3731&lt;&gt;"",B3731&gt;='Uang Riba'!$H$30,B3731&lt;='Uang Riba'!$I$30,OR(H3731="Dana riba",H3731="Pinjam uang riba",I3731="Pinjam dari uang riba",I3731="Ganti uang riba",I3731="Kelebihan ganti dikembalikan",AND(C3731="Kantong Uang Riba",G3731="Pengeluaran"))),1,0)</f>
        <v/>
      </c>
      <c r="X3731" s="93">
        <f>IF(AND(B3731&lt;&gt;"",B3731&gt;='Buku Akun'!$H$4,B3731&lt;='Buku Akun'!$H$5,OR(C3731='Buku Akun'!$C$4,AND(D3731="Pindah",E3731='Buku Akun'!$C$4))),B3731+IF(AND(I3731="Selisih bunga",DAY(B3731)=1),0,0.01)+ROW()/10000000,"")</f>
        <v/>
      </c>
    </row>
    <row r="3732" outlineLevel="1" ht="15" customHeight="1" s="94">
      <c r="A3732" s="123">
        <f>IF(B3732="","",ROW()-15)</f>
        <v/>
      </c>
      <c r="B3732" s="124" t="n"/>
      <c r="C3732" s="123" t="n"/>
      <c r="D3732" s="123" t="n"/>
      <c r="E3732" s="123" t="n"/>
      <c r="F3732" s="125" t="n"/>
      <c r="G3732" s="123" t="n"/>
      <c r="H3732" s="123" t="n"/>
      <c r="I3732" s="123" t="n"/>
      <c r="J3732" s="123" t="n"/>
      <c r="K3732" s="123" t="n"/>
      <c r="L3732" s="123" t="n"/>
      <c r="M3732" s="123">
        <f>IF(AND(B3732&lt;&gt;"",OR($C$4="",ISNUMBER(SEARCH($C$4,C3732&amp;" "&amp;E3732&amp;" "&amp;G3732&amp;" "&amp;H3732&amp;" "&amp;I3732&amp;" "&amp;J3732&amp;" "&amp;K3732&amp;" "&amp;L3732))),OR($C$5="Semua",$C$5="",G3732=$C$5),OR($C$6="Semua",$C$6="",H3732=$C$6,H3732="Pengeluaran "&amp;$C$6,AND($C$6="Uang Kos Mama",H3732="Pengeluaran Uang Kos")),OR($C$7="Semua",$C$7="",I3732=$C$7),OR($C$8="Semua",$C$8="",C3732=$C$8,E3732=$C$8),OR($C$9="Semua",$C$9="",D3732=$C$9),OR($C$10="",B3732&gt;=$C$10),OR($C$11="",B3732&lt;=$C$11),OR($C$12&lt;&gt;"Ya",K3732&lt;&gt;""),OR($C$13="Semua",$C$13="",L3732=$C$13)),"✓","")</f>
        <v/>
      </c>
      <c r="N3732" s="93">
        <f>N(N3731)+IF(M3732="✓",1,0)</f>
        <v/>
      </c>
      <c r="O3732" s="93">
        <f>N(O3731)+IF(AND(B3732&lt;&gt;"",B3732&gt;='Uang Riba'!$H$30,B3732&lt;='Uang Riba'!$I$30,OR(H3732="Dana riba",H3732="Pinjam uang riba",I3732="Pinjam dari uang riba",I3732="Ganti uang riba",I3732="Kelebihan ganti dikembalikan",AND(C3732="Kantong Uang Riba",G3732="Pengeluaran"))),1,0)</f>
        <v/>
      </c>
      <c r="X3732" s="93">
        <f>IF(AND(B3732&lt;&gt;"",B3732&gt;='Buku Akun'!$H$4,B3732&lt;='Buku Akun'!$H$5,OR(C3732='Buku Akun'!$C$4,AND(D3732="Pindah",E3732='Buku Akun'!$C$4))),B3732+IF(AND(I3732="Selisih bunga",DAY(B3732)=1),0,0.01)+ROW()/10000000,"")</f>
        <v/>
      </c>
    </row>
    <row r="3733" outlineLevel="1" ht="15" customHeight="1" s="94">
      <c r="A3733" s="123">
        <f>IF(B3733="","",ROW()-15)</f>
        <v/>
      </c>
      <c r="B3733" s="124" t="n"/>
      <c r="C3733" s="123" t="n"/>
      <c r="D3733" s="123" t="n"/>
      <c r="E3733" s="123" t="n"/>
      <c r="F3733" s="125" t="n"/>
      <c r="G3733" s="123" t="n"/>
      <c r="H3733" s="123" t="n"/>
      <c r="I3733" s="123" t="n"/>
      <c r="J3733" s="123" t="n"/>
      <c r="K3733" s="123" t="n"/>
      <c r="L3733" s="123" t="n"/>
      <c r="M3733" s="123">
        <f>IF(AND(B3733&lt;&gt;"",OR($C$4="",ISNUMBER(SEARCH($C$4,C3733&amp;" "&amp;E3733&amp;" "&amp;G3733&amp;" "&amp;H3733&amp;" "&amp;I3733&amp;" "&amp;J3733&amp;" "&amp;K3733&amp;" "&amp;L3733))),OR($C$5="Semua",$C$5="",G3733=$C$5),OR($C$6="Semua",$C$6="",H3733=$C$6,H3733="Pengeluaran "&amp;$C$6,AND($C$6="Uang Kos Mama",H3733="Pengeluaran Uang Kos")),OR($C$7="Semua",$C$7="",I3733=$C$7),OR($C$8="Semua",$C$8="",C3733=$C$8,E3733=$C$8),OR($C$9="Semua",$C$9="",D3733=$C$9),OR($C$10="",B3733&gt;=$C$10),OR($C$11="",B3733&lt;=$C$11),OR($C$12&lt;&gt;"Ya",K3733&lt;&gt;""),OR($C$13="Semua",$C$13="",L3733=$C$13)),"✓","")</f>
        <v/>
      </c>
      <c r="N3733" s="93">
        <f>N(N3732)+IF(M3733="✓",1,0)</f>
        <v/>
      </c>
      <c r="O3733" s="93">
        <f>N(O3732)+IF(AND(B3733&lt;&gt;"",B3733&gt;='Uang Riba'!$H$30,B3733&lt;='Uang Riba'!$I$30,OR(H3733="Dana riba",H3733="Pinjam uang riba",I3733="Pinjam dari uang riba",I3733="Ganti uang riba",I3733="Kelebihan ganti dikembalikan",AND(C3733="Kantong Uang Riba",G3733="Pengeluaran"))),1,0)</f>
        <v/>
      </c>
      <c r="X3733" s="93">
        <f>IF(AND(B3733&lt;&gt;"",B3733&gt;='Buku Akun'!$H$4,B3733&lt;='Buku Akun'!$H$5,OR(C3733='Buku Akun'!$C$4,AND(D3733="Pindah",E3733='Buku Akun'!$C$4))),B3733+IF(AND(I3733="Selisih bunga",DAY(B3733)=1),0,0.01)+ROW()/10000000,"")</f>
        <v/>
      </c>
    </row>
    <row r="3734" outlineLevel="1" ht="15" customHeight="1" s="94">
      <c r="A3734" s="123">
        <f>IF(B3734="","",ROW()-15)</f>
        <v/>
      </c>
      <c r="B3734" s="124" t="n"/>
      <c r="C3734" s="123" t="n"/>
      <c r="D3734" s="123" t="n"/>
      <c r="E3734" s="123" t="n"/>
      <c r="F3734" s="125" t="n"/>
      <c r="G3734" s="123" t="n"/>
      <c r="H3734" s="123" t="n"/>
      <c r="I3734" s="123" t="n"/>
      <c r="J3734" s="123" t="n"/>
      <c r="K3734" s="123" t="n"/>
      <c r="L3734" s="123" t="n"/>
      <c r="M3734" s="123">
        <f>IF(AND(B3734&lt;&gt;"",OR($C$4="",ISNUMBER(SEARCH($C$4,C3734&amp;" "&amp;E3734&amp;" "&amp;G3734&amp;" "&amp;H3734&amp;" "&amp;I3734&amp;" "&amp;J3734&amp;" "&amp;K3734&amp;" "&amp;L3734))),OR($C$5="Semua",$C$5="",G3734=$C$5),OR($C$6="Semua",$C$6="",H3734=$C$6,H3734="Pengeluaran "&amp;$C$6,AND($C$6="Uang Kos Mama",H3734="Pengeluaran Uang Kos")),OR($C$7="Semua",$C$7="",I3734=$C$7),OR($C$8="Semua",$C$8="",C3734=$C$8,E3734=$C$8),OR($C$9="Semua",$C$9="",D3734=$C$9),OR($C$10="",B3734&gt;=$C$10),OR($C$11="",B3734&lt;=$C$11),OR($C$12&lt;&gt;"Ya",K3734&lt;&gt;""),OR($C$13="Semua",$C$13="",L3734=$C$13)),"✓","")</f>
        <v/>
      </c>
      <c r="N3734" s="93">
        <f>N(N3733)+IF(M3734="✓",1,0)</f>
        <v/>
      </c>
      <c r="O3734" s="93">
        <f>N(O3733)+IF(AND(B3734&lt;&gt;"",B3734&gt;='Uang Riba'!$H$30,B3734&lt;='Uang Riba'!$I$30,OR(H3734="Dana riba",H3734="Pinjam uang riba",I3734="Pinjam dari uang riba",I3734="Ganti uang riba",I3734="Kelebihan ganti dikembalikan",AND(C3734="Kantong Uang Riba",G3734="Pengeluaran"))),1,0)</f>
        <v/>
      </c>
      <c r="X3734" s="93">
        <f>IF(AND(B3734&lt;&gt;"",B3734&gt;='Buku Akun'!$H$4,B3734&lt;='Buku Akun'!$H$5,OR(C3734='Buku Akun'!$C$4,AND(D3734="Pindah",E3734='Buku Akun'!$C$4))),B3734+IF(AND(I3734="Selisih bunga",DAY(B3734)=1),0,0.01)+ROW()/10000000,"")</f>
        <v/>
      </c>
    </row>
    <row r="3735" outlineLevel="1" ht="15" customHeight="1" s="94">
      <c r="A3735" s="123">
        <f>IF(B3735="","",ROW()-15)</f>
        <v/>
      </c>
      <c r="B3735" s="124" t="n"/>
      <c r="C3735" s="123" t="n"/>
      <c r="D3735" s="123" t="n"/>
      <c r="E3735" s="123" t="n"/>
      <c r="F3735" s="125" t="n"/>
      <c r="G3735" s="123" t="n"/>
      <c r="H3735" s="123" t="n"/>
      <c r="I3735" s="123" t="n"/>
      <c r="J3735" s="123" t="n"/>
      <c r="K3735" s="123" t="n"/>
      <c r="L3735" s="123" t="n"/>
      <c r="M3735" s="123">
        <f>IF(AND(B3735&lt;&gt;"",OR($C$4="",ISNUMBER(SEARCH($C$4,C3735&amp;" "&amp;E3735&amp;" "&amp;G3735&amp;" "&amp;H3735&amp;" "&amp;I3735&amp;" "&amp;J3735&amp;" "&amp;K3735&amp;" "&amp;L3735))),OR($C$5="Semua",$C$5="",G3735=$C$5),OR($C$6="Semua",$C$6="",H3735=$C$6,H3735="Pengeluaran "&amp;$C$6,AND($C$6="Uang Kos Mama",H3735="Pengeluaran Uang Kos")),OR($C$7="Semua",$C$7="",I3735=$C$7),OR($C$8="Semua",$C$8="",C3735=$C$8,E3735=$C$8),OR($C$9="Semua",$C$9="",D3735=$C$9),OR($C$10="",B3735&gt;=$C$10),OR($C$11="",B3735&lt;=$C$11),OR($C$12&lt;&gt;"Ya",K3735&lt;&gt;""),OR($C$13="Semua",$C$13="",L3735=$C$13)),"✓","")</f>
        <v/>
      </c>
      <c r="N3735" s="93">
        <f>N(N3734)+IF(M3735="✓",1,0)</f>
        <v/>
      </c>
      <c r="O3735" s="93">
        <f>N(O3734)+IF(AND(B3735&lt;&gt;"",B3735&gt;='Uang Riba'!$H$30,B3735&lt;='Uang Riba'!$I$30,OR(H3735="Dana riba",H3735="Pinjam uang riba",I3735="Pinjam dari uang riba",I3735="Ganti uang riba",I3735="Kelebihan ganti dikembalikan",AND(C3735="Kantong Uang Riba",G3735="Pengeluaran"))),1,0)</f>
        <v/>
      </c>
      <c r="X3735" s="93">
        <f>IF(AND(B3735&lt;&gt;"",B3735&gt;='Buku Akun'!$H$4,B3735&lt;='Buku Akun'!$H$5,OR(C3735='Buku Akun'!$C$4,AND(D3735="Pindah",E3735='Buku Akun'!$C$4))),B3735+IF(AND(I3735="Selisih bunga",DAY(B3735)=1),0,0.01)+ROW()/10000000,"")</f>
        <v/>
      </c>
    </row>
    <row r="3736" outlineLevel="1" ht="15" customHeight="1" s="94">
      <c r="A3736" s="123">
        <f>IF(B3736="","",ROW()-15)</f>
        <v/>
      </c>
      <c r="B3736" s="124" t="n"/>
      <c r="C3736" s="123" t="n"/>
      <c r="D3736" s="123" t="n"/>
      <c r="E3736" s="123" t="n"/>
      <c r="F3736" s="125" t="n"/>
      <c r="G3736" s="123" t="n"/>
      <c r="H3736" s="123" t="n"/>
      <c r="I3736" s="123" t="n"/>
      <c r="J3736" s="123" t="n"/>
      <c r="K3736" s="123" t="n"/>
      <c r="L3736" s="123" t="n"/>
      <c r="M3736" s="123">
        <f>IF(AND(B3736&lt;&gt;"",OR($C$4="",ISNUMBER(SEARCH($C$4,C3736&amp;" "&amp;E3736&amp;" "&amp;G3736&amp;" "&amp;H3736&amp;" "&amp;I3736&amp;" "&amp;J3736&amp;" "&amp;K3736&amp;" "&amp;L3736))),OR($C$5="Semua",$C$5="",G3736=$C$5),OR($C$6="Semua",$C$6="",H3736=$C$6,H3736="Pengeluaran "&amp;$C$6,AND($C$6="Uang Kos Mama",H3736="Pengeluaran Uang Kos")),OR($C$7="Semua",$C$7="",I3736=$C$7),OR($C$8="Semua",$C$8="",C3736=$C$8,E3736=$C$8),OR($C$9="Semua",$C$9="",D3736=$C$9),OR($C$10="",B3736&gt;=$C$10),OR($C$11="",B3736&lt;=$C$11),OR($C$12&lt;&gt;"Ya",K3736&lt;&gt;""),OR($C$13="Semua",$C$13="",L3736=$C$13)),"✓","")</f>
        <v/>
      </c>
      <c r="N3736" s="93">
        <f>N(N3735)+IF(M3736="✓",1,0)</f>
        <v/>
      </c>
      <c r="O3736" s="93">
        <f>N(O3735)+IF(AND(B3736&lt;&gt;"",B3736&gt;='Uang Riba'!$H$30,B3736&lt;='Uang Riba'!$I$30,OR(H3736="Dana riba",H3736="Pinjam uang riba",I3736="Pinjam dari uang riba",I3736="Ganti uang riba",I3736="Kelebihan ganti dikembalikan",AND(C3736="Kantong Uang Riba",G3736="Pengeluaran"))),1,0)</f>
        <v/>
      </c>
      <c r="X3736" s="93">
        <f>IF(AND(B3736&lt;&gt;"",B3736&gt;='Buku Akun'!$H$4,B3736&lt;='Buku Akun'!$H$5,OR(C3736='Buku Akun'!$C$4,AND(D3736="Pindah",E3736='Buku Akun'!$C$4))),B3736+IF(AND(I3736="Selisih bunga",DAY(B3736)=1),0,0.01)+ROW()/10000000,"")</f>
        <v/>
      </c>
    </row>
    <row r="3737" outlineLevel="1" ht="15" customHeight="1" s="94">
      <c r="A3737" s="123">
        <f>IF(B3737="","",ROW()-15)</f>
        <v/>
      </c>
      <c r="B3737" s="124" t="n"/>
      <c r="C3737" s="123" t="n"/>
      <c r="D3737" s="123" t="n"/>
      <c r="E3737" s="123" t="n"/>
      <c r="F3737" s="125" t="n"/>
      <c r="G3737" s="123" t="n"/>
      <c r="H3737" s="123" t="n"/>
      <c r="I3737" s="123" t="n"/>
      <c r="J3737" s="123" t="n"/>
      <c r="K3737" s="123" t="n"/>
      <c r="L3737" s="123" t="n"/>
      <c r="M3737" s="123">
        <f>IF(AND(B3737&lt;&gt;"",OR($C$4="",ISNUMBER(SEARCH($C$4,C3737&amp;" "&amp;E3737&amp;" "&amp;G3737&amp;" "&amp;H3737&amp;" "&amp;I3737&amp;" "&amp;J3737&amp;" "&amp;K3737&amp;" "&amp;L3737))),OR($C$5="Semua",$C$5="",G3737=$C$5),OR($C$6="Semua",$C$6="",H3737=$C$6,H3737="Pengeluaran "&amp;$C$6,AND($C$6="Uang Kos Mama",H3737="Pengeluaran Uang Kos")),OR($C$7="Semua",$C$7="",I3737=$C$7),OR($C$8="Semua",$C$8="",C3737=$C$8,E3737=$C$8),OR($C$9="Semua",$C$9="",D3737=$C$9),OR($C$10="",B3737&gt;=$C$10),OR($C$11="",B3737&lt;=$C$11),OR($C$12&lt;&gt;"Ya",K3737&lt;&gt;""),OR($C$13="Semua",$C$13="",L3737=$C$13)),"✓","")</f>
        <v/>
      </c>
      <c r="N3737" s="93">
        <f>N(N3736)+IF(M3737="✓",1,0)</f>
        <v/>
      </c>
      <c r="O3737" s="93">
        <f>N(O3736)+IF(AND(B3737&lt;&gt;"",B3737&gt;='Uang Riba'!$H$30,B3737&lt;='Uang Riba'!$I$30,OR(H3737="Dana riba",H3737="Pinjam uang riba",I3737="Pinjam dari uang riba",I3737="Ganti uang riba",I3737="Kelebihan ganti dikembalikan",AND(C3737="Kantong Uang Riba",G3737="Pengeluaran"))),1,0)</f>
        <v/>
      </c>
      <c r="X3737" s="93">
        <f>IF(AND(B3737&lt;&gt;"",B3737&gt;='Buku Akun'!$H$4,B3737&lt;='Buku Akun'!$H$5,OR(C3737='Buku Akun'!$C$4,AND(D3737="Pindah",E3737='Buku Akun'!$C$4))),B3737+IF(AND(I3737="Selisih bunga",DAY(B3737)=1),0,0.01)+ROW()/10000000,"")</f>
        <v/>
      </c>
    </row>
    <row r="3738" outlineLevel="1" ht="15" customHeight="1" s="94">
      <c r="A3738" s="123">
        <f>IF(B3738="","",ROW()-15)</f>
        <v/>
      </c>
      <c r="B3738" s="124" t="n"/>
      <c r="C3738" s="123" t="n"/>
      <c r="D3738" s="123" t="n"/>
      <c r="E3738" s="123" t="n"/>
      <c r="F3738" s="125" t="n"/>
      <c r="G3738" s="123" t="n"/>
      <c r="H3738" s="123" t="n"/>
      <c r="I3738" s="123" t="n"/>
      <c r="J3738" s="123" t="n"/>
      <c r="K3738" s="123" t="n"/>
      <c r="L3738" s="123" t="n"/>
      <c r="M3738" s="123">
        <f>IF(AND(B3738&lt;&gt;"",OR($C$4="",ISNUMBER(SEARCH($C$4,C3738&amp;" "&amp;E3738&amp;" "&amp;G3738&amp;" "&amp;H3738&amp;" "&amp;I3738&amp;" "&amp;J3738&amp;" "&amp;K3738&amp;" "&amp;L3738))),OR($C$5="Semua",$C$5="",G3738=$C$5),OR($C$6="Semua",$C$6="",H3738=$C$6,H3738="Pengeluaran "&amp;$C$6,AND($C$6="Uang Kos Mama",H3738="Pengeluaran Uang Kos")),OR($C$7="Semua",$C$7="",I3738=$C$7),OR($C$8="Semua",$C$8="",C3738=$C$8,E3738=$C$8),OR($C$9="Semua",$C$9="",D3738=$C$9),OR($C$10="",B3738&gt;=$C$10),OR($C$11="",B3738&lt;=$C$11),OR($C$12&lt;&gt;"Ya",K3738&lt;&gt;""),OR($C$13="Semua",$C$13="",L3738=$C$13)),"✓","")</f>
        <v/>
      </c>
      <c r="N3738" s="93">
        <f>N(N3737)+IF(M3738="✓",1,0)</f>
        <v/>
      </c>
      <c r="O3738" s="93">
        <f>N(O3737)+IF(AND(B3738&lt;&gt;"",B3738&gt;='Uang Riba'!$H$30,B3738&lt;='Uang Riba'!$I$30,OR(H3738="Dana riba",H3738="Pinjam uang riba",I3738="Pinjam dari uang riba",I3738="Ganti uang riba",I3738="Kelebihan ganti dikembalikan",AND(C3738="Kantong Uang Riba",G3738="Pengeluaran"))),1,0)</f>
        <v/>
      </c>
      <c r="X3738" s="93">
        <f>IF(AND(B3738&lt;&gt;"",B3738&gt;='Buku Akun'!$H$4,B3738&lt;='Buku Akun'!$H$5,OR(C3738='Buku Akun'!$C$4,AND(D3738="Pindah",E3738='Buku Akun'!$C$4))),B3738+IF(AND(I3738="Selisih bunga",DAY(B3738)=1),0,0.01)+ROW()/10000000,"")</f>
        <v/>
      </c>
    </row>
    <row r="3739" outlineLevel="1" ht="15" customHeight="1" s="94">
      <c r="A3739" s="123">
        <f>IF(B3739="","",ROW()-15)</f>
        <v/>
      </c>
      <c r="B3739" s="124" t="n"/>
      <c r="C3739" s="123" t="n"/>
      <c r="D3739" s="123" t="n"/>
      <c r="E3739" s="123" t="n"/>
      <c r="F3739" s="125" t="n"/>
      <c r="G3739" s="123" t="n"/>
      <c r="H3739" s="123" t="n"/>
      <c r="I3739" s="123" t="n"/>
      <c r="J3739" s="123" t="n"/>
      <c r="K3739" s="123" t="n"/>
      <c r="L3739" s="123" t="n"/>
      <c r="M3739" s="123">
        <f>IF(AND(B3739&lt;&gt;"",OR($C$4="",ISNUMBER(SEARCH($C$4,C3739&amp;" "&amp;E3739&amp;" "&amp;G3739&amp;" "&amp;H3739&amp;" "&amp;I3739&amp;" "&amp;J3739&amp;" "&amp;K3739&amp;" "&amp;L3739))),OR($C$5="Semua",$C$5="",G3739=$C$5),OR($C$6="Semua",$C$6="",H3739=$C$6,H3739="Pengeluaran "&amp;$C$6,AND($C$6="Uang Kos Mama",H3739="Pengeluaran Uang Kos")),OR($C$7="Semua",$C$7="",I3739=$C$7),OR($C$8="Semua",$C$8="",C3739=$C$8,E3739=$C$8),OR($C$9="Semua",$C$9="",D3739=$C$9),OR($C$10="",B3739&gt;=$C$10),OR($C$11="",B3739&lt;=$C$11),OR($C$12&lt;&gt;"Ya",K3739&lt;&gt;""),OR($C$13="Semua",$C$13="",L3739=$C$13)),"✓","")</f>
        <v/>
      </c>
      <c r="N3739" s="93">
        <f>N(N3738)+IF(M3739="✓",1,0)</f>
        <v/>
      </c>
      <c r="O3739" s="93">
        <f>N(O3738)+IF(AND(B3739&lt;&gt;"",B3739&gt;='Uang Riba'!$H$30,B3739&lt;='Uang Riba'!$I$30,OR(H3739="Dana riba",H3739="Pinjam uang riba",I3739="Pinjam dari uang riba",I3739="Ganti uang riba",I3739="Kelebihan ganti dikembalikan",AND(C3739="Kantong Uang Riba",G3739="Pengeluaran"))),1,0)</f>
        <v/>
      </c>
      <c r="X3739" s="93">
        <f>IF(AND(B3739&lt;&gt;"",B3739&gt;='Buku Akun'!$H$4,B3739&lt;='Buku Akun'!$H$5,OR(C3739='Buku Akun'!$C$4,AND(D3739="Pindah",E3739='Buku Akun'!$C$4))),B3739+IF(AND(I3739="Selisih bunga",DAY(B3739)=1),0,0.01)+ROW()/10000000,"")</f>
        <v/>
      </c>
    </row>
    <row r="3740" outlineLevel="1" ht="15" customHeight="1" s="94">
      <c r="A3740" s="123">
        <f>IF(B3740="","",ROW()-15)</f>
        <v/>
      </c>
      <c r="B3740" s="124" t="n"/>
      <c r="C3740" s="123" t="n"/>
      <c r="D3740" s="123" t="n"/>
      <c r="E3740" s="123" t="n"/>
      <c r="F3740" s="125" t="n"/>
      <c r="G3740" s="123" t="n"/>
      <c r="H3740" s="123" t="n"/>
      <c r="I3740" s="123" t="n"/>
      <c r="J3740" s="123" t="n"/>
      <c r="K3740" s="123" t="n"/>
      <c r="L3740" s="123" t="n"/>
      <c r="M3740" s="123">
        <f>IF(AND(B3740&lt;&gt;"",OR($C$4="",ISNUMBER(SEARCH($C$4,C3740&amp;" "&amp;E3740&amp;" "&amp;G3740&amp;" "&amp;H3740&amp;" "&amp;I3740&amp;" "&amp;J3740&amp;" "&amp;K3740&amp;" "&amp;L3740))),OR($C$5="Semua",$C$5="",G3740=$C$5),OR($C$6="Semua",$C$6="",H3740=$C$6,H3740="Pengeluaran "&amp;$C$6,AND($C$6="Uang Kos Mama",H3740="Pengeluaran Uang Kos")),OR($C$7="Semua",$C$7="",I3740=$C$7),OR($C$8="Semua",$C$8="",C3740=$C$8,E3740=$C$8),OR($C$9="Semua",$C$9="",D3740=$C$9),OR($C$10="",B3740&gt;=$C$10),OR($C$11="",B3740&lt;=$C$11),OR($C$12&lt;&gt;"Ya",K3740&lt;&gt;""),OR($C$13="Semua",$C$13="",L3740=$C$13)),"✓","")</f>
        <v/>
      </c>
      <c r="N3740" s="93">
        <f>N(N3739)+IF(M3740="✓",1,0)</f>
        <v/>
      </c>
      <c r="O3740" s="93">
        <f>N(O3739)+IF(AND(B3740&lt;&gt;"",B3740&gt;='Uang Riba'!$H$30,B3740&lt;='Uang Riba'!$I$30,OR(H3740="Dana riba",H3740="Pinjam uang riba",I3740="Pinjam dari uang riba",I3740="Ganti uang riba",I3740="Kelebihan ganti dikembalikan",AND(C3740="Kantong Uang Riba",G3740="Pengeluaran"))),1,0)</f>
        <v/>
      </c>
      <c r="X3740" s="93">
        <f>IF(AND(B3740&lt;&gt;"",B3740&gt;='Buku Akun'!$H$4,B3740&lt;='Buku Akun'!$H$5,OR(C3740='Buku Akun'!$C$4,AND(D3740="Pindah",E3740='Buku Akun'!$C$4))),B3740+IF(AND(I3740="Selisih bunga",DAY(B3740)=1),0,0.01)+ROW()/10000000,"")</f>
        <v/>
      </c>
    </row>
    <row r="3741" outlineLevel="1" ht="15" customHeight="1" s="94">
      <c r="A3741" s="123">
        <f>IF(B3741="","",ROW()-15)</f>
        <v/>
      </c>
      <c r="B3741" s="124" t="n"/>
      <c r="C3741" s="123" t="n"/>
      <c r="D3741" s="123" t="n"/>
      <c r="E3741" s="123" t="n"/>
      <c r="F3741" s="125" t="n"/>
      <c r="G3741" s="123" t="n"/>
      <c r="H3741" s="123" t="n"/>
      <c r="I3741" s="123" t="n"/>
      <c r="J3741" s="123" t="n"/>
      <c r="K3741" s="123" t="n"/>
      <c r="L3741" s="123" t="n"/>
      <c r="M3741" s="123">
        <f>IF(AND(B3741&lt;&gt;"",OR($C$4="",ISNUMBER(SEARCH($C$4,C3741&amp;" "&amp;E3741&amp;" "&amp;G3741&amp;" "&amp;H3741&amp;" "&amp;I3741&amp;" "&amp;J3741&amp;" "&amp;K3741&amp;" "&amp;L3741))),OR($C$5="Semua",$C$5="",G3741=$C$5),OR($C$6="Semua",$C$6="",H3741=$C$6,H3741="Pengeluaran "&amp;$C$6,AND($C$6="Uang Kos Mama",H3741="Pengeluaran Uang Kos")),OR($C$7="Semua",$C$7="",I3741=$C$7),OR($C$8="Semua",$C$8="",C3741=$C$8,E3741=$C$8),OR($C$9="Semua",$C$9="",D3741=$C$9),OR($C$10="",B3741&gt;=$C$10),OR($C$11="",B3741&lt;=$C$11),OR($C$12&lt;&gt;"Ya",K3741&lt;&gt;""),OR($C$13="Semua",$C$13="",L3741=$C$13)),"✓","")</f>
        <v/>
      </c>
      <c r="N3741" s="93">
        <f>N(N3740)+IF(M3741="✓",1,0)</f>
        <v/>
      </c>
      <c r="O3741" s="93">
        <f>N(O3740)+IF(AND(B3741&lt;&gt;"",B3741&gt;='Uang Riba'!$H$30,B3741&lt;='Uang Riba'!$I$30,OR(H3741="Dana riba",H3741="Pinjam uang riba",I3741="Pinjam dari uang riba",I3741="Ganti uang riba",I3741="Kelebihan ganti dikembalikan",AND(C3741="Kantong Uang Riba",G3741="Pengeluaran"))),1,0)</f>
        <v/>
      </c>
      <c r="X3741" s="93">
        <f>IF(AND(B3741&lt;&gt;"",B3741&gt;='Buku Akun'!$H$4,B3741&lt;='Buku Akun'!$H$5,OR(C3741='Buku Akun'!$C$4,AND(D3741="Pindah",E3741='Buku Akun'!$C$4))),B3741+IF(AND(I3741="Selisih bunga",DAY(B3741)=1),0,0.01)+ROW()/10000000,"")</f>
        <v/>
      </c>
    </row>
    <row r="3742" outlineLevel="1" ht="15" customHeight="1" s="94">
      <c r="A3742" s="123">
        <f>IF(B3742="","",ROW()-15)</f>
        <v/>
      </c>
      <c r="B3742" s="124" t="n"/>
      <c r="C3742" s="123" t="n"/>
      <c r="D3742" s="123" t="n"/>
      <c r="E3742" s="123" t="n"/>
      <c r="F3742" s="125" t="n"/>
      <c r="G3742" s="123" t="n"/>
      <c r="H3742" s="123" t="n"/>
      <c r="I3742" s="123" t="n"/>
      <c r="J3742" s="123" t="n"/>
      <c r="K3742" s="123" t="n"/>
      <c r="L3742" s="123" t="n"/>
      <c r="M3742" s="123">
        <f>IF(AND(B3742&lt;&gt;"",OR($C$4="",ISNUMBER(SEARCH($C$4,C3742&amp;" "&amp;E3742&amp;" "&amp;G3742&amp;" "&amp;H3742&amp;" "&amp;I3742&amp;" "&amp;J3742&amp;" "&amp;K3742&amp;" "&amp;L3742))),OR($C$5="Semua",$C$5="",G3742=$C$5),OR($C$6="Semua",$C$6="",H3742=$C$6,H3742="Pengeluaran "&amp;$C$6,AND($C$6="Uang Kos Mama",H3742="Pengeluaran Uang Kos")),OR($C$7="Semua",$C$7="",I3742=$C$7),OR($C$8="Semua",$C$8="",C3742=$C$8,E3742=$C$8),OR($C$9="Semua",$C$9="",D3742=$C$9),OR($C$10="",B3742&gt;=$C$10),OR($C$11="",B3742&lt;=$C$11),OR($C$12&lt;&gt;"Ya",K3742&lt;&gt;""),OR($C$13="Semua",$C$13="",L3742=$C$13)),"✓","")</f>
        <v/>
      </c>
      <c r="N3742" s="93">
        <f>N(N3741)+IF(M3742="✓",1,0)</f>
        <v/>
      </c>
      <c r="O3742" s="93">
        <f>N(O3741)+IF(AND(B3742&lt;&gt;"",B3742&gt;='Uang Riba'!$H$30,B3742&lt;='Uang Riba'!$I$30,OR(H3742="Dana riba",H3742="Pinjam uang riba",I3742="Pinjam dari uang riba",I3742="Ganti uang riba",I3742="Kelebihan ganti dikembalikan",AND(C3742="Kantong Uang Riba",G3742="Pengeluaran"))),1,0)</f>
        <v/>
      </c>
      <c r="X3742" s="93">
        <f>IF(AND(B3742&lt;&gt;"",B3742&gt;='Buku Akun'!$H$4,B3742&lt;='Buku Akun'!$H$5,OR(C3742='Buku Akun'!$C$4,AND(D3742="Pindah",E3742='Buku Akun'!$C$4))),B3742+IF(AND(I3742="Selisih bunga",DAY(B3742)=1),0,0.01)+ROW()/10000000,"")</f>
        <v/>
      </c>
    </row>
    <row r="3743" outlineLevel="1" ht="15" customHeight="1" s="94">
      <c r="A3743" s="123">
        <f>IF(B3743="","",ROW()-15)</f>
        <v/>
      </c>
      <c r="B3743" s="124" t="n"/>
      <c r="C3743" s="123" t="n"/>
      <c r="D3743" s="123" t="n"/>
      <c r="E3743" s="123" t="n"/>
      <c r="F3743" s="125" t="n"/>
      <c r="G3743" s="123" t="n"/>
      <c r="H3743" s="123" t="n"/>
      <c r="I3743" s="123" t="n"/>
      <c r="J3743" s="123" t="n"/>
      <c r="K3743" s="123" t="n"/>
      <c r="L3743" s="123" t="n"/>
      <c r="M3743" s="123">
        <f>IF(AND(B3743&lt;&gt;"",OR($C$4="",ISNUMBER(SEARCH($C$4,C3743&amp;" "&amp;E3743&amp;" "&amp;G3743&amp;" "&amp;H3743&amp;" "&amp;I3743&amp;" "&amp;J3743&amp;" "&amp;K3743&amp;" "&amp;L3743))),OR($C$5="Semua",$C$5="",G3743=$C$5),OR($C$6="Semua",$C$6="",H3743=$C$6,H3743="Pengeluaran "&amp;$C$6,AND($C$6="Uang Kos Mama",H3743="Pengeluaran Uang Kos")),OR($C$7="Semua",$C$7="",I3743=$C$7),OR($C$8="Semua",$C$8="",C3743=$C$8,E3743=$C$8),OR($C$9="Semua",$C$9="",D3743=$C$9),OR($C$10="",B3743&gt;=$C$10),OR($C$11="",B3743&lt;=$C$11),OR($C$12&lt;&gt;"Ya",K3743&lt;&gt;""),OR($C$13="Semua",$C$13="",L3743=$C$13)),"✓","")</f>
        <v/>
      </c>
      <c r="N3743" s="93">
        <f>N(N3742)+IF(M3743="✓",1,0)</f>
        <v/>
      </c>
      <c r="O3743" s="93">
        <f>N(O3742)+IF(AND(B3743&lt;&gt;"",B3743&gt;='Uang Riba'!$H$30,B3743&lt;='Uang Riba'!$I$30,OR(H3743="Dana riba",H3743="Pinjam uang riba",I3743="Pinjam dari uang riba",I3743="Ganti uang riba",I3743="Kelebihan ganti dikembalikan",AND(C3743="Kantong Uang Riba",G3743="Pengeluaran"))),1,0)</f>
        <v/>
      </c>
      <c r="X3743" s="93">
        <f>IF(AND(B3743&lt;&gt;"",B3743&gt;='Buku Akun'!$H$4,B3743&lt;='Buku Akun'!$H$5,OR(C3743='Buku Akun'!$C$4,AND(D3743="Pindah",E3743='Buku Akun'!$C$4))),B3743+IF(AND(I3743="Selisih bunga",DAY(B3743)=1),0,0.01)+ROW()/10000000,"")</f>
        <v/>
      </c>
    </row>
    <row r="3744" outlineLevel="1" ht="15" customHeight="1" s="94">
      <c r="A3744" s="123">
        <f>IF(B3744="","",ROW()-15)</f>
        <v/>
      </c>
      <c r="B3744" s="124" t="n"/>
      <c r="C3744" s="123" t="n"/>
      <c r="D3744" s="123" t="n"/>
      <c r="E3744" s="123" t="n"/>
      <c r="F3744" s="125" t="n"/>
      <c r="G3744" s="123" t="n"/>
      <c r="H3744" s="123" t="n"/>
      <c r="I3744" s="123" t="n"/>
      <c r="J3744" s="123" t="n"/>
      <c r="K3744" s="123" t="n"/>
      <c r="L3744" s="123" t="n"/>
      <c r="M3744" s="123">
        <f>IF(AND(B3744&lt;&gt;"",OR($C$4="",ISNUMBER(SEARCH($C$4,C3744&amp;" "&amp;E3744&amp;" "&amp;G3744&amp;" "&amp;H3744&amp;" "&amp;I3744&amp;" "&amp;J3744&amp;" "&amp;K3744&amp;" "&amp;L3744))),OR($C$5="Semua",$C$5="",G3744=$C$5),OR($C$6="Semua",$C$6="",H3744=$C$6,H3744="Pengeluaran "&amp;$C$6,AND($C$6="Uang Kos Mama",H3744="Pengeluaran Uang Kos")),OR($C$7="Semua",$C$7="",I3744=$C$7),OR($C$8="Semua",$C$8="",C3744=$C$8,E3744=$C$8),OR($C$9="Semua",$C$9="",D3744=$C$9),OR($C$10="",B3744&gt;=$C$10),OR($C$11="",B3744&lt;=$C$11),OR($C$12&lt;&gt;"Ya",K3744&lt;&gt;""),OR($C$13="Semua",$C$13="",L3744=$C$13)),"✓","")</f>
        <v/>
      </c>
      <c r="N3744" s="93">
        <f>N(N3743)+IF(M3744="✓",1,0)</f>
        <v/>
      </c>
      <c r="O3744" s="93">
        <f>N(O3743)+IF(AND(B3744&lt;&gt;"",B3744&gt;='Uang Riba'!$H$30,B3744&lt;='Uang Riba'!$I$30,OR(H3744="Dana riba",H3744="Pinjam uang riba",I3744="Pinjam dari uang riba",I3744="Ganti uang riba",I3744="Kelebihan ganti dikembalikan",AND(C3744="Kantong Uang Riba",G3744="Pengeluaran"))),1,0)</f>
        <v/>
      </c>
      <c r="X3744" s="93">
        <f>IF(AND(B3744&lt;&gt;"",B3744&gt;='Buku Akun'!$H$4,B3744&lt;='Buku Akun'!$H$5,OR(C3744='Buku Akun'!$C$4,AND(D3744="Pindah",E3744='Buku Akun'!$C$4))),B3744+IF(AND(I3744="Selisih bunga",DAY(B3744)=1),0,0.01)+ROW()/10000000,"")</f>
        <v/>
      </c>
    </row>
    <row r="3745" outlineLevel="1" ht="15" customHeight="1" s="94">
      <c r="A3745" s="123">
        <f>IF(B3745="","",ROW()-15)</f>
        <v/>
      </c>
      <c r="B3745" s="124" t="n"/>
      <c r="C3745" s="123" t="n"/>
      <c r="D3745" s="123" t="n"/>
      <c r="E3745" s="123" t="n"/>
      <c r="F3745" s="125" t="n"/>
      <c r="G3745" s="123" t="n"/>
      <c r="H3745" s="123" t="n"/>
      <c r="I3745" s="123" t="n"/>
      <c r="J3745" s="123" t="n"/>
      <c r="K3745" s="123" t="n"/>
      <c r="L3745" s="123" t="n"/>
      <c r="M3745" s="123">
        <f>IF(AND(B3745&lt;&gt;"",OR($C$4="",ISNUMBER(SEARCH($C$4,C3745&amp;" "&amp;E3745&amp;" "&amp;G3745&amp;" "&amp;H3745&amp;" "&amp;I3745&amp;" "&amp;J3745&amp;" "&amp;K3745&amp;" "&amp;L3745))),OR($C$5="Semua",$C$5="",G3745=$C$5),OR($C$6="Semua",$C$6="",H3745=$C$6,H3745="Pengeluaran "&amp;$C$6,AND($C$6="Uang Kos Mama",H3745="Pengeluaran Uang Kos")),OR($C$7="Semua",$C$7="",I3745=$C$7),OR($C$8="Semua",$C$8="",C3745=$C$8,E3745=$C$8),OR($C$9="Semua",$C$9="",D3745=$C$9),OR($C$10="",B3745&gt;=$C$10),OR($C$11="",B3745&lt;=$C$11),OR($C$12&lt;&gt;"Ya",K3745&lt;&gt;""),OR($C$13="Semua",$C$13="",L3745=$C$13)),"✓","")</f>
        <v/>
      </c>
      <c r="N3745" s="93">
        <f>N(N3744)+IF(M3745="✓",1,0)</f>
        <v/>
      </c>
      <c r="O3745" s="93">
        <f>N(O3744)+IF(AND(B3745&lt;&gt;"",B3745&gt;='Uang Riba'!$H$30,B3745&lt;='Uang Riba'!$I$30,OR(H3745="Dana riba",H3745="Pinjam uang riba",I3745="Pinjam dari uang riba",I3745="Ganti uang riba",I3745="Kelebihan ganti dikembalikan",AND(C3745="Kantong Uang Riba",G3745="Pengeluaran"))),1,0)</f>
        <v/>
      </c>
      <c r="X3745" s="93">
        <f>IF(AND(B3745&lt;&gt;"",B3745&gt;='Buku Akun'!$H$4,B3745&lt;='Buku Akun'!$H$5,OR(C3745='Buku Akun'!$C$4,AND(D3745="Pindah",E3745='Buku Akun'!$C$4))),B3745+IF(AND(I3745="Selisih bunga",DAY(B3745)=1),0,0.01)+ROW()/10000000,"")</f>
        <v/>
      </c>
    </row>
    <row r="3746" outlineLevel="1" ht="15" customHeight="1" s="94">
      <c r="A3746" s="123">
        <f>IF(B3746="","",ROW()-15)</f>
        <v/>
      </c>
      <c r="B3746" s="124" t="n"/>
      <c r="C3746" s="123" t="n"/>
      <c r="D3746" s="123" t="n"/>
      <c r="E3746" s="123" t="n"/>
      <c r="F3746" s="125" t="n"/>
      <c r="G3746" s="123" t="n"/>
      <c r="H3746" s="123" t="n"/>
      <c r="I3746" s="123" t="n"/>
      <c r="J3746" s="123" t="n"/>
      <c r="K3746" s="123" t="n"/>
      <c r="L3746" s="123" t="n"/>
      <c r="M3746" s="123">
        <f>IF(AND(B3746&lt;&gt;"",OR($C$4="",ISNUMBER(SEARCH($C$4,C3746&amp;" "&amp;E3746&amp;" "&amp;G3746&amp;" "&amp;H3746&amp;" "&amp;I3746&amp;" "&amp;J3746&amp;" "&amp;K3746&amp;" "&amp;L3746))),OR($C$5="Semua",$C$5="",G3746=$C$5),OR($C$6="Semua",$C$6="",H3746=$C$6,H3746="Pengeluaran "&amp;$C$6,AND($C$6="Uang Kos Mama",H3746="Pengeluaran Uang Kos")),OR($C$7="Semua",$C$7="",I3746=$C$7),OR($C$8="Semua",$C$8="",C3746=$C$8,E3746=$C$8),OR($C$9="Semua",$C$9="",D3746=$C$9),OR($C$10="",B3746&gt;=$C$10),OR($C$11="",B3746&lt;=$C$11),OR($C$12&lt;&gt;"Ya",K3746&lt;&gt;""),OR($C$13="Semua",$C$13="",L3746=$C$13)),"✓","")</f>
        <v/>
      </c>
      <c r="N3746" s="93">
        <f>N(N3745)+IF(M3746="✓",1,0)</f>
        <v/>
      </c>
      <c r="O3746" s="93">
        <f>N(O3745)+IF(AND(B3746&lt;&gt;"",B3746&gt;='Uang Riba'!$H$30,B3746&lt;='Uang Riba'!$I$30,OR(H3746="Dana riba",H3746="Pinjam uang riba",I3746="Pinjam dari uang riba",I3746="Ganti uang riba",I3746="Kelebihan ganti dikembalikan",AND(C3746="Kantong Uang Riba",G3746="Pengeluaran"))),1,0)</f>
        <v/>
      </c>
      <c r="X3746" s="93">
        <f>IF(AND(B3746&lt;&gt;"",B3746&gt;='Buku Akun'!$H$4,B3746&lt;='Buku Akun'!$H$5,OR(C3746='Buku Akun'!$C$4,AND(D3746="Pindah",E3746='Buku Akun'!$C$4))),B3746+IF(AND(I3746="Selisih bunga",DAY(B3746)=1),0,0.01)+ROW()/10000000,"")</f>
        <v/>
      </c>
    </row>
    <row r="3747" outlineLevel="1" ht="15" customHeight="1" s="94">
      <c r="A3747" s="123">
        <f>IF(B3747="","",ROW()-15)</f>
        <v/>
      </c>
      <c r="B3747" s="124" t="n"/>
      <c r="C3747" s="123" t="n"/>
      <c r="D3747" s="123" t="n"/>
      <c r="E3747" s="123" t="n"/>
      <c r="F3747" s="125" t="n"/>
      <c r="G3747" s="123" t="n"/>
      <c r="H3747" s="123" t="n"/>
      <c r="I3747" s="123" t="n"/>
      <c r="J3747" s="123" t="n"/>
      <c r="K3747" s="123" t="n"/>
      <c r="L3747" s="123" t="n"/>
      <c r="M3747" s="123">
        <f>IF(AND(B3747&lt;&gt;"",OR($C$4="",ISNUMBER(SEARCH($C$4,C3747&amp;" "&amp;E3747&amp;" "&amp;G3747&amp;" "&amp;H3747&amp;" "&amp;I3747&amp;" "&amp;J3747&amp;" "&amp;K3747&amp;" "&amp;L3747))),OR($C$5="Semua",$C$5="",G3747=$C$5),OR($C$6="Semua",$C$6="",H3747=$C$6,H3747="Pengeluaran "&amp;$C$6,AND($C$6="Uang Kos Mama",H3747="Pengeluaran Uang Kos")),OR($C$7="Semua",$C$7="",I3747=$C$7),OR($C$8="Semua",$C$8="",C3747=$C$8,E3747=$C$8),OR($C$9="Semua",$C$9="",D3747=$C$9),OR($C$10="",B3747&gt;=$C$10),OR($C$11="",B3747&lt;=$C$11),OR($C$12&lt;&gt;"Ya",K3747&lt;&gt;""),OR($C$13="Semua",$C$13="",L3747=$C$13)),"✓","")</f>
        <v/>
      </c>
      <c r="N3747" s="93">
        <f>N(N3746)+IF(M3747="✓",1,0)</f>
        <v/>
      </c>
      <c r="O3747" s="93">
        <f>N(O3746)+IF(AND(B3747&lt;&gt;"",B3747&gt;='Uang Riba'!$H$30,B3747&lt;='Uang Riba'!$I$30,OR(H3747="Dana riba",H3747="Pinjam uang riba",I3747="Pinjam dari uang riba",I3747="Ganti uang riba",I3747="Kelebihan ganti dikembalikan",AND(C3747="Kantong Uang Riba",G3747="Pengeluaran"))),1,0)</f>
        <v/>
      </c>
      <c r="X3747" s="93">
        <f>IF(AND(B3747&lt;&gt;"",B3747&gt;='Buku Akun'!$H$4,B3747&lt;='Buku Akun'!$H$5,OR(C3747='Buku Akun'!$C$4,AND(D3747="Pindah",E3747='Buku Akun'!$C$4))),B3747+IF(AND(I3747="Selisih bunga",DAY(B3747)=1),0,0.01)+ROW()/10000000,"")</f>
        <v/>
      </c>
    </row>
    <row r="3748" outlineLevel="1" ht="15" customHeight="1" s="94">
      <c r="A3748" s="123">
        <f>IF(B3748="","",ROW()-15)</f>
        <v/>
      </c>
      <c r="B3748" s="124" t="n"/>
      <c r="C3748" s="123" t="n"/>
      <c r="D3748" s="123" t="n"/>
      <c r="E3748" s="123" t="n"/>
      <c r="F3748" s="125" t="n"/>
      <c r="G3748" s="123" t="n"/>
      <c r="H3748" s="123" t="n"/>
      <c r="I3748" s="123" t="n"/>
      <c r="J3748" s="123" t="n"/>
      <c r="K3748" s="123" t="n"/>
      <c r="L3748" s="123" t="n"/>
      <c r="M3748" s="123">
        <f>IF(AND(B3748&lt;&gt;"",OR($C$4="",ISNUMBER(SEARCH($C$4,C3748&amp;" "&amp;E3748&amp;" "&amp;G3748&amp;" "&amp;H3748&amp;" "&amp;I3748&amp;" "&amp;J3748&amp;" "&amp;K3748&amp;" "&amp;L3748))),OR($C$5="Semua",$C$5="",G3748=$C$5),OR($C$6="Semua",$C$6="",H3748=$C$6,H3748="Pengeluaran "&amp;$C$6,AND($C$6="Uang Kos Mama",H3748="Pengeluaran Uang Kos")),OR($C$7="Semua",$C$7="",I3748=$C$7),OR($C$8="Semua",$C$8="",C3748=$C$8,E3748=$C$8),OR($C$9="Semua",$C$9="",D3748=$C$9),OR($C$10="",B3748&gt;=$C$10),OR($C$11="",B3748&lt;=$C$11),OR($C$12&lt;&gt;"Ya",K3748&lt;&gt;""),OR($C$13="Semua",$C$13="",L3748=$C$13)),"✓","")</f>
        <v/>
      </c>
      <c r="N3748" s="93">
        <f>N(N3747)+IF(M3748="✓",1,0)</f>
        <v/>
      </c>
      <c r="O3748" s="93">
        <f>N(O3747)+IF(AND(B3748&lt;&gt;"",B3748&gt;='Uang Riba'!$H$30,B3748&lt;='Uang Riba'!$I$30,OR(H3748="Dana riba",H3748="Pinjam uang riba",I3748="Pinjam dari uang riba",I3748="Ganti uang riba",I3748="Kelebihan ganti dikembalikan",AND(C3748="Kantong Uang Riba",G3748="Pengeluaran"))),1,0)</f>
        <v/>
      </c>
      <c r="X3748" s="93">
        <f>IF(AND(B3748&lt;&gt;"",B3748&gt;='Buku Akun'!$H$4,B3748&lt;='Buku Akun'!$H$5,OR(C3748='Buku Akun'!$C$4,AND(D3748="Pindah",E3748='Buku Akun'!$C$4))),B3748+IF(AND(I3748="Selisih bunga",DAY(B3748)=1),0,0.01)+ROW()/10000000,"")</f>
        <v/>
      </c>
    </row>
    <row r="3749" outlineLevel="1" ht="15" customHeight="1" s="94">
      <c r="A3749" s="123">
        <f>IF(B3749="","",ROW()-15)</f>
        <v/>
      </c>
      <c r="B3749" s="124" t="n"/>
      <c r="C3749" s="123" t="n"/>
      <c r="D3749" s="123" t="n"/>
      <c r="E3749" s="123" t="n"/>
      <c r="F3749" s="125" t="n"/>
      <c r="G3749" s="123" t="n"/>
      <c r="H3749" s="123" t="n"/>
      <c r="I3749" s="123" t="n"/>
      <c r="J3749" s="123" t="n"/>
      <c r="K3749" s="123" t="n"/>
      <c r="L3749" s="123" t="n"/>
      <c r="M3749" s="123">
        <f>IF(AND(B3749&lt;&gt;"",OR($C$4="",ISNUMBER(SEARCH($C$4,C3749&amp;" "&amp;E3749&amp;" "&amp;G3749&amp;" "&amp;H3749&amp;" "&amp;I3749&amp;" "&amp;J3749&amp;" "&amp;K3749&amp;" "&amp;L3749))),OR($C$5="Semua",$C$5="",G3749=$C$5),OR($C$6="Semua",$C$6="",H3749=$C$6,H3749="Pengeluaran "&amp;$C$6,AND($C$6="Uang Kos Mama",H3749="Pengeluaran Uang Kos")),OR($C$7="Semua",$C$7="",I3749=$C$7),OR($C$8="Semua",$C$8="",C3749=$C$8,E3749=$C$8),OR($C$9="Semua",$C$9="",D3749=$C$9),OR($C$10="",B3749&gt;=$C$10),OR($C$11="",B3749&lt;=$C$11),OR($C$12&lt;&gt;"Ya",K3749&lt;&gt;""),OR($C$13="Semua",$C$13="",L3749=$C$13)),"✓","")</f>
        <v/>
      </c>
      <c r="N3749" s="93">
        <f>N(N3748)+IF(M3749="✓",1,0)</f>
        <v/>
      </c>
      <c r="O3749" s="93">
        <f>N(O3748)+IF(AND(B3749&lt;&gt;"",B3749&gt;='Uang Riba'!$H$30,B3749&lt;='Uang Riba'!$I$30,OR(H3749="Dana riba",H3749="Pinjam uang riba",I3749="Pinjam dari uang riba",I3749="Ganti uang riba",I3749="Kelebihan ganti dikembalikan",AND(C3749="Kantong Uang Riba",G3749="Pengeluaran"))),1,0)</f>
        <v/>
      </c>
      <c r="X3749" s="93">
        <f>IF(AND(B3749&lt;&gt;"",B3749&gt;='Buku Akun'!$H$4,B3749&lt;='Buku Akun'!$H$5,OR(C3749='Buku Akun'!$C$4,AND(D3749="Pindah",E3749='Buku Akun'!$C$4))),B3749+IF(AND(I3749="Selisih bunga",DAY(B3749)=1),0,0.01)+ROW()/10000000,"")</f>
        <v/>
      </c>
    </row>
    <row r="3750" outlineLevel="1" ht="15" customHeight="1" s="94">
      <c r="A3750" s="123">
        <f>IF(B3750="","",ROW()-15)</f>
        <v/>
      </c>
      <c r="B3750" s="124" t="n"/>
      <c r="C3750" s="123" t="n"/>
      <c r="D3750" s="123" t="n"/>
      <c r="E3750" s="123" t="n"/>
      <c r="F3750" s="125" t="n"/>
      <c r="G3750" s="123" t="n"/>
      <c r="H3750" s="123" t="n"/>
      <c r="I3750" s="123" t="n"/>
      <c r="J3750" s="123" t="n"/>
      <c r="K3750" s="123" t="n"/>
      <c r="L3750" s="123" t="n"/>
      <c r="M3750" s="123">
        <f>IF(AND(B3750&lt;&gt;"",OR($C$4="",ISNUMBER(SEARCH($C$4,C3750&amp;" "&amp;E3750&amp;" "&amp;G3750&amp;" "&amp;H3750&amp;" "&amp;I3750&amp;" "&amp;J3750&amp;" "&amp;K3750&amp;" "&amp;L3750))),OR($C$5="Semua",$C$5="",G3750=$C$5),OR($C$6="Semua",$C$6="",H3750=$C$6,H3750="Pengeluaran "&amp;$C$6,AND($C$6="Uang Kos Mama",H3750="Pengeluaran Uang Kos")),OR($C$7="Semua",$C$7="",I3750=$C$7),OR($C$8="Semua",$C$8="",C3750=$C$8,E3750=$C$8),OR($C$9="Semua",$C$9="",D3750=$C$9),OR($C$10="",B3750&gt;=$C$10),OR($C$11="",B3750&lt;=$C$11),OR($C$12&lt;&gt;"Ya",K3750&lt;&gt;""),OR($C$13="Semua",$C$13="",L3750=$C$13)),"✓","")</f>
        <v/>
      </c>
      <c r="N3750" s="93">
        <f>N(N3749)+IF(M3750="✓",1,0)</f>
        <v/>
      </c>
      <c r="O3750" s="93">
        <f>N(O3749)+IF(AND(B3750&lt;&gt;"",B3750&gt;='Uang Riba'!$H$30,B3750&lt;='Uang Riba'!$I$30,OR(H3750="Dana riba",H3750="Pinjam uang riba",I3750="Pinjam dari uang riba",I3750="Ganti uang riba",I3750="Kelebihan ganti dikembalikan",AND(C3750="Kantong Uang Riba",G3750="Pengeluaran"))),1,0)</f>
        <v/>
      </c>
      <c r="X3750" s="93">
        <f>IF(AND(B3750&lt;&gt;"",B3750&gt;='Buku Akun'!$H$4,B3750&lt;='Buku Akun'!$H$5,OR(C3750='Buku Akun'!$C$4,AND(D3750="Pindah",E3750='Buku Akun'!$C$4))),B3750+IF(AND(I3750="Selisih bunga",DAY(B3750)=1),0,0.01)+ROW()/10000000,"")</f>
        <v/>
      </c>
    </row>
    <row r="3751" outlineLevel="1" ht="15" customHeight="1" s="94">
      <c r="A3751" s="123">
        <f>IF(B3751="","",ROW()-15)</f>
        <v/>
      </c>
      <c r="B3751" s="124" t="n"/>
      <c r="C3751" s="123" t="n"/>
      <c r="D3751" s="123" t="n"/>
      <c r="E3751" s="123" t="n"/>
      <c r="F3751" s="125" t="n"/>
      <c r="G3751" s="123" t="n"/>
      <c r="H3751" s="123" t="n"/>
      <c r="I3751" s="123" t="n"/>
      <c r="J3751" s="123" t="n"/>
      <c r="K3751" s="123" t="n"/>
      <c r="L3751" s="123" t="n"/>
      <c r="M3751" s="123">
        <f>IF(AND(B3751&lt;&gt;"",OR($C$4="",ISNUMBER(SEARCH($C$4,C3751&amp;" "&amp;E3751&amp;" "&amp;G3751&amp;" "&amp;H3751&amp;" "&amp;I3751&amp;" "&amp;J3751&amp;" "&amp;K3751&amp;" "&amp;L3751))),OR($C$5="Semua",$C$5="",G3751=$C$5),OR($C$6="Semua",$C$6="",H3751=$C$6,H3751="Pengeluaran "&amp;$C$6,AND($C$6="Uang Kos Mama",H3751="Pengeluaran Uang Kos")),OR($C$7="Semua",$C$7="",I3751=$C$7),OR($C$8="Semua",$C$8="",C3751=$C$8,E3751=$C$8),OR($C$9="Semua",$C$9="",D3751=$C$9),OR($C$10="",B3751&gt;=$C$10),OR($C$11="",B3751&lt;=$C$11),OR($C$12&lt;&gt;"Ya",K3751&lt;&gt;""),OR($C$13="Semua",$C$13="",L3751=$C$13)),"✓","")</f>
        <v/>
      </c>
      <c r="N3751" s="93">
        <f>N(N3750)+IF(M3751="✓",1,0)</f>
        <v/>
      </c>
      <c r="O3751" s="93">
        <f>N(O3750)+IF(AND(B3751&lt;&gt;"",B3751&gt;='Uang Riba'!$H$30,B3751&lt;='Uang Riba'!$I$30,OR(H3751="Dana riba",H3751="Pinjam uang riba",I3751="Pinjam dari uang riba",I3751="Ganti uang riba",I3751="Kelebihan ganti dikembalikan",AND(C3751="Kantong Uang Riba",G3751="Pengeluaran"))),1,0)</f>
        <v/>
      </c>
      <c r="X3751" s="93">
        <f>IF(AND(B3751&lt;&gt;"",B3751&gt;='Buku Akun'!$H$4,B3751&lt;='Buku Akun'!$H$5,OR(C3751='Buku Akun'!$C$4,AND(D3751="Pindah",E3751='Buku Akun'!$C$4))),B3751+IF(AND(I3751="Selisih bunga",DAY(B3751)=1),0,0.01)+ROW()/10000000,"")</f>
        <v/>
      </c>
    </row>
    <row r="3752" outlineLevel="1" ht="15" customHeight="1" s="94">
      <c r="A3752" s="123">
        <f>IF(B3752="","",ROW()-15)</f>
        <v/>
      </c>
      <c r="B3752" s="124" t="n"/>
      <c r="C3752" s="123" t="n"/>
      <c r="D3752" s="123" t="n"/>
      <c r="E3752" s="123" t="n"/>
      <c r="F3752" s="125" t="n"/>
      <c r="G3752" s="123" t="n"/>
      <c r="H3752" s="123" t="n"/>
      <c r="I3752" s="123" t="n"/>
      <c r="J3752" s="123" t="n"/>
      <c r="K3752" s="123" t="n"/>
      <c r="L3752" s="123" t="n"/>
      <c r="M3752" s="123">
        <f>IF(AND(B3752&lt;&gt;"",OR($C$4="",ISNUMBER(SEARCH($C$4,C3752&amp;" "&amp;E3752&amp;" "&amp;G3752&amp;" "&amp;H3752&amp;" "&amp;I3752&amp;" "&amp;J3752&amp;" "&amp;K3752&amp;" "&amp;L3752))),OR($C$5="Semua",$C$5="",G3752=$C$5),OR($C$6="Semua",$C$6="",H3752=$C$6,H3752="Pengeluaran "&amp;$C$6,AND($C$6="Uang Kos Mama",H3752="Pengeluaran Uang Kos")),OR($C$7="Semua",$C$7="",I3752=$C$7),OR($C$8="Semua",$C$8="",C3752=$C$8,E3752=$C$8),OR($C$9="Semua",$C$9="",D3752=$C$9),OR($C$10="",B3752&gt;=$C$10),OR($C$11="",B3752&lt;=$C$11),OR($C$12&lt;&gt;"Ya",K3752&lt;&gt;""),OR($C$13="Semua",$C$13="",L3752=$C$13)),"✓","")</f>
        <v/>
      </c>
      <c r="N3752" s="93">
        <f>N(N3751)+IF(M3752="✓",1,0)</f>
        <v/>
      </c>
      <c r="O3752" s="93">
        <f>N(O3751)+IF(AND(B3752&lt;&gt;"",B3752&gt;='Uang Riba'!$H$30,B3752&lt;='Uang Riba'!$I$30,OR(H3752="Dana riba",H3752="Pinjam uang riba",I3752="Pinjam dari uang riba",I3752="Ganti uang riba",I3752="Kelebihan ganti dikembalikan",AND(C3752="Kantong Uang Riba",G3752="Pengeluaran"))),1,0)</f>
        <v/>
      </c>
      <c r="X3752" s="93">
        <f>IF(AND(B3752&lt;&gt;"",B3752&gt;='Buku Akun'!$H$4,B3752&lt;='Buku Akun'!$H$5,OR(C3752='Buku Akun'!$C$4,AND(D3752="Pindah",E3752='Buku Akun'!$C$4))),B3752+IF(AND(I3752="Selisih bunga",DAY(B3752)=1),0,0.01)+ROW()/10000000,"")</f>
        <v/>
      </c>
    </row>
    <row r="3753" outlineLevel="1" ht="15" customHeight="1" s="94">
      <c r="A3753" s="123">
        <f>IF(B3753="","",ROW()-15)</f>
        <v/>
      </c>
      <c r="B3753" s="124" t="n"/>
      <c r="C3753" s="123" t="n"/>
      <c r="D3753" s="123" t="n"/>
      <c r="E3753" s="123" t="n"/>
      <c r="F3753" s="125" t="n"/>
      <c r="G3753" s="123" t="n"/>
      <c r="H3753" s="123" t="n"/>
      <c r="I3753" s="123" t="n"/>
      <c r="J3753" s="123" t="n"/>
      <c r="K3753" s="123" t="n"/>
      <c r="L3753" s="123" t="n"/>
      <c r="M3753" s="123">
        <f>IF(AND(B3753&lt;&gt;"",OR($C$4="",ISNUMBER(SEARCH($C$4,C3753&amp;" "&amp;E3753&amp;" "&amp;G3753&amp;" "&amp;H3753&amp;" "&amp;I3753&amp;" "&amp;J3753&amp;" "&amp;K3753&amp;" "&amp;L3753))),OR($C$5="Semua",$C$5="",G3753=$C$5),OR($C$6="Semua",$C$6="",H3753=$C$6,H3753="Pengeluaran "&amp;$C$6,AND($C$6="Uang Kos Mama",H3753="Pengeluaran Uang Kos")),OR($C$7="Semua",$C$7="",I3753=$C$7),OR($C$8="Semua",$C$8="",C3753=$C$8,E3753=$C$8),OR($C$9="Semua",$C$9="",D3753=$C$9),OR($C$10="",B3753&gt;=$C$10),OR($C$11="",B3753&lt;=$C$11),OR($C$12&lt;&gt;"Ya",K3753&lt;&gt;""),OR($C$13="Semua",$C$13="",L3753=$C$13)),"✓","")</f>
        <v/>
      </c>
      <c r="N3753" s="93">
        <f>N(N3752)+IF(M3753="✓",1,0)</f>
        <v/>
      </c>
      <c r="O3753" s="93">
        <f>N(O3752)+IF(AND(B3753&lt;&gt;"",B3753&gt;='Uang Riba'!$H$30,B3753&lt;='Uang Riba'!$I$30,OR(H3753="Dana riba",H3753="Pinjam uang riba",I3753="Pinjam dari uang riba",I3753="Ganti uang riba",I3753="Kelebihan ganti dikembalikan",AND(C3753="Kantong Uang Riba",G3753="Pengeluaran"))),1,0)</f>
        <v/>
      </c>
      <c r="X3753" s="93">
        <f>IF(AND(B3753&lt;&gt;"",B3753&gt;='Buku Akun'!$H$4,B3753&lt;='Buku Akun'!$H$5,OR(C3753='Buku Akun'!$C$4,AND(D3753="Pindah",E3753='Buku Akun'!$C$4))),B3753+IF(AND(I3753="Selisih bunga",DAY(B3753)=1),0,0.01)+ROW()/10000000,"")</f>
        <v/>
      </c>
    </row>
    <row r="3754" outlineLevel="1" ht="15" customHeight="1" s="94">
      <c r="A3754" s="123">
        <f>IF(B3754="","",ROW()-15)</f>
        <v/>
      </c>
      <c r="B3754" s="124" t="n"/>
      <c r="C3754" s="123" t="n"/>
      <c r="D3754" s="123" t="n"/>
      <c r="E3754" s="123" t="n"/>
      <c r="F3754" s="125" t="n"/>
      <c r="G3754" s="123" t="n"/>
      <c r="H3754" s="123" t="n"/>
      <c r="I3754" s="123" t="n"/>
      <c r="J3754" s="123" t="n"/>
      <c r="K3754" s="123" t="n"/>
      <c r="L3754" s="123" t="n"/>
      <c r="M3754" s="123">
        <f>IF(AND(B3754&lt;&gt;"",OR($C$4="",ISNUMBER(SEARCH($C$4,C3754&amp;" "&amp;E3754&amp;" "&amp;G3754&amp;" "&amp;H3754&amp;" "&amp;I3754&amp;" "&amp;J3754&amp;" "&amp;K3754&amp;" "&amp;L3754))),OR($C$5="Semua",$C$5="",G3754=$C$5),OR($C$6="Semua",$C$6="",H3754=$C$6,H3754="Pengeluaran "&amp;$C$6,AND($C$6="Uang Kos Mama",H3754="Pengeluaran Uang Kos")),OR($C$7="Semua",$C$7="",I3754=$C$7),OR($C$8="Semua",$C$8="",C3754=$C$8,E3754=$C$8),OR($C$9="Semua",$C$9="",D3754=$C$9),OR($C$10="",B3754&gt;=$C$10),OR($C$11="",B3754&lt;=$C$11),OR($C$12&lt;&gt;"Ya",K3754&lt;&gt;""),OR($C$13="Semua",$C$13="",L3754=$C$13)),"✓","")</f>
        <v/>
      </c>
      <c r="N3754" s="93">
        <f>N(N3753)+IF(M3754="✓",1,0)</f>
        <v/>
      </c>
      <c r="O3754" s="93">
        <f>N(O3753)+IF(AND(B3754&lt;&gt;"",B3754&gt;='Uang Riba'!$H$30,B3754&lt;='Uang Riba'!$I$30,OR(H3754="Dana riba",H3754="Pinjam uang riba",I3754="Pinjam dari uang riba",I3754="Ganti uang riba",I3754="Kelebihan ganti dikembalikan",AND(C3754="Kantong Uang Riba",G3754="Pengeluaran"))),1,0)</f>
        <v/>
      </c>
      <c r="X3754" s="93">
        <f>IF(AND(B3754&lt;&gt;"",B3754&gt;='Buku Akun'!$H$4,B3754&lt;='Buku Akun'!$H$5,OR(C3754='Buku Akun'!$C$4,AND(D3754="Pindah",E3754='Buku Akun'!$C$4))),B3754+IF(AND(I3754="Selisih bunga",DAY(B3754)=1),0,0.01)+ROW()/10000000,"")</f>
        <v/>
      </c>
    </row>
    <row r="3755" outlineLevel="1" ht="15" customHeight="1" s="94">
      <c r="A3755" s="123">
        <f>IF(B3755="","",ROW()-15)</f>
        <v/>
      </c>
      <c r="B3755" s="124" t="n"/>
      <c r="C3755" s="123" t="n"/>
      <c r="D3755" s="123" t="n"/>
      <c r="E3755" s="123" t="n"/>
      <c r="F3755" s="125" t="n"/>
      <c r="G3755" s="123" t="n"/>
      <c r="H3755" s="123" t="n"/>
      <c r="I3755" s="123" t="n"/>
      <c r="J3755" s="123" t="n"/>
      <c r="K3755" s="123" t="n"/>
      <c r="L3755" s="123" t="n"/>
      <c r="M3755" s="123">
        <f>IF(AND(B3755&lt;&gt;"",OR($C$4="",ISNUMBER(SEARCH($C$4,C3755&amp;" "&amp;E3755&amp;" "&amp;G3755&amp;" "&amp;H3755&amp;" "&amp;I3755&amp;" "&amp;J3755&amp;" "&amp;K3755&amp;" "&amp;L3755))),OR($C$5="Semua",$C$5="",G3755=$C$5),OR($C$6="Semua",$C$6="",H3755=$C$6,H3755="Pengeluaran "&amp;$C$6,AND($C$6="Uang Kos Mama",H3755="Pengeluaran Uang Kos")),OR($C$7="Semua",$C$7="",I3755=$C$7),OR($C$8="Semua",$C$8="",C3755=$C$8,E3755=$C$8),OR($C$9="Semua",$C$9="",D3755=$C$9),OR($C$10="",B3755&gt;=$C$10),OR($C$11="",B3755&lt;=$C$11),OR($C$12&lt;&gt;"Ya",K3755&lt;&gt;""),OR($C$13="Semua",$C$13="",L3755=$C$13)),"✓","")</f>
        <v/>
      </c>
      <c r="N3755" s="93">
        <f>N(N3754)+IF(M3755="✓",1,0)</f>
        <v/>
      </c>
      <c r="O3755" s="93">
        <f>N(O3754)+IF(AND(B3755&lt;&gt;"",B3755&gt;='Uang Riba'!$H$30,B3755&lt;='Uang Riba'!$I$30,OR(H3755="Dana riba",H3755="Pinjam uang riba",I3755="Pinjam dari uang riba",I3755="Ganti uang riba",I3755="Kelebihan ganti dikembalikan",AND(C3755="Kantong Uang Riba",G3755="Pengeluaran"))),1,0)</f>
        <v/>
      </c>
      <c r="X3755" s="93">
        <f>IF(AND(B3755&lt;&gt;"",B3755&gt;='Buku Akun'!$H$4,B3755&lt;='Buku Akun'!$H$5,OR(C3755='Buku Akun'!$C$4,AND(D3755="Pindah",E3755='Buku Akun'!$C$4))),B3755+IF(AND(I3755="Selisih bunga",DAY(B3755)=1),0,0.01)+ROW()/10000000,"")</f>
        <v/>
      </c>
    </row>
    <row r="3756" outlineLevel="1" ht="15" customHeight="1" s="94">
      <c r="A3756" s="123">
        <f>IF(B3756="","",ROW()-15)</f>
        <v/>
      </c>
      <c r="B3756" s="124" t="n"/>
      <c r="C3756" s="123" t="n"/>
      <c r="D3756" s="123" t="n"/>
      <c r="E3756" s="123" t="n"/>
      <c r="F3756" s="125" t="n"/>
      <c r="G3756" s="123" t="n"/>
      <c r="H3756" s="123" t="n"/>
      <c r="I3756" s="123" t="n"/>
      <c r="J3756" s="123" t="n"/>
      <c r="K3756" s="123" t="n"/>
      <c r="L3756" s="123" t="n"/>
      <c r="M3756" s="123">
        <f>IF(AND(B3756&lt;&gt;"",OR($C$4="",ISNUMBER(SEARCH($C$4,C3756&amp;" "&amp;E3756&amp;" "&amp;G3756&amp;" "&amp;H3756&amp;" "&amp;I3756&amp;" "&amp;J3756&amp;" "&amp;K3756&amp;" "&amp;L3756))),OR($C$5="Semua",$C$5="",G3756=$C$5),OR($C$6="Semua",$C$6="",H3756=$C$6,H3756="Pengeluaran "&amp;$C$6,AND($C$6="Uang Kos Mama",H3756="Pengeluaran Uang Kos")),OR($C$7="Semua",$C$7="",I3756=$C$7),OR($C$8="Semua",$C$8="",C3756=$C$8,E3756=$C$8),OR($C$9="Semua",$C$9="",D3756=$C$9),OR($C$10="",B3756&gt;=$C$10),OR($C$11="",B3756&lt;=$C$11),OR($C$12&lt;&gt;"Ya",K3756&lt;&gt;""),OR($C$13="Semua",$C$13="",L3756=$C$13)),"✓","")</f>
        <v/>
      </c>
      <c r="N3756" s="93">
        <f>N(N3755)+IF(M3756="✓",1,0)</f>
        <v/>
      </c>
      <c r="O3756" s="93">
        <f>N(O3755)+IF(AND(B3756&lt;&gt;"",B3756&gt;='Uang Riba'!$H$30,B3756&lt;='Uang Riba'!$I$30,OR(H3756="Dana riba",H3756="Pinjam uang riba",I3756="Pinjam dari uang riba",I3756="Ganti uang riba",I3756="Kelebihan ganti dikembalikan",AND(C3756="Kantong Uang Riba",G3756="Pengeluaran"))),1,0)</f>
        <v/>
      </c>
      <c r="X3756" s="93">
        <f>IF(AND(B3756&lt;&gt;"",B3756&gt;='Buku Akun'!$H$4,B3756&lt;='Buku Akun'!$H$5,OR(C3756='Buku Akun'!$C$4,AND(D3756="Pindah",E3756='Buku Akun'!$C$4))),B3756+IF(AND(I3756="Selisih bunga",DAY(B3756)=1),0,0.01)+ROW()/10000000,"")</f>
        <v/>
      </c>
    </row>
    <row r="3757" outlineLevel="1" ht="15" customHeight="1" s="94">
      <c r="A3757" s="123">
        <f>IF(B3757="","",ROW()-15)</f>
        <v/>
      </c>
      <c r="B3757" s="124" t="n"/>
      <c r="C3757" s="123" t="n"/>
      <c r="D3757" s="123" t="n"/>
      <c r="E3757" s="123" t="n"/>
      <c r="F3757" s="125" t="n"/>
      <c r="G3757" s="123" t="n"/>
      <c r="H3757" s="123" t="n"/>
      <c r="I3757" s="123" t="n"/>
      <c r="J3757" s="123" t="n"/>
      <c r="K3757" s="123" t="n"/>
      <c r="L3757" s="123" t="n"/>
      <c r="M3757" s="123">
        <f>IF(AND(B3757&lt;&gt;"",OR($C$4="",ISNUMBER(SEARCH($C$4,C3757&amp;" "&amp;E3757&amp;" "&amp;G3757&amp;" "&amp;H3757&amp;" "&amp;I3757&amp;" "&amp;J3757&amp;" "&amp;K3757&amp;" "&amp;L3757))),OR($C$5="Semua",$C$5="",G3757=$C$5),OR($C$6="Semua",$C$6="",H3757=$C$6,H3757="Pengeluaran "&amp;$C$6,AND($C$6="Uang Kos Mama",H3757="Pengeluaran Uang Kos")),OR($C$7="Semua",$C$7="",I3757=$C$7),OR($C$8="Semua",$C$8="",C3757=$C$8,E3757=$C$8),OR($C$9="Semua",$C$9="",D3757=$C$9),OR($C$10="",B3757&gt;=$C$10),OR($C$11="",B3757&lt;=$C$11),OR($C$12&lt;&gt;"Ya",K3757&lt;&gt;""),OR($C$13="Semua",$C$13="",L3757=$C$13)),"✓","")</f>
        <v/>
      </c>
      <c r="N3757" s="93">
        <f>N(N3756)+IF(M3757="✓",1,0)</f>
        <v/>
      </c>
      <c r="O3757" s="93">
        <f>N(O3756)+IF(AND(B3757&lt;&gt;"",B3757&gt;='Uang Riba'!$H$30,B3757&lt;='Uang Riba'!$I$30,OR(H3757="Dana riba",H3757="Pinjam uang riba",I3757="Pinjam dari uang riba",I3757="Ganti uang riba",I3757="Kelebihan ganti dikembalikan",AND(C3757="Kantong Uang Riba",G3757="Pengeluaran"))),1,0)</f>
        <v/>
      </c>
      <c r="X3757" s="93">
        <f>IF(AND(B3757&lt;&gt;"",B3757&gt;='Buku Akun'!$H$4,B3757&lt;='Buku Akun'!$H$5,OR(C3757='Buku Akun'!$C$4,AND(D3757="Pindah",E3757='Buku Akun'!$C$4))),B3757+IF(AND(I3757="Selisih bunga",DAY(B3757)=1),0,0.01)+ROW()/10000000,"")</f>
        <v/>
      </c>
    </row>
    <row r="3758" outlineLevel="1" ht="15" customHeight="1" s="94">
      <c r="A3758" s="123">
        <f>IF(B3758="","",ROW()-15)</f>
        <v/>
      </c>
      <c r="B3758" s="124" t="n"/>
      <c r="C3758" s="123" t="n"/>
      <c r="D3758" s="123" t="n"/>
      <c r="E3758" s="123" t="n"/>
      <c r="F3758" s="125" t="n"/>
      <c r="G3758" s="123" t="n"/>
      <c r="H3758" s="123" t="n"/>
      <c r="I3758" s="123" t="n"/>
      <c r="J3758" s="123" t="n"/>
      <c r="K3758" s="123" t="n"/>
      <c r="L3758" s="123" t="n"/>
      <c r="M3758" s="123">
        <f>IF(AND(B3758&lt;&gt;"",OR($C$4="",ISNUMBER(SEARCH($C$4,C3758&amp;" "&amp;E3758&amp;" "&amp;G3758&amp;" "&amp;H3758&amp;" "&amp;I3758&amp;" "&amp;J3758&amp;" "&amp;K3758&amp;" "&amp;L3758))),OR($C$5="Semua",$C$5="",G3758=$C$5),OR($C$6="Semua",$C$6="",H3758=$C$6,H3758="Pengeluaran "&amp;$C$6,AND($C$6="Uang Kos Mama",H3758="Pengeluaran Uang Kos")),OR($C$7="Semua",$C$7="",I3758=$C$7),OR($C$8="Semua",$C$8="",C3758=$C$8,E3758=$C$8),OR($C$9="Semua",$C$9="",D3758=$C$9),OR($C$10="",B3758&gt;=$C$10),OR($C$11="",B3758&lt;=$C$11),OR($C$12&lt;&gt;"Ya",K3758&lt;&gt;""),OR($C$13="Semua",$C$13="",L3758=$C$13)),"✓","")</f>
        <v/>
      </c>
      <c r="N3758" s="93">
        <f>N(N3757)+IF(M3758="✓",1,0)</f>
        <v/>
      </c>
      <c r="O3758" s="93">
        <f>N(O3757)+IF(AND(B3758&lt;&gt;"",B3758&gt;='Uang Riba'!$H$30,B3758&lt;='Uang Riba'!$I$30,OR(H3758="Dana riba",H3758="Pinjam uang riba",I3758="Pinjam dari uang riba",I3758="Ganti uang riba",I3758="Kelebihan ganti dikembalikan",AND(C3758="Kantong Uang Riba",G3758="Pengeluaran"))),1,0)</f>
        <v/>
      </c>
      <c r="X3758" s="93">
        <f>IF(AND(B3758&lt;&gt;"",B3758&gt;='Buku Akun'!$H$4,B3758&lt;='Buku Akun'!$H$5,OR(C3758='Buku Akun'!$C$4,AND(D3758="Pindah",E3758='Buku Akun'!$C$4))),B3758+IF(AND(I3758="Selisih bunga",DAY(B3758)=1),0,0.01)+ROW()/10000000,"")</f>
        <v/>
      </c>
    </row>
    <row r="3759" outlineLevel="1" ht="15" customHeight="1" s="94">
      <c r="A3759" s="123">
        <f>IF(B3759="","",ROW()-15)</f>
        <v/>
      </c>
      <c r="B3759" s="124" t="n"/>
      <c r="C3759" s="123" t="n"/>
      <c r="D3759" s="123" t="n"/>
      <c r="E3759" s="123" t="n"/>
      <c r="F3759" s="125" t="n"/>
      <c r="G3759" s="123" t="n"/>
      <c r="H3759" s="123" t="n"/>
      <c r="I3759" s="123" t="n"/>
      <c r="J3759" s="123" t="n"/>
      <c r="K3759" s="123" t="n"/>
      <c r="L3759" s="123" t="n"/>
      <c r="M3759" s="123">
        <f>IF(AND(B3759&lt;&gt;"",OR($C$4="",ISNUMBER(SEARCH($C$4,C3759&amp;" "&amp;E3759&amp;" "&amp;G3759&amp;" "&amp;H3759&amp;" "&amp;I3759&amp;" "&amp;J3759&amp;" "&amp;K3759&amp;" "&amp;L3759))),OR($C$5="Semua",$C$5="",G3759=$C$5),OR($C$6="Semua",$C$6="",H3759=$C$6,H3759="Pengeluaran "&amp;$C$6,AND($C$6="Uang Kos Mama",H3759="Pengeluaran Uang Kos")),OR($C$7="Semua",$C$7="",I3759=$C$7),OR($C$8="Semua",$C$8="",C3759=$C$8,E3759=$C$8),OR($C$9="Semua",$C$9="",D3759=$C$9),OR($C$10="",B3759&gt;=$C$10),OR($C$11="",B3759&lt;=$C$11),OR($C$12&lt;&gt;"Ya",K3759&lt;&gt;""),OR($C$13="Semua",$C$13="",L3759=$C$13)),"✓","")</f>
        <v/>
      </c>
      <c r="N3759" s="93">
        <f>N(N3758)+IF(M3759="✓",1,0)</f>
        <v/>
      </c>
      <c r="O3759" s="93">
        <f>N(O3758)+IF(AND(B3759&lt;&gt;"",B3759&gt;='Uang Riba'!$H$30,B3759&lt;='Uang Riba'!$I$30,OR(H3759="Dana riba",H3759="Pinjam uang riba",I3759="Pinjam dari uang riba",I3759="Ganti uang riba",I3759="Kelebihan ganti dikembalikan",AND(C3759="Kantong Uang Riba",G3759="Pengeluaran"))),1,0)</f>
        <v/>
      </c>
      <c r="X3759" s="93">
        <f>IF(AND(B3759&lt;&gt;"",B3759&gt;='Buku Akun'!$H$4,B3759&lt;='Buku Akun'!$H$5,OR(C3759='Buku Akun'!$C$4,AND(D3759="Pindah",E3759='Buku Akun'!$C$4))),B3759+IF(AND(I3759="Selisih bunga",DAY(B3759)=1),0,0.01)+ROW()/10000000,"")</f>
        <v/>
      </c>
    </row>
    <row r="3760" outlineLevel="1" ht="15" customHeight="1" s="94">
      <c r="A3760" s="123">
        <f>IF(B3760="","",ROW()-15)</f>
        <v/>
      </c>
      <c r="B3760" s="124" t="n"/>
      <c r="C3760" s="123" t="n"/>
      <c r="D3760" s="123" t="n"/>
      <c r="E3760" s="123" t="n"/>
      <c r="F3760" s="125" t="n"/>
      <c r="G3760" s="123" t="n"/>
      <c r="H3760" s="123" t="n"/>
      <c r="I3760" s="123" t="n"/>
      <c r="J3760" s="123" t="n"/>
      <c r="K3760" s="123" t="n"/>
      <c r="L3760" s="123" t="n"/>
      <c r="M3760" s="123">
        <f>IF(AND(B3760&lt;&gt;"",OR($C$4="",ISNUMBER(SEARCH($C$4,C3760&amp;" "&amp;E3760&amp;" "&amp;G3760&amp;" "&amp;H3760&amp;" "&amp;I3760&amp;" "&amp;J3760&amp;" "&amp;K3760&amp;" "&amp;L3760))),OR($C$5="Semua",$C$5="",G3760=$C$5),OR($C$6="Semua",$C$6="",H3760=$C$6,H3760="Pengeluaran "&amp;$C$6,AND($C$6="Uang Kos Mama",H3760="Pengeluaran Uang Kos")),OR($C$7="Semua",$C$7="",I3760=$C$7),OR($C$8="Semua",$C$8="",C3760=$C$8,E3760=$C$8),OR($C$9="Semua",$C$9="",D3760=$C$9),OR($C$10="",B3760&gt;=$C$10),OR($C$11="",B3760&lt;=$C$11),OR($C$12&lt;&gt;"Ya",K3760&lt;&gt;""),OR($C$13="Semua",$C$13="",L3760=$C$13)),"✓","")</f>
        <v/>
      </c>
      <c r="N3760" s="93">
        <f>N(N3759)+IF(M3760="✓",1,0)</f>
        <v/>
      </c>
      <c r="O3760" s="93">
        <f>N(O3759)+IF(AND(B3760&lt;&gt;"",B3760&gt;='Uang Riba'!$H$30,B3760&lt;='Uang Riba'!$I$30,OR(H3760="Dana riba",H3760="Pinjam uang riba",I3760="Pinjam dari uang riba",I3760="Ganti uang riba",I3760="Kelebihan ganti dikembalikan",AND(C3760="Kantong Uang Riba",G3760="Pengeluaran"))),1,0)</f>
        <v/>
      </c>
      <c r="X3760" s="93">
        <f>IF(AND(B3760&lt;&gt;"",B3760&gt;='Buku Akun'!$H$4,B3760&lt;='Buku Akun'!$H$5,OR(C3760='Buku Akun'!$C$4,AND(D3760="Pindah",E3760='Buku Akun'!$C$4))),B3760+IF(AND(I3760="Selisih bunga",DAY(B3760)=1),0,0.01)+ROW()/10000000,"")</f>
        <v/>
      </c>
    </row>
    <row r="3761" outlineLevel="1" ht="15" customHeight="1" s="94">
      <c r="A3761" s="123">
        <f>IF(B3761="","",ROW()-15)</f>
        <v/>
      </c>
      <c r="B3761" s="124" t="n"/>
      <c r="C3761" s="123" t="n"/>
      <c r="D3761" s="123" t="n"/>
      <c r="E3761" s="123" t="n"/>
      <c r="F3761" s="125" t="n"/>
      <c r="G3761" s="123" t="n"/>
      <c r="H3761" s="123" t="n"/>
      <c r="I3761" s="123" t="n"/>
      <c r="J3761" s="123" t="n"/>
      <c r="K3761" s="123" t="n"/>
      <c r="L3761" s="123" t="n"/>
      <c r="M3761" s="123">
        <f>IF(AND(B3761&lt;&gt;"",OR($C$4="",ISNUMBER(SEARCH($C$4,C3761&amp;" "&amp;E3761&amp;" "&amp;G3761&amp;" "&amp;H3761&amp;" "&amp;I3761&amp;" "&amp;J3761&amp;" "&amp;K3761&amp;" "&amp;L3761))),OR($C$5="Semua",$C$5="",G3761=$C$5),OR($C$6="Semua",$C$6="",H3761=$C$6,H3761="Pengeluaran "&amp;$C$6,AND($C$6="Uang Kos Mama",H3761="Pengeluaran Uang Kos")),OR($C$7="Semua",$C$7="",I3761=$C$7),OR($C$8="Semua",$C$8="",C3761=$C$8,E3761=$C$8),OR($C$9="Semua",$C$9="",D3761=$C$9),OR($C$10="",B3761&gt;=$C$10),OR($C$11="",B3761&lt;=$C$11),OR($C$12&lt;&gt;"Ya",K3761&lt;&gt;""),OR($C$13="Semua",$C$13="",L3761=$C$13)),"✓","")</f>
        <v/>
      </c>
      <c r="N3761" s="93">
        <f>N(N3760)+IF(M3761="✓",1,0)</f>
        <v/>
      </c>
      <c r="O3761" s="93">
        <f>N(O3760)+IF(AND(B3761&lt;&gt;"",B3761&gt;='Uang Riba'!$H$30,B3761&lt;='Uang Riba'!$I$30,OR(H3761="Dana riba",H3761="Pinjam uang riba",I3761="Pinjam dari uang riba",I3761="Ganti uang riba",I3761="Kelebihan ganti dikembalikan",AND(C3761="Kantong Uang Riba",G3761="Pengeluaran"))),1,0)</f>
        <v/>
      </c>
      <c r="X3761" s="93">
        <f>IF(AND(B3761&lt;&gt;"",B3761&gt;='Buku Akun'!$H$4,B3761&lt;='Buku Akun'!$H$5,OR(C3761='Buku Akun'!$C$4,AND(D3761="Pindah",E3761='Buku Akun'!$C$4))),B3761+IF(AND(I3761="Selisih bunga",DAY(B3761)=1),0,0.01)+ROW()/10000000,"")</f>
        <v/>
      </c>
    </row>
    <row r="3762" outlineLevel="1" ht="15" customHeight="1" s="94">
      <c r="A3762" s="123">
        <f>IF(B3762="","",ROW()-15)</f>
        <v/>
      </c>
      <c r="B3762" s="124" t="n"/>
      <c r="C3762" s="123" t="n"/>
      <c r="D3762" s="123" t="n"/>
      <c r="E3762" s="123" t="n"/>
      <c r="F3762" s="125" t="n"/>
      <c r="G3762" s="123" t="n"/>
      <c r="H3762" s="123" t="n"/>
      <c r="I3762" s="123" t="n"/>
      <c r="J3762" s="123" t="n"/>
      <c r="K3762" s="123" t="n"/>
      <c r="L3762" s="123" t="n"/>
      <c r="M3762" s="123">
        <f>IF(AND(B3762&lt;&gt;"",OR($C$4="",ISNUMBER(SEARCH($C$4,C3762&amp;" "&amp;E3762&amp;" "&amp;G3762&amp;" "&amp;H3762&amp;" "&amp;I3762&amp;" "&amp;J3762&amp;" "&amp;K3762&amp;" "&amp;L3762))),OR($C$5="Semua",$C$5="",G3762=$C$5),OR($C$6="Semua",$C$6="",H3762=$C$6,H3762="Pengeluaran "&amp;$C$6,AND($C$6="Uang Kos Mama",H3762="Pengeluaran Uang Kos")),OR($C$7="Semua",$C$7="",I3762=$C$7),OR($C$8="Semua",$C$8="",C3762=$C$8,E3762=$C$8),OR($C$9="Semua",$C$9="",D3762=$C$9),OR($C$10="",B3762&gt;=$C$10),OR($C$11="",B3762&lt;=$C$11),OR($C$12&lt;&gt;"Ya",K3762&lt;&gt;""),OR($C$13="Semua",$C$13="",L3762=$C$13)),"✓","")</f>
        <v/>
      </c>
      <c r="N3762" s="93">
        <f>N(N3761)+IF(M3762="✓",1,0)</f>
        <v/>
      </c>
      <c r="O3762" s="93">
        <f>N(O3761)+IF(AND(B3762&lt;&gt;"",B3762&gt;='Uang Riba'!$H$30,B3762&lt;='Uang Riba'!$I$30,OR(H3762="Dana riba",H3762="Pinjam uang riba",I3762="Pinjam dari uang riba",I3762="Ganti uang riba",I3762="Kelebihan ganti dikembalikan",AND(C3762="Kantong Uang Riba",G3762="Pengeluaran"))),1,0)</f>
        <v/>
      </c>
      <c r="X3762" s="93">
        <f>IF(AND(B3762&lt;&gt;"",B3762&gt;='Buku Akun'!$H$4,B3762&lt;='Buku Akun'!$H$5,OR(C3762='Buku Akun'!$C$4,AND(D3762="Pindah",E3762='Buku Akun'!$C$4))),B3762+IF(AND(I3762="Selisih bunga",DAY(B3762)=1),0,0.01)+ROW()/10000000,"")</f>
        <v/>
      </c>
    </row>
    <row r="3763" outlineLevel="1" ht="15" customHeight="1" s="94">
      <c r="A3763" s="123">
        <f>IF(B3763="","",ROW()-15)</f>
        <v/>
      </c>
      <c r="B3763" s="124" t="n"/>
      <c r="C3763" s="123" t="n"/>
      <c r="D3763" s="123" t="n"/>
      <c r="E3763" s="123" t="n"/>
      <c r="F3763" s="125" t="n"/>
      <c r="G3763" s="123" t="n"/>
      <c r="H3763" s="123" t="n"/>
      <c r="I3763" s="123" t="n"/>
      <c r="J3763" s="123" t="n"/>
      <c r="K3763" s="123" t="n"/>
      <c r="L3763" s="123" t="n"/>
      <c r="M3763" s="123">
        <f>IF(AND(B3763&lt;&gt;"",OR($C$4="",ISNUMBER(SEARCH($C$4,C3763&amp;" "&amp;E3763&amp;" "&amp;G3763&amp;" "&amp;H3763&amp;" "&amp;I3763&amp;" "&amp;J3763&amp;" "&amp;K3763&amp;" "&amp;L3763))),OR($C$5="Semua",$C$5="",G3763=$C$5),OR($C$6="Semua",$C$6="",H3763=$C$6,H3763="Pengeluaran "&amp;$C$6,AND($C$6="Uang Kos Mama",H3763="Pengeluaran Uang Kos")),OR($C$7="Semua",$C$7="",I3763=$C$7),OR($C$8="Semua",$C$8="",C3763=$C$8,E3763=$C$8),OR($C$9="Semua",$C$9="",D3763=$C$9),OR($C$10="",B3763&gt;=$C$10),OR($C$11="",B3763&lt;=$C$11),OR($C$12&lt;&gt;"Ya",K3763&lt;&gt;""),OR($C$13="Semua",$C$13="",L3763=$C$13)),"✓","")</f>
        <v/>
      </c>
      <c r="N3763" s="93">
        <f>N(N3762)+IF(M3763="✓",1,0)</f>
        <v/>
      </c>
      <c r="O3763" s="93">
        <f>N(O3762)+IF(AND(B3763&lt;&gt;"",B3763&gt;='Uang Riba'!$H$30,B3763&lt;='Uang Riba'!$I$30,OR(H3763="Dana riba",H3763="Pinjam uang riba",I3763="Pinjam dari uang riba",I3763="Ganti uang riba",I3763="Kelebihan ganti dikembalikan",AND(C3763="Kantong Uang Riba",G3763="Pengeluaran"))),1,0)</f>
        <v/>
      </c>
      <c r="X3763" s="93">
        <f>IF(AND(B3763&lt;&gt;"",B3763&gt;='Buku Akun'!$H$4,B3763&lt;='Buku Akun'!$H$5,OR(C3763='Buku Akun'!$C$4,AND(D3763="Pindah",E3763='Buku Akun'!$C$4))),B3763+IF(AND(I3763="Selisih bunga",DAY(B3763)=1),0,0.01)+ROW()/10000000,"")</f>
        <v/>
      </c>
    </row>
    <row r="3764" outlineLevel="1" ht="15" customHeight="1" s="94">
      <c r="A3764" s="123">
        <f>IF(B3764="","",ROW()-15)</f>
        <v/>
      </c>
      <c r="B3764" s="124" t="n"/>
      <c r="C3764" s="123" t="n"/>
      <c r="D3764" s="123" t="n"/>
      <c r="E3764" s="123" t="n"/>
      <c r="F3764" s="125" t="n"/>
      <c r="G3764" s="123" t="n"/>
      <c r="H3764" s="123" t="n"/>
      <c r="I3764" s="123" t="n"/>
      <c r="J3764" s="123" t="n"/>
      <c r="K3764" s="123" t="n"/>
      <c r="L3764" s="123" t="n"/>
      <c r="M3764" s="123">
        <f>IF(AND(B3764&lt;&gt;"",OR($C$4="",ISNUMBER(SEARCH($C$4,C3764&amp;" "&amp;E3764&amp;" "&amp;G3764&amp;" "&amp;H3764&amp;" "&amp;I3764&amp;" "&amp;J3764&amp;" "&amp;K3764&amp;" "&amp;L3764))),OR($C$5="Semua",$C$5="",G3764=$C$5),OR($C$6="Semua",$C$6="",H3764=$C$6,H3764="Pengeluaran "&amp;$C$6,AND($C$6="Uang Kos Mama",H3764="Pengeluaran Uang Kos")),OR($C$7="Semua",$C$7="",I3764=$C$7),OR($C$8="Semua",$C$8="",C3764=$C$8,E3764=$C$8),OR($C$9="Semua",$C$9="",D3764=$C$9),OR($C$10="",B3764&gt;=$C$10),OR($C$11="",B3764&lt;=$C$11),OR($C$12&lt;&gt;"Ya",K3764&lt;&gt;""),OR($C$13="Semua",$C$13="",L3764=$C$13)),"✓","")</f>
        <v/>
      </c>
      <c r="N3764" s="93">
        <f>N(N3763)+IF(M3764="✓",1,0)</f>
        <v/>
      </c>
      <c r="O3764" s="93">
        <f>N(O3763)+IF(AND(B3764&lt;&gt;"",B3764&gt;='Uang Riba'!$H$30,B3764&lt;='Uang Riba'!$I$30,OR(H3764="Dana riba",H3764="Pinjam uang riba",I3764="Pinjam dari uang riba",I3764="Ganti uang riba",I3764="Kelebihan ganti dikembalikan",AND(C3764="Kantong Uang Riba",G3764="Pengeluaran"))),1,0)</f>
        <v/>
      </c>
      <c r="X3764" s="93">
        <f>IF(AND(B3764&lt;&gt;"",B3764&gt;='Buku Akun'!$H$4,B3764&lt;='Buku Akun'!$H$5,OR(C3764='Buku Akun'!$C$4,AND(D3764="Pindah",E3764='Buku Akun'!$C$4))),B3764+IF(AND(I3764="Selisih bunga",DAY(B3764)=1),0,0.01)+ROW()/10000000,"")</f>
        <v/>
      </c>
    </row>
    <row r="3765" outlineLevel="1" ht="15" customHeight="1" s="94">
      <c r="A3765" s="123">
        <f>IF(B3765="","",ROW()-15)</f>
        <v/>
      </c>
      <c r="B3765" s="124" t="n"/>
      <c r="C3765" s="123" t="n"/>
      <c r="D3765" s="123" t="n"/>
      <c r="E3765" s="123" t="n"/>
      <c r="F3765" s="125" t="n"/>
      <c r="G3765" s="123" t="n"/>
      <c r="H3765" s="123" t="n"/>
      <c r="I3765" s="123" t="n"/>
      <c r="J3765" s="123" t="n"/>
      <c r="K3765" s="123" t="n"/>
      <c r="L3765" s="123" t="n"/>
      <c r="M3765" s="123">
        <f>IF(AND(B3765&lt;&gt;"",OR($C$4="",ISNUMBER(SEARCH($C$4,C3765&amp;" "&amp;E3765&amp;" "&amp;G3765&amp;" "&amp;H3765&amp;" "&amp;I3765&amp;" "&amp;J3765&amp;" "&amp;K3765&amp;" "&amp;L3765))),OR($C$5="Semua",$C$5="",G3765=$C$5),OR($C$6="Semua",$C$6="",H3765=$C$6,H3765="Pengeluaran "&amp;$C$6,AND($C$6="Uang Kos Mama",H3765="Pengeluaran Uang Kos")),OR($C$7="Semua",$C$7="",I3765=$C$7),OR($C$8="Semua",$C$8="",C3765=$C$8,E3765=$C$8),OR($C$9="Semua",$C$9="",D3765=$C$9),OR($C$10="",B3765&gt;=$C$10),OR($C$11="",B3765&lt;=$C$11),OR($C$12&lt;&gt;"Ya",K3765&lt;&gt;""),OR($C$13="Semua",$C$13="",L3765=$C$13)),"✓","")</f>
        <v/>
      </c>
      <c r="N3765" s="93">
        <f>N(N3764)+IF(M3765="✓",1,0)</f>
        <v/>
      </c>
      <c r="O3765" s="93">
        <f>N(O3764)+IF(AND(B3765&lt;&gt;"",B3765&gt;='Uang Riba'!$H$30,B3765&lt;='Uang Riba'!$I$30,OR(H3765="Dana riba",H3765="Pinjam uang riba",I3765="Pinjam dari uang riba",I3765="Ganti uang riba",I3765="Kelebihan ganti dikembalikan",AND(C3765="Kantong Uang Riba",G3765="Pengeluaran"))),1,0)</f>
        <v/>
      </c>
      <c r="X3765" s="93">
        <f>IF(AND(B3765&lt;&gt;"",B3765&gt;='Buku Akun'!$H$4,B3765&lt;='Buku Akun'!$H$5,OR(C3765='Buku Akun'!$C$4,AND(D3765="Pindah",E3765='Buku Akun'!$C$4))),B3765+IF(AND(I3765="Selisih bunga",DAY(B3765)=1),0,0.01)+ROW()/10000000,"")</f>
        <v/>
      </c>
    </row>
    <row r="3766" outlineLevel="1" ht="15" customHeight="1" s="94">
      <c r="A3766" s="123">
        <f>IF(B3766="","",ROW()-15)</f>
        <v/>
      </c>
      <c r="B3766" s="124" t="n"/>
      <c r="C3766" s="123" t="n"/>
      <c r="D3766" s="123" t="n"/>
      <c r="E3766" s="123" t="n"/>
      <c r="F3766" s="125" t="n"/>
      <c r="G3766" s="123" t="n"/>
      <c r="H3766" s="123" t="n"/>
      <c r="I3766" s="123" t="n"/>
      <c r="J3766" s="123" t="n"/>
      <c r="K3766" s="123" t="n"/>
      <c r="L3766" s="123" t="n"/>
      <c r="M3766" s="123">
        <f>IF(AND(B3766&lt;&gt;"",OR($C$4="",ISNUMBER(SEARCH($C$4,C3766&amp;" "&amp;E3766&amp;" "&amp;G3766&amp;" "&amp;H3766&amp;" "&amp;I3766&amp;" "&amp;J3766&amp;" "&amp;K3766&amp;" "&amp;L3766))),OR($C$5="Semua",$C$5="",G3766=$C$5),OR($C$6="Semua",$C$6="",H3766=$C$6,H3766="Pengeluaran "&amp;$C$6,AND($C$6="Uang Kos Mama",H3766="Pengeluaran Uang Kos")),OR($C$7="Semua",$C$7="",I3766=$C$7),OR($C$8="Semua",$C$8="",C3766=$C$8,E3766=$C$8),OR($C$9="Semua",$C$9="",D3766=$C$9),OR($C$10="",B3766&gt;=$C$10),OR($C$11="",B3766&lt;=$C$11),OR($C$12&lt;&gt;"Ya",K3766&lt;&gt;""),OR($C$13="Semua",$C$13="",L3766=$C$13)),"✓","")</f>
        <v/>
      </c>
      <c r="N3766" s="93">
        <f>N(N3765)+IF(M3766="✓",1,0)</f>
        <v/>
      </c>
      <c r="O3766" s="93">
        <f>N(O3765)+IF(AND(B3766&lt;&gt;"",B3766&gt;='Uang Riba'!$H$30,B3766&lt;='Uang Riba'!$I$30,OR(H3766="Dana riba",H3766="Pinjam uang riba",I3766="Pinjam dari uang riba",I3766="Ganti uang riba",I3766="Kelebihan ganti dikembalikan",AND(C3766="Kantong Uang Riba",G3766="Pengeluaran"))),1,0)</f>
        <v/>
      </c>
      <c r="X3766" s="93">
        <f>IF(AND(B3766&lt;&gt;"",B3766&gt;='Buku Akun'!$H$4,B3766&lt;='Buku Akun'!$H$5,OR(C3766='Buku Akun'!$C$4,AND(D3766="Pindah",E3766='Buku Akun'!$C$4))),B3766+IF(AND(I3766="Selisih bunga",DAY(B3766)=1),0,0.01)+ROW()/10000000,"")</f>
        <v/>
      </c>
    </row>
    <row r="3767" outlineLevel="1" ht="15" customHeight="1" s="94">
      <c r="A3767" s="123">
        <f>IF(B3767="","",ROW()-15)</f>
        <v/>
      </c>
      <c r="B3767" s="124" t="n"/>
      <c r="C3767" s="123" t="n"/>
      <c r="D3767" s="123" t="n"/>
      <c r="E3767" s="123" t="n"/>
      <c r="F3767" s="125" t="n"/>
      <c r="G3767" s="123" t="n"/>
      <c r="H3767" s="123" t="n"/>
      <c r="I3767" s="123" t="n"/>
      <c r="J3767" s="123" t="n"/>
      <c r="K3767" s="123" t="n"/>
      <c r="L3767" s="123" t="n"/>
      <c r="M3767" s="123">
        <f>IF(AND(B3767&lt;&gt;"",OR($C$4="",ISNUMBER(SEARCH($C$4,C3767&amp;" "&amp;E3767&amp;" "&amp;G3767&amp;" "&amp;H3767&amp;" "&amp;I3767&amp;" "&amp;J3767&amp;" "&amp;K3767&amp;" "&amp;L3767))),OR($C$5="Semua",$C$5="",G3767=$C$5),OR($C$6="Semua",$C$6="",H3767=$C$6,H3767="Pengeluaran "&amp;$C$6,AND($C$6="Uang Kos Mama",H3767="Pengeluaran Uang Kos")),OR($C$7="Semua",$C$7="",I3767=$C$7),OR($C$8="Semua",$C$8="",C3767=$C$8,E3767=$C$8),OR($C$9="Semua",$C$9="",D3767=$C$9),OR($C$10="",B3767&gt;=$C$10),OR($C$11="",B3767&lt;=$C$11),OR($C$12&lt;&gt;"Ya",K3767&lt;&gt;""),OR($C$13="Semua",$C$13="",L3767=$C$13)),"✓","")</f>
        <v/>
      </c>
      <c r="N3767" s="93">
        <f>N(N3766)+IF(M3767="✓",1,0)</f>
        <v/>
      </c>
      <c r="O3767" s="93">
        <f>N(O3766)+IF(AND(B3767&lt;&gt;"",B3767&gt;='Uang Riba'!$H$30,B3767&lt;='Uang Riba'!$I$30,OR(H3767="Dana riba",H3767="Pinjam uang riba",I3767="Pinjam dari uang riba",I3767="Ganti uang riba",I3767="Kelebihan ganti dikembalikan",AND(C3767="Kantong Uang Riba",G3767="Pengeluaran"))),1,0)</f>
        <v/>
      </c>
      <c r="X3767" s="93">
        <f>IF(AND(B3767&lt;&gt;"",B3767&gt;='Buku Akun'!$H$4,B3767&lt;='Buku Akun'!$H$5,OR(C3767='Buku Akun'!$C$4,AND(D3767="Pindah",E3767='Buku Akun'!$C$4))),B3767+IF(AND(I3767="Selisih bunga",DAY(B3767)=1),0,0.01)+ROW()/10000000,"")</f>
        <v/>
      </c>
    </row>
    <row r="3768" outlineLevel="1" ht="15" customHeight="1" s="94">
      <c r="A3768" s="123">
        <f>IF(B3768="","",ROW()-15)</f>
        <v/>
      </c>
      <c r="B3768" s="124" t="n"/>
      <c r="C3768" s="123" t="n"/>
      <c r="D3768" s="123" t="n"/>
      <c r="E3768" s="123" t="n"/>
      <c r="F3768" s="125" t="n"/>
      <c r="G3768" s="123" t="n"/>
      <c r="H3768" s="123" t="n"/>
      <c r="I3768" s="123" t="n"/>
      <c r="J3768" s="123" t="n"/>
      <c r="K3768" s="123" t="n"/>
      <c r="L3768" s="123" t="n"/>
      <c r="M3768" s="123">
        <f>IF(AND(B3768&lt;&gt;"",OR($C$4="",ISNUMBER(SEARCH($C$4,C3768&amp;" "&amp;E3768&amp;" "&amp;G3768&amp;" "&amp;H3768&amp;" "&amp;I3768&amp;" "&amp;J3768&amp;" "&amp;K3768&amp;" "&amp;L3768))),OR($C$5="Semua",$C$5="",G3768=$C$5),OR($C$6="Semua",$C$6="",H3768=$C$6,H3768="Pengeluaran "&amp;$C$6,AND($C$6="Uang Kos Mama",H3768="Pengeluaran Uang Kos")),OR($C$7="Semua",$C$7="",I3768=$C$7),OR($C$8="Semua",$C$8="",C3768=$C$8,E3768=$C$8),OR($C$9="Semua",$C$9="",D3768=$C$9),OR($C$10="",B3768&gt;=$C$10),OR($C$11="",B3768&lt;=$C$11),OR($C$12&lt;&gt;"Ya",K3768&lt;&gt;""),OR($C$13="Semua",$C$13="",L3768=$C$13)),"✓","")</f>
        <v/>
      </c>
      <c r="N3768" s="93">
        <f>N(N3767)+IF(M3768="✓",1,0)</f>
        <v/>
      </c>
      <c r="O3768" s="93">
        <f>N(O3767)+IF(AND(B3768&lt;&gt;"",B3768&gt;='Uang Riba'!$H$30,B3768&lt;='Uang Riba'!$I$30,OR(H3768="Dana riba",H3768="Pinjam uang riba",I3768="Pinjam dari uang riba",I3768="Ganti uang riba",I3768="Kelebihan ganti dikembalikan",AND(C3768="Kantong Uang Riba",G3768="Pengeluaran"))),1,0)</f>
        <v/>
      </c>
      <c r="X3768" s="93">
        <f>IF(AND(B3768&lt;&gt;"",B3768&gt;='Buku Akun'!$H$4,B3768&lt;='Buku Akun'!$H$5,OR(C3768='Buku Akun'!$C$4,AND(D3768="Pindah",E3768='Buku Akun'!$C$4))),B3768+IF(AND(I3768="Selisih bunga",DAY(B3768)=1),0,0.01)+ROW()/10000000,"")</f>
        <v/>
      </c>
    </row>
    <row r="3769" outlineLevel="1" ht="15" customHeight="1" s="94">
      <c r="A3769" s="123">
        <f>IF(B3769="","",ROW()-15)</f>
        <v/>
      </c>
      <c r="B3769" s="124" t="n"/>
      <c r="C3769" s="123" t="n"/>
      <c r="D3769" s="123" t="n"/>
      <c r="E3769" s="123" t="n"/>
      <c r="F3769" s="125" t="n"/>
      <c r="G3769" s="123" t="n"/>
      <c r="H3769" s="123" t="n"/>
      <c r="I3769" s="123" t="n"/>
      <c r="J3769" s="123" t="n"/>
      <c r="K3769" s="123" t="n"/>
      <c r="L3769" s="123" t="n"/>
      <c r="M3769" s="123">
        <f>IF(AND(B3769&lt;&gt;"",OR($C$4="",ISNUMBER(SEARCH($C$4,C3769&amp;" "&amp;E3769&amp;" "&amp;G3769&amp;" "&amp;H3769&amp;" "&amp;I3769&amp;" "&amp;J3769&amp;" "&amp;K3769&amp;" "&amp;L3769))),OR($C$5="Semua",$C$5="",G3769=$C$5),OR($C$6="Semua",$C$6="",H3769=$C$6,H3769="Pengeluaran "&amp;$C$6,AND($C$6="Uang Kos Mama",H3769="Pengeluaran Uang Kos")),OR($C$7="Semua",$C$7="",I3769=$C$7),OR($C$8="Semua",$C$8="",C3769=$C$8,E3769=$C$8),OR($C$9="Semua",$C$9="",D3769=$C$9),OR($C$10="",B3769&gt;=$C$10),OR($C$11="",B3769&lt;=$C$11),OR($C$12&lt;&gt;"Ya",K3769&lt;&gt;""),OR($C$13="Semua",$C$13="",L3769=$C$13)),"✓","")</f>
        <v/>
      </c>
      <c r="N3769" s="93">
        <f>N(N3768)+IF(M3769="✓",1,0)</f>
        <v/>
      </c>
      <c r="O3769" s="93">
        <f>N(O3768)+IF(AND(B3769&lt;&gt;"",B3769&gt;='Uang Riba'!$H$30,B3769&lt;='Uang Riba'!$I$30,OR(H3769="Dana riba",H3769="Pinjam uang riba",I3769="Pinjam dari uang riba",I3769="Ganti uang riba",I3769="Kelebihan ganti dikembalikan",AND(C3769="Kantong Uang Riba",G3769="Pengeluaran"))),1,0)</f>
        <v/>
      </c>
      <c r="X3769" s="93">
        <f>IF(AND(B3769&lt;&gt;"",B3769&gt;='Buku Akun'!$H$4,B3769&lt;='Buku Akun'!$H$5,OR(C3769='Buku Akun'!$C$4,AND(D3769="Pindah",E3769='Buku Akun'!$C$4))),B3769+IF(AND(I3769="Selisih bunga",DAY(B3769)=1),0,0.01)+ROW()/10000000,"")</f>
        <v/>
      </c>
    </row>
    <row r="3770" outlineLevel="1" ht="15" customHeight="1" s="94">
      <c r="A3770" s="123">
        <f>IF(B3770="","",ROW()-15)</f>
        <v/>
      </c>
      <c r="B3770" s="124" t="n"/>
      <c r="C3770" s="123" t="n"/>
      <c r="D3770" s="123" t="n"/>
      <c r="E3770" s="123" t="n"/>
      <c r="F3770" s="125" t="n"/>
      <c r="G3770" s="123" t="n"/>
      <c r="H3770" s="123" t="n"/>
      <c r="I3770" s="123" t="n"/>
      <c r="J3770" s="123" t="n"/>
      <c r="K3770" s="123" t="n"/>
      <c r="L3770" s="123" t="n"/>
      <c r="M3770" s="123">
        <f>IF(AND(B3770&lt;&gt;"",OR($C$4="",ISNUMBER(SEARCH($C$4,C3770&amp;" "&amp;E3770&amp;" "&amp;G3770&amp;" "&amp;H3770&amp;" "&amp;I3770&amp;" "&amp;J3770&amp;" "&amp;K3770&amp;" "&amp;L3770))),OR($C$5="Semua",$C$5="",G3770=$C$5),OR($C$6="Semua",$C$6="",H3770=$C$6,H3770="Pengeluaran "&amp;$C$6,AND($C$6="Uang Kos Mama",H3770="Pengeluaran Uang Kos")),OR($C$7="Semua",$C$7="",I3770=$C$7),OR($C$8="Semua",$C$8="",C3770=$C$8,E3770=$C$8),OR($C$9="Semua",$C$9="",D3770=$C$9),OR($C$10="",B3770&gt;=$C$10),OR($C$11="",B3770&lt;=$C$11),OR($C$12&lt;&gt;"Ya",K3770&lt;&gt;""),OR($C$13="Semua",$C$13="",L3770=$C$13)),"✓","")</f>
        <v/>
      </c>
      <c r="N3770" s="93">
        <f>N(N3769)+IF(M3770="✓",1,0)</f>
        <v/>
      </c>
      <c r="O3770" s="93">
        <f>N(O3769)+IF(AND(B3770&lt;&gt;"",B3770&gt;='Uang Riba'!$H$30,B3770&lt;='Uang Riba'!$I$30,OR(H3770="Dana riba",H3770="Pinjam uang riba",I3770="Pinjam dari uang riba",I3770="Ganti uang riba",I3770="Kelebihan ganti dikembalikan",AND(C3770="Kantong Uang Riba",G3770="Pengeluaran"))),1,0)</f>
        <v/>
      </c>
      <c r="X3770" s="93">
        <f>IF(AND(B3770&lt;&gt;"",B3770&gt;='Buku Akun'!$H$4,B3770&lt;='Buku Akun'!$H$5,OR(C3770='Buku Akun'!$C$4,AND(D3770="Pindah",E3770='Buku Akun'!$C$4))),B3770+IF(AND(I3770="Selisih bunga",DAY(B3770)=1),0,0.01)+ROW()/10000000,"")</f>
        <v/>
      </c>
    </row>
    <row r="3771" outlineLevel="1" ht="15" customHeight="1" s="94">
      <c r="A3771" s="123">
        <f>IF(B3771="","",ROW()-15)</f>
        <v/>
      </c>
      <c r="B3771" s="124" t="n"/>
      <c r="C3771" s="123" t="n"/>
      <c r="D3771" s="123" t="n"/>
      <c r="E3771" s="123" t="n"/>
      <c r="F3771" s="125" t="n"/>
      <c r="G3771" s="123" t="n"/>
      <c r="H3771" s="123" t="n"/>
      <c r="I3771" s="123" t="n"/>
      <c r="J3771" s="123" t="n"/>
      <c r="K3771" s="123" t="n"/>
      <c r="L3771" s="123" t="n"/>
      <c r="M3771" s="123">
        <f>IF(AND(B3771&lt;&gt;"",OR($C$4="",ISNUMBER(SEARCH($C$4,C3771&amp;" "&amp;E3771&amp;" "&amp;G3771&amp;" "&amp;H3771&amp;" "&amp;I3771&amp;" "&amp;J3771&amp;" "&amp;K3771&amp;" "&amp;L3771))),OR($C$5="Semua",$C$5="",G3771=$C$5),OR($C$6="Semua",$C$6="",H3771=$C$6,H3771="Pengeluaran "&amp;$C$6,AND($C$6="Uang Kos Mama",H3771="Pengeluaran Uang Kos")),OR($C$7="Semua",$C$7="",I3771=$C$7),OR($C$8="Semua",$C$8="",C3771=$C$8,E3771=$C$8),OR($C$9="Semua",$C$9="",D3771=$C$9),OR($C$10="",B3771&gt;=$C$10),OR($C$11="",B3771&lt;=$C$11),OR($C$12&lt;&gt;"Ya",K3771&lt;&gt;""),OR($C$13="Semua",$C$13="",L3771=$C$13)),"✓","")</f>
        <v/>
      </c>
      <c r="N3771" s="93">
        <f>N(N3770)+IF(M3771="✓",1,0)</f>
        <v/>
      </c>
      <c r="O3771" s="93">
        <f>N(O3770)+IF(AND(B3771&lt;&gt;"",B3771&gt;='Uang Riba'!$H$30,B3771&lt;='Uang Riba'!$I$30,OR(H3771="Dana riba",H3771="Pinjam uang riba",I3771="Pinjam dari uang riba",I3771="Ganti uang riba",I3771="Kelebihan ganti dikembalikan",AND(C3771="Kantong Uang Riba",G3771="Pengeluaran"))),1,0)</f>
        <v/>
      </c>
      <c r="X3771" s="93">
        <f>IF(AND(B3771&lt;&gt;"",B3771&gt;='Buku Akun'!$H$4,B3771&lt;='Buku Akun'!$H$5,OR(C3771='Buku Akun'!$C$4,AND(D3771="Pindah",E3771='Buku Akun'!$C$4))),B3771+IF(AND(I3771="Selisih bunga",DAY(B3771)=1),0,0.01)+ROW()/10000000,"")</f>
        <v/>
      </c>
    </row>
    <row r="3772" outlineLevel="1" ht="15" customHeight="1" s="94">
      <c r="A3772" s="123">
        <f>IF(B3772="","",ROW()-15)</f>
        <v/>
      </c>
      <c r="B3772" s="124" t="n"/>
      <c r="C3772" s="123" t="n"/>
      <c r="D3772" s="123" t="n"/>
      <c r="E3772" s="123" t="n"/>
      <c r="F3772" s="125" t="n"/>
      <c r="G3772" s="123" t="n"/>
      <c r="H3772" s="123" t="n"/>
      <c r="I3772" s="123" t="n"/>
      <c r="J3772" s="123" t="n"/>
      <c r="K3772" s="123" t="n"/>
      <c r="L3772" s="123" t="n"/>
      <c r="M3772" s="123">
        <f>IF(AND(B3772&lt;&gt;"",OR($C$4="",ISNUMBER(SEARCH($C$4,C3772&amp;" "&amp;E3772&amp;" "&amp;G3772&amp;" "&amp;H3772&amp;" "&amp;I3772&amp;" "&amp;J3772&amp;" "&amp;K3772&amp;" "&amp;L3772))),OR($C$5="Semua",$C$5="",G3772=$C$5),OR($C$6="Semua",$C$6="",H3772=$C$6,H3772="Pengeluaran "&amp;$C$6,AND($C$6="Uang Kos Mama",H3772="Pengeluaran Uang Kos")),OR($C$7="Semua",$C$7="",I3772=$C$7),OR($C$8="Semua",$C$8="",C3772=$C$8,E3772=$C$8),OR($C$9="Semua",$C$9="",D3772=$C$9),OR($C$10="",B3772&gt;=$C$10),OR($C$11="",B3772&lt;=$C$11),OR($C$12&lt;&gt;"Ya",K3772&lt;&gt;""),OR($C$13="Semua",$C$13="",L3772=$C$13)),"✓","")</f>
        <v/>
      </c>
      <c r="N3772" s="93">
        <f>N(N3771)+IF(M3772="✓",1,0)</f>
        <v/>
      </c>
      <c r="O3772" s="93">
        <f>N(O3771)+IF(AND(B3772&lt;&gt;"",B3772&gt;='Uang Riba'!$H$30,B3772&lt;='Uang Riba'!$I$30,OR(H3772="Dana riba",H3772="Pinjam uang riba",I3772="Pinjam dari uang riba",I3772="Ganti uang riba",I3772="Kelebihan ganti dikembalikan",AND(C3772="Kantong Uang Riba",G3772="Pengeluaran"))),1,0)</f>
        <v/>
      </c>
      <c r="X3772" s="93">
        <f>IF(AND(B3772&lt;&gt;"",B3772&gt;='Buku Akun'!$H$4,B3772&lt;='Buku Akun'!$H$5,OR(C3772='Buku Akun'!$C$4,AND(D3772="Pindah",E3772='Buku Akun'!$C$4))),B3772+IF(AND(I3772="Selisih bunga",DAY(B3772)=1),0,0.01)+ROW()/10000000,"")</f>
        <v/>
      </c>
    </row>
    <row r="3773" outlineLevel="1" ht="15" customHeight="1" s="94">
      <c r="A3773" s="123">
        <f>IF(B3773="","",ROW()-15)</f>
        <v/>
      </c>
      <c r="B3773" s="124" t="n"/>
      <c r="C3773" s="123" t="n"/>
      <c r="D3773" s="123" t="n"/>
      <c r="E3773" s="123" t="n"/>
      <c r="F3773" s="125" t="n"/>
      <c r="G3773" s="123" t="n"/>
      <c r="H3773" s="123" t="n"/>
      <c r="I3773" s="123" t="n"/>
      <c r="J3773" s="123" t="n"/>
      <c r="K3773" s="123" t="n"/>
      <c r="L3773" s="123" t="n"/>
      <c r="M3773" s="123">
        <f>IF(AND(B3773&lt;&gt;"",OR($C$4="",ISNUMBER(SEARCH($C$4,C3773&amp;" "&amp;E3773&amp;" "&amp;G3773&amp;" "&amp;H3773&amp;" "&amp;I3773&amp;" "&amp;J3773&amp;" "&amp;K3773&amp;" "&amp;L3773))),OR($C$5="Semua",$C$5="",G3773=$C$5),OR($C$6="Semua",$C$6="",H3773=$C$6,H3773="Pengeluaran "&amp;$C$6,AND($C$6="Uang Kos Mama",H3773="Pengeluaran Uang Kos")),OR($C$7="Semua",$C$7="",I3773=$C$7),OR($C$8="Semua",$C$8="",C3773=$C$8,E3773=$C$8),OR($C$9="Semua",$C$9="",D3773=$C$9),OR($C$10="",B3773&gt;=$C$10),OR($C$11="",B3773&lt;=$C$11),OR($C$12&lt;&gt;"Ya",K3773&lt;&gt;""),OR($C$13="Semua",$C$13="",L3773=$C$13)),"✓","")</f>
        <v/>
      </c>
      <c r="N3773" s="93">
        <f>N(N3772)+IF(M3773="✓",1,0)</f>
        <v/>
      </c>
      <c r="O3773" s="93">
        <f>N(O3772)+IF(AND(B3773&lt;&gt;"",B3773&gt;='Uang Riba'!$H$30,B3773&lt;='Uang Riba'!$I$30,OR(H3773="Dana riba",H3773="Pinjam uang riba",I3773="Pinjam dari uang riba",I3773="Ganti uang riba",I3773="Kelebihan ganti dikembalikan",AND(C3773="Kantong Uang Riba",G3773="Pengeluaran"))),1,0)</f>
        <v/>
      </c>
      <c r="X3773" s="93">
        <f>IF(AND(B3773&lt;&gt;"",B3773&gt;='Buku Akun'!$H$4,B3773&lt;='Buku Akun'!$H$5,OR(C3773='Buku Akun'!$C$4,AND(D3773="Pindah",E3773='Buku Akun'!$C$4))),B3773+IF(AND(I3773="Selisih bunga",DAY(B3773)=1),0,0.01)+ROW()/10000000,"")</f>
        <v/>
      </c>
    </row>
    <row r="3774" outlineLevel="1" ht="15" customHeight="1" s="94">
      <c r="A3774" s="123">
        <f>IF(B3774="","",ROW()-15)</f>
        <v/>
      </c>
      <c r="B3774" s="124" t="n"/>
      <c r="C3774" s="123" t="n"/>
      <c r="D3774" s="123" t="n"/>
      <c r="E3774" s="123" t="n"/>
      <c r="F3774" s="125" t="n"/>
      <c r="G3774" s="123" t="n"/>
      <c r="H3774" s="123" t="n"/>
      <c r="I3774" s="123" t="n"/>
      <c r="J3774" s="123" t="n"/>
      <c r="K3774" s="123" t="n"/>
      <c r="L3774" s="123" t="n"/>
      <c r="M3774" s="123">
        <f>IF(AND(B3774&lt;&gt;"",OR($C$4="",ISNUMBER(SEARCH($C$4,C3774&amp;" "&amp;E3774&amp;" "&amp;G3774&amp;" "&amp;H3774&amp;" "&amp;I3774&amp;" "&amp;J3774&amp;" "&amp;K3774&amp;" "&amp;L3774))),OR($C$5="Semua",$C$5="",G3774=$C$5),OR($C$6="Semua",$C$6="",H3774=$C$6,H3774="Pengeluaran "&amp;$C$6,AND($C$6="Uang Kos Mama",H3774="Pengeluaran Uang Kos")),OR($C$7="Semua",$C$7="",I3774=$C$7),OR($C$8="Semua",$C$8="",C3774=$C$8,E3774=$C$8),OR($C$9="Semua",$C$9="",D3774=$C$9),OR($C$10="",B3774&gt;=$C$10),OR($C$11="",B3774&lt;=$C$11),OR($C$12&lt;&gt;"Ya",K3774&lt;&gt;""),OR($C$13="Semua",$C$13="",L3774=$C$13)),"✓","")</f>
        <v/>
      </c>
      <c r="N3774" s="93">
        <f>N(N3773)+IF(M3774="✓",1,0)</f>
        <v/>
      </c>
      <c r="O3774" s="93">
        <f>N(O3773)+IF(AND(B3774&lt;&gt;"",B3774&gt;='Uang Riba'!$H$30,B3774&lt;='Uang Riba'!$I$30,OR(H3774="Dana riba",H3774="Pinjam uang riba",I3774="Pinjam dari uang riba",I3774="Ganti uang riba",I3774="Kelebihan ganti dikembalikan",AND(C3774="Kantong Uang Riba",G3774="Pengeluaran"))),1,0)</f>
        <v/>
      </c>
      <c r="X3774" s="93">
        <f>IF(AND(B3774&lt;&gt;"",B3774&gt;='Buku Akun'!$H$4,B3774&lt;='Buku Akun'!$H$5,OR(C3774='Buku Akun'!$C$4,AND(D3774="Pindah",E3774='Buku Akun'!$C$4))),B3774+IF(AND(I3774="Selisih bunga",DAY(B3774)=1),0,0.01)+ROW()/10000000,"")</f>
        <v/>
      </c>
    </row>
    <row r="3775" outlineLevel="1" ht="15" customHeight="1" s="94">
      <c r="A3775" s="123">
        <f>IF(B3775="","",ROW()-15)</f>
        <v/>
      </c>
      <c r="B3775" s="124" t="n"/>
      <c r="C3775" s="123" t="n"/>
      <c r="D3775" s="123" t="n"/>
      <c r="E3775" s="123" t="n"/>
      <c r="F3775" s="125" t="n"/>
      <c r="G3775" s="123" t="n"/>
      <c r="H3775" s="123" t="n"/>
      <c r="I3775" s="123" t="n"/>
      <c r="J3775" s="123" t="n"/>
      <c r="K3775" s="123" t="n"/>
      <c r="L3775" s="123" t="n"/>
      <c r="M3775" s="123">
        <f>IF(AND(B3775&lt;&gt;"",OR($C$4="",ISNUMBER(SEARCH($C$4,C3775&amp;" "&amp;E3775&amp;" "&amp;G3775&amp;" "&amp;H3775&amp;" "&amp;I3775&amp;" "&amp;J3775&amp;" "&amp;K3775&amp;" "&amp;L3775))),OR($C$5="Semua",$C$5="",G3775=$C$5),OR($C$6="Semua",$C$6="",H3775=$C$6,H3775="Pengeluaran "&amp;$C$6,AND($C$6="Uang Kos Mama",H3775="Pengeluaran Uang Kos")),OR($C$7="Semua",$C$7="",I3775=$C$7),OR($C$8="Semua",$C$8="",C3775=$C$8,E3775=$C$8),OR($C$9="Semua",$C$9="",D3775=$C$9),OR($C$10="",B3775&gt;=$C$10),OR($C$11="",B3775&lt;=$C$11),OR($C$12&lt;&gt;"Ya",K3775&lt;&gt;""),OR($C$13="Semua",$C$13="",L3775=$C$13)),"✓","")</f>
        <v/>
      </c>
      <c r="N3775" s="93">
        <f>N(N3774)+IF(M3775="✓",1,0)</f>
        <v/>
      </c>
      <c r="O3775" s="93">
        <f>N(O3774)+IF(AND(B3775&lt;&gt;"",B3775&gt;='Uang Riba'!$H$30,B3775&lt;='Uang Riba'!$I$30,OR(H3775="Dana riba",H3775="Pinjam uang riba",I3775="Pinjam dari uang riba",I3775="Ganti uang riba",I3775="Kelebihan ganti dikembalikan",AND(C3775="Kantong Uang Riba",G3775="Pengeluaran"))),1,0)</f>
        <v/>
      </c>
      <c r="X3775" s="93">
        <f>IF(AND(B3775&lt;&gt;"",B3775&gt;='Buku Akun'!$H$4,B3775&lt;='Buku Akun'!$H$5,OR(C3775='Buku Akun'!$C$4,AND(D3775="Pindah",E3775='Buku Akun'!$C$4))),B3775+IF(AND(I3775="Selisih bunga",DAY(B3775)=1),0,0.01)+ROW()/10000000,"")</f>
        <v/>
      </c>
    </row>
    <row r="3776" outlineLevel="1" ht="15" customHeight="1" s="94">
      <c r="A3776" s="123">
        <f>IF(B3776="","",ROW()-15)</f>
        <v/>
      </c>
      <c r="B3776" s="124" t="n"/>
      <c r="C3776" s="123" t="n"/>
      <c r="D3776" s="123" t="n"/>
      <c r="E3776" s="123" t="n"/>
      <c r="F3776" s="125" t="n"/>
      <c r="G3776" s="123" t="n"/>
      <c r="H3776" s="123" t="n"/>
      <c r="I3776" s="123" t="n"/>
      <c r="J3776" s="123" t="n"/>
      <c r="K3776" s="123" t="n"/>
      <c r="L3776" s="123" t="n"/>
      <c r="M3776" s="123">
        <f>IF(AND(B3776&lt;&gt;"",OR($C$4="",ISNUMBER(SEARCH($C$4,C3776&amp;" "&amp;E3776&amp;" "&amp;G3776&amp;" "&amp;H3776&amp;" "&amp;I3776&amp;" "&amp;J3776&amp;" "&amp;K3776&amp;" "&amp;L3776))),OR($C$5="Semua",$C$5="",G3776=$C$5),OR($C$6="Semua",$C$6="",H3776=$C$6,H3776="Pengeluaran "&amp;$C$6,AND($C$6="Uang Kos Mama",H3776="Pengeluaran Uang Kos")),OR($C$7="Semua",$C$7="",I3776=$C$7),OR($C$8="Semua",$C$8="",C3776=$C$8,E3776=$C$8),OR($C$9="Semua",$C$9="",D3776=$C$9),OR($C$10="",B3776&gt;=$C$10),OR($C$11="",B3776&lt;=$C$11),OR($C$12&lt;&gt;"Ya",K3776&lt;&gt;""),OR($C$13="Semua",$C$13="",L3776=$C$13)),"✓","")</f>
        <v/>
      </c>
      <c r="N3776" s="93">
        <f>N(N3775)+IF(M3776="✓",1,0)</f>
        <v/>
      </c>
      <c r="O3776" s="93">
        <f>N(O3775)+IF(AND(B3776&lt;&gt;"",B3776&gt;='Uang Riba'!$H$30,B3776&lt;='Uang Riba'!$I$30,OR(H3776="Dana riba",H3776="Pinjam uang riba",I3776="Pinjam dari uang riba",I3776="Ganti uang riba",I3776="Kelebihan ganti dikembalikan",AND(C3776="Kantong Uang Riba",G3776="Pengeluaran"))),1,0)</f>
        <v/>
      </c>
      <c r="X3776" s="93">
        <f>IF(AND(B3776&lt;&gt;"",B3776&gt;='Buku Akun'!$H$4,B3776&lt;='Buku Akun'!$H$5,OR(C3776='Buku Akun'!$C$4,AND(D3776="Pindah",E3776='Buku Akun'!$C$4))),B3776+IF(AND(I3776="Selisih bunga",DAY(B3776)=1),0,0.01)+ROW()/10000000,"")</f>
        <v/>
      </c>
    </row>
    <row r="3777" outlineLevel="1" ht="15" customHeight="1" s="94">
      <c r="A3777" s="123">
        <f>IF(B3777="","",ROW()-15)</f>
        <v/>
      </c>
      <c r="B3777" s="124" t="n"/>
      <c r="C3777" s="123" t="n"/>
      <c r="D3777" s="123" t="n"/>
      <c r="E3777" s="123" t="n"/>
      <c r="F3777" s="125" t="n"/>
      <c r="G3777" s="123" t="n"/>
      <c r="H3777" s="123" t="n"/>
      <c r="I3777" s="123" t="n"/>
      <c r="J3777" s="123" t="n"/>
      <c r="K3777" s="123" t="n"/>
      <c r="L3777" s="123" t="n"/>
      <c r="M3777" s="123">
        <f>IF(AND(B3777&lt;&gt;"",OR($C$4="",ISNUMBER(SEARCH($C$4,C3777&amp;" "&amp;E3777&amp;" "&amp;G3777&amp;" "&amp;H3777&amp;" "&amp;I3777&amp;" "&amp;J3777&amp;" "&amp;K3777&amp;" "&amp;L3777))),OR($C$5="Semua",$C$5="",G3777=$C$5),OR($C$6="Semua",$C$6="",H3777=$C$6,H3777="Pengeluaran "&amp;$C$6,AND($C$6="Uang Kos Mama",H3777="Pengeluaran Uang Kos")),OR($C$7="Semua",$C$7="",I3777=$C$7),OR($C$8="Semua",$C$8="",C3777=$C$8,E3777=$C$8),OR($C$9="Semua",$C$9="",D3777=$C$9),OR($C$10="",B3777&gt;=$C$10),OR($C$11="",B3777&lt;=$C$11),OR($C$12&lt;&gt;"Ya",K3777&lt;&gt;""),OR($C$13="Semua",$C$13="",L3777=$C$13)),"✓","")</f>
        <v/>
      </c>
      <c r="N3777" s="93">
        <f>N(N3776)+IF(M3777="✓",1,0)</f>
        <v/>
      </c>
      <c r="O3777" s="93">
        <f>N(O3776)+IF(AND(B3777&lt;&gt;"",B3777&gt;='Uang Riba'!$H$30,B3777&lt;='Uang Riba'!$I$30,OR(H3777="Dana riba",H3777="Pinjam uang riba",I3777="Pinjam dari uang riba",I3777="Ganti uang riba",I3777="Kelebihan ganti dikembalikan",AND(C3777="Kantong Uang Riba",G3777="Pengeluaran"))),1,0)</f>
        <v/>
      </c>
      <c r="X3777" s="93">
        <f>IF(AND(B3777&lt;&gt;"",B3777&gt;='Buku Akun'!$H$4,B3777&lt;='Buku Akun'!$H$5,OR(C3777='Buku Akun'!$C$4,AND(D3777="Pindah",E3777='Buku Akun'!$C$4))),B3777+IF(AND(I3777="Selisih bunga",DAY(B3777)=1),0,0.01)+ROW()/10000000,"")</f>
        <v/>
      </c>
    </row>
    <row r="3778" outlineLevel="1" ht="15" customHeight="1" s="94">
      <c r="A3778" s="123">
        <f>IF(B3778="","",ROW()-15)</f>
        <v/>
      </c>
      <c r="B3778" s="124" t="n"/>
      <c r="C3778" s="123" t="n"/>
      <c r="D3778" s="123" t="n"/>
      <c r="E3778" s="123" t="n"/>
      <c r="F3778" s="125" t="n"/>
      <c r="G3778" s="123" t="n"/>
      <c r="H3778" s="123" t="n"/>
      <c r="I3778" s="123" t="n"/>
      <c r="J3778" s="123" t="n"/>
      <c r="K3778" s="123" t="n"/>
      <c r="L3778" s="123" t="n"/>
      <c r="M3778" s="123">
        <f>IF(AND(B3778&lt;&gt;"",OR($C$4="",ISNUMBER(SEARCH($C$4,C3778&amp;" "&amp;E3778&amp;" "&amp;G3778&amp;" "&amp;H3778&amp;" "&amp;I3778&amp;" "&amp;J3778&amp;" "&amp;K3778&amp;" "&amp;L3778))),OR($C$5="Semua",$C$5="",G3778=$C$5),OR($C$6="Semua",$C$6="",H3778=$C$6,H3778="Pengeluaran "&amp;$C$6,AND($C$6="Uang Kos Mama",H3778="Pengeluaran Uang Kos")),OR($C$7="Semua",$C$7="",I3778=$C$7),OR($C$8="Semua",$C$8="",C3778=$C$8,E3778=$C$8),OR($C$9="Semua",$C$9="",D3778=$C$9),OR($C$10="",B3778&gt;=$C$10),OR($C$11="",B3778&lt;=$C$11),OR($C$12&lt;&gt;"Ya",K3778&lt;&gt;""),OR($C$13="Semua",$C$13="",L3778=$C$13)),"✓","")</f>
        <v/>
      </c>
      <c r="N3778" s="93">
        <f>N(N3777)+IF(M3778="✓",1,0)</f>
        <v/>
      </c>
      <c r="O3778" s="93">
        <f>N(O3777)+IF(AND(B3778&lt;&gt;"",B3778&gt;='Uang Riba'!$H$30,B3778&lt;='Uang Riba'!$I$30,OR(H3778="Dana riba",H3778="Pinjam uang riba",I3778="Pinjam dari uang riba",I3778="Ganti uang riba",I3778="Kelebihan ganti dikembalikan",AND(C3778="Kantong Uang Riba",G3778="Pengeluaran"))),1,0)</f>
        <v/>
      </c>
      <c r="X3778" s="93">
        <f>IF(AND(B3778&lt;&gt;"",B3778&gt;='Buku Akun'!$H$4,B3778&lt;='Buku Akun'!$H$5,OR(C3778='Buku Akun'!$C$4,AND(D3778="Pindah",E3778='Buku Akun'!$C$4))),B3778+IF(AND(I3778="Selisih bunga",DAY(B3778)=1),0,0.01)+ROW()/10000000,"")</f>
        <v/>
      </c>
    </row>
    <row r="3779" outlineLevel="1" ht="15" customHeight="1" s="94">
      <c r="A3779" s="123">
        <f>IF(B3779="","",ROW()-15)</f>
        <v/>
      </c>
      <c r="B3779" s="124" t="n"/>
      <c r="C3779" s="123" t="n"/>
      <c r="D3779" s="123" t="n"/>
      <c r="E3779" s="123" t="n"/>
      <c r="F3779" s="125" t="n"/>
      <c r="G3779" s="123" t="n"/>
      <c r="H3779" s="123" t="n"/>
      <c r="I3779" s="123" t="n"/>
      <c r="J3779" s="123" t="n"/>
      <c r="K3779" s="123" t="n"/>
      <c r="L3779" s="123" t="n"/>
      <c r="M3779" s="123">
        <f>IF(AND(B3779&lt;&gt;"",OR($C$4="",ISNUMBER(SEARCH($C$4,C3779&amp;" "&amp;E3779&amp;" "&amp;G3779&amp;" "&amp;H3779&amp;" "&amp;I3779&amp;" "&amp;J3779&amp;" "&amp;K3779&amp;" "&amp;L3779))),OR($C$5="Semua",$C$5="",G3779=$C$5),OR($C$6="Semua",$C$6="",H3779=$C$6,H3779="Pengeluaran "&amp;$C$6,AND($C$6="Uang Kos Mama",H3779="Pengeluaran Uang Kos")),OR($C$7="Semua",$C$7="",I3779=$C$7),OR($C$8="Semua",$C$8="",C3779=$C$8,E3779=$C$8),OR($C$9="Semua",$C$9="",D3779=$C$9),OR($C$10="",B3779&gt;=$C$10),OR($C$11="",B3779&lt;=$C$11),OR($C$12&lt;&gt;"Ya",K3779&lt;&gt;""),OR($C$13="Semua",$C$13="",L3779=$C$13)),"✓","")</f>
        <v/>
      </c>
      <c r="N3779" s="93">
        <f>N(N3778)+IF(M3779="✓",1,0)</f>
        <v/>
      </c>
      <c r="O3779" s="93">
        <f>N(O3778)+IF(AND(B3779&lt;&gt;"",B3779&gt;='Uang Riba'!$H$30,B3779&lt;='Uang Riba'!$I$30,OR(H3779="Dana riba",H3779="Pinjam uang riba",I3779="Pinjam dari uang riba",I3779="Ganti uang riba",I3779="Kelebihan ganti dikembalikan",AND(C3779="Kantong Uang Riba",G3779="Pengeluaran"))),1,0)</f>
        <v/>
      </c>
      <c r="X3779" s="93">
        <f>IF(AND(B3779&lt;&gt;"",B3779&gt;='Buku Akun'!$H$4,B3779&lt;='Buku Akun'!$H$5,OR(C3779='Buku Akun'!$C$4,AND(D3779="Pindah",E3779='Buku Akun'!$C$4))),B3779+IF(AND(I3779="Selisih bunga",DAY(B3779)=1),0,0.01)+ROW()/10000000,"")</f>
        <v/>
      </c>
    </row>
    <row r="3780" outlineLevel="1" ht="15" customHeight="1" s="94">
      <c r="A3780" s="123">
        <f>IF(B3780="","",ROW()-15)</f>
        <v/>
      </c>
      <c r="B3780" s="124" t="n"/>
      <c r="C3780" s="123" t="n"/>
      <c r="D3780" s="123" t="n"/>
      <c r="E3780" s="123" t="n"/>
      <c r="F3780" s="125" t="n"/>
      <c r="G3780" s="123" t="n"/>
      <c r="H3780" s="123" t="n"/>
      <c r="I3780" s="123" t="n"/>
      <c r="J3780" s="123" t="n"/>
      <c r="K3780" s="123" t="n"/>
      <c r="L3780" s="123" t="n"/>
      <c r="M3780" s="123">
        <f>IF(AND(B3780&lt;&gt;"",OR($C$4="",ISNUMBER(SEARCH($C$4,C3780&amp;" "&amp;E3780&amp;" "&amp;G3780&amp;" "&amp;H3780&amp;" "&amp;I3780&amp;" "&amp;J3780&amp;" "&amp;K3780&amp;" "&amp;L3780))),OR($C$5="Semua",$C$5="",G3780=$C$5),OR($C$6="Semua",$C$6="",H3780=$C$6,H3780="Pengeluaran "&amp;$C$6,AND($C$6="Uang Kos Mama",H3780="Pengeluaran Uang Kos")),OR($C$7="Semua",$C$7="",I3780=$C$7),OR($C$8="Semua",$C$8="",C3780=$C$8,E3780=$C$8),OR($C$9="Semua",$C$9="",D3780=$C$9),OR($C$10="",B3780&gt;=$C$10),OR($C$11="",B3780&lt;=$C$11),OR($C$12&lt;&gt;"Ya",K3780&lt;&gt;""),OR($C$13="Semua",$C$13="",L3780=$C$13)),"✓","")</f>
        <v/>
      </c>
      <c r="N3780" s="93">
        <f>N(N3779)+IF(M3780="✓",1,0)</f>
        <v/>
      </c>
      <c r="O3780" s="93">
        <f>N(O3779)+IF(AND(B3780&lt;&gt;"",B3780&gt;='Uang Riba'!$H$30,B3780&lt;='Uang Riba'!$I$30,OR(H3780="Dana riba",H3780="Pinjam uang riba",I3780="Pinjam dari uang riba",I3780="Ganti uang riba",I3780="Kelebihan ganti dikembalikan",AND(C3780="Kantong Uang Riba",G3780="Pengeluaran"))),1,0)</f>
        <v/>
      </c>
      <c r="X3780" s="93">
        <f>IF(AND(B3780&lt;&gt;"",B3780&gt;='Buku Akun'!$H$4,B3780&lt;='Buku Akun'!$H$5,OR(C3780='Buku Akun'!$C$4,AND(D3780="Pindah",E3780='Buku Akun'!$C$4))),B3780+IF(AND(I3780="Selisih bunga",DAY(B3780)=1),0,0.01)+ROW()/10000000,"")</f>
        <v/>
      </c>
    </row>
    <row r="3781" outlineLevel="1" ht="15" customHeight="1" s="94">
      <c r="A3781" s="123">
        <f>IF(B3781="","",ROW()-15)</f>
        <v/>
      </c>
      <c r="B3781" s="124" t="n"/>
      <c r="C3781" s="123" t="n"/>
      <c r="D3781" s="123" t="n"/>
      <c r="E3781" s="123" t="n"/>
      <c r="F3781" s="125" t="n"/>
      <c r="G3781" s="123" t="n"/>
      <c r="H3781" s="123" t="n"/>
      <c r="I3781" s="123" t="n"/>
      <c r="J3781" s="123" t="n"/>
      <c r="K3781" s="123" t="n"/>
      <c r="L3781" s="123" t="n"/>
      <c r="M3781" s="123">
        <f>IF(AND(B3781&lt;&gt;"",OR($C$4="",ISNUMBER(SEARCH($C$4,C3781&amp;" "&amp;E3781&amp;" "&amp;G3781&amp;" "&amp;H3781&amp;" "&amp;I3781&amp;" "&amp;J3781&amp;" "&amp;K3781&amp;" "&amp;L3781))),OR($C$5="Semua",$C$5="",G3781=$C$5),OR($C$6="Semua",$C$6="",H3781=$C$6,H3781="Pengeluaran "&amp;$C$6,AND($C$6="Uang Kos Mama",H3781="Pengeluaran Uang Kos")),OR($C$7="Semua",$C$7="",I3781=$C$7),OR($C$8="Semua",$C$8="",C3781=$C$8,E3781=$C$8),OR($C$9="Semua",$C$9="",D3781=$C$9),OR($C$10="",B3781&gt;=$C$10),OR($C$11="",B3781&lt;=$C$11),OR($C$12&lt;&gt;"Ya",K3781&lt;&gt;""),OR($C$13="Semua",$C$13="",L3781=$C$13)),"✓","")</f>
        <v/>
      </c>
      <c r="N3781" s="93">
        <f>N(N3780)+IF(M3781="✓",1,0)</f>
        <v/>
      </c>
      <c r="O3781" s="93">
        <f>N(O3780)+IF(AND(B3781&lt;&gt;"",B3781&gt;='Uang Riba'!$H$30,B3781&lt;='Uang Riba'!$I$30,OR(H3781="Dana riba",H3781="Pinjam uang riba",I3781="Pinjam dari uang riba",I3781="Ganti uang riba",I3781="Kelebihan ganti dikembalikan",AND(C3781="Kantong Uang Riba",G3781="Pengeluaran"))),1,0)</f>
        <v/>
      </c>
      <c r="X3781" s="93">
        <f>IF(AND(B3781&lt;&gt;"",B3781&gt;='Buku Akun'!$H$4,B3781&lt;='Buku Akun'!$H$5,OR(C3781='Buku Akun'!$C$4,AND(D3781="Pindah",E3781='Buku Akun'!$C$4))),B3781+IF(AND(I3781="Selisih bunga",DAY(B3781)=1),0,0.01)+ROW()/10000000,"")</f>
        <v/>
      </c>
    </row>
    <row r="3782" outlineLevel="1" ht="15" customHeight="1" s="94">
      <c r="A3782" s="123">
        <f>IF(B3782="","",ROW()-15)</f>
        <v/>
      </c>
      <c r="B3782" s="124" t="n"/>
      <c r="C3782" s="123" t="n"/>
      <c r="D3782" s="123" t="n"/>
      <c r="E3782" s="123" t="n"/>
      <c r="F3782" s="125" t="n"/>
      <c r="G3782" s="123" t="n"/>
      <c r="H3782" s="123" t="n"/>
      <c r="I3782" s="123" t="n"/>
      <c r="J3782" s="123" t="n"/>
      <c r="K3782" s="123" t="n"/>
      <c r="L3782" s="123" t="n"/>
      <c r="M3782" s="123">
        <f>IF(AND(B3782&lt;&gt;"",OR($C$4="",ISNUMBER(SEARCH($C$4,C3782&amp;" "&amp;E3782&amp;" "&amp;G3782&amp;" "&amp;H3782&amp;" "&amp;I3782&amp;" "&amp;J3782&amp;" "&amp;K3782&amp;" "&amp;L3782))),OR($C$5="Semua",$C$5="",G3782=$C$5),OR($C$6="Semua",$C$6="",H3782=$C$6,H3782="Pengeluaran "&amp;$C$6,AND($C$6="Uang Kos Mama",H3782="Pengeluaran Uang Kos")),OR($C$7="Semua",$C$7="",I3782=$C$7),OR($C$8="Semua",$C$8="",C3782=$C$8,E3782=$C$8),OR($C$9="Semua",$C$9="",D3782=$C$9),OR($C$10="",B3782&gt;=$C$10),OR($C$11="",B3782&lt;=$C$11),OR($C$12&lt;&gt;"Ya",K3782&lt;&gt;""),OR($C$13="Semua",$C$13="",L3782=$C$13)),"✓","")</f>
        <v/>
      </c>
      <c r="N3782" s="93">
        <f>N(N3781)+IF(M3782="✓",1,0)</f>
        <v/>
      </c>
      <c r="O3782" s="93">
        <f>N(O3781)+IF(AND(B3782&lt;&gt;"",B3782&gt;='Uang Riba'!$H$30,B3782&lt;='Uang Riba'!$I$30,OR(H3782="Dana riba",H3782="Pinjam uang riba",I3782="Pinjam dari uang riba",I3782="Ganti uang riba",I3782="Kelebihan ganti dikembalikan",AND(C3782="Kantong Uang Riba",G3782="Pengeluaran"))),1,0)</f>
        <v/>
      </c>
      <c r="X3782" s="93">
        <f>IF(AND(B3782&lt;&gt;"",B3782&gt;='Buku Akun'!$H$4,B3782&lt;='Buku Akun'!$H$5,OR(C3782='Buku Akun'!$C$4,AND(D3782="Pindah",E3782='Buku Akun'!$C$4))),B3782+IF(AND(I3782="Selisih bunga",DAY(B3782)=1),0,0.01)+ROW()/10000000,"")</f>
        <v/>
      </c>
    </row>
    <row r="3783" outlineLevel="1" ht="15" customHeight="1" s="94">
      <c r="A3783" s="123">
        <f>IF(B3783="","",ROW()-15)</f>
        <v/>
      </c>
      <c r="B3783" s="124" t="n"/>
      <c r="C3783" s="123" t="n"/>
      <c r="D3783" s="123" t="n"/>
      <c r="E3783" s="123" t="n"/>
      <c r="F3783" s="125" t="n"/>
      <c r="G3783" s="123" t="n"/>
      <c r="H3783" s="123" t="n"/>
      <c r="I3783" s="123" t="n"/>
      <c r="J3783" s="123" t="n"/>
      <c r="K3783" s="123" t="n"/>
      <c r="L3783" s="123" t="n"/>
      <c r="M3783" s="123">
        <f>IF(AND(B3783&lt;&gt;"",OR($C$4="",ISNUMBER(SEARCH($C$4,C3783&amp;" "&amp;E3783&amp;" "&amp;G3783&amp;" "&amp;H3783&amp;" "&amp;I3783&amp;" "&amp;J3783&amp;" "&amp;K3783&amp;" "&amp;L3783))),OR($C$5="Semua",$C$5="",G3783=$C$5),OR($C$6="Semua",$C$6="",H3783=$C$6,H3783="Pengeluaran "&amp;$C$6,AND($C$6="Uang Kos Mama",H3783="Pengeluaran Uang Kos")),OR($C$7="Semua",$C$7="",I3783=$C$7),OR($C$8="Semua",$C$8="",C3783=$C$8,E3783=$C$8),OR($C$9="Semua",$C$9="",D3783=$C$9),OR($C$10="",B3783&gt;=$C$10),OR($C$11="",B3783&lt;=$C$11),OR($C$12&lt;&gt;"Ya",K3783&lt;&gt;""),OR($C$13="Semua",$C$13="",L3783=$C$13)),"✓","")</f>
        <v/>
      </c>
      <c r="N3783" s="93">
        <f>N(N3782)+IF(M3783="✓",1,0)</f>
        <v/>
      </c>
      <c r="O3783" s="93">
        <f>N(O3782)+IF(AND(B3783&lt;&gt;"",B3783&gt;='Uang Riba'!$H$30,B3783&lt;='Uang Riba'!$I$30,OR(H3783="Dana riba",H3783="Pinjam uang riba",I3783="Pinjam dari uang riba",I3783="Ganti uang riba",I3783="Kelebihan ganti dikembalikan",AND(C3783="Kantong Uang Riba",G3783="Pengeluaran"))),1,0)</f>
        <v/>
      </c>
      <c r="X3783" s="93">
        <f>IF(AND(B3783&lt;&gt;"",B3783&gt;='Buku Akun'!$H$4,B3783&lt;='Buku Akun'!$H$5,OR(C3783='Buku Akun'!$C$4,AND(D3783="Pindah",E3783='Buku Akun'!$C$4))),B3783+IF(AND(I3783="Selisih bunga",DAY(B3783)=1),0,0.01)+ROW()/10000000,"")</f>
        <v/>
      </c>
    </row>
    <row r="3784" outlineLevel="1" ht="15" customHeight="1" s="94">
      <c r="A3784" s="123">
        <f>IF(B3784="","",ROW()-15)</f>
        <v/>
      </c>
      <c r="B3784" s="124" t="n"/>
      <c r="C3784" s="123" t="n"/>
      <c r="D3784" s="123" t="n"/>
      <c r="E3784" s="123" t="n"/>
      <c r="F3784" s="125" t="n"/>
      <c r="G3784" s="123" t="n"/>
      <c r="H3784" s="123" t="n"/>
      <c r="I3784" s="123" t="n"/>
      <c r="J3784" s="123" t="n"/>
      <c r="K3784" s="123" t="n"/>
      <c r="L3784" s="123" t="n"/>
      <c r="M3784" s="123">
        <f>IF(AND(B3784&lt;&gt;"",OR($C$4="",ISNUMBER(SEARCH($C$4,C3784&amp;" "&amp;E3784&amp;" "&amp;G3784&amp;" "&amp;H3784&amp;" "&amp;I3784&amp;" "&amp;J3784&amp;" "&amp;K3784&amp;" "&amp;L3784))),OR($C$5="Semua",$C$5="",G3784=$C$5),OR($C$6="Semua",$C$6="",H3784=$C$6,H3784="Pengeluaran "&amp;$C$6,AND($C$6="Uang Kos Mama",H3784="Pengeluaran Uang Kos")),OR($C$7="Semua",$C$7="",I3784=$C$7),OR($C$8="Semua",$C$8="",C3784=$C$8,E3784=$C$8),OR($C$9="Semua",$C$9="",D3784=$C$9),OR($C$10="",B3784&gt;=$C$10),OR($C$11="",B3784&lt;=$C$11),OR($C$12&lt;&gt;"Ya",K3784&lt;&gt;""),OR($C$13="Semua",$C$13="",L3784=$C$13)),"✓","")</f>
        <v/>
      </c>
      <c r="N3784" s="93">
        <f>N(N3783)+IF(M3784="✓",1,0)</f>
        <v/>
      </c>
      <c r="O3784" s="93">
        <f>N(O3783)+IF(AND(B3784&lt;&gt;"",B3784&gt;='Uang Riba'!$H$30,B3784&lt;='Uang Riba'!$I$30,OR(H3784="Dana riba",H3784="Pinjam uang riba",I3784="Pinjam dari uang riba",I3784="Ganti uang riba",I3784="Kelebihan ganti dikembalikan",AND(C3784="Kantong Uang Riba",G3784="Pengeluaran"))),1,0)</f>
        <v/>
      </c>
      <c r="X3784" s="93">
        <f>IF(AND(B3784&lt;&gt;"",B3784&gt;='Buku Akun'!$H$4,B3784&lt;='Buku Akun'!$H$5,OR(C3784='Buku Akun'!$C$4,AND(D3784="Pindah",E3784='Buku Akun'!$C$4))),B3784+IF(AND(I3784="Selisih bunga",DAY(B3784)=1),0,0.01)+ROW()/10000000,"")</f>
        <v/>
      </c>
    </row>
    <row r="3785" outlineLevel="1" ht="15" customHeight="1" s="94">
      <c r="A3785" s="123">
        <f>IF(B3785="","",ROW()-15)</f>
        <v/>
      </c>
      <c r="B3785" s="124" t="n"/>
      <c r="C3785" s="123" t="n"/>
      <c r="D3785" s="123" t="n"/>
      <c r="E3785" s="123" t="n"/>
      <c r="F3785" s="125" t="n"/>
      <c r="G3785" s="123" t="n"/>
      <c r="H3785" s="123" t="n"/>
      <c r="I3785" s="123" t="n"/>
      <c r="J3785" s="123" t="n"/>
      <c r="K3785" s="123" t="n"/>
      <c r="L3785" s="123" t="n"/>
      <c r="M3785" s="123">
        <f>IF(AND(B3785&lt;&gt;"",OR($C$4="",ISNUMBER(SEARCH($C$4,C3785&amp;" "&amp;E3785&amp;" "&amp;G3785&amp;" "&amp;H3785&amp;" "&amp;I3785&amp;" "&amp;J3785&amp;" "&amp;K3785&amp;" "&amp;L3785))),OR($C$5="Semua",$C$5="",G3785=$C$5),OR($C$6="Semua",$C$6="",H3785=$C$6,H3785="Pengeluaran "&amp;$C$6,AND($C$6="Uang Kos Mama",H3785="Pengeluaran Uang Kos")),OR($C$7="Semua",$C$7="",I3785=$C$7),OR($C$8="Semua",$C$8="",C3785=$C$8,E3785=$C$8),OR($C$9="Semua",$C$9="",D3785=$C$9),OR($C$10="",B3785&gt;=$C$10),OR($C$11="",B3785&lt;=$C$11),OR($C$12&lt;&gt;"Ya",K3785&lt;&gt;""),OR($C$13="Semua",$C$13="",L3785=$C$13)),"✓","")</f>
        <v/>
      </c>
      <c r="N3785" s="93">
        <f>N(N3784)+IF(M3785="✓",1,0)</f>
        <v/>
      </c>
      <c r="O3785" s="93">
        <f>N(O3784)+IF(AND(B3785&lt;&gt;"",B3785&gt;='Uang Riba'!$H$30,B3785&lt;='Uang Riba'!$I$30,OR(H3785="Dana riba",H3785="Pinjam uang riba",I3785="Pinjam dari uang riba",I3785="Ganti uang riba",I3785="Kelebihan ganti dikembalikan",AND(C3785="Kantong Uang Riba",G3785="Pengeluaran"))),1,0)</f>
        <v/>
      </c>
      <c r="X3785" s="93">
        <f>IF(AND(B3785&lt;&gt;"",B3785&gt;='Buku Akun'!$H$4,B3785&lt;='Buku Akun'!$H$5,OR(C3785='Buku Akun'!$C$4,AND(D3785="Pindah",E3785='Buku Akun'!$C$4))),B3785+IF(AND(I3785="Selisih bunga",DAY(B3785)=1),0,0.01)+ROW()/10000000,"")</f>
        <v/>
      </c>
    </row>
    <row r="3786" outlineLevel="1" ht="15" customHeight="1" s="94">
      <c r="A3786" s="123">
        <f>IF(B3786="","",ROW()-15)</f>
        <v/>
      </c>
      <c r="B3786" s="124" t="n"/>
      <c r="C3786" s="123" t="n"/>
      <c r="D3786" s="123" t="n"/>
      <c r="E3786" s="123" t="n"/>
      <c r="F3786" s="125" t="n"/>
      <c r="G3786" s="123" t="n"/>
      <c r="H3786" s="123" t="n"/>
      <c r="I3786" s="123" t="n"/>
      <c r="J3786" s="123" t="n"/>
      <c r="K3786" s="123" t="n"/>
      <c r="L3786" s="123" t="n"/>
      <c r="M3786" s="123">
        <f>IF(AND(B3786&lt;&gt;"",OR($C$4="",ISNUMBER(SEARCH($C$4,C3786&amp;" "&amp;E3786&amp;" "&amp;G3786&amp;" "&amp;H3786&amp;" "&amp;I3786&amp;" "&amp;J3786&amp;" "&amp;K3786&amp;" "&amp;L3786))),OR($C$5="Semua",$C$5="",G3786=$C$5),OR($C$6="Semua",$C$6="",H3786=$C$6,H3786="Pengeluaran "&amp;$C$6,AND($C$6="Uang Kos Mama",H3786="Pengeluaran Uang Kos")),OR($C$7="Semua",$C$7="",I3786=$C$7),OR($C$8="Semua",$C$8="",C3786=$C$8,E3786=$C$8),OR($C$9="Semua",$C$9="",D3786=$C$9),OR($C$10="",B3786&gt;=$C$10),OR($C$11="",B3786&lt;=$C$11),OR($C$12&lt;&gt;"Ya",K3786&lt;&gt;""),OR($C$13="Semua",$C$13="",L3786=$C$13)),"✓","")</f>
        <v/>
      </c>
      <c r="N3786" s="93">
        <f>N(N3785)+IF(M3786="✓",1,0)</f>
        <v/>
      </c>
      <c r="O3786" s="93">
        <f>N(O3785)+IF(AND(B3786&lt;&gt;"",B3786&gt;='Uang Riba'!$H$30,B3786&lt;='Uang Riba'!$I$30,OR(H3786="Dana riba",H3786="Pinjam uang riba",I3786="Pinjam dari uang riba",I3786="Ganti uang riba",I3786="Kelebihan ganti dikembalikan",AND(C3786="Kantong Uang Riba",G3786="Pengeluaran"))),1,0)</f>
        <v/>
      </c>
      <c r="X3786" s="93">
        <f>IF(AND(B3786&lt;&gt;"",B3786&gt;='Buku Akun'!$H$4,B3786&lt;='Buku Akun'!$H$5,OR(C3786='Buku Akun'!$C$4,AND(D3786="Pindah",E3786='Buku Akun'!$C$4))),B3786+IF(AND(I3786="Selisih bunga",DAY(B3786)=1),0,0.01)+ROW()/10000000,"")</f>
        <v/>
      </c>
    </row>
    <row r="3787" outlineLevel="1" ht="15" customHeight="1" s="94">
      <c r="A3787" s="123">
        <f>IF(B3787="","",ROW()-15)</f>
        <v/>
      </c>
      <c r="B3787" s="124" t="n"/>
      <c r="C3787" s="123" t="n"/>
      <c r="D3787" s="123" t="n"/>
      <c r="E3787" s="123" t="n"/>
      <c r="F3787" s="125" t="n"/>
      <c r="G3787" s="123" t="n"/>
      <c r="H3787" s="123" t="n"/>
      <c r="I3787" s="123" t="n"/>
      <c r="J3787" s="123" t="n"/>
      <c r="K3787" s="123" t="n"/>
      <c r="L3787" s="123" t="n"/>
      <c r="M3787" s="123">
        <f>IF(AND(B3787&lt;&gt;"",OR($C$4="",ISNUMBER(SEARCH($C$4,C3787&amp;" "&amp;E3787&amp;" "&amp;G3787&amp;" "&amp;H3787&amp;" "&amp;I3787&amp;" "&amp;J3787&amp;" "&amp;K3787&amp;" "&amp;L3787))),OR($C$5="Semua",$C$5="",G3787=$C$5),OR($C$6="Semua",$C$6="",H3787=$C$6,H3787="Pengeluaran "&amp;$C$6,AND($C$6="Uang Kos Mama",H3787="Pengeluaran Uang Kos")),OR($C$7="Semua",$C$7="",I3787=$C$7),OR($C$8="Semua",$C$8="",C3787=$C$8,E3787=$C$8),OR($C$9="Semua",$C$9="",D3787=$C$9),OR($C$10="",B3787&gt;=$C$10),OR($C$11="",B3787&lt;=$C$11),OR($C$12&lt;&gt;"Ya",K3787&lt;&gt;""),OR($C$13="Semua",$C$13="",L3787=$C$13)),"✓","")</f>
        <v/>
      </c>
      <c r="N3787" s="93">
        <f>N(N3786)+IF(M3787="✓",1,0)</f>
        <v/>
      </c>
      <c r="O3787" s="93">
        <f>N(O3786)+IF(AND(B3787&lt;&gt;"",B3787&gt;='Uang Riba'!$H$30,B3787&lt;='Uang Riba'!$I$30,OR(H3787="Dana riba",H3787="Pinjam uang riba",I3787="Pinjam dari uang riba",I3787="Ganti uang riba",I3787="Kelebihan ganti dikembalikan",AND(C3787="Kantong Uang Riba",G3787="Pengeluaran"))),1,0)</f>
        <v/>
      </c>
      <c r="X3787" s="93">
        <f>IF(AND(B3787&lt;&gt;"",B3787&gt;='Buku Akun'!$H$4,B3787&lt;='Buku Akun'!$H$5,OR(C3787='Buku Akun'!$C$4,AND(D3787="Pindah",E3787='Buku Akun'!$C$4))),B3787+IF(AND(I3787="Selisih bunga",DAY(B3787)=1),0,0.01)+ROW()/10000000,"")</f>
        <v/>
      </c>
    </row>
    <row r="3788" outlineLevel="1" ht="15" customHeight="1" s="94">
      <c r="A3788" s="123">
        <f>IF(B3788="","",ROW()-15)</f>
        <v/>
      </c>
      <c r="B3788" s="124" t="n"/>
      <c r="C3788" s="123" t="n"/>
      <c r="D3788" s="123" t="n"/>
      <c r="E3788" s="123" t="n"/>
      <c r="F3788" s="125" t="n"/>
      <c r="G3788" s="123" t="n"/>
      <c r="H3788" s="123" t="n"/>
      <c r="I3788" s="123" t="n"/>
      <c r="J3788" s="123" t="n"/>
      <c r="K3788" s="123" t="n"/>
      <c r="L3788" s="123" t="n"/>
      <c r="M3788" s="123">
        <f>IF(AND(B3788&lt;&gt;"",OR($C$4="",ISNUMBER(SEARCH($C$4,C3788&amp;" "&amp;E3788&amp;" "&amp;G3788&amp;" "&amp;H3788&amp;" "&amp;I3788&amp;" "&amp;J3788&amp;" "&amp;K3788&amp;" "&amp;L3788))),OR($C$5="Semua",$C$5="",G3788=$C$5),OR($C$6="Semua",$C$6="",H3788=$C$6,H3788="Pengeluaran "&amp;$C$6,AND($C$6="Uang Kos Mama",H3788="Pengeluaran Uang Kos")),OR($C$7="Semua",$C$7="",I3788=$C$7),OR($C$8="Semua",$C$8="",C3788=$C$8,E3788=$C$8),OR($C$9="Semua",$C$9="",D3788=$C$9),OR($C$10="",B3788&gt;=$C$10),OR($C$11="",B3788&lt;=$C$11),OR($C$12&lt;&gt;"Ya",K3788&lt;&gt;""),OR($C$13="Semua",$C$13="",L3788=$C$13)),"✓","")</f>
        <v/>
      </c>
      <c r="N3788" s="93">
        <f>N(N3787)+IF(M3788="✓",1,0)</f>
        <v/>
      </c>
      <c r="O3788" s="93">
        <f>N(O3787)+IF(AND(B3788&lt;&gt;"",B3788&gt;='Uang Riba'!$H$30,B3788&lt;='Uang Riba'!$I$30,OR(H3788="Dana riba",H3788="Pinjam uang riba",I3788="Pinjam dari uang riba",I3788="Ganti uang riba",I3788="Kelebihan ganti dikembalikan",AND(C3788="Kantong Uang Riba",G3788="Pengeluaran"))),1,0)</f>
        <v/>
      </c>
      <c r="X3788" s="93">
        <f>IF(AND(B3788&lt;&gt;"",B3788&gt;='Buku Akun'!$H$4,B3788&lt;='Buku Akun'!$H$5,OR(C3788='Buku Akun'!$C$4,AND(D3788="Pindah",E3788='Buku Akun'!$C$4))),B3788+IF(AND(I3788="Selisih bunga",DAY(B3788)=1),0,0.01)+ROW()/10000000,"")</f>
        <v/>
      </c>
    </row>
    <row r="3789" outlineLevel="1" ht="15" customHeight="1" s="94">
      <c r="A3789" s="123">
        <f>IF(B3789="","",ROW()-15)</f>
        <v/>
      </c>
      <c r="B3789" s="124" t="n"/>
      <c r="C3789" s="123" t="n"/>
      <c r="D3789" s="123" t="n"/>
      <c r="E3789" s="123" t="n"/>
      <c r="F3789" s="125" t="n"/>
      <c r="G3789" s="123" t="n"/>
      <c r="H3789" s="123" t="n"/>
      <c r="I3789" s="123" t="n"/>
      <c r="J3789" s="123" t="n"/>
      <c r="K3789" s="123" t="n"/>
      <c r="L3789" s="123" t="n"/>
      <c r="M3789" s="123">
        <f>IF(AND(B3789&lt;&gt;"",OR($C$4="",ISNUMBER(SEARCH($C$4,C3789&amp;" "&amp;E3789&amp;" "&amp;G3789&amp;" "&amp;H3789&amp;" "&amp;I3789&amp;" "&amp;J3789&amp;" "&amp;K3789&amp;" "&amp;L3789))),OR($C$5="Semua",$C$5="",G3789=$C$5),OR($C$6="Semua",$C$6="",H3789=$C$6,H3789="Pengeluaran "&amp;$C$6,AND($C$6="Uang Kos Mama",H3789="Pengeluaran Uang Kos")),OR($C$7="Semua",$C$7="",I3789=$C$7),OR($C$8="Semua",$C$8="",C3789=$C$8,E3789=$C$8),OR($C$9="Semua",$C$9="",D3789=$C$9),OR($C$10="",B3789&gt;=$C$10),OR($C$11="",B3789&lt;=$C$11),OR($C$12&lt;&gt;"Ya",K3789&lt;&gt;""),OR($C$13="Semua",$C$13="",L3789=$C$13)),"✓","")</f>
        <v/>
      </c>
      <c r="N3789" s="93">
        <f>N(N3788)+IF(M3789="✓",1,0)</f>
        <v/>
      </c>
      <c r="O3789" s="93">
        <f>N(O3788)+IF(AND(B3789&lt;&gt;"",B3789&gt;='Uang Riba'!$H$30,B3789&lt;='Uang Riba'!$I$30,OR(H3789="Dana riba",H3789="Pinjam uang riba",I3789="Pinjam dari uang riba",I3789="Ganti uang riba",I3789="Kelebihan ganti dikembalikan",AND(C3789="Kantong Uang Riba",G3789="Pengeluaran"))),1,0)</f>
        <v/>
      </c>
      <c r="X3789" s="93">
        <f>IF(AND(B3789&lt;&gt;"",B3789&gt;='Buku Akun'!$H$4,B3789&lt;='Buku Akun'!$H$5,OR(C3789='Buku Akun'!$C$4,AND(D3789="Pindah",E3789='Buku Akun'!$C$4))),B3789+IF(AND(I3789="Selisih bunga",DAY(B3789)=1),0,0.01)+ROW()/10000000,"")</f>
        <v/>
      </c>
    </row>
    <row r="3790" outlineLevel="1" ht="15" customHeight="1" s="94">
      <c r="A3790" s="123">
        <f>IF(B3790="","",ROW()-15)</f>
        <v/>
      </c>
      <c r="B3790" s="124" t="n"/>
      <c r="C3790" s="123" t="n"/>
      <c r="D3790" s="123" t="n"/>
      <c r="E3790" s="123" t="n"/>
      <c r="F3790" s="125" t="n"/>
      <c r="G3790" s="123" t="n"/>
      <c r="H3790" s="123" t="n"/>
      <c r="I3790" s="123" t="n"/>
      <c r="J3790" s="123" t="n"/>
      <c r="K3790" s="123" t="n"/>
      <c r="L3790" s="123" t="n"/>
      <c r="M3790" s="123">
        <f>IF(AND(B3790&lt;&gt;"",OR($C$4="",ISNUMBER(SEARCH($C$4,C3790&amp;" "&amp;E3790&amp;" "&amp;G3790&amp;" "&amp;H3790&amp;" "&amp;I3790&amp;" "&amp;J3790&amp;" "&amp;K3790&amp;" "&amp;L3790))),OR($C$5="Semua",$C$5="",G3790=$C$5),OR($C$6="Semua",$C$6="",H3790=$C$6,H3790="Pengeluaran "&amp;$C$6,AND($C$6="Uang Kos Mama",H3790="Pengeluaran Uang Kos")),OR($C$7="Semua",$C$7="",I3790=$C$7),OR($C$8="Semua",$C$8="",C3790=$C$8,E3790=$C$8),OR($C$9="Semua",$C$9="",D3790=$C$9),OR($C$10="",B3790&gt;=$C$10),OR($C$11="",B3790&lt;=$C$11),OR($C$12&lt;&gt;"Ya",K3790&lt;&gt;""),OR($C$13="Semua",$C$13="",L3790=$C$13)),"✓","")</f>
        <v/>
      </c>
      <c r="N3790" s="93">
        <f>N(N3789)+IF(M3790="✓",1,0)</f>
        <v/>
      </c>
      <c r="O3790" s="93">
        <f>N(O3789)+IF(AND(B3790&lt;&gt;"",B3790&gt;='Uang Riba'!$H$30,B3790&lt;='Uang Riba'!$I$30,OR(H3790="Dana riba",H3790="Pinjam uang riba",I3790="Pinjam dari uang riba",I3790="Ganti uang riba",I3790="Kelebihan ganti dikembalikan",AND(C3790="Kantong Uang Riba",G3790="Pengeluaran"))),1,0)</f>
        <v/>
      </c>
      <c r="X3790" s="93">
        <f>IF(AND(B3790&lt;&gt;"",B3790&gt;='Buku Akun'!$H$4,B3790&lt;='Buku Akun'!$H$5,OR(C3790='Buku Akun'!$C$4,AND(D3790="Pindah",E3790='Buku Akun'!$C$4))),B3790+IF(AND(I3790="Selisih bunga",DAY(B3790)=1),0,0.01)+ROW()/10000000,"")</f>
        <v/>
      </c>
    </row>
    <row r="3791" outlineLevel="1" ht="15" customHeight="1" s="94">
      <c r="A3791" s="123">
        <f>IF(B3791="","",ROW()-15)</f>
        <v/>
      </c>
      <c r="B3791" s="124" t="n"/>
      <c r="C3791" s="123" t="n"/>
      <c r="D3791" s="123" t="n"/>
      <c r="E3791" s="123" t="n"/>
      <c r="F3791" s="125" t="n"/>
      <c r="G3791" s="123" t="n"/>
      <c r="H3791" s="123" t="n"/>
      <c r="I3791" s="123" t="n"/>
      <c r="J3791" s="123" t="n"/>
      <c r="K3791" s="123" t="n"/>
      <c r="L3791" s="123" t="n"/>
      <c r="M3791" s="123">
        <f>IF(AND(B3791&lt;&gt;"",OR($C$4="",ISNUMBER(SEARCH($C$4,C3791&amp;" "&amp;E3791&amp;" "&amp;G3791&amp;" "&amp;H3791&amp;" "&amp;I3791&amp;" "&amp;J3791&amp;" "&amp;K3791&amp;" "&amp;L3791))),OR($C$5="Semua",$C$5="",G3791=$C$5),OR($C$6="Semua",$C$6="",H3791=$C$6,H3791="Pengeluaran "&amp;$C$6,AND($C$6="Uang Kos Mama",H3791="Pengeluaran Uang Kos")),OR($C$7="Semua",$C$7="",I3791=$C$7),OR($C$8="Semua",$C$8="",C3791=$C$8,E3791=$C$8),OR($C$9="Semua",$C$9="",D3791=$C$9),OR($C$10="",B3791&gt;=$C$10),OR($C$11="",B3791&lt;=$C$11),OR($C$12&lt;&gt;"Ya",K3791&lt;&gt;""),OR($C$13="Semua",$C$13="",L3791=$C$13)),"✓","")</f>
        <v/>
      </c>
      <c r="N3791" s="93">
        <f>N(N3790)+IF(M3791="✓",1,0)</f>
        <v/>
      </c>
      <c r="O3791" s="93">
        <f>N(O3790)+IF(AND(B3791&lt;&gt;"",B3791&gt;='Uang Riba'!$H$30,B3791&lt;='Uang Riba'!$I$30,OR(H3791="Dana riba",H3791="Pinjam uang riba",I3791="Pinjam dari uang riba",I3791="Ganti uang riba",I3791="Kelebihan ganti dikembalikan",AND(C3791="Kantong Uang Riba",G3791="Pengeluaran"))),1,0)</f>
        <v/>
      </c>
      <c r="X3791" s="93">
        <f>IF(AND(B3791&lt;&gt;"",B3791&gt;='Buku Akun'!$H$4,B3791&lt;='Buku Akun'!$H$5,OR(C3791='Buku Akun'!$C$4,AND(D3791="Pindah",E3791='Buku Akun'!$C$4))),B3791+IF(AND(I3791="Selisih bunga",DAY(B3791)=1),0,0.01)+ROW()/10000000,"")</f>
        <v/>
      </c>
    </row>
    <row r="3792" outlineLevel="1" ht="15" customHeight="1" s="94">
      <c r="A3792" s="123">
        <f>IF(B3792="","",ROW()-15)</f>
        <v/>
      </c>
      <c r="B3792" s="124" t="n"/>
      <c r="C3792" s="123" t="n"/>
      <c r="D3792" s="123" t="n"/>
      <c r="E3792" s="123" t="n"/>
      <c r="F3792" s="125" t="n"/>
      <c r="G3792" s="123" t="n"/>
      <c r="H3792" s="123" t="n"/>
      <c r="I3792" s="123" t="n"/>
      <c r="J3792" s="123" t="n"/>
      <c r="K3792" s="123" t="n"/>
      <c r="L3792" s="123" t="n"/>
      <c r="M3792" s="123">
        <f>IF(AND(B3792&lt;&gt;"",OR($C$4="",ISNUMBER(SEARCH($C$4,C3792&amp;" "&amp;E3792&amp;" "&amp;G3792&amp;" "&amp;H3792&amp;" "&amp;I3792&amp;" "&amp;J3792&amp;" "&amp;K3792&amp;" "&amp;L3792))),OR($C$5="Semua",$C$5="",G3792=$C$5),OR($C$6="Semua",$C$6="",H3792=$C$6,H3792="Pengeluaran "&amp;$C$6,AND($C$6="Uang Kos Mama",H3792="Pengeluaran Uang Kos")),OR($C$7="Semua",$C$7="",I3792=$C$7),OR($C$8="Semua",$C$8="",C3792=$C$8,E3792=$C$8),OR($C$9="Semua",$C$9="",D3792=$C$9),OR($C$10="",B3792&gt;=$C$10),OR($C$11="",B3792&lt;=$C$11),OR($C$12&lt;&gt;"Ya",K3792&lt;&gt;""),OR($C$13="Semua",$C$13="",L3792=$C$13)),"✓","")</f>
        <v/>
      </c>
      <c r="N3792" s="93">
        <f>N(N3791)+IF(M3792="✓",1,0)</f>
        <v/>
      </c>
      <c r="O3792" s="93">
        <f>N(O3791)+IF(AND(B3792&lt;&gt;"",B3792&gt;='Uang Riba'!$H$30,B3792&lt;='Uang Riba'!$I$30,OR(H3792="Dana riba",H3792="Pinjam uang riba",I3792="Pinjam dari uang riba",I3792="Ganti uang riba",I3792="Kelebihan ganti dikembalikan",AND(C3792="Kantong Uang Riba",G3792="Pengeluaran"))),1,0)</f>
        <v/>
      </c>
      <c r="X3792" s="93">
        <f>IF(AND(B3792&lt;&gt;"",B3792&gt;='Buku Akun'!$H$4,B3792&lt;='Buku Akun'!$H$5,OR(C3792='Buku Akun'!$C$4,AND(D3792="Pindah",E3792='Buku Akun'!$C$4))),B3792+IF(AND(I3792="Selisih bunga",DAY(B3792)=1),0,0.01)+ROW()/10000000,"")</f>
        <v/>
      </c>
    </row>
    <row r="3793" outlineLevel="1" ht="15" customHeight="1" s="94">
      <c r="A3793" s="123">
        <f>IF(B3793="","",ROW()-15)</f>
        <v/>
      </c>
      <c r="B3793" s="124" t="n"/>
      <c r="C3793" s="123" t="n"/>
      <c r="D3793" s="123" t="n"/>
      <c r="E3793" s="123" t="n"/>
      <c r="F3793" s="125" t="n"/>
      <c r="G3793" s="123" t="n"/>
      <c r="H3793" s="123" t="n"/>
      <c r="I3793" s="123" t="n"/>
      <c r="J3793" s="123" t="n"/>
      <c r="K3793" s="123" t="n"/>
      <c r="L3793" s="123" t="n"/>
      <c r="M3793" s="123">
        <f>IF(AND(B3793&lt;&gt;"",OR($C$4="",ISNUMBER(SEARCH($C$4,C3793&amp;" "&amp;E3793&amp;" "&amp;G3793&amp;" "&amp;H3793&amp;" "&amp;I3793&amp;" "&amp;J3793&amp;" "&amp;K3793&amp;" "&amp;L3793))),OR($C$5="Semua",$C$5="",G3793=$C$5),OR($C$6="Semua",$C$6="",H3793=$C$6,H3793="Pengeluaran "&amp;$C$6,AND($C$6="Uang Kos Mama",H3793="Pengeluaran Uang Kos")),OR($C$7="Semua",$C$7="",I3793=$C$7),OR($C$8="Semua",$C$8="",C3793=$C$8,E3793=$C$8),OR($C$9="Semua",$C$9="",D3793=$C$9),OR($C$10="",B3793&gt;=$C$10),OR($C$11="",B3793&lt;=$C$11),OR($C$12&lt;&gt;"Ya",K3793&lt;&gt;""),OR($C$13="Semua",$C$13="",L3793=$C$13)),"✓","")</f>
        <v/>
      </c>
      <c r="N3793" s="93">
        <f>N(N3792)+IF(M3793="✓",1,0)</f>
        <v/>
      </c>
      <c r="O3793" s="93">
        <f>N(O3792)+IF(AND(B3793&lt;&gt;"",B3793&gt;='Uang Riba'!$H$30,B3793&lt;='Uang Riba'!$I$30,OR(H3793="Dana riba",H3793="Pinjam uang riba",I3793="Pinjam dari uang riba",I3793="Ganti uang riba",I3793="Kelebihan ganti dikembalikan",AND(C3793="Kantong Uang Riba",G3793="Pengeluaran"))),1,0)</f>
        <v/>
      </c>
      <c r="X3793" s="93">
        <f>IF(AND(B3793&lt;&gt;"",B3793&gt;='Buku Akun'!$H$4,B3793&lt;='Buku Akun'!$H$5,OR(C3793='Buku Akun'!$C$4,AND(D3793="Pindah",E3793='Buku Akun'!$C$4))),B3793+IF(AND(I3793="Selisih bunga",DAY(B3793)=1),0,0.01)+ROW()/10000000,"")</f>
        <v/>
      </c>
    </row>
    <row r="3794" outlineLevel="1" ht="15" customHeight="1" s="94">
      <c r="A3794" s="123">
        <f>IF(B3794="","",ROW()-15)</f>
        <v/>
      </c>
      <c r="B3794" s="124" t="n"/>
      <c r="C3794" s="123" t="n"/>
      <c r="D3794" s="123" t="n"/>
      <c r="E3794" s="123" t="n"/>
      <c r="F3794" s="125" t="n"/>
      <c r="G3794" s="123" t="n"/>
      <c r="H3794" s="123" t="n"/>
      <c r="I3794" s="123" t="n"/>
      <c r="J3794" s="123" t="n"/>
      <c r="K3794" s="123" t="n"/>
      <c r="L3794" s="123" t="n"/>
      <c r="M3794" s="123">
        <f>IF(AND(B3794&lt;&gt;"",OR($C$4="",ISNUMBER(SEARCH($C$4,C3794&amp;" "&amp;E3794&amp;" "&amp;G3794&amp;" "&amp;H3794&amp;" "&amp;I3794&amp;" "&amp;J3794&amp;" "&amp;K3794&amp;" "&amp;L3794))),OR($C$5="Semua",$C$5="",G3794=$C$5),OR($C$6="Semua",$C$6="",H3794=$C$6,H3794="Pengeluaran "&amp;$C$6,AND($C$6="Uang Kos Mama",H3794="Pengeluaran Uang Kos")),OR($C$7="Semua",$C$7="",I3794=$C$7),OR($C$8="Semua",$C$8="",C3794=$C$8,E3794=$C$8),OR($C$9="Semua",$C$9="",D3794=$C$9),OR($C$10="",B3794&gt;=$C$10),OR($C$11="",B3794&lt;=$C$11),OR($C$12&lt;&gt;"Ya",K3794&lt;&gt;""),OR($C$13="Semua",$C$13="",L3794=$C$13)),"✓","")</f>
        <v/>
      </c>
      <c r="N3794" s="93">
        <f>N(N3793)+IF(M3794="✓",1,0)</f>
        <v/>
      </c>
      <c r="O3794" s="93">
        <f>N(O3793)+IF(AND(B3794&lt;&gt;"",B3794&gt;='Uang Riba'!$H$30,B3794&lt;='Uang Riba'!$I$30,OR(H3794="Dana riba",H3794="Pinjam uang riba",I3794="Pinjam dari uang riba",I3794="Ganti uang riba",I3794="Kelebihan ganti dikembalikan",AND(C3794="Kantong Uang Riba",G3794="Pengeluaran"))),1,0)</f>
        <v/>
      </c>
      <c r="X3794" s="93">
        <f>IF(AND(B3794&lt;&gt;"",B3794&gt;='Buku Akun'!$H$4,B3794&lt;='Buku Akun'!$H$5,OR(C3794='Buku Akun'!$C$4,AND(D3794="Pindah",E3794='Buku Akun'!$C$4))),B3794+IF(AND(I3794="Selisih bunga",DAY(B3794)=1),0,0.01)+ROW()/10000000,"")</f>
        <v/>
      </c>
    </row>
    <row r="3795" outlineLevel="1" ht="15" customHeight="1" s="94">
      <c r="A3795" s="123">
        <f>IF(B3795="","",ROW()-15)</f>
        <v/>
      </c>
      <c r="B3795" s="124" t="n"/>
      <c r="C3795" s="123" t="n"/>
      <c r="D3795" s="123" t="n"/>
      <c r="E3795" s="123" t="n"/>
      <c r="F3795" s="125" t="n"/>
      <c r="G3795" s="123" t="n"/>
      <c r="H3795" s="123" t="n"/>
      <c r="I3795" s="123" t="n"/>
      <c r="J3795" s="123" t="n"/>
      <c r="K3795" s="123" t="n"/>
      <c r="L3795" s="123" t="n"/>
      <c r="M3795" s="123">
        <f>IF(AND(B3795&lt;&gt;"",OR($C$4="",ISNUMBER(SEARCH($C$4,C3795&amp;" "&amp;E3795&amp;" "&amp;G3795&amp;" "&amp;H3795&amp;" "&amp;I3795&amp;" "&amp;J3795&amp;" "&amp;K3795&amp;" "&amp;L3795))),OR($C$5="Semua",$C$5="",G3795=$C$5),OR($C$6="Semua",$C$6="",H3795=$C$6,H3795="Pengeluaran "&amp;$C$6,AND($C$6="Uang Kos Mama",H3795="Pengeluaran Uang Kos")),OR($C$7="Semua",$C$7="",I3795=$C$7),OR($C$8="Semua",$C$8="",C3795=$C$8,E3795=$C$8),OR($C$9="Semua",$C$9="",D3795=$C$9),OR($C$10="",B3795&gt;=$C$10),OR($C$11="",B3795&lt;=$C$11),OR($C$12&lt;&gt;"Ya",K3795&lt;&gt;""),OR($C$13="Semua",$C$13="",L3795=$C$13)),"✓","")</f>
        <v/>
      </c>
      <c r="N3795" s="93">
        <f>N(N3794)+IF(M3795="✓",1,0)</f>
        <v/>
      </c>
      <c r="O3795" s="93">
        <f>N(O3794)+IF(AND(B3795&lt;&gt;"",B3795&gt;='Uang Riba'!$H$30,B3795&lt;='Uang Riba'!$I$30,OR(H3795="Dana riba",H3795="Pinjam uang riba",I3795="Pinjam dari uang riba",I3795="Ganti uang riba",I3795="Kelebihan ganti dikembalikan",AND(C3795="Kantong Uang Riba",G3795="Pengeluaran"))),1,0)</f>
        <v/>
      </c>
      <c r="X3795" s="93">
        <f>IF(AND(B3795&lt;&gt;"",B3795&gt;='Buku Akun'!$H$4,B3795&lt;='Buku Akun'!$H$5,OR(C3795='Buku Akun'!$C$4,AND(D3795="Pindah",E3795='Buku Akun'!$C$4))),B3795+IF(AND(I3795="Selisih bunga",DAY(B3795)=1),0,0.01)+ROW()/10000000,"")</f>
        <v/>
      </c>
    </row>
    <row r="3796" outlineLevel="1" ht="15" customHeight="1" s="94">
      <c r="A3796" s="123">
        <f>IF(B3796="","",ROW()-15)</f>
        <v/>
      </c>
      <c r="B3796" s="124" t="n"/>
      <c r="C3796" s="123" t="n"/>
      <c r="D3796" s="123" t="n"/>
      <c r="E3796" s="123" t="n"/>
      <c r="F3796" s="125" t="n"/>
      <c r="G3796" s="123" t="n"/>
      <c r="H3796" s="123" t="n"/>
      <c r="I3796" s="123" t="n"/>
      <c r="J3796" s="123" t="n"/>
      <c r="K3796" s="123" t="n"/>
      <c r="L3796" s="123" t="n"/>
      <c r="M3796" s="123">
        <f>IF(AND(B3796&lt;&gt;"",OR($C$4="",ISNUMBER(SEARCH($C$4,C3796&amp;" "&amp;E3796&amp;" "&amp;G3796&amp;" "&amp;H3796&amp;" "&amp;I3796&amp;" "&amp;J3796&amp;" "&amp;K3796&amp;" "&amp;L3796))),OR($C$5="Semua",$C$5="",G3796=$C$5),OR($C$6="Semua",$C$6="",H3796=$C$6,H3796="Pengeluaran "&amp;$C$6,AND($C$6="Uang Kos Mama",H3796="Pengeluaran Uang Kos")),OR($C$7="Semua",$C$7="",I3796=$C$7),OR($C$8="Semua",$C$8="",C3796=$C$8,E3796=$C$8),OR($C$9="Semua",$C$9="",D3796=$C$9),OR($C$10="",B3796&gt;=$C$10),OR($C$11="",B3796&lt;=$C$11),OR($C$12&lt;&gt;"Ya",K3796&lt;&gt;""),OR($C$13="Semua",$C$13="",L3796=$C$13)),"✓","")</f>
        <v/>
      </c>
      <c r="N3796" s="93">
        <f>N(N3795)+IF(M3796="✓",1,0)</f>
        <v/>
      </c>
      <c r="O3796" s="93">
        <f>N(O3795)+IF(AND(B3796&lt;&gt;"",B3796&gt;='Uang Riba'!$H$30,B3796&lt;='Uang Riba'!$I$30,OR(H3796="Dana riba",H3796="Pinjam uang riba",I3796="Pinjam dari uang riba",I3796="Ganti uang riba",I3796="Kelebihan ganti dikembalikan",AND(C3796="Kantong Uang Riba",G3796="Pengeluaran"))),1,0)</f>
        <v/>
      </c>
      <c r="X3796" s="93">
        <f>IF(AND(B3796&lt;&gt;"",B3796&gt;='Buku Akun'!$H$4,B3796&lt;='Buku Akun'!$H$5,OR(C3796='Buku Akun'!$C$4,AND(D3796="Pindah",E3796='Buku Akun'!$C$4))),B3796+IF(AND(I3796="Selisih bunga",DAY(B3796)=1),0,0.01)+ROW()/10000000,"")</f>
        <v/>
      </c>
    </row>
    <row r="3797" outlineLevel="1" ht="15" customHeight="1" s="94">
      <c r="A3797" s="123">
        <f>IF(B3797="","",ROW()-15)</f>
        <v/>
      </c>
      <c r="B3797" s="124" t="n"/>
      <c r="C3797" s="123" t="n"/>
      <c r="D3797" s="123" t="n"/>
      <c r="E3797" s="123" t="n"/>
      <c r="F3797" s="125" t="n"/>
      <c r="G3797" s="123" t="n"/>
      <c r="H3797" s="123" t="n"/>
      <c r="I3797" s="123" t="n"/>
      <c r="J3797" s="123" t="n"/>
      <c r="K3797" s="123" t="n"/>
      <c r="L3797" s="123" t="n"/>
      <c r="M3797" s="123">
        <f>IF(AND(B3797&lt;&gt;"",OR($C$4="",ISNUMBER(SEARCH($C$4,C3797&amp;" "&amp;E3797&amp;" "&amp;G3797&amp;" "&amp;H3797&amp;" "&amp;I3797&amp;" "&amp;J3797&amp;" "&amp;K3797&amp;" "&amp;L3797))),OR($C$5="Semua",$C$5="",G3797=$C$5),OR($C$6="Semua",$C$6="",H3797=$C$6,H3797="Pengeluaran "&amp;$C$6,AND($C$6="Uang Kos Mama",H3797="Pengeluaran Uang Kos")),OR($C$7="Semua",$C$7="",I3797=$C$7),OR($C$8="Semua",$C$8="",C3797=$C$8,E3797=$C$8),OR($C$9="Semua",$C$9="",D3797=$C$9),OR($C$10="",B3797&gt;=$C$10),OR($C$11="",B3797&lt;=$C$11),OR($C$12&lt;&gt;"Ya",K3797&lt;&gt;""),OR($C$13="Semua",$C$13="",L3797=$C$13)),"✓","")</f>
        <v/>
      </c>
      <c r="N3797" s="93">
        <f>N(N3796)+IF(M3797="✓",1,0)</f>
        <v/>
      </c>
      <c r="O3797" s="93">
        <f>N(O3796)+IF(AND(B3797&lt;&gt;"",B3797&gt;='Uang Riba'!$H$30,B3797&lt;='Uang Riba'!$I$30,OR(H3797="Dana riba",H3797="Pinjam uang riba",I3797="Pinjam dari uang riba",I3797="Ganti uang riba",I3797="Kelebihan ganti dikembalikan",AND(C3797="Kantong Uang Riba",G3797="Pengeluaran"))),1,0)</f>
        <v/>
      </c>
      <c r="X3797" s="93">
        <f>IF(AND(B3797&lt;&gt;"",B3797&gt;='Buku Akun'!$H$4,B3797&lt;='Buku Akun'!$H$5,OR(C3797='Buku Akun'!$C$4,AND(D3797="Pindah",E3797='Buku Akun'!$C$4))),B3797+IF(AND(I3797="Selisih bunga",DAY(B3797)=1),0,0.01)+ROW()/10000000,"")</f>
        <v/>
      </c>
    </row>
    <row r="3798" outlineLevel="1" ht="15" customHeight="1" s="94">
      <c r="A3798" s="123">
        <f>IF(B3798="","",ROW()-15)</f>
        <v/>
      </c>
      <c r="B3798" s="124" t="n"/>
      <c r="C3798" s="123" t="n"/>
      <c r="D3798" s="123" t="n"/>
      <c r="E3798" s="123" t="n"/>
      <c r="F3798" s="125" t="n"/>
      <c r="G3798" s="123" t="n"/>
      <c r="H3798" s="123" t="n"/>
      <c r="I3798" s="123" t="n"/>
      <c r="J3798" s="123" t="n"/>
      <c r="K3798" s="123" t="n"/>
      <c r="L3798" s="123" t="n"/>
      <c r="M3798" s="123">
        <f>IF(AND(B3798&lt;&gt;"",OR($C$4="",ISNUMBER(SEARCH($C$4,C3798&amp;" "&amp;E3798&amp;" "&amp;G3798&amp;" "&amp;H3798&amp;" "&amp;I3798&amp;" "&amp;J3798&amp;" "&amp;K3798&amp;" "&amp;L3798))),OR($C$5="Semua",$C$5="",G3798=$C$5),OR($C$6="Semua",$C$6="",H3798=$C$6,H3798="Pengeluaran "&amp;$C$6,AND($C$6="Uang Kos Mama",H3798="Pengeluaran Uang Kos")),OR($C$7="Semua",$C$7="",I3798=$C$7),OR($C$8="Semua",$C$8="",C3798=$C$8,E3798=$C$8),OR($C$9="Semua",$C$9="",D3798=$C$9),OR($C$10="",B3798&gt;=$C$10),OR($C$11="",B3798&lt;=$C$11),OR($C$12&lt;&gt;"Ya",K3798&lt;&gt;""),OR($C$13="Semua",$C$13="",L3798=$C$13)),"✓","")</f>
        <v/>
      </c>
      <c r="N3798" s="93">
        <f>N(N3797)+IF(M3798="✓",1,0)</f>
        <v/>
      </c>
      <c r="O3798" s="93">
        <f>N(O3797)+IF(AND(B3798&lt;&gt;"",B3798&gt;='Uang Riba'!$H$30,B3798&lt;='Uang Riba'!$I$30,OR(H3798="Dana riba",H3798="Pinjam uang riba",I3798="Pinjam dari uang riba",I3798="Ganti uang riba",I3798="Kelebihan ganti dikembalikan",AND(C3798="Kantong Uang Riba",G3798="Pengeluaran"))),1,0)</f>
        <v/>
      </c>
      <c r="X3798" s="93">
        <f>IF(AND(B3798&lt;&gt;"",B3798&gt;='Buku Akun'!$H$4,B3798&lt;='Buku Akun'!$H$5,OR(C3798='Buku Akun'!$C$4,AND(D3798="Pindah",E3798='Buku Akun'!$C$4))),B3798+IF(AND(I3798="Selisih bunga",DAY(B3798)=1),0,0.01)+ROW()/10000000,"")</f>
        <v/>
      </c>
    </row>
    <row r="3799" outlineLevel="1" ht="15" customHeight="1" s="94">
      <c r="A3799" s="123">
        <f>IF(B3799="","",ROW()-15)</f>
        <v/>
      </c>
      <c r="B3799" s="124" t="n"/>
      <c r="C3799" s="123" t="n"/>
      <c r="D3799" s="123" t="n"/>
      <c r="E3799" s="123" t="n"/>
      <c r="F3799" s="125" t="n"/>
      <c r="G3799" s="123" t="n"/>
      <c r="H3799" s="123" t="n"/>
      <c r="I3799" s="123" t="n"/>
      <c r="J3799" s="123" t="n"/>
      <c r="K3799" s="123" t="n"/>
      <c r="L3799" s="123" t="n"/>
      <c r="M3799" s="123">
        <f>IF(AND(B3799&lt;&gt;"",OR($C$4="",ISNUMBER(SEARCH($C$4,C3799&amp;" "&amp;E3799&amp;" "&amp;G3799&amp;" "&amp;H3799&amp;" "&amp;I3799&amp;" "&amp;J3799&amp;" "&amp;K3799&amp;" "&amp;L3799))),OR($C$5="Semua",$C$5="",G3799=$C$5),OR($C$6="Semua",$C$6="",H3799=$C$6,H3799="Pengeluaran "&amp;$C$6,AND($C$6="Uang Kos Mama",H3799="Pengeluaran Uang Kos")),OR($C$7="Semua",$C$7="",I3799=$C$7),OR($C$8="Semua",$C$8="",C3799=$C$8,E3799=$C$8),OR($C$9="Semua",$C$9="",D3799=$C$9),OR($C$10="",B3799&gt;=$C$10),OR($C$11="",B3799&lt;=$C$11),OR($C$12&lt;&gt;"Ya",K3799&lt;&gt;""),OR($C$13="Semua",$C$13="",L3799=$C$13)),"✓","")</f>
        <v/>
      </c>
      <c r="N3799" s="93">
        <f>N(N3798)+IF(M3799="✓",1,0)</f>
        <v/>
      </c>
      <c r="O3799" s="93">
        <f>N(O3798)+IF(AND(B3799&lt;&gt;"",B3799&gt;='Uang Riba'!$H$30,B3799&lt;='Uang Riba'!$I$30,OR(H3799="Dana riba",H3799="Pinjam uang riba",I3799="Pinjam dari uang riba",I3799="Ganti uang riba",I3799="Kelebihan ganti dikembalikan",AND(C3799="Kantong Uang Riba",G3799="Pengeluaran"))),1,0)</f>
        <v/>
      </c>
      <c r="X3799" s="93">
        <f>IF(AND(B3799&lt;&gt;"",B3799&gt;='Buku Akun'!$H$4,B3799&lt;='Buku Akun'!$H$5,OR(C3799='Buku Akun'!$C$4,AND(D3799="Pindah",E3799='Buku Akun'!$C$4))),B3799+IF(AND(I3799="Selisih bunga",DAY(B3799)=1),0,0.01)+ROW()/10000000,"")</f>
        <v/>
      </c>
    </row>
    <row r="3800" outlineLevel="1" ht="15" customHeight="1" s="94">
      <c r="A3800" s="123">
        <f>IF(B3800="","",ROW()-15)</f>
        <v/>
      </c>
      <c r="B3800" s="124" t="n"/>
      <c r="C3800" s="123" t="n"/>
      <c r="D3800" s="123" t="n"/>
      <c r="E3800" s="123" t="n"/>
      <c r="F3800" s="125" t="n"/>
      <c r="G3800" s="123" t="n"/>
      <c r="H3800" s="123" t="n"/>
      <c r="I3800" s="123" t="n"/>
      <c r="J3800" s="123" t="n"/>
      <c r="K3800" s="123" t="n"/>
      <c r="L3800" s="123" t="n"/>
      <c r="M3800" s="123">
        <f>IF(AND(B3800&lt;&gt;"",OR($C$4="",ISNUMBER(SEARCH($C$4,C3800&amp;" "&amp;E3800&amp;" "&amp;G3800&amp;" "&amp;H3800&amp;" "&amp;I3800&amp;" "&amp;J3800&amp;" "&amp;K3800&amp;" "&amp;L3800))),OR($C$5="Semua",$C$5="",G3800=$C$5),OR($C$6="Semua",$C$6="",H3800=$C$6,H3800="Pengeluaran "&amp;$C$6,AND($C$6="Uang Kos Mama",H3800="Pengeluaran Uang Kos")),OR($C$7="Semua",$C$7="",I3800=$C$7),OR($C$8="Semua",$C$8="",C3800=$C$8,E3800=$C$8),OR($C$9="Semua",$C$9="",D3800=$C$9),OR($C$10="",B3800&gt;=$C$10),OR($C$11="",B3800&lt;=$C$11),OR($C$12&lt;&gt;"Ya",K3800&lt;&gt;""),OR($C$13="Semua",$C$13="",L3800=$C$13)),"✓","")</f>
        <v/>
      </c>
      <c r="N3800" s="93">
        <f>N(N3799)+IF(M3800="✓",1,0)</f>
        <v/>
      </c>
      <c r="O3800" s="93">
        <f>N(O3799)+IF(AND(B3800&lt;&gt;"",B3800&gt;='Uang Riba'!$H$30,B3800&lt;='Uang Riba'!$I$30,OR(H3800="Dana riba",H3800="Pinjam uang riba",I3800="Pinjam dari uang riba",I3800="Ganti uang riba",I3800="Kelebihan ganti dikembalikan",AND(C3800="Kantong Uang Riba",G3800="Pengeluaran"))),1,0)</f>
        <v/>
      </c>
      <c r="X3800" s="93">
        <f>IF(AND(B3800&lt;&gt;"",B3800&gt;='Buku Akun'!$H$4,B3800&lt;='Buku Akun'!$H$5,OR(C3800='Buku Akun'!$C$4,AND(D3800="Pindah",E3800='Buku Akun'!$C$4))),B3800+IF(AND(I3800="Selisih bunga",DAY(B3800)=1),0,0.01)+ROW()/10000000,"")</f>
        <v/>
      </c>
    </row>
    <row r="3801" outlineLevel="1" ht="15" customHeight="1" s="94">
      <c r="A3801" s="123">
        <f>IF(B3801="","",ROW()-15)</f>
        <v/>
      </c>
      <c r="B3801" s="124" t="n"/>
      <c r="C3801" s="123" t="n"/>
      <c r="D3801" s="123" t="n"/>
      <c r="E3801" s="123" t="n"/>
      <c r="F3801" s="125" t="n"/>
      <c r="G3801" s="123" t="n"/>
      <c r="H3801" s="123" t="n"/>
      <c r="I3801" s="123" t="n"/>
      <c r="J3801" s="123" t="n"/>
      <c r="K3801" s="123" t="n"/>
      <c r="L3801" s="123" t="n"/>
      <c r="M3801" s="123">
        <f>IF(AND(B3801&lt;&gt;"",OR($C$4="",ISNUMBER(SEARCH($C$4,C3801&amp;" "&amp;E3801&amp;" "&amp;G3801&amp;" "&amp;H3801&amp;" "&amp;I3801&amp;" "&amp;J3801&amp;" "&amp;K3801&amp;" "&amp;L3801))),OR($C$5="Semua",$C$5="",G3801=$C$5),OR($C$6="Semua",$C$6="",H3801=$C$6,H3801="Pengeluaran "&amp;$C$6,AND($C$6="Uang Kos Mama",H3801="Pengeluaran Uang Kos")),OR($C$7="Semua",$C$7="",I3801=$C$7),OR($C$8="Semua",$C$8="",C3801=$C$8,E3801=$C$8),OR($C$9="Semua",$C$9="",D3801=$C$9),OR($C$10="",B3801&gt;=$C$10),OR($C$11="",B3801&lt;=$C$11),OR($C$12&lt;&gt;"Ya",K3801&lt;&gt;""),OR($C$13="Semua",$C$13="",L3801=$C$13)),"✓","")</f>
        <v/>
      </c>
      <c r="N3801" s="93">
        <f>N(N3800)+IF(M3801="✓",1,0)</f>
        <v/>
      </c>
      <c r="O3801" s="93">
        <f>N(O3800)+IF(AND(B3801&lt;&gt;"",B3801&gt;='Uang Riba'!$H$30,B3801&lt;='Uang Riba'!$I$30,OR(H3801="Dana riba",H3801="Pinjam uang riba",I3801="Pinjam dari uang riba",I3801="Ganti uang riba",I3801="Kelebihan ganti dikembalikan",AND(C3801="Kantong Uang Riba",G3801="Pengeluaran"))),1,0)</f>
        <v/>
      </c>
      <c r="X3801" s="93">
        <f>IF(AND(B3801&lt;&gt;"",B3801&gt;='Buku Akun'!$H$4,B3801&lt;='Buku Akun'!$H$5,OR(C3801='Buku Akun'!$C$4,AND(D3801="Pindah",E3801='Buku Akun'!$C$4))),B3801+IF(AND(I3801="Selisih bunga",DAY(B3801)=1),0,0.01)+ROW()/10000000,"")</f>
        <v/>
      </c>
    </row>
    <row r="3802" outlineLevel="1" ht="15" customHeight="1" s="94">
      <c r="A3802" s="123">
        <f>IF(B3802="","",ROW()-15)</f>
        <v/>
      </c>
      <c r="B3802" s="124" t="n"/>
      <c r="C3802" s="123" t="n"/>
      <c r="D3802" s="123" t="n"/>
      <c r="E3802" s="123" t="n"/>
      <c r="F3802" s="125" t="n"/>
      <c r="G3802" s="123" t="n"/>
      <c r="H3802" s="123" t="n"/>
      <c r="I3802" s="123" t="n"/>
      <c r="J3802" s="123" t="n"/>
      <c r="K3802" s="123" t="n"/>
      <c r="L3802" s="123" t="n"/>
      <c r="M3802" s="123">
        <f>IF(AND(B3802&lt;&gt;"",OR($C$4="",ISNUMBER(SEARCH($C$4,C3802&amp;" "&amp;E3802&amp;" "&amp;G3802&amp;" "&amp;H3802&amp;" "&amp;I3802&amp;" "&amp;J3802&amp;" "&amp;K3802&amp;" "&amp;L3802))),OR($C$5="Semua",$C$5="",G3802=$C$5),OR($C$6="Semua",$C$6="",H3802=$C$6,H3802="Pengeluaran "&amp;$C$6,AND($C$6="Uang Kos Mama",H3802="Pengeluaran Uang Kos")),OR($C$7="Semua",$C$7="",I3802=$C$7),OR($C$8="Semua",$C$8="",C3802=$C$8,E3802=$C$8),OR($C$9="Semua",$C$9="",D3802=$C$9),OR($C$10="",B3802&gt;=$C$10),OR($C$11="",B3802&lt;=$C$11),OR($C$12&lt;&gt;"Ya",K3802&lt;&gt;""),OR($C$13="Semua",$C$13="",L3802=$C$13)),"✓","")</f>
        <v/>
      </c>
      <c r="N3802" s="93">
        <f>N(N3801)+IF(M3802="✓",1,0)</f>
        <v/>
      </c>
      <c r="O3802" s="93">
        <f>N(O3801)+IF(AND(B3802&lt;&gt;"",B3802&gt;='Uang Riba'!$H$30,B3802&lt;='Uang Riba'!$I$30,OR(H3802="Dana riba",H3802="Pinjam uang riba",I3802="Pinjam dari uang riba",I3802="Ganti uang riba",I3802="Kelebihan ganti dikembalikan",AND(C3802="Kantong Uang Riba",G3802="Pengeluaran"))),1,0)</f>
        <v/>
      </c>
      <c r="X3802" s="93">
        <f>IF(AND(B3802&lt;&gt;"",B3802&gt;='Buku Akun'!$H$4,B3802&lt;='Buku Akun'!$H$5,OR(C3802='Buku Akun'!$C$4,AND(D3802="Pindah",E3802='Buku Akun'!$C$4))),B3802+IF(AND(I3802="Selisih bunga",DAY(B3802)=1),0,0.01)+ROW()/10000000,"")</f>
        <v/>
      </c>
    </row>
    <row r="3803" outlineLevel="1" ht="15" customHeight="1" s="94">
      <c r="A3803" s="123">
        <f>IF(B3803="","",ROW()-15)</f>
        <v/>
      </c>
      <c r="B3803" s="124" t="n"/>
      <c r="C3803" s="123" t="n"/>
      <c r="D3803" s="123" t="n"/>
      <c r="E3803" s="123" t="n"/>
      <c r="F3803" s="125" t="n"/>
      <c r="G3803" s="123" t="n"/>
      <c r="H3803" s="123" t="n"/>
      <c r="I3803" s="123" t="n"/>
      <c r="J3803" s="123" t="n"/>
      <c r="K3803" s="123" t="n"/>
      <c r="L3803" s="123" t="n"/>
      <c r="M3803" s="123">
        <f>IF(AND(B3803&lt;&gt;"",OR($C$4="",ISNUMBER(SEARCH($C$4,C3803&amp;" "&amp;E3803&amp;" "&amp;G3803&amp;" "&amp;H3803&amp;" "&amp;I3803&amp;" "&amp;J3803&amp;" "&amp;K3803&amp;" "&amp;L3803))),OR($C$5="Semua",$C$5="",G3803=$C$5),OR($C$6="Semua",$C$6="",H3803=$C$6,H3803="Pengeluaran "&amp;$C$6,AND($C$6="Uang Kos Mama",H3803="Pengeluaran Uang Kos")),OR($C$7="Semua",$C$7="",I3803=$C$7),OR($C$8="Semua",$C$8="",C3803=$C$8,E3803=$C$8),OR($C$9="Semua",$C$9="",D3803=$C$9),OR($C$10="",B3803&gt;=$C$10),OR($C$11="",B3803&lt;=$C$11),OR($C$12&lt;&gt;"Ya",K3803&lt;&gt;""),OR($C$13="Semua",$C$13="",L3803=$C$13)),"✓","")</f>
        <v/>
      </c>
      <c r="N3803" s="93">
        <f>N(N3802)+IF(M3803="✓",1,0)</f>
        <v/>
      </c>
      <c r="O3803" s="93">
        <f>N(O3802)+IF(AND(B3803&lt;&gt;"",B3803&gt;='Uang Riba'!$H$30,B3803&lt;='Uang Riba'!$I$30,OR(H3803="Dana riba",H3803="Pinjam uang riba",I3803="Pinjam dari uang riba",I3803="Ganti uang riba",I3803="Kelebihan ganti dikembalikan",AND(C3803="Kantong Uang Riba",G3803="Pengeluaran"))),1,0)</f>
        <v/>
      </c>
      <c r="X3803" s="93">
        <f>IF(AND(B3803&lt;&gt;"",B3803&gt;='Buku Akun'!$H$4,B3803&lt;='Buku Akun'!$H$5,OR(C3803='Buku Akun'!$C$4,AND(D3803="Pindah",E3803='Buku Akun'!$C$4))),B3803+IF(AND(I3803="Selisih bunga",DAY(B3803)=1),0,0.01)+ROW()/10000000,"")</f>
        <v/>
      </c>
    </row>
    <row r="3804" outlineLevel="1" ht="15" customHeight="1" s="94">
      <c r="A3804" s="123">
        <f>IF(B3804="","",ROW()-15)</f>
        <v/>
      </c>
      <c r="B3804" s="124" t="n"/>
      <c r="C3804" s="123" t="n"/>
      <c r="D3804" s="123" t="n"/>
      <c r="E3804" s="123" t="n"/>
      <c r="F3804" s="125" t="n"/>
      <c r="G3804" s="123" t="n"/>
      <c r="H3804" s="123" t="n"/>
      <c r="I3804" s="123" t="n"/>
      <c r="J3804" s="123" t="n"/>
      <c r="K3804" s="123" t="n"/>
      <c r="L3804" s="123" t="n"/>
      <c r="M3804" s="123">
        <f>IF(AND(B3804&lt;&gt;"",OR($C$4="",ISNUMBER(SEARCH($C$4,C3804&amp;" "&amp;E3804&amp;" "&amp;G3804&amp;" "&amp;H3804&amp;" "&amp;I3804&amp;" "&amp;J3804&amp;" "&amp;K3804&amp;" "&amp;L3804))),OR($C$5="Semua",$C$5="",G3804=$C$5),OR($C$6="Semua",$C$6="",H3804=$C$6,H3804="Pengeluaran "&amp;$C$6,AND($C$6="Uang Kos Mama",H3804="Pengeluaran Uang Kos")),OR($C$7="Semua",$C$7="",I3804=$C$7),OR($C$8="Semua",$C$8="",C3804=$C$8,E3804=$C$8),OR($C$9="Semua",$C$9="",D3804=$C$9),OR($C$10="",B3804&gt;=$C$10),OR($C$11="",B3804&lt;=$C$11),OR($C$12&lt;&gt;"Ya",K3804&lt;&gt;""),OR($C$13="Semua",$C$13="",L3804=$C$13)),"✓","")</f>
        <v/>
      </c>
      <c r="N3804" s="93">
        <f>N(N3803)+IF(M3804="✓",1,0)</f>
        <v/>
      </c>
      <c r="O3804" s="93">
        <f>N(O3803)+IF(AND(B3804&lt;&gt;"",B3804&gt;='Uang Riba'!$H$30,B3804&lt;='Uang Riba'!$I$30,OR(H3804="Dana riba",H3804="Pinjam uang riba",I3804="Pinjam dari uang riba",I3804="Ganti uang riba",I3804="Kelebihan ganti dikembalikan",AND(C3804="Kantong Uang Riba",G3804="Pengeluaran"))),1,0)</f>
        <v/>
      </c>
      <c r="X3804" s="93">
        <f>IF(AND(B3804&lt;&gt;"",B3804&gt;='Buku Akun'!$H$4,B3804&lt;='Buku Akun'!$H$5,OR(C3804='Buku Akun'!$C$4,AND(D3804="Pindah",E3804='Buku Akun'!$C$4))),B3804+IF(AND(I3804="Selisih bunga",DAY(B3804)=1),0,0.01)+ROW()/10000000,"")</f>
        <v/>
      </c>
    </row>
    <row r="3805" outlineLevel="1" ht="15" customHeight="1" s="94">
      <c r="A3805" s="123">
        <f>IF(B3805="","",ROW()-15)</f>
        <v/>
      </c>
      <c r="B3805" s="124" t="n"/>
      <c r="C3805" s="123" t="n"/>
      <c r="D3805" s="123" t="n"/>
      <c r="E3805" s="123" t="n"/>
      <c r="F3805" s="125" t="n"/>
      <c r="G3805" s="123" t="n"/>
      <c r="H3805" s="123" t="n"/>
      <c r="I3805" s="123" t="n"/>
      <c r="J3805" s="123" t="n"/>
      <c r="K3805" s="123" t="n"/>
      <c r="L3805" s="123" t="n"/>
      <c r="M3805" s="123">
        <f>IF(AND(B3805&lt;&gt;"",OR($C$4="",ISNUMBER(SEARCH($C$4,C3805&amp;" "&amp;E3805&amp;" "&amp;G3805&amp;" "&amp;H3805&amp;" "&amp;I3805&amp;" "&amp;J3805&amp;" "&amp;K3805&amp;" "&amp;L3805))),OR($C$5="Semua",$C$5="",G3805=$C$5),OR($C$6="Semua",$C$6="",H3805=$C$6,H3805="Pengeluaran "&amp;$C$6,AND($C$6="Uang Kos Mama",H3805="Pengeluaran Uang Kos")),OR($C$7="Semua",$C$7="",I3805=$C$7),OR($C$8="Semua",$C$8="",C3805=$C$8,E3805=$C$8),OR($C$9="Semua",$C$9="",D3805=$C$9),OR($C$10="",B3805&gt;=$C$10),OR($C$11="",B3805&lt;=$C$11),OR($C$12&lt;&gt;"Ya",K3805&lt;&gt;""),OR($C$13="Semua",$C$13="",L3805=$C$13)),"✓","")</f>
        <v/>
      </c>
      <c r="N3805" s="93">
        <f>N(N3804)+IF(M3805="✓",1,0)</f>
        <v/>
      </c>
      <c r="O3805" s="93">
        <f>N(O3804)+IF(AND(B3805&lt;&gt;"",B3805&gt;='Uang Riba'!$H$30,B3805&lt;='Uang Riba'!$I$30,OR(H3805="Dana riba",H3805="Pinjam uang riba",I3805="Pinjam dari uang riba",I3805="Ganti uang riba",I3805="Kelebihan ganti dikembalikan",AND(C3805="Kantong Uang Riba",G3805="Pengeluaran"))),1,0)</f>
        <v/>
      </c>
      <c r="X3805" s="93">
        <f>IF(AND(B3805&lt;&gt;"",B3805&gt;='Buku Akun'!$H$4,B3805&lt;='Buku Akun'!$H$5,OR(C3805='Buku Akun'!$C$4,AND(D3805="Pindah",E3805='Buku Akun'!$C$4))),B3805+IF(AND(I3805="Selisih bunga",DAY(B3805)=1),0,0.01)+ROW()/10000000,"")</f>
        <v/>
      </c>
    </row>
    <row r="3806" outlineLevel="1" ht="15" customHeight="1" s="94">
      <c r="A3806" s="123">
        <f>IF(B3806="","",ROW()-15)</f>
        <v/>
      </c>
      <c r="B3806" s="124" t="n"/>
      <c r="C3806" s="123" t="n"/>
      <c r="D3806" s="123" t="n"/>
      <c r="E3806" s="123" t="n"/>
      <c r="F3806" s="125" t="n"/>
      <c r="G3806" s="123" t="n"/>
      <c r="H3806" s="123" t="n"/>
      <c r="I3806" s="123" t="n"/>
      <c r="J3806" s="123" t="n"/>
      <c r="K3806" s="123" t="n"/>
      <c r="L3806" s="123" t="n"/>
      <c r="M3806" s="123">
        <f>IF(AND(B3806&lt;&gt;"",OR($C$4="",ISNUMBER(SEARCH($C$4,C3806&amp;" "&amp;E3806&amp;" "&amp;G3806&amp;" "&amp;H3806&amp;" "&amp;I3806&amp;" "&amp;J3806&amp;" "&amp;K3806&amp;" "&amp;L3806))),OR($C$5="Semua",$C$5="",G3806=$C$5),OR($C$6="Semua",$C$6="",H3806=$C$6,H3806="Pengeluaran "&amp;$C$6,AND($C$6="Uang Kos Mama",H3806="Pengeluaran Uang Kos")),OR($C$7="Semua",$C$7="",I3806=$C$7),OR($C$8="Semua",$C$8="",C3806=$C$8,E3806=$C$8),OR($C$9="Semua",$C$9="",D3806=$C$9),OR($C$10="",B3806&gt;=$C$10),OR($C$11="",B3806&lt;=$C$11),OR($C$12&lt;&gt;"Ya",K3806&lt;&gt;""),OR($C$13="Semua",$C$13="",L3806=$C$13)),"✓","")</f>
        <v/>
      </c>
      <c r="N3806" s="93">
        <f>N(N3805)+IF(M3806="✓",1,0)</f>
        <v/>
      </c>
      <c r="O3806" s="93">
        <f>N(O3805)+IF(AND(B3806&lt;&gt;"",B3806&gt;='Uang Riba'!$H$30,B3806&lt;='Uang Riba'!$I$30,OR(H3806="Dana riba",H3806="Pinjam uang riba",I3806="Pinjam dari uang riba",I3806="Ganti uang riba",I3806="Kelebihan ganti dikembalikan",AND(C3806="Kantong Uang Riba",G3806="Pengeluaran"))),1,0)</f>
        <v/>
      </c>
      <c r="X3806" s="93">
        <f>IF(AND(B3806&lt;&gt;"",B3806&gt;='Buku Akun'!$H$4,B3806&lt;='Buku Akun'!$H$5,OR(C3806='Buku Akun'!$C$4,AND(D3806="Pindah",E3806='Buku Akun'!$C$4))),B3806+IF(AND(I3806="Selisih bunga",DAY(B3806)=1),0,0.01)+ROW()/10000000,"")</f>
        <v/>
      </c>
    </row>
    <row r="3807" outlineLevel="1" ht="15" customHeight="1" s="94">
      <c r="A3807" s="123">
        <f>IF(B3807="","",ROW()-15)</f>
        <v/>
      </c>
      <c r="B3807" s="124" t="n"/>
      <c r="C3807" s="123" t="n"/>
      <c r="D3807" s="123" t="n"/>
      <c r="E3807" s="123" t="n"/>
      <c r="F3807" s="125" t="n"/>
      <c r="G3807" s="123" t="n"/>
      <c r="H3807" s="123" t="n"/>
      <c r="I3807" s="123" t="n"/>
      <c r="J3807" s="123" t="n"/>
      <c r="K3807" s="123" t="n"/>
      <c r="L3807" s="123" t="n"/>
      <c r="M3807" s="123">
        <f>IF(AND(B3807&lt;&gt;"",OR($C$4="",ISNUMBER(SEARCH($C$4,C3807&amp;" "&amp;E3807&amp;" "&amp;G3807&amp;" "&amp;H3807&amp;" "&amp;I3807&amp;" "&amp;J3807&amp;" "&amp;K3807&amp;" "&amp;L3807))),OR($C$5="Semua",$C$5="",G3807=$C$5),OR($C$6="Semua",$C$6="",H3807=$C$6,H3807="Pengeluaran "&amp;$C$6,AND($C$6="Uang Kos Mama",H3807="Pengeluaran Uang Kos")),OR($C$7="Semua",$C$7="",I3807=$C$7),OR($C$8="Semua",$C$8="",C3807=$C$8,E3807=$C$8),OR($C$9="Semua",$C$9="",D3807=$C$9),OR($C$10="",B3807&gt;=$C$10),OR($C$11="",B3807&lt;=$C$11),OR($C$12&lt;&gt;"Ya",K3807&lt;&gt;""),OR($C$13="Semua",$C$13="",L3807=$C$13)),"✓","")</f>
        <v/>
      </c>
      <c r="N3807" s="93">
        <f>N(N3806)+IF(M3807="✓",1,0)</f>
        <v/>
      </c>
      <c r="O3807" s="93">
        <f>N(O3806)+IF(AND(B3807&lt;&gt;"",B3807&gt;='Uang Riba'!$H$30,B3807&lt;='Uang Riba'!$I$30,OR(H3807="Dana riba",H3807="Pinjam uang riba",I3807="Pinjam dari uang riba",I3807="Ganti uang riba",I3807="Kelebihan ganti dikembalikan",AND(C3807="Kantong Uang Riba",G3807="Pengeluaran"))),1,0)</f>
        <v/>
      </c>
      <c r="X3807" s="93">
        <f>IF(AND(B3807&lt;&gt;"",B3807&gt;='Buku Akun'!$H$4,B3807&lt;='Buku Akun'!$H$5,OR(C3807='Buku Akun'!$C$4,AND(D3807="Pindah",E3807='Buku Akun'!$C$4))),B3807+IF(AND(I3807="Selisih bunga",DAY(B3807)=1),0,0.01)+ROW()/10000000,"")</f>
        <v/>
      </c>
    </row>
    <row r="3808" outlineLevel="1" ht="15" customHeight="1" s="94">
      <c r="A3808" s="123">
        <f>IF(B3808="","",ROW()-15)</f>
        <v/>
      </c>
      <c r="B3808" s="124" t="n"/>
      <c r="C3808" s="123" t="n"/>
      <c r="D3808" s="123" t="n"/>
      <c r="E3808" s="123" t="n"/>
      <c r="F3808" s="125" t="n"/>
      <c r="G3808" s="123" t="n"/>
      <c r="H3808" s="123" t="n"/>
      <c r="I3808" s="123" t="n"/>
      <c r="J3808" s="123" t="n"/>
      <c r="K3808" s="123" t="n"/>
      <c r="L3808" s="123" t="n"/>
      <c r="M3808" s="123">
        <f>IF(AND(B3808&lt;&gt;"",OR($C$4="",ISNUMBER(SEARCH($C$4,C3808&amp;" "&amp;E3808&amp;" "&amp;G3808&amp;" "&amp;H3808&amp;" "&amp;I3808&amp;" "&amp;J3808&amp;" "&amp;K3808&amp;" "&amp;L3808))),OR($C$5="Semua",$C$5="",G3808=$C$5),OR($C$6="Semua",$C$6="",H3808=$C$6,H3808="Pengeluaran "&amp;$C$6,AND($C$6="Uang Kos Mama",H3808="Pengeluaran Uang Kos")),OR($C$7="Semua",$C$7="",I3808=$C$7),OR($C$8="Semua",$C$8="",C3808=$C$8,E3808=$C$8),OR($C$9="Semua",$C$9="",D3808=$C$9),OR($C$10="",B3808&gt;=$C$10),OR($C$11="",B3808&lt;=$C$11),OR($C$12&lt;&gt;"Ya",K3808&lt;&gt;""),OR($C$13="Semua",$C$13="",L3808=$C$13)),"✓","")</f>
        <v/>
      </c>
      <c r="N3808" s="93">
        <f>N(N3807)+IF(M3808="✓",1,0)</f>
        <v/>
      </c>
      <c r="O3808" s="93">
        <f>N(O3807)+IF(AND(B3808&lt;&gt;"",B3808&gt;='Uang Riba'!$H$30,B3808&lt;='Uang Riba'!$I$30,OR(H3808="Dana riba",H3808="Pinjam uang riba",I3808="Pinjam dari uang riba",I3808="Ganti uang riba",I3808="Kelebihan ganti dikembalikan",AND(C3808="Kantong Uang Riba",G3808="Pengeluaran"))),1,0)</f>
        <v/>
      </c>
      <c r="X3808" s="93">
        <f>IF(AND(B3808&lt;&gt;"",B3808&gt;='Buku Akun'!$H$4,B3808&lt;='Buku Akun'!$H$5,OR(C3808='Buku Akun'!$C$4,AND(D3808="Pindah",E3808='Buku Akun'!$C$4))),B3808+IF(AND(I3808="Selisih bunga",DAY(B3808)=1),0,0.01)+ROW()/10000000,"")</f>
        <v/>
      </c>
    </row>
    <row r="3809" outlineLevel="1" ht="15" customHeight="1" s="94">
      <c r="A3809" s="123">
        <f>IF(B3809="","",ROW()-15)</f>
        <v/>
      </c>
      <c r="B3809" s="124" t="n"/>
      <c r="C3809" s="123" t="n"/>
      <c r="D3809" s="123" t="n"/>
      <c r="E3809" s="123" t="n"/>
      <c r="F3809" s="125" t="n"/>
      <c r="G3809" s="123" t="n"/>
      <c r="H3809" s="123" t="n"/>
      <c r="I3809" s="123" t="n"/>
      <c r="J3809" s="123" t="n"/>
      <c r="K3809" s="123" t="n"/>
      <c r="L3809" s="123" t="n"/>
      <c r="M3809" s="123">
        <f>IF(AND(B3809&lt;&gt;"",OR($C$4="",ISNUMBER(SEARCH($C$4,C3809&amp;" "&amp;E3809&amp;" "&amp;G3809&amp;" "&amp;H3809&amp;" "&amp;I3809&amp;" "&amp;J3809&amp;" "&amp;K3809&amp;" "&amp;L3809))),OR($C$5="Semua",$C$5="",G3809=$C$5),OR($C$6="Semua",$C$6="",H3809=$C$6,H3809="Pengeluaran "&amp;$C$6,AND($C$6="Uang Kos Mama",H3809="Pengeluaran Uang Kos")),OR($C$7="Semua",$C$7="",I3809=$C$7),OR($C$8="Semua",$C$8="",C3809=$C$8,E3809=$C$8),OR($C$9="Semua",$C$9="",D3809=$C$9),OR($C$10="",B3809&gt;=$C$10),OR($C$11="",B3809&lt;=$C$11),OR($C$12&lt;&gt;"Ya",K3809&lt;&gt;""),OR($C$13="Semua",$C$13="",L3809=$C$13)),"✓","")</f>
        <v/>
      </c>
      <c r="N3809" s="93">
        <f>N(N3808)+IF(M3809="✓",1,0)</f>
        <v/>
      </c>
      <c r="O3809" s="93">
        <f>N(O3808)+IF(AND(B3809&lt;&gt;"",B3809&gt;='Uang Riba'!$H$30,B3809&lt;='Uang Riba'!$I$30,OR(H3809="Dana riba",H3809="Pinjam uang riba",I3809="Pinjam dari uang riba",I3809="Ganti uang riba",I3809="Kelebihan ganti dikembalikan",AND(C3809="Kantong Uang Riba",G3809="Pengeluaran"))),1,0)</f>
        <v/>
      </c>
      <c r="X3809" s="93">
        <f>IF(AND(B3809&lt;&gt;"",B3809&gt;='Buku Akun'!$H$4,B3809&lt;='Buku Akun'!$H$5,OR(C3809='Buku Akun'!$C$4,AND(D3809="Pindah",E3809='Buku Akun'!$C$4))),B3809+IF(AND(I3809="Selisih bunga",DAY(B3809)=1),0,0.01)+ROW()/10000000,"")</f>
        <v/>
      </c>
    </row>
    <row r="3810" outlineLevel="1" ht="15" customHeight="1" s="94">
      <c r="A3810" s="123">
        <f>IF(B3810="","",ROW()-15)</f>
        <v/>
      </c>
      <c r="B3810" s="124" t="n"/>
      <c r="C3810" s="123" t="n"/>
      <c r="D3810" s="123" t="n"/>
      <c r="E3810" s="123" t="n"/>
      <c r="F3810" s="125" t="n"/>
      <c r="G3810" s="123" t="n"/>
      <c r="H3810" s="123" t="n"/>
      <c r="I3810" s="123" t="n"/>
      <c r="J3810" s="123" t="n"/>
      <c r="K3810" s="123" t="n"/>
      <c r="L3810" s="123" t="n"/>
      <c r="M3810" s="123">
        <f>IF(AND(B3810&lt;&gt;"",OR($C$4="",ISNUMBER(SEARCH($C$4,C3810&amp;" "&amp;E3810&amp;" "&amp;G3810&amp;" "&amp;H3810&amp;" "&amp;I3810&amp;" "&amp;J3810&amp;" "&amp;K3810&amp;" "&amp;L3810))),OR($C$5="Semua",$C$5="",G3810=$C$5),OR($C$6="Semua",$C$6="",H3810=$C$6,H3810="Pengeluaran "&amp;$C$6,AND($C$6="Uang Kos Mama",H3810="Pengeluaran Uang Kos")),OR($C$7="Semua",$C$7="",I3810=$C$7),OR($C$8="Semua",$C$8="",C3810=$C$8,E3810=$C$8),OR($C$9="Semua",$C$9="",D3810=$C$9),OR($C$10="",B3810&gt;=$C$10),OR($C$11="",B3810&lt;=$C$11),OR($C$12&lt;&gt;"Ya",K3810&lt;&gt;""),OR($C$13="Semua",$C$13="",L3810=$C$13)),"✓","")</f>
        <v/>
      </c>
      <c r="N3810" s="93">
        <f>N(N3809)+IF(M3810="✓",1,0)</f>
        <v/>
      </c>
      <c r="O3810" s="93">
        <f>N(O3809)+IF(AND(B3810&lt;&gt;"",B3810&gt;='Uang Riba'!$H$30,B3810&lt;='Uang Riba'!$I$30,OR(H3810="Dana riba",H3810="Pinjam uang riba",I3810="Pinjam dari uang riba",I3810="Ganti uang riba",I3810="Kelebihan ganti dikembalikan",AND(C3810="Kantong Uang Riba",G3810="Pengeluaran"))),1,0)</f>
        <v/>
      </c>
      <c r="X3810" s="93">
        <f>IF(AND(B3810&lt;&gt;"",B3810&gt;='Buku Akun'!$H$4,B3810&lt;='Buku Akun'!$H$5,OR(C3810='Buku Akun'!$C$4,AND(D3810="Pindah",E3810='Buku Akun'!$C$4))),B3810+IF(AND(I3810="Selisih bunga",DAY(B3810)=1),0,0.01)+ROW()/10000000,"")</f>
        <v/>
      </c>
    </row>
    <row r="3811" outlineLevel="1" ht="15" customHeight="1" s="94">
      <c r="A3811" s="123">
        <f>IF(B3811="","",ROW()-15)</f>
        <v/>
      </c>
      <c r="B3811" s="124" t="n"/>
      <c r="C3811" s="123" t="n"/>
      <c r="D3811" s="123" t="n"/>
      <c r="E3811" s="123" t="n"/>
      <c r="F3811" s="125" t="n"/>
      <c r="G3811" s="123" t="n"/>
      <c r="H3811" s="123" t="n"/>
      <c r="I3811" s="123" t="n"/>
      <c r="J3811" s="123" t="n"/>
      <c r="K3811" s="123" t="n"/>
      <c r="L3811" s="123" t="n"/>
      <c r="M3811" s="123">
        <f>IF(AND(B3811&lt;&gt;"",OR($C$4="",ISNUMBER(SEARCH($C$4,C3811&amp;" "&amp;E3811&amp;" "&amp;G3811&amp;" "&amp;H3811&amp;" "&amp;I3811&amp;" "&amp;J3811&amp;" "&amp;K3811&amp;" "&amp;L3811))),OR($C$5="Semua",$C$5="",G3811=$C$5),OR($C$6="Semua",$C$6="",H3811=$C$6,H3811="Pengeluaran "&amp;$C$6,AND($C$6="Uang Kos Mama",H3811="Pengeluaran Uang Kos")),OR($C$7="Semua",$C$7="",I3811=$C$7),OR($C$8="Semua",$C$8="",C3811=$C$8,E3811=$C$8),OR($C$9="Semua",$C$9="",D3811=$C$9),OR($C$10="",B3811&gt;=$C$10),OR($C$11="",B3811&lt;=$C$11),OR($C$12&lt;&gt;"Ya",K3811&lt;&gt;""),OR($C$13="Semua",$C$13="",L3811=$C$13)),"✓","")</f>
        <v/>
      </c>
      <c r="N3811" s="93">
        <f>N(N3810)+IF(M3811="✓",1,0)</f>
        <v/>
      </c>
      <c r="O3811" s="93">
        <f>N(O3810)+IF(AND(B3811&lt;&gt;"",B3811&gt;='Uang Riba'!$H$30,B3811&lt;='Uang Riba'!$I$30,OR(H3811="Dana riba",H3811="Pinjam uang riba",I3811="Pinjam dari uang riba",I3811="Ganti uang riba",I3811="Kelebihan ganti dikembalikan",AND(C3811="Kantong Uang Riba",G3811="Pengeluaran"))),1,0)</f>
        <v/>
      </c>
      <c r="X3811" s="93">
        <f>IF(AND(B3811&lt;&gt;"",B3811&gt;='Buku Akun'!$H$4,B3811&lt;='Buku Akun'!$H$5,OR(C3811='Buku Akun'!$C$4,AND(D3811="Pindah",E3811='Buku Akun'!$C$4))),B3811+IF(AND(I3811="Selisih bunga",DAY(B3811)=1),0,0.01)+ROW()/10000000,"")</f>
        <v/>
      </c>
    </row>
    <row r="3812" outlineLevel="1" ht="15" customHeight="1" s="94">
      <c r="A3812" s="123">
        <f>IF(B3812="","",ROW()-15)</f>
        <v/>
      </c>
      <c r="B3812" s="124" t="n"/>
      <c r="C3812" s="123" t="n"/>
      <c r="D3812" s="123" t="n"/>
      <c r="E3812" s="123" t="n"/>
      <c r="F3812" s="125" t="n"/>
      <c r="G3812" s="123" t="n"/>
      <c r="H3812" s="123" t="n"/>
      <c r="I3812" s="123" t="n"/>
      <c r="J3812" s="123" t="n"/>
      <c r="K3812" s="123" t="n"/>
      <c r="L3812" s="123" t="n"/>
      <c r="M3812" s="123">
        <f>IF(AND(B3812&lt;&gt;"",OR($C$4="",ISNUMBER(SEARCH($C$4,C3812&amp;" "&amp;E3812&amp;" "&amp;G3812&amp;" "&amp;H3812&amp;" "&amp;I3812&amp;" "&amp;J3812&amp;" "&amp;K3812&amp;" "&amp;L3812))),OR($C$5="Semua",$C$5="",G3812=$C$5),OR($C$6="Semua",$C$6="",H3812=$C$6,H3812="Pengeluaran "&amp;$C$6,AND($C$6="Uang Kos Mama",H3812="Pengeluaran Uang Kos")),OR($C$7="Semua",$C$7="",I3812=$C$7),OR($C$8="Semua",$C$8="",C3812=$C$8,E3812=$C$8),OR($C$9="Semua",$C$9="",D3812=$C$9),OR($C$10="",B3812&gt;=$C$10),OR($C$11="",B3812&lt;=$C$11),OR($C$12&lt;&gt;"Ya",K3812&lt;&gt;""),OR($C$13="Semua",$C$13="",L3812=$C$13)),"✓","")</f>
        <v/>
      </c>
      <c r="N3812" s="93">
        <f>N(N3811)+IF(M3812="✓",1,0)</f>
        <v/>
      </c>
      <c r="O3812" s="93">
        <f>N(O3811)+IF(AND(B3812&lt;&gt;"",B3812&gt;='Uang Riba'!$H$30,B3812&lt;='Uang Riba'!$I$30,OR(H3812="Dana riba",H3812="Pinjam uang riba",I3812="Pinjam dari uang riba",I3812="Ganti uang riba",I3812="Kelebihan ganti dikembalikan",AND(C3812="Kantong Uang Riba",G3812="Pengeluaran"))),1,0)</f>
        <v/>
      </c>
      <c r="X3812" s="93">
        <f>IF(AND(B3812&lt;&gt;"",B3812&gt;='Buku Akun'!$H$4,B3812&lt;='Buku Akun'!$H$5,OR(C3812='Buku Akun'!$C$4,AND(D3812="Pindah",E3812='Buku Akun'!$C$4))),B3812+IF(AND(I3812="Selisih bunga",DAY(B3812)=1),0,0.01)+ROW()/10000000,"")</f>
        <v/>
      </c>
    </row>
    <row r="3813" outlineLevel="1" ht="15" customHeight="1" s="94">
      <c r="A3813" s="123">
        <f>IF(B3813="","",ROW()-15)</f>
        <v/>
      </c>
      <c r="B3813" s="124" t="n"/>
      <c r="C3813" s="123" t="n"/>
      <c r="D3813" s="123" t="n"/>
      <c r="E3813" s="123" t="n"/>
      <c r="F3813" s="125" t="n"/>
      <c r="G3813" s="123" t="n"/>
      <c r="H3813" s="123" t="n"/>
      <c r="I3813" s="123" t="n"/>
      <c r="J3813" s="123" t="n"/>
      <c r="K3813" s="123" t="n"/>
      <c r="L3813" s="123" t="n"/>
      <c r="M3813" s="123">
        <f>IF(AND(B3813&lt;&gt;"",OR($C$4="",ISNUMBER(SEARCH($C$4,C3813&amp;" "&amp;E3813&amp;" "&amp;G3813&amp;" "&amp;H3813&amp;" "&amp;I3813&amp;" "&amp;J3813&amp;" "&amp;K3813&amp;" "&amp;L3813))),OR($C$5="Semua",$C$5="",G3813=$C$5),OR($C$6="Semua",$C$6="",H3813=$C$6,H3813="Pengeluaran "&amp;$C$6,AND($C$6="Uang Kos Mama",H3813="Pengeluaran Uang Kos")),OR($C$7="Semua",$C$7="",I3813=$C$7),OR($C$8="Semua",$C$8="",C3813=$C$8,E3813=$C$8),OR($C$9="Semua",$C$9="",D3813=$C$9),OR($C$10="",B3813&gt;=$C$10),OR($C$11="",B3813&lt;=$C$11),OR($C$12&lt;&gt;"Ya",K3813&lt;&gt;""),OR($C$13="Semua",$C$13="",L3813=$C$13)),"✓","")</f>
        <v/>
      </c>
      <c r="N3813" s="93">
        <f>N(N3812)+IF(M3813="✓",1,0)</f>
        <v/>
      </c>
      <c r="O3813" s="93">
        <f>N(O3812)+IF(AND(B3813&lt;&gt;"",B3813&gt;='Uang Riba'!$H$30,B3813&lt;='Uang Riba'!$I$30,OR(H3813="Dana riba",H3813="Pinjam uang riba",I3813="Pinjam dari uang riba",I3813="Ganti uang riba",I3813="Kelebihan ganti dikembalikan",AND(C3813="Kantong Uang Riba",G3813="Pengeluaran"))),1,0)</f>
        <v/>
      </c>
      <c r="X3813" s="93">
        <f>IF(AND(B3813&lt;&gt;"",B3813&gt;='Buku Akun'!$H$4,B3813&lt;='Buku Akun'!$H$5,OR(C3813='Buku Akun'!$C$4,AND(D3813="Pindah",E3813='Buku Akun'!$C$4))),B3813+IF(AND(I3813="Selisih bunga",DAY(B3813)=1),0,0.01)+ROW()/10000000,"")</f>
        <v/>
      </c>
    </row>
    <row r="3814" outlineLevel="1" ht="15" customHeight="1" s="94">
      <c r="A3814" s="123">
        <f>IF(B3814="","",ROW()-15)</f>
        <v/>
      </c>
      <c r="B3814" s="124" t="n"/>
      <c r="C3814" s="123" t="n"/>
      <c r="D3814" s="123" t="n"/>
      <c r="E3814" s="123" t="n"/>
      <c r="F3814" s="125" t="n"/>
      <c r="G3814" s="123" t="n"/>
      <c r="H3814" s="123" t="n"/>
      <c r="I3814" s="123" t="n"/>
      <c r="J3814" s="123" t="n"/>
      <c r="K3814" s="123" t="n"/>
      <c r="L3814" s="123" t="n"/>
      <c r="M3814" s="123">
        <f>IF(AND(B3814&lt;&gt;"",OR($C$4="",ISNUMBER(SEARCH($C$4,C3814&amp;" "&amp;E3814&amp;" "&amp;G3814&amp;" "&amp;H3814&amp;" "&amp;I3814&amp;" "&amp;J3814&amp;" "&amp;K3814&amp;" "&amp;L3814))),OR($C$5="Semua",$C$5="",G3814=$C$5),OR($C$6="Semua",$C$6="",H3814=$C$6,H3814="Pengeluaran "&amp;$C$6,AND($C$6="Uang Kos Mama",H3814="Pengeluaran Uang Kos")),OR($C$7="Semua",$C$7="",I3814=$C$7),OR($C$8="Semua",$C$8="",C3814=$C$8,E3814=$C$8),OR($C$9="Semua",$C$9="",D3814=$C$9),OR($C$10="",B3814&gt;=$C$10),OR($C$11="",B3814&lt;=$C$11),OR($C$12&lt;&gt;"Ya",K3814&lt;&gt;""),OR($C$13="Semua",$C$13="",L3814=$C$13)),"✓","")</f>
        <v/>
      </c>
      <c r="N3814" s="93">
        <f>N(N3813)+IF(M3814="✓",1,0)</f>
        <v/>
      </c>
      <c r="O3814" s="93">
        <f>N(O3813)+IF(AND(B3814&lt;&gt;"",B3814&gt;='Uang Riba'!$H$30,B3814&lt;='Uang Riba'!$I$30,OR(H3814="Dana riba",H3814="Pinjam uang riba",I3814="Pinjam dari uang riba",I3814="Ganti uang riba",I3814="Kelebihan ganti dikembalikan",AND(C3814="Kantong Uang Riba",G3814="Pengeluaran"))),1,0)</f>
        <v/>
      </c>
      <c r="X3814" s="93">
        <f>IF(AND(B3814&lt;&gt;"",B3814&gt;='Buku Akun'!$H$4,B3814&lt;='Buku Akun'!$H$5,OR(C3814='Buku Akun'!$C$4,AND(D3814="Pindah",E3814='Buku Akun'!$C$4))),B3814+IF(AND(I3814="Selisih bunga",DAY(B3814)=1),0,0.01)+ROW()/10000000,"")</f>
        <v/>
      </c>
    </row>
    <row r="3815" outlineLevel="1" ht="15" customHeight="1" s="94">
      <c r="A3815" s="123">
        <f>IF(B3815="","",ROW()-15)</f>
        <v/>
      </c>
      <c r="B3815" s="124" t="n"/>
      <c r="C3815" s="123" t="n"/>
      <c r="D3815" s="123" t="n"/>
      <c r="E3815" s="123" t="n"/>
      <c r="F3815" s="125" t="n"/>
      <c r="G3815" s="123" t="n"/>
      <c r="H3815" s="123" t="n"/>
      <c r="I3815" s="123" t="n"/>
      <c r="J3815" s="123" t="n"/>
      <c r="K3815" s="123" t="n"/>
      <c r="L3815" s="123" t="n"/>
      <c r="M3815" s="123">
        <f>IF(AND(B3815&lt;&gt;"",OR($C$4="",ISNUMBER(SEARCH($C$4,C3815&amp;" "&amp;E3815&amp;" "&amp;G3815&amp;" "&amp;H3815&amp;" "&amp;I3815&amp;" "&amp;J3815&amp;" "&amp;K3815&amp;" "&amp;L3815))),OR($C$5="Semua",$C$5="",G3815=$C$5),OR($C$6="Semua",$C$6="",H3815=$C$6,H3815="Pengeluaran "&amp;$C$6,AND($C$6="Uang Kos Mama",H3815="Pengeluaran Uang Kos")),OR($C$7="Semua",$C$7="",I3815=$C$7),OR($C$8="Semua",$C$8="",C3815=$C$8,E3815=$C$8),OR($C$9="Semua",$C$9="",D3815=$C$9),OR($C$10="",B3815&gt;=$C$10),OR($C$11="",B3815&lt;=$C$11),OR($C$12&lt;&gt;"Ya",K3815&lt;&gt;""),OR($C$13="Semua",$C$13="",L3815=$C$13)),"✓","")</f>
        <v/>
      </c>
      <c r="N3815" s="93">
        <f>N(N3814)+IF(M3815="✓",1,0)</f>
        <v/>
      </c>
      <c r="O3815" s="93">
        <f>N(O3814)+IF(AND(B3815&lt;&gt;"",B3815&gt;='Uang Riba'!$H$30,B3815&lt;='Uang Riba'!$I$30,OR(H3815="Dana riba",H3815="Pinjam uang riba",I3815="Pinjam dari uang riba",I3815="Ganti uang riba",I3815="Kelebihan ganti dikembalikan",AND(C3815="Kantong Uang Riba",G3815="Pengeluaran"))),1,0)</f>
        <v/>
      </c>
      <c r="X3815" s="93">
        <f>IF(AND(B3815&lt;&gt;"",B3815&gt;='Buku Akun'!$H$4,B3815&lt;='Buku Akun'!$H$5,OR(C3815='Buku Akun'!$C$4,AND(D3815="Pindah",E3815='Buku Akun'!$C$4))),B3815+IF(AND(I3815="Selisih bunga",DAY(B3815)=1),0,0.01)+ROW()/10000000,"")</f>
        <v/>
      </c>
    </row>
    <row r="3816" outlineLevel="1" ht="15" customHeight="1" s="94">
      <c r="A3816" s="123">
        <f>IF(B3816="","",ROW()-15)</f>
        <v/>
      </c>
      <c r="B3816" s="124" t="n"/>
      <c r="C3816" s="123" t="n"/>
      <c r="D3816" s="123" t="n"/>
      <c r="E3816" s="123" t="n"/>
      <c r="F3816" s="125" t="n"/>
      <c r="G3816" s="123" t="n"/>
      <c r="H3816" s="123" t="n"/>
      <c r="I3816" s="123" t="n"/>
      <c r="J3816" s="123" t="n"/>
      <c r="K3816" s="123" t="n"/>
      <c r="L3816" s="123" t="n"/>
      <c r="M3816" s="123">
        <f>IF(AND(B3816&lt;&gt;"",OR($C$4="",ISNUMBER(SEARCH($C$4,C3816&amp;" "&amp;E3816&amp;" "&amp;G3816&amp;" "&amp;H3816&amp;" "&amp;I3816&amp;" "&amp;J3816&amp;" "&amp;K3816&amp;" "&amp;L3816))),OR($C$5="Semua",$C$5="",G3816=$C$5),OR($C$6="Semua",$C$6="",H3816=$C$6,H3816="Pengeluaran "&amp;$C$6,AND($C$6="Uang Kos Mama",H3816="Pengeluaran Uang Kos")),OR($C$7="Semua",$C$7="",I3816=$C$7),OR($C$8="Semua",$C$8="",C3816=$C$8,E3816=$C$8),OR($C$9="Semua",$C$9="",D3816=$C$9),OR($C$10="",B3816&gt;=$C$10),OR($C$11="",B3816&lt;=$C$11),OR($C$12&lt;&gt;"Ya",K3816&lt;&gt;""),OR($C$13="Semua",$C$13="",L3816=$C$13)),"✓","")</f>
        <v/>
      </c>
      <c r="N3816" s="93">
        <f>N(N3815)+IF(M3816="✓",1,0)</f>
        <v/>
      </c>
      <c r="O3816" s="93">
        <f>N(O3815)+IF(AND(B3816&lt;&gt;"",B3816&gt;='Uang Riba'!$H$30,B3816&lt;='Uang Riba'!$I$30,OR(H3816="Dana riba",H3816="Pinjam uang riba",I3816="Pinjam dari uang riba",I3816="Ganti uang riba",I3816="Kelebihan ganti dikembalikan",AND(C3816="Kantong Uang Riba",G3816="Pengeluaran"))),1,0)</f>
        <v/>
      </c>
      <c r="X3816" s="93">
        <f>IF(AND(B3816&lt;&gt;"",B3816&gt;='Buku Akun'!$H$4,B3816&lt;='Buku Akun'!$H$5,OR(C3816='Buku Akun'!$C$4,AND(D3816="Pindah",E3816='Buku Akun'!$C$4))),B3816+IF(AND(I3816="Selisih bunga",DAY(B3816)=1),0,0.01)+ROW()/10000000,"")</f>
        <v/>
      </c>
    </row>
    <row r="3817" outlineLevel="1" ht="15" customHeight="1" s="94">
      <c r="A3817" s="123">
        <f>IF(B3817="","",ROW()-15)</f>
        <v/>
      </c>
      <c r="B3817" s="124" t="n"/>
      <c r="C3817" s="123" t="n"/>
      <c r="D3817" s="123" t="n"/>
      <c r="E3817" s="123" t="n"/>
      <c r="F3817" s="125" t="n"/>
      <c r="G3817" s="123" t="n"/>
      <c r="H3817" s="123" t="n"/>
      <c r="I3817" s="123" t="n"/>
      <c r="J3817" s="123" t="n"/>
      <c r="K3817" s="123" t="n"/>
      <c r="L3817" s="123" t="n"/>
      <c r="M3817" s="123">
        <f>IF(AND(B3817&lt;&gt;"",OR($C$4="",ISNUMBER(SEARCH($C$4,C3817&amp;" "&amp;E3817&amp;" "&amp;G3817&amp;" "&amp;H3817&amp;" "&amp;I3817&amp;" "&amp;J3817&amp;" "&amp;K3817&amp;" "&amp;L3817))),OR($C$5="Semua",$C$5="",G3817=$C$5),OR($C$6="Semua",$C$6="",H3817=$C$6,H3817="Pengeluaran "&amp;$C$6,AND($C$6="Uang Kos Mama",H3817="Pengeluaran Uang Kos")),OR($C$7="Semua",$C$7="",I3817=$C$7),OR($C$8="Semua",$C$8="",C3817=$C$8,E3817=$C$8),OR($C$9="Semua",$C$9="",D3817=$C$9),OR($C$10="",B3817&gt;=$C$10),OR($C$11="",B3817&lt;=$C$11),OR($C$12&lt;&gt;"Ya",K3817&lt;&gt;""),OR($C$13="Semua",$C$13="",L3817=$C$13)),"✓","")</f>
        <v/>
      </c>
      <c r="N3817" s="93">
        <f>N(N3816)+IF(M3817="✓",1,0)</f>
        <v/>
      </c>
      <c r="O3817" s="93">
        <f>N(O3816)+IF(AND(B3817&lt;&gt;"",B3817&gt;='Uang Riba'!$H$30,B3817&lt;='Uang Riba'!$I$30,OR(H3817="Dana riba",H3817="Pinjam uang riba",I3817="Pinjam dari uang riba",I3817="Ganti uang riba",I3817="Kelebihan ganti dikembalikan",AND(C3817="Kantong Uang Riba",G3817="Pengeluaran"))),1,0)</f>
        <v/>
      </c>
      <c r="X3817" s="93">
        <f>IF(AND(B3817&lt;&gt;"",B3817&gt;='Buku Akun'!$H$4,B3817&lt;='Buku Akun'!$H$5,OR(C3817='Buku Akun'!$C$4,AND(D3817="Pindah",E3817='Buku Akun'!$C$4))),B3817+IF(AND(I3817="Selisih bunga",DAY(B3817)=1),0,0.01)+ROW()/10000000,"")</f>
        <v/>
      </c>
    </row>
    <row r="3818" outlineLevel="1" ht="15" customHeight="1" s="94">
      <c r="A3818" s="123">
        <f>IF(B3818="","",ROW()-15)</f>
        <v/>
      </c>
      <c r="B3818" s="124" t="n"/>
      <c r="C3818" s="123" t="n"/>
      <c r="D3818" s="123" t="n"/>
      <c r="E3818" s="123" t="n"/>
      <c r="F3818" s="125" t="n"/>
      <c r="G3818" s="123" t="n"/>
      <c r="H3818" s="123" t="n"/>
      <c r="I3818" s="123" t="n"/>
      <c r="J3818" s="123" t="n"/>
      <c r="K3818" s="123" t="n"/>
      <c r="L3818" s="123" t="n"/>
      <c r="M3818" s="123">
        <f>IF(AND(B3818&lt;&gt;"",OR($C$4="",ISNUMBER(SEARCH($C$4,C3818&amp;" "&amp;E3818&amp;" "&amp;G3818&amp;" "&amp;H3818&amp;" "&amp;I3818&amp;" "&amp;J3818&amp;" "&amp;K3818&amp;" "&amp;L3818))),OR($C$5="Semua",$C$5="",G3818=$C$5),OR($C$6="Semua",$C$6="",H3818=$C$6,H3818="Pengeluaran "&amp;$C$6,AND($C$6="Uang Kos Mama",H3818="Pengeluaran Uang Kos")),OR($C$7="Semua",$C$7="",I3818=$C$7),OR($C$8="Semua",$C$8="",C3818=$C$8,E3818=$C$8),OR($C$9="Semua",$C$9="",D3818=$C$9),OR($C$10="",B3818&gt;=$C$10),OR($C$11="",B3818&lt;=$C$11),OR($C$12&lt;&gt;"Ya",K3818&lt;&gt;""),OR($C$13="Semua",$C$13="",L3818=$C$13)),"✓","")</f>
        <v/>
      </c>
      <c r="N3818" s="93">
        <f>N(N3817)+IF(M3818="✓",1,0)</f>
        <v/>
      </c>
      <c r="O3818" s="93">
        <f>N(O3817)+IF(AND(B3818&lt;&gt;"",B3818&gt;='Uang Riba'!$H$30,B3818&lt;='Uang Riba'!$I$30,OR(H3818="Dana riba",H3818="Pinjam uang riba",I3818="Pinjam dari uang riba",I3818="Ganti uang riba",I3818="Kelebihan ganti dikembalikan",AND(C3818="Kantong Uang Riba",G3818="Pengeluaran"))),1,0)</f>
        <v/>
      </c>
      <c r="X3818" s="93">
        <f>IF(AND(B3818&lt;&gt;"",B3818&gt;='Buku Akun'!$H$4,B3818&lt;='Buku Akun'!$H$5,OR(C3818='Buku Akun'!$C$4,AND(D3818="Pindah",E3818='Buku Akun'!$C$4))),B3818+IF(AND(I3818="Selisih bunga",DAY(B3818)=1),0,0.01)+ROW()/10000000,"")</f>
        <v/>
      </c>
    </row>
    <row r="3819" outlineLevel="1" ht="15" customHeight="1" s="94">
      <c r="A3819" s="123">
        <f>IF(B3819="","",ROW()-15)</f>
        <v/>
      </c>
      <c r="B3819" s="124" t="n"/>
      <c r="C3819" s="123" t="n"/>
      <c r="D3819" s="123" t="n"/>
      <c r="E3819" s="123" t="n"/>
      <c r="F3819" s="125" t="n"/>
      <c r="G3819" s="123" t="n"/>
      <c r="H3819" s="123" t="n"/>
      <c r="I3819" s="123" t="n"/>
      <c r="J3819" s="123" t="n"/>
      <c r="K3819" s="123" t="n"/>
      <c r="L3819" s="123" t="n"/>
      <c r="M3819" s="123">
        <f>IF(AND(B3819&lt;&gt;"",OR($C$4="",ISNUMBER(SEARCH($C$4,C3819&amp;" "&amp;E3819&amp;" "&amp;G3819&amp;" "&amp;H3819&amp;" "&amp;I3819&amp;" "&amp;J3819&amp;" "&amp;K3819&amp;" "&amp;L3819))),OR($C$5="Semua",$C$5="",G3819=$C$5),OR($C$6="Semua",$C$6="",H3819=$C$6,H3819="Pengeluaran "&amp;$C$6,AND($C$6="Uang Kos Mama",H3819="Pengeluaran Uang Kos")),OR($C$7="Semua",$C$7="",I3819=$C$7),OR($C$8="Semua",$C$8="",C3819=$C$8,E3819=$C$8),OR($C$9="Semua",$C$9="",D3819=$C$9),OR($C$10="",B3819&gt;=$C$10),OR($C$11="",B3819&lt;=$C$11),OR($C$12&lt;&gt;"Ya",K3819&lt;&gt;""),OR($C$13="Semua",$C$13="",L3819=$C$13)),"✓","")</f>
        <v/>
      </c>
      <c r="N3819" s="93">
        <f>N(N3818)+IF(M3819="✓",1,0)</f>
        <v/>
      </c>
      <c r="O3819" s="93">
        <f>N(O3818)+IF(AND(B3819&lt;&gt;"",B3819&gt;='Uang Riba'!$H$30,B3819&lt;='Uang Riba'!$I$30,OR(H3819="Dana riba",H3819="Pinjam uang riba",I3819="Pinjam dari uang riba",I3819="Ganti uang riba",I3819="Kelebihan ganti dikembalikan",AND(C3819="Kantong Uang Riba",G3819="Pengeluaran"))),1,0)</f>
        <v/>
      </c>
      <c r="X3819" s="93">
        <f>IF(AND(B3819&lt;&gt;"",B3819&gt;='Buku Akun'!$H$4,B3819&lt;='Buku Akun'!$H$5,OR(C3819='Buku Akun'!$C$4,AND(D3819="Pindah",E3819='Buku Akun'!$C$4))),B3819+IF(AND(I3819="Selisih bunga",DAY(B3819)=1),0,0.01)+ROW()/10000000,"")</f>
        <v/>
      </c>
    </row>
    <row r="3820" outlineLevel="1" ht="15" customHeight="1" s="94">
      <c r="A3820" s="123">
        <f>IF(B3820="","",ROW()-15)</f>
        <v/>
      </c>
      <c r="B3820" s="124" t="n"/>
      <c r="C3820" s="123" t="n"/>
      <c r="D3820" s="123" t="n"/>
      <c r="E3820" s="123" t="n"/>
      <c r="F3820" s="125" t="n"/>
      <c r="G3820" s="123" t="n"/>
      <c r="H3820" s="123" t="n"/>
      <c r="I3820" s="123" t="n"/>
      <c r="J3820" s="123" t="n"/>
      <c r="K3820" s="123" t="n"/>
      <c r="L3820" s="123" t="n"/>
      <c r="M3820" s="123">
        <f>IF(AND(B3820&lt;&gt;"",OR($C$4="",ISNUMBER(SEARCH($C$4,C3820&amp;" "&amp;E3820&amp;" "&amp;G3820&amp;" "&amp;H3820&amp;" "&amp;I3820&amp;" "&amp;J3820&amp;" "&amp;K3820&amp;" "&amp;L3820))),OR($C$5="Semua",$C$5="",G3820=$C$5),OR($C$6="Semua",$C$6="",H3820=$C$6,H3820="Pengeluaran "&amp;$C$6,AND($C$6="Uang Kos Mama",H3820="Pengeluaran Uang Kos")),OR($C$7="Semua",$C$7="",I3820=$C$7),OR($C$8="Semua",$C$8="",C3820=$C$8,E3820=$C$8),OR($C$9="Semua",$C$9="",D3820=$C$9),OR($C$10="",B3820&gt;=$C$10),OR($C$11="",B3820&lt;=$C$11),OR($C$12&lt;&gt;"Ya",K3820&lt;&gt;""),OR($C$13="Semua",$C$13="",L3820=$C$13)),"✓","")</f>
        <v/>
      </c>
      <c r="N3820" s="93">
        <f>N(N3819)+IF(M3820="✓",1,0)</f>
        <v/>
      </c>
      <c r="O3820" s="93">
        <f>N(O3819)+IF(AND(B3820&lt;&gt;"",B3820&gt;='Uang Riba'!$H$30,B3820&lt;='Uang Riba'!$I$30,OR(H3820="Dana riba",H3820="Pinjam uang riba",I3820="Pinjam dari uang riba",I3820="Ganti uang riba",I3820="Kelebihan ganti dikembalikan",AND(C3820="Kantong Uang Riba",G3820="Pengeluaran"))),1,0)</f>
        <v/>
      </c>
      <c r="X3820" s="93">
        <f>IF(AND(B3820&lt;&gt;"",B3820&gt;='Buku Akun'!$H$4,B3820&lt;='Buku Akun'!$H$5,OR(C3820='Buku Akun'!$C$4,AND(D3820="Pindah",E3820='Buku Akun'!$C$4))),B3820+IF(AND(I3820="Selisih bunga",DAY(B3820)=1),0,0.01)+ROW()/10000000,"")</f>
        <v/>
      </c>
    </row>
    <row r="3821" outlineLevel="1" ht="15" customHeight="1" s="94">
      <c r="A3821" s="123">
        <f>IF(B3821="","",ROW()-15)</f>
        <v/>
      </c>
      <c r="B3821" s="124" t="n"/>
      <c r="C3821" s="123" t="n"/>
      <c r="D3821" s="123" t="n"/>
      <c r="E3821" s="123" t="n"/>
      <c r="F3821" s="125" t="n"/>
      <c r="G3821" s="123" t="n"/>
      <c r="H3821" s="123" t="n"/>
      <c r="I3821" s="123" t="n"/>
      <c r="J3821" s="123" t="n"/>
      <c r="K3821" s="123" t="n"/>
      <c r="L3821" s="123" t="n"/>
      <c r="M3821" s="123">
        <f>IF(AND(B3821&lt;&gt;"",OR($C$4="",ISNUMBER(SEARCH($C$4,C3821&amp;" "&amp;E3821&amp;" "&amp;G3821&amp;" "&amp;H3821&amp;" "&amp;I3821&amp;" "&amp;J3821&amp;" "&amp;K3821&amp;" "&amp;L3821))),OR($C$5="Semua",$C$5="",G3821=$C$5),OR($C$6="Semua",$C$6="",H3821=$C$6,H3821="Pengeluaran "&amp;$C$6,AND($C$6="Uang Kos Mama",H3821="Pengeluaran Uang Kos")),OR($C$7="Semua",$C$7="",I3821=$C$7),OR($C$8="Semua",$C$8="",C3821=$C$8,E3821=$C$8),OR($C$9="Semua",$C$9="",D3821=$C$9),OR($C$10="",B3821&gt;=$C$10),OR($C$11="",B3821&lt;=$C$11),OR($C$12&lt;&gt;"Ya",K3821&lt;&gt;""),OR($C$13="Semua",$C$13="",L3821=$C$13)),"✓","")</f>
        <v/>
      </c>
      <c r="N3821" s="93">
        <f>N(N3820)+IF(M3821="✓",1,0)</f>
        <v/>
      </c>
      <c r="O3821" s="93">
        <f>N(O3820)+IF(AND(B3821&lt;&gt;"",B3821&gt;='Uang Riba'!$H$30,B3821&lt;='Uang Riba'!$I$30,OR(H3821="Dana riba",H3821="Pinjam uang riba",I3821="Pinjam dari uang riba",I3821="Ganti uang riba",I3821="Kelebihan ganti dikembalikan",AND(C3821="Kantong Uang Riba",G3821="Pengeluaran"))),1,0)</f>
        <v/>
      </c>
      <c r="X3821" s="93">
        <f>IF(AND(B3821&lt;&gt;"",B3821&gt;='Buku Akun'!$H$4,B3821&lt;='Buku Akun'!$H$5,OR(C3821='Buku Akun'!$C$4,AND(D3821="Pindah",E3821='Buku Akun'!$C$4))),B3821+IF(AND(I3821="Selisih bunga",DAY(B3821)=1),0,0.01)+ROW()/10000000,"")</f>
        <v/>
      </c>
    </row>
    <row r="3822" outlineLevel="1" ht="15" customHeight="1" s="94">
      <c r="A3822" s="123">
        <f>IF(B3822="","",ROW()-15)</f>
        <v/>
      </c>
      <c r="B3822" s="124" t="n"/>
      <c r="C3822" s="123" t="n"/>
      <c r="D3822" s="123" t="n"/>
      <c r="E3822" s="123" t="n"/>
      <c r="F3822" s="125" t="n"/>
      <c r="G3822" s="123" t="n"/>
      <c r="H3822" s="123" t="n"/>
      <c r="I3822" s="123" t="n"/>
      <c r="J3822" s="123" t="n"/>
      <c r="K3822" s="123" t="n"/>
      <c r="L3822" s="123" t="n"/>
      <c r="M3822" s="123">
        <f>IF(AND(B3822&lt;&gt;"",OR($C$4="",ISNUMBER(SEARCH($C$4,C3822&amp;" "&amp;E3822&amp;" "&amp;G3822&amp;" "&amp;H3822&amp;" "&amp;I3822&amp;" "&amp;J3822&amp;" "&amp;K3822&amp;" "&amp;L3822))),OR($C$5="Semua",$C$5="",G3822=$C$5),OR($C$6="Semua",$C$6="",H3822=$C$6,H3822="Pengeluaran "&amp;$C$6,AND($C$6="Uang Kos Mama",H3822="Pengeluaran Uang Kos")),OR($C$7="Semua",$C$7="",I3822=$C$7),OR($C$8="Semua",$C$8="",C3822=$C$8,E3822=$C$8),OR($C$9="Semua",$C$9="",D3822=$C$9),OR($C$10="",B3822&gt;=$C$10),OR($C$11="",B3822&lt;=$C$11),OR($C$12&lt;&gt;"Ya",K3822&lt;&gt;""),OR($C$13="Semua",$C$13="",L3822=$C$13)),"✓","")</f>
        <v/>
      </c>
      <c r="N3822" s="93">
        <f>N(N3821)+IF(M3822="✓",1,0)</f>
        <v/>
      </c>
      <c r="O3822" s="93">
        <f>N(O3821)+IF(AND(B3822&lt;&gt;"",B3822&gt;='Uang Riba'!$H$30,B3822&lt;='Uang Riba'!$I$30,OR(H3822="Dana riba",H3822="Pinjam uang riba",I3822="Pinjam dari uang riba",I3822="Ganti uang riba",I3822="Kelebihan ganti dikembalikan",AND(C3822="Kantong Uang Riba",G3822="Pengeluaran"))),1,0)</f>
        <v/>
      </c>
      <c r="X3822" s="93">
        <f>IF(AND(B3822&lt;&gt;"",B3822&gt;='Buku Akun'!$H$4,B3822&lt;='Buku Akun'!$H$5,OR(C3822='Buku Akun'!$C$4,AND(D3822="Pindah",E3822='Buku Akun'!$C$4))),B3822+IF(AND(I3822="Selisih bunga",DAY(B3822)=1),0,0.01)+ROW()/10000000,"")</f>
        <v/>
      </c>
    </row>
    <row r="3823" outlineLevel="1" ht="15" customHeight="1" s="94">
      <c r="A3823" s="123">
        <f>IF(B3823="","",ROW()-15)</f>
        <v/>
      </c>
      <c r="B3823" s="124" t="n"/>
      <c r="C3823" s="123" t="n"/>
      <c r="D3823" s="123" t="n"/>
      <c r="E3823" s="123" t="n"/>
      <c r="F3823" s="125" t="n"/>
      <c r="G3823" s="123" t="n"/>
      <c r="H3823" s="123" t="n"/>
      <c r="I3823" s="123" t="n"/>
      <c r="J3823" s="123" t="n"/>
      <c r="K3823" s="123" t="n"/>
      <c r="L3823" s="123" t="n"/>
      <c r="M3823" s="123">
        <f>IF(AND(B3823&lt;&gt;"",OR($C$4="",ISNUMBER(SEARCH($C$4,C3823&amp;" "&amp;E3823&amp;" "&amp;G3823&amp;" "&amp;H3823&amp;" "&amp;I3823&amp;" "&amp;J3823&amp;" "&amp;K3823&amp;" "&amp;L3823))),OR($C$5="Semua",$C$5="",G3823=$C$5),OR($C$6="Semua",$C$6="",H3823=$C$6,H3823="Pengeluaran "&amp;$C$6,AND($C$6="Uang Kos Mama",H3823="Pengeluaran Uang Kos")),OR($C$7="Semua",$C$7="",I3823=$C$7),OR($C$8="Semua",$C$8="",C3823=$C$8,E3823=$C$8),OR($C$9="Semua",$C$9="",D3823=$C$9),OR($C$10="",B3823&gt;=$C$10),OR($C$11="",B3823&lt;=$C$11),OR($C$12&lt;&gt;"Ya",K3823&lt;&gt;""),OR($C$13="Semua",$C$13="",L3823=$C$13)),"✓","")</f>
        <v/>
      </c>
      <c r="N3823" s="93">
        <f>N(N3822)+IF(M3823="✓",1,0)</f>
        <v/>
      </c>
      <c r="O3823" s="93">
        <f>N(O3822)+IF(AND(B3823&lt;&gt;"",B3823&gt;='Uang Riba'!$H$30,B3823&lt;='Uang Riba'!$I$30,OR(H3823="Dana riba",H3823="Pinjam uang riba",I3823="Pinjam dari uang riba",I3823="Ganti uang riba",I3823="Kelebihan ganti dikembalikan",AND(C3823="Kantong Uang Riba",G3823="Pengeluaran"))),1,0)</f>
        <v/>
      </c>
      <c r="X3823" s="93">
        <f>IF(AND(B3823&lt;&gt;"",B3823&gt;='Buku Akun'!$H$4,B3823&lt;='Buku Akun'!$H$5,OR(C3823='Buku Akun'!$C$4,AND(D3823="Pindah",E3823='Buku Akun'!$C$4))),B3823+IF(AND(I3823="Selisih bunga",DAY(B3823)=1),0,0.01)+ROW()/10000000,"")</f>
        <v/>
      </c>
    </row>
    <row r="3824" outlineLevel="1" ht="15" customHeight="1" s="94">
      <c r="A3824" s="123">
        <f>IF(B3824="","",ROW()-15)</f>
        <v/>
      </c>
      <c r="B3824" s="124" t="n"/>
      <c r="C3824" s="123" t="n"/>
      <c r="D3824" s="123" t="n"/>
      <c r="E3824" s="123" t="n"/>
      <c r="F3824" s="125" t="n"/>
      <c r="G3824" s="123" t="n"/>
      <c r="H3824" s="123" t="n"/>
      <c r="I3824" s="123" t="n"/>
      <c r="J3824" s="123" t="n"/>
      <c r="K3824" s="123" t="n"/>
      <c r="L3824" s="123" t="n"/>
      <c r="M3824" s="123">
        <f>IF(AND(B3824&lt;&gt;"",OR($C$4="",ISNUMBER(SEARCH($C$4,C3824&amp;" "&amp;E3824&amp;" "&amp;G3824&amp;" "&amp;H3824&amp;" "&amp;I3824&amp;" "&amp;J3824&amp;" "&amp;K3824&amp;" "&amp;L3824))),OR($C$5="Semua",$C$5="",G3824=$C$5),OR($C$6="Semua",$C$6="",H3824=$C$6,H3824="Pengeluaran "&amp;$C$6,AND($C$6="Uang Kos Mama",H3824="Pengeluaran Uang Kos")),OR($C$7="Semua",$C$7="",I3824=$C$7),OR($C$8="Semua",$C$8="",C3824=$C$8,E3824=$C$8),OR($C$9="Semua",$C$9="",D3824=$C$9),OR($C$10="",B3824&gt;=$C$10),OR($C$11="",B3824&lt;=$C$11),OR($C$12&lt;&gt;"Ya",K3824&lt;&gt;""),OR($C$13="Semua",$C$13="",L3824=$C$13)),"✓","")</f>
        <v/>
      </c>
      <c r="N3824" s="93">
        <f>N(N3823)+IF(M3824="✓",1,0)</f>
        <v/>
      </c>
      <c r="O3824" s="93">
        <f>N(O3823)+IF(AND(B3824&lt;&gt;"",B3824&gt;='Uang Riba'!$H$30,B3824&lt;='Uang Riba'!$I$30,OR(H3824="Dana riba",H3824="Pinjam uang riba",I3824="Pinjam dari uang riba",I3824="Ganti uang riba",I3824="Kelebihan ganti dikembalikan",AND(C3824="Kantong Uang Riba",G3824="Pengeluaran"))),1,0)</f>
        <v/>
      </c>
      <c r="X3824" s="93">
        <f>IF(AND(B3824&lt;&gt;"",B3824&gt;='Buku Akun'!$H$4,B3824&lt;='Buku Akun'!$H$5,OR(C3824='Buku Akun'!$C$4,AND(D3824="Pindah",E3824='Buku Akun'!$C$4))),B3824+IF(AND(I3824="Selisih bunga",DAY(B3824)=1),0,0.01)+ROW()/10000000,"")</f>
        <v/>
      </c>
    </row>
    <row r="3825" outlineLevel="1" ht="15" customHeight="1" s="94">
      <c r="A3825" s="123">
        <f>IF(B3825="","",ROW()-15)</f>
        <v/>
      </c>
      <c r="B3825" s="124" t="n"/>
      <c r="C3825" s="123" t="n"/>
      <c r="D3825" s="123" t="n"/>
      <c r="E3825" s="123" t="n"/>
      <c r="F3825" s="125" t="n"/>
      <c r="G3825" s="123" t="n"/>
      <c r="H3825" s="123" t="n"/>
      <c r="I3825" s="123" t="n"/>
      <c r="J3825" s="123" t="n"/>
      <c r="K3825" s="123" t="n"/>
      <c r="L3825" s="123" t="n"/>
      <c r="M3825" s="123">
        <f>IF(AND(B3825&lt;&gt;"",OR($C$4="",ISNUMBER(SEARCH($C$4,C3825&amp;" "&amp;E3825&amp;" "&amp;G3825&amp;" "&amp;H3825&amp;" "&amp;I3825&amp;" "&amp;J3825&amp;" "&amp;K3825&amp;" "&amp;L3825))),OR($C$5="Semua",$C$5="",G3825=$C$5),OR($C$6="Semua",$C$6="",H3825=$C$6,H3825="Pengeluaran "&amp;$C$6,AND($C$6="Uang Kos Mama",H3825="Pengeluaran Uang Kos")),OR($C$7="Semua",$C$7="",I3825=$C$7),OR($C$8="Semua",$C$8="",C3825=$C$8,E3825=$C$8),OR($C$9="Semua",$C$9="",D3825=$C$9),OR($C$10="",B3825&gt;=$C$10),OR($C$11="",B3825&lt;=$C$11),OR($C$12&lt;&gt;"Ya",K3825&lt;&gt;""),OR($C$13="Semua",$C$13="",L3825=$C$13)),"✓","")</f>
        <v/>
      </c>
      <c r="N3825" s="93">
        <f>N(N3824)+IF(M3825="✓",1,0)</f>
        <v/>
      </c>
      <c r="O3825" s="93">
        <f>N(O3824)+IF(AND(B3825&lt;&gt;"",B3825&gt;='Uang Riba'!$H$30,B3825&lt;='Uang Riba'!$I$30,OR(H3825="Dana riba",H3825="Pinjam uang riba",I3825="Pinjam dari uang riba",I3825="Ganti uang riba",I3825="Kelebihan ganti dikembalikan",AND(C3825="Kantong Uang Riba",G3825="Pengeluaran"))),1,0)</f>
        <v/>
      </c>
      <c r="X3825" s="93">
        <f>IF(AND(B3825&lt;&gt;"",B3825&gt;='Buku Akun'!$H$4,B3825&lt;='Buku Akun'!$H$5,OR(C3825='Buku Akun'!$C$4,AND(D3825="Pindah",E3825='Buku Akun'!$C$4))),B3825+IF(AND(I3825="Selisih bunga",DAY(B3825)=1),0,0.01)+ROW()/10000000,"")</f>
        <v/>
      </c>
    </row>
    <row r="3826" outlineLevel="1" ht="15" customHeight="1" s="94">
      <c r="A3826" s="123">
        <f>IF(B3826="","",ROW()-15)</f>
        <v/>
      </c>
      <c r="B3826" s="124" t="n"/>
      <c r="C3826" s="123" t="n"/>
      <c r="D3826" s="123" t="n"/>
      <c r="E3826" s="123" t="n"/>
      <c r="F3826" s="125" t="n"/>
      <c r="G3826" s="123" t="n"/>
      <c r="H3826" s="123" t="n"/>
      <c r="I3826" s="123" t="n"/>
      <c r="J3826" s="123" t="n"/>
      <c r="K3826" s="123" t="n"/>
      <c r="L3826" s="123" t="n"/>
      <c r="M3826" s="123">
        <f>IF(AND(B3826&lt;&gt;"",OR($C$4="",ISNUMBER(SEARCH($C$4,C3826&amp;" "&amp;E3826&amp;" "&amp;G3826&amp;" "&amp;H3826&amp;" "&amp;I3826&amp;" "&amp;J3826&amp;" "&amp;K3826&amp;" "&amp;L3826))),OR($C$5="Semua",$C$5="",G3826=$C$5),OR($C$6="Semua",$C$6="",H3826=$C$6,H3826="Pengeluaran "&amp;$C$6,AND($C$6="Uang Kos Mama",H3826="Pengeluaran Uang Kos")),OR($C$7="Semua",$C$7="",I3826=$C$7),OR($C$8="Semua",$C$8="",C3826=$C$8,E3826=$C$8),OR($C$9="Semua",$C$9="",D3826=$C$9),OR($C$10="",B3826&gt;=$C$10),OR($C$11="",B3826&lt;=$C$11),OR($C$12&lt;&gt;"Ya",K3826&lt;&gt;""),OR($C$13="Semua",$C$13="",L3826=$C$13)),"✓","")</f>
        <v/>
      </c>
      <c r="N3826" s="93">
        <f>N(N3825)+IF(M3826="✓",1,0)</f>
        <v/>
      </c>
      <c r="O3826" s="93">
        <f>N(O3825)+IF(AND(B3826&lt;&gt;"",B3826&gt;='Uang Riba'!$H$30,B3826&lt;='Uang Riba'!$I$30,OR(H3826="Dana riba",H3826="Pinjam uang riba",I3826="Pinjam dari uang riba",I3826="Ganti uang riba",I3826="Kelebihan ganti dikembalikan",AND(C3826="Kantong Uang Riba",G3826="Pengeluaran"))),1,0)</f>
        <v/>
      </c>
      <c r="X3826" s="93">
        <f>IF(AND(B3826&lt;&gt;"",B3826&gt;='Buku Akun'!$H$4,B3826&lt;='Buku Akun'!$H$5,OR(C3826='Buku Akun'!$C$4,AND(D3826="Pindah",E3826='Buku Akun'!$C$4))),B3826+IF(AND(I3826="Selisih bunga",DAY(B3826)=1),0,0.01)+ROW()/10000000,"")</f>
        <v/>
      </c>
    </row>
    <row r="3827" outlineLevel="1" ht="15" customHeight="1" s="94">
      <c r="A3827" s="123">
        <f>IF(B3827="","",ROW()-15)</f>
        <v/>
      </c>
      <c r="B3827" s="124" t="n"/>
      <c r="C3827" s="123" t="n"/>
      <c r="D3827" s="123" t="n"/>
      <c r="E3827" s="123" t="n"/>
      <c r="F3827" s="125" t="n"/>
      <c r="G3827" s="123" t="n"/>
      <c r="H3827" s="123" t="n"/>
      <c r="I3827" s="123" t="n"/>
      <c r="J3827" s="123" t="n"/>
      <c r="K3827" s="123" t="n"/>
      <c r="L3827" s="123" t="n"/>
      <c r="M3827" s="123">
        <f>IF(AND(B3827&lt;&gt;"",OR($C$4="",ISNUMBER(SEARCH($C$4,C3827&amp;" "&amp;E3827&amp;" "&amp;G3827&amp;" "&amp;H3827&amp;" "&amp;I3827&amp;" "&amp;J3827&amp;" "&amp;K3827&amp;" "&amp;L3827))),OR($C$5="Semua",$C$5="",G3827=$C$5),OR($C$6="Semua",$C$6="",H3827=$C$6,H3827="Pengeluaran "&amp;$C$6,AND($C$6="Uang Kos Mama",H3827="Pengeluaran Uang Kos")),OR($C$7="Semua",$C$7="",I3827=$C$7),OR($C$8="Semua",$C$8="",C3827=$C$8,E3827=$C$8),OR($C$9="Semua",$C$9="",D3827=$C$9),OR($C$10="",B3827&gt;=$C$10),OR($C$11="",B3827&lt;=$C$11),OR($C$12&lt;&gt;"Ya",K3827&lt;&gt;""),OR($C$13="Semua",$C$13="",L3827=$C$13)),"✓","")</f>
        <v/>
      </c>
      <c r="N3827" s="93">
        <f>N(N3826)+IF(M3827="✓",1,0)</f>
        <v/>
      </c>
      <c r="O3827" s="93">
        <f>N(O3826)+IF(AND(B3827&lt;&gt;"",B3827&gt;='Uang Riba'!$H$30,B3827&lt;='Uang Riba'!$I$30,OR(H3827="Dana riba",H3827="Pinjam uang riba",I3827="Pinjam dari uang riba",I3827="Ganti uang riba",I3827="Kelebihan ganti dikembalikan",AND(C3827="Kantong Uang Riba",G3827="Pengeluaran"))),1,0)</f>
        <v/>
      </c>
      <c r="X3827" s="93">
        <f>IF(AND(B3827&lt;&gt;"",B3827&gt;='Buku Akun'!$H$4,B3827&lt;='Buku Akun'!$H$5,OR(C3827='Buku Akun'!$C$4,AND(D3827="Pindah",E3827='Buku Akun'!$C$4))),B3827+IF(AND(I3827="Selisih bunga",DAY(B3827)=1),0,0.01)+ROW()/10000000,"")</f>
        <v/>
      </c>
    </row>
    <row r="3828" outlineLevel="1" ht="15" customHeight="1" s="94">
      <c r="A3828" s="123">
        <f>IF(B3828="","",ROW()-15)</f>
        <v/>
      </c>
      <c r="B3828" s="124" t="n"/>
      <c r="C3828" s="123" t="n"/>
      <c r="D3828" s="123" t="n"/>
      <c r="E3828" s="123" t="n"/>
      <c r="F3828" s="125" t="n"/>
      <c r="G3828" s="123" t="n"/>
      <c r="H3828" s="123" t="n"/>
      <c r="I3828" s="123" t="n"/>
      <c r="J3828" s="123" t="n"/>
      <c r="K3828" s="123" t="n"/>
      <c r="L3828" s="123" t="n"/>
      <c r="M3828" s="123">
        <f>IF(AND(B3828&lt;&gt;"",OR($C$4="",ISNUMBER(SEARCH($C$4,C3828&amp;" "&amp;E3828&amp;" "&amp;G3828&amp;" "&amp;H3828&amp;" "&amp;I3828&amp;" "&amp;J3828&amp;" "&amp;K3828&amp;" "&amp;L3828))),OR($C$5="Semua",$C$5="",G3828=$C$5),OR($C$6="Semua",$C$6="",H3828=$C$6,H3828="Pengeluaran "&amp;$C$6,AND($C$6="Uang Kos Mama",H3828="Pengeluaran Uang Kos")),OR($C$7="Semua",$C$7="",I3828=$C$7),OR($C$8="Semua",$C$8="",C3828=$C$8,E3828=$C$8),OR($C$9="Semua",$C$9="",D3828=$C$9),OR($C$10="",B3828&gt;=$C$10),OR($C$11="",B3828&lt;=$C$11),OR($C$12&lt;&gt;"Ya",K3828&lt;&gt;""),OR($C$13="Semua",$C$13="",L3828=$C$13)),"✓","")</f>
        <v/>
      </c>
      <c r="N3828" s="93">
        <f>N(N3827)+IF(M3828="✓",1,0)</f>
        <v/>
      </c>
      <c r="O3828" s="93">
        <f>N(O3827)+IF(AND(B3828&lt;&gt;"",B3828&gt;='Uang Riba'!$H$30,B3828&lt;='Uang Riba'!$I$30,OR(H3828="Dana riba",H3828="Pinjam uang riba",I3828="Pinjam dari uang riba",I3828="Ganti uang riba",I3828="Kelebihan ganti dikembalikan",AND(C3828="Kantong Uang Riba",G3828="Pengeluaran"))),1,0)</f>
        <v/>
      </c>
      <c r="X3828" s="93">
        <f>IF(AND(B3828&lt;&gt;"",B3828&gt;='Buku Akun'!$H$4,B3828&lt;='Buku Akun'!$H$5,OR(C3828='Buku Akun'!$C$4,AND(D3828="Pindah",E3828='Buku Akun'!$C$4))),B3828+IF(AND(I3828="Selisih bunga",DAY(B3828)=1),0,0.01)+ROW()/10000000,"")</f>
        <v/>
      </c>
    </row>
    <row r="3829" outlineLevel="1" ht="15" customHeight="1" s="94">
      <c r="A3829" s="123">
        <f>IF(B3829="","",ROW()-15)</f>
        <v/>
      </c>
      <c r="B3829" s="124" t="n"/>
      <c r="C3829" s="123" t="n"/>
      <c r="D3829" s="123" t="n"/>
      <c r="E3829" s="123" t="n"/>
      <c r="F3829" s="125" t="n"/>
      <c r="G3829" s="123" t="n"/>
      <c r="H3829" s="123" t="n"/>
      <c r="I3829" s="123" t="n"/>
      <c r="J3829" s="123" t="n"/>
      <c r="K3829" s="123" t="n"/>
      <c r="L3829" s="123" t="n"/>
      <c r="M3829" s="123">
        <f>IF(AND(B3829&lt;&gt;"",OR($C$4="",ISNUMBER(SEARCH($C$4,C3829&amp;" "&amp;E3829&amp;" "&amp;G3829&amp;" "&amp;H3829&amp;" "&amp;I3829&amp;" "&amp;J3829&amp;" "&amp;K3829&amp;" "&amp;L3829))),OR($C$5="Semua",$C$5="",G3829=$C$5),OR($C$6="Semua",$C$6="",H3829=$C$6,H3829="Pengeluaran "&amp;$C$6,AND($C$6="Uang Kos Mama",H3829="Pengeluaran Uang Kos")),OR($C$7="Semua",$C$7="",I3829=$C$7),OR($C$8="Semua",$C$8="",C3829=$C$8,E3829=$C$8),OR($C$9="Semua",$C$9="",D3829=$C$9),OR($C$10="",B3829&gt;=$C$10),OR($C$11="",B3829&lt;=$C$11),OR($C$12&lt;&gt;"Ya",K3829&lt;&gt;""),OR($C$13="Semua",$C$13="",L3829=$C$13)),"✓","")</f>
        <v/>
      </c>
      <c r="N3829" s="93">
        <f>N(N3828)+IF(M3829="✓",1,0)</f>
        <v/>
      </c>
      <c r="O3829" s="93">
        <f>N(O3828)+IF(AND(B3829&lt;&gt;"",B3829&gt;='Uang Riba'!$H$30,B3829&lt;='Uang Riba'!$I$30,OR(H3829="Dana riba",H3829="Pinjam uang riba",I3829="Pinjam dari uang riba",I3829="Ganti uang riba",I3829="Kelebihan ganti dikembalikan",AND(C3829="Kantong Uang Riba",G3829="Pengeluaran"))),1,0)</f>
        <v/>
      </c>
      <c r="X3829" s="93">
        <f>IF(AND(B3829&lt;&gt;"",B3829&gt;='Buku Akun'!$H$4,B3829&lt;='Buku Akun'!$H$5,OR(C3829='Buku Akun'!$C$4,AND(D3829="Pindah",E3829='Buku Akun'!$C$4))),B3829+IF(AND(I3829="Selisih bunga",DAY(B3829)=1),0,0.01)+ROW()/10000000,"")</f>
        <v/>
      </c>
    </row>
    <row r="3830" outlineLevel="1" ht="15" customHeight="1" s="94">
      <c r="A3830" s="123">
        <f>IF(B3830="","",ROW()-15)</f>
        <v/>
      </c>
      <c r="B3830" s="124" t="n"/>
      <c r="C3830" s="123" t="n"/>
      <c r="D3830" s="123" t="n"/>
      <c r="E3830" s="123" t="n"/>
      <c r="F3830" s="125" t="n"/>
      <c r="G3830" s="123" t="n"/>
      <c r="H3830" s="123" t="n"/>
      <c r="I3830" s="123" t="n"/>
      <c r="J3830" s="123" t="n"/>
      <c r="K3830" s="123" t="n"/>
      <c r="L3830" s="123" t="n"/>
      <c r="M3830" s="123">
        <f>IF(AND(B3830&lt;&gt;"",OR($C$4="",ISNUMBER(SEARCH($C$4,C3830&amp;" "&amp;E3830&amp;" "&amp;G3830&amp;" "&amp;H3830&amp;" "&amp;I3830&amp;" "&amp;J3830&amp;" "&amp;K3830&amp;" "&amp;L3830))),OR($C$5="Semua",$C$5="",G3830=$C$5),OR($C$6="Semua",$C$6="",H3830=$C$6,H3830="Pengeluaran "&amp;$C$6,AND($C$6="Uang Kos Mama",H3830="Pengeluaran Uang Kos")),OR($C$7="Semua",$C$7="",I3830=$C$7),OR($C$8="Semua",$C$8="",C3830=$C$8,E3830=$C$8),OR($C$9="Semua",$C$9="",D3830=$C$9),OR($C$10="",B3830&gt;=$C$10),OR($C$11="",B3830&lt;=$C$11),OR($C$12&lt;&gt;"Ya",K3830&lt;&gt;""),OR($C$13="Semua",$C$13="",L3830=$C$13)),"✓","")</f>
        <v/>
      </c>
      <c r="N3830" s="93">
        <f>N(N3829)+IF(M3830="✓",1,0)</f>
        <v/>
      </c>
      <c r="O3830" s="93">
        <f>N(O3829)+IF(AND(B3830&lt;&gt;"",B3830&gt;='Uang Riba'!$H$30,B3830&lt;='Uang Riba'!$I$30,OR(H3830="Dana riba",H3830="Pinjam uang riba",I3830="Pinjam dari uang riba",I3830="Ganti uang riba",I3830="Kelebihan ganti dikembalikan",AND(C3830="Kantong Uang Riba",G3830="Pengeluaran"))),1,0)</f>
        <v/>
      </c>
      <c r="X3830" s="93">
        <f>IF(AND(B3830&lt;&gt;"",B3830&gt;='Buku Akun'!$H$4,B3830&lt;='Buku Akun'!$H$5,OR(C3830='Buku Akun'!$C$4,AND(D3830="Pindah",E3830='Buku Akun'!$C$4))),B3830+IF(AND(I3830="Selisih bunga",DAY(B3830)=1),0,0.01)+ROW()/10000000,"")</f>
        <v/>
      </c>
    </row>
    <row r="3831" outlineLevel="1" ht="15" customHeight="1" s="94">
      <c r="A3831" s="123">
        <f>IF(B3831="","",ROW()-15)</f>
        <v/>
      </c>
      <c r="B3831" s="124" t="n"/>
      <c r="C3831" s="123" t="n"/>
      <c r="D3831" s="123" t="n"/>
      <c r="E3831" s="123" t="n"/>
      <c r="F3831" s="125" t="n"/>
      <c r="G3831" s="123" t="n"/>
      <c r="H3831" s="123" t="n"/>
      <c r="I3831" s="123" t="n"/>
      <c r="J3831" s="123" t="n"/>
      <c r="K3831" s="123" t="n"/>
      <c r="L3831" s="123" t="n"/>
      <c r="M3831" s="123">
        <f>IF(AND(B3831&lt;&gt;"",OR($C$4="",ISNUMBER(SEARCH($C$4,C3831&amp;" "&amp;E3831&amp;" "&amp;G3831&amp;" "&amp;H3831&amp;" "&amp;I3831&amp;" "&amp;J3831&amp;" "&amp;K3831&amp;" "&amp;L3831))),OR($C$5="Semua",$C$5="",G3831=$C$5),OR($C$6="Semua",$C$6="",H3831=$C$6,H3831="Pengeluaran "&amp;$C$6,AND($C$6="Uang Kos Mama",H3831="Pengeluaran Uang Kos")),OR($C$7="Semua",$C$7="",I3831=$C$7),OR($C$8="Semua",$C$8="",C3831=$C$8,E3831=$C$8),OR($C$9="Semua",$C$9="",D3831=$C$9),OR($C$10="",B3831&gt;=$C$10),OR($C$11="",B3831&lt;=$C$11),OR($C$12&lt;&gt;"Ya",K3831&lt;&gt;""),OR($C$13="Semua",$C$13="",L3831=$C$13)),"✓","")</f>
        <v/>
      </c>
      <c r="N3831" s="93">
        <f>N(N3830)+IF(M3831="✓",1,0)</f>
        <v/>
      </c>
      <c r="O3831" s="93">
        <f>N(O3830)+IF(AND(B3831&lt;&gt;"",B3831&gt;='Uang Riba'!$H$30,B3831&lt;='Uang Riba'!$I$30,OR(H3831="Dana riba",H3831="Pinjam uang riba",I3831="Pinjam dari uang riba",I3831="Ganti uang riba",I3831="Kelebihan ganti dikembalikan",AND(C3831="Kantong Uang Riba",G3831="Pengeluaran"))),1,0)</f>
        <v/>
      </c>
      <c r="X3831" s="93">
        <f>IF(AND(B3831&lt;&gt;"",B3831&gt;='Buku Akun'!$H$4,B3831&lt;='Buku Akun'!$H$5,OR(C3831='Buku Akun'!$C$4,AND(D3831="Pindah",E3831='Buku Akun'!$C$4))),B3831+IF(AND(I3831="Selisih bunga",DAY(B3831)=1),0,0.01)+ROW()/10000000,"")</f>
        <v/>
      </c>
    </row>
    <row r="3832" outlineLevel="1" ht="15" customHeight="1" s="94">
      <c r="A3832" s="123">
        <f>IF(B3832="","",ROW()-15)</f>
        <v/>
      </c>
      <c r="B3832" s="124" t="n"/>
      <c r="C3832" s="123" t="n"/>
      <c r="D3832" s="123" t="n"/>
      <c r="E3832" s="123" t="n"/>
      <c r="F3832" s="125" t="n"/>
      <c r="G3832" s="123" t="n"/>
      <c r="H3832" s="123" t="n"/>
      <c r="I3832" s="123" t="n"/>
      <c r="J3832" s="123" t="n"/>
      <c r="K3832" s="123" t="n"/>
      <c r="L3832" s="123" t="n"/>
      <c r="M3832" s="123">
        <f>IF(AND(B3832&lt;&gt;"",OR($C$4="",ISNUMBER(SEARCH($C$4,C3832&amp;" "&amp;E3832&amp;" "&amp;G3832&amp;" "&amp;H3832&amp;" "&amp;I3832&amp;" "&amp;J3832&amp;" "&amp;K3832&amp;" "&amp;L3832))),OR($C$5="Semua",$C$5="",G3832=$C$5),OR($C$6="Semua",$C$6="",H3832=$C$6,H3832="Pengeluaran "&amp;$C$6,AND($C$6="Uang Kos Mama",H3832="Pengeluaran Uang Kos")),OR($C$7="Semua",$C$7="",I3832=$C$7),OR($C$8="Semua",$C$8="",C3832=$C$8,E3832=$C$8),OR($C$9="Semua",$C$9="",D3832=$C$9),OR($C$10="",B3832&gt;=$C$10),OR($C$11="",B3832&lt;=$C$11),OR($C$12&lt;&gt;"Ya",K3832&lt;&gt;""),OR($C$13="Semua",$C$13="",L3832=$C$13)),"✓","")</f>
        <v/>
      </c>
      <c r="N3832" s="93">
        <f>N(N3831)+IF(M3832="✓",1,0)</f>
        <v/>
      </c>
      <c r="O3832" s="93">
        <f>N(O3831)+IF(AND(B3832&lt;&gt;"",B3832&gt;='Uang Riba'!$H$30,B3832&lt;='Uang Riba'!$I$30,OR(H3832="Dana riba",H3832="Pinjam uang riba",I3832="Pinjam dari uang riba",I3832="Ganti uang riba",I3832="Kelebihan ganti dikembalikan",AND(C3832="Kantong Uang Riba",G3832="Pengeluaran"))),1,0)</f>
        <v/>
      </c>
      <c r="X3832" s="93">
        <f>IF(AND(B3832&lt;&gt;"",B3832&gt;='Buku Akun'!$H$4,B3832&lt;='Buku Akun'!$H$5,OR(C3832='Buku Akun'!$C$4,AND(D3832="Pindah",E3832='Buku Akun'!$C$4))),B3832+IF(AND(I3832="Selisih bunga",DAY(B3832)=1),0,0.01)+ROW()/10000000,"")</f>
        <v/>
      </c>
    </row>
    <row r="3833" outlineLevel="1" ht="15" customHeight="1" s="94">
      <c r="A3833" s="123">
        <f>IF(B3833="","",ROW()-15)</f>
        <v/>
      </c>
      <c r="B3833" s="124" t="n"/>
      <c r="C3833" s="123" t="n"/>
      <c r="D3833" s="123" t="n"/>
      <c r="E3833" s="123" t="n"/>
      <c r="F3833" s="125" t="n"/>
      <c r="G3833" s="123" t="n"/>
      <c r="H3833" s="123" t="n"/>
      <c r="I3833" s="123" t="n"/>
      <c r="J3833" s="123" t="n"/>
      <c r="K3833" s="123" t="n"/>
      <c r="L3833" s="123" t="n"/>
      <c r="M3833" s="123">
        <f>IF(AND(B3833&lt;&gt;"",OR($C$4="",ISNUMBER(SEARCH($C$4,C3833&amp;" "&amp;E3833&amp;" "&amp;G3833&amp;" "&amp;H3833&amp;" "&amp;I3833&amp;" "&amp;J3833&amp;" "&amp;K3833&amp;" "&amp;L3833))),OR($C$5="Semua",$C$5="",G3833=$C$5),OR($C$6="Semua",$C$6="",H3833=$C$6,H3833="Pengeluaran "&amp;$C$6,AND($C$6="Uang Kos Mama",H3833="Pengeluaran Uang Kos")),OR($C$7="Semua",$C$7="",I3833=$C$7),OR($C$8="Semua",$C$8="",C3833=$C$8,E3833=$C$8),OR($C$9="Semua",$C$9="",D3833=$C$9),OR($C$10="",B3833&gt;=$C$10),OR($C$11="",B3833&lt;=$C$11),OR($C$12&lt;&gt;"Ya",K3833&lt;&gt;""),OR($C$13="Semua",$C$13="",L3833=$C$13)),"✓","")</f>
        <v/>
      </c>
      <c r="N3833" s="93">
        <f>N(N3832)+IF(M3833="✓",1,0)</f>
        <v/>
      </c>
      <c r="O3833" s="93">
        <f>N(O3832)+IF(AND(B3833&lt;&gt;"",B3833&gt;='Uang Riba'!$H$30,B3833&lt;='Uang Riba'!$I$30,OR(H3833="Dana riba",H3833="Pinjam uang riba",I3833="Pinjam dari uang riba",I3833="Ganti uang riba",I3833="Kelebihan ganti dikembalikan",AND(C3833="Kantong Uang Riba",G3833="Pengeluaran"))),1,0)</f>
        <v/>
      </c>
      <c r="X3833" s="93">
        <f>IF(AND(B3833&lt;&gt;"",B3833&gt;='Buku Akun'!$H$4,B3833&lt;='Buku Akun'!$H$5,OR(C3833='Buku Akun'!$C$4,AND(D3833="Pindah",E3833='Buku Akun'!$C$4))),B3833+IF(AND(I3833="Selisih bunga",DAY(B3833)=1),0,0.01)+ROW()/10000000,"")</f>
        <v/>
      </c>
    </row>
    <row r="3834" outlineLevel="1" ht="15" customHeight="1" s="94">
      <c r="A3834" s="123">
        <f>IF(B3834="","",ROW()-15)</f>
        <v/>
      </c>
      <c r="B3834" s="124" t="n"/>
      <c r="C3834" s="123" t="n"/>
      <c r="D3834" s="123" t="n"/>
      <c r="E3834" s="123" t="n"/>
      <c r="F3834" s="125" t="n"/>
      <c r="G3834" s="123" t="n"/>
      <c r="H3834" s="123" t="n"/>
      <c r="I3834" s="123" t="n"/>
      <c r="J3834" s="123" t="n"/>
      <c r="K3834" s="123" t="n"/>
      <c r="L3834" s="123" t="n"/>
      <c r="M3834" s="123">
        <f>IF(AND(B3834&lt;&gt;"",OR($C$4="",ISNUMBER(SEARCH($C$4,C3834&amp;" "&amp;E3834&amp;" "&amp;G3834&amp;" "&amp;H3834&amp;" "&amp;I3834&amp;" "&amp;J3834&amp;" "&amp;K3834&amp;" "&amp;L3834))),OR($C$5="Semua",$C$5="",G3834=$C$5),OR($C$6="Semua",$C$6="",H3834=$C$6,H3834="Pengeluaran "&amp;$C$6,AND($C$6="Uang Kos Mama",H3834="Pengeluaran Uang Kos")),OR($C$7="Semua",$C$7="",I3834=$C$7),OR($C$8="Semua",$C$8="",C3834=$C$8,E3834=$C$8),OR($C$9="Semua",$C$9="",D3834=$C$9),OR($C$10="",B3834&gt;=$C$10),OR($C$11="",B3834&lt;=$C$11),OR($C$12&lt;&gt;"Ya",K3834&lt;&gt;""),OR($C$13="Semua",$C$13="",L3834=$C$13)),"✓","")</f>
        <v/>
      </c>
      <c r="N3834" s="93">
        <f>N(N3833)+IF(M3834="✓",1,0)</f>
        <v/>
      </c>
      <c r="O3834" s="93">
        <f>N(O3833)+IF(AND(B3834&lt;&gt;"",B3834&gt;='Uang Riba'!$H$30,B3834&lt;='Uang Riba'!$I$30,OR(H3834="Dana riba",H3834="Pinjam uang riba",I3834="Pinjam dari uang riba",I3834="Ganti uang riba",I3834="Kelebihan ganti dikembalikan",AND(C3834="Kantong Uang Riba",G3834="Pengeluaran"))),1,0)</f>
        <v/>
      </c>
      <c r="X3834" s="93">
        <f>IF(AND(B3834&lt;&gt;"",B3834&gt;='Buku Akun'!$H$4,B3834&lt;='Buku Akun'!$H$5,OR(C3834='Buku Akun'!$C$4,AND(D3834="Pindah",E3834='Buku Akun'!$C$4))),B3834+IF(AND(I3834="Selisih bunga",DAY(B3834)=1),0,0.01)+ROW()/10000000,"")</f>
        <v/>
      </c>
    </row>
    <row r="3835" outlineLevel="1" ht="15" customHeight="1" s="94">
      <c r="A3835" s="123">
        <f>IF(B3835="","",ROW()-15)</f>
        <v/>
      </c>
      <c r="B3835" s="124" t="n"/>
      <c r="C3835" s="123" t="n"/>
      <c r="D3835" s="123" t="n"/>
      <c r="E3835" s="123" t="n"/>
      <c r="F3835" s="125" t="n"/>
      <c r="G3835" s="123" t="n"/>
      <c r="H3835" s="123" t="n"/>
      <c r="I3835" s="123" t="n"/>
      <c r="J3835" s="123" t="n"/>
      <c r="K3835" s="123" t="n"/>
      <c r="L3835" s="123" t="n"/>
      <c r="M3835" s="123">
        <f>IF(AND(B3835&lt;&gt;"",OR($C$4="",ISNUMBER(SEARCH($C$4,C3835&amp;" "&amp;E3835&amp;" "&amp;G3835&amp;" "&amp;H3835&amp;" "&amp;I3835&amp;" "&amp;J3835&amp;" "&amp;K3835&amp;" "&amp;L3835))),OR($C$5="Semua",$C$5="",G3835=$C$5),OR($C$6="Semua",$C$6="",H3835=$C$6,H3835="Pengeluaran "&amp;$C$6,AND($C$6="Uang Kos Mama",H3835="Pengeluaran Uang Kos")),OR($C$7="Semua",$C$7="",I3835=$C$7),OR($C$8="Semua",$C$8="",C3835=$C$8,E3835=$C$8),OR($C$9="Semua",$C$9="",D3835=$C$9),OR($C$10="",B3835&gt;=$C$10),OR($C$11="",B3835&lt;=$C$11),OR($C$12&lt;&gt;"Ya",K3835&lt;&gt;""),OR($C$13="Semua",$C$13="",L3835=$C$13)),"✓","")</f>
        <v/>
      </c>
      <c r="N3835" s="93">
        <f>N(N3834)+IF(M3835="✓",1,0)</f>
        <v/>
      </c>
      <c r="O3835" s="93">
        <f>N(O3834)+IF(AND(B3835&lt;&gt;"",B3835&gt;='Uang Riba'!$H$30,B3835&lt;='Uang Riba'!$I$30,OR(H3835="Dana riba",H3835="Pinjam uang riba",I3835="Pinjam dari uang riba",I3835="Ganti uang riba",I3835="Kelebihan ganti dikembalikan",AND(C3835="Kantong Uang Riba",G3835="Pengeluaran"))),1,0)</f>
        <v/>
      </c>
      <c r="X3835" s="93">
        <f>IF(AND(B3835&lt;&gt;"",B3835&gt;='Buku Akun'!$H$4,B3835&lt;='Buku Akun'!$H$5,OR(C3835='Buku Akun'!$C$4,AND(D3835="Pindah",E3835='Buku Akun'!$C$4))),B3835+IF(AND(I3835="Selisih bunga",DAY(B3835)=1),0,0.01)+ROW()/10000000,"")</f>
        <v/>
      </c>
    </row>
    <row r="3836" outlineLevel="1" ht="15" customHeight="1" s="94">
      <c r="A3836" s="123">
        <f>IF(B3836="","",ROW()-15)</f>
        <v/>
      </c>
      <c r="B3836" s="124" t="n"/>
      <c r="C3836" s="123" t="n"/>
      <c r="D3836" s="123" t="n"/>
      <c r="E3836" s="123" t="n"/>
      <c r="F3836" s="125" t="n"/>
      <c r="G3836" s="123" t="n"/>
      <c r="H3836" s="123" t="n"/>
      <c r="I3836" s="123" t="n"/>
      <c r="J3836" s="123" t="n"/>
      <c r="K3836" s="123" t="n"/>
      <c r="L3836" s="123" t="n"/>
      <c r="M3836" s="123">
        <f>IF(AND(B3836&lt;&gt;"",OR($C$4="",ISNUMBER(SEARCH($C$4,C3836&amp;" "&amp;E3836&amp;" "&amp;G3836&amp;" "&amp;H3836&amp;" "&amp;I3836&amp;" "&amp;J3836&amp;" "&amp;K3836&amp;" "&amp;L3836))),OR($C$5="Semua",$C$5="",G3836=$C$5),OR($C$6="Semua",$C$6="",H3836=$C$6,H3836="Pengeluaran "&amp;$C$6,AND($C$6="Uang Kos Mama",H3836="Pengeluaran Uang Kos")),OR($C$7="Semua",$C$7="",I3836=$C$7),OR($C$8="Semua",$C$8="",C3836=$C$8,E3836=$C$8),OR($C$9="Semua",$C$9="",D3836=$C$9),OR($C$10="",B3836&gt;=$C$10),OR($C$11="",B3836&lt;=$C$11),OR($C$12&lt;&gt;"Ya",K3836&lt;&gt;""),OR($C$13="Semua",$C$13="",L3836=$C$13)),"✓","")</f>
        <v/>
      </c>
      <c r="N3836" s="93">
        <f>N(N3835)+IF(M3836="✓",1,0)</f>
        <v/>
      </c>
      <c r="O3836" s="93">
        <f>N(O3835)+IF(AND(B3836&lt;&gt;"",B3836&gt;='Uang Riba'!$H$30,B3836&lt;='Uang Riba'!$I$30,OR(H3836="Dana riba",H3836="Pinjam uang riba",I3836="Pinjam dari uang riba",I3836="Ganti uang riba",I3836="Kelebihan ganti dikembalikan",AND(C3836="Kantong Uang Riba",G3836="Pengeluaran"))),1,0)</f>
        <v/>
      </c>
      <c r="X3836" s="93">
        <f>IF(AND(B3836&lt;&gt;"",B3836&gt;='Buku Akun'!$H$4,B3836&lt;='Buku Akun'!$H$5,OR(C3836='Buku Akun'!$C$4,AND(D3836="Pindah",E3836='Buku Akun'!$C$4))),B3836+IF(AND(I3836="Selisih bunga",DAY(B3836)=1),0,0.01)+ROW()/10000000,"")</f>
        <v/>
      </c>
    </row>
    <row r="3837" outlineLevel="1" ht="15" customHeight="1" s="94">
      <c r="A3837" s="123">
        <f>IF(B3837="","",ROW()-15)</f>
        <v/>
      </c>
      <c r="B3837" s="124" t="n"/>
      <c r="C3837" s="123" t="n"/>
      <c r="D3837" s="123" t="n"/>
      <c r="E3837" s="123" t="n"/>
      <c r="F3837" s="125" t="n"/>
      <c r="G3837" s="123" t="n"/>
      <c r="H3837" s="123" t="n"/>
      <c r="I3837" s="123" t="n"/>
      <c r="J3837" s="123" t="n"/>
      <c r="K3837" s="123" t="n"/>
      <c r="L3837" s="123" t="n"/>
      <c r="M3837" s="123">
        <f>IF(AND(B3837&lt;&gt;"",OR($C$4="",ISNUMBER(SEARCH($C$4,C3837&amp;" "&amp;E3837&amp;" "&amp;G3837&amp;" "&amp;H3837&amp;" "&amp;I3837&amp;" "&amp;J3837&amp;" "&amp;K3837&amp;" "&amp;L3837))),OR($C$5="Semua",$C$5="",G3837=$C$5),OR($C$6="Semua",$C$6="",H3837=$C$6,H3837="Pengeluaran "&amp;$C$6,AND($C$6="Uang Kos Mama",H3837="Pengeluaran Uang Kos")),OR($C$7="Semua",$C$7="",I3837=$C$7),OR($C$8="Semua",$C$8="",C3837=$C$8,E3837=$C$8),OR($C$9="Semua",$C$9="",D3837=$C$9),OR($C$10="",B3837&gt;=$C$10),OR($C$11="",B3837&lt;=$C$11),OR($C$12&lt;&gt;"Ya",K3837&lt;&gt;""),OR($C$13="Semua",$C$13="",L3837=$C$13)),"✓","")</f>
        <v/>
      </c>
      <c r="N3837" s="93">
        <f>N(N3836)+IF(M3837="✓",1,0)</f>
        <v/>
      </c>
      <c r="O3837" s="93">
        <f>N(O3836)+IF(AND(B3837&lt;&gt;"",B3837&gt;='Uang Riba'!$H$30,B3837&lt;='Uang Riba'!$I$30,OR(H3837="Dana riba",H3837="Pinjam uang riba",I3837="Pinjam dari uang riba",I3837="Ganti uang riba",I3837="Kelebihan ganti dikembalikan",AND(C3837="Kantong Uang Riba",G3837="Pengeluaran"))),1,0)</f>
        <v/>
      </c>
      <c r="X3837" s="93">
        <f>IF(AND(B3837&lt;&gt;"",B3837&gt;='Buku Akun'!$H$4,B3837&lt;='Buku Akun'!$H$5,OR(C3837='Buku Akun'!$C$4,AND(D3837="Pindah",E3837='Buku Akun'!$C$4))),B3837+IF(AND(I3837="Selisih bunga",DAY(B3837)=1),0,0.01)+ROW()/10000000,"")</f>
        <v/>
      </c>
    </row>
    <row r="3838" outlineLevel="1" ht="15" customHeight="1" s="94">
      <c r="A3838" s="123">
        <f>IF(B3838="","",ROW()-15)</f>
        <v/>
      </c>
      <c r="B3838" s="124" t="n"/>
      <c r="C3838" s="123" t="n"/>
      <c r="D3838" s="123" t="n"/>
      <c r="E3838" s="123" t="n"/>
      <c r="F3838" s="125" t="n"/>
      <c r="G3838" s="123" t="n"/>
      <c r="H3838" s="123" t="n"/>
      <c r="I3838" s="123" t="n"/>
      <c r="J3838" s="123" t="n"/>
      <c r="K3838" s="123" t="n"/>
      <c r="L3838" s="123" t="n"/>
      <c r="M3838" s="123">
        <f>IF(AND(B3838&lt;&gt;"",OR($C$4="",ISNUMBER(SEARCH($C$4,C3838&amp;" "&amp;E3838&amp;" "&amp;G3838&amp;" "&amp;H3838&amp;" "&amp;I3838&amp;" "&amp;J3838&amp;" "&amp;K3838&amp;" "&amp;L3838))),OR($C$5="Semua",$C$5="",G3838=$C$5),OR($C$6="Semua",$C$6="",H3838=$C$6,H3838="Pengeluaran "&amp;$C$6,AND($C$6="Uang Kos Mama",H3838="Pengeluaran Uang Kos")),OR($C$7="Semua",$C$7="",I3838=$C$7),OR($C$8="Semua",$C$8="",C3838=$C$8,E3838=$C$8),OR($C$9="Semua",$C$9="",D3838=$C$9),OR($C$10="",B3838&gt;=$C$10),OR($C$11="",B3838&lt;=$C$11),OR($C$12&lt;&gt;"Ya",K3838&lt;&gt;""),OR($C$13="Semua",$C$13="",L3838=$C$13)),"✓","")</f>
        <v/>
      </c>
      <c r="N3838" s="93">
        <f>N(N3837)+IF(M3838="✓",1,0)</f>
        <v/>
      </c>
      <c r="O3838" s="93">
        <f>N(O3837)+IF(AND(B3838&lt;&gt;"",B3838&gt;='Uang Riba'!$H$30,B3838&lt;='Uang Riba'!$I$30,OR(H3838="Dana riba",H3838="Pinjam uang riba",I3838="Pinjam dari uang riba",I3838="Ganti uang riba",I3838="Kelebihan ganti dikembalikan",AND(C3838="Kantong Uang Riba",G3838="Pengeluaran"))),1,0)</f>
        <v/>
      </c>
      <c r="X3838" s="93">
        <f>IF(AND(B3838&lt;&gt;"",B3838&gt;='Buku Akun'!$H$4,B3838&lt;='Buku Akun'!$H$5,OR(C3838='Buku Akun'!$C$4,AND(D3838="Pindah",E3838='Buku Akun'!$C$4))),B3838+IF(AND(I3838="Selisih bunga",DAY(B3838)=1),0,0.01)+ROW()/10000000,"")</f>
        <v/>
      </c>
    </row>
    <row r="3839" outlineLevel="1" ht="15" customHeight="1" s="94">
      <c r="A3839" s="123">
        <f>IF(B3839="","",ROW()-15)</f>
        <v/>
      </c>
      <c r="B3839" s="124" t="n"/>
      <c r="C3839" s="123" t="n"/>
      <c r="D3839" s="123" t="n"/>
      <c r="E3839" s="123" t="n"/>
      <c r="F3839" s="125" t="n"/>
      <c r="G3839" s="123" t="n"/>
      <c r="H3839" s="123" t="n"/>
      <c r="I3839" s="123" t="n"/>
      <c r="J3839" s="123" t="n"/>
      <c r="K3839" s="123" t="n"/>
      <c r="L3839" s="123" t="n"/>
      <c r="M3839" s="123">
        <f>IF(AND(B3839&lt;&gt;"",OR($C$4="",ISNUMBER(SEARCH($C$4,C3839&amp;" "&amp;E3839&amp;" "&amp;G3839&amp;" "&amp;H3839&amp;" "&amp;I3839&amp;" "&amp;J3839&amp;" "&amp;K3839&amp;" "&amp;L3839))),OR($C$5="Semua",$C$5="",G3839=$C$5),OR($C$6="Semua",$C$6="",H3839=$C$6,H3839="Pengeluaran "&amp;$C$6,AND($C$6="Uang Kos Mama",H3839="Pengeluaran Uang Kos")),OR($C$7="Semua",$C$7="",I3839=$C$7),OR($C$8="Semua",$C$8="",C3839=$C$8,E3839=$C$8),OR($C$9="Semua",$C$9="",D3839=$C$9),OR($C$10="",B3839&gt;=$C$10),OR($C$11="",B3839&lt;=$C$11),OR($C$12&lt;&gt;"Ya",K3839&lt;&gt;""),OR($C$13="Semua",$C$13="",L3839=$C$13)),"✓","")</f>
        <v/>
      </c>
      <c r="N3839" s="93">
        <f>N(N3838)+IF(M3839="✓",1,0)</f>
        <v/>
      </c>
      <c r="O3839" s="93">
        <f>N(O3838)+IF(AND(B3839&lt;&gt;"",B3839&gt;='Uang Riba'!$H$30,B3839&lt;='Uang Riba'!$I$30,OR(H3839="Dana riba",H3839="Pinjam uang riba",I3839="Pinjam dari uang riba",I3839="Ganti uang riba",I3839="Kelebihan ganti dikembalikan",AND(C3839="Kantong Uang Riba",G3839="Pengeluaran"))),1,0)</f>
        <v/>
      </c>
      <c r="X3839" s="93">
        <f>IF(AND(B3839&lt;&gt;"",B3839&gt;='Buku Akun'!$H$4,B3839&lt;='Buku Akun'!$H$5,OR(C3839='Buku Akun'!$C$4,AND(D3839="Pindah",E3839='Buku Akun'!$C$4))),B3839+IF(AND(I3839="Selisih bunga",DAY(B3839)=1),0,0.01)+ROW()/10000000,"")</f>
        <v/>
      </c>
    </row>
    <row r="3840" outlineLevel="1" ht="15" customHeight="1" s="94">
      <c r="A3840" s="123">
        <f>IF(B3840="","",ROW()-15)</f>
        <v/>
      </c>
      <c r="B3840" s="124" t="n"/>
      <c r="C3840" s="123" t="n"/>
      <c r="D3840" s="123" t="n"/>
      <c r="E3840" s="123" t="n"/>
      <c r="F3840" s="125" t="n"/>
      <c r="G3840" s="123" t="n"/>
      <c r="H3840" s="123" t="n"/>
      <c r="I3840" s="123" t="n"/>
      <c r="J3840" s="123" t="n"/>
      <c r="K3840" s="123" t="n"/>
      <c r="L3840" s="123" t="n"/>
      <c r="M3840" s="123">
        <f>IF(AND(B3840&lt;&gt;"",OR($C$4="",ISNUMBER(SEARCH($C$4,C3840&amp;" "&amp;E3840&amp;" "&amp;G3840&amp;" "&amp;H3840&amp;" "&amp;I3840&amp;" "&amp;J3840&amp;" "&amp;K3840&amp;" "&amp;L3840))),OR($C$5="Semua",$C$5="",G3840=$C$5),OR($C$6="Semua",$C$6="",H3840=$C$6,H3840="Pengeluaran "&amp;$C$6,AND($C$6="Uang Kos Mama",H3840="Pengeluaran Uang Kos")),OR($C$7="Semua",$C$7="",I3840=$C$7),OR($C$8="Semua",$C$8="",C3840=$C$8,E3840=$C$8),OR($C$9="Semua",$C$9="",D3840=$C$9),OR($C$10="",B3840&gt;=$C$10),OR($C$11="",B3840&lt;=$C$11),OR($C$12&lt;&gt;"Ya",K3840&lt;&gt;""),OR($C$13="Semua",$C$13="",L3840=$C$13)),"✓","")</f>
        <v/>
      </c>
      <c r="N3840" s="93">
        <f>N(N3839)+IF(M3840="✓",1,0)</f>
        <v/>
      </c>
      <c r="O3840" s="93">
        <f>N(O3839)+IF(AND(B3840&lt;&gt;"",B3840&gt;='Uang Riba'!$H$30,B3840&lt;='Uang Riba'!$I$30,OR(H3840="Dana riba",H3840="Pinjam uang riba",I3840="Pinjam dari uang riba",I3840="Ganti uang riba",I3840="Kelebihan ganti dikembalikan",AND(C3840="Kantong Uang Riba",G3840="Pengeluaran"))),1,0)</f>
        <v/>
      </c>
      <c r="X3840" s="93">
        <f>IF(AND(B3840&lt;&gt;"",B3840&gt;='Buku Akun'!$H$4,B3840&lt;='Buku Akun'!$H$5,OR(C3840='Buku Akun'!$C$4,AND(D3840="Pindah",E3840='Buku Akun'!$C$4))),B3840+IF(AND(I3840="Selisih bunga",DAY(B3840)=1),0,0.01)+ROW()/10000000,"")</f>
        <v/>
      </c>
    </row>
    <row r="3841" outlineLevel="1" ht="15" customHeight="1" s="94">
      <c r="A3841" s="123">
        <f>IF(B3841="","",ROW()-15)</f>
        <v/>
      </c>
      <c r="B3841" s="124" t="n"/>
      <c r="C3841" s="123" t="n"/>
      <c r="D3841" s="123" t="n"/>
      <c r="E3841" s="123" t="n"/>
      <c r="F3841" s="125" t="n"/>
      <c r="G3841" s="123" t="n"/>
      <c r="H3841" s="123" t="n"/>
      <c r="I3841" s="123" t="n"/>
      <c r="J3841" s="123" t="n"/>
      <c r="K3841" s="123" t="n"/>
      <c r="L3841" s="123" t="n"/>
      <c r="M3841" s="123">
        <f>IF(AND(B3841&lt;&gt;"",OR($C$4="",ISNUMBER(SEARCH($C$4,C3841&amp;" "&amp;E3841&amp;" "&amp;G3841&amp;" "&amp;H3841&amp;" "&amp;I3841&amp;" "&amp;J3841&amp;" "&amp;K3841&amp;" "&amp;L3841))),OR($C$5="Semua",$C$5="",G3841=$C$5),OR($C$6="Semua",$C$6="",H3841=$C$6,H3841="Pengeluaran "&amp;$C$6,AND($C$6="Uang Kos Mama",H3841="Pengeluaran Uang Kos")),OR($C$7="Semua",$C$7="",I3841=$C$7),OR($C$8="Semua",$C$8="",C3841=$C$8,E3841=$C$8),OR($C$9="Semua",$C$9="",D3841=$C$9),OR($C$10="",B3841&gt;=$C$10),OR($C$11="",B3841&lt;=$C$11),OR($C$12&lt;&gt;"Ya",K3841&lt;&gt;""),OR($C$13="Semua",$C$13="",L3841=$C$13)),"✓","")</f>
        <v/>
      </c>
      <c r="N3841" s="93">
        <f>N(N3840)+IF(M3841="✓",1,0)</f>
        <v/>
      </c>
      <c r="O3841" s="93">
        <f>N(O3840)+IF(AND(B3841&lt;&gt;"",B3841&gt;='Uang Riba'!$H$30,B3841&lt;='Uang Riba'!$I$30,OR(H3841="Dana riba",H3841="Pinjam uang riba",I3841="Pinjam dari uang riba",I3841="Ganti uang riba",I3841="Kelebihan ganti dikembalikan",AND(C3841="Kantong Uang Riba",G3841="Pengeluaran"))),1,0)</f>
        <v/>
      </c>
      <c r="X3841" s="93">
        <f>IF(AND(B3841&lt;&gt;"",B3841&gt;='Buku Akun'!$H$4,B3841&lt;='Buku Akun'!$H$5,OR(C3841='Buku Akun'!$C$4,AND(D3841="Pindah",E3841='Buku Akun'!$C$4))),B3841+IF(AND(I3841="Selisih bunga",DAY(B3841)=1),0,0.01)+ROW()/10000000,"")</f>
        <v/>
      </c>
    </row>
    <row r="3842" outlineLevel="1" ht="15" customHeight="1" s="94">
      <c r="A3842" s="123">
        <f>IF(B3842="","",ROW()-15)</f>
        <v/>
      </c>
      <c r="B3842" s="124" t="n"/>
      <c r="C3842" s="123" t="n"/>
      <c r="D3842" s="123" t="n"/>
      <c r="E3842" s="123" t="n"/>
      <c r="F3842" s="125" t="n"/>
      <c r="G3842" s="123" t="n"/>
      <c r="H3842" s="123" t="n"/>
      <c r="I3842" s="123" t="n"/>
      <c r="J3842" s="123" t="n"/>
      <c r="K3842" s="123" t="n"/>
      <c r="L3842" s="123" t="n"/>
      <c r="M3842" s="123">
        <f>IF(AND(B3842&lt;&gt;"",OR($C$4="",ISNUMBER(SEARCH($C$4,C3842&amp;" "&amp;E3842&amp;" "&amp;G3842&amp;" "&amp;H3842&amp;" "&amp;I3842&amp;" "&amp;J3842&amp;" "&amp;K3842&amp;" "&amp;L3842))),OR($C$5="Semua",$C$5="",G3842=$C$5),OR($C$6="Semua",$C$6="",H3842=$C$6,H3842="Pengeluaran "&amp;$C$6,AND($C$6="Uang Kos Mama",H3842="Pengeluaran Uang Kos")),OR($C$7="Semua",$C$7="",I3842=$C$7),OR($C$8="Semua",$C$8="",C3842=$C$8,E3842=$C$8),OR($C$9="Semua",$C$9="",D3842=$C$9),OR($C$10="",B3842&gt;=$C$10),OR($C$11="",B3842&lt;=$C$11),OR($C$12&lt;&gt;"Ya",K3842&lt;&gt;""),OR($C$13="Semua",$C$13="",L3842=$C$13)),"✓","")</f>
        <v/>
      </c>
      <c r="N3842" s="93">
        <f>N(N3841)+IF(M3842="✓",1,0)</f>
        <v/>
      </c>
      <c r="O3842" s="93">
        <f>N(O3841)+IF(AND(B3842&lt;&gt;"",B3842&gt;='Uang Riba'!$H$30,B3842&lt;='Uang Riba'!$I$30,OR(H3842="Dana riba",H3842="Pinjam uang riba",I3842="Pinjam dari uang riba",I3842="Ganti uang riba",I3842="Kelebihan ganti dikembalikan",AND(C3842="Kantong Uang Riba",G3842="Pengeluaran"))),1,0)</f>
        <v/>
      </c>
      <c r="X3842" s="93">
        <f>IF(AND(B3842&lt;&gt;"",B3842&gt;='Buku Akun'!$H$4,B3842&lt;='Buku Akun'!$H$5,OR(C3842='Buku Akun'!$C$4,AND(D3842="Pindah",E3842='Buku Akun'!$C$4))),B3842+IF(AND(I3842="Selisih bunga",DAY(B3842)=1),0,0.01)+ROW()/10000000,"")</f>
        <v/>
      </c>
    </row>
    <row r="3843" outlineLevel="1" ht="15" customHeight="1" s="94">
      <c r="A3843" s="123">
        <f>IF(B3843="","",ROW()-15)</f>
        <v/>
      </c>
      <c r="B3843" s="124" t="n"/>
      <c r="C3843" s="123" t="n"/>
      <c r="D3843" s="123" t="n"/>
      <c r="E3843" s="123" t="n"/>
      <c r="F3843" s="125" t="n"/>
      <c r="G3843" s="123" t="n"/>
      <c r="H3843" s="123" t="n"/>
      <c r="I3843" s="123" t="n"/>
      <c r="J3843" s="123" t="n"/>
      <c r="K3843" s="123" t="n"/>
      <c r="L3843" s="123" t="n"/>
      <c r="M3843" s="123">
        <f>IF(AND(B3843&lt;&gt;"",OR($C$4="",ISNUMBER(SEARCH($C$4,C3843&amp;" "&amp;E3843&amp;" "&amp;G3843&amp;" "&amp;H3843&amp;" "&amp;I3843&amp;" "&amp;J3843&amp;" "&amp;K3843&amp;" "&amp;L3843))),OR($C$5="Semua",$C$5="",G3843=$C$5),OR($C$6="Semua",$C$6="",H3843=$C$6,H3843="Pengeluaran "&amp;$C$6,AND($C$6="Uang Kos Mama",H3843="Pengeluaran Uang Kos")),OR($C$7="Semua",$C$7="",I3843=$C$7),OR($C$8="Semua",$C$8="",C3843=$C$8,E3843=$C$8),OR($C$9="Semua",$C$9="",D3843=$C$9),OR($C$10="",B3843&gt;=$C$10),OR($C$11="",B3843&lt;=$C$11),OR($C$12&lt;&gt;"Ya",K3843&lt;&gt;""),OR($C$13="Semua",$C$13="",L3843=$C$13)),"✓","")</f>
        <v/>
      </c>
      <c r="N3843" s="93">
        <f>N(N3842)+IF(M3843="✓",1,0)</f>
        <v/>
      </c>
      <c r="O3843" s="93">
        <f>N(O3842)+IF(AND(B3843&lt;&gt;"",B3843&gt;='Uang Riba'!$H$30,B3843&lt;='Uang Riba'!$I$30,OR(H3843="Dana riba",H3843="Pinjam uang riba",I3843="Pinjam dari uang riba",I3843="Ganti uang riba",I3843="Kelebihan ganti dikembalikan",AND(C3843="Kantong Uang Riba",G3843="Pengeluaran"))),1,0)</f>
        <v/>
      </c>
      <c r="X3843" s="93">
        <f>IF(AND(B3843&lt;&gt;"",B3843&gt;='Buku Akun'!$H$4,B3843&lt;='Buku Akun'!$H$5,OR(C3843='Buku Akun'!$C$4,AND(D3843="Pindah",E3843='Buku Akun'!$C$4))),B3843+IF(AND(I3843="Selisih bunga",DAY(B3843)=1),0,0.01)+ROW()/10000000,"")</f>
        <v/>
      </c>
    </row>
    <row r="3844" outlineLevel="1" ht="15" customHeight="1" s="94">
      <c r="A3844" s="123">
        <f>IF(B3844="","",ROW()-15)</f>
        <v/>
      </c>
      <c r="B3844" s="124" t="n"/>
      <c r="C3844" s="123" t="n"/>
      <c r="D3844" s="123" t="n"/>
      <c r="E3844" s="123" t="n"/>
      <c r="F3844" s="125" t="n"/>
      <c r="G3844" s="123" t="n"/>
      <c r="H3844" s="123" t="n"/>
      <c r="I3844" s="123" t="n"/>
      <c r="J3844" s="123" t="n"/>
      <c r="K3844" s="123" t="n"/>
      <c r="L3844" s="123" t="n"/>
      <c r="M3844" s="123">
        <f>IF(AND(B3844&lt;&gt;"",OR($C$4="",ISNUMBER(SEARCH($C$4,C3844&amp;" "&amp;E3844&amp;" "&amp;G3844&amp;" "&amp;H3844&amp;" "&amp;I3844&amp;" "&amp;J3844&amp;" "&amp;K3844&amp;" "&amp;L3844))),OR($C$5="Semua",$C$5="",G3844=$C$5),OR($C$6="Semua",$C$6="",H3844=$C$6,H3844="Pengeluaran "&amp;$C$6,AND($C$6="Uang Kos Mama",H3844="Pengeluaran Uang Kos")),OR($C$7="Semua",$C$7="",I3844=$C$7),OR($C$8="Semua",$C$8="",C3844=$C$8,E3844=$C$8),OR($C$9="Semua",$C$9="",D3844=$C$9),OR($C$10="",B3844&gt;=$C$10),OR($C$11="",B3844&lt;=$C$11),OR($C$12&lt;&gt;"Ya",K3844&lt;&gt;""),OR($C$13="Semua",$C$13="",L3844=$C$13)),"✓","")</f>
        <v/>
      </c>
      <c r="N3844" s="93">
        <f>N(N3843)+IF(M3844="✓",1,0)</f>
        <v/>
      </c>
      <c r="O3844" s="93">
        <f>N(O3843)+IF(AND(B3844&lt;&gt;"",B3844&gt;='Uang Riba'!$H$30,B3844&lt;='Uang Riba'!$I$30,OR(H3844="Dana riba",H3844="Pinjam uang riba",I3844="Pinjam dari uang riba",I3844="Ganti uang riba",I3844="Kelebihan ganti dikembalikan",AND(C3844="Kantong Uang Riba",G3844="Pengeluaran"))),1,0)</f>
        <v/>
      </c>
      <c r="X3844" s="93">
        <f>IF(AND(B3844&lt;&gt;"",B3844&gt;='Buku Akun'!$H$4,B3844&lt;='Buku Akun'!$H$5,OR(C3844='Buku Akun'!$C$4,AND(D3844="Pindah",E3844='Buku Akun'!$C$4))),B3844+IF(AND(I3844="Selisih bunga",DAY(B3844)=1),0,0.01)+ROW()/10000000,"")</f>
        <v/>
      </c>
    </row>
    <row r="3845" outlineLevel="1" ht="15" customHeight="1" s="94">
      <c r="A3845" s="123">
        <f>IF(B3845="","",ROW()-15)</f>
        <v/>
      </c>
      <c r="B3845" s="124" t="n"/>
      <c r="C3845" s="123" t="n"/>
      <c r="D3845" s="123" t="n"/>
      <c r="E3845" s="123" t="n"/>
      <c r="F3845" s="125" t="n"/>
      <c r="G3845" s="123" t="n"/>
      <c r="H3845" s="123" t="n"/>
      <c r="I3845" s="123" t="n"/>
      <c r="J3845" s="123" t="n"/>
      <c r="K3845" s="123" t="n"/>
      <c r="L3845" s="123" t="n"/>
      <c r="M3845" s="123">
        <f>IF(AND(B3845&lt;&gt;"",OR($C$4="",ISNUMBER(SEARCH($C$4,C3845&amp;" "&amp;E3845&amp;" "&amp;G3845&amp;" "&amp;H3845&amp;" "&amp;I3845&amp;" "&amp;J3845&amp;" "&amp;K3845&amp;" "&amp;L3845))),OR($C$5="Semua",$C$5="",G3845=$C$5),OR($C$6="Semua",$C$6="",H3845=$C$6,H3845="Pengeluaran "&amp;$C$6,AND($C$6="Uang Kos Mama",H3845="Pengeluaran Uang Kos")),OR($C$7="Semua",$C$7="",I3845=$C$7),OR($C$8="Semua",$C$8="",C3845=$C$8,E3845=$C$8),OR($C$9="Semua",$C$9="",D3845=$C$9),OR($C$10="",B3845&gt;=$C$10),OR($C$11="",B3845&lt;=$C$11),OR($C$12&lt;&gt;"Ya",K3845&lt;&gt;""),OR($C$13="Semua",$C$13="",L3845=$C$13)),"✓","")</f>
        <v/>
      </c>
      <c r="N3845" s="93">
        <f>N(N3844)+IF(M3845="✓",1,0)</f>
        <v/>
      </c>
      <c r="O3845" s="93">
        <f>N(O3844)+IF(AND(B3845&lt;&gt;"",B3845&gt;='Uang Riba'!$H$30,B3845&lt;='Uang Riba'!$I$30,OR(H3845="Dana riba",H3845="Pinjam uang riba",I3845="Pinjam dari uang riba",I3845="Ganti uang riba",I3845="Kelebihan ganti dikembalikan",AND(C3845="Kantong Uang Riba",G3845="Pengeluaran"))),1,0)</f>
        <v/>
      </c>
      <c r="X3845" s="93">
        <f>IF(AND(B3845&lt;&gt;"",B3845&gt;='Buku Akun'!$H$4,B3845&lt;='Buku Akun'!$H$5,OR(C3845='Buku Akun'!$C$4,AND(D3845="Pindah",E3845='Buku Akun'!$C$4))),B3845+IF(AND(I3845="Selisih bunga",DAY(B3845)=1),0,0.01)+ROW()/10000000,"")</f>
        <v/>
      </c>
    </row>
    <row r="3846" outlineLevel="1" ht="15" customHeight="1" s="94">
      <c r="A3846" s="123">
        <f>IF(B3846="","",ROW()-15)</f>
        <v/>
      </c>
      <c r="B3846" s="124" t="n"/>
      <c r="C3846" s="123" t="n"/>
      <c r="D3846" s="123" t="n"/>
      <c r="E3846" s="123" t="n"/>
      <c r="F3846" s="125" t="n"/>
      <c r="G3846" s="123" t="n"/>
      <c r="H3846" s="123" t="n"/>
      <c r="I3846" s="123" t="n"/>
      <c r="J3846" s="123" t="n"/>
      <c r="K3846" s="123" t="n"/>
      <c r="L3846" s="123" t="n"/>
      <c r="M3846" s="123">
        <f>IF(AND(B3846&lt;&gt;"",OR($C$4="",ISNUMBER(SEARCH($C$4,C3846&amp;" "&amp;E3846&amp;" "&amp;G3846&amp;" "&amp;H3846&amp;" "&amp;I3846&amp;" "&amp;J3846&amp;" "&amp;K3846&amp;" "&amp;L3846))),OR($C$5="Semua",$C$5="",G3846=$C$5),OR($C$6="Semua",$C$6="",H3846=$C$6,H3846="Pengeluaran "&amp;$C$6,AND($C$6="Uang Kos Mama",H3846="Pengeluaran Uang Kos")),OR($C$7="Semua",$C$7="",I3846=$C$7),OR($C$8="Semua",$C$8="",C3846=$C$8,E3846=$C$8),OR($C$9="Semua",$C$9="",D3846=$C$9),OR($C$10="",B3846&gt;=$C$10),OR($C$11="",B3846&lt;=$C$11),OR($C$12&lt;&gt;"Ya",K3846&lt;&gt;""),OR($C$13="Semua",$C$13="",L3846=$C$13)),"✓","")</f>
        <v/>
      </c>
      <c r="N3846" s="93">
        <f>N(N3845)+IF(M3846="✓",1,0)</f>
        <v/>
      </c>
      <c r="O3846" s="93">
        <f>N(O3845)+IF(AND(B3846&lt;&gt;"",B3846&gt;='Uang Riba'!$H$30,B3846&lt;='Uang Riba'!$I$30,OR(H3846="Dana riba",H3846="Pinjam uang riba",I3846="Pinjam dari uang riba",I3846="Ganti uang riba",I3846="Kelebihan ganti dikembalikan",AND(C3846="Kantong Uang Riba",G3846="Pengeluaran"))),1,0)</f>
        <v/>
      </c>
      <c r="X3846" s="93">
        <f>IF(AND(B3846&lt;&gt;"",B3846&gt;='Buku Akun'!$H$4,B3846&lt;='Buku Akun'!$H$5,OR(C3846='Buku Akun'!$C$4,AND(D3846="Pindah",E3846='Buku Akun'!$C$4))),B3846+IF(AND(I3846="Selisih bunga",DAY(B3846)=1),0,0.01)+ROW()/10000000,"")</f>
        <v/>
      </c>
    </row>
    <row r="3847" outlineLevel="1" ht="15" customHeight="1" s="94">
      <c r="A3847" s="123">
        <f>IF(B3847="","",ROW()-15)</f>
        <v/>
      </c>
      <c r="B3847" s="124" t="n"/>
      <c r="C3847" s="123" t="n"/>
      <c r="D3847" s="123" t="n"/>
      <c r="E3847" s="123" t="n"/>
      <c r="F3847" s="125" t="n"/>
      <c r="G3847" s="123" t="n"/>
      <c r="H3847" s="123" t="n"/>
      <c r="I3847" s="123" t="n"/>
      <c r="J3847" s="123" t="n"/>
      <c r="K3847" s="123" t="n"/>
      <c r="L3847" s="123" t="n"/>
      <c r="M3847" s="123">
        <f>IF(AND(B3847&lt;&gt;"",OR($C$4="",ISNUMBER(SEARCH($C$4,C3847&amp;" "&amp;E3847&amp;" "&amp;G3847&amp;" "&amp;H3847&amp;" "&amp;I3847&amp;" "&amp;J3847&amp;" "&amp;K3847&amp;" "&amp;L3847))),OR($C$5="Semua",$C$5="",G3847=$C$5),OR($C$6="Semua",$C$6="",H3847=$C$6,H3847="Pengeluaran "&amp;$C$6,AND($C$6="Uang Kos Mama",H3847="Pengeluaran Uang Kos")),OR($C$7="Semua",$C$7="",I3847=$C$7),OR($C$8="Semua",$C$8="",C3847=$C$8,E3847=$C$8),OR($C$9="Semua",$C$9="",D3847=$C$9),OR($C$10="",B3847&gt;=$C$10),OR($C$11="",B3847&lt;=$C$11),OR($C$12&lt;&gt;"Ya",K3847&lt;&gt;""),OR($C$13="Semua",$C$13="",L3847=$C$13)),"✓","")</f>
        <v/>
      </c>
      <c r="N3847" s="93">
        <f>N(N3846)+IF(M3847="✓",1,0)</f>
        <v/>
      </c>
      <c r="O3847" s="93">
        <f>N(O3846)+IF(AND(B3847&lt;&gt;"",B3847&gt;='Uang Riba'!$H$30,B3847&lt;='Uang Riba'!$I$30,OR(H3847="Dana riba",H3847="Pinjam uang riba",I3847="Pinjam dari uang riba",I3847="Ganti uang riba",I3847="Kelebihan ganti dikembalikan",AND(C3847="Kantong Uang Riba",G3847="Pengeluaran"))),1,0)</f>
        <v/>
      </c>
      <c r="X3847" s="93">
        <f>IF(AND(B3847&lt;&gt;"",B3847&gt;='Buku Akun'!$H$4,B3847&lt;='Buku Akun'!$H$5,OR(C3847='Buku Akun'!$C$4,AND(D3847="Pindah",E3847='Buku Akun'!$C$4))),B3847+IF(AND(I3847="Selisih bunga",DAY(B3847)=1),0,0.01)+ROW()/10000000,"")</f>
        <v/>
      </c>
    </row>
    <row r="3848" outlineLevel="1" ht="15" customHeight="1" s="94">
      <c r="A3848" s="123">
        <f>IF(B3848="","",ROW()-15)</f>
        <v/>
      </c>
      <c r="B3848" s="124" t="n"/>
      <c r="C3848" s="123" t="n"/>
      <c r="D3848" s="123" t="n"/>
      <c r="E3848" s="123" t="n"/>
      <c r="F3848" s="125" t="n"/>
      <c r="G3848" s="123" t="n"/>
      <c r="H3848" s="123" t="n"/>
      <c r="I3848" s="123" t="n"/>
      <c r="J3848" s="123" t="n"/>
      <c r="K3848" s="123" t="n"/>
      <c r="L3848" s="123" t="n"/>
      <c r="M3848" s="123">
        <f>IF(AND(B3848&lt;&gt;"",OR($C$4="",ISNUMBER(SEARCH($C$4,C3848&amp;" "&amp;E3848&amp;" "&amp;G3848&amp;" "&amp;H3848&amp;" "&amp;I3848&amp;" "&amp;J3848&amp;" "&amp;K3848&amp;" "&amp;L3848))),OR($C$5="Semua",$C$5="",G3848=$C$5),OR($C$6="Semua",$C$6="",H3848=$C$6,H3848="Pengeluaran "&amp;$C$6,AND($C$6="Uang Kos Mama",H3848="Pengeluaran Uang Kos")),OR($C$7="Semua",$C$7="",I3848=$C$7),OR($C$8="Semua",$C$8="",C3848=$C$8,E3848=$C$8),OR($C$9="Semua",$C$9="",D3848=$C$9),OR($C$10="",B3848&gt;=$C$10),OR($C$11="",B3848&lt;=$C$11),OR($C$12&lt;&gt;"Ya",K3848&lt;&gt;""),OR($C$13="Semua",$C$13="",L3848=$C$13)),"✓","")</f>
        <v/>
      </c>
      <c r="N3848" s="93">
        <f>N(N3847)+IF(M3848="✓",1,0)</f>
        <v/>
      </c>
      <c r="O3848" s="93">
        <f>N(O3847)+IF(AND(B3848&lt;&gt;"",B3848&gt;='Uang Riba'!$H$30,B3848&lt;='Uang Riba'!$I$30,OR(H3848="Dana riba",H3848="Pinjam uang riba",I3848="Pinjam dari uang riba",I3848="Ganti uang riba",I3848="Kelebihan ganti dikembalikan",AND(C3848="Kantong Uang Riba",G3848="Pengeluaran"))),1,0)</f>
        <v/>
      </c>
      <c r="X3848" s="93">
        <f>IF(AND(B3848&lt;&gt;"",B3848&gt;='Buku Akun'!$H$4,B3848&lt;='Buku Akun'!$H$5,OR(C3848='Buku Akun'!$C$4,AND(D3848="Pindah",E3848='Buku Akun'!$C$4))),B3848+IF(AND(I3848="Selisih bunga",DAY(B3848)=1),0,0.01)+ROW()/10000000,"")</f>
        <v/>
      </c>
    </row>
    <row r="3849" outlineLevel="1" ht="15" customHeight="1" s="94">
      <c r="A3849" s="123">
        <f>IF(B3849="","",ROW()-15)</f>
        <v/>
      </c>
      <c r="B3849" s="124" t="n"/>
      <c r="C3849" s="123" t="n"/>
      <c r="D3849" s="123" t="n"/>
      <c r="E3849" s="123" t="n"/>
      <c r="F3849" s="125" t="n"/>
      <c r="G3849" s="123" t="n"/>
      <c r="H3849" s="123" t="n"/>
      <c r="I3849" s="123" t="n"/>
      <c r="J3849" s="123" t="n"/>
      <c r="K3849" s="123" t="n"/>
      <c r="L3849" s="123" t="n"/>
      <c r="M3849" s="123">
        <f>IF(AND(B3849&lt;&gt;"",OR($C$4="",ISNUMBER(SEARCH($C$4,C3849&amp;" "&amp;E3849&amp;" "&amp;G3849&amp;" "&amp;H3849&amp;" "&amp;I3849&amp;" "&amp;J3849&amp;" "&amp;K3849&amp;" "&amp;L3849))),OR($C$5="Semua",$C$5="",G3849=$C$5),OR($C$6="Semua",$C$6="",H3849=$C$6,H3849="Pengeluaran "&amp;$C$6,AND($C$6="Uang Kos Mama",H3849="Pengeluaran Uang Kos")),OR($C$7="Semua",$C$7="",I3849=$C$7),OR($C$8="Semua",$C$8="",C3849=$C$8,E3849=$C$8),OR($C$9="Semua",$C$9="",D3849=$C$9),OR($C$10="",B3849&gt;=$C$10),OR($C$11="",B3849&lt;=$C$11),OR($C$12&lt;&gt;"Ya",K3849&lt;&gt;""),OR($C$13="Semua",$C$13="",L3849=$C$13)),"✓","")</f>
        <v/>
      </c>
      <c r="N3849" s="93">
        <f>N(N3848)+IF(M3849="✓",1,0)</f>
        <v/>
      </c>
      <c r="O3849" s="93">
        <f>N(O3848)+IF(AND(B3849&lt;&gt;"",B3849&gt;='Uang Riba'!$H$30,B3849&lt;='Uang Riba'!$I$30,OR(H3849="Dana riba",H3849="Pinjam uang riba",I3849="Pinjam dari uang riba",I3849="Ganti uang riba",I3849="Kelebihan ganti dikembalikan",AND(C3849="Kantong Uang Riba",G3849="Pengeluaran"))),1,0)</f>
        <v/>
      </c>
      <c r="X3849" s="93">
        <f>IF(AND(B3849&lt;&gt;"",B3849&gt;='Buku Akun'!$H$4,B3849&lt;='Buku Akun'!$H$5,OR(C3849='Buku Akun'!$C$4,AND(D3849="Pindah",E3849='Buku Akun'!$C$4))),B3849+IF(AND(I3849="Selisih bunga",DAY(B3849)=1),0,0.01)+ROW()/10000000,"")</f>
        <v/>
      </c>
    </row>
    <row r="3850" outlineLevel="1" ht="15" customHeight="1" s="94">
      <c r="A3850" s="123">
        <f>IF(B3850="","",ROW()-15)</f>
        <v/>
      </c>
      <c r="B3850" s="124" t="n"/>
      <c r="C3850" s="123" t="n"/>
      <c r="D3850" s="123" t="n"/>
      <c r="E3850" s="123" t="n"/>
      <c r="F3850" s="125" t="n"/>
      <c r="G3850" s="123" t="n"/>
      <c r="H3850" s="123" t="n"/>
      <c r="I3850" s="123" t="n"/>
      <c r="J3850" s="123" t="n"/>
      <c r="K3850" s="123" t="n"/>
      <c r="L3850" s="123" t="n"/>
      <c r="M3850" s="123">
        <f>IF(AND(B3850&lt;&gt;"",OR($C$4="",ISNUMBER(SEARCH($C$4,C3850&amp;" "&amp;E3850&amp;" "&amp;G3850&amp;" "&amp;H3850&amp;" "&amp;I3850&amp;" "&amp;J3850&amp;" "&amp;K3850&amp;" "&amp;L3850))),OR($C$5="Semua",$C$5="",G3850=$C$5),OR($C$6="Semua",$C$6="",H3850=$C$6,H3850="Pengeluaran "&amp;$C$6,AND($C$6="Uang Kos Mama",H3850="Pengeluaran Uang Kos")),OR($C$7="Semua",$C$7="",I3850=$C$7),OR($C$8="Semua",$C$8="",C3850=$C$8,E3850=$C$8),OR($C$9="Semua",$C$9="",D3850=$C$9),OR($C$10="",B3850&gt;=$C$10),OR($C$11="",B3850&lt;=$C$11),OR($C$12&lt;&gt;"Ya",K3850&lt;&gt;""),OR($C$13="Semua",$C$13="",L3850=$C$13)),"✓","")</f>
        <v/>
      </c>
      <c r="N3850" s="93">
        <f>N(N3849)+IF(M3850="✓",1,0)</f>
        <v/>
      </c>
      <c r="O3850" s="93">
        <f>N(O3849)+IF(AND(B3850&lt;&gt;"",B3850&gt;='Uang Riba'!$H$30,B3850&lt;='Uang Riba'!$I$30,OR(H3850="Dana riba",H3850="Pinjam uang riba",I3850="Pinjam dari uang riba",I3850="Ganti uang riba",I3850="Kelebihan ganti dikembalikan",AND(C3850="Kantong Uang Riba",G3850="Pengeluaran"))),1,0)</f>
        <v/>
      </c>
      <c r="X3850" s="93">
        <f>IF(AND(B3850&lt;&gt;"",B3850&gt;='Buku Akun'!$H$4,B3850&lt;='Buku Akun'!$H$5,OR(C3850='Buku Akun'!$C$4,AND(D3850="Pindah",E3850='Buku Akun'!$C$4))),B3850+IF(AND(I3850="Selisih bunga",DAY(B3850)=1),0,0.01)+ROW()/10000000,"")</f>
        <v/>
      </c>
    </row>
    <row r="3851" outlineLevel="1" ht="15" customHeight="1" s="94">
      <c r="A3851" s="123">
        <f>IF(B3851="","",ROW()-15)</f>
        <v/>
      </c>
      <c r="B3851" s="124" t="n"/>
      <c r="C3851" s="123" t="n"/>
      <c r="D3851" s="123" t="n"/>
      <c r="E3851" s="123" t="n"/>
      <c r="F3851" s="125" t="n"/>
      <c r="G3851" s="123" t="n"/>
      <c r="H3851" s="123" t="n"/>
      <c r="I3851" s="123" t="n"/>
      <c r="J3851" s="123" t="n"/>
      <c r="K3851" s="123" t="n"/>
      <c r="L3851" s="123" t="n"/>
      <c r="M3851" s="123">
        <f>IF(AND(B3851&lt;&gt;"",OR($C$4="",ISNUMBER(SEARCH($C$4,C3851&amp;" "&amp;E3851&amp;" "&amp;G3851&amp;" "&amp;H3851&amp;" "&amp;I3851&amp;" "&amp;J3851&amp;" "&amp;K3851&amp;" "&amp;L3851))),OR($C$5="Semua",$C$5="",G3851=$C$5),OR($C$6="Semua",$C$6="",H3851=$C$6,H3851="Pengeluaran "&amp;$C$6,AND($C$6="Uang Kos Mama",H3851="Pengeluaran Uang Kos")),OR($C$7="Semua",$C$7="",I3851=$C$7),OR($C$8="Semua",$C$8="",C3851=$C$8,E3851=$C$8),OR($C$9="Semua",$C$9="",D3851=$C$9),OR($C$10="",B3851&gt;=$C$10),OR($C$11="",B3851&lt;=$C$11),OR($C$12&lt;&gt;"Ya",K3851&lt;&gt;""),OR($C$13="Semua",$C$13="",L3851=$C$13)),"✓","")</f>
        <v/>
      </c>
      <c r="N3851" s="93">
        <f>N(N3850)+IF(M3851="✓",1,0)</f>
        <v/>
      </c>
      <c r="O3851" s="93">
        <f>N(O3850)+IF(AND(B3851&lt;&gt;"",B3851&gt;='Uang Riba'!$H$30,B3851&lt;='Uang Riba'!$I$30,OR(H3851="Dana riba",H3851="Pinjam uang riba",I3851="Pinjam dari uang riba",I3851="Ganti uang riba",I3851="Kelebihan ganti dikembalikan",AND(C3851="Kantong Uang Riba",G3851="Pengeluaran"))),1,0)</f>
        <v/>
      </c>
      <c r="X3851" s="93">
        <f>IF(AND(B3851&lt;&gt;"",B3851&gt;='Buku Akun'!$H$4,B3851&lt;='Buku Akun'!$H$5,OR(C3851='Buku Akun'!$C$4,AND(D3851="Pindah",E3851='Buku Akun'!$C$4))),B3851+IF(AND(I3851="Selisih bunga",DAY(B3851)=1),0,0.01)+ROW()/10000000,"")</f>
        <v/>
      </c>
    </row>
    <row r="3852" outlineLevel="1" ht="15" customHeight="1" s="94">
      <c r="A3852" s="123">
        <f>IF(B3852="","",ROW()-15)</f>
        <v/>
      </c>
      <c r="B3852" s="124" t="n"/>
      <c r="C3852" s="123" t="n"/>
      <c r="D3852" s="123" t="n"/>
      <c r="E3852" s="123" t="n"/>
      <c r="F3852" s="125" t="n"/>
      <c r="G3852" s="123" t="n"/>
      <c r="H3852" s="123" t="n"/>
      <c r="I3852" s="123" t="n"/>
      <c r="J3852" s="123" t="n"/>
      <c r="K3852" s="123" t="n"/>
      <c r="L3852" s="123" t="n"/>
      <c r="M3852" s="123">
        <f>IF(AND(B3852&lt;&gt;"",OR($C$4="",ISNUMBER(SEARCH($C$4,C3852&amp;" "&amp;E3852&amp;" "&amp;G3852&amp;" "&amp;H3852&amp;" "&amp;I3852&amp;" "&amp;J3852&amp;" "&amp;K3852&amp;" "&amp;L3852))),OR($C$5="Semua",$C$5="",G3852=$C$5),OR($C$6="Semua",$C$6="",H3852=$C$6,H3852="Pengeluaran "&amp;$C$6,AND($C$6="Uang Kos Mama",H3852="Pengeluaran Uang Kos")),OR($C$7="Semua",$C$7="",I3852=$C$7),OR($C$8="Semua",$C$8="",C3852=$C$8,E3852=$C$8),OR($C$9="Semua",$C$9="",D3852=$C$9),OR($C$10="",B3852&gt;=$C$10),OR($C$11="",B3852&lt;=$C$11),OR($C$12&lt;&gt;"Ya",K3852&lt;&gt;""),OR($C$13="Semua",$C$13="",L3852=$C$13)),"✓","")</f>
        <v/>
      </c>
      <c r="N3852" s="93">
        <f>N(N3851)+IF(M3852="✓",1,0)</f>
        <v/>
      </c>
      <c r="O3852" s="93">
        <f>N(O3851)+IF(AND(B3852&lt;&gt;"",B3852&gt;='Uang Riba'!$H$30,B3852&lt;='Uang Riba'!$I$30,OR(H3852="Dana riba",H3852="Pinjam uang riba",I3852="Pinjam dari uang riba",I3852="Ganti uang riba",I3852="Kelebihan ganti dikembalikan",AND(C3852="Kantong Uang Riba",G3852="Pengeluaran"))),1,0)</f>
        <v/>
      </c>
      <c r="X3852" s="93">
        <f>IF(AND(B3852&lt;&gt;"",B3852&gt;='Buku Akun'!$H$4,B3852&lt;='Buku Akun'!$H$5,OR(C3852='Buku Akun'!$C$4,AND(D3852="Pindah",E3852='Buku Akun'!$C$4))),B3852+IF(AND(I3852="Selisih bunga",DAY(B3852)=1),0,0.01)+ROW()/10000000,"")</f>
        <v/>
      </c>
    </row>
    <row r="3853" outlineLevel="1" ht="15" customHeight="1" s="94">
      <c r="A3853" s="123">
        <f>IF(B3853="","",ROW()-15)</f>
        <v/>
      </c>
      <c r="B3853" s="124" t="n"/>
      <c r="C3853" s="123" t="n"/>
      <c r="D3853" s="123" t="n"/>
      <c r="E3853" s="123" t="n"/>
      <c r="F3853" s="125" t="n"/>
      <c r="G3853" s="123" t="n"/>
      <c r="H3853" s="123" t="n"/>
      <c r="I3853" s="123" t="n"/>
      <c r="J3853" s="123" t="n"/>
      <c r="K3853" s="123" t="n"/>
      <c r="L3853" s="123" t="n"/>
      <c r="M3853" s="123">
        <f>IF(AND(B3853&lt;&gt;"",OR($C$4="",ISNUMBER(SEARCH($C$4,C3853&amp;" "&amp;E3853&amp;" "&amp;G3853&amp;" "&amp;H3853&amp;" "&amp;I3853&amp;" "&amp;J3853&amp;" "&amp;K3853&amp;" "&amp;L3853))),OR($C$5="Semua",$C$5="",G3853=$C$5),OR($C$6="Semua",$C$6="",H3853=$C$6,H3853="Pengeluaran "&amp;$C$6,AND($C$6="Uang Kos Mama",H3853="Pengeluaran Uang Kos")),OR($C$7="Semua",$C$7="",I3853=$C$7),OR($C$8="Semua",$C$8="",C3853=$C$8,E3853=$C$8),OR($C$9="Semua",$C$9="",D3853=$C$9),OR($C$10="",B3853&gt;=$C$10),OR($C$11="",B3853&lt;=$C$11),OR($C$12&lt;&gt;"Ya",K3853&lt;&gt;""),OR($C$13="Semua",$C$13="",L3853=$C$13)),"✓","")</f>
        <v/>
      </c>
      <c r="N3853" s="93">
        <f>N(N3852)+IF(M3853="✓",1,0)</f>
        <v/>
      </c>
      <c r="O3853" s="93">
        <f>N(O3852)+IF(AND(B3853&lt;&gt;"",B3853&gt;='Uang Riba'!$H$30,B3853&lt;='Uang Riba'!$I$30,OR(H3853="Dana riba",H3853="Pinjam uang riba",I3853="Pinjam dari uang riba",I3853="Ganti uang riba",I3853="Kelebihan ganti dikembalikan",AND(C3853="Kantong Uang Riba",G3853="Pengeluaran"))),1,0)</f>
        <v/>
      </c>
      <c r="X3853" s="93">
        <f>IF(AND(B3853&lt;&gt;"",B3853&gt;='Buku Akun'!$H$4,B3853&lt;='Buku Akun'!$H$5,OR(C3853='Buku Akun'!$C$4,AND(D3853="Pindah",E3853='Buku Akun'!$C$4))),B3853+IF(AND(I3853="Selisih bunga",DAY(B3853)=1),0,0.01)+ROW()/10000000,"")</f>
        <v/>
      </c>
    </row>
    <row r="3854" outlineLevel="1" ht="15" customHeight="1" s="94">
      <c r="A3854" s="123">
        <f>IF(B3854="","",ROW()-15)</f>
        <v/>
      </c>
      <c r="B3854" s="124" t="n"/>
      <c r="C3854" s="123" t="n"/>
      <c r="D3854" s="123" t="n"/>
      <c r="E3854" s="123" t="n"/>
      <c r="F3854" s="125" t="n"/>
      <c r="G3854" s="123" t="n"/>
      <c r="H3854" s="123" t="n"/>
      <c r="I3854" s="123" t="n"/>
      <c r="J3854" s="123" t="n"/>
      <c r="K3854" s="123" t="n"/>
      <c r="L3854" s="123" t="n"/>
      <c r="M3854" s="123">
        <f>IF(AND(B3854&lt;&gt;"",OR($C$4="",ISNUMBER(SEARCH($C$4,C3854&amp;" "&amp;E3854&amp;" "&amp;G3854&amp;" "&amp;H3854&amp;" "&amp;I3854&amp;" "&amp;J3854&amp;" "&amp;K3854&amp;" "&amp;L3854))),OR($C$5="Semua",$C$5="",G3854=$C$5),OR($C$6="Semua",$C$6="",H3854=$C$6,H3854="Pengeluaran "&amp;$C$6,AND($C$6="Uang Kos Mama",H3854="Pengeluaran Uang Kos")),OR($C$7="Semua",$C$7="",I3854=$C$7),OR($C$8="Semua",$C$8="",C3854=$C$8,E3854=$C$8),OR($C$9="Semua",$C$9="",D3854=$C$9),OR($C$10="",B3854&gt;=$C$10),OR($C$11="",B3854&lt;=$C$11),OR($C$12&lt;&gt;"Ya",K3854&lt;&gt;""),OR($C$13="Semua",$C$13="",L3854=$C$13)),"✓","")</f>
        <v/>
      </c>
      <c r="N3854" s="93">
        <f>N(N3853)+IF(M3854="✓",1,0)</f>
        <v/>
      </c>
      <c r="O3854" s="93">
        <f>N(O3853)+IF(AND(B3854&lt;&gt;"",B3854&gt;='Uang Riba'!$H$30,B3854&lt;='Uang Riba'!$I$30,OR(H3854="Dana riba",H3854="Pinjam uang riba",I3854="Pinjam dari uang riba",I3854="Ganti uang riba",I3854="Kelebihan ganti dikembalikan",AND(C3854="Kantong Uang Riba",G3854="Pengeluaran"))),1,0)</f>
        <v/>
      </c>
      <c r="X3854" s="93">
        <f>IF(AND(B3854&lt;&gt;"",B3854&gt;='Buku Akun'!$H$4,B3854&lt;='Buku Akun'!$H$5,OR(C3854='Buku Akun'!$C$4,AND(D3854="Pindah",E3854='Buku Akun'!$C$4))),B3854+IF(AND(I3854="Selisih bunga",DAY(B3854)=1),0,0.01)+ROW()/10000000,"")</f>
        <v/>
      </c>
    </row>
    <row r="3855" outlineLevel="1" ht="15" customHeight="1" s="94">
      <c r="A3855" s="123">
        <f>IF(B3855="","",ROW()-15)</f>
        <v/>
      </c>
      <c r="B3855" s="124" t="n"/>
      <c r="C3855" s="123" t="n"/>
      <c r="D3855" s="123" t="n"/>
      <c r="E3855" s="123" t="n"/>
      <c r="F3855" s="125" t="n"/>
      <c r="G3855" s="123" t="n"/>
      <c r="H3855" s="123" t="n"/>
      <c r="I3855" s="123" t="n"/>
      <c r="J3855" s="123" t="n"/>
      <c r="K3855" s="123" t="n"/>
      <c r="L3855" s="123" t="n"/>
      <c r="M3855" s="123">
        <f>IF(AND(B3855&lt;&gt;"",OR($C$4="",ISNUMBER(SEARCH($C$4,C3855&amp;" "&amp;E3855&amp;" "&amp;G3855&amp;" "&amp;H3855&amp;" "&amp;I3855&amp;" "&amp;J3855&amp;" "&amp;K3855&amp;" "&amp;L3855))),OR($C$5="Semua",$C$5="",G3855=$C$5),OR($C$6="Semua",$C$6="",H3855=$C$6,H3855="Pengeluaran "&amp;$C$6,AND($C$6="Uang Kos Mama",H3855="Pengeluaran Uang Kos")),OR($C$7="Semua",$C$7="",I3855=$C$7),OR($C$8="Semua",$C$8="",C3855=$C$8,E3855=$C$8),OR($C$9="Semua",$C$9="",D3855=$C$9),OR($C$10="",B3855&gt;=$C$10),OR($C$11="",B3855&lt;=$C$11),OR($C$12&lt;&gt;"Ya",K3855&lt;&gt;""),OR($C$13="Semua",$C$13="",L3855=$C$13)),"✓","")</f>
        <v/>
      </c>
      <c r="N3855" s="93">
        <f>N(N3854)+IF(M3855="✓",1,0)</f>
        <v/>
      </c>
      <c r="O3855" s="93">
        <f>N(O3854)+IF(AND(B3855&lt;&gt;"",B3855&gt;='Uang Riba'!$H$30,B3855&lt;='Uang Riba'!$I$30,OR(H3855="Dana riba",H3855="Pinjam uang riba",I3855="Pinjam dari uang riba",I3855="Ganti uang riba",I3855="Kelebihan ganti dikembalikan",AND(C3855="Kantong Uang Riba",G3855="Pengeluaran"))),1,0)</f>
        <v/>
      </c>
      <c r="X3855" s="93">
        <f>IF(AND(B3855&lt;&gt;"",B3855&gt;='Buku Akun'!$H$4,B3855&lt;='Buku Akun'!$H$5,OR(C3855='Buku Akun'!$C$4,AND(D3855="Pindah",E3855='Buku Akun'!$C$4))),B3855+IF(AND(I3855="Selisih bunga",DAY(B3855)=1),0,0.01)+ROW()/10000000,"")</f>
        <v/>
      </c>
    </row>
    <row r="3856" outlineLevel="1" ht="15" customHeight="1" s="94">
      <c r="A3856" s="123">
        <f>IF(B3856="","",ROW()-15)</f>
        <v/>
      </c>
      <c r="B3856" s="124" t="n"/>
      <c r="C3856" s="123" t="n"/>
      <c r="D3856" s="123" t="n"/>
      <c r="E3856" s="123" t="n"/>
      <c r="F3856" s="125" t="n"/>
      <c r="G3856" s="123" t="n"/>
      <c r="H3856" s="123" t="n"/>
      <c r="I3856" s="123" t="n"/>
      <c r="J3856" s="123" t="n"/>
      <c r="K3856" s="123" t="n"/>
      <c r="L3856" s="123" t="n"/>
      <c r="M3856" s="123">
        <f>IF(AND(B3856&lt;&gt;"",OR($C$4="",ISNUMBER(SEARCH($C$4,C3856&amp;" "&amp;E3856&amp;" "&amp;G3856&amp;" "&amp;H3856&amp;" "&amp;I3856&amp;" "&amp;J3856&amp;" "&amp;K3856&amp;" "&amp;L3856))),OR($C$5="Semua",$C$5="",G3856=$C$5),OR($C$6="Semua",$C$6="",H3856=$C$6,H3856="Pengeluaran "&amp;$C$6,AND($C$6="Uang Kos Mama",H3856="Pengeluaran Uang Kos")),OR($C$7="Semua",$C$7="",I3856=$C$7),OR($C$8="Semua",$C$8="",C3856=$C$8,E3856=$C$8),OR($C$9="Semua",$C$9="",D3856=$C$9),OR($C$10="",B3856&gt;=$C$10),OR($C$11="",B3856&lt;=$C$11),OR($C$12&lt;&gt;"Ya",K3856&lt;&gt;""),OR($C$13="Semua",$C$13="",L3856=$C$13)),"✓","")</f>
        <v/>
      </c>
      <c r="N3856" s="93">
        <f>N(N3855)+IF(M3856="✓",1,0)</f>
        <v/>
      </c>
      <c r="O3856" s="93">
        <f>N(O3855)+IF(AND(B3856&lt;&gt;"",B3856&gt;='Uang Riba'!$H$30,B3856&lt;='Uang Riba'!$I$30,OR(H3856="Dana riba",H3856="Pinjam uang riba",I3856="Pinjam dari uang riba",I3856="Ganti uang riba",I3856="Kelebihan ganti dikembalikan",AND(C3856="Kantong Uang Riba",G3856="Pengeluaran"))),1,0)</f>
        <v/>
      </c>
      <c r="X3856" s="93">
        <f>IF(AND(B3856&lt;&gt;"",B3856&gt;='Buku Akun'!$H$4,B3856&lt;='Buku Akun'!$H$5,OR(C3856='Buku Akun'!$C$4,AND(D3856="Pindah",E3856='Buku Akun'!$C$4))),B3856+IF(AND(I3856="Selisih bunga",DAY(B3856)=1),0,0.01)+ROW()/10000000,"")</f>
        <v/>
      </c>
    </row>
    <row r="3857" outlineLevel="1" ht="15" customHeight="1" s="94">
      <c r="A3857" s="123">
        <f>IF(B3857="","",ROW()-15)</f>
        <v/>
      </c>
      <c r="B3857" s="124" t="n"/>
      <c r="C3857" s="123" t="n"/>
      <c r="D3857" s="123" t="n"/>
      <c r="E3857" s="123" t="n"/>
      <c r="F3857" s="125" t="n"/>
      <c r="G3857" s="123" t="n"/>
      <c r="H3857" s="123" t="n"/>
      <c r="I3857" s="123" t="n"/>
      <c r="J3857" s="123" t="n"/>
      <c r="K3857" s="123" t="n"/>
      <c r="L3857" s="123" t="n"/>
      <c r="M3857" s="123">
        <f>IF(AND(B3857&lt;&gt;"",OR($C$4="",ISNUMBER(SEARCH($C$4,C3857&amp;" "&amp;E3857&amp;" "&amp;G3857&amp;" "&amp;H3857&amp;" "&amp;I3857&amp;" "&amp;J3857&amp;" "&amp;K3857&amp;" "&amp;L3857))),OR($C$5="Semua",$C$5="",G3857=$C$5),OR($C$6="Semua",$C$6="",H3857=$C$6,H3857="Pengeluaran "&amp;$C$6,AND($C$6="Uang Kos Mama",H3857="Pengeluaran Uang Kos")),OR($C$7="Semua",$C$7="",I3857=$C$7),OR($C$8="Semua",$C$8="",C3857=$C$8,E3857=$C$8),OR($C$9="Semua",$C$9="",D3857=$C$9),OR($C$10="",B3857&gt;=$C$10),OR($C$11="",B3857&lt;=$C$11),OR($C$12&lt;&gt;"Ya",K3857&lt;&gt;""),OR($C$13="Semua",$C$13="",L3857=$C$13)),"✓","")</f>
        <v/>
      </c>
      <c r="N3857" s="93">
        <f>N(N3856)+IF(M3857="✓",1,0)</f>
        <v/>
      </c>
      <c r="O3857" s="93">
        <f>N(O3856)+IF(AND(B3857&lt;&gt;"",B3857&gt;='Uang Riba'!$H$30,B3857&lt;='Uang Riba'!$I$30,OR(H3857="Dana riba",H3857="Pinjam uang riba",I3857="Pinjam dari uang riba",I3857="Ganti uang riba",I3857="Kelebihan ganti dikembalikan",AND(C3857="Kantong Uang Riba",G3857="Pengeluaran"))),1,0)</f>
        <v/>
      </c>
      <c r="X3857" s="93">
        <f>IF(AND(B3857&lt;&gt;"",B3857&gt;='Buku Akun'!$H$4,B3857&lt;='Buku Akun'!$H$5,OR(C3857='Buku Akun'!$C$4,AND(D3857="Pindah",E3857='Buku Akun'!$C$4))),B3857+IF(AND(I3857="Selisih bunga",DAY(B3857)=1),0,0.01)+ROW()/10000000,"")</f>
        <v/>
      </c>
    </row>
    <row r="3858" outlineLevel="1" ht="15" customHeight="1" s="94">
      <c r="A3858" s="123">
        <f>IF(B3858="","",ROW()-15)</f>
        <v/>
      </c>
      <c r="B3858" s="124" t="n"/>
      <c r="C3858" s="123" t="n"/>
      <c r="D3858" s="123" t="n"/>
      <c r="E3858" s="123" t="n"/>
      <c r="F3858" s="125" t="n"/>
      <c r="G3858" s="123" t="n"/>
      <c r="H3858" s="123" t="n"/>
      <c r="I3858" s="123" t="n"/>
      <c r="J3858" s="123" t="n"/>
      <c r="K3858" s="123" t="n"/>
      <c r="L3858" s="123" t="n"/>
      <c r="M3858" s="123">
        <f>IF(AND(B3858&lt;&gt;"",OR($C$4="",ISNUMBER(SEARCH($C$4,C3858&amp;" "&amp;E3858&amp;" "&amp;G3858&amp;" "&amp;H3858&amp;" "&amp;I3858&amp;" "&amp;J3858&amp;" "&amp;K3858&amp;" "&amp;L3858))),OR($C$5="Semua",$C$5="",G3858=$C$5),OR($C$6="Semua",$C$6="",H3858=$C$6,H3858="Pengeluaran "&amp;$C$6,AND($C$6="Uang Kos Mama",H3858="Pengeluaran Uang Kos")),OR($C$7="Semua",$C$7="",I3858=$C$7),OR($C$8="Semua",$C$8="",C3858=$C$8,E3858=$C$8),OR($C$9="Semua",$C$9="",D3858=$C$9),OR($C$10="",B3858&gt;=$C$10),OR($C$11="",B3858&lt;=$C$11),OR($C$12&lt;&gt;"Ya",K3858&lt;&gt;""),OR($C$13="Semua",$C$13="",L3858=$C$13)),"✓","")</f>
        <v/>
      </c>
      <c r="N3858" s="93">
        <f>N(N3857)+IF(M3858="✓",1,0)</f>
        <v/>
      </c>
      <c r="O3858" s="93">
        <f>N(O3857)+IF(AND(B3858&lt;&gt;"",B3858&gt;='Uang Riba'!$H$30,B3858&lt;='Uang Riba'!$I$30,OR(H3858="Dana riba",H3858="Pinjam uang riba",I3858="Pinjam dari uang riba",I3858="Ganti uang riba",I3858="Kelebihan ganti dikembalikan",AND(C3858="Kantong Uang Riba",G3858="Pengeluaran"))),1,0)</f>
        <v/>
      </c>
      <c r="X3858" s="93">
        <f>IF(AND(B3858&lt;&gt;"",B3858&gt;='Buku Akun'!$H$4,B3858&lt;='Buku Akun'!$H$5,OR(C3858='Buku Akun'!$C$4,AND(D3858="Pindah",E3858='Buku Akun'!$C$4))),B3858+IF(AND(I3858="Selisih bunga",DAY(B3858)=1),0,0.01)+ROW()/10000000,"")</f>
        <v/>
      </c>
    </row>
    <row r="3859" outlineLevel="1" ht="15" customHeight="1" s="94">
      <c r="A3859" s="123">
        <f>IF(B3859="","",ROW()-15)</f>
        <v/>
      </c>
      <c r="B3859" s="124" t="n"/>
      <c r="C3859" s="123" t="n"/>
      <c r="D3859" s="123" t="n"/>
      <c r="E3859" s="123" t="n"/>
      <c r="F3859" s="125" t="n"/>
      <c r="G3859" s="123" t="n"/>
      <c r="H3859" s="123" t="n"/>
      <c r="I3859" s="123" t="n"/>
      <c r="J3859" s="123" t="n"/>
      <c r="K3859" s="123" t="n"/>
      <c r="L3859" s="123" t="n"/>
      <c r="M3859" s="123">
        <f>IF(AND(B3859&lt;&gt;"",OR($C$4="",ISNUMBER(SEARCH($C$4,C3859&amp;" "&amp;E3859&amp;" "&amp;G3859&amp;" "&amp;H3859&amp;" "&amp;I3859&amp;" "&amp;J3859&amp;" "&amp;K3859&amp;" "&amp;L3859))),OR($C$5="Semua",$C$5="",G3859=$C$5),OR($C$6="Semua",$C$6="",H3859=$C$6,H3859="Pengeluaran "&amp;$C$6,AND($C$6="Uang Kos Mama",H3859="Pengeluaran Uang Kos")),OR($C$7="Semua",$C$7="",I3859=$C$7),OR($C$8="Semua",$C$8="",C3859=$C$8,E3859=$C$8),OR($C$9="Semua",$C$9="",D3859=$C$9),OR($C$10="",B3859&gt;=$C$10),OR($C$11="",B3859&lt;=$C$11),OR($C$12&lt;&gt;"Ya",K3859&lt;&gt;""),OR($C$13="Semua",$C$13="",L3859=$C$13)),"✓","")</f>
        <v/>
      </c>
      <c r="N3859" s="93">
        <f>N(N3858)+IF(M3859="✓",1,0)</f>
        <v/>
      </c>
      <c r="O3859" s="93">
        <f>N(O3858)+IF(AND(B3859&lt;&gt;"",B3859&gt;='Uang Riba'!$H$30,B3859&lt;='Uang Riba'!$I$30,OR(H3859="Dana riba",H3859="Pinjam uang riba",I3859="Pinjam dari uang riba",I3859="Ganti uang riba",I3859="Kelebihan ganti dikembalikan",AND(C3859="Kantong Uang Riba",G3859="Pengeluaran"))),1,0)</f>
        <v/>
      </c>
      <c r="X3859" s="93">
        <f>IF(AND(B3859&lt;&gt;"",B3859&gt;='Buku Akun'!$H$4,B3859&lt;='Buku Akun'!$H$5,OR(C3859='Buku Akun'!$C$4,AND(D3859="Pindah",E3859='Buku Akun'!$C$4))),B3859+IF(AND(I3859="Selisih bunga",DAY(B3859)=1),0,0.01)+ROW()/10000000,"")</f>
        <v/>
      </c>
    </row>
    <row r="3860" outlineLevel="1" ht="15" customHeight="1" s="94">
      <c r="A3860" s="123">
        <f>IF(B3860="","",ROW()-15)</f>
        <v/>
      </c>
      <c r="B3860" s="124" t="n"/>
      <c r="C3860" s="123" t="n"/>
      <c r="D3860" s="123" t="n"/>
      <c r="E3860" s="123" t="n"/>
      <c r="F3860" s="125" t="n"/>
      <c r="G3860" s="123" t="n"/>
      <c r="H3860" s="123" t="n"/>
      <c r="I3860" s="123" t="n"/>
      <c r="J3860" s="123" t="n"/>
      <c r="K3860" s="123" t="n"/>
      <c r="L3860" s="123" t="n"/>
      <c r="M3860" s="123">
        <f>IF(AND(B3860&lt;&gt;"",OR($C$4="",ISNUMBER(SEARCH($C$4,C3860&amp;" "&amp;E3860&amp;" "&amp;G3860&amp;" "&amp;H3860&amp;" "&amp;I3860&amp;" "&amp;J3860&amp;" "&amp;K3860&amp;" "&amp;L3860))),OR($C$5="Semua",$C$5="",G3860=$C$5),OR($C$6="Semua",$C$6="",H3860=$C$6,H3860="Pengeluaran "&amp;$C$6,AND($C$6="Uang Kos Mama",H3860="Pengeluaran Uang Kos")),OR($C$7="Semua",$C$7="",I3860=$C$7),OR($C$8="Semua",$C$8="",C3860=$C$8,E3860=$C$8),OR($C$9="Semua",$C$9="",D3860=$C$9),OR($C$10="",B3860&gt;=$C$10),OR($C$11="",B3860&lt;=$C$11),OR($C$12&lt;&gt;"Ya",K3860&lt;&gt;""),OR($C$13="Semua",$C$13="",L3860=$C$13)),"✓","")</f>
        <v/>
      </c>
      <c r="N3860" s="93">
        <f>N(N3859)+IF(M3860="✓",1,0)</f>
        <v/>
      </c>
      <c r="O3860" s="93">
        <f>N(O3859)+IF(AND(B3860&lt;&gt;"",B3860&gt;='Uang Riba'!$H$30,B3860&lt;='Uang Riba'!$I$30,OR(H3860="Dana riba",H3860="Pinjam uang riba",I3860="Pinjam dari uang riba",I3860="Ganti uang riba",I3860="Kelebihan ganti dikembalikan",AND(C3860="Kantong Uang Riba",G3860="Pengeluaran"))),1,0)</f>
        <v/>
      </c>
      <c r="X3860" s="93">
        <f>IF(AND(B3860&lt;&gt;"",B3860&gt;='Buku Akun'!$H$4,B3860&lt;='Buku Akun'!$H$5,OR(C3860='Buku Akun'!$C$4,AND(D3860="Pindah",E3860='Buku Akun'!$C$4))),B3860+IF(AND(I3860="Selisih bunga",DAY(B3860)=1),0,0.01)+ROW()/10000000,"")</f>
        <v/>
      </c>
    </row>
    <row r="3861" outlineLevel="1" ht="15" customHeight="1" s="94">
      <c r="A3861" s="123">
        <f>IF(B3861="","",ROW()-15)</f>
        <v/>
      </c>
      <c r="B3861" s="124" t="n"/>
      <c r="C3861" s="123" t="n"/>
      <c r="D3861" s="123" t="n"/>
      <c r="E3861" s="123" t="n"/>
      <c r="F3861" s="125" t="n"/>
      <c r="G3861" s="123" t="n"/>
      <c r="H3861" s="123" t="n"/>
      <c r="I3861" s="123" t="n"/>
      <c r="J3861" s="123" t="n"/>
      <c r="K3861" s="123" t="n"/>
      <c r="L3861" s="123" t="n"/>
      <c r="M3861" s="123">
        <f>IF(AND(B3861&lt;&gt;"",OR($C$4="",ISNUMBER(SEARCH($C$4,C3861&amp;" "&amp;E3861&amp;" "&amp;G3861&amp;" "&amp;H3861&amp;" "&amp;I3861&amp;" "&amp;J3861&amp;" "&amp;K3861&amp;" "&amp;L3861))),OR($C$5="Semua",$C$5="",G3861=$C$5),OR($C$6="Semua",$C$6="",H3861=$C$6,H3861="Pengeluaran "&amp;$C$6,AND($C$6="Uang Kos Mama",H3861="Pengeluaran Uang Kos")),OR($C$7="Semua",$C$7="",I3861=$C$7),OR($C$8="Semua",$C$8="",C3861=$C$8,E3861=$C$8),OR($C$9="Semua",$C$9="",D3861=$C$9),OR($C$10="",B3861&gt;=$C$10),OR($C$11="",B3861&lt;=$C$11),OR($C$12&lt;&gt;"Ya",K3861&lt;&gt;""),OR($C$13="Semua",$C$13="",L3861=$C$13)),"✓","")</f>
        <v/>
      </c>
      <c r="N3861" s="93">
        <f>N(N3860)+IF(M3861="✓",1,0)</f>
        <v/>
      </c>
      <c r="O3861" s="93">
        <f>N(O3860)+IF(AND(B3861&lt;&gt;"",B3861&gt;='Uang Riba'!$H$30,B3861&lt;='Uang Riba'!$I$30,OR(H3861="Dana riba",H3861="Pinjam uang riba",I3861="Pinjam dari uang riba",I3861="Ganti uang riba",I3861="Kelebihan ganti dikembalikan",AND(C3861="Kantong Uang Riba",G3861="Pengeluaran"))),1,0)</f>
        <v/>
      </c>
      <c r="X3861" s="93">
        <f>IF(AND(B3861&lt;&gt;"",B3861&gt;='Buku Akun'!$H$4,B3861&lt;='Buku Akun'!$H$5,OR(C3861='Buku Akun'!$C$4,AND(D3861="Pindah",E3861='Buku Akun'!$C$4))),B3861+IF(AND(I3861="Selisih bunga",DAY(B3861)=1),0,0.01)+ROW()/10000000,"")</f>
        <v/>
      </c>
    </row>
    <row r="3862" outlineLevel="1" ht="15" customHeight="1" s="94">
      <c r="A3862" s="123">
        <f>IF(B3862="","",ROW()-15)</f>
        <v/>
      </c>
      <c r="B3862" s="124" t="n"/>
      <c r="C3862" s="123" t="n"/>
      <c r="D3862" s="123" t="n"/>
      <c r="E3862" s="123" t="n"/>
      <c r="F3862" s="125" t="n"/>
      <c r="G3862" s="123" t="n"/>
      <c r="H3862" s="123" t="n"/>
      <c r="I3862" s="123" t="n"/>
      <c r="J3862" s="123" t="n"/>
      <c r="K3862" s="123" t="n"/>
      <c r="L3862" s="123" t="n"/>
      <c r="M3862" s="123">
        <f>IF(AND(B3862&lt;&gt;"",OR($C$4="",ISNUMBER(SEARCH($C$4,C3862&amp;" "&amp;E3862&amp;" "&amp;G3862&amp;" "&amp;H3862&amp;" "&amp;I3862&amp;" "&amp;J3862&amp;" "&amp;K3862&amp;" "&amp;L3862))),OR($C$5="Semua",$C$5="",G3862=$C$5),OR($C$6="Semua",$C$6="",H3862=$C$6,H3862="Pengeluaran "&amp;$C$6,AND($C$6="Uang Kos Mama",H3862="Pengeluaran Uang Kos")),OR($C$7="Semua",$C$7="",I3862=$C$7),OR($C$8="Semua",$C$8="",C3862=$C$8,E3862=$C$8),OR($C$9="Semua",$C$9="",D3862=$C$9),OR($C$10="",B3862&gt;=$C$10),OR($C$11="",B3862&lt;=$C$11),OR($C$12&lt;&gt;"Ya",K3862&lt;&gt;""),OR($C$13="Semua",$C$13="",L3862=$C$13)),"✓","")</f>
        <v/>
      </c>
      <c r="N3862" s="93">
        <f>N(N3861)+IF(M3862="✓",1,0)</f>
        <v/>
      </c>
      <c r="O3862" s="93">
        <f>N(O3861)+IF(AND(B3862&lt;&gt;"",B3862&gt;='Uang Riba'!$H$30,B3862&lt;='Uang Riba'!$I$30,OR(H3862="Dana riba",H3862="Pinjam uang riba",I3862="Pinjam dari uang riba",I3862="Ganti uang riba",I3862="Kelebihan ganti dikembalikan",AND(C3862="Kantong Uang Riba",G3862="Pengeluaran"))),1,0)</f>
        <v/>
      </c>
      <c r="X3862" s="93">
        <f>IF(AND(B3862&lt;&gt;"",B3862&gt;='Buku Akun'!$H$4,B3862&lt;='Buku Akun'!$H$5,OR(C3862='Buku Akun'!$C$4,AND(D3862="Pindah",E3862='Buku Akun'!$C$4))),B3862+IF(AND(I3862="Selisih bunga",DAY(B3862)=1),0,0.01)+ROW()/10000000,"")</f>
        <v/>
      </c>
    </row>
    <row r="3863" outlineLevel="1" ht="15" customHeight="1" s="94">
      <c r="A3863" s="123">
        <f>IF(B3863="","",ROW()-15)</f>
        <v/>
      </c>
      <c r="B3863" s="124" t="n"/>
      <c r="C3863" s="123" t="n"/>
      <c r="D3863" s="123" t="n"/>
      <c r="E3863" s="123" t="n"/>
      <c r="F3863" s="125" t="n"/>
      <c r="G3863" s="123" t="n"/>
      <c r="H3863" s="123" t="n"/>
      <c r="I3863" s="123" t="n"/>
      <c r="J3863" s="123" t="n"/>
      <c r="K3863" s="123" t="n"/>
      <c r="L3863" s="123" t="n"/>
      <c r="M3863" s="123">
        <f>IF(AND(B3863&lt;&gt;"",OR($C$4="",ISNUMBER(SEARCH($C$4,C3863&amp;" "&amp;E3863&amp;" "&amp;G3863&amp;" "&amp;H3863&amp;" "&amp;I3863&amp;" "&amp;J3863&amp;" "&amp;K3863&amp;" "&amp;L3863))),OR($C$5="Semua",$C$5="",G3863=$C$5),OR($C$6="Semua",$C$6="",H3863=$C$6,H3863="Pengeluaran "&amp;$C$6,AND($C$6="Uang Kos Mama",H3863="Pengeluaran Uang Kos")),OR($C$7="Semua",$C$7="",I3863=$C$7),OR($C$8="Semua",$C$8="",C3863=$C$8,E3863=$C$8),OR($C$9="Semua",$C$9="",D3863=$C$9),OR($C$10="",B3863&gt;=$C$10),OR($C$11="",B3863&lt;=$C$11),OR($C$12&lt;&gt;"Ya",K3863&lt;&gt;""),OR($C$13="Semua",$C$13="",L3863=$C$13)),"✓","")</f>
        <v/>
      </c>
      <c r="N3863" s="93">
        <f>N(N3862)+IF(M3863="✓",1,0)</f>
        <v/>
      </c>
      <c r="O3863" s="93">
        <f>N(O3862)+IF(AND(B3863&lt;&gt;"",B3863&gt;='Uang Riba'!$H$30,B3863&lt;='Uang Riba'!$I$30,OR(H3863="Dana riba",H3863="Pinjam uang riba",I3863="Pinjam dari uang riba",I3863="Ganti uang riba",I3863="Kelebihan ganti dikembalikan",AND(C3863="Kantong Uang Riba",G3863="Pengeluaran"))),1,0)</f>
        <v/>
      </c>
      <c r="X3863" s="93">
        <f>IF(AND(B3863&lt;&gt;"",B3863&gt;='Buku Akun'!$H$4,B3863&lt;='Buku Akun'!$H$5,OR(C3863='Buku Akun'!$C$4,AND(D3863="Pindah",E3863='Buku Akun'!$C$4))),B3863+IF(AND(I3863="Selisih bunga",DAY(B3863)=1),0,0.01)+ROW()/10000000,"")</f>
        <v/>
      </c>
    </row>
    <row r="3864" outlineLevel="1" ht="15" customHeight="1" s="94">
      <c r="A3864" s="123">
        <f>IF(B3864="","",ROW()-15)</f>
        <v/>
      </c>
      <c r="B3864" s="124" t="n"/>
      <c r="C3864" s="123" t="n"/>
      <c r="D3864" s="123" t="n"/>
      <c r="E3864" s="123" t="n"/>
      <c r="F3864" s="125" t="n"/>
      <c r="G3864" s="123" t="n"/>
      <c r="H3864" s="123" t="n"/>
      <c r="I3864" s="123" t="n"/>
      <c r="J3864" s="123" t="n"/>
      <c r="K3864" s="123" t="n"/>
      <c r="L3864" s="123" t="n"/>
      <c r="M3864" s="123">
        <f>IF(AND(B3864&lt;&gt;"",OR($C$4="",ISNUMBER(SEARCH($C$4,C3864&amp;" "&amp;E3864&amp;" "&amp;G3864&amp;" "&amp;H3864&amp;" "&amp;I3864&amp;" "&amp;J3864&amp;" "&amp;K3864&amp;" "&amp;L3864))),OR($C$5="Semua",$C$5="",G3864=$C$5),OR($C$6="Semua",$C$6="",H3864=$C$6,H3864="Pengeluaran "&amp;$C$6,AND($C$6="Uang Kos Mama",H3864="Pengeluaran Uang Kos")),OR($C$7="Semua",$C$7="",I3864=$C$7),OR($C$8="Semua",$C$8="",C3864=$C$8,E3864=$C$8),OR($C$9="Semua",$C$9="",D3864=$C$9),OR($C$10="",B3864&gt;=$C$10),OR($C$11="",B3864&lt;=$C$11),OR($C$12&lt;&gt;"Ya",K3864&lt;&gt;""),OR($C$13="Semua",$C$13="",L3864=$C$13)),"✓","")</f>
        <v/>
      </c>
      <c r="N3864" s="93">
        <f>N(N3863)+IF(M3864="✓",1,0)</f>
        <v/>
      </c>
      <c r="O3864" s="93">
        <f>N(O3863)+IF(AND(B3864&lt;&gt;"",B3864&gt;='Uang Riba'!$H$30,B3864&lt;='Uang Riba'!$I$30,OR(H3864="Dana riba",H3864="Pinjam uang riba",I3864="Pinjam dari uang riba",I3864="Ganti uang riba",I3864="Kelebihan ganti dikembalikan",AND(C3864="Kantong Uang Riba",G3864="Pengeluaran"))),1,0)</f>
        <v/>
      </c>
      <c r="X3864" s="93">
        <f>IF(AND(B3864&lt;&gt;"",B3864&gt;='Buku Akun'!$H$4,B3864&lt;='Buku Akun'!$H$5,OR(C3864='Buku Akun'!$C$4,AND(D3864="Pindah",E3864='Buku Akun'!$C$4))),B3864+IF(AND(I3864="Selisih bunga",DAY(B3864)=1),0,0.01)+ROW()/10000000,"")</f>
        <v/>
      </c>
    </row>
    <row r="3865" outlineLevel="1" ht="15" customHeight="1" s="94">
      <c r="A3865" s="123">
        <f>IF(B3865="","",ROW()-15)</f>
        <v/>
      </c>
      <c r="B3865" s="124" t="n"/>
      <c r="C3865" s="123" t="n"/>
      <c r="D3865" s="123" t="n"/>
      <c r="E3865" s="123" t="n"/>
      <c r="F3865" s="125" t="n"/>
      <c r="G3865" s="123" t="n"/>
      <c r="H3865" s="123" t="n"/>
      <c r="I3865" s="123" t="n"/>
      <c r="J3865" s="123" t="n"/>
      <c r="K3865" s="123" t="n"/>
      <c r="L3865" s="123" t="n"/>
      <c r="M3865" s="123">
        <f>IF(AND(B3865&lt;&gt;"",OR($C$4="",ISNUMBER(SEARCH($C$4,C3865&amp;" "&amp;E3865&amp;" "&amp;G3865&amp;" "&amp;H3865&amp;" "&amp;I3865&amp;" "&amp;J3865&amp;" "&amp;K3865&amp;" "&amp;L3865))),OR($C$5="Semua",$C$5="",G3865=$C$5),OR($C$6="Semua",$C$6="",H3865=$C$6,H3865="Pengeluaran "&amp;$C$6,AND($C$6="Uang Kos Mama",H3865="Pengeluaran Uang Kos")),OR($C$7="Semua",$C$7="",I3865=$C$7),OR($C$8="Semua",$C$8="",C3865=$C$8,E3865=$C$8),OR($C$9="Semua",$C$9="",D3865=$C$9),OR($C$10="",B3865&gt;=$C$10),OR($C$11="",B3865&lt;=$C$11),OR($C$12&lt;&gt;"Ya",K3865&lt;&gt;""),OR($C$13="Semua",$C$13="",L3865=$C$13)),"✓","")</f>
        <v/>
      </c>
      <c r="N3865" s="93">
        <f>N(N3864)+IF(M3865="✓",1,0)</f>
        <v/>
      </c>
      <c r="O3865" s="93">
        <f>N(O3864)+IF(AND(B3865&lt;&gt;"",B3865&gt;='Uang Riba'!$H$30,B3865&lt;='Uang Riba'!$I$30,OR(H3865="Dana riba",H3865="Pinjam uang riba",I3865="Pinjam dari uang riba",I3865="Ganti uang riba",I3865="Kelebihan ganti dikembalikan",AND(C3865="Kantong Uang Riba",G3865="Pengeluaran"))),1,0)</f>
        <v/>
      </c>
      <c r="X3865" s="93">
        <f>IF(AND(B3865&lt;&gt;"",B3865&gt;='Buku Akun'!$H$4,B3865&lt;='Buku Akun'!$H$5,OR(C3865='Buku Akun'!$C$4,AND(D3865="Pindah",E3865='Buku Akun'!$C$4))),B3865+IF(AND(I3865="Selisih bunga",DAY(B3865)=1),0,0.01)+ROW()/10000000,"")</f>
        <v/>
      </c>
    </row>
    <row r="3866" outlineLevel="1" ht="15" customHeight="1" s="94">
      <c r="A3866" s="123">
        <f>IF(B3866="","",ROW()-15)</f>
        <v/>
      </c>
      <c r="B3866" s="124" t="n"/>
      <c r="C3866" s="123" t="n"/>
      <c r="D3866" s="123" t="n"/>
      <c r="E3866" s="123" t="n"/>
      <c r="F3866" s="125" t="n"/>
      <c r="G3866" s="123" t="n"/>
      <c r="H3866" s="123" t="n"/>
      <c r="I3866" s="123" t="n"/>
      <c r="J3866" s="123" t="n"/>
      <c r="K3866" s="123" t="n"/>
      <c r="L3866" s="123" t="n"/>
      <c r="M3866" s="123">
        <f>IF(AND(B3866&lt;&gt;"",OR($C$4="",ISNUMBER(SEARCH($C$4,C3866&amp;" "&amp;E3866&amp;" "&amp;G3866&amp;" "&amp;H3866&amp;" "&amp;I3866&amp;" "&amp;J3866&amp;" "&amp;K3866&amp;" "&amp;L3866))),OR($C$5="Semua",$C$5="",G3866=$C$5),OR($C$6="Semua",$C$6="",H3866=$C$6,H3866="Pengeluaran "&amp;$C$6,AND($C$6="Uang Kos Mama",H3866="Pengeluaran Uang Kos")),OR($C$7="Semua",$C$7="",I3866=$C$7),OR($C$8="Semua",$C$8="",C3866=$C$8,E3866=$C$8),OR($C$9="Semua",$C$9="",D3866=$C$9),OR($C$10="",B3866&gt;=$C$10),OR($C$11="",B3866&lt;=$C$11),OR($C$12&lt;&gt;"Ya",K3866&lt;&gt;""),OR($C$13="Semua",$C$13="",L3866=$C$13)),"✓","")</f>
        <v/>
      </c>
      <c r="N3866" s="93">
        <f>N(N3865)+IF(M3866="✓",1,0)</f>
        <v/>
      </c>
      <c r="O3866" s="93">
        <f>N(O3865)+IF(AND(B3866&lt;&gt;"",B3866&gt;='Uang Riba'!$H$30,B3866&lt;='Uang Riba'!$I$30,OR(H3866="Dana riba",H3866="Pinjam uang riba",I3866="Pinjam dari uang riba",I3866="Ganti uang riba",I3866="Kelebihan ganti dikembalikan",AND(C3866="Kantong Uang Riba",G3866="Pengeluaran"))),1,0)</f>
        <v/>
      </c>
      <c r="X3866" s="93">
        <f>IF(AND(B3866&lt;&gt;"",B3866&gt;='Buku Akun'!$H$4,B3866&lt;='Buku Akun'!$H$5,OR(C3866='Buku Akun'!$C$4,AND(D3866="Pindah",E3866='Buku Akun'!$C$4))),B3866+IF(AND(I3866="Selisih bunga",DAY(B3866)=1),0,0.01)+ROW()/10000000,"")</f>
        <v/>
      </c>
    </row>
    <row r="3867" outlineLevel="1" ht="15" customHeight="1" s="94">
      <c r="A3867" s="123">
        <f>IF(B3867="","",ROW()-15)</f>
        <v/>
      </c>
      <c r="B3867" s="124" t="n"/>
      <c r="C3867" s="123" t="n"/>
      <c r="D3867" s="123" t="n"/>
      <c r="E3867" s="123" t="n"/>
      <c r="F3867" s="125" t="n"/>
      <c r="G3867" s="123" t="n"/>
      <c r="H3867" s="123" t="n"/>
      <c r="I3867" s="123" t="n"/>
      <c r="J3867" s="123" t="n"/>
      <c r="K3867" s="123" t="n"/>
      <c r="L3867" s="123" t="n"/>
      <c r="M3867" s="123">
        <f>IF(AND(B3867&lt;&gt;"",OR($C$4="",ISNUMBER(SEARCH($C$4,C3867&amp;" "&amp;E3867&amp;" "&amp;G3867&amp;" "&amp;H3867&amp;" "&amp;I3867&amp;" "&amp;J3867&amp;" "&amp;K3867&amp;" "&amp;L3867))),OR($C$5="Semua",$C$5="",G3867=$C$5),OR($C$6="Semua",$C$6="",H3867=$C$6,H3867="Pengeluaran "&amp;$C$6,AND($C$6="Uang Kos Mama",H3867="Pengeluaran Uang Kos")),OR($C$7="Semua",$C$7="",I3867=$C$7),OR($C$8="Semua",$C$8="",C3867=$C$8,E3867=$C$8),OR($C$9="Semua",$C$9="",D3867=$C$9),OR($C$10="",B3867&gt;=$C$10),OR($C$11="",B3867&lt;=$C$11),OR($C$12&lt;&gt;"Ya",K3867&lt;&gt;""),OR($C$13="Semua",$C$13="",L3867=$C$13)),"✓","")</f>
        <v/>
      </c>
      <c r="N3867" s="93">
        <f>N(N3866)+IF(M3867="✓",1,0)</f>
        <v/>
      </c>
      <c r="O3867" s="93">
        <f>N(O3866)+IF(AND(B3867&lt;&gt;"",B3867&gt;='Uang Riba'!$H$30,B3867&lt;='Uang Riba'!$I$30,OR(H3867="Dana riba",H3867="Pinjam uang riba",I3867="Pinjam dari uang riba",I3867="Ganti uang riba",I3867="Kelebihan ganti dikembalikan",AND(C3867="Kantong Uang Riba",G3867="Pengeluaran"))),1,0)</f>
        <v/>
      </c>
      <c r="X3867" s="93">
        <f>IF(AND(B3867&lt;&gt;"",B3867&gt;='Buku Akun'!$H$4,B3867&lt;='Buku Akun'!$H$5,OR(C3867='Buku Akun'!$C$4,AND(D3867="Pindah",E3867='Buku Akun'!$C$4))),B3867+IF(AND(I3867="Selisih bunga",DAY(B3867)=1),0,0.01)+ROW()/10000000,"")</f>
        <v/>
      </c>
    </row>
    <row r="3868" outlineLevel="1" ht="15" customHeight="1" s="94">
      <c r="A3868" s="123">
        <f>IF(B3868="","",ROW()-15)</f>
        <v/>
      </c>
      <c r="B3868" s="124" t="n"/>
      <c r="C3868" s="123" t="n"/>
      <c r="D3868" s="123" t="n"/>
      <c r="E3868" s="123" t="n"/>
      <c r="F3868" s="125" t="n"/>
      <c r="G3868" s="123" t="n"/>
      <c r="H3868" s="123" t="n"/>
      <c r="I3868" s="123" t="n"/>
      <c r="J3868" s="123" t="n"/>
      <c r="K3868" s="123" t="n"/>
      <c r="L3868" s="123" t="n"/>
      <c r="M3868" s="123">
        <f>IF(AND(B3868&lt;&gt;"",OR($C$4="",ISNUMBER(SEARCH($C$4,C3868&amp;" "&amp;E3868&amp;" "&amp;G3868&amp;" "&amp;H3868&amp;" "&amp;I3868&amp;" "&amp;J3868&amp;" "&amp;K3868&amp;" "&amp;L3868))),OR($C$5="Semua",$C$5="",G3868=$C$5),OR($C$6="Semua",$C$6="",H3868=$C$6,H3868="Pengeluaran "&amp;$C$6,AND($C$6="Uang Kos Mama",H3868="Pengeluaran Uang Kos")),OR($C$7="Semua",$C$7="",I3868=$C$7),OR($C$8="Semua",$C$8="",C3868=$C$8,E3868=$C$8),OR($C$9="Semua",$C$9="",D3868=$C$9),OR($C$10="",B3868&gt;=$C$10),OR($C$11="",B3868&lt;=$C$11),OR($C$12&lt;&gt;"Ya",K3868&lt;&gt;""),OR($C$13="Semua",$C$13="",L3868=$C$13)),"✓","")</f>
        <v/>
      </c>
      <c r="N3868" s="93">
        <f>N(N3867)+IF(M3868="✓",1,0)</f>
        <v/>
      </c>
      <c r="O3868" s="93">
        <f>N(O3867)+IF(AND(B3868&lt;&gt;"",B3868&gt;='Uang Riba'!$H$30,B3868&lt;='Uang Riba'!$I$30,OR(H3868="Dana riba",H3868="Pinjam uang riba",I3868="Pinjam dari uang riba",I3868="Ganti uang riba",I3868="Kelebihan ganti dikembalikan",AND(C3868="Kantong Uang Riba",G3868="Pengeluaran"))),1,0)</f>
        <v/>
      </c>
      <c r="X3868" s="93">
        <f>IF(AND(B3868&lt;&gt;"",B3868&gt;='Buku Akun'!$H$4,B3868&lt;='Buku Akun'!$H$5,OR(C3868='Buku Akun'!$C$4,AND(D3868="Pindah",E3868='Buku Akun'!$C$4))),B3868+IF(AND(I3868="Selisih bunga",DAY(B3868)=1),0,0.01)+ROW()/10000000,"")</f>
        <v/>
      </c>
    </row>
    <row r="3869" outlineLevel="1" ht="15" customHeight="1" s="94">
      <c r="A3869" s="123">
        <f>IF(B3869="","",ROW()-15)</f>
        <v/>
      </c>
      <c r="B3869" s="124" t="n"/>
      <c r="C3869" s="123" t="n"/>
      <c r="D3869" s="123" t="n"/>
      <c r="E3869" s="123" t="n"/>
      <c r="F3869" s="125" t="n"/>
      <c r="G3869" s="123" t="n"/>
      <c r="H3869" s="123" t="n"/>
      <c r="I3869" s="123" t="n"/>
      <c r="J3869" s="123" t="n"/>
      <c r="K3869" s="123" t="n"/>
      <c r="L3869" s="123" t="n"/>
      <c r="M3869" s="123">
        <f>IF(AND(B3869&lt;&gt;"",OR($C$4="",ISNUMBER(SEARCH($C$4,C3869&amp;" "&amp;E3869&amp;" "&amp;G3869&amp;" "&amp;H3869&amp;" "&amp;I3869&amp;" "&amp;J3869&amp;" "&amp;K3869&amp;" "&amp;L3869))),OR($C$5="Semua",$C$5="",G3869=$C$5),OR($C$6="Semua",$C$6="",H3869=$C$6,H3869="Pengeluaran "&amp;$C$6,AND($C$6="Uang Kos Mama",H3869="Pengeluaran Uang Kos")),OR($C$7="Semua",$C$7="",I3869=$C$7),OR($C$8="Semua",$C$8="",C3869=$C$8,E3869=$C$8),OR($C$9="Semua",$C$9="",D3869=$C$9),OR($C$10="",B3869&gt;=$C$10),OR($C$11="",B3869&lt;=$C$11),OR($C$12&lt;&gt;"Ya",K3869&lt;&gt;""),OR($C$13="Semua",$C$13="",L3869=$C$13)),"✓","")</f>
        <v/>
      </c>
      <c r="N3869" s="93">
        <f>N(N3868)+IF(M3869="✓",1,0)</f>
        <v/>
      </c>
      <c r="O3869" s="93">
        <f>N(O3868)+IF(AND(B3869&lt;&gt;"",B3869&gt;='Uang Riba'!$H$30,B3869&lt;='Uang Riba'!$I$30,OR(H3869="Dana riba",H3869="Pinjam uang riba",I3869="Pinjam dari uang riba",I3869="Ganti uang riba",I3869="Kelebihan ganti dikembalikan",AND(C3869="Kantong Uang Riba",G3869="Pengeluaran"))),1,0)</f>
        <v/>
      </c>
      <c r="X3869" s="93">
        <f>IF(AND(B3869&lt;&gt;"",B3869&gt;='Buku Akun'!$H$4,B3869&lt;='Buku Akun'!$H$5,OR(C3869='Buku Akun'!$C$4,AND(D3869="Pindah",E3869='Buku Akun'!$C$4))),B3869+IF(AND(I3869="Selisih bunga",DAY(B3869)=1),0,0.01)+ROW()/10000000,"")</f>
        <v/>
      </c>
    </row>
    <row r="3870" outlineLevel="1" ht="15" customHeight="1" s="94">
      <c r="A3870" s="123">
        <f>IF(B3870="","",ROW()-15)</f>
        <v/>
      </c>
      <c r="B3870" s="124" t="n"/>
      <c r="C3870" s="123" t="n"/>
      <c r="D3870" s="123" t="n"/>
      <c r="E3870" s="123" t="n"/>
      <c r="F3870" s="125" t="n"/>
      <c r="G3870" s="123" t="n"/>
      <c r="H3870" s="123" t="n"/>
      <c r="I3870" s="123" t="n"/>
      <c r="J3870" s="123" t="n"/>
      <c r="K3870" s="123" t="n"/>
      <c r="L3870" s="123" t="n"/>
      <c r="M3870" s="123">
        <f>IF(AND(B3870&lt;&gt;"",OR($C$4="",ISNUMBER(SEARCH($C$4,C3870&amp;" "&amp;E3870&amp;" "&amp;G3870&amp;" "&amp;H3870&amp;" "&amp;I3870&amp;" "&amp;J3870&amp;" "&amp;K3870&amp;" "&amp;L3870))),OR($C$5="Semua",$C$5="",G3870=$C$5),OR($C$6="Semua",$C$6="",H3870=$C$6,H3870="Pengeluaran "&amp;$C$6,AND($C$6="Uang Kos Mama",H3870="Pengeluaran Uang Kos")),OR($C$7="Semua",$C$7="",I3870=$C$7),OR($C$8="Semua",$C$8="",C3870=$C$8,E3870=$C$8),OR($C$9="Semua",$C$9="",D3870=$C$9),OR($C$10="",B3870&gt;=$C$10),OR($C$11="",B3870&lt;=$C$11),OR($C$12&lt;&gt;"Ya",K3870&lt;&gt;""),OR($C$13="Semua",$C$13="",L3870=$C$13)),"✓","")</f>
        <v/>
      </c>
      <c r="N3870" s="93">
        <f>N(N3869)+IF(M3870="✓",1,0)</f>
        <v/>
      </c>
      <c r="O3870" s="93">
        <f>N(O3869)+IF(AND(B3870&lt;&gt;"",B3870&gt;='Uang Riba'!$H$30,B3870&lt;='Uang Riba'!$I$30,OR(H3870="Dana riba",H3870="Pinjam uang riba",I3870="Pinjam dari uang riba",I3870="Ganti uang riba",I3870="Kelebihan ganti dikembalikan",AND(C3870="Kantong Uang Riba",G3870="Pengeluaran"))),1,0)</f>
        <v/>
      </c>
      <c r="X3870" s="93">
        <f>IF(AND(B3870&lt;&gt;"",B3870&gt;='Buku Akun'!$H$4,B3870&lt;='Buku Akun'!$H$5,OR(C3870='Buku Akun'!$C$4,AND(D3870="Pindah",E3870='Buku Akun'!$C$4))),B3870+IF(AND(I3870="Selisih bunga",DAY(B3870)=1),0,0.01)+ROW()/10000000,"")</f>
        <v/>
      </c>
    </row>
    <row r="3871" outlineLevel="1" ht="15" customHeight="1" s="94">
      <c r="A3871" s="123">
        <f>IF(B3871="","",ROW()-15)</f>
        <v/>
      </c>
      <c r="B3871" s="124" t="n"/>
      <c r="C3871" s="123" t="n"/>
      <c r="D3871" s="123" t="n"/>
      <c r="E3871" s="123" t="n"/>
      <c r="F3871" s="125" t="n"/>
      <c r="G3871" s="123" t="n"/>
      <c r="H3871" s="123" t="n"/>
      <c r="I3871" s="123" t="n"/>
      <c r="J3871" s="123" t="n"/>
      <c r="K3871" s="123" t="n"/>
      <c r="L3871" s="123" t="n"/>
      <c r="M3871" s="123">
        <f>IF(AND(B3871&lt;&gt;"",OR($C$4="",ISNUMBER(SEARCH($C$4,C3871&amp;" "&amp;E3871&amp;" "&amp;G3871&amp;" "&amp;H3871&amp;" "&amp;I3871&amp;" "&amp;J3871&amp;" "&amp;K3871&amp;" "&amp;L3871))),OR($C$5="Semua",$C$5="",G3871=$C$5),OR($C$6="Semua",$C$6="",H3871=$C$6,H3871="Pengeluaran "&amp;$C$6,AND($C$6="Uang Kos Mama",H3871="Pengeluaran Uang Kos")),OR($C$7="Semua",$C$7="",I3871=$C$7),OR($C$8="Semua",$C$8="",C3871=$C$8,E3871=$C$8),OR($C$9="Semua",$C$9="",D3871=$C$9),OR($C$10="",B3871&gt;=$C$10),OR($C$11="",B3871&lt;=$C$11),OR($C$12&lt;&gt;"Ya",K3871&lt;&gt;""),OR($C$13="Semua",$C$13="",L3871=$C$13)),"✓","")</f>
        <v/>
      </c>
      <c r="N3871" s="93">
        <f>N(N3870)+IF(M3871="✓",1,0)</f>
        <v/>
      </c>
      <c r="O3871" s="93">
        <f>N(O3870)+IF(AND(B3871&lt;&gt;"",B3871&gt;='Uang Riba'!$H$30,B3871&lt;='Uang Riba'!$I$30,OR(H3871="Dana riba",H3871="Pinjam uang riba",I3871="Pinjam dari uang riba",I3871="Ganti uang riba",I3871="Kelebihan ganti dikembalikan",AND(C3871="Kantong Uang Riba",G3871="Pengeluaran"))),1,0)</f>
        <v/>
      </c>
      <c r="X3871" s="93">
        <f>IF(AND(B3871&lt;&gt;"",B3871&gt;='Buku Akun'!$H$4,B3871&lt;='Buku Akun'!$H$5,OR(C3871='Buku Akun'!$C$4,AND(D3871="Pindah",E3871='Buku Akun'!$C$4))),B3871+IF(AND(I3871="Selisih bunga",DAY(B3871)=1),0,0.01)+ROW()/10000000,"")</f>
        <v/>
      </c>
    </row>
    <row r="3872" outlineLevel="1" ht="15" customHeight="1" s="94">
      <c r="A3872" s="123">
        <f>IF(B3872="","",ROW()-15)</f>
        <v/>
      </c>
      <c r="B3872" s="124" t="n"/>
      <c r="C3872" s="123" t="n"/>
      <c r="D3872" s="123" t="n"/>
      <c r="E3872" s="123" t="n"/>
      <c r="F3872" s="125" t="n"/>
      <c r="G3872" s="123" t="n"/>
      <c r="H3872" s="123" t="n"/>
      <c r="I3872" s="123" t="n"/>
      <c r="J3872" s="123" t="n"/>
      <c r="K3872" s="123" t="n"/>
      <c r="L3872" s="123" t="n"/>
      <c r="M3872" s="123">
        <f>IF(AND(B3872&lt;&gt;"",OR($C$4="",ISNUMBER(SEARCH($C$4,C3872&amp;" "&amp;E3872&amp;" "&amp;G3872&amp;" "&amp;H3872&amp;" "&amp;I3872&amp;" "&amp;J3872&amp;" "&amp;K3872&amp;" "&amp;L3872))),OR($C$5="Semua",$C$5="",G3872=$C$5),OR($C$6="Semua",$C$6="",H3872=$C$6,H3872="Pengeluaran "&amp;$C$6,AND($C$6="Uang Kos Mama",H3872="Pengeluaran Uang Kos")),OR($C$7="Semua",$C$7="",I3872=$C$7),OR($C$8="Semua",$C$8="",C3872=$C$8,E3872=$C$8),OR($C$9="Semua",$C$9="",D3872=$C$9),OR($C$10="",B3872&gt;=$C$10),OR($C$11="",B3872&lt;=$C$11),OR($C$12&lt;&gt;"Ya",K3872&lt;&gt;""),OR($C$13="Semua",$C$13="",L3872=$C$13)),"✓","")</f>
        <v/>
      </c>
      <c r="N3872" s="93">
        <f>N(N3871)+IF(M3872="✓",1,0)</f>
        <v/>
      </c>
      <c r="O3872" s="93">
        <f>N(O3871)+IF(AND(B3872&lt;&gt;"",B3872&gt;='Uang Riba'!$H$30,B3872&lt;='Uang Riba'!$I$30,OR(H3872="Dana riba",H3872="Pinjam uang riba",I3872="Pinjam dari uang riba",I3872="Ganti uang riba",I3872="Kelebihan ganti dikembalikan",AND(C3872="Kantong Uang Riba",G3872="Pengeluaran"))),1,0)</f>
        <v/>
      </c>
      <c r="X3872" s="93">
        <f>IF(AND(B3872&lt;&gt;"",B3872&gt;='Buku Akun'!$H$4,B3872&lt;='Buku Akun'!$H$5,OR(C3872='Buku Akun'!$C$4,AND(D3872="Pindah",E3872='Buku Akun'!$C$4))),B3872+IF(AND(I3872="Selisih bunga",DAY(B3872)=1),0,0.01)+ROW()/10000000,"")</f>
        <v/>
      </c>
    </row>
    <row r="3873" outlineLevel="1" ht="15" customHeight="1" s="94">
      <c r="A3873" s="123">
        <f>IF(B3873="","",ROW()-15)</f>
        <v/>
      </c>
      <c r="B3873" s="124" t="n"/>
      <c r="C3873" s="123" t="n"/>
      <c r="D3873" s="123" t="n"/>
      <c r="E3873" s="123" t="n"/>
      <c r="F3873" s="125" t="n"/>
      <c r="G3873" s="123" t="n"/>
      <c r="H3873" s="123" t="n"/>
      <c r="I3873" s="123" t="n"/>
      <c r="J3873" s="123" t="n"/>
      <c r="K3873" s="123" t="n"/>
      <c r="L3873" s="123" t="n"/>
      <c r="M3873" s="123">
        <f>IF(AND(B3873&lt;&gt;"",OR($C$4="",ISNUMBER(SEARCH($C$4,C3873&amp;" "&amp;E3873&amp;" "&amp;G3873&amp;" "&amp;H3873&amp;" "&amp;I3873&amp;" "&amp;J3873&amp;" "&amp;K3873&amp;" "&amp;L3873))),OR($C$5="Semua",$C$5="",G3873=$C$5),OR($C$6="Semua",$C$6="",H3873=$C$6,H3873="Pengeluaran "&amp;$C$6,AND($C$6="Uang Kos Mama",H3873="Pengeluaran Uang Kos")),OR($C$7="Semua",$C$7="",I3873=$C$7),OR($C$8="Semua",$C$8="",C3873=$C$8,E3873=$C$8),OR($C$9="Semua",$C$9="",D3873=$C$9),OR($C$10="",B3873&gt;=$C$10),OR($C$11="",B3873&lt;=$C$11),OR($C$12&lt;&gt;"Ya",K3873&lt;&gt;""),OR($C$13="Semua",$C$13="",L3873=$C$13)),"✓","")</f>
        <v/>
      </c>
      <c r="N3873" s="93">
        <f>N(N3872)+IF(M3873="✓",1,0)</f>
        <v/>
      </c>
      <c r="O3873" s="93">
        <f>N(O3872)+IF(AND(B3873&lt;&gt;"",B3873&gt;='Uang Riba'!$H$30,B3873&lt;='Uang Riba'!$I$30,OR(H3873="Dana riba",H3873="Pinjam uang riba",I3873="Pinjam dari uang riba",I3873="Ganti uang riba",I3873="Kelebihan ganti dikembalikan",AND(C3873="Kantong Uang Riba",G3873="Pengeluaran"))),1,0)</f>
        <v/>
      </c>
      <c r="X3873" s="93">
        <f>IF(AND(B3873&lt;&gt;"",B3873&gt;='Buku Akun'!$H$4,B3873&lt;='Buku Akun'!$H$5,OR(C3873='Buku Akun'!$C$4,AND(D3873="Pindah",E3873='Buku Akun'!$C$4))),B3873+IF(AND(I3873="Selisih bunga",DAY(B3873)=1),0,0.01)+ROW()/10000000,"")</f>
        <v/>
      </c>
    </row>
    <row r="3874" outlineLevel="1" ht="15" customHeight="1" s="94">
      <c r="A3874" s="123">
        <f>IF(B3874="","",ROW()-15)</f>
        <v/>
      </c>
      <c r="B3874" s="124" t="n"/>
      <c r="C3874" s="123" t="n"/>
      <c r="D3874" s="123" t="n"/>
      <c r="E3874" s="123" t="n"/>
      <c r="F3874" s="125" t="n"/>
      <c r="G3874" s="123" t="n"/>
      <c r="H3874" s="123" t="n"/>
      <c r="I3874" s="123" t="n"/>
      <c r="J3874" s="123" t="n"/>
      <c r="K3874" s="123" t="n"/>
      <c r="L3874" s="123" t="n"/>
      <c r="M3874" s="123">
        <f>IF(AND(B3874&lt;&gt;"",OR($C$4="",ISNUMBER(SEARCH($C$4,C3874&amp;" "&amp;E3874&amp;" "&amp;G3874&amp;" "&amp;H3874&amp;" "&amp;I3874&amp;" "&amp;J3874&amp;" "&amp;K3874&amp;" "&amp;L3874))),OR($C$5="Semua",$C$5="",G3874=$C$5),OR($C$6="Semua",$C$6="",H3874=$C$6,H3874="Pengeluaran "&amp;$C$6,AND($C$6="Uang Kos Mama",H3874="Pengeluaran Uang Kos")),OR($C$7="Semua",$C$7="",I3874=$C$7),OR($C$8="Semua",$C$8="",C3874=$C$8,E3874=$C$8),OR($C$9="Semua",$C$9="",D3874=$C$9),OR($C$10="",B3874&gt;=$C$10),OR($C$11="",B3874&lt;=$C$11),OR($C$12&lt;&gt;"Ya",K3874&lt;&gt;""),OR($C$13="Semua",$C$13="",L3874=$C$13)),"✓","")</f>
        <v/>
      </c>
      <c r="N3874" s="93">
        <f>N(N3873)+IF(M3874="✓",1,0)</f>
        <v/>
      </c>
      <c r="O3874" s="93">
        <f>N(O3873)+IF(AND(B3874&lt;&gt;"",B3874&gt;='Uang Riba'!$H$30,B3874&lt;='Uang Riba'!$I$30,OR(H3874="Dana riba",H3874="Pinjam uang riba",I3874="Pinjam dari uang riba",I3874="Ganti uang riba",I3874="Kelebihan ganti dikembalikan",AND(C3874="Kantong Uang Riba",G3874="Pengeluaran"))),1,0)</f>
        <v/>
      </c>
      <c r="X3874" s="93">
        <f>IF(AND(B3874&lt;&gt;"",B3874&gt;='Buku Akun'!$H$4,B3874&lt;='Buku Akun'!$H$5,OR(C3874='Buku Akun'!$C$4,AND(D3874="Pindah",E3874='Buku Akun'!$C$4))),B3874+IF(AND(I3874="Selisih bunga",DAY(B3874)=1),0,0.01)+ROW()/10000000,"")</f>
        <v/>
      </c>
    </row>
    <row r="3875" outlineLevel="1" ht="15" customHeight="1" s="94">
      <c r="A3875" s="123">
        <f>IF(B3875="","",ROW()-15)</f>
        <v/>
      </c>
      <c r="B3875" s="124" t="n"/>
      <c r="C3875" s="123" t="n"/>
      <c r="D3875" s="123" t="n"/>
      <c r="E3875" s="123" t="n"/>
      <c r="F3875" s="125" t="n"/>
      <c r="G3875" s="123" t="n"/>
      <c r="H3875" s="123" t="n"/>
      <c r="I3875" s="123" t="n"/>
      <c r="J3875" s="123" t="n"/>
      <c r="K3875" s="123" t="n"/>
      <c r="L3875" s="123" t="n"/>
      <c r="M3875" s="123">
        <f>IF(AND(B3875&lt;&gt;"",OR($C$4="",ISNUMBER(SEARCH($C$4,C3875&amp;" "&amp;E3875&amp;" "&amp;G3875&amp;" "&amp;H3875&amp;" "&amp;I3875&amp;" "&amp;J3875&amp;" "&amp;K3875&amp;" "&amp;L3875))),OR($C$5="Semua",$C$5="",G3875=$C$5),OR($C$6="Semua",$C$6="",H3875=$C$6,H3875="Pengeluaran "&amp;$C$6,AND($C$6="Uang Kos Mama",H3875="Pengeluaran Uang Kos")),OR($C$7="Semua",$C$7="",I3875=$C$7),OR($C$8="Semua",$C$8="",C3875=$C$8,E3875=$C$8),OR($C$9="Semua",$C$9="",D3875=$C$9),OR($C$10="",B3875&gt;=$C$10),OR($C$11="",B3875&lt;=$C$11),OR($C$12&lt;&gt;"Ya",K3875&lt;&gt;""),OR($C$13="Semua",$C$13="",L3875=$C$13)),"✓","")</f>
        <v/>
      </c>
      <c r="N3875" s="93">
        <f>N(N3874)+IF(M3875="✓",1,0)</f>
        <v/>
      </c>
      <c r="O3875" s="93">
        <f>N(O3874)+IF(AND(B3875&lt;&gt;"",B3875&gt;='Uang Riba'!$H$30,B3875&lt;='Uang Riba'!$I$30,OR(H3875="Dana riba",H3875="Pinjam uang riba",I3875="Pinjam dari uang riba",I3875="Ganti uang riba",I3875="Kelebihan ganti dikembalikan",AND(C3875="Kantong Uang Riba",G3875="Pengeluaran"))),1,0)</f>
        <v/>
      </c>
      <c r="X3875" s="93">
        <f>IF(AND(B3875&lt;&gt;"",B3875&gt;='Buku Akun'!$H$4,B3875&lt;='Buku Akun'!$H$5,OR(C3875='Buku Akun'!$C$4,AND(D3875="Pindah",E3875='Buku Akun'!$C$4))),B3875+IF(AND(I3875="Selisih bunga",DAY(B3875)=1),0,0.01)+ROW()/10000000,"")</f>
        <v/>
      </c>
    </row>
    <row r="3876" outlineLevel="1" ht="15" customHeight="1" s="94">
      <c r="A3876" s="123">
        <f>IF(B3876="","",ROW()-15)</f>
        <v/>
      </c>
      <c r="B3876" s="124" t="n"/>
      <c r="C3876" s="123" t="n"/>
      <c r="D3876" s="123" t="n"/>
      <c r="E3876" s="123" t="n"/>
      <c r="F3876" s="125" t="n"/>
      <c r="G3876" s="123" t="n"/>
      <c r="H3876" s="123" t="n"/>
      <c r="I3876" s="123" t="n"/>
      <c r="J3876" s="123" t="n"/>
      <c r="K3876" s="123" t="n"/>
      <c r="L3876" s="123" t="n"/>
      <c r="M3876" s="123">
        <f>IF(AND(B3876&lt;&gt;"",OR($C$4="",ISNUMBER(SEARCH($C$4,C3876&amp;" "&amp;E3876&amp;" "&amp;G3876&amp;" "&amp;H3876&amp;" "&amp;I3876&amp;" "&amp;J3876&amp;" "&amp;K3876&amp;" "&amp;L3876))),OR($C$5="Semua",$C$5="",G3876=$C$5),OR($C$6="Semua",$C$6="",H3876=$C$6,H3876="Pengeluaran "&amp;$C$6,AND($C$6="Uang Kos Mama",H3876="Pengeluaran Uang Kos")),OR($C$7="Semua",$C$7="",I3876=$C$7),OR($C$8="Semua",$C$8="",C3876=$C$8,E3876=$C$8),OR($C$9="Semua",$C$9="",D3876=$C$9),OR($C$10="",B3876&gt;=$C$10),OR($C$11="",B3876&lt;=$C$11),OR($C$12&lt;&gt;"Ya",K3876&lt;&gt;""),OR($C$13="Semua",$C$13="",L3876=$C$13)),"✓","")</f>
        <v/>
      </c>
      <c r="N3876" s="93">
        <f>N(N3875)+IF(M3876="✓",1,0)</f>
        <v/>
      </c>
      <c r="O3876" s="93">
        <f>N(O3875)+IF(AND(B3876&lt;&gt;"",B3876&gt;='Uang Riba'!$H$30,B3876&lt;='Uang Riba'!$I$30,OR(H3876="Dana riba",H3876="Pinjam uang riba",I3876="Pinjam dari uang riba",I3876="Ganti uang riba",I3876="Kelebihan ganti dikembalikan",AND(C3876="Kantong Uang Riba",G3876="Pengeluaran"))),1,0)</f>
        <v/>
      </c>
      <c r="X3876" s="93">
        <f>IF(AND(B3876&lt;&gt;"",B3876&gt;='Buku Akun'!$H$4,B3876&lt;='Buku Akun'!$H$5,OR(C3876='Buku Akun'!$C$4,AND(D3876="Pindah",E3876='Buku Akun'!$C$4))),B3876+IF(AND(I3876="Selisih bunga",DAY(B3876)=1),0,0.01)+ROW()/10000000,"")</f>
        <v/>
      </c>
    </row>
    <row r="3877" outlineLevel="1" ht="15" customHeight="1" s="94">
      <c r="A3877" s="123">
        <f>IF(B3877="","",ROW()-15)</f>
        <v/>
      </c>
      <c r="B3877" s="124" t="n"/>
      <c r="C3877" s="123" t="n"/>
      <c r="D3877" s="123" t="n"/>
      <c r="E3877" s="123" t="n"/>
      <c r="F3877" s="125" t="n"/>
      <c r="G3877" s="123" t="n"/>
      <c r="H3877" s="123" t="n"/>
      <c r="I3877" s="123" t="n"/>
      <c r="J3877" s="123" t="n"/>
      <c r="K3877" s="123" t="n"/>
      <c r="L3877" s="123" t="n"/>
      <c r="M3877" s="123">
        <f>IF(AND(B3877&lt;&gt;"",OR($C$4="",ISNUMBER(SEARCH($C$4,C3877&amp;" "&amp;E3877&amp;" "&amp;G3877&amp;" "&amp;H3877&amp;" "&amp;I3877&amp;" "&amp;J3877&amp;" "&amp;K3877&amp;" "&amp;L3877))),OR($C$5="Semua",$C$5="",G3877=$C$5),OR($C$6="Semua",$C$6="",H3877=$C$6,H3877="Pengeluaran "&amp;$C$6,AND($C$6="Uang Kos Mama",H3877="Pengeluaran Uang Kos")),OR($C$7="Semua",$C$7="",I3877=$C$7),OR($C$8="Semua",$C$8="",C3877=$C$8,E3877=$C$8),OR($C$9="Semua",$C$9="",D3877=$C$9),OR($C$10="",B3877&gt;=$C$10),OR($C$11="",B3877&lt;=$C$11),OR($C$12&lt;&gt;"Ya",K3877&lt;&gt;""),OR($C$13="Semua",$C$13="",L3877=$C$13)),"✓","")</f>
        <v/>
      </c>
      <c r="N3877" s="93">
        <f>N(N3876)+IF(M3877="✓",1,0)</f>
        <v/>
      </c>
      <c r="O3877" s="93">
        <f>N(O3876)+IF(AND(B3877&lt;&gt;"",B3877&gt;='Uang Riba'!$H$30,B3877&lt;='Uang Riba'!$I$30,OR(H3877="Dana riba",H3877="Pinjam uang riba",I3877="Pinjam dari uang riba",I3877="Ganti uang riba",I3877="Kelebihan ganti dikembalikan",AND(C3877="Kantong Uang Riba",G3877="Pengeluaran"))),1,0)</f>
        <v/>
      </c>
      <c r="X3877" s="93">
        <f>IF(AND(B3877&lt;&gt;"",B3877&gt;='Buku Akun'!$H$4,B3877&lt;='Buku Akun'!$H$5,OR(C3877='Buku Akun'!$C$4,AND(D3877="Pindah",E3877='Buku Akun'!$C$4))),B3877+IF(AND(I3877="Selisih bunga",DAY(B3877)=1),0,0.01)+ROW()/10000000,"")</f>
        <v/>
      </c>
    </row>
    <row r="3878" outlineLevel="1" ht="15" customHeight="1" s="94">
      <c r="A3878" s="123">
        <f>IF(B3878="","",ROW()-15)</f>
        <v/>
      </c>
      <c r="B3878" s="124" t="n"/>
      <c r="C3878" s="123" t="n"/>
      <c r="D3878" s="123" t="n"/>
      <c r="E3878" s="123" t="n"/>
      <c r="F3878" s="125" t="n"/>
      <c r="G3878" s="123" t="n"/>
      <c r="H3878" s="123" t="n"/>
      <c r="I3878" s="123" t="n"/>
      <c r="J3878" s="123" t="n"/>
      <c r="K3878" s="123" t="n"/>
      <c r="L3878" s="123" t="n"/>
      <c r="M3878" s="123">
        <f>IF(AND(B3878&lt;&gt;"",OR($C$4="",ISNUMBER(SEARCH($C$4,C3878&amp;" "&amp;E3878&amp;" "&amp;G3878&amp;" "&amp;H3878&amp;" "&amp;I3878&amp;" "&amp;J3878&amp;" "&amp;K3878&amp;" "&amp;L3878))),OR($C$5="Semua",$C$5="",G3878=$C$5),OR($C$6="Semua",$C$6="",H3878=$C$6,H3878="Pengeluaran "&amp;$C$6,AND($C$6="Uang Kos Mama",H3878="Pengeluaran Uang Kos")),OR($C$7="Semua",$C$7="",I3878=$C$7),OR($C$8="Semua",$C$8="",C3878=$C$8,E3878=$C$8),OR($C$9="Semua",$C$9="",D3878=$C$9),OR($C$10="",B3878&gt;=$C$10),OR($C$11="",B3878&lt;=$C$11),OR($C$12&lt;&gt;"Ya",K3878&lt;&gt;""),OR($C$13="Semua",$C$13="",L3878=$C$13)),"✓","")</f>
        <v/>
      </c>
      <c r="N3878" s="93">
        <f>N(N3877)+IF(M3878="✓",1,0)</f>
        <v/>
      </c>
      <c r="O3878" s="93">
        <f>N(O3877)+IF(AND(B3878&lt;&gt;"",B3878&gt;='Uang Riba'!$H$30,B3878&lt;='Uang Riba'!$I$30,OR(H3878="Dana riba",H3878="Pinjam uang riba",I3878="Pinjam dari uang riba",I3878="Ganti uang riba",I3878="Kelebihan ganti dikembalikan",AND(C3878="Kantong Uang Riba",G3878="Pengeluaran"))),1,0)</f>
        <v/>
      </c>
      <c r="X3878" s="93">
        <f>IF(AND(B3878&lt;&gt;"",B3878&gt;='Buku Akun'!$H$4,B3878&lt;='Buku Akun'!$H$5,OR(C3878='Buku Akun'!$C$4,AND(D3878="Pindah",E3878='Buku Akun'!$C$4))),B3878+IF(AND(I3878="Selisih bunga",DAY(B3878)=1),0,0.01)+ROW()/10000000,"")</f>
        <v/>
      </c>
    </row>
    <row r="3879" outlineLevel="1" ht="15" customHeight="1" s="94">
      <c r="A3879" s="123">
        <f>IF(B3879="","",ROW()-15)</f>
        <v/>
      </c>
      <c r="B3879" s="124" t="n"/>
      <c r="C3879" s="123" t="n"/>
      <c r="D3879" s="123" t="n"/>
      <c r="E3879" s="123" t="n"/>
      <c r="F3879" s="125" t="n"/>
      <c r="G3879" s="123" t="n"/>
      <c r="H3879" s="123" t="n"/>
      <c r="I3879" s="123" t="n"/>
      <c r="J3879" s="123" t="n"/>
      <c r="K3879" s="123" t="n"/>
      <c r="L3879" s="123" t="n"/>
      <c r="M3879" s="123">
        <f>IF(AND(B3879&lt;&gt;"",OR($C$4="",ISNUMBER(SEARCH($C$4,C3879&amp;" "&amp;E3879&amp;" "&amp;G3879&amp;" "&amp;H3879&amp;" "&amp;I3879&amp;" "&amp;J3879&amp;" "&amp;K3879&amp;" "&amp;L3879))),OR($C$5="Semua",$C$5="",G3879=$C$5),OR($C$6="Semua",$C$6="",H3879=$C$6,H3879="Pengeluaran "&amp;$C$6,AND($C$6="Uang Kos Mama",H3879="Pengeluaran Uang Kos")),OR($C$7="Semua",$C$7="",I3879=$C$7),OR($C$8="Semua",$C$8="",C3879=$C$8,E3879=$C$8),OR($C$9="Semua",$C$9="",D3879=$C$9),OR($C$10="",B3879&gt;=$C$10),OR($C$11="",B3879&lt;=$C$11),OR($C$12&lt;&gt;"Ya",K3879&lt;&gt;""),OR($C$13="Semua",$C$13="",L3879=$C$13)),"✓","")</f>
        <v/>
      </c>
      <c r="N3879" s="93">
        <f>N(N3878)+IF(M3879="✓",1,0)</f>
        <v/>
      </c>
      <c r="O3879" s="93">
        <f>N(O3878)+IF(AND(B3879&lt;&gt;"",B3879&gt;='Uang Riba'!$H$30,B3879&lt;='Uang Riba'!$I$30,OR(H3879="Dana riba",H3879="Pinjam uang riba",I3879="Pinjam dari uang riba",I3879="Ganti uang riba",I3879="Kelebihan ganti dikembalikan",AND(C3879="Kantong Uang Riba",G3879="Pengeluaran"))),1,0)</f>
        <v/>
      </c>
      <c r="X3879" s="93">
        <f>IF(AND(B3879&lt;&gt;"",B3879&gt;='Buku Akun'!$H$4,B3879&lt;='Buku Akun'!$H$5,OR(C3879='Buku Akun'!$C$4,AND(D3879="Pindah",E3879='Buku Akun'!$C$4))),B3879+IF(AND(I3879="Selisih bunga",DAY(B3879)=1),0,0.01)+ROW()/10000000,"")</f>
        <v/>
      </c>
    </row>
    <row r="3880" outlineLevel="1" ht="15" customHeight="1" s="94">
      <c r="A3880" s="123">
        <f>IF(B3880="","",ROW()-15)</f>
        <v/>
      </c>
      <c r="B3880" s="124" t="n"/>
      <c r="C3880" s="123" t="n"/>
      <c r="D3880" s="123" t="n"/>
      <c r="E3880" s="123" t="n"/>
      <c r="F3880" s="125" t="n"/>
      <c r="G3880" s="123" t="n"/>
      <c r="H3880" s="123" t="n"/>
      <c r="I3880" s="123" t="n"/>
      <c r="J3880" s="123" t="n"/>
      <c r="K3880" s="123" t="n"/>
      <c r="L3880" s="123" t="n"/>
      <c r="M3880" s="123">
        <f>IF(AND(B3880&lt;&gt;"",OR($C$4="",ISNUMBER(SEARCH($C$4,C3880&amp;" "&amp;E3880&amp;" "&amp;G3880&amp;" "&amp;H3880&amp;" "&amp;I3880&amp;" "&amp;J3880&amp;" "&amp;K3880&amp;" "&amp;L3880))),OR($C$5="Semua",$C$5="",G3880=$C$5),OR($C$6="Semua",$C$6="",H3880=$C$6,H3880="Pengeluaran "&amp;$C$6,AND($C$6="Uang Kos Mama",H3880="Pengeluaran Uang Kos")),OR($C$7="Semua",$C$7="",I3880=$C$7),OR($C$8="Semua",$C$8="",C3880=$C$8,E3880=$C$8),OR($C$9="Semua",$C$9="",D3880=$C$9),OR($C$10="",B3880&gt;=$C$10),OR($C$11="",B3880&lt;=$C$11),OR($C$12&lt;&gt;"Ya",K3880&lt;&gt;""),OR($C$13="Semua",$C$13="",L3880=$C$13)),"✓","")</f>
        <v/>
      </c>
      <c r="N3880" s="93">
        <f>N(N3879)+IF(M3880="✓",1,0)</f>
        <v/>
      </c>
      <c r="O3880" s="93">
        <f>N(O3879)+IF(AND(B3880&lt;&gt;"",B3880&gt;='Uang Riba'!$H$30,B3880&lt;='Uang Riba'!$I$30,OR(H3880="Dana riba",H3880="Pinjam uang riba",I3880="Pinjam dari uang riba",I3880="Ganti uang riba",I3880="Kelebihan ganti dikembalikan",AND(C3880="Kantong Uang Riba",G3880="Pengeluaran"))),1,0)</f>
        <v/>
      </c>
      <c r="X3880" s="93">
        <f>IF(AND(B3880&lt;&gt;"",B3880&gt;='Buku Akun'!$H$4,B3880&lt;='Buku Akun'!$H$5,OR(C3880='Buku Akun'!$C$4,AND(D3880="Pindah",E3880='Buku Akun'!$C$4))),B3880+IF(AND(I3880="Selisih bunga",DAY(B3880)=1),0,0.01)+ROW()/10000000,"")</f>
        <v/>
      </c>
    </row>
    <row r="3881" outlineLevel="1" ht="15" customHeight="1" s="94">
      <c r="A3881" s="123">
        <f>IF(B3881="","",ROW()-15)</f>
        <v/>
      </c>
      <c r="B3881" s="124" t="n"/>
      <c r="C3881" s="123" t="n"/>
      <c r="D3881" s="123" t="n"/>
      <c r="E3881" s="123" t="n"/>
      <c r="F3881" s="125" t="n"/>
      <c r="G3881" s="123" t="n"/>
      <c r="H3881" s="123" t="n"/>
      <c r="I3881" s="123" t="n"/>
      <c r="J3881" s="123" t="n"/>
      <c r="K3881" s="123" t="n"/>
      <c r="L3881" s="123" t="n"/>
      <c r="M3881" s="123">
        <f>IF(AND(B3881&lt;&gt;"",OR($C$4="",ISNUMBER(SEARCH($C$4,C3881&amp;" "&amp;E3881&amp;" "&amp;G3881&amp;" "&amp;H3881&amp;" "&amp;I3881&amp;" "&amp;J3881&amp;" "&amp;K3881&amp;" "&amp;L3881))),OR($C$5="Semua",$C$5="",G3881=$C$5),OR($C$6="Semua",$C$6="",H3881=$C$6,H3881="Pengeluaran "&amp;$C$6,AND($C$6="Uang Kos Mama",H3881="Pengeluaran Uang Kos")),OR($C$7="Semua",$C$7="",I3881=$C$7),OR($C$8="Semua",$C$8="",C3881=$C$8,E3881=$C$8),OR($C$9="Semua",$C$9="",D3881=$C$9),OR($C$10="",B3881&gt;=$C$10),OR($C$11="",B3881&lt;=$C$11),OR($C$12&lt;&gt;"Ya",K3881&lt;&gt;""),OR($C$13="Semua",$C$13="",L3881=$C$13)),"✓","")</f>
        <v/>
      </c>
      <c r="N3881" s="93">
        <f>N(N3880)+IF(M3881="✓",1,0)</f>
        <v/>
      </c>
      <c r="O3881" s="93">
        <f>N(O3880)+IF(AND(B3881&lt;&gt;"",B3881&gt;='Uang Riba'!$H$30,B3881&lt;='Uang Riba'!$I$30,OR(H3881="Dana riba",H3881="Pinjam uang riba",I3881="Pinjam dari uang riba",I3881="Ganti uang riba",I3881="Kelebihan ganti dikembalikan",AND(C3881="Kantong Uang Riba",G3881="Pengeluaran"))),1,0)</f>
        <v/>
      </c>
      <c r="X3881" s="93">
        <f>IF(AND(B3881&lt;&gt;"",B3881&gt;='Buku Akun'!$H$4,B3881&lt;='Buku Akun'!$H$5,OR(C3881='Buku Akun'!$C$4,AND(D3881="Pindah",E3881='Buku Akun'!$C$4))),B3881+IF(AND(I3881="Selisih bunga",DAY(B3881)=1),0,0.01)+ROW()/10000000,"")</f>
        <v/>
      </c>
    </row>
    <row r="3882" outlineLevel="1" ht="15" customHeight="1" s="94">
      <c r="A3882" s="123">
        <f>IF(B3882="","",ROW()-15)</f>
        <v/>
      </c>
      <c r="B3882" s="124" t="n"/>
      <c r="C3882" s="123" t="n"/>
      <c r="D3882" s="123" t="n"/>
      <c r="E3882" s="123" t="n"/>
      <c r="F3882" s="125" t="n"/>
      <c r="G3882" s="123" t="n"/>
      <c r="H3882" s="123" t="n"/>
      <c r="I3882" s="123" t="n"/>
      <c r="J3882" s="123" t="n"/>
      <c r="K3882" s="123" t="n"/>
      <c r="L3882" s="123" t="n"/>
      <c r="M3882" s="123">
        <f>IF(AND(B3882&lt;&gt;"",OR($C$4="",ISNUMBER(SEARCH($C$4,C3882&amp;" "&amp;E3882&amp;" "&amp;G3882&amp;" "&amp;H3882&amp;" "&amp;I3882&amp;" "&amp;J3882&amp;" "&amp;K3882&amp;" "&amp;L3882))),OR($C$5="Semua",$C$5="",G3882=$C$5),OR($C$6="Semua",$C$6="",H3882=$C$6,H3882="Pengeluaran "&amp;$C$6,AND($C$6="Uang Kos Mama",H3882="Pengeluaran Uang Kos")),OR($C$7="Semua",$C$7="",I3882=$C$7),OR($C$8="Semua",$C$8="",C3882=$C$8,E3882=$C$8),OR($C$9="Semua",$C$9="",D3882=$C$9),OR($C$10="",B3882&gt;=$C$10),OR($C$11="",B3882&lt;=$C$11),OR($C$12&lt;&gt;"Ya",K3882&lt;&gt;""),OR($C$13="Semua",$C$13="",L3882=$C$13)),"✓","")</f>
        <v/>
      </c>
      <c r="N3882" s="93">
        <f>N(N3881)+IF(M3882="✓",1,0)</f>
        <v/>
      </c>
      <c r="O3882" s="93">
        <f>N(O3881)+IF(AND(B3882&lt;&gt;"",B3882&gt;='Uang Riba'!$H$30,B3882&lt;='Uang Riba'!$I$30,OR(H3882="Dana riba",H3882="Pinjam uang riba",I3882="Pinjam dari uang riba",I3882="Ganti uang riba",I3882="Kelebihan ganti dikembalikan",AND(C3882="Kantong Uang Riba",G3882="Pengeluaran"))),1,0)</f>
        <v/>
      </c>
      <c r="X3882" s="93">
        <f>IF(AND(B3882&lt;&gt;"",B3882&gt;='Buku Akun'!$H$4,B3882&lt;='Buku Akun'!$H$5,OR(C3882='Buku Akun'!$C$4,AND(D3882="Pindah",E3882='Buku Akun'!$C$4))),B3882+IF(AND(I3882="Selisih bunga",DAY(B3882)=1),0,0.01)+ROW()/10000000,"")</f>
        <v/>
      </c>
    </row>
    <row r="3883" outlineLevel="1" ht="15" customHeight="1" s="94">
      <c r="A3883" s="123">
        <f>IF(B3883="","",ROW()-15)</f>
        <v/>
      </c>
      <c r="B3883" s="124" t="n"/>
      <c r="C3883" s="123" t="n"/>
      <c r="D3883" s="123" t="n"/>
      <c r="E3883" s="123" t="n"/>
      <c r="F3883" s="125" t="n"/>
      <c r="G3883" s="123" t="n"/>
      <c r="H3883" s="123" t="n"/>
      <c r="I3883" s="123" t="n"/>
      <c r="J3883" s="123" t="n"/>
      <c r="K3883" s="123" t="n"/>
      <c r="L3883" s="123" t="n"/>
      <c r="M3883" s="123">
        <f>IF(AND(B3883&lt;&gt;"",OR($C$4="",ISNUMBER(SEARCH($C$4,C3883&amp;" "&amp;E3883&amp;" "&amp;G3883&amp;" "&amp;H3883&amp;" "&amp;I3883&amp;" "&amp;J3883&amp;" "&amp;K3883&amp;" "&amp;L3883))),OR($C$5="Semua",$C$5="",G3883=$C$5),OR($C$6="Semua",$C$6="",H3883=$C$6,H3883="Pengeluaran "&amp;$C$6,AND($C$6="Uang Kos Mama",H3883="Pengeluaran Uang Kos")),OR($C$7="Semua",$C$7="",I3883=$C$7),OR($C$8="Semua",$C$8="",C3883=$C$8,E3883=$C$8),OR($C$9="Semua",$C$9="",D3883=$C$9),OR($C$10="",B3883&gt;=$C$10),OR($C$11="",B3883&lt;=$C$11),OR($C$12&lt;&gt;"Ya",K3883&lt;&gt;""),OR($C$13="Semua",$C$13="",L3883=$C$13)),"✓","")</f>
        <v/>
      </c>
      <c r="N3883" s="93">
        <f>N(N3882)+IF(M3883="✓",1,0)</f>
        <v/>
      </c>
      <c r="O3883" s="93">
        <f>N(O3882)+IF(AND(B3883&lt;&gt;"",B3883&gt;='Uang Riba'!$H$30,B3883&lt;='Uang Riba'!$I$30,OR(H3883="Dana riba",H3883="Pinjam uang riba",I3883="Pinjam dari uang riba",I3883="Ganti uang riba",I3883="Kelebihan ganti dikembalikan",AND(C3883="Kantong Uang Riba",G3883="Pengeluaran"))),1,0)</f>
        <v/>
      </c>
      <c r="X3883" s="93">
        <f>IF(AND(B3883&lt;&gt;"",B3883&gt;='Buku Akun'!$H$4,B3883&lt;='Buku Akun'!$H$5,OR(C3883='Buku Akun'!$C$4,AND(D3883="Pindah",E3883='Buku Akun'!$C$4))),B3883+IF(AND(I3883="Selisih bunga",DAY(B3883)=1),0,0.01)+ROW()/10000000,"")</f>
        <v/>
      </c>
    </row>
    <row r="3884" outlineLevel="1" ht="15" customHeight="1" s="94">
      <c r="A3884" s="123">
        <f>IF(B3884="","",ROW()-15)</f>
        <v/>
      </c>
      <c r="B3884" s="124" t="n"/>
      <c r="C3884" s="123" t="n"/>
      <c r="D3884" s="123" t="n"/>
      <c r="E3884" s="123" t="n"/>
      <c r="F3884" s="125" t="n"/>
      <c r="G3884" s="123" t="n"/>
      <c r="H3884" s="123" t="n"/>
      <c r="I3884" s="123" t="n"/>
      <c r="J3884" s="123" t="n"/>
      <c r="K3884" s="123" t="n"/>
      <c r="L3884" s="123" t="n"/>
      <c r="M3884" s="123">
        <f>IF(AND(B3884&lt;&gt;"",OR($C$4="",ISNUMBER(SEARCH($C$4,C3884&amp;" "&amp;E3884&amp;" "&amp;G3884&amp;" "&amp;H3884&amp;" "&amp;I3884&amp;" "&amp;J3884&amp;" "&amp;K3884&amp;" "&amp;L3884))),OR($C$5="Semua",$C$5="",G3884=$C$5),OR($C$6="Semua",$C$6="",H3884=$C$6,H3884="Pengeluaran "&amp;$C$6,AND($C$6="Uang Kos Mama",H3884="Pengeluaran Uang Kos")),OR($C$7="Semua",$C$7="",I3884=$C$7),OR($C$8="Semua",$C$8="",C3884=$C$8,E3884=$C$8),OR($C$9="Semua",$C$9="",D3884=$C$9),OR($C$10="",B3884&gt;=$C$10),OR($C$11="",B3884&lt;=$C$11),OR($C$12&lt;&gt;"Ya",K3884&lt;&gt;""),OR($C$13="Semua",$C$13="",L3884=$C$13)),"✓","")</f>
        <v/>
      </c>
      <c r="N3884" s="93">
        <f>N(N3883)+IF(M3884="✓",1,0)</f>
        <v/>
      </c>
      <c r="O3884" s="93">
        <f>N(O3883)+IF(AND(B3884&lt;&gt;"",B3884&gt;='Uang Riba'!$H$30,B3884&lt;='Uang Riba'!$I$30,OR(H3884="Dana riba",H3884="Pinjam uang riba",I3884="Pinjam dari uang riba",I3884="Ganti uang riba",I3884="Kelebihan ganti dikembalikan",AND(C3884="Kantong Uang Riba",G3884="Pengeluaran"))),1,0)</f>
        <v/>
      </c>
      <c r="X3884" s="93">
        <f>IF(AND(B3884&lt;&gt;"",B3884&gt;='Buku Akun'!$H$4,B3884&lt;='Buku Akun'!$H$5,OR(C3884='Buku Akun'!$C$4,AND(D3884="Pindah",E3884='Buku Akun'!$C$4))),B3884+IF(AND(I3884="Selisih bunga",DAY(B3884)=1),0,0.01)+ROW()/10000000,"")</f>
        <v/>
      </c>
    </row>
    <row r="3885" outlineLevel="1" ht="15" customHeight="1" s="94">
      <c r="A3885" s="123">
        <f>IF(B3885="","",ROW()-15)</f>
        <v/>
      </c>
      <c r="B3885" s="124" t="n"/>
      <c r="C3885" s="123" t="n"/>
      <c r="D3885" s="123" t="n"/>
      <c r="E3885" s="123" t="n"/>
      <c r="F3885" s="125" t="n"/>
      <c r="G3885" s="123" t="n"/>
      <c r="H3885" s="123" t="n"/>
      <c r="I3885" s="123" t="n"/>
      <c r="J3885" s="123" t="n"/>
      <c r="K3885" s="123" t="n"/>
      <c r="L3885" s="123" t="n"/>
      <c r="M3885" s="123">
        <f>IF(AND(B3885&lt;&gt;"",OR($C$4="",ISNUMBER(SEARCH($C$4,C3885&amp;" "&amp;E3885&amp;" "&amp;G3885&amp;" "&amp;H3885&amp;" "&amp;I3885&amp;" "&amp;J3885&amp;" "&amp;K3885&amp;" "&amp;L3885))),OR($C$5="Semua",$C$5="",G3885=$C$5),OR($C$6="Semua",$C$6="",H3885=$C$6,H3885="Pengeluaran "&amp;$C$6,AND($C$6="Uang Kos Mama",H3885="Pengeluaran Uang Kos")),OR($C$7="Semua",$C$7="",I3885=$C$7),OR($C$8="Semua",$C$8="",C3885=$C$8,E3885=$C$8),OR($C$9="Semua",$C$9="",D3885=$C$9),OR($C$10="",B3885&gt;=$C$10),OR($C$11="",B3885&lt;=$C$11),OR($C$12&lt;&gt;"Ya",K3885&lt;&gt;""),OR($C$13="Semua",$C$13="",L3885=$C$13)),"✓","")</f>
        <v/>
      </c>
      <c r="N3885" s="93">
        <f>N(N3884)+IF(M3885="✓",1,0)</f>
        <v/>
      </c>
      <c r="O3885" s="93">
        <f>N(O3884)+IF(AND(B3885&lt;&gt;"",B3885&gt;='Uang Riba'!$H$30,B3885&lt;='Uang Riba'!$I$30,OR(H3885="Dana riba",H3885="Pinjam uang riba",I3885="Pinjam dari uang riba",I3885="Ganti uang riba",I3885="Kelebihan ganti dikembalikan",AND(C3885="Kantong Uang Riba",G3885="Pengeluaran"))),1,0)</f>
        <v/>
      </c>
      <c r="X3885" s="93">
        <f>IF(AND(B3885&lt;&gt;"",B3885&gt;='Buku Akun'!$H$4,B3885&lt;='Buku Akun'!$H$5,OR(C3885='Buku Akun'!$C$4,AND(D3885="Pindah",E3885='Buku Akun'!$C$4))),B3885+IF(AND(I3885="Selisih bunga",DAY(B3885)=1),0,0.01)+ROW()/10000000,"")</f>
        <v/>
      </c>
    </row>
    <row r="3886" outlineLevel="1" ht="15" customHeight="1" s="94">
      <c r="A3886" s="123">
        <f>IF(B3886="","",ROW()-15)</f>
        <v/>
      </c>
      <c r="B3886" s="124" t="n"/>
      <c r="C3886" s="123" t="n"/>
      <c r="D3886" s="123" t="n"/>
      <c r="E3886" s="123" t="n"/>
      <c r="F3886" s="125" t="n"/>
      <c r="G3886" s="123" t="n"/>
      <c r="H3886" s="123" t="n"/>
      <c r="I3886" s="123" t="n"/>
      <c r="J3886" s="123" t="n"/>
      <c r="K3886" s="123" t="n"/>
      <c r="L3886" s="123" t="n"/>
      <c r="M3886" s="123">
        <f>IF(AND(B3886&lt;&gt;"",OR($C$4="",ISNUMBER(SEARCH($C$4,C3886&amp;" "&amp;E3886&amp;" "&amp;G3886&amp;" "&amp;H3886&amp;" "&amp;I3886&amp;" "&amp;J3886&amp;" "&amp;K3886&amp;" "&amp;L3886))),OR($C$5="Semua",$C$5="",G3886=$C$5),OR($C$6="Semua",$C$6="",H3886=$C$6,H3886="Pengeluaran "&amp;$C$6,AND($C$6="Uang Kos Mama",H3886="Pengeluaran Uang Kos")),OR($C$7="Semua",$C$7="",I3886=$C$7),OR($C$8="Semua",$C$8="",C3886=$C$8,E3886=$C$8),OR($C$9="Semua",$C$9="",D3886=$C$9),OR($C$10="",B3886&gt;=$C$10),OR($C$11="",B3886&lt;=$C$11),OR($C$12&lt;&gt;"Ya",K3886&lt;&gt;""),OR($C$13="Semua",$C$13="",L3886=$C$13)),"✓","")</f>
        <v/>
      </c>
      <c r="N3886" s="93">
        <f>N(N3885)+IF(M3886="✓",1,0)</f>
        <v/>
      </c>
      <c r="O3886" s="93">
        <f>N(O3885)+IF(AND(B3886&lt;&gt;"",B3886&gt;='Uang Riba'!$H$30,B3886&lt;='Uang Riba'!$I$30,OR(H3886="Dana riba",H3886="Pinjam uang riba",I3886="Pinjam dari uang riba",I3886="Ganti uang riba",I3886="Kelebihan ganti dikembalikan",AND(C3886="Kantong Uang Riba",G3886="Pengeluaran"))),1,0)</f>
        <v/>
      </c>
      <c r="X3886" s="93">
        <f>IF(AND(B3886&lt;&gt;"",B3886&gt;='Buku Akun'!$H$4,B3886&lt;='Buku Akun'!$H$5,OR(C3886='Buku Akun'!$C$4,AND(D3886="Pindah",E3886='Buku Akun'!$C$4))),B3886+IF(AND(I3886="Selisih bunga",DAY(B3886)=1),0,0.01)+ROW()/10000000,"")</f>
        <v/>
      </c>
    </row>
    <row r="3887" outlineLevel="1" ht="15" customHeight="1" s="94">
      <c r="A3887" s="123">
        <f>IF(B3887="","",ROW()-15)</f>
        <v/>
      </c>
      <c r="B3887" s="124" t="n"/>
      <c r="C3887" s="123" t="n"/>
      <c r="D3887" s="123" t="n"/>
      <c r="E3887" s="123" t="n"/>
      <c r="F3887" s="125" t="n"/>
      <c r="G3887" s="123" t="n"/>
      <c r="H3887" s="123" t="n"/>
      <c r="I3887" s="123" t="n"/>
      <c r="J3887" s="123" t="n"/>
      <c r="K3887" s="123" t="n"/>
      <c r="L3887" s="123" t="n"/>
      <c r="M3887" s="123">
        <f>IF(AND(B3887&lt;&gt;"",OR($C$4="",ISNUMBER(SEARCH($C$4,C3887&amp;" "&amp;E3887&amp;" "&amp;G3887&amp;" "&amp;H3887&amp;" "&amp;I3887&amp;" "&amp;J3887&amp;" "&amp;K3887&amp;" "&amp;L3887))),OR($C$5="Semua",$C$5="",G3887=$C$5),OR($C$6="Semua",$C$6="",H3887=$C$6,H3887="Pengeluaran "&amp;$C$6,AND($C$6="Uang Kos Mama",H3887="Pengeluaran Uang Kos")),OR($C$7="Semua",$C$7="",I3887=$C$7),OR($C$8="Semua",$C$8="",C3887=$C$8,E3887=$C$8),OR($C$9="Semua",$C$9="",D3887=$C$9),OR($C$10="",B3887&gt;=$C$10),OR($C$11="",B3887&lt;=$C$11),OR($C$12&lt;&gt;"Ya",K3887&lt;&gt;""),OR($C$13="Semua",$C$13="",L3887=$C$13)),"✓","")</f>
        <v/>
      </c>
      <c r="N3887" s="93">
        <f>N(N3886)+IF(M3887="✓",1,0)</f>
        <v/>
      </c>
      <c r="O3887" s="93">
        <f>N(O3886)+IF(AND(B3887&lt;&gt;"",B3887&gt;='Uang Riba'!$H$30,B3887&lt;='Uang Riba'!$I$30,OR(H3887="Dana riba",H3887="Pinjam uang riba",I3887="Pinjam dari uang riba",I3887="Ganti uang riba",I3887="Kelebihan ganti dikembalikan",AND(C3887="Kantong Uang Riba",G3887="Pengeluaran"))),1,0)</f>
        <v/>
      </c>
      <c r="X3887" s="93">
        <f>IF(AND(B3887&lt;&gt;"",B3887&gt;='Buku Akun'!$H$4,B3887&lt;='Buku Akun'!$H$5,OR(C3887='Buku Akun'!$C$4,AND(D3887="Pindah",E3887='Buku Akun'!$C$4))),B3887+IF(AND(I3887="Selisih bunga",DAY(B3887)=1),0,0.01)+ROW()/10000000,"")</f>
        <v/>
      </c>
    </row>
    <row r="3888" outlineLevel="1" ht="15" customHeight="1" s="94">
      <c r="A3888" s="123">
        <f>IF(B3888="","",ROW()-15)</f>
        <v/>
      </c>
      <c r="B3888" s="124" t="n"/>
      <c r="C3888" s="123" t="n"/>
      <c r="D3888" s="123" t="n"/>
      <c r="E3888" s="123" t="n"/>
      <c r="F3888" s="125" t="n"/>
      <c r="G3888" s="123" t="n"/>
      <c r="H3888" s="123" t="n"/>
      <c r="I3888" s="123" t="n"/>
      <c r="J3888" s="123" t="n"/>
      <c r="K3888" s="123" t="n"/>
      <c r="L3888" s="123" t="n"/>
      <c r="M3888" s="123">
        <f>IF(AND(B3888&lt;&gt;"",OR($C$4="",ISNUMBER(SEARCH($C$4,C3888&amp;" "&amp;E3888&amp;" "&amp;G3888&amp;" "&amp;H3888&amp;" "&amp;I3888&amp;" "&amp;J3888&amp;" "&amp;K3888&amp;" "&amp;L3888))),OR($C$5="Semua",$C$5="",G3888=$C$5),OR($C$6="Semua",$C$6="",H3888=$C$6,H3888="Pengeluaran "&amp;$C$6,AND($C$6="Uang Kos Mama",H3888="Pengeluaran Uang Kos")),OR($C$7="Semua",$C$7="",I3888=$C$7),OR($C$8="Semua",$C$8="",C3888=$C$8,E3888=$C$8),OR($C$9="Semua",$C$9="",D3888=$C$9),OR($C$10="",B3888&gt;=$C$10),OR($C$11="",B3888&lt;=$C$11),OR($C$12&lt;&gt;"Ya",K3888&lt;&gt;""),OR($C$13="Semua",$C$13="",L3888=$C$13)),"✓","")</f>
        <v/>
      </c>
      <c r="N3888" s="93">
        <f>N(N3887)+IF(M3888="✓",1,0)</f>
        <v/>
      </c>
      <c r="O3888" s="93">
        <f>N(O3887)+IF(AND(B3888&lt;&gt;"",B3888&gt;='Uang Riba'!$H$30,B3888&lt;='Uang Riba'!$I$30,OR(H3888="Dana riba",H3888="Pinjam uang riba",I3888="Pinjam dari uang riba",I3888="Ganti uang riba",I3888="Kelebihan ganti dikembalikan",AND(C3888="Kantong Uang Riba",G3888="Pengeluaran"))),1,0)</f>
        <v/>
      </c>
      <c r="X3888" s="93">
        <f>IF(AND(B3888&lt;&gt;"",B3888&gt;='Buku Akun'!$H$4,B3888&lt;='Buku Akun'!$H$5,OR(C3888='Buku Akun'!$C$4,AND(D3888="Pindah",E3888='Buku Akun'!$C$4))),B3888+IF(AND(I3888="Selisih bunga",DAY(B3888)=1),0,0.01)+ROW()/10000000,"")</f>
        <v/>
      </c>
    </row>
    <row r="3889" outlineLevel="1" ht="15" customHeight="1" s="94">
      <c r="A3889" s="123">
        <f>IF(B3889="","",ROW()-15)</f>
        <v/>
      </c>
      <c r="B3889" s="124" t="n"/>
      <c r="C3889" s="123" t="n"/>
      <c r="D3889" s="123" t="n"/>
      <c r="E3889" s="123" t="n"/>
      <c r="F3889" s="125" t="n"/>
      <c r="G3889" s="123" t="n"/>
      <c r="H3889" s="123" t="n"/>
      <c r="I3889" s="123" t="n"/>
      <c r="J3889" s="123" t="n"/>
      <c r="K3889" s="123" t="n"/>
      <c r="L3889" s="123" t="n"/>
      <c r="M3889" s="123">
        <f>IF(AND(B3889&lt;&gt;"",OR($C$4="",ISNUMBER(SEARCH($C$4,C3889&amp;" "&amp;E3889&amp;" "&amp;G3889&amp;" "&amp;H3889&amp;" "&amp;I3889&amp;" "&amp;J3889&amp;" "&amp;K3889&amp;" "&amp;L3889))),OR($C$5="Semua",$C$5="",G3889=$C$5),OR($C$6="Semua",$C$6="",H3889=$C$6,H3889="Pengeluaran "&amp;$C$6,AND($C$6="Uang Kos Mama",H3889="Pengeluaran Uang Kos")),OR($C$7="Semua",$C$7="",I3889=$C$7),OR($C$8="Semua",$C$8="",C3889=$C$8,E3889=$C$8),OR($C$9="Semua",$C$9="",D3889=$C$9),OR($C$10="",B3889&gt;=$C$10),OR($C$11="",B3889&lt;=$C$11),OR($C$12&lt;&gt;"Ya",K3889&lt;&gt;""),OR($C$13="Semua",$C$13="",L3889=$C$13)),"✓","")</f>
        <v/>
      </c>
      <c r="N3889" s="93">
        <f>N(N3888)+IF(M3889="✓",1,0)</f>
        <v/>
      </c>
      <c r="O3889" s="93">
        <f>N(O3888)+IF(AND(B3889&lt;&gt;"",B3889&gt;='Uang Riba'!$H$30,B3889&lt;='Uang Riba'!$I$30,OR(H3889="Dana riba",H3889="Pinjam uang riba",I3889="Pinjam dari uang riba",I3889="Ganti uang riba",I3889="Kelebihan ganti dikembalikan",AND(C3889="Kantong Uang Riba",G3889="Pengeluaran"))),1,0)</f>
        <v/>
      </c>
      <c r="X3889" s="93">
        <f>IF(AND(B3889&lt;&gt;"",B3889&gt;='Buku Akun'!$H$4,B3889&lt;='Buku Akun'!$H$5,OR(C3889='Buku Akun'!$C$4,AND(D3889="Pindah",E3889='Buku Akun'!$C$4))),B3889+IF(AND(I3889="Selisih bunga",DAY(B3889)=1),0,0.01)+ROW()/10000000,"")</f>
        <v/>
      </c>
    </row>
    <row r="3890" outlineLevel="1" ht="15" customHeight="1" s="94">
      <c r="A3890" s="123">
        <f>IF(B3890="","",ROW()-15)</f>
        <v/>
      </c>
      <c r="B3890" s="124" t="n"/>
      <c r="C3890" s="123" t="n"/>
      <c r="D3890" s="123" t="n"/>
      <c r="E3890" s="123" t="n"/>
      <c r="F3890" s="125" t="n"/>
      <c r="G3890" s="123" t="n"/>
      <c r="H3890" s="123" t="n"/>
      <c r="I3890" s="123" t="n"/>
      <c r="J3890" s="123" t="n"/>
      <c r="K3890" s="123" t="n"/>
      <c r="L3890" s="123" t="n"/>
      <c r="M3890" s="123">
        <f>IF(AND(B3890&lt;&gt;"",OR($C$4="",ISNUMBER(SEARCH($C$4,C3890&amp;" "&amp;E3890&amp;" "&amp;G3890&amp;" "&amp;H3890&amp;" "&amp;I3890&amp;" "&amp;J3890&amp;" "&amp;K3890&amp;" "&amp;L3890))),OR($C$5="Semua",$C$5="",G3890=$C$5),OR($C$6="Semua",$C$6="",H3890=$C$6,H3890="Pengeluaran "&amp;$C$6,AND($C$6="Uang Kos Mama",H3890="Pengeluaran Uang Kos")),OR($C$7="Semua",$C$7="",I3890=$C$7),OR($C$8="Semua",$C$8="",C3890=$C$8,E3890=$C$8),OR($C$9="Semua",$C$9="",D3890=$C$9),OR($C$10="",B3890&gt;=$C$10),OR($C$11="",B3890&lt;=$C$11),OR($C$12&lt;&gt;"Ya",K3890&lt;&gt;""),OR($C$13="Semua",$C$13="",L3890=$C$13)),"✓","")</f>
        <v/>
      </c>
      <c r="N3890" s="93">
        <f>N(N3889)+IF(M3890="✓",1,0)</f>
        <v/>
      </c>
      <c r="O3890" s="93">
        <f>N(O3889)+IF(AND(B3890&lt;&gt;"",B3890&gt;='Uang Riba'!$H$30,B3890&lt;='Uang Riba'!$I$30,OR(H3890="Dana riba",H3890="Pinjam uang riba",I3890="Pinjam dari uang riba",I3890="Ganti uang riba",I3890="Kelebihan ganti dikembalikan",AND(C3890="Kantong Uang Riba",G3890="Pengeluaran"))),1,0)</f>
        <v/>
      </c>
      <c r="X3890" s="93">
        <f>IF(AND(B3890&lt;&gt;"",B3890&gt;='Buku Akun'!$H$4,B3890&lt;='Buku Akun'!$H$5,OR(C3890='Buku Akun'!$C$4,AND(D3890="Pindah",E3890='Buku Akun'!$C$4))),B3890+IF(AND(I3890="Selisih bunga",DAY(B3890)=1),0,0.01)+ROW()/10000000,"")</f>
        <v/>
      </c>
    </row>
    <row r="3891" outlineLevel="1" ht="15" customHeight="1" s="94">
      <c r="A3891" s="123">
        <f>IF(B3891="","",ROW()-15)</f>
        <v/>
      </c>
      <c r="B3891" s="124" t="n"/>
      <c r="C3891" s="123" t="n"/>
      <c r="D3891" s="123" t="n"/>
      <c r="E3891" s="123" t="n"/>
      <c r="F3891" s="125" t="n"/>
      <c r="G3891" s="123" t="n"/>
      <c r="H3891" s="123" t="n"/>
      <c r="I3891" s="123" t="n"/>
      <c r="J3891" s="123" t="n"/>
      <c r="K3891" s="123" t="n"/>
      <c r="L3891" s="123" t="n"/>
      <c r="M3891" s="123">
        <f>IF(AND(B3891&lt;&gt;"",OR($C$4="",ISNUMBER(SEARCH($C$4,C3891&amp;" "&amp;E3891&amp;" "&amp;G3891&amp;" "&amp;H3891&amp;" "&amp;I3891&amp;" "&amp;J3891&amp;" "&amp;K3891&amp;" "&amp;L3891))),OR($C$5="Semua",$C$5="",G3891=$C$5),OR($C$6="Semua",$C$6="",H3891=$C$6,H3891="Pengeluaran "&amp;$C$6,AND($C$6="Uang Kos Mama",H3891="Pengeluaran Uang Kos")),OR($C$7="Semua",$C$7="",I3891=$C$7),OR($C$8="Semua",$C$8="",C3891=$C$8,E3891=$C$8),OR($C$9="Semua",$C$9="",D3891=$C$9),OR($C$10="",B3891&gt;=$C$10),OR($C$11="",B3891&lt;=$C$11),OR($C$12&lt;&gt;"Ya",K3891&lt;&gt;""),OR($C$13="Semua",$C$13="",L3891=$C$13)),"✓","")</f>
        <v/>
      </c>
      <c r="N3891" s="93">
        <f>N(N3890)+IF(M3891="✓",1,0)</f>
        <v/>
      </c>
      <c r="O3891" s="93">
        <f>N(O3890)+IF(AND(B3891&lt;&gt;"",B3891&gt;='Uang Riba'!$H$30,B3891&lt;='Uang Riba'!$I$30,OR(H3891="Dana riba",H3891="Pinjam uang riba",I3891="Pinjam dari uang riba",I3891="Ganti uang riba",I3891="Kelebihan ganti dikembalikan",AND(C3891="Kantong Uang Riba",G3891="Pengeluaran"))),1,0)</f>
        <v/>
      </c>
      <c r="X3891" s="93">
        <f>IF(AND(B3891&lt;&gt;"",B3891&gt;='Buku Akun'!$H$4,B3891&lt;='Buku Akun'!$H$5,OR(C3891='Buku Akun'!$C$4,AND(D3891="Pindah",E3891='Buku Akun'!$C$4))),B3891+IF(AND(I3891="Selisih bunga",DAY(B3891)=1),0,0.01)+ROW()/10000000,"")</f>
        <v/>
      </c>
    </row>
    <row r="3892" outlineLevel="1" ht="15" customHeight="1" s="94">
      <c r="A3892" s="123">
        <f>IF(B3892="","",ROW()-15)</f>
        <v/>
      </c>
      <c r="B3892" s="124" t="n"/>
      <c r="C3892" s="123" t="n"/>
      <c r="D3892" s="123" t="n"/>
      <c r="E3892" s="123" t="n"/>
      <c r="F3892" s="125" t="n"/>
      <c r="G3892" s="123" t="n"/>
      <c r="H3892" s="123" t="n"/>
      <c r="I3892" s="123" t="n"/>
      <c r="J3892" s="123" t="n"/>
      <c r="K3892" s="123" t="n"/>
      <c r="L3892" s="123" t="n"/>
      <c r="M3892" s="123">
        <f>IF(AND(B3892&lt;&gt;"",OR($C$4="",ISNUMBER(SEARCH($C$4,C3892&amp;" "&amp;E3892&amp;" "&amp;G3892&amp;" "&amp;H3892&amp;" "&amp;I3892&amp;" "&amp;J3892&amp;" "&amp;K3892&amp;" "&amp;L3892))),OR($C$5="Semua",$C$5="",G3892=$C$5),OR($C$6="Semua",$C$6="",H3892=$C$6,H3892="Pengeluaran "&amp;$C$6,AND($C$6="Uang Kos Mama",H3892="Pengeluaran Uang Kos")),OR($C$7="Semua",$C$7="",I3892=$C$7),OR($C$8="Semua",$C$8="",C3892=$C$8,E3892=$C$8),OR($C$9="Semua",$C$9="",D3892=$C$9),OR($C$10="",B3892&gt;=$C$10),OR($C$11="",B3892&lt;=$C$11),OR($C$12&lt;&gt;"Ya",K3892&lt;&gt;""),OR($C$13="Semua",$C$13="",L3892=$C$13)),"✓","")</f>
        <v/>
      </c>
      <c r="N3892" s="93">
        <f>N(N3891)+IF(M3892="✓",1,0)</f>
        <v/>
      </c>
      <c r="O3892" s="93">
        <f>N(O3891)+IF(AND(B3892&lt;&gt;"",B3892&gt;='Uang Riba'!$H$30,B3892&lt;='Uang Riba'!$I$30,OR(H3892="Dana riba",H3892="Pinjam uang riba",I3892="Pinjam dari uang riba",I3892="Ganti uang riba",I3892="Kelebihan ganti dikembalikan",AND(C3892="Kantong Uang Riba",G3892="Pengeluaran"))),1,0)</f>
        <v/>
      </c>
      <c r="X3892" s="93">
        <f>IF(AND(B3892&lt;&gt;"",B3892&gt;='Buku Akun'!$H$4,B3892&lt;='Buku Akun'!$H$5,OR(C3892='Buku Akun'!$C$4,AND(D3892="Pindah",E3892='Buku Akun'!$C$4))),B3892+IF(AND(I3892="Selisih bunga",DAY(B3892)=1),0,0.01)+ROW()/10000000,"")</f>
        <v/>
      </c>
    </row>
    <row r="3893" outlineLevel="1" ht="15" customHeight="1" s="94">
      <c r="A3893" s="123">
        <f>IF(B3893="","",ROW()-15)</f>
        <v/>
      </c>
      <c r="B3893" s="124" t="n"/>
      <c r="C3893" s="123" t="n"/>
      <c r="D3893" s="123" t="n"/>
      <c r="E3893" s="123" t="n"/>
      <c r="F3893" s="125" t="n"/>
      <c r="G3893" s="123" t="n"/>
      <c r="H3893" s="123" t="n"/>
      <c r="I3893" s="123" t="n"/>
      <c r="J3893" s="123" t="n"/>
      <c r="K3893" s="123" t="n"/>
      <c r="L3893" s="123" t="n"/>
      <c r="M3893" s="123">
        <f>IF(AND(B3893&lt;&gt;"",OR($C$4="",ISNUMBER(SEARCH($C$4,C3893&amp;" "&amp;E3893&amp;" "&amp;G3893&amp;" "&amp;H3893&amp;" "&amp;I3893&amp;" "&amp;J3893&amp;" "&amp;K3893&amp;" "&amp;L3893))),OR($C$5="Semua",$C$5="",G3893=$C$5),OR($C$6="Semua",$C$6="",H3893=$C$6,H3893="Pengeluaran "&amp;$C$6,AND($C$6="Uang Kos Mama",H3893="Pengeluaran Uang Kos")),OR($C$7="Semua",$C$7="",I3893=$C$7),OR($C$8="Semua",$C$8="",C3893=$C$8,E3893=$C$8),OR($C$9="Semua",$C$9="",D3893=$C$9),OR($C$10="",B3893&gt;=$C$10),OR($C$11="",B3893&lt;=$C$11),OR($C$12&lt;&gt;"Ya",K3893&lt;&gt;""),OR($C$13="Semua",$C$13="",L3893=$C$13)),"✓","")</f>
        <v/>
      </c>
      <c r="N3893" s="93">
        <f>N(N3892)+IF(M3893="✓",1,0)</f>
        <v/>
      </c>
      <c r="O3893" s="93">
        <f>N(O3892)+IF(AND(B3893&lt;&gt;"",B3893&gt;='Uang Riba'!$H$30,B3893&lt;='Uang Riba'!$I$30,OR(H3893="Dana riba",H3893="Pinjam uang riba",I3893="Pinjam dari uang riba",I3893="Ganti uang riba",I3893="Kelebihan ganti dikembalikan",AND(C3893="Kantong Uang Riba",G3893="Pengeluaran"))),1,0)</f>
        <v/>
      </c>
      <c r="X3893" s="93">
        <f>IF(AND(B3893&lt;&gt;"",B3893&gt;='Buku Akun'!$H$4,B3893&lt;='Buku Akun'!$H$5,OR(C3893='Buku Akun'!$C$4,AND(D3893="Pindah",E3893='Buku Akun'!$C$4))),B3893+IF(AND(I3893="Selisih bunga",DAY(B3893)=1),0,0.01)+ROW()/10000000,"")</f>
        <v/>
      </c>
    </row>
    <row r="3894" outlineLevel="1" ht="15" customHeight="1" s="94">
      <c r="A3894" s="123">
        <f>IF(B3894="","",ROW()-15)</f>
        <v/>
      </c>
      <c r="B3894" s="124" t="n"/>
      <c r="C3894" s="123" t="n"/>
      <c r="D3894" s="123" t="n"/>
      <c r="E3894" s="123" t="n"/>
      <c r="F3894" s="125" t="n"/>
      <c r="G3894" s="123" t="n"/>
      <c r="H3894" s="123" t="n"/>
      <c r="I3894" s="123" t="n"/>
      <c r="J3894" s="123" t="n"/>
      <c r="K3894" s="123" t="n"/>
      <c r="L3894" s="123" t="n"/>
      <c r="M3894" s="123">
        <f>IF(AND(B3894&lt;&gt;"",OR($C$4="",ISNUMBER(SEARCH($C$4,C3894&amp;" "&amp;E3894&amp;" "&amp;G3894&amp;" "&amp;H3894&amp;" "&amp;I3894&amp;" "&amp;J3894&amp;" "&amp;K3894&amp;" "&amp;L3894))),OR($C$5="Semua",$C$5="",G3894=$C$5),OR($C$6="Semua",$C$6="",H3894=$C$6,H3894="Pengeluaran "&amp;$C$6,AND($C$6="Uang Kos Mama",H3894="Pengeluaran Uang Kos")),OR($C$7="Semua",$C$7="",I3894=$C$7),OR($C$8="Semua",$C$8="",C3894=$C$8,E3894=$C$8),OR($C$9="Semua",$C$9="",D3894=$C$9),OR($C$10="",B3894&gt;=$C$10),OR($C$11="",B3894&lt;=$C$11),OR($C$12&lt;&gt;"Ya",K3894&lt;&gt;""),OR($C$13="Semua",$C$13="",L3894=$C$13)),"✓","")</f>
        <v/>
      </c>
      <c r="N3894" s="93">
        <f>N(N3893)+IF(M3894="✓",1,0)</f>
        <v/>
      </c>
      <c r="O3894" s="93">
        <f>N(O3893)+IF(AND(B3894&lt;&gt;"",B3894&gt;='Uang Riba'!$H$30,B3894&lt;='Uang Riba'!$I$30,OR(H3894="Dana riba",H3894="Pinjam uang riba",I3894="Pinjam dari uang riba",I3894="Ganti uang riba",I3894="Kelebihan ganti dikembalikan",AND(C3894="Kantong Uang Riba",G3894="Pengeluaran"))),1,0)</f>
        <v/>
      </c>
      <c r="X3894" s="93">
        <f>IF(AND(B3894&lt;&gt;"",B3894&gt;='Buku Akun'!$H$4,B3894&lt;='Buku Akun'!$H$5,OR(C3894='Buku Akun'!$C$4,AND(D3894="Pindah",E3894='Buku Akun'!$C$4))),B3894+IF(AND(I3894="Selisih bunga",DAY(B3894)=1),0,0.01)+ROW()/10000000,"")</f>
        <v/>
      </c>
    </row>
    <row r="3895" outlineLevel="1" ht="15" customHeight="1" s="94">
      <c r="A3895" s="123">
        <f>IF(B3895="","",ROW()-15)</f>
        <v/>
      </c>
      <c r="B3895" s="124" t="n"/>
      <c r="C3895" s="123" t="n"/>
      <c r="D3895" s="123" t="n"/>
      <c r="E3895" s="123" t="n"/>
      <c r="F3895" s="125" t="n"/>
      <c r="G3895" s="123" t="n"/>
      <c r="H3895" s="123" t="n"/>
      <c r="I3895" s="123" t="n"/>
      <c r="J3895" s="123" t="n"/>
      <c r="K3895" s="123" t="n"/>
      <c r="L3895" s="123" t="n"/>
      <c r="M3895" s="123">
        <f>IF(AND(B3895&lt;&gt;"",OR($C$4="",ISNUMBER(SEARCH($C$4,C3895&amp;" "&amp;E3895&amp;" "&amp;G3895&amp;" "&amp;H3895&amp;" "&amp;I3895&amp;" "&amp;J3895&amp;" "&amp;K3895&amp;" "&amp;L3895))),OR($C$5="Semua",$C$5="",G3895=$C$5),OR($C$6="Semua",$C$6="",H3895=$C$6,H3895="Pengeluaran "&amp;$C$6,AND($C$6="Uang Kos Mama",H3895="Pengeluaran Uang Kos")),OR($C$7="Semua",$C$7="",I3895=$C$7),OR($C$8="Semua",$C$8="",C3895=$C$8,E3895=$C$8),OR($C$9="Semua",$C$9="",D3895=$C$9),OR($C$10="",B3895&gt;=$C$10),OR($C$11="",B3895&lt;=$C$11),OR($C$12&lt;&gt;"Ya",K3895&lt;&gt;""),OR($C$13="Semua",$C$13="",L3895=$C$13)),"✓","")</f>
        <v/>
      </c>
      <c r="N3895" s="93">
        <f>N(N3894)+IF(M3895="✓",1,0)</f>
        <v/>
      </c>
      <c r="O3895" s="93">
        <f>N(O3894)+IF(AND(B3895&lt;&gt;"",B3895&gt;='Uang Riba'!$H$30,B3895&lt;='Uang Riba'!$I$30,OR(H3895="Dana riba",H3895="Pinjam uang riba",I3895="Pinjam dari uang riba",I3895="Ganti uang riba",I3895="Kelebihan ganti dikembalikan",AND(C3895="Kantong Uang Riba",G3895="Pengeluaran"))),1,0)</f>
        <v/>
      </c>
      <c r="X3895" s="93">
        <f>IF(AND(B3895&lt;&gt;"",B3895&gt;='Buku Akun'!$H$4,B3895&lt;='Buku Akun'!$H$5,OR(C3895='Buku Akun'!$C$4,AND(D3895="Pindah",E3895='Buku Akun'!$C$4))),B3895+IF(AND(I3895="Selisih bunga",DAY(B3895)=1),0,0.01)+ROW()/10000000,"")</f>
        <v/>
      </c>
    </row>
    <row r="3896" outlineLevel="1" ht="15" customHeight="1" s="94">
      <c r="A3896" s="123">
        <f>IF(B3896="","",ROW()-15)</f>
        <v/>
      </c>
      <c r="B3896" s="124" t="n"/>
      <c r="C3896" s="123" t="n"/>
      <c r="D3896" s="123" t="n"/>
      <c r="E3896" s="123" t="n"/>
      <c r="F3896" s="125" t="n"/>
      <c r="G3896" s="123" t="n"/>
      <c r="H3896" s="123" t="n"/>
      <c r="I3896" s="123" t="n"/>
      <c r="J3896" s="123" t="n"/>
      <c r="K3896" s="123" t="n"/>
      <c r="L3896" s="123" t="n"/>
      <c r="M3896" s="123">
        <f>IF(AND(B3896&lt;&gt;"",OR($C$4="",ISNUMBER(SEARCH($C$4,C3896&amp;" "&amp;E3896&amp;" "&amp;G3896&amp;" "&amp;H3896&amp;" "&amp;I3896&amp;" "&amp;J3896&amp;" "&amp;K3896&amp;" "&amp;L3896))),OR($C$5="Semua",$C$5="",G3896=$C$5),OR($C$6="Semua",$C$6="",H3896=$C$6,H3896="Pengeluaran "&amp;$C$6,AND($C$6="Uang Kos Mama",H3896="Pengeluaran Uang Kos")),OR($C$7="Semua",$C$7="",I3896=$C$7),OR($C$8="Semua",$C$8="",C3896=$C$8,E3896=$C$8),OR($C$9="Semua",$C$9="",D3896=$C$9),OR($C$10="",B3896&gt;=$C$10),OR($C$11="",B3896&lt;=$C$11),OR($C$12&lt;&gt;"Ya",K3896&lt;&gt;""),OR($C$13="Semua",$C$13="",L3896=$C$13)),"✓","")</f>
        <v/>
      </c>
      <c r="N3896" s="93">
        <f>N(N3895)+IF(M3896="✓",1,0)</f>
        <v/>
      </c>
      <c r="O3896" s="93">
        <f>N(O3895)+IF(AND(B3896&lt;&gt;"",B3896&gt;='Uang Riba'!$H$30,B3896&lt;='Uang Riba'!$I$30,OR(H3896="Dana riba",H3896="Pinjam uang riba",I3896="Pinjam dari uang riba",I3896="Ganti uang riba",I3896="Kelebihan ganti dikembalikan",AND(C3896="Kantong Uang Riba",G3896="Pengeluaran"))),1,0)</f>
        <v/>
      </c>
      <c r="X3896" s="93">
        <f>IF(AND(B3896&lt;&gt;"",B3896&gt;='Buku Akun'!$H$4,B3896&lt;='Buku Akun'!$H$5,OR(C3896='Buku Akun'!$C$4,AND(D3896="Pindah",E3896='Buku Akun'!$C$4))),B3896+IF(AND(I3896="Selisih bunga",DAY(B3896)=1),0,0.01)+ROW()/10000000,"")</f>
        <v/>
      </c>
    </row>
    <row r="3897" outlineLevel="1" ht="15" customHeight="1" s="94">
      <c r="A3897" s="123">
        <f>IF(B3897="","",ROW()-15)</f>
        <v/>
      </c>
      <c r="B3897" s="124" t="n"/>
      <c r="C3897" s="123" t="n"/>
      <c r="D3897" s="123" t="n"/>
      <c r="E3897" s="123" t="n"/>
      <c r="F3897" s="125" t="n"/>
      <c r="G3897" s="123" t="n"/>
      <c r="H3897" s="123" t="n"/>
      <c r="I3897" s="123" t="n"/>
      <c r="J3897" s="123" t="n"/>
      <c r="K3897" s="123" t="n"/>
      <c r="L3897" s="123" t="n"/>
      <c r="M3897" s="123">
        <f>IF(AND(B3897&lt;&gt;"",OR($C$4="",ISNUMBER(SEARCH($C$4,C3897&amp;" "&amp;E3897&amp;" "&amp;G3897&amp;" "&amp;H3897&amp;" "&amp;I3897&amp;" "&amp;J3897&amp;" "&amp;K3897&amp;" "&amp;L3897))),OR($C$5="Semua",$C$5="",G3897=$C$5),OR($C$6="Semua",$C$6="",H3897=$C$6,H3897="Pengeluaran "&amp;$C$6,AND($C$6="Uang Kos Mama",H3897="Pengeluaran Uang Kos")),OR($C$7="Semua",$C$7="",I3897=$C$7),OR($C$8="Semua",$C$8="",C3897=$C$8,E3897=$C$8),OR($C$9="Semua",$C$9="",D3897=$C$9),OR($C$10="",B3897&gt;=$C$10),OR($C$11="",B3897&lt;=$C$11),OR($C$12&lt;&gt;"Ya",K3897&lt;&gt;""),OR($C$13="Semua",$C$13="",L3897=$C$13)),"✓","")</f>
        <v/>
      </c>
      <c r="N3897" s="93">
        <f>N(N3896)+IF(M3897="✓",1,0)</f>
        <v/>
      </c>
      <c r="O3897" s="93">
        <f>N(O3896)+IF(AND(B3897&lt;&gt;"",B3897&gt;='Uang Riba'!$H$30,B3897&lt;='Uang Riba'!$I$30,OR(H3897="Dana riba",H3897="Pinjam uang riba",I3897="Pinjam dari uang riba",I3897="Ganti uang riba",I3897="Kelebihan ganti dikembalikan",AND(C3897="Kantong Uang Riba",G3897="Pengeluaran"))),1,0)</f>
        <v/>
      </c>
      <c r="X3897" s="93">
        <f>IF(AND(B3897&lt;&gt;"",B3897&gt;='Buku Akun'!$H$4,B3897&lt;='Buku Akun'!$H$5,OR(C3897='Buku Akun'!$C$4,AND(D3897="Pindah",E3897='Buku Akun'!$C$4))),B3897+IF(AND(I3897="Selisih bunga",DAY(B3897)=1),0,0.01)+ROW()/10000000,"")</f>
        <v/>
      </c>
    </row>
    <row r="3898" outlineLevel="1" ht="15" customHeight="1" s="94">
      <c r="A3898" s="123">
        <f>IF(B3898="","",ROW()-15)</f>
        <v/>
      </c>
      <c r="B3898" s="124" t="n"/>
      <c r="C3898" s="123" t="n"/>
      <c r="D3898" s="123" t="n"/>
      <c r="E3898" s="123" t="n"/>
      <c r="F3898" s="125" t="n"/>
      <c r="G3898" s="123" t="n"/>
      <c r="H3898" s="123" t="n"/>
      <c r="I3898" s="123" t="n"/>
      <c r="J3898" s="123" t="n"/>
      <c r="K3898" s="123" t="n"/>
      <c r="L3898" s="123" t="n"/>
      <c r="M3898" s="123">
        <f>IF(AND(B3898&lt;&gt;"",OR($C$4="",ISNUMBER(SEARCH($C$4,C3898&amp;" "&amp;E3898&amp;" "&amp;G3898&amp;" "&amp;H3898&amp;" "&amp;I3898&amp;" "&amp;J3898&amp;" "&amp;K3898&amp;" "&amp;L3898))),OR($C$5="Semua",$C$5="",G3898=$C$5),OR($C$6="Semua",$C$6="",H3898=$C$6,H3898="Pengeluaran "&amp;$C$6,AND($C$6="Uang Kos Mama",H3898="Pengeluaran Uang Kos")),OR($C$7="Semua",$C$7="",I3898=$C$7),OR($C$8="Semua",$C$8="",C3898=$C$8,E3898=$C$8),OR($C$9="Semua",$C$9="",D3898=$C$9),OR($C$10="",B3898&gt;=$C$10),OR($C$11="",B3898&lt;=$C$11),OR($C$12&lt;&gt;"Ya",K3898&lt;&gt;""),OR($C$13="Semua",$C$13="",L3898=$C$13)),"✓","")</f>
        <v/>
      </c>
      <c r="N3898" s="93">
        <f>N(N3897)+IF(M3898="✓",1,0)</f>
        <v/>
      </c>
      <c r="O3898" s="93">
        <f>N(O3897)+IF(AND(B3898&lt;&gt;"",B3898&gt;='Uang Riba'!$H$30,B3898&lt;='Uang Riba'!$I$30,OR(H3898="Dana riba",H3898="Pinjam uang riba",I3898="Pinjam dari uang riba",I3898="Ganti uang riba",I3898="Kelebihan ganti dikembalikan",AND(C3898="Kantong Uang Riba",G3898="Pengeluaran"))),1,0)</f>
        <v/>
      </c>
      <c r="X3898" s="93">
        <f>IF(AND(B3898&lt;&gt;"",B3898&gt;='Buku Akun'!$H$4,B3898&lt;='Buku Akun'!$H$5,OR(C3898='Buku Akun'!$C$4,AND(D3898="Pindah",E3898='Buku Akun'!$C$4))),B3898+IF(AND(I3898="Selisih bunga",DAY(B3898)=1),0,0.01)+ROW()/10000000,"")</f>
        <v/>
      </c>
    </row>
    <row r="3899" outlineLevel="1" ht="15" customHeight="1" s="94">
      <c r="A3899" s="123">
        <f>IF(B3899="","",ROW()-15)</f>
        <v/>
      </c>
      <c r="B3899" s="124" t="n"/>
      <c r="C3899" s="123" t="n"/>
      <c r="D3899" s="123" t="n"/>
      <c r="E3899" s="123" t="n"/>
      <c r="F3899" s="125" t="n"/>
      <c r="G3899" s="123" t="n"/>
      <c r="H3899" s="123" t="n"/>
      <c r="I3899" s="123" t="n"/>
      <c r="J3899" s="123" t="n"/>
      <c r="K3899" s="123" t="n"/>
      <c r="L3899" s="123" t="n"/>
      <c r="M3899" s="123">
        <f>IF(AND(B3899&lt;&gt;"",OR($C$4="",ISNUMBER(SEARCH($C$4,C3899&amp;" "&amp;E3899&amp;" "&amp;G3899&amp;" "&amp;H3899&amp;" "&amp;I3899&amp;" "&amp;J3899&amp;" "&amp;K3899&amp;" "&amp;L3899))),OR($C$5="Semua",$C$5="",G3899=$C$5),OR($C$6="Semua",$C$6="",H3899=$C$6,H3899="Pengeluaran "&amp;$C$6,AND($C$6="Uang Kos Mama",H3899="Pengeluaran Uang Kos")),OR($C$7="Semua",$C$7="",I3899=$C$7),OR($C$8="Semua",$C$8="",C3899=$C$8,E3899=$C$8),OR($C$9="Semua",$C$9="",D3899=$C$9),OR($C$10="",B3899&gt;=$C$10),OR($C$11="",B3899&lt;=$C$11),OR($C$12&lt;&gt;"Ya",K3899&lt;&gt;""),OR($C$13="Semua",$C$13="",L3899=$C$13)),"✓","")</f>
        <v/>
      </c>
      <c r="N3899" s="93">
        <f>N(N3898)+IF(M3899="✓",1,0)</f>
        <v/>
      </c>
      <c r="O3899" s="93">
        <f>N(O3898)+IF(AND(B3899&lt;&gt;"",B3899&gt;='Uang Riba'!$H$30,B3899&lt;='Uang Riba'!$I$30,OR(H3899="Dana riba",H3899="Pinjam uang riba",I3899="Pinjam dari uang riba",I3899="Ganti uang riba",I3899="Kelebihan ganti dikembalikan",AND(C3899="Kantong Uang Riba",G3899="Pengeluaran"))),1,0)</f>
        <v/>
      </c>
      <c r="X3899" s="93">
        <f>IF(AND(B3899&lt;&gt;"",B3899&gt;='Buku Akun'!$H$4,B3899&lt;='Buku Akun'!$H$5,OR(C3899='Buku Akun'!$C$4,AND(D3899="Pindah",E3899='Buku Akun'!$C$4))),B3899+IF(AND(I3899="Selisih bunga",DAY(B3899)=1),0,0.01)+ROW()/10000000,"")</f>
        <v/>
      </c>
    </row>
    <row r="3900" outlineLevel="1" ht="15" customHeight="1" s="94">
      <c r="A3900" s="123">
        <f>IF(B3900="","",ROW()-15)</f>
        <v/>
      </c>
      <c r="B3900" s="124" t="n"/>
      <c r="C3900" s="123" t="n"/>
      <c r="D3900" s="123" t="n"/>
      <c r="E3900" s="123" t="n"/>
      <c r="F3900" s="125" t="n"/>
      <c r="G3900" s="123" t="n"/>
      <c r="H3900" s="123" t="n"/>
      <c r="I3900" s="123" t="n"/>
      <c r="J3900" s="123" t="n"/>
      <c r="K3900" s="123" t="n"/>
      <c r="L3900" s="123" t="n"/>
      <c r="M3900" s="123">
        <f>IF(AND(B3900&lt;&gt;"",OR($C$4="",ISNUMBER(SEARCH($C$4,C3900&amp;" "&amp;E3900&amp;" "&amp;G3900&amp;" "&amp;H3900&amp;" "&amp;I3900&amp;" "&amp;J3900&amp;" "&amp;K3900&amp;" "&amp;L3900))),OR($C$5="Semua",$C$5="",G3900=$C$5),OR($C$6="Semua",$C$6="",H3900=$C$6,H3900="Pengeluaran "&amp;$C$6,AND($C$6="Uang Kos Mama",H3900="Pengeluaran Uang Kos")),OR($C$7="Semua",$C$7="",I3900=$C$7),OR($C$8="Semua",$C$8="",C3900=$C$8,E3900=$C$8),OR($C$9="Semua",$C$9="",D3900=$C$9),OR($C$10="",B3900&gt;=$C$10),OR($C$11="",B3900&lt;=$C$11),OR($C$12&lt;&gt;"Ya",K3900&lt;&gt;""),OR($C$13="Semua",$C$13="",L3900=$C$13)),"✓","")</f>
        <v/>
      </c>
      <c r="N3900" s="93">
        <f>N(N3899)+IF(M3900="✓",1,0)</f>
        <v/>
      </c>
      <c r="O3900" s="93">
        <f>N(O3899)+IF(AND(B3900&lt;&gt;"",B3900&gt;='Uang Riba'!$H$30,B3900&lt;='Uang Riba'!$I$30,OR(H3900="Dana riba",H3900="Pinjam uang riba",I3900="Pinjam dari uang riba",I3900="Ganti uang riba",I3900="Kelebihan ganti dikembalikan",AND(C3900="Kantong Uang Riba",G3900="Pengeluaran"))),1,0)</f>
        <v/>
      </c>
      <c r="X3900" s="93">
        <f>IF(AND(B3900&lt;&gt;"",B3900&gt;='Buku Akun'!$H$4,B3900&lt;='Buku Akun'!$H$5,OR(C3900='Buku Akun'!$C$4,AND(D3900="Pindah",E3900='Buku Akun'!$C$4))),B3900+IF(AND(I3900="Selisih bunga",DAY(B3900)=1),0,0.01)+ROW()/10000000,"")</f>
        <v/>
      </c>
    </row>
    <row r="3901" outlineLevel="1" ht="15" customHeight="1" s="94">
      <c r="A3901" s="123">
        <f>IF(B3901="","",ROW()-15)</f>
        <v/>
      </c>
      <c r="B3901" s="124" t="n"/>
      <c r="C3901" s="123" t="n"/>
      <c r="D3901" s="123" t="n"/>
      <c r="E3901" s="123" t="n"/>
      <c r="F3901" s="125" t="n"/>
      <c r="G3901" s="123" t="n"/>
      <c r="H3901" s="123" t="n"/>
      <c r="I3901" s="123" t="n"/>
      <c r="J3901" s="123" t="n"/>
      <c r="K3901" s="123" t="n"/>
      <c r="L3901" s="123" t="n"/>
      <c r="M3901" s="123">
        <f>IF(AND(B3901&lt;&gt;"",OR($C$4="",ISNUMBER(SEARCH($C$4,C3901&amp;" "&amp;E3901&amp;" "&amp;G3901&amp;" "&amp;H3901&amp;" "&amp;I3901&amp;" "&amp;J3901&amp;" "&amp;K3901&amp;" "&amp;L3901))),OR($C$5="Semua",$C$5="",G3901=$C$5),OR($C$6="Semua",$C$6="",H3901=$C$6,H3901="Pengeluaran "&amp;$C$6,AND($C$6="Uang Kos Mama",H3901="Pengeluaran Uang Kos")),OR($C$7="Semua",$C$7="",I3901=$C$7),OR($C$8="Semua",$C$8="",C3901=$C$8,E3901=$C$8),OR($C$9="Semua",$C$9="",D3901=$C$9),OR($C$10="",B3901&gt;=$C$10),OR($C$11="",B3901&lt;=$C$11),OR($C$12&lt;&gt;"Ya",K3901&lt;&gt;""),OR($C$13="Semua",$C$13="",L3901=$C$13)),"✓","")</f>
        <v/>
      </c>
      <c r="N3901" s="93">
        <f>N(N3900)+IF(M3901="✓",1,0)</f>
        <v/>
      </c>
      <c r="O3901" s="93">
        <f>N(O3900)+IF(AND(B3901&lt;&gt;"",B3901&gt;='Uang Riba'!$H$30,B3901&lt;='Uang Riba'!$I$30,OR(H3901="Dana riba",H3901="Pinjam uang riba",I3901="Pinjam dari uang riba",I3901="Ganti uang riba",I3901="Kelebihan ganti dikembalikan",AND(C3901="Kantong Uang Riba",G3901="Pengeluaran"))),1,0)</f>
        <v/>
      </c>
      <c r="X3901" s="93">
        <f>IF(AND(B3901&lt;&gt;"",B3901&gt;='Buku Akun'!$H$4,B3901&lt;='Buku Akun'!$H$5,OR(C3901='Buku Akun'!$C$4,AND(D3901="Pindah",E3901='Buku Akun'!$C$4))),B3901+IF(AND(I3901="Selisih bunga",DAY(B3901)=1),0,0.01)+ROW()/10000000,"")</f>
        <v/>
      </c>
    </row>
    <row r="3902" outlineLevel="1" ht="15" customHeight="1" s="94">
      <c r="A3902" s="123">
        <f>IF(B3902="","",ROW()-15)</f>
        <v/>
      </c>
      <c r="B3902" s="124" t="n"/>
      <c r="C3902" s="123" t="n"/>
      <c r="D3902" s="123" t="n"/>
      <c r="E3902" s="123" t="n"/>
      <c r="F3902" s="125" t="n"/>
      <c r="G3902" s="123" t="n"/>
      <c r="H3902" s="123" t="n"/>
      <c r="I3902" s="123" t="n"/>
      <c r="J3902" s="123" t="n"/>
      <c r="K3902" s="123" t="n"/>
      <c r="L3902" s="123" t="n"/>
      <c r="M3902" s="123">
        <f>IF(AND(B3902&lt;&gt;"",OR($C$4="",ISNUMBER(SEARCH($C$4,C3902&amp;" "&amp;E3902&amp;" "&amp;G3902&amp;" "&amp;H3902&amp;" "&amp;I3902&amp;" "&amp;J3902&amp;" "&amp;K3902&amp;" "&amp;L3902))),OR($C$5="Semua",$C$5="",G3902=$C$5),OR($C$6="Semua",$C$6="",H3902=$C$6,H3902="Pengeluaran "&amp;$C$6,AND($C$6="Uang Kos Mama",H3902="Pengeluaran Uang Kos")),OR($C$7="Semua",$C$7="",I3902=$C$7),OR($C$8="Semua",$C$8="",C3902=$C$8,E3902=$C$8),OR($C$9="Semua",$C$9="",D3902=$C$9),OR($C$10="",B3902&gt;=$C$10),OR($C$11="",B3902&lt;=$C$11),OR($C$12&lt;&gt;"Ya",K3902&lt;&gt;""),OR($C$13="Semua",$C$13="",L3902=$C$13)),"✓","")</f>
        <v/>
      </c>
      <c r="N3902" s="93">
        <f>N(N3901)+IF(M3902="✓",1,0)</f>
        <v/>
      </c>
      <c r="O3902" s="93">
        <f>N(O3901)+IF(AND(B3902&lt;&gt;"",B3902&gt;='Uang Riba'!$H$30,B3902&lt;='Uang Riba'!$I$30,OR(H3902="Dana riba",H3902="Pinjam uang riba",I3902="Pinjam dari uang riba",I3902="Ganti uang riba",I3902="Kelebihan ganti dikembalikan",AND(C3902="Kantong Uang Riba",G3902="Pengeluaran"))),1,0)</f>
        <v/>
      </c>
      <c r="X3902" s="93">
        <f>IF(AND(B3902&lt;&gt;"",B3902&gt;='Buku Akun'!$H$4,B3902&lt;='Buku Akun'!$H$5,OR(C3902='Buku Akun'!$C$4,AND(D3902="Pindah",E3902='Buku Akun'!$C$4))),B3902+IF(AND(I3902="Selisih bunga",DAY(B3902)=1),0,0.01)+ROW()/10000000,"")</f>
        <v/>
      </c>
    </row>
    <row r="3903" outlineLevel="1" ht="15" customHeight="1" s="94">
      <c r="A3903" s="123">
        <f>IF(B3903="","",ROW()-15)</f>
        <v/>
      </c>
      <c r="B3903" s="124" t="n"/>
      <c r="C3903" s="123" t="n"/>
      <c r="D3903" s="123" t="n"/>
      <c r="E3903" s="123" t="n"/>
      <c r="F3903" s="125" t="n"/>
      <c r="G3903" s="123" t="n"/>
      <c r="H3903" s="123" t="n"/>
      <c r="I3903" s="123" t="n"/>
      <c r="J3903" s="123" t="n"/>
      <c r="K3903" s="123" t="n"/>
      <c r="L3903" s="123" t="n"/>
      <c r="M3903" s="123">
        <f>IF(AND(B3903&lt;&gt;"",OR($C$4="",ISNUMBER(SEARCH($C$4,C3903&amp;" "&amp;E3903&amp;" "&amp;G3903&amp;" "&amp;H3903&amp;" "&amp;I3903&amp;" "&amp;J3903&amp;" "&amp;K3903&amp;" "&amp;L3903))),OR($C$5="Semua",$C$5="",G3903=$C$5),OR($C$6="Semua",$C$6="",H3903=$C$6,H3903="Pengeluaran "&amp;$C$6,AND($C$6="Uang Kos Mama",H3903="Pengeluaran Uang Kos")),OR($C$7="Semua",$C$7="",I3903=$C$7),OR($C$8="Semua",$C$8="",C3903=$C$8,E3903=$C$8),OR($C$9="Semua",$C$9="",D3903=$C$9),OR($C$10="",B3903&gt;=$C$10),OR($C$11="",B3903&lt;=$C$11),OR($C$12&lt;&gt;"Ya",K3903&lt;&gt;""),OR($C$13="Semua",$C$13="",L3903=$C$13)),"✓","")</f>
        <v/>
      </c>
      <c r="N3903" s="93">
        <f>N(N3902)+IF(M3903="✓",1,0)</f>
        <v/>
      </c>
      <c r="O3903" s="93">
        <f>N(O3902)+IF(AND(B3903&lt;&gt;"",B3903&gt;='Uang Riba'!$H$30,B3903&lt;='Uang Riba'!$I$30,OR(H3903="Dana riba",H3903="Pinjam uang riba",I3903="Pinjam dari uang riba",I3903="Ganti uang riba",I3903="Kelebihan ganti dikembalikan",AND(C3903="Kantong Uang Riba",G3903="Pengeluaran"))),1,0)</f>
        <v/>
      </c>
      <c r="X3903" s="93">
        <f>IF(AND(B3903&lt;&gt;"",B3903&gt;='Buku Akun'!$H$4,B3903&lt;='Buku Akun'!$H$5,OR(C3903='Buku Akun'!$C$4,AND(D3903="Pindah",E3903='Buku Akun'!$C$4))),B3903+IF(AND(I3903="Selisih bunga",DAY(B3903)=1),0,0.01)+ROW()/10000000,"")</f>
        <v/>
      </c>
    </row>
    <row r="3904" outlineLevel="1" ht="15" customHeight="1" s="94">
      <c r="A3904" s="123">
        <f>IF(B3904="","",ROW()-15)</f>
        <v/>
      </c>
      <c r="B3904" s="124" t="n"/>
      <c r="C3904" s="123" t="n"/>
      <c r="D3904" s="123" t="n"/>
      <c r="E3904" s="123" t="n"/>
      <c r="F3904" s="125" t="n"/>
      <c r="G3904" s="123" t="n"/>
      <c r="H3904" s="123" t="n"/>
      <c r="I3904" s="123" t="n"/>
      <c r="J3904" s="123" t="n"/>
      <c r="K3904" s="123" t="n"/>
      <c r="L3904" s="123" t="n"/>
      <c r="M3904" s="123">
        <f>IF(AND(B3904&lt;&gt;"",OR($C$4="",ISNUMBER(SEARCH($C$4,C3904&amp;" "&amp;E3904&amp;" "&amp;G3904&amp;" "&amp;H3904&amp;" "&amp;I3904&amp;" "&amp;J3904&amp;" "&amp;K3904&amp;" "&amp;L3904))),OR($C$5="Semua",$C$5="",G3904=$C$5),OR($C$6="Semua",$C$6="",H3904=$C$6,H3904="Pengeluaran "&amp;$C$6,AND($C$6="Uang Kos Mama",H3904="Pengeluaran Uang Kos")),OR($C$7="Semua",$C$7="",I3904=$C$7),OR($C$8="Semua",$C$8="",C3904=$C$8,E3904=$C$8),OR($C$9="Semua",$C$9="",D3904=$C$9),OR($C$10="",B3904&gt;=$C$10),OR($C$11="",B3904&lt;=$C$11),OR($C$12&lt;&gt;"Ya",K3904&lt;&gt;""),OR($C$13="Semua",$C$13="",L3904=$C$13)),"✓","")</f>
        <v/>
      </c>
      <c r="N3904" s="93">
        <f>N(N3903)+IF(M3904="✓",1,0)</f>
        <v/>
      </c>
      <c r="O3904" s="93">
        <f>N(O3903)+IF(AND(B3904&lt;&gt;"",B3904&gt;='Uang Riba'!$H$30,B3904&lt;='Uang Riba'!$I$30,OR(H3904="Dana riba",H3904="Pinjam uang riba",I3904="Pinjam dari uang riba",I3904="Ganti uang riba",I3904="Kelebihan ganti dikembalikan",AND(C3904="Kantong Uang Riba",G3904="Pengeluaran"))),1,0)</f>
        <v/>
      </c>
      <c r="X3904" s="93">
        <f>IF(AND(B3904&lt;&gt;"",B3904&gt;='Buku Akun'!$H$4,B3904&lt;='Buku Akun'!$H$5,OR(C3904='Buku Akun'!$C$4,AND(D3904="Pindah",E3904='Buku Akun'!$C$4))),B3904+IF(AND(I3904="Selisih bunga",DAY(B3904)=1),0,0.01)+ROW()/10000000,"")</f>
        <v/>
      </c>
    </row>
    <row r="3905" outlineLevel="1" ht="15" customHeight="1" s="94">
      <c r="A3905" s="123">
        <f>IF(B3905="","",ROW()-15)</f>
        <v/>
      </c>
      <c r="B3905" s="124" t="n"/>
      <c r="C3905" s="123" t="n"/>
      <c r="D3905" s="123" t="n"/>
      <c r="E3905" s="123" t="n"/>
      <c r="F3905" s="125" t="n"/>
      <c r="G3905" s="123" t="n"/>
      <c r="H3905" s="123" t="n"/>
      <c r="I3905" s="123" t="n"/>
      <c r="J3905" s="123" t="n"/>
      <c r="K3905" s="123" t="n"/>
      <c r="L3905" s="123" t="n"/>
      <c r="M3905" s="123">
        <f>IF(AND(B3905&lt;&gt;"",OR($C$4="",ISNUMBER(SEARCH($C$4,C3905&amp;" "&amp;E3905&amp;" "&amp;G3905&amp;" "&amp;H3905&amp;" "&amp;I3905&amp;" "&amp;J3905&amp;" "&amp;K3905&amp;" "&amp;L3905))),OR($C$5="Semua",$C$5="",G3905=$C$5),OR($C$6="Semua",$C$6="",H3905=$C$6,H3905="Pengeluaran "&amp;$C$6,AND($C$6="Uang Kos Mama",H3905="Pengeluaran Uang Kos")),OR($C$7="Semua",$C$7="",I3905=$C$7),OR($C$8="Semua",$C$8="",C3905=$C$8,E3905=$C$8),OR($C$9="Semua",$C$9="",D3905=$C$9),OR($C$10="",B3905&gt;=$C$10),OR($C$11="",B3905&lt;=$C$11),OR($C$12&lt;&gt;"Ya",K3905&lt;&gt;""),OR($C$13="Semua",$C$13="",L3905=$C$13)),"✓","")</f>
        <v/>
      </c>
      <c r="N3905" s="93">
        <f>N(N3904)+IF(M3905="✓",1,0)</f>
        <v/>
      </c>
      <c r="O3905" s="93">
        <f>N(O3904)+IF(AND(B3905&lt;&gt;"",B3905&gt;='Uang Riba'!$H$30,B3905&lt;='Uang Riba'!$I$30,OR(H3905="Dana riba",H3905="Pinjam uang riba",I3905="Pinjam dari uang riba",I3905="Ganti uang riba",I3905="Kelebihan ganti dikembalikan",AND(C3905="Kantong Uang Riba",G3905="Pengeluaran"))),1,0)</f>
        <v/>
      </c>
      <c r="X3905" s="93">
        <f>IF(AND(B3905&lt;&gt;"",B3905&gt;='Buku Akun'!$H$4,B3905&lt;='Buku Akun'!$H$5,OR(C3905='Buku Akun'!$C$4,AND(D3905="Pindah",E3905='Buku Akun'!$C$4))),B3905+IF(AND(I3905="Selisih bunga",DAY(B3905)=1),0,0.01)+ROW()/10000000,"")</f>
        <v/>
      </c>
    </row>
    <row r="3906" outlineLevel="1" ht="15" customHeight="1" s="94">
      <c r="A3906" s="123">
        <f>IF(B3906="","",ROW()-15)</f>
        <v/>
      </c>
      <c r="B3906" s="124" t="n"/>
      <c r="C3906" s="123" t="n"/>
      <c r="D3906" s="123" t="n"/>
      <c r="E3906" s="123" t="n"/>
      <c r="F3906" s="125" t="n"/>
      <c r="G3906" s="123" t="n"/>
      <c r="H3906" s="123" t="n"/>
      <c r="I3906" s="123" t="n"/>
      <c r="J3906" s="123" t="n"/>
      <c r="K3906" s="123" t="n"/>
      <c r="L3906" s="123" t="n"/>
      <c r="M3906" s="123">
        <f>IF(AND(B3906&lt;&gt;"",OR($C$4="",ISNUMBER(SEARCH($C$4,C3906&amp;" "&amp;E3906&amp;" "&amp;G3906&amp;" "&amp;H3906&amp;" "&amp;I3906&amp;" "&amp;J3906&amp;" "&amp;K3906&amp;" "&amp;L3906))),OR($C$5="Semua",$C$5="",G3906=$C$5),OR($C$6="Semua",$C$6="",H3906=$C$6,H3906="Pengeluaran "&amp;$C$6,AND($C$6="Uang Kos Mama",H3906="Pengeluaran Uang Kos")),OR($C$7="Semua",$C$7="",I3906=$C$7),OR($C$8="Semua",$C$8="",C3906=$C$8,E3906=$C$8),OR($C$9="Semua",$C$9="",D3906=$C$9),OR($C$10="",B3906&gt;=$C$10),OR($C$11="",B3906&lt;=$C$11),OR($C$12&lt;&gt;"Ya",K3906&lt;&gt;""),OR($C$13="Semua",$C$13="",L3906=$C$13)),"✓","")</f>
        <v/>
      </c>
      <c r="N3906" s="93">
        <f>N(N3905)+IF(M3906="✓",1,0)</f>
        <v/>
      </c>
      <c r="O3906" s="93">
        <f>N(O3905)+IF(AND(B3906&lt;&gt;"",B3906&gt;='Uang Riba'!$H$30,B3906&lt;='Uang Riba'!$I$30,OR(H3906="Dana riba",H3906="Pinjam uang riba",I3906="Pinjam dari uang riba",I3906="Ganti uang riba",I3906="Kelebihan ganti dikembalikan",AND(C3906="Kantong Uang Riba",G3906="Pengeluaran"))),1,0)</f>
        <v/>
      </c>
      <c r="X3906" s="93">
        <f>IF(AND(B3906&lt;&gt;"",B3906&gt;='Buku Akun'!$H$4,B3906&lt;='Buku Akun'!$H$5,OR(C3906='Buku Akun'!$C$4,AND(D3906="Pindah",E3906='Buku Akun'!$C$4))),B3906+IF(AND(I3906="Selisih bunga",DAY(B3906)=1),0,0.01)+ROW()/10000000,"")</f>
        <v/>
      </c>
    </row>
    <row r="3907" outlineLevel="1" ht="15" customHeight="1" s="94">
      <c r="A3907" s="123">
        <f>IF(B3907="","",ROW()-15)</f>
        <v/>
      </c>
      <c r="B3907" s="124" t="n"/>
      <c r="C3907" s="123" t="n"/>
      <c r="D3907" s="123" t="n"/>
      <c r="E3907" s="123" t="n"/>
      <c r="F3907" s="125" t="n"/>
      <c r="G3907" s="123" t="n"/>
      <c r="H3907" s="123" t="n"/>
      <c r="I3907" s="123" t="n"/>
      <c r="J3907" s="123" t="n"/>
      <c r="K3907" s="123" t="n"/>
      <c r="L3907" s="123" t="n"/>
      <c r="M3907" s="123">
        <f>IF(AND(B3907&lt;&gt;"",OR($C$4="",ISNUMBER(SEARCH($C$4,C3907&amp;" "&amp;E3907&amp;" "&amp;G3907&amp;" "&amp;H3907&amp;" "&amp;I3907&amp;" "&amp;J3907&amp;" "&amp;K3907&amp;" "&amp;L3907))),OR($C$5="Semua",$C$5="",G3907=$C$5),OR($C$6="Semua",$C$6="",H3907=$C$6,H3907="Pengeluaran "&amp;$C$6,AND($C$6="Uang Kos Mama",H3907="Pengeluaran Uang Kos")),OR($C$7="Semua",$C$7="",I3907=$C$7),OR($C$8="Semua",$C$8="",C3907=$C$8,E3907=$C$8),OR($C$9="Semua",$C$9="",D3907=$C$9),OR($C$10="",B3907&gt;=$C$10),OR($C$11="",B3907&lt;=$C$11),OR($C$12&lt;&gt;"Ya",K3907&lt;&gt;""),OR($C$13="Semua",$C$13="",L3907=$C$13)),"✓","")</f>
        <v/>
      </c>
      <c r="N3907" s="93">
        <f>N(N3906)+IF(M3907="✓",1,0)</f>
        <v/>
      </c>
      <c r="O3907" s="93">
        <f>N(O3906)+IF(AND(B3907&lt;&gt;"",B3907&gt;='Uang Riba'!$H$30,B3907&lt;='Uang Riba'!$I$30,OR(H3907="Dana riba",H3907="Pinjam uang riba",I3907="Pinjam dari uang riba",I3907="Ganti uang riba",I3907="Kelebihan ganti dikembalikan",AND(C3907="Kantong Uang Riba",G3907="Pengeluaran"))),1,0)</f>
        <v/>
      </c>
      <c r="X3907" s="93">
        <f>IF(AND(B3907&lt;&gt;"",B3907&gt;='Buku Akun'!$H$4,B3907&lt;='Buku Akun'!$H$5,OR(C3907='Buku Akun'!$C$4,AND(D3907="Pindah",E3907='Buku Akun'!$C$4))),B3907+IF(AND(I3907="Selisih bunga",DAY(B3907)=1),0,0.01)+ROW()/10000000,"")</f>
        <v/>
      </c>
    </row>
    <row r="3908" outlineLevel="1" ht="15" customHeight="1" s="94">
      <c r="A3908" s="123">
        <f>IF(B3908="","",ROW()-15)</f>
        <v/>
      </c>
      <c r="B3908" s="124" t="n"/>
      <c r="C3908" s="123" t="n"/>
      <c r="D3908" s="123" t="n"/>
      <c r="E3908" s="123" t="n"/>
      <c r="F3908" s="125" t="n"/>
      <c r="G3908" s="123" t="n"/>
      <c r="H3908" s="123" t="n"/>
      <c r="I3908" s="123" t="n"/>
      <c r="J3908" s="123" t="n"/>
      <c r="K3908" s="123" t="n"/>
      <c r="L3908" s="123" t="n"/>
      <c r="M3908" s="123">
        <f>IF(AND(B3908&lt;&gt;"",OR($C$4="",ISNUMBER(SEARCH($C$4,C3908&amp;" "&amp;E3908&amp;" "&amp;G3908&amp;" "&amp;H3908&amp;" "&amp;I3908&amp;" "&amp;J3908&amp;" "&amp;K3908&amp;" "&amp;L3908))),OR($C$5="Semua",$C$5="",G3908=$C$5),OR($C$6="Semua",$C$6="",H3908=$C$6,H3908="Pengeluaran "&amp;$C$6,AND($C$6="Uang Kos Mama",H3908="Pengeluaran Uang Kos")),OR($C$7="Semua",$C$7="",I3908=$C$7),OR($C$8="Semua",$C$8="",C3908=$C$8,E3908=$C$8),OR($C$9="Semua",$C$9="",D3908=$C$9),OR($C$10="",B3908&gt;=$C$10),OR($C$11="",B3908&lt;=$C$11),OR($C$12&lt;&gt;"Ya",K3908&lt;&gt;""),OR($C$13="Semua",$C$13="",L3908=$C$13)),"✓","")</f>
        <v/>
      </c>
      <c r="N3908" s="93">
        <f>N(N3907)+IF(M3908="✓",1,0)</f>
        <v/>
      </c>
      <c r="O3908" s="93">
        <f>N(O3907)+IF(AND(B3908&lt;&gt;"",B3908&gt;='Uang Riba'!$H$30,B3908&lt;='Uang Riba'!$I$30,OR(H3908="Dana riba",H3908="Pinjam uang riba",I3908="Pinjam dari uang riba",I3908="Ganti uang riba",I3908="Kelebihan ganti dikembalikan",AND(C3908="Kantong Uang Riba",G3908="Pengeluaran"))),1,0)</f>
        <v/>
      </c>
      <c r="X3908" s="93">
        <f>IF(AND(B3908&lt;&gt;"",B3908&gt;='Buku Akun'!$H$4,B3908&lt;='Buku Akun'!$H$5,OR(C3908='Buku Akun'!$C$4,AND(D3908="Pindah",E3908='Buku Akun'!$C$4))),B3908+IF(AND(I3908="Selisih bunga",DAY(B3908)=1),0,0.01)+ROW()/10000000,"")</f>
        <v/>
      </c>
    </row>
    <row r="3909" outlineLevel="1" ht="15" customHeight="1" s="94">
      <c r="A3909" s="123">
        <f>IF(B3909="","",ROW()-15)</f>
        <v/>
      </c>
      <c r="B3909" s="124" t="n"/>
      <c r="C3909" s="123" t="n"/>
      <c r="D3909" s="123" t="n"/>
      <c r="E3909" s="123" t="n"/>
      <c r="F3909" s="125" t="n"/>
      <c r="G3909" s="123" t="n"/>
      <c r="H3909" s="123" t="n"/>
      <c r="I3909" s="123" t="n"/>
      <c r="J3909" s="123" t="n"/>
      <c r="K3909" s="123" t="n"/>
      <c r="L3909" s="123" t="n"/>
      <c r="M3909" s="123">
        <f>IF(AND(B3909&lt;&gt;"",OR($C$4="",ISNUMBER(SEARCH($C$4,C3909&amp;" "&amp;E3909&amp;" "&amp;G3909&amp;" "&amp;H3909&amp;" "&amp;I3909&amp;" "&amp;J3909&amp;" "&amp;K3909&amp;" "&amp;L3909))),OR($C$5="Semua",$C$5="",G3909=$C$5),OR($C$6="Semua",$C$6="",H3909=$C$6,H3909="Pengeluaran "&amp;$C$6,AND($C$6="Uang Kos Mama",H3909="Pengeluaran Uang Kos")),OR($C$7="Semua",$C$7="",I3909=$C$7),OR($C$8="Semua",$C$8="",C3909=$C$8,E3909=$C$8),OR($C$9="Semua",$C$9="",D3909=$C$9),OR($C$10="",B3909&gt;=$C$10),OR($C$11="",B3909&lt;=$C$11),OR($C$12&lt;&gt;"Ya",K3909&lt;&gt;""),OR($C$13="Semua",$C$13="",L3909=$C$13)),"✓","")</f>
        <v/>
      </c>
      <c r="N3909" s="93">
        <f>N(N3908)+IF(M3909="✓",1,0)</f>
        <v/>
      </c>
      <c r="O3909" s="93">
        <f>N(O3908)+IF(AND(B3909&lt;&gt;"",B3909&gt;='Uang Riba'!$H$30,B3909&lt;='Uang Riba'!$I$30,OR(H3909="Dana riba",H3909="Pinjam uang riba",I3909="Pinjam dari uang riba",I3909="Ganti uang riba",I3909="Kelebihan ganti dikembalikan",AND(C3909="Kantong Uang Riba",G3909="Pengeluaran"))),1,0)</f>
        <v/>
      </c>
      <c r="X3909" s="93">
        <f>IF(AND(B3909&lt;&gt;"",B3909&gt;='Buku Akun'!$H$4,B3909&lt;='Buku Akun'!$H$5,OR(C3909='Buku Akun'!$C$4,AND(D3909="Pindah",E3909='Buku Akun'!$C$4))),B3909+IF(AND(I3909="Selisih bunga",DAY(B3909)=1),0,0.01)+ROW()/10000000,"")</f>
        <v/>
      </c>
    </row>
    <row r="3910" outlineLevel="1" ht="15" customHeight="1" s="94">
      <c r="A3910" s="123">
        <f>IF(B3910="","",ROW()-15)</f>
        <v/>
      </c>
      <c r="B3910" s="124" t="n"/>
      <c r="C3910" s="123" t="n"/>
      <c r="D3910" s="123" t="n"/>
      <c r="E3910" s="123" t="n"/>
      <c r="F3910" s="125" t="n"/>
      <c r="G3910" s="123" t="n"/>
      <c r="H3910" s="123" t="n"/>
      <c r="I3910" s="123" t="n"/>
      <c r="J3910" s="123" t="n"/>
      <c r="K3910" s="123" t="n"/>
      <c r="L3910" s="123" t="n"/>
      <c r="M3910" s="123">
        <f>IF(AND(B3910&lt;&gt;"",OR($C$4="",ISNUMBER(SEARCH($C$4,C3910&amp;" "&amp;E3910&amp;" "&amp;G3910&amp;" "&amp;H3910&amp;" "&amp;I3910&amp;" "&amp;J3910&amp;" "&amp;K3910&amp;" "&amp;L3910))),OR($C$5="Semua",$C$5="",G3910=$C$5),OR($C$6="Semua",$C$6="",H3910=$C$6,H3910="Pengeluaran "&amp;$C$6,AND($C$6="Uang Kos Mama",H3910="Pengeluaran Uang Kos")),OR($C$7="Semua",$C$7="",I3910=$C$7),OR($C$8="Semua",$C$8="",C3910=$C$8,E3910=$C$8),OR($C$9="Semua",$C$9="",D3910=$C$9),OR($C$10="",B3910&gt;=$C$10),OR($C$11="",B3910&lt;=$C$11),OR($C$12&lt;&gt;"Ya",K3910&lt;&gt;""),OR($C$13="Semua",$C$13="",L3910=$C$13)),"✓","")</f>
        <v/>
      </c>
      <c r="N3910" s="93">
        <f>N(N3909)+IF(M3910="✓",1,0)</f>
        <v/>
      </c>
      <c r="O3910" s="93">
        <f>N(O3909)+IF(AND(B3910&lt;&gt;"",B3910&gt;='Uang Riba'!$H$30,B3910&lt;='Uang Riba'!$I$30,OR(H3910="Dana riba",H3910="Pinjam uang riba",I3910="Pinjam dari uang riba",I3910="Ganti uang riba",I3910="Kelebihan ganti dikembalikan",AND(C3910="Kantong Uang Riba",G3910="Pengeluaran"))),1,0)</f>
        <v/>
      </c>
      <c r="X3910" s="93">
        <f>IF(AND(B3910&lt;&gt;"",B3910&gt;='Buku Akun'!$H$4,B3910&lt;='Buku Akun'!$H$5,OR(C3910='Buku Akun'!$C$4,AND(D3910="Pindah",E3910='Buku Akun'!$C$4))),B3910+IF(AND(I3910="Selisih bunga",DAY(B3910)=1),0,0.01)+ROW()/10000000,"")</f>
        <v/>
      </c>
    </row>
    <row r="3911" outlineLevel="1" ht="15" customHeight="1" s="94">
      <c r="A3911" s="123">
        <f>IF(B3911="","",ROW()-15)</f>
        <v/>
      </c>
      <c r="B3911" s="124" t="n"/>
      <c r="C3911" s="123" t="n"/>
      <c r="D3911" s="123" t="n"/>
      <c r="E3911" s="123" t="n"/>
      <c r="F3911" s="125" t="n"/>
      <c r="G3911" s="123" t="n"/>
      <c r="H3911" s="123" t="n"/>
      <c r="I3911" s="123" t="n"/>
      <c r="J3911" s="123" t="n"/>
      <c r="K3911" s="123" t="n"/>
      <c r="L3911" s="123" t="n"/>
      <c r="M3911" s="123">
        <f>IF(AND(B3911&lt;&gt;"",OR($C$4="",ISNUMBER(SEARCH($C$4,C3911&amp;" "&amp;E3911&amp;" "&amp;G3911&amp;" "&amp;H3911&amp;" "&amp;I3911&amp;" "&amp;J3911&amp;" "&amp;K3911&amp;" "&amp;L3911))),OR($C$5="Semua",$C$5="",G3911=$C$5),OR($C$6="Semua",$C$6="",H3911=$C$6,H3911="Pengeluaran "&amp;$C$6,AND($C$6="Uang Kos Mama",H3911="Pengeluaran Uang Kos")),OR($C$7="Semua",$C$7="",I3911=$C$7),OR($C$8="Semua",$C$8="",C3911=$C$8,E3911=$C$8),OR($C$9="Semua",$C$9="",D3911=$C$9),OR($C$10="",B3911&gt;=$C$10),OR($C$11="",B3911&lt;=$C$11),OR($C$12&lt;&gt;"Ya",K3911&lt;&gt;""),OR($C$13="Semua",$C$13="",L3911=$C$13)),"✓","")</f>
        <v/>
      </c>
      <c r="N3911" s="93">
        <f>N(N3910)+IF(M3911="✓",1,0)</f>
        <v/>
      </c>
      <c r="O3911" s="93">
        <f>N(O3910)+IF(AND(B3911&lt;&gt;"",B3911&gt;='Uang Riba'!$H$30,B3911&lt;='Uang Riba'!$I$30,OR(H3911="Dana riba",H3911="Pinjam uang riba",I3911="Pinjam dari uang riba",I3911="Ganti uang riba",I3911="Kelebihan ganti dikembalikan",AND(C3911="Kantong Uang Riba",G3911="Pengeluaran"))),1,0)</f>
        <v/>
      </c>
      <c r="X3911" s="93">
        <f>IF(AND(B3911&lt;&gt;"",B3911&gt;='Buku Akun'!$H$4,B3911&lt;='Buku Akun'!$H$5,OR(C3911='Buku Akun'!$C$4,AND(D3911="Pindah",E3911='Buku Akun'!$C$4))),B3911+IF(AND(I3911="Selisih bunga",DAY(B3911)=1),0,0.01)+ROW()/10000000,"")</f>
        <v/>
      </c>
    </row>
    <row r="3912" outlineLevel="1" ht="15" customHeight="1" s="94">
      <c r="A3912" s="123">
        <f>IF(B3912="","",ROW()-15)</f>
        <v/>
      </c>
      <c r="B3912" s="124" t="n"/>
      <c r="C3912" s="123" t="n"/>
      <c r="D3912" s="123" t="n"/>
      <c r="E3912" s="123" t="n"/>
      <c r="F3912" s="125" t="n"/>
      <c r="G3912" s="123" t="n"/>
      <c r="H3912" s="123" t="n"/>
      <c r="I3912" s="123" t="n"/>
      <c r="J3912" s="123" t="n"/>
      <c r="K3912" s="123" t="n"/>
      <c r="L3912" s="123" t="n"/>
      <c r="M3912" s="123">
        <f>IF(AND(B3912&lt;&gt;"",OR($C$4="",ISNUMBER(SEARCH($C$4,C3912&amp;" "&amp;E3912&amp;" "&amp;G3912&amp;" "&amp;H3912&amp;" "&amp;I3912&amp;" "&amp;J3912&amp;" "&amp;K3912&amp;" "&amp;L3912))),OR($C$5="Semua",$C$5="",G3912=$C$5),OR($C$6="Semua",$C$6="",H3912=$C$6,H3912="Pengeluaran "&amp;$C$6,AND($C$6="Uang Kos Mama",H3912="Pengeluaran Uang Kos")),OR($C$7="Semua",$C$7="",I3912=$C$7),OR($C$8="Semua",$C$8="",C3912=$C$8,E3912=$C$8),OR($C$9="Semua",$C$9="",D3912=$C$9),OR($C$10="",B3912&gt;=$C$10),OR($C$11="",B3912&lt;=$C$11),OR($C$12&lt;&gt;"Ya",K3912&lt;&gt;""),OR($C$13="Semua",$C$13="",L3912=$C$13)),"✓","")</f>
        <v/>
      </c>
      <c r="N3912" s="93">
        <f>N(N3911)+IF(M3912="✓",1,0)</f>
        <v/>
      </c>
      <c r="O3912" s="93">
        <f>N(O3911)+IF(AND(B3912&lt;&gt;"",B3912&gt;='Uang Riba'!$H$30,B3912&lt;='Uang Riba'!$I$30,OR(H3912="Dana riba",H3912="Pinjam uang riba",I3912="Pinjam dari uang riba",I3912="Ganti uang riba",I3912="Kelebihan ganti dikembalikan",AND(C3912="Kantong Uang Riba",G3912="Pengeluaran"))),1,0)</f>
        <v/>
      </c>
      <c r="X3912" s="93">
        <f>IF(AND(B3912&lt;&gt;"",B3912&gt;='Buku Akun'!$H$4,B3912&lt;='Buku Akun'!$H$5,OR(C3912='Buku Akun'!$C$4,AND(D3912="Pindah",E3912='Buku Akun'!$C$4))),B3912+IF(AND(I3912="Selisih bunga",DAY(B3912)=1),0,0.01)+ROW()/10000000,"")</f>
        <v/>
      </c>
    </row>
    <row r="3913" outlineLevel="1" ht="15" customHeight="1" s="94">
      <c r="A3913" s="123">
        <f>IF(B3913="","",ROW()-15)</f>
        <v/>
      </c>
      <c r="B3913" s="124" t="n"/>
      <c r="C3913" s="123" t="n"/>
      <c r="D3913" s="123" t="n"/>
      <c r="E3913" s="123" t="n"/>
      <c r="F3913" s="125" t="n"/>
      <c r="G3913" s="123" t="n"/>
      <c r="H3913" s="123" t="n"/>
      <c r="I3913" s="123" t="n"/>
      <c r="J3913" s="123" t="n"/>
      <c r="K3913" s="123" t="n"/>
      <c r="L3913" s="123" t="n"/>
      <c r="M3913" s="123">
        <f>IF(AND(B3913&lt;&gt;"",OR($C$4="",ISNUMBER(SEARCH($C$4,C3913&amp;" "&amp;E3913&amp;" "&amp;G3913&amp;" "&amp;H3913&amp;" "&amp;I3913&amp;" "&amp;J3913&amp;" "&amp;K3913&amp;" "&amp;L3913))),OR($C$5="Semua",$C$5="",G3913=$C$5),OR($C$6="Semua",$C$6="",H3913=$C$6,H3913="Pengeluaran "&amp;$C$6,AND($C$6="Uang Kos Mama",H3913="Pengeluaran Uang Kos")),OR($C$7="Semua",$C$7="",I3913=$C$7),OR($C$8="Semua",$C$8="",C3913=$C$8,E3913=$C$8),OR($C$9="Semua",$C$9="",D3913=$C$9),OR($C$10="",B3913&gt;=$C$10),OR($C$11="",B3913&lt;=$C$11),OR($C$12&lt;&gt;"Ya",K3913&lt;&gt;""),OR($C$13="Semua",$C$13="",L3913=$C$13)),"✓","")</f>
        <v/>
      </c>
      <c r="N3913" s="93">
        <f>N(N3912)+IF(M3913="✓",1,0)</f>
        <v/>
      </c>
      <c r="O3913" s="93">
        <f>N(O3912)+IF(AND(B3913&lt;&gt;"",B3913&gt;='Uang Riba'!$H$30,B3913&lt;='Uang Riba'!$I$30,OR(H3913="Dana riba",H3913="Pinjam uang riba",I3913="Pinjam dari uang riba",I3913="Ganti uang riba",I3913="Kelebihan ganti dikembalikan",AND(C3913="Kantong Uang Riba",G3913="Pengeluaran"))),1,0)</f>
        <v/>
      </c>
      <c r="X3913" s="93">
        <f>IF(AND(B3913&lt;&gt;"",B3913&gt;='Buku Akun'!$H$4,B3913&lt;='Buku Akun'!$H$5,OR(C3913='Buku Akun'!$C$4,AND(D3913="Pindah",E3913='Buku Akun'!$C$4))),B3913+IF(AND(I3913="Selisih bunga",DAY(B3913)=1),0,0.01)+ROW()/10000000,"")</f>
        <v/>
      </c>
    </row>
    <row r="3914" outlineLevel="1" ht="15" customHeight="1" s="94">
      <c r="A3914" s="123">
        <f>IF(B3914="","",ROW()-15)</f>
        <v/>
      </c>
      <c r="B3914" s="124" t="n"/>
      <c r="C3914" s="123" t="n"/>
      <c r="D3914" s="123" t="n"/>
      <c r="E3914" s="123" t="n"/>
      <c r="F3914" s="125" t="n"/>
      <c r="G3914" s="123" t="n"/>
      <c r="H3914" s="123" t="n"/>
      <c r="I3914" s="123" t="n"/>
      <c r="J3914" s="123" t="n"/>
      <c r="K3914" s="123" t="n"/>
      <c r="L3914" s="123" t="n"/>
      <c r="M3914" s="123">
        <f>IF(AND(B3914&lt;&gt;"",OR($C$4="",ISNUMBER(SEARCH($C$4,C3914&amp;" "&amp;E3914&amp;" "&amp;G3914&amp;" "&amp;H3914&amp;" "&amp;I3914&amp;" "&amp;J3914&amp;" "&amp;K3914&amp;" "&amp;L3914))),OR($C$5="Semua",$C$5="",G3914=$C$5),OR($C$6="Semua",$C$6="",H3914=$C$6,H3914="Pengeluaran "&amp;$C$6,AND($C$6="Uang Kos Mama",H3914="Pengeluaran Uang Kos")),OR($C$7="Semua",$C$7="",I3914=$C$7),OR($C$8="Semua",$C$8="",C3914=$C$8,E3914=$C$8),OR($C$9="Semua",$C$9="",D3914=$C$9),OR($C$10="",B3914&gt;=$C$10),OR($C$11="",B3914&lt;=$C$11),OR($C$12&lt;&gt;"Ya",K3914&lt;&gt;""),OR($C$13="Semua",$C$13="",L3914=$C$13)),"✓","")</f>
        <v/>
      </c>
      <c r="N3914" s="93">
        <f>N(N3913)+IF(M3914="✓",1,0)</f>
        <v/>
      </c>
      <c r="O3914" s="93">
        <f>N(O3913)+IF(AND(B3914&lt;&gt;"",B3914&gt;='Uang Riba'!$H$30,B3914&lt;='Uang Riba'!$I$30,OR(H3914="Dana riba",H3914="Pinjam uang riba",I3914="Pinjam dari uang riba",I3914="Ganti uang riba",I3914="Kelebihan ganti dikembalikan",AND(C3914="Kantong Uang Riba",G3914="Pengeluaran"))),1,0)</f>
        <v/>
      </c>
      <c r="X3914" s="93">
        <f>IF(AND(B3914&lt;&gt;"",B3914&gt;='Buku Akun'!$H$4,B3914&lt;='Buku Akun'!$H$5,OR(C3914='Buku Akun'!$C$4,AND(D3914="Pindah",E3914='Buku Akun'!$C$4))),B3914+IF(AND(I3914="Selisih bunga",DAY(B3914)=1),0,0.01)+ROW()/10000000,"")</f>
        <v/>
      </c>
    </row>
    <row r="3915" outlineLevel="1" ht="15" customHeight="1" s="94">
      <c r="A3915" s="123">
        <f>IF(B3915="","",ROW()-15)</f>
        <v/>
      </c>
      <c r="B3915" s="124" t="n"/>
      <c r="C3915" s="123" t="n"/>
      <c r="D3915" s="123" t="n"/>
      <c r="E3915" s="123" t="n"/>
      <c r="F3915" s="125" t="n"/>
      <c r="G3915" s="123" t="n"/>
      <c r="H3915" s="123" t="n"/>
      <c r="I3915" s="123" t="n"/>
      <c r="J3915" s="123" t="n"/>
      <c r="K3915" s="123" t="n"/>
      <c r="L3915" s="123" t="n"/>
      <c r="M3915" s="123">
        <f>IF(AND(B3915&lt;&gt;"",OR($C$4="",ISNUMBER(SEARCH($C$4,C3915&amp;" "&amp;E3915&amp;" "&amp;G3915&amp;" "&amp;H3915&amp;" "&amp;I3915&amp;" "&amp;J3915&amp;" "&amp;K3915&amp;" "&amp;L3915))),OR($C$5="Semua",$C$5="",G3915=$C$5),OR($C$6="Semua",$C$6="",H3915=$C$6,H3915="Pengeluaran "&amp;$C$6,AND($C$6="Uang Kos Mama",H3915="Pengeluaran Uang Kos")),OR($C$7="Semua",$C$7="",I3915=$C$7),OR($C$8="Semua",$C$8="",C3915=$C$8,E3915=$C$8),OR($C$9="Semua",$C$9="",D3915=$C$9),OR($C$10="",B3915&gt;=$C$10),OR($C$11="",B3915&lt;=$C$11),OR($C$12&lt;&gt;"Ya",K3915&lt;&gt;""),OR($C$13="Semua",$C$13="",L3915=$C$13)),"✓","")</f>
        <v/>
      </c>
      <c r="N3915" s="93">
        <f>N(N3914)+IF(M3915="✓",1,0)</f>
        <v/>
      </c>
      <c r="O3915" s="93">
        <f>N(O3914)+IF(AND(B3915&lt;&gt;"",B3915&gt;='Uang Riba'!$H$30,B3915&lt;='Uang Riba'!$I$30,OR(H3915="Dana riba",H3915="Pinjam uang riba",I3915="Pinjam dari uang riba",I3915="Ganti uang riba",I3915="Kelebihan ganti dikembalikan",AND(C3915="Kantong Uang Riba",G3915="Pengeluaran"))),1,0)</f>
        <v/>
      </c>
      <c r="X3915" s="93">
        <f>IF(AND(B3915&lt;&gt;"",B3915&gt;='Buku Akun'!$H$4,B3915&lt;='Buku Akun'!$H$5,OR(C3915='Buku Akun'!$C$4,AND(D3915="Pindah",E3915='Buku Akun'!$C$4))),B3915+IF(AND(I3915="Selisih bunga",DAY(B3915)=1),0,0.01)+ROW()/10000000,"")</f>
        <v/>
      </c>
    </row>
    <row r="3916" outlineLevel="1" ht="15" customHeight="1" s="94">
      <c r="A3916" s="123">
        <f>IF(B3916="","",ROW()-15)</f>
        <v/>
      </c>
      <c r="B3916" s="124" t="n"/>
      <c r="C3916" s="123" t="n"/>
      <c r="D3916" s="123" t="n"/>
      <c r="E3916" s="123" t="n"/>
      <c r="F3916" s="125" t="n"/>
      <c r="G3916" s="123" t="n"/>
      <c r="H3916" s="123" t="n"/>
      <c r="I3916" s="123" t="n"/>
      <c r="J3916" s="123" t="n"/>
      <c r="K3916" s="123" t="n"/>
      <c r="L3916" s="123" t="n"/>
      <c r="M3916" s="123">
        <f>IF(AND(B3916&lt;&gt;"",OR($C$4="",ISNUMBER(SEARCH($C$4,C3916&amp;" "&amp;E3916&amp;" "&amp;G3916&amp;" "&amp;H3916&amp;" "&amp;I3916&amp;" "&amp;J3916&amp;" "&amp;K3916&amp;" "&amp;L3916))),OR($C$5="Semua",$C$5="",G3916=$C$5),OR($C$6="Semua",$C$6="",H3916=$C$6,H3916="Pengeluaran "&amp;$C$6,AND($C$6="Uang Kos Mama",H3916="Pengeluaran Uang Kos")),OR($C$7="Semua",$C$7="",I3916=$C$7),OR($C$8="Semua",$C$8="",C3916=$C$8,E3916=$C$8),OR($C$9="Semua",$C$9="",D3916=$C$9),OR($C$10="",B3916&gt;=$C$10),OR($C$11="",B3916&lt;=$C$11),OR($C$12&lt;&gt;"Ya",K3916&lt;&gt;""),OR($C$13="Semua",$C$13="",L3916=$C$13)),"✓","")</f>
        <v/>
      </c>
      <c r="N3916" s="93">
        <f>N(N3915)+IF(M3916="✓",1,0)</f>
        <v/>
      </c>
      <c r="O3916" s="93">
        <f>N(O3915)+IF(AND(B3916&lt;&gt;"",B3916&gt;='Uang Riba'!$H$30,B3916&lt;='Uang Riba'!$I$30,OR(H3916="Dana riba",H3916="Pinjam uang riba",I3916="Pinjam dari uang riba",I3916="Ganti uang riba",I3916="Kelebihan ganti dikembalikan",AND(C3916="Kantong Uang Riba",G3916="Pengeluaran"))),1,0)</f>
        <v/>
      </c>
      <c r="X3916" s="93">
        <f>IF(AND(B3916&lt;&gt;"",B3916&gt;='Buku Akun'!$H$4,B3916&lt;='Buku Akun'!$H$5,OR(C3916='Buku Akun'!$C$4,AND(D3916="Pindah",E3916='Buku Akun'!$C$4))),B3916+IF(AND(I3916="Selisih bunga",DAY(B3916)=1),0,0.01)+ROW()/10000000,"")</f>
        <v/>
      </c>
    </row>
    <row r="3917" outlineLevel="1" ht="15" customHeight="1" s="94">
      <c r="A3917" s="123">
        <f>IF(B3917="","",ROW()-15)</f>
        <v/>
      </c>
      <c r="B3917" s="124" t="n"/>
      <c r="C3917" s="123" t="n"/>
      <c r="D3917" s="123" t="n"/>
      <c r="E3917" s="123" t="n"/>
      <c r="F3917" s="125" t="n"/>
      <c r="G3917" s="123" t="n"/>
      <c r="H3917" s="123" t="n"/>
      <c r="I3917" s="123" t="n"/>
      <c r="J3917" s="123" t="n"/>
      <c r="K3917" s="123" t="n"/>
      <c r="L3917" s="123" t="n"/>
      <c r="M3917" s="123">
        <f>IF(AND(B3917&lt;&gt;"",OR($C$4="",ISNUMBER(SEARCH($C$4,C3917&amp;" "&amp;E3917&amp;" "&amp;G3917&amp;" "&amp;H3917&amp;" "&amp;I3917&amp;" "&amp;J3917&amp;" "&amp;K3917&amp;" "&amp;L3917))),OR($C$5="Semua",$C$5="",G3917=$C$5),OR($C$6="Semua",$C$6="",H3917=$C$6,H3917="Pengeluaran "&amp;$C$6,AND($C$6="Uang Kos Mama",H3917="Pengeluaran Uang Kos")),OR($C$7="Semua",$C$7="",I3917=$C$7),OR($C$8="Semua",$C$8="",C3917=$C$8,E3917=$C$8),OR($C$9="Semua",$C$9="",D3917=$C$9),OR($C$10="",B3917&gt;=$C$10),OR($C$11="",B3917&lt;=$C$11),OR($C$12&lt;&gt;"Ya",K3917&lt;&gt;""),OR($C$13="Semua",$C$13="",L3917=$C$13)),"✓","")</f>
        <v/>
      </c>
      <c r="N3917" s="93">
        <f>N(N3916)+IF(M3917="✓",1,0)</f>
        <v/>
      </c>
      <c r="O3917" s="93">
        <f>N(O3916)+IF(AND(B3917&lt;&gt;"",B3917&gt;='Uang Riba'!$H$30,B3917&lt;='Uang Riba'!$I$30,OR(H3917="Dana riba",H3917="Pinjam uang riba",I3917="Pinjam dari uang riba",I3917="Ganti uang riba",I3917="Kelebihan ganti dikembalikan",AND(C3917="Kantong Uang Riba",G3917="Pengeluaran"))),1,0)</f>
        <v/>
      </c>
      <c r="X3917" s="93">
        <f>IF(AND(B3917&lt;&gt;"",B3917&gt;='Buku Akun'!$H$4,B3917&lt;='Buku Akun'!$H$5,OR(C3917='Buku Akun'!$C$4,AND(D3917="Pindah",E3917='Buku Akun'!$C$4))),B3917+IF(AND(I3917="Selisih bunga",DAY(B3917)=1),0,0.01)+ROW()/10000000,"")</f>
        <v/>
      </c>
    </row>
    <row r="3918" outlineLevel="1" ht="15" customHeight="1" s="94">
      <c r="A3918" s="123">
        <f>IF(B3918="","",ROW()-15)</f>
        <v/>
      </c>
      <c r="B3918" s="124" t="n"/>
      <c r="C3918" s="123" t="n"/>
      <c r="D3918" s="123" t="n"/>
      <c r="E3918" s="123" t="n"/>
      <c r="F3918" s="125" t="n"/>
      <c r="G3918" s="123" t="n"/>
      <c r="H3918" s="123" t="n"/>
      <c r="I3918" s="123" t="n"/>
      <c r="J3918" s="123" t="n"/>
      <c r="K3918" s="123" t="n"/>
      <c r="L3918" s="123" t="n"/>
      <c r="M3918" s="123">
        <f>IF(AND(B3918&lt;&gt;"",OR($C$4="",ISNUMBER(SEARCH($C$4,C3918&amp;" "&amp;E3918&amp;" "&amp;G3918&amp;" "&amp;H3918&amp;" "&amp;I3918&amp;" "&amp;J3918&amp;" "&amp;K3918&amp;" "&amp;L3918))),OR($C$5="Semua",$C$5="",G3918=$C$5),OR($C$6="Semua",$C$6="",H3918=$C$6,H3918="Pengeluaran "&amp;$C$6,AND($C$6="Uang Kos Mama",H3918="Pengeluaran Uang Kos")),OR($C$7="Semua",$C$7="",I3918=$C$7),OR($C$8="Semua",$C$8="",C3918=$C$8,E3918=$C$8),OR($C$9="Semua",$C$9="",D3918=$C$9),OR($C$10="",B3918&gt;=$C$10),OR($C$11="",B3918&lt;=$C$11),OR($C$12&lt;&gt;"Ya",K3918&lt;&gt;""),OR($C$13="Semua",$C$13="",L3918=$C$13)),"✓","")</f>
        <v/>
      </c>
      <c r="N3918" s="93">
        <f>N(N3917)+IF(M3918="✓",1,0)</f>
        <v/>
      </c>
      <c r="O3918" s="93">
        <f>N(O3917)+IF(AND(B3918&lt;&gt;"",B3918&gt;='Uang Riba'!$H$30,B3918&lt;='Uang Riba'!$I$30,OR(H3918="Dana riba",H3918="Pinjam uang riba",I3918="Pinjam dari uang riba",I3918="Ganti uang riba",I3918="Kelebihan ganti dikembalikan",AND(C3918="Kantong Uang Riba",G3918="Pengeluaran"))),1,0)</f>
        <v/>
      </c>
      <c r="X3918" s="93">
        <f>IF(AND(B3918&lt;&gt;"",B3918&gt;='Buku Akun'!$H$4,B3918&lt;='Buku Akun'!$H$5,OR(C3918='Buku Akun'!$C$4,AND(D3918="Pindah",E3918='Buku Akun'!$C$4))),B3918+IF(AND(I3918="Selisih bunga",DAY(B3918)=1),0,0.01)+ROW()/10000000,"")</f>
        <v/>
      </c>
    </row>
    <row r="3919" outlineLevel="1" ht="15" customHeight="1" s="94">
      <c r="A3919" s="123">
        <f>IF(B3919="","",ROW()-15)</f>
        <v/>
      </c>
      <c r="B3919" s="124" t="n"/>
      <c r="C3919" s="123" t="n"/>
      <c r="D3919" s="123" t="n"/>
      <c r="E3919" s="123" t="n"/>
      <c r="F3919" s="125" t="n"/>
      <c r="G3919" s="123" t="n"/>
      <c r="H3919" s="123" t="n"/>
      <c r="I3919" s="123" t="n"/>
      <c r="J3919" s="123" t="n"/>
      <c r="K3919" s="123" t="n"/>
      <c r="L3919" s="123" t="n"/>
      <c r="M3919" s="123">
        <f>IF(AND(B3919&lt;&gt;"",OR($C$4="",ISNUMBER(SEARCH($C$4,C3919&amp;" "&amp;E3919&amp;" "&amp;G3919&amp;" "&amp;H3919&amp;" "&amp;I3919&amp;" "&amp;J3919&amp;" "&amp;K3919&amp;" "&amp;L3919))),OR($C$5="Semua",$C$5="",G3919=$C$5),OR($C$6="Semua",$C$6="",H3919=$C$6,H3919="Pengeluaran "&amp;$C$6,AND($C$6="Uang Kos Mama",H3919="Pengeluaran Uang Kos")),OR($C$7="Semua",$C$7="",I3919=$C$7),OR($C$8="Semua",$C$8="",C3919=$C$8,E3919=$C$8),OR($C$9="Semua",$C$9="",D3919=$C$9),OR($C$10="",B3919&gt;=$C$10),OR($C$11="",B3919&lt;=$C$11),OR($C$12&lt;&gt;"Ya",K3919&lt;&gt;""),OR($C$13="Semua",$C$13="",L3919=$C$13)),"✓","")</f>
        <v/>
      </c>
      <c r="N3919" s="93">
        <f>N(N3918)+IF(M3919="✓",1,0)</f>
        <v/>
      </c>
      <c r="O3919" s="93">
        <f>N(O3918)+IF(AND(B3919&lt;&gt;"",B3919&gt;='Uang Riba'!$H$30,B3919&lt;='Uang Riba'!$I$30,OR(H3919="Dana riba",H3919="Pinjam uang riba",I3919="Pinjam dari uang riba",I3919="Ganti uang riba",I3919="Kelebihan ganti dikembalikan",AND(C3919="Kantong Uang Riba",G3919="Pengeluaran"))),1,0)</f>
        <v/>
      </c>
      <c r="X3919" s="93">
        <f>IF(AND(B3919&lt;&gt;"",B3919&gt;='Buku Akun'!$H$4,B3919&lt;='Buku Akun'!$H$5,OR(C3919='Buku Akun'!$C$4,AND(D3919="Pindah",E3919='Buku Akun'!$C$4))),B3919+IF(AND(I3919="Selisih bunga",DAY(B3919)=1),0,0.01)+ROW()/10000000,"")</f>
        <v/>
      </c>
    </row>
    <row r="3920" outlineLevel="1" ht="15" customHeight="1" s="94">
      <c r="A3920" s="123">
        <f>IF(B3920="","",ROW()-15)</f>
        <v/>
      </c>
      <c r="B3920" s="124" t="n"/>
      <c r="C3920" s="123" t="n"/>
      <c r="D3920" s="123" t="n"/>
      <c r="E3920" s="123" t="n"/>
      <c r="F3920" s="125" t="n"/>
      <c r="G3920" s="123" t="n"/>
      <c r="H3920" s="123" t="n"/>
      <c r="I3920" s="123" t="n"/>
      <c r="J3920" s="123" t="n"/>
      <c r="K3920" s="123" t="n"/>
      <c r="L3920" s="123" t="n"/>
      <c r="M3920" s="123">
        <f>IF(AND(B3920&lt;&gt;"",OR($C$4="",ISNUMBER(SEARCH($C$4,C3920&amp;" "&amp;E3920&amp;" "&amp;G3920&amp;" "&amp;H3920&amp;" "&amp;I3920&amp;" "&amp;J3920&amp;" "&amp;K3920&amp;" "&amp;L3920))),OR($C$5="Semua",$C$5="",G3920=$C$5),OR($C$6="Semua",$C$6="",H3920=$C$6,H3920="Pengeluaran "&amp;$C$6,AND($C$6="Uang Kos Mama",H3920="Pengeluaran Uang Kos")),OR($C$7="Semua",$C$7="",I3920=$C$7),OR($C$8="Semua",$C$8="",C3920=$C$8,E3920=$C$8),OR($C$9="Semua",$C$9="",D3920=$C$9),OR($C$10="",B3920&gt;=$C$10),OR($C$11="",B3920&lt;=$C$11),OR($C$12&lt;&gt;"Ya",K3920&lt;&gt;""),OR($C$13="Semua",$C$13="",L3920=$C$13)),"✓","")</f>
        <v/>
      </c>
      <c r="N3920" s="93">
        <f>N(N3919)+IF(M3920="✓",1,0)</f>
        <v/>
      </c>
      <c r="O3920" s="93">
        <f>N(O3919)+IF(AND(B3920&lt;&gt;"",B3920&gt;='Uang Riba'!$H$30,B3920&lt;='Uang Riba'!$I$30,OR(H3920="Dana riba",H3920="Pinjam uang riba",I3920="Pinjam dari uang riba",I3920="Ganti uang riba",I3920="Kelebihan ganti dikembalikan",AND(C3920="Kantong Uang Riba",G3920="Pengeluaran"))),1,0)</f>
        <v/>
      </c>
      <c r="X3920" s="93">
        <f>IF(AND(B3920&lt;&gt;"",B3920&gt;='Buku Akun'!$H$4,B3920&lt;='Buku Akun'!$H$5,OR(C3920='Buku Akun'!$C$4,AND(D3920="Pindah",E3920='Buku Akun'!$C$4))),B3920+IF(AND(I3920="Selisih bunga",DAY(B3920)=1),0,0.01)+ROW()/10000000,"")</f>
        <v/>
      </c>
    </row>
    <row r="3921" outlineLevel="1" ht="15" customHeight="1" s="94">
      <c r="A3921" s="123">
        <f>IF(B3921="","",ROW()-15)</f>
        <v/>
      </c>
      <c r="B3921" s="124" t="n"/>
      <c r="C3921" s="123" t="n"/>
      <c r="D3921" s="123" t="n"/>
      <c r="E3921" s="123" t="n"/>
      <c r="F3921" s="125" t="n"/>
      <c r="G3921" s="123" t="n"/>
      <c r="H3921" s="123" t="n"/>
      <c r="I3921" s="123" t="n"/>
      <c r="J3921" s="123" t="n"/>
      <c r="K3921" s="123" t="n"/>
      <c r="L3921" s="123" t="n"/>
      <c r="M3921" s="123">
        <f>IF(AND(B3921&lt;&gt;"",OR($C$4="",ISNUMBER(SEARCH($C$4,C3921&amp;" "&amp;E3921&amp;" "&amp;G3921&amp;" "&amp;H3921&amp;" "&amp;I3921&amp;" "&amp;J3921&amp;" "&amp;K3921&amp;" "&amp;L3921))),OR($C$5="Semua",$C$5="",G3921=$C$5),OR($C$6="Semua",$C$6="",H3921=$C$6,H3921="Pengeluaran "&amp;$C$6,AND($C$6="Uang Kos Mama",H3921="Pengeluaran Uang Kos")),OR($C$7="Semua",$C$7="",I3921=$C$7),OR($C$8="Semua",$C$8="",C3921=$C$8,E3921=$C$8),OR($C$9="Semua",$C$9="",D3921=$C$9),OR($C$10="",B3921&gt;=$C$10),OR($C$11="",B3921&lt;=$C$11),OR($C$12&lt;&gt;"Ya",K3921&lt;&gt;""),OR($C$13="Semua",$C$13="",L3921=$C$13)),"✓","")</f>
        <v/>
      </c>
      <c r="N3921" s="93">
        <f>N(N3920)+IF(M3921="✓",1,0)</f>
        <v/>
      </c>
      <c r="O3921" s="93">
        <f>N(O3920)+IF(AND(B3921&lt;&gt;"",B3921&gt;='Uang Riba'!$H$30,B3921&lt;='Uang Riba'!$I$30,OR(H3921="Dana riba",H3921="Pinjam uang riba",I3921="Pinjam dari uang riba",I3921="Ganti uang riba",I3921="Kelebihan ganti dikembalikan",AND(C3921="Kantong Uang Riba",G3921="Pengeluaran"))),1,0)</f>
        <v/>
      </c>
      <c r="X3921" s="93">
        <f>IF(AND(B3921&lt;&gt;"",B3921&gt;='Buku Akun'!$H$4,B3921&lt;='Buku Akun'!$H$5,OR(C3921='Buku Akun'!$C$4,AND(D3921="Pindah",E3921='Buku Akun'!$C$4))),B3921+IF(AND(I3921="Selisih bunga",DAY(B3921)=1),0,0.01)+ROW()/10000000,"")</f>
        <v/>
      </c>
    </row>
    <row r="3922" outlineLevel="1" ht="15" customHeight="1" s="94">
      <c r="A3922" s="123">
        <f>IF(B3922="","",ROW()-15)</f>
        <v/>
      </c>
      <c r="B3922" s="124" t="n"/>
      <c r="C3922" s="123" t="n"/>
      <c r="D3922" s="123" t="n"/>
      <c r="E3922" s="123" t="n"/>
      <c r="F3922" s="125" t="n"/>
      <c r="G3922" s="123" t="n"/>
      <c r="H3922" s="123" t="n"/>
      <c r="I3922" s="123" t="n"/>
      <c r="J3922" s="123" t="n"/>
      <c r="K3922" s="123" t="n"/>
      <c r="L3922" s="123" t="n"/>
      <c r="M3922" s="123">
        <f>IF(AND(B3922&lt;&gt;"",OR($C$4="",ISNUMBER(SEARCH($C$4,C3922&amp;" "&amp;E3922&amp;" "&amp;G3922&amp;" "&amp;H3922&amp;" "&amp;I3922&amp;" "&amp;J3922&amp;" "&amp;K3922&amp;" "&amp;L3922))),OR($C$5="Semua",$C$5="",G3922=$C$5),OR($C$6="Semua",$C$6="",H3922=$C$6,H3922="Pengeluaran "&amp;$C$6,AND($C$6="Uang Kos Mama",H3922="Pengeluaran Uang Kos")),OR($C$7="Semua",$C$7="",I3922=$C$7),OR($C$8="Semua",$C$8="",C3922=$C$8,E3922=$C$8),OR($C$9="Semua",$C$9="",D3922=$C$9),OR($C$10="",B3922&gt;=$C$10),OR($C$11="",B3922&lt;=$C$11),OR($C$12&lt;&gt;"Ya",K3922&lt;&gt;""),OR($C$13="Semua",$C$13="",L3922=$C$13)),"✓","")</f>
        <v/>
      </c>
      <c r="N3922" s="93">
        <f>N(N3921)+IF(M3922="✓",1,0)</f>
        <v/>
      </c>
      <c r="O3922" s="93">
        <f>N(O3921)+IF(AND(B3922&lt;&gt;"",B3922&gt;='Uang Riba'!$H$30,B3922&lt;='Uang Riba'!$I$30,OR(H3922="Dana riba",H3922="Pinjam uang riba",I3922="Pinjam dari uang riba",I3922="Ganti uang riba",I3922="Kelebihan ganti dikembalikan",AND(C3922="Kantong Uang Riba",G3922="Pengeluaran"))),1,0)</f>
        <v/>
      </c>
      <c r="X3922" s="93">
        <f>IF(AND(B3922&lt;&gt;"",B3922&gt;='Buku Akun'!$H$4,B3922&lt;='Buku Akun'!$H$5,OR(C3922='Buku Akun'!$C$4,AND(D3922="Pindah",E3922='Buku Akun'!$C$4))),B3922+IF(AND(I3922="Selisih bunga",DAY(B3922)=1),0,0.01)+ROW()/10000000,"")</f>
        <v/>
      </c>
    </row>
    <row r="3923" outlineLevel="1" ht="15" customHeight="1" s="94">
      <c r="A3923" s="123">
        <f>IF(B3923="","",ROW()-15)</f>
        <v/>
      </c>
      <c r="B3923" s="124" t="n"/>
      <c r="C3923" s="123" t="n"/>
      <c r="D3923" s="123" t="n"/>
      <c r="E3923" s="123" t="n"/>
      <c r="F3923" s="125" t="n"/>
      <c r="G3923" s="123" t="n"/>
      <c r="H3923" s="123" t="n"/>
      <c r="I3923" s="123" t="n"/>
      <c r="J3923" s="123" t="n"/>
      <c r="K3923" s="123" t="n"/>
      <c r="L3923" s="123" t="n"/>
      <c r="M3923" s="123">
        <f>IF(AND(B3923&lt;&gt;"",OR($C$4="",ISNUMBER(SEARCH($C$4,C3923&amp;" "&amp;E3923&amp;" "&amp;G3923&amp;" "&amp;H3923&amp;" "&amp;I3923&amp;" "&amp;J3923&amp;" "&amp;K3923&amp;" "&amp;L3923))),OR($C$5="Semua",$C$5="",G3923=$C$5),OR($C$6="Semua",$C$6="",H3923=$C$6,H3923="Pengeluaran "&amp;$C$6,AND($C$6="Uang Kos Mama",H3923="Pengeluaran Uang Kos")),OR($C$7="Semua",$C$7="",I3923=$C$7),OR($C$8="Semua",$C$8="",C3923=$C$8,E3923=$C$8),OR($C$9="Semua",$C$9="",D3923=$C$9),OR($C$10="",B3923&gt;=$C$10),OR($C$11="",B3923&lt;=$C$11),OR($C$12&lt;&gt;"Ya",K3923&lt;&gt;""),OR($C$13="Semua",$C$13="",L3923=$C$13)),"✓","")</f>
        <v/>
      </c>
      <c r="N3923" s="93">
        <f>N(N3922)+IF(M3923="✓",1,0)</f>
        <v/>
      </c>
      <c r="O3923" s="93">
        <f>N(O3922)+IF(AND(B3923&lt;&gt;"",B3923&gt;='Uang Riba'!$H$30,B3923&lt;='Uang Riba'!$I$30,OR(H3923="Dana riba",H3923="Pinjam uang riba",I3923="Pinjam dari uang riba",I3923="Ganti uang riba",I3923="Kelebihan ganti dikembalikan",AND(C3923="Kantong Uang Riba",G3923="Pengeluaran"))),1,0)</f>
        <v/>
      </c>
      <c r="X3923" s="93">
        <f>IF(AND(B3923&lt;&gt;"",B3923&gt;='Buku Akun'!$H$4,B3923&lt;='Buku Akun'!$H$5,OR(C3923='Buku Akun'!$C$4,AND(D3923="Pindah",E3923='Buku Akun'!$C$4))),B3923+IF(AND(I3923="Selisih bunga",DAY(B3923)=1),0,0.01)+ROW()/10000000,"")</f>
        <v/>
      </c>
    </row>
    <row r="3924" outlineLevel="1" ht="15" customHeight="1" s="94">
      <c r="A3924" s="123">
        <f>IF(B3924="","",ROW()-15)</f>
        <v/>
      </c>
      <c r="B3924" s="124" t="n"/>
      <c r="C3924" s="123" t="n"/>
      <c r="D3924" s="123" t="n"/>
      <c r="E3924" s="123" t="n"/>
      <c r="F3924" s="125" t="n"/>
      <c r="G3924" s="123" t="n"/>
      <c r="H3924" s="123" t="n"/>
      <c r="I3924" s="123" t="n"/>
      <c r="J3924" s="123" t="n"/>
      <c r="K3924" s="123" t="n"/>
      <c r="L3924" s="123" t="n"/>
      <c r="M3924" s="123">
        <f>IF(AND(B3924&lt;&gt;"",OR($C$4="",ISNUMBER(SEARCH($C$4,C3924&amp;" "&amp;E3924&amp;" "&amp;G3924&amp;" "&amp;H3924&amp;" "&amp;I3924&amp;" "&amp;J3924&amp;" "&amp;K3924&amp;" "&amp;L3924))),OR($C$5="Semua",$C$5="",G3924=$C$5),OR($C$6="Semua",$C$6="",H3924=$C$6,H3924="Pengeluaran "&amp;$C$6,AND($C$6="Uang Kos Mama",H3924="Pengeluaran Uang Kos")),OR($C$7="Semua",$C$7="",I3924=$C$7),OR($C$8="Semua",$C$8="",C3924=$C$8,E3924=$C$8),OR($C$9="Semua",$C$9="",D3924=$C$9),OR($C$10="",B3924&gt;=$C$10),OR($C$11="",B3924&lt;=$C$11),OR($C$12&lt;&gt;"Ya",K3924&lt;&gt;""),OR($C$13="Semua",$C$13="",L3924=$C$13)),"✓","")</f>
        <v/>
      </c>
      <c r="N3924" s="93">
        <f>N(N3923)+IF(M3924="✓",1,0)</f>
        <v/>
      </c>
      <c r="O3924" s="93">
        <f>N(O3923)+IF(AND(B3924&lt;&gt;"",B3924&gt;='Uang Riba'!$H$30,B3924&lt;='Uang Riba'!$I$30,OR(H3924="Dana riba",H3924="Pinjam uang riba",I3924="Pinjam dari uang riba",I3924="Ganti uang riba",I3924="Kelebihan ganti dikembalikan",AND(C3924="Kantong Uang Riba",G3924="Pengeluaran"))),1,0)</f>
        <v/>
      </c>
      <c r="X3924" s="93">
        <f>IF(AND(B3924&lt;&gt;"",B3924&gt;='Buku Akun'!$H$4,B3924&lt;='Buku Akun'!$H$5,OR(C3924='Buku Akun'!$C$4,AND(D3924="Pindah",E3924='Buku Akun'!$C$4))),B3924+IF(AND(I3924="Selisih bunga",DAY(B3924)=1),0,0.01)+ROW()/10000000,"")</f>
        <v/>
      </c>
    </row>
    <row r="3925" outlineLevel="1" ht="15" customHeight="1" s="94">
      <c r="A3925" s="123">
        <f>IF(B3925="","",ROW()-15)</f>
        <v/>
      </c>
      <c r="B3925" s="124" t="n"/>
      <c r="C3925" s="123" t="n"/>
      <c r="D3925" s="123" t="n"/>
      <c r="E3925" s="123" t="n"/>
      <c r="F3925" s="125" t="n"/>
      <c r="G3925" s="123" t="n"/>
      <c r="H3925" s="123" t="n"/>
      <c r="I3925" s="123" t="n"/>
      <c r="J3925" s="123" t="n"/>
      <c r="K3925" s="123" t="n"/>
      <c r="L3925" s="123" t="n"/>
      <c r="M3925" s="123">
        <f>IF(AND(B3925&lt;&gt;"",OR($C$4="",ISNUMBER(SEARCH($C$4,C3925&amp;" "&amp;E3925&amp;" "&amp;G3925&amp;" "&amp;H3925&amp;" "&amp;I3925&amp;" "&amp;J3925&amp;" "&amp;K3925&amp;" "&amp;L3925))),OR($C$5="Semua",$C$5="",G3925=$C$5),OR($C$6="Semua",$C$6="",H3925=$C$6,H3925="Pengeluaran "&amp;$C$6,AND($C$6="Uang Kos Mama",H3925="Pengeluaran Uang Kos")),OR($C$7="Semua",$C$7="",I3925=$C$7),OR($C$8="Semua",$C$8="",C3925=$C$8,E3925=$C$8),OR($C$9="Semua",$C$9="",D3925=$C$9),OR($C$10="",B3925&gt;=$C$10),OR($C$11="",B3925&lt;=$C$11),OR($C$12&lt;&gt;"Ya",K3925&lt;&gt;""),OR($C$13="Semua",$C$13="",L3925=$C$13)),"✓","")</f>
        <v/>
      </c>
      <c r="N3925" s="93">
        <f>N(N3924)+IF(M3925="✓",1,0)</f>
        <v/>
      </c>
      <c r="O3925" s="93">
        <f>N(O3924)+IF(AND(B3925&lt;&gt;"",B3925&gt;='Uang Riba'!$H$30,B3925&lt;='Uang Riba'!$I$30,OR(H3925="Dana riba",H3925="Pinjam uang riba",I3925="Pinjam dari uang riba",I3925="Ganti uang riba",I3925="Kelebihan ganti dikembalikan",AND(C3925="Kantong Uang Riba",G3925="Pengeluaran"))),1,0)</f>
        <v/>
      </c>
      <c r="X3925" s="93">
        <f>IF(AND(B3925&lt;&gt;"",B3925&gt;='Buku Akun'!$H$4,B3925&lt;='Buku Akun'!$H$5,OR(C3925='Buku Akun'!$C$4,AND(D3925="Pindah",E3925='Buku Akun'!$C$4))),B3925+IF(AND(I3925="Selisih bunga",DAY(B3925)=1),0,0.01)+ROW()/10000000,"")</f>
        <v/>
      </c>
    </row>
    <row r="3926" outlineLevel="1" ht="15" customHeight="1" s="94">
      <c r="A3926" s="123">
        <f>IF(B3926="","",ROW()-15)</f>
        <v/>
      </c>
      <c r="B3926" s="124" t="n"/>
      <c r="C3926" s="123" t="n"/>
      <c r="D3926" s="123" t="n"/>
      <c r="E3926" s="123" t="n"/>
      <c r="F3926" s="125" t="n"/>
      <c r="G3926" s="123" t="n"/>
      <c r="H3926" s="123" t="n"/>
      <c r="I3926" s="123" t="n"/>
      <c r="J3926" s="123" t="n"/>
      <c r="K3926" s="123" t="n"/>
      <c r="L3926" s="123" t="n"/>
      <c r="M3926" s="123">
        <f>IF(AND(B3926&lt;&gt;"",OR($C$4="",ISNUMBER(SEARCH($C$4,C3926&amp;" "&amp;E3926&amp;" "&amp;G3926&amp;" "&amp;H3926&amp;" "&amp;I3926&amp;" "&amp;J3926&amp;" "&amp;K3926&amp;" "&amp;L3926))),OR($C$5="Semua",$C$5="",G3926=$C$5),OR($C$6="Semua",$C$6="",H3926=$C$6,H3926="Pengeluaran "&amp;$C$6,AND($C$6="Uang Kos Mama",H3926="Pengeluaran Uang Kos")),OR($C$7="Semua",$C$7="",I3926=$C$7),OR($C$8="Semua",$C$8="",C3926=$C$8,E3926=$C$8),OR($C$9="Semua",$C$9="",D3926=$C$9),OR($C$10="",B3926&gt;=$C$10),OR($C$11="",B3926&lt;=$C$11),OR($C$12&lt;&gt;"Ya",K3926&lt;&gt;""),OR($C$13="Semua",$C$13="",L3926=$C$13)),"✓","")</f>
        <v/>
      </c>
      <c r="N3926" s="93">
        <f>N(N3925)+IF(M3926="✓",1,0)</f>
        <v/>
      </c>
      <c r="O3926" s="93">
        <f>N(O3925)+IF(AND(B3926&lt;&gt;"",B3926&gt;='Uang Riba'!$H$30,B3926&lt;='Uang Riba'!$I$30,OR(H3926="Dana riba",H3926="Pinjam uang riba",I3926="Pinjam dari uang riba",I3926="Ganti uang riba",I3926="Kelebihan ganti dikembalikan",AND(C3926="Kantong Uang Riba",G3926="Pengeluaran"))),1,0)</f>
        <v/>
      </c>
      <c r="X3926" s="93">
        <f>IF(AND(B3926&lt;&gt;"",B3926&gt;='Buku Akun'!$H$4,B3926&lt;='Buku Akun'!$H$5,OR(C3926='Buku Akun'!$C$4,AND(D3926="Pindah",E3926='Buku Akun'!$C$4))),B3926+IF(AND(I3926="Selisih bunga",DAY(B3926)=1),0,0.01)+ROW()/10000000,"")</f>
        <v/>
      </c>
    </row>
    <row r="3927" outlineLevel="1" ht="15" customHeight="1" s="94">
      <c r="A3927" s="123">
        <f>IF(B3927="","",ROW()-15)</f>
        <v/>
      </c>
      <c r="B3927" s="124" t="n"/>
      <c r="C3927" s="123" t="n"/>
      <c r="D3927" s="123" t="n"/>
      <c r="E3927" s="123" t="n"/>
      <c r="F3927" s="125" t="n"/>
      <c r="G3927" s="123" t="n"/>
      <c r="H3927" s="123" t="n"/>
      <c r="I3927" s="123" t="n"/>
      <c r="J3927" s="123" t="n"/>
      <c r="K3927" s="123" t="n"/>
      <c r="L3927" s="123" t="n"/>
      <c r="M3927" s="123">
        <f>IF(AND(B3927&lt;&gt;"",OR($C$4="",ISNUMBER(SEARCH($C$4,C3927&amp;" "&amp;E3927&amp;" "&amp;G3927&amp;" "&amp;H3927&amp;" "&amp;I3927&amp;" "&amp;J3927&amp;" "&amp;K3927&amp;" "&amp;L3927))),OR($C$5="Semua",$C$5="",G3927=$C$5),OR($C$6="Semua",$C$6="",H3927=$C$6,H3927="Pengeluaran "&amp;$C$6,AND($C$6="Uang Kos Mama",H3927="Pengeluaran Uang Kos")),OR($C$7="Semua",$C$7="",I3927=$C$7),OR($C$8="Semua",$C$8="",C3927=$C$8,E3927=$C$8),OR($C$9="Semua",$C$9="",D3927=$C$9),OR($C$10="",B3927&gt;=$C$10),OR($C$11="",B3927&lt;=$C$11),OR($C$12&lt;&gt;"Ya",K3927&lt;&gt;""),OR($C$13="Semua",$C$13="",L3927=$C$13)),"✓","")</f>
        <v/>
      </c>
      <c r="N3927" s="93">
        <f>N(N3926)+IF(M3927="✓",1,0)</f>
        <v/>
      </c>
      <c r="O3927" s="93">
        <f>N(O3926)+IF(AND(B3927&lt;&gt;"",B3927&gt;='Uang Riba'!$H$30,B3927&lt;='Uang Riba'!$I$30,OR(H3927="Dana riba",H3927="Pinjam uang riba",I3927="Pinjam dari uang riba",I3927="Ganti uang riba",I3927="Kelebihan ganti dikembalikan",AND(C3927="Kantong Uang Riba",G3927="Pengeluaran"))),1,0)</f>
        <v/>
      </c>
      <c r="X3927" s="93">
        <f>IF(AND(B3927&lt;&gt;"",B3927&gt;='Buku Akun'!$H$4,B3927&lt;='Buku Akun'!$H$5,OR(C3927='Buku Akun'!$C$4,AND(D3927="Pindah",E3927='Buku Akun'!$C$4))),B3927+IF(AND(I3927="Selisih bunga",DAY(B3927)=1),0,0.01)+ROW()/10000000,"")</f>
        <v/>
      </c>
    </row>
    <row r="3928" outlineLevel="1" ht="15" customHeight="1" s="94">
      <c r="A3928" s="123">
        <f>IF(B3928="","",ROW()-15)</f>
        <v/>
      </c>
      <c r="B3928" s="124" t="n"/>
      <c r="C3928" s="123" t="n"/>
      <c r="D3928" s="123" t="n"/>
      <c r="E3928" s="123" t="n"/>
      <c r="F3928" s="125" t="n"/>
      <c r="G3928" s="123" t="n"/>
      <c r="H3928" s="123" t="n"/>
      <c r="I3928" s="123" t="n"/>
      <c r="J3928" s="123" t="n"/>
      <c r="K3928" s="123" t="n"/>
      <c r="L3928" s="123" t="n"/>
      <c r="M3928" s="123">
        <f>IF(AND(B3928&lt;&gt;"",OR($C$4="",ISNUMBER(SEARCH($C$4,C3928&amp;" "&amp;E3928&amp;" "&amp;G3928&amp;" "&amp;H3928&amp;" "&amp;I3928&amp;" "&amp;J3928&amp;" "&amp;K3928&amp;" "&amp;L3928))),OR($C$5="Semua",$C$5="",G3928=$C$5),OR($C$6="Semua",$C$6="",H3928=$C$6,H3928="Pengeluaran "&amp;$C$6,AND($C$6="Uang Kos Mama",H3928="Pengeluaran Uang Kos")),OR($C$7="Semua",$C$7="",I3928=$C$7),OR($C$8="Semua",$C$8="",C3928=$C$8,E3928=$C$8),OR($C$9="Semua",$C$9="",D3928=$C$9),OR($C$10="",B3928&gt;=$C$10),OR($C$11="",B3928&lt;=$C$11),OR($C$12&lt;&gt;"Ya",K3928&lt;&gt;""),OR($C$13="Semua",$C$13="",L3928=$C$13)),"✓","")</f>
        <v/>
      </c>
      <c r="N3928" s="93">
        <f>N(N3927)+IF(M3928="✓",1,0)</f>
        <v/>
      </c>
      <c r="O3928" s="93">
        <f>N(O3927)+IF(AND(B3928&lt;&gt;"",B3928&gt;='Uang Riba'!$H$30,B3928&lt;='Uang Riba'!$I$30,OR(H3928="Dana riba",H3928="Pinjam uang riba",I3928="Pinjam dari uang riba",I3928="Ganti uang riba",I3928="Kelebihan ganti dikembalikan",AND(C3928="Kantong Uang Riba",G3928="Pengeluaran"))),1,0)</f>
        <v/>
      </c>
      <c r="X3928" s="93">
        <f>IF(AND(B3928&lt;&gt;"",B3928&gt;='Buku Akun'!$H$4,B3928&lt;='Buku Akun'!$H$5,OR(C3928='Buku Akun'!$C$4,AND(D3928="Pindah",E3928='Buku Akun'!$C$4))),B3928+IF(AND(I3928="Selisih bunga",DAY(B3928)=1),0,0.01)+ROW()/10000000,"")</f>
        <v/>
      </c>
    </row>
    <row r="3929" outlineLevel="1" ht="15" customHeight="1" s="94">
      <c r="A3929" s="123">
        <f>IF(B3929="","",ROW()-15)</f>
        <v/>
      </c>
      <c r="B3929" s="124" t="n"/>
      <c r="C3929" s="123" t="n"/>
      <c r="D3929" s="123" t="n"/>
      <c r="E3929" s="123" t="n"/>
      <c r="F3929" s="125" t="n"/>
      <c r="G3929" s="123" t="n"/>
      <c r="H3929" s="123" t="n"/>
      <c r="I3929" s="123" t="n"/>
      <c r="J3929" s="123" t="n"/>
      <c r="K3929" s="123" t="n"/>
      <c r="L3929" s="123" t="n"/>
      <c r="M3929" s="123">
        <f>IF(AND(B3929&lt;&gt;"",OR($C$4="",ISNUMBER(SEARCH($C$4,C3929&amp;" "&amp;E3929&amp;" "&amp;G3929&amp;" "&amp;H3929&amp;" "&amp;I3929&amp;" "&amp;J3929&amp;" "&amp;K3929&amp;" "&amp;L3929))),OR($C$5="Semua",$C$5="",G3929=$C$5),OR($C$6="Semua",$C$6="",H3929=$C$6,H3929="Pengeluaran "&amp;$C$6,AND($C$6="Uang Kos Mama",H3929="Pengeluaran Uang Kos")),OR($C$7="Semua",$C$7="",I3929=$C$7),OR($C$8="Semua",$C$8="",C3929=$C$8,E3929=$C$8),OR($C$9="Semua",$C$9="",D3929=$C$9),OR($C$10="",B3929&gt;=$C$10),OR($C$11="",B3929&lt;=$C$11),OR($C$12&lt;&gt;"Ya",K3929&lt;&gt;""),OR($C$13="Semua",$C$13="",L3929=$C$13)),"✓","")</f>
        <v/>
      </c>
      <c r="N3929" s="93">
        <f>N(N3928)+IF(M3929="✓",1,0)</f>
        <v/>
      </c>
      <c r="O3929" s="93">
        <f>N(O3928)+IF(AND(B3929&lt;&gt;"",B3929&gt;='Uang Riba'!$H$30,B3929&lt;='Uang Riba'!$I$30,OR(H3929="Dana riba",H3929="Pinjam uang riba",I3929="Pinjam dari uang riba",I3929="Ganti uang riba",I3929="Kelebihan ganti dikembalikan",AND(C3929="Kantong Uang Riba",G3929="Pengeluaran"))),1,0)</f>
        <v/>
      </c>
      <c r="X3929" s="93">
        <f>IF(AND(B3929&lt;&gt;"",B3929&gt;='Buku Akun'!$H$4,B3929&lt;='Buku Akun'!$H$5,OR(C3929='Buku Akun'!$C$4,AND(D3929="Pindah",E3929='Buku Akun'!$C$4))),B3929+IF(AND(I3929="Selisih bunga",DAY(B3929)=1),0,0.01)+ROW()/10000000,"")</f>
        <v/>
      </c>
    </row>
    <row r="3930" outlineLevel="1" ht="15" customHeight="1" s="94">
      <c r="A3930" s="123">
        <f>IF(B3930="","",ROW()-15)</f>
        <v/>
      </c>
      <c r="B3930" s="124" t="n"/>
      <c r="C3930" s="123" t="n"/>
      <c r="D3930" s="123" t="n"/>
      <c r="E3930" s="123" t="n"/>
      <c r="F3930" s="125" t="n"/>
      <c r="G3930" s="123" t="n"/>
      <c r="H3930" s="123" t="n"/>
      <c r="I3930" s="123" t="n"/>
      <c r="J3930" s="123" t="n"/>
      <c r="K3930" s="123" t="n"/>
      <c r="L3930" s="123" t="n"/>
      <c r="M3930" s="123">
        <f>IF(AND(B3930&lt;&gt;"",OR($C$4="",ISNUMBER(SEARCH($C$4,C3930&amp;" "&amp;E3930&amp;" "&amp;G3930&amp;" "&amp;H3930&amp;" "&amp;I3930&amp;" "&amp;J3930&amp;" "&amp;K3930&amp;" "&amp;L3930))),OR($C$5="Semua",$C$5="",G3930=$C$5),OR($C$6="Semua",$C$6="",H3930=$C$6,H3930="Pengeluaran "&amp;$C$6,AND($C$6="Uang Kos Mama",H3930="Pengeluaran Uang Kos")),OR($C$7="Semua",$C$7="",I3930=$C$7),OR($C$8="Semua",$C$8="",C3930=$C$8,E3930=$C$8),OR($C$9="Semua",$C$9="",D3930=$C$9),OR($C$10="",B3930&gt;=$C$10),OR($C$11="",B3930&lt;=$C$11),OR($C$12&lt;&gt;"Ya",K3930&lt;&gt;""),OR($C$13="Semua",$C$13="",L3930=$C$13)),"✓","")</f>
        <v/>
      </c>
      <c r="N3930" s="93">
        <f>N(N3929)+IF(M3930="✓",1,0)</f>
        <v/>
      </c>
      <c r="O3930" s="93">
        <f>N(O3929)+IF(AND(B3930&lt;&gt;"",B3930&gt;='Uang Riba'!$H$30,B3930&lt;='Uang Riba'!$I$30,OR(H3930="Dana riba",H3930="Pinjam uang riba",I3930="Pinjam dari uang riba",I3930="Ganti uang riba",I3930="Kelebihan ganti dikembalikan",AND(C3930="Kantong Uang Riba",G3930="Pengeluaran"))),1,0)</f>
        <v/>
      </c>
      <c r="X3930" s="93">
        <f>IF(AND(B3930&lt;&gt;"",B3930&gt;='Buku Akun'!$H$4,B3930&lt;='Buku Akun'!$H$5,OR(C3930='Buku Akun'!$C$4,AND(D3930="Pindah",E3930='Buku Akun'!$C$4))),B3930+IF(AND(I3930="Selisih bunga",DAY(B3930)=1),0,0.01)+ROW()/10000000,"")</f>
        <v/>
      </c>
    </row>
    <row r="3931" outlineLevel="1" ht="15" customHeight="1" s="94">
      <c r="A3931" s="123">
        <f>IF(B3931="","",ROW()-15)</f>
        <v/>
      </c>
      <c r="B3931" s="124" t="n"/>
      <c r="C3931" s="123" t="n"/>
      <c r="D3931" s="123" t="n"/>
      <c r="E3931" s="123" t="n"/>
      <c r="F3931" s="125" t="n"/>
      <c r="G3931" s="123" t="n"/>
      <c r="H3931" s="123" t="n"/>
      <c r="I3931" s="123" t="n"/>
      <c r="J3931" s="123" t="n"/>
      <c r="K3931" s="123" t="n"/>
      <c r="L3931" s="123" t="n"/>
      <c r="M3931" s="123">
        <f>IF(AND(B3931&lt;&gt;"",OR($C$4="",ISNUMBER(SEARCH($C$4,C3931&amp;" "&amp;E3931&amp;" "&amp;G3931&amp;" "&amp;H3931&amp;" "&amp;I3931&amp;" "&amp;J3931&amp;" "&amp;K3931&amp;" "&amp;L3931))),OR($C$5="Semua",$C$5="",G3931=$C$5),OR($C$6="Semua",$C$6="",H3931=$C$6,H3931="Pengeluaran "&amp;$C$6,AND($C$6="Uang Kos Mama",H3931="Pengeluaran Uang Kos")),OR($C$7="Semua",$C$7="",I3931=$C$7),OR($C$8="Semua",$C$8="",C3931=$C$8,E3931=$C$8),OR($C$9="Semua",$C$9="",D3931=$C$9),OR($C$10="",B3931&gt;=$C$10),OR($C$11="",B3931&lt;=$C$11),OR($C$12&lt;&gt;"Ya",K3931&lt;&gt;""),OR($C$13="Semua",$C$13="",L3931=$C$13)),"✓","")</f>
        <v/>
      </c>
      <c r="N3931" s="93">
        <f>N(N3930)+IF(M3931="✓",1,0)</f>
        <v/>
      </c>
      <c r="O3931" s="93">
        <f>N(O3930)+IF(AND(B3931&lt;&gt;"",B3931&gt;='Uang Riba'!$H$30,B3931&lt;='Uang Riba'!$I$30,OR(H3931="Dana riba",H3931="Pinjam uang riba",I3931="Pinjam dari uang riba",I3931="Ganti uang riba",I3931="Kelebihan ganti dikembalikan",AND(C3931="Kantong Uang Riba",G3931="Pengeluaran"))),1,0)</f>
        <v/>
      </c>
      <c r="X3931" s="93">
        <f>IF(AND(B3931&lt;&gt;"",B3931&gt;='Buku Akun'!$H$4,B3931&lt;='Buku Akun'!$H$5,OR(C3931='Buku Akun'!$C$4,AND(D3931="Pindah",E3931='Buku Akun'!$C$4))),B3931+IF(AND(I3931="Selisih bunga",DAY(B3931)=1),0,0.01)+ROW()/10000000,"")</f>
        <v/>
      </c>
    </row>
    <row r="3932" outlineLevel="1" ht="15" customHeight="1" s="94">
      <c r="A3932" s="123">
        <f>IF(B3932="","",ROW()-15)</f>
        <v/>
      </c>
      <c r="B3932" s="124" t="n"/>
      <c r="C3932" s="123" t="n"/>
      <c r="D3932" s="123" t="n"/>
      <c r="E3932" s="123" t="n"/>
      <c r="F3932" s="125" t="n"/>
      <c r="G3932" s="123" t="n"/>
      <c r="H3932" s="123" t="n"/>
      <c r="I3932" s="123" t="n"/>
      <c r="J3932" s="123" t="n"/>
      <c r="K3932" s="123" t="n"/>
      <c r="L3932" s="123" t="n"/>
      <c r="M3932" s="123">
        <f>IF(AND(B3932&lt;&gt;"",OR($C$4="",ISNUMBER(SEARCH($C$4,C3932&amp;" "&amp;E3932&amp;" "&amp;G3932&amp;" "&amp;H3932&amp;" "&amp;I3932&amp;" "&amp;J3932&amp;" "&amp;K3932&amp;" "&amp;L3932))),OR($C$5="Semua",$C$5="",G3932=$C$5),OR($C$6="Semua",$C$6="",H3932=$C$6,H3932="Pengeluaran "&amp;$C$6,AND($C$6="Uang Kos Mama",H3932="Pengeluaran Uang Kos")),OR($C$7="Semua",$C$7="",I3932=$C$7),OR($C$8="Semua",$C$8="",C3932=$C$8,E3932=$C$8),OR($C$9="Semua",$C$9="",D3932=$C$9),OR($C$10="",B3932&gt;=$C$10),OR($C$11="",B3932&lt;=$C$11),OR($C$12&lt;&gt;"Ya",K3932&lt;&gt;""),OR($C$13="Semua",$C$13="",L3932=$C$13)),"✓","")</f>
        <v/>
      </c>
      <c r="N3932" s="93">
        <f>N(N3931)+IF(M3932="✓",1,0)</f>
        <v/>
      </c>
      <c r="O3932" s="93">
        <f>N(O3931)+IF(AND(B3932&lt;&gt;"",B3932&gt;='Uang Riba'!$H$30,B3932&lt;='Uang Riba'!$I$30,OR(H3932="Dana riba",H3932="Pinjam uang riba",I3932="Pinjam dari uang riba",I3932="Ganti uang riba",I3932="Kelebihan ganti dikembalikan",AND(C3932="Kantong Uang Riba",G3932="Pengeluaran"))),1,0)</f>
        <v/>
      </c>
      <c r="X3932" s="93">
        <f>IF(AND(B3932&lt;&gt;"",B3932&gt;='Buku Akun'!$H$4,B3932&lt;='Buku Akun'!$H$5,OR(C3932='Buku Akun'!$C$4,AND(D3932="Pindah",E3932='Buku Akun'!$C$4))),B3932+IF(AND(I3932="Selisih bunga",DAY(B3932)=1),0,0.01)+ROW()/10000000,"")</f>
        <v/>
      </c>
    </row>
    <row r="3933" outlineLevel="1" ht="15" customHeight="1" s="94">
      <c r="A3933" s="123">
        <f>IF(B3933="","",ROW()-15)</f>
        <v/>
      </c>
      <c r="B3933" s="124" t="n"/>
      <c r="C3933" s="123" t="n"/>
      <c r="D3933" s="123" t="n"/>
      <c r="E3933" s="123" t="n"/>
      <c r="F3933" s="125" t="n"/>
      <c r="G3933" s="123" t="n"/>
      <c r="H3933" s="123" t="n"/>
      <c r="I3933" s="123" t="n"/>
      <c r="J3933" s="123" t="n"/>
      <c r="K3933" s="123" t="n"/>
      <c r="L3933" s="123" t="n"/>
      <c r="M3933" s="123">
        <f>IF(AND(B3933&lt;&gt;"",OR($C$4="",ISNUMBER(SEARCH($C$4,C3933&amp;" "&amp;E3933&amp;" "&amp;G3933&amp;" "&amp;H3933&amp;" "&amp;I3933&amp;" "&amp;J3933&amp;" "&amp;K3933&amp;" "&amp;L3933))),OR($C$5="Semua",$C$5="",G3933=$C$5),OR($C$6="Semua",$C$6="",H3933=$C$6,H3933="Pengeluaran "&amp;$C$6,AND($C$6="Uang Kos Mama",H3933="Pengeluaran Uang Kos")),OR($C$7="Semua",$C$7="",I3933=$C$7),OR($C$8="Semua",$C$8="",C3933=$C$8,E3933=$C$8),OR($C$9="Semua",$C$9="",D3933=$C$9),OR($C$10="",B3933&gt;=$C$10),OR($C$11="",B3933&lt;=$C$11),OR($C$12&lt;&gt;"Ya",K3933&lt;&gt;""),OR($C$13="Semua",$C$13="",L3933=$C$13)),"✓","")</f>
        <v/>
      </c>
      <c r="N3933" s="93">
        <f>N(N3932)+IF(M3933="✓",1,0)</f>
        <v/>
      </c>
      <c r="O3933" s="93">
        <f>N(O3932)+IF(AND(B3933&lt;&gt;"",B3933&gt;='Uang Riba'!$H$30,B3933&lt;='Uang Riba'!$I$30,OR(H3933="Dana riba",H3933="Pinjam uang riba",I3933="Pinjam dari uang riba",I3933="Ganti uang riba",I3933="Kelebihan ganti dikembalikan",AND(C3933="Kantong Uang Riba",G3933="Pengeluaran"))),1,0)</f>
        <v/>
      </c>
      <c r="X3933" s="93">
        <f>IF(AND(B3933&lt;&gt;"",B3933&gt;='Buku Akun'!$H$4,B3933&lt;='Buku Akun'!$H$5,OR(C3933='Buku Akun'!$C$4,AND(D3933="Pindah",E3933='Buku Akun'!$C$4))),B3933+IF(AND(I3933="Selisih bunga",DAY(B3933)=1),0,0.01)+ROW()/10000000,"")</f>
        <v/>
      </c>
    </row>
    <row r="3934" outlineLevel="1" ht="15" customHeight="1" s="94">
      <c r="A3934" s="123">
        <f>IF(B3934="","",ROW()-15)</f>
        <v/>
      </c>
      <c r="B3934" s="124" t="n"/>
      <c r="C3934" s="123" t="n"/>
      <c r="D3934" s="123" t="n"/>
      <c r="E3934" s="123" t="n"/>
      <c r="F3934" s="125" t="n"/>
      <c r="G3934" s="123" t="n"/>
      <c r="H3934" s="123" t="n"/>
      <c r="I3934" s="123" t="n"/>
      <c r="J3934" s="123" t="n"/>
      <c r="K3934" s="123" t="n"/>
      <c r="L3934" s="123" t="n"/>
      <c r="M3934" s="123">
        <f>IF(AND(B3934&lt;&gt;"",OR($C$4="",ISNUMBER(SEARCH($C$4,C3934&amp;" "&amp;E3934&amp;" "&amp;G3934&amp;" "&amp;H3934&amp;" "&amp;I3934&amp;" "&amp;J3934&amp;" "&amp;K3934&amp;" "&amp;L3934))),OR($C$5="Semua",$C$5="",G3934=$C$5),OR($C$6="Semua",$C$6="",H3934=$C$6,H3934="Pengeluaran "&amp;$C$6,AND($C$6="Uang Kos Mama",H3934="Pengeluaran Uang Kos")),OR($C$7="Semua",$C$7="",I3934=$C$7),OR($C$8="Semua",$C$8="",C3934=$C$8,E3934=$C$8),OR($C$9="Semua",$C$9="",D3934=$C$9),OR($C$10="",B3934&gt;=$C$10),OR($C$11="",B3934&lt;=$C$11),OR($C$12&lt;&gt;"Ya",K3934&lt;&gt;""),OR($C$13="Semua",$C$13="",L3934=$C$13)),"✓","")</f>
        <v/>
      </c>
      <c r="N3934" s="93">
        <f>N(N3933)+IF(M3934="✓",1,0)</f>
        <v/>
      </c>
      <c r="O3934" s="93">
        <f>N(O3933)+IF(AND(B3934&lt;&gt;"",B3934&gt;='Uang Riba'!$H$30,B3934&lt;='Uang Riba'!$I$30,OR(H3934="Dana riba",H3934="Pinjam uang riba",I3934="Pinjam dari uang riba",I3934="Ganti uang riba",I3934="Kelebihan ganti dikembalikan",AND(C3934="Kantong Uang Riba",G3934="Pengeluaran"))),1,0)</f>
        <v/>
      </c>
      <c r="X3934" s="93">
        <f>IF(AND(B3934&lt;&gt;"",B3934&gt;='Buku Akun'!$H$4,B3934&lt;='Buku Akun'!$H$5,OR(C3934='Buku Akun'!$C$4,AND(D3934="Pindah",E3934='Buku Akun'!$C$4))),B3934+IF(AND(I3934="Selisih bunga",DAY(B3934)=1),0,0.01)+ROW()/10000000,"")</f>
        <v/>
      </c>
    </row>
    <row r="3935" outlineLevel="1" ht="15" customHeight="1" s="94">
      <c r="A3935" s="123">
        <f>IF(B3935="","",ROW()-15)</f>
        <v/>
      </c>
      <c r="B3935" s="124" t="n"/>
      <c r="C3935" s="123" t="n"/>
      <c r="D3935" s="123" t="n"/>
      <c r="E3935" s="123" t="n"/>
      <c r="F3935" s="125" t="n"/>
      <c r="G3935" s="123" t="n"/>
      <c r="H3935" s="123" t="n"/>
      <c r="I3935" s="123" t="n"/>
      <c r="J3935" s="123" t="n"/>
      <c r="K3935" s="123" t="n"/>
      <c r="L3935" s="123" t="n"/>
      <c r="M3935" s="123">
        <f>IF(AND(B3935&lt;&gt;"",OR($C$4="",ISNUMBER(SEARCH($C$4,C3935&amp;" "&amp;E3935&amp;" "&amp;G3935&amp;" "&amp;H3935&amp;" "&amp;I3935&amp;" "&amp;J3935&amp;" "&amp;K3935&amp;" "&amp;L3935))),OR($C$5="Semua",$C$5="",G3935=$C$5),OR($C$6="Semua",$C$6="",H3935=$C$6,H3935="Pengeluaran "&amp;$C$6,AND($C$6="Uang Kos Mama",H3935="Pengeluaran Uang Kos")),OR($C$7="Semua",$C$7="",I3935=$C$7),OR($C$8="Semua",$C$8="",C3935=$C$8,E3935=$C$8),OR($C$9="Semua",$C$9="",D3935=$C$9),OR($C$10="",B3935&gt;=$C$10),OR($C$11="",B3935&lt;=$C$11),OR($C$12&lt;&gt;"Ya",K3935&lt;&gt;""),OR($C$13="Semua",$C$13="",L3935=$C$13)),"✓","")</f>
        <v/>
      </c>
      <c r="N3935" s="93">
        <f>N(N3934)+IF(M3935="✓",1,0)</f>
        <v/>
      </c>
      <c r="O3935" s="93">
        <f>N(O3934)+IF(AND(B3935&lt;&gt;"",B3935&gt;='Uang Riba'!$H$30,B3935&lt;='Uang Riba'!$I$30,OR(H3935="Dana riba",H3935="Pinjam uang riba",I3935="Pinjam dari uang riba",I3935="Ganti uang riba",I3935="Kelebihan ganti dikembalikan",AND(C3935="Kantong Uang Riba",G3935="Pengeluaran"))),1,0)</f>
        <v/>
      </c>
      <c r="X3935" s="93">
        <f>IF(AND(B3935&lt;&gt;"",B3935&gt;='Buku Akun'!$H$4,B3935&lt;='Buku Akun'!$H$5,OR(C3935='Buku Akun'!$C$4,AND(D3935="Pindah",E3935='Buku Akun'!$C$4))),B3935+IF(AND(I3935="Selisih bunga",DAY(B3935)=1),0,0.01)+ROW()/10000000,"")</f>
        <v/>
      </c>
    </row>
    <row r="3936" outlineLevel="1" ht="15" customHeight="1" s="94">
      <c r="A3936" s="123">
        <f>IF(B3936="","",ROW()-15)</f>
        <v/>
      </c>
      <c r="B3936" s="124" t="n"/>
      <c r="C3936" s="123" t="n"/>
      <c r="D3936" s="123" t="n"/>
      <c r="E3936" s="123" t="n"/>
      <c r="F3936" s="125" t="n"/>
      <c r="G3936" s="123" t="n"/>
      <c r="H3936" s="123" t="n"/>
      <c r="I3936" s="123" t="n"/>
      <c r="J3936" s="123" t="n"/>
      <c r="K3936" s="123" t="n"/>
      <c r="L3936" s="123" t="n"/>
      <c r="M3936" s="123">
        <f>IF(AND(B3936&lt;&gt;"",OR($C$4="",ISNUMBER(SEARCH($C$4,C3936&amp;" "&amp;E3936&amp;" "&amp;G3936&amp;" "&amp;H3936&amp;" "&amp;I3936&amp;" "&amp;J3936&amp;" "&amp;K3936&amp;" "&amp;L3936))),OR($C$5="Semua",$C$5="",G3936=$C$5),OR($C$6="Semua",$C$6="",H3936=$C$6,H3936="Pengeluaran "&amp;$C$6,AND($C$6="Uang Kos Mama",H3936="Pengeluaran Uang Kos")),OR($C$7="Semua",$C$7="",I3936=$C$7),OR($C$8="Semua",$C$8="",C3936=$C$8,E3936=$C$8),OR($C$9="Semua",$C$9="",D3936=$C$9),OR($C$10="",B3936&gt;=$C$10),OR($C$11="",B3936&lt;=$C$11),OR($C$12&lt;&gt;"Ya",K3936&lt;&gt;""),OR($C$13="Semua",$C$13="",L3936=$C$13)),"✓","")</f>
        <v/>
      </c>
      <c r="N3936" s="93">
        <f>N(N3935)+IF(M3936="✓",1,0)</f>
        <v/>
      </c>
      <c r="O3936" s="93">
        <f>N(O3935)+IF(AND(B3936&lt;&gt;"",B3936&gt;='Uang Riba'!$H$30,B3936&lt;='Uang Riba'!$I$30,OR(H3936="Dana riba",H3936="Pinjam uang riba",I3936="Pinjam dari uang riba",I3936="Ganti uang riba",I3936="Kelebihan ganti dikembalikan",AND(C3936="Kantong Uang Riba",G3936="Pengeluaran"))),1,0)</f>
        <v/>
      </c>
      <c r="X3936" s="93">
        <f>IF(AND(B3936&lt;&gt;"",B3936&gt;='Buku Akun'!$H$4,B3936&lt;='Buku Akun'!$H$5,OR(C3936='Buku Akun'!$C$4,AND(D3936="Pindah",E3936='Buku Akun'!$C$4))),B3936+IF(AND(I3936="Selisih bunga",DAY(B3936)=1),0,0.01)+ROW()/10000000,"")</f>
        <v/>
      </c>
    </row>
    <row r="3937" outlineLevel="1" ht="15" customHeight="1" s="94">
      <c r="A3937" s="123">
        <f>IF(B3937="","",ROW()-15)</f>
        <v/>
      </c>
      <c r="B3937" s="124" t="n"/>
      <c r="C3937" s="123" t="n"/>
      <c r="D3937" s="123" t="n"/>
      <c r="E3937" s="123" t="n"/>
      <c r="F3937" s="125" t="n"/>
      <c r="G3937" s="123" t="n"/>
      <c r="H3937" s="123" t="n"/>
      <c r="I3937" s="123" t="n"/>
      <c r="J3937" s="123" t="n"/>
      <c r="K3937" s="123" t="n"/>
      <c r="L3937" s="123" t="n"/>
      <c r="M3937" s="123">
        <f>IF(AND(B3937&lt;&gt;"",OR($C$4="",ISNUMBER(SEARCH($C$4,C3937&amp;" "&amp;E3937&amp;" "&amp;G3937&amp;" "&amp;H3937&amp;" "&amp;I3937&amp;" "&amp;J3937&amp;" "&amp;K3937&amp;" "&amp;L3937))),OR($C$5="Semua",$C$5="",G3937=$C$5),OR($C$6="Semua",$C$6="",H3937=$C$6,H3937="Pengeluaran "&amp;$C$6,AND($C$6="Uang Kos Mama",H3937="Pengeluaran Uang Kos")),OR($C$7="Semua",$C$7="",I3937=$C$7),OR($C$8="Semua",$C$8="",C3937=$C$8,E3937=$C$8),OR($C$9="Semua",$C$9="",D3937=$C$9),OR($C$10="",B3937&gt;=$C$10),OR($C$11="",B3937&lt;=$C$11),OR($C$12&lt;&gt;"Ya",K3937&lt;&gt;""),OR($C$13="Semua",$C$13="",L3937=$C$13)),"✓","")</f>
        <v/>
      </c>
      <c r="N3937" s="93">
        <f>N(N3936)+IF(M3937="✓",1,0)</f>
        <v/>
      </c>
      <c r="O3937" s="93">
        <f>N(O3936)+IF(AND(B3937&lt;&gt;"",B3937&gt;='Uang Riba'!$H$30,B3937&lt;='Uang Riba'!$I$30,OR(H3937="Dana riba",H3937="Pinjam uang riba",I3937="Pinjam dari uang riba",I3937="Ganti uang riba",I3937="Kelebihan ganti dikembalikan",AND(C3937="Kantong Uang Riba",G3937="Pengeluaran"))),1,0)</f>
        <v/>
      </c>
      <c r="X3937" s="93">
        <f>IF(AND(B3937&lt;&gt;"",B3937&gt;='Buku Akun'!$H$4,B3937&lt;='Buku Akun'!$H$5,OR(C3937='Buku Akun'!$C$4,AND(D3937="Pindah",E3937='Buku Akun'!$C$4))),B3937+IF(AND(I3937="Selisih bunga",DAY(B3937)=1),0,0.01)+ROW()/10000000,"")</f>
        <v/>
      </c>
    </row>
    <row r="3938" outlineLevel="1" ht="15" customHeight="1" s="94">
      <c r="A3938" s="123">
        <f>IF(B3938="","",ROW()-15)</f>
        <v/>
      </c>
      <c r="B3938" s="124" t="n"/>
      <c r="C3938" s="123" t="n"/>
      <c r="D3938" s="123" t="n"/>
      <c r="E3938" s="123" t="n"/>
      <c r="F3938" s="125" t="n"/>
      <c r="G3938" s="123" t="n"/>
      <c r="H3938" s="123" t="n"/>
      <c r="I3938" s="123" t="n"/>
      <c r="J3938" s="123" t="n"/>
      <c r="K3938" s="123" t="n"/>
      <c r="L3938" s="123" t="n"/>
      <c r="M3938" s="123">
        <f>IF(AND(B3938&lt;&gt;"",OR($C$4="",ISNUMBER(SEARCH($C$4,C3938&amp;" "&amp;E3938&amp;" "&amp;G3938&amp;" "&amp;H3938&amp;" "&amp;I3938&amp;" "&amp;J3938&amp;" "&amp;K3938&amp;" "&amp;L3938))),OR($C$5="Semua",$C$5="",G3938=$C$5),OR($C$6="Semua",$C$6="",H3938=$C$6,H3938="Pengeluaran "&amp;$C$6,AND($C$6="Uang Kos Mama",H3938="Pengeluaran Uang Kos")),OR($C$7="Semua",$C$7="",I3938=$C$7),OR($C$8="Semua",$C$8="",C3938=$C$8,E3938=$C$8),OR($C$9="Semua",$C$9="",D3938=$C$9),OR($C$10="",B3938&gt;=$C$10),OR($C$11="",B3938&lt;=$C$11),OR($C$12&lt;&gt;"Ya",K3938&lt;&gt;""),OR($C$13="Semua",$C$13="",L3938=$C$13)),"✓","")</f>
        <v/>
      </c>
      <c r="N3938" s="93">
        <f>N(N3937)+IF(M3938="✓",1,0)</f>
        <v/>
      </c>
      <c r="O3938" s="93">
        <f>N(O3937)+IF(AND(B3938&lt;&gt;"",B3938&gt;='Uang Riba'!$H$30,B3938&lt;='Uang Riba'!$I$30,OR(H3938="Dana riba",H3938="Pinjam uang riba",I3938="Pinjam dari uang riba",I3938="Ganti uang riba",I3938="Kelebihan ganti dikembalikan",AND(C3938="Kantong Uang Riba",G3938="Pengeluaran"))),1,0)</f>
        <v/>
      </c>
      <c r="X3938" s="93">
        <f>IF(AND(B3938&lt;&gt;"",B3938&gt;='Buku Akun'!$H$4,B3938&lt;='Buku Akun'!$H$5,OR(C3938='Buku Akun'!$C$4,AND(D3938="Pindah",E3938='Buku Akun'!$C$4))),B3938+IF(AND(I3938="Selisih bunga",DAY(B3938)=1),0,0.01)+ROW()/10000000,"")</f>
        <v/>
      </c>
    </row>
    <row r="3939" outlineLevel="1" ht="15" customHeight="1" s="94">
      <c r="A3939" s="123">
        <f>IF(B3939="","",ROW()-15)</f>
        <v/>
      </c>
      <c r="B3939" s="124" t="n"/>
      <c r="C3939" s="123" t="n"/>
      <c r="D3939" s="123" t="n"/>
      <c r="E3939" s="123" t="n"/>
      <c r="F3939" s="125" t="n"/>
      <c r="G3939" s="123" t="n"/>
      <c r="H3939" s="123" t="n"/>
      <c r="I3939" s="123" t="n"/>
      <c r="J3939" s="123" t="n"/>
      <c r="K3939" s="123" t="n"/>
      <c r="L3939" s="123" t="n"/>
      <c r="M3939" s="123">
        <f>IF(AND(B3939&lt;&gt;"",OR($C$4="",ISNUMBER(SEARCH($C$4,C3939&amp;" "&amp;E3939&amp;" "&amp;G3939&amp;" "&amp;H3939&amp;" "&amp;I3939&amp;" "&amp;J3939&amp;" "&amp;K3939&amp;" "&amp;L3939))),OR($C$5="Semua",$C$5="",G3939=$C$5),OR($C$6="Semua",$C$6="",H3939=$C$6,H3939="Pengeluaran "&amp;$C$6,AND($C$6="Uang Kos Mama",H3939="Pengeluaran Uang Kos")),OR($C$7="Semua",$C$7="",I3939=$C$7),OR($C$8="Semua",$C$8="",C3939=$C$8,E3939=$C$8),OR($C$9="Semua",$C$9="",D3939=$C$9),OR($C$10="",B3939&gt;=$C$10),OR($C$11="",B3939&lt;=$C$11),OR($C$12&lt;&gt;"Ya",K3939&lt;&gt;""),OR($C$13="Semua",$C$13="",L3939=$C$13)),"✓","")</f>
        <v/>
      </c>
      <c r="N3939" s="93">
        <f>N(N3938)+IF(M3939="✓",1,0)</f>
        <v/>
      </c>
      <c r="O3939" s="93">
        <f>N(O3938)+IF(AND(B3939&lt;&gt;"",B3939&gt;='Uang Riba'!$H$30,B3939&lt;='Uang Riba'!$I$30,OR(H3939="Dana riba",H3939="Pinjam uang riba",I3939="Pinjam dari uang riba",I3939="Ganti uang riba",I3939="Kelebihan ganti dikembalikan",AND(C3939="Kantong Uang Riba",G3939="Pengeluaran"))),1,0)</f>
        <v/>
      </c>
      <c r="X3939" s="93">
        <f>IF(AND(B3939&lt;&gt;"",B3939&gt;='Buku Akun'!$H$4,B3939&lt;='Buku Akun'!$H$5,OR(C3939='Buku Akun'!$C$4,AND(D3939="Pindah",E3939='Buku Akun'!$C$4))),B3939+IF(AND(I3939="Selisih bunga",DAY(B3939)=1),0,0.01)+ROW()/10000000,"")</f>
        <v/>
      </c>
    </row>
    <row r="3940" outlineLevel="1" ht="15" customHeight="1" s="94">
      <c r="A3940" s="123">
        <f>IF(B3940="","",ROW()-15)</f>
        <v/>
      </c>
      <c r="B3940" s="124" t="n"/>
      <c r="C3940" s="123" t="n"/>
      <c r="D3940" s="123" t="n"/>
      <c r="E3940" s="123" t="n"/>
      <c r="F3940" s="125" t="n"/>
      <c r="G3940" s="123" t="n"/>
      <c r="H3940" s="123" t="n"/>
      <c r="I3940" s="123" t="n"/>
      <c r="J3940" s="123" t="n"/>
      <c r="K3940" s="123" t="n"/>
      <c r="L3940" s="123" t="n"/>
      <c r="M3940" s="123">
        <f>IF(AND(B3940&lt;&gt;"",OR($C$4="",ISNUMBER(SEARCH($C$4,C3940&amp;" "&amp;E3940&amp;" "&amp;G3940&amp;" "&amp;H3940&amp;" "&amp;I3940&amp;" "&amp;J3940&amp;" "&amp;K3940&amp;" "&amp;L3940))),OR($C$5="Semua",$C$5="",G3940=$C$5),OR($C$6="Semua",$C$6="",H3940=$C$6,H3940="Pengeluaran "&amp;$C$6,AND($C$6="Uang Kos Mama",H3940="Pengeluaran Uang Kos")),OR($C$7="Semua",$C$7="",I3940=$C$7),OR($C$8="Semua",$C$8="",C3940=$C$8,E3940=$C$8),OR($C$9="Semua",$C$9="",D3940=$C$9),OR($C$10="",B3940&gt;=$C$10),OR($C$11="",B3940&lt;=$C$11),OR($C$12&lt;&gt;"Ya",K3940&lt;&gt;""),OR($C$13="Semua",$C$13="",L3940=$C$13)),"✓","")</f>
        <v/>
      </c>
      <c r="N3940" s="93">
        <f>N(N3939)+IF(M3940="✓",1,0)</f>
        <v/>
      </c>
      <c r="O3940" s="93">
        <f>N(O3939)+IF(AND(B3940&lt;&gt;"",B3940&gt;='Uang Riba'!$H$30,B3940&lt;='Uang Riba'!$I$30,OR(H3940="Dana riba",H3940="Pinjam uang riba",I3940="Pinjam dari uang riba",I3940="Ganti uang riba",I3940="Kelebihan ganti dikembalikan",AND(C3940="Kantong Uang Riba",G3940="Pengeluaran"))),1,0)</f>
        <v/>
      </c>
      <c r="X3940" s="93">
        <f>IF(AND(B3940&lt;&gt;"",B3940&gt;='Buku Akun'!$H$4,B3940&lt;='Buku Akun'!$H$5,OR(C3940='Buku Akun'!$C$4,AND(D3940="Pindah",E3940='Buku Akun'!$C$4))),B3940+IF(AND(I3940="Selisih bunga",DAY(B3940)=1),0,0.01)+ROW()/10000000,"")</f>
        <v/>
      </c>
    </row>
    <row r="3941" outlineLevel="1" ht="15" customHeight="1" s="94">
      <c r="A3941" s="123">
        <f>IF(B3941="","",ROW()-15)</f>
        <v/>
      </c>
      <c r="B3941" s="124" t="n"/>
      <c r="C3941" s="123" t="n"/>
      <c r="D3941" s="123" t="n"/>
      <c r="E3941" s="123" t="n"/>
      <c r="F3941" s="125" t="n"/>
      <c r="G3941" s="123" t="n"/>
      <c r="H3941" s="123" t="n"/>
      <c r="I3941" s="123" t="n"/>
      <c r="J3941" s="123" t="n"/>
      <c r="K3941" s="123" t="n"/>
      <c r="L3941" s="123" t="n"/>
      <c r="M3941" s="123">
        <f>IF(AND(B3941&lt;&gt;"",OR($C$4="",ISNUMBER(SEARCH($C$4,C3941&amp;" "&amp;E3941&amp;" "&amp;G3941&amp;" "&amp;H3941&amp;" "&amp;I3941&amp;" "&amp;J3941&amp;" "&amp;K3941&amp;" "&amp;L3941))),OR($C$5="Semua",$C$5="",G3941=$C$5),OR($C$6="Semua",$C$6="",H3941=$C$6,H3941="Pengeluaran "&amp;$C$6,AND($C$6="Uang Kos Mama",H3941="Pengeluaran Uang Kos")),OR($C$7="Semua",$C$7="",I3941=$C$7),OR($C$8="Semua",$C$8="",C3941=$C$8,E3941=$C$8),OR($C$9="Semua",$C$9="",D3941=$C$9),OR($C$10="",B3941&gt;=$C$10),OR($C$11="",B3941&lt;=$C$11),OR($C$12&lt;&gt;"Ya",K3941&lt;&gt;""),OR($C$13="Semua",$C$13="",L3941=$C$13)),"✓","")</f>
        <v/>
      </c>
      <c r="N3941" s="93">
        <f>N(N3940)+IF(M3941="✓",1,0)</f>
        <v/>
      </c>
      <c r="O3941" s="93">
        <f>N(O3940)+IF(AND(B3941&lt;&gt;"",B3941&gt;='Uang Riba'!$H$30,B3941&lt;='Uang Riba'!$I$30,OR(H3941="Dana riba",H3941="Pinjam uang riba",I3941="Pinjam dari uang riba",I3941="Ganti uang riba",I3941="Kelebihan ganti dikembalikan",AND(C3941="Kantong Uang Riba",G3941="Pengeluaran"))),1,0)</f>
        <v/>
      </c>
      <c r="X3941" s="93">
        <f>IF(AND(B3941&lt;&gt;"",B3941&gt;='Buku Akun'!$H$4,B3941&lt;='Buku Akun'!$H$5,OR(C3941='Buku Akun'!$C$4,AND(D3941="Pindah",E3941='Buku Akun'!$C$4))),B3941+IF(AND(I3941="Selisih bunga",DAY(B3941)=1),0,0.01)+ROW()/10000000,"")</f>
        <v/>
      </c>
    </row>
    <row r="3942" outlineLevel="1" ht="15" customHeight="1" s="94">
      <c r="A3942" s="123">
        <f>IF(B3942="","",ROW()-15)</f>
        <v/>
      </c>
      <c r="B3942" s="124" t="n"/>
      <c r="C3942" s="123" t="n"/>
      <c r="D3942" s="123" t="n"/>
      <c r="E3942" s="123" t="n"/>
      <c r="F3942" s="125" t="n"/>
      <c r="G3942" s="123" t="n"/>
      <c r="H3942" s="123" t="n"/>
      <c r="I3942" s="123" t="n"/>
      <c r="J3942" s="123" t="n"/>
      <c r="K3942" s="123" t="n"/>
      <c r="L3942" s="123" t="n"/>
      <c r="M3942" s="123">
        <f>IF(AND(B3942&lt;&gt;"",OR($C$4="",ISNUMBER(SEARCH($C$4,C3942&amp;" "&amp;E3942&amp;" "&amp;G3942&amp;" "&amp;H3942&amp;" "&amp;I3942&amp;" "&amp;J3942&amp;" "&amp;K3942&amp;" "&amp;L3942))),OR($C$5="Semua",$C$5="",G3942=$C$5),OR($C$6="Semua",$C$6="",H3942=$C$6,H3942="Pengeluaran "&amp;$C$6,AND($C$6="Uang Kos Mama",H3942="Pengeluaran Uang Kos")),OR($C$7="Semua",$C$7="",I3942=$C$7),OR($C$8="Semua",$C$8="",C3942=$C$8,E3942=$C$8),OR($C$9="Semua",$C$9="",D3942=$C$9),OR($C$10="",B3942&gt;=$C$10),OR($C$11="",B3942&lt;=$C$11),OR($C$12&lt;&gt;"Ya",K3942&lt;&gt;""),OR($C$13="Semua",$C$13="",L3942=$C$13)),"✓","")</f>
        <v/>
      </c>
      <c r="N3942" s="93">
        <f>N(N3941)+IF(M3942="✓",1,0)</f>
        <v/>
      </c>
      <c r="O3942" s="93">
        <f>N(O3941)+IF(AND(B3942&lt;&gt;"",B3942&gt;='Uang Riba'!$H$30,B3942&lt;='Uang Riba'!$I$30,OR(H3942="Dana riba",H3942="Pinjam uang riba",I3942="Pinjam dari uang riba",I3942="Ganti uang riba",I3942="Kelebihan ganti dikembalikan",AND(C3942="Kantong Uang Riba",G3942="Pengeluaran"))),1,0)</f>
        <v/>
      </c>
      <c r="X3942" s="93">
        <f>IF(AND(B3942&lt;&gt;"",B3942&gt;='Buku Akun'!$H$4,B3942&lt;='Buku Akun'!$H$5,OR(C3942='Buku Akun'!$C$4,AND(D3942="Pindah",E3942='Buku Akun'!$C$4))),B3942+IF(AND(I3942="Selisih bunga",DAY(B3942)=1),0,0.01)+ROW()/10000000,"")</f>
        <v/>
      </c>
    </row>
    <row r="3943" outlineLevel="1" ht="15" customHeight="1" s="94">
      <c r="A3943" s="123">
        <f>IF(B3943="","",ROW()-15)</f>
        <v/>
      </c>
      <c r="B3943" s="124" t="n"/>
      <c r="C3943" s="123" t="n"/>
      <c r="D3943" s="123" t="n"/>
      <c r="E3943" s="123" t="n"/>
      <c r="F3943" s="125" t="n"/>
      <c r="G3943" s="123" t="n"/>
      <c r="H3943" s="123" t="n"/>
      <c r="I3943" s="123" t="n"/>
      <c r="J3943" s="123" t="n"/>
      <c r="K3943" s="123" t="n"/>
      <c r="L3943" s="123" t="n"/>
      <c r="M3943" s="123">
        <f>IF(AND(B3943&lt;&gt;"",OR($C$4="",ISNUMBER(SEARCH($C$4,C3943&amp;" "&amp;E3943&amp;" "&amp;G3943&amp;" "&amp;H3943&amp;" "&amp;I3943&amp;" "&amp;J3943&amp;" "&amp;K3943&amp;" "&amp;L3943))),OR($C$5="Semua",$C$5="",G3943=$C$5),OR($C$6="Semua",$C$6="",H3943=$C$6,H3943="Pengeluaran "&amp;$C$6,AND($C$6="Uang Kos Mama",H3943="Pengeluaran Uang Kos")),OR($C$7="Semua",$C$7="",I3943=$C$7),OR($C$8="Semua",$C$8="",C3943=$C$8,E3943=$C$8),OR($C$9="Semua",$C$9="",D3943=$C$9),OR($C$10="",B3943&gt;=$C$10),OR($C$11="",B3943&lt;=$C$11),OR($C$12&lt;&gt;"Ya",K3943&lt;&gt;""),OR($C$13="Semua",$C$13="",L3943=$C$13)),"✓","")</f>
        <v/>
      </c>
      <c r="N3943" s="93">
        <f>N(N3942)+IF(M3943="✓",1,0)</f>
        <v/>
      </c>
      <c r="O3943" s="93">
        <f>N(O3942)+IF(AND(B3943&lt;&gt;"",B3943&gt;='Uang Riba'!$H$30,B3943&lt;='Uang Riba'!$I$30,OR(H3943="Dana riba",H3943="Pinjam uang riba",I3943="Pinjam dari uang riba",I3943="Ganti uang riba",I3943="Kelebihan ganti dikembalikan",AND(C3943="Kantong Uang Riba",G3943="Pengeluaran"))),1,0)</f>
        <v/>
      </c>
      <c r="X3943" s="93">
        <f>IF(AND(B3943&lt;&gt;"",B3943&gt;='Buku Akun'!$H$4,B3943&lt;='Buku Akun'!$H$5,OR(C3943='Buku Akun'!$C$4,AND(D3943="Pindah",E3943='Buku Akun'!$C$4))),B3943+IF(AND(I3943="Selisih bunga",DAY(B3943)=1),0,0.01)+ROW()/10000000,"")</f>
        <v/>
      </c>
    </row>
    <row r="3944" outlineLevel="1" ht="15" customHeight="1" s="94">
      <c r="A3944" s="123">
        <f>IF(B3944="","",ROW()-15)</f>
        <v/>
      </c>
      <c r="B3944" s="124" t="n"/>
      <c r="C3944" s="123" t="n"/>
      <c r="D3944" s="123" t="n"/>
      <c r="E3944" s="123" t="n"/>
      <c r="F3944" s="125" t="n"/>
      <c r="G3944" s="123" t="n"/>
      <c r="H3944" s="123" t="n"/>
      <c r="I3944" s="123" t="n"/>
      <c r="J3944" s="123" t="n"/>
      <c r="K3944" s="123" t="n"/>
      <c r="L3944" s="123" t="n"/>
      <c r="M3944" s="123">
        <f>IF(AND(B3944&lt;&gt;"",OR($C$4="",ISNUMBER(SEARCH($C$4,C3944&amp;" "&amp;E3944&amp;" "&amp;G3944&amp;" "&amp;H3944&amp;" "&amp;I3944&amp;" "&amp;J3944&amp;" "&amp;K3944&amp;" "&amp;L3944))),OR($C$5="Semua",$C$5="",G3944=$C$5),OR($C$6="Semua",$C$6="",H3944=$C$6,H3944="Pengeluaran "&amp;$C$6,AND($C$6="Uang Kos Mama",H3944="Pengeluaran Uang Kos")),OR($C$7="Semua",$C$7="",I3944=$C$7),OR($C$8="Semua",$C$8="",C3944=$C$8,E3944=$C$8),OR($C$9="Semua",$C$9="",D3944=$C$9),OR($C$10="",B3944&gt;=$C$10),OR($C$11="",B3944&lt;=$C$11),OR($C$12&lt;&gt;"Ya",K3944&lt;&gt;""),OR($C$13="Semua",$C$13="",L3944=$C$13)),"✓","")</f>
        <v/>
      </c>
      <c r="N3944" s="93">
        <f>N(N3943)+IF(M3944="✓",1,0)</f>
        <v/>
      </c>
      <c r="O3944" s="93">
        <f>N(O3943)+IF(AND(B3944&lt;&gt;"",B3944&gt;='Uang Riba'!$H$30,B3944&lt;='Uang Riba'!$I$30,OR(H3944="Dana riba",H3944="Pinjam uang riba",I3944="Pinjam dari uang riba",I3944="Ganti uang riba",I3944="Kelebihan ganti dikembalikan",AND(C3944="Kantong Uang Riba",G3944="Pengeluaran"))),1,0)</f>
        <v/>
      </c>
      <c r="X3944" s="93">
        <f>IF(AND(B3944&lt;&gt;"",B3944&gt;='Buku Akun'!$H$4,B3944&lt;='Buku Akun'!$H$5,OR(C3944='Buku Akun'!$C$4,AND(D3944="Pindah",E3944='Buku Akun'!$C$4))),B3944+IF(AND(I3944="Selisih bunga",DAY(B3944)=1),0,0.01)+ROW()/10000000,"")</f>
        <v/>
      </c>
    </row>
    <row r="3945" outlineLevel="1" ht="15" customHeight="1" s="94">
      <c r="A3945" s="123">
        <f>IF(B3945="","",ROW()-15)</f>
        <v/>
      </c>
      <c r="B3945" s="124" t="n"/>
      <c r="C3945" s="123" t="n"/>
      <c r="D3945" s="123" t="n"/>
      <c r="E3945" s="123" t="n"/>
      <c r="F3945" s="125" t="n"/>
      <c r="G3945" s="123" t="n"/>
      <c r="H3945" s="123" t="n"/>
      <c r="I3945" s="123" t="n"/>
      <c r="J3945" s="123" t="n"/>
      <c r="K3945" s="123" t="n"/>
      <c r="L3945" s="123" t="n"/>
      <c r="M3945" s="123">
        <f>IF(AND(B3945&lt;&gt;"",OR($C$4="",ISNUMBER(SEARCH($C$4,C3945&amp;" "&amp;E3945&amp;" "&amp;G3945&amp;" "&amp;H3945&amp;" "&amp;I3945&amp;" "&amp;J3945&amp;" "&amp;K3945&amp;" "&amp;L3945))),OR($C$5="Semua",$C$5="",G3945=$C$5),OR($C$6="Semua",$C$6="",H3945=$C$6,H3945="Pengeluaran "&amp;$C$6,AND($C$6="Uang Kos Mama",H3945="Pengeluaran Uang Kos")),OR($C$7="Semua",$C$7="",I3945=$C$7),OR($C$8="Semua",$C$8="",C3945=$C$8,E3945=$C$8),OR($C$9="Semua",$C$9="",D3945=$C$9),OR($C$10="",B3945&gt;=$C$10),OR($C$11="",B3945&lt;=$C$11),OR($C$12&lt;&gt;"Ya",K3945&lt;&gt;""),OR($C$13="Semua",$C$13="",L3945=$C$13)),"✓","")</f>
        <v/>
      </c>
      <c r="N3945" s="93">
        <f>N(N3944)+IF(M3945="✓",1,0)</f>
        <v/>
      </c>
      <c r="O3945" s="93">
        <f>N(O3944)+IF(AND(B3945&lt;&gt;"",B3945&gt;='Uang Riba'!$H$30,B3945&lt;='Uang Riba'!$I$30,OR(H3945="Dana riba",H3945="Pinjam uang riba",I3945="Pinjam dari uang riba",I3945="Ganti uang riba",I3945="Kelebihan ganti dikembalikan",AND(C3945="Kantong Uang Riba",G3945="Pengeluaran"))),1,0)</f>
        <v/>
      </c>
      <c r="X3945" s="93">
        <f>IF(AND(B3945&lt;&gt;"",B3945&gt;='Buku Akun'!$H$4,B3945&lt;='Buku Akun'!$H$5,OR(C3945='Buku Akun'!$C$4,AND(D3945="Pindah",E3945='Buku Akun'!$C$4))),B3945+IF(AND(I3945="Selisih bunga",DAY(B3945)=1),0,0.01)+ROW()/10000000,"")</f>
        <v/>
      </c>
    </row>
    <row r="3946" outlineLevel="1" ht="15" customHeight="1" s="94">
      <c r="A3946" s="123">
        <f>IF(B3946="","",ROW()-15)</f>
        <v/>
      </c>
      <c r="B3946" s="124" t="n"/>
      <c r="C3946" s="123" t="n"/>
      <c r="D3946" s="123" t="n"/>
      <c r="E3946" s="123" t="n"/>
      <c r="F3946" s="125" t="n"/>
      <c r="G3946" s="123" t="n"/>
      <c r="H3946" s="123" t="n"/>
      <c r="I3946" s="123" t="n"/>
      <c r="J3946" s="123" t="n"/>
      <c r="K3946" s="123" t="n"/>
      <c r="L3946" s="123" t="n"/>
      <c r="M3946" s="123">
        <f>IF(AND(B3946&lt;&gt;"",OR($C$4="",ISNUMBER(SEARCH($C$4,C3946&amp;" "&amp;E3946&amp;" "&amp;G3946&amp;" "&amp;H3946&amp;" "&amp;I3946&amp;" "&amp;J3946&amp;" "&amp;K3946&amp;" "&amp;L3946))),OR($C$5="Semua",$C$5="",G3946=$C$5),OR($C$6="Semua",$C$6="",H3946=$C$6,H3946="Pengeluaran "&amp;$C$6,AND($C$6="Uang Kos Mama",H3946="Pengeluaran Uang Kos")),OR($C$7="Semua",$C$7="",I3946=$C$7),OR($C$8="Semua",$C$8="",C3946=$C$8,E3946=$C$8),OR($C$9="Semua",$C$9="",D3946=$C$9),OR($C$10="",B3946&gt;=$C$10),OR($C$11="",B3946&lt;=$C$11),OR($C$12&lt;&gt;"Ya",K3946&lt;&gt;""),OR($C$13="Semua",$C$13="",L3946=$C$13)),"✓","")</f>
        <v/>
      </c>
      <c r="N3946" s="93">
        <f>N(N3945)+IF(M3946="✓",1,0)</f>
        <v/>
      </c>
      <c r="O3946" s="93">
        <f>N(O3945)+IF(AND(B3946&lt;&gt;"",B3946&gt;='Uang Riba'!$H$30,B3946&lt;='Uang Riba'!$I$30,OR(H3946="Dana riba",H3946="Pinjam uang riba",I3946="Pinjam dari uang riba",I3946="Ganti uang riba",I3946="Kelebihan ganti dikembalikan",AND(C3946="Kantong Uang Riba",G3946="Pengeluaran"))),1,0)</f>
        <v/>
      </c>
      <c r="X3946" s="93">
        <f>IF(AND(B3946&lt;&gt;"",B3946&gt;='Buku Akun'!$H$4,B3946&lt;='Buku Akun'!$H$5,OR(C3946='Buku Akun'!$C$4,AND(D3946="Pindah",E3946='Buku Akun'!$C$4))),B3946+IF(AND(I3946="Selisih bunga",DAY(B3946)=1),0,0.01)+ROW()/10000000,"")</f>
        <v/>
      </c>
    </row>
    <row r="3947" outlineLevel="1" ht="15" customHeight="1" s="94">
      <c r="A3947" s="123">
        <f>IF(B3947="","",ROW()-15)</f>
        <v/>
      </c>
      <c r="B3947" s="124" t="n"/>
      <c r="C3947" s="123" t="n"/>
      <c r="D3947" s="123" t="n"/>
      <c r="E3947" s="123" t="n"/>
      <c r="F3947" s="125" t="n"/>
      <c r="G3947" s="123" t="n"/>
      <c r="H3947" s="123" t="n"/>
      <c r="I3947" s="123" t="n"/>
      <c r="J3947" s="123" t="n"/>
      <c r="K3947" s="123" t="n"/>
      <c r="L3947" s="123" t="n"/>
      <c r="M3947" s="123">
        <f>IF(AND(B3947&lt;&gt;"",OR($C$4="",ISNUMBER(SEARCH($C$4,C3947&amp;" "&amp;E3947&amp;" "&amp;G3947&amp;" "&amp;H3947&amp;" "&amp;I3947&amp;" "&amp;J3947&amp;" "&amp;K3947&amp;" "&amp;L3947))),OR($C$5="Semua",$C$5="",G3947=$C$5),OR($C$6="Semua",$C$6="",H3947=$C$6,H3947="Pengeluaran "&amp;$C$6,AND($C$6="Uang Kos Mama",H3947="Pengeluaran Uang Kos")),OR($C$7="Semua",$C$7="",I3947=$C$7),OR($C$8="Semua",$C$8="",C3947=$C$8,E3947=$C$8),OR($C$9="Semua",$C$9="",D3947=$C$9),OR($C$10="",B3947&gt;=$C$10),OR($C$11="",B3947&lt;=$C$11),OR($C$12&lt;&gt;"Ya",K3947&lt;&gt;""),OR($C$13="Semua",$C$13="",L3947=$C$13)),"✓","")</f>
        <v/>
      </c>
      <c r="N3947" s="93">
        <f>N(N3946)+IF(M3947="✓",1,0)</f>
        <v/>
      </c>
      <c r="O3947" s="93">
        <f>N(O3946)+IF(AND(B3947&lt;&gt;"",B3947&gt;='Uang Riba'!$H$30,B3947&lt;='Uang Riba'!$I$30,OR(H3947="Dana riba",H3947="Pinjam uang riba",I3947="Pinjam dari uang riba",I3947="Ganti uang riba",I3947="Kelebihan ganti dikembalikan",AND(C3947="Kantong Uang Riba",G3947="Pengeluaran"))),1,0)</f>
        <v/>
      </c>
      <c r="X3947" s="93">
        <f>IF(AND(B3947&lt;&gt;"",B3947&gt;='Buku Akun'!$H$4,B3947&lt;='Buku Akun'!$H$5,OR(C3947='Buku Akun'!$C$4,AND(D3947="Pindah",E3947='Buku Akun'!$C$4))),B3947+IF(AND(I3947="Selisih bunga",DAY(B3947)=1),0,0.01)+ROW()/10000000,"")</f>
        <v/>
      </c>
    </row>
    <row r="3948" outlineLevel="1" ht="15" customHeight="1" s="94">
      <c r="A3948" s="123">
        <f>IF(B3948="","",ROW()-15)</f>
        <v/>
      </c>
      <c r="B3948" s="124" t="n"/>
      <c r="C3948" s="123" t="n"/>
      <c r="D3948" s="123" t="n"/>
      <c r="E3948" s="123" t="n"/>
      <c r="F3948" s="125" t="n"/>
      <c r="G3948" s="123" t="n"/>
      <c r="H3948" s="123" t="n"/>
      <c r="I3948" s="123" t="n"/>
      <c r="J3948" s="123" t="n"/>
      <c r="K3948" s="123" t="n"/>
      <c r="L3948" s="123" t="n"/>
      <c r="M3948" s="123">
        <f>IF(AND(B3948&lt;&gt;"",OR($C$4="",ISNUMBER(SEARCH($C$4,C3948&amp;" "&amp;E3948&amp;" "&amp;G3948&amp;" "&amp;H3948&amp;" "&amp;I3948&amp;" "&amp;J3948&amp;" "&amp;K3948&amp;" "&amp;L3948))),OR($C$5="Semua",$C$5="",G3948=$C$5),OR($C$6="Semua",$C$6="",H3948=$C$6,H3948="Pengeluaran "&amp;$C$6,AND($C$6="Uang Kos Mama",H3948="Pengeluaran Uang Kos")),OR($C$7="Semua",$C$7="",I3948=$C$7),OR($C$8="Semua",$C$8="",C3948=$C$8,E3948=$C$8),OR($C$9="Semua",$C$9="",D3948=$C$9),OR($C$10="",B3948&gt;=$C$10),OR($C$11="",B3948&lt;=$C$11),OR($C$12&lt;&gt;"Ya",K3948&lt;&gt;""),OR($C$13="Semua",$C$13="",L3948=$C$13)),"✓","")</f>
        <v/>
      </c>
      <c r="N3948" s="93">
        <f>N(N3947)+IF(M3948="✓",1,0)</f>
        <v/>
      </c>
      <c r="O3948" s="93">
        <f>N(O3947)+IF(AND(B3948&lt;&gt;"",B3948&gt;='Uang Riba'!$H$30,B3948&lt;='Uang Riba'!$I$30,OR(H3948="Dana riba",H3948="Pinjam uang riba",I3948="Pinjam dari uang riba",I3948="Ganti uang riba",I3948="Kelebihan ganti dikembalikan",AND(C3948="Kantong Uang Riba",G3948="Pengeluaran"))),1,0)</f>
        <v/>
      </c>
      <c r="X3948" s="93">
        <f>IF(AND(B3948&lt;&gt;"",B3948&gt;='Buku Akun'!$H$4,B3948&lt;='Buku Akun'!$H$5,OR(C3948='Buku Akun'!$C$4,AND(D3948="Pindah",E3948='Buku Akun'!$C$4))),B3948+IF(AND(I3948="Selisih bunga",DAY(B3948)=1),0,0.01)+ROW()/10000000,"")</f>
        <v/>
      </c>
    </row>
    <row r="3949" outlineLevel="1" ht="15" customHeight="1" s="94">
      <c r="A3949" s="123">
        <f>IF(B3949="","",ROW()-15)</f>
        <v/>
      </c>
      <c r="B3949" s="124" t="n"/>
      <c r="C3949" s="123" t="n"/>
      <c r="D3949" s="123" t="n"/>
      <c r="E3949" s="123" t="n"/>
      <c r="F3949" s="125" t="n"/>
      <c r="G3949" s="123" t="n"/>
      <c r="H3949" s="123" t="n"/>
      <c r="I3949" s="123" t="n"/>
      <c r="J3949" s="123" t="n"/>
      <c r="K3949" s="123" t="n"/>
      <c r="L3949" s="123" t="n"/>
      <c r="M3949" s="123">
        <f>IF(AND(B3949&lt;&gt;"",OR($C$4="",ISNUMBER(SEARCH($C$4,C3949&amp;" "&amp;E3949&amp;" "&amp;G3949&amp;" "&amp;H3949&amp;" "&amp;I3949&amp;" "&amp;J3949&amp;" "&amp;K3949&amp;" "&amp;L3949))),OR($C$5="Semua",$C$5="",G3949=$C$5),OR($C$6="Semua",$C$6="",H3949=$C$6,H3949="Pengeluaran "&amp;$C$6,AND($C$6="Uang Kos Mama",H3949="Pengeluaran Uang Kos")),OR($C$7="Semua",$C$7="",I3949=$C$7),OR($C$8="Semua",$C$8="",C3949=$C$8,E3949=$C$8),OR($C$9="Semua",$C$9="",D3949=$C$9),OR($C$10="",B3949&gt;=$C$10),OR($C$11="",B3949&lt;=$C$11),OR($C$12&lt;&gt;"Ya",K3949&lt;&gt;""),OR($C$13="Semua",$C$13="",L3949=$C$13)),"✓","")</f>
        <v/>
      </c>
      <c r="N3949" s="93">
        <f>N(N3948)+IF(M3949="✓",1,0)</f>
        <v/>
      </c>
      <c r="O3949" s="93">
        <f>N(O3948)+IF(AND(B3949&lt;&gt;"",B3949&gt;='Uang Riba'!$H$30,B3949&lt;='Uang Riba'!$I$30,OR(H3949="Dana riba",H3949="Pinjam uang riba",I3949="Pinjam dari uang riba",I3949="Ganti uang riba",I3949="Kelebihan ganti dikembalikan",AND(C3949="Kantong Uang Riba",G3949="Pengeluaran"))),1,0)</f>
        <v/>
      </c>
      <c r="X3949" s="93">
        <f>IF(AND(B3949&lt;&gt;"",B3949&gt;='Buku Akun'!$H$4,B3949&lt;='Buku Akun'!$H$5,OR(C3949='Buku Akun'!$C$4,AND(D3949="Pindah",E3949='Buku Akun'!$C$4))),B3949+IF(AND(I3949="Selisih bunga",DAY(B3949)=1),0,0.01)+ROW()/10000000,"")</f>
        <v/>
      </c>
    </row>
    <row r="3950" outlineLevel="1" ht="15" customHeight="1" s="94">
      <c r="A3950" s="123">
        <f>IF(B3950="","",ROW()-15)</f>
        <v/>
      </c>
      <c r="B3950" s="124" t="n"/>
      <c r="C3950" s="123" t="n"/>
      <c r="D3950" s="123" t="n"/>
      <c r="E3950" s="123" t="n"/>
      <c r="F3950" s="125" t="n"/>
      <c r="G3950" s="123" t="n"/>
      <c r="H3950" s="123" t="n"/>
      <c r="I3950" s="123" t="n"/>
      <c r="J3950" s="123" t="n"/>
      <c r="K3950" s="123" t="n"/>
      <c r="L3950" s="123" t="n"/>
      <c r="M3950" s="123">
        <f>IF(AND(B3950&lt;&gt;"",OR($C$4="",ISNUMBER(SEARCH($C$4,C3950&amp;" "&amp;E3950&amp;" "&amp;G3950&amp;" "&amp;H3950&amp;" "&amp;I3950&amp;" "&amp;J3950&amp;" "&amp;K3950&amp;" "&amp;L3950))),OR($C$5="Semua",$C$5="",G3950=$C$5),OR($C$6="Semua",$C$6="",H3950=$C$6,H3950="Pengeluaran "&amp;$C$6,AND($C$6="Uang Kos Mama",H3950="Pengeluaran Uang Kos")),OR($C$7="Semua",$C$7="",I3950=$C$7),OR($C$8="Semua",$C$8="",C3950=$C$8,E3950=$C$8),OR($C$9="Semua",$C$9="",D3950=$C$9),OR($C$10="",B3950&gt;=$C$10),OR($C$11="",B3950&lt;=$C$11),OR($C$12&lt;&gt;"Ya",K3950&lt;&gt;""),OR($C$13="Semua",$C$13="",L3950=$C$13)),"✓","")</f>
        <v/>
      </c>
      <c r="N3950" s="93">
        <f>N(N3949)+IF(M3950="✓",1,0)</f>
        <v/>
      </c>
      <c r="O3950" s="93">
        <f>N(O3949)+IF(AND(B3950&lt;&gt;"",B3950&gt;='Uang Riba'!$H$30,B3950&lt;='Uang Riba'!$I$30,OR(H3950="Dana riba",H3950="Pinjam uang riba",I3950="Pinjam dari uang riba",I3950="Ganti uang riba",I3950="Kelebihan ganti dikembalikan",AND(C3950="Kantong Uang Riba",G3950="Pengeluaran"))),1,0)</f>
        <v/>
      </c>
      <c r="X3950" s="93">
        <f>IF(AND(B3950&lt;&gt;"",B3950&gt;='Buku Akun'!$H$4,B3950&lt;='Buku Akun'!$H$5,OR(C3950='Buku Akun'!$C$4,AND(D3950="Pindah",E3950='Buku Akun'!$C$4))),B3950+IF(AND(I3950="Selisih bunga",DAY(B3950)=1),0,0.01)+ROW()/10000000,"")</f>
        <v/>
      </c>
    </row>
    <row r="3951" outlineLevel="1" ht="15" customHeight="1" s="94">
      <c r="A3951" s="123">
        <f>IF(B3951="","",ROW()-15)</f>
        <v/>
      </c>
      <c r="B3951" s="124" t="n"/>
      <c r="C3951" s="123" t="n"/>
      <c r="D3951" s="123" t="n"/>
      <c r="E3951" s="123" t="n"/>
      <c r="F3951" s="125" t="n"/>
      <c r="G3951" s="123" t="n"/>
      <c r="H3951" s="123" t="n"/>
      <c r="I3951" s="123" t="n"/>
      <c r="J3951" s="123" t="n"/>
      <c r="K3951" s="123" t="n"/>
      <c r="L3951" s="123" t="n"/>
      <c r="M3951" s="123">
        <f>IF(AND(B3951&lt;&gt;"",OR($C$4="",ISNUMBER(SEARCH($C$4,C3951&amp;" "&amp;E3951&amp;" "&amp;G3951&amp;" "&amp;H3951&amp;" "&amp;I3951&amp;" "&amp;J3951&amp;" "&amp;K3951&amp;" "&amp;L3951))),OR($C$5="Semua",$C$5="",G3951=$C$5),OR($C$6="Semua",$C$6="",H3951=$C$6,H3951="Pengeluaran "&amp;$C$6,AND($C$6="Uang Kos Mama",H3951="Pengeluaran Uang Kos")),OR($C$7="Semua",$C$7="",I3951=$C$7),OR($C$8="Semua",$C$8="",C3951=$C$8,E3951=$C$8),OR($C$9="Semua",$C$9="",D3951=$C$9),OR($C$10="",B3951&gt;=$C$10),OR($C$11="",B3951&lt;=$C$11),OR($C$12&lt;&gt;"Ya",K3951&lt;&gt;""),OR($C$13="Semua",$C$13="",L3951=$C$13)),"✓","")</f>
        <v/>
      </c>
      <c r="N3951" s="93">
        <f>N(N3950)+IF(M3951="✓",1,0)</f>
        <v/>
      </c>
      <c r="O3951" s="93">
        <f>N(O3950)+IF(AND(B3951&lt;&gt;"",B3951&gt;='Uang Riba'!$H$30,B3951&lt;='Uang Riba'!$I$30,OR(H3951="Dana riba",H3951="Pinjam uang riba",I3951="Pinjam dari uang riba",I3951="Ganti uang riba",I3951="Kelebihan ganti dikembalikan",AND(C3951="Kantong Uang Riba",G3951="Pengeluaran"))),1,0)</f>
        <v/>
      </c>
      <c r="X3951" s="93">
        <f>IF(AND(B3951&lt;&gt;"",B3951&gt;='Buku Akun'!$H$4,B3951&lt;='Buku Akun'!$H$5,OR(C3951='Buku Akun'!$C$4,AND(D3951="Pindah",E3951='Buku Akun'!$C$4))),B3951+IF(AND(I3951="Selisih bunga",DAY(B3951)=1),0,0.01)+ROW()/10000000,"")</f>
        <v/>
      </c>
    </row>
    <row r="3952" outlineLevel="1" ht="15" customHeight="1" s="94">
      <c r="A3952" s="123">
        <f>IF(B3952="","",ROW()-15)</f>
        <v/>
      </c>
      <c r="B3952" s="124" t="n"/>
      <c r="C3952" s="123" t="n"/>
      <c r="D3952" s="123" t="n"/>
      <c r="E3952" s="123" t="n"/>
      <c r="F3952" s="125" t="n"/>
      <c r="G3952" s="123" t="n"/>
      <c r="H3952" s="123" t="n"/>
      <c r="I3952" s="123" t="n"/>
      <c r="J3952" s="123" t="n"/>
      <c r="K3952" s="123" t="n"/>
      <c r="L3952" s="123" t="n"/>
      <c r="M3952" s="123">
        <f>IF(AND(B3952&lt;&gt;"",OR($C$4="",ISNUMBER(SEARCH($C$4,C3952&amp;" "&amp;E3952&amp;" "&amp;G3952&amp;" "&amp;H3952&amp;" "&amp;I3952&amp;" "&amp;J3952&amp;" "&amp;K3952&amp;" "&amp;L3952))),OR($C$5="Semua",$C$5="",G3952=$C$5),OR($C$6="Semua",$C$6="",H3952=$C$6,H3952="Pengeluaran "&amp;$C$6,AND($C$6="Uang Kos Mama",H3952="Pengeluaran Uang Kos")),OR($C$7="Semua",$C$7="",I3952=$C$7),OR($C$8="Semua",$C$8="",C3952=$C$8,E3952=$C$8),OR($C$9="Semua",$C$9="",D3952=$C$9),OR($C$10="",B3952&gt;=$C$10),OR($C$11="",B3952&lt;=$C$11),OR($C$12&lt;&gt;"Ya",K3952&lt;&gt;""),OR($C$13="Semua",$C$13="",L3952=$C$13)),"✓","")</f>
        <v/>
      </c>
      <c r="N3952" s="93">
        <f>N(N3951)+IF(M3952="✓",1,0)</f>
        <v/>
      </c>
      <c r="O3952" s="93">
        <f>N(O3951)+IF(AND(B3952&lt;&gt;"",B3952&gt;='Uang Riba'!$H$30,B3952&lt;='Uang Riba'!$I$30,OR(H3952="Dana riba",H3952="Pinjam uang riba",I3952="Pinjam dari uang riba",I3952="Ganti uang riba",I3952="Kelebihan ganti dikembalikan",AND(C3952="Kantong Uang Riba",G3952="Pengeluaran"))),1,0)</f>
        <v/>
      </c>
      <c r="X3952" s="93">
        <f>IF(AND(B3952&lt;&gt;"",B3952&gt;='Buku Akun'!$H$4,B3952&lt;='Buku Akun'!$H$5,OR(C3952='Buku Akun'!$C$4,AND(D3952="Pindah",E3952='Buku Akun'!$C$4))),B3952+IF(AND(I3952="Selisih bunga",DAY(B3952)=1),0,0.01)+ROW()/10000000,"")</f>
        <v/>
      </c>
    </row>
    <row r="3953" outlineLevel="1" ht="15" customHeight="1" s="94">
      <c r="A3953" s="123">
        <f>IF(B3953="","",ROW()-15)</f>
        <v/>
      </c>
      <c r="B3953" s="124" t="n"/>
      <c r="C3953" s="123" t="n"/>
      <c r="D3953" s="123" t="n"/>
      <c r="E3953" s="123" t="n"/>
      <c r="F3953" s="125" t="n"/>
      <c r="G3953" s="123" t="n"/>
      <c r="H3953" s="123" t="n"/>
      <c r="I3953" s="123" t="n"/>
      <c r="J3953" s="123" t="n"/>
      <c r="K3953" s="123" t="n"/>
      <c r="L3953" s="123" t="n"/>
      <c r="M3953" s="123">
        <f>IF(AND(B3953&lt;&gt;"",OR($C$4="",ISNUMBER(SEARCH($C$4,C3953&amp;" "&amp;E3953&amp;" "&amp;G3953&amp;" "&amp;H3953&amp;" "&amp;I3953&amp;" "&amp;J3953&amp;" "&amp;K3953&amp;" "&amp;L3953))),OR($C$5="Semua",$C$5="",G3953=$C$5),OR($C$6="Semua",$C$6="",H3953=$C$6,H3953="Pengeluaran "&amp;$C$6,AND($C$6="Uang Kos Mama",H3953="Pengeluaran Uang Kos")),OR($C$7="Semua",$C$7="",I3953=$C$7),OR($C$8="Semua",$C$8="",C3953=$C$8,E3953=$C$8),OR($C$9="Semua",$C$9="",D3953=$C$9),OR($C$10="",B3953&gt;=$C$10),OR($C$11="",B3953&lt;=$C$11),OR($C$12&lt;&gt;"Ya",K3953&lt;&gt;""),OR($C$13="Semua",$C$13="",L3953=$C$13)),"✓","")</f>
        <v/>
      </c>
      <c r="N3953" s="93">
        <f>N(N3952)+IF(M3953="✓",1,0)</f>
        <v/>
      </c>
      <c r="O3953" s="93">
        <f>N(O3952)+IF(AND(B3953&lt;&gt;"",B3953&gt;='Uang Riba'!$H$30,B3953&lt;='Uang Riba'!$I$30,OR(H3953="Dana riba",H3953="Pinjam uang riba",I3953="Pinjam dari uang riba",I3953="Ganti uang riba",I3953="Kelebihan ganti dikembalikan",AND(C3953="Kantong Uang Riba",G3953="Pengeluaran"))),1,0)</f>
        <v/>
      </c>
      <c r="X3953" s="93">
        <f>IF(AND(B3953&lt;&gt;"",B3953&gt;='Buku Akun'!$H$4,B3953&lt;='Buku Akun'!$H$5,OR(C3953='Buku Akun'!$C$4,AND(D3953="Pindah",E3953='Buku Akun'!$C$4))),B3953+IF(AND(I3953="Selisih bunga",DAY(B3953)=1),0,0.01)+ROW()/10000000,"")</f>
        <v/>
      </c>
    </row>
    <row r="3954" outlineLevel="1" ht="15" customHeight="1" s="94">
      <c r="A3954" s="123">
        <f>IF(B3954="","",ROW()-15)</f>
        <v/>
      </c>
      <c r="B3954" s="124" t="n"/>
      <c r="C3954" s="123" t="n"/>
      <c r="D3954" s="123" t="n"/>
      <c r="E3954" s="123" t="n"/>
      <c r="F3954" s="125" t="n"/>
      <c r="G3954" s="123" t="n"/>
      <c r="H3954" s="123" t="n"/>
      <c r="I3954" s="123" t="n"/>
      <c r="J3954" s="123" t="n"/>
      <c r="K3954" s="123" t="n"/>
      <c r="L3954" s="123" t="n"/>
      <c r="M3954" s="123">
        <f>IF(AND(B3954&lt;&gt;"",OR($C$4="",ISNUMBER(SEARCH($C$4,C3954&amp;" "&amp;E3954&amp;" "&amp;G3954&amp;" "&amp;H3954&amp;" "&amp;I3954&amp;" "&amp;J3954&amp;" "&amp;K3954&amp;" "&amp;L3954))),OR($C$5="Semua",$C$5="",G3954=$C$5),OR($C$6="Semua",$C$6="",H3954=$C$6,H3954="Pengeluaran "&amp;$C$6,AND($C$6="Uang Kos Mama",H3954="Pengeluaran Uang Kos")),OR($C$7="Semua",$C$7="",I3954=$C$7),OR($C$8="Semua",$C$8="",C3954=$C$8,E3954=$C$8),OR($C$9="Semua",$C$9="",D3954=$C$9),OR($C$10="",B3954&gt;=$C$10),OR($C$11="",B3954&lt;=$C$11),OR($C$12&lt;&gt;"Ya",K3954&lt;&gt;""),OR($C$13="Semua",$C$13="",L3954=$C$13)),"✓","")</f>
        <v/>
      </c>
      <c r="N3954" s="93">
        <f>N(N3953)+IF(M3954="✓",1,0)</f>
        <v/>
      </c>
      <c r="O3954" s="93">
        <f>N(O3953)+IF(AND(B3954&lt;&gt;"",B3954&gt;='Uang Riba'!$H$30,B3954&lt;='Uang Riba'!$I$30,OR(H3954="Dana riba",H3954="Pinjam uang riba",I3954="Pinjam dari uang riba",I3954="Ganti uang riba",I3954="Kelebihan ganti dikembalikan",AND(C3954="Kantong Uang Riba",G3954="Pengeluaran"))),1,0)</f>
        <v/>
      </c>
      <c r="X3954" s="93">
        <f>IF(AND(B3954&lt;&gt;"",B3954&gt;='Buku Akun'!$H$4,B3954&lt;='Buku Akun'!$H$5,OR(C3954='Buku Akun'!$C$4,AND(D3954="Pindah",E3954='Buku Akun'!$C$4))),B3954+IF(AND(I3954="Selisih bunga",DAY(B3954)=1),0,0.01)+ROW()/10000000,"")</f>
        <v/>
      </c>
    </row>
    <row r="3955" outlineLevel="1" ht="15" customHeight="1" s="94">
      <c r="A3955" s="123">
        <f>IF(B3955="","",ROW()-15)</f>
        <v/>
      </c>
      <c r="B3955" s="124" t="n"/>
      <c r="C3955" s="123" t="n"/>
      <c r="D3955" s="123" t="n"/>
      <c r="E3955" s="123" t="n"/>
      <c r="F3955" s="125" t="n"/>
      <c r="G3955" s="123" t="n"/>
      <c r="H3955" s="123" t="n"/>
      <c r="I3955" s="123" t="n"/>
      <c r="J3955" s="123" t="n"/>
      <c r="K3955" s="123" t="n"/>
      <c r="L3955" s="123" t="n"/>
      <c r="M3955" s="123">
        <f>IF(AND(B3955&lt;&gt;"",OR($C$4="",ISNUMBER(SEARCH($C$4,C3955&amp;" "&amp;E3955&amp;" "&amp;G3955&amp;" "&amp;H3955&amp;" "&amp;I3955&amp;" "&amp;J3955&amp;" "&amp;K3955&amp;" "&amp;L3955))),OR($C$5="Semua",$C$5="",G3955=$C$5),OR($C$6="Semua",$C$6="",H3955=$C$6,H3955="Pengeluaran "&amp;$C$6,AND($C$6="Uang Kos Mama",H3955="Pengeluaran Uang Kos")),OR($C$7="Semua",$C$7="",I3955=$C$7),OR($C$8="Semua",$C$8="",C3955=$C$8,E3955=$C$8),OR($C$9="Semua",$C$9="",D3955=$C$9),OR($C$10="",B3955&gt;=$C$10),OR($C$11="",B3955&lt;=$C$11),OR($C$12&lt;&gt;"Ya",K3955&lt;&gt;""),OR($C$13="Semua",$C$13="",L3955=$C$13)),"✓","")</f>
        <v/>
      </c>
      <c r="N3955" s="93">
        <f>N(N3954)+IF(M3955="✓",1,0)</f>
        <v/>
      </c>
      <c r="O3955" s="93">
        <f>N(O3954)+IF(AND(B3955&lt;&gt;"",B3955&gt;='Uang Riba'!$H$30,B3955&lt;='Uang Riba'!$I$30,OR(H3955="Dana riba",H3955="Pinjam uang riba",I3955="Pinjam dari uang riba",I3955="Ganti uang riba",I3955="Kelebihan ganti dikembalikan",AND(C3955="Kantong Uang Riba",G3955="Pengeluaran"))),1,0)</f>
        <v/>
      </c>
      <c r="X3955" s="93">
        <f>IF(AND(B3955&lt;&gt;"",B3955&gt;='Buku Akun'!$H$4,B3955&lt;='Buku Akun'!$H$5,OR(C3955='Buku Akun'!$C$4,AND(D3955="Pindah",E3955='Buku Akun'!$C$4))),B3955+IF(AND(I3955="Selisih bunga",DAY(B3955)=1),0,0.01)+ROW()/10000000,"")</f>
        <v/>
      </c>
    </row>
    <row r="3956" outlineLevel="1" ht="15" customHeight="1" s="94">
      <c r="A3956" s="123">
        <f>IF(B3956="","",ROW()-15)</f>
        <v/>
      </c>
      <c r="B3956" s="124" t="n"/>
      <c r="C3956" s="123" t="n"/>
      <c r="D3956" s="123" t="n"/>
      <c r="E3956" s="123" t="n"/>
      <c r="F3956" s="125" t="n"/>
      <c r="G3956" s="123" t="n"/>
      <c r="H3956" s="123" t="n"/>
      <c r="I3956" s="123" t="n"/>
      <c r="J3956" s="123" t="n"/>
      <c r="K3956" s="123" t="n"/>
      <c r="L3956" s="123" t="n"/>
      <c r="M3956" s="123">
        <f>IF(AND(B3956&lt;&gt;"",OR($C$4="",ISNUMBER(SEARCH($C$4,C3956&amp;" "&amp;E3956&amp;" "&amp;G3956&amp;" "&amp;H3956&amp;" "&amp;I3956&amp;" "&amp;J3956&amp;" "&amp;K3956&amp;" "&amp;L3956))),OR($C$5="Semua",$C$5="",G3956=$C$5),OR($C$6="Semua",$C$6="",H3956=$C$6,H3956="Pengeluaran "&amp;$C$6,AND($C$6="Uang Kos Mama",H3956="Pengeluaran Uang Kos")),OR($C$7="Semua",$C$7="",I3956=$C$7),OR($C$8="Semua",$C$8="",C3956=$C$8,E3956=$C$8),OR($C$9="Semua",$C$9="",D3956=$C$9),OR($C$10="",B3956&gt;=$C$10),OR($C$11="",B3956&lt;=$C$11),OR($C$12&lt;&gt;"Ya",K3956&lt;&gt;""),OR($C$13="Semua",$C$13="",L3956=$C$13)),"✓","")</f>
        <v/>
      </c>
      <c r="N3956" s="93">
        <f>N(N3955)+IF(M3956="✓",1,0)</f>
        <v/>
      </c>
      <c r="O3956" s="93">
        <f>N(O3955)+IF(AND(B3956&lt;&gt;"",B3956&gt;='Uang Riba'!$H$30,B3956&lt;='Uang Riba'!$I$30,OR(H3956="Dana riba",H3956="Pinjam uang riba",I3956="Pinjam dari uang riba",I3956="Ganti uang riba",I3956="Kelebihan ganti dikembalikan",AND(C3956="Kantong Uang Riba",G3956="Pengeluaran"))),1,0)</f>
        <v/>
      </c>
      <c r="X3956" s="93">
        <f>IF(AND(B3956&lt;&gt;"",B3956&gt;='Buku Akun'!$H$4,B3956&lt;='Buku Akun'!$H$5,OR(C3956='Buku Akun'!$C$4,AND(D3956="Pindah",E3956='Buku Akun'!$C$4))),B3956+IF(AND(I3956="Selisih bunga",DAY(B3956)=1),0,0.01)+ROW()/10000000,"")</f>
        <v/>
      </c>
    </row>
    <row r="3957" outlineLevel="1" ht="15" customHeight="1" s="94">
      <c r="A3957" s="123">
        <f>IF(B3957="","",ROW()-15)</f>
        <v/>
      </c>
      <c r="B3957" s="124" t="n"/>
      <c r="C3957" s="123" t="n"/>
      <c r="D3957" s="123" t="n"/>
      <c r="E3957" s="123" t="n"/>
      <c r="F3957" s="125" t="n"/>
      <c r="G3957" s="123" t="n"/>
      <c r="H3957" s="123" t="n"/>
      <c r="I3957" s="123" t="n"/>
      <c r="J3957" s="123" t="n"/>
      <c r="K3957" s="123" t="n"/>
      <c r="L3957" s="123" t="n"/>
      <c r="M3957" s="123">
        <f>IF(AND(B3957&lt;&gt;"",OR($C$4="",ISNUMBER(SEARCH($C$4,C3957&amp;" "&amp;E3957&amp;" "&amp;G3957&amp;" "&amp;H3957&amp;" "&amp;I3957&amp;" "&amp;J3957&amp;" "&amp;K3957&amp;" "&amp;L3957))),OR($C$5="Semua",$C$5="",G3957=$C$5),OR($C$6="Semua",$C$6="",H3957=$C$6,H3957="Pengeluaran "&amp;$C$6,AND($C$6="Uang Kos Mama",H3957="Pengeluaran Uang Kos")),OR($C$7="Semua",$C$7="",I3957=$C$7),OR($C$8="Semua",$C$8="",C3957=$C$8,E3957=$C$8),OR($C$9="Semua",$C$9="",D3957=$C$9),OR($C$10="",B3957&gt;=$C$10),OR($C$11="",B3957&lt;=$C$11),OR($C$12&lt;&gt;"Ya",K3957&lt;&gt;""),OR($C$13="Semua",$C$13="",L3957=$C$13)),"✓","")</f>
        <v/>
      </c>
      <c r="N3957" s="93">
        <f>N(N3956)+IF(M3957="✓",1,0)</f>
        <v/>
      </c>
      <c r="O3957" s="93">
        <f>N(O3956)+IF(AND(B3957&lt;&gt;"",B3957&gt;='Uang Riba'!$H$30,B3957&lt;='Uang Riba'!$I$30,OR(H3957="Dana riba",H3957="Pinjam uang riba",I3957="Pinjam dari uang riba",I3957="Ganti uang riba",I3957="Kelebihan ganti dikembalikan",AND(C3957="Kantong Uang Riba",G3957="Pengeluaran"))),1,0)</f>
        <v/>
      </c>
      <c r="X3957" s="93">
        <f>IF(AND(B3957&lt;&gt;"",B3957&gt;='Buku Akun'!$H$4,B3957&lt;='Buku Akun'!$H$5,OR(C3957='Buku Akun'!$C$4,AND(D3957="Pindah",E3957='Buku Akun'!$C$4))),B3957+IF(AND(I3957="Selisih bunga",DAY(B3957)=1),0,0.01)+ROW()/10000000,"")</f>
        <v/>
      </c>
    </row>
    <row r="3958" outlineLevel="1" ht="15" customHeight="1" s="94">
      <c r="A3958" s="123">
        <f>IF(B3958="","",ROW()-15)</f>
        <v/>
      </c>
      <c r="B3958" s="124" t="n"/>
      <c r="C3958" s="123" t="n"/>
      <c r="D3958" s="123" t="n"/>
      <c r="E3958" s="123" t="n"/>
      <c r="F3958" s="125" t="n"/>
      <c r="G3958" s="123" t="n"/>
      <c r="H3958" s="123" t="n"/>
      <c r="I3958" s="123" t="n"/>
      <c r="J3958" s="123" t="n"/>
      <c r="K3958" s="123" t="n"/>
      <c r="L3958" s="123" t="n"/>
      <c r="M3958" s="123">
        <f>IF(AND(B3958&lt;&gt;"",OR($C$4="",ISNUMBER(SEARCH($C$4,C3958&amp;" "&amp;E3958&amp;" "&amp;G3958&amp;" "&amp;H3958&amp;" "&amp;I3958&amp;" "&amp;J3958&amp;" "&amp;K3958&amp;" "&amp;L3958))),OR($C$5="Semua",$C$5="",G3958=$C$5),OR($C$6="Semua",$C$6="",H3958=$C$6,H3958="Pengeluaran "&amp;$C$6,AND($C$6="Uang Kos Mama",H3958="Pengeluaran Uang Kos")),OR($C$7="Semua",$C$7="",I3958=$C$7),OR($C$8="Semua",$C$8="",C3958=$C$8,E3958=$C$8),OR($C$9="Semua",$C$9="",D3958=$C$9),OR($C$10="",B3958&gt;=$C$10),OR($C$11="",B3958&lt;=$C$11),OR($C$12&lt;&gt;"Ya",K3958&lt;&gt;""),OR($C$13="Semua",$C$13="",L3958=$C$13)),"✓","")</f>
        <v/>
      </c>
      <c r="N3958" s="93">
        <f>N(N3957)+IF(M3958="✓",1,0)</f>
        <v/>
      </c>
      <c r="O3958" s="93">
        <f>N(O3957)+IF(AND(B3958&lt;&gt;"",B3958&gt;='Uang Riba'!$H$30,B3958&lt;='Uang Riba'!$I$30,OR(H3958="Dana riba",H3958="Pinjam uang riba",I3958="Pinjam dari uang riba",I3958="Ganti uang riba",I3958="Kelebihan ganti dikembalikan",AND(C3958="Kantong Uang Riba",G3958="Pengeluaran"))),1,0)</f>
        <v/>
      </c>
      <c r="X3958" s="93">
        <f>IF(AND(B3958&lt;&gt;"",B3958&gt;='Buku Akun'!$H$4,B3958&lt;='Buku Akun'!$H$5,OR(C3958='Buku Akun'!$C$4,AND(D3958="Pindah",E3958='Buku Akun'!$C$4))),B3958+IF(AND(I3958="Selisih bunga",DAY(B3958)=1),0,0.01)+ROW()/10000000,"")</f>
        <v/>
      </c>
    </row>
    <row r="3959" outlineLevel="1" ht="15" customHeight="1" s="94">
      <c r="A3959" s="123">
        <f>IF(B3959="","",ROW()-15)</f>
        <v/>
      </c>
      <c r="B3959" s="124" t="n"/>
      <c r="C3959" s="123" t="n"/>
      <c r="D3959" s="123" t="n"/>
      <c r="E3959" s="123" t="n"/>
      <c r="F3959" s="125" t="n"/>
      <c r="G3959" s="123" t="n"/>
      <c r="H3959" s="123" t="n"/>
      <c r="I3959" s="123" t="n"/>
      <c r="J3959" s="123" t="n"/>
      <c r="K3959" s="123" t="n"/>
      <c r="L3959" s="123" t="n"/>
      <c r="M3959" s="123">
        <f>IF(AND(B3959&lt;&gt;"",OR($C$4="",ISNUMBER(SEARCH($C$4,C3959&amp;" "&amp;E3959&amp;" "&amp;G3959&amp;" "&amp;H3959&amp;" "&amp;I3959&amp;" "&amp;J3959&amp;" "&amp;K3959&amp;" "&amp;L3959))),OR($C$5="Semua",$C$5="",G3959=$C$5),OR($C$6="Semua",$C$6="",H3959=$C$6,H3959="Pengeluaran "&amp;$C$6,AND($C$6="Uang Kos Mama",H3959="Pengeluaran Uang Kos")),OR($C$7="Semua",$C$7="",I3959=$C$7),OR($C$8="Semua",$C$8="",C3959=$C$8,E3959=$C$8),OR($C$9="Semua",$C$9="",D3959=$C$9),OR($C$10="",B3959&gt;=$C$10),OR($C$11="",B3959&lt;=$C$11),OR($C$12&lt;&gt;"Ya",K3959&lt;&gt;""),OR($C$13="Semua",$C$13="",L3959=$C$13)),"✓","")</f>
        <v/>
      </c>
      <c r="N3959" s="93">
        <f>N(N3958)+IF(M3959="✓",1,0)</f>
        <v/>
      </c>
      <c r="O3959" s="93">
        <f>N(O3958)+IF(AND(B3959&lt;&gt;"",B3959&gt;='Uang Riba'!$H$30,B3959&lt;='Uang Riba'!$I$30,OR(H3959="Dana riba",H3959="Pinjam uang riba",I3959="Pinjam dari uang riba",I3959="Ganti uang riba",I3959="Kelebihan ganti dikembalikan",AND(C3959="Kantong Uang Riba",G3959="Pengeluaran"))),1,0)</f>
        <v/>
      </c>
      <c r="X3959" s="93">
        <f>IF(AND(B3959&lt;&gt;"",B3959&gt;='Buku Akun'!$H$4,B3959&lt;='Buku Akun'!$H$5,OR(C3959='Buku Akun'!$C$4,AND(D3959="Pindah",E3959='Buku Akun'!$C$4))),B3959+IF(AND(I3959="Selisih bunga",DAY(B3959)=1),0,0.01)+ROW()/10000000,"")</f>
        <v/>
      </c>
    </row>
    <row r="3960" outlineLevel="1" ht="15" customHeight="1" s="94">
      <c r="A3960" s="123">
        <f>IF(B3960="","",ROW()-15)</f>
        <v/>
      </c>
      <c r="B3960" s="124" t="n"/>
      <c r="C3960" s="123" t="n"/>
      <c r="D3960" s="123" t="n"/>
      <c r="E3960" s="123" t="n"/>
      <c r="F3960" s="125" t="n"/>
      <c r="G3960" s="123" t="n"/>
      <c r="H3960" s="123" t="n"/>
      <c r="I3960" s="123" t="n"/>
      <c r="J3960" s="123" t="n"/>
      <c r="K3960" s="123" t="n"/>
      <c r="L3960" s="123" t="n"/>
      <c r="M3960" s="123">
        <f>IF(AND(B3960&lt;&gt;"",OR($C$4="",ISNUMBER(SEARCH($C$4,C3960&amp;" "&amp;E3960&amp;" "&amp;G3960&amp;" "&amp;H3960&amp;" "&amp;I3960&amp;" "&amp;J3960&amp;" "&amp;K3960&amp;" "&amp;L3960))),OR($C$5="Semua",$C$5="",G3960=$C$5),OR($C$6="Semua",$C$6="",H3960=$C$6,H3960="Pengeluaran "&amp;$C$6,AND($C$6="Uang Kos Mama",H3960="Pengeluaran Uang Kos")),OR($C$7="Semua",$C$7="",I3960=$C$7),OR($C$8="Semua",$C$8="",C3960=$C$8,E3960=$C$8),OR($C$9="Semua",$C$9="",D3960=$C$9),OR($C$10="",B3960&gt;=$C$10),OR($C$11="",B3960&lt;=$C$11),OR($C$12&lt;&gt;"Ya",K3960&lt;&gt;""),OR($C$13="Semua",$C$13="",L3960=$C$13)),"✓","")</f>
        <v/>
      </c>
      <c r="N3960" s="93">
        <f>N(N3959)+IF(M3960="✓",1,0)</f>
        <v/>
      </c>
      <c r="O3960" s="93">
        <f>N(O3959)+IF(AND(B3960&lt;&gt;"",B3960&gt;='Uang Riba'!$H$30,B3960&lt;='Uang Riba'!$I$30,OR(H3960="Dana riba",H3960="Pinjam uang riba",I3960="Pinjam dari uang riba",I3960="Ganti uang riba",I3960="Kelebihan ganti dikembalikan",AND(C3960="Kantong Uang Riba",G3960="Pengeluaran"))),1,0)</f>
        <v/>
      </c>
      <c r="X3960" s="93">
        <f>IF(AND(B3960&lt;&gt;"",B3960&gt;='Buku Akun'!$H$4,B3960&lt;='Buku Akun'!$H$5,OR(C3960='Buku Akun'!$C$4,AND(D3960="Pindah",E3960='Buku Akun'!$C$4))),B3960+IF(AND(I3960="Selisih bunga",DAY(B3960)=1),0,0.01)+ROW()/10000000,"")</f>
        <v/>
      </c>
    </row>
    <row r="3961" outlineLevel="1" ht="15" customHeight="1" s="94">
      <c r="A3961" s="123">
        <f>IF(B3961="","",ROW()-15)</f>
        <v/>
      </c>
      <c r="B3961" s="124" t="n"/>
      <c r="C3961" s="123" t="n"/>
      <c r="D3961" s="123" t="n"/>
      <c r="E3961" s="123" t="n"/>
      <c r="F3961" s="125" t="n"/>
      <c r="G3961" s="123" t="n"/>
      <c r="H3961" s="123" t="n"/>
      <c r="I3961" s="123" t="n"/>
      <c r="J3961" s="123" t="n"/>
      <c r="K3961" s="123" t="n"/>
      <c r="L3961" s="123" t="n"/>
      <c r="M3961" s="123">
        <f>IF(AND(B3961&lt;&gt;"",OR($C$4="",ISNUMBER(SEARCH($C$4,C3961&amp;" "&amp;E3961&amp;" "&amp;G3961&amp;" "&amp;H3961&amp;" "&amp;I3961&amp;" "&amp;J3961&amp;" "&amp;K3961&amp;" "&amp;L3961))),OR($C$5="Semua",$C$5="",G3961=$C$5),OR($C$6="Semua",$C$6="",H3961=$C$6,H3961="Pengeluaran "&amp;$C$6,AND($C$6="Uang Kos Mama",H3961="Pengeluaran Uang Kos")),OR($C$7="Semua",$C$7="",I3961=$C$7),OR($C$8="Semua",$C$8="",C3961=$C$8,E3961=$C$8),OR($C$9="Semua",$C$9="",D3961=$C$9),OR($C$10="",B3961&gt;=$C$10),OR($C$11="",B3961&lt;=$C$11),OR($C$12&lt;&gt;"Ya",K3961&lt;&gt;""),OR($C$13="Semua",$C$13="",L3961=$C$13)),"✓","")</f>
        <v/>
      </c>
      <c r="N3961" s="93">
        <f>N(N3960)+IF(M3961="✓",1,0)</f>
        <v/>
      </c>
      <c r="O3961" s="93">
        <f>N(O3960)+IF(AND(B3961&lt;&gt;"",B3961&gt;='Uang Riba'!$H$30,B3961&lt;='Uang Riba'!$I$30,OR(H3961="Dana riba",H3961="Pinjam uang riba",I3961="Pinjam dari uang riba",I3961="Ganti uang riba",I3961="Kelebihan ganti dikembalikan",AND(C3961="Kantong Uang Riba",G3961="Pengeluaran"))),1,0)</f>
        <v/>
      </c>
      <c r="X3961" s="93">
        <f>IF(AND(B3961&lt;&gt;"",B3961&gt;='Buku Akun'!$H$4,B3961&lt;='Buku Akun'!$H$5,OR(C3961='Buku Akun'!$C$4,AND(D3961="Pindah",E3961='Buku Akun'!$C$4))),B3961+IF(AND(I3961="Selisih bunga",DAY(B3961)=1),0,0.01)+ROW()/10000000,"")</f>
        <v/>
      </c>
    </row>
    <row r="3962" outlineLevel="1" ht="15" customHeight="1" s="94">
      <c r="A3962" s="123">
        <f>IF(B3962="","",ROW()-15)</f>
        <v/>
      </c>
      <c r="B3962" s="124" t="n"/>
      <c r="C3962" s="123" t="n"/>
      <c r="D3962" s="123" t="n"/>
      <c r="E3962" s="123" t="n"/>
      <c r="F3962" s="125" t="n"/>
      <c r="G3962" s="123" t="n"/>
      <c r="H3962" s="123" t="n"/>
      <c r="I3962" s="123" t="n"/>
      <c r="J3962" s="123" t="n"/>
      <c r="K3962" s="123" t="n"/>
      <c r="L3962" s="123" t="n"/>
      <c r="M3962" s="123">
        <f>IF(AND(B3962&lt;&gt;"",OR($C$4="",ISNUMBER(SEARCH($C$4,C3962&amp;" "&amp;E3962&amp;" "&amp;G3962&amp;" "&amp;H3962&amp;" "&amp;I3962&amp;" "&amp;J3962&amp;" "&amp;K3962&amp;" "&amp;L3962))),OR($C$5="Semua",$C$5="",G3962=$C$5),OR($C$6="Semua",$C$6="",H3962=$C$6,H3962="Pengeluaran "&amp;$C$6,AND($C$6="Uang Kos Mama",H3962="Pengeluaran Uang Kos")),OR($C$7="Semua",$C$7="",I3962=$C$7),OR($C$8="Semua",$C$8="",C3962=$C$8,E3962=$C$8),OR($C$9="Semua",$C$9="",D3962=$C$9),OR($C$10="",B3962&gt;=$C$10),OR($C$11="",B3962&lt;=$C$11),OR($C$12&lt;&gt;"Ya",K3962&lt;&gt;""),OR($C$13="Semua",$C$13="",L3962=$C$13)),"✓","")</f>
        <v/>
      </c>
      <c r="N3962" s="93">
        <f>N(N3961)+IF(M3962="✓",1,0)</f>
        <v/>
      </c>
      <c r="O3962" s="93">
        <f>N(O3961)+IF(AND(B3962&lt;&gt;"",B3962&gt;='Uang Riba'!$H$30,B3962&lt;='Uang Riba'!$I$30,OR(H3962="Dana riba",H3962="Pinjam uang riba",I3962="Pinjam dari uang riba",I3962="Ganti uang riba",I3962="Kelebihan ganti dikembalikan",AND(C3962="Kantong Uang Riba",G3962="Pengeluaran"))),1,0)</f>
        <v/>
      </c>
      <c r="X3962" s="93">
        <f>IF(AND(B3962&lt;&gt;"",B3962&gt;='Buku Akun'!$H$4,B3962&lt;='Buku Akun'!$H$5,OR(C3962='Buku Akun'!$C$4,AND(D3962="Pindah",E3962='Buku Akun'!$C$4))),B3962+IF(AND(I3962="Selisih bunga",DAY(B3962)=1),0,0.01)+ROW()/10000000,"")</f>
        <v/>
      </c>
    </row>
    <row r="3963" outlineLevel="1" ht="15" customHeight="1" s="94">
      <c r="A3963" s="123">
        <f>IF(B3963="","",ROW()-15)</f>
        <v/>
      </c>
      <c r="B3963" s="124" t="n"/>
      <c r="C3963" s="123" t="n"/>
      <c r="D3963" s="123" t="n"/>
      <c r="E3963" s="123" t="n"/>
      <c r="F3963" s="125" t="n"/>
      <c r="G3963" s="123" t="n"/>
      <c r="H3963" s="123" t="n"/>
      <c r="I3963" s="123" t="n"/>
      <c r="J3963" s="123" t="n"/>
      <c r="K3963" s="123" t="n"/>
      <c r="L3963" s="123" t="n"/>
      <c r="M3963" s="123">
        <f>IF(AND(B3963&lt;&gt;"",OR($C$4="",ISNUMBER(SEARCH($C$4,C3963&amp;" "&amp;E3963&amp;" "&amp;G3963&amp;" "&amp;H3963&amp;" "&amp;I3963&amp;" "&amp;J3963&amp;" "&amp;K3963&amp;" "&amp;L3963))),OR($C$5="Semua",$C$5="",G3963=$C$5),OR($C$6="Semua",$C$6="",H3963=$C$6,H3963="Pengeluaran "&amp;$C$6,AND($C$6="Uang Kos Mama",H3963="Pengeluaran Uang Kos")),OR($C$7="Semua",$C$7="",I3963=$C$7),OR($C$8="Semua",$C$8="",C3963=$C$8,E3963=$C$8),OR($C$9="Semua",$C$9="",D3963=$C$9),OR($C$10="",B3963&gt;=$C$10),OR($C$11="",B3963&lt;=$C$11),OR($C$12&lt;&gt;"Ya",K3963&lt;&gt;""),OR($C$13="Semua",$C$13="",L3963=$C$13)),"✓","")</f>
        <v/>
      </c>
      <c r="N3963" s="93">
        <f>N(N3962)+IF(M3963="✓",1,0)</f>
        <v/>
      </c>
      <c r="O3963" s="93">
        <f>N(O3962)+IF(AND(B3963&lt;&gt;"",B3963&gt;='Uang Riba'!$H$30,B3963&lt;='Uang Riba'!$I$30,OR(H3963="Dana riba",H3963="Pinjam uang riba",I3963="Pinjam dari uang riba",I3963="Ganti uang riba",I3963="Kelebihan ganti dikembalikan",AND(C3963="Kantong Uang Riba",G3963="Pengeluaran"))),1,0)</f>
        <v/>
      </c>
      <c r="X3963" s="93">
        <f>IF(AND(B3963&lt;&gt;"",B3963&gt;='Buku Akun'!$H$4,B3963&lt;='Buku Akun'!$H$5,OR(C3963='Buku Akun'!$C$4,AND(D3963="Pindah",E3963='Buku Akun'!$C$4))),B3963+IF(AND(I3963="Selisih bunga",DAY(B3963)=1),0,0.01)+ROW()/10000000,"")</f>
        <v/>
      </c>
    </row>
    <row r="3964" outlineLevel="1" ht="15" customHeight="1" s="94">
      <c r="A3964" s="123">
        <f>IF(B3964="","",ROW()-15)</f>
        <v/>
      </c>
      <c r="B3964" s="124" t="n"/>
      <c r="C3964" s="123" t="n"/>
      <c r="D3964" s="123" t="n"/>
      <c r="E3964" s="123" t="n"/>
      <c r="F3964" s="125" t="n"/>
      <c r="G3964" s="123" t="n"/>
      <c r="H3964" s="123" t="n"/>
      <c r="I3964" s="123" t="n"/>
      <c r="J3964" s="123" t="n"/>
      <c r="K3964" s="123" t="n"/>
      <c r="L3964" s="123" t="n"/>
      <c r="M3964" s="123">
        <f>IF(AND(B3964&lt;&gt;"",OR($C$4="",ISNUMBER(SEARCH($C$4,C3964&amp;" "&amp;E3964&amp;" "&amp;G3964&amp;" "&amp;H3964&amp;" "&amp;I3964&amp;" "&amp;J3964&amp;" "&amp;K3964&amp;" "&amp;L3964))),OR($C$5="Semua",$C$5="",G3964=$C$5),OR($C$6="Semua",$C$6="",H3964=$C$6,H3964="Pengeluaran "&amp;$C$6,AND($C$6="Uang Kos Mama",H3964="Pengeluaran Uang Kos")),OR($C$7="Semua",$C$7="",I3964=$C$7),OR($C$8="Semua",$C$8="",C3964=$C$8,E3964=$C$8),OR($C$9="Semua",$C$9="",D3964=$C$9),OR($C$10="",B3964&gt;=$C$10),OR($C$11="",B3964&lt;=$C$11),OR($C$12&lt;&gt;"Ya",K3964&lt;&gt;""),OR($C$13="Semua",$C$13="",L3964=$C$13)),"✓","")</f>
        <v/>
      </c>
      <c r="N3964" s="93">
        <f>N(N3963)+IF(M3964="✓",1,0)</f>
        <v/>
      </c>
      <c r="O3964" s="93">
        <f>N(O3963)+IF(AND(B3964&lt;&gt;"",B3964&gt;='Uang Riba'!$H$30,B3964&lt;='Uang Riba'!$I$30,OR(H3964="Dana riba",H3964="Pinjam uang riba",I3964="Pinjam dari uang riba",I3964="Ganti uang riba",I3964="Kelebihan ganti dikembalikan",AND(C3964="Kantong Uang Riba",G3964="Pengeluaran"))),1,0)</f>
        <v/>
      </c>
      <c r="X3964" s="93">
        <f>IF(AND(B3964&lt;&gt;"",B3964&gt;='Buku Akun'!$H$4,B3964&lt;='Buku Akun'!$H$5,OR(C3964='Buku Akun'!$C$4,AND(D3964="Pindah",E3964='Buku Akun'!$C$4))),B3964+IF(AND(I3964="Selisih bunga",DAY(B3964)=1),0,0.01)+ROW()/10000000,"")</f>
        <v/>
      </c>
    </row>
    <row r="3965" outlineLevel="1" ht="15" customHeight="1" s="94">
      <c r="A3965" s="123">
        <f>IF(B3965="","",ROW()-15)</f>
        <v/>
      </c>
      <c r="B3965" s="124" t="n"/>
      <c r="C3965" s="123" t="n"/>
      <c r="D3965" s="123" t="n"/>
      <c r="E3965" s="123" t="n"/>
      <c r="F3965" s="125" t="n"/>
      <c r="G3965" s="123" t="n"/>
      <c r="H3965" s="123" t="n"/>
      <c r="I3965" s="123" t="n"/>
      <c r="J3965" s="123" t="n"/>
      <c r="K3965" s="123" t="n"/>
      <c r="L3965" s="123" t="n"/>
      <c r="M3965" s="123">
        <f>IF(AND(B3965&lt;&gt;"",OR($C$4="",ISNUMBER(SEARCH($C$4,C3965&amp;" "&amp;E3965&amp;" "&amp;G3965&amp;" "&amp;H3965&amp;" "&amp;I3965&amp;" "&amp;J3965&amp;" "&amp;K3965&amp;" "&amp;L3965))),OR($C$5="Semua",$C$5="",G3965=$C$5),OR($C$6="Semua",$C$6="",H3965=$C$6,H3965="Pengeluaran "&amp;$C$6,AND($C$6="Uang Kos Mama",H3965="Pengeluaran Uang Kos")),OR($C$7="Semua",$C$7="",I3965=$C$7),OR($C$8="Semua",$C$8="",C3965=$C$8,E3965=$C$8),OR($C$9="Semua",$C$9="",D3965=$C$9),OR($C$10="",B3965&gt;=$C$10),OR($C$11="",B3965&lt;=$C$11),OR($C$12&lt;&gt;"Ya",K3965&lt;&gt;""),OR($C$13="Semua",$C$13="",L3965=$C$13)),"✓","")</f>
        <v/>
      </c>
      <c r="N3965" s="93">
        <f>N(N3964)+IF(M3965="✓",1,0)</f>
        <v/>
      </c>
      <c r="O3965" s="93">
        <f>N(O3964)+IF(AND(B3965&lt;&gt;"",B3965&gt;='Uang Riba'!$H$30,B3965&lt;='Uang Riba'!$I$30,OR(H3965="Dana riba",H3965="Pinjam uang riba",I3965="Pinjam dari uang riba",I3965="Ganti uang riba",I3965="Kelebihan ganti dikembalikan",AND(C3965="Kantong Uang Riba",G3965="Pengeluaran"))),1,0)</f>
        <v/>
      </c>
      <c r="X3965" s="93">
        <f>IF(AND(B3965&lt;&gt;"",B3965&gt;='Buku Akun'!$H$4,B3965&lt;='Buku Akun'!$H$5,OR(C3965='Buku Akun'!$C$4,AND(D3965="Pindah",E3965='Buku Akun'!$C$4))),B3965+IF(AND(I3965="Selisih bunga",DAY(B3965)=1),0,0.01)+ROW()/10000000,"")</f>
        <v/>
      </c>
    </row>
    <row r="3966" outlineLevel="1" ht="15" customHeight="1" s="94">
      <c r="A3966" s="123">
        <f>IF(B3966="","",ROW()-15)</f>
        <v/>
      </c>
      <c r="B3966" s="124" t="n"/>
      <c r="C3966" s="123" t="n"/>
      <c r="D3966" s="123" t="n"/>
      <c r="E3966" s="123" t="n"/>
      <c r="F3966" s="125" t="n"/>
      <c r="G3966" s="123" t="n"/>
      <c r="H3966" s="123" t="n"/>
      <c r="I3966" s="123" t="n"/>
      <c r="J3966" s="123" t="n"/>
      <c r="K3966" s="123" t="n"/>
      <c r="L3966" s="123" t="n"/>
      <c r="M3966" s="123">
        <f>IF(AND(B3966&lt;&gt;"",OR($C$4="",ISNUMBER(SEARCH($C$4,C3966&amp;" "&amp;E3966&amp;" "&amp;G3966&amp;" "&amp;H3966&amp;" "&amp;I3966&amp;" "&amp;J3966&amp;" "&amp;K3966&amp;" "&amp;L3966))),OR($C$5="Semua",$C$5="",G3966=$C$5),OR($C$6="Semua",$C$6="",H3966=$C$6,H3966="Pengeluaran "&amp;$C$6,AND($C$6="Uang Kos Mama",H3966="Pengeluaran Uang Kos")),OR($C$7="Semua",$C$7="",I3966=$C$7),OR($C$8="Semua",$C$8="",C3966=$C$8,E3966=$C$8),OR($C$9="Semua",$C$9="",D3966=$C$9),OR($C$10="",B3966&gt;=$C$10),OR($C$11="",B3966&lt;=$C$11),OR($C$12&lt;&gt;"Ya",K3966&lt;&gt;""),OR($C$13="Semua",$C$13="",L3966=$C$13)),"✓","")</f>
        <v/>
      </c>
      <c r="N3966" s="93">
        <f>N(N3965)+IF(M3966="✓",1,0)</f>
        <v/>
      </c>
      <c r="O3966" s="93">
        <f>N(O3965)+IF(AND(B3966&lt;&gt;"",B3966&gt;='Uang Riba'!$H$30,B3966&lt;='Uang Riba'!$I$30,OR(H3966="Dana riba",H3966="Pinjam uang riba",I3966="Pinjam dari uang riba",I3966="Ganti uang riba",I3966="Kelebihan ganti dikembalikan",AND(C3966="Kantong Uang Riba",G3966="Pengeluaran"))),1,0)</f>
        <v/>
      </c>
      <c r="X3966" s="93">
        <f>IF(AND(B3966&lt;&gt;"",B3966&gt;='Buku Akun'!$H$4,B3966&lt;='Buku Akun'!$H$5,OR(C3966='Buku Akun'!$C$4,AND(D3966="Pindah",E3966='Buku Akun'!$C$4))),B3966+IF(AND(I3966="Selisih bunga",DAY(B3966)=1),0,0.01)+ROW()/10000000,"")</f>
        <v/>
      </c>
    </row>
    <row r="3967" outlineLevel="1" ht="15" customHeight="1" s="94">
      <c r="A3967" s="123">
        <f>IF(B3967="","",ROW()-15)</f>
        <v/>
      </c>
      <c r="B3967" s="124" t="n"/>
      <c r="C3967" s="123" t="n"/>
      <c r="D3967" s="123" t="n"/>
      <c r="E3967" s="123" t="n"/>
      <c r="F3967" s="125" t="n"/>
      <c r="G3967" s="123" t="n"/>
      <c r="H3967" s="123" t="n"/>
      <c r="I3967" s="123" t="n"/>
      <c r="J3967" s="123" t="n"/>
      <c r="K3967" s="123" t="n"/>
      <c r="L3967" s="123" t="n"/>
      <c r="M3967" s="123">
        <f>IF(AND(B3967&lt;&gt;"",OR($C$4="",ISNUMBER(SEARCH($C$4,C3967&amp;" "&amp;E3967&amp;" "&amp;G3967&amp;" "&amp;H3967&amp;" "&amp;I3967&amp;" "&amp;J3967&amp;" "&amp;K3967&amp;" "&amp;L3967))),OR($C$5="Semua",$C$5="",G3967=$C$5),OR($C$6="Semua",$C$6="",H3967=$C$6,H3967="Pengeluaran "&amp;$C$6,AND($C$6="Uang Kos Mama",H3967="Pengeluaran Uang Kos")),OR($C$7="Semua",$C$7="",I3967=$C$7),OR($C$8="Semua",$C$8="",C3967=$C$8,E3967=$C$8),OR($C$9="Semua",$C$9="",D3967=$C$9),OR($C$10="",B3967&gt;=$C$10),OR($C$11="",B3967&lt;=$C$11),OR($C$12&lt;&gt;"Ya",K3967&lt;&gt;""),OR($C$13="Semua",$C$13="",L3967=$C$13)),"✓","")</f>
        <v/>
      </c>
      <c r="N3967" s="93">
        <f>N(N3966)+IF(M3967="✓",1,0)</f>
        <v/>
      </c>
      <c r="O3967" s="93">
        <f>N(O3966)+IF(AND(B3967&lt;&gt;"",B3967&gt;='Uang Riba'!$H$30,B3967&lt;='Uang Riba'!$I$30,OR(H3967="Dana riba",H3967="Pinjam uang riba",I3967="Pinjam dari uang riba",I3967="Ganti uang riba",I3967="Kelebihan ganti dikembalikan",AND(C3967="Kantong Uang Riba",G3967="Pengeluaran"))),1,0)</f>
        <v/>
      </c>
      <c r="X3967" s="93">
        <f>IF(AND(B3967&lt;&gt;"",B3967&gt;='Buku Akun'!$H$4,B3967&lt;='Buku Akun'!$H$5,OR(C3967='Buku Akun'!$C$4,AND(D3967="Pindah",E3967='Buku Akun'!$C$4))),B3967+IF(AND(I3967="Selisih bunga",DAY(B3967)=1),0,0.01)+ROW()/10000000,"")</f>
        <v/>
      </c>
    </row>
    <row r="3968" outlineLevel="1" ht="15" customHeight="1" s="94">
      <c r="A3968" s="123">
        <f>IF(B3968="","",ROW()-15)</f>
        <v/>
      </c>
      <c r="B3968" s="124" t="n"/>
      <c r="C3968" s="123" t="n"/>
      <c r="D3968" s="123" t="n"/>
      <c r="E3968" s="123" t="n"/>
      <c r="F3968" s="125" t="n"/>
      <c r="G3968" s="123" t="n"/>
      <c r="H3968" s="123" t="n"/>
      <c r="I3968" s="123" t="n"/>
      <c r="J3968" s="123" t="n"/>
      <c r="K3968" s="123" t="n"/>
      <c r="L3968" s="123" t="n"/>
      <c r="M3968" s="123">
        <f>IF(AND(B3968&lt;&gt;"",OR($C$4="",ISNUMBER(SEARCH($C$4,C3968&amp;" "&amp;E3968&amp;" "&amp;G3968&amp;" "&amp;H3968&amp;" "&amp;I3968&amp;" "&amp;J3968&amp;" "&amp;K3968&amp;" "&amp;L3968))),OR($C$5="Semua",$C$5="",G3968=$C$5),OR($C$6="Semua",$C$6="",H3968=$C$6,H3968="Pengeluaran "&amp;$C$6,AND($C$6="Uang Kos Mama",H3968="Pengeluaran Uang Kos")),OR($C$7="Semua",$C$7="",I3968=$C$7),OR($C$8="Semua",$C$8="",C3968=$C$8,E3968=$C$8),OR($C$9="Semua",$C$9="",D3968=$C$9),OR($C$10="",B3968&gt;=$C$10),OR($C$11="",B3968&lt;=$C$11),OR($C$12&lt;&gt;"Ya",K3968&lt;&gt;""),OR($C$13="Semua",$C$13="",L3968=$C$13)),"✓","")</f>
        <v/>
      </c>
      <c r="N3968" s="93">
        <f>N(N3967)+IF(M3968="✓",1,0)</f>
        <v/>
      </c>
      <c r="O3968" s="93">
        <f>N(O3967)+IF(AND(B3968&lt;&gt;"",B3968&gt;='Uang Riba'!$H$30,B3968&lt;='Uang Riba'!$I$30,OR(H3968="Dana riba",H3968="Pinjam uang riba",I3968="Pinjam dari uang riba",I3968="Ganti uang riba",I3968="Kelebihan ganti dikembalikan",AND(C3968="Kantong Uang Riba",G3968="Pengeluaran"))),1,0)</f>
        <v/>
      </c>
      <c r="X3968" s="93">
        <f>IF(AND(B3968&lt;&gt;"",B3968&gt;='Buku Akun'!$H$4,B3968&lt;='Buku Akun'!$H$5,OR(C3968='Buku Akun'!$C$4,AND(D3968="Pindah",E3968='Buku Akun'!$C$4))),B3968+IF(AND(I3968="Selisih bunga",DAY(B3968)=1),0,0.01)+ROW()/10000000,"")</f>
        <v/>
      </c>
    </row>
    <row r="3969" outlineLevel="1" ht="15" customHeight="1" s="94">
      <c r="A3969" s="123">
        <f>IF(B3969="","",ROW()-15)</f>
        <v/>
      </c>
      <c r="B3969" s="124" t="n"/>
      <c r="C3969" s="123" t="n"/>
      <c r="D3969" s="123" t="n"/>
      <c r="E3969" s="123" t="n"/>
      <c r="F3969" s="125" t="n"/>
      <c r="G3969" s="123" t="n"/>
      <c r="H3969" s="123" t="n"/>
      <c r="I3969" s="123" t="n"/>
      <c r="J3969" s="123" t="n"/>
      <c r="K3969" s="123" t="n"/>
      <c r="L3969" s="123" t="n"/>
      <c r="M3969" s="123">
        <f>IF(AND(B3969&lt;&gt;"",OR($C$4="",ISNUMBER(SEARCH($C$4,C3969&amp;" "&amp;E3969&amp;" "&amp;G3969&amp;" "&amp;H3969&amp;" "&amp;I3969&amp;" "&amp;J3969&amp;" "&amp;K3969&amp;" "&amp;L3969))),OR($C$5="Semua",$C$5="",G3969=$C$5),OR($C$6="Semua",$C$6="",H3969=$C$6,H3969="Pengeluaran "&amp;$C$6,AND($C$6="Uang Kos Mama",H3969="Pengeluaran Uang Kos")),OR($C$7="Semua",$C$7="",I3969=$C$7),OR($C$8="Semua",$C$8="",C3969=$C$8,E3969=$C$8),OR($C$9="Semua",$C$9="",D3969=$C$9),OR($C$10="",B3969&gt;=$C$10),OR($C$11="",B3969&lt;=$C$11),OR($C$12&lt;&gt;"Ya",K3969&lt;&gt;""),OR($C$13="Semua",$C$13="",L3969=$C$13)),"✓","")</f>
        <v/>
      </c>
      <c r="N3969" s="93">
        <f>N(N3968)+IF(M3969="✓",1,0)</f>
        <v/>
      </c>
      <c r="O3969" s="93">
        <f>N(O3968)+IF(AND(B3969&lt;&gt;"",B3969&gt;='Uang Riba'!$H$30,B3969&lt;='Uang Riba'!$I$30,OR(H3969="Dana riba",H3969="Pinjam uang riba",I3969="Pinjam dari uang riba",I3969="Ganti uang riba",I3969="Kelebihan ganti dikembalikan",AND(C3969="Kantong Uang Riba",G3969="Pengeluaran"))),1,0)</f>
        <v/>
      </c>
      <c r="X3969" s="93">
        <f>IF(AND(B3969&lt;&gt;"",B3969&gt;='Buku Akun'!$H$4,B3969&lt;='Buku Akun'!$H$5,OR(C3969='Buku Akun'!$C$4,AND(D3969="Pindah",E3969='Buku Akun'!$C$4))),B3969+IF(AND(I3969="Selisih bunga",DAY(B3969)=1),0,0.01)+ROW()/10000000,"")</f>
        <v/>
      </c>
    </row>
    <row r="3970" outlineLevel="1" ht="15" customHeight="1" s="94">
      <c r="A3970" s="123">
        <f>IF(B3970="","",ROW()-15)</f>
        <v/>
      </c>
      <c r="B3970" s="124" t="n"/>
      <c r="C3970" s="123" t="n"/>
      <c r="D3970" s="123" t="n"/>
      <c r="E3970" s="123" t="n"/>
      <c r="F3970" s="125" t="n"/>
      <c r="G3970" s="123" t="n"/>
      <c r="H3970" s="123" t="n"/>
      <c r="I3970" s="123" t="n"/>
      <c r="J3970" s="123" t="n"/>
      <c r="K3970" s="123" t="n"/>
      <c r="L3970" s="123" t="n"/>
      <c r="M3970" s="123">
        <f>IF(AND(B3970&lt;&gt;"",OR($C$4="",ISNUMBER(SEARCH($C$4,C3970&amp;" "&amp;E3970&amp;" "&amp;G3970&amp;" "&amp;H3970&amp;" "&amp;I3970&amp;" "&amp;J3970&amp;" "&amp;K3970&amp;" "&amp;L3970))),OR($C$5="Semua",$C$5="",G3970=$C$5),OR($C$6="Semua",$C$6="",H3970=$C$6,H3970="Pengeluaran "&amp;$C$6,AND($C$6="Uang Kos Mama",H3970="Pengeluaran Uang Kos")),OR($C$7="Semua",$C$7="",I3970=$C$7),OR($C$8="Semua",$C$8="",C3970=$C$8,E3970=$C$8),OR($C$9="Semua",$C$9="",D3970=$C$9),OR($C$10="",B3970&gt;=$C$10),OR($C$11="",B3970&lt;=$C$11),OR($C$12&lt;&gt;"Ya",K3970&lt;&gt;""),OR($C$13="Semua",$C$13="",L3970=$C$13)),"✓","")</f>
        <v/>
      </c>
      <c r="N3970" s="93">
        <f>N(N3969)+IF(M3970="✓",1,0)</f>
        <v/>
      </c>
      <c r="O3970" s="93">
        <f>N(O3969)+IF(AND(B3970&lt;&gt;"",B3970&gt;='Uang Riba'!$H$30,B3970&lt;='Uang Riba'!$I$30,OR(H3970="Dana riba",H3970="Pinjam uang riba",I3970="Pinjam dari uang riba",I3970="Ganti uang riba",I3970="Kelebihan ganti dikembalikan",AND(C3970="Kantong Uang Riba",G3970="Pengeluaran"))),1,0)</f>
        <v/>
      </c>
      <c r="X3970" s="93">
        <f>IF(AND(B3970&lt;&gt;"",B3970&gt;='Buku Akun'!$H$4,B3970&lt;='Buku Akun'!$H$5,OR(C3970='Buku Akun'!$C$4,AND(D3970="Pindah",E3970='Buku Akun'!$C$4))),B3970+IF(AND(I3970="Selisih bunga",DAY(B3970)=1),0,0.01)+ROW()/10000000,"")</f>
        <v/>
      </c>
    </row>
    <row r="3971" outlineLevel="1" ht="15" customHeight="1" s="94">
      <c r="A3971" s="123">
        <f>IF(B3971="","",ROW()-15)</f>
        <v/>
      </c>
      <c r="B3971" s="124" t="n"/>
      <c r="C3971" s="123" t="n"/>
      <c r="D3971" s="123" t="n"/>
      <c r="E3971" s="123" t="n"/>
      <c r="F3971" s="125" t="n"/>
      <c r="G3971" s="123" t="n"/>
      <c r="H3971" s="123" t="n"/>
      <c r="I3971" s="123" t="n"/>
      <c r="J3971" s="123" t="n"/>
      <c r="K3971" s="123" t="n"/>
      <c r="L3971" s="123" t="n"/>
      <c r="M3971" s="123">
        <f>IF(AND(B3971&lt;&gt;"",OR($C$4="",ISNUMBER(SEARCH($C$4,C3971&amp;" "&amp;E3971&amp;" "&amp;G3971&amp;" "&amp;H3971&amp;" "&amp;I3971&amp;" "&amp;J3971&amp;" "&amp;K3971&amp;" "&amp;L3971))),OR($C$5="Semua",$C$5="",G3971=$C$5),OR($C$6="Semua",$C$6="",H3971=$C$6,H3971="Pengeluaran "&amp;$C$6,AND($C$6="Uang Kos Mama",H3971="Pengeluaran Uang Kos")),OR($C$7="Semua",$C$7="",I3971=$C$7),OR($C$8="Semua",$C$8="",C3971=$C$8,E3971=$C$8),OR($C$9="Semua",$C$9="",D3971=$C$9),OR($C$10="",B3971&gt;=$C$10),OR($C$11="",B3971&lt;=$C$11),OR($C$12&lt;&gt;"Ya",K3971&lt;&gt;""),OR($C$13="Semua",$C$13="",L3971=$C$13)),"✓","")</f>
        <v/>
      </c>
      <c r="N3971" s="93">
        <f>N(N3970)+IF(M3971="✓",1,0)</f>
        <v/>
      </c>
      <c r="O3971" s="93">
        <f>N(O3970)+IF(AND(B3971&lt;&gt;"",B3971&gt;='Uang Riba'!$H$30,B3971&lt;='Uang Riba'!$I$30,OR(H3971="Dana riba",H3971="Pinjam uang riba",I3971="Pinjam dari uang riba",I3971="Ganti uang riba",I3971="Kelebihan ganti dikembalikan",AND(C3971="Kantong Uang Riba",G3971="Pengeluaran"))),1,0)</f>
        <v/>
      </c>
      <c r="X3971" s="93">
        <f>IF(AND(B3971&lt;&gt;"",B3971&gt;='Buku Akun'!$H$4,B3971&lt;='Buku Akun'!$H$5,OR(C3971='Buku Akun'!$C$4,AND(D3971="Pindah",E3971='Buku Akun'!$C$4))),B3971+IF(AND(I3971="Selisih bunga",DAY(B3971)=1),0,0.01)+ROW()/10000000,"")</f>
        <v/>
      </c>
    </row>
    <row r="3972" outlineLevel="1" ht="15" customHeight="1" s="94">
      <c r="A3972" s="123">
        <f>IF(B3972="","",ROW()-15)</f>
        <v/>
      </c>
      <c r="B3972" s="124" t="n"/>
      <c r="C3972" s="123" t="n"/>
      <c r="D3972" s="123" t="n"/>
      <c r="E3972" s="123" t="n"/>
      <c r="F3972" s="125" t="n"/>
      <c r="G3972" s="123" t="n"/>
      <c r="H3972" s="123" t="n"/>
      <c r="I3972" s="123" t="n"/>
      <c r="J3972" s="123" t="n"/>
      <c r="K3972" s="123" t="n"/>
      <c r="L3972" s="123" t="n"/>
      <c r="M3972" s="123">
        <f>IF(AND(B3972&lt;&gt;"",OR($C$4="",ISNUMBER(SEARCH($C$4,C3972&amp;" "&amp;E3972&amp;" "&amp;G3972&amp;" "&amp;H3972&amp;" "&amp;I3972&amp;" "&amp;J3972&amp;" "&amp;K3972&amp;" "&amp;L3972))),OR($C$5="Semua",$C$5="",G3972=$C$5),OR($C$6="Semua",$C$6="",H3972=$C$6,H3972="Pengeluaran "&amp;$C$6,AND($C$6="Uang Kos Mama",H3972="Pengeluaran Uang Kos")),OR($C$7="Semua",$C$7="",I3972=$C$7),OR($C$8="Semua",$C$8="",C3972=$C$8,E3972=$C$8),OR($C$9="Semua",$C$9="",D3972=$C$9),OR($C$10="",B3972&gt;=$C$10),OR($C$11="",B3972&lt;=$C$11),OR($C$12&lt;&gt;"Ya",K3972&lt;&gt;""),OR($C$13="Semua",$C$13="",L3972=$C$13)),"✓","")</f>
        <v/>
      </c>
      <c r="N3972" s="93">
        <f>N(N3971)+IF(M3972="✓",1,0)</f>
        <v/>
      </c>
      <c r="O3972" s="93">
        <f>N(O3971)+IF(AND(B3972&lt;&gt;"",B3972&gt;='Uang Riba'!$H$30,B3972&lt;='Uang Riba'!$I$30,OR(H3972="Dana riba",H3972="Pinjam uang riba",I3972="Pinjam dari uang riba",I3972="Ganti uang riba",I3972="Kelebihan ganti dikembalikan",AND(C3972="Kantong Uang Riba",G3972="Pengeluaran"))),1,0)</f>
        <v/>
      </c>
      <c r="X3972" s="93">
        <f>IF(AND(B3972&lt;&gt;"",B3972&gt;='Buku Akun'!$H$4,B3972&lt;='Buku Akun'!$H$5,OR(C3972='Buku Akun'!$C$4,AND(D3972="Pindah",E3972='Buku Akun'!$C$4))),B3972+IF(AND(I3972="Selisih bunga",DAY(B3972)=1),0,0.01)+ROW()/10000000,"")</f>
        <v/>
      </c>
    </row>
    <row r="3973" outlineLevel="1" ht="15" customHeight="1" s="94">
      <c r="A3973" s="123">
        <f>IF(B3973="","",ROW()-15)</f>
        <v/>
      </c>
      <c r="B3973" s="124" t="n"/>
      <c r="C3973" s="123" t="n"/>
      <c r="D3973" s="123" t="n"/>
      <c r="E3973" s="123" t="n"/>
      <c r="F3973" s="125" t="n"/>
      <c r="G3973" s="123" t="n"/>
      <c r="H3973" s="123" t="n"/>
      <c r="I3973" s="123" t="n"/>
      <c r="J3973" s="123" t="n"/>
      <c r="K3973" s="123" t="n"/>
      <c r="L3973" s="123" t="n"/>
      <c r="M3973" s="123">
        <f>IF(AND(B3973&lt;&gt;"",OR($C$4="",ISNUMBER(SEARCH($C$4,C3973&amp;" "&amp;E3973&amp;" "&amp;G3973&amp;" "&amp;H3973&amp;" "&amp;I3973&amp;" "&amp;J3973&amp;" "&amp;K3973&amp;" "&amp;L3973))),OR($C$5="Semua",$C$5="",G3973=$C$5),OR($C$6="Semua",$C$6="",H3973=$C$6,H3973="Pengeluaran "&amp;$C$6,AND($C$6="Uang Kos Mama",H3973="Pengeluaran Uang Kos")),OR($C$7="Semua",$C$7="",I3973=$C$7),OR($C$8="Semua",$C$8="",C3973=$C$8,E3973=$C$8),OR($C$9="Semua",$C$9="",D3973=$C$9),OR($C$10="",B3973&gt;=$C$10),OR($C$11="",B3973&lt;=$C$11),OR($C$12&lt;&gt;"Ya",K3973&lt;&gt;""),OR($C$13="Semua",$C$13="",L3973=$C$13)),"✓","")</f>
        <v/>
      </c>
      <c r="N3973" s="93">
        <f>N(N3972)+IF(M3973="✓",1,0)</f>
        <v/>
      </c>
      <c r="O3973" s="93">
        <f>N(O3972)+IF(AND(B3973&lt;&gt;"",B3973&gt;='Uang Riba'!$H$30,B3973&lt;='Uang Riba'!$I$30,OR(H3973="Dana riba",H3973="Pinjam uang riba",I3973="Pinjam dari uang riba",I3973="Ganti uang riba",I3973="Kelebihan ganti dikembalikan",AND(C3973="Kantong Uang Riba",G3973="Pengeluaran"))),1,0)</f>
        <v/>
      </c>
      <c r="X3973" s="93">
        <f>IF(AND(B3973&lt;&gt;"",B3973&gt;='Buku Akun'!$H$4,B3973&lt;='Buku Akun'!$H$5,OR(C3973='Buku Akun'!$C$4,AND(D3973="Pindah",E3973='Buku Akun'!$C$4))),B3973+IF(AND(I3973="Selisih bunga",DAY(B3973)=1),0,0.01)+ROW()/10000000,"")</f>
        <v/>
      </c>
    </row>
    <row r="3974" outlineLevel="1" ht="15" customHeight="1" s="94">
      <c r="A3974" s="123">
        <f>IF(B3974="","",ROW()-15)</f>
        <v/>
      </c>
      <c r="B3974" s="124" t="n"/>
      <c r="C3974" s="123" t="n"/>
      <c r="D3974" s="123" t="n"/>
      <c r="E3974" s="123" t="n"/>
      <c r="F3974" s="125" t="n"/>
      <c r="G3974" s="123" t="n"/>
      <c r="H3974" s="123" t="n"/>
      <c r="I3974" s="123" t="n"/>
      <c r="J3974" s="123" t="n"/>
      <c r="K3974" s="123" t="n"/>
      <c r="L3974" s="123" t="n"/>
      <c r="M3974" s="123">
        <f>IF(AND(B3974&lt;&gt;"",OR($C$4="",ISNUMBER(SEARCH($C$4,C3974&amp;" "&amp;E3974&amp;" "&amp;G3974&amp;" "&amp;H3974&amp;" "&amp;I3974&amp;" "&amp;J3974&amp;" "&amp;K3974&amp;" "&amp;L3974))),OR($C$5="Semua",$C$5="",G3974=$C$5),OR($C$6="Semua",$C$6="",H3974=$C$6,H3974="Pengeluaran "&amp;$C$6,AND($C$6="Uang Kos Mama",H3974="Pengeluaran Uang Kos")),OR($C$7="Semua",$C$7="",I3974=$C$7),OR($C$8="Semua",$C$8="",C3974=$C$8,E3974=$C$8),OR($C$9="Semua",$C$9="",D3974=$C$9),OR($C$10="",B3974&gt;=$C$10),OR($C$11="",B3974&lt;=$C$11),OR($C$12&lt;&gt;"Ya",K3974&lt;&gt;""),OR($C$13="Semua",$C$13="",L3974=$C$13)),"✓","")</f>
        <v/>
      </c>
      <c r="N3974" s="93">
        <f>N(N3973)+IF(M3974="✓",1,0)</f>
        <v/>
      </c>
      <c r="O3974" s="93">
        <f>N(O3973)+IF(AND(B3974&lt;&gt;"",B3974&gt;='Uang Riba'!$H$30,B3974&lt;='Uang Riba'!$I$30,OR(H3974="Dana riba",H3974="Pinjam uang riba",I3974="Pinjam dari uang riba",I3974="Ganti uang riba",I3974="Kelebihan ganti dikembalikan",AND(C3974="Kantong Uang Riba",G3974="Pengeluaran"))),1,0)</f>
        <v/>
      </c>
      <c r="X3974" s="93">
        <f>IF(AND(B3974&lt;&gt;"",B3974&gt;='Buku Akun'!$H$4,B3974&lt;='Buku Akun'!$H$5,OR(C3974='Buku Akun'!$C$4,AND(D3974="Pindah",E3974='Buku Akun'!$C$4))),B3974+IF(AND(I3974="Selisih bunga",DAY(B3974)=1),0,0.01)+ROW()/10000000,"")</f>
        <v/>
      </c>
    </row>
    <row r="3975" outlineLevel="1" ht="15" customHeight="1" s="94">
      <c r="A3975" s="123">
        <f>IF(B3975="","",ROW()-15)</f>
        <v/>
      </c>
      <c r="B3975" s="124" t="n"/>
      <c r="C3975" s="123" t="n"/>
      <c r="D3975" s="123" t="n"/>
      <c r="E3975" s="123" t="n"/>
      <c r="F3975" s="125" t="n"/>
      <c r="G3975" s="123" t="n"/>
      <c r="H3975" s="123" t="n"/>
      <c r="I3975" s="123" t="n"/>
      <c r="J3975" s="123" t="n"/>
      <c r="K3975" s="123" t="n"/>
      <c r="L3975" s="123" t="n"/>
      <c r="M3975" s="123">
        <f>IF(AND(B3975&lt;&gt;"",OR($C$4="",ISNUMBER(SEARCH($C$4,C3975&amp;" "&amp;E3975&amp;" "&amp;G3975&amp;" "&amp;H3975&amp;" "&amp;I3975&amp;" "&amp;J3975&amp;" "&amp;K3975&amp;" "&amp;L3975))),OR($C$5="Semua",$C$5="",G3975=$C$5),OR($C$6="Semua",$C$6="",H3975=$C$6,H3975="Pengeluaran "&amp;$C$6,AND($C$6="Uang Kos Mama",H3975="Pengeluaran Uang Kos")),OR($C$7="Semua",$C$7="",I3975=$C$7),OR($C$8="Semua",$C$8="",C3975=$C$8,E3975=$C$8),OR($C$9="Semua",$C$9="",D3975=$C$9),OR($C$10="",B3975&gt;=$C$10),OR($C$11="",B3975&lt;=$C$11),OR($C$12&lt;&gt;"Ya",K3975&lt;&gt;""),OR($C$13="Semua",$C$13="",L3975=$C$13)),"✓","")</f>
        <v/>
      </c>
      <c r="N3975" s="93">
        <f>N(N3974)+IF(M3975="✓",1,0)</f>
        <v/>
      </c>
      <c r="O3975" s="93">
        <f>N(O3974)+IF(AND(B3975&lt;&gt;"",B3975&gt;='Uang Riba'!$H$30,B3975&lt;='Uang Riba'!$I$30,OR(H3975="Dana riba",H3975="Pinjam uang riba",I3975="Pinjam dari uang riba",I3975="Ganti uang riba",I3975="Kelebihan ganti dikembalikan",AND(C3975="Kantong Uang Riba",G3975="Pengeluaran"))),1,0)</f>
        <v/>
      </c>
      <c r="X3975" s="93">
        <f>IF(AND(B3975&lt;&gt;"",B3975&gt;='Buku Akun'!$H$4,B3975&lt;='Buku Akun'!$H$5,OR(C3975='Buku Akun'!$C$4,AND(D3975="Pindah",E3975='Buku Akun'!$C$4))),B3975+IF(AND(I3975="Selisih bunga",DAY(B3975)=1),0,0.01)+ROW()/10000000,"")</f>
        <v/>
      </c>
    </row>
    <row r="3976" outlineLevel="1" ht="15" customHeight="1" s="94">
      <c r="A3976" s="123">
        <f>IF(B3976="","",ROW()-15)</f>
        <v/>
      </c>
      <c r="B3976" s="124" t="n"/>
      <c r="C3976" s="123" t="n"/>
      <c r="D3976" s="123" t="n"/>
      <c r="E3976" s="123" t="n"/>
      <c r="F3976" s="125" t="n"/>
      <c r="G3976" s="123" t="n"/>
      <c r="H3976" s="123" t="n"/>
      <c r="I3976" s="123" t="n"/>
      <c r="J3976" s="123" t="n"/>
      <c r="K3976" s="123" t="n"/>
      <c r="L3976" s="123" t="n"/>
      <c r="M3976" s="123">
        <f>IF(AND(B3976&lt;&gt;"",OR($C$4="",ISNUMBER(SEARCH($C$4,C3976&amp;" "&amp;E3976&amp;" "&amp;G3976&amp;" "&amp;H3976&amp;" "&amp;I3976&amp;" "&amp;J3976&amp;" "&amp;K3976&amp;" "&amp;L3976))),OR($C$5="Semua",$C$5="",G3976=$C$5),OR($C$6="Semua",$C$6="",H3976=$C$6,H3976="Pengeluaran "&amp;$C$6,AND($C$6="Uang Kos Mama",H3976="Pengeluaran Uang Kos")),OR($C$7="Semua",$C$7="",I3976=$C$7),OR($C$8="Semua",$C$8="",C3976=$C$8,E3976=$C$8),OR($C$9="Semua",$C$9="",D3976=$C$9),OR($C$10="",B3976&gt;=$C$10),OR($C$11="",B3976&lt;=$C$11),OR($C$12&lt;&gt;"Ya",K3976&lt;&gt;""),OR($C$13="Semua",$C$13="",L3976=$C$13)),"✓","")</f>
        <v/>
      </c>
      <c r="N3976" s="93">
        <f>N(N3975)+IF(M3976="✓",1,0)</f>
        <v/>
      </c>
      <c r="O3976" s="93">
        <f>N(O3975)+IF(AND(B3976&lt;&gt;"",B3976&gt;='Uang Riba'!$H$30,B3976&lt;='Uang Riba'!$I$30,OR(H3976="Dana riba",H3976="Pinjam uang riba",I3976="Pinjam dari uang riba",I3976="Ganti uang riba",I3976="Kelebihan ganti dikembalikan",AND(C3976="Kantong Uang Riba",G3976="Pengeluaran"))),1,0)</f>
        <v/>
      </c>
      <c r="X3976" s="93">
        <f>IF(AND(B3976&lt;&gt;"",B3976&gt;='Buku Akun'!$H$4,B3976&lt;='Buku Akun'!$H$5,OR(C3976='Buku Akun'!$C$4,AND(D3976="Pindah",E3976='Buku Akun'!$C$4))),B3976+IF(AND(I3976="Selisih bunga",DAY(B3976)=1),0,0.01)+ROW()/10000000,"")</f>
        <v/>
      </c>
    </row>
    <row r="3977" outlineLevel="1" ht="15" customHeight="1" s="94">
      <c r="A3977" s="123">
        <f>IF(B3977="","",ROW()-15)</f>
        <v/>
      </c>
      <c r="B3977" s="124" t="n"/>
      <c r="C3977" s="123" t="n"/>
      <c r="D3977" s="123" t="n"/>
      <c r="E3977" s="123" t="n"/>
      <c r="F3977" s="125" t="n"/>
      <c r="G3977" s="123" t="n"/>
      <c r="H3977" s="123" t="n"/>
      <c r="I3977" s="123" t="n"/>
      <c r="J3977" s="123" t="n"/>
      <c r="K3977" s="123" t="n"/>
      <c r="L3977" s="123" t="n"/>
      <c r="M3977" s="123">
        <f>IF(AND(B3977&lt;&gt;"",OR($C$4="",ISNUMBER(SEARCH($C$4,C3977&amp;" "&amp;E3977&amp;" "&amp;G3977&amp;" "&amp;H3977&amp;" "&amp;I3977&amp;" "&amp;J3977&amp;" "&amp;K3977&amp;" "&amp;L3977))),OR($C$5="Semua",$C$5="",G3977=$C$5),OR($C$6="Semua",$C$6="",H3977=$C$6,H3977="Pengeluaran "&amp;$C$6,AND($C$6="Uang Kos Mama",H3977="Pengeluaran Uang Kos")),OR($C$7="Semua",$C$7="",I3977=$C$7),OR($C$8="Semua",$C$8="",C3977=$C$8,E3977=$C$8),OR($C$9="Semua",$C$9="",D3977=$C$9),OR($C$10="",B3977&gt;=$C$10),OR($C$11="",B3977&lt;=$C$11),OR($C$12&lt;&gt;"Ya",K3977&lt;&gt;""),OR($C$13="Semua",$C$13="",L3977=$C$13)),"✓","")</f>
        <v/>
      </c>
      <c r="N3977" s="93">
        <f>N(N3976)+IF(M3977="✓",1,0)</f>
        <v/>
      </c>
      <c r="O3977" s="93">
        <f>N(O3976)+IF(AND(B3977&lt;&gt;"",B3977&gt;='Uang Riba'!$H$30,B3977&lt;='Uang Riba'!$I$30,OR(H3977="Dana riba",H3977="Pinjam uang riba",I3977="Pinjam dari uang riba",I3977="Ganti uang riba",I3977="Kelebihan ganti dikembalikan",AND(C3977="Kantong Uang Riba",G3977="Pengeluaran"))),1,0)</f>
        <v/>
      </c>
      <c r="X3977" s="93">
        <f>IF(AND(B3977&lt;&gt;"",B3977&gt;='Buku Akun'!$H$4,B3977&lt;='Buku Akun'!$H$5,OR(C3977='Buku Akun'!$C$4,AND(D3977="Pindah",E3977='Buku Akun'!$C$4))),B3977+IF(AND(I3977="Selisih bunga",DAY(B3977)=1),0,0.01)+ROW()/10000000,"")</f>
        <v/>
      </c>
    </row>
    <row r="3978" outlineLevel="1" ht="15" customHeight="1" s="94">
      <c r="A3978" s="123">
        <f>IF(B3978="","",ROW()-15)</f>
        <v/>
      </c>
      <c r="B3978" s="124" t="n"/>
      <c r="C3978" s="123" t="n"/>
      <c r="D3978" s="123" t="n"/>
      <c r="E3978" s="123" t="n"/>
      <c r="F3978" s="125" t="n"/>
      <c r="G3978" s="123" t="n"/>
      <c r="H3978" s="123" t="n"/>
      <c r="I3978" s="123" t="n"/>
      <c r="J3978" s="123" t="n"/>
      <c r="K3978" s="123" t="n"/>
      <c r="L3978" s="123" t="n"/>
      <c r="M3978" s="123">
        <f>IF(AND(B3978&lt;&gt;"",OR($C$4="",ISNUMBER(SEARCH($C$4,C3978&amp;" "&amp;E3978&amp;" "&amp;G3978&amp;" "&amp;H3978&amp;" "&amp;I3978&amp;" "&amp;J3978&amp;" "&amp;K3978&amp;" "&amp;L3978))),OR($C$5="Semua",$C$5="",G3978=$C$5),OR($C$6="Semua",$C$6="",H3978=$C$6,H3978="Pengeluaran "&amp;$C$6,AND($C$6="Uang Kos Mama",H3978="Pengeluaran Uang Kos")),OR($C$7="Semua",$C$7="",I3978=$C$7),OR($C$8="Semua",$C$8="",C3978=$C$8,E3978=$C$8),OR($C$9="Semua",$C$9="",D3978=$C$9),OR($C$10="",B3978&gt;=$C$10),OR($C$11="",B3978&lt;=$C$11),OR($C$12&lt;&gt;"Ya",K3978&lt;&gt;""),OR($C$13="Semua",$C$13="",L3978=$C$13)),"✓","")</f>
        <v/>
      </c>
      <c r="N3978" s="93">
        <f>N(N3977)+IF(M3978="✓",1,0)</f>
        <v/>
      </c>
      <c r="O3978" s="93">
        <f>N(O3977)+IF(AND(B3978&lt;&gt;"",B3978&gt;='Uang Riba'!$H$30,B3978&lt;='Uang Riba'!$I$30,OR(H3978="Dana riba",H3978="Pinjam uang riba",I3978="Pinjam dari uang riba",I3978="Ganti uang riba",I3978="Kelebihan ganti dikembalikan",AND(C3978="Kantong Uang Riba",G3978="Pengeluaran"))),1,0)</f>
        <v/>
      </c>
      <c r="X3978" s="93">
        <f>IF(AND(B3978&lt;&gt;"",B3978&gt;='Buku Akun'!$H$4,B3978&lt;='Buku Akun'!$H$5,OR(C3978='Buku Akun'!$C$4,AND(D3978="Pindah",E3978='Buku Akun'!$C$4))),B3978+IF(AND(I3978="Selisih bunga",DAY(B3978)=1),0,0.01)+ROW()/10000000,"")</f>
        <v/>
      </c>
    </row>
    <row r="3979" outlineLevel="1" ht="15" customHeight="1" s="94">
      <c r="A3979" s="123">
        <f>IF(B3979="","",ROW()-15)</f>
        <v/>
      </c>
      <c r="B3979" s="124" t="n"/>
      <c r="C3979" s="123" t="n"/>
      <c r="D3979" s="123" t="n"/>
      <c r="E3979" s="123" t="n"/>
      <c r="F3979" s="125" t="n"/>
      <c r="G3979" s="123" t="n"/>
      <c r="H3979" s="123" t="n"/>
      <c r="I3979" s="123" t="n"/>
      <c r="J3979" s="123" t="n"/>
      <c r="K3979" s="123" t="n"/>
      <c r="L3979" s="123" t="n"/>
      <c r="M3979" s="123">
        <f>IF(AND(B3979&lt;&gt;"",OR($C$4="",ISNUMBER(SEARCH($C$4,C3979&amp;" "&amp;E3979&amp;" "&amp;G3979&amp;" "&amp;H3979&amp;" "&amp;I3979&amp;" "&amp;J3979&amp;" "&amp;K3979&amp;" "&amp;L3979))),OR($C$5="Semua",$C$5="",G3979=$C$5),OR($C$6="Semua",$C$6="",H3979=$C$6,H3979="Pengeluaran "&amp;$C$6,AND($C$6="Uang Kos Mama",H3979="Pengeluaran Uang Kos")),OR($C$7="Semua",$C$7="",I3979=$C$7),OR($C$8="Semua",$C$8="",C3979=$C$8,E3979=$C$8),OR($C$9="Semua",$C$9="",D3979=$C$9),OR($C$10="",B3979&gt;=$C$10),OR($C$11="",B3979&lt;=$C$11),OR($C$12&lt;&gt;"Ya",K3979&lt;&gt;""),OR($C$13="Semua",$C$13="",L3979=$C$13)),"✓","")</f>
        <v/>
      </c>
      <c r="N3979" s="93">
        <f>N(N3978)+IF(M3979="✓",1,0)</f>
        <v/>
      </c>
      <c r="O3979" s="93">
        <f>N(O3978)+IF(AND(B3979&lt;&gt;"",B3979&gt;='Uang Riba'!$H$30,B3979&lt;='Uang Riba'!$I$30,OR(H3979="Dana riba",H3979="Pinjam uang riba",I3979="Pinjam dari uang riba",I3979="Ganti uang riba",I3979="Kelebihan ganti dikembalikan",AND(C3979="Kantong Uang Riba",G3979="Pengeluaran"))),1,0)</f>
        <v/>
      </c>
      <c r="X3979" s="93">
        <f>IF(AND(B3979&lt;&gt;"",B3979&gt;='Buku Akun'!$H$4,B3979&lt;='Buku Akun'!$H$5,OR(C3979='Buku Akun'!$C$4,AND(D3979="Pindah",E3979='Buku Akun'!$C$4))),B3979+IF(AND(I3979="Selisih bunga",DAY(B3979)=1),0,0.01)+ROW()/10000000,"")</f>
        <v/>
      </c>
    </row>
    <row r="3980" outlineLevel="1" ht="15" customHeight="1" s="94">
      <c r="A3980" s="123">
        <f>IF(B3980="","",ROW()-15)</f>
        <v/>
      </c>
      <c r="B3980" s="124" t="n"/>
      <c r="C3980" s="123" t="n"/>
      <c r="D3980" s="123" t="n"/>
      <c r="E3980" s="123" t="n"/>
      <c r="F3980" s="125" t="n"/>
      <c r="G3980" s="123" t="n"/>
      <c r="H3980" s="123" t="n"/>
      <c r="I3980" s="123" t="n"/>
      <c r="J3980" s="123" t="n"/>
      <c r="K3980" s="123" t="n"/>
      <c r="L3980" s="123" t="n"/>
      <c r="M3980" s="123">
        <f>IF(AND(B3980&lt;&gt;"",OR($C$4="",ISNUMBER(SEARCH($C$4,C3980&amp;" "&amp;E3980&amp;" "&amp;G3980&amp;" "&amp;H3980&amp;" "&amp;I3980&amp;" "&amp;J3980&amp;" "&amp;K3980&amp;" "&amp;L3980))),OR($C$5="Semua",$C$5="",G3980=$C$5),OR($C$6="Semua",$C$6="",H3980=$C$6,H3980="Pengeluaran "&amp;$C$6,AND($C$6="Uang Kos Mama",H3980="Pengeluaran Uang Kos")),OR($C$7="Semua",$C$7="",I3980=$C$7),OR($C$8="Semua",$C$8="",C3980=$C$8,E3980=$C$8),OR($C$9="Semua",$C$9="",D3980=$C$9),OR($C$10="",B3980&gt;=$C$10),OR($C$11="",B3980&lt;=$C$11),OR($C$12&lt;&gt;"Ya",K3980&lt;&gt;""),OR($C$13="Semua",$C$13="",L3980=$C$13)),"✓","")</f>
        <v/>
      </c>
      <c r="N3980" s="93">
        <f>N(N3979)+IF(M3980="✓",1,0)</f>
        <v/>
      </c>
      <c r="O3980" s="93">
        <f>N(O3979)+IF(AND(B3980&lt;&gt;"",B3980&gt;='Uang Riba'!$H$30,B3980&lt;='Uang Riba'!$I$30,OR(H3980="Dana riba",H3980="Pinjam uang riba",I3980="Pinjam dari uang riba",I3980="Ganti uang riba",I3980="Kelebihan ganti dikembalikan",AND(C3980="Kantong Uang Riba",G3980="Pengeluaran"))),1,0)</f>
        <v/>
      </c>
      <c r="X3980" s="93">
        <f>IF(AND(B3980&lt;&gt;"",B3980&gt;='Buku Akun'!$H$4,B3980&lt;='Buku Akun'!$H$5,OR(C3980='Buku Akun'!$C$4,AND(D3980="Pindah",E3980='Buku Akun'!$C$4))),B3980+IF(AND(I3980="Selisih bunga",DAY(B3980)=1),0,0.01)+ROW()/10000000,"")</f>
        <v/>
      </c>
    </row>
    <row r="3981" outlineLevel="1" ht="15" customHeight="1" s="94">
      <c r="A3981" s="123">
        <f>IF(B3981="","",ROW()-15)</f>
        <v/>
      </c>
      <c r="B3981" s="124" t="n"/>
      <c r="C3981" s="123" t="n"/>
      <c r="D3981" s="123" t="n"/>
      <c r="E3981" s="123" t="n"/>
      <c r="F3981" s="125" t="n"/>
      <c r="G3981" s="123" t="n"/>
      <c r="H3981" s="123" t="n"/>
      <c r="I3981" s="123" t="n"/>
      <c r="J3981" s="123" t="n"/>
      <c r="K3981" s="123" t="n"/>
      <c r="L3981" s="123" t="n"/>
      <c r="M3981" s="123">
        <f>IF(AND(B3981&lt;&gt;"",OR($C$4="",ISNUMBER(SEARCH($C$4,C3981&amp;" "&amp;E3981&amp;" "&amp;G3981&amp;" "&amp;H3981&amp;" "&amp;I3981&amp;" "&amp;J3981&amp;" "&amp;K3981&amp;" "&amp;L3981))),OR($C$5="Semua",$C$5="",G3981=$C$5),OR($C$6="Semua",$C$6="",H3981=$C$6,H3981="Pengeluaran "&amp;$C$6,AND($C$6="Uang Kos Mama",H3981="Pengeluaran Uang Kos")),OR($C$7="Semua",$C$7="",I3981=$C$7),OR($C$8="Semua",$C$8="",C3981=$C$8,E3981=$C$8),OR($C$9="Semua",$C$9="",D3981=$C$9),OR($C$10="",B3981&gt;=$C$10),OR($C$11="",B3981&lt;=$C$11),OR($C$12&lt;&gt;"Ya",K3981&lt;&gt;""),OR($C$13="Semua",$C$13="",L3981=$C$13)),"✓","")</f>
        <v/>
      </c>
      <c r="N3981" s="93">
        <f>N(N3980)+IF(M3981="✓",1,0)</f>
        <v/>
      </c>
      <c r="O3981" s="93">
        <f>N(O3980)+IF(AND(B3981&lt;&gt;"",B3981&gt;='Uang Riba'!$H$30,B3981&lt;='Uang Riba'!$I$30,OR(H3981="Dana riba",H3981="Pinjam uang riba",I3981="Pinjam dari uang riba",I3981="Ganti uang riba",I3981="Kelebihan ganti dikembalikan",AND(C3981="Kantong Uang Riba",G3981="Pengeluaran"))),1,0)</f>
        <v/>
      </c>
      <c r="X3981" s="93">
        <f>IF(AND(B3981&lt;&gt;"",B3981&gt;='Buku Akun'!$H$4,B3981&lt;='Buku Akun'!$H$5,OR(C3981='Buku Akun'!$C$4,AND(D3981="Pindah",E3981='Buku Akun'!$C$4))),B3981+IF(AND(I3981="Selisih bunga",DAY(B3981)=1),0,0.01)+ROW()/10000000,"")</f>
        <v/>
      </c>
    </row>
    <row r="3982" outlineLevel="1" ht="15" customHeight="1" s="94">
      <c r="A3982" s="123">
        <f>IF(B3982="","",ROW()-15)</f>
        <v/>
      </c>
      <c r="B3982" s="124" t="n"/>
      <c r="C3982" s="123" t="n"/>
      <c r="D3982" s="123" t="n"/>
      <c r="E3982" s="123" t="n"/>
      <c r="F3982" s="125" t="n"/>
      <c r="G3982" s="123" t="n"/>
      <c r="H3982" s="123" t="n"/>
      <c r="I3982" s="123" t="n"/>
      <c r="J3982" s="123" t="n"/>
      <c r="K3982" s="123" t="n"/>
      <c r="L3982" s="123" t="n"/>
      <c r="M3982" s="123">
        <f>IF(AND(B3982&lt;&gt;"",OR($C$4="",ISNUMBER(SEARCH($C$4,C3982&amp;" "&amp;E3982&amp;" "&amp;G3982&amp;" "&amp;H3982&amp;" "&amp;I3982&amp;" "&amp;J3982&amp;" "&amp;K3982&amp;" "&amp;L3982))),OR($C$5="Semua",$C$5="",G3982=$C$5),OR($C$6="Semua",$C$6="",H3982=$C$6,H3982="Pengeluaran "&amp;$C$6,AND($C$6="Uang Kos Mama",H3982="Pengeluaran Uang Kos")),OR($C$7="Semua",$C$7="",I3982=$C$7),OR($C$8="Semua",$C$8="",C3982=$C$8,E3982=$C$8),OR($C$9="Semua",$C$9="",D3982=$C$9),OR($C$10="",B3982&gt;=$C$10),OR($C$11="",B3982&lt;=$C$11),OR($C$12&lt;&gt;"Ya",K3982&lt;&gt;""),OR($C$13="Semua",$C$13="",L3982=$C$13)),"✓","")</f>
        <v/>
      </c>
      <c r="N3982" s="93">
        <f>N(N3981)+IF(M3982="✓",1,0)</f>
        <v/>
      </c>
      <c r="O3982" s="93">
        <f>N(O3981)+IF(AND(B3982&lt;&gt;"",B3982&gt;='Uang Riba'!$H$30,B3982&lt;='Uang Riba'!$I$30,OR(H3982="Dana riba",H3982="Pinjam uang riba",I3982="Pinjam dari uang riba",I3982="Ganti uang riba",I3982="Kelebihan ganti dikembalikan",AND(C3982="Kantong Uang Riba",G3982="Pengeluaran"))),1,0)</f>
        <v/>
      </c>
      <c r="X3982" s="93">
        <f>IF(AND(B3982&lt;&gt;"",B3982&gt;='Buku Akun'!$H$4,B3982&lt;='Buku Akun'!$H$5,OR(C3982='Buku Akun'!$C$4,AND(D3982="Pindah",E3982='Buku Akun'!$C$4))),B3982+IF(AND(I3982="Selisih bunga",DAY(B3982)=1),0,0.01)+ROW()/10000000,"")</f>
        <v/>
      </c>
    </row>
    <row r="3983" outlineLevel="1" ht="15" customHeight="1" s="94">
      <c r="A3983" s="123">
        <f>IF(B3983="","",ROW()-15)</f>
        <v/>
      </c>
      <c r="B3983" s="124" t="n"/>
      <c r="C3983" s="123" t="n"/>
      <c r="D3983" s="123" t="n"/>
      <c r="E3983" s="123" t="n"/>
      <c r="F3983" s="125" t="n"/>
      <c r="G3983" s="123" t="n"/>
      <c r="H3983" s="123" t="n"/>
      <c r="I3983" s="123" t="n"/>
      <c r="J3983" s="123" t="n"/>
      <c r="K3983" s="123" t="n"/>
      <c r="L3983" s="123" t="n"/>
      <c r="M3983" s="123">
        <f>IF(AND(B3983&lt;&gt;"",OR($C$4="",ISNUMBER(SEARCH($C$4,C3983&amp;" "&amp;E3983&amp;" "&amp;G3983&amp;" "&amp;H3983&amp;" "&amp;I3983&amp;" "&amp;J3983&amp;" "&amp;K3983&amp;" "&amp;L3983))),OR($C$5="Semua",$C$5="",G3983=$C$5),OR($C$6="Semua",$C$6="",H3983=$C$6,H3983="Pengeluaran "&amp;$C$6,AND($C$6="Uang Kos Mama",H3983="Pengeluaran Uang Kos")),OR($C$7="Semua",$C$7="",I3983=$C$7),OR($C$8="Semua",$C$8="",C3983=$C$8,E3983=$C$8),OR($C$9="Semua",$C$9="",D3983=$C$9),OR($C$10="",B3983&gt;=$C$10),OR($C$11="",B3983&lt;=$C$11),OR($C$12&lt;&gt;"Ya",K3983&lt;&gt;""),OR($C$13="Semua",$C$13="",L3983=$C$13)),"✓","")</f>
        <v/>
      </c>
      <c r="N3983" s="93">
        <f>N(N3982)+IF(M3983="✓",1,0)</f>
        <v/>
      </c>
      <c r="O3983" s="93">
        <f>N(O3982)+IF(AND(B3983&lt;&gt;"",B3983&gt;='Uang Riba'!$H$30,B3983&lt;='Uang Riba'!$I$30,OR(H3983="Dana riba",H3983="Pinjam uang riba",I3983="Pinjam dari uang riba",I3983="Ganti uang riba",I3983="Kelebihan ganti dikembalikan",AND(C3983="Kantong Uang Riba",G3983="Pengeluaran"))),1,0)</f>
        <v/>
      </c>
      <c r="X3983" s="93">
        <f>IF(AND(B3983&lt;&gt;"",B3983&gt;='Buku Akun'!$H$4,B3983&lt;='Buku Akun'!$H$5,OR(C3983='Buku Akun'!$C$4,AND(D3983="Pindah",E3983='Buku Akun'!$C$4))),B3983+IF(AND(I3983="Selisih bunga",DAY(B3983)=1),0,0.01)+ROW()/10000000,"")</f>
        <v/>
      </c>
    </row>
    <row r="3984" outlineLevel="1" ht="15" customHeight="1" s="94">
      <c r="A3984" s="123">
        <f>IF(B3984="","",ROW()-15)</f>
        <v/>
      </c>
      <c r="B3984" s="124" t="n"/>
      <c r="C3984" s="123" t="n"/>
      <c r="D3984" s="123" t="n"/>
      <c r="E3984" s="123" t="n"/>
      <c r="F3984" s="125" t="n"/>
      <c r="G3984" s="123" t="n"/>
      <c r="H3984" s="123" t="n"/>
      <c r="I3984" s="123" t="n"/>
      <c r="J3984" s="123" t="n"/>
      <c r="K3984" s="123" t="n"/>
      <c r="L3984" s="123" t="n"/>
      <c r="M3984" s="123">
        <f>IF(AND(B3984&lt;&gt;"",OR($C$4="",ISNUMBER(SEARCH($C$4,C3984&amp;" "&amp;E3984&amp;" "&amp;G3984&amp;" "&amp;H3984&amp;" "&amp;I3984&amp;" "&amp;J3984&amp;" "&amp;K3984&amp;" "&amp;L3984))),OR($C$5="Semua",$C$5="",G3984=$C$5),OR($C$6="Semua",$C$6="",H3984=$C$6,H3984="Pengeluaran "&amp;$C$6,AND($C$6="Uang Kos Mama",H3984="Pengeluaran Uang Kos")),OR($C$7="Semua",$C$7="",I3984=$C$7),OR($C$8="Semua",$C$8="",C3984=$C$8,E3984=$C$8),OR($C$9="Semua",$C$9="",D3984=$C$9),OR($C$10="",B3984&gt;=$C$10),OR($C$11="",B3984&lt;=$C$11),OR($C$12&lt;&gt;"Ya",K3984&lt;&gt;""),OR($C$13="Semua",$C$13="",L3984=$C$13)),"✓","")</f>
        <v/>
      </c>
      <c r="N3984" s="93">
        <f>N(N3983)+IF(M3984="✓",1,0)</f>
        <v/>
      </c>
      <c r="O3984" s="93">
        <f>N(O3983)+IF(AND(B3984&lt;&gt;"",B3984&gt;='Uang Riba'!$H$30,B3984&lt;='Uang Riba'!$I$30,OR(H3984="Dana riba",H3984="Pinjam uang riba",I3984="Pinjam dari uang riba",I3984="Ganti uang riba",I3984="Kelebihan ganti dikembalikan",AND(C3984="Kantong Uang Riba",G3984="Pengeluaran"))),1,0)</f>
        <v/>
      </c>
      <c r="X3984" s="93">
        <f>IF(AND(B3984&lt;&gt;"",B3984&gt;='Buku Akun'!$H$4,B3984&lt;='Buku Akun'!$H$5,OR(C3984='Buku Akun'!$C$4,AND(D3984="Pindah",E3984='Buku Akun'!$C$4))),B3984+IF(AND(I3984="Selisih bunga",DAY(B3984)=1),0,0.01)+ROW()/10000000,"")</f>
        <v/>
      </c>
    </row>
    <row r="3985" outlineLevel="1" ht="15" customHeight="1" s="94">
      <c r="A3985" s="123">
        <f>IF(B3985="","",ROW()-15)</f>
        <v/>
      </c>
      <c r="B3985" s="124" t="n"/>
      <c r="C3985" s="123" t="n"/>
      <c r="D3985" s="123" t="n"/>
      <c r="E3985" s="123" t="n"/>
      <c r="F3985" s="125" t="n"/>
      <c r="G3985" s="123" t="n"/>
      <c r="H3985" s="123" t="n"/>
      <c r="I3985" s="123" t="n"/>
      <c r="J3985" s="123" t="n"/>
      <c r="K3985" s="123" t="n"/>
      <c r="L3985" s="123" t="n"/>
      <c r="M3985" s="123">
        <f>IF(AND(B3985&lt;&gt;"",OR($C$4="",ISNUMBER(SEARCH($C$4,C3985&amp;" "&amp;E3985&amp;" "&amp;G3985&amp;" "&amp;H3985&amp;" "&amp;I3985&amp;" "&amp;J3985&amp;" "&amp;K3985&amp;" "&amp;L3985))),OR($C$5="Semua",$C$5="",G3985=$C$5),OR($C$6="Semua",$C$6="",H3985=$C$6,H3985="Pengeluaran "&amp;$C$6,AND($C$6="Uang Kos Mama",H3985="Pengeluaran Uang Kos")),OR($C$7="Semua",$C$7="",I3985=$C$7),OR($C$8="Semua",$C$8="",C3985=$C$8,E3985=$C$8),OR($C$9="Semua",$C$9="",D3985=$C$9),OR($C$10="",B3985&gt;=$C$10),OR($C$11="",B3985&lt;=$C$11),OR($C$12&lt;&gt;"Ya",K3985&lt;&gt;""),OR($C$13="Semua",$C$13="",L3985=$C$13)),"✓","")</f>
        <v/>
      </c>
      <c r="N3985" s="93">
        <f>N(N3984)+IF(M3985="✓",1,0)</f>
        <v/>
      </c>
      <c r="O3985" s="93">
        <f>N(O3984)+IF(AND(B3985&lt;&gt;"",B3985&gt;='Uang Riba'!$H$30,B3985&lt;='Uang Riba'!$I$30,OR(H3985="Dana riba",H3985="Pinjam uang riba",I3985="Pinjam dari uang riba",I3985="Ganti uang riba",I3985="Kelebihan ganti dikembalikan",AND(C3985="Kantong Uang Riba",G3985="Pengeluaran"))),1,0)</f>
        <v/>
      </c>
      <c r="X3985" s="93">
        <f>IF(AND(B3985&lt;&gt;"",B3985&gt;='Buku Akun'!$H$4,B3985&lt;='Buku Akun'!$H$5,OR(C3985='Buku Akun'!$C$4,AND(D3985="Pindah",E3985='Buku Akun'!$C$4))),B3985+IF(AND(I3985="Selisih bunga",DAY(B3985)=1),0,0.01)+ROW()/10000000,"")</f>
        <v/>
      </c>
    </row>
    <row r="3986" outlineLevel="1" ht="15" customHeight="1" s="94">
      <c r="A3986" s="123">
        <f>IF(B3986="","",ROW()-15)</f>
        <v/>
      </c>
      <c r="B3986" s="124" t="n"/>
      <c r="C3986" s="123" t="n"/>
      <c r="D3986" s="123" t="n"/>
      <c r="E3986" s="123" t="n"/>
      <c r="F3986" s="125" t="n"/>
      <c r="G3986" s="123" t="n"/>
      <c r="H3986" s="123" t="n"/>
      <c r="I3986" s="123" t="n"/>
      <c r="J3986" s="123" t="n"/>
      <c r="K3986" s="123" t="n"/>
      <c r="L3986" s="123" t="n"/>
      <c r="M3986" s="123">
        <f>IF(AND(B3986&lt;&gt;"",OR($C$4="",ISNUMBER(SEARCH($C$4,C3986&amp;" "&amp;E3986&amp;" "&amp;G3986&amp;" "&amp;H3986&amp;" "&amp;I3986&amp;" "&amp;J3986&amp;" "&amp;K3986&amp;" "&amp;L3986))),OR($C$5="Semua",$C$5="",G3986=$C$5),OR($C$6="Semua",$C$6="",H3986=$C$6,H3986="Pengeluaran "&amp;$C$6,AND($C$6="Uang Kos Mama",H3986="Pengeluaran Uang Kos")),OR($C$7="Semua",$C$7="",I3986=$C$7),OR($C$8="Semua",$C$8="",C3986=$C$8,E3986=$C$8),OR($C$9="Semua",$C$9="",D3986=$C$9),OR($C$10="",B3986&gt;=$C$10),OR($C$11="",B3986&lt;=$C$11),OR($C$12&lt;&gt;"Ya",K3986&lt;&gt;""),OR($C$13="Semua",$C$13="",L3986=$C$13)),"✓","")</f>
        <v/>
      </c>
      <c r="N3986" s="93">
        <f>N(N3985)+IF(M3986="✓",1,0)</f>
        <v/>
      </c>
      <c r="O3986" s="93">
        <f>N(O3985)+IF(AND(B3986&lt;&gt;"",B3986&gt;='Uang Riba'!$H$30,B3986&lt;='Uang Riba'!$I$30,OR(H3986="Dana riba",H3986="Pinjam uang riba",I3986="Pinjam dari uang riba",I3986="Ganti uang riba",I3986="Kelebihan ganti dikembalikan",AND(C3986="Kantong Uang Riba",G3986="Pengeluaran"))),1,0)</f>
        <v/>
      </c>
      <c r="X3986" s="93">
        <f>IF(AND(B3986&lt;&gt;"",B3986&gt;='Buku Akun'!$H$4,B3986&lt;='Buku Akun'!$H$5,OR(C3986='Buku Akun'!$C$4,AND(D3986="Pindah",E3986='Buku Akun'!$C$4))),B3986+IF(AND(I3986="Selisih bunga",DAY(B3986)=1),0,0.01)+ROW()/10000000,"")</f>
        <v/>
      </c>
    </row>
    <row r="3987" outlineLevel="1" ht="15" customHeight="1" s="94">
      <c r="A3987" s="123">
        <f>IF(B3987="","",ROW()-15)</f>
        <v/>
      </c>
      <c r="B3987" s="124" t="n"/>
      <c r="C3987" s="123" t="n"/>
      <c r="D3987" s="123" t="n"/>
      <c r="E3987" s="123" t="n"/>
      <c r="F3987" s="125" t="n"/>
      <c r="G3987" s="123" t="n"/>
      <c r="H3987" s="123" t="n"/>
      <c r="I3987" s="123" t="n"/>
      <c r="J3987" s="123" t="n"/>
      <c r="K3987" s="123" t="n"/>
      <c r="L3987" s="123" t="n"/>
      <c r="M3987" s="123">
        <f>IF(AND(B3987&lt;&gt;"",OR($C$4="",ISNUMBER(SEARCH($C$4,C3987&amp;" "&amp;E3987&amp;" "&amp;G3987&amp;" "&amp;H3987&amp;" "&amp;I3987&amp;" "&amp;J3987&amp;" "&amp;K3987&amp;" "&amp;L3987))),OR($C$5="Semua",$C$5="",G3987=$C$5),OR($C$6="Semua",$C$6="",H3987=$C$6,H3987="Pengeluaran "&amp;$C$6,AND($C$6="Uang Kos Mama",H3987="Pengeluaran Uang Kos")),OR($C$7="Semua",$C$7="",I3987=$C$7),OR($C$8="Semua",$C$8="",C3987=$C$8,E3987=$C$8),OR($C$9="Semua",$C$9="",D3987=$C$9),OR($C$10="",B3987&gt;=$C$10),OR($C$11="",B3987&lt;=$C$11),OR($C$12&lt;&gt;"Ya",K3987&lt;&gt;""),OR($C$13="Semua",$C$13="",L3987=$C$13)),"✓","")</f>
        <v/>
      </c>
      <c r="N3987" s="93">
        <f>N(N3986)+IF(M3987="✓",1,0)</f>
        <v/>
      </c>
      <c r="O3987" s="93">
        <f>N(O3986)+IF(AND(B3987&lt;&gt;"",B3987&gt;='Uang Riba'!$H$30,B3987&lt;='Uang Riba'!$I$30,OR(H3987="Dana riba",H3987="Pinjam uang riba",I3987="Pinjam dari uang riba",I3987="Ganti uang riba",I3987="Kelebihan ganti dikembalikan",AND(C3987="Kantong Uang Riba",G3987="Pengeluaran"))),1,0)</f>
        <v/>
      </c>
      <c r="X3987" s="93">
        <f>IF(AND(B3987&lt;&gt;"",B3987&gt;='Buku Akun'!$H$4,B3987&lt;='Buku Akun'!$H$5,OR(C3987='Buku Akun'!$C$4,AND(D3987="Pindah",E3987='Buku Akun'!$C$4))),B3987+IF(AND(I3987="Selisih bunga",DAY(B3987)=1),0,0.01)+ROW()/10000000,"")</f>
        <v/>
      </c>
    </row>
    <row r="3988" outlineLevel="1" ht="15" customHeight="1" s="94">
      <c r="A3988" s="123">
        <f>IF(B3988="","",ROW()-15)</f>
        <v/>
      </c>
      <c r="B3988" s="124" t="n"/>
      <c r="C3988" s="123" t="n"/>
      <c r="D3988" s="123" t="n"/>
      <c r="E3988" s="123" t="n"/>
      <c r="F3988" s="125" t="n"/>
      <c r="G3988" s="123" t="n"/>
      <c r="H3988" s="123" t="n"/>
      <c r="I3988" s="123" t="n"/>
      <c r="J3988" s="123" t="n"/>
      <c r="K3988" s="123" t="n"/>
      <c r="L3988" s="123" t="n"/>
      <c r="M3988" s="123">
        <f>IF(AND(B3988&lt;&gt;"",OR($C$4="",ISNUMBER(SEARCH($C$4,C3988&amp;" "&amp;E3988&amp;" "&amp;G3988&amp;" "&amp;H3988&amp;" "&amp;I3988&amp;" "&amp;J3988&amp;" "&amp;K3988&amp;" "&amp;L3988))),OR($C$5="Semua",$C$5="",G3988=$C$5),OR($C$6="Semua",$C$6="",H3988=$C$6,H3988="Pengeluaran "&amp;$C$6,AND($C$6="Uang Kos Mama",H3988="Pengeluaran Uang Kos")),OR($C$7="Semua",$C$7="",I3988=$C$7),OR($C$8="Semua",$C$8="",C3988=$C$8,E3988=$C$8),OR($C$9="Semua",$C$9="",D3988=$C$9),OR($C$10="",B3988&gt;=$C$10),OR($C$11="",B3988&lt;=$C$11),OR($C$12&lt;&gt;"Ya",K3988&lt;&gt;""),OR($C$13="Semua",$C$13="",L3988=$C$13)),"✓","")</f>
        <v/>
      </c>
      <c r="N3988" s="93">
        <f>N(N3987)+IF(M3988="✓",1,0)</f>
        <v/>
      </c>
      <c r="O3988" s="93">
        <f>N(O3987)+IF(AND(B3988&lt;&gt;"",B3988&gt;='Uang Riba'!$H$30,B3988&lt;='Uang Riba'!$I$30,OR(H3988="Dana riba",H3988="Pinjam uang riba",I3988="Pinjam dari uang riba",I3988="Ganti uang riba",I3988="Kelebihan ganti dikembalikan",AND(C3988="Kantong Uang Riba",G3988="Pengeluaran"))),1,0)</f>
        <v/>
      </c>
      <c r="X3988" s="93">
        <f>IF(AND(B3988&lt;&gt;"",B3988&gt;='Buku Akun'!$H$4,B3988&lt;='Buku Akun'!$H$5,OR(C3988='Buku Akun'!$C$4,AND(D3988="Pindah",E3988='Buku Akun'!$C$4))),B3988+IF(AND(I3988="Selisih bunga",DAY(B3988)=1),0,0.01)+ROW()/10000000,"")</f>
        <v/>
      </c>
    </row>
    <row r="3989" outlineLevel="1" ht="15" customHeight="1" s="94">
      <c r="A3989" s="123">
        <f>IF(B3989="","",ROW()-15)</f>
        <v/>
      </c>
      <c r="B3989" s="124" t="n"/>
      <c r="C3989" s="123" t="n"/>
      <c r="D3989" s="123" t="n"/>
      <c r="E3989" s="123" t="n"/>
      <c r="F3989" s="125" t="n"/>
      <c r="G3989" s="123" t="n"/>
      <c r="H3989" s="123" t="n"/>
      <c r="I3989" s="123" t="n"/>
      <c r="J3989" s="123" t="n"/>
      <c r="K3989" s="123" t="n"/>
      <c r="L3989" s="123" t="n"/>
      <c r="M3989" s="123">
        <f>IF(AND(B3989&lt;&gt;"",OR($C$4="",ISNUMBER(SEARCH($C$4,C3989&amp;" "&amp;E3989&amp;" "&amp;G3989&amp;" "&amp;H3989&amp;" "&amp;I3989&amp;" "&amp;J3989&amp;" "&amp;K3989&amp;" "&amp;L3989))),OR($C$5="Semua",$C$5="",G3989=$C$5),OR($C$6="Semua",$C$6="",H3989=$C$6,H3989="Pengeluaran "&amp;$C$6,AND($C$6="Uang Kos Mama",H3989="Pengeluaran Uang Kos")),OR($C$7="Semua",$C$7="",I3989=$C$7),OR($C$8="Semua",$C$8="",C3989=$C$8,E3989=$C$8),OR($C$9="Semua",$C$9="",D3989=$C$9),OR($C$10="",B3989&gt;=$C$10),OR($C$11="",B3989&lt;=$C$11),OR($C$12&lt;&gt;"Ya",K3989&lt;&gt;""),OR($C$13="Semua",$C$13="",L3989=$C$13)),"✓","")</f>
        <v/>
      </c>
      <c r="N3989" s="93">
        <f>N(N3988)+IF(M3989="✓",1,0)</f>
        <v/>
      </c>
      <c r="O3989" s="93">
        <f>N(O3988)+IF(AND(B3989&lt;&gt;"",B3989&gt;='Uang Riba'!$H$30,B3989&lt;='Uang Riba'!$I$30,OR(H3989="Dana riba",H3989="Pinjam uang riba",I3989="Pinjam dari uang riba",I3989="Ganti uang riba",I3989="Kelebihan ganti dikembalikan",AND(C3989="Kantong Uang Riba",G3989="Pengeluaran"))),1,0)</f>
        <v/>
      </c>
      <c r="X3989" s="93">
        <f>IF(AND(B3989&lt;&gt;"",B3989&gt;='Buku Akun'!$H$4,B3989&lt;='Buku Akun'!$H$5,OR(C3989='Buku Akun'!$C$4,AND(D3989="Pindah",E3989='Buku Akun'!$C$4))),B3989+IF(AND(I3989="Selisih bunga",DAY(B3989)=1),0,0.01)+ROW()/10000000,"")</f>
        <v/>
      </c>
    </row>
    <row r="3990" outlineLevel="1" ht="15" customHeight="1" s="94">
      <c r="A3990" s="123">
        <f>IF(B3990="","",ROW()-15)</f>
        <v/>
      </c>
      <c r="B3990" s="124" t="n"/>
      <c r="C3990" s="123" t="n"/>
      <c r="D3990" s="123" t="n"/>
      <c r="E3990" s="123" t="n"/>
      <c r="F3990" s="125" t="n"/>
      <c r="G3990" s="123" t="n"/>
      <c r="H3990" s="123" t="n"/>
      <c r="I3990" s="123" t="n"/>
      <c r="J3990" s="123" t="n"/>
      <c r="K3990" s="123" t="n"/>
      <c r="L3990" s="123" t="n"/>
      <c r="M3990" s="123">
        <f>IF(AND(B3990&lt;&gt;"",OR($C$4="",ISNUMBER(SEARCH($C$4,C3990&amp;" "&amp;E3990&amp;" "&amp;G3990&amp;" "&amp;H3990&amp;" "&amp;I3990&amp;" "&amp;J3990&amp;" "&amp;K3990&amp;" "&amp;L3990))),OR($C$5="Semua",$C$5="",G3990=$C$5),OR($C$6="Semua",$C$6="",H3990=$C$6,H3990="Pengeluaran "&amp;$C$6,AND($C$6="Uang Kos Mama",H3990="Pengeluaran Uang Kos")),OR($C$7="Semua",$C$7="",I3990=$C$7),OR($C$8="Semua",$C$8="",C3990=$C$8,E3990=$C$8),OR($C$9="Semua",$C$9="",D3990=$C$9),OR($C$10="",B3990&gt;=$C$10),OR($C$11="",B3990&lt;=$C$11),OR($C$12&lt;&gt;"Ya",K3990&lt;&gt;""),OR($C$13="Semua",$C$13="",L3990=$C$13)),"✓","")</f>
        <v/>
      </c>
      <c r="N3990" s="93">
        <f>N(N3989)+IF(M3990="✓",1,0)</f>
        <v/>
      </c>
      <c r="O3990" s="93">
        <f>N(O3989)+IF(AND(B3990&lt;&gt;"",B3990&gt;='Uang Riba'!$H$30,B3990&lt;='Uang Riba'!$I$30,OR(H3990="Dana riba",H3990="Pinjam uang riba",I3990="Pinjam dari uang riba",I3990="Ganti uang riba",I3990="Kelebihan ganti dikembalikan",AND(C3990="Kantong Uang Riba",G3990="Pengeluaran"))),1,0)</f>
        <v/>
      </c>
      <c r="X3990" s="93">
        <f>IF(AND(B3990&lt;&gt;"",B3990&gt;='Buku Akun'!$H$4,B3990&lt;='Buku Akun'!$H$5,OR(C3990='Buku Akun'!$C$4,AND(D3990="Pindah",E3990='Buku Akun'!$C$4))),B3990+IF(AND(I3990="Selisih bunga",DAY(B3990)=1),0,0.01)+ROW()/10000000,"")</f>
        <v/>
      </c>
    </row>
    <row r="3991" outlineLevel="1" ht="15" customHeight="1" s="94">
      <c r="A3991" s="123">
        <f>IF(B3991="","",ROW()-15)</f>
        <v/>
      </c>
      <c r="B3991" s="124" t="n"/>
      <c r="C3991" s="123" t="n"/>
      <c r="D3991" s="123" t="n"/>
      <c r="E3991" s="123" t="n"/>
      <c r="F3991" s="125" t="n"/>
      <c r="G3991" s="123" t="n"/>
      <c r="H3991" s="123" t="n"/>
      <c r="I3991" s="123" t="n"/>
      <c r="J3991" s="123" t="n"/>
      <c r="K3991" s="123" t="n"/>
      <c r="L3991" s="123" t="n"/>
      <c r="M3991" s="123">
        <f>IF(AND(B3991&lt;&gt;"",OR($C$4="",ISNUMBER(SEARCH($C$4,C3991&amp;" "&amp;E3991&amp;" "&amp;G3991&amp;" "&amp;H3991&amp;" "&amp;I3991&amp;" "&amp;J3991&amp;" "&amp;K3991&amp;" "&amp;L3991))),OR($C$5="Semua",$C$5="",G3991=$C$5),OR($C$6="Semua",$C$6="",H3991=$C$6,H3991="Pengeluaran "&amp;$C$6,AND($C$6="Uang Kos Mama",H3991="Pengeluaran Uang Kos")),OR($C$7="Semua",$C$7="",I3991=$C$7),OR($C$8="Semua",$C$8="",C3991=$C$8,E3991=$C$8),OR($C$9="Semua",$C$9="",D3991=$C$9),OR($C$10="",B3991&gt;=$C$10),OR($C$11="",B3991&lt;=$C$11),OR($C$12&lt;&gt;"Ya",K3991&lt;&gt;""),OR($C$13="Semua",$C$13="",L3991=$C$13)),"✓","")</f>
        <v/>
      </c>
      <c r="N3991" s="93">
        <f>N(N3990)+IF(M3991="✓",1,0)</f>
        <v/>
      </c>
      <c r="O3991" s="93">
        <f>N(O3990)+IF(AND(B3991&lt;&gt;"",B3991&gt;='Uang Riba'!$H$30,B3991&lt;='Uang Riba'!$I$30,OR(H3991="Dana riba",H3991="Pinjam uang riba",I3991="Pinjam dari uang riba",I3991="Ganti uang riba",I3991="Kelebihan ganti dikembalikan",AND(C3991="Kantong Uang Riba",G3991="Pengeluaran"))),1,0)</f>
        <v/>
      </c>
      <c r="X3991" s="93">
        <f>IF(AND(B3991&lt;&gt;"",B3991&gt;='Buku Akun'!$H$4,B3991&lt;='Buku Akun'!$H$5,OR(C3991='Buku Akun'!$C$4,AND(D3991="Pindah",E3991='Buku Akun'!$C$4))),B3991+IF(AND(I3991="Selisih bunga",DAY(B3991)=1),0,0.01)+ROW()/10000000,"")</f>
        <v/>
      </c>
    </row>
    <row r="3992" outlineLevel="1" ht="15" customHeight="1" s="94">
      <c r="A3992" s="123">
        <f>IF(B3992="","",ROW()-15)</f>
        <v/>
      </c>
      <c r="B3992" s="124" t="n"/>
      <c r="C3992" s="123" t="n"/>
      <c r="D3992" s="123" t="n"/>
      <c r="E3992" s="123" t="n"/>
      <c r="F3992" s="125" t="n"/>
      <c r="G3992" s="123" t="n"/>
      <c r="H3992" s="123" t="n"/>
      <c r="I3992" s="123" t="n"/>
      <c r="J3992" s="123" t="n"/>
      <c r="K3992" s="123" t="n"/>
      <c r="L3992" s="123" t="n"/>
      <c r="M3992" s="123">
        <f>IF(AND(B3992&lt;&gt;"",OR($C$4="",ISNUMBER(SEARCH($C$4,C3992&amp;" "&amp;E3992&amp;" "&amp;G3992&amp;" "&amp;H3992&amp;" "&amp;I3992&amp;" "&amp;J3992&amp;" "&amp;K3992&amp;" "&amp;L3992))),OR($C$5="Semua",$C$5="",G3992=$C$5),OR($C$6="Semua",$C$6="",H3992=$C$6,H3992="Pengeluaran "&amp;$C$6,AND($C$6="Uang Kos Mama",H3992="Pengeluaran Uang Kos")),OR($C$7="Semua",$C$7="",I3992=$C$7),OR($C$8="Semua",$C$8="",C3992=$C$8,E3992=$C$8),OR($C$9="Semua",$C$9="",D3992=$C$9),OR($C$10="",B3992&gt;=$C$10),OR($C$11="",B3992&lt;=$C$11),OR($C$12&lt;&gt;"Ya",K3992&lt;&gt;""),OR($C$13="Semua",$C$13="",L3992=$C$13)),"✓","")</f>
        <v/>
      </c>
      <c r="N3992" s="93">
        <f>N(N3991)+IF(M3992="✓",1,0)</f>
        <v/>
      </c>
      <c r="O3992" s="93">
        <f>N(O3991)+IF(AND(B3992&lt;&gt;"",B3992&gt;='Uang Riba'!$H$30,B3992&lt;='Uang Riba'!$I$30,OR(H3992="Dana riba",H3992="Pinjam uang riba",I3992="Pinjam dari uang riba",I3992="Ganti uang riba",I3992="Kelebihan ganti dikembalikan",AND(C3992="Kantong Uang Riba",G3992="Pengeluaran"))),1,0)</f>
        <v/>
      </c>
      <c r="X3992" s="93">
        <f>IF(AND(B3992&lt;&gt;"",B3992&gt;='Buku Akun'!$H$4,B3992&lt;='Buku Akun'!$H$5,OR(C3992='Buku Akun'!$C$4,AND(D3992="Pindah",E3992='Buku Akun'!$C$4))),B3992+IF(AND(I3992="Selisih bunga",DAY(B3992)=1),0,0.01)+ROW()/10000000,"")</f>
        <v/>
      </c>
    </row>
    <row r="3993" outlineLevel="1" ht="15" customHeight="1" s="94">
      <c r="A3993" s="123">
        <f>IF(B3993="","",ROW()-15)</f>
        <v/>
      </c>
      <c r="B3993" s="124" t="n"/>
      <c r="C3993" s="123" t="n"/>
      <c r="D3993" s="123" t="n"/>
      <c r="E3993" s="123" t="n"/>
      <c r="F3993" s="125" t="n"/>
      <c r="G3993" s="123" t="n"/>
      <c r="H3993" s="123" t="n"/>
      <c r="I3993" s="123" t="n"/>
      <c r="J3993" s="123" t="n"/>
      <c r="K3993" s="123" t="n"/>
      <c r="L3993" s="123" t="n"/>
      <c r="M3993" s="123">
        <f>IF(AND(B3993&lt;&gt;"",OR($C$4="",ISNUMBER(SEARCH($C$4,C3993&amp;" "&amp;E3993&amp;" "&amp;G3993&amp;" "&amp;H3993&amp;" "&amp;I3993&amp;" "&amp;J3993&amp;" "&amp;K3993&amp;" "&amp;L3993))),OR($C$5="Semua",$C$5="",G3993=$C$5),OR($C$6="Semua",$C$6="",H3993=$C$6,H3993="Pengeluaran "&amp;$C$6,AND($C$6="Uang Kos Mama",H3993="Pengeluaran Uang Kos")),OR($C$7="Semua",$C$7="",I3993=$C$7),OR($C$8="Semua",$C$8="",C3993=$C$8,E3993=$C$8),OR($C$9="Semua",$C$9="",D3993=$C$9),OR($C$10="",B3993&gt;=$C$10),OR($C$11="",B3993&lt;=$C$11),OR($C$12&lt;&gt;"Ya",K3993&lt;&gt;""),OR($C$13="Semua",$C$13="",L3993=$C$13)),"✓","")</f>
        <v/>
      </c>
      <c r="N3993" s="93">
        <f>N(N3992)+IF(M3993="✓",1,0)</f>
        <v/>
      </c>
      <c r="O3993" s="93">
        <f>N(O3992)+IF(AND(B3993&lt;&gt;"",B3993&gt;='Uang Riba'!$H$30,B3993&lt;='Uang Riba'!$I$30,OR(H3993="Dana riba",H3993="Pinjam uang riba",I3993="Pinjam dari uang riba",I3993="Ganti uang riba",I3993="Kelebihan ganti dikembalikan",AND(C3993="Kantong Uang Riba",G3993="Pengeluaran"))),1,0)</f>
        <v/>
      </c>
      <c r="X3993" s="93">
        <f>IF(AND(B3993&lt;&gt;"",B3993&gt;='Buku Akun'!$H$4,B3993&lt;='Buku Akun'!$H$5,OR(C3993='Buku Akun'!$C$4,AND(D3993="Pindah",E3993='Buku Akun'!$C$4))),B3993+IF(AND(I3993="Selisih bunga",DAY(B3993)=1),0,0.01)+ROW()/10000000,"")</f>
        <v/>
      </c>
    </row>
    <row r="3994" outlineLevel="1" ht="15" customHeight="1" s="94">
      <c r="A3994" s="123">
        <f>IF(B3994="","",ROW()-15)</f>
        <v/>
      </c>
      <c r="B3994" s="124" t="n"/>
      <c r="C3994" s="123" t="n"/>
      <c r="D3994" s="123" t="n"/>
      <c r="E3994" s="123" t="n"/>
      <c r="F3994" s="125" t="n"/>
      <c r="G3994" s="123" t="n"/>
      <c r="H3994" s="123" t="n"/>
      <c r="I3994" s="123" t="n"/>
      <c r="J3994" s="123" t="n"/>
      <c r="K3994" s="123" t="n"/>
      <c r="L3994" s="123" t="n"/>
      <c r="M3994" s="123">
        <f>IF(AND(B3994&lt;&gt;"",OR($C$4="",ISNUMBER(SEARCH($C$4,C3994&amp;" "&amp;E3994&amp;" "&amp;G3994&amp;" "&amp;H3994&amp;" "&amp;I3994&amp;" "&amp;J3994&amp;" "&amp;K3994&amp;" "&amp;L3994))),OR($C$5="Semua",$C$5="",G3994=$C$5),OR($C$6="Semua",$C$6="",H3994=$C$6,H3994="Pengeluaran "&amp;$C$6,AND($C$6="Uang Kos Mama",H3994="Pengeluaran Uang Kos")),OR($C$7="Semua",$C$7="",I3994=$C$7),OR($C$8="Semua",$C$8="",C3994=$C$8,E3994=$C$8),OR($C$9="Semua",$C$9="",D3994=$C$9),OR($C$10="",B3994&gt;=$C$10),OR($C$11="",B3994&lt;=$C$11),OR($C$12&lt;&gt;"Ya",K3994&lt;&gt;""),OR($C$13="Semua",$C$13="",L3994=$C$13)),"✓","")</f>
        <v/>
      </c>
      <c r="N3994" s="93">
        <f>N(N3993)+IF(M3994="✓",1,0)</f>
        <v/>
      </c>
      <c r="O3994" s="93">
        <f>N(O3993)+IF(AND(B3994&lt;&gt;"",B3994&gt;='Uang Riba'!$H$30,B3994&lt;='Uang Riba'!$I$30,OR(H3994="Dana riba",H3994="Pinjam uang riba",I3994="Pinjam dari uang riba",I3994="Ganti uang riba",I3994="Kelebihan ganti dikembalikan",AND(C3994="Kantong Uang Riba",G3994="Pengeluaran"))),1,0)</f>
        <v/>
      </c>
      <c r="X3994" s="93">
        <f>IF(AND(B3994&lt;&gt;"",B3994&gt;='Buku Akun'!$H$4,B3994&lt;='Buku Akun'!$H$5,OR(C3994='Buku Akun'!$C$4,AND(D3994="Pindah",E3994='Buku Akun'!$C$4))),B3994+IF(AND(I3994="Selisih bunga",DAY(B3994)=1),0,0.01)+ROW()/10000000,"")</f>
        <v/>
      </c>
    </row>
    <row r="3995" outlineLevel="1" ht="15" customHeight="1" s="94">
      <c r="A3995" s="123">
        <f>IF(B3995="","",ROW()-15)</f>
        <v/>
      </c>
      <c r="B3995" s="124" t="n"/>
      <c r="C3995" s="123" t="n"/>
      <c r="D3995" s="123" t="n"/>
      <c r="E3995" s="123" t="n"/>
      <c r="F3995" s="125" t="n"/>
      <c r="G3995" s="123" t="n"/>
      <c r="H3995" s="123" t="n"/>
      <c r="I3995" s="123" t="n"/>
      <c r="J3995" s="123" t="n"/>
      <c r="K3995" s="123" t="n"/>
      <c r="L3995" s="123" t="n"/>
      <c r="M3995" s="123">
        <f>IF(AND(B3995&lt;&gt;"",OR($C$4="",ISNUMBER(SEARCH($C$4,C3995&amp;" "&amp;E3995&amp;" "&amp;G3995&amp;" "&amp;H3995&amp;" "&amp;I3995&amp;" "&amp;J3995&amp;" "&amp;K3995&amp;" "&amp;L3995))),OR($C$5="Semua",$C$5="",G3995=$C$5),OR($C$6="Semua",$C$6="",H3995=$C$6,H3995="Pengeluaran "&amp;$C$6,AND($C$6="Uang Kos Mama",H3995="Pengeluaran Uang Kos")),OR($C$7="Semua",$C$7="",I3995=$C$7),OR($C$8="Semua",$C$8="",C3995=$C$8,E3995=$C$8),OR($C$9="Semua",$C$9="",D3995=$C$9),OR($C$10="",B3995&gt;=$C$10),OR($C$11="",B3995&lt;=$C$11),OR($C$12&lt;&gt;"Ya",K3995&lt;&gt;""),OR($C$13="Semua",$C$13="",L3995=$C$13)),"✓","")</f>
        <v/>
      </c>
      <c r="N3995" s="93">
        <f>N(N3994)+IF(M3995="✓",1,0)</f>
        <v/>
      </c>
      <c r="O3995" s="93">
        <f>N(O3994)+IF(AND(B3995&lt;&gt;"",B3995&gt;='Uang Riba'!$H$30,B3995&lt;='Uang Riba'!$I$30,OR(H3995="Dana riba",H3995="Pinjam uang riba",I3995="Pinjam dari uang riba",I3995="Ganti uang riba",I3995="Kelebihan ganti dikembalikan",AND(C3995="Kantong Uang Riba",G3995="Pengeluaran"))),1,0)</f>
        <v/>
      </c>
      <c r="X3995" s="93">
        <f>IF(AND(B3995&lt;&gt;"",B3995&gt;='Buku Akun'!$H$4,B3995&lt;='Buku Akun'!$H$5,OR(C3995='Buku Akun'!$C$4,AND(D3995="Pindah",E3995='Buku Akun'!$C$4))),B3995+IF(AND(I3995="Selisih bunga",DAY(B3995)=1),0,0.01)+ROW()/10000000,"")</f>
        <v/>
      </c>
    </row>
    <row r="3996" outlineLevel="1" ht="15" customHeight="1" s="94">
      <c r="A3996" s="123">
        <f>IF(B3996="","",ROW()-15)</f>
        <v/>
      </c>
      <c r="B3996" s="124" t="n"/>
      <c r="C3996" s="123" t="n"/>
      <c r="D3996" s="123" t="n"/>
      <c r="E3996" s="123" t="n"/>
      <c r="F3996" s="125" t="n"/>
      <c r="G3996" s="123" t="n"/>
      <c r="H3996" s="123" t="n"/>
      <c r="I3996" s="123" t="n"/>
      <c r="J3996" s="123" t="n"/>
      <c r="K3996" s="123" t="n"/>
      <c r="L3996" s="123" t="n"/>
      <c r="M3996" s="123">
        <f>IF(AND(B3996&lt;&gt;"",OR($C$4="",ISNUMBER(SEARCH($C$4,C3996&amp;" "&amp;E3996&amp;" "&amp;G3996&amp;" "&amp;H3996&amp;" "&amp;I3996&amp;" "&amp;J3996&amp;" "&amp;K3996&amp;" "&amp;L3996))),OR($C$5="Semua",$C$5="",G3996=$C$5),OR($C$6="Semua",$C$6="",H3996=$C$6,H3996="Pengeluaran "&amp;$C$6,AND($C$6="Uang Kos Mama",H3996="Pengeluaran Uang Kos")),OR($C$7="Semua",$C$7="",I3996=$C$7),OR($C$8="Semua",$C$8="",C3996=$C$8,E3996=$C$8),OR($C$9="Semua",$C$9="",D3996=$C$9),OR($C$10="",B3996&gt;=$C$10),OR($C$11="",B3996&lt;=$C$11),OR($C$12&lt;&gt;"Ya",K3996&lt;&gt;""),OR($C$13="Semua",$C$13="",L3996=$C$13)),"✓","")</f>
        <v/>
      </c>
      <c r="N3996" s="93">
        <f>N(N3995)+IF(M3996="✓",1,0)</f>
        <v/>
      </c>
      <c r="O3996" s="93">
        <f>N(O3995)+IF(AND(B3996&lt;&gt;"",B3996&gt;='Uang Riba'!$H$30,B3996&lt;='Uang Riba'!$I$30,OR(H3996="Dana riba",H3996="Pinjam uang riba",I3996="Pinjam dari uang riba",I3996="Ganti uang riba",I3996="Kelebihan ganti dikembalikan",AND(C3996="Kantong Uang Riba",G3996="Pengeluaran"))),1,0)</f>
        <v/>
      </c>
      <c r="X3996" s="93">
        <f>IF(AND(B3996&lt;&gt;"",B3996&gt;='Buku Akun'!$H$4,B3996&lt;='Buku Akun'!$H$5,OR(C3996='Buku Akun'!$C$4,AND(D3996="Pindah",E3996='Buku Akun'!$C$4))),B3996+IF(AND(I3996="Selisih bunga",DAY(B3996)=1),0,0.01)+ROW()/10000000,"")</f>
        <v/>
      </c>
    </row>
    <row r="3997" outlineLevel="1" ht="15" customHeight="1" s="94">
      <c r="A3997" s="123">
        <f>IF(B3997="","",ROW()-15)</f>
        <v/>
      </c>
      <c r="B3997" s="124" t="n"/>
      <c r="C3997" s="123" t="n"/>
      <c r="D3997" s="123" t="n"/>
      <c r="E3997" s="123" t="n"/>
      <c r="F3997" s="125" t="n"/>
      <c r="G3997" s="123" t="n"/>
      <c r="H3997" s="123" t="n"/>
      <c r="I3997" s="123" t="n"/>
      <c r="J3997" s="123" t="n"/>
      <c r="K3997" s="123" t="n"/>
      <c r="L3997" s="123" t="n"/>
      <c r="M3997" s="123">
        <f>IF(AND(B3997&lt;&gt;"",OR($C$4="",ISNUMBER(SEARCH($C$4,C3997&amp;" "&amp;E3997&amp;" "&amp;G3997&amp;" "&amp;H3997&amp;" "&amp;I3997&amp;" "&amp;J3997&amp;" "&amp;K3997&amp;" "&amp;L3997))),OR($C$5="Semua",$C$5="",G3997=$C$5),OR($C$6="Semua",$C$6="",H3997=$C$6,H3997="Pengeluaran "&amp;$C$6,AND($C$6="Uang Kos Mama",H3997="Pengeluaran Uang Kos")),OR($C$7="Semua",$C$7="",I3997=$C$7),OR($C$8="Semua",$C$8="",C3997=$C$8,E3997=$C$8),OR($C$9="Semua",$C$9="",D3997=$C$9),OR($C$10="",B3997&gt;=$C$10),OR($C$11="",B3997&lt;=$C$11),OR($C$12&lt;&gt;"Ya",K3997&lt;&gt;""),OR($C$13="Semua",$C$13="",L3997=$C$13)),"✓","")</f>
        <v/>
      </c>
      <c r="N3997" s="93">
        <f>N(N3996)+IF(M3997="✓",1,0)</f>
        <v/>
      </c>
      <c r="O3997" s="93">
        <f>N(O3996)+IF(AND(B3997&lt;&gt;"",B3997&gt;='Uang Riba'!$H$30,B3997&lt;='Uang Riba'!$I$30,OR(H3997="Dana riba",H3997="Pinjam uang riba",I3997="Pinjam dari uang riba",I3997="Ganti uang riba",I3997="Kelebihan ganti dikembalikan",AND(C3997="Kantong Uang Riba",G3997="Pengeluaran"))),1,0)</f>
        <v/>
      </c>
      <c r="X3997" s="93">
        <f>IF(AND(B3997&lt;&gt;"",B3997&gt;='Buku Akun'!$H$4,B3997&lt;='Buku Akun'!$H$5,OR(C3997='Buku Akun'!$C$4,AND(D3997="Pindah",E3997='Buku Akun'!$C$4))),B3997+IF(AND(I3997="Selisih bunga",DAY(B3997)=1),0,0.01)+ROW()/10000000,"")</f>
        <v/>
      </c>
    </row>
    <row r="3998" outlineLevel="1" ht="15" customHeight="1" s="94">
      <c r="A3998" s="123">
        <f>IF(B3998="","",ROW()-15)</f>
        <v/>
      </c>
      <c r="B3998" s="124" t="n"/>
      <c r="C3998" s="123" t="n"/>
      <c r="D3998" s="123" t="n"/>
      <c r="E3998" s="123" t="n"/>
      <c r="F3998" s="125" t="n"/>
      <c r="G3998" s="123" t="n"/>
      <c r="H3998" s="123" t="n"/>
      <c r="I3998" s="123" t="n"/>
      <c r="J3998" s="123" t="n"/>
      <c r="K3998" s="123" t="n"/>
      <c r="L3998" s="123" t="n"/>
      <c r="M3998" s="123">
        <f>IF(AND(B3998&lt;&gt;"",OR($C$4="",ISNUMBER(SEARCH($C$4,C3998&amp;" "&amp;E3998&amp;" "&amp;G3998&amp;" "&amp;H3998&amp;" "&amp;I3998&amp;" "&amp;J3998&amp;" "&amp;K3998&amp;" "&amp;L3998))),OR($C$5="Semua",$C$5="",G3998=$C$5),OR($C$6="Semua",$C$6="",H3998=$C$6,H3998="Pengeluaran "&amp;$C$6,AND($C$6="Uang Kos Mama",H3998="Pengeluaran Uang Kos")),OR($C$7="Semua",$C$7="",I3998=$C$7),OR($C$8="Semua",$C$8="",C3998=$C$8,E3998=$C$8),OR($C$9="Semua",$C$9="",D3998=$C$9),OR($C$10="",B3998&gt;=$C$10),OR($C$11="",B3998&lt;=$C$11),OR($C$12&lt;&gt;"Ya",K3998&lt;&gt;""),OR($C$13="Semua",$C$13="",L3998=$C$13)),"✓","")</f>
        <v/>
      </c>
      <c r="N3998" s="93">
        <f>N(N3997)+IF(M3998="✓",1,0)</f>
        <v/>
      </c>
      <c r="O3998" s="93">
        <f>N(O3997)+IF(AND(B3998&lt;&gt;"",B3998&gt;='Uang Riba'!$H$30,B3998&lt;='Uang Riba'!$I$30,OR(H3998="Dana riba",H3998="Pinjam uang riba",I3998="Pinjam dari uang riba",I3998="Ganti uang riba",I3998="Kelebihan ganti dikembalikan",AND(C3998="Kantong Uang Riba",G3998="Pengeluaran"))),1,0)</f>
        <v/>
      </c>
      <c r="X3998" s="93">
        <f>IF(AND(B3998&lt;&gt;"",B3998&gt;='Buku Akun'!$H$4,B3998&lt;='Buku Akun'!$H$5,OR(C3998='Buku Akun'!$C$4,AND(D3998="Pindah",E3998='Buku Akun'!$C$4))),B3998+IF(AND(I3998="Selisih bunga",DAY(B3998)=1),0,0.01)+ROW()/10000000,"")</f>
        <v/>
      </c>
    </row>
    <row r="3999" outlineLevel="1" ht="15" customHeight="1" s="94">
      <c r="A3999" s="123">
        <f>IF(B3999="","",ROW()-15)</f>
        <v/>
      </c>
      <c r="B3999" s="124" t="n"/>
      <c r="C3999" s="123" t="n"/>
      <c r="D3999" s="123" t="n"/>
      <c r="E3999" s="123" t="n"/>
      <c r="F3999" s="125" t="n"/>
      <c r="G3999" s="123" t="n"/>
      <c r="H3999" s="123" t="n"/>
      <c r="I3999" s="123" t="n"/>
      <c r="J3999" s="123" t="n"/>
      <c r="K3999" s="123" t="n"/>
      <c r="L3999" s="123" t="n"/>
      <c r="M3999" s="123">
        <f>IF(AND(B3999&lt;&gt;"",OR($C$4="",ISNUMBER(SEARCH($C$4,C3999&amp;" "&amp;E3999&amp;" "&amp;G3999&amp;" "&amp;H3999&amp;" "&amp;I3999&amp;" "&amp;J3999&amp;" "&amp;K3999&amp;" "&amp;L3999))),OR($C$5="Semua",$C$5="",G3999=$C$5),OR($C$6="Semua",$C$6="",H3999=$C$6,H3999="Pengeluaran "&amp;$C$6,AND($C$6="Uang Kos Mama",H3999="Pengeluaran Uang Kos")),OR($C$7="Semua",$C$7="",I3999=$C$7),OR($C$8="Semua",$C$8="",C3999=$C$8,E3999=$C$8),OR($C$9="Semua",$C$9="",D3999=$C$9),OR($C$10="",B3999&gt;=$C$10),OR($C$11="",B3999&lt;=$C$11),OR($C$12&lt;&gt;"Ya",K3999&lt;&gt;""),OR($C$13="Semua",$C$13="",L3999=$C$13)),"✓","")</f>
        <v/>
      </c>
      <c r="N3999" s="93">
        <f>N(N3998)+IF(M3999="✓",1,0)</f>
        <v/>
      </c>
      <c r="O3999" s="93">
        <f>N(O3998)+IF(AND(B3999&lt;&gt;"",B3999&gt;='Uang Riba'!$H$30,B3999&lt;='Uang Riba'!$I$30,OR(H3999="Dana riba",H3999="Pinjam uang riba",I3999="Pinjam dari uang riba",I3999="Ganti uang riba",I3999="Kelebihan ganti dikembalikan",AND(C3999="Kantong Uang Riba",G3999="Pengeluaran"))),1,0)</f>
        <v/>
      </c>
      <c r="X3999" s="93">
        <f>IF(AND(B3999&lt;&gt;"",B3999&gt;='Buku Akun'!$H$4,B3999&lt;='Buku Akun'!$H$5,OR(C3999='Buku Akun'!$C$4,AND(D3999="Pindah",E3999='Buku Akun'!$C$4))),B3999+IF(AND(I3999="Selisih bunga",DAY(B3999)=1),0,0.01)+ROW()/10000000,"")</f>
        <v/>
      </c>
    </row>
    <row r="4000" outlineLevel="1" ht="15" customHeight="1" s="94">
      <c r="A4000" s="123">
        <f>IF(B4000="","",ROW()-15)</f>
        <v/>
      </c>
      <c r="B4000" s="124" t="n"/>
      <c r="C4000" s="123" t="n"/>
      <c r="D4000" s="123" t="n"/>
      <c r="E4000" s="123" t="n"/>
      <c r="F4000" s="125" t="n"/>
      <c r="G4000" s="123" t="n"/>
      <c r="H4000" s="123" t="n"/>
      <c r="I4000" s="123" t="n"/>
      <c r="J4000" s="123" t="n"/>
      <c r="K4000" s="123" t="n"/>
      <c r="L4000" s="123" t="n"/>
      <c r="M4000" s="123">
        <f>IF(AND(B4000&lt;&gt;"",OR($C$4="",ISNUMBER(SEARCH($C$4,C4000&amp;" "&amp;E4000&amp;" "&amp;G4000&amp;" "&amp;H4000&amp;" "&amp;I4000&amp;" "&amp;J4000&amp;" "&amp;K4000&amp;" "&amp;L4000))),OR($C$5="Semua",$C$5="",G4000=$C$5),OR($C$6="Semua",$C$6="",H4000=$C$6,H4000="Pengeluaran "&amp;$C$6,AND($C$6="Uang Kos Mama",H4000="Pengeluaran Uang Kos")),OR($C$7="Semua",$C$7="",I4000=$C$7),OR($C$8="Semua",$C$8="",C4000=$C$8,E4000=$C$8),OR($C$9="Semua",$C$9="",D4000=$C$9),OR($C$10="",B4000&gt;=$C$10),OR($C$11="",B4000&lt;=$C$11),OR($C$12&lt;&gt;"Ya",K4000&lt;&gt;""),OR($C$13="Semua",$C$13="",L4000=$C$13)),"✓","")</f>
        <v/>
      </c>
      <c r="N4000" s="93">
        <f>N(N3999)+IF(M4000="✓",1,0)</f>
        <v/>
      </c>
      <c r="O4000" s="93">
        <f>N(O3999)+IF(AND(B4000&lt;&gt;"",B4000&gt;='Uang Riba'!$H$30,B4000&lt;='Uang Riba'!$I$30,OR(H4000="Dana riba",H4000="Pinjam uang riba",I4000="Pinjam dari uang riba",I4000="Ganti uang riba",I4000="Kelebihan ganti dikembalikan",AND(C4000="Kantong Uang Riba",G4000="Pengeluaran"))),1,0)</f>
        <v/>
      </c>
      <c r="X4000" s="93">
        <f>IF(AND(B4000&lt;&gt;"",B4000&gt;='Buku Akun'!$H$4,B4000&lt;='Buku Akun'!$H$5,OR(C4000='Buku Akun'!$C$4,AND(D4000="Pindah",E4000='Buku Akun'!$C$4))),B4000+IF(AND(I4000="Selisih bunga",DAY(B4000)=1),0,0.01)+ROW()/10000000,"")</f>
        <v/>
      </c>
    </row>
    <row r="4001" outlineLevel="1" ht="15" customHeight="1" s="94">
      <c r="A4001" s="123">
        <f>IF(B4001="","",ROW()-15)</f>
        <v/>
      </c>
      <c r="B4001" s="124" t="n"/>
      <c r="C4001" s="123" t="n"/>
      <c r="D4001" s="123" t="n"/>
      <c r="E4001" s="123" t="n"/>
      <c r="F4001" s="125" t="n"/>
      <c r="G4001" s="123" t="n"/>
      <c r="H4001" s="123" t="n"/>
      <c r="I4001" s="123" t="n"/>
      <c r="J4001" s="123" t="n"/>
      <c r="K4001" s="123" t="n"/>
      <c r="L4001" s="123" t="n"/>
      <c r="M4001" s="123">
        <f>IF(AND(B4001&lt;&gt;"",OR($C$4="",ISNUMBER(SEARCH($C$4,C4001&amp;" "&amp;E4001&amp;" "&amp;G4001&amp;" "&amp;H4001&amp;" "&amp;I4001&amp;" "&amp;J4001&amp;" "&amp;K4001&amp;" "&amp;L4001))),OR($C$5="Semua",$C$5="",G4001=$C$5),OR($C$6="Semua",$C$6="",H4001=$C$6,H4001="Pengeluaran "&amp;$C$6,AND($C$6="Uang Kos Mama",H4001="Pengeluaran Uang Kos")),OR($C$7="Semua",$C$7="",I4001=$C$7),OR($C$8="Semua",$C$8="",C4001=$C$8,E4001=$C$8),OR($C$9="Semua",$C$9="",D4001=$C$9),OR($C$10="",B4001&gt;=$C$10),OR($C$11="",B4001&lt;=$C$11),OR($C$12&lt;&gt;"Ya",K4001&lt;&gt;""),OR($C$13="Semua",$C$13="",L4001=$C$13)),"✓","")</f>
        <v/>
      </c>
      <c r="N4001" s="93">
        <f>N(N4000)+IF(M4001="✓",1,0)</f>
        <v/>
      </c>
      <c r="O4001" s="93">
        <f>N(O4000)+IF(AND(B4001&lt;&gt;"",B4001&gt;='Uang Riba'!$H$30,B4001&lt;='Uang Riba'!$I$30,OR(H4001="Dana riba",H4001="Pinjam uang riba",I4001="Pinjam dari uang riba",I4001="Ganti uang riba",I4001="Kelebihan ganti dikembalikan",AND(C4001="Kantong Uang Riba",G4001="Pengeluaran"))),1,0)</f>
        <v/>
      </c>
      <c r="X4001" s="93">
        <f>IF(AND(B4001&lt;&gt;"",B4001&gt;='Buku Akun'!$H$4,B4001&lt;='Buku Akun'!$H$5,OR(C4001='Buku Akun'!$C$4,AND(D4001="Pindah",E4001='Buku Akun'!$C$4))),B4001+IF(AND(I4001="Selisih bunga",DAY(B4001)=1),0,0.01)+ROW()/10000000,"")</f>
        <v/>
      </c>
    </row>
    <row r="4002" outlineLevel="1" ht="15" customHeight="1" s="94">
      <c r="A4002" s="123">
        <f>IF(B4002="","",ROW()-15)</f>
        <v/>
      </c>
      <c r="B4002" s="124" t="n"/>
      <c r="C4002" s="123" t="n"/>
      <c r="D4002" s="123" t="n"/>
      <c r="E4002" s="123" t="n"/>
      <c r="F4002" s="125" t="n"/>
      <c r="G4002" s="123" t="n"/>
      <c r="H4002" s="123" t="n"/>
      <c r="I4002" s="123" t="n"/>
      <c r="J4002" s="123" t="n"/>
      <c r="K4002" s="123" t="n"/>
      <c r="L4002" s="123" t="n"/>
      <c r="M4002" s="123">
        <f>IF(AND(B4002&lt;&gt;"",OR($C$4="",ISNUMBER(SEARCH($C$4,C4002&amp;" "&amp;E4002&amp;" "&amp;G4002&amp;" "&amp;H4002&amp;" "&amp;I4002&amp;" "&amp;J4002&amp;" "&amp;K4002&amp;" "&amp;L4002))),OR($C$5="Semua",$C$5="",G4002=$C$5),OR($C$6="Semua",$C$6="",H4002=$C$6,H4002="Pengeluaran "&amp;$C$6,AND($C$6="Uang Kos Mama",H4002="Pengeluaran Uang Kos")),OR($C$7="Semua",$C$7="",I4002=$C$7),OR($C$8="Semua",$C$8="",C4002=$C$8,E4002=$C$8),OR($C$9="Semua",$C$9="",D4002=$C$9),OR($C$10="",B4002&gt;=$C$10),OR($C$11="",B4002&lt;=$C$11),OR($C$12&lt;&gt;"Ya",K4002&lt;&gt;""),OR($C$13="Semua",$C$13="",L4002=$C$13)),"✓","")</f>
        <v/>
      </c>
      <c r="N4002" s="93">
        <f>N(N4001)+IF(M4002="✓",1,0)</f>
        <v/>
      </c>
      <c r="O4002" s="93">
        <f>N(O4001)+IF(AND(B4002&lt;&gt;"",B4002&gt;='Uang Riba'!$H$30,B4002&lt;='Uang Riba'!$I$30,OR(H4002="Dana riba",H4002="Pinjam uang riba",I4002="Pinjam dari uang riba",I4002="Ganti uang riba",I4002="Kelebihan ganti dikembalikan",AND(C4002="Kantong Uang Riba",G4002="Pengeluaran"))),1,0)</f>
        <v/>
      </c>
      <c r="X4002" s="93">
        <f>IF(AND(B4002&lt;&gt;"",B4002&gt;='Buku Akun'!$H$4,B4002&lt;='Buku Akun'!$H$5,OR(C4002='Buku Akun'!$C$4,AND(D4002="Pindah",E4002='Buku Akun'!$C$4))),B4002+IF(AND(I4002="Selisih bunga",DAY(B4002)=1),0,0.01)+ROW()/10000000,"")</f>
        <v/>
      </c>
    </row>
    <row r="4003" outlineLevel="1" ht="15" customHeight="1" s="94">
      <c r="A4003" s="123">
        <f>IF(B4003="","",ROW()-15)</f>
        <v/>
      </c>
      <c r="B4003" s="124" t="n"/>
      <c r="C4003" s="123" t="n"/>
      <c r="D4003" s="123" t="n"/>
      <c r="E4003" s="123" t="n"/>
      <c r="F4003" s="125" t="n"/>
      <c r="G4003" s="123" t="n"/>
      <c r="H4003" s="123" t="n"/>
      <c r="I4003" s="123" t="n"/>
      <c r="J4003" s="123" t="n"/>
      <c r="K4003" s="123" t="n"/>
      <c r="L4003" s="123" t="n"/>
      <c r="M4003" s="123">
        <f>IF(AND(B4003&lt;&gt;"",OR($C$4="",ISNUMBER(SEARCH($C$4,C4003&amp;" "&amp;E4003&amp;" "&amp;G4003&amp;" "&amp;H4003&amp;" "&amp;I4003&amp;" "&amp;J4003&amp;" "&amp;K4003&amp;" "&amp;L4003))),OR($C$5="Semua",$C$5="",G4003=$C$5),OR($C$6="Semua",$C$6="",H4003=$C$6,H4003="Pengeluaran "&amp;$C$6,AND($C$6="Uang Kos Mama",H4003="Pengeluaran Uang Kos")),OR($C$7="Semua",$C$7="",I4003=$C$7),OR($C$8="Semua",$C$8="",C4003=$C$8,E4003=$C$8),OR($C$9="Semua",$C$9="",D4003=$C$9),OR($C$10="",B4003&gt;=$C$10),OR($C$11="",B4003&lt;=$C$11),OR($C$12&lt;&gt;"Ya",K4003&lt;&gt;""),OR($C$13="Semua",$C$13="",L4003=$C$13)),"✓","")</f>
        <v/>
      </c>
      <c r="N4003" s="93">
        <f>N(N4002)+IF(M4003="✓",1,0)</f>
        <v/>
      </c>
      <c r="O4003" s="93">
        <f>N(O4002)+IF(AND(B4003&lt;&gt;"",B4003&gt;='Uang Riba'!$H$30,B4003&lt;='Uang Riba'!$I$30,OR(H4003="Dana riba",H4003="Pinjam uang riba",I4003="Pinjam dari uang riba",I4003="Ganti uang riba",I4003="Kelebihan ganti dikembalikan",AND(C4003="Kantong Uang Riba",G4003="Pengeluaran"))),1,0)</f>
        <v/>
      </c>
      <c r="X4003" s="93">
        <f>IF(AND(B4003&lt;&gt;"",B4003&gt;='Buku Akun'!$H$4,B4003&lt;='Buku Akun'!$H$5,OR(C4003='Buku Akun'!$C$4,AND(D4003="Pindah",E4003='Buku Akun'!$C$4))),B4003+IF(AND(I4003="Selisih bunga",DAY(B4003)=1),0,0.01)+ROW()/10000000,"")</f>
        <v/>
      </c>
    </row>
    <row r="4004" outlineLevel="1" ht="15" customHeight="1" s="94">
      <c r="A4004" s="123">
        <f>IF(B4004="","",ROW()-15)</f>
        <v/>
      </c>
      <c r="B4004" s="124" t="n"/>
      <c r="C4004" s="123" t="n"/>
      <c r="D4004" s="123" t="n"/>
      <c r="E4004" s="123" t="n"/>
      <c r="F4004" s="125" t="n"/>
      <c r="G4004" s="123" t="n"/>
      <c r="H4004" s="123" t="n"/>
      <c r="I4004" s="123" t="n"/>
      <c r="J4004" s="123" t="n"/>
      <c r="K4004" s="123" t="n"/>
      <c r="L4004" s="123" t="n"/>
      <c r="M4004" s="123">
        <f>IF(AND(B4004&lt;&gt;"",OR($C$4="",ISNUMBER(SEARCH($C$4,C4004&amp;" "&amp;E4004&amp;" "&amp;G4004&amp;" "&amp;H4004&amp;" "&amp;I4004&amp;" "&amp;J4004&amp;" "&amp;K4004&amp;" "&amp;L4004))),OR($C$5="Semua",$C$5="",G4004=$C$5),OR($C$6="Semua",$C$6="",H4004=$C$6,H4004="Pengeluaran "&amp;$C$6,AND($C$6="Uang Kos Mama",H4004="Pengeluaran Uang Kos")),OR($C$7="Semua",$C$7="",I4004=$C$7),OR($C$8="Semua",$C$8="",C4004=$C$8,E4004=$C$8),OR($C$9="Semua",$C$9="",D4004=$C$9),OR($C$10="",B4004&gt;=$C$10),OR($C$11="",B4004&lt;=$C$11),OR($C$12&lt;&gt;"Ya",K4004&lt;&gt;""),OR($C$13="Semua",$C$13="",L4004=$C$13)),"✓","")</f>
        <v/>
      </c>
      <c r="N4004" s="93">
        <f>N(N4003)+IF(M4004="✓",1,0)</f>
        <v/>
      </c>
      <c r="O4004" s="93">
        <f>N(O4003)+IF(AND(B4004&lt;&gt;"",B4004&gt;='Uang Riba'!$H$30,B4004&lt;='Uang Riba'!$I$30,OR(H4004="Dana riba",H4004="Pinjam uang riba",I4004="Pinjam dari uang riba",I4004="Ganti uang riba",I4004="Kelebihan ganti dikembalikan",AND(C4004="Kantong Uang Riba",G4004="Pengeluaran"))),1,0)</f>
        <v/>
      </c>
      <c r="X4004" s="93">
        <f>IF(AND(B4004&lt;&gt;"",B4004&gt;='Buku Akun'!$H$4,B4004&lt;='Buku Akun'!$H$5,OR(C4004='Buku Akun'!$C$4,AND(D4004="Pindah",E4004='Buku Akun'!$C$4))),B4004+IF(AND(I4004="Selisih bunga",DAY(B4004)=1),0,0.01)+ROW()/10000000,"")</f>
        <v/>
      </c>
    </row>
    <row r="4005" outlineLevel="1" ht="15" customHeight="1" s="94">
      <c r="A4005" s="123">
        <f>IF(B4005="","",ROW()-15)</f>
        <v/>
      </c>
      <c r="B4005" s="124" t="n"/>
      <c r="C4005" s="123" t="n"/>
      <c r="D4005" s="123" t="n"/>
      <c r="E4005" s="123" t="n"/>
      <c r="F4005" s="125" t="n"/>
      <c r="G4005" s="123" t="n"/>
      <c r="H4005" s="123" t="n"/>
      <c r="I4005" s="123" t="n"/>
      <c r="J4005" s="123" t="n"/>
      <c r="K4005" s="123" t="n"/>
      <c r="L4005" s="123" t="n"/>
      <c r="M4005" s="123">
        <f>IF(AND(B4005&lt;&gt;"",OR($C$4="",ISNUMBER(SEARCH($C$4,C4005&amp;" "&amp;E4005&amp;" "&amp;G4005&amp;" "&amp;H4005&amp;" "&amp;I4005&amp;" "&amp;J4005&amp;" "&amp;K4005&amp;" "&amp;L4005))),OR($C$5="Semua",$C$5="",G4005=$C$5),OR($C$6="Semua",$C$6="",H4005=$C$6,H4005="Pengeluaran "&amp;$C$6,AND($C$6="Uang Kos Mama",H4005="Pengeluaran Uang Kos")),OR($C$7="Semua",$C$7="",I4005=$C$7),OR($C$8="Semua",$C$8="",C4005=$C$8,E4005=$C$8),OR($C$9="Semua",$C$9="",D4005=$C$9),OR($C$10="",B4005&gt;=$C$10),OR($C$11="",B4005&lt;=$C$11),OR($C$12&lt;&gt;"Ya",K4005&lt;&gt;""),OR($C$13="Semua",$C$13="",L4005=$C$13)),"✓","")</f>
        <v/>
      </c>
      <c r="N4005" s="93">
        <f>N(N4004)+IF(M4005="✓",1,0)</f>
        <v/>
      </c>
      <c r="O4005" s="93">
        <f>N(O4004)+IF(AND(B4005&lt;&gt;"",B4005&gt;='Uang Riba'!$H$30,B4005&lt;='Uang Riba'!$I$30,OR(H4005="Dana riba",H4005="Pinjam uang riba",I4005="Pinjam dari uang riba",I4005="Ganti uang riba",I4005="Kelebihan ganti dikembalikan",AND(C4005="Kantong Uang Riba",G4005="Pengeluaran"))),1,0)</f>
        <v/>
      </c>
      <c r="X4005" s="93">
        <f>IF(AND(B4005&lt;&gt;"",B4005&gt;='Buku Akun'!$H$4,B4005&lt;='Buku Akun'!$H$5,OR(C4005='Buku Akun'!$C$4,AND(D4005="Pindah",E4005='Buku Akun'!$C$4))),B4005+IF(AND(I4005="Selisih bunga",DAY(B4005)=1),0,0.01)+ROW()/10000000,"")</f>
        <v/>
      </c>
    </row>
    <row r="4006" outlineLevel="1" ht="15" customHeight="1" s="94">
      <c r="A4006" s="123">
        <f>IF(B4006="","",ROW()-15)</f>
        <v/>
      </c>
      <c r="B4006" s="124" t="n"/>
      <c r="C4006" s="123" t="n"/>
      <c r="D4006" s="123" t="n"/>
      <c r="E4006" s="123" t="n"/>
      <c r="F4006" s="125" t="n"/>
      <c r="G4006" s="123" t="n"/>
      <c r="H4006" s="123" t="n"/>
      <c r="I4006" s="123" t="n"/>
      <c r="J4006" s="123" t="n"/>
      <c r="K4006" s="123" t="n"/>
      <c r="L4006" s="123" t="n"/>
      <c r="M4006" s="123">
        <f>IF(AND(B4006&lt;&gt;"",OR($C$4="",ISNUMBER(SEARCH($C$4,C4006&amp;" "&amp;E4006&amp;" "&amp;G4006&amp;" "&amp;H4006&amp;" "&amp;I4006&amp;" "&amp;J4006&amp;" "&amp;K4006&amp;" "&amp;L4006))),OR($C$5="Semua",$C$5="",G4006=$C$5),OR($C$6="Semua",$C$6="",H4006=$C$6,H4006="Pengeluaran "&amp;$C$6,AND($C$6="Uang Kos Mama",H4006="Pengeluaran Uang Kos")),OR($C$7="Semua",$C$7="",I4006=$C$7),OR($C$8="Semua",$C$8="",C4006=$C$8,E4006=$C$8),OR($C$9="Semua",$C$9="",D4006=$C$9),OR($C$10="",B4006&gt;=$C$10),OR($C$11="",B4006&lt;=$C$11),OR($C$12&lt;&gt;"Ya",K4006&lt;&gt;""),OR($C$13="Semua",$C$13="",L4006=$C$13)),"✓","")</f>
        <v/>
      </c>
      <c r="N4006" s="93">
        <f>N(N4005)+IF(M4006="✓",1,0)</f>
        <v/>
      </c>
      <c r="O4006" s="93">
        <f>N(O4005)+IF(AND(B4006&lt;&gt;"",B4006&gt;='Uang Riba'!$H$30,B4006&lt;='Uang Riba'!$I$30,OR(H4006="Dana riba",H4006="Pinjam uang riba",I4006="Pinjam dari uang riba",I4006="Ganti uang riba",I4006="Kelebihan ganti dikembalikan",AND(C4006="Kantong Uang Riba",G4006="Pengeluaran"))),1,0)</f>
        <v/>
      </c>
      <c r="X4006" s="93">
        <f>IF(AND(B4006&lt;&gt;"",B4006&gt;='Buku Akun'!$H$4,B4006&lt;='Buku Akun'!$H$5,OR(C4006='Buku Akun'!$C$4,AND(D4006="Pindah",E4006='Buku Akun'!$C$4))),B4006+IF(AND(I4006="Selisih bunga",DAY(B4006)=1),0,0.01)+ROW()/10000000,"")</f>
        <v/>
      </c>
    </row>
    <row r="4007" outlineLevel="1" ht="15" customHeight="1" s="94">
      <c r="A4007" s="123">
        <f>IF(B4007="","",ROW()-15)</f>
        <v/>
      </c>
      <c r="B4007" s="124" t="n"/>
      <c r="C4007" s="123" t="n"/>
      <c r="D4007" s="123" t="n"/>
      <c r="E4007" s="123" t="n"/>
      <c r="F4007" s="125" t="n"/>
      <c r="G4007" s="123" t="n"/>
      <c r="H4007" s="123" t="n"/>
      <c r="I4007" s="123" t="n"/>
      <c r="J4007" s="123" t="n"/>
      <c r="K4007" s="123" t="n"/>
      <c r="L4007" s="123" t="n"/>
      <c r="M4007" s="123">
        <f>IF(AND(B4007&lt;&gt;"",OR($C$4="",ISNUMBER(SEARCH($C$4,C4007&amp;" "&amp;E4007&amp;" "&amp;G4007&amp;" "&amp;H4007&amp;" "&amp;I4007&amp;" "&amp;J4007&amp;" "&amp;K4007&amp;" "&amp;L4007))),OR($C$5="Semua",$C$5="",G4007=$C$5),OR($C$6="Semua",$C$6="",H4007=$C$6,H4007="Pengeluaran "&amp;$C$6,AND($C$6="Uang Kos Mama",H4007="Pengeluaran Uang Kos")),OR($C$7="Semua",$C$7="",I4007=$C$7),OR($C$8="Semua",$C$8="",C4007=$C$8,E4007=$C$8),OR($C$9="Semua",$C$9="",D4007=$C$9),OR($C$10="",B4007&gt;=$C$10),OR($C$11="",B4007&lt;=$C$11),OR($C$12&lt;&gt;"Ya",K4007&lt;&gt;""),OR($C$13="Semua",$C$13="",L4007=$C$13)),"✓","")</f>
        <v/>
      </c>
      <c r="N4007" s="93">
        <f>N(N4006)+IF(M4007="✓",1,0)</f>
        <v/>
      </c>
      <c r="O4007" s="93">
        <f>N(O4006)+IF(AND(B4007&lt;&gt;"",B4007&gt;='Uang Riba'!$H$30,B4007&lt;='Uang Riba'!$I$30,OR(H4007="Dana riba",H4007="Pinjam uang riba",I4007="Pinjam dari uang riba",I4007="Ganti uang riba",I4007="Kelebihan ganti dikembalikan",AND(C4007="Kantong Uang Riba",G4007="Pengeluaran"))),1,0)</f>
        <v/>
      </c>
      <c r="X4007" s="93">
        <f>IF(AND(B4007&lt;&gt;"",B4007&gt;='Buku Akun'!$H$4,B4007&lt;='Buku Akun'!$H$5,OR(C4007='Buku Akun'!$C$4,AND(D4007="Pindah",E4007='Buku Akun'!$C$4))),B4007+IF(AND(I4007="Selisih bunga",DAY(B4007)=1),0,0.01)+ROW()/10000000,"")</f>
        <v/>
      </c>
    </row>
    <row r="4008" outlineLevel="1" ht="15" customHeight="1" s="94">
      <c r="A4008" s="123">
        <f>IF(B4008="","",ROW()-15)</f>
        <v/>
      </c>
      <c r="B4008" s="124" t="n"/>
      <c r="C4008" s="123" t="n"/>
      <c r="D4008" s="123" t="n"/>
      <c r="E4008" s="123" t="n"/>
      <c r="F4008" s="125" t="n"/>
      <c r="G4008" s="123" t="n"/>
      <c r="H4008" s="123" t="n"/>
      <c r="I4008" s="123" t="n"/>
      <c r="J4008" s="123" t="n"/>
      <c r="K4008" s="123" t="n"/>
      <c r="L4008" s="123" t="n"/>
      <c r="M4008" s="123">
        <f>IF(AND(B4008&lt;&gt;"",OR($C$4="",ISNUMBER(SEARCH($C$4,C4008&amp;" "&amp;E4008&amp;" "&amp;G4008&amp;" "&amp;H4008&amp;" "&amp;I4008&amp;" "&amp;J4008&amp;" "&amp;K4008&amp;" "&amp;L4008))),OR($C$5="Semua",$C$5="",G4008=$C$5),OR($C$6="Semua",$C$6="",H4008=$C$6,H4008="Pengeluaran "&amp;$C$6,AND($C$6="Uang Kos Mama",H4008="Pengeluaran Uang Kos")),OR($C$7="Semua",$C$7="",I4008=$C$7),OR($C$8="Semua",$C$8="",C4008=$C$8,E4008=$C$8),OR($C$9="Semua",$C$9="",D4008=$C$9),OR($C$10="",B4008&gt;=$C$10),OR($C$11="",B4008&lt;=$C$11),OR($C$12&lt;&gt;"Ya",K4008&lt;&gt;""),OR($C$13="Semua",$C$13="",L4008=$C$13)),"✓","")</f>
        <v/>
      </c>
      <c r="N4008" s="93">
        <f>N(N4007)+IF(M4008="✓",1,0)</f>
        <v/>
      </c>
      <c r="O4008" s="93">
        <f>N(O4007)+IF(AND(B4008&lt;&gt;"",B4008&gt;='Uang Riba'!$H$30,B4008&lt;='Uang Riba'!$I$30,OR(H4008="Dana riba",H4008="Pinjam uang riba",I4008="Pinjam dari uang riba",I4008="Ganti uang riba",I4008="Kelebihan ganti dikembalikan",AND(C4008="Kantong Uang Riba",G4008="Pengeluaran"))),1,0)</f>
        <v/>
      </c>
      <c r="X4008" s="93">
        <f>IF(AND(B4008&lt;&gt;"",B4008&gt;='Buku Akun'!$H$4,B4008&lt;='Buku Akun'!$H$5,OR(C4008='Buku Akun'!$C$4,AND(D4008="Pindah",E4008='Buku Akun'!$C$4))),B4008+IF(AND(I4008="Selisih bunga",DAY(B4008)=1),0,0.01)+ROW()/10000000,"")</f>
        <v/>
      </c>
    </row>
    <row r="4009" outlineLevel="1" ht="15" customHeight="1" s="94">
      <c r="A4009" s="123">
        <f>IF(B4009="","",ROW()-15)</f>
        <v/>
      </c>
      <c r="B4009" s="124" t="n"/>
      <c r="C4009" s="123" t="n"/>
      <c r="D4009" s="123" t="n"/>
      <c r="E4009" s="123" t="n"/>
      <c r="F4009" s="125" t="n"/>
      <c r="G4009" s="123" t="n"/>
      <c r="H4009" s="123" t="n"/>
      <c r="I4009" s="123" t="n"/>
      <c r="J4009" s="123" t="n"/>
      <c r="K4009" s="123" t="n"/>
      <c r="L4009" s="123" t="n"/>
      <c r="M4009" s="123">
        <f>IF(AND(B4009&lt;&gt;"",OR($C$4="",ISNUMBER(SEARCH($C$4,C4009&amp;" "&amp;E4009&amp;" "&amp;G4009&amp;" "&amp;H4009&amp;" "&amp;I4009&amp;" "&amp;J4009&amp;" "&amp;K4009&amp;" "&amp;L4009))),OR($C$5="Semua",$C$5="",G4009=$C$5),OR($C$6="Semua",$C$6="",H4009=$C$6,H4009="Pengeluaran "&amp;$C$6,AND($C$6="Uang Kos Mama",H4009="Pengeluaran Uang Kos")),OR($C$7="Semua",$C$7="",I4009=$C$7),OR($C$8="Semua",$C$8="",C4009=$C$8,E4009=$C$8),OR($C$9="Semua",$C$9="",D4009=$C$9),OR($C$10="",B4009&gt;=$C$10),OR($C$11="",B4009&lt;=$C$11),OR($C$12&lt;&gt;"Ya",K4009&lt;&gt;""),OR($C$13="Semua",$C$13="",L4009=$C$13)),"✓","")</f>
        <v/>
      </c>
      <c r="N4009" s="93">
        <f>N(N4008)+IF(M4009="✓",1,0)</f>
        <v/>
      </c>
      <c r="O4009" s="93">
        <f>N(O4008)+IF(AND(B4009&lt;&gt;"",B4009&gt;='Uang Riba'!$H$30,B4009&lt;='Uang Riba'!$I$30,OR(H4009="Dana riba",H4009="Pinjam uang riba",I4009="Pinjam dari uang riba",I4009="Ganti uang riba",I4009="Kelebihan ganti dikembalikan",AND(C4009="Kantong Uang Riba",G4009="Pengeluaran"))),1,0)</f>
        <v/>
      </c>
      <c r="X4009" s="93">
        <f>IF(AND(B4009&lt;&gt;"",B4009&gt;='Buku Akun'!$H$4,B4009&lt;='Buku Akun'!$H$5,OR(C4009='Buku Akun'!$C$4,AND(D4009="Pindah",E4009='Buku Akun'!$C$4))),B4009+IF(AND(I4009="Selisih bunga",DAY(B4009)=1),0,0.01)+ROW()/10000000,"")</f>
        <v/>
      </c>
    </row>
    <row r="4010" outlineLevel="1" ht="15" customHeight="1" s="94">
      <c r="A4010" s="123">
        <f>IF(B4010="","",ROW()-15)</f>
        <v/>
      </c>
      <c r="B4010" s="124" t="n"/>
      <c r="C4010" s="123" t="n"/>
      <c r="D4010" s="123" t="n"/>
      <c r="E4010" s="123" t="n"/>
      <c r="F4010" s="125" t="n"/>
      <c r="G4010" s="123" t="n"/>
      <c r="H4010" s="123" t="n"/>
      <c r="I4010" s="123" t="n"/>
      <c r="J4010" s="123" t="n"/>
      <c r="K4010" s="123" t="n"/>
      <c r="L4010" s="123" t="n"/>
      <c r="M4010" s="123">
        <f>IF(AND(B4010&lt;&gt;"",OR($C$4="",ISNUMBER(SEARCH($C$4,C4010&amp;" "&amp;E4010&amp;" "&amp;G4010&amp;" "&amp;H4010&amp;" "&amp;I4010&amp;" "&amp;J4010&amp;" "&amp;K4010&amp;" "&amp;L4010))),OR($C$5="Semua",$C$5="",G4010=$C$5),OR($C$6="Semua",$C$6="",H4010=$C$6,H4010="Pengeluaran "&amp;$C$6,AND($C$6="Uang Kos Mama",H4010="Pengeluaran Uang Kos")),OR($C$7="Semua",$C$7="",I4010=$C$7),OR($C$8="Semua",$C$8="",C4010=$C$8,E4010=$C$8),OR($C$9="Semua",$C$9="",D4010=$C$9),OR($C$10="",B4010&gt;=$C$10),OR($C$11="",B4010&lt;=$C$11),OR($C$12&lt;&gt;"Ya",K4010&lt;&gt;""),OR($C$13="Semua",$C$13="",L4010=$C$13)),"✓","")</f>
        <v/>
      </c>
      <c r="N4010" s="93">
        <f>N(N4009)+IF(M4010="✓",1,0)</f>
        <v/>
      </c>
      <c r="O4010" s="93">
        <f>N(O4009)+IF(AND(B4010&lt;&gt;"",B4010&gt;='Uang Riba'!$H$30,B4010&lt;='Uang Riba'!$I$30,OR(H4010="Dana riba",H4010="Pinjam uang riba",I4010="Pinjam dari uang riba",I4010="Ganti uang riba",I4010="Kelebihan ganti dikembalikan",AND(C4010="Kantong Uang Riba",G4010="Pengeluaran"))),1,0)</f>
        <v/>
      </c>
      <c r="X4010" s="93">
        <f>IF(AND(B4010&lt;&gt;"",B4010&gt;='Buku Akun'!$H$4,B4010&lt;='Buku Akun'!$H$5,OR(C4010='Buku Akun'!$C$4,AND(D4010="Pindah",E4010='Buku Akun'!$C$4))),B4010+IF(AND(I4010="Selisih bunga",DAY(B4010)=1),0,0.01)+ROW()/10000000,"")</f>
        <v/>
      </c>
    </row>
    <row r="4011" outlineLevel="1" ht="15" customHeight="1" s="94">
      <c r="A4011" s="123">
        <f>IF(B4011="","",ROW()-15)</f>
        <v/>
      </c>
      <c r="B4011" s="124" t="n"/>
      <c r="C4011" s="123" t="n"/>
      <c r="D4011" s="123" t="n"/>
      <c r="E4011" s="123" t="n"/>
      <c r="F4011" s="125" t="n"/>
      <c r="G4011" s="123" t="n"/>
      <c r="H4011" s="123" t="n"/>
      <c r="I4011" s="123" t="n"/>
      <c r="J4011" s="123" t="n"/>
      <c r="K4011" s="123" t="n"/>
      <c r="L4011" s="123" t="n"/>
      <c r="M4011" s="123">
        <f>IF(AND(B4011&lt;&gt;"",OR($C$4="",ISNUMBER(SEARCH($C$4,C4011&amp;" "&amp;E4011&amp;" "&amp;G4011&amp;" "&amp;H4011&amp;" "&amp;I4011&amp;" "&amp;J4011&amp;" "&amp;K4011&amp;" "&amp;L4011))),OR($C$5="Semua",$C$5="",G4011=$C$5),OR($C$6="Semua",$C$6="",H4011=$C$6,H4011="Pengeluaran "&amp;$C$6,AND($C$6="Uang Kos Mama",H4011="Pengeluaran Uang Kos")),OR($C$7="Semua",$C$7="",I4011=$C$7),OR($C$8="Semua",$C$8="",C4011=$C$8,E4011=$C$8),OR($C$9="Semua",$C$9="",D4011=$C$9),OR($C$10="",B4011&gt;=$C$10),OR($C$11="",B4011&lt;=$C$11),OR($C$12&lt;&gt;"Ya",K4011&lt;&gt;""),OR($C$13="Semua",$C$13="",L4011=$C$13)),"✓","")</f>
        <v/>
      </c>
      <c r="N4011" s="93">
        <f>N(N4010)+IF(M4011="✓",1,0)</f>
        <v/>
      </c>
      <c r="O4011" s="93">
        <f>N(O4010)+IF(AND(B4011&lt;&gt;"",B4011&gt;='Uang Riba'!$H$30,B4011&lt;='Uang Riba'!$I$30,OR(H4011="Dana riba",H4011="Pinjam uang riba",I4011="Pinjam dari uang riba",I4011="Ganti uang riba",I4011="Kelebihan ganti dikembalikan",AND(C4011="Kantong Uang Riba",G4011="Pengeluaran"))),1,0)</f>
        <v/>
      </c>
      <c r="X4011" s="93">
        <f>IF(AND(B4011&lt;&gt;"",B4011&gt;='Buku Akun'!$H$4,B4011&lt;='Buku Akun'!$H$5,OR(C4011='Buku Akun'!$C$4,AND(D4011="Pindah",E4011='Buku Akun'!$C$4))),B4011+IF(AND(I4011="Selisih bunga",DAY(B4011)=1),0,0.01)+ROW()/10000000,"")</f>
        <v/>
      </c>
    </row>
    <row r="4012" outlineLevel="1" ht="15" customHeight="1" s="94">
      <c r="A4012" s="123">
        <f>IF(B4012="","",ROW()-15)</f>
        <v/>
      </c>
      <c r="B4012" s="124" t="n"/>
      <c r="C4012" s="123" t="n"/>
      <c r="D4012" s="123" t="n"/>
      <c r="E4012" s="123" t="n"/>
      <c r="F4012" s="125" t="n"/>
      <c r="G4012" s="123" t="n"/>
      <c r="H4012" s="123" t="n"/>
      <c r="I4012" s="123" t="n"/>
      <c r="J4012" s="123" t="n"/>
      <c r="K4012" s="123" t="n"/>
      <c r="L4012" s="123" t="n"/>
      <c r="M4012" s="123">
        <f>IF(AND(B4012&lt;&gt;"",OR($C$4="",ISNUMBER(SEARCH($C$4,C4012&amp;" "&amp;E4012&amp;" "&amp;G4012&amp;" "&amp;H4012&amp;" "&amp;I4012&amp;" "&amp;J4012&amp;" "&amp;K4012&amp;" "&amp;L4012))),OR($C$5="Semua",$C$5="",G4012=$C$5),OR($C$6="Semua",$C$6="",H4012=$C$6,H4012="Pengeluaran "&amp;$C$6,AND($C$6="Uang Kos Mama",H4012="Pengeluaran Uang Kos")),OR($C$7="Semua",$C$7="",I4012=$C$7),OR($C$8="Semua",$C$8="",C4012=$C$8,E4012=$C$8),OR($C$9="Semua",$C$9="",D4012=$C$9),OR($C$10="",B4012&gt;=$C$10),OR($C$11="",B4012&lt;=$C$11),OR($C$12&lt;&gt;"Ya",K4012&lt;&gt;""),OR($C$13="Semua",$C$13="",L4012=$C$13)),"✓","")</f>
        <v/>
      </c>
      <c r="N4012" s="93">
        <f>N(N4011)+IF(M4012="✓",1,0)</f>
        <v/>
      </c>
      <c r="O4012" s="93">
        <f>N(O4011)+IF(AND(B4012&lt;&gt;"",B4012&gt;='Uang Riba'!$H$30,B4012&lt;='Uang Riba'!$I$30,OR(H4012="Dana riba",H4012="Pinjam uang riba",I4012="Pinjam dari uang riba",I4012="Ganti uang riba",I4012="Kelebihan ganti dikembalikan",AND(C4012="Kantong Uang Riba",G4012="Pengeluaran"))),1,0)</f>
        <v/>
      </c>
      <c r="X4012" s="93">
        <f>IF(AND(B4012&lt;&gt;"",B4012&gt;='Buku Akun'!$H$4,B4012&lt;='Buku Akun'!$H$5,OR(C4012='Buku Akun'!$C$4,AND(D4012="Pindah",E4012='Buku Akun'!$C$4))),B4012+IF(AND(I4012="Selisih bunga",DAY(B4012)=1),0,0.01)+ROW()/10000000,"")</f>
        <v/>
      </c>
    </row>
    <row r="4013" outlineLevel="1" ht="15" customHeight="1" s="94">
      <c r="A4013" s="123">
        <f>IF(B4013="","",ROW()-15)</f>
        <v/>
      </c>
      <c r="B4013" s="124" t="n"/>
      <c r="C4013" s="123" t="n"/>
      <c r="D4013" s="123" t="n"/>
      <c r="E4013" s="123" t="n"/>
      <c r="F4013" s="125" t="n"/>
      <c r="G4013" s="123" t="n"/>
      <c r="H4013" s="123" t="n"/>
      <c r="I4013" s="123" t="n"/>
      <c r="J4013" s="123" t="n"/>
      <c r="K4013" s="123" t="n"/>
      <c r="L4013" s="123" t="n"/>
      <c r="M4013" s="123">
        <f>IF(AND(B4013&lt;&gt;"",OR($C$4="",ISNUMBER(SEARCH($C$4,C4013&amp;" "&amp;E4013&amp;" "&amp;G4013&amp;" "&amp;H4013&amp;" "&amp;I4013&amp;" "&amp;J4013&amp;" "&amp;K4013&amp;" "&amp;L4013))),OR($C$5="Semua",$C$5="",G4013=$C$5),OR($C$6="Semua",$C$6="",H4013=$C$6,H4013="Pengeluaran "&amp;$C$6,AND($C$6="Uang Kos Mama",H4013="Pengeluaran Uang Kos")),OR($C$7="Semua",$C$7="",I4013=$C$7),OR($C$8="Semua",$C$8="",C4013=$C$8,E4013=$C$8),OR($C$9="Semua",$C$9="",D4013=$C$9),OR($C$10="",B4013&gt;=$C$10),OR($C$11="",B4013&lt;=$C$11),OR($C$12&lt;&gt;"Ya",K4013&lt;&gt;""),OR($C$13="Semua",$C$13="",L4013=$C$13)),"✓","")</f>
        <v/>
      </c>
      <c r="N4013" s="93">
        <f>N(N4012)+IF(M4013="✓",1,0)</f>
        <v/>
      </c>
      <c r="O4013" s="93">
        <f>N(O4012)+IF(AND(B4013&lt;&gt;"",B4013&gt;='Uang Riba'!$H$30,B4013&lt;='Uang Riba'!$I$30,OR(H4013="Dana riba",H4013="Pinjam uang riba",I4013="Pinjam dari uang riba",I4013="Ganti uang riba",I4013="Kelebihan ganti dikembalikan",AND(C4013="Kantong Uang Riba",G4013="Pengeluaran"))),1,0)</f>
        <v/>
      </c>
      <c r="X4013" s="93">
        <f>IF(AND(B4013&lt;&gt;"",B4013&gt;='Buku Akun'!$H$4,B4013&lt;='Buku Akun'!$H$5,OR(C4013='Buku Akun'!$C$4,AND(D4013="Pindah",E4013='Buku Akun'!$C$4))),B4013+IF(AND(I4013="Selisih bunga",DAY(B4013)=1),0,0.01)+ROW()/10000000,"")</f>
        <v/>
      </c>
    </row>
    <row r="4014" outlineLevel="1" ht="15" customHeight="1" s="94">
      <c r="A4014" s="123">
        <f>IF(B4014="","",ROW()-15)</f>
        <v/>
      </c>
      <c r="B4014" s="124" t="n"/>
      <c r="C4014" s="123" t="n"/>
      <c r="D4014" s="123" t="n"/>
      <c r="E4014" s="123" t="n"/>
      <c r="F4014" s="125" t="n"/>
      <c r="G4014" s="123" t="n"/>
      <c r="H4014" s="123" t="n"/>
      <c r="I4014" s="123" t="n"/>
      <c r="J4014" s="123" t="n"/>
      <c r="K4014" s="123" t="n"/>
      <c r="L4014" s="123" t="n"/>
      <c r="M4014" s="123">
        <f>IF(AND(B4014&lt;&gt;"",OR($C$4="",ISNUMBER(SEARCH($C$4,C4014&amp;" "&amp;E4014&amp;" "&amp;G4014&amp;" "&amp;H4014&amp;" "&amp;I4014&amp;" "&amp;J4014&amp;" "&amp;K4014&amp;" "&amp;L4014))),OR($C$5="Semua",$C$5="",G4014=$C$5),OR($C$6="Semua",$C$6="",H4014=$C$6,H4014="Pengeluaran "&amp;$C$6,AND($C$6="Uang Kos Mama",H4014="Pengeluaran Uang Kos")),OR($C$7="Semua",$C$7="",I4014=$C$7),OR($C$8="Semua",$C$8="",C4014=$C$8,E4014=$C$8),OR($C$9="Semua",$C$9="",D4014=$C$9),OR($C$10="",B4014&gt;=$C$10),OR($C$11="",B4014&lt;=$C$11),OR($C$12&lt;&gt;"Ya",K4014&lt;&gt;""),OR($C$13="Semua",$C$13="",L4014=$C$13)),"✓","")</f>
        <v/>
      </c>
      <c r="N4014" s="93">
        <f>N(N4013)+IF(M4014="✓",1,0)</f>
        <v/>
      </c>
      <c r="O4014" s="93">
        <f>N(O4013)+IF(AND(B4014&lt;&gt;"",B4014&gt;='Uang Riba'!$H$30,B4014&lt;='Uang Riba'!$I$30,OR(H4014="Dana riba",H4014="Pinjam uang riba",I4014="Pinjam dari uang riba",I4014="Ganti uang riba",I4014="Kelebihan ganti dikembalikan",AND(C4014="Kantong Uang Riba",G4014="Pengeluaran"))),1,0)</f>
        <v/>
      </c>
      <c r="X4014" s="93">
        <f>IF(AND(B4014&lt;&gt;"",B4014&gt;='Buku Akun'!$H$4,B4014&lt;='Buku Akun'!$H$5,OR(C4014='Buku Akun'!$C$4,AND(D4014="Pindah",E4014='Buku Akun'!$C$4))),B4014+IF(AND(I4014="Selisih bunga",DAY(B4014)=1),0,0.01)+ROW()/10000000,"")</f>
        <v/>
      </c>
    </row>
    <row r="4015" outlineLevel="1" ht="15" customHeight="1" s="94">
      <c r="A4015" s="123">
        <f>IF(B4015="","",ROW()-15)</f>
        <v/>
      </c>
      <c r="B4015" s="124" t="n"/>
      <c r="C4015" s="123" t="n"/>
      <c r="D4015" s="123" t="n"/>
      <c r="E4015" s="123" t="n"/>
      <c r="F4015" s="125" t="n"/>
      <c r="G4015" s="123" t="n"/>
      <c r="H4015" s="123" t="n"/>
      <c r="I4015" s="123" t="n"/>
      <c r="J4015" s="123" t="n"/>
      <c r="K4015" s="123" t="n"/>
      <c r="L4015" s="123" t="n"/>
      <c r="M4015" s="123">
        <f>IF(AND(B4015&lt;&gt;"",OR($C$4="",ISNUMBER(SEARCH($C$4,C4015&amp;" "&amp;E4015&amp;" "&amp;G4015&amp;" "&amp;H4015&amp;" "&amp;I4015&amp;" "&amp;J4015&amp;" "&amp;K4015&amp;" "&amp;L4015))),OR($C$5="Semua",$C$5="",G4015=$C$5),OR($C$6="Semua",$C$6="",H4015=$C$6,H4015="Pengeluaran "&amp;$C$6,AND($C$6="Uang Kos Mama",H4015="Pengeluaran Uang Kos")),OR($C$7="Semua",$C$7="",I4015=$C$7),OR($C$8="Semua",$C$8="",C4015=$C$8,E4015=$C$8),OR($C$9="Semua",$C$9="",D4015=$C$9),OR($C$10="",B4015&gt;=$C$10),OR($C$11="",B4015&lt;=$C$11),OR($C$12&lt;&gt;"Ya",K4015&lt;&gt;""),OR($C$13="Semua",$C$13="",L4015=$C$13)),"✓","")</f>
        <v/>
      </c>
      <c r="N4015" s="93">
        <f>N(N4014)+IF(M4015="✓",1,0)</f>
        <v/>
      </c>
      <c r="O4015" s="93">
        <f>N(O4014)+IF(AND(B4015&lt;&gt;"",B4015&gt;='Uang Riba'!$H$30,B4015&lt;='Uang Riba'!$I$30,OR(H4015="Dana riba",H4015="Pinjam uang riba",I4015="Pinjam dari uang riba",I4015="Ganti uang riba",I4015="Kelebihan ganti dikembalikan",AND(C4015="Kantong Uang Riba",G4015="Pengeluaran"))),1,0)</f>
        <v/>
      </c>
      <c r="X4015" s="93">
        <f>IF(AND(B4015&lt;&gt;"",B4015&gt;='Buku Akun'!$H$4,B4015&lt;='Buku Akun'!$H$5,OR(C4015='Buku Akun'!$C$4,AND(D4015="Pindah",E4015='Buku Akun'!$C$4))),B4015+IF(AND(I4015="Selisih bunga",DAY(B4015)=1),0,0.01)+ROW()/10000000,"")</f>
        <v/>
      </c>
    </row>
    <row r="4016" outlineLevel="1" ht="15" customHeight="1" s="94">
      <c r="A4016" s="123">
        <f>IF(B4016="","",ROW()-15)</f>
        <v/>
      </c>
      <c r="B4016" s="124" t="n"/>
      <c r="C4016" s="123" t="n"/>
      <c r="D4016" s="123" t="n"/>
      <c r="E4016" s="123" t="n"/>
      <c r="F4016" s="125" t="n"/>
      <c r="G4016" s="123" t="n"/>
      <c r="H4016" s="123" t="n"/>
      <c r="I4016" s="123" t="n"/>
      <c r="J4016" s="123" t="n"/>
      <c r="K4016" s="123" t="n"/>
      <c r="L4016" s="123" t="n"/>
      <c r="M4016" s="123">
        <f>IF(AND(B4016&lt;&gt;"",OR($C$4="",ISNUMBER(SEARCH($C$4,C4016&amp;" "&amp;E4016&amp;" "&amp;G4016&amp;" "&amp;H4016&amp;" "&amp;I4016&amp;" "&amp;J4016&amp;" "&amp;K4016&amp;" "&amp;L4016))),OR($C$5="Semua",$C$5="",G4016=$C$5),OR($C$6="Semua",$C$6="",H4016=$C$6,H4016="Pengeluaran "&amp;$C$6,AND($C$6="Uang Kos Mama",H4016="Pengeluaran Uang Kos")),OR($C$7="Semua",$C$7="",I4016=$C$7),OR($C$8="Semua",$C$8="",C4016=$C$8,E4016=$C$8),OR($C$9="Semua",$C$9="",D4016=$C$9),OR($C$10="",B4016&gt;=$C$10),OR($C$11="",B4016&lt;=$C$11),OR($C$12&lt;&gt;"Ya",K4016&lt;&gt;""),OR($C$13="Semua",$C$13="",L4016=$C$13)),"✓","")</f>
        <v/>
      </c>
      <c r="N4016" s="93">
        <f>N(N4015)+IF(M4016="✓",1,0)</f>
        <v/>
      </c>
      <c r="O4016" s="93">
        <f>N(O4015)+IF(AND(B4016&lt;&gt;"",B4016&gt;='Uang Riba'!$H$30,B4016&lt;='Uang Riba'!$I$30,OR(H4016="Dana riba",H4016="Pinjam uang riba",I4016="Pinjam dari uang riba",I4016="Ganti uang riba",I4016="Kelebihan ganti dikembalikan",AND(C4016="Kantong Uang Riba",G4016="Pengeluaran"))),1,0)</f>
        <v/>
      </c>
      <c r="X4016" s="93">
        <f>IF(AND(B4016&lt;&gt;"",B4016&gt;='Buku Akun'!$H$4,B4016&lt;='Buku Akun'!$H$5,OR(C4016='Buku Akun'!$C$4,AND(D4016="Pindah",E4016='Buku Akun'!$C$4))),B4016+IF(AND(I4016="Selisih bunga",DAY(B4016)=1),0,0.01)+ROW()/10000000,"")</f>
        <v/>
      </c>
    </row>
    <row r="4017" outlineLevel="1" ht="15" customHeight="1" s="94">
      <c r="A4017" s="123">
        <f>IF(B4017="","",ROW()-15)</f>
        <v/>
      </c>
      <c r="B4017" s="124" t="n"/>
      <c r="C4017" s="123" t="n"/>
      <c r="D4017" s="123" t="n"/>
      <c r="E4017" s="123" t="n"/>
      <c r="F4017" s="125" t="n"/>
      <c r="G4017" s="123" t="n"/>
      <c r="H4017" s="123" t="n"/>
      <c r="I4017" s="123" t="n"/>
      <c r="J4017" s="123" t="n"/>
      <c r="K4017" s="123" t="n"/>
      <c r="L4017" s="123" t="n"/>
      <c r="M4017" s="123">
        <f>IF(AND(B4017&lt;&gt;"",OR($C$4="",ISNUMBER(SEARCH($C$4,C4017&amp;" "&amp;E4017&amp;" "&amp;G4017&amp;" "&amp;H4017&amp;" "&amp;I4017&amp;" "&amp;J4017&amp;" "&amp;K4017&amp;" "&amp;L4017))),OR($C$5="Semua",$C$5="",G4017=$C$5),OR($C$6="Semua",$C$6="",H4017=$C$6,H4017="Pengeluaran "&amp;$C$6,AND($C$6="Uang Kos Mama",H4017="Pengeluaran Uang Kos")),OR($C$7="Semua",$C$7="",I4017=$C$7),OR($C$8="Semua",$C$8="",C4017=$C$8,E4017=$C$8),OR($C$9="Semua",$C$9="",D4017=$C$9),OR($C$10="",B4017&gt;=$C$10),OR($C$11="",B4017&lt;=$C$11),OR($C$12&lt;&gt;"Ya",K4017&lt;&gt;""),OR($C$13="Semua",$C$13="",L4017=$C$13)),"✓","")</f>
        <v/>
      </c>
      <c r="N4017" s="93">
        <f>N(N4016)+IF(M4017="✓",1,0)</f>
        <v/>
      </c>
      <c r="O4017" s="93">
        <f>N(O4016)+IF(AND(B4017&lt;&gt;"",B4017&gt;='Uang Riba'!$H$30,B4017&lt;='Uang Riba'!$I$30,OR(H4017="Dana riba",H4017="Pinjam uang riba",I4017="Pinjam dari uang riba",I4017="Ganti uang riba",I4017="Kelebihan ganti dikembalikan",AND(C4017="Kantong Uang Riba",G4017="Pengeluaran"))),1,0)</f>
        <v/>
      </c>
      <c r="X4017" s="93">
        <f>IF(AND(B4017&lt;&gt;"",B4017&gt;='Buku Akun'!$H$4,B4017&lt;='Buku Akun'!$H$5,OR(C4017='Buku Akun'!$C$4,AND(D4017="Pindah",E4017='Buku Akun'!$C$4))),B4017+IF(AND(I4017="Selisih bunga",DAY(B4017)=1),0,0.01)+ROW()/10000000,"")</f>
        <v/>
      </c>
    </row>
    <row r="4018" outlineLevel="1" ht="15" customHeight="1" s="94">
      <c r="A4018" s="123">
        <f>IF(B4018="","",ROW()-15)</f>
        <v/>
      </c>
      <c r="B4018" s="124" t="n"/>
      <c r="C4018" s="123" t="n"/>
      <c r="D4018" s="123" t="n"/>
      <c r="E4018" s="123" t="n"/>
      <c r="F4018" s="125" t="n"/>
      <c r="G4018" s="123" t="n"/>
      <c r="H4018" s="123" t="n"/>
      <c r="I4018" s="123" t="n"/>
      <c r="J4018" s="123" t="n"/>
      <c r="K4018" s="123" t="n"/>
      <c r="L4018" s="123" t="n"/>
      <c r="M4018" s="123">
        <f>IF(AND(B4018&lt;&gt;"",OR($C$4="",ISNUMBER(SEARCH($C$4,C4018&amp;" "&amp;E4018&amp;" "&amp;G4018&amp;" "&amp;H4018&amp;" "&amp;I4018&amp;" "&amp;J4018&amp;" "&amp;K4018&amp;" "&amp;L4018))),OR($C$5="Semua",$C$5="",G4018=$C$5),OR($C$6="Semua",$C$6="",H4018=$C$6,H4018="Pengeluaran "&amp;$C$6,AND($C$6="Uang Kos Mama",H4018="Pengeluaran Uang Kos")),OR($C$7="Semua",$C$7="",I4018=$C$7),OR($C$8="Semua",$C$8="",C4018=$C$8,E4018=$C$8),OR($C$9="Semua",$C$9="",D4018=$C$9),OR($C$10="",B4018&gt;=$C$10),OR($C$11="",B4018&lt;=$C$11),OR($C$12&lt;&gt;"Ya",K4018&lt;&gt;""),OR($C$13="Semua",$C$13="",L4018=$C$13)),"✓","")</f>
        <v/>
      </c>
      <c r="N4018" s="93">
        <f>N(N4017)+IF(M4018="✓",1,0)</f>
        <v/>
      </c>
      <c r="O4018" s="93">
        <f>N(O4017)+IF(AND(B4018&lt;&gt;"",B4018&gt;='Uang Riba'!$H$30,B4018&lt;='Uang Riba'!$I$30,OR(H4018="Dana riba",H4018="Pinjam uang riba",I4018="Pinjam dari uang riba",I4018="Ganti uang riba",I4018="Kelebihan ganti dikembalikan",AND(C4018="Kantong Uang Riba",G4018="Pengeluaran"))),1,0)</f>
        <v/>
      </c>
      <c r="X4018" s="93">
        <f>IF(AND(B4018&lt;&gt;"",B4018&gt;='Buku Akun'!$H$4,B4018&lt;='Buku Akun'!$H$5,OR(C4018='Buku Akun'!$C$4,AND(D4018="Pindah",E4018='Buku Akun'!$C$4))),B4018+IF(AND(I4018="Selisih bunga",DAY(B4018)=1),0,0.01)+ROW()/10000000,"")</f>
        <v/>
      </c>
    </row>
    <row r="4019" outlineLevel="1" ht="15" customHeight="1" s="94">
      <c r="A4019" s="123">
        <f>IF(B4019="","",ROW()-15)</f>
        <v/>
      </c>
      <c r="B4019" s="124" t="n"/>
      <c r="C4019" s="123" t="n"/>
      <c r="D4019" s="123" t="n"/>
      <c r="E4019" s="123" t="n"/>
      <c r="F4019" s="125" t="n"/>
      <c r="G4019" s="123" t="n"/>
      <c r="H4019" s="123" t="n"/>
      <c r="I4019" s="123" t="n"/>
      <c r="J4019" s="123" t="n"/>
      <c r="K4019" s="123" t="n"/>
      <c r="L4019" s="123" t="n"/>
      <c r="M4019" s="123">
        <f>IF(AND(B4019&lt;&gt;"",OR($C$4="",ISNUMBER(SEARCH($C$4,C4019&amp;" "&amp;E4019&amp;" "&amp;G4019&amp;" "&amp;H4019&amp;" "&amp;I4019&amp;" "&amp;J4019&amp;" "&amp;K4019&amp;" "&amp;L4019))),OR($C$5="Semua",$C$5="",G4019=$C$5),OR($C$6="Semua",$C$6="",H4019=$C$6,H4019="Pengeluaran "&amp;$C$6,AND($C$6="Uang Kos Mama",H4019="Pengeluaran Uang Kos")),OR($C$7="Semua",$C$7="",I4019=$C$7),OR($C$8="Semua",$C$8="",C4019=$C$8,E4019=$C$8),OR($C$9="Semua",$C$9="",D4019=$C$9),OR($C$10="",B4019&gt;=$C$10),OR($C$11="",B4019&lt;=$C$11),OR($C$12&lt;&gt;"Ya",K4019&lt;&gt;""),OR($C$13="Semua",$C$13="",L4019=$C$13)),"✓","")</f>
        <v/>
      </c>
      <c r="N4019" s="93">
        <f>N(N4018)+IF(M4019="✓",1,0)</f>
        <v/>
      </c>
      <c r="O4019" s="93">
        <f>N(O4018)+IF(AND(B4019&lt;&gt;"",B4019&gt;='Uang Riba'!$H$30,B4019&lt;='Uang Riba'!$I$30,OR(H4019="Dana riba",H4019="Pinjam uang riba",I4019="Pinjam dari uang riba",I4019="Ganti uang riba",I4019="Kelebihan ganti dikembalikan",AND(C4019="Kantong Uang Riba",G4019="Pengeluaran"))),1,0)</f>
        <v/>
      </c>
      <c r="X4019" s="93">
        <f>IF(AND(B4019&lt;&gt;"",B4019&gt;='Buku Akun'!$H$4,B4019&lt;='Buku Akun'!$H$5,OR(C4019='Buku Akun'!$C$4,AND(D4019="Pindah",E4019='Buku Akun'!$C$4))),B4019+IF(AND(I4019="Selisih bunga",DAY(B4019)=1),0,0.01)+ROW()/10000000,"")</f>
        <v/>
      </c>
    </row>
    <row r="4020" outlineLevel="1" ht="15" customHeight="1" s="94">
      <c r="A4020" s="123">
        <f>IF(B4020="","",ROW()-15)</f>
        <v/>
      </c>
      <c r="B4020" s="124" t="n"/>
      <c r="C4020" s="123" t="n"/>
      <c r="D4020" s="123" t="n"/>
      <c r="E4020" s="123" t="n"/>
      <c r="F4020" s="125" t="n"/>
      <c r="G4020" s="123" t="n"/>
      <c r="H4020" s="123" t="n"/>
      <c r="I4020" s="123" t="n"/>
      <c r="J4020" s="123" t="n"/>
      <c r="K4020" s="123" t="n"/>
      <c r="L4020" s="123" t="n"/>
      <c r="M4020" s="123">
        <f>IF(AND(B4020&lt;&gt;"",OR($C$4="",ISNUMBER(SEARCH($C$4,C4020&amp;" "&amp;E4020&amp;" "&amp;G4020&amp;" "&amp;H4020&amp;" "&amp;I4020&amp;" "&amp;J4020&amp;" "&amp;K4020&amp;" "&amp;L4020))),OR($C$5="Semua",$C$5="",G4020=$C$5),OR($C$6="Semua",$C$6="",H4020=$C$6,H4020="Pengeluaran "&amp;$C$6,AND($C$6="Uang Kos Mama",H4020="Pengeluaran Uang Kos")),OR($C$7="Semua",$C$7="",I4020=$C$7),OR($C$8="Semua",$C$8="",C4020=$C$8,E4020=$C$8),OR($C$9="Semua",$C$9="",D4020=$C$9),OR($C$10="",B4020&gt;=$C$10),OR($C$11="",B4020&lt;=$C$11),OR($C$12&lt;&gt;"Ya",K4020&lt;&gt;""),OR($C$13="Semua",$C$13="",L4020=$C$13)),"✓","")</f>
        <v/>
      </c>
      <c r="N4020" s="93">
        <f>N(N4019)+IF(M4020="✓",1,0)</f>
        <v/>
      </c>
      <c r="O4020" s="93">
        <f>N(O4019)+IF(AND(B4020&lt;&gt;"",B4020&gt;='Uang Riba'!$H$30,B4020&lt;='Uang Riba'!$I$30,OR(H4020="Dana riba",H4020="Pinjam uang riba",I4020="Pinjam dari uang riba",I4020="Ganti uang riba",I4020="Kelebihan ganti dikembalikan",AND(C4020="Kantong Uang Riba",G4020="Pengeluaran"))),1,0)</f>
        <v/>
      </c>
      <c r="X4020" s="93">
        <f>IF(AND(B4020&lt;&gt;"",B4020&gt;='Buku Akun'!$H$4,B4020&lt;='Buku Akun'!$H$5,OR(C4020='Buku Akun'!$C$4,AND(D4020="Pindah",E4020='Buku Akun'!$C$4))),B4020+IF(AND(I4020="Selisih bunga",DAY(B4020)=1),0,0.01)+ROW()/10000000,"")</f>
        <v/>
      </c>
    </row>
    <row r="4021" outlineLevel="1" ht="15" customHeight="1" s="94">
      <c r="A4021" s="123">
        <f>IF(B4021="","",ROW()-15)</f>
        <v/>
      </c>
      <c r="B4021" s="124" t="n"/>
      <c r="C4021" s="123" t="n"/>
      <c r="D4021" s="123" t="n"/>
      <c r="E4021" s="123" t="n"/>
      <c r="F4021" s="125" t="n"/>
      <c r="G4021" s="123" t="n"/>
      <c r="H4021" s="123" t="n"/>
      <c r="I4021" s="123" t="n"/>
      <c r="J4021" s="123" t="n"/>
      <c r="K4021" s="123" t="n"/>
      <c r="L4021" s="123" t="n"/>
      <c r="M4021" s="123">
        <f>IF(AND(B4021&lt;&gt;"",OR($C$4="",ISNUMBER(SEARCH($C$4,C4021&amp;" "&amp;E4021&amp;" "&amp;G4021&amp;" "&amp;H4021&amp;" "&amp;I4021&amp;" "&amp;J4021&amp;" "&amp;K4021&amp;" "&amp;L4021))),OR($C$5="Semua",$C$5="",G4021=$C$5),OR($C$6="Semua",$C$6="",H4021=$C$6,H4021="Pengeluaran "&amp;$C$6,AND($C$6="Uang Kos Mama",H4021="Pengeluaran Uang Kos")),OR($C$7="Semua",$C$7="",I4021=$C$7),OR($C$8="Semua",$C$8="",C4021=$C$8,E4021=$C$8),OR($C$9="Semua",$C$9="",D4021=$C$9),OR($C$10="",B4021&gt;=$C$10),OR($C$11="",B4021&lt;=$C$11),OR($C$12&lt;&gt;"Ya",K4021&lt;&gt;""),OR($C$13="Semua",$C$13="",L4021=$C$13)),"✓","")</f>
        <v/>
      </c>
      <c r="N4021" s="93">
        <f>N(N4020)+IF(M4021="✓",1,0)</f>
        <v/>
      </c>
      <c r="O4021" s="93">
        <f>N(O4020)+IF(AND(B4021&lt;&gt;"",B4021&gt;='Uang Riba'!$H$30,B4021&lt;='Uang Riba'!$I$30,OR(H4021="Dana riba",H4021="Pinjam uang riba",I4021="Pinjam dari uang riba",I4021="Ganti uang riba",I4021="Kelebihan ganti dikembalikan",AND(C4021="Kantong Uang Riba",G4021="Pengeluaran"))),1,0)</f>
        <v/>
      </c>
      <c r="X4021" s="93">
        <f>IF(AND(B4021&lt;&gt;"",B4021&gt;='Buku Akun'!$H$4,B4021&lt;='Buku Akun'!$H$5,OR(C4021='Buku Akun'!$C$4,AND(D4021="Pindah",E4021='Buku Akun'!$C$4))),B4021+IF(AND(I4021="Selisih bunga",DAY(B4021)=1),0,0.01)+ROW()/10000000,"")</f>
        <v/>
      </c>
    </row>
    <row r="4022" outlineLevel="1" ht="15" customHeight="1" s="94">
      <c r="A4022" s="123">
        <f>IF(B4022="","",ROW()-15)</f>
        <v/>
      </c>
      <c r="B4022" s="124" t="n"/>
      <c r="C4022" s="123" t="n"/>
      <c r="D4022" s="123" t="n"/>
      <c r="E4022" s="123" t="n"/>
      <c r="F4022" s="125" t="n"/>
      <c r="G4022" s="123" t="n"/>
      <c r="H4022" s="123" t="n"/>
      <c r="I4022" s="123" t="n"/>
      <c r="J4022" s="123" t="n"/>
      <c r="K4022" s="123" t="n"/>
      <c r="L4022" s="123" t="n"/>
      <c r="M4022" s="123">
        <f>IF(AND(B4022&lt;&gt;"",OR($C$4="",ISNUMBER(SEARCH($C$4,C4022&amp;" "&amp;E4022&amp;" "&amp;G4022&amp;" "&amp;H4022&amp;" "&amp;I4022&amp;" "&amp;J4022&amp;" "&amp;K4022&amp;" "&amp;L4022))),OR($C$5="Semua",$C$5="",G4022=$C$5),OR($C$6="Semua",$C$6="",H4022=$C$6,H4022="Pengeluaran "&amp;$C$6,AND($C$6="Uang Kos Mama",H4022="Pengeluaran Uang Kos")),OR($C$7="Semua",$C$7="",I4022=$C$7),OR($C$8="Semua",$C$8="",C4022=$C$8,E4022=$C$8),OR($C$9="Semua",$C$9="",D4022=$C$9),OR($C$10="",B4022&gt;=$C$10),OR($C$11="",B4022&lt;=$C$11),OR($C$12&lt;&gt;"Ya",K4022&lt;&gt;""),OR($C$13="Semua",$C$13="",L4022=$C$13)),"✓","")</f>
        <v/>
      </c>
      <c r="N4022" s="93">
        <f>N(N4021)+IF(M4022="✓",1,0)</f>
        <v/>
      </c>
      <c r="O4022" s="93">
        <f>N(O4021)+IF(AND(B4022&lt;&gt;"",B4022&gt;='Uang Riba'!$H$30,B4022&lt;='Uang Riba'!$I$30,OR(H4022="Dana riba",H4022="Pinjam uang riba",I4022="Pinjam dari uang riba",I4022="Ganti uang riba",I4022="Kelebihan ganti dikembalikan",AND(C4022="Kantong Uang Riba",G4022="Pengeluaran"))),1,0)</f>
        <v/>
      </c>
      <c r="X4022" s="93">
        <f>IF(AND(B4022&lt;&gt;"",B4022&gt;='Buku Akun'!$H$4,B4022&lt;='Buku Akun'!$H$5,OR(C4022='Buku Akun'!$C$4,AND(D4022="Pindah",E4022='Buku Akun'!$C$4))),B4022+IF(AND(I4022="Selisih bunga",DAY(B4022)=1),0,0.01)+ROW()/10000000,"")</f>
        <v/>
      </c>
    </row>
    <row r="4023" outlineLevel="1" ht="15" customHeight="1" s="94">
      <c r="A4023" s="123">
        <f>IF(B4023="","",ROW()-15)</f>
        <v/>
      </c>
      <c r="B4023" s="124" t="n"/>
      <c r="C4023" s="123" t="n"/>
      <c r="D4023" s="123" t="n"/>
      <c r="E4023" s="123" t="n"/>
      <c r="F4023" s="125" t="n"/>
      <c r="G4023" s="123" t="n"/>
      <c r="H4023" s="123" t="n"/>
      <c r="I4023" s="123" t="n"/>
      <c r="J4023" s="123" t="n"/>
      <c r="K4023" s="123" t="n"/>
      <c r="L4023" s="123" t="n"/>
      <c r="M4023" s="123">
        <f>IF(AND(B4023&lt;&gt;"",OR($C$4="",ISNUMBER(SEARCH($C$4,C4023&amp;" "&amp;E4023&amp;" "&amp;G4023&amp;" "&amp;H4023&amp;" "&amp;I4023&amp;" "&amp;J4023&amp;" "&amp;K4023&amp;" "&amp;L4023))),OR($C$5="Semua",$C$5="",G4023=$C$5),OR($C$6="Semua",$C$6="",H4023=$C$6,H4023="Pengeluaran "&amp;$C$6,AND($C$6="Uang Kos Mama",H4023="Pengeluaran Uang Kos")),OR($C$7="Semua",$C$7="",I4023=$C$7),OR($C$8="Semua",$C$8="",C4023=$C$8,E4023=$C$8),OR($C$9="Semua",$C$9="",D4023=$C$9),OR($C$10="",B4023&gt;=$C$10),OR($C$11="",B4023&lt;=$C$11),OR($C$12&lt;&gt;"Ya",K4023&lt;&gt;""),OR($C$13="Semua",$C$13="",L4023=$C$13)),"✓","")</f>
        <v/>
      </c>
      <c r="N4023" s="93">
        <f>N(N4022)+IF(M4023="✓",1,0)</f>
        <v/>
      </c>
      <c r="O4023" s="93">
        <f>N(O4022)+IF(AND(B4023&lt;&gt;"",B4023&gt;='Uang Riba'!$H$30,B4023&lt;='Uang Riba'!$I$30,OR(H4023="Dana riba",H4023="Pinjam uang riba",I4023="Pinjam dari uang riba",I4023="Ganti uang riba",I4023="Kelebihan ganti dikembalikan",AND(C4023="Kantong Uang Riba",G4023="Pengeluaran"))),1,0)</f>
        <v/>
      </c>
      <c r="X4023" s="93">
        <f>IF(AND(B4023&lt;&gt;"",B4023&gt;='Buku Akun'!$H$4,B4023&lt;='Buku Akun'!$H$5,OR(C4023='Buku Akun'!$C$4,AND(D4023="Pindah",E4023='Buku Akun'!$C$4))),B4023+IF(AND(I4023="Selisih bunga",DAY(B4023)=1),0,0.01)+ROW()/10000000,"")</f>
        <v/>
      </c>
    </row>
    <row r="4024" outlineLevel="1" ht="15" customHeight="1" s="94">
      <c r="A4024" s="123">
        <f>IF(B4024="","",ROW()-15)</f>
        <v/>
      </c>
      <c r="B4024" s="124" t="n"/>
      <c r="C4024" s="123" t="n"/>
      <c r="D4024" s="123" t="n"/>
      <c r="E4024" s="123" t="n"/>
      <c r="F4024" s="125" t="n"/>
      <c r="G4024" s="123" t="n"/>
      <c r="H4024" s="123" t="n"/>
      <c r="I4024" s="123" t="n"/>
      <c r="J4024" s="123" t="n"/>
      <c r="K4024" s="123" t="n"/>
      <c r="L4024" s="123" t="n"/>
      <c r="M4024" s="123">
        <f>IF(AND(B4024&lt;&gt;"",OR($C$4="",ISNUMBER(SEARCH($C$4,C4024&amp;" "&amp;E4024&amp;" "&amp;G4024&amp;" "&amp;H4024&amp;" "&amp;I4024&amp;" "&amp;J4024&amp;" "&amp;K4024&amp;" "&amp;L4024))),OR($C$5="Semua",$C$5="",G4024=$C$5),OR($C$6="Semua",$C$6="",H4024=$C$6,H4024="Pengeluaran "&amp;$C$6,AND($C$6="Uang Kos Mama",H4024="Pengeluaran Uang Kos")),OR($C$7="Semua",$C$7="",I4024=$C$7),OR($C$8="Semua",$C$8="",C4024=$C$8,E4024=$C$8),OR($C$9="Semua",$C$9="",D4024=$C$9),OR($C$10="",B4024&gt;=$C$10),OR($C$11="",B4024&lt;=$C$11),OR($C$12&lt;&gt;"Ya",K4024&lt;&gt;""),OR($C$13="Semua",$C$13="",L4024=$C$13)),"✓","")</f>
        <v/>
      </c>
      <c r="N4024" s="93">
        <f>N(N4023)+IF(M4024="✓",1,0)</f>
        <v/>
      </c>
      <c r="O4024" s="93">
        <f>N(O4023)+IF(AND(B4024&lt;&gt;"",B4024&gt;='Uang Riba'!$H$30,B4024&lt;='Uang Riba'!$I$30,OR(H4024="Dana riba",H4024="Pinjam uang riba",I4024="Pinjam dari uang riba",I4024="Ganti uang riba",I4024="Kelebihan ganti dikembalikan",AND(C4024="Kantong Uang Riba",G4024="Pengeluaran"))),1,0)</f>
        <v/>
      </c>
      <c r="X4024" s="93">
        <f>IF(AND(B4024&lt;&gt;"",B4024&gt;='Buku Akun'!$H$4,B4024&lt;='Buku Akun'!$H$5,OR(C4024='Buku Akun'!$C$4,AND(D4024="Pindah",E4024='Buku Akun'!$C$4))),B4024+IF(AND(I4024="Selisih bunga",DAY(B4024)=1),0,0.01)+ROW()/10000000,"")</f>
        <v/>
      </c>
    </row>
    <row r="4025" outlineLevel="1" ht="15" customHeight="1" s="94">
      <c r="A4025" s="123">
        <f>IF(B4025="","",ROW()-15)</f>
        <v/>
      </c>
      <c r="B4025" s="124" t="n"/>
      <c r="C4025" s="123" t="n"/>
      <c r="D4025" s="123" t="n"/>
      <c r="E4025" s="123" t="n"/>
      <c r="F4025" s="125" t="n"/>
      <c r="G4025" s="123" t="n"/>
      <c r="H4025" s="123" t="n"/>
      <c r="I4025" s="123" t="n"/>
      <c r="J4025" s="123" t="n"/>
      <c r="K4025" s="123" t="n"/>
      <c r="L4025" s="123" t="n"/>
      <c r="M4025" s="123">
        <f>IF(AND(B4025&lt;&gt;"",OR($C$4="",ISNUMBER(SEARCH($C$4,C4025&amp;" "&amp;E4025&amp;" "&amp;G4025&amp;" "&amp;H4025&amp;" "&amp;I4025&amp;" "&amp;J4025&amp;" "&amp;K4025&amp;" "&amp;L4025))),OR($C$5="Semua",$C$5="",G4025=$C$5),OR($C$6="Semua",$C$6="",H4025=$C$6,H4025="Pengeluaran "&amp;$C$6,AND($C$6="Uang Kos Mama",H4025="Pengeluaran Uang Kos")),OR($C$7="Semua",$C$7="",I4025=$C$7),OR($C$8="Semua",$C$8="",C4025=$C$8,E4025=$C$8),OR($C$9="Semua",$C$9="",D4025=$C$9),OR($C$10="",B4025&gt;=$C$10),OR($C$11="",B4025&lt;=$C$11),OR($C$12&lt;&gt;"Ya",K4025&lt;&gt;""),OR($C$13="Semua",$C$13="",L4025=$C$13)),"✓","")</f>
        <v/>
      </c>
      <c r="N4025" s="93">
        <f>N(N4024)+IF(M4025="✓",1,0)</f>
        <v/>
      </c>
      <c r="O4025" s="93">
        <f>N(O4024)+IF(AND(B4025&lt;&gt;"",B4025&gt;='Uang Riba'!$H$30,B4025&lt;='Uang Riba'!$I$30,OR(H4025="Dana riba",H4025="Pinjam uang riba",I4025="Pinjam dari uang riba",I4025="Ganti uang riba",I4025="Kelebihan ganti dikembalikan",AND(C4025="Kantong Uang Riba",G4025="Pengeluaran"))),1,0)</f>
        <v/>
      </c>
      <c r="X4025" s="93">
        <f>IF(AND(B4025&lt;&gt;"",B4025&gt;='Buku Akun'!$H$4,B4025&lt;='Buku Akun'!$H$5,OR(C4025='Buku Akun'!$C$4,AND(D4025="Pindah",E4025='Buku Akun'!$C$4))),B4025+IF(AND(I4025="Selisih bunga",DAY(B4025)=1),0,0.01)+ROW()/10000000,"")</f>
        <v/>
      </c>
    </row>
    <row r="4026" outlineLevel="1" ht="15" customHeight="1" s="94">
      <c r="A4026" s="123">
        <f>IF(B4026="","",ROW()-15)</f>
        <v/>
      </c>
      <c r="B4026" s="124" t="n"/>
      <c r="C4026" s="123" t="n"/>
      <c r="D4026" s="123" t="n"/>
      <c r="E4026" s="123" t="n"/>
      <c r="F4026" s="125" t="n"/>
      <c r="G4026" s="123" t="n"/>
      <c r="H4026" s="123" t="n"/>
      <c r="I4026" s="123" t="n"/>
      <c r="J4026" s="123" t="n"/>
      <c r="K4026" s="123" t="n"/>
      <c r="L4026" s="123" t="n"/>
      <c r="M4026" s="123">
        <f>IF(AND(B4026&lt;&gt;"",OR($C$4="",ISNUMBER(SEARCH($C$4,C4026&amp;" "&amp;E4026&amp;" "&amp;G4026&amp;" "&amp;H4026&amp;" "&amp;I4026&amp;" "&amp;J4026&amp;" "&amp;K4026&amp;" "&amp;L4026))),OR($C$5="Semua",$C$5="",G4026=$C$5),OR($C$6="Semua",$C$6="",H4026=$C$6,H4026="Pengeluaran "&amp;$C$6,AND($C$6="Uang Kos Mama",H4026="Pengeluaran Uang Kos")),OR($C$7="Semua",$C$7="",I4026=$C$7),OR($C$8="Semua",$C$8="",C4026=$C$8,E4026=$C$8),OR($C$9="Semua",$C$9="",D4026=$C$9),OR($C$10="",B4026&gt;=$C$10),OR($C$11="",B4026&lt;=$C$11),OR($C$12&lt;&gt;"Ya",K4026&lt;&gt;""),OR($C$13="Semua",$C$13="",L4026=$C$13)),"✓","")</f>
        <v/>
      </c>
      <c r="N4026" s="93">
        <f>N(N4025)+IF(M4026="✓",1,0)</f>
        <v/>
      </c>
      <c r="O4026" s="93">
        <f>N(O4025)+IF(AND(B4026&lt;&gt;"",B4026&gt;='Uang Riba'!$H$30,B4026&lt;='Uang Riba'!$I$30,OR(H4026="Dana riba",H4026="Pinjam uang riba",I4026="Pinjam dari uang riba",I4026="Ganti uang riba",I4026="Kelebihan ganti dikembalikan",AND(C4026="Kantong Uang Riba",G4026="Pengeluaran"))),1,0)</f>
        <v/>
      </c>
      <c r="X4026" s="93">
        <f>IF(AND(B4026&lt;&gt;"",B4026&gt;='Buku Akun'!$H$4,B4026&lt;='Buku Akun'!$H$5,OR(C4026='Buku Akun'!$C$4,AND(D4026="Pindah",E4026='Buku Akun'!$C$4))),B4026+IF(AND(I4026="Selisih bunga",DAY(B4026)=1),0,0.01)+ROW()/10000000,"")</f>
        <v/>
      </c>
    </row>
    <row r="4027" outlineLevel="1" ht="15" customHeight="1" s="94">
      <c r="A4027" s="123">
        <f>IF(B4027="","",ROW()-15)</f>
        <v/>
      </c>
      <c r="B4027" s="124" t="n"/>
      <c r="C4027" s="123" t="n"/>
      <c r="D4027" s="123" t="n"/>
      <c r="E4027" s="123" t="n"/>
      <c r="F4027" s="125" t="n"/>
      <c r="G4027" s="123" t="n"/>
      <c r="H4027" s="123" t="n"/>
      <c r="I4027" s="123" t="n"/>
      <c r="J4027" s="123" t="n"/>
      <c r="K4027" s="123" t="n"/>
      <c r="L4027" s="123" t="n"/>
      <c r="M4027" s="123">
        <f>IF(AND(B4027&lt;&gt;"",OR($C$4="",ISNUMBER(SEARCH($C$4,C4027&amp;" "&amp;E4027&amp;" "&amp;G4027&amp;" "&amp;H4027&amp;" "&amp;I4027&amp;" "&amp;J4027&amp;" "&amp;K4027&amp;" "&amp;L4027))),OR($C$5="Semua",$C$5="",G4027=$C$5),OR($C$6="Semua",$C$6="",H4027=$C$6,H4027="Pengeluaran "&amp;$C$6,AND($C$6="Uang Kos Mama",H4027="Pengeluaran Uang Kos")),OR($C$7="Semua",$C$7="",I4027=$C$7),OR($C$8="Semua",$C$8="",C4027=$C$8,E4027=$C$8),OR($C$9="Semua",$C$9="",D4027=$C$9),OR($C$10="",B4027&gt;=$C$10),OR($C$11="",B4027&lt;=$C$11),OR($C$12&lt;&gt;"Ya",K4027&lt;&gt;""),OR($C$13="Semua",$C$13="",L4027=$C$13)),"✓","")</f>
        <v/>
      </c>
      <c r="N4027" s="93">
        <f>N(N4026)+IF(M4027="✓",1,0)</f>
        <v/>
      </c>
      <c r="O4027" s="93">
        <f>N(O4026)+IF(AND(B4027&lt;&gt;"",B4027&gt;='Uang Riba'!$H$30,B4027&lt;='Uang Riba'!$I$30,OR(H4027="Dana riba",H4027="Pinjam uang riba",I4027="Pinjam dari uang riba",I4027="Ganti uang riba",I4027="Kelebihan ganti dikembalikan",AND(C4027="Kantong Uang Riba",G4027="Pengeluaran"))),1,0)</f>
        <v/>
      </c>
      <c r="X4027" s="93">
        <f>IF(AND(B4027&lt;&gt;"",B4027&gt;='Buku Akun'!$H$4,B4027&lt;='Buku Akun'!$H$5,OR(C4027='Buku Akun'!$C$4,AND(D4027="Pindah",E4027='Buku Akun'!$C$4))),B4027+IF(AND(I4027="Selisih bunga",DAY(B4027)=1),0,0.01)+ROW()/10000000,"")</f>
        <v/>
      </c>
    </row>
    <row r="4028" outlineLevel="1" ht="15" customHeight="1" s="94">
      <c r="A4028" s="123">
        <f>IF(B4028="","",ROW()-15)</f>
        <v/>
      </c>
      <c r="B4028" s="124" t="n"/>
      <c r="C4028" s="123" t="n"/>
      <c r="D4028" s="123" t="n"/>
      <c r="E4028" s="123" t="n"/>
      <c r="F4028" s="125" t="n"/>
      <c r="G4028" s="123" t="n"/>
      <c r="H4028" s="123" t="n"/>
      <c r="I4028" s="123" t="n"/>
      <c r="J4028" s="123" t="n"/>
      <c r="K4028" s="123" t="n"/>
      <c r="L4028" s="123" t="n"/>
      <c r="M4028" s="123">
        <f>IF(AND(B4028&lt;&gt;"",OR($C$4="",ISNUMBER(SEARCH($C$4,C4028&amp;" "&amp;E4028&amp;" "&amp;G4028&amp;" "&amp;H4028&amp;" "&amp;I4028&amp;" "&amp;J4028&amp;" "&amp;K4028&amp;" "&amp;L4028))),OR($C$5="Semua",$C$5="",G4028=$C$5),OR($C$6="Semua",$C$6="",H4028=$C$6,H4028="Pengeluaran "&amp;$C$6,AND($C$6="Uang Kos Mama",H4028="Pengeluaran Uang Kos")),OR($C$7="Semua",$C$7="",I4028=$C$7),OR($C$8="Semua",$C$8="",C4028=$C$8,E4028=$C$8),OR($C$9="Semua",$C$9="",D4028=$C$9),OR($C$10="",B4028&gt;=$C$10),OR($C$11="",B4028&lt;=$C$11),OR($C$12&lt;&gt;"Ya",K4028&lt;&gt;""),OR($C$13="Semua",$C$13="",L4028=$C$13)),"✓","")</f>
        <v/>
      </c>
      <c r="N4028" s="93">
        <f>N(N4027)+IF(M4028="✓",1,0)</f>
        <v/>
      </c>
      <c r="O4028" s="93">
        <f>N(O4027)+IF(AND(B4028&lt;&gt;"",B4028&gt;='Uang Riba'!$H$30,B4028&lt;='Uang Riba'!$I$30,OR(H4028="Dana riba",H4028="Pinjam uang riba",I4028="Pinjam dari uang riba",I4028="Ganti uang riba",I4028="Kelebihan ganti dikembalikan",AND(C4028="Kantong Uang Riba",G4028="Pengeluaran"))),1,0)</f>
        <v/>
      </c>
      <c r="X4028" s="93">
        <f>IF(AND(B4028&lt;&gt;"",B4028&gt;='Buku Akun'!$H$4,B4028&lt;='Buku Akun'!$H$5,OR(C4028='Buku Akun'!$C$4,AND(D4028="Pindah",E4028='Buku Akun'!$C$4))),B4028+IF(AND(I4028="Selisih bunga",DAY(B4028)=1),0,0.01)+ROW()/10000000,"")</f>
        <v/>
      </c>
    </row>
    <row r="4029" outlineLevel="1" ht="15" customHeight="1" s="94">
      <c r="A4029" s="123">
        <f>IF(B4029="","",ROW()-15)</f>
        <v/>
      </c>
      <c r="B4029" s="124" t="n"/>
      <c r="C4029" s="123" t="n"/>
      <c r="D4029" s="123" t="n"/>
      <c r="E4029" s="123" t="n"/>
      <c r="F4029" s="125" t="n"/>
      <c r="G4029" s="123" t="n"/>
      <c r="H4029" s="123" t="n"/>
      <c r="I4029" s="123" t="n"/>
      <c r="J4029" s="123" t="n"/>
      <c r="K4029" s="123" t="n"/>
      <c r="L4029" s="123" t="n"/>
      <c r="M4029" s="123">
        <f>IF(AND(B4029&lt;&gt;"",OR($C$4="",ISNUMBER(SEARCH($C$4,C4029&amp;" "&amp;E4029&amp;" "&amp;G4029&amp;" "&amp;H4029&amp;" "&amp;I4029&amp;" "&amp;J4029&amp;" "&amp;K4029&amp;" "&amp;L4029))),OR($C$5="Semua",$C$5="",G4029=$C$5),OR($C$6="Semua",$C$6="",H4029=$C$6,H4029="Pengeluaran "&amp;$C$6,AND($C$6="Uang Kos Mama",H4029="Pengeluaran Uang Kos")),OR($C$7="Semua",$C$7="",I4029=$C$7),OR($C$8="Semua",$C$8="",C4029=$C$8,E4029=$C$8),OR($C$9="Semua",$C$9="",D4029=$C$9),OR($C$10="",B4029&gt;=$C$10),OR($C$11="",B4029&lt;=$C$11),OR($C$12&lt;&gt;"Ya",K4029&lt;&gt;""),OR($C$13="Semua",$C$13="",L4029=$C$13)),"✓","")</f>
        <v/>
      </c>
      <c r="N4029" s="93">
        <f>N(N4028)+IF(M4029="✓",1,0)</f>
        <v/>
      </c>
      <c r="O4029" s="93">
        <f>N(O4028)+IF(AND(B4029&lt;&gt;"",B4029&gt;='Uang Riba'!$H$30,B4029&lt;='Uang Riba'!$I$30,OR(H4029="Dana riba",H4029="Pinjam uang riba",I4029="Pinjam dari uang riba",I4029="Ganti uang riba",I4029="Kelebihan ganti dikembalikan",AND(C4029="Kantong Uang Riba",G4029="Pengeluaran"))),1,0)</f>
        <v/>
      </c>
      <c r="X4029" s="93">
        <f>IF(AND(B4029&lt;&gt;"",B4029&gt;='Buku Akun'!$H$4,B4029&lt;='Buku Akun'!$H$5,OR(C4029='Buku Akun'!$C$4,AND(D4029="Pindah",E4029='Buku Akun'!$C$4))),B4029+IF(AND(I4029="Selisih bunga",DAY(B4029)=1),0,0.01)+ROW()/10000000,"")</f>
        <v/>
      </c>
    </row>
    <row r="4030" outlineLevel="1" ht="15" customHeight="1" s="94">
      <c r="A4030" s="123">
        <f>IF(B4030="","",ROW()-15)</f>
        <v/>
      </c>
      <c r="B4030" s="124" t="n"/>
      <c r="C4030" s="123" t="n"/>
      <c r="D4030" s="123" t="n"/>
      <c r="E4030" s="123" t="n"/>
      <c r="F4030" s="125" t="n"/>
      <c r="G4030" s="123" t="n"/>
      <c r="H4030" s="123" t="n"/>
      <c r="I4030" s="123" t="n"/>
      <c r="J4030" s="123" t="n"/>
      <c r="K4030" s="123" t="n"/>
      <c r="L4030" s="123" t="n"/>
      <c r="M4030" s="123">
        <f>IF(AND(B4030&lt;&gt;"",OR($C$4="",ISNUMBER(SEARCH($C$4,C4030&amp;" "&amp;E4030&amp;" "&amp;G4030&amp;" "&amp;H4030&amp;" "&amp;I4030&amp;" "&amp;J4030&amp;" "&amp;K4030&amp;" "&amp;L4030))),OR($C$5="Semua",$C$5="",G4030=$C$5),OR($C$6="Semua",$C$6="",H4030=$C$6,H4030="Pengeluaran "&amp;$C$6,AND($C$6="Uang Kos Mama",H4030="Pengeluaran Uang Kos")),OR($C$7="Semua",$C$7="",I4030=$C$7),OR($C$8="Semua",$C$8="",C4030=$C$8,E4030=$C$8),OR($C$9="Semua",$C$9="",D4030=$C$9),OR($C$10="",B4030&gt;=$C$10),OR($C$11="",B4030&lt;=$C$11),OR($C$12&lt;&gt;"Ya",K4030&lt;&gt;""),OR($C$13="Semua",$C$13="",L4030=$C$13)),"✓","")</f>
        <v/>
      </c>
      <c r="N4030" s="93">
        <f>N(N4029)+IF(M4030="✓",1,0)</f>
        <v/>
      </c>
      <c r="O4030" s="93">
        <f>N(O4029)+IF(AND(B4030&lt;&gt;"",B4030&gt;='Uang Riba'!$H$30,B4030&lt;='Uang Riba'!$I$30,OR(H4030="Dana riba",H4030="Pinjam uang riba",I4030="Pinjam dari uang riba",I4030="Ganti uang riba",I4030="Kelebihan ganti dikembalikan",AND(C4030="Kantong Uang Riba",G4030="Pengeluaran"))),1,0)</f>
        <v/>
      </c>
      <c r="X4030" s="93">
        <f>IF(AND(B4030&lt;&gt;"",B4030&gt;='Buku Akun'!$H$4,B4030&lt;='Buku Akun'!$H$5,OR(C4030='Buku Akun'!$C$4,AND(D4030="Pindah",E4030='Buku Akun'!$C$4))),B4030+IF(AND(I4030="Selisih bunga",DAY(B4030)=1),0,0.01)+ROW()/10000000,"")</f>
        <v/>
      </c>
    </row>
    <row r="4031" outlineLevel="1" ht="15" customHeight="1" s="94">
      <c r="A4031" s="123">
        <f>IF(B4031="","",ROW()-15)</f>
        <v/>
      </c>
      <c r="B4031" s="124" t="n"/>
      <c r="C4031" s="123" t="n"/>
      <c r="D4031" s="123" t="n"/>
      <c r="E4031" s="123" t="n"/>
      <c r="F4031" s="125" t="n"/>
      <c r="G4031" s="123" t="n"/>
      <c r="H4031" s="123" t="n"/>
      <c r="I4031" s="123" t="n"/>
      <c r="J4031" s="123" t="n"/>
      <c r="K4031" s="123" t="n"/>
      <c r="L4031" s="123" t="n"/>
      <c r="M4031" s="123">
        <f>IF(AND(B4031&lt;&gt;"",OR($C$4="",ISNUMBER(SEARCH($C$4,C4031&amp;" "&amp;E4031&amp;" "&amp;G4031&amp;" "&amp;H4031&amp;" "&amp;I4031&amp;" "&amp;J4031&amp;" "&amp;K4031&amp;" "&amp;L4031))),OR($C$5="Semua",$C$5="",G4031=$C$5),OR($C$6="Semua",$C$6="",H4031=$C$6,H4031="Pengeluaran "&amp;$C$6,AND($C$6="Uang Kos Mama",H4031="Pengeluaran Uang Kos")),OR($C$7="Semua",$C$7="",I4031=$C$7),OR($C$8="Semua",$C$8="",C4031=$C$8,E4031=$C$8),OR($C$9="Semua",$C$9="",D4031=$C$9),OR($C$10="",B4031&gt;=$C$10),OR($C$11="",B4031&lt;=$C$11),OR($C$12&lt;&gt;"Ya",K4031&lt;&gt;""),OR($C$13="Semua",$C$13="",L4031=$C$13)),"✓","")</f>
        <v/>
      </c>
      <c r="N4031" s="93">
        <f>N(N4030)+IF(M4031="✓",1,0)</f>
        <v/>
      </c>
      <c r="O4031" s="93">
        <f>N(O4030)+IF(AND(B4031&lt;&gt;"",B4031&gt;='Uang Riba'!$H$30,B4031&lt;='Uang Riba'!$I$30,OR(H4031="Dana riba",H4031="Pinjam uang riba",I4031="Pinjam dari uang riba",I4031="Ganti uang riba",I4031="Kelebihan ganti dikembalikan",AND(C4031="Kantong Uang Riba",G4031="Pengeluaran"))),1,0)</f>
        <v/>
      </c>
      <c r="X4031" s="93">
        <f>IF(AND(B4031&lt;&gt;"",B4031&gt;='Buku Akun'!$H$4,B4031&lt;='Buku Akun'!$H$5,OR(C4031='Buku Akun'!$C$4,AND(D4031="Pindah",E4031='Buku Akun'!$C$4))),B4031+IF(AND(I4031="Selisih bunga",DAY(B4031)=1),0,0.01)+ROW()/10000000,"")</f>
        <v/>
      </c>
    </row>
    <row r="4032" outlineLevel="1" ht="15" customHeight="1" s="94">
      <c r="A4032" s="123">
        <f>IF(B4032="","",ROW()-15)</f>
        <v/>
      </c>
      <c r="B4032" s="124" t="n"/>
      <c r="C4032" s="123" t="n"/>
      <c r="D4032" s="123" t="n"/>
      <c r="E4032" s="123" t="n"/>
      <c r="F4032" s="125" t="n"/>
      <c r="G4032" s="123" t="n"/>
      <c r="H4032" s="123" t="n"/>
      <c r="I4032" s="123" t="n"/>
      <c r="J4032" s="123" t="n"/>
      <c r="K4032" s="123" t="n"/>
      <c r="L4032" s="123" t="n"/>
      <c r="M4032" s="123">
        <f>IF(AND(B4032&lt;&gt;"",OR($C$4="",ISNUMBER(SEARCH($C$4,C4032&amp;" "&amp;E4032&amp;" "&amp;G4032&amp;" "&amp;H4032&amp;" "&amp;I4032&amp;" "&amp;J4032&amp;" "&amp;K4032&amp;" "&amp;L4032))),OR($C$5="Semua",$C$5="",G4032=$C$5),OR($C$6="Semua",$C$6="",H4032=$C$6,H4032="Pengeluaran "&amp;$C$6,AND($C$6="Uang Kos Mama",H4032="Pengeluaran Uang Kos")),OR($C$7="Semua",$C$7="",I4032=$C$7),OR($C$8="Semua",$C$8="",C4032=$C$8,E4032=$C$8),OR($C$9="Semua",$C$9="",D4032=$C$9),OR($C$10="",B4032&gt;=$C$10),OR($C$11="",B4032&lt;=$C$11),OR($C$12&lt;&gt;"Ya",K4032&lt;&gt;""),OR($C$13="Semua",$C$13="",L4032=$C$13)),"✓","")</f>
        <v/>
      </c>
      <c r="N4032" s="93">
        <f>N(N4031)+IF(M4032="✓",1,0)</f>
        <v/>
      </c>
      <c r="O4032" s="93">
        <f>N(O4031)+IF(AND(B4032&lt;&gt;"",B4032&gt;='Uang Riba'!$H$30,B4032&lt;='Uang Riba'!$I$30,OR(H4032="Dana riba",H4032="Pinjam uang riba",I4032="Pinjam dari uang riba",I4032="Ganti uang riba",I4032="Kelebihan ganti dikembalikan",AND(C4032="Kantong Uang Riba",G4032="Pengeluaran"))),1,0)</f>
        <v/>
      </c>
      <c r="X4032" s="93">
        <f>IF(AND(B4032&lt;&gt;"",B4032&gt;='Buku Akun'!$H$4,B4032&lt;='Buku Akun'!$H$5,OR(C4032='Buku Akun'!$C$4,AND(D4032="Pindah",E4032='Buku Akun'!$C$4))),B4032+IF(AND(I4032="Selisih bunga",DAY(B4032)=1),0,0.01)+ROW()/10000000,"")</f>
        <v/>
      </c>
    </row>
    <row r="4033" outlineLevel="1" ht="15" customHeight="1" s="94">
      <c r="A4033" s="123">
        <f>IF(B4033="","",ROW()-15)</f>
        <v/>
      </c>
      <c r="B4033" s="124" t="n"/>
      <c r="C4033" s="123" t="n"/>
      <c r="D4033" s="123" t="n"/>
      <c r="E4033" s="123" t="n"/>
      <c r="F4033" s="125" t="n"/>
      <c r="G4033" s="123" t="n"/>
      <c r="H4033" s="123" t="n"/>
      <c r="I4033" s="123" t="n"/>
      <c r="J4033" s="123" t="n"/>
      <c r="K4033" s="123" t="n"/>
      <c r="L4033" s="123" t="n"/>
      <c r="M4033" s="123">
        <f>IF(AND(B4033&lt;&gt;"",OR($C$4="",ISNUMBER(SEARCH($C$4,C4033&amp;" "&amp;E4033&amp;" "&amp;G4033&amp;" "&amp;H4033&amp;" "&amp;I4033&amp;" "&amp;J4033&amp;" "&amp;K4033&amp;" "&amp;L4033))),OR($C$5="Semua",$C$5="",G4033=$C$5),OR($C$6="Semua",$C$6="",H4033=$C$6,H4033="Pengeluaran "&amp;$C$6,AND($C$6="Uang Kos Mama",H4033="Pengeluaran Uang Kos")),OR($C$7="Semua",$C$7="",I4033=$C$7),OR($C$8="Semua",$C$8="",C4033=$C$8,E4033=$C$8),OR($C$9="Semua",$C$9="",D4033=$C$9),OR($C$10="",B4033&gt;=$C$10),OR($C$11="",B4033&lt;=$C$11),OR($C$12&lt;&gt;"Ya",K4033&lt;&gt;""),OR($C$13="Semua",$C$13="",L4033=$C$13)),"✓","")</f>
        <v/>
      </c>
      <c r="N4033" s="93">
        <f>N(N4032)+IF(M4033="✓",1,0)</f>
        <v/>
      </c>
      <c r="O4033" s="93">
        <f>N(O4032)+IF(AND(B4033&lt;&gt;"",B4033&gt;='Uang Riba'!$H$30,B4033&lt;='Uang Riba'!$I$30,OR(H4033="Dana riba",H4033="Pinjam uang riba",I4033="Pinjam dari uang riba",I4033="Ganti uang riba",I4033="Kelebihan ganti dikembalikan",AND(C4033="Kantong Uang Riba",G4033="Pengeluaran"))),1,0)</f>
        <v/>
      </c>
      <c r="X4033" s="93">
        <f>IF(AND(B4033&lt;&gt;"",B4033&gt;='Buku Akun'!$H$4,B4033&lt;='Buku Akun'!$H$5,OR(C4033='Buku Akun'!$C$4,AND(D4033="Pindah",E4033='Buku Akun'!$C$4))),B4033+IF(AND(I4033="Selisih bunga",DAY(B4033)=1),0,0.01)+ROW()/10000000,"")</f>
        <v/>
      </c>
    </row>
    <row r="4034" outlineLevel="1" ht="15" customHeight="1" s="94">
      <c r="A4034" s="123">
        <f>IF(B4034="","",ROW()-15)</f>
        <v/>
      </c>
      <c r="B4034" s="124" t="n"/>
      <c r="C4034" s="123" t="n"/>
      <c r="D4034" s="123" t="n"/>
      <c r="E4034" s="123" t="n"/>
      <c r="F4034" s="125" t="n"/>
      <c r="G4034" s="123" t="n"/>
      <c r="H4034" s="123" t="n"/>
      <c r="I4034" s="123" t="n"/>
      <c r="J4034" s="123" t="n"/>
      <c r="K4034" s="123" t="n"/>
      <c r="L4034" s="123" t="n"/>
      <c r="M4034" s="123">
        <f>IF(AND(B4034&lt;&gt;"",OR($C$4="",ISNUMBER(SEARCH($C$4,C4034&amp;" "&amp;E4034&amp;" "&amp;G4034&amp;" "&amp;H4034&amp;" "&amp;I4034&amp;" "&amp;J4034&amp;" "&amp;K4034&amp;" "&amp;L4034))),OR($C$5="Semua",$C$5="",G4034=$C$5),OR($C$6="Semua",$C$6="",H4034=$C$6,H4034="Pengeluaran "&amp;$C$6,AND($C$6="Uang Kos Mama",H4034="Pengeluaran Uang Kos")),OR($C$7="Semua",$C$7="",I4034=$C$7),OR($C$8="Semua",$C$8="",C4034=$C$8,E4034=$C$8),OR($C$9="Semua",$C$9="",D4034=$C$9),OR($C$10="",B4034&gt;=$C$10),OR($C$11="",B4034&lt;=$C$11),OR($C$12&lt;&gt;"Ya",K4034&lt;&gt;""),OR($C$13="Semua",$C$13="",L4034=$C$13)),"✓","")</f>
        <v/>
      </c>
      <c r="N4034" s="93">
        <f>N(N4033)+IF(M4034="✓",1,0)</f>
        <v/>
      </c>
      <c r="O4034" s="93">
        <f>N(O4033)+IF(AND(B4034&lt;&gt;"",B4034&gt;='Uang Riba'!$H$30,B4034&lt;='Uang Riba'!$I$30,OR(H4034="Dana riba",H4034="Pinjam uang riba",I4034="Pinjam dari uang riba",I4034="Ganti uang riba",I4034="Kelebihan ganti dikembalikan",AND(C4034="Kantong Uang Riba",G4034="Pengeluaran"))),1,0)</f>
        <v/>
      </c>
      <c r="X4034" s="93">
        <f>IF(AND(B4034&lt;&gt;"",B4034&gt;='Buku Akun'!$H$4,B4034&lt;='Buku Akun'!$H$5,OR(C4034='Buku Akun'!$C$4,AND(D4034="Pindah",E4034='Buku Akun'!$C$4))),B4034+IF(AND(I4034="Selisih bunga",DAY(B4034)=1),0,0.01)+ROW()/10000000,"")</f>
        <v/>
      </c>
    </row>
    <row r="4035" outlineLevel="1" ht="15" customHeight="1" s="94">
      <c r="A4035" s="123">
        <f>IF(B4035="","",ROW()-15)</f>
        <v/>
      </c>
      <c r="B4035" s="124" t="n"/>
      <c r="C4035" s="123" t="n"/>
      <c r="D4035" s="123" t="n"/>
      <c r="E4035" s="123" t="n"/>
      <c r="F4035" s="125" t="n"/>
      <c r="G4035" s="123" t="n"/>
      <c r="H4035" s="123" t="n"/>
      <c r="I4035" s="123" t="n"/>
      <c r="J4035" s="123" t="n"/>
      <c r="K4035" s="123" t="n"/>
      <c r="L4035" s="123" t="n"/>
      <c r="M4035" s="123">
        <f>IF(AND(B4035&lt;&gt;"",OR($C$4="",ISNUMBER(SEARCH($C$4,C4035&amp;" "&amp;E4035&amp;" "&amp;G4035&amp;" "&amp;H4035&amp;" "&amp;I4035&amp;" "&amp;J4035&amp;" "&amp;K4035&amp;" "&amp;L4035))),OR($C$5="Semua",$C$5="",G4035=$C$5),OR($C$6="Semua",$C$6="",H4035=$C$6,H4035="Pengeluaran "&amp;$C$6,AND($C$6="Uang Kos Mama",H4035="Pengeluaran Uang Kos")),OR($C$7="Semua",$C$7="",I4035=$C$7),OR($C$8="Semua",$C$8="",C4035=$C$8,E4035=$C$8),OR($C$9="Semua",$C$9="",D4035=$C$9),OR($C$10="",B4035&gt;=$C$10),OR($C$11="",B4035&lt;=$C$11),OR($C$12&lt;&gt;"Ya",K4035&lt;&gt;""),OR($C$13="Semua",$C$13="",L4035=$C$13)),"✓","")</f>
        <v/>
      </c>
      <c r="N4035" s="93">
        <f>N(N4034)+IF(M4035="✓",1,0)</f>
        <v/>
      </c>
      <c r="O4035" s="93">
        <f>N(O4034)+IF(AND(B4035&lt;&gt;"",B4035&gt;='Uang Riba'!$H$30,B4035&lt;='Uang Riba'!$I$30,OR(H4035="Dana riba",H4035="Pinjam uang riba",I4035="Pinjam dari uang riba",I4035="Ganti uang riba",I4035="Kelebihan ganti dikembalikan",AND(C4035="Kantong Uang Riba",G4035="Pengeluaran"))),1,0)</f>
        <v/>
      </c>
      <c r="X4035" s="93">
        <f>IF(AND(B4035&lt;&gt;"",B4035&gt;='Buku Akun'!$H$4,B4035&lt;='Buku Akun'!$H$5,OR(C4035='Buku Akun'!$C$4,AND(D4035="Pindah",E4035='Buku Akun'!$C$4))),B4035+IF(AND(I4035="Selisih bunga",DAY(B4035)=1),0,0.01)+ROW()/10000000,"")</f>
        <v/>
      </c>
    </row>
    <row r="4036" outlineLevel="1" ht="15" customHeight="1" s="94">
      <c r="A4036" s="123">
        <f>IF(B4036="","",ROW()-15)</f>
        <v/>
      </c>
      <c r="B4036" s="124" t="n"/>
      <c r="C4036" s="123" t="n"/>
      <c r="D4036" s="123" t="n"/>
      <c r="E4036" s="123" t="n"/>
      <c r="F4036" s="125" t="n"/>
      <c r="G4036" s="123" t="n"/>
      <c r="H4036" s="123" t="n"/>
      <c r="I4036" s="123" t="n"/>
      <c r="J4036" s="123" t="n"/>
      <c r="K4036" s="123" t="n"/>
      <c r="L4036" s="123" t="n"/>
      <c r="M4036" s="123">
        <f>IF(AND(B4036&lt;&gt;"",OR($C$4="",ISNUMBER(SEARCH($C$4,C4036&amp;" "&amp;E4036&amp;" "&amp;G4036&amp;" "&amp;H4036&amp;" "&amp;I4036&amp;" "&amp;J4036&amp;" "&amp;K4036&amp;" "&amp;L4036))),OR($C$5="Semua",$C$5="",G4036=$C$5),OR($C$6="Semua",$C$6="",H4036=$C$6,H4036="Pengeluaran "&amp;$C$6,AND($C$6="Uang Kos Mama",H4036="Pengeluaran Uang Kos")),OR($C$7="Semua",$C$7="",I4036=$C$7),OR($C$8="Semua",$C$8="",C4036=$C$8,E4036=$C$8),OR($C$9="Semua",$C$9="",D4036=$C$9),OR($C$10="",B4036&gt;=$C$10),OR($C$11="",B4036&lt;=$C$11),OR($C$12&lt;&gt;"Ya",K4036&lt;&gt;""),OR($C$13="Semua",$C$13="",L4036=$C$13)),"✓","")</f>
        <v/>
      </c>
      <c r="N4036" s="93">
        <f>N(N4035)+IF(M4036="✓",1,0)</f>
        <v/>
      </c>
      <c r="O4036" s="93">
        <f>N(O4035)+IF(AND(B4036&lt;&gt;"",B4036&gt;='Uang Riba'!$H$30,B4036&lt;='Uang Riba'!$I$30,OR(H4036="Dana riba",H4036="Pinjam uang riba",I4036="Pinjam dari uang riba",I4036="Ganti uang riba",I4036="Kelebihan ganti dikembalikan",AND(C4036="Kantong Uang Riba",G4036="Pengeluaran"))),1,0)</f>
        <v/>
      </c>
      <c r="X4036" s="93">
        <f>IF(AND(B4036&lt;&gt;"",B4036&gt;='Buku Akun'!$H$4,B4036&lt;='Buku Akun'!$H$5,OR(C4036='Buku Akun'!$C$4,AND(D4036="Pindah",E4036='Buku Akun'!$C$4))),B4036+IF(AND(I4036="Selisih bunga",DAY(B4036)=1),0,0.01)+ROW()/10000000,"")</f>
        <v/>
      </c>
    </row>
    <row r="4037" outlineLevel="1" ht="15" customHeight="1" s="94">
      <c r="A4037" s="123">
        <f>IF(B4037="","",ROW()-15)</f>
        <v/>
      </c>
      <c r="B4037" s="124" t="n"/>
      <c r="C4037" s="123" t="n"/>
      <c r="D4037" s="123" t="n"/>
      <c r="E4037" s="123" t="n"/>
      <c r="F4037" s="125" t="n"/>
      <c r="G4037" s="123" t="n"/>
      <c r="H4037" s="123" t="n"/>
      <c r="I4037" s="123" t="n"/>
      <c r="J4037" s="123" t="n"/>
      <c r="K4037" s="123" t="n"/>
      <c r="L4037" s="123" t="n"/>
      <c r="M4037" s="123">
        <f>IF(AND(B4037&lt;&gt;"",OR($C$4="",ISNUMBER(SEARCH($C$4,C4037&amp;" "&amp;E4037&amp;" "&amp;G4037&amp;" "&amp;H4037&amp;" "&amp;I4037&amp;" "&amp;J4037&amp;" "&amp;K4037&amp;" "&amp;L4037))),OR($C$5="Semua",$C$5="",G4037=$C$5),OR($C$6="Semua",$C$6="",H4037=$C$6,H4037="Pengeluaran "&amp;$C$6,AND($C$6="Uang Kos Mama",H4037="Pengeluaran Uang Kos")),OR($C$7="Semua",$C$7="",I4037=$C$7),OR($C$8="Semua",$C$8="",C4037=$C$8,E4037=$C$8),OR($C$9="Semua",$C$9="",D4037=$C$9),OR($C$10="",B4037&gt;=$C$10),OR($C$11="",B4037&lt;=$C$11),OR($C$12&lt;&gt;"Ya",K4037&lt;&gt;""),OR($C$13="Semua",$C$13="",L4037=$C$13)),"✓","")</f>
        <v/>
      </c>
      <c r="N4037" s="93">
        <f>N(N4036)+IF(M4037="✓",1,0)</f>
        <v/>
      </c>
      <c r="O4037" s="93">
        <f>N(O4036)+IF(AND(B4037&lt;&gt;"",B4037&gt;='Uang Riba'!$H$30,B4037&lt;='Uang Riba'!$I$30,OR(H4037="Dana riba",H4037="Pinjam uang riba",I4037="Pinjam dari uang riba",I4037="Ganti uang riba",I4037="Kelebihan ganti dikembalikan",AND(C4037="Kantong Uang Riba",G4037="Pengeluaran"))),1,0)</f>
        <v/>
      </c>
      <c r="X4037" s="93">
        <f>IF(AND(B4037&lt;&gt;"",B4037&gt;='Buku Akun'!$H$4,B4037&lt;='Buku Akun'!$H$5,OR(C4037='Buku Akun'!$C$4,AND(D4037="Pindah",E4037='Buku Akun'!$C$4))),B4037+IF(AND(I4037="Selisih bunga",DAY(B4037)=1),0,0.01)+ROW()/10000000,"")</f>
        <v/>
      </c>
    </row>
    <row r="4038" outlineLevel="1" ht="15" customHeight="1" s="94">
      <c r="A4038" s="123">
        <f>IF(B4038="","",ROW()-15)</f>
        <v/>
      </c>
      <c r="B4038" s="124" t="n"/>
      <c r="C4038" s="123" t="n"/>
      <c r="D4038" s="123" t="n"/>
      <c r="E4038" s="123" t="n"/>
      <c r="F4038" s="125" t="n"/>
      <c r="G4038" s="123" t="n"/>
      <c r="H4038" s="123" t="n"/>
      <c r="I4038" s="123" t="n"/>
      <c r="J4038" s="123" t="n"/>
      <c r="K4038" s="123" t="n"/>
      <c r="L4038" s="123" t="n"/>
      <c r="M4038" s="123">
        <f>IF(AND(B4038&lt;&gt;"",OR($C$4="",ISNUMBER(SEARCH($C$4,C4038&amp;" "&amp;E4038&amp;" "&amp;G4038&amp;" "&amp;H4038&amp;" "&amp;I4038&amp;" "&amp;J4038&amp;" "&amp;K4038&amp;" "&amp;L4038))),OR($C$5="Semua",$C$5="",G4038=$C$5),OR($C$6="Semua",$C$6="",H4038=$C$6,H4038="Pengeluaran "&amp;$C$6,AND($C$6="Uang Kos Mama",H4038="Pengeluaran Uang Kos")),OR($C$7="Semua",$C$7="",I4038=$C$7),OR($C$8="Semua",$C$8="",C4038=$C$8,E4038=$C$8),OR($C$9="Semua",$C$9="",D4038=$C$9),OR($C$10="",B4038&gt;=$C$10),OR($C$11="",B4038&lt;=$C$11),OR($C$12&lt;&gt;"Ya",K4038&lt;&gt;""),OR($C$13="Semua",$C$13="",L4038=$C$13)),"✓","")</f>
        <v/>
      </c>
      <c r="N4038" s="93">
        <f>N(N4037)+IF(M4038="✓",1,0)</f>
        <v/>
      </c>
      <c r="O4038" s="93">
        <f>N(O4037)+IF(AND(B4038&lt;&gt;"",B4038&gt;='Uang Riba'!$H$30,B4038&lt;='Uang Riba'!$I$30,OR(H4038="Dana riba",H4038="Pinjam uang riba",I4038="Pinjam dari uang riba",I4038="Ganti uang riba",I4038="Kelebihan ganti dikembalikan",AND(C4038="Kantong Uang Riba",G4038="Pengeluaran"))),1,0)</f>
        <v/>
      </c>
      <c r="X4038" s="93">
        <f>IF(AND(B4038&lt;&gt;"",B4038&gt;='Buku Akun'!$H$4,B4038&lt;='Buku Akun'!$H$5,OR(C4038='Buku Akun'!$C$4,AND(D4038="Pindah",E4038='Buku Akun'!$C$4))),B4038+IF(AND(I4038="Selisih bunga",DAY(B4038)=1),0,0.01)+ROW()/10000000,"")</f>
        <v/>
      </c>
    </row>
    <row r="4039" outlineLevel="1" ht="15" customHeight="1" s="94">
      <c r="A4039" s="123">
        <f>IF(B4039="","",ROW()-15)</f>
        <v/>
      </c>
      <c r="B4039" s="124" t="n"/>
      <c r="C4039" s="123" t="n"/>
      <c r="D4039" s="123" t="n"/>
      <c r="E4039" s="123" t="n"/>
      <c r="F4039" s="125" t="n"/>
      <c r="G4039" s="123" t="n"/>
      <c r="H4039" s="123" t="n"/>
      <c r="I4039" s="123" t="n"/>
      <c r="J4039" s="123" t="n"/>
      <c r="K4039" s="123" t="n"/>
      <c r="L4039" s="123" t="n"/>
      <c r="M4039" s="123">
        <f>IF(AND(B4039&lt;&gt;"",OR($C$4="",ISNUMBER(SEARCH($C$4,C4039&amp;" "&amp;E4039&amp;" "&amp;G4039&amp;" "&amp;H4039&amp;" "&amp;I4039&amp;" "&amp;J4039&amp;" "&amp;K4039&amp;" "&amp;L4039))),OR($C$5="Semua",$C$5="",G4039=$C$5),OR($C$6="Semua",$C$6="",H4039=$C$6,H4039="Pengeluaran "&amp;$C$6,AND($C$6="Uang Kos Mama",H4039="Pengeluaran Uang Kos")),OR($C$7="Semua",$C$7="",I4039=$C$7),OR($C$8="Semua",$C$8="",C4039=$C$8,E4039=$C$8),OR($C$9="Semua",$C$9="",D4039=$C$9),OR($C$10="",B4039&gt;=$C$10),OR($C$11="",B4039&lt;=$C$11),OR($C$12&lt;&gt;"Ya",K4039&lt;&gt;""),OR($C$13="Semua",$C$13="",L4039=$C$13)),"✓","")</f>
        <v/>
      </c>
      <c r="N4039" s="93">
        <f>N(N4038)+IF(M4039="✓",1,0)</f>
        <v/>
      </c>
      <c r="O4039" s="93">
        <f>N(O4038)+IF(AND(B4039&lt;&gt;"",B4039&gt;='Uang Riba'!$H$30,B4039&lt;='Uang Riba'!$I$30,OR(H4039="Dana riba",H4039="Pinjam uang riba",I4039="Pinjam dari uang riba",I4039="Ganti uang riba",I4039="Kelebihan ganti dikembalikan",AND(C4039="Kantong Uang Riba",G4039="Pengeluaran"))),1,0)</f>
        <v/>
      </c>
      <c r="X4039" s="93">
        <f>IF(AND(B4039&lt;&gt;"",B4039&gt;='Buku Akun'!$H$4,B4039&lt;='Buku Akun'!$H$5,OR(C4039='Buku Akun'!$C$4,AND(D4039="Pindah",E4039='Buku Akun'!$C$4))),B4039+IF(AND(I4039="Selisih bunga",DAY(B4039)=1),0,0.01)+ROW()/10000000,"")</f>
        <v/>
      </c>
    </row>
    <row r="4040" outlineLevel="1" ht="15" customHeight="1" s="94">
      <c r="A4040" s="123">
        <f>IF(B4040="","",ROW()-15)</f>
        <v/>
      </c>
      <c r="B4040" s="124" t="n"/>
      <c r="C4040" s="123" t="n"/>
      <c r="D4040" s="123" t="n"/>
      <c r="E4040" s="123" t="n"/>
      <c r="F4040" s="125" t="n"/>
      <c r="G4040" s="123" t="n"/>
      <c r="H4040" s="123" t="n"/>
      <c r="I4040" s="123" t="n"/>
      <c r="J4040" s="123" t="n"/>
      <c r="K4040" s="123" t="n"/>
      <c r="L4040" s="123" t="n"/>
      <c r="M4040" s="123">
        <f>IF(AND(B4040&lt;&gt;"",OR($C$4="",ISNUMBER(SEARCH($C$4,C4040&amp;" "&amp;E4040&amp;" "&amp;G4040&amp;" "&amp;H4040&amp;" "&amp;I4040&amp;" "&amp;J4040&amp;" "&amp;K4040&amp;" "&amp;L4040))),OR($C$5="Semua",$C$5="",G4040=$C$5),OR($C$6="Semua",$C$6="",H4040=$C$6,H4040="Pengeluaran "&amp;$C$6,AND($C$6="Uang Kos Mama",H4040="Pengeluaran Uang Kos")),OR($C$7="Semua",$C$7="",I4040=$C$7),OR($C$8="Semua",$C$8="",C4040=$C$8,E4040=$C$8),OR($C$9="Semua",$C$9="",D4040=$C$9),OR($C$10="",B4040&gt;=$C$10),OR($C$11="",B4040&lt;=$C$11),OR($C$12&lt;&gt;"Ya",K4040&lt;&gt;""),OR($C$13="Semua",$C$13="",L4040=$C$13)),"✓","")</f>
        <v/>
      </c>
      <c r="N4040" s="93">
        <f>N(N4039)+IF(M4040="✓",1,0)</f>
        <v/>
      </c>
      <c r="O4040" s="93">
        <f>N(O4039)+IF(AND(B4040&lt;&gt;"",B4040&gt;='Uang Riba'!$H$30,B4040&lt;='Uang Riba'!$I$30,OR(H4040="Dana riba",H4040="Pinjam uang riba",I4040="Pinjam dari uang riba",I4040="Ganti uang riba",I4040="Kelebihan ganti dikembalikan",AND(C4040="Kantong Uang Riba",G4040="Pengeluaran"))),1,0)</f>
        <v/>
      </c>
      <c r="X4040" s="93">
        <f>IF(AND(B4040&lt;&gt;"",B4040&gt;='Buku Akun'!$H$4,B4040&lt;='Buku Akun'!$H$5,OR(C4040='Buku Akun'!$C$4,AND(D4040="Pindah",E4040='Buku Akun'!$C$4))),B4040+IF(AND(I4040="Selisih bunga",DAY(B4040)=1),0,0.01)+ROW()/10000000,"")</f>
        <v/>
      </c>
    </row>
    <row r="4041" outlineLevel="1" ht="15" customHeight="1" s="94">
      <c r="A4041" s="123">
        <f>IF(B4041="","",ROW()-15)</f>
        <v/>
      </c>
      <c r="B4041" s="124" t="n"/>
      <c r="C4041" s="123" t="n"/>
      <c r="D4041" s="123" t="n"/>
      <c r="E4041" s="123" t="n"/>
      <c r="F4041" s="125" t="n"/>
      <c r="G4041" s="123" t="n"/>
      <c r="H4041" s="123" t="n"/>
      <c r="I4041" s="123" t="n"/>
      <c r="J4041" s="123" t="n"/>
      <c r="K4041" s="123" t="n"/>
      <c r="L4041" s="123" t="n"/>
      <c r="M4041" s="123">
        <f>IF(AND(B4041&lt;&gt;"",OR($C$4="",ISNUMBER(SEARCH($C$4,C4041&amp;" "&amp;E4041&amp;" "&amp;G4041&amp;" "&amp;H4041&amp;" "&amp;I4041&amp;" "&amp;J4041&amp;" "&amp;K4041&amp;" "&amp;L4041))),OR($C$5="Semua",$C$5="",G4041=$C$5),OR($C$6="Semua",$C$6="",H4041=$C$6,H4041="Pengeluaran "&amp;$C$6,AND($C$6="Uang Kos Mama",H4041="Pengeluaran Uang Kos")),OR($C$7="Semua",$C$7="",I4041=$C$7),OR($C$8="Semua",$C$8="",C4041=$C$8,E4041=$C$8),OR($C$9="Semua",$C$9="",D4041=$C$9),OR($C$10="",B4041&gt;=$C$10),OR($C$11="",B4041&lt;=$C$11),OR($C$12&lt;&gt;"Ya",K4041&lt;&gt;""),OR($C$13="Semua",$C$13="",L4041=$C$13)),"✓","")</f>
        <v/>
      </c>
      <c r="N4041" s="93">
        <f>N(N4040)+IF(M4041="✓",1,0)</f>
        <v/>
      </c>
      <c r="O4041" s="93">
        <f>N(O4040)+IF(AND(B4041&lt;&gt;"",B4041&gt;='Uang Riba'!$H$30,B4041&lt;='Uang Riba'!$I$30,OR(H4041="Dana riba",H4041="Pinjam uang riba",I4041="Pinjam dari uang riba",I4041="Ganti uang riba",I4041="Kelebihan ganti dikembalikan",AND(C4041="Kantong Uang Riba",G4041="Pengeluaran"))),1,0)</f>
        <v/>
      </c>
      <c r="X4041" s="93">
        <f>IF(AND(B4041&lt;&gt;"",B4041&gt;='Buku Akun'!$H$4,B4041&lt;='Buku Akun'!$H$5,OR(C4041='Buku Akun'!$C$4,AND(D4041="Pindah",E4041='Buku Akun'!$C$4))),B4041+IF(AND(I4041="Selisih bunga",DAY(B4041)=1),0,0.01)+ROW()/10000000,"")</f>
        <v/>
      </c>
    </row>
    <row r="4042" outlineLevel="1" ht="15" customHeight="1" s="94">
      <c r="A4042" s="123">
        <f>IF(B4042="","",ROW()-15)</f>
        <v/>
      </c>
      <c r="B4042" s="124" t="n"/>
      <c r="C4042" s="123" t="n"/>
      <c r="D4042" s="123" t="n"/>
      <c r="E4042" s="123" t="n"/>
      <c r="F4042" s="125" t="n"/>
      <c r="G4042" s="123" t="n"/>
      <c r="H4042" s="123" t="n"/>
      <c r="I4042" s="123" t="n"/>
      <c r="J4042" s="123" t="n"/>
      <c r="K4042" s="123" t="n"/>
      <c r="L4042" s="123" t="n"/>
      <c r="M4042" s="123">
        <f>IF(AND(B4042&lt;&gt;"",OR($C$4="",ISNUMBER(SEARCH($C$4,C4042&amp;" "&amp;E4042&amp;" "&amp;G4042&amp;" "&amp;H4042&amp;" "&amp;I4042&amp;" "&amp;J4042&amp;" "&amp;K4042&amp;" "&amp;L4042))),OR($C$5="Semua",$C$5="",G4042=$C$5),OR($C$6="Semua",$C$6="",H4042=$C$6,H4042="Pengeluaran "&amp;$C$6,AND($C$6="Uang Kos Mama",H4042="Pengeluaran Uang Kos")),OR($C$7="Semua",$C$7="",I4042=$C$7),OR($C$8="Semua",$C$8="",C4042=$C$8,E4042=$C$8),OR($C$9="Semua",$C$9="",D4042=$C$9),OR($C$10="",B4042&gt;=$C$10),OR($C$11="",B4042&lt;=$C$11),OR($C$12&lt;&gt;"Ya",K4042&lt;&gt;""),OR($C$13="Semua",$C$13="",L4042=$C$13)),"✓","")</f>
        <v/>
      </c>
      <c r="N4042" s="93">
        <f>N(N4041)+IF(M4042="✓",1,0)</f>
        <v/>
      </c>
      <c r="O4042" s="93">
        <f>N(O4041)+IF(AND(B4042&lt;&gt;"",B4042&gt;='Uang Riba'!$H$30,B4042&lt;='Uang Riba'!$I$30,OR(H4042="Dana riba",H4042="Pinjam uang riba",I4042="Pinjam dari uang riba",I4042="Ganti uang riba",I4042="Kelebihan ganti dikembalikan",AND(C4042="Kantong Uang Riba",G4042="Pengeluaran"))),1,0)</f>
        <v/>
      </c>
      <c r="X4042" s="93">
        <f>IF(AND(B4042&lt;&gt;"",B4042&gt;='Buku Akun'!$H$4,B4042&lt;='Buku Akun'!$H$5,OR(C4042='Buku Akun'!$C$4,AND(D4042="Pindah",E4042='Buku Akun'!$C$4))),B4042+IF(AND(I4042="Selisih bunga",DAY(B4042)=1),0,0.01)+ROW()/10000000,"")</f>
        <v/>
      </c>
    </row>
    <row r="4043" outlineLevel="1" ht="15" customHeight="1" s="94">
      <c r="A4043" s="123">
        <f>IF(B4043="","",ROW()-15)</f>
        <v/>
      </c>
      <c r="B4043" s="124" t="n"/>
      <c r="C4043" s="123" t="n"/>
      <c r="D4043" s="123" t="n"/>
      <c r="E4043" s="123" t="n"/>
      <c r="F4043" s="125" t="n"/>
      <c r="G4043" s="123" t="n"/>
      <c r="H4043" s="123" t="n"/>
      <c r="I4043" s="123" t="n"/>
      <c r="J4043" s="123" t="n"/>
      <c r="K4043" s="123" t="n"/>
      <c r="L4043" s="123" t="n"/>
      <c r="M4043" s="123">
        <f>IF(AND(B4043&lt;&gt;"",OR($C$4="",ISNUMBER(SEARCH($C$4,C4043&amp;" "&amp;E4043&amp;" "&amp;G4043&amp;" "&amp;H4043&amp;" "&amp;I4043&amp;" "&amp;J4043&amp;" "&amp;K4043&amp;" "&amp;L4043))),OR($C$5="Semua",$C$5="",G4043=$C$5),OR($C$6="Semua",$C$6="",H4043=$C$6,H4043="Pengeluaran "&amp;$C$6,AND($C$6="Uang Kos Mama",H4043="Pengeluaran Uang Kos")),OR($C$7="Semua",$C$7="",I4043=$C$7),OR($C$8="Semua",$C$8="",C4043=$C$8,E4043=$C$8),OR($C$9="Semua",$C$9="",D4043=$C$9),OR($C$10="",B4043&gt;=$C$10),OR($C$11="",B4043&lt;=$C$11),OR($C$12&lt;&gt;"Ya",K4043&lt;&gt;""),OR($C$13="Semua",$C$13="",L4043=$C$13)),"✓","")</f>
        <v/>
      </c>
      <c r="N4043" s="93">
        <f>N(N4042)+IF(M4043="✓",1,0)</f>
        <v/>
      </c>
      <c r="O4043" s="93">
        <f>N(O4042)+IF(AND(B4043&lt;&gt;"",B4043&gt;='Uang Riba'!$H$30,B4043&lt;='Uang Riba'!$I$30,OR(H4043="Dana riba",H4043="Pinjam uang riba",I4043="Pinjam dari uang riba",I4043="Ganti uang riba",I4043="Kelebihan ganti dikembalikan",AND(C4043="Kantong Uang Riba",G4043="Pengeluaran"))),1,0)</f>
        <v/>
      </c>
      <c r="X4043" s="93">
        <f>IF(AND(B4043&lt;&gt;"",B4043&gt;='Buku Akun'!$H$4,B4043&lt;='Buku Akun'!$H$5,OR(C4043='Buku Akun'!$C$4,AND(D4043="Pindah",E4043='Buku Akun'!$C$4))),B4043+IF(AND(I4043="Selisih bunga",DAY(B4043)=1),0,0.01)+ROW()/10000000,"")</f>
        <v/>
      </c>
    </row>
    <row r="4044" outlineLevel="1" ht="15" customHeight="1" s="94">
      <c r="A4044" s="123">
        <f>IF(B4044="","",ROW()-15)</f>
        <v/>
      </c>
      <c r="B4044" s="124" t="n"/>
      <c r="C4044" s="123" t="n"/>
      <c r="D4044" s="123" t="n"/>
      <c r="E4044" s="123" t="n"/>
      <c r="F4044" s="125" t="n"/>
      <c r="G4044" s="123" t="n"/>
      <c r="H4044" s="123" t="n"/>
      <c r="I4044" s="123" t="n"/>
      <c r="J4044" s="123" t="n"/>
      <c r="K4044" s="123" t="n"/>
      <c r="L4044" s="123" t="n"/>
      <c r="M4044" s="123">
        <f>IF(AND(B4044&lt;&gt;"",OR($C$4="",ISNUMBER(SEARCH($C$4,C4044&amp;" "&amp;E4044&amp;" "&amp;G4044&amp;" "&amp;H4044&amp;" "&amp;I4044&amp;" "&amp;J4044&amp;" "&amp;K4044&amp;" "&amp;L4044))),OR($C$5="Semua",$C$5="",G4044=$C$5),OR($C$6="Semua",$C$6="",H4044=$C$6,H4044="Pengeluaran "&amp;$C$6,AND($C$6="Uang Kos Mama",H4044="Pengeluaran Uang Kos")),OR($C$7="Semua",$C$7="",I4044=$C$7),OR($C$8="Semua",$C$8="",C4044=$C$8,E4044=$C$8),OR($C$9="Semua",$C$9="",D4044=$C$9),OR($C$10="",B4044&gt;=$C$10),OR($C$11="",B4044&lt;=$C$11),OR($C$12&lt;&gt;"Ya",K4044&lt;&gt;""),OR($C$13="Semua",$C$13="",L4044=$C$13)),"✓","")</f>
        <v/>
      </c>
      <c r="N4044" s="93">
        <f>N(N4043)+IF(M4044="✓",1,0)</f>
        <v/>
      </c>
      <c r="O4044" s="93">
        <f>N(O4043)+IF(AND(B4044&lt;&gt;"",B4044&gt;='Uang Riba'!$H$30,B4044&lt;='Uang Riba'!$I$30,OR(H4044="Dana riba",H4044="Pinjam uang riba",I4044="Pinjam dari uang riba",I4044="Ganti uang riba",I4044="Kelebihan ganti dikembalikan",AND(C4044="Kantong Uang Riba",G4044="Pengeluaran"))),1,0)</f>
        <v/>
      </c>
      <c r="X4044" s="93">
        <f>IF(AND(B4044&lt;&gt;"",B4044&gt;='Buku Akun'!$H$4,B4044&lt;='Buku Akun'!$H$5,OR(C4044='Buku Akun'!$C$4,AND(D4044="Pindah",E4044='Buku Akun'!$C$4))),B4044+IF(AND(I4044="Selisih bunga",DAY(B4044)=1),0,0.01)+ROW()/10000000,"")</f>
        <v/>
      </c>
    </row>
    <row r="4045" outlineLevel="1" ht="15" customHeight="1" s="94">
      <c r="A4045" s="123">
        <f>IF(B4045="","",ROW()-15)</f>
        <v/>
      </c>
      <c r="B4045" s="124" t="n"/>
      <c r="C4045" s="123" t="n"/>
      <c r="D4045" s="123" t="n"/>
      <c r="E4045" s="123" t="n"/>
      <c r="F4045" s="125" t="n"/>
      <c r="G4045" s="123" t="n"/>
      <c r="H4045" s="123" t="n"/>
      <c r="I4045" s="123" t="n"/>
      <c r="J4045" s="123" t="n"/>
      <c r="K4045" s="123" t="n"/>
      <c r="L4045" s="123" t="n"/>
      <c r="M4045" s="123">
        <f>IF(AND(B4045&lt;&gt;"",OR($C$4="",ISNUMBER(SEARCH($C$4,C4045&amp;" "&amp;E4045&amp;" "&amp;G4045&amp;" "&amp;H4045&amp;" "&amp;I4045&amp;" "&amp;J4045&amp;" "&amp;K4045&amp;" "&amp;L4045))),OR($C$5="Semua",$C$5="",G4045=$C$5),OR($C$6="Semua",$C$6="",H4045=$C$6,H4045="Pengeluaran "&amp;$C$6,AND($C$6="Uang Kos Mama",H4045="Pengeluaran Uang Kos")),OR($C$7="Semua",$C$7="",I4045=$C$7),OR($C$8="Semua",$C$8="",C4045=$C$8,E4045=$C$8),OR($C$9="Semua",$C$9="",D4045=$C$9),OR($C$10="",B4045&gt;=$C$10),OR($C$11="",B4045&lt;=$C$11),OR($C$12&lt;&gt;"Ya",K4045&lt;&gt;""),OR($C$13="Semua",$C$13="",L4045=$C$13)),"✓","")</f>
        <v/>
      </c>
      <c r="N4045" s="93">
        <f>N(N4044)+IF(M4045="✓",1,0)</f>
        <v/>
      </c>
      <c r="O4045" s="93">
        <f>N(O4044)+IF(AND(B4045&lt;&gt;"",B4045&gt;='Uang Riba'!$H$30,B4045&lt;='Uang Riba'!$I$30,OR(H4045="Dana riba",H4045="Pinjam uang riba",I4045="Pinjam dari uang riba",I4045="Ganti uang riba",I4045="Kelebihan ganti dikembalikan",AND(C4045="Kantong Uang Riba",G4045="Pengeluaran"))),1,0)</f>
        <v/>
      </c>
      <c r="X4045" s="93">
        <f>IF(AND(B4045&lt;&gt;"",B4045&gt;='Buku Akun'!$H$4,B4045&lt;='Buku Akun'!$H$5,OR(C4045='Buku Akun'!$C$4,AND(D4045="Pindah",E4045='Buku Akun'!$C$4))),B4045+IF(AND(I4045="Selisih bunga",DAY(B4045)=1),0,0.01)+ROW()/10000000,"")</f>
        <v/>
      </c>
    </row>
    <row r="4046" outlineLevel="1" ht="15" customHeight="1" s="94">
      <c r="A4046" s="123">
        <f>IF(B4046="","",ROW()-15)</f>
        <v/>
      </c>
      <c r="B4046" s="124" t="n"/>
      <c r="C4046" s="123" t="n"/>
      <c r="D4046" s="123" t="n"/>
      <c r="E4046" s="123" t="n"/>
      <c r="F4046" s="125" t="n"/>
      <c r="G4046" s="123" t="n"/>
      <c r="H4046" s="123" t="n"/>
      <c r="I4046" s="123" t="n"/>
      <c r="J4046" s="123" t="n"/>
      <c r="K4046" s="123" t="n"/>
      <c r="L4046" s="123" t="n"/>
      <c r="M4046" s="123">
        <f>IF(AND(B4046&lt;&gt;"",OR($C$4="",ISNUMBER(SEARCH($C$4,C4046&amp;" "&amp;E4046&amp;" "&amp;G4046&amp;" "&amp;H4046&amp;" "&amp;I4046&amp;" "&amp;J4046&amp;" "&amp;K4046&amp;" "&amp;L4046))),OR($C$5="Semua",$C$5="",G4046=$C$5),OR($C$6="Semua",$C$6="",H4046=$C$6,H4046="Pengeluaran "&amp;$C$6,AND($C$6="Uang Kos Mama",H4046="Pengeluaran Uang Kos")),OR($C$7="Semua",$C$7="",I4046=$C$7),OR($C$8="Semua",$C$8="",C4046=$C$8,E4046=$C$8),OR($C$9="Semua",$C$9="",D4046=$C$9),OR($C$10="",B4046&gt;=$C$10),OR($C$11="",B4046&lt;=$C$11),OR($C$12&lt;&gt;"Ya",K4046&lt;&gt;""),OR($C$13="Semua",$C$13="",L4046=$C$13)),"✓","")</f>
        <v/>
      </c>
      <c r="N4046" s="93">
        <f>N(N4045)+IF(M4046="✓",1,0)</f>
        <v/>
      </c>
      <c r="O4046" s="93">
        <f>N(O4045)+IF(AND(B4046&lt;&gt;"",B4046&gt;='Uang Riba'!$H$30,B4046&lt;='Uang Riba'!$I$30,OR(H4046="Dana riba",H4046="Pinjam uang riba",I4046="Pinjam dari uang riba",I4046="Ganti uang riba",I4046="Kelebihan ganti dikembalikan",AND(C4046="Kantong Uang Riba",G4046="Pengeluaran"))),1,0)</f>
        <v/>
      </c>
      <c r="X4046" s="93">
        <f>IF(AND(B4046&lt;&gt;"",B4046&gt;='Buku Akun'!$H$4,B4046&lt;='Buku Akun'!$H$5,OR(C4046='Buku Akun'!$C$4,AND(D4046="Pindah",E4046='Buku Akun'!$C$4))),B4046+IF(AND(I4046="Selisih bunga",DAY(B4046)=1),0,0.01)+ROW()/10000000,"")</f>
        <v/>
      </c>
    </row>
    <row r="4047" outlineLevel="1" ht="15" customHeight="1" s="94">
      <c r="A4047" s="123">
        <f>IF(B4047="","",ROW()-15)</f>
        <v/>
      </c>
      <c r="B4047" s="124" t="n"/>
      <c r="C4047" s="123" t="n"/>
      <c r="D4047" s="123" t="n"/>
      <c r="E4047" s="123" t="n"/>
      <c r="F4047" s="125" t="n"/>
      <c r="G4047" s="123" t="n"/>
      <c r="H4047" s="123" t="n"/>
      <c r="I4047" s="123" t="n"/>
      <c r="J4047" s="123" t="n"/>
      <c r="K4047" s="123" t="n"/>
      <c r="L4047" s="123" t="n"/>
      <c r="M4047" s="123">
        <f>IF(AND(B4047&lt;&gt;"",OR($C$4="",ISNUMBER(SEARCH($C$4,C4047&amp;" "&amp;E4047&amp;" "&amp;G4047&amp;" "&amp;H4047&amp;" "&amp;I4047&amp;" "&amp;J4047&amp;" "&amp;K4047&amp;" "&amp;L4047))),OR($C$5="Semua",$C$5="",G4047=$C$5),OR($C$6="Semua",$C$6="",H4047=$C$6,H4047="Pengeluaran "&amp;$C$6,AND($C$6="Uang Kos Mama",H4047="Pengeluaran Uang Kos")),OR($C$7="Semua",$C$7="",I4047=$C$7),OR($C$8="Semua",$C$8="",C4047=$C$8,E4047=$C$8),OR($C$9="Semua",$C$9="",D4047=$C$9),OR($C$10="",B4047&gt;=$C$10),OR($C$11="",B4047&lt;=$C$11),OR($C$12&lt;&gt;"Ya",K4047&lt;&gt;""),OR($C$13="Semua",$C$13="",L4047=$C$13)),"✓","")</f>
        <v/>
      </c>
      <c r="N4047" s="93">
        <f>N(N4046)+IF(M4047="✓",1,0)</f>
        <v/>
      </c>
      <c r="O4047" s="93">
        <f>N(O4046)+IF(AND(B4047&lt;&gt;"",B4047&gt;='Uang Riba'!$H$30,B4047&lt;='Uang Riba'!$I$30,OR(H4047="Dana riba",H4047="Pinjam uang riba",I4047="Pinjam dari uang riba",I4047="Ganti uang riba",I4047="Kelebihan ganti dikembalikan",AND(C4047="Kantong Uang Riba",G4047="Pengeluaran"))),1,0)</f>
        <v/>
      </c>
      <c r="X4047" s="93">
        <f>IF(AND(B4047&lt;&gt;"",B4047&gt;='Buku Akun'!$H$4,B4047&lt;='Buku Akun'!$H$5,OR(C4047='Buku Akun'!$C$4,AND(D4047="Pindah",E4047='Buku Akun'!$C$4))),B4047+IF(AND(I4047="Selisih bunga",DAY(B4047)=1),0,0.01)+ROW()/10000000,"")</f>
        <v/>
      </c>
    </row>
    <row r="4048" outlineLevel="1" ht="15" customHeight="1" s="94">
      <c r="A4048" s="123">
        <f>IF(B4048="","",ROW()-15)</f>
        <v/>
      </c>
      <c r="B4048" s="124" t="n"/>
      <c r="C4048" s="123" t="n"/>
      <c r="D4048" s="123" t="n"/>
      <c r="E4048" s="123" t="n"/>
      <c r="F4048" s="125" t="n"/>
      <c r="G4048" s="123" t="n"/>
      <c r="H4048" s="123" t="n"/>
      <c r="I4048" s="123" t="n"/>
      <c r="J4048" s="123" t="n"/>
      <c r="K4048" s="123" t="n"/>
      <c r="L4048" s="123" t="n"/>
      <c r="M4048" s="123">
        <f>IF(AND(B4048&lt;&gt;"",OR($C$4="",ISNUMBER(SEARCH($C$4,C4048&amp;" "&amp;E4048&amp;" "&amp;G4048&amp;" "&amp;H4048&amp;" "&amp;I4048&amp;" "&amp;J4048&amp;" "&amp;K4048&amp;" "&amp;L4048))),OR($C$5="Semua",$C$5="",G4048=$C$5),OR($C$6="Semua",$C$6="",H4048=$C$6,H4048="Pengeluaran "&amp;$C$6,AND($C$6="Uang Kos Mama",H4048="Pengeluaran Uang Kos")),OR($C$7="Semua",$C$7="",I4048=$C$7),OR($C$8="Semua",$C$8="",C4048=$C$8,E4048=$C$8),OR($C$9="Semua",$C$9="",D4048=$C$9),OR($C$10="",B4048&gt;=$C$10),OR($C$11="",B4048&lt;=$C$11),OR($C$12&lt;&gt;"Ya",K4048&lt;&gt;""),OR($C$13="Semua",$C$13="",L4048=$C$13)),"✓","")</f>
        <v/>
      </c>
      <c r="N4048" s="93">
        <f>N(N4047)+IF(M4048="✓",1,0)</f>
        <v/>
      </c>
      <c r="O4048" s="93">
        <f>N(O4047)+IF(AND(B4048&lt;&gt;"",B4048&gt;='Uang Riba'!$H$30,B4048&lt;='Uang Riba'!$I$30,OR(H4048="Dana riba",H4048="Pinjam uang riba",I4048="Pinjam dari uang riba",I4048="Ganti uang riba",I4048="Kelebihan ganti dikembalikan",AND(C4048="Kantong Uang Riba",G4048="Pengeluaran"))),1,0)</f>
        <v/>
      </c>
      <c r="X4048" s="93">
        <f>IF(AND(B4048&lt;&gt;"",B4048&gt;='Buku Akun'!$H$4,B4048&lt;='Buku Akun'!$H$5,OR(C4048='Buku Akun'!$C$4,AND(D4048="Pindah",E4048='Buku Akun'!$C$4))),B4048+IF(AND(I4048="Selisih bunga",DAY(B4048)=1),0,0.01)+ROW()/10000000,"")</f>
        <v/>
      </c>
    </row>
    <row r="4049" outlineLevel="1" ht="15" customHeight="1" s="94">
      <c r="A4049" s="123">
        <f>IF(B4049="","",ROW()-15)</f>
        <v/>
      </c>
      <c r="B4049" s="124" t="n"/>
      <c r="C4049" s="123" t="n"/>
      <c r="D4049" s="123" t="n"/>
      <c r="E4049" s="123" t="n"/>
      <c r="F4049" s="125" t="n"/>
      <c r="G4049" s="123" t="n"/>
      <c r="H4049" s="123" t="n"/>
      <c r="I4049" s="123" t="n"/>
      <c r="J4049" s="123" t="n"/>
      <c r="K4049" s="123" t="n"/>
      <c r="L4049" s="123" t="n"/>
      <c r="M4049" s="123">
        <f>IF(AND(B4049&lt;&gt;"",OR($C$4="",ISNUMBER(SEARCH($C$4,C4049&amp;" "&amp;E4049&amp;" "&amp;G4049&amp;" "&amp;H4049&amp;" "&amp;I4049&amp;" "&amp;J4049&amp;" "&amp;K4049&amp;" "&amp;L4049))),OR($C$5="Semua",$C$5="",G4049=$C$5),OR($C$6="Semua",$C$6="",H4049=$C$6,H4049="Pengeluaran "&amp;$C$6,AND($C$6="Uang Kos Mama",H4049="Pengeluaran Uang Kos")),OR($C$7="Semua",$C$7="",I4049=$C$7),OR($C$8="Semua",$C$8="",C4049=$C$8,E4049=$C$8),OR($C$9="Semua",$C$9="",D4049=$C$9),OR($C$10="",B4049&gt;=$C$10),OR($C$11="",B4049&lt;=$C$11),OR($C$12&lt;&gt;"Ya",K4049&lt;&gt;""),OR($C$13="Semua",$C$13="",L4049=$C$13)),"✓","")</f>
        <v/>
      </c>
      <c r="N4049" s="93">
        <f>N(N4048)+IF(M4049="✓",1,0)</f>
        <v/>
      </c>
      <c r="O4049" s="93">
        <f>N(O4048)+IF(AND(B4049&lt;&gt;"",B4049&gt;='Uang Riba'!$H$30,B4049&lt;='Uang Riba'!$I$30,OR(H4049="Dana riba",H4049="Pinjam uang riba",I4049="Pinjam dari uang riba",I4049="Ganti uang riba",I4049="Kelebihan ganti dikembalikan",AND(C4049="Kantong Uang Riba",G4049="Pengeluaran"))),1,0)</f>
        <v/>
      </c>
      <c r="X4049" s="93">
        <f>IF(AND(B4049&lt;&gt;"",B4049&gt;='Buku Akun'!$H$4,B4049&lt;='Buku Akun'!$H$5,OR(C4049='Buku Akun'!$C$4,AND(D4049="Pindah",E4049='Buku Akun'!$C$4))),B4049+IF(AND(I4049="Selisih bunga",DAY(B4049)=1),0,0.01)+ROW()/10000000,"")</f>
        <v/>
      </c>
    </row>
    <row r="4050" outlineLevel="1" ht="15" customHeight="1" s="94">
      <c r="A4050" s="123">
        <f>IF(B4050="","",ROW()-15)</f>
        <v/>
      </c>
      <c r="B4050" s="124" t="n"/>
      <c r="C4050" s="123" t="n"/>
      <c r="D4050" s="123" t="n"/>
      <c r="E4050" s="123" t="n"/>
      <c r="F4050" s="125" t="n"/>
      <c r="G4050" s="123" t="n"/>
      <c r="H4050" s="123" t="n"/>
      <c r="I4050" s="123" t="n"/>
      <c r="J4050" s="123" t="n"/>
      <c r="K4050" s="123" t="n"/>
      <c r="L4050" s="123" t="n"/>
      <c r="M4050" s="123">
        <f>IF(AND(B4050&lt;&gt;"",OR($C$4="",ISNUMBER(SEARCH($C$4,C4050&amp;" "&amp;E4050&amp;" "&amp;G4050&amp;" "&amp;H4050&amp;" "&amp;I4050&amp;" "&amp;J4050&amp;" "&amp;K4050&amp;" "&amp;L4050))),OR($C$5="Semua",$C$5="",G4050=$C$5),OR($C$6="Semua",$C$6="",H4050=$C$6,H4050="Pengeluaran "&amp;$C$6,AND($C$6="Uang Kos Mama",H4050="Pengeluaran Uang Kos")),OR($C$7="Semua",$C$7="",I4050=$C$7),OR($C$8="Semua",$C$8="",C4050=$C$8,E4050=$C$8),OR($C$9="Semua",$C$9="",D4050=$C$9),OR($C$10="",B4050&gt;=$C$10),OR($C$11="",B4050&lt;=$C$11),OR($C$12&lt;&gt;"Ya",K4050&lt;&gt;""),OR($C$13="Semua",$C$13="",L4050=$C$13)),"✓","")</f>
        <v/>
      </c>
      <c r="N4050" s="93">
        <f>N(N4049)+IF(M4050="✓",1,0)</f>
        <v/>
      </c>
      <c r="O4050" s="93">
        <f>N(O4049)+IF(AND(B4050&lt;&gt;"",B4050&gt;='Uang Riba'!$H$30,B4050&lt;='Uang Riba'!$I$30,OR(H4050="Dana riba",H4050="Pinjam uang riba",I4050="Pinjam dari uang riba",I4050="Ganti uang riba",I4050="Kelebihan ganti dikembalikan",AND(C4050="Kantong Uang Riba",G4050="Pengeluaran"))),1,0)</f>
        <v/>
      </c>
      <c r="X4050" s="93">
        <f>IF(AND(B4050&lt;&gt;"",B4050&gt;='Buku Akun'!$H$4,B4050&lt;='Buku Akun'!$H$5,OR(C4050='Buku Akun'!$C$4,AND(D4050="Pindah",E4050='Buku Akun'!$C$4))),B4050+IF(AND(I4050="Selisih bunga",DAY(B4050)=1),0,0.01)+ROW()/10000000,"")</f>
        <v/>
      </c>
    </row>
    <row r="4051" outlineLevel="1" ht="15" customHeight="1" s="94">
      <c r="A4051" s="123">
        <f>IF(B4051="","",ROW()-15)</f>
        <v/>
      </c>
      <c r="B4051" s="124" t="n"/>
      <c r="C4051" s="123" t="n"/>
      <c r="D4051" s="123" t="n"/>
      <c r="E4051" s="123" t="n"/>
      <c r="F4051" s="125" t="n"/>
      <c r="G4051" s="123" t="n"/>
      <c r="H4051" s="123" t="n"/>
      <c r="I4051" s="123" t="n"/>
      <c r="J4051" s="123" t="n"/>
      <c r="K4051" s="123" t="n"/>
      <c r="L4051" s="123" t="n"/>
      <c r="M4051" s="123">
        <f>IF(AND(B4051&lt;&gt;"",OR($C$4="",ISNUMBER(SEARCH($C$4,C4051&amp;" "&amp;E4051&amp;" "&amp;G4051&amp;" "&amp;H4051&amp;" "&amp;I4051&amp;" "&amp;J4051&amp;" "&amp;K4051&amp;" "&amp;L4051))),OR($C$5="Semua",$C$5="",G4051=$C$5),OR($C$6="Semua",$C$6="",H4051=$C$6,H4051="Pengeluaran "&amp;$C$6,AND($C$6="Uang Kos Mama",H4051="Pengeluaran Uang Kos")),OR($C$7="Semua",$C$7="",I4051=$C$7),OR($C$8="Semua",$C$8="",C4051=$C$8,E4051=$C$8),OR($C$9="Semua",$C$9="",D4051=$C$9),OR($C$10="",B4051&gt;=$C$10),OR($C$11="",B4051&lt;=$C$11),OR($C$12&lt;&gt;"Ya",K4051&lt;&gt;""),OR($C$13="Semua",$C$13="",L4051=$C$13)),"✓","")</f>
        <v/>
      </c>
      <c r="N4051" s="93">
        <f>N(N4050)+IF(M4051="✓",1,0)</f>
        <v/>
      </c>
      <c r="O4051" s="93">
        <f>N(O4050)+IF(AND(B4051&lt;&gt;"",B4051&gt;='Uang Riba'!$H$30,B4051&lt;='Uang Riba'!$I$30,OR(H4051="Dana riba",H4051="Pinjam uang riba",I4051="Pinjam dari uang riba",I4051="Ganti uang riba",I4051="Kelebihan ganti dikembalikan",AND(C4051="Kantong Uang Riba",G4051="Pengeluaran"))),1,0)</f>
        <v/>
      </c>
      <c r="X4051" s="93">
        <f>IF(AND(B4051&lt;&gt;"",B4051&gt;='Buku Akun'!$H$4,B4051&lt;='Buku Akun'!$H$5,OR(C4051='Buku Akun'!$C$4,AND(D4051="Pindah",E4051='Buku Akun'!$C$4))),B4051+IF(AND(I4051="Selisih bunga",DAY(B4051)=1),0,0.01)+ROW()/10000000,"")</f>
        <v/>
      </c>
    </row>
    <row r="4052" outlineLevel="1" ht="15" customHeight="1" s="94">
      <c r="A4052" s="123">
        <f>IF(B4052="","",ROW()-15)</f>
        <v/>
      </c>
      <c r="B4052" s="124" t="n"/>
      <c r="C4052" s="123" t="n"/>
      <c r="D4052" s="123" t="n"/>
      <c r="E4052" s="123" t="n"/>
      <c r="F4052" s="125" t="n"/>
      <c r="G4052" s="123" t="n"/>
      <c r="H4052" s="123" t="n"/>
      <c r="I4052" s="123" t="n"/>
      <c r="J4052" s="123" t="n"/>
      <c r="K4052" s="123" t="n"/>
      <c r="L4052" s="123" t="n"/>
      <c r="M4052" s="123">
        <f>IF(AND(B4052&lt;&gt;"",OR($C$4="",ISNUMBER(SEARCH($C$4,C4052&amp;" "&amp;E4052&amp;" "&amp;G4052&amp;" "&amp;H4052&amp;" "&amp;I4052&amp;" "&amp;J4052&amp;" "&amp;K4052&amp;" "&amp;L4052))),OR($C$5="Semua",$C$5="",G4052=$C$5),OR($C$6="Semua",$C$6="",H4052=$C$6,H4052="Pengeluaran "&amp;$C$6,AND($C$6="Uang Kos Mama",H4052="Pengeluaran Uang Kos")),OR($C$7="Semua",$C$7="",I4052=$C$7),OR($C$8="Semua",$C$8="",C4052=$C$8,E4052=$C$8),OR($C$9="Semua",$C$9="",D4052=$C$9),OR($C$10="",B4052&gt;=$C$10),OR($C$11="",B4052&lt;=$C$11),OR($C$12&lt;&gt;"Ya",K4052&lt;&gt;""),OR($C$13="Semua",$C$13="",L4052=$C$13)),"✓","")</f>
        <v/>
      </c>
      <c r="N4052" s="93">
        <f>N(N4051)+IF(M4052="✓",1,0)</f>
        <v/>
      </c>
      <c r="O4052" s="93">
        <f>N(O4051)+IF(AND(B4052&lt;&gt;"",B4052&gt;='Uang Riba'!$H$30,B4052&lt;='Uang Riba'!$I$30,OR(H4052="Dana riba",H4052="Pinjam uang riba",I4052="Pinjam dari uang riba",I4052="Ganti uang riba",I4052="Kelebihan ganti dikembalikan",AND(C4052="Kantong Uang Riba",G4052="Pengeluaran"))),1,0)</f>
        <v/>
      </c>
      <c r="X4052" s="93">
        <f>IF(AND(B4052&lt;&gt;"",B4052&gt;='Buku Akun'!$H$4,B4052&lt;='Buku Akun'!$H$5,OR(C4052='Buku Akun'!$C$4,AND(D4052="Pindah",E4052='Buku Akun'!$C$4))),B4052+IF(AND(I4052="Selisih bunga",DAY(B4052)=1),0,0.01)+ROW()/10000000,"")</f>
        <v/>
      </c>
    </row>
    <row r="4053" outlineLevel="1" ht="15" customHeight="1" s="94">
      <c r="A4053" s="123">
        <f>IF(B4053="","",ROW()-15)</f>
        <v/>
      </c>
      <c r="B4053" s="124" t="n"/>
      <c r="C4053" s="123" t="n"/>
      <c r="D4053" s="123" t="n"/>
      <c r="E4053" s="123" t="n"/>
      <c r="F4053" s="125" t="n"/>
      <c r="G4053" s="123" t="n"/>
      <c r="H4053" s="123" t="n"/>
      <c r="I4053" s="123" t="n"/>
      <c r="J4053" s="123" t="n"/>
      <c r="K4053" s="123" t="n"/>
      <c r="L4053" s="123" t="n"/>
      <c r="M4053" s="123">
        <f>IF(AND(B4053&lt;&gt;"",OR($C$4="",ISNUMBER(SEARCH($C$4,C4053&amp;" "&amp;E4053&amp;" "&amp;G4053&amp;" "&amp;H4053&amp;" "&amp;I4053&amp;" "&amp;J4053&amp;" "&amp;K4053&amp;" "&amp;L4053))),OR($C$5="Semua",$C$5="",G4053=$C$5),OR($C$6="Semua",$C$6="",H4053=$C$6,H4053="Pengeluaran "&amp;$C$6,AND($C$6="Uang Kos Mama",H4053="Pengeluaran Uang Kos")),OR($C$7="Semua",$C$7="",I4053=$C$7),OR($C$8="Semua",$C$8="",C4053=$C$8,E4053=$C$8),OR($C$9="Semua",$C$9="",D4053=$C$9),OR($C$10="",B4053&gt;=$C$10),OR($C$11="",B4053&lt;=$C$11),OR($C$12&lt;&gt;"Ya",K4053&lt;&gt;""),OR($C$13="Semua",$C$13="",L4053=$C$13)),"✓","")</f>
        <v/>
      </c>
      <c r="N4053" s="93">
        <f>N(N4052)+IF(M4053="✓",1,0)</f>
        <v/>
      </c>
      <c r="O4053" s="93">
        <f>N(O4052)+IF(AND(B4053&lt;&gt;"",B4053&gt;='Uang Riba'!$H$30,B4053&lt;='Uang Riba'!$I$30,OR(H4053="Dana riba",H4053="Pinjam uang riba",I4053="Pinjam dari uang riba",I4053="Ganti uang riba",I4053="Kelebihan ganti dikembalikan",AND(C4053="Kantong Uang Riba",G4053="Pengeluaran"))),1,0)</f>
        <v/>
      </c>
      <c r="X4053" s="93">
        <f>IF(AND(B4053&lt;&gt;"",B4053&gt;='Buku Akun'!$H$4,B4053&lt;='Buku Akun'!$H$5,OR(C4053='Buku Akun'!$C$4,AND(D4053="Pindah",E4053='Buku Akun'!$C$4))),B4053+IF(AND(I4053="Selisih bunga",DAY(B4053)=1),0,0.01)+ROW()/10000000,"")</f>
        <v/>
      </c>
    </row>
    <row r="4054" outlineLevel="1" ht="15" customHeight="1" s="94">
      <c r="A4054" s="123">
        <f>IF(B4054="","",ROW()-15)</f>
        <v/>
      </c>
      <c r="B4054" s="124" t="n"/>
      <c r="C4054" s="123" t="n"/>
      <c r="D4054" s="123" t="n"/>
      <c r="E4054" s="123" t="n"/>
      <c r="F4054" s="125" t="n"/>
      <c r="G4054" s="123" t="n"/>
      <c r="H4054" s="123" t="n"/>
      <c r="I4054" s="123" t="n"/>
      <c r="J4054" s="123" t="n"/>
      <c r="K4054" s="123" t="n"/>
      <c r="L4054" s="123" t="n"/>
      <c r="M4054" s="123">
        <f>IF(AND(B4054&lt;&gt;"",OR($C$4="",ISNUMBER(SEARCH($C$4,C4054&amp;" "&amp;E4054&amp;" "&amp;G4054&amp;" "&amp;H4054&amp;" "&amp;I4054&amp;" "&amp;J4054&amp;" "&amp;K4054&amp;" "&amp;L4054))),OR($C$5="Semua",$C$5="",G4054=$C$5),OR($C$6="Semua",$C$6="",H4054=$C$6,H4054="Pengeluaran "&amp;$C$6,AND($C$6="Uang Kos Mama",H4054="Pengeluaran Uang Kos")),OR($C$7="Semua",$C$7="",I4054=$C$7),OR($C$8="Semua",$C$8="",C4054=$C$8,E4054=$C$8),OR($C$9="Semua",$C$9="",D4054=$C$9),OR($C$10="",B4054&gt;=$C$10),OR($C$11="",B4054&lt;=$C$11),OR($C$12&lt;&gt;"Ya",K4054&lt;&gt;""),OR($C$13="Semua",$C$13="",L4054=$C$13)),"✓","")</f>
        <v/>
      </c>
      <c r="N4054" s="93">
        <f>N(N4053)+IF(M4054="✓",1,0)</f>
        <v/>
      </c>
      <c r="O4054" s="93">
        <f>N(O4053)+IF(AND(B4054&lt;&gt;"",B4054&gt;='Uang Riba'!$H$30,B4054&lt;='Uang Riba'!$I$30,OR(H4054="Dana riba",H4054="Pinjam uang riba",I4054="Pinjam dari uang riba",I4054="Ganti uang riba",I4054="Kelebihan ganti dikembalikan",AND(C4054="Kantong Uang Riba",G4054="Pengeluaran"))),1,0)</f>
        <v/>
      </c>
      <c r="X4054" s="93">
        <f>IF(AND(B4054&lt;&gt;"",B4054&gt;='Buku Akun'!$H$4,B4054&lt;='Buku Akun'!$H$5,OR(C4054='Buku Akun'!$C$4,AND(D4054="Pindah",E4054='Buku Akun'!$C$4))),B4054+IF(AND(I4054="Selisih bunga",DAY(B4054)=1),0,0.01)+ROW()/10000000,"")</f>
        <v/>
      </c>
    </row>
    <row r="4055" outlineLevel="1" ht="15" customHeight="1" s="94">
      <c r="A4055" s="123">
        <f>IF(B4055="","",ROW()-15)</f>
        <v/>
      </c>
      <c r="B4055" s="124" t="n"/>
      <c r="C4055" s="123" t="n"/>
      <c r="D4055" s="123" t="n"/>
      <c r="E4055" s="123" t="n"/>
      <c r="F4055" s="125" t="n"/>
      <c r="G4055" s="123" t="n"/>
      <c r="H4055" s="123" t="n"/>
      <c r="I4055" s="123" t="n"/>
      <c r="J4055" s="123" t="n"/>
      <c r="K4055" s="123" t="n"/>
      <c r="L4055" s="123" t="n"/>
      <c r="M4055" s="123">
        <f>IF(AND(B4055&lt;&gt;"",OR($C$4="",ISNUMBER(SEARCH($C$4,C4055&amp;" "&amp;E4055&amp;" "&amp;G4055&amp;" "&amp;H4055&amp;" "&amp;I4055&amp;" "&amp;J4055&amp;" "&amp;K4055&amp;" "&amp;L4055))),OR($C$5="Semua",$C$5="",G4055=$C$5),OR($C$6="Semua",$C$6="",H4055=$C$6,H4055="Pengeluaran "&amp;$C$6,AND($C$6="Uang Kos Mama",H4055="Pengeluaran Uang Kos")),OR($C$7="Semua",$C$7="",I4055=$C$7),OR($C$8="Semua",$C$8="",C4055=$C$8,E4055=$C$8),OR($C$9="Semua",$C$9="",D4055=$C$9),OR($C$10="",B4055&gt;=$C$10),OR($C$11="",B4055&lt;=$C$11),OR($C$12&lt;&gt;"Ya",K4055&lt;&gt;""),OR($C$13="Semua",$C$13="",L4055=$C$13)),"✓","")</f>
        <v/>
      </c>
      <c r="N4055" s="93">
        <f>N(N4054)+IF(M4055="✓",1,0)</f>
        <v/>
      </c>
      <c r="O4055" s="93">
        <f>N(O4054)+IF(AND(B4055&lt;&gt;"",B4055&gt;='Uang Riba'!$H$30,B4055&lt;='Uang Riba'!$I$30,OR(H4055="Dana riba",H4055="Pinjam uang riba",I4055="Pinjam dari uang riba",I4055="Ganti uang riba",I4055="Kelebihan ganti dikembalikan",AND(C4055="Kantong Uang Riba",G4055="Pengeluaran"))),1,0)</f>
        <v/>
      </c>
      <c r="X4055" s="93">
        <f>IF(AND(B4055&lt;&gt;"",B4055&gt;='Buku Akun'!$H$4,B4055&lt;='Buku Akun'!$H$5,OR(C4055='Buku Akun'!$C$4,AND(D4055="Pindah",E4055='Buku Akun'!$C$4))),B4055+IF(AND(I4055="Selisih bunga",DAY(B4055)=1),0,0.01)+ROW()/10000000,"")</f>
        <v/>
      </c>
    </row>
    <row r="4056" outlineLevel="1" ht="15" customHeight="1" s="94">
      <c r="A4056" s="123">
        <f>IF(B4056="","",ROW()-15)</f>
        <v/>
      </c>
      <c r="B4056" s="124" t="n"/>
      <c r="C4056" s="123" t="n"/>
      <c r="D4056" s="123" t="n"/>
      <c r="E4056" s="123" t="n"/>
      <c r="F4056" s="125" t="n"/>
      <c r="G4056" s="123" t="n"/>
      <c r="H4056" s="123" t="n"/>
      <c r="I4056" s="123" t="n"/>
      <c r="J4056" s="123" t="n"/>
      <c r="K4056" s="123" t="n"/>
      <c r="L4056" s="123" t="n"/>
      <c r="M4056" s="123">
        <f>IF(AND(B4056&lt;&gt;"",OR($C$4="",ISNUMBER(SEARCH($C$4,C4056&amp;" "&amp;E4056&amp;" "&amp;G4056&amp;" "&amp;H4056&amp;" "&amp;I4056&amp;" "&amp;J4056&amp;" "&amp;K4056&amp;" "&amp;L4056))),OR($C$5="Semua",$C$5="",G4056=$C$5),OR($C$6="Semua",$C$6="",H4056=$C$6,H4056="Pengeluaran "&amp;$C$6,AND($C$6="Uang Kos Mama",H4056="Pengeluaran Uang Kos")),OR($C$7="Semua",$C$7="",I4056=$C$7),OR($C$8="Semua",$C$8="",C4056=$C$8,E4056=$C$8),OR($C$9="Semua",$C$9="",D4056=$C$9),OR($C$10="",B4056&gt;=$C$10),OR($C$11="",B4056&lt;=$C$11),OR($C$12&lt;&gt;"Ya",K4056&lt;&gt;""),OR($C$13="Semua",$C$13="",L4056=$C$13)),"✓","")</f>
        <v/>
      </c>
      <c r="N4056" s="93">
        <f>N(N4055)+IF(M4056="✓",1,0)</f>
        <v/>
      </c>
      <c r="O4056" s="93">
        <f>N(O4055)+IF(AND(B4056&lt;&gt;"",B4056&gt;='Uang Riba'!$H$30,B4056&lt;='Uang Riba'!$I$30,OR(H4056="Dana riba",H4056="Pinjam uang riba",I4056="Pinjam dari uang riba",I4056="Ganti uang riba",I4056="Kelebihan ganti dikembalikan",AND(C4056="Kantong Uang Riba",G4056="Pengeluaran"))),1,0)</f>
        <v/>
      </c>
      <c r="X4056" s="93">
        <f>IF(AND(B4056&lt;&gt;"",B4056&gt;='Buku Akun'!$H$4,B4056&lt;='Buku Akun'!$H$5,OR(C4056='Buku Akun'!$C$4,AND(D4056="Pindah",E4056='Buku Akun'!$C$4))),B4056+IF(AND(I4056="Selisih bunga",DAY(B4056)=1),0,0.01)+ROW()/10000000,"")</f>
        <v/>
      </c>
    </row>
    <row r="4057" outlineLevel="1" ht="15" customHeight="1" s="94">
      <c r="A4057" s="123">
        <f>IF(B4057="","",ROW()-15)</f>
        <v/>
      </c>
      <c r="B4057" s="124" t="n"/>
      <c r="C4057" s="123" t="n"/>
      <c r="D4057" s="123" t="n"/>
      <c r="E4057" s="123" t="n"/>
      <c r="F4057" s="125" t="n"/>
      <c r="G4057" s="123" t="n"/>
      <c r="H4057" s="123" t="n"/>
      <c r="I4057" s="123" t="n"/>
      <c r="J4057" s="123" t="n"/>
      <c r="K4057" s="123" t="n"/>
      <c r="L4057" s="123" t="n"/>
      <c r="M4057" s="123">
        <f>IF(AND(B4057&lt;&gt;"",OR($C$4="",ISNUMBER(SEARCH($C$4,C4057&amp;" "&amp;E4057&amp;" "&amp;G4057&amp;" "&amp;H4057&amp;" "&amp;I4057&amp;" "&amp;J4057&amp;" "&amp;K4057&amp;" "&amp;L4057))),OR($C$5="Semua",$C$5="",G4057=$C$5),OR($C$6="Semua",$C$6="",H4057=$C$6,H4057="Pengeluaran "&amp;$C$6,AND($C$6="Uang Kos Mama",H4057="Pengeluaran Uang Kos")),OR($C$7="Semua",$C$7="",I4057=$C$7),OR($C$8="Semua",$C$8="",C4057=$C$8,E4057=$C$8),OR($C$9="Semua",$C$9="",D4057=$C$9),OR($C$10="",B4057&gt;=$C$10),OR($C$11="",B4057&lt;=$C$11),OR($C$12&lt;&gt;"Ya",K4057&lt;&gt;""),OR($C$13="Semua",$C$13="",L4057=$C$13)),"✓","")</f>
        <v/>
      </c>
      <c r="N4057" s="93">
        <f>N(N4056)+IF(M4057="✓",1,0)</f>
        <v/>
      </c>
      <c r="O4057" s="93">
        <f>N(O4056)+IF(AND(B4057&lt;&gt;"",B4057&gt;='Uang Riba'!$H$30,B4057&lt;='Uang Riba'!$I$30,OR(H4057="Dana riba",H4057="Pinjam uang riba",I4057="Pinjam dari uang riba",I4057="Ganti uang riba",I4057="Kelebihan ganti dikembalikan",AND(C4057="Kantong Uang Riba",G4057="Pengeluaran"))),1,0)</f>
        <v/>
      </c>
      <c r="X4057" s="93">
        <f>IF(AND(B4057&lt;&gt;"",B4057&gt;='Buku Akun'!$H$4,B4057&lt;='Buku Akun'!$H$5,OR(C4057='Buku Akun'!$C$4,AND(D4057="Pindah",E4057='Buku Akun'!$C$4))),B4057+IF(AND(I4057="Selisih bunga",DAY(B4057)=1),0,0.01)+ROW()/10000000,"")</f>
        <v/>
      </c>
    </row>
    <row r="4058" outlineLevel="1" ht="15" customHeight="1" s="94">
      <c r="A4058" s="123">
        <f>IF(B4058="","",ROW()-15)</f>
        <v/>
      </c>
      <c r="B4058" s="124" t="n"/>
      <c r="C4058" s="123" t="n"/>
      <c r="D4058" s="123" t="n"/>
      <c r="E4058" s="123" t="n"/>
      <c r="F4058" s="125" t="n"/>
      <c r="G4058" s="123" t="n"/>
      <c r="H4058" s="123" t="n"/>
      <c r="I4058" s="123" t="n"/>
      <c r="J4058" s="123" t="n"/>
      <c r="K4058" s="123" t="n"/>
      <c r="L4058" s="123" t="n"/>
      <c r="M4058" s="123">
        <f>IF(AND(B4058&lt;&gt;"",OR($C$4="",ISNUMBER(SEARCH($C$4,C4058&amp;" "&amp;E4058&amp;" "&amp;G4058&amp;" "&amp;H4058&amp;" "&amp;I4058&amp;" "&amp;J4058&amp;" "&amp;K4058&amp;" "&amp;L4058))),OR($C$5="Semua",$C$5="",G4058=$C$5),OR($C$6="Semua",$C$6="",H4058=$C$6,H4058="Pengeluaran "&amp;$C$6,AND($C$6="Uang Kos Mama",H4058="Pengeluaran Uang Kos")),OR($C$7="Semua",$C$7="",I4058=$C$7),OR($C$8="Semua",$C$8="",C4058=$C$8,E4058=$C$8),OR($C$9="Semua",$C$9="",D4058=$C$9),OR($C$10="",B4058&gt;=$C$10),OR($C$11="",B4058&lt;=$C$11),OR($C$12&lt;&gt;"Ya",K4058&lt;&gt;""),OR($C$13="Semua",$C$13="",L4058=$C$13)),"✓","")</f>
        <v/>
      </c>
      <c r="N4058" s="93">
        <f>N(N4057)+IF(M4058="✓",1,0)</f>
        <v/>
      </c>
      <c r="O4058" s="93">
        <f>N(O4057)+IF(AND(B4058&lt;&gt;"",B4058&gt;='Uang Riba'!$H$30,B4058&lt;='Uang Riba'!$I$30,OR(H4058="Dana riba",H4058="Pinjam uang riba",I4058="Pinjam dari uang riba",I4058="Ganti uang riba",I4058="Kelebihan ganti dikembalikan",AND(C4058="Kantong Uang Riba",G4058="Pengeluaran"))),1,0)</f>
        <v/>
      </c>
      <c r="X4058" s="93">
        <f>IF(AND(B4058&lt;&gt;"",B4058&gt;='Buku Akun'!$H$4,B4058&lt;='Buku Akun'!$H$5,OR(C4058='Buku Akun'!$C$4,AND(D4058="Pindah",E4058='Buku Akun'!$C$4))),B4058+IF(AND(I4058="Selisih bunga",DAY(B4058)=1),0,0.01)+ROW()/10000000,"")</f>
        <v/>
      </c>
    </row>
    <row r="4059" outlineLevel="1" ht="15" customHeight="1" s="94">
      <c r="A4059" s="123">
        <f>IF(B4059="","",ROW()-15)</f>
        <v/>
      </c>
      <c r="B4059" s="124" t="n"/>
      <c r="C4059" s="123" t="n"/>
      <c r="D4059" s="123" t="n"/>
      <c r="E4059" s="123" t="n"/>
      <c r="F4059" s="125" t="n"/>
      <c r="G4059" s="123" t="n"/>
      <c r="H4059" s="123" t="n"/>
      <c r="I4059" s="123" t="n"/>
      <c r="J4059" s="123" t="n"/>
      <c r="K4059" s="123" t="n"/>
      <c r="L4059" s="123" t="n"/>
      <c r="M4059" s="123">
        <f>IF(AND(B4059&lt;&gt;"",OR($C$4="",ISNUMBER(SEARCH($C$4,C4059&amp;" "&amp;E4059&amp;" "&amp;G4059&amp;" "&amp;H4059&amp;" "&amp;I4059&amp;" "&amp;J4059&amp;" "&amp;K4059&amp;" "&amp;L4059))),OR($C$5="Semua",$C$5="",G4059=$C$5),OR($C$6="Semua",$C$6="",H4059=$C$6,H4059="Pengeluaran "&amp;$C$6,AND($C$6="Uang Kos Mama",H4059="Pengeluaran Uang Kos")),OR($C$7="Semua",$C$7="",I4059=$C$7),OR($C$8="Semua",$C$8="",C4059=$C$8,E4059=$C$8),OR($C$9="Semua",$C$9="",D4059=$C$9),OR($C$10="",B4059&gt;=$C$10),OR($C$11="",B4059&lt;=$C$11),OR($C$12&lt;&gt;"Ya",K4059&lt;&gt;""),OR($C$13="Semua",$C$13="",L4059=$C$13)),"✓","")</f>
        <v/>
      </c>
      <c r="N4059" s="93">
        <f>N(N4058)+IF(M4059="✓",1,0)</f>
        <v/>
      </c>
      <c r="O4059" s="93">
        <f>N(O4058)+IF(AND(B4059&lt;&gt;"",B4059&gt;='Uang Riba'!$H$30,B4059&lt;='Uang Riba'!$I$30,OR(H4059="Dana riba",H4059="Pinjam uang riba",I4059="Pinjam dari uang riba",I4059="Ganti uang riba",I4059="Kelebihan ganti dikembalikan",AND(C4059="Kantong Uang Riba",G4059="Pengeluaran"))),1,0)</f>
        <v/>
      </c>
      <c r="X4059" s="93">
        <f>IF(AND(B4059&lt;&gt;"",B4059&gt;='Buku Akun'!$H$4,B4059&lt;='Buku Akun'!$H$5,OR(C4059='Buku Akun'!$C$4,AND(D4059="Pindah",E4059='Buku Akun'!$C$4))),B4059+IF(AND(I4059="Selisih bunga",DAY(B4059)=1),0,0.01)+ROW()/10000000,"")</f>
        <v/>
      </c>
    </row>
    <row r="4060" outlineLevel="1" ht="15" customHeight="1" s="94">
      <c r="A4060" s="123">
        <f>IF(B4060="","",ROW()-15)</f>
        <v/>
      </c>
      <c r="B4060" s="124" t="n"/>
      <c r="C4060" s="123" t="n"/>
      <c r="D4060" s="123" t="n"/>
      <c r="E4060" s="123" t="n"/>
      <c r="F4060" s="125" t="n"/>
      <c r="G4060" s="123" t="n"/>
      <c r="H4060" s="123" t="n"/>
      <c r="I4060" s="123" t="n"/>
      <c r="J4060" s="123" t="n"/>
      <c r="K4060" s="123" t="n"/>
      <c r="L4060" s="123" t="n"/>
      <c r="M4060" s="123">
        <f>IF(AND(B4060&lt;&gt;"",OR($C$4="",ISNUMBER(SEARCH($C$4,C4060&amp;" "&amp;E4060&amp;" "&amp;G4060&amp;" "&amp;H4060&amp;" "&amp;I4060&amp;" "&amp;J4060&amp;" "&amp;K4060&amp;" "&amp;L4060))),OR($C$5="Semua",$C$5="",G4060=$C$5),OR($C$6="Semua",$C$6="",H4060=$C$6,H4060="Pengeluaran "&amp;$C$6,AND($C$6="Uang Kos Mama",H4060="Pengeluaran Uang Kos")),OR($C$7="Semua",$C$7="",I4060=$C$7),OR($C$8="Semua",$C$8="",C4060=$C$8,E4060=$C$8),OR($C$9="Semua",$C$9="",D4060=$C$9),OR($C$10="",B4060&gt;=$C$10),OR($C$11="",B4060&lt;=$C$11),OR($C$12&lt;&gt;"Ya",K4060&lt;&gt;""),OR($C$13="Semua",$C$13="",L4060=$C$13)),"✓","")</f>
        <v/>
      </c>
      <c r="N4060" s="93">
        <f>N(N4059)+IF(M4060="✓",1,0)</f>
        <v/>
      </c>
      <c r="O4060" s="93">
        <f>N(O4059)+IF(AND(B4060&lt;&gt;"",B4060&gt;='Uang Riba'!$H$30,B4060&lt;='Uang Riba'!$I$30,OR(H4060="Dana riba",H4060="Pinjam uang riba",I4060="Pinjam dari uang riba",I4060="Ganti uang riba",I4060="Kelebihan ganti dikembalikan",AND(C4060="Kantong Uang Riba",G4060="Pengeluaran"))),1,0)</f>
        <v/>
      </c>
      <c r="X4060" s="93">
        <f>IF(AND(B4060&lt;&gt;"",B4060&gt;='Buku Akun'!$H$4,B4060&lt;='Buku Akun'!$H$5,OR(C4060='Buku Akun'!$C$4,AND(D4060="Pindah",E4060='Buku Akun'!$C$4))),B4060+IF(AND(I4060="Selisih bunga",DAY(B4060)=1),0,0.01)+ROW()/10000000,"")</f>
        <v/>
      </c>
    </row>
    <row r="4061" outlineLevel="1" ht="15" customHeight="1" s="94">
      <c r="A4061" s="123">
        <f>IF(B4061="","",ROW()-15)</f>
        <v/>
      </c>
      <c r="B4061" s="124" t="n"/>
      <c r="C4061" s="123" t="n"/>
      <c r="D4061" s="123" t="n"/>
      <c r="E4061" s="123" t="n"/>
      <c r="F4061" s="125" t="n"/>
      <c r="G4061" s="123" t="n"/>
      <c r="H4061" s="123" t="n"/>
      <c r="I4061" s="123" t="n"/>
      <c r="J4061" s="123" t="n"/>
      <c r="K4061" s="123" t="n"/>
      <c r="L4061" s="123" t="n"/>
      <c r="M4061" s="123">
        <f>IF(AND(B4061&lt;&gt;"",OR($C$4="",ISNUMBER(SEARCH($C$4,C4061&amp;" "&amp;E4061&amp;" "&amp;G4061&amp;" "&amp;H4061&amp;" "&amp;I4061&amp;" "&amp;J4061&amp;" "&amp;K4061&amp;" "&amp;L4061))),OR($C$5="Semua",$C$5="",G4061=$C$5),OR($C$6="Semua",$C$6="",H4061=$C$6,H4061="Pengeluaran "&amp;$C$6,AND($C$6="Uang Kos Mama",H4061="Pengeluaran Uang Kos")),OR($C$7="Semua",$C$7="",I4061=$C$7),OR($C$8="Semua",$C$8="",C4061=$C$8,E4061=$C$8),OR($C$9="Semua",$C$9="",D4061=$C$9),OR($C$10="",B4061&gt;=$C$10),OR($C$11="",B4061&lt;=$C$11),OR($C$12&lt;&gt;"Ya",K4061&lt;&gt;""),OR($C$13="Semua",$C$13="",L4061=$C$13)),"✓","")</f>
        <v/>
      </c>
      <c r="N4061" s="93">
        <f>N(N4060)+IF(M4061="✓",1,0)</f>
        <v/>
      </c>
      <c r="O4061" s="93">
        <f>N(O4060)+IF(AND(B4061&lt;&gt;"",B4061&gt;='Uang Riba'!$H$30,B4061&lt;='Uang Riba'!$I$30,OR(H4061="Dana riba",H4061="Pinjam uang riba",I4061="Pinjam dari uang riba",I4061="Ganti uang riba",I4061="Kelebihan ganti dikembalikan",AND(C4061="Kantong Uang Riba",G4061="Pengeluaran"))),1,0)</f>
        <v/>
      </c>
      <c r="X4061" s="93">
        <f>IF(AND(B4061&lt;&gt;"",B4061&gt;='Buku Akun'!$H$4,B4061&lt;='Buku Akun'!$H$5,OR(C4061='Buku Akun'!$C$4,AND(D4061="Pindah",E4061='Buku Akun'!$C$4))),B4061+IF(AND(I4061="Selisih bunga",DAY(B4061)=1),0,0.01)+ROW()/10000000,"")</f>
        <v/>
      </c>
    </row>
    <row r="4062" outlineLevel="1" ht="15" customHeight="1" s="94">
      <c r="A4062" s="123">
        <f>IF(B4062="","",ROW()-15)</f>
        <v/>
      </c>
      <c r="B4062" s="124" t="n"/>
      <c r="C4062" s="123" t="n"/>
      <c r="D4062" s="123" t="n"/>
      <c r="E4062" s="123" t="n"/>
      <c r="F4062" s="125" t="n"/>
      <c r="G4062" s="123" t="n"/>
      <c r="H4062" s="123" t="n"/>
      <c r="I4062" s="123" t="n"/>
      <c r="J4062" s="123" t="n"/>
      <c r="K4062" s="123" t="n"/>
      <c r="L4062" s="123" t="n"/>
      <c r="M4062" s="123">
        <f>IF(AND(B4062&lt;&gt;"",OR($C$4="",ISNUMBER(SEARCH($C$4,C4062&amp;" "&amp;E4062&amp;" "&amp;G4062&amp;" "&amp;H4062&amp;" "&amp;I4062&amp;" "&amp;J4062&amp;" "&amp;K4062&amp;" "&amp;L4062))),OR($C$5="Semua",$C$5="",G4062=$C$5),OR($C$6="Semua",$C$6="",H4062=$C$6,H4062="Pengeluaran "&amp;$C$6,AND($C$6="Uang Kos Mama",H4062="Pengeluaran Uang Kos")),OR($C$7="Semua",$C$7="",I4062=$C$7),OR($C$8="Semua",$C$8="",C4062=$C$8,E4062=$C$8),OR($C$9="Semua",$C$9="",D4062=$C$9),OR($C$10="",B4062&gt;=$C$10),OR($C$11="",B4062&lt;=$C$11),OR($C$12&lt;&gt;"Ya",K4062&lt;&gt;""),OR($C$13="Semua",$C$13="",L4062=$C$13)),"✓","")</f>
        <v/>
      </c>
      <c r="N4062" s="93">
        <f>N(N4061)+IF(M4062="✓",1,0)</f>
        <v/>
      </c>
      <c r="O4062" s="93">
        <f>N(O4061)+IF(AND(B4062&lt;&gt;"",B4062&gt;='Uang Riba'!$H$30,B4062&lt;='Uang Riba'!$I$30,OR(H4062="Dana riba",H4062="Pinjam uang riba",I4062="Pinjam dari uang riba",I4062="Ganti uang riba",I4062="Kelebihan ganti dikembalikan",AND(C4062="Kantong Uang Riba",G4062="Pengeluaran"))),1,0)</f>
        <v/>
      </c>
      <c r="X4062" s="93">
        <f>IF(AND(B4062&lt;&gt;"",B4062&gt;='Buku Akun'!$H$4,B4062&lt;='Buku Akun'!$H$5,OR(C4062='Buku Akun'!$C$4,AND(D4062="Pindah",E4062='Buku Akun'!$C$4))),B4062+IF(AND(I4062="Selisih bunga",DAY(B4062)=1),0,0.01)+ROW()/10000000,"")</f>
        <v/>
      </c>
    </row>
    <row r="4063" outlineLevel="1" ht="15" customHeight="1" s="94">
      <c r="A4063" s="123">
        <f>IF(B4063="","",ROW()-15)</f>
        <v/>
      </c>
      <c r="B4063" s="124" t="n"/>
      <c r="C4063" s="123" t="n"/>
      <c r="D4063" s="123" t="n"/>
      <c r="E4063" s="123" t="n"/>
      <c r="F4063" s="125" t="n"/>
      <c r="G4063" s="123" t="n"/>
      <c r="H4063" s="123" t="n"/>
      <c r="I4063" s="123" t="n"/>
      <c r="J4063" s="123" t="n"/>
      <c r="K4063" s="123" t="n"/>
      <c r="L4063" s="123" t="n"/>
      <c r="M4063" s="123">
        <f>IF(AND(B4063&lt;&gt;"",OR($C$4="",ISNUMBER(SEARCH($C$4,C4063&amp;" "&amp;E4063&amp;" "&amp;G4063&amp;" "&amp;H4063&amp;" "&amp;I4063&amp;" "&amp;J4063&amp;" "&amp;K4063&amp;" "&amp;L4063))),OR($C$5="Semua",$C$5="",G4063=$C$5),OR($C$6="Semua",$C$6="",H4063=$C$6,H4063="Pengeluaran "&amp;$C$6,AND($C$6="Uang Kos Mama",H4063="Pengeluaran Uang Kos")),OR($C$7="Semua",$C$7="",I4063=$C$7),OR($C$8="Semua",$C$8="",C4063=$C$8,E4063=$C$8),OR($C$9="Semua",$C$9="",D4063=$C$9),OR($C$10="",B4063&gt;=$C$10),OR($C$11="",B4063&lt;=$C$11),OR($C$12&lt;&gt;"Ya",K4063&lt;&gt;""),OR($C$13="Semua",$C$13="",L4063=$C$13)),"✓","")</f>
        <v/>
      </c>
      <c r="N4063" s="93">
        <f>N(N4062)+IF(M4063="✓",1,0)</f>
        <v/>
      </c>
      <c r="O4063" s="93">
        <f>N(O4062)+IF(AND(B4063&lt;&gt;"",B4063&gt;='Uang Riba'!$H$30,B4063&lt;='Uang Riba'!$I$30,OR(H4063="Dana riba",H4063="Pinjam uang riba",I4063="Pinjam dari uang riba",I4063="Ganti uang riba",I4063="Kelebihan ganti dikembalikan",AND(C4063="Kantong Uang Riba",G4063="Pengeluaran"))),1,0)</f>
        <v/>
      </c>
      <c r="X4063" s="93">
        <f>IF(AND(B4063&lt;&gt;"",B4063&gt;='Buku Akun'!$H$4,B4063&lt;='Buku Akun'!$H$5,OR(C4063='Buku Akun'!$C$4,AND(D4063="Pindah",E4063='Buku Akun'!$C$4))),B4063+IF(AND(I4063="Selisih bunga",DAY(B4063)=1),0,0.01)+ROW()/10000000,"")</f>
        <v/>
      </c>
    </row>
    <row r="4064" outlineLevel="1" ht="15" customHeight="1" s="94">
      <c r="A4064" s="123">
        <f>IF(B4064="","",ROW()-15)</f>
        <v/>
      </c>
      <c r="B4064" s="124" t="n"/>
      <c r="C4064" s="123" t="n"/>
      <c r="D4064" s="123" t="n"/>
      <c r="E4064" s="123" t="n"/>
      <c r="F4064" s="125" t="n"/>
      <c r="G4064" s="123" t="n"/>
      <c r="H4064" s="123" t="n"/>
      <c r="I4064" s="123" t="n"/>
      <c r="J4064" s="123" t="n"/>
      <c r="K4064" s="123" t="n"/>
      <c r="L4064" s="123" t="n"/>
      <c r="M4064" s="123">
        <f>IF(AND(B4064&lt;&gt;"",OR($C$4="",ISNUMBER(SEARCH($C$4,C4064&amp;" "&amp;E4064&amp;" "&amp;G4064&amp;" "&amp;H4064&amp;" "&amp;I4064&amp;" "&amp;J4064&amp;" "&amp;K4064&amp;" "&amp;L4064))),OR($C$5="Semua",$C$5="",G4064=$C$5),OR($C$6="Semua",$C$6="",H4064=$C$6,H4064="Pengeluaran "&amp;$C$6,AND($C$6="Uang Kos Mama",H4064="Pengeluaran Uang Kos")),OR($C$7="Semua",$C$7="",I4064=$C$7),OR($C$8="Semua",$C$8="",C4064=$C$8,E4064=$C$8),OR($C$9="Semua",$C$9="",D4064=$C$9),OR($C$10="",B4064&gt;=$C$10),OR($C$11="",B4064&lt;=$C$11),OR($C$12&lt;&gt;"Ya",K4064&lt;&gt;""),OR($C$13="Semua",$C$13="",L4064=$C$13)),"✓","")</f>
        <v/>
      </c>
      <c r="N4064" s="93">
        <f>N(N4063)+IF(M4064="✓",1,0)</f>
        <v/>
      </c>
      <c r="O4064" s="93">
        <f>N(O4063)+IF(AND(B4064&lt;&gt;"",B4064&gt;='Uang Riba'!$H$30,B4064&lt;='Uang Riba'!$I$30,OR(H4064="Dana riba",H4064="Pinjam uang riba",I4064="Pinjam dari uang riba",I4064="Ganti uang riba",I4064="Kelebihan ganti dikembalikan",AND(C4064="Kantong Uang Riba",G4064="Pengeluaran"))),1,0)</f>
        <v/>
      </c>
      <c r="X4064" s="93">
        <f>IF(AND(B4064&lt;&gt;"",B4064&gt;='Buku Akun'!$H$4,B4064&lt;='Buku Akun'!$H$5,OR(C4064='Buku Akun'!$C$4,AND(D4064="Pindah",E4064='Buku Akun'!$C$4))),B4064+IF(AND(I4064="Selisih bunga",DAY(B4064)=1),0,0.01)+ROW()/10000000,"")</f>
        <v/>
      </c>
    </row>
    <row r="4065" outlineLevel="1" ht="15" customHeight="1" s="94">
      <c r="A4065" s="123">
        <f>IF(B4065="","",ROW()-15)</f>
        <v/>
      </c>
      <c r="B4065" s="124" t="n"/>
      <c r="C4065" s="123" t="n"/>
      <c r="D4065" s="123" t="n"/>
      <c r="E4065" s="123" t="n"/>
      <c r="F4065" s="125" t="n"/>
      <c r="G4065" s="123" t="n"/>
      <c r="H4065" s="123" t="n"/>
      <c r="I4065" s="123" t="n"/>
      <c r="J4065" s="123" t="n"/>
      <c r="K4065" s="123" t="n"/>
      <c r="L4065" s="123" t="n"/>
      <c r="M4065" s="123">
        <f>IF(AND(B4065&lt;&gt;"",OR($C$4="",ISNUMBER(SEARCH($C$4,C4065&amp;" "&amp;E4065&amp;" "&amp;G4065&amp;" "&amp;H4065&amp;" "&amp;I4065&amp;" "&amp;J4065&amp;" "&amp;K4065&amp;" "&amp;L4065))),OR($C$5="Semua",$C$5="",G4065=$C$5),OR($C$6="Semua",$C$6="",H4065=$C$6,H4065="Pengeluaran "&amp;$C$6,AND($C$6="Uang Kos Mama",H4065="Pengeluaran Uang Kos")),OR($C$7="Semua",$C$7="",I4065=$C$7),OR($C$8="Semua",$C$8="",C4065=$C$8,E4065=$C$8),OR($C$9="Semua",$C$9="",D4065=$C$9),OR($C$10="",B4065&gt;=$C$10),OR($C$11="",B4065&lt;=$C$11),OR($C$12&lt;&gt;"Ya",K4065&lt;&gt;""),OR($C$13="Semua",$C$13="",L4065=$C$13)),"✓","")</f>
        <v/>
      </c>
      <c r="N4065" s="93">
        <f>N(N4064)+IF(M4065="✓",1,0)</f>
        <v/>
      </c>
      <c r="O4065" s="93">
        <f>N(O4064)+IF(AND(B4065&lt;&gt;"",B4065&gt;='Uang Riba'!$H$30,B4065&lt;='Uang Riba'!$I$30,OR(H4065="Dana riba",H4065="Pinjam uang riba",I4065="Pinjam dari uang riba",I4065="Ganti uang riba",I4065="Kelebihan ganti dikembalikan",AND(C4065="Kantong Uang Riba",G4065="Pengeluaran"))),1,0)</f>
        <v/>
      </c>
      <c r="X4065" s="93">
        <f>IF(AND(B4065&lt;&gt;"",B4065&gt;='Buku Akun'!$H$4,B4065&lt;='Buku Akun'!$H$5,OR(C4065='Buku Akun'!$C$4,AND(D4065="Pindah",E4065='Buku Akun'!$C$4))),B4065+IF(AND(I4065="Selisih bunga",DAY(B4065)=1),0,0.01)+ROW()/10000000,"")</f>
        <v/>
      </c>
    </row>
    <row r="4066" outlineLevel="1" ht="15" customHeight="1" s="94">
      <c r="A4066" s="123">
        <f>IF(B4066="","",ROW()-15)</f>
        <v/>
      </c>
      <c r="B4066" s="124" t="n"/>
      <c r="C4066" s="123" t="n"/>
      <c r="D4066" s="123" t="n"/>
      <c r="E4066" s="123" t="n"/>
      <c r="F4066" s="125" t="n"/>
      <c r="G4066" s="123" t="n"/>
      <c r="H4066" s="123" t="n"/>
      <c r="I4066" s="123" t="n"/>
      <c r="J4066" s="123" t="n"/>
      <c r="K4066" s="123" t="n"/>
      <c r="L4066" s="123" t="n"/>
      <c r="M4066" s="123">
        <f>IF(AND(B4066&lt;&gt;"",OR($C$4="",ISNUMBER(SEARCH($C$4,C4066&amp;" "&amp;E4066&amp;" "&amp;G4066&amp;" "&amp;H4066&amp;" "&amp;I4066&amp;" "&amp;J4066&amp;" "&amp;K4066&amp;" "&amp;L4066))),OR($C$5="Semua",$C$5="",G4066=$C$5),OR($C$6="Semua",$C$6="",H4066=$C$6,H4066="Pengeluaran "&amp;$C$6,AND($C$6="Uang Kos Mama",H4066="Pengeluaran Uang Kos")),OR($C$7="Semua",$C$7="",I4066=$C$7),OR($C$8="Semua",$C$8="",C4066=$C$8,E4066=$C$8),OR($C$9="Semua",$C$9="",D4066=$C$9),OR($C$10="",B4066&gt;=$C$10),OR($C$11="",B4066&lt;=$C$11),OR($C$12&lt;&gt;"Ya",K4066&lt;&gt;""),OR($C$13="Semua",$C$13="",L4066=$C$13)),"✓","")</f>
        <v/>
      </c>
      <c r="N4066" s="93">
        <f>N(N4065)+IF(M4066="✓",1,0)</f>
        <v/>
      </c>
      <c r="O4066" s="93">
        <f>N(O4065)+IF(AND(B4066&lt;&gt;"",B4066&gt;='Uang Riba'!$H$30,B4066&lt;='Uang Riba'!$I$30,OR(H4066="Dana riba",H4066="Pinjam uang riba",I4066="Pinjam dari uang riba",I4066="Ganti uang riba",I4066="Kelebihan ganti dikembalikan",AND(C4066="Kantong Uang Riba",G4066="Pengeluaran"))),1,0)</f>
        <v/>
      </c>
      <c r="X4066" s="93">
        <f>IF(AND(B4066&lt;&gt;"",B4066&gt;='Buku Akun'!$H$4,B4066&lt;='Buku Akun'!$H$5,OR(C4066='Buku Akun'!$C$4,AND(D4066="Pindah",E4066='Buku Akun'!$C$4))),B4066+IF(AND(I4066="Selisih bunga",DAY(B4066)=1),0,0.01)+ROW()/10000000,"")</f>
        <v/>
      </c>
    </row>
    <row r="4067" outlineLevel="1" ht="15" customHeight="1" s="94">
      <c r="A4067" s="123">
        <f>IF(B4067="","",ROW()-15)</f>
        <v/>
      </c>
      <c r="B4067" s="124" t="n"/>
      <c r="C4067" s="123" t="n"/>
      <c r="D4067" s="123" t="n"/>
      <c r="E4067" s="123" t="n"/>
      <c r="F4067" s="125" t="n"/>
      <c r="G4067" s="123" t="n"/>
      <c r="H4067" s="123" t="n"/>
      <c r="I4067" s="123" t="n"/>
      <c r="J4067" s="123" t="n"/>
      <c r="K4067" s="123" t="n"/>
      <c r="L4067" s="123" t="n"/>
      <c r="M4067" s="123">
        <f>IF(AND(B4067&lt;&gt;"",OR($C$4="",ISNUMBER(SEARCH($C$4,C4067&amp;" "&amp;E4067&amp;" "&amp;G4067&amp;" "&amp;H4067&amp;" "&amp;I4067&amp;" "&amp;J4067&amp;" "&amp;K4067&amp;" "&amp;L4067))),OR($C$5="Semua",$C$5="",G4067=$C$5),OR($C$6="Semua",$C$6="",H4067=$C$6,H4067="Pengeluaran "&amp;$C$6,AND($C$6="Uang Kos Mama",H4067="Pengeluaran Uang Kos")),OR($C$7="Semua",$C$7="",I4067=$C$7),OR($C$8="Semua",$C$8="",C4067=$C$8,E4067=$C$8),OR($C$9="Semua",$C$9="",D4067=$C$9),OR($C$10="",B4067&gt;=$C$10),OR($C$11="",B4067&lt;=$C$11),OR($C$12&lt;&gt;"Ya",K4067&lt;&gt;""),OR($C$13="Semua",$C$13="",L4067=$C$13)),"✓","")</f>
        <v/>
      </c>
      <c r="N4067" s="93">
        <f>N(N4066)+IF(M4067="✓",1,0)</f>
        <v/>
      </c>
      <c r="O4067" s="93">
        <f>N(O4066)+IF(AND(B4067&lt;&gt;"",B4067&gt;='Uang Riba'!$H$30,B4067&lt;='Uang Riba'!$I$30,OR(H4067="Dana riba",H4067="Pinjam uang riba",I4067="Pinjam dari uang riba",I4067="Ganti uang riba",I4067="Kelebihan ganti dikembalikan",AND(C4067="Kantong Uang Riba",G4067="Pengeluaran"))),1,0)</f>
        <v/>
      </c>
      <c r="X4067" s="93">
        <f>IF(AND(B4067&lt;&gt;"",B4067&gt;='Buku Akun'!$H$4,B4067&lt;='Buku Akun'!$H$5,OR(C4067='Buku Akun'!$C$4,AND(D4067="Pindah",E4067='Buku Akun'!$C$4))),B4067+IF(AND(I4067="Selisih bunga",DAY(B4067)=1),0,0.01)+ROW()/10000000,"")</f>
        <v/>
      </c>
    </row>
    <row r="4068" outlineLevel="1" ht="15" customHeight="1" s="94">
      <c r="A4068" s="123">
        <f>IF(B4068="","",ROW()-15)</f>
        <v/>
      </c>
      <c r="B4068" s="124" t="n"/>
      <c r="C4068" s="123" t="n"/>
      <c r="D4068" s="123" t="n"/>
      <c r="E4068" s="123" t="n"/>
      <c r="F4068" s="125" t="n"/>
      <c r="G4068" s="123" t="n"/>
      <c r="H4068" s="123" t="n"/>
      <c r="I4068" s="123" t="n"/>
      <c r="J4068" s="123" t="n"/>
      <c r="K4068" s="123" t="n"/>
      <c r="L4068" s="123" t="n"/>
      <c r="M4068" s="123">
        <f>IF(AND(B4068&lt;&gt;"",OR($C$4="",ISNUMBER(SEARCH($C$4,C4068&amp;" "&amp;E4068&amp;" "&amp;G4068&amp;" "&amp;H4068&amp;" "&amp;I4068&amp;" "&amp;J4068&amp;" "&amp;K4068&amp;" "&amp;L4068))),OR($C$5="Semua",$C$5="",G4068=$C$5),OR($C$6="Semua",$C$6="",H4068=$C$6,H4068="Pengeluaran "&amp;$C$6,AND($C$6="Uang Kos Mama",H4068="Pengeluaran Uang Kos")),OR($C$7="Semua",$C$7="",I4068=$C$7),OR($C$8="Semua",$C$8="",C4068=$C$8,E4068=$C$8),OR($C$9="Semua",$C$9="",D4068=$C$9),OR($C$10="",B4068&gt;=$C$10),OR($C$11="",B4068&lt;=$C$11),OR($C$12&lt;&gt;"Ya",K4068&lt;&gt;""),OR($C$13="Semua",$C$13="",L4068=$C$13)),"✓","")</f>
        <v/>
      </c>
      <c r="N4068" s="93">
        <f>N(N4067)+IF(M4068="✓",1,0)</f>
        <v/>
      </c>
      <c r="O4068" s="93">
        <f>N(O4067)+IF(AND(B4068&lt;&gt;"",B4068&gt;='Uang Riba'!$H$30,B4068&lt;='Uang Riba'!$I$30,OR(H4068="Dana riba",H4068="Pinjam uang riba",I4068="Pinjam dari uang riba",I4068="Ganti uang riba",I4068="Kelebihan ganti dikembalikan",AND(C4068="Kantong Uang Riba",G4068="Pengeluaran"))),1,0)</f>
        <v/>
      </c>
      <c r="X4068" s="93">
        <f>IF(AND(B4068&lt;&gt;"",B4068&gt;='Buku Akun'!$H$4,B4068&lt;='Buku Akun'!$H$5,OR(C4068='Buku Akun'!$C$4,AND(D4068="Pindah",E4068='Buku Akun'!$C$4))),B4068+IF(AND(I4068="Selisih bunga",DAY(B4068)=1),0,0.01)+ROW()/10000000,"")</f>
        <v/>
      </c>
    </row>
    <row r="4069" outlineLevel="1" ht="15" customHeight="1" s="94">
      <c r="A4069" s="123">
        <f>IF(B4069="","",ROW()-15)</f>
        <v/>
      </c>
      <c r="B4069" s="124" t="n"/>
      <c r="C4069" s="123" t="n"/>
      <c r="D4069" s="123" t="n"/>
      <c r="E4069" s="123" t="n"/>
      <c r="F4069" s="125" t="n"/>
      <c r="G4069" s="123" t="n"/>
      <c r="H4069" s="123" t="n"/>
      <c r="I4069" s="123" t="n"/>
      <c r="J4069" s="123" t="n"/>
      <c r="K4069" s="123" t="n"/>
      <c r="L4069" s="123" t="n"/>
      <c r="M4069" s="123">
        <f>IF(AND(B4069&lt;&gt;"",OR($C$4="",ISNUMBER(SEARCH($C$4,C4069&amp;" "&amp;E4069&amp;" "&amp;G4069&amp;" "&amp;H4069&amp;" "&amp;I4069&amp;" "&amp;J4069&amp;" "&amp;K4069&amp;" "&amp;L4069))),OR($C$5="Semua",$C$5="",G4069=$C$5),OR($C$6="Semua",$C$6="",H4069=$C$6,H4069="Pengeluaran "&amp;$C$6,AND($C$6="Uang Kos Mama",H4069="Pengeluaran Uang Kos")),OR($C$7="Semua",$C$7="",I4069=$C$7),OR($C$8="Semua",$C$8="",C4069=$C$8,E4069=$C$8),OR($C$9="Semua",$C$9="",D4069=$C$9),OR($C$10="",B4069&gt;=$C$10),OR($C$11="",B4069&lt;=$C$11),OR($C$12&lt;&gt;"Ya",K4069&lt;&gt;""),OR($C$13="Semua",$C$13="",L4069=$C$13)),"✓","")</f>
        <v/>
      </c>
      <c r="N4069" s="93">
        <f>N(N4068)+IF(M4069="✓",1,0)</f>
        <v/>
      </c>
      <c r="O4069" s="93">
        <f>N(O4068)+IF(AND(B4069&lt;&gt;"",B4069&gt;='Uang Riba'!$H$30,B4069&lt;='Uang Riba'!$I$30,OR(H4069="Dana riba",H4069="Pinjam uang riba",I4069="Pinjam dari uang riba",I4069="Ganti uang riba",I4069="Kelebihan ganti dikembalikan",AND(C4069="Kantong Uang Riba",G4069="Pengeluaran"))),1,0)</f>
        <v/>
      </c>
      <c r="X4069" s="93">
        <f>IF(AND(B4069&lt;&gt;"",B4069&gt;='Buku Akun'!$H$4,B4069&lt;='Buku Akun'!$H$5,OR(C4069='Buku Akun'!$C$4,AND(D4069="Pindah",E4069='Buku Akun'!$C$4))),B4069+IF(AND(I4069="Selisih bunga",DAY(B4069)=1),0,0.01)+ROW()/10000000,"")</f>
        <v/>
      </c>
    </row>
    <row r="4070" outlineLevel="1" ht="15" customHeight="1" s="94">
      <c r="A4070" s="123">
        <f>IF(B4070="","",ROW()-15)</f>
        <v/>
      </c>
      <c r="B4070" s="124" t="n"/>
      <c r="C4070" s="123" t="n"/>
      <c r="D4070" s="123" t="n"/>
      <c r="E4070" s="123" t="n"/>
      <c r="F4070" s="125" t="n"/>
      <c r="G4070" s="123" t="n"/>
      <c r="H4070" s="123" t="n"/>
      <c r="I4070" s="123" t="n"/>
      <c r="J4070" s="123" t="n"/>
      <c r="K4070" s="123" t="n"/>
      <c r="L4070" s="123" t="n"/>
      <c r="M4070" s="123">
        <f>IF(AND(B4070&lt;&gt;"",OR($C$4="",ISNUMBER(SEARCH($C$4,C4070&amp;" "&amp;E4070&amp;" "&amp;G4070&amp;" "&amp;H4070&amp;" "&amp;I4070&amp;" "&amp;J4070&amp;" "&amp;K4070&amp;" "&amp;L4070))),OR($C$5="Semua",$C$5="",G4070=$C$5),OR($C$6="Semua",$C$6="",H4070=$C$6,H4070="Pengeluaran "&amp;$C$6,AND($C$6="Uang Kos Mama",H4070="Pengeluaran Uang Kos")),OR($C$7="Semua",$C$7="",I4070=$C$7),OR($C$8="Semua",$C$8="",C4070=$C$8,E4070=$C$8),OR($C$9="Semua",$C$9="",D4070=$C$9),OR($C$10="",B4070&gt;=$C$10),OR($C$11="",B4070&lt;=$C$11),OR($C$12&lt;&gt;"Ya",K4070&lt;&gt;""),OR($C$13="Semua",$C$13="",L4070=$C$13)),"✓","")</f>
        <v/>
      </c>
      <c r="N4070" s="93">
        <f>N(N4069)+IF(M4070="✓",1,0)</f>
        <v/>
      </c>
      <c r="O4070" s="93">
        <f>N(O4069)+IF(AND(B4070&lt;&gt;"",B4070&gt;='Uang Riba'!$H$30,B4070&lt;='Uang Riba'!$I$30,OR(H4070="Dana riba",H4070="Pinjam uang riba",I4070="Pinjam dari uang riba",I4070="Ganti uang riba",I4070="Kelebihan ganti dikembalikan",AND(C4070="Kantong Uang Riba",G4070="Pengeluaran"))),1,0)</f>
        <v/>
      </c>
      <c r="X4070" s="93">
        <f>IF(AND(B4070&lt;&gt;"",B4070&gt;='Buku Akun'!$H$4,B4070&lt;='Buku Akun'!$H$5,OR(C4070='Buku Akun'!$C$4,AND(D4070="Pindah",E4070='Buku Akun'!$C$4))),B4070+IF(AND(I4070="Selisih bunga",DAY(B4070)=1),0,0.01)+ROW()/10000000,"")</f>
        <v/>
      </c>
    </row>
    <row r="4071" outlineLevel="1" ht="15" customHeight="1" s="94">
      <c r="A4071" s="123">
        <f>IF(B4071="","",ROW()-15)</f>
        <v/>
      </c>
      <c r="B4071" s="124" t="n"/>
      <c r="C4071" s="123" t="n"/>
      <c r="D4071" s="123" t="n"/>
      <c r="E4071" s="123" t="n"/>
      <c r="F4071" s="125" t="n"/>
      <c r="G4071" s="123" t="n"/>
      <c r="H4071" s="123" t="n"/>
      <c r="I4071" s="123" t="n"/>
      <c r="J4071" s="123" t="n"/>
      <c r="K4071" s="123" t="n"/>
      <c r="L4071" s="123" t="n"/>
      <c r="M4071" s="123">
        <f>IF(AND(B4071&lt;&gt;"",OR($C$4="",ISNUMBER(SEARCH($C$4,C4071&amp;" "&amp;E4071&amp;" "&amp;G4071&amp;" "&amp;H4071&amp;" "&amp;I4071&amp;" "&amp;J4071&amp;" "&amp;K4071&amp;" "&amp;L4071))),OR($C$5="Semua",$C$5="",G4071=$C$5),OR($C$6="Semua",$C$6="",H4071=$C$6,H4071="Pengeluaran "&amp;$C$6,AND($C$6="Uang Kos Mama",H4071="Pengeluaran Uang Kos")),OR($C$7="Semua",$C$7="",I4071=$C$7),OR($C$8="Semua",$C$8="",C4071=$C$8,E4071=$C$8),OR($C$9="Semua",$C$9="",D4071=$C$9),OR($C$10="",B4071&gt;=$C$10),OR($C$11="",B4071&lt;=$C$11),OR($C$12&lt;&gt;"Ya",K4071&lt;&gt;""),OR($C$13="Semua",$C$13="",L4071=$C$13)),"✓","")</f>
        <v/>
      </c>
      <c r="N4071" s="93">
        <f>N(N4070)+IF(M4071="✓",1,0)</f>
        <v/>
      </c>
      <c r="O4071" s="93">
        <f>N(O4070)+IF(AND(B4071&lt;&gt;"",B4071&gt;='Uang Riba'!$H$30,B4071&lt;='Uang Riba'!$I$30,OR(H4071="Dana riba",H4071="Pinjam uang riba",I4071="Pinjam dari uang riba",I4071="Ganti uang riba",I4071="Kelebihan ganti dikembalikan",AND(C4071="Kantong Uang Riba",G4071="Pengeluaran"))),1,0)</f>
        <v/>
      </c>
      <c r="X4071" s="93">
        <f>IF(AND(B4071&lt;&gt;"",B4071&gt;='Buku Akun'!$H$4,B4071&lt;='Buku Akun'!$H$5,OR(C4071='Buku Akun'!$C$4,AND(D4071="Pindah",E4071='Buku Akun'!$C$4))),B4071+IF(AND(I4071="Selisih bunga",DAY(B4071)=1),0,0.01)+ROW()/10000000,"")</f>
        <v/>
      </c>
    </row>
    <row r="4072" outlineLevel="1" ht="15" customHeight="1" s="94">
      <c r="A4072" s="123">
        <f>IF(B4072="","",ROW()-15)</f>
        <v/>
      </c>
      <c r="B4072" s="124" t="n"/>
      <c r="C4072" s="123" t="n"/>
      <c r="D4072" s="123" t="n"/>
      <c r="E4072" s="123" t="n"/>
      <c r="F4072" s="125" t="n"/>
      <c r="G4072" s="123" t="n"/>
      <c r="H4072" s="123" t="n"/>
      <c r="I4072" s="123" t="n"/>
      <c r="J4072" s="123" t="n"/>
      <c r="K4072" s="123" t="n"/>
      <c r="L4072" s="123" t="n"/>
      <c r="M4072" s="123">
        <f>IF(AND(B4072&lt;&gt;"",OR($C$4="",ISNUMBER(SEARCH($C$4,C4072&amp;" "&amp;E4072&amp;" "&amp;G4072&amp;" "&amp;H4072&amp;" "&amp;I4072&amp;" "&amp;J4072&amp;" "&amp;K4072&amp;" "&amp;L4072))),OR($C$5="Semua",$C$5="",G4072=$C$5),OR($C$6="Semua",$C$6="",H4072=$C$6,H4072="Pengeluaran "&amp;$C$6,AND($C$6="Uang Kos Mama",H4072="Pengeluaran Uang Kos")),OR($C$7="Semua",$C$7="",I4072=$C$7),OR($C$8="Semua",$C$8="",C4072=$C$8,E4072=$C$8),OR($C$9="Semua",$C$9="",D4072=$C$9),OR($C$10="",B4072&gt;=$C$10),OR($C$11="",B4072&lt;=$C$11),OR($C$12&lt;&gt;"Ya",K4072&lt;&gt;""),OR($C$13="Semua",$C$13="",L4072=$C$13)),"✓","")</f>
        <v/>
      </c>
      <c r="N4072" s="93">
        <f>N(N4071)+IF(M4072="✓",1,0)</f>
        <v/>
      </c>
      <c r="O4072" s="93">
        <f>N(O4071)+IF(AND(B4072&lt;&gt;"",B4072&gt;='Uang Riba'!$H$30,B4072&lt;='Uang Riba'!$I$30,OR(H4072="Dana riba",H4072="Pinjam uang riba",I4072="Pinjam dari uang riba",I4072="Ganti uang riba",I4072="Kelebihan ganti dikembalikan",AND(C4072="Kantong Uang Riba",G4072="Pengeluaran"))),1,0)</f>
        <v/>
      </c>
      <c r="X4072" s="93">
        <f>IF(AND(B4072&lt;&gt;"",B4072&gt;='Buku Akun'!$H$4,B4072&lt;='Buku Akun'!$H$5,OR(C4072='Buku Akun'!$C$4,AND(D4072="Pindah",E4072='Buku Akun'!$C$4))),B4072+IF(AND(I4072="Selisih bunga",DAY(B4072)=1),0,0.01)+ROW()/10000000,"")</f>
        <v/>
      </c>
    </row>
    <row r="4073" outlineLevel="1" ht="15" customHeight="1" s="94">
      <c r="A4073" s="123">
        <f>IF(B4073="","",ROW()-15)</f>
        <v/>
      </c>
      <c r="B4073" s="124" t="n"/>
      <c r="C4073" s="123" t="n"/>
      <c r="D4073" s="123" t="n"/>
      <c r="E4073" s="123" t="n"/>
      <c r="F4073" s="125" t="n"/>
      <c r="G4073" s="123" t="n"/>
      <c r="H4073" s="123" t="n"/>
      <c r="I4073" s="123" t="n"/>
      <c r="J4073" s="123" t="n"/>
      <c r="K4073" s="123" t="n"/>
      <c r="L4073" s="123" t="n"/>
      <c r="M4073" s="123">
        <f>IF(AND(B4073&lt;&gt;"",OR($C$4="",ISNUMBER(SEARCH($C$4,C4073&amp;" "&amp;E4073&amp;" "&amp;G4073&amp;" "&amp;H4073&amp;" "&amp;I4073&amp;" "&amp;J4073&amp;" "&amp;K4073&amp;" "&amp;L4073))),OR($C$5="Semua",$C$5="",G4073=$C$5),OR($C$6="Semua",$C$6="",H4073=$C$6,H4073="Pengeluaran "&amp;$C$6,AND($C$6="Uang Kos Mama",H4073="Pengeluaran Uang Kos")),OR($C$7="Semua",$C$7="",I4073=$C$7),OR($C$8="Semua",$C$8="",C4073=$C$8,E4073=$C$8),OR($C$9="Semua",$C$9="",D4073=$C$9),OR($C$10="",B4073&gt;=$C$10),OR($C$11="",B4073&lt;=$C$11),OR($C$12&lt;&gt;"Ya",K4073&lt;&gt;""),OR($C$13="Semua",$C$13="",L4073=$C$13)),"✓","")</f>
        <v/>
      </c>
      <c r="N4073" s="93">
        <f>N(N4072)+IF(M4073="✓",1,0)</f>
        <v/>
      </c>
      <c r="O4073" s="93">
        <f>N(O4072)+IF(AND(B4073&lt;&gt;"",B4073&gt;='Uang Riba'!$H$30,B4073&lt;='Uang Riba'!$I$30,OR(H4073="Dana riba",H4073="Pinjam uang riba",I4073="Pinjam dari uang riba",I4073="Ganti uang riba",I4073="Kelebihan ganti dikembalikan",AND(C4073="Kantong Uang Riba",G4073="Pengeluaran"))),1,0)</f>
        <v/>
      </c>
      <c r="X4073" s="93">
        <f>IF(AND(B4073&lt;&gt;"",B4073&gt;='Buku Akun'!$H$4,B4073&lt;='Buku Akun'!$H$5,OR(C4073='Buku Akun'!$C$4,AND(D4073="Pindah",E4073='Buku Akun'!$C$4))),B4073+IF(AND(I4073="Selisih bunga",DAY(B4073)=1),0,0.01)+ROW()/10000000,"")</f>
        <v/>
      </c>
    </row>
    <row r="4074" outlineLevel="1" ht="15" customHeight="1" s="94">
      <c r="A4074" s="123">
        <f>IF(B4074="","",ROW()-15)</f>
        <v/>
      </c>
      <c r="B4074" s="124" t="n"/>
      <c r="C4074" s="123" t="n"/>
      <c r="D4074" s="123" t="n"/>
      <c r="E4074" s="123" t="n"/>
      <c r="F4074" s="125" t="n"/>
      <c r="G4074" s="123" t="n"/>
      <c r="H4074" s="123" t="n"/>
      <c r="I4074" s="123" t="n"/>
      <c r="J4074" s="123" t="n"/>
      <c r="K4074" s="123" t="n"/>
      <c r="L4074" s="123" t="n"/>
      <c r="M4074" s="123">
        <f>IF(AND(B4074&lt;&gt;"",OR($C$4="",ISNUMBER(SEARCH($C$4,C4074&amp;" "&amp;E4074&amp;" "&amp;G4074&amp;" "&amp;H4074&amp;" "&amp;I4074&amp;" "&amp;J4074&amp;" "&amp;K4074&amp;" "&amp;L4074))),OR($C$5="Semua",$C$5="",G4074=$C$5),OR($C$6="Semua",$C$6="",H4074=$C$6,H4074="Pengeluaran "&amp;$C$6,AND($C$6="Uang Kos Mama",H4074="Pengeluaran Uang Kos")),OR($C$7="Semua",$C$7="",I4074=$C$7),OR($C$8="Semua",$C$8="",C4074=$C$8,E4074=$C$8),OR($C$9="Semua",$C$9="",D4074=$C$9),OR($C$10="",B4074&gt;=$C$10),OR($C$11="",B4074&lt;=$C$11),OR($C$12&lt;&gt;"Ya",K4074&lt;&gt;""),OR($C$13="Semua",$C$13="",L4074=$C$13)),"✓","")</f>
        <v/>
      </c>
      <c r="N4074" s="93">
        <f>N(N4073)+IF(M4074="✓",1,0)</f>
        <v/>
      </c>
      <c r="O4074" s="93">
        <f>N(O4073)+IF(AND(B4074&lt;&gt;"",B4074&gt;='Uang Riba'!$H$30,B4074&lt;='Uang Riba'!$I$30,OR(H4074="Dana riba",H4074="Pinjam uang riba",I4074="Pinjam dari uang riba",I4074="Ganti uang riba",I4074="Kelebihan ganti dikembalikan",AND(C4074="Kantong Uang Riba",G4074="Pengeluaran"))),1,0)</f>
        <v/>
      </c>
      <c r="X4074" s="93">
        <f>IF(AND(B4074&lt;&gt;"",B4074&gt;='Buku Akun'!$H$4,B4074&lt;='Buku Akun'!$H$5,OR(C4074='Buku Akun'!$C$4,AND(D4074="Pindah",E4074='Buku Akun'!$C$4))),B4074+IF(AND(I4074="Selisih bunga",DAY(B4074)=1),0,0.01)+ROW()/10000000,"")</f>
        <v/>
      </c>
    </row>
    <row r="4075" outlineLevel="1" ht="15" customHeight="1" s="94">
      <c r="A4075" s="123">
        <f>IF(B4075="","",ROW()-15)</f>
        <v/>
      </c>
      <c r="B4075" s="124" t="n"/>
      <c r="C4075" s="123" t="n"/>
      <c r="D4075" s="123" t="n"/>
      <c r="E4075" s="123" t="n"/>
      <c r="F4075" s="125" t="n"/>
      <c r="G4075" s="123" t="n"/>
      <c r="H4075" s="123" t="n"/>
      <c r="I4075" s="123" t="n"/>
      <c r="J4075" s="123" t="n"/>
      <c r="K4075" s="123" t="n"/>
      <c r="L4075" s="123" t="n"/>
      <c r="M4075" s="123">
        <f>IF(AND(B4075&lt;&gt;"",OR($C$4="",ISNUMBER(SEARCH($C$4,C4075&amp;" "&amp;E4075&amp;" "&amp;G4075&amp;" "&amp;H4075&amp;" "&amp;I4075&amp;" "&amp;J4075&amp;" "&amp;K4075&amp;" "&amp;L4075))),OR($C$5="Semua",$C$5="",G4075=$C$5),OR($C$6="Semua",$C$6="",H4075=$C$6,H4075="Pengeluaran "&amp;$C$6,AND($C$6="Uang Kos Mama",H4075="Pengeluaran Uang Kos")),OR($C$7="Semua",$C$7="",I4075=$C$7),OR($C$8="Semua",$C$8="",C4075=$C$8,E4075=$C$8),OR($C$9="Semua",$C$9="",D4075=$C$9),OR($C$10="",B4075&gt;=$C$10),OR($C$11="",B4075&lt;=$C$11),OR($C$12&lt;&gt;"Ya",K4075&lt;&gt;""),OR($C$13="Semua",$C$13="",L4075=$C$13)),"✓","")</f>
        <v/>
      </c>
      <c r="N4075" s="93">
        <f>N(N4074)+IF(M4075="✓",1,0)</f>
        <v/>
      </c>
      <c r="O4075" s="93">
        <f>N(O4074)+IF(AND(B4075&lt;&gt;"",B4075&gt;='Uang Riba'!$H$30,B4075&lt;='Uang Riba'!$I$30,OR(H4075="Dana riba",H4075="Pinjam uang riba",I4075="Pinjam dari uang riba",I4075="Ganti uang riba",I4075="Kelebihan ganti dikembalikan",AND(C4075="Kantong Uang Riba",G4075="Pengeluaran"))),1,0)</f>
        <v/>
      </c>
      <c r="X4075" s="93">
        <f>IF(AND(B4075&lt;&gt;"",B4075&gt;='Buku Akun'!$H$4,B4075&lt;='Buku Akun'!$H$5,OR(C4075='Buku Akun'!$C$4,AND(D4075="Pindah",E4075='Buku Akun'!$C$4))),B4075+IF(AND(I4075="Selisih bunga",DAY(B4075)=1),0,0.01)+ROW()/10000000,"")</f>
        <v/>
      </c>
    </row>
    <row r="4076" outlineLevel="1" ht="15" customHeight="1" s="94">
      <c r="A4076" s="123">
        <f>IF(B4076="","",ROW()-15)</f>
        <v/>
      </c>
      <c r="B4076" s="124" t="n"/>
      <c r="C4076" s="123" t="n"/>
      <c r="D4076" s="123" t="n"/>
      <c r="E4076" s="123" t="n"/>
      <c r="F4076" s="125" t="n"/>
      <c r="G4076" s="123" t="n"/>
      <c r="H4076" s="123" t="n"/>
      <c r="I4076" s="123" t="n"/>
      <c r="J4076" s="123" t="n"/>
      <c r="K4076" s="123" t="n"/>
      <c r="L4076" s="123" t="n"/>
      <c r="M4076" s="123">
        <f>IF(AND(B4076&lt;&gt;"",OR($C$4="",ISNUMBER(SEARCH($C$4,C4076&amp;" "&amp;E4076&amp;" "&amp;G4076&amp;" "&amp;H4076&amp;" "&amp;I4076&amp;" "&amp;J4076&amp;" "&amp;K4076&amp;" "&amp;L4076))),OR($C$5="Semua",$C$5="",G4076=$C$5),OR($C$6="Semua",$C$6="",H4076=$C$6,H4076="Pengeluaran "&amp;$C$6,AND($C$6="Uang Kos Mama",H4076="Pengeluaran Uang Kos")),OR($C$7="Semua",$C$7="",I4076=$C$7),OR($C$8="Semua",$C$8="",C4076=$C$8,E4076=$C$8),OR($C$9="Semua",$C$9="",D4076=$C$9),OR($C$10="",B4076&gt;=$C$10),OR($C$11="",B4076&lt;=$C$11),OR($C$12&lt;&gt;"Ya",K4076&lt;&gt;""),OR($C$13="Semua",$C$13="",L4076=$C$13)),"✓","")</f>
        <v/>
      </c>
      <c r="N4076" s="93">
        <f>N(N4075)+IF(M4076="✓",1,0)</f>
        <v/>
      </c>
      <c r="O4076" s="93">
        <f>N(O4075)+IF(AND(B4076&lt;&gt;"",B4076&gt;='Uang Riba'!$H$30,B4076&lt;='Uang Riba'!$I$30,OR(H4076="Dana riba",H4076="Pinjam uang riba",I4076="Pinjam dari uang riba",I4076="Ganti uang riba",I4076="Kelebihan ganti dikembalikan",AND(C4076="Kantong Uang Riba",G4076="Pengeluaran"))),1,0)</f>
        <v/>
      </c>
      <c r="X4076" s="93">
        <f>IF(AND(B4076&lt;&gt;"",B4076&gt;='Buku Akun'!$H$4,B4076&lt;='Buku Akun'!$H$5,OR(C4076='Buku Akun'!$C$4,AND(D4076="Pindah",E4076='Buku Akun'!$C$4))),B4076+IF(AND(I4076="Selisih bunga",DAY(B4076)=1),0,0.01)+ROW()/10000000,"")</f>
        <v/>
      </c>
    </row>
    <row r="4077" outlineLevel="1" ht="15" customHeight="1" s="94">
      <c r="A4077" s="123">
        <f>IF(B4077="","",ROW()-15)</f>
        <v/>
      </c>
      <c r="B4077" s="124" t="n"/>
      <c r="C4077" s="123" t="n"/>
      <c r="D4077" s="123" t="n"/>
      <c r="E4077" s="123" t="n"/>
      <c r="F4077" s="125" t="n"/>
      <c r="G4077" s="123" t="n"/>
      <c r="H4077" s="123" t="n"/>
      <c r="I4077" s="123" t="n"/>
      <c r="J4077" s="123" t="n"/>
      <c r="K4077" s="123" t="n"/>
      <c r="L4077" s="123" t="n"/>
      <c r="M4077" s="123">
        <f>IF(AND(B4077&lt;&gt;"",OR($C$4="",ISNUMBER(SEARCH($C$4,C4077&amp;" "&amp;E4077&amp;" "&amp;G4077&amp;" "&amp;H4077&amp;" "&amp;I4077&amp;" "&amp;J4077&amp;" "&amp;K4077&amp;" "&amp;L4077))),OR($C$5="Semua",$C$5="",G4077=$C$5),OR($C$6="Semua",$C$6="",H4077=$C$6,H4077="Pengeluaran "&amp;$C$6,AND($C$6="Uang Kos Mama",H4077="Pengeluaran Uang Kos")),OR($C$7="Semua",$C$7="",I4077=$C$7),OR($C$8="Semua",$C$8="",C4077=$C$8,E4077=$C$8),OR($C$9="Semua",$C$9="",D4077=$C$9),OR($C$10="",B4077&gt;=$C$10),OR($C$11="",B4077&lt;=$C$11),OR($C$12&lt;&gt;"Ya",K4077&lt;&gt;""),OR($C$13="Semua",$C$13="",L4077=$C$13)),"✓","")</f>
        <v/>
      </c>
      <c r="N4077" s="93">
        <f>N(N4076)+IF(M4077="✓",1,0)</f>
        <v/>
      </c>
      <c r="O4077" s="93">
        <f>N(O4076)+IF(AND(B4077&lt;&gt;"",B4077&gt;='Uang Riba'!$H$30,B4077&lt;='Uang Riba'!$I$30,OR(H4077="Dana riba",H4077="Pinjam uang riba",I4077="Pinjam dari uang riba",I4077="Ganti uang riba",I4077="Kelebihan ganti dikembalikan",AND(C4077="Kantong Uang Riba",G4077="Pengeluaran"))),1,0)</f>
        <v/>
      </c>
      <c r="X4077" s="93">
        <f>IF(AND(B4077&lt;&gt;"",B4077&gt;='Buku Akun'!$H$4,B4077&lt;='Buku Akun'!$H$5,OR(C4077='Buku Akun'!$C$4,AND(D4077="Pindah",E4077='Buku Akun'!$C$4))),B4077+IF(AND(I4077="Selisih bunga",DAY(B4077)=1),0,0.01)+ROW()/10000000,"")</f>
        <v/>
      </c>
    </row>
    <row r="4078" outlineLevel="1" ht="15" customHeight="1" s="94">
      <c r="A4078" s="123">
        <f>IF(B4078="","",ROW()-15)</f>
        <v/>
      </c>
      <c r="B4078" s="124" t="n"/>
      <c r="C4078" s="123" t="n"/>
      <c r="D4078" s="123" t="n"/>
      <c r="E4078" s="123" t="n"/>
      <c r="F4078" s="125" t="n"/>
      <c r="G4078" s="123" t="n"/>
      <c r="H4078" s="123" t="n"/>
      <c r="I4078" s="123" t="n"/>
      <c r="J4078" s="123" t="n"/>
      <c r="K4078" s="123" t="n"/>
      <c r="L4078" s="123" t="n"/>
      <c r="M4078" s="123">
        <f>IF(AND(B4078&lt;&gt;"",OR($C$4="",ISNUMBER(SEARCH($C$4,C4078&amp;" "&amp;E4078&amp;" "&amp;G4078&amp;" "&amp;H4078&amp;" "&amp;I4078&amp;" "&amp;J4078&amp;" "&amp;K4078&amp;" "&amp;L4078))),OR($C$5="Semua",$C$5="",G4078=$C$5),OR($C$6="Semua",$C$6="",H4078=$C$6,H4078="Pengeluaran "&amp;$C$6,AND($C$6="Uang Kos Mama",H4078="Pengeluaran Uang Kos")),OR($C$7="Semua",$C$7="",I4078=$C$7),OR($C$8="Semua",$C$8="",C4078=$C$8,E4078=$C$8),OR($C$9="Semua",$C$9="",D4078=$C$9),OR($C$10="",B4078&gt;=$C$10),OR($C$11="",B4078&lt;=$C$11),OR($C$12&lt;&gt;"Ya",K4078&lt;&gt;""),OR($C$13="Semua",$C$13="",L4078=$C$13)),"✓","")</f>
        <v/>
      </c>
      <c r="N4078" s="93">
        <f>N(N4077)+IF(M4078="✓",1,0)</f>
        <v/>
      </c>
      <c r="O4078" s="93">
        <f>N(O4077)+IF(AND(B4078&lt;&gt;"",B4078&gt;='Uang Riba'!$H$30,B4078&lt;='Uang Riba'!$I$30,OR(H4078="Dana riba",H4078="Pinjam uang riba",I4078="Pinjam dari uang riba",I4078="Ganti uang riba",I4078="Kelebihan ganti dikembalikan",AND(C4078="Kantong Uang Riba",G4078="Pengeluaran"))),1,0)</f>
        <v/>
      </c>
      <c r="X4078" s="93">
        <f>IF(AND(B4078&lt;&gt;"",B4078&gt;='Buku Akun'!$H$4,B4078&lt;='Buku Akun'!$H$5,OR(C4078='Buku Akun'!$C$4,AND(D4078="Pindah",E4078='Buku Akun'!$C$4))),B4078+IF(AND(I4078="Selisih bunga",DAY(B4078)=1),0,0.01)+ROW()/10000000,"")</f>
        <v/>
      </c>
    </row>
    <row r="4079" outlineLevel="1" ht="15" customHeight="1" s="94">
      <c r="A4079" s="123">
        <f>IF(B4079="","",ROW()-15)</f>
        <v/>
      </c>
      <c r="B4079" s="124" t="n"/>
      <c r="C4079" s="123" t="n"/>
      <c r="D4079" s="123" t="n"/>
      <c r="E4079" s="123" t="n"/>
      <c r="F4079" s="125" t="n"/>
      <c r="G4079" s="123" t="n"/>
      <c r="H4079" s="123" t="n"/>
      <c r="I4079" s="123" t="n"/>
      <c r="J4079" s="123" t="n"/>
      <c r="K4079" s="123" t="n"/>
      <c r="L4079" s="123" t="n"/>
      <c r="M4079" s="123">
        <f>IF(AND(B4079&lt;&gt;"",OR($C$4="",ISNUMBER(SEARCH($C$4,C4079&amp;" "&amp;E4079&amp;" "&amp;G4079&amp;" "&amp;H4079&amp;" "&amp;I4079&amp;" "&amp;J4079&amp;" "&amp;K4079&amp;" "&amp;L4079))),OR($C$5="Semua",$C$5="",G4079=$C$5),OR($C$6="Semua",$C$6="",H4079=$C$6,H4079="Pengeluaran "&amp;$C$6,AND($C$6="Uang Kos Mama",H4079="Pengeluaran Uang Kos")),OR($C$7="Semua",$C$7="",I4079=$C$7),OR($C$8="Semua",$C$8="",C4079=$C$8,E4079=$C$8),OR($C$9="Semua",$C$9="",D4079=$C$9),OR($C$10="",B4079&gt;=$C$10),OR($C$11="",B4079&lt;=$C$11),OR($C$12&lt;&gt;"Ya",K4079&lt;&gt;""),OR($C$13="Semua",$C$13="",L4079=$C$13)),"✓","")</f>
        <v/>
      </c>
      <c r="N4079" s="93">
        <f>N(N4078)+IF(M4079="✓",1,0)</f>
        <v/>
      </c>
      <c r="O4079" s="93">
        <f>N(O4078)+IF(AND(B4079&lt;&gt;"",B4079&gt;='Uang Riba'!$H$30,B4079&lt;='Uang Riba'!$I$30,OR(H4079="Dana riba",H4079="Pinjam uang riba",I4079="Pinjam dari uang riba",I4079="Ganti uang riba",I4079="Kelebihan ganti dikembalikan",AND(C4079="Kantong Uang Riba",G4079="Pengeluaran"))),1,0)</f>
        <v/>
      </c>
      <c r="X4079" s="93">
        <f>IF(AND(B4079&lt;&gt;"",B4079&gt;='Buku Akun'!$H$4,B4079&lt;='Buku Akun'!$H$5,OR(C4079='Buku Akun'!$C$4,AND(D4079="Pindah",E4079='Buku Akun'!$C$4))),B4079+IF(AND(I4079="Selisih bunga",DAY(B4079)=1),0,0.01)+ROW()/10000000,"")</f>
        <v/>
      </c>
    </row>
    <row r="4080" outlineLevel="1" ht="15" customHeight="1" s="94">
      <c r="A4080" s="123">
        <f>IF(B4080="","",ROW()-15)</f>
        <v/>
      </c>
      <c r="B4080" s="124" t="n"/>
      <c r="C4080" s="123" t="n"/>
      <c r="D4080" s="123" t="n"/>
      <c r="E4080" s="123" t="n"/>
      <c r="F4080" s="125" t="n"/>
      <c r="G4080" s="123" t="n"/>
      <c r="H4080" s="123" t="n"/>
      <c r="I4080" s="123" t="n"/>
      <c r="J4080" s="123" t="n"/>
      <c r="K4080" s="123" t="n"/>
      <c r="L4080" s="123" t="n"/>
      <c r="M4080" s="123">
        <f>IF(AND(B4080&lt;&gt;"",OR($C$4="",ISNUMBER(SEARCH($C$4,C4080&amp;" "&amp;E4080&amp;" "&amp;G4080&amp;" "&amp;H4080&amp;" "&amp;I4080&amp;" "&amp;J4080&amp;" "&amp;K4080&amp;" "&amp;L4080))),OR($C$5="Semua",$C$5="",G4080=$C$5),OR($C$6="Semua",$C$6="",H4080=$C$6,H4080="Pengeluaran "&amp;$C$6,AND($C$6="Uang Kos Mama",H4080="Pengeluaran Uang Kos")),OR($C$7="Semua",$C$7="",I4080=$C$7),OR($C$8="Semua",$C$8="",C4080=$C$8,E4080=$C$8),OR($C$9="Semua",$C$9="",D4080=$C$9),OR($C$10="",B4080&gt;=$C$10),OR($C$11="",B4080&lt;=$C$11),OR($C$12&lt;&gt;"Ya",K4080&lt;&gt;""),OR($C$13="Semua",$C$13="",L4080=$C$13)),"✓","")</f>
        <v/>
      </c>
      <c r="N4080" s="93">
        <f>N(N4079)+IF(M4080="✓",1,0)</f>
        <v/>
      </c>
      <c r="O4080" s="93">
        <f>N(O4079)+IF(AND(B4080&lt;&gt;"",B4080&gt;='Uang Riba'!$H$30,B4080&lt;='Uang Riba'!$I$30,OR(H4080="Dana riba",H4080="Pinjam uang riba",I4080="Pinjam dari uang riba",I4080="Ganti uang riba",I4080="Kelebihan ganti dikembalikan",AND(C4080="Kantong Uang Riba",G4080="Pengeluaran"))),1,0)</f>
        <v/>
      </c>
      <c r="X4080" s="93">
        <f>IF(AND(B4080&lt;&gt;"",B4080&gt;='Buku Akun'!$H$4,B4080&lt;='Buku Akun'!$H$5,OR(C4080='Buku Akun'!$C$4,AND(D4080="Pindah",E4080='Buku Akun'!$C$4))),B4080+IF(AND(I4080="Selisih bunga",DAY(B4080)=1),0,0.01)+ROW()/10000000,"")</f>
        <v/>
      </c>
    </row>
    <row r="4081" outlineLevel="1" ht="15" customHeight="1" s="94">
      <c r="A4081" s="123">
        <f>IF(B4081="","",ROW()-15)</f>
        <v/>
      </c>
      <c r="B4081" s="124" t="n"/>
      <c r="C4081" s="123" t="n"/>
      <c r="D4081" s="123" t="n"/>
      <c r="E4081" s="123" t="n"/>
      <c r="F4081" s="125" t="n"/>
      <c r="G4081" s="123" t="n"/>
      <c r="H4081" s="123" t="n"/>
      <c r="I4081" s="123" t="n"/>
      <c r="J4081" s="123" t="n"/>
      <c r="K4081" s="123" t="n"/>
      <c r="L4081" s="123" t="n"/>
      <c r="M4081" s="123">
        <f>IF(AND(B4081&lt;&gt;"",OR($C$4="",ISNUMBER(SEARCH($C$4,C4081&amp;" "&amp;E4081&amp;" "&amp;G4081&amp;" "&amp;H4081&amp;" "&amp;I4081&amp;" "&amp;J4081&amp;" "&amp;K4081&amp;" "&amp;L4081))),OR($C$5="Semua",$C$5="",G4081=$C$5),OR($C$6="Semua",$C$6="",H4081=$C$6,H4081="Pengeluaran "&amp;$C$6,AND($C$6="Uang Kos Mama",H4081="Pengeluaran Uang Kos")),OR($C$7="Semua",$C$7="",I4081=$C$7),OR($C$8="Semua",$C$8="",C4081=$C$8,E4081=$C$8),OR($C$9="Semua",$C$9="",D4081=$C$9),OR($C$10="",B4081&gt;=$C$10),OR($C$11="",B4081&lt;=$C$11),OR($C$12&lt;&gt;"Ya",K4081&lt;&gt;""),OR($C$13="Semua",$C$13="",L4081=$C$13)),"✓","")</f>
        <v/>
      </c>
      <c r="N4081" s="93">
        <f>N(N4080)+IF(M4081="✓",1,0)</f>
        <v/>
      </c>
      <c r="O4081" s="93">
        <f>N(O4080)+IF(AND(B4081&lt;&gt;"",B4081&gt;='Uang Riba'!$H$30,B4081&lt;='Uang Riba'!$I$30,OR(H4081="Dana riba",H4081="Pinjam uang riba",I4081="Pinjam dari uang riba",I4081="Ganti uang riba",I4081="Kelebihan ganti dikembalikan",AND(C4081="Kantong Uang Riba",G4081="Pengeluaran"))),1,0)</f>
        <v/>
      </c>
      <c r="X4081" s="93">
        <f>IF(AND(B4081&lt;&gt;"",B4081&gt;='Buku Akun'!$H$4,B4081&lt;='Buku Akun'!$H$5,OR(C4081='Buku Akun'!$C$4,AND(D4081="Pindah",E4081='Buku Akun'!$C$4))),B4081+IF(AND(I4081="Selisih bunga",DAY(B4081)=1),0,0.01)+ROW()/10000000,"")</f>
        <v/>
      </c>
    </row>
    <row r="4082" outlineLevel="1" ht="15" customHeight="1" s="94">
      <c r="A4082" s="123">
        <f>IF(B4082="","",ROW()-15)</f>
        <v/>
      </c>
      <c r="B4082" s="124" t="n"/>
      <c r="C4082" s="123" t="n"/>
      <c r="D4082" s="123" t="n"/>
      <c r="E4082" s="123" t="n"/>
      <c r="F4082" s="125" t="n"/>
      <c r="G4082" s="123" t="n"/>
      <c r="H4082" s="123" t="n"/>
      <c r="I4082" s="123" t="n"/>
      <c r="J4082" s="123" t="n"/>
      <c r="K4082" s="123" t="n"/>
      <c r="L4082" s="123" t="n"/>
      <c r="M4082" s="123">
        <f>IF(AND(B4082&lt;&gt;"",OR($C$4="",ISNUMBER(SEARCH($C$4,C4082&amp;" "&amp;E4082&amp;" "&amp;G4082&amp;" "&amp;H4082&amp;" "&amp;I4082&amp;" "&amp;J4082&amp;" "&amp;K4082&amp;" "&amp;L4082))),OR($C$5="Semua",$C$5="",G4082=$C$5),OR($C$6="Semua",$C$6="",H4082=$C$6,H4082="Pengeluaran "&amp;$C$6,AND($C$6="Uang Kos Mama",H4082="Pengeluaran Uang Kos")),OR($C$7="Semua",$C$7="",I4082=$C$7),OR($C$8="Semua",$C$8="",C4082=$C$8,E4082=$C$8),OR($C$9="Semua",$C$9="",D4082=$C$9),OR($C$10="",B4082&gt;=$C$10),OR($C$11="",B4082&lt;=$C$11),OR($C$12&lt;&gt;"Ya",K4082&lt;&gt;""),OR($C$13="Semua",$C$13="",L4082=$C$13)),"✓","")</f>
        <v/>
      </c>
      <c r="N4082" s="93">
        <f>N(N4081)+IF(M4082="✓",1,0)</f>
        <v/>
      </c>
      <c r="O4082" s="93">
        <f>N(O4081)+IF(AND(B4082&lt;&gt;"",B4082&gt;='Uang Riba'!$H$30,B4082&lt;='Uang Riba'!$I$30,OR(H4082="Dana riba",H4082="Pinjam uang riba",I4082="Pinjam dari uang riba",I4082="Ganti uang riba",I4082="Kelebihan ganti dikembalikan",AND(C4082="Kantong Uang Riba",G4082="Pengeluaran"))),1,0)</f>
        <v/>
      </c>
      <c r="X4082" s="93">
        <f>IF(AND(B4082&lt;&gt;"",B4082&gt;='Buku Akun'!$H$4,B4082&lt;='Buku Akun'!$H$5,OR(C4082='Buku Akun'!$C$4,AND(D4082="Pindah",E4082='Buku Akun'!$C$4))),B4082+IF(AND(I4082="Selisih bunga",DAY(B4082)=1),0,0.01)+ROW()/10000000,"")</f>
        <v/>
      </c>
    </row>
    <row r="4083" outlineLevel="1" ht="15" customHeight="1" s="94">
      <c r="A4083" s="123">
        <f>IF(B4083="","",ROW()-15)</f>
        <v/>
      </c>
      <c r="B4083" s="124" t="n"/>
      <c r="C4083" s="123" t="n"/>
      <c r="D4083" s="123" t="n"/>
      <c r="E4083" s="123" t="n"/>
      <c r="F4083" s="125" t="n"/>
      <c r="G4083" s="123" t="n"/>
      <c r="H4083" s="123" t="n"/>
      <c r="I4083" s="123" t="n"/>
      <c r="J4083" s="123" t="n"/>
      <c r="K4083" s="123" t="n"/>
      <c r="L4083" s="123" t="n"/>
      <c r="M4083" s="123">
        <f>IF(AND(B4083&lt;&gt;"",OR($C$4="",ISNUMBER(SEARCH($C$4,C4083&amp;" "&amp;E4083&amp;" "&amp;G4083&amp;" "&amp;H4083&amp;" "&amp;I4083&amp;" "&amp;J4083&amp;" "&amp;K4083&amp;" "&amp;L4083))),OR($C$5="Semua",$C$5="",G4083=$C$5),OR($C$6="Semua",$C$6="",H4083=$C$6,H4083="Pengeluaran "&amp;$C$6,AND($C$6="Uang Kos Mama",H4083="Pengeluaran Uang Kos")),OR($C$7="Semua",$C$7="",I4083=$C$7),OR($C$8="Semua",$C$8="",C4083=$C$8,E4083=$C$8),OR($C$9="Semua",$C$9="",D4083=$C$9),OR($C$10="",B4083&gt;=$C$10),OR($C$11="",B4083&lt;=$C$11),OR($C$12&lt;&gt;"Ya",K4083&lt;&gt;""),OR($C$13="Semua",$C$13="",L4083=$C$13)),"✓","")</f>
        <v/>
      </c>
      <c r="N4083" s="93">
        <f>N(N4082)+IF(M4083="✓",1,0)</f>
        <v/>
      </c>
      <c r="O4083" s="93">
        <f>N(O4082)+IF(AND(B4083&lt;&gt;"",B4083&gt;='Uang Riba'!$H$30,B4083&lt;='Uang Riba'!$I$30,OR(H4083="Dana riba",H4083="Pinjam uang riba",I4083="Pinjam dari uang riba",I4083="Ganti uang riba",I4083="Kelebihan ganti dikembalikan",AND(C4083="Kantong Uang Riba",G4083="Pengeluaran"))),1,0)</f>
        <v/>
      </c>
      <c r="X4083" s="93">
        <f>IF(AND(B4083&lt;&gt;"",B4083&gt;='Buku Akun'!$H$4,B4083&lt;='Buku Akun'!$H$5,OR(C4083='Buku Akun'!$C$4,AND(D4083="Pindah",E4083='Buku Akun'!$C$4))),B4083+IF(AND(I4083="Selisih bunga",DAY(B4083)=1),0,0.01)+ROW()/10000000,"")</f>
        <v/>
      </c>
    </row>
    <row r="4084" outlineLevel="1" ht="15" customHeight="1" s="94">
      <c r="A4084" s="123">
        <f>IF(B4084="","",ROW()-15)</f>
        <v/>
      </c>
      <c r="B4084" s="124" t="n"/>
      <c r="C4084" s="123" t="n"/>
      <c r="D4084" s="123" t="n"/>
      <c r="E4084" s="123" t="n"/>
      <c r="F4084" s="125" t="n"/>
      <c r="G4084" s="123" t="n"/>
      <c r="H4084" s="123" t="n"/>
      <c r="I4084" s="123" t="n"/>
      <c r="J4084" s="123" t="n"/>
      <c r="K4084" s="123" t="n"/>
      <c r="L4084" s="123" t="n"/>
      <c r="M4084" s="123">
        <f>IF(AND(B4084&lt;&gt;"",OR($C$4="",ISNUMBER(SEARCH($C$4,C4084&amp;" "&amp;E4084&amp;" "&amp;G4084&amp;" "&amp;H4084&amp;" "&amp;I4084&amp;" "&amp;J4084&amp;" "&amp;K4084&amp;" "&amp;L4084))),OR($C$5="Semua",$C$5="",G4084=$C$5),OR($C$6="Semua",$C$6="",H4084=$C$6,H4084="Pengeluaran "&amp;$C$6,AND($C$6="Uang Kos Mama",H4084="Pengeluaran Uang Kos")),OR($C$7="Semua",$C$7="",I4084=$C$7),OR($C$8="Semua",$C$8="",C4084=$C$8,E4084=$C$8),OR($C$9="Semua",$C$9="",D4084=$C$9),OR($C$10="",B4084&gt;=$C$10),OR($C$11="",B4084&lt;=$C$11),OR($C$12&lt;&gt;"Ya",K4084&lt;&gt;""),OR($C$13="Semua",$C$13="",L4084=$C$13)),"✓","")</f>
        <v/>
      </c>
      <c r="N4084" s="93">
        <f>N(N4083)+IF(M4084="✓",1,0)</f>
        <v/>
      </c>
      <c r="O4084" s="93">
        <f>N(O4083)+IF(AND(B4084&lt;&gt;"",B4084&gt;='Uang Riba'!$H$30,B4084&lt;='Uang Riba'!$I$30,OR(H4084="Dana riba",H4084="Pinjam uang riba",I4084="Pinjam dari uang riba",I4084="Ganti uang riba",I4084="Kelebihan ganti dikembalikan",AND(C4084="Kantong Uang Riba",G4084="Pengeluaran"))),1,0)</f>
        <v/>
      </c>
      <c r="X4084" s="93">
        <f>IF(AND(B4084&lt;&gt;"",B4084&gt;='Buku Akun'!$H$4,B4084&lt;='Buku Akun'!$H$5,OR(C4084='Buku Akun'!$C$4,AND(D4084="Pindah",E4084='Buku Akun'!$C$4))),B4084+IF(AND(I4084="Selisih bunga",DAY(B4084)=1),0,0.01)+ROW()/10000000,"")</f>
        <v/>
      </c>
    </row>
    <row r="4085" outlineLevel="1" ht="15" customHeight="1" s="94">
      <c r="A4085" s="123">
        <f>IF(B4085="","",ROW()-15)</f>
        <v/>
      </c>
      <c r="B4085" s="124" t="n"/>
      <c r="C4085" s="123" t="n"/>
      <c r="D4085" s="123" t="n"/>
      <c r="E4085" s="123" t="n"/>
      <c r="F4085" s="125" t="n"/>
      <c r="G4085" s="123" t="n"/>
      <c r="H4085" s="123" t="n"/>
      <c r="I4085" s="123" t="n"/>
      <c r="J4085" s="123" t="n"/>
      <c r="K4085" s="123" t="n"/>
      <c r="L4085" s="123" t="n"/>
      <c r="M4085" s="123">
        <f>IF(AND(B4085&lt;&gt;"",OR($C$4="",ISNUMBER(SEARCH($C$4,C4085&amp;" "&amp;E4085&amp;" "&amp;G4085&amp;" "&amp;H4085&amp;" "&amp;I4085&amp;" "&amp;J4085&amp;" "&amp;K4085&amp;" "&amp;L4085))),OR($C$5="Semua",$C$5="",G4085=$C$5),OR($C$6="Semua",$C$6="",H4085=$C$6,H4085="Pengeluaran "&amp;$C$6,AND($C$6="Uang Kos Mama",H4085="Pengeluaran Uang Kos")),OR($C$7="Semua",$C$7="",I4085=$C$7),OR($C$8="Semua",$C$8="",C4085=$C$8,E4085=$C$8),OR($C$9="Semua",$C$9="",D4085=$C$9),OR($C$10="",B4085&gt;=$C$10),OR($C$11="",B4085&lt;=$C$11),OR($C$12&lt;&gt;"Ya",K4085&lt;&gt;""),OR($C$13="Semua",$C$13="",L4085=$C$13)),"✓","")</f>
        <v/>
      </c>
      <c r="N4085" s="93">
        <f>N(N4084)+IF(M4085="✓",1,0)</f>
        <v/>
      </c>
      <c r="O4085" s="93">
        <f>N(O4084)+IF(AND(B4085&lt;&gt;"",B4085&gt;='Uang Riba'!$H$30,B4085&lt;='Uang Riba'!$I$30,OR(H4085="Dana riba",H4085="Pinjam uang riba",I4085="Pinjam dari uang riba",I4085="Ganti uang riba",I4085="Kelebihan ganti dikembalikan",AND(C4085="Kantong Uang Riba",G4085="Pengeluaran"))),1,0)</f>
        <v/>
      </c>
      <c r="X4085" s="93">
        <f>IF(AND(B4085&lt;&gt;"",B4085&gt;='Buku Akun'!$H$4,B4085&lt;='Buku Akun'!$H$5,OR(C4085='Buku Akun'!$C$4,AND(D4085="Pindah",E4085='Buku Akun'!$C$4))),B4085+IF(AND(I4085="Selisih bunga",DAY(B4085)=1),0,0.01)+ROW()/10000000,"")</f>
        <v/>
      </c>
    </row>
    <row r="4086" outlineLevel="1" ht="15" customHeight="1" s="94">
      <c r="A4086" s="123">
        <f>IF(B4086="","",ROW()-15)</f>
        <v/>
      </c>
      <c r="B4086" s="124" t="n"/>
      <c r="C4086" s="123" t="n"/>
      <c r="D4086" s="123" t="n"/>
      <c r="E4086" s="123" t="n"/>
      <c r="F4086" s="125" t="n"/>
      <c r="G4086" s="123" t="n"/>
      <c r="H4086" s="123" t="n"/>
      <c r="I4086" s="123" t="n"/>
      <c r="J4086" s="123" t="n"/>
      <c r="K4086" s="123" t="n"/>
      <c r="L4086" s="123" t="n"/>
      <c r="M4086" s="123">
        <f>IF(AND(B4086&lt;&gt;"",OR($C$4="",ISNUMBER(SEARCH($C$4,C4086&amp;" "&amp;E4086&amp;" "&amp;G4086&amp;" "&amp;H4086&amp;" "&amp;I4086&amp;" "&amp;J4086&amp;" "&amp;K4086&amp;" "&amp;L4086))),OR($C$5="Semua",$C$5="",G4086=$C$5),OR($C$6="Semua",$C$6="",H4086=$C$6,H4086="Pengeluaran "&amp;$C$6,AND($C$6="Uang Kos Mama",H4086="Pengeluaran Uang Kos")),OR($C$7="Semua",$C$7="",I4086=$C$7),OR($C$8="Semua",$C$8="",C4086=$C$8,E4086=$C$8),OR($C$9="Semua",$C$9="",D4086=$C$9),OR($C$10="",B4086&gt;=$C$10),OR($C$11="",B4086&lt;=$C$11),OR($C$12&lt;&gt;"Ya",K4086&lt;&gt;""),OR($C$13="Semua",$C$13="",L4086=$C$13)),"✓","")</f>
        <v/>
      </c>
      <c r="N4086" s="93">
        <f>N(N4085)+IF(M4086="✓",1,0)</f>
        <v/>
      </c>
      <c r="O4086" s="93">
        <f>N(O4085)+IF(AND(B4086&lt;&gt;"",B4086&gt;='Uang Riba'!$H$30,B4086&lt;='Uang Riba'!$I$30,OR(H4086="Dana riba",H4086="Pinjam uang riba",I4086="Pinjam dari uang riba",I4086="Ganti uang riba",I4086="Kelebihan ganti dikembalikan",AND(C4086="Kantong Uang Riba",G4086="Pengeluaran"))),1,0)</f>
        <v/>
      </c>
      <c r="X4086" s="93">
        <f>IF(AND(B4086&lt;&gt;"",B4086&gt;='Buku Akun'!$H$4,B4086&lt;='Buku Akun'!$H$5,OR(C4086='Buku Akun'!$C$4,AND(D4086="Pindah",E4086='Buku Akun'!$C$4))),B4086+IF(AND(I4086="Selisih bunga",DAY(B4086)=1),0,0.01)+ROW()/10000000,"")</f>
        <v/>
      </c>
    </row>
    <row r="4087" outlineLevel="1" ht="15" customHeight="1" s="94">
      <c r="A4087" s="123">
        <f>IF(B4087="","",ROW()-15)</f>
        <v/>
      </c>
      <c r="B4087" s="124" t="n"/>
      <c r="C4087" s="123" t="n"/>
      <c r="D4087" s="123" t="n"/>
      <c r="E4087" s="123" t="n"/>
      <c r="F4087" s="125" t="n"/>
      <c r="G4087" s="123" t="n"/>
      <c r="H4087" s="123" t="n"/>
      <c r="I4087" s="123" t="n"/>
      <c r="J4087" s="123" t="n"/>
      <c r="K4087" s="123" t="n"/>
      <c r="L4087" s="123" t="n"/>
      <c r="M4087" s="123">
        <f>IF(AND(B4087&lt;&gt;"",OR($C$4="",ISNUMBER(SEARCH($C$4,C4087&amp;" "&amp;E4087&amp;" "&amp;G4087&amp;" "&amp;H4087&amp;" "&amp;I4087&amp;" "&amp;J4087&amp;" "&amp;K4087&amp;" "&amp;L4087))),OR($C$5="Semua",$C$5="",G4087=$C$5),OR($C$6="Semua",$C$6="",H4087=$C$6,H4087="Pengeluaran "&amp;$C$6,AND($C$6="Uang Kos Mama",H4087="Pengeluaran Uang Kos")),OR($C$7="Semua",$C$7="",I4087=$C$7),OR($C$8="Semua",$C$8="",C4087=$C$8,E4087=$C$8),OR($C$9="Semua",$C$9="",D4087=$C$9),OR($C$10="",B4087&gt;=$C$10),OR($C$11="",B4087&lt;=$C$11),OR($C$12&lt;&gt;"Ya",K4087&lt;&gt;""),OR($C$13="Semua",$C$13="",L4087=$C$13)),"✓","")</f>
        <v/>
      </c>
      <c r="N4087" s="93">
        <f>N(N4086)+IF(M4087="✓",1,0)</f>
        <v/>
      </c>
      <c r="O4087" s="93">
        <f>N(O4086)+IF(AND(B4087&lt;&gt;"",B4087&gt;='Uang Riba'!$H$30,B4087&lt;='Uang Riba'!$I$30,OR(H4087="Dana riba",H4087="Pinjam uang riba",I4087="Pinjam dari uang riba",I4087="Ganti uang riba",I4087="Kelebihan ganti dikembalikan",AND(C4087="Kantong Uang Riba",G4087="Pengeluaran"))),1,0)</f>
        <v/>
      </c>
      <c r="X4087" s="93">
        <f>IF(AND(B4087&lt;&gt;"",B4087&gt;='Buku Akun'!$H$4,B4087&lt;='Buku Akun'!$H$5,OR(C4087='Buku Akun'!$C$4,AND(D4087="Pindah",E4087='Buku Akun'!$C$4))),B4087+IF(AND(I4087="Selisih bunga",DAY(B4087)=1),0,0.01)+ROW()/10000000,"")</f>
        <v/>
      </c>
    </row>
    <row r="4088" outlineLevel="1" ht="15" customHeight="1" s="94">
      <c r="A4088" s="123">
        <f>IF(B4088="","",ROW()-15)</f>
        <v/>
      </c>
      <c r="B4088" s="124" t="n"/>
      <c r="C4088" s="123" t="n"/>
      <c r="D4088" s="123" t="n"/>
      <c r="E4088" s="123" t="n"/>
      <c r="F4088" s="125" t="n"/>
      <c r="G4088" s="123" t="n"/>
      <c r="H4088" s="123" t="n"/>
      <c r="I4088" s="123" t="n"/>
      <c r="J4088" s="123" t="n"/>
      <c r="K4088" s="123" t="n"/>
      <c r="L4088" s="123" t="n"/>
      <c r="M4088" s="123">
        <f>IF(AND(B4088&lt;&gt;"",OR($C$4="",ISNUMBER(SEARCH($C$4,C4088&amp;" "&amp;E4088&amp;" "&amp;G4088&amp;" "&amp;H4088&amp;" "&amp;I4088&amp;" "&amp;J4088&amp;" "&amp;K4088&amp;" "&amp;L4088))),OR($C$5="Semua",$C$5="",G4088=$C$5),OR($C$6="Semua",$C$6="",H4088=$C$6,H4088="Pengeluaran "&amp;$C$6,AND($C$6="Uang Kos Mama",H4088="Pengeluaran Uang Kos")),OR($C$7="Semua",$C$7="",I4088=$C$7),OR($C$8="Semua",$C$8="",C4088=$C$8,E4088=$C$8),OR($C$9="Semua",$C$9="",D4088=$C$9),OR($C$10="",B4088&gt;=$C$10),OR($C$11="",B4088&lt;=$C$11),OR($C$12&lt;&gt;"Ya",K4088&lt;&gt;""),OR($C$13="Semua",$C$13="",L4088=$C$13)),"✓","")</f>
        <v/>
      </c>
      <c r="N4088" s="93">
        <f>N(N4087)+IF(M4088="✓",1,0)</f>
        <v/>
      </c>
      <c r="O4088" s="93">
        <f>N(O4087)+IF(AND(B4088&lt;&gt;"",B4088&gt;='Uang Riba'!$H$30,B4088&lt;='Uang Riba'!$I$30,OR(H4088="Dana riba",H4088="Pinjam uang riba",I4088="Pinjam dari uang riba",I4088="Ganti uang riba",I4088="Kelebihan ganti dikembalikan",AND(C4088="Kantong Uang Riba",G4088="Pengeluaran"))),1,0)</f>
        <v/>
      </c>
      <c r="X4088" s="93">
        <f>IF(AND(B4088&lt;&gt;"",B4088&gt;='Buku Akun'!$H$4,B4088&lt;='Buku Akun'!$H$5,OR(C4088='Buku Akun'!$C$4,AND(D4088="Pindah",E4088='Buku Akun'!$C$4))),B4088+IF(AND(I4088="Selisih bunga",DAY(B4088)=1),0,0.01)+ROW()/10000000,"")</f>
        <v/>
      </c>
    </row>
    <row r="4089" outlineLevel="1" ht="15" customHeight="1" s="94">
      <c r="A4089" s="123">
        <f>IF(B4089="","",ROW()-15)</f>
        <v/>
      </c>
      <c r="B4089" s="124" t="n"/>
      <c r="C4089" s="123" t="n"/>
      <c r="D4089" s="123" t="n"/>
      <c r="E4089" s="123" t="n"/>
      <c r="F4089" s="125" t="n"/>
      <c r="G4089" s="123" t="n"/>
      <c r="H4089" s="123" t="n"/>
      <c r="I4089" s="123" t="n"/>
      <c r="J4089" s="123" t="n"/>
      <c r="K4089" s="123" t="n"/>
      <c r="L4089" s="123" t="n"/>
      <c r="M4089" s="123">
        <f>IF(AND(B4089&lt;&gt;"",OR($C$4="",ISNUMBER(SEARCH($C$4,C4089&amp;" "&amp;E4089&amp;" "&amp;G4089&amp;" "&amp;H4089&amp;" "&amp;I4089&amp;" "&amp;J4089&amp;" "&amp;K4089&amp;" "&amp;L4089))),OR($C$5="Semua",$C$5="",G4089=$C$5),OR($C$6="Semua",$C$6="",H4089=$C$6,H4089="Pengeluaran "&amp;$C$6,AND($C$6="Uang Kos Mama",H4089="Pengeluaran Uang Kos")),OR($C$7="Semua",$C$7="",I4089=$C$7),OR($C$8="Semua",$C$8="",C4089=$C$8,E4089=$C$8),OR($C$9="Semua",$C$9="",D4089=$C$9),OR($C$10="",B4089&gt;=$C$10),OR($C$11="",B4089&lt;=$C$11),OR($C$12&lt;&gt;"Ya",K4089&lt;&gt;""),OR($C$13="Semua",$C$13="",L4089=$C$13)),"✓","")</f>
        <v/>
      </c>
      <c r="N4089" s="93">
        <f>N(N4088)+IF(M4089="✓",1,0)</f>
        <v/>
      </c>
      <c r="O4089" s="93">
        <f>N(O4088)+IF(AND(B4089&lt;&gt;"",B4089&gt;='Uang Riba'!$H$30,B4089&lt;='Uang Riba'!$I$30,OR(H4089="Dana riba",H4089="Pinjam uang riba",I4089="Pinjam dari uang riba",I4089="Ganti uang riba",I4089="Kelebihan ganti dikembalikan",AND(C4089="Kantong Uang Riba",G4089="Pengeluaran"))),1,0)</f>
        <v/>
      </c>
      <c r="X4089" s="93">
        <f>IF(AND(B4089&lt;&gt;"",B4089&gt;='Buku Akun'!$H$4,B4089&lt;='Buku Akun'!$H$5,OR(C4089='Buku Akun'!$C$4,AND(D4089="Pindah",E4089='Buku Akun'!$C$4))),B4089+IF(AND(I4089="Selisih bunga",DAY(B4089)=1),0,0.01)+ROW()/10000000,"")</f>
        <v/>
      </c>
    </row>
    <row r="4090" outlineLevel="1" ht="15" customHeight="1" s="94">
      <c r="A4090" s="123">
        <f>IF(B4090="","",ROW()-15)</f>
        <v/>
      </c>
      <c r="B4090" s="124" t="n"/>
      <c r="C4090" s="123" t="n"/>
      <c r="D4090" s="123" t="n"/>
      <c r="E4090" s="123" t="n"/>
      <c r="F4090" s="125" t="n"/>
      <c r="G4090" s="123" t="n"/>
      <c r="H4090" s="123" t="n"/>
      <c r="I4090" s="123" t="n"/>
      <c r="J4090" s="123" t="n"/>
      <c r="K4090" s="123" t="n"/>
      <c r="L4090" s="123" t="n"/>
      <c r="M4090" s="123">
        <f>IF(AND(B4090&lt;&gt;"",OR($C$4="",ISNUMBER(SEARCH($C$4,C4090&amp;" "&amp;E4090&amp;" "&amp;G4090&amp;" "&amp;H4090&amp;" "&amp;I4090&amp;" "&amp;J4090&amp;" "&amp;K4090&amp;" "&amp;L4090))),OR($C$5="Semua",$C$5="",G4090=$C$5),OR($C$6="Semua",$C$6="",H4090=$C$6,H4090="Pengeluaran "&amp;$C$6,AND($C$6="Uang Kos Mama",H4090="Pengeluaran Uang Kos")),OR($C$7="Semua",$C$7="",I4090=$C$7),OR($C$8="Semua",$C$8="",C4090=$C$8,E4090=$C$8),OR($C$9="Semua",$C$9="",D4090=$C$9),OR($C$10="",B4090&gt;=$C$10),OR($C$11="",B4090&lt;=$C$11),OR($C$12&lt;&gt;"Ya",K4090&lt;&gt;""),OR($C$13="Semua",$C$13="",L4090=$C$13)),"✓","")</f>
        <v/>
      </c>
      <c r="N4090" s="93">
        <f>N(N4089)+IF(M4090="✓",1,0)</f>
        <v/>
      </c>
      <c r="O4090" s="93">
        <f>N(O4089)+IF(AND(B4090&lt;&gt;"",B4090&gt;='Uang Riba'!$H$30,B4090&lt;='Uang Riba'!$I$30,OR(H4090="Dana riba",H4090="Pinjam uang riba",I4090="Pinjam dari uang riba",I4090="Ganti uang riba",I4090="Kelebihan ganti dikembalikan",AND(C4090="Kantong Uang Riba",G4090="Pengeluaran"))),1,0)</f>
        <v/>
      </c>
      <c r="X4090" s="93">
        <f>IF(AND(B4090&lt;&gt;"",B4090&gt;='Buku Akun'!$H$4,B4090&lt;='Buku Akun'!$H$5,OR(C4090='Buku Akun'!$C$4,AND(D4090="Pindah",E4090='Buku Akun'!$C$4))),B4090+IF(AND(I4090="Selisih bunga",DAY(B4090)=1),0,0.01)+ROW()/10000000,"")</f>
        <v/>
      </c>
    </row>
    <row r="4091" outlineLevel="1" ht="15" customHeight="1" s="94">
      <c r="A4091" s="123">
        <f>IF(B4091="","",ROW()-15)</f>
        <v/>
      </c>
      <c r="B4091" s="124" t="n"/>
      <c r="C4091" s="123" t="n"/>
      <c r="D4091" s="123" t="n"/>
      <c r="E4091" s="123" t="n"/>
      <c r="F4091" s="125" t="n"/>
      <c r="G4091" s="123" t="n"/>
      <c r="H4091" s="123" t="n"/>
      <c r="I4091" s="123" t="n"/>
      <c r="J4091" s="123" t="n"/>
      <c r="K4091" s="123" t="n"/>
      <c r="L4091" s="123" t="n"/>
      <c r="M4091" s="123">
        <f>IF(AND(B4091&lt;&gt;"",OR($C$4="",ISNUMBER(SEARCH($C$4,C4091&amp;" "&amp;E4091&amp;" "&amp;G4091&amp;" "&amp;H4091&amp;" "&amp;I4091&amp;" "&amp;J4091&amp;" "&amp;K4091&amp;" "&amp;L4091))),OR($C$5="Semua",$C$5="",G4091=$C$5),OR($C$6="Semua",$C$6="",H4091=$C$6,H4091="Pengeluaran "&amp;$C$6,AND($C$6="Uang Kos Mama",H4091="Pengeluaran Uang Kos")),OR($C$7="Semua",$C$7="",I4091=$C$7),OR($C$8="Semua",$C$8="",C4091=$C$8,E4091=$C$8),OR($C$9="Semua",$C$9="",D4091=$C$9),OR($C$10="",B4091&gt;=$C$10),OR($C$11="",B4091&lt;=$C$11),OR($C$12&lt;&gt;"Ya",K4091&lt;&gt;""),OR($C$13="Semua",$C$13="",L4091=$C$13)),"✓","")</f>
        <v/>
      </c>
      <c r="N4091" s="93">
        <f>N(N4090)+IF(M4091="✓",1,0)</f>
        <v/>
      </c>
      <c r="O4091" s="93">
        <f>N(O4090)+IF(AND(B4091&lt;&gt;"",B4091&gt;='Uang Riba'!$H$30,B4091&lt;='Uang Riba'!$I$30,OR(H4091="Dana riba",H4091="Pinjam uang riba",I4091="Pinjam dari uang riba",I4091="Ganti uang riba",I4091="Kelebihan ganti dikembalikan",AND(C4091="Kantong Uang Riba",G4091="Pengeluaran"))),1,0)</f>
        <v/>
      </c>
      <c r="X4091" s="93">
        <f>IF(AND(B4091&lt;&gt;"",B4091&gt;='Buku Akun'!$H$4,B4091&lt;='Buku Akun'!$H$5,OR(C4091='Buku Akun'!$C$4,AND(D4091="Pindah",E4091='Buku Akun'!$C$4))),B4091+IF(AND(I4091="Selisih bunga",DAY(B4091)=1),0,0.01)+ROW()/10000000,"")</f>
        <v/>
      </c>
    </row>
    <row r="4092" outlineLevel="1" ht="15" customHeight="1" s="94">
      <c r="A4092" s="123">
        <f>IF(B4092="","",ROW()-15)</f>
        <v/>
      </c>
      <c r="B4092" s="124" t="n"/>
      <c r="C4092" s="123" t="n"/>
      <c r="D4092" s="123" t="n"/>
      <c r="E4092" s="123" t="n"/>
      <c r="F4092" s="125" t="n"/>
      <c r="G4092" s="123" t="n"/>
      <c r="H4092" s="123" t="n"/>
      <c r="I4092" s="123" t="n"/>
      <c r="J4092" s="123" t="n"/>
      <c r="K4092" s="123" t="n"/>
      <c r="L4092" s="123" t="n"/>
      <c r="M4092" s="123">
        <f>IF(AND(B4092&lt;&gt;"",OR($C$4="",ISNUMBER(SEARCH($C$4,C4092&amp;" "&amp;E4092&amp;" "&amp;G4092&amp;" "&amp;H4092&amp;" "&amp;I4092&amp;" "&amp;J4092&amp;" "&amp;K4092&amp;" "&amp;L4092))),OR($C$5="Semua",$C$5="",G4092=$C$5),OR($C$6="Semua",$C$6="",H4092=$C$6,H4092="Pengeluaran "&amp;$C$6,AND($C$6="Uang Kos Mama",H4092="Pengeluaran Uang Kos")),OR($C$7="Semua",$C$7="",I4092=$C$7),OR($C$8="Semua",$C$8="",C4092=$C$8,E4092=$C$8),OR($C$9="Semua",$C$9="",D4092=$C$9),OR($C$10="",B4092&gt;=$C$10),OR($C$11="",B4092&lt;=$C$11),OR($C$12&lt;&gt;"Ya",K4092&lt;&gt;""),OR($C$13="Semua",$C$13="",L4092=$C$13)),"✓","")</f>
        <v/>
      </c>
      <c r="N4092" s="93">
        <f>N(N4091)+IF(M4092="✓",1,0)</f>
        <v/>
      </c>
      <c r="O4092" s="93">
        <f>N(O4091)+IF(AND(B4092&lt;&gt;"",B4092&gt;='Uang Riba'!$H$30,B4092&lt;='Uang Riba'!$I$30,OR(H4092="Dana riba",H4092="Pinjam uang riba",I4092="Pinjam dari uang riba",I4092="Ganti uang riba",I4092="Kelebihan ganti dikembalikan",AND(C4092="Kantong Uang Riba",G4092="Pengeluaran"))),1,0)</f>
        <v/>
      </c>
      <c r="X4092" s="93">
        <f>IF(AND(B4092&lt;&gt;"",B4092&gt;='Buku Akun'!$H$4,B4092&lt;='Buku Akun'!$H$5,OR(C4092='Buku Akun'!$C$4,AND(D4092="Pindah",E4092='Buku Akun'!$C$4))),B4092+IF(AND(I4092="Selisih bunga",DAY(B4092)=1),0,0.01)+ROW()/10000000,"")</f>
        <v/>
      </c>
    </row>
    <row r="4093" outlineLevel="1" ht="15" customHeight="1" s="94">
      <c r="A4093" s="123">
        <f>IF(B4093="","",ROW()-15)</f>
        <v/>
      </c>
      <c r="B4093" s="124" t="n"/>
      <c r="C4093" s="123" t="n"/>
      <c r="D4093" s="123" t="n"/>
      <c r="E4093" s="123" t="n"/>
      <c r="F4093" s="125" t="n"/>
      <c r="G4093" s="123" t="n"/>
      <c r="H4093" s="123" t="n"/>
      <c r="I4093" s="123" t="n"/>
      <c r="J4093" s="123" t="n"/>
      <c r="K4093" s="123" t="n"/>
      <c r="L4093" s="123" t="n"/>
      <c r="M4093" s="123">
        <f>IF(AND(B4093&lt;&gt;"",OR($C$4="",ISNUMBER(SEARCH($C$4,C4093&amp;" "&amp;E4093&amp;" "&amp;G4093&amp;" "&amp;H4093&amp;" "&amp;I4093&amp;" "&amp;J4093&amp;" "&amp;K4093&amp;" "&amp;L4093))),OR($C$5="Semua",$C$5="",G4093=$C$5),OR($C$6="Semua",$C$6="",H4093=$C$6,H4093="Pengeluaran "&amp;$C$6,AND($C$6="Uang Kos Mama",H4093="Pengeluaran Uang Kos")),OR($C$7="Semua",$C$7="",I4093=$C$7),OR($C$8="Semua",$C$8="",C4093=$C$8,E4093=$C$8),OR($C$9="Semua",$C$9="",D4093=$C$9),OR($C$10="",B4093&gt;=$C$10),OR($C$11="",B4093&lt;=$C$11),OR($C$12&lt;&gt;"Ya",K4093&lt;&gt;""),OR($C$13="Semua",$C$13="",L4093=$C$13)),"✓","")</f>
        <v/>
      </c>
      <c r="N4093" s="93">
        <f>N(N4092)+IF(M4093="✓",1,0)</f>
        <v/>
      </c>
      <c r="O4093" s="93">
        <f>N(O4092)+IF(AND(B4093&lt;&gt;"",B4093&gt;='Uang Riba'!$H$30,B4093&lt;='Uang Riba'!$I$30,OR(H4093="Dana riba",H4093="Pinjam uang riba",I4093="Pinjam dari uang riba",I4093="Ganti uang riba",I4093="Kelebihan ganti dikembalikan",AND(C4093="Kantong Uang Riba",G4093="Pengeluaran"))),1,0)</f>
        <v/>
      </c>
      <c r="X4093" s="93">
        <f>IF(AND(B4093&lt;&gt;"",B4093&gt;='Buku Akun'!$H$4,B4093&lt;='Buku Akun'!$H$5,OR(C4093='Buku Akun'!$C$4,AND(D4093="Pindah",E4093='Buku Akun'!$C$4))),B4093+IF(AND(I4093="Selisih bunga",DAY(B4093)=1),0,0.01)+ROW()/10000000,"")</f>
        <v/>
      </c>
    </row>
    <row r="4094" outlineLevel="1" ht="15" customHeight="1" s="94">
      <c r="A4094" s="123">
        <f>IF(B4094="","",ROW()-15)</f>
        <v/>
      </c>
      <c r="B4094" s="124" t="n"/>
      <c r="C4094" s="123" t="n"/>
      <c r="D4094" s="123" t="n"/>
      <c r="E4094" s="123" t="n"/>
      <c r="F4094" s="125" t="n"/>
      <c r="G4094" s="123" t="n"/>
      <c r="H4094" s="123" t="n"/>
      <c r="I4094" s="123" t="n"/>
      <c r="J4094" s="123" t="n"/>
      <c r="K4094" s="123" t="n"/>
      <c r="L4094" s="123" t="n"/>
      <c r="M4094" s="123">
        <f>IF(AND(B4094&lt;&gt;"",OR($C$4="",ISNUMBER(SEARCH($C$4,C4094&amp;" "&amp;E4094&amp;" "&amp;G4094&amp;" "&amp;H4094&amp;" "&amp;I4094&amp;" "&amp;J4094&amp;" "&amp;K4094&amp;" "&amp;L4094))),OR($C$5="Semua",$C$5="",G4094=$C$5),OR($C$6="Semua",$C$6="",H4094=$C$6,H4094="Pengeluaran "&amp;$C$6,AND($C$6="Uang Kos Mama",H4094="Pengeluaran Uang Kos")),OR($C$7="Semua",$C$7="",I4094=$C$7),OR($C$8="Semua",$C$8="",C4094=$C$8,E4094=$C$8),OR($C$9="Semua",$C$9="",D4094=$C$9),OR($C$10="",B4094&gt;=$C$10),OR($C$11="",B4094&lt;=$C$11),OR($C$12&lt;&gt;"Ya",K4094&lt;&gt;""),OR($C$13="Semua",$C$13="",L4094=$C$13)),"✓","")</f>
        <v/>
      </c>
      <c r="N4094" s="93">
        <f>N(N4093)+IF(M4094="✓",1,0)</f>
        <v/>
      </c>
      <c r="O4094" s="93">
        <f>N(O4093)+IF(AND(B4094&lt;&gt;"",B4094&gt;='Uang Riba'!$H$30,B4094&lt;='Uang Riba'!$I$30,OR(H4094="Dana riba",H4094="Pinjam uang riba",I4094="Pinjam dari uang riba",I4094="Ganti uang riba",I4094="Kelebihan ganti dikembalikan",AND(C4094="Kantong Uang Riba",G4094="Pengeluaran"))),1,0)</f>
        <v/>
      </c>
      <c r="X4094" s="93">
        <f>IF(AND(B4094&lt;&gt;"",B4094&gt;='Buku Akun'!$H$4,B4094&lt;='Buku Akun'!$H$5,OR(C4094='Buku Akun'!$C$4,AND(D4094="Pindah",E4094='Buku Akun'!$C$4))),B4094+IF(AND(I4094="Selisih bunga",DAY(B4094)=1),0,0.01)+ROW()/10000000,"")</f>
        <v/>
      </c>
    </row>
    <row r="4095" outlineLevel="1" ht="15" customHeight="1" s="94">
      <c r="A4095" s="123">
        <f>IF(B4095="","",ROW()-15)</f>
        <v/>
      </c>
      <c r="B4095" s="124" t="n"/>
      <c r="C4095" s="123" t="n"/>
      <c r="D4095" s="123" t="n"/>
      <c r="E4095" s="123" t="n"/>
      <c r="F4095" s="125" t="n"/>
      <c r="G4095" s="123" t="n"/>
      <c r="H4095" s="123" t="n"/>
      <c r="I4095" s="123" t="n"/>
      <c r="J4095" s="123" t="n"/>
      <c r="K4095" s="123" t="n"/>
      <c r="L4095" s="123" t="n"/>
      <c r="M4095" s="123">
        <f>IF(AND(B4095&lt;&gt;"",OR($C$4="",ISNUMBER(SEARCH($C$4,C4095&amp;" "&amp;E4095&amp;" "&amp;G4095&amp;" "&amp;H4095&amp;" "&amp;I4095&amp;" "&amp;J4095&amp;" "&amp;K4095&amp;" "&amp;L4095))),OR($C$5="Semua",$C$5="",G4095=$C$5),OR($C$6="Semua",$C$6="",H4095=$C$6,H4095="Pengeluaran "&amp;$C$6,AND($C$6="Uang Kos Mama",H4095="Pengeluaran Uang Kos")),OR($C$7="Semua",$C$7="",I4095=$C$7),OR($C$8="Semua",$C$8="",C4095=$C$8,E4095=$C$8),OR($C$9="Semua",$C$9="",D4095=$C$9),OR($C$10="",B4095&gt;=$C$10),OR($C$11="",B4095&lt;=$C$11),OR($C$12&lt;&gt;"Ya",K4095&lt;&gt;""),OR($C$13="Semua",$C$13="",L4095=$C$13)),"✓","")</f>
        <v/>
      </c>
      <c r="N4095" s="93">
        <f>N(N4094)+IF(M4095="✓",1,0)</f>
        <v/>
      </c>
      <c r="O4095" s="93">
        <f>N(O4094)+IF(AND(B4095&lt;&gt;"",B4095&gt;='Uang Riba'!$H$30,B4095&lt;='Uang Riba'!$I$30,OR(H4095="Dana riba",H4095="Pinjam uang riba",I4095="Pinjam dari uang riba",I4095="Ganti uang riba",I4095="Kelebihan ganti dikembalikan",AND(C4095="Kantong Uang Riba",G4095="Pengeluaran"))),1,0)</f>
        <v/>
      </c>
      <c r="X4095" s="93">
        <f>IF(AND(B4095&lt;&gt;"",B4095&gt;='Buku Akun'!$H$4,B4095&lt;='Buku Akun'!$H$5,OR(C4095='Buku Akun'!$C$4,AND(D4095="Pindah",E4095='Buku Akun'!$C$4))),B4095+IF(AND(I4095="Selisih bunga",DAY(B4095)=1),0,0.01)+ROW()/10000000,"")</f>
        <v/>
      </c>
    </row>
    <row r="4096" outlineLevel="1" ht="15" customHeight="1" s="94">
      <c r="A4096" s="123">
        <f>IF(B4096="","",ROW()-15)</f>
        <v/>
      </c>
      <c r="B4096" s="124" t="n"/>
      <c r="C4096" s="123" t="n"/>
      <c r="D4096" s="123" t="n"/>
      <c r="E4096" s="123" t="n"/>
      <c r="F4096" s="125" t="n"/>
      <c r="G4096" s="123" t="n"/>
      <c r="H4096" s="123" t="n"/>
      <c r="I4096" s="123" t="n"/>
      <c r="J4096" s="123" t="n"/>
      <c r="K4096" s="123" t="n"/>
      <c r="L4096" s="123" t="n"/>
      <c r="M4096" s="123">
        <f>IF(AND(B4096&lt;&gt;"",OR($C$4="",ISNUMBER(SEARCH($C$4,C4096&amp;" "&amp;E4096&amp;" "&amp;G4096&amp;" "&amp;H4096&amp;" "&amp;I4096&amp;" "&amp;J4096&amp;" "&amp;K4096&amp;" "&amp;L4096))),OR($C$5="Semua",$C$5="",G4096=$C$5),OR($C$6="Semua",$C$6="",H4096=$C$6,H4096="Pengeluaran "&amp;$C$6,AND($C$6="Uang Kos Mama",H4096="Pengeluaran Uang Kos")),OR($C$7="Semua",$C$7="",I4096=$C$7),OR($C$8="Semua",$C$8="",C4096=$C$8,E4096=$C$8),OR($C$9="Semua",$C$9="",D4096=$C$9),OR($C$10="",B4096&gt;=$C$10),OR($C$11="",B4096&lt;=$C$11),OR($C$12&lt;&gt;"Ya",K4096&lt;&gt;""),OR($C$13="Semua",$C$13="",L4096=$C$13)),"✓","")</f>
        <v/>
      </c>
      <c r="N4096" s="93">
        <f>N(N4095)+IF(M4096="✓",1,0)</f>
        <v/>
      </c>
      <c r="O4096" s="93">
        <f>N(O4095)+IF(AND(B4096&lt;&gt;"",B4096&gt;='Uang Riba'!$H$30,B4096&lt;='Uang Riba'!$I$30,OR(H4096="Dana riba",H4096="Pinjam uang riba",I4096="Pinjam dari uang riba",I4096="Ganti uang riba",I4096="Kelebihan ganti dikembalikan",AND(C4096="Kantong Uang Riba",G4096="Pengeluaran"))),1,0)</f>
        <v/>
      </c>
      <c r="X4096" s="93">
        <f>IF(AND(B4096&lt;&gt;"",B4096&gt;='Buku Akun'!$H$4,B4096&lt;='Buku Akun'!$H$5,OR(C4096='Buku Akun'!$C$4,AND(D4096="Pindah",E4096='Buku Akun'!$C$4))),B4096+IF(AND(I4096="Selisih bunga",DAY(B4096)=1),0,0.01)+ROW()/10000000,"")</f>
        <v/>
      </c>
    </row>
    <row r="4097" outlineLevel="1" ht="15" customHeight="1" s="94">
      <c r="A4097" s="123">
        <f>IF(B4097="","",ROW()-15)</f>
        <v/>
      </c>
      <c r="B4097" s="124" t="n"/>
      <c r="C4097" s="123" t="n"/>
      <c r="D4097" s="123" t="n"/>
      <c r="E4097" s="123" t="n"/>
      <c r="F4097" s="125" t="n"/>
      <c r="G4097" s="123" t="n"/>
      <c r="H4097" s="123" t="n"/>
      <c r="I4097" s="123" t="n"/>
      <c r="J4097" s="123" t="n"/>
      <c r="K4097" s="123" t="n"/>
      <c r="L4097" s="123" t="n"/>
      <c r="M4097" s="123">
        <f>IF(AND(B4097&lt;&gt;"",OR($C$4="",ISNUMBER(SEARCH($C$4,C4097&amp;" "&amp;E4097&amp;" "&amp;G4097&amp;" "&amp;H4097&amp;" "&amp;I4097&amp;" "&amp;J4097&amp;" "&amp;K4097&amp;" "&amp;L4097))),OR($C$5="Semua",$C$5="",G4097=$C$5),OR($C$6="Semua",$C$6="",H4097=$C$6,H4097="Pengeluaran "&amp;$C$6,AND($C$6="Uang Kos Mama",H4097="Pengeluaran Uang Kos")),OR($C$7="Semua",$C$7="",I4097=$C$7),OR($C$8="Semua",$C$8="",C4097=$C$8,E4097=$C$8),OR($C$9="Semua",$C$9="",D4097=$C$9),OR($C$10="",B4097&gt;=$C$10),OR($C$11="",B4097&lt;=$C$11),OR($C$12&lt;&gt;"Ya",K4097&lt;&gt;""),OR($C$13="Semua",$C$13="",L4097=$C$13)),"✓","")</f>
        <v/>
      </c>
      <c r="N4097" s="93">
        <f>N(N4096)+IF(M4097="✓",1,0)</f>
        <v/>
      </c>
      <c r="O4097" s="93">
        <f>N(O4096)+IF(AND(B4097&lt;&gt;"",B4097&gt;='Uang Riba'!$H$30,B4097&lt;='Uang Riba'!$I$30,OR(H4097="Dana riba",H4097="Pinjam uang riba",I4097="Pinjam dari uang riba",I4097="Ganti uang riba",I4097="Kelebihan ganti dikembalikan",AND(C4097="Kantong Uang Riba",G4097="Pengeluaran"))),1,0)</f>
        <v/>
      </c>
      <c r="X4097" s="93">
        <f>IF(AND(B4097&lt;&gt;"",B4097&gt;='Buku Akun'!$H$4,B4097&lt;='Buku Akun'!$H$5,OR(C4097='Buku Akun'!$C$4,AND(D4097="Pindah",E4097='Buku Akun'!$C$4))),B4097+IF(AND(I4097="Selisih bunga",DAY(B4097)=1),0,0.01)+ROW()/10000000,"")</f>
        <v/>
      </c>
    </row>
    <row r="4098" outlineLevel="1" ht="15" customHeight="1" s="94">
      <c r="A4098" s="123">
        <f>IF(B4098="","",ROW()-15)</f>
        <v/>
      </c>
      <c r="B4098" s="124" t="n"/>
      <c r="C4098" s="123" t="n"/>
      <c r="D4098" s="123" t="n"/>
      <c r="E4098" s="123" t="n"/>
      <c r="F4098" s="125" t="n"/>
      <c r="G4098" s="123" t="n"/>
      <c r="H4098" s="123" t="n"/>
      <c r="I4098" s="123" t="n"/>
      <c r="J4098" s="123" t="n"/>
      <c r="K4098" s="123" t="n"/>
      <c r="L4098" s="123" t="n"/>
      <c r="M4098" s="123">
        <f>IF(AND(B4098&lt;&gt;"",OR($C$4="",ISNUMBER(SEARCH($C$4,C4098&amp;" "&amp;E4098&amp;" "&amp;G4098&amp;" "&amp;H4098&amp;" "&amp;I4098&amp;" "&amp;J4098&amp;" "&amp;K4098&amp;" "&amp;L4098))),OR($C$5="Semua",$C$5="",G4098=$C$5),OR($C$6="Semua",$C$6="",H4098=$C$6,H4098="Pengeluaran "&amp;$C$6,AND($C$6="Uang Kos Mama",H4098="Pengeluaran Uang Kos")),OR($C$7="Semua",$C$7="",I4098=$C$7),OR($C$8="Semua",$C$8="",C4098=$C$8,E4098=$C$8),OR($C$9="Semua",$C$9="",D4098=$C$9),OR($C$10="",B4098&gt;=$C$10),OR($C$11="",B4098&lt;=$C$11),OR($C$12&lt;&gt;"Ya",K4098&lt;&gt;""),OR($C$13="Semua",$C$13="",L4098=$C$13)),"✓","")</f>
        <v/>
      </c>
      <c r="N4098" s="93">
        <f>N(N4097)+IF(M4098="✓",1,0)</f>
        <v/>
      </c>
      <c r="O4098" s="93">
        <f>N(O4097)+IF(AND(B4098&lt;&gt;"",B4098&gt;='Uang Riba'!$H$30,B4098&lt;='Uang Riba'!$I$30,OR(H4098="Dana riba",H4098="Pinjam uang riba",I4098="Pinjam dari uang riba",I4098="Ganti uang riba",I4098="Kelebihan ganti dikembalikan",AND(C4098="Kantong Uang Riba",G4098="Pengeluaran"))),1,0)</f>
        <v/>
      </c>
      <c r="X4098" s="93">
        <f>IF(AND(B4098&lt;&gt;"",B4098&gt;='Buku Akun'!$H$4,B4098&lt;='Buku Akun'!$H$5,OR(C4098='Buku Akun'!$C$4,AND(D4098="Pindah",E4098='Buku Akun'!$C$4))),B4098+IF(AND(I4098="Selisih bunga",DAY(B4098)=1),0,0.01)+ROW()/10000000,"")</f>
        <v/>
      </c>
    </row>
    <row r="4099" outlineLevel="1" ht="15" customHeight="1" s="94">
      <c r="A4099" s="123">
        <f>IF(B4099="","",ROW()-15)</f>
        <v/>
      </c>
      <c r="B4099" s="124" t="n"/>
      <c r="C4099" s="123" t="n"/>
      <c r="D4099" s="123" t="n"/>
      <c r="E4099" s="123" t="n"/>
      <c r="F4099" s="125" t="n"/>
      <c r="G4099" s="123" t="n"/>
      <c r="H4099" s="123" t="n"/>
      <c r="I4099" s="123" t="n"/>
      <c r="J4099" s="123" t="n"/>
      <c r="K4099" s="123" t="n"/>
      <c r="L4099" s="123" t="n"/>
      <c r="M4099" s="123">
        <f>IF(AND(B4099&lt;&gt;"",OR($C$4="",ISNUMBER(SEARCH($C$4,C4099&amp;" "&amp;E4099&amp;" "&amp;G4099&amp;" "&amp;H4099&amp;" "&amp;I4099&amp;" "&amp;J4099&amp;" "&amp;K4099&amp;" "&amp;L4099))),OR($C$5="Semua",$C$5="",G4099=$C$5),OR($C$6="Semua",$C$6="",H4099=$C$6,H4099="Pengeluaran "&amp;$C$6,AND($C$6="Uang Kos Mama",H4099="Pengeluaran Uang Kos")),OR($C$7="Semua",$C$7="",I4099=$C$7),OR($C$8="Semua",$C$8="",C4099=$C$8,E4099=$C$8),OR($C$9="Semua",$C$9="",D4099=$C$9),OR($C$10="",B4099&gt;=$C$10),OR($C$11="",B4099&lt;=$C$11),OR($C$12&lt;&gt;"Ya",K4099&lt;&gt;""),OR($C$13="Semua",$C$13="",L4099=$C$13)),"✓","")</f>
        <v/>
      </c>
      <c r="N4099" s="93">
        <f>N(N4098)+IF(M4099="✓",1,0)</f>
        <v/>
      </c>
      <c r="O4099" s="93">
        <f>N(O4098)+IF(AND(B4099&lt;&gt;"",B4099&gt;='Uang Riba'!$H$30,B4099&lt;='Uang Riba'!$I$30,OR(H4099="Dana riba",H4099="Pinjam uang riba",I4099="Pinjam dari uang riba",I4099="Ganti uang riba",I4099="Kelebihan ganti dikembalikan",AND(C4099="Kantong Uang Riba",G4099="Pengeluaran"))),1,0)</f>
        <v/>
      </c>
      <c r="X4099" s="93">
        <f>IF(AND(B4099&lt;&gt;"",B4099&gt;='Buku Akun'!$H$4,B4099&lt;='Buku Akun'!$H$5,OR(C4099='Buku Akun'!$C$4,AND(D4099="Pindah",E4099='Buku Akun'!$C$4))),B4099+IF(AND(I4099="Selisih bunga",DAY(B4099)=1),0,0.01)+ROW()/10000000,"")</f>
        <v/>
      </c>
    </row>
    <row r="4100" outlineLevel="1" ht="15" customHeight="1" s="94">
      <c r="A4100" s="123">
        <f>IF(B4100="","",ROW()-15)</f>
        <v/>
      </c>
      <c r="B4100" s="124" t="n"/>
      <c r="C4100" s="123" t="n"/>
      <c r="D4100" s="123" t="n"/>
      <c r="E4100" s="123" t="n"/>
      <c r="F4100" s="125" t="n"/>
      <c r="G4100" s="123" t="n"/>
      <c r="H4100" s="123" t="n"/>
      <c r="I4100" s="123" t="n"/>
      <c r="J4100" s="123" t="n"/>
      <c r="K4100" s="123" t="n"/>
      <c r="L4100" s="123" t="n"/>
      <c r="M4100" s="123">
        <f>IF(AND(B4100&lt;&gt;"",OR($C$4="",ISNUMBER(SEARCH($C$4,C4100&amp;" "&amp;E4100&amp;" "&amp;G4100&amp;" "&amp;H4100&amp;" "&amp;I4100&amp;" "&amp;J4100&amp;" "&amp;K4100&amp;" "&amp;L4100))),OR($C$5="Semua",$C$5="",G4100=$C$5),OR($C$6="Semua",$C$6="",H4100=$C$6,H4100="Pengeluaran "&amp;$C$6,AND($C$6="Uang Kos Mama",H4100="Pengeluaran Uang Kos")),OR($C$7="Semua",$C$7="",I4100=$C$7),OR($C$8="Semua",$C$8="",C4100=$C$8,E4100=$C$8),OR($C$9="Semua",$C$9="",D4100=$C$9),OR($C$10="",B4100&gt;=$C$10),OR($C$11="",B4100&lt;=$C$11),OR($C$12&lt;&gt;"Ya",K4100&lt;&gt;""),OR($C$13="Semua",$C$13="",L4100=$C$13)),"✓","")</f>
        <v/>
      </c>
      <c r="N4100" s="93">
        <f>N(N4099)+IF(M4100="✓",1,0)</f>
        <v/>
      </c>
      <c r="O4100" s="93">
        <f>N(O4099)+IF(AND(B4100&lt;&gt;"",B4100&gt;='Uang Riba'!$H$30,B4100&lt;='Uang Riba'!$I$30,OR(H4100="Dana riba",H4100="Pinjam uang riba",I4100="Pinjam dari uang riba",I4100="Ganti uang riba",I4100="Kelebihan ganti dikembalikan",AND(C4100="Kantong Uang Riba",G4100="Pengeluaran"))),1,0)</f>
        <v/>
      </c>
      <c r="X4100" s="93">
        <f>IF(AND(B4100&lt;&gt;"",B4100&gt;='Buku Akun'!$H$4,B4100&lt;='Buku Akun'!$H$5,OR(C4100='Buku Akun'!$C$4,AND(D4100="Pindah",E4100='Buku Akun'!$C$4))),B4100+IF(AND(I4100="Selisih bunga",DAY(B4100)=1),0,0.01)+ROW()/10000000,"")</f>
        <v/>
      </c>
    </row>
    <row r="4101" outlineLevel="1" ht="15" customHeight="1" s="94">
      <c r="A4101" s="123">
        <f>IF(B4101="","",ROW()-15)</f>
        <v/>
      </c>
      <c r="B4101" s="124" t="n"/>
      <c r="C4101" s="123" t="n"/>
      <c r="D4101" s="123" t="n"/>
      <c r="E4101" s="123" t="n"/>
      <c r="F4101" s="125" t="n"/>
      <c r="G4101" s="123" t="n"/>
      <c r="H4101" s="123" t="n"/>
      <c r="I4101" s="123" t="n"/>
      <c r="J4101" s="123" t="n"/>
      <c r="K4101" s="123" t="n"/>
      <c r="L4101" s="123" t="n"/>
      <c r="M4101" s="123">
        <f>IF(AND(B4101&lt;&gt;"",OR($C$4="",ISNUMBER(SEARCH($C$4,C4101&amp;" "&amp;E4101&amp;" "&amp;G4101&amp;" "&amp;H4101&amp;" "&amp;I4101&amp;" "&amp;J4101&amp;" "&amp;K4101&amp;" "&amp;L4101))),OR($C$5="Semua",$C$5="",G4101=$C$5),OR($C$6="Semua",$C$6="",H4101=$C$6,H4101="Pengeluaran "&amp;$C$6,AND($C$6="Uang Kos Mama",H4101="Pengeluaran Uang Kos")),OR($C$7="Semua",$C$7="",I4101=$C$7),OR($C$8="Semua",$C$8="",C4101=$C$8,E4101=$C$8),OR($C$9="Semua",$C$9="",D4101=$C$9),OR($C$10="",B4101&gt;=$C$10),OR($C$11="",B4101&lt;=$C$11),OR($C$12&lt;&gt;"Ya",K4101&lt;&gt;""),OR($C$13="Semua",$C$13="",L4101=$C$13)),"✓","")</f>
        <v/>
      </c>
      <c r="N4101" s="93">
        <f>N(N4100)+IF(M4101="✓",1,0)</f>
        <v/>
      </c>
      <c r="O4101" s="93">
        <f>N(O4100)+IF(AND(B4101&lt;&gt;"",B4101&gt;='Uang Riba'!$H$30,B4101&lt;='Uang Riba'!$I$30,OR(H4101="Dana riba",H4101="Pinjam uang riba",I4101="Pinjam dari uang riba",I4101="Ganti uang riba",I4101="Kelebihan ganti dikembalikan",AND(C4101="Kantong Uang Riba",G4101="Pengeluaran"))),1,0)</f>
        <v/>
      </c>
      <c r="X4101" s="93">
        <f>IF(AND(B4101&lt;&gt;"",B4101&gt;='Buku Akun'!$H$4,B4101&lt;='Buku Akun'!$H$5,OR(C4101='Buku Akun'!$C$4,AND(D4101="Pindah",E4101='Buku Akun'!$C$4))),B4101+IF(AND(I4101="Selisih bunga",DAY(B4101)=1),0,0.01)+ROW()/10000000,"")</f>
        <v/>
      </c>
    </row>
    <row r="4102" outlineLevel="1" ht="15" customHeight="1" s="94">
      <c r="A4102" s="123">
        <f>IF(B4102="","",ROW()-15)</f>
        <v/>
      </c>
      <c r="B4102" s="124" t="n"/>
      <c r="C4102" s="123" t="n"/>
      <c r="D4102" s="123" t="n"/>
      <c r="E4102" s="123" t="n"/>
      <c r="F4102" s="125" t="n"/>
      <c r="G4102" s="123" t="n"/>
      <c r="H4102" s="123" t="n"/>
      <c r="I4102" s="123" t="n"/>
      <c r="J4102" s="123" t="n"/>
      <c r="K4102" s="123" t="n"/>
      <c r="L4102" s="123" t="n"/>
      <c r="M4102" s="123">
        <f>IF(AND(B4102&lt;&gt;"",OR($C$4="",ISNUMBER(SEARCH($C$4,C4102&amp;" "&amp;E4102&amp;" "&amp;G4102&amp;" "&amp;H4102&amp;" "&amp;I4102&amp;" "&amp;J4102&amp;" "&amp;K4102&amp;" "&amp;L4102))),OR($C$5="Semua",$C$5="",G4102=$C$5),OR($C$6="Semua",$C$6="",H4102=$C$6,H4102="Pengeluaran "&amp;$C$6,AND($C$6="Uang Kos Mama",H4102="Pengeluaran Uang Kos")),OR($C$7="Semua",$C$7="",I4102=$C$7),OR($C$8="Semua",$C$8="",C4102=$C$8,E4102=$C$8),OR($C$9="Semua",$C$9="",D4102=$C$9),OR($C$10="",B4102&gt;=$C$10),OR($C$11="",B4102&lt;=$C$11),OR($C$12&lt;&gt;"Ya",K4102&lt;&gt;""),OR($C$13="Semua",$C$13="",L4102=$C$13)),"✓","")</f>
        <v/>
      </c>
      <c r="N4102" s="93">
        <f>N(N4101)+IF(M4102="✓",1,0)</f>
        <v/>
      </c>
      <c r="O4102" s="93">
        <f>N(O4101)+IF(AND(B4102&lt;&gt;"",B4102&gt;='Uang Riba'!$H$30,B4102&lt;='Uang Riba'!$I$30,OR(H4102="Dana riba",H4102="Pinjam uang riba",I4102="Pinjam dari uang riba",I4102="Ganti uang riba",I4102="Kelebihan ganti dikembalikan",AND(C4102="Kantong Uang Riba",G4102="Pengeluaran"))),1,0)</f>
        <v/>
      </c>
      <c r="X4102" s="93">
        <f>IF(AND(B4102&lt;&gt;"",B4102&gt;='Buku Akun'!$H$4,B4102&lt;='Buku Akun'!$H$5,OR(C4102='Buku Akun'!$C$4,AND(D4102="Pindah",E4102='Buku Akun'!$C$4))),B4102+IF(AND(I4102="Selisih bunga",DAY(B4102)=1),0,0.01)+ROW()/10000000,"")</f>
        <v/>
      </c>
    </row>
    <row r="4103" outlineLevel="1" ht="15" customHeight="1" s="94">
      <c r="A4103" s="123">
        <f>IF(B4103="","",ROW()-15)</f>
        <v/>
      </c>
      <c r="B4103" s="124" t="n"/>
      <c r="C4103" s="123" t="n"/>
      <c r="D4103" s="123" t="n"/>
      <c r="E4103" s="123" t="n"/>
      <c r="F4103" s="125" t="n"/>
      <c r="G4103" s="123" t="n"/>
      <c r="H4103" s="123" t="n"/>
      <c r="I4103" s="123" t="n"/>
      <c r="J4103" s="123" t="n"/>
      <c r="K4103" s="123" t="n"/>
      <c r="L4103" s="123" t="n"/>
      <c r="M4103" s="123">
        <f>IF(AND(B4103&lt;&gt;"",OR($C$4="",ISNUMBER(SEARCH($C$4,C4103&amp;" "&amp;E4103&amp;" "&amp;G4103&amp;" "&amp;H4103&amp;" "&amp;I4103&amp;" "&amp;J4103&amp;" "&amp;K4103&amp;" "&amp;L4103))),OR($C$5="Semua",$C$5="",G4103=$C$5),OR($C$6="Semua",$C$6="",H4103=$C$6,H4103="Pengeluaran "&amp;$C$6,AND($C$6="Uang Kos Mama",H4103="Pengeluaran Uang Kos")),OR($C$7="Semua",$C$7="",I4103=$C$7),OR($C$8="Semua",$C$8="",C4103=$C$8,E4103=$C$8),OR($C$9="Semua",$C$9="",D4103=$C$9),OR($C$10="",B4103&gt;=$C$10),OR($C$11="",B4103&lt;=$C$11),OR($C$12&lt;&gt;"Ya",K4103&lt;&gt;""),OR($C$13="Semua",$C$13="",L4103=$C$13)),"✓","")</f>
        <v/>
      </c>
      <c r="N4103" s="93">
        <f>N(N4102)+IF(M4103="✓",1,0)</f>
        <v/>
      </c>
      <c r="O4103" s="93">
        <f>N(O4102)+IF(AND(B4103&lt;&gt;"",B4103&gt;='Uang Riba'!$H$30,B4103&lt;='Uang Riba'!$I$30,OR(H4103="Dana riba",H4103="Pinjam uang riba",I4103="Pinjam dari uang riba",I4103="Ganti uang riba",I4103="Kelebihan ganti dikembalikan",AND(C4103="Kantong Uang Riba",G4103="Pengeluaran"))),1,0)</f>
        <v/>
      </c>
      <c r="X4103" s="93">
        <f>IF(AND(B4103&lt;&gt;"",B4103&gt;='Buku Akun'!$H$4,B4103&lt;='Buku Akun'!$H$5,OR(C4103='Buku Akun'!$C$4,AND(D4103="Pindah",E4103='Buku Akun'!$C$4))),B4103+IF(AND(I4103="Selisih bunga",DAY(B4103)=1),0,0.01)+ROW()/10000000,"")</f>
        <v/>
      </c>
    </row>
    <row r="4104" outlineLevel="1" ht="15" customHeight="1" s="94">
      <c r="A4104" s="123">
        <f>IF(B4104="","",ROW()-15)</f>
        <v/>
      </c>
      <c r="B4104" s="124" t="n"/>
      <c r="C4104" s="123" t="n"/>
      <c r="D4104" s="123" t="n"/>
      <c r="E4104" s="123" t="n"/>
      <c r="F4104" s="125" t="n"/>
      <c r="G4104" s="123" t="n"/>
      <c r="H4104" s="123" t="n"/>
      <c r="I4104" s="123" t="n"/>
      <c r="J4104" s="123" t="n"/>
      <c r="K4104" s="123" t="n"/>
      <c r="L4104" s="123" t="n"/>
      <c r="M4104" s="123">
        <f>IF(AND(B4104&lt;&gt;"",OR($C$4="",ISNUMBER(SEARCH($C$4,C4104&amp;" "&amp;E4104&amp;" "&amp;G4104&amp;" "&amp;H4104&amp;" "&amp;I4104&amp;" "&amp;J4104&amp;" "&amp;K4104&amp;" "&amp;L4104))),OR($C$5="Semua",$C$5="",G4104=$C$5),OR($C$6="Semua",$C$6="",H4104=$C$6,H4104="Pengeluaran "&amp;$C$6,AND($C$6="Uang Kos Mama",H4104="Pengeluaran Uang Kos")),OR($C$7="Semua",$C$7="",I4104=$C$7),OR($C$8="Semua",$C$8="",C4104=$C$8,E4104=$C$8),OR($C$9="Semua",$C$9="",D4104=$C$9),OR($C$10="",B4104&gt;=$C$10),OR($C$11="",B4104&lt;=$C$11),OR($C$12&lt;&gt;"Ya",K4104&lt;&gt;""),OR($C$13="Semua",$C$13="",L4104=$C$13)),"✓","")</f>
        <v/>
      </c>
      <c r="N4104" s="93">
        <f>N(N4103)+IF(M4104="✓",1,0)</f>
        <v/>
      </c>
      <c r="O4104" s="93">
        <f>N(O4103)+IF(AND(B4104&lt;&gt;"",B4104&gt;='Uang Riba'!$H$30,B4104&lt;='Uang Riba'!$I$30,OR(H4104="Dana riba",H4104="Pinjam uang riba",I4104="Pinjam dari uang riba",I4104="Ganti uang riba",I4104="Kelebihan ganti dikembalikan",AND(C4104="Kantong Uang Riba",G4104="Pengeluaran"))),1,0)</f>
        <v/>
      </c>
      <c r="X4104" s="93">
        <f>IF(AND(B4104&lt;&gt;"",B4104&gt;='Buku Akun'!$H$4,B4104&lt;='Buku Akun'!$H$5,OR(C4104='Buku Akun'!$C$4,AND(D4104="Pindah",E4104='Buku Akun'!$C$4))),B4104+IF(AND(I4104="Selisih bunga",DAY(B4104)=1),0,0.01)+ROW()/10000000,"")</f>
        <v/>
      </c>
    </row>
    <row r="4105" outlineLevel="1" ht="15" customHeight="1" s="94">
      <c r="A4105" s="123">
        <f>IF(B4105="","",ROW()-15)</f>
        <v/>
      </c>
      <c r="B4105" s="124" t="n"/>
      <c r="C4105" s="123" t="n"/>
      <c r="D4105" s="123" t="n"/>
      <c r="E4105" s="123" t="n"/>
      <c r="F4105" s="125" t="n"/>
      <c r="G4105" s="123" t="n"/>
      <c r="H4105" s="123" t="n"/>
      <c r="I4105" s="123" t="n"/>
      <c r="J4105" s="123" t="n"/>
      <c r="K4105" s="123" t="n"/>
      <c r="L4105" s="123" t="n"/>
      <c r="M4105" s="123">
        <f>IF(AND(B4105&lt;&gt;"",OR($C$4="",ISNUMBER(SEARCH($C$4,C4105&amp;" "&amp;E4105&amp;" "&amp;G4105&amp;" "&amp;H4105&amp;" "&amp;I4105&amp;" "&amp;J4105&amp;" "&amp;K4105&amp;" "&amp;L4105))),OR($C$5="Semua",$C$5="",G4105=$C$5),OR($C$6="Semua",$C$6="",H4105=$C$6,H4105="Pengeluaran "&amp;$C$6,AND($C$6="Uang Kos Mama",H4105="Pengeluaran Uang Kos")),OR($C$7="Semua",$C$7="",I4105=$C$7),OR($C$8="Semua",$C$8="",C4105=$C$8,E4105=$C$8),OR($C$9="Semua",$C$9="",D4105=$C$9),OR($C$10="",B4105&gt;=$C$10),OR($C$11="",B4105&lt;=$C$11),OR($C$12&lt;&gt;"Ya",K4105&lt;&gt;""),OR($C$13="Semua",$C$13="",L4105=$C$13)),"✓","")</f>
        <v/>
      </c>
      <c r="N4105" s="93">
        <f>N(N4104)+IF(M4105="✓",1,0)</f>
        <v/>
      </c>
      <c r="O4105" s="93">
        <f>N(O4104)+IF(AND(B4105&lt;&gt;"",B4105&gt;='Uang Riba'!$H$30,B4105&lt;='Uang Riba'!$I$30,OR(H4105="Dana riba",H4105="Pinjam uang riba",I4105="Pinjam dari uang riba",I4105="Ganti uang riba",I4105="Kelebihan ganti dikembalikan",AND(C4105="Kantong Uang Riba",G4105="Pengeluaran"))),1,0)</f>
        <v/>
      </c>
      <c r="X4105" s="93">
        <f>IF(AND(B4105&lt;&gt;"",B4105&gt;='Buku Akun'!$H$4,B4105&lt;='Buku Akun'!$H$5,OR(C4105='Buku Akun'!$C$4,AND(D4105="Pindah",E4105='Buku Akun'!$C$4))),B4105+IF(AND(I4105="Selisih bunga",DAY(B4105)=1),0,0.01)+ROW()/10000000,"")</f>
        <v/>
      </c>
    </row>
    <row r="4106" outlineLevel="1" ht="15" customHeight="1" s="94">
      <c r="A4106" s="123">
        <f>IF(B4106="","",ROW()-15)</f>
        <v/>
      </c>
      <c r="B4106" s="124" t="n"/>
      <c r="C4106" s="123" t="n"/>
      <c r="D4106" s="123" t="n"/>
      <c r="E4106" s="123" t="n"/>
      <c r="F4106" s="125" t="n"/>
      <c r="G4106" s="123" t="n"/>
      <c r="H4106" s="123" t="n"/>
      <c r="I4106" s="123" t="n"/>
      <c r="J4106" s="123" t="n"/>
      <c r="K4106" s="123" t="n"/>
      <c r="L4106" s="123" t="n"/>
      <c r="M4106" s="123">
        <f>IF(AND(B4106&lt;&gt;"",OR($C$4="",ISNUMBER(SEARCH($C$4,C4106&amp;" "&amp;E4106&amp;" "&amp;G4106&amp;" "&amp;H4106&amp;" "&amp;I4106&amp;" "&amp;J4106&amp;" "&amp;K4106&amp;" "&amp;L4106))),OR($C$5="Semua",$C$5="",G4106=$C$5),OR($C$6="Semua",$C$6="",H4106=$C$6,H4106="Pengeluaran "&amp;$C$6,AND($C$6="Uang Kos Mama",H4106="Pengeluaran Uang Kos")),OR($C$7="Semua",$C$7="",I4106=$C$7),OR($C$8="Semua",$C$8="",C4106=$C$8,E4106=$C$8),OR($C$9="Semua",$C$9="",D4106=$C$9),OR($C$10="",B4106&gt;=$C$10),OR($C$11="",B4106&lt;=$C$11),OR($C$12&lt;&gt;"Ya",K4106&lt;&gt;""),OR($C$13="Semua",$C$13="",L4106=$C$13)),"✓","")</f>
        <v/>
      </c>
      <c r="N4106" s="93">
        <f>N(N4105)+IF(M4106="✓",1,0)</f>
        <v/>
      </c>
      <c r="O4106" s="93">
        <f>N(O4105)+IF(AND(B4106&lt;&gt;"",B4106&gt;='Uang Riba'!$H$30,B4106&lt;='Uang Riba'!$I$30,OR(H4106="Dana riba",H4106="Pinjam uang riba",I4106="Pinjam dari uang riba",I4106="Ganti uang riba",I4106="Kelebihan ganti dikembalikan",AND(C4106="Kantong Uang Riba",G4106="Pengeluaran"))),1,0)</f>
        <v/>
      </c>
      <c r="X4106" s="93">
        <f>IF(AND(B4106&lt;&gt;"",B4106&gt;='Buku Akun'!$H$4,B4106&lt;='Buku Akun'!$H$5,OR(C4106='Buku Akun'!$C$4,AND(D4106="Pindah",E4106='Buku Akun'!$C$4))),B4106+IF(AND(I4106="Selisih bunga",DAY(B4106)=1),0,0.01)+ROW()/10000000,"")</f>
        <v/>
      </c>
    </row>
    <row r="4107" outlineLevel="1" ht="15" customHeight="1" s="94">
      <c r="A4107" s="123">
        <f>IF(B4107="","",ROW()-15)</f>
        <v/>
      </c>
      <c r="B4107" s="124" t="n"/>
      <c r="C4107" s="123" t="n"/>
      <c r="D4107" s="123" t="n"/>
      <c r="E4107" s="123" t="n"/>
      <c r="F4107" s="125" t="n"/>
      <c r="G4107" s="123" t="n"/>
      <c r="H4107" s="123" t="n"/>
      <c r="I4107" s="123" t="n"/>
      <c r="J4107" s="123" t="n"/>
      <c r="K4107" s="123" t="n"/>
      <c r="L4107" s="123" t="n"/>
      <c r="M4107" s="123">
        <f>IF(AND(B4107&lt;&gt;"",OR($C$4="",ISNUMBER(SEARCH($C$4,C4107&amp;" "&amp;E4107&amp;" "&amp;G4107&amp;" "&amp;H4107&amp;" "&amp;I4107&amp;" "&amp;J4107&amp;" "&amp;K4107&amp;" "&amp;L4107))),OR($C$5="Semua",$C$5="",G4107=$C$5),OR($C$6="Semua",$C$6="",H4107=$C$6,H4107="Pengeluaran "&amp;$C$6,AND($C$6="Uang Kos Mama",H4107="Pengeluaran Uang Kos")),OR($C$7="Semua",$C$7="",I4107=$C$7),OR($C$8="Semua",$C$8="",C4107=$C$8,E4107=$C$8),OR($C$9="Semua",$C$9="",D4107=$C$9),OR($C$10="",B4107&gt;=$C$10),OR($C$11="",B4107&lt;=$C$11),OR($C$12&lt;&gt;"Ya",K4107&lt;&gt;""),OR($C$13="Semua",$C$13="",L4107=$C$13)),"✓","")</f>
        <v/>
      </c>
      <c r="N4107" s="93">
        <f>N(N4106)+IF(M4107="✓",1,0)</f>
        <v/>
      </c>
      <c r="O4107" s="93">
        <f>N(O4106)+IF(AND(B4107&lt;&gt;"",B4107&gt;='Uang Riba'!$H$30,B4107&lt;='Uang Riba'!$I$30,OR(H4107="Dana riba",H4107="Pinjam uang riba",I4107="Pinjam dari uang riba",I4107="Ganti uang riba",I4107="Kelebihan ganti dikembalikan",AND(C4107="Kantong Uang Riba",G4107="Pengeluaran"))),1,0)</f>
        <v/>
      </c>
      <c r="X4107" s="93">
        <f>IF(AND(B4107&lt;&gt;"",B4107&gt;='Buku Akun'!$H$4,B4107&lt;='Buku Akun'!$H$5,OR(C4107='Buku Akun'!$C$4,AND(D4107="Pindah",E4107='Buku Akun'!$C$4))),B4107+IF(AND(I4107="Selisih bunga",DAY(B4107)=1),0,0.01)+ROW()/10000000,"")</f>
        <v/>
      </c>
    </row>
    <row r="4108" outlineLevel="1" ht="15" customHeight="1" s="94">
      <c r="A4108" s="123">
        <f>IF(B4108="","",ROW()-15)</f>
        <v/>
      </c>
      <c r="B4108" s="124" t="n"/>
      <c r="C4108" s="123" t="n"/>
      <c r="D4108" s="123" t="n"/>
      <c r="E4108" s="123" t="n"/>
      <c r="F4108" s="125" t="n"/>
      <c r="G4108" s="123" t="n"/>
      <c r="H4108" s="123" t="n"/>
      <c r="I4108" s="123" t="n"/>
      <c r="J4108" s="123" t="n"/>
      <c r="K4108" s="123" t="n"/>
      <c r="L4108" s="123" t="n"/>
      <c r="M4108" s="123">
        <f>IF(AND(B4108&lt;&gt;"",OR($C$4="",ISNUMBER(SEARCH($C$4,C4108&amp;" "&amp;E4108&amp;" "&amp;G4108&amp;" "&amp;H4108&amp;" "&amp;I4108&amp;" "&amp;J4108&amp;" "&amp;K4108&amp;" "&amp;L4108))),OR($C$5="Semua",$C$5="",G4108=$C$5),OR($C$6="Semua",$C$6="",H4108=$C$6,H4108="Pengeluaran "&amp;$C$6,AND($C$6="Uang Kos Mama",H4108="Pengeluaran Uang Kos")),OR($C$7="Semua",$C$7="",I4108=$C$7),OR($C$8="Semua",$C$8="",C4108=$C$8,E4108=$C$8),OR($C$9="Semua",$C$9="",D4108=$C$9),OR($C$10="",B4108&gt;=$C$10),OR($C$11="",B4108&lt;=$C$11),OR($C$12&lt;&gt;"Ya",K4108&lt;&gt;""),OR($C$13="Semua",$C$13="",L4108=$C$13)),"✓","")</f>
        <v/>
      </c>
      <c r="N4108" s="93">
        <f>N(N4107)+IF(M4108="✓",1,0)</f>
        <v/>
      </c>
      <c r="O4108" s="93">
        <f>N(O4107)+IF(AND(B4108&lt;&gt;"",B4108&gt;='Uang Riba'!$H$30,B4108&lt;='Uang Riba'!$I$30,OR(H4108="Dana riba",H4108="Pinjam uang riba",I4108="Pinjam dari uang riba",I4108="Ganti uang riba",I4108="Kelebihan ganti dikembalikan",AND(C4108="Kantong Uang Riba",G4108="Pengeluaran"))),1,0)</f>
        <v/>
      </c>
      <c r="X4108" s="93">
        <f>IF(AND(B4108&lt;&gt;"",B4108&gt;='Buku Akun'!$H$4,B4108&lt;='Buku Akun'!$H$5,OR(C4108='Buku Akun'!$C$4,AND(D4108="Pindah",E4108='Buku Akun'!$C$4))),B4108+IF(AND(I4108="Selisih bunga",DAY(B4108)=1),0,0.01)+ROW()/10000000,"")</f>
        <v/>
      </c>
    </row>
    <row r="4109" outlineLevel="1" ht="15" customHeight="1" s="94">
      <c r="A4109" s="123">
        <f>IF(B4109="","",ROW()-15)</f>
        <v/>
      </c>
      <c r="B4109" s="124" t="n"/>
      <c r="C4109" s="123" t="n"/>
      <c r="D4109" s="123" t="n"/>
      <c r="E4109" s="123" t="n"/>
      <c r="F4109" s="125" t="n"/>
      <c r="G4109" s="123" t="n"/>
      <c r="H4109" s="123" t="n"/>
      <c r="I4109" s="123" t="n"/>
      <c r="J4109" s="123" t="n"/>
      <c r="K4109" s="123" t="n"/>
      <c r="L4109" s="123" t="n"/>
      <c r="M4109" s="123">
        <f>IF(AND(B4109&lt;&gt;"",OR($C$4="",ISNUMBER(SEARCH($C$4,C4109&amp;" "&amp;E4109&amp;" "&amp;G4109&amp;" "&amp;H4109&amp;" "&amp;I4109&amp;" "&amp;J4109&amp;" "&amp;K4109&amp;" "&amp;L4109))),OR($C$5="Semua",$C$5="",G4109=$C$5),OR($C$6="Semua",$C$6="",H4109=$C$6,H4109="Pengeluaran "&amp;$C$6,AND($C$6="Uang Kos Mama",H4109="Pengeluaran Uang Kos")),OR($C$7="Semua",$C$7="",I4109=$C$7),OR($C$8="Semua",$C$8="",C4109=$C$8,E4109=$C$8),OR($C$9="Semua",$C$9="",D4109=$C$9),OR($C$10="",B4109&gt;=$C$10),OR($C$11="",B4109&lt;=$C$11),OR($C$12&lt;&gt;"Ya",K4109&lt;&gt;""),OR($C$13="Semua",$C$13="",L4109=$C$13)),"✓","")</f>
        <v/>
      </c>
      <c r="N4109" s="93">
        <f>N(N4108)+IF(M4109="✓",1,0)</f>
        <v/>
      </c>
      <c r="O4109" s="93">
        <f>N(O4108)+IF(AND(B4109&lt;&gt;"",B4109&gt;='Uang Riba'!$H$30,B4109&lt;='Uang Riba'!$I$30,OR(H4109="Dana riba",H4109="Pinjam uang riba",I4109="Pinjam dari uang riba",I4109="Ganti uang riba",I4109="Kelebihan ganti dikembalikan",AND(C4109="Kantong Uang Riba",G4109="Pengeluaran"))),1,0)</f>
        <v/>
      </c>
      <c r="X4109" s="93">
        <f>IF(AND(B4109&lt;&gt;"",B4109&gt;='Buku Akun'!$H$4,B4109&lt;='Buku Akun'!$H$5,OR(C4109='Buku Akun'!$C$4,AND(D4109="Pindah",E4109='Buku Akun'!$C$4))),B4109+IF(AND(I4109="Selisih bunga",DAY(B4109)=1),0,0.01)+ROW()/10000000,"")</f>
        <v/>
      </c>
    </row>
    <row r="4110" outlineLevel="1" ht="15" customHeight="1" s="94">
      <c r="A4110" s="123">
        <f>IF(B4110="","",ROW()-15)</f>
        <v/>
      </c>
      <c r="B4110" s="124" t="n"/>
      <c r="C4110" s="123" t="n"/>
      <c r="D4110" s="123" t="n"/>
      <c r="E4110" s="123" t="n"/>
      <c r="F4110" s="125" t="n"/>
      <c r="G4110" s="123" t="n"/>
      <c r="H4110" s="123" t="n"/>
      <c r="I4110" s="123" t="n"/>
      <c r="J4110" s="123" t="n"/>
      <c r="K4110" s="123" t="n"/>
      <c r="L4110" s="123" t="n"/>
      <c r="M4110" s="123">
        <f>IF(AND(B4110&lt;&gt;"",OR($C$4="",ISNUMBER(SEARCH($C$4,C4110&amp;" "&amp;E4110&amp;" "&amp;G4110&amp;" "&amp;H4110&amp;" "&amp;I4110&amp;" "&amp;J4110&amp;" "&amp;K4110&amp;" "&amp;L4110))),OR($C$5="Semua",$C$5="",G4110=$C$5),OR($C$6="Semua",$C$6="",H4110=$C$6,H4110="Pengeluaran "&amp;$C$6,AND($C$6="Uang Kos Mama",H4110="Pengeluaran Uang Kos")),OR($C$7="Semua",$C$7="",I4110=$C$7),OR($C$8="Semua",$C$8="",C4110=$C$8,E4110=$C$8),OR($C$9="Semua",$C$9="",D4110=$C$9),OR($C$10="",B4110&gt;=$C$10),OR($C$11="",B4110&lt;=$C$11),OR($C$12&lt;&gt;"Ya",K4110&lt;&gt;""),OR($C$13="Semua",$C$13="",L4110=$C$13)),"✓","")</f>
        <v/>
      </c>
      <c r="N4110" s="93">
        <f>N(N4109)+IF(M4110="✓",1,0)</f>
        <v/>
      </c>
      <c r="O4110" s="93">
        <f>N(O4109)+IF(AND(B4110&lt;&gt;"",B4110&gt;='Uang Riba'!$H$30,B4110&lt;='Uang Riba'!$I$30,OR(H4110="Dana riba",H4110="Pinjam uang riba",I4110="Pinjam dari uang riba",I4110="Ganti uang riba",I4110="Kelebihan ganti dikembalikan",AND(C4110="Kantong Uang Riba",G4110="Pengeluaran"))),1,0)</f>
        <v/>
      </c>
      <c r="X4110" s="93">
        <f>IF(AND(B4110&lt;&gt;"",B4110&gt;='Buku Akun'!$H$4,B4110&lt;='Buku Akun'!$H$5,OR(C4110='Buku Akun'!$C$4,AND(D4110="Pindah",E4110='Buku Akun'!$C$4))),B4110+IF(AND(I4110="Selisih bunga",DAY(B4110)=1),0,0.01)+ROW()/10000000,"")</f>
        <v/>
      </c>
    </row>
    <row r="4111" outlineLevel="1" ht="15" customHeight="1" s="94">
      <c r="A4111" s="123">
        <f>IF(B4111="","",ROW()-15)</f>
        <v/>
      </c>
      <c r="B4111" s="124" t="n"/>
      <c r="C4111" s="123" t="n"/>
      <c r="D4111" s="123" t="n"/>
      <c r="E4111" s="123" t="n"/>
      <c r="F4111" s="125" t="n"/>
      <c r="G4111" s="123" t="n"/>
      <c r="H4111" s="123" t="n"/>
      <c r="I4111" s="123" t="n"/>
      <c r="J4111" s="123" t="n"/>
      <c r="K4111" s="123" t="n"/>
      <c r="L4111" s="123" t="n"/>
      <c r="M4111" s="123">
        <f>IF(AND(B4111&lt;&gt;"",OR($C$4="",ISNUMBER(SEARCH($C$4,C4111&amp;" "&amp;E4111&amp;" "&amp;G4111&amp;" "&amp;H4111&amp;" "&amp;I4111&amp;" "&amp;J4111&amp;" "&amp;K4111&amp;" "&amp;L4111))),OR($C$5="Semua",$C$5="",G4111=$C$5),OR($C$6="Semua",$C$6="",H4111=$C$6,H4111="Pengeluaran "&amp;$C$6,AND($C$6="Uang Kos Mama",H4111="Pengeluaran Uang Kos")),OR($C$7="Semua",$C$7="",I4111=$C$7),OR($C$8="Semua",$C$8="",C4111=$C$8,E4111=$C$8),OR($C$9="Semua",$C$9="",D4111=$C$9),OR($C$10="",B4111&gt;=$C$10),OR($C$11="",B4111&lt;=$C$11),OR($C$12&lt;&gt;"Ya",K4111&lt;&gt;""),OR($C$13="Semua",$C$13="",L4111=$C$13)),"✓","")</f>
        <v/>
      </c>
      <c r="N4111" s="93">
        <f>N(N4110)+IF(M4111="✓",1,0)</f>
        <v/>
      </c>
      <c r="O4111" s="93">
        <f>N(O4110)+IF(AND(B4111&lt;&gt;"",B4111&gt;='Uang Riba'!$H$30,B4111&lt;='Uang Riba'!$I$30,OR(H4111="Dana riba",H4111="Pinjam uang riba",I4111="Pinjam dari uang riba",I4111="Ganti uang riba",I4111="Kelebihan ganti dikembalikan",AND(C4111="Kantong Uang Riba",G4111="Pengeluaran"))),1,0)</f>
        <v/>
      </c>
      <c r="X4111" s="93">
        <f>IF(AND(B4111&lt;&gt;"",B4111&gt;='Buku Akun'!$H$4,B4111&lt;='Buku Akun'!$H$5,OR(C4111='Buku Akun'!$C$4,AND(D4111="Pindah",E4111='Buku Akun'!$C$4))),B4111+IF(AND(I4111="Selisih bunga",DAY(B4111)=1),0,0.01)+ROW()/10000000,"")</f>
        <v/>
      </c>
    </row>
    <row r="4112" outlineLevel="1" ht="15" customHeight="1" s="94">
      <c r="A4112" s="123">
        <f>IF(B4112="","",ROW()-15)</f>
        <v/>
      </c>
      <c r="B4112" s="124" t="n"/>
      <c r="C4112" s="123" t="n"/>
      <c r="D4112" s="123" t="n"/>
      <c r="E4112" s="123" t="n"/>
      <c r="F4112" s="125" t="n"/>
      <c r="G4112" s="123" t="n"/>
      <c r="H4112" s="123" t="n"/>
      <c r="I4112" s="123" t="n"/>
      <c r="J4112" s="123" t="n"/>
      <c r="K4112" s="123" t="n"/>
      <c r="L4112" s="123" t="n"/>
      <c r="M4112" s="123">
        <f>IF(AND(B4112&lt;&gt;"",OR($C$4="",ISNUMBER(SEARCH($C$4,C4112&amp;" "&amp;E4112&amp;" "&amp;G4112&amp;" "&amp;H4112&amp;" "&amp;I4112&amp;" "&amp;J4112&amp;" "&amp;K4112&amp;" "&amp;L4112))),OR($C$5="Semua",$C$5="",G4112=$C$5),OR($C$6="Semua",$C$6="",H4112=$C$6,H4112="Pengeluaran "&amp;$C$6,AND($C$6="Uang Kos Mama",H4112="Pengeluaran Uang Kos")),OR($C$7="Semua",$C$7="",I4112=$C$7),OR($C$8="Semua",$C$8="",C4112=$C$8,E4112=$C$8),OR($C$9="Semua",$C$9="",D4112=$C$9),OR($C$10="",B4112&gt;=$C$10),OR($C$11="",B4112&lt;=$C$11),OR($C$12&lt;&gt;"Ya",K4112&lt;&gt;""),OR($C$13="Semua",$C$13="",L4112=$C$13)),"✓","")</f>
        <v/>
      </c>
      <c r="N4112" s="93">
        <f>N(N4111)+IF(M4112="✓",1,0)</f>
        <v/>
      </c>
      <c r="O4112" s="93">
        <f>N(O4111)+IF(AND(B4112&lt;&gt;"",B4112&gt;='Uang Riba'!$H$30,B4112&lt;='Uang Riba'!$I$30,OR(H4112="Dana riba",H4112="Pinjam uang riba",I4112="Pinjam dari uang riba",I4112="Ganti uang riba",I4112="Kelebihan ganti dikembalikan",AND(C4112="Kantong Uang Riba",G4112="Pengeluaran"))),1,0)</f>
        <v/>
      </c>
      <c r="X4112" s="93">
        <f>IF(AND(B4112&lt;&gt;"",B4112&gt;='Buku Akun'!$H$4,B4112&lt;='Buku Akun'!$H$5,OR(C4112='Buku Akun'!$C$4,AND(D4112="Pindah",E4112='Buku Akun'!$C$4))),B4112+IF(AND(I4112="Selisih bunga",DAY(B4112)=1),0,0.01)+ROW()/10000000,"")</f>
        <v/>
      </c>
    </row>
    <row r="4113" outlineLevel="1" ht="15" customHeight="1" s="94">
      <c r="A4113" s="123">
        <f>IF(B4113="","",ROW()-15)</f>
        <v/>
      </c>
      <c r="B4113" s="124" t="n"/>
      <c r="C4113" s="123" t="n"/>
      <c r="D4113" s="123" t="n"/>
      <c r="E4113" s="123" t="n"/>
      <c r="F4113" s="125" t="n"/>
      <c r="G4113" s="123" t="n"/>
      <c r="H4113" s="123" t="n"/>
      <c r="I4113" s="123" t="n"/>
      <c r="J4113" s="123" t="n"/>
      <c r="K4113" s="123" t="n"/>
      <c r="L4113" s="123" t="n"/>
      <c r="M4113" s="123">
        <f>IF(AND(B4113&lt;&gt;"",OR($C$4="",ISNUMBER(SEARCH($C$4,C4113&amp;" "&amp;E4113&amp;" "&amp;G4113&amp;" "&amp;H4113&amp;" "&amp;I4113&amp;" "&amp;J4113&amp;" "&amp;K4113&amp;" "&amp;L4113))),OR($C$5="Semua",$C$5="",G4113=$C$5),OR($C$6="Semua",$C$6="",H4113=$C$6,H4113="Pengeluaran "&amp;$C$6,AND($C$6="Uang Kos Mama",H4113="Pengeluaran Uang Kos")),OR($C$7="Semua",$C$7="",I4113=$C$7),OR($C$8="Semua",$C$8="",C4113=$C$8,E4113=$C$8),OR($C$9="Semua",$C$9="",D4113=$C$9),OR($C$10="",B4113&gt;=$C$10),OR($C$11="",B4113&lt;=$C$11),OR($C$12&lt;&gt;"Ya",K4113&lt;&gt;""),OR($C$13="Semua",$C$13="",L4113=$C$13)),"✓","")</f>
        <v/>
      </c>
      <c r="N4113" s="93">
        <f>N(N4112)+IF(M4113="✓",1,0)</f>
        <v/>
      </c>
      <c r="O4113" s="93">
        <f>N(O4112)+IF(AND(B4113&lt;&gt;"",B4113&gt;='Uang Riba'!$H$30,B4113&lt;='Uang Riba'!$I$30,OR(H4113="Dana riba",H4113="Pinjam uang riba",I4113="Pinjam dari uang riba",I4113="Ganti uang riba",I4113="Kelebihan ganti dikembalikan",AND(C4113="Kantong Uang Riba",G4113="Pengeluaran"))),1,0)</f>
        <v/>
      </c>
      <c r="X4113" s="93">
        <f>IF(AND(B4113&lt;&gt;"",B4113&gt;='Buku Akun'!$H$4,B4113&lt;='Buku Akun'!$H$5,OR(C4113='Buku Akun'!$C$4,AND(D4113="Pindah",E4113='Buku Akun'!$C$4))),B4113+IF(AND(I4113="Selisih bunga",DAY(B4113)=1),0,0.01)+ROW()/10000000,"")</f>
        <v/>
      </c>
    </row>
    <row r="4114" outlineLevel="1" ht="15" customHeight="1" s="94">
      <c r="A4114" s="123">
        <f>IF(B4114="","",ROW()-15)</f>
        <v/>
      </c>
      <c r="B4114" s="124" t="n"/>
      <c r="C4114" s="123" t="n"/>
      <c r="D4114" s="123" t="n"/>
      <c r="E4114" s="123" t="n"/>
      <c r="F4114" s="125" t="n"/>
      <c r="G4114" s="123" t="n"/>
      <c r="H4114" s="123" t="n"/>
      <c r="I4114" s="123" t="n"/>
      <c r="J4114" s="123" t="n"/>
      <c r="K4114" s="123" t="n"/>
      <c r="L4114" s="123" t="n"/>
      <c r="M4114" s="123">
        <f>IF(AND(B4114&lt;&gt;"",OR($C$4="",ISNUMBER(SEARCH($C$4,C4114&amp;" "&amp;E4114&amp;" "&amp;G4114&amp;" "&amp;H4114&amp;" "&amp;I4114&amp;" "&amp;J4114&amp;" "&amp;K4114&amp;" "&amp;L4114))),OR($C$5="Semua",$C$5="",G4114=$C$5),OR($C$6="Semua",$C$6="",H4114=$C$6,H4114="Pengeluaran "&amp;$C$6,AND($C$6="Uang Kos Mama",H4114="Pengeluaran Uang Kos")),OR($C$7="Semua",$C$7="",I4114=$C$7),OR($C$8="Semua",$C$8="",C4114=$C$8,E4114=$C$8),OR($C$9="Semua",$C$9="",D4114=$C$9),OR($C$10="",B4114&gt;=$C$10),OR($C$11="",B4114&lt;=$C$11),OR($C$12&lt;&gt;"Ya",K4114&lt;&gt;""),OR($C$13="Semua",$C$13="",L4114=$C$13)),"✓","")</f>
        <v/>
      </c>
      <c r="N4114" s="93">
        <f>N(N4113)+IF(M4114="✓",1,0)</f>
        <v/>
      </c>
      <c r="O4114" s="93">
        <f>N(O4113)+IF(AND(B4114&lt;&gt;"",B4114&gt;='Uang Riba'!$H$30,B4114&lt;='Uang Riba'!$I$30,OR(H4114="Dana riba",H4114="Pinjam uang riba",I4114="Pinjam dari uang riba",I4114="Ganti uang riba",I4114="Kelebihan ganti dikembalikan",AND(C4114="Kantong Uang Riba",G4114="Pengeluaran"))),1,0)</f>
        <v/>
      </c>
      <c r="X4114" s="93">
        <f>IF(AND(B4114&lt;&gt;"",B4114&gt;='Buku Akun'!$H$4,B4114&lt;='Buku Akun'!$H$5,OR(C4114='Buku Akun'!$C$4,AND(D4114="Pindah",E4114='Buku Akun'!$C$4))),B4114+IF(AND(I4114="Selisih bunga",DAY(B4114)=1),0,0.01)+ROW()/10000000,"")</f>
        <v/>
      </c>
    </row>
    <row r="4115" outlineLevel="1" ht="15" customHeight="1" s="94">
      <c r="A4115" s="123">
        <f>IF(B4115="","",ROW()-15)</f>
        <v/>
      </c>
      <c r="B4115" s="124" t="n"/>
      <c r="C4115" s="123" t="n"/>
      <c r="D4115" s="123" t="n"/>
      <c r="E4115" s="123" t="n"/>
      <c r="F4115" s="125" t="n"/>
      <c r="G4115" s="123" t="n"/>
      <c r="H4115" s="123" t="n"/>
      <c r="I4115" s="123" t="n"/>
      <c r="J4115" s="123" t="n"/>
      <c r="K4115" s="123" t="n"/>
      <c r="L4115" s="123" t="n"/>
      <c r="M4115" s="123">
        <f>IF(AND(B4115&lt;&gt;"",OR($C$4="",ISNUMBER(SEARCH($C$4,C4115&amp;" "&amp;E4115&amp;" "&amp;G4115&amp;" "&amp;H4115&amp;" "&amp;I4115&amp;" "&amp;J4115&amp;" "&amp;K4115&amp;" "&amp;L4115))),OR($C$5="Semua",$C$5="",G4115=$C$5),OR($C$6="Semua",$C$6="",H4115=$C$6,H4115="Pengeluaran "&amp;$C$6,AND($C$6="Uang Kos Mama",H4115="Pengeluaran Uang Kos")),OR($C$7="Semua",$C$7="",I4115=$C$7),OR($C$8="Semua",$C$8="",C4115=$C$8,E4115=$C$8),OR($C$9="Semua",$C$9="",D4115=$C$9),OR($C$10="",B4115&gt;=$C$10),OR($C$11="",B4115&lt;=$C$11),OR($C$12&lt;&gt;"Ya",K4115&lt;&gt;""),OR($C$13="Semua",$C$13="",L4115=$C$13)),"✓","")</f>
        <v/>
      </c>
      <c r="N4115" s="93">
        <f>N(N4114)+IF(M4115="✓",1,0)</f>
        <v/>
      </c>
      <c r="O4115" s="93">
        <f>N(O4114)+IF(AND(B4115&lt;&gt;"",B4115&gt;='Uang Riba'!$H$30,B4115&lt;='Uang Riba'!$I$30,OR(H4115="Dana riba",H4115="Pinjam uang riba",I4115="Pinjam dari uang riba",I4115="Ganti uang riba",I4115="Kelebihan ganti dikembalikan",AND(C4115="Kantong Uang Riba",G4115="Pengeluaran"))),1,0)</f>
        <v/>
      </c>
      <c r="X4115" s="93">
        <f>IF(AND(B4115&lt;&gt;"",B4115&gt;='Buku Akun'!$H$4,B4115&lt;='Buku Akun'!$H$5,OR(C4115='Buku Akun'!$C$4,AND(D4115="Pindah",E4115='Buku Akun'!$C$4))),B4115+IF(AND(I4115="Selisih bunga",DAY(B4115)=1),0,0.01)+ROW()/10000000,"")</f>
        <v/>
      </c>
    </row>
    <row r="4116" outlineLevel="1" ht="15" customHeight="1" s="94">
      <c r="A4116" s="123">
        <f>IF(B4116="","",ROW()-15)</f>
        <v/>
      </c>
      <c r="B4116" s="124" t="n"/>
      <c r="C4116" s="123" t="n"/>
      <c r="D4116" s="123" t="n"/>
      <c r="E4116" s="123" t="n"/>
      <c r="F4116" s="125" t="n"/>
      <c r="G4116" s="123" t="n"/>
      <c r="H4116" s="123" t="n"/>
      <c r="I4116" s="123" t="n"/>
      <c r="J4116" s="123" t="n"/>
      <c r="K4116" s="123" t="n"/>
      <c r="L4116" s="123" t="n"/>
      <c r="M4116" s="123">
        <f>IF(AND(B4116&lt;&gt;"",OR($C$4="",ISNUMBER(SEARCH($C$4,C4116&amp;" "&amp;E4116&amp;" "&amp;G4116&amp;" "&amp;H4116&amp;" "&amp;I4116&amp;" "&amp;J4116&amp;" "&amp;K4116&amp;" "&amp;L4116))),OR($C$5="Semua",$C$5="",G4116=$C$5),OR($C$6="Semua",$C$6="",H4116=$C$6,H4116="Pengeluaran "&amp;$C$6,AND($C$6="Uang Kos Mama",H4116="Pengeluaran Uang Kos")),OR($C$7="Semua",$C$7="",I4116=$C$7),OR($C$8="Semua",$C$8="",C4116=$C$8,E4116=$C$8),OR($C$9="Semua",$C$9="",D4116=$C$9),OR($C$10="",B4116&gt;=$C$10),OR($C$11="",B4116&lt;=$C$11),OR($C$12&lt;&gt;"Ya",K4116&lt;&gt;""),OR($C$13="Semua",$C$13="",L4116=$C$13)),"✓","")</f>
        <v/>
      </c>
      <c r="N4116" s="93">
        <f>N(N4115)+IF(M4116="✓",1,0)</f>
        <v/>
      </c>
      <c r="O4116" s="93">
        <f>N(O4115)+IF(AND(B4116&lt;&gt;"",B4116&gt;='Uang Riba'!$H$30,B4116&lt;='Uang Riba'!$I$30,OR(H4116="Dana riba",H4116="Pinjam uang riba",I4116="Pinjam dari uang riba",I4116="Ganti uang riba",I4116="Kelebihan ganti dikembalikan",AND(C4116="Kantong Uang Riba",G4116="Pengeluaran"))),1,0)</f>
        <v/>
      </c>
      <c r="X4116" s="93">
        <f>IF(AND(B4116&lt;&gt;"",B4116&gt;='Buku Akun'!$H$4,B4116&lt;='Buku Akun'!$H$5,OR(C4116='Buku Akun'!$C$4,AND(D4116="Pindah",E4116='Buku Akun'!$C$4))),B4116+IF(AND(I4116="Selisih bunga",DAY(B4116)=1),0,0.01)+ROW()/10000000,"")</f>
        <v/>
      </c>
    </row>
    <row r="4117" outlineLevel="1" ht="15" customHeight="1" s="94">
      <c r="A4117" s="123">
        <f>IF(B4117="","",ROW()-15)</f>
        <v/>
      </c>
      <c r="B4117" s="124" t="n"/>
      <c r="C4117" s="123" t="n"/>
      <c r="D4117" s="123" t="n"/>
      <c r="E4117" s="123" t="n"/>
      <c r="F4117" s="125" t="n"/>
      <c r="G4117" s="123" t="n"/>
      <c r="H4117" s="123" t="n"/>
      <c r="I4117" s="123" t="n"/>
      <c r="J4117" s="123" t="n"/>
      <c r="K4117" s="123" t="n"/>
      <c r="L4117" s="123" t="n"/>
      <c r="M4117" s="123">
        <f>IF(AND(B4117&lt;&gt;"",OR($C$4="",ISNUMBER(SEARCH($C$4,C4117&amp;" "&amp;E4117&amp;" "&amp;G4117&amp;" "&amp;H4117&amp;" "&amp;I4117&amp;" "&amp;J4117&amp;" "&amp;K4117&amp;" "&amp;L4117))),OR($C$5="Semua",$C$5="",G4117=$C$5),OR($C$6="Semua",$C$6="",H4117=$C$6,H4117="Pengeluaran "&amp;$C$6,AND($C$6="Uang Kos Mama",H4117="Pengeluaran Uang Kos")),OR($C$7="Semua",$C$7="",I4117=$C$7),OR($C$8="Semua",$C$8="",C4117=$C$8,E4117=$C$8),OR($C$9="Semua",$C$9="",D4117=$C$9),OR($C$10="",B4117&gt;=$C$10),OR($C$11="",B4117&lt;=$C$11),OR($C$12&lt;&gt;"Ya",K4117&lt;&gt;""),OR($C$13="Semua",$C$13="",L4117=$C$13)),"✓","")</f>
        <v/>
      </c>
      <c r="N4117" s="93">
        <f>N(N4116)+IF(M4117="✓",1,0)</f>
        <v/>
      </c>
      <c r="O4117" s="93">
        <f>N(O4116)+IF(AND(B4117&lt;&gt;"",B4117&gt;='Uang Riba'!$H$30,B4117&lt;='Uang Riba'!$I$30,OR(H4117="Dana riba",H4117="Pinjam uang riba",I4117="Pinjam dari uang riba",I4117="Ganti uang riba",I4117="Kelebihan ganti dikembalikan",AND(C4117="Kantong Uang Riba",G4117="Pengeluaran"))),1,0)</f>
        <v/>
      </c>
      <c r="X4117" s="93">
        <f>IF(AND(B4117&lt;&gt;"",B4117&gt;='Buku Akun'!$H$4,B4117&lt;='Buku Akun'!$H$5,OR(C4117='Buku Akun'!$C$4,AND(D4117="Pindah",E4117='Buku Akun'!$C$4))),B4117+IF(AND(I4117="Selisih bunga",DAY(B4117)=1),0,0.01)+ROW()/10000000,"")</f>
        <v/>
      </c>
    </row>
    <row r="4118" outlineLevel="1" ht="15" customHeight="1" s="94">
      <c r="A4118" s="123">
        <f>IF(B4118="","",ROW()-15)</f>
        <v/>
      </c>
      <c r="B4118" s="124" t="n"/>
      <c r="C4118" s="123" t="n"/>
      <c r="D4118" s="123" t="n"/>
      <c r="E4118" s="123" t="n"/>
      <c r="F4118" s="125" t="n"/>
      <c r="G4118" s="123" t="n"/>
      <c r="H4118" s="123" t="n"/>
      <c r="I4118" s="123" t="n"/>
      <c r="J4118" s="123" t="n"/>
      <c r="K4118" s="123" t="n"/>
      <c r="L4118" s="123" t="n"/>
      <c r="M4118" s="123">
        <f>IF(AND(B4118&lt;&gt;"",OR($C$4="",ISNUMBER(SEARCH($C$4,C4118&amp;" "&amp;E4118&amp;" "&amp;G4118&amp;" "&amp;H4118&amp;" "&amp;I4118&amp;" "&amp;J4118&amp;" "&amp;K4118&amp;" "&amp;L4118))),OR($C$5="Semua",$C$5="",G4118=$C$5),OR($C$6="Semua",$C$6="",H4118=$C$6,H4118="Pengeluaran "&amp;$C$6,AND($C$6="Uang Kos Mama",H4118="Pengeluaran Uang Kos")),OR($C$7="Semua",$C$7="",I4118=$C$7),OR($C$8="Semua",$C$8="",C4118=$C$8,E4118=$C$8),OR($C$9="Semua",$C$9="",D4118=$C$9),OR($C$10="",B4118&gt;=$C$10),OR($C$11="",B4118&lt;=$C$11),OR($C$12&lt;&gt;"Ya",K4118&lt;&gt;""),OR($C$13="Semua",$C$13="",L4118=$C$13)),"✓","")</f>
        <v/>
      </c>
      <c r="N4118" s="93">
        <f>N(N4117)+IF(M4118="✓",1,0)</f>
        <v/>
      </c>
      <c r="O4118" s="93">
        <f>N(O4117)+IF(AND(B4118&lt;&gt;"",B4118&gt;='Uang Riba'!$H$30,B4118&lt;='Uang Riba'!$I$30,OR(H4118="Dana riba",H4118="Pinjam uang riba",I4118="Pinjam dari uang riba",I4118="Ganti uang riba",I4118="Kelebihan ganti dikembalikan",AND(C4118="Kantong Uang Riba",G4118="Pengeluaran"))),1,0)</f>
        <v/>
      </c>
      <c r="X4118" s="93">
        <f>IF(AND(B4118&lt;&gt;"",B4118&gt;='Buku Akun'!$H$4,B4118&lt;='Buku Akun'!$H$5,OR(C4118='Buku Akun'!$C$4,AND(D4118="Pindah",E4118='Buku Akun'!$C$4))),B4118+IF(AND(I4118="Selisih bunga",DAY(B4118)=1),0,0.01)+ROW()/10000000,"")</f>
        <v/>
      </c>
    </row>
    <row r="4119" outlineLevel="1" ht="15" customHeight="1" s="94">
      <c r="A4119" s="123">
        <f>IF(B4119="","",ROW()-15)</f>
        <v/>
      </c>
      <c r="B4119" s="124" t="n"/>
      <c r="C4119" s="123" t="n"/>
      <c r="D4119" s="123" t="n"/>
      <c r="E4119" s="123" t="n"/>
      <c r="F4119" s="125" t="n"/>
      <c r="G4119" s="123" t="n"/>
      <c r="H4119" s="123" t="n"/>
      <c r="I4119" s="123" t="n"/>
      <c r="J4119" s="123" t="n"/>
      <c r="K4119" s="123" t="n"/>
      <c r="L4119" s="123" t="n"/>
      <c r="M4119" s="123">
        <f>IF(AND(B4119&lt;&gt;"",OR($C$4="",ISNUMBER(SEARCH($C$4,C4119&amp;" "&amp;E4119&amp;" "&amp;G4119&amp;" "&amp;H4119&amp;" "&amp;I4119&amp;" "&amp;J4119&amp;" "&amp;K4119&amp;" "&amp;L4119))),OR($C$5="Semua",$C$5="",G4119=$C$5),OR($C$6="Semua",$C$6="",H4119=$C$6,H4119="Pengeluaran "&amp;$C$6,AND($C$6="Uang Kos Mama",H4119="Pengeluaran Uang Kos")),OR($C$7="Semua",$C$7="",I4119=$C$7),OR($C$8="Semua",$C$8="",C4119=$C$8,E4119=$C$8),OR($C$9="Semua",$C$9="",D4119=$C$9),OR($C$10="",B4119&gt;=$C$10),OR($C$11="",B4119&lt;=$C$11),OR($C$12&lt;&gt;"Ya",K4119&lt;&gt;""),OR($C$13="Semua",$C$13="",L4119=$C$13)),"✓","")</f>
        <v/>
      </c>
      <c r="N4119" s="93">
        <f>N(N4118)+IF(M4119="✓",1,0)</f>
        <v/>
      </c>
      <c r="O4119" s="93">
        <f>N(O4118)+IF(AND(B4119&lt;&gt;"",B4119&gt;='Uang Riba'!$H$30,B4119&lt;='Uang Riba'!$I$30,OR(H4119="Dana riba",H4119="Pinjam uang riba",I4119="Pinjam dari uang riba",I4119="Ganti uang riba",I4119="Kelebihan ganti dikembalikan",AND(C4119="Kantong Uang Riba",G4119="Pengeluaran"))),1,0)</f>
        <v/>
      </c>
      <c r="X4119" s="93">
        <f>IF(AND(B4119&lt;&gt;"",B4119&gt;='Buku Akun'!$H$4,B4119&lt;='Buku Akun'!$H$5,OR(C4119='Buku Akun'!$C$4,AND(D4119="Pindah",E4119='Buku Akun'!$C$4))),B4119+IF(AND(I4119="Selisih bunga",DAY(B4119)=1),0,0.01)+ROW()/10000000,"")</f>
        <v/>
      </c>
    </row>
    <row r="4120" outlineLevel="1" ht="15" customHeight="1" s="94">
      <c r="A4120" s="123">
        <f>IF(B4120="","",ROW()-15)</f>
        <v/>
      </c>
      <c r="B4120" s="124" t="n"/>
      <c r="C4120" s="123" t="n"/>
      <c r="D4120" s="123" t="n"/>
      <c r="E4120" s="123" t="n"/>
      <c r="F4120" s="125" t="n"/>
      <c r="G4120" s="123" t="n"/>
      <c r="H4120" s="123" t="n"/>
      <c r="I4120" s="123" t="n"/>
      <c r="J4120" s="123" t="n"/>
      <c r="K4120" s="123" t="n"/>
      <c r="L4120" s="123" t="n"/>
      <c r="M4120" s="123">
        <f>IF(AND(B4120&lt;&gt;"",OR($C$4="",ISNUMBER(SEARCH($C$4,C4120&amp;" "&amp;E4120&amp;" "&amp;G4120&amp;" "&amp;H4120&amp;" "&amp;I4120&amp;" "&amp;J4120&amp;" "&amp;K4120&amp;" "&amp;L4120))),OR($C$5="Semua",$C$5="",G4120=$C$5),OR($C$6="Semua",$C$6="",H4120=$C$6,H4120="Pengeluaran "&amp;$C$6,AND($C$6="Uang Kos Mama",H4120="Pengeluaran Uang Kos")),OR($C$7="Semua",$C$7="",I4120=$C$7),OR($C$8="Semua",$C$8="",C4120=$C$8,E4120=$C$8),OR($C$9="Semua",$C$9="",D4120=$C$9),OR($C$10="",B4120&gt;=$C$10),OR($C$11="",B4120&lt;=$C$11),OR($C$12&lt;&gt;"Ya",K4120&lt;&gt;""),OR($C$13="Semua",$C$13="",L4120=$C$13)),"✓","")</f>
        <v/>
      </c>
      <c r="N4120" s="93">
        <f>N(N4119)+IF(M4120="✓",1,0)</f>
        <v/>
      </c>
      <c r="O4120" s="93">
        <f>N(O4119)+IF(AND(B4120&lt;&gt;"",B4120&gt;='Uang Riba'!$H$30,B4120&lt;='Uang Riba'!$I$30,OR(H4120="Dana riba",H4120="Pinjam uang riba",I4120="Pinjam dari uang riba",I4120="Ganti uang riba",I4120="Kelebihan ganti dikembalikan",AND(C4120="Kantong Uang Riba",G4120="Pengeluaran"))),1,0)</f>
        <v/>
      </c>
      <c r="X4120" s="93">
        <f>IF(AND(B4120&lt;&gt;"",B4120&gt;='Buku Akun'!$H$4,B4120&lt;='Buku Akun'!$H$5,OR(C4120='Buku Akun'!$C$4,AND(D4120="Pindah",E4120='Buku Akun'!$C$4))),B4120+IF(AND(I4120="Selisih bunga",DAY(B4120)=1),0,0.01)+ROW()/10000000,"")</f>
        <v/>
      </c>
    </row>
    <row r="4121" outlineLevel="1" ht="15" customHeight="1" s="94">
      <c r="A4121" s="123">
        <f>IF(B4121="","",ROW()-15)</f>
        <v/>
      </c>
      <c r="B4121" s="124" t="n"/>
      <c r="C4121" s="123" t="n"/>
      <c r="D4121" s="123" t="n"/>
      <c r="E4121" s="123" t="n"/>
      <c r="F4121" s="125" t="n"/>
      <c r="G4121" s="123" t="n"/>
      <c r="H4121" s="123" t="n"/>
      <c r="I4121" s="123" t="n"/>
      <c r="J4121" s="123" t="n"/>
      <c r="K4121" s="123" t="n"/>
      <c r="L4121" s="123" t="n"/>
      <c r="M4121" s="123">
        <f>IF(AND(B4121&lt;&gt;"",OR($C$4="",ISNUMBER(SEARCH($C$4,C4121&amp;" "&amp;E4121&amp;" "&amp;G4121&amp;" "&amp;H4121&amp;" "&amp;I4121&amp;" "&amp;J4121&amp;" "&amp;K4121&amp;" "&amp;L4121))),OR($C$5="Semua",$C$5="",G4121=$C$5),OR($C$6="Semua",$C$6="",H4121=$C$6,H4121="Pengeluaran "&amp;$C$6,AND($C$6="Uang Kos Mama",H4121="Pengeluaran Uang Kos")),OR($C$7="Semua",$C$7="",I4121=$C$7),OR($C$8="Semua",$C$8="",C4121=$C$8,E4121=$C$8),OR($C$9="Semua",$C$9="",D4121=$C$9),OR($C$10="",B4121&gt;=$C$10),OR($C$11="",B4121&lt;=$C$11),OR($C$12&lt;&gt;"Ya",K4121&lt;&gt;""),OR($C$13="Semua",$C$13="",L4121=$C$13)),"✓","")</f>
        <v/>
      </c>
      <c r="N4121" s="93">
        <f>N(N4120)+IF(M4121="✓",1,0)</f>
        <v/>
      </c>
      <c r="O4121" s="93">
        <f>N(O4120)+IF(AND(B4121&lt;&gt;"",B4121&gt;='Uang Riba'!$H$30,B4121&lt;='Uang Riba'!$I$30,OR(H4121="Dana riba",H4121="Pinjam uang riba",I4121="Pinjam dari uang riba",I4121="Ganti uang riba",I4121="Kelebihan ganti dikembalikan",AND(C4121="Kantong Uang Riba",G4121="Pengeluaran"))),1,0)</f>
        <v/>
      </c>
      <c r="X4121" s="93">
        <f>IF(AND(B4121&lt;&gt;"",B4121&gt;='Buku Akun'!$H$4,B4121&lt;='Buku Akun'!$H$5,OR(C4121='Buku Akun'!$C$4,AND(D4121="Pindah",E4121='Buku Akun'!$C$4))),B4121+IF(AND(I4121="Selisih bunga",DAY(B4121)=1),0,0.01)+ROW()/10000000,"")</f>
        <v/>
      </c>
    </row>
    <row r="4122" outlineLevel="1" ht="15" customHeight="1" s="94">
      <c r="A4122" s="123">
        <f>IF(B4122="","",ROW()-15)</f>
        <v/>
      </c>
      <c r="B4122" s="124" t="n"/>
      <c r="C4122" s="123" t="n"/>
      <c r="D4122" s="123" t="n"/>
      <c r="E4122" s="123" t="n"/>
      <c r="F4122" s="125" t="n"/>
      <c r="G4122" s="123" t="n"/>
      <c r="H4122" s="123" t="n"/>
      <c r="I4122" s="123" t="n"/>
      <c r="J4122" s="123" t="n"/>
      <c r="K4122" s="123" t="n"/>
      <c r="L4122" s="123" t="n"/>
      <c r="M4122" s="123">
        <f>IF(AND(B4122&lt;&gt;"",OR($C$4="",ISNUMBER(SEARCH($C$4,C4122&amp;" "&amp;E4122&amp;" "&amp;G4122&amp;" "&amp;H4122&amp;" "&amp;I4122&amp;" "&amp;J4122&amp;" "&amp;K4122&amp;" "&amp;L4122))),OR($C$5="Semua",$C$5="",G4122=$C$5),OR($C$6="Semua",$C$6="",H4122=$C$6,H4122="Pengeluaran "&amp;$C$6,AND($C$6="Uang Kos Mama",H4122="Pengeluaran Uang Kos")),OR($C$7="Semua",$C$7="",I4122=$C$7),OR($C$8="Semua",$C$8="",C4122=$C$8,E4122=$C$8),OR($C$9="Semua",$C$9="",D4122=$C$9),OR($C$10="",B4122&gt;=$C$10),OR($C$11="",B4122&lt;=$C$11),OR($C$12&lt;&gt;"Ya",K4122&lt;&gt;""),OR($C$13="Semua",$C$13="",L4122=$C$13)),"✓","")</f>
        <v/>
      </c>
      <c r="N4122" s="93">
        <f>N(N4121)+IF(M4122="✓",1,0)</f>
        <v/>
      </c>
      <c r="O4122" s="93">
        <f>N(O4121)+IF(AND(B4122&lt;&gt;"",B4122&gt;='Uang Riba'!$H$30,B4122&lt;='Uang Riba'!$I$30,OR(H4122="Dana riba",H4122="Pinjam uang riba",I4122="Pinjam dari uang riba",I4122="Ganti uang riba",I4122="Kelebihan ganti dikembalikan",AND(C4122="Kantong Uang Riba",G4122="Pengeluaran"))),1,0)</f>
        <v/>
      </c>
      <c r="X4122" s="93">
        <f>IF(AND(B4122&lt;&gt;"",B4122&gt;='Buku Akun'!$H$4,B4122&lt;='Buku Akun'!$H$5,OR(C4122='Buku Akun'!$C$4,AND(D4122="Pindah",E4122='Buku Akun'!$C$4))),B4122+IF(AND(I4122="Selisih bunga",DAY(B4122)=1),0,0.01)+ROW()/10000000,"")</f>
        <v/>
      </c>
    </row>
    <row r="4123" outlineLevel="1" ht="15" customHeight="1" s="94">
      <c r="A4123" s="123">
        <f>IF(B4123="","",ROW()-15)</f>
        <v/>
      </c>
      <c r="B4123" s="124" t="n"/>
      <c r="C4123" s="123" t="n"/>
      <c r="D4123" s="123" t="n"/>
      <c r="E4123" s="123" t="n"/>
      <c r="F4123" s="125" t="n"/>
      <c r="G4123" s="123" t="n"/>
      <c r="H4123" s="123" t="n"/>
      <c r="I4123" s="123" t="n"/>
      <c r="J4123" s="123" t="n"/>
      <c r="K4123" s="123" t="n"/>
      <c r="L4123" s="123" t="n"/>
      <c r="M4123" s="123">
        <f>IF(AND(B4123&lt;&gt;"",OR($C$4="",ISNUMBER(SEARCH($C$4,C4123&amp;" "&amp;E4123&amp;" "&amp;G4123&amp;" "&amp;H4123&amp;" "&amp;I4123&amp;" "&amp;J4123&amp;" "&amp;K4123&amp;" "&amp;L4123))),OR($C$5="Semua",$C$5="",G4123=$C$5),OR($C$6="Semua",$C$6="",H4123=$C$6,H4123="Pengeluaran "&amp;$C$6,AND($C$6="Uang Kos Mama",H4123="Pengeluaran Uang Kos")),OR($C$7="Semua",$C$7="",I4123=$C$7),OR($C$8="Semua",$C$8="",C4123=$C$8,E4123=$C$8),OR($C$9="Semua",$C$9="",D4123=$C$9),OR($C$10="",B4123&gt;=$C$10),OR($C$11="",B4123&lt;=$C$11),OR($C$12&lt;&gt;"Ya",K4123&lt;&gt;""),OR($C$13="Semua",$C$13="",L4123=$C$13)),"✓","")</f>
        <v/>
      </c>
      <c r="N4123" s="93">
        <f>N(N4122)+IF(M4123="✓",1,0)</f>
        <v/>
      </c>
      <c r="O4123" s="93">
        <f>N(O4122)+IF(AND(B4123&lt;&gt;"",B4123&gt;='Uang Riba'!$H$30,B4123&lt;='Uang Riba'!$I$30,OR(H4123="Dana riba",H4123="Pinjam uang riba",I4123="Pinjam dari uang riba",I4123="Ganti uang riba",I4123="Kelebihan ganti dikembalikan",AND(C4123="Kantong Uang Riba",G4123="Pengeluaran"))),1,0)</f>
        <v/>
      </c>
      <c r="X4123" s="93">
        <f>IF(AND(B4123&lt;&gt;"",B4123&gt;='Buku Akun'!$H$4,B4123&lt;='Buku Akun'!$H$5,OR(C4123='Buku Akun'!$C$4,AND(D4123="Pindah",E4123='Buku Akun'!$C$4))),B4123+IF(AND(I4123="Selisih bunga",DAY(B4123)=1),0,0.01)+ROW()/10000000,"")</f>
        <v/>
      </c>
    </row>
    <row r="4124" outlineLevel="1" ht="15" customHeight="1" s="94">
      <c r="A4124" s="123">
        <f>IF(B4124="","",ROW()-15)</f>
        <v/>
      </c>
      <c r="B4124" s="124" t="n"/>
      <c r="C4124" s="123" t="n"/>
      <c r="D4124" s="123" t="n"/>
      <c r="E4124" s="123" t="n"/>
      <c r="F4124" s="125" t="n"/>
      <c r="G4124" s="123" t="n"/>
      <c r="H4124" s="123" t="n"/>
      <c r="I4124" s="123" t="n"/>
      <c r="J4124" s="123" t="n"/>
      <c r="K4124" s="123" t="n"/>
      <c r="L4124" s="123" t="n"/>
      <c r="M4124" s="123">
        <f>IF(AND(B4124&lt;&gt;"",OR($C$4="",ISNUMBER(SEARCH($C$4,C4124&amp;" "&amp;E4124&amp;" "&amp;G4124&amp;" "&amp;H4124&amp;" "&amp;I4124&amp;" "&amp;J4124&amp;" "&amp;K4124&amp;" "&amp;L4124))),OR($C$5="Semua",$C$5="",G4124=$C$5),OR($C$6="Semua",$C$6="",H4124=$C$6,H4124="Pengeluaran "&amp;$C$6,AND($C$6="Uang Kos Mama",H4124="Pengeluaran Uang Kos")),OR($C$7="Semua",$C$7="",I4124=$C$7),OR($C$8="Semua",$C$8="",C4124=$C$8,E4124=$C$8),OR($C$9="Semua",$C$9="",D4124=$C$9),OR($C$10="",B4124&gt;=$C$10),OR($C$11="",B4124&lt;=$C$11),OR($C$12&lt;&gt;"Ya",K4124&lt;&gt;""),OR($C$13="Semua",$C$13="",L4124=$C$13)),"✓","")</f>
        <v/>
      </c>
      <c r="N4124" s="93">
        <f>N(N4123)+IF(M4124="✓",1,0)</f>
        <v/>
      </c>
      <c r="O4124" s="93">
        <f>N(O4123)+IF(AND(B4124&lt;&gt;"",B4124&gt;='Uang Riba'!$H$30,B4124&lt;='Uang Riba'!$I$30,OR(H4124="Dana riba",H4124="Pinjam uang riba",I4124="Pinjam dari uang riba",I4124="Ganti uang riba",I4124="Kelebihan ganti dikembalikan",AND(C4124="Kantong Uang Riba",G4124="Pengeluaran"))),1,0)</f>
        <v/>
      </c>
      <c r="X4124" s="93">
        <f>IF(AND(B4124&lt;&gt;"",B4124&gt;='Buku Akun'!$H$4,B4124&lt;='Buku Akun'!$H$5,OR(C4124='Buku Akun'!$C$4,AND(D4124="Pindah",E4124='Buku Akun'!$C$4))),B4124+IF(AND(I4124="Selisih bunga",DAY(B4124)=1),0,0.01)+ROW()/10000000,"")</f>
        <v/>
      </c>
    </row>
    <row r="4125" outlineLevel="1" ht="15" customHeight="1" s="94">
      <c r="A4125" s="123">
        <f>IF(B4125="","",ROW()-15)</f>
        <v/>
      </c>
      <c r="B4125" s="124" t="n"/>
      <c r="C4125" s="123" t="n"/>
      <c r="D4125" s="123" t="n"/>
      <c r="E4125" s="123" t="n"/>
      <c r="F4125" s="125" t="n"/>
      <c r="G4125" s="123" t="n"/>
      <c r="H4125" s="123" t="n"/>
      <c r="I4125" s="123" t="n"/>
      <c r="J4125" s="123" t="n"/>
      <c r="K4125" s="123" t="n"/>
      <c r="L4125" s="123" t="n"/>
      <c r="M4125" s="123">
        <f>IF(AND(B4125&lt;&gt;"",OR($C$4="",ISNUMBER(SEARCH($C$4,C4125&amp;" "&amp;E4125&amp;" "&amp;G4125&amp;" "&amp;H4125&amp;" "&amp;I4125&amp;" "&amp;J4125&amp;" "&amp;K4125&amp;" "&amp;L4125))),OR($C$5="Semua",$C$5="",G4125=$C$5),OR($C$6="Semua",$C$6="",H4125=$C$6,H4125="Pengeluaran "&amp;$C$6,AND($C$6="Uang Kos Mama",H4125="Pengeluaran Uang Kos")),OR($C$7="Semua",$C$7="",I4125=$C$7),OR($C$8="Semua",$C$8="",C4125=$C$8,E4125=$C$8),OR($C$9="Semua",$C$9="",D4125=$C$9),OR($C$10="",B4125&gt;=$C$10),OR($C$11="",B4125&lt;=$C$11),OR($C$12&lt;&gt;"Ya",K4125&lt;&gt;""),OR($C$13="Semua",$C$13="",L4125=$C$13)),"✓","")</f>
        <v/>
      </c>
      <c r="N4125" s="93">
        <f>N(N4124)+IF(M4125="✓",1,0)</f>
        <v/>
      </c>
      <c r="O4125" s="93">
        <f>N(O4124)+IF(AND(B4125&lt;&gt;"",B4125&gt;='Uang Riba'!$H$30,B4125&lt;='Uang Riba'!$I$30,OR(H4125="Dana riba",H4125="Pinjam uang riba",I4125="Pinjam dari uang riba",I4125="Ganti uang riba",I4125="Kelebihan ganti dikembalikan",AND(C4125="Kantong Uang Riba",G4125="Pengeluaran"))),1,0)</f>
        <v/>
      </c>
      <c r="X4125" s="93">
        <f>IF(AND(B4125&lt;&gt;"",B4125&gt;='Buku Akun'!$H$4,B4125&lt;='Buku Akun'!$H$5,OR(C4125='Buku Akun'!$C$4,AND(D4125="Pindah",E4125='Buku Akun'!$C$4))),B4125+IF(AND(I4125="Selisih bunga",DAY(B4125)=1),0,0.01)+ROW()/10000000,"")</f>
        <v/>
      </c>
    </row>
    <row r="4126" outlineLevel="1" ht="15" customHeight="1" s="94">
      <c r="A4126" s="123">
        <f>IF(B4126="","",ROW()-15)</f>
        <v/>
      </c>
      <c r="B4126" s="124" t="n"/>
      <c r="C4126" s="123" t="n"/>
      <c r="D4126" s="123" t="n"/>
      <c r="E4126" s="123" t="n"/>
      <c r="F4126" s="125" t="n"/>
      <c r="G4126" s="123" t="n"/>
      <c r="H4126" s="123" t="n"/>
      <c r="I4126" s="123" t="n"/>
      <c r="J4126" s="123" t="n"/>
      <c r="K4126" s="123" t="n"/>
      <c r="L4126" s="123" t="n"/>
      <c r="M4126" s="123">
        <f>IF(AND(B4126&lt;&gt;"",OR($C$4="",ISNUMBER(SEARCH($C$4,C4126&amp;" "&amp;E4126&amp;" "&amp;G4126&amp;" "&amp;H4126&amp;" "&amp;I4126&amp;" "&amp;J4126&amp;" "&amp;K4126&amp;" "&amp;L4126))),OR($C$5="Semua",$C$5="",G4126=$C$5),OR($C$6="Semua",$C$6="",H4126=$C$6,H4126="Pengeluaran "&amp;$C$6,AND($C$6="Uang Kos Mama",H4126="Pengeluaran Uang Kos")),OR($C$7="Semua",$C$7="",I4126=$C$7),OR($C$8="Semua",$C$8="",C4126=$C$8,E4126=$C$8),OR($C$9="Semua",$C$9="",D4126=$C$9),OR($C$10="",B4126&gt;=$C$10),OR($C$11="",B4126&lt;=$C$11),OR($C$12&lt;&gt;"Ya",K4126&lt;&gt;""),OR($C$13="Semua",$C$13="",L4126=$C$13)),"✓","")</f>
        <v/>
      </c>
      <c r="N4126" s="93">
        <f>N(N4125)+IF(M4126="✓",1,0)</f>
        <v/>
      </c>
      <c r="O4126" s="93">
        <f>N(O4125)+IF(AND(B4126&lt;&gt;"",B4126&gt;='Uang Riba'!$H$30,B4126&lt;='Uang Riba'!$I$30,OR(H4126="Dana riba",H4126="Pinjam uang riba",I4126="Pinjam dari uang riba",I4126="Ganti uang riba",I4126="Kelebihan ganti dikembalikan",AND(C4126="Kantong Uang Riba",G4126="Pengeluaran"))),1,0)</f>
        <v/>
      </c>
      <c r="X4126" s="93">
        <f>IF(AND(B4126&lt;&gt;"",B4126&gt;='Buku Akun'!$H$4,B4126&lt;='Buku Akun'!$H$5,OR(C4126='Buku Akun'!$C$4,AND(D4126="Pindah",E4126='Buku Akun'!$C$4))),B4126+IF(AND(I4126="Selisih bunga",DAY(B4126)=1),0,0.01)+ROW()/10000000,"")</f>
        <v/>
      </c>
    </row>
    <row r="4127" outlineLevel="1" ht="15" customHeight="1" s="94">
      <c r="A4127" s="123">
        <f>IF(B4127="","",ROW()-15)</f>
        <v/>
      </c>
      <c r="B4127" s="124" t="n"/>
      <c r="C4127" s="123" t="n"/>
      <c r="D4127" s="123" t="n"/>
      <c r="E4127" s="123" t="n"/>
      <c r="F4127" s="125" t="n"/>
      <c r="G4127" s="123" t="n"/>
      <c r="H4127" s="123" t="n"/>
      <c r="I4127" s="123" t="n"/>
      <c r="J4127" s="123" t="n"/>
      <c r="K4127" s="123" t="n"/>
      <c r="L4127" s="123" t="n"/>
      <c r="M4127" s="123">
        <f>IF(AND(B4127&lt;&gt;"",OR($C$4="",ISNUMBER(SEARCH($C$4,C4127&amp;" "&amp;E4127&amp;" "&amp;G4127&amp;" "&amp;H4127&amp;" "&amp;I4127&amp;" "&amp;J4127&amp;" "&amp;K4127&amp;" "&amp;L4127))),OR($C$5="Semua",$C$5="",G4127=$C$5),OR($C$6="Semua",$C$6="",H4127=$C$6,H4127="Pengeluaran "&amp;$C$6,AND($C$6="Uang Kos Mama",H4127="Pengeluaran Uang Kos")),OR($C$7="Semua",$C$7="",I4127=$C$7),OR($C$8="Semua",$C$8="",C4127=$C$8,E4127=$C$8),OR($C$9="Semua",$C$9="",D4127=$C$9),OR($C$10="",B4127&gt;=$C$10),OR($C$11="",B4127&lt;=$C$11),OR($C$12&lt;&gt;"Ya",K4127&lt;&gt;""),OR($C$13="Semua",$C$13="",L4127=$C$13)),"✓","")</f>
        <v/>
      </c>
      <c r="N4127" s="93">
        <f>N(N4126)+IF(M4127="✓",1,0)</f>
        <v/>
      </c>
      <c r="O4127" s="93">
        <f>N(O4126)+IF(AND(B4127&lt;&gt;"",B4127&gt;='Uang Riba'!$H$30,B4127&lt;='Uang Riba'!$I$30,OR(H4127="Dana riba",H4127="Pinjam uang riba",I4127="Pinjam dari uang riba",I4127="Ganti uang riba",I4127="Kelebihan ganti dikembalikan",AND(C4127="Kantong Uang Riba",G4127="Pengeluaran"))),1,0)</f>
        <v/>
      </c>
      <c r="X4127" s="93">
        <f>IF(AND(B4127&lt;&gt;"",B4127&gt;='Buku Akun'!$H$4,B4127&lt;='Buku Akun'!$H$5,OR(C4127='Buku Akun'!$C$4,AND(D4127="Pindah",E4127='Buku Akun'!$C$4))),B4127+IF(AND(I4127="Selisih bunga",DAY(B4127)=1),0,0.01)+ROW()/10000000,"")</f>
        <v/>
      </c>
    </row>
    <row r="4128" outlineLevel="1" ht="15" customHeight="1" s="94">
      <c r="A4128" s="123">
        <f>IF(B4128="","",ROW()-15)</f>
        <v/>
      </c>
      <c r="B4128" s="124" t="n"/>
      <c r="C4128" s="123" t="n"/>
      <c r="D4128" s="123" t="n"/>
      <c r="E4128" s="123" t="n"/>
      <c r="F4128" s="125" t="n"/>
      <c r="G4128" s="123" t="n"/>
      <c r="H4128" s="123" t="n"/>
      <c r="I4128" s="123" t="n"/>
      <c r="J4128" s="123" t="n"/>
      <c r="K4128" s="123" t="n"/>
      <c r="L4128" s="123" t="n"/>
      <c r="M4128" s="123">
        <f>IF(AND(B4128&lt;&gt;"",OR($C$4="",ISNUMBER(SEARCH($C$4,C4128&amp;" "&amp;E4128&amp;" "&amp;G4128&amp;" "&amp;H4128&amp;" "&amp;I4128&amp;" "&amp;J4128&amp;" "&amp;K4128&amp;" "&amp;L4128))),OR($C$5="Semua",$C$5="",G4128=$C$5),OR($C$6="Semua",$C$6="",H4128=$C$6,H4128="Pengeluaran "&amp;$C$6,AND($C$6="Uang Kos Mama",H4128="Pengeluaran Uang Kos")),OR($C$7="Semua",$C$7="",I4128=$C$7),OR($C$8="Semua",$C$8="",C4128=$C$8,E4128=$C$8),OR($C$9="Semua",$C$9="",D4128=$C$9),OR($C$10="",B4128&gt;=$C$10),OR($C$11="",B4128&lt;=$C$11),OR($C$12&lt;&gt;"Ya",K4128&lt;&gt;""),OR($C$13="Semua",$C$13="",L4128=$C$13)),"✓","")</f>
        <v/>
      </c>
      <c r="N4128" s="93">
        <f>N(N4127)+IF(M4128="✓",1,0)</f>
        <v/>
      </c>
      <c r="O4128" s="93">
        <f>N(O4127)+IF(AND(B4128&lt;&gt;"",B4128&gt;='Uang Riba'!$H$30,B4128&lt;='Uang Riba'!$I$30,OR(H4128="Dana riba",H4128="Pinjam uang riba",I4128="Pinjam dari uang riba",I4128="Ganti uang riba",I4128="Kelebihan ganti dikembalikan",AND(C4128="Kantong Uang Riba",G4128="Pengeluaran"))),1,0)</f>
        <v/>
      </c>
      <c r="X4128" s="93">
        <f>IF(AND(B4128&lt;&gt;"",B4128&gt;='Buku Akun'!$H$4,B4128&lt;='Buku Akun'!$H$5,OR(C4128='Buku Akun'!$C$4,AND(D4128="Pindah",E4128='Buku Akun'!$C$4))),B4128+IF(AND(I4128="Selisih bunga",DAY(B4128)=1),0,0.01)+ROW()/10000000,"")</f>
        <v/>
      </c>
    </row>
    <row r="4129" outlineLevel="1" ht="15" customHeight="1" s="94">
      <c r="A4129" s="123">
        <f>IF(B4129="","",ROW()-15)</f>
        <v/>
      </c>
      <c r="B4129" s="124" t="n"/>
      <c r="C4129" s="123" t="n"/>
      <c r="D4129" s="123" t="n"/>
      <c r="E4129" s="123" t="n"/>
      <c r="F4129" s="125" t="n"/>
      <c r="G4129" s="123" t="n"/>
      <c r="H4129" s="123" t="n"/>
      <c r="I4129" s="123" t="n"/>
      <c r="J4129" s="123" t="n"/>
      <c r="K4129" s="123" t="n"/>
      <c r="L4129" s="123" t="n"/>
      <c r="M4129" s="123">
        <f>IF(AND(B4129&lt;&gt;"",OR($C$4="",ISNUMBER(SEARCH($C$4,C4129&amp;" "&amp;E4129&amp;" "&amp;G4129&amp;" "&amp;H4129&amp;" "&amp;I4129&amp;" "&amp;J4129&amp;" "&amp;K4129&amp;" "&amp;L4129))),OR($C$5="Semua",$C$5="",G4129=$C$5),OR($C$6="Semua",$C$6="",H4129=$C$6,H4129="Pengeluaran "&amp;$C$6,AND($C$6="Uang Kos Mama",H4129="Pengeluaran Uang Kos")),OR($C$7="Semua",$C$7="",I4129=$C$7),OR($C$8="Semua",$C$8="",C4129=$C$8,E4129=$C$8),OR($C$9="Semua",$C$9="",D4129=$C$9),OR($C$10="",B4129&gt;=$C$10),OR($C$11="",B4129&lt;=$C$11),OR($C$12&lt;&gt;"Ya",K4129&lt;&gt;""),OR($C$13="Semua",$C$13="",L4129=$C$13)),"✓","")</f>
        <v/>
      </c>
      <c r="N4129" s="93">
        <f>N(N4128)+IF(M4129="✓",1,0)</f>
        <v/>
      </c>
      <c r="O4129" s="93">
        <f>N(O4128)+IF(AND(B4129&lt;&gt;"",B4129&gt;='Uang Riba'!$H$30,B4129&lt;='Uang Riba'!$I$30,OR(H4129="Dana riba",H4129="Pinjam uang riba",I4129="Pinjam dari uang riba",I4129="Ganti uang riba",I4129="Kelebihan ganti dikembalikan",AND(C4129="Kantong Uang Riba",G4129="Pengeluaran"))),1,0)</f>
        <v/>
      </c>
      <c r="X4129" s="93">
        <f>IF(AND(B4129&lt;&gt;"",B4129&gt;='Buku Akun'!$H$4,B4129&lt;='Buku Akun'!$H$5,OR(C4129='Buku Akun'!$C$4,AND(D4129="Pindah",E4129='Buku Akun'!$C$4))),B4129+IF(AND(I4129="Selisih bunga",DAY(B4129)=1),0,0.01)+ROW()/10000000,"")</f>
        <v/>
      </c>
    </row>
    <row r="4130" outlineLevel="1" ht="15" customHeight="1" s="94">
      <c r="A4130" s="123">
        <f>IF(B4130="","",ROW()-15)</f>
        <v/>
      </c>
      <c r="B4130" s="124" t="n"/>
      <c r="C4130" s="123" t="n"/>
      <c r="D4130" s="123" t="n"/>
      <c r="E4130" s="123" t="n"/>
      <c r="F4130" s="125" t="n"/>
      <c r="G4130" s="123" t="n"/>
      <c r="H4130" s="123" t="n"/>
      <c r="I4130" s="123" t="n"/>
      <c r="J4130" s="123" t="n"/>
      <c r="K4130" s="123" t="n"/>
      <c r="L4130" s="123" t="n"/>
      <c r="M4130" s="123">
        <f>IF(AND(B4130&lt;&gt;"",OR($C$4="",ISNUMBER(SEARCH($C$4,C4130&amp;" "&amp;E4130&amp;" "&amp;G4130&amp;" "&amp;H4130&amp;" "&amp;I4130&amp;" "&amp;J4130&amp;" "&amp;K4130&amp;" "&amp;L4130))),OR($C$5="Semua",$C$5="",G4130=$C$5),OR($C$6="Semua",$C$6="",H4130=$C$6,H4130="Pengeluaran "&amp;$C$6,AND($C$6="Uang Kos Mama",H4130="Pengeluaran Uang Kos")),OR($C$7="Semua",$C$7="",I4130=$C$7),OR($C$8="Semua",$C$8="",C4130=$C$8,E4130=$C$8),OR($C$9="Semua",$C$9="",D4130=$C$9),OR($C$10="",B4130&gt;=$C$10),OR($C$11="",B4130&lt;=$C$11),OR($C$12&lt;&gt;"Ya",K4130&lt;&gt;""),OR($C$13="Semua",$C$13="",L4130=$C$13)),"✓","")</f>
        <v/>
      </c>
      <c r="N4130" s="93">
        <f>N(N4129)+IF(M4130="✓",1,0)</f>
        <v/>
      </c>
      <c r="O4130" s="93">
        <f>N(O4129)+IF(AND(B4130&lt;&gt;"",B4130&gt;='Uang Riba'!$H$30,B4130&lt;='Uang Riba'!$I$30,OR(H4130="Dana riba",H4130="Pinjam uang riba",I4130="Pinjam dari uang riba",I4130="Ganti uang riba",I4130="Kelebihan ganti dikembalikan",AND(C4130="Kantong Uang Riba",G4130="Pengeluaran"))),1,0)</f>
        <v/>
      </c>
      <c r="X4130" s="93">
        <f>IF(AND(B4130&lt;&gt;"",B4130&gt;='Buku Akun'!$H$4,B4130&lt;='Buku Akun'!$H$5,OR(C4130='Buku Akun'!$C$4,AND(D4130="Pindah",E4130='Buku Akun'!$C$4))),B4130+IF(AND(I4130="Selisih bunga",DAY(B4130)=1),0,0.01)+ROW()/10000000,"")</f>
        <v/>
      </c>
    </row>
    <row r="4131" outlineLevel="1" ht="15" customHeight="1" s="94">
      <c r="A4131" s="123">
        <f>IF(B4131="","",ROW()-15)</f>
        <v/>
      </c>
      <c r="B4131" s="124" t="n"/>
      <c r="C4131" s="123" t="n"/>
      <c r="D4131" s="123" t="n"/>
      <c r="E4131" s="123" t="n"/>
      <c r="F4131" s="125" t="n"/>
      <c r="G4131" s="123" t="n"/>
      <c r="H4131" s="123" t="n"/>
      <c r="I4131" s="123" t="n"/>
      <c r="J4131" s="123" t="n"/>
      <c r="K4131" s="123" t="n"/>
      <c r="L4131" s="123" t="n"/>
      <c r="M4131" s="123">
        <f>IF(AND(B4131&lt;&gt;"",OR($C$4="",ISNUMBER(SEARCH($C$4,C4131&amp;" "&amp;E4131&amp;" "&amp;G4131&amp;" "&amp;H4131&amp;" "&amp;I4131&amp;" "&amp;J4131&amp;" "&amp;K4131&amp;" "&amp;L4131))),OR($C$5="Semua",$C$5="",G4131=$C$5),OR($C$6="Semua",$C$6="",H4131=$C$6,H4131="Pengeluaran "&amp;$C$6,AND($C$6="Uang Kos Mama",H4131="Pengeluaran Uang Kos")),OR($C$7="Semua",$C$7="",I4131=$C$7),OR($C$8="Semua",$C$8="",C4131=$C$8,E4131=$C$8),OR($C$9="Semua",$C$9="",D4131=$C$9),OR($C$10="",B4131&gt;=$C$10),OR($C$11="",B4131&lt;=$C$11),OR($C$12&lt;&gt;"Ya",K4131&lt;&gt;""),OR($C$13="Semua",$C$13="",L4131=$C$13)),"✓","")</f>
        <v/>
      </c>
      <c r="N4131" s="93">
        <f>N(N4130)+IF(M4131="✓",1,0)</f>
        <v/>
      </c>
      <c r="O4131" s="93">
        <f>N(O4130)+IF(AND(B4131&lt;&gt;"",B4131&gt;='Uang Riba'!$H$30,B4131&lt;='Uang Riba'!$I$30,OR(H4131="Dana riba",H4131="Pinjam uang riba",I4131="Pinjam dari uang riba",I4131="Ganti uang riba",I4131="Kelebihan ganti dikembalikan",AND(C4131="Kantong Uang Riba",G4131="Pengeluaran"))),1,0)</f>
        <v/>
      </c>
      <c r="X4131" s="93">
        <f>IF(AND(B4131&lt;&gt;"",B4131&gt;='Buku Akun'!$H$4,B4131&lt;='Buku Akun'!$H$5,OR(C4131='Buku Akun'!$C$4,AND(D4131="Pindah",E4131='Buku Akun'!$C$4))),B4131+IF(AND(I4131="Selisih bunga",DAY(B4131)=1),0,0.01)+ROW()/10000000,"")</f>
        <v/>
      </c>
    </row>
    <row r="4132" outlineLevel="1" ht="15" customHeight="1" s="94">
      <c r="A4132" s="123">
        <f>IF(B4132="","",ROW()-15)</f>
        <v/>
      </c>
      <c r="B4132" s="124" t="n"/>
      <c r="C4132" s="123" t="n"/>
      <c r="D4132" s="123" t="n"/>
      <c r="E4132" s="123" t="n"/>
      <c r="F4132" s="125" t="n"/>
      <c r="G4132" s="123" t="n"/>
      <c r="H4132" s="123" t="n"/>
      <c r="I4132" s="123" t="n"/>
      <c r="J4132" s="123" t="n"/>
      <c r="K4132" s="123" t="n"/>
      <c r="L4132" s="123" t="n"/>
      <c r="M4132" s="123">
        <f>IF(AND(B4132&lt;&gt;"",OR($C$4="",ISNUMBER(SEARCH($C$4,C4132&amp;" "&amp;E4132&amp;" "&amp;G4132&amp;" "&amp;H4132&amp;" "&amp;I4132&amp;" "&amp;J4132&amp;" "&amp;K4132&amp;" "&amp;L4132))),OR($C$5="Semua",$C$5="",G4132=$C$5),OR($C$6="Semua",$C$6="",H4132=$C$6,H4132="Pengeluaran "&amp;$C$6,AND($C$6="Uang Kos Mama",H4132="Pengeluaran Uang Kos")),OR($C$7="Semua",$C$7="",I4132=$C$7),OR($C$8="Semua",$C$8="",C4132=$C$8,E4132=$C$8),OR($C$9="Semua",$C$9="",D4132=$C$9),OR($C$10="",B4132&gt;=$C$10),OR($C$11="",B4132&lt;=$C$11),OR($C$12&lt;&gt;"Ya",K4132&lt;&gt;""),OR($C$13="Semua",$C$13="",L4132=$C$13)),"✓","")</f>
        <v/>
      </c>
      <c r="N4132" s="93">
        <f>N(N4131)+IF(M4132="✓",1,0)</f>
        <v/>
      </c>
      <c r="O4132" s="93">
        <f>N(O4131)+IF(AND(B4132&lt;&gt;"",B4132&gt;='Uang Riba'!$H$30,B4132&lt;='Uang Riba'!$I$30,OR(H4132="Dana riba",H4132="Pinjam uang riba",I4132="Pinjam dari uang riba",I4132="Ganti uang riba",I4132="Kelebihan ganti dikembalikan",AND(C4132="Kantong Uang Riba",G4132="Pengeluaran"))),1,0)</f>
        <v/>
      </c>
      <c r="X4132" s="93">
        <f>IF(AND(B4132&lt;&gt;"",B4132&gt;='Buku Akun'!$H$4,B4132&lt;='Buku Akun'!$H$5,OR(C4132='Buku Akun'!$C$4,AND(D4132="Pindah",E4132='Buku Akun'!$C$4))),B4132+IF(AND(I4132="Selisih bunga",DAY(B4132)=1),0,0.01)+ROW()/10000000,"")</f>
        <v/>
      </c>
    </row>
    <row r="4133" outlineLevel="1" ht="15" customHeight="1" s="94">
      <c r="A4133" s="123">
        <f>IF(B4133="","",ROW()-15)</f>
        <v/>
      </c>
      <c r="B4133" s="124" t="n"/>
      <c r="C4133" s="123" t="n"/>
      <c r="D4133" s="123" t="n"/>
      <c r="E4133" s="123" t="n"/>
      <c r="F4133" s="125" t="n"/>
      <c r="G4133" s="123" t="n"/>
      <c r="H4133" s="123" t="n"/>
      <c r="I4133" s="123" t="n"/>
      <c r="J4133" s="123" t="n"/>
      <c r="K4133" s="123" t="n"/>
      <c r="L4133" s="123" t="n"/>
      <c r="M4133" s="123">
        <f>IF(AND(B4133&lt;&gt;"",OR($C$4="",ISNUMBER(SEARCH($C$4,C4133&amp;" "&amp;E4133&amp;" "&amp;G4133&amp;" "&amp;H4133&amp;" "&amp;I4133&amp;" "&amp;J4133&amp;" "&amp;K4133&amp;" "&amp;L4133))),OR($C$5="Semua",$C$5="",G4133=$C$5),OR($C$6="Semua",$C$6="",H4133=$C$6,H4133="Pengeluaran "&amp;$C$6,AND($C$6="Uang Kos Mama",H4133="Pengeluaran Uang Kos")),OR($C$7="Semua",$C$7="",I4133=$C$7),OR($C$8="Semua",$C$8="",C4133=$C$8,E4133=$C$8),OR($C$9="Semua",$C$9="",D4133=$C$9),OR($C$10="",B4133&gt;=$C$10),OR($C$11="",B4133&lt;=$C$11),OR($C$12&lt;&gt;"Ya",K4133&lt;&gt;""),OR($C$13="Semua",$C$13="",L4133=$C$13)),"✓","")</f>
        <v/>
      </c>
      <c r="N4133" s="93">
        <f>N(N4132)+IF(M4133="✓",1,0)</f>
        <v/>
      </c>
      <c r="O4133" s="93">
        <f>N(O4132)+IF(AND(B4133&lt;&gt;"",B4133&gt;='Uang Riba'!$H$30,B4133&lt;='Uang Riba'!$I$30,OR(H4133="Dana riba",H4133="Pinjam uang riba",I4133="Pinjam dari uang riba",I4133="Ganti uang riba",I4133="Kelebihan ganti dikembalikan",AND(C4133="Kantong Uang Riba",G4133="Pengeluaran"))),1,0)</f>
        <v/>
      </c>
      <c r="X4133" s="93">
        <f>IF(AND(B4133&lt;&gt;"",B4133&gt;='Buku Akun'!$H$4,B4133&lt;='Buku Akun'!$H$5,OR(C4133='Buku Akun'!$C$4,AND(D4133="Pindah",E4133='Buku Akun'!$C$4))),B4133+IF(AND(I4133="Selisih bunga",DAY(B4133)=1),0,0.01)+ROW()/10000000,"")</f>
        <v/>
      </c>
    </row>
    <row r="4134" outlineLevel="1" ht="15" customHeight="1" s="94">
      <c r="A4134" s="123">
        <f>IF(B4134="","",ROW()-15)</f>
        <v/>
      </c>
      <c r="B4134" s="124" t="n"/>
      <c r="C4134" s="123" t="n"/>
      <c r="D4134" s="123" t="n"/>
      <c r="E4134" s="123" t="n"/>
      <c r="F4134" s="125" t="n"/>
      <c r="G4134" s="123" t="n"/>
      <c r="H4134" s="123" t="n"/>
      <c r="I4134" s="123" t="n"/>
      <c r="J4134" s="123" t="n"/>
      <c r="K4134" s="123" t="n"/>
      <c r="L4134" s="123" t="n"/>
      <c r="M4134" s="123">
        <f>IF(AND(B4134&lt;&gt;"",OR($C$4="",ISNUMBER(SEARCH($C$4,C4134&amp;" "&amp;E4134&amp;" "&amp;G4134&amp;" "&amp;H4134&amp;" "&amp;I4134&amp;" "&amp;J4134&amp;" "&amp;K4134&amp;" "&amp;L4134))),OR($C$5="Semua",$C$5="",G4134=$C$5),OR($C$6="Semua",$C$6="",H4134=$C$6,H4134="Pengeluaran "&amp;$C$6,AND($C$6="Uang Kos Mama",H4134="Pengeluaran Uang Kos")),OR($C$7="Semua",$C$7="",I4134=$C$7),OR($C$8="Semua",$C$8="",C4134=$C$8,E4134=$C$8),OR($C$9="Semua",$C$9="",D4134=$C$9),OR($C$10="",B4134&gt;=$C$10),OR($C$11="",B4134&lt;=$C$11),OR($C$12&lt;&gt;"Ya",K4134&lt;&gt;""),OR($C$13="Semua",$C$13="",L4134=$C$13)),"✓","")</f>
        <v/>
      </c>
      <c r="N4134" s="93">
        <f>N(N4133)+IF(M4134="✓",1,0)</f>
        <v/>
      </c>
      <c r="O4134" s="93">
        <f>N(O4133)+IF(AND(B4134&lt;&gt;"",B4134&gt;='Uang Riba'!$H$30,B4134&lt;='Uang Riba'!$I$30,OR(H4134="Dana riba",H4134="Pinjam uang riba",I4134="Pinjam dari uang riba",I4134="Ganti uang riba",I4134="Kelebihan ganti dikembalikan",AND(C4134="Kantong Uang Riba",G4134="Pengeluaran"))),1,0)</f>
        <v/>
      </c>
      <c r="X4134" s="93">
        <f>IF(AND(B4134&lt;&gt;"",B4134&gt;='Buku Akun'!$H$4,B4134&lt;='Buku Akun'!$H$5,OR(C4134='Buku Akun'!$C$4,AND(D4134="Pindah",E4134='Buku Akun'!$C$4))),B4134+IF(AND(I4134="Selisih bunga",DAY(B4134)=1),0,0.01)+ROW()/10000000,"")</f>
        <v/>
      </c>
    </row>
    <row r="4135" outlineLevel="1" ht="15" customHeight="1" s="94">
      <c r="A4135" s="123">
        <f>IF(B4135="","",ROW()-15)</f>
        <v/>
      </c>
      <c r="B4135" s="124" t="n"/>
      <c r="C4135" s="123" t="n"/>
      <c r="D4135" s="123" t="n"/>
      <c r="E4135" s="123" t="n"/>
      <c r="F4135" s="125" t="n"/>
      <c r="G4135" s="123" t="n"/>
      <c r="H4135" s="123" t="n"/>
      <c r="I4135" s="123" t="n"/>
      <c r="J4135" s="123" t="n"/>
      <c r="K4135" s="123" t="n"/>
      <c r="L4135" s="123" t="n"/>
      <c r="M4135" s="123">
        <f>IF(AND(B4135&lt;&gt;"",OR($C$4="",ISNUMBER(SEARCH($C$4,C4135&amp;" "&amp;E4135&amp;" "&amp;G4135&amp;" "&amp;H4135&amp;" "&amp;I4135&amp;" "&amp;J4135&amp;" "&amp;K4135&amp;" "&amp;L4135))),OR($C$5="Semua",$C$5="",G4135=$C$5),OR($C$6="Semua",$C$6="",H4135=$C$6,H4135="Pengeluaran "&amp;$C$6,AND($C$6="Uang Kos Mama",H4135="Pengeluaran Uang Kos")),OR($C$7="Semua",$C$7="",I4135=$C$7),OR($C$8="Semua",$C$8="",C4135=$C$8,E4135=$C$8),OR($C$9="Semua",$C$9="",D4135=$C$9),OR($C$10="",B4135&gt;=$C$10),OR($C$11="",B4135&lt;=$C$11),OR($C$12&lt;&gt;"Ya",K4135&lt;&gt;""),OR($C$13="Semua",$C$13="",L4135=$C$13)),"✓","")</f>
        <v/>
      </c>
      <c r="N4135" s="93">
        <f>N(N4134)+IF(M4135="✓",1,0)</f>
        <v/>
      </c>
      <c r="O4135" s="93">
        <f>N(O4134)+IF(AND(B4135&lt;&gt;"",B4135&gt;='Uang Riba'!$H$30,B4135&lt;='Uang Riba'!$I$30,OR(H4135="Dana riba",H4135="Pinjam uang riba",I4135="Pinjam dari uang riba",I4135="Ganti uang riba",I4135="Kelebihan ganti dikembalikan",AND(C4135="Kantong Uang Riba",G4135="Pengeluaran"))),1,0)</f>
        <v/>
      </c>
      <c r="X4135" s="93">
        <f>IF(AND(B4135&lt;&gt;"",B4135&gt;='Buku Akun'!$H$4,B4135&lt;='Buku Akun'!$H$5,OR(C4135='Buku Akun'!$C$4,AND(D4135="Pindah",E4135='Buku Akun'!$C$4))),B4135+IF(AND(I4135="Selisih bunga",DAY(B4135)=1),0,0.01)+ROW()/10000000,"")</f>
        <v/>
      </c>
    </row>
    <row r="4136" outlineLevel="1" ht="15" customHeight="1" s="94">
      <c r="A4136" s="123">
        <f>IF(B4136="","",ROW()-15)</f>
        <v/>
      </c>
      <c r="B4136" s="124" t="n"/>
      <c r="C4136" s="123" t="n"/>
      <c r="D4136" s="123" t="n"/>
      <c r="E4136" s="123" t="n"/>
      <c r="F4136" s="125" t="n"/>
      <c r="G4136" s="123" t="n"/>
      <c r="H4136" s="123" t="n"/>
      <c r="I4136" s="123" t="n"/>
      <c r="J4136" s="123" t="n"/>
      <c r="K4136" s="123" t="n"/>
      <c r="L4136" s="123" t="n"/>
      <c r="M4136" s="123">
        <f>IF(AND(B4136&lt;&gt;"",OR($C$4="",ISNUMBER(SEARCH($C$4,C4136&amp;" "&amp;E4136&amp;" "&amp;G4136&amp;" "&amp;H4136&amp;" "&amp;I4136&amp;" "&amp;J4136&amp;" "&amp;K4136&amp;" "&amp;L4136))),OR($C$5="Semua",$C$5="",G4136=$C$5),OR($C$6="Semua",$C$6="",H4136=$C$6,H4136="Pengeluaran "&amp;$C$6,AND($C$6="Uang Kos Mama",H4136="Pengeluaran Uang Kos")),OR($C$7="Semua",$C$7="",I4136=$C$7),OR($C$8="Semua",$C$8="",C4136=$C$8,E4136=$C$8),OR($C$9="Semua",$C$9="",D4136=$C$9),OR($C$10="",B4136&gt;=$C$10),OR($C$11="",B4136&lt;=$C$11),OR($C$12&lt;&gt;"Ya",K4136&lt;&gt;""),OR($C$13="Semua",$C$13="",L4136=$C$13)),"✓","")</f>
        <v/>
      </c>
      <c r="N4136" s="93">
        <f>N(N4135)+IF(M4136="✓",1,0)</f>
        <v/>
      </c>
      <c r="O4136" s="93">
        <f>N(O4135)+IF(AND(B4136&lt;&gt;"",B4136&gt;='Uang Riba'!$H$30,B4136&lt;='Uang Riba'!$I$30,OR(H4136="Dana riba",H4136="Pinjam uang riba",I4136="Pinjam dari uang riba",I4136="Ganti uang riba",I4136="Kelebihan ganti dikembalikan",AND(C4136="Kantong Uang Riba",G4136="Pengeluaran"))),1,0)</f>
        <v/>
      </c>
      <c r="X4136" s="93">
        <f>IF(AND(B4136&lt;&gt;"",B4136&gt;='Buku Akun'!$H$4,B4136&lt;='Buku Akun'!$H$5,OR(C4136='Buku Akun'!$C$4,AND(D4136="Pindah",E4136='Buku Akun'!$C$4))),B4136+IF(AND(I4136="Selisih bunga",DAY(B4136)=1),0,0.01)+ROW()/10000000,"")</f>
        <v/>
      </c>
    </row>
    <row r="4137" outlineLevel="1" ht="15" customHeight="1" s="94">
      <c r="A4137" s="123">
        <f>IF(B4137="","",ROW()-15)</f>
        <v/>
      </c>
      <c r="B4137" s="124" t="n"/>
      <c r="C4137" s="123" t="n"/>
      <c r="D4137" s="123" t="n"/>
      <c r="E4137" s="123" t="n"/>
      <c r="F4137" s="125" t="n"/>
      <c r="G4137" s="123" t="n"/>
      <c r="H4137" s="123" t="n"/>
      <c r="I4137" s="123" t="n"/>
      <c r="J4137" s="123" t="n"/>
      <c r="K4137" s="123" t="n"/>
      <c r="L4137" s="123" t="n"/>
      <c r="M4137" s="123">
        <f>IF(AND(B4137&lt;&gt;"",OR($C$4="",ISNUMBER(SEARCH($C$4,C4137&amp;" "&amp;E4137&amp;" "&amp;G4137&amp;" "&amp;H4137&amp;" "&amp;I4137&amp;" "&amp;J4137&amp;" "&amp;K4137&amp;" "&amp;L4137))),OR($C$5="Semua",$C$5="",G4137=$C$5),OR($C$6="Semua",$C$6="",H4137=$C$6,H4137="Pengeluaran "&amp;$C$6,AND($C$6="Uang Kos Mama",H4137="Pengeluaran Uang Kos")),OR($C$7="Semua",$C$7="",I4137=$C$7),OR($C$8="Semua",$C$8="",C4137=$C$8,E4137=$C$8),OR($C$9="Semua",$C$9="",D4137=$C$9),OR($C$10="",B4137&gt;=$C$10),OR($C$11="",B4137&lt;=$C$11),OR($C$12&lt;&gt;"Ya",K4137&lt;&gt;""),OR($C$13="Semua",$C$13="",L4137=$C$13)),"✓","")</f>
        <v/>
      </c>
      <c r="N4137" s="93">
        <f>N(N4136)+IF(M4137="✓",1,0)</f>
        <v/>
      </c>
      <c r="O4137" s="93">
        <f>N(O4136)+IF(AND(B4137&lt;&gt;"",B4137&gt;='Uang Riba'!$H$30,B4137&lt;='Uang Riba'!$I$30,OR(H4137="Dana riba",H4137="Pinjam uang riba",I4137="Pinjam dari uang riba",I4137="Ganti uang riba",I4137="Kelebihan ganti dikembalikan",AND(C4137="Kantong Uang Riba",G4137="Pengeluaran"))),1,0)</f>
        <v/>
      </c>
      <c r="X4137" s="93">
        <f>IF(AND(B4137&lt;&gt;"",B4137&gt;='Buku Akun'!$H$4,B4137&lt;='Buku Akun'!$H$5,OR(C4137='Buku Akun'!$C$4,AND(D4137="Pindah",E4137='Buku Akun'!$C$4))),B4137+IF(AND(I4137="Selisih bunga",DAY(B4137)=1),0,0.01)+ROW()/10000000,"")</f>
        <v/>
      </c>
    </row>
    <row r="4138" outlineLevel="1" ht="15" customHeight="1" s="94">
      <c r="A4138" s="123">
        <f>IF(B4138="","",ROW()-15)</f>
        <v/>
      </c>
      <c r="B4138" s="124" t="n"/>
      <c r="C4138" s="123" t="n"/>
      <c r="D4138" s="123" t="n"/>
      <c r="E4138" s="123" t="n"/>
      <c r="F4138" s="125" t="n"/>
      <c r="G4138" s="123" t="n"/>
      <c r="H4138" s="123" t="n"/>
      <c r="I4138" s="123" t="n"/>
      <c r="J4138" s="123" t="n"/>
      <c r="K4138" s="123" t="n"/>
      <c r="L4138" s="123" t="n"/>
      <c r="M4138" s="123">
        <f>IF(AND(B4138&lt;&gt;"",OR($C$4="",ISNUMBER(SEARCH($C$4,C4138&amp;" "&amp;E4138&amp;" "&amp;G4138&amp;" "&amp;H4138&amp;" "&amp;I4138&amp;" "&amp;J4138&amp;" "&amp;K4138&amp;" "&amp;L4138))),OR($C$5="Semua",$C$5="",G4138=$C$5),OR($C$6="Semua",$C$6="",H4138=$C$6,H4138="Pengeluaran "&amp;$C$6,AND($C$6="Uang Kos Mama",H4138="Pengeluaran Uang Kos")),OR($C$7="Semua",$C$7="",I4138=$C$7),OR($C$8="Semua",$C$8="",C4138=$C$8,E4138=$C$8),OR($C$9="Semua",$C$9="",D4138=$C$9),OR($C$10="",B4138&gt;=$C$10),OR($C$11="",B4138&lt;=$C$11),OR($C$12&lt;&gt;"Ya",K4138&lt;&gt;""),OR($C$13="Semua",$C$13="",L4138=$C$13)),"✓","")</f>
        <v/>
      </c>
      <c r="N4138" s="93">
        <f>N(N4137)+IF(M4138="✓",1,0)</f>
        <v/>
      </c>
      <c r="O4138" s="93">
        <f>N(O4137)+IF(AND(B4138&lt;&gt;"",B4138&gt;='Uang Riba'!$H$30,B4138&lt;='Uang Riba'!$I$30,OR(H4138="Dana riba",H4138="Pinjam uang riba",I4138="Pinjam dari uang riba",I4138="Ganti uang riba",I4138="Kelebihan ganti dikembalikan",AND(C4138="Kantong Uang Riba",G4138="Pengeluaran"))),1,0)</f>
        <v/>
      </c>
      <c r="X4138" s="93">
        <f>IF(AND(B4138&lt;&gt;"",B4138&gt;='Buku Akun'!$H$4,B4138&lt;='Buku Akun'!$H$5,OR(C4138='Buku Akun'!$C$4,AND(D4138="Pindah",E4138='Buku Akun'!$C$4))),B4138+IF(AND(I4138="Selisih bunga",DAY(B4138)=1),0,0.01)+ROW()/10000000,"")</f>
        <v/>
      </c>
    </row>
    <row r="4139" outlineLevel="1" ht="15" customHeight="1" s="94">
      <c r="A4139" s="123">
        <f>IF(B4139="","",ROW()-15)</f>
        <v/>
      </c>
      <c r="B4139" s="124" t="n"/>
      <c r="C4139" s="123" t="n"/>
      <c r="D4139" s="123" t="n"/>
      <c r="E4139" s="123" t="n"/>
      <c r="F4139" s="125" t="n"/>
      <c r="G4139" s="123" t="n"/>
      <c r="H4139" s="123" t="n"/>
      <c r="I4139" s="123" t="n"/>
      <c r="J4139" s="123" t="n"/>
      <c r="K4139" s="123" t="n"/>
      <c r="L4139" s="123" t="n"/>
      <c r="M4139" s="123">
        <f>IF(AND(B4139&lt;&gt;"",OR($C$4="",ISNUMBER(SEARCH($C$4,C4139&amp;" "&amp;E4139&amp;" "&amp;G4139&amp;" "&amp;H4139&amp;" "&amp;I4139&amp;" "&amp;J4139&amp;" "&amp;K4139&amp;" "&amp;L4139))),OR($C$5="Semua",$C$5="",G4139=$C$5),OR($C$6="Semua",$C$6="",H4139=$C$6,H4139="Pengeluaran "&amp;$C$6,AND($C$6="Uang Kos Mama",H4139="Pengeluaran Uang Kos")),OR($C$7="Semua",$C$7="",I4139=$C$7),OR($C$8="Semua",$C$8="",C4139=$C$8,E4139=$C$8),OR($C$9="Semua",$C$9="",D4139=$C$9),OR($C$10="",B4139&gt;=$C$10),OR($C$11="",B4139&lt;=$C$11),OR($C$12&lt;&gt;"Ya",K4139&lt;&gt;""),OR($C$13="Semua",$C$13="",L4139=$C$13)),"✓","")</f>
        <v/>
      </c>
      <c r="N4139" s="93">
        <f>N(N4138)+IF(M4139="✓",1,0)</f>
        <v/>
      </c>
      <c r="O4139" s="93">
        <f>N(O4138)+IF(AND(B4139&lt;&gt;"",B4139&gt;='Uang Riba'!$H$30,B4139&lt;='Uang Riba'!$I$30,OR(H4139="Dana riba",H4139="Pinjam uang riba",I4139="Pinjam dari uang riba",I4139="Ganti uang riba",I4139="Kelebihan ganti dikembalikan",AND(C4139="Kantong Uang Riba",G4139="Pengeluaran"))),1,0)</f>
        <v/>
      </c>
      <c r="X4139" s="93">
        <f>IF(AND(B4139&lt;&gt;"",B4139&gt;='Buku Akun'!$H$4,B4139&lt;='Buku Akun'!$H$5,OR(C4139='Buku Akun'!$C$4,AND(D4139="Pindah",E4139='Buku Akun'!$C$4))),B4139+IF(AND(I4139="Selisih bunga",DAY(B4139)=1),0,0.01)+ROW()/10000000,"")</f>
        <v/>
      </c>
    </row>
    <row r="4140" outlineLevel="1" ht="15" customHeight="1" s="94">
      <c r="A4140" s="123">
        <f>IF(B4140="","",ROW()-15)</f>
        <v/>
      </c>
      <c r="B4140" s="124" t="n"/>
      <c r="C4140" s="123" t="n"/>
      <c r="D4140" s="123" t="n"/>
      <c r="E4140" s="123" t="n"/>
      <c r="F4140" s="125" t="n"/>
      <c r="G4140" s="123" t="n"/>
      <c r="H4140" s="123" t="n"/>
      <c r="I4140" s="123" t="n"/>
      <c r="J4140" s="123" t="n"/>
      <c r="K4140" s="123" t="n"/>
      <c r="L4140" s="123" t="n"/>
      <c r="M4140" s="123">
        <f>IF(AND(B4140&lt;&gt;"",OR($C$4="",ISNUMBER(SEARCH($C$4,C4140&amp;" "&amp;E4140&amp;" "&amp;G4140&amp;" "&amp;H4140&amp;" "&amp;I4140&amp;" "&amp;J4140&amp;" "&amp;K4140&amp;" "&amp;L4140))),OR($C$5="Semua",$C$5="",G4140=$C$5),OR($C$6="Semua",$C$6="",H4140=$C$6,H4140="Pengeluaran "&amp;$C$6,AND($C$6="Uang Kos Mama",H4140="Pengeluaran Uang Kos")),OR($C$7="Semua",$C$7="",I4140=$C$7),OR($C$8="Semua",$C$8="",C4140=$C$8,E4140=$C$8),OR($C$9="Semua",$C$9="",D4140=$C$9),OR($C$10="",B4140&gt;=$C$10),OR($C$11="",B4140&lt;=$C$11),OR($C$12&lt;&gt;"Ya",K4140&lt;&gt;""),OR($C$13="Semua",$C$13="",L4140=$C$13)),"✓","")</f>
        <v/>
      </c>
      <c r="N4140" s="93">
        <f>N(N4139)+IF(M4140="✓",1,0)</f>
        <v/>
      </c>
      <c r="O4140" s="93">
        <f>N(O4139)+IF(AND(B4140&lt;&gt;"",B4140&gt;='Uang Riba'!$H$30,B4140&lt;='Uang Riba'!$I$30,OR(H4140="Dana riba",H4140="Pinjam uang riba",I4140="Pinjam dari uang riba",I4140="Ganti uang riba",I4140="Kelebihan ganti dikembalikan",AND(C4140="Kantong Uang Riba",G4140="Pengeluaran"))),1,0)</f>
        <v/>
      </c>
      <c r="X4140" s="93">
        <f>IF(AND(B4140&lt;&gt;"",B4140&gt;='Buku Akun'!$H$4,B4140&lt;='Buku Akun'!$H$5,OR(C4140='Buku Akun'!$C$4,AND(D4140="Pindah",E4140='Buku Akun'!$C$4))),B4140+IF(AND(I4140="Selisih bunga",DAY(B4140)=1),0,0.01)+ROW()/10000000,"")</f>
        <v/>
      </c>
    </row>
    <row r="4141" outlineLevel="1" ht="15" customHeight="1" s="94">
      <c r="A4141" s="123">
        <f>IF(B4141="","",ROW()-15)</f>
        <v/>
      </c>
      <c r="B4141" s="124" t="n"/>
      <c r="C4141" s="123" t="n"/>
      <c r="D4141" s="123" t="n"/>
      <c r="E4141" s="123" t="n"/>
      <c r="F4141" s="125" t="n"/>
      <c r="G4141" s="123" t="n"/>
      <c r="H4141" s="123" t="n"/>
      <c r="I4141" s="123" t="n"/>
      <c r="J4141" s="123" t="n"/>
      <c r="K4141" s="123" t="n"/>
      <c r="L4141" s="123" t="n"/>
      <c r="M4141" s="123">
        <f>IF(AND(B4141&lt;&gt;"",OR($C$4="",ISNUMBER(SEARCH($C$4,C4141&amp;" "&amp;E4141&amp;" "&amp;G4141&amp;" "&amp;H4141&amp;" "&amp;I4141&amp;" "&amp;J4141&amp;" "&amp;K4141&amp;" "&amp;L4141))),OR($C$5="Semua",$C$5="",G4141=$C$5),OR($C$6="Semua",$C$6="",H4141=$C$6,H4141="Pengeluaran "&amp;$C$6,AND($C$6="Uang Kos Mama",H4141="Pengeluaran Uang Kos")),OR($C$7="Semua",$C$7="",I4141=$C$7),OR($C$8="Semua",$C$8="",C4141=$C$8,E4141=$C$8),OR($C$9="Semua",$C$9="",D4141=$C$9),OR($C$10="",B4141&gt;=$C$10),OR($C$11="",B4141&lt;=$C$11),OR($C$12&lt;&gt;"Ya",K4141&lt;&gt;""),OR($C$13="Semua",$C$13="",L4141=$C$13)),"✓","")</f>
        <v/>
      </c>
      <c r="N4141" s="93">
        <f>N(N4140)+IF(M4141="✓",1,0)</f>
        <v/>
      </c>
      <c r="O4141" s="93">
        <f>N(O4140)+IF(AND(B4141&lt;&gt;"",B4141&gt;='Uang Riba'!$H$30,B4141&lt;='Uang Riba'!$I$30,OR(H4141="Dana riba",H4141="Pinjam uang riba",I4141="Pinjam dari uang riba",I4141="Ganti uang riba",I4141="Kelebihan ganti dikembalikan",AND(C4141="Kantong Uang Riba",G4141="Pengeluaran"))),1,0)</f>
        <v/>
      </c>
      <c r="X4141" s="93">
        <f>IF(AND(B4141&lt;&gt;"",B4141&gt;='Buku Akun'!$H$4,B4141&lt;='Buku Akun'!$H$5,OR(C4141='Buku Akun'!$C$4,AND(D4141="Pindah",E4141='Buku Akun'!$C$4))),B4141+IF(AND(I4141="Selisih bunga",DAY(B4141)=1),0,0.01)+ROW()/10000000,"")</f>
        <v/>
      </c>
    </row>
    <row r="4142" outlineLevel="1" ht="15" customHeight="1" s="94">
      <c r="A4142" s="123">
        <f>IF(B4142="","",ROW()-15)</f>
        <v/>
      </c>
      <c r="B4142" s="124" t="n"/>
      <c r="C4142" s="123" t="n"/>
      <c r="D4142" s="123" t="n"/>
      <c r="E4142" s="123" t="n"/>
      <c r="F4142" s="125" t="n"/>
      <c r="G4142" s="123" t="n"/>
      <c r="H4142" s="123" t="n"/>
      <c r="I4142" s="123" t="n"/>
      <c r="J4142" s="123" t="n"/>
      <c r="K4142" s="123" t="n"/>
      <c r="L4142" s="123" t="n"/>
      <c r="M4142" s="123">
        <f>IF(AND(B4142&lt;&gt;"",OR($C$4="",ISNUMBER(SEARCH($C$4,C4142&amp;" "&amp;E4142&amp;" "&amp;G4142&amp;" "&amp;H4142&amp;" "&amp;I4142&amp;" "&amp;J4142&amp;" "&amp;K4142&amp;" "&amp;L4142))),OR($C$5="Semua",$C$5="",G4142=$C$5),OR($C$6="Semua",$C$6="",H4142=$C$6,H4142="Pengeluaran "&amp;$C$6,AND($C$6="Uang Kos Mama",H4142="Pengeluaran Uang Kos")),OR($C$7="Semua",$C$7="",I4142=$C$7),OR($C$8="Semua",$C$8="",C4142=$C$8,E4142=$C$8),OR($C$9="Semua",$C$9="",D4142=$C$9),OR($C$10="",B4142&gt;=$C$10),OR($C$11="",B4142&lt;=$C$11),OR($C$12&lt;&gt;"Ya",K4142&lt;&gt;""),OR($C$13="Semua",$C$13="",L4142=$C$13)),"✓","")</f>
        <v/>
      </c>
      <c r="N4142" s="93">
        <f>N(N4141)+IF(M4142="✓",1,0)</f>
        <v/>
      </c>
      <c r="O4142" s="93">
        <f>N(O4141)+IF(AND(B4142&lt;&gt;"",B4142&gt;='Uang Riba'!$H$30,B4142&lt;='Uang Riba'!$I$30,OR(H4142="Dana riba",H4142="Pinjam uang riba",I4142="Pinjam dari uang riba",I4142="Ganti uang riba",I4142="Kelebihan ganti dikembalikan",AND(C4142="Kantong Uang Riba",G4142="Pengeluaran"))),1,0)</f>
        <v/>
      </c>
      <c r="X4142" s="93">
        <f>IF(AND(B4142&lt;&gt;"",B4142&gt;='Buku Akun'!$H$4,B4142&lt;='Buku Akun'!$H$5,OR(C4142='Buku Akun'!$C$4,AND(D4142="Pindah",E4142='Buku Akun'!$C$4))),B4142+IF(AND(I4142="Selisih bunga",DAY(B4142)=1),0,0.01)+ROW()/10000000,"")</f>
        <v/>
      </c>
    </row>
    <row r="4143" outlineLevel="1" ht="15" customHeight="1" s="94">
      <c r="A4143" s="123">
        <f>IF(B4143="","",ROW()-15)</f>
        <v/>
      </c>
      <c r="B4143" s="124" t="n"/>
      <c r="C4143" s="123" t="n"/>
      <c r="D4143" s="123" t="n"/>
      <c r="E4143" s="123" t="n"/>
      <c r="F4143" s="125" t="n"/>
      <c r="G4143" s="123" t="n"/>
      <c r="H4143" s="123" t="n"/>
      <c r="I4143" s="123" t="n"/>
      <c r="J4143" s="123" t="n"/>
      <c r="K4143" s="123" t="n"/>
      <c r="L4143" s="123" t="n"/>
      <c r="M4143" s="123">
        <f>IF(AND(B4143&lt;&gt;"",OR($C$4="",ISNUMBER(SEARCH($C$4,C4143&amp;" "&amp;E4143&amp;" "&amp;G4143&amp;" "&amp;H4143&amp;" "&amp;I4143&amp;" "&amp;J4143&amp;" "&amp;K4143&amp;" "&amp;L4143))),OR($C$5="Semua",$C$5="",G4143=$C$5),OR($C$6="Semua",$C$6="",H4143=$C$6,H4143="Pengeluaran "&amp;$C$6,AND($C$6="Uang Kos Mama",H4143="Pengeluaran Uang Kos")),OR($C$7="Semua",$C$7="",I4143=$C$7),OR($C$8="Semua",$C$8="",C4143=$C$8,E4143=$C$8),OR($C$9="Semua",$C$9="",D4143=$C$9),OR($C$10="",B4143&gt;=$C$10),OR($C$11="",B4143&lt;=$C$11),OR($C$12&lt;&gt;"Ya",K4143&lt;&gt;""),OR($C$13="Semua",$C$13="",L4143=$C$13)),"✓","")</f>
        <v/>
      </c>
      <c r="N4143" s="93">
        <f>N(N4142)+IF(M4143="✓",1,0)</f>
        <v/>
      </c>
      <c r="O4143" s="93">
        <f>N(O4142)+IF(AND(B4143&lt;&gt;"",B4143&gt;='Uang Riba'!$H$30,B4143&lt;='Uang Riba'!$I$30,OR(H4143="Dana riba",H4143="Pinjam uang riba",I4143="Pinjam dari uang riba",I4143="Ganti uang riba",I4143="Kelebihan ganti dikembalikan",AND(C4143="Kantong Uang Riba",G4143="Pengeluaran"))),1,0)</f>
        <v/>
      </c>
      <c r="X4143" s="93">
        <f>IF(AND(B4143&lt;&gt;"",B4143&gt;='Buku Akun'!$H$4,B4143&lt;='Buku Akun'!$H$5,OR(C4143='Buku Akun'!$C$4,AND(D4143="Pindah",E4143='Buku Akun'!$C$4))),B4143+IF(AND(I4143="Selisih bunga",DAY(B4143)=1),0,0.01)+ROW()/10000000,"")</f>
        <v/>
      </c>
    </row>
    <row r="4144" outlineLevel="1" ht="15" customHeight="1" s="94">
      <c r="A4144" s="123">
        <f>IF(B4144="","",ROW()-15)</f>
        <v/>
      </c>
      <c r="B4144" s="124" t="n"/>
      <c r="C4144" s="123" t="n"/>
      <c r="D4144" s="123" t="n"/>
      <c r="E4144" s="123" t="n"/>
      <c r="F4144" s="125" t="n"/>
      <c r="G4144" s="123" t="n"/>
      <c r="H4144" s="123" t="n"/>
      <c r="I4144" s="123" t="n"/>
      <c r="J4144" s="123" t="n"/>
      <c r="K4144" s="123" t="n"/>
      <c r="L4144" s="123" t="n"/>
      <c r="M4144" s="123">
        <f>IF(AND(B4144&lt;&gt;"",OR($C$4="",ISNUMBER(SEARCH($C$4,C4144&amp;" "&amp;E4144&amp;" "&amp;G4144&amp;" "&amp;H4144&amp;" "&amp;I4144&amp;" "&amp;J4144&amp;" "&amp;K4144&amp;" "&amp;L4144))),OR($C$5="Semua",$C$5="",G4144=$C$5),OR($C$6="Semua",$C$6="",H4144=$C$6,H4144="Pengeluaran "&amp;$C$6,AND($C$6="Uang Kos Mama",H4144="Pengeluaran Uang Kos")),OR($C$7="Semua",$C$7="",I4144=$C$7),OR($C$8="Semua",$C$8="",C4144=$C$8,E4144=$C$8),OR($C$9="Semua",$C$9="",D4144=$C$9),OR($C$10="",B4144&gt;=$C$10),OR($C$11="",B4144&lt;=$C$11),OR($C$12&lt;&gt;"Ya",K4144&lt;&gt;""),OR($C$13="Semua",$C$13="",L4144=$C$13)),"✓","")</f>
        <v/>
      </c>
      <c r="N4144" s="93">
        <f>N(N4143)+IF(M4144="✓",1,0)</f>
        <v/>
      </c>
      <c r="O4144" s="93">
        <f>N(O4143)+IF(AND(B4144&lt;&gt;"",B4144&gt;='Uang Riba'!$H$30,B4144&lt;='Uang Riba'!$I$30,OR(H4144="Dana riba",H4144="Pinjam uang riba",I4144="Pinjam dari uang riba",I4144="Ganti uang riba",I4144="Kelebihan ganti dikembalikan",AND(C4144="Kantong Uang Riba",G4144="Pengeluaran"))),1,0)</f>
        <v/>
      </c>
      <c r="X4144" s="93">
        <f>IF(AND(B4144&lt;&gt;"",B4144&gt;='Buku Akun'!$H$4,B4144&lt;='Buku Akun'!$H$5,OR(C4144='Buku Akun'!$C$4,AND(D4144="Pindah",E4144='Buku Akun'!$C$4))),B4144+IF(AND(I4144="Selisih bunga",DAY(B4144)=1),0,0.01)+ROW()/10000000,"")</f>
        <v/>
      </c>
    </row>
    <row r="4145" outlineLevel="1" ht="15" customHeight="1" s="94">
      <c r="A4145" s="123">
        <f>IF(B4145="","",ROW()-15)</f>
        <v/>
      </c>
      <c r="B4145" s="124" t="n"/>
      <c r="C4145" s="123" t="n"/>
      <c r="D4145" s="123" t="n"/>
      <c r="E4145" s="123" t="n"/>
      <c r="F4145" s="125" t="n"/>
      <c r="G4145" s="123" t="n"/>
      <c r="H4145" s="123" t="n"/>
      <c r="I4145" s="123" t="n"/>
      <c r="J4145" s="123" t="n"/>
      <c r="K4145" s="123" t="n"/>
      <c r="L4145" s="123" t="n"/>
      <c r="M4145" s="123">
        <f>IF(AND(B4145&lt;&gt;"",OR($C$4="",ISNUMBER(SEARCH($C$4,C4145&amp;" "&amp;E4145&amp;" "&amp;G4145&amp;" "&amp;H4145&amp;" "&amp;I4145&amp;" "&amp;J4145&amp;" "&amp;K4145&amp;" "&amp;L4145))),OR($C$5="Semua",$C$5="",G4145=$C$5),OR($C$6="Semua",$C$6="",H4145=$C$6,H4145="Pengeluaran "&amp;$C$6,AND($C$6="Uang Kos Mama",H4145="Pengeluaran Uang Kos")),OR($C$7="Semua",$C$7="",I4145=$C$7),OR($C$8="Semua",$C$8="",C4145=$C$8,E4145=$C$8),OR($C$9="Semua",$C$9="",D4145=$C$9),OR($C$10="",B4145&gt;=$C$10),OR($C$11="",B4145&lt;=$C$11),OR($C$12&lt;&gt;"Ya",K4145&lt;&gt;""),OR($C$13="Semua",$C$13="",L4145=$C$13)),"✓","")</f>
        <v/>
      </c>
      <c r="N4145" s="93">
        <f>N(N4144)+IF(M4145="✓",1,0)</f>
        <v/>
      </c>
      <c r="O4145" s="93">
        <f>N(O4144)+IF(AND(B4145&lt;&gt;"",B4145&gt;='Uang Riba'!$H$30,B4145&lt;='Uang Riba'!$I$30,OR(H4145="Dana riba",H4145="Pinjam uang riba",I4145="Pinjam dari uang riba",I4145="Ganti uang riba",I4145="Kelebihan ganti dikembalikan",AND(C4145="Kantong Uang Riba",G4145="Pengeluaran"))),1,0)</f>
        <v/>
      </c>
      <c r="X4145" s="93">
        <f>IF(AND(B4145&lt;&gt;"",B4145&gt;='Buku Akun'!$H$4,B4145&lt;='Buku Akun'!$H$5,OR(C4145='Buku Akun'!$C$4,AND(D4145="Pindah",E4145='Buku Akun'!$C$4))),B4145+IF(AND(I4145="Selisih bunga",DAY(B4145)=1),0,0.01)+ROW()/10000000,"")</f>
        <v/>
      </c>
    </row>
    <row r="4146" outlineLevel="1" ht="15" customHeight="1" s="94">
      <c r="A4146" s="123">
        <f>IF(B4146="","",ROW()-15)</f>
        <v/>
      </c>
      <c r="B4146" s="124" t="n"/>
      <c r="C4146" s="123" t="n"/>
      <c r="D4146" s="123" t="n"/>
      <c r="E4146" s="123" t="n"/>
      <c r="F4146" s="125" t="n"/>
      <c r="G4146" s="123" t="n"/>
      <c r="H4146" s="123" t="n"/>
      <c r="I4146" s="123" t="n"/>
      <c r="J4146" s="123" t="n"/>
      <c r="K4146" s="123" t="n"/>
      <c r="L4146" s="123" t="n"/>
      <c r="M4146" s="123">
        <f>IF(AND(B4146&lt;&gt;"",OR($C$4="",ISNUMBER(SEARCH($C$4,C4146&amp;" "&amp;E4146&amp;" "&amp;G4146&amp;" "&amp;H4146&amp;" "&amp;I4146&amp;" "&amp;J4146&amp;" "&amp;K4146&amp;" "&amp;L4146))),OR($C$5="Semua",$C$5="",G4146=$C$5),OR($C$6="Semua",$C$6="",H4146=$C$6,H4146="Pengeluaran "&amp;$C$6,AND($C$6="Uang Kos Mama",H4146="Pengeluaran Uang Kos")),OR($C$7="Semua",$C$7="",I4146=$C$7),OR($C$8="Semua",$C$8="",C4146=$C$8,E4146=$C$8),OR($C$9="Semua",$C$9="",D4146=$C$9),OR($C$10="",B4146&gt;=$C$10),OR($C$11="",B4146&lt;=$C$11),OR($C$12&lt;&gt;"Ya",K4146&lt;&gt;""),OR($C$13="Semua",$C$13="",L4146=$C$13)),"✓","")</f>
        <v/>
      </c>
      <c r="N4146" s="93">
        <f>N(N4145)+IF(M4146="✓",1,0)</f>
        <v/>
      </c>
      <c r="O4146" s="93">
        <f>N(O4145)+IF(AND(B4146&lt;&gt;"",B4146&gt;='Uang Riba'!$H$30,B4146&lt;='Uang Riba'!$I$30,OR(H4146="Dana riba",H4146="Pinjam uang riba",I4146="Pinjam dari uang riba",I4146="Ganti uang riba",I4146="Kelebihan ganti dikembalikan",AND(C4146="Kantong Uang Riba",G4146="Pengeluaran"))),1,0)</f>
        <v/>
      </c>
      <c r="X4146" s="93">
        <f>IF(AND(B4146&lt;&gt;"",B4146&gt;='Buku Akun'!$H$4,B4146&lt;='Buku Akun'!$H$5,OR(C4146='Buku Akun'!$C$4,AND(D4146="Pindah",E4146='Buku Akun'!$C$4))),B4146+IF(AND(I4146="Selisih bunga",DAY(B4146)=1),0,0.01)+ROW()/10000000,"")</f>
        <v/>
      </c>
    </row>
    <row r="4147" outlineLevel="1" ht="15" customHeight="1" s="94">
      <c r="A4147" s="123">
        <f>IF(B4147="","",ROW()-15)</f>
        <v/>
      </c>
      <c r="B4147" s="124" t="n"/>
      <c r="C4147" s="123" t="n"/>
      <c r="D4147" s="123" t="n"/>
      <c r="E4147" s="123" t="n"/>
      <c r="F4147" s="125" t="n"/>
      <c r="G4147" s="123" t="n"/>
      <c r="H4147" s="123" t="n"/>
      <c r="I4147" s="123" t="n"/>
      <c r="J4147" s="123" t="n"/>
      <c r="K4147" s="123" t="n"/>
      <c r="L4147" s="123" t="n"/>
      <c r="M4147" s="123">
        <f>IF(AND(B4147&lt;&gt;"",OR($C$4="",ISNUMBER(SEARCH($C$4,C4147&amp;" "&amp;E4147&amp;" "&amp;G4147&amp;" "&amp;H4147&amp;" "&amp;I4147&amp;" "&amp;J4147&amp;" "&amp;K4147&amp;" "&amp;L4147))),OR($C$5="Semua",$C$5="",G4147=$C$5),OR($C$6="Semua",$C$6="",H4147=$C$6,H4147="Pengeluaran "&amp;$C$6,AND($C$6="Uang Kos Mama",H4147="Pengeluaran Uang Kos")),OR($C$7="Semua",$C$7="",I4147=$C$7),OR($C$8="Semua",$C$8="",C4147=$C$8,E4147=$C$8),OR($C$9="Semua",$C$9="",D4147=$C$9),OR($C$10="",B4147&gt;=$C$10),OR($C$11="",B4147&lt;=$C$11),OR($C$12&lt;&gt;"Ya",K4147&lt;&gt;""),OR($C$13="Semua",$C$13="",L4147=$C$13)),"✓","")</f>
        <v/>
      </c>
      <c r="N4147" s="93">
        <f>N(N4146)+IF(M4147="✓",1,0)</f>
        <v/>
      </c>
      <c r="O4147" s="93">
        <f>N(O4146)+IF(AND(B4147&lt;&gt;"",B4147&gt;='Uang Riba'!$H$30,B4147&lt;='Uang Riba'!$I$30,OR(H4147="Dana riba",H4147="Pinjam uang riba",I4147="Pinjam dari uang riba",I4147="Ganti uang riba",I4147="Kelebihan ganti dikembalikan",AND(C4147="Kantong Uang Riba",G4147="Pengeluaran"))),1,0)</f>
        <v/>
      </c>
      <c r="X4147" s="93">
        <f>IF(AND(B4147&lt;&gt;"",B4147&gt;='Buku Akun'!$H$4,B4147&lt;='Buku Akun'!$H$5,OR(C4147='Buku Akun'!$C$4,AND(D4147="Pindah",E4147='Buku Akun'!$C$4))),B4147+IF(AND(I4147="Selisih bunga",DAY(B4147)=1),0,0.01)+ROW()/10000000,"")</f>
        <v/>
      </c>
    </row>
    <row r="4148" outlineLevel="1" ht="15" customHeight="1" s="94">
      <c r="A4148" s="123">
        <f>IF(B4148="","",ROW()-15)</f>
        <v/>
      </c>
      <c r="B4148" s="124" t="n"/>
      <c r="C4148" s="123" t="n"/>
      <c r="D4148" s="123" t="n"/>
      <c r="E4148" s="123" t="n"/>
      <c r="F4148" s="125" t="n"/>
      <c r="G4148" s="123" t="n"/>
      <c r="H4148" s="123" t="n"/>
      <c r="I4148" s="123" t="n"/>
      <c r="J4148" s="123" t="n"/>
      <c r="K4148" s="123" t="n"/>
      <c r="L4148" s="123" t="n"/>
      <c r="M4148" s="123">
        <f>IF(AND(B4148&lt;&gt;"",OR($C$4="",ISNUMBER(SEARCH($C$4,C4148&amp;" "&amp;E4148&amp;" "&amp;G4148&amp;" "&amp;H4148&amp;" "&amp;I4148&amp;" "&amp;J4148&amp;" "&amp;K4148&amp;" "&amp;L4148))),OR($C$5="Semua",$C$5="",G4148=$C$5),OR($C$6="Semua",$C$6="",H4148=$C$6,H4148="Pengeluaran "&amp;$C$6,AND($C$6="Uang Kos Mama",H4148="Pengeluaran Uang Kos")),OR($C$7="Semua",$C$7="",I4148=$C$7),OR($C$8="Semua",$C$8="",C4148=$C$8,E4148=$C$8),OR($C$9="Semua",$C$9="",D4148=$C$9),OR($C$10="",B4148&gt;=$C$10),OR($C$11="",B4148&lt;=$C$11),OR($C$12&lt;&gt;"Ya",K4148&lt;&gt;""),OR($C$13="Semua",$C$13="",L4148=$C$13)),"✓","")</f>
        <v/>
      </c>
      <c r="N4148" s="93">
        <f>N(N4147)+IF(M4148="✓",1,0)</f>
        <v/>
      </c>
      <c r="O4148" s="93">
        <f>N(O4147)+IF(AND(B4148&lt;&gt;"",B4148&gt;='Uang Riba'!$H$30,B4148&lt;='Uang Riba'!$I$30,OR(H4148="Dana riba",H4148="Pinjam uang riba",I4148="Pinjam dari uang riba",I4148="Ganti uang riba",I4148="Kelebihan ganti dikembalikan",AND(C4148="Kantong Uang Riba",G4148="Pengeluaran"))),1,0)</f>
        <v/>
      </c>
      <c r="X4148" s="93">
        <f>IF(AND(B4148&lt;&gt;"",B4148&gt;='Buku Akun'!$H$4,B4148&lt;='Buku Akun'!$H$5,OR(C4148='Buku Akun'!$C$4,AND(D4148="Pindah",E4148='Buku Akun'!$C$4))),B4148+IF(AND(I4148="Selisih bunga",DAY(B4148)=1),0,0.01)+ROW()/10000000,"")</f>
        <v/>
      </c>
    </row>
    <row r="4149" outlineLevel="1" ht="15" customHeight="1" s="94">
      <c r="A4149" s="123">
        <f>IF(B4149="","",ROW()-15)</f>
        <v/>
      </c>
      <c r="B4149" s="124" t="n"/>
      <c r="C4149" s="123" t="n"/>
      <c r="D4149" s="123" t="n"/>
      <c r="E4149" s="123" t="n"/>
      <c r="F4149" s="125" t="n"/>
      <c r="G4149" s="123" t="n"/>
      <c r="H4149" s="123" t="n"/>
      <c r="I4149" s="123" t="n"/>
      <c r="J4149" s="123" t="n"/>
      <c r="K4149" s="123" t="n"/>
      <c r="L4149" s="123" t="n"/>
      <c r="M4149" s="123">
        <f>IF(AND(B4149&lt;&gt;"",OR($C$4="",ISNUMBER(SEARCH($C$4,C4149&amp;" "&amp;E4149&amp;" "&amp;G4149&amp;" "&amp;H4149&amp;" "&amp;I4149&amp;" "&amp;J4149&amp;" "&amp;K4149&amp;" "&amp;L4149))),OR($C$5="Semua",$C$5="",G4149=$C$5),OR($C$6="Semua",$C$6="",H4149=$C$6,H4149="Pengeluaran "&amp;$C$6,AND($C$6="Uang Kos Mama",H4149="Pengeluaran Uang Kos")),OR($C$7="Semua",$C$7="",I4149=$C$7),OR($C$8="Semua",$C$8="",C4149=$C$8,E4149=$C$8),OR($C$9="Semua",$C$9="",D4149=$C$9),OR($C$10="",B4149&gt;=$C$10),OR($C$11="",B4149&lt;=$C$11),OR($C$12&lt;&gt;"Ya",K4149&lt;&gt;""),OR($C$13="Semua",$C$13="",L4149=$C$13)),"✓","")</f>
        <v/>
      </c>
      <c r="N4149" s="93">
        <f>N(N4148)+IF(M4149="✓",1,0)</f>
        <v/>
      </c>
      <c r="O4149" s="93">
        <f>N(O4148)+IF(AND(B4149&lt;&gt;"",B4149&gt;='Uang Riba'!$H$30,B4149&lt;='Uang Riba'!$I$30,OR(H4149="Dana riba",H4149="Pinjam uang riba",I4149="Pinjam dari uang riba",I4149="Ganti uang riba",I4149="Kelebihan ganti dikembalikan",AND(C4149="Kantong Uang Riba",G4149="Pengeluaran"))),1,0)</f>
        <v/>
      </c>
      <c r="X4149" s="93">
        <f>IF(AND(B4149&lt;&gt;"",B4149&gt;='Buku Akun'!$H$4,B4149&lt;='Buku Akun'!$H$5,OR(C4149='Buku Akun'!$C$4,AND(D4149="Pindah",E4149='Buku Akun'!$C$4))),B4149+IF(AND(I4149="Selisih bunga",DAY(B4149)=1),0,0.01)+ROW()/10000000,"")</f>
        <v/>
      </c>
    </row>
    <row r="4150" outlineLevel="1" ht="15" customHeight="1" s="94">
      <c r="A4150" s="123">
        <f>IF(B4150="","",ROW()-15)</f>
        <v/>
      </c>
      <c r="B4150" s="124" t="n"/>
      <c r="C4150" s="123" t="n"/>
      <c r="D4150" s="123" t="n"/>
      <c r="E4150" s="123" t="n"/>
      <c r="F4150" s="125" t="n"/>
      <c r="G4150" s="123" t="n"/>
      <c r="H4150" s="123" t="n"/>
      <c r="I4150" s="123" t="n"/>
      <c r="J4150" s="123" t="n"/>
      <c r="K4150" s="123" t="n"/>
      <c r="L4150" s="123" t="n"/>
      <c r="M4150" s="123">
        <f>IF(AND(B4150&lt;&gt;"",OR($C$4="",ISNUMBER(SEARCH($C$4,C4150&amp;" "&amp;E4150&amp;" "&amp;G4150&amp;" "&amp;H4150&amp;" "&amp;I4150&amp;" "&amp;J4150&amp;" "&amp;K4150&amp;" "&amp;L4150))),OR($C$5="Semua",$C$5="",G4150=$C$5),OR($C$6="Semua",$C$6="",H4150=$C$6,H4150="Pengeluaran "&amp;$C$6,AND($C$6="Uang Kos Mama",H4150="Pengeluaran Uang Kos")),OR($C$7="Semua",$C$7="",I4150=$C$7),OR($C$8="Semua",$C$8="",C4150=$C$8,E4150=$C$8),OR($C$9="Semua",$C$9="",D4150=$C$9),OR($C$10="",B4150&gt;=$C$10),OR($C$11="",B4150&lt;=$C$11),OR($C$12&lt;&gt;"Ya",K4150&lt;&gt;""),OR($C$13="Semua",$C$13="",L4150=$C$13)),"✓","")</f>
        <v/>
      </c>
      <c r="N4150" s="93">
        <f>N(N4149)+IF(M4150="✓",1,0)</f>
        <v/>
      </c>
      <c r="O4150" s="93">
        <f>N(O4149)+IF(AND(B4150&lt;&gt;"",B4150&gt;='Uang Riba'!$H$30,B4150&lt;='Uang Riba'!$I$30,OR(H4150="Dana riba",H4150="Pinjam uang riba",I4150="Pinjam dari uang riba",I4150="Ganti uang riba",I4150="Kelebihan ganti dikembalikan",AND(C4150="Kantong Uang Riba",G4150="Pengeluaran"))),1,0)</f>
        <v/>
      </c>
      <c r="X4150" s="93">
        <f>IF(AND(B4150&lt;&gt;"",B4150&gt;='Buku Akun'!$H$4,B4150&lt;='Buku Akun'!$H$5,OR(C4150='Buku Akun'!$C$4,AND(D4150="Pindah",E4150='Buku Akun'!$C$4))),B4150+IF(AND(I4150="Selisih bunga",DAY(B4150)=1),0,0.01)+ROW()/10000000,"")</f>
        <v/>
      </c>
    </row>
    <row r="4151" outlineLevel="1" ht="15" customHeight="1" s="94">
      <c r="A4151" s="123">
        <f>IF(B4151="","",ROW()-15)</f>
        <v/>
      </c>
      <c r="B4151" s="124" t="n"/>
      <c r="C4151" s="123" t="n"/>
      <c r="D4151" s="123" t="n"/>
      <c r="E4151" s="123" t="n"/>
      <c r="F4151" s="125" t="n"/>
      <c r="G4151" s="123" t="n"/>
      <c r="H4151" s="123" t="n"/>
      <c r="I4151" s="123" t="n"/>
      <c r="J4151" s="123" t="n"/>
      <c r="K4151" s="123" t="n"/>
      <c r="L4151" s="123" t="n"/>
      <c r="M4151" s="123">
        <f>IF(AND(B4151&lt;&gt;"",OR($C$4="",ISNUMBER(SEARCH($C$4,C4151&amp;" "&amp;E4151&amp;" "&amp;G4151&amp;" "&amp;H4151&amp;" "&amp;I4151&amp;" "&amp;J4151&amp;" "&amp;K4151&amp;" "&amp;L4151))),OR($C$5="Semua",$C$5="",G4151=$C$5),OR($C$6="Semua",$C$6="",H4151=$C$6,H4151="Pengeluaran "&amp;$C$6,AND($C$6="Uang Kos Mama",H4151="Pengeluaran Uang Kos")),OR($C$7="Semua",$C$7="",I4151=$C$7),OR($C$8="Semua",$C$8="",C4151=$C$8,E4151=$C$8),OR($C$9="Semua",$C$9="",D4151=$C$9),OR($C$10="",B4151&gt;=$C$10),OR($C$11="",B4151&lt;=$C$11),OR($C$12&lt;&gt;"Ya",K4151&lt;&gt;""),OR($C$13="Semua",$C$13="",L4151=$C$13)),"✓","")</f>
        <v/>
      </c>
      <c r="N4151" s="93">
        <f>N(N4150)+IF(M4151="✓",1,0)</f>
        <v/>
      </c>
      <c r="O4151" s="93">
        <f>N(O4150)+IF(AND(B4151&lt;&gt;"",B4151&gt;='Uang Riba'!$H$30,B4151&lt;='Uang Riba'!$I$30,OR(H4151="Dana riba",H4151="Pinjam uang riba",I4151="Pinjam dari uang riba",I4151="Ganti uang riba",I4151="Kelebihan ganti dikembalikan",AND(C4151="Kantong Uang Riba",G4151="Pengeluaran"))),1,0)</f>
        <v/>
      </c>
      <c r="X4151" s="93">
        <f>IF(AND(B4151&lt;&gt;"",B4151&gt;='Buku Akun'!$H$4,B4151&lt;='Buku Akun'!$H$5,OR(C4151='Buku Akun'!$C$4,AND(D4151="Pindah",E4151='Buku Akun'!$C$4))),B4151+IF(AND(I4151="Selisih bunga",DAY(B4151)=1),0,0.01)+ROW()/10000000,"")</f>
        <v/>
      </c>
    </row>
    <row r="4152" outlineLevel="1" ht="15" customHeight="1" s="94">
      <c r="A4152" s="123">
        <f>IF(B4152="","",ROW()-15)</f>
        <v/>
      </c>
      <c r="B4152" s="124" t="n"/>
      <c r="C4152" s="123" t="n"/>
      <c r="D4152" s="123" t="n"/>
      <c r="E4152" s="123" t="n"/>
      <c r="F4152" s="125" t="n"/>
      <c r="G4152" s="123" t="n"/>
      <c r="H4152" s="123" t="n"/>
      <c r="I4152" s="123" t="n"/>
      <c r="J4152" s="123" t="n"/>
      <c r="K4152" s="123" t="n"/>
      <c r="L4152" s="123" t="n"/>
      <c r="M4152" s="123">
        <f>IF(AND(B4152&lt;&gt;"",OR($C$4="",ISNUMBER(SEARCH($C$4,C4152&amp;" "&amp;E4152&amp;" "&amp;G4152&amp;" "&amp;H4152&amp;" "&amp;I4152&amp;" "&amp;J4152&amp;" "&amp;K4152&amp;" "&amp;L4152))),OR($C$5="Semua",$C$5="",G4152=$C$5),OR($C$6="Semua",$C$6="",H4152=$C$6,H4152="Pengeluaran "&amp;$C$6,AND($C$6="Uang Kos Mama",H4152="Pengeluaran Uang Kos")),OR($C$7="Semua",$C$7="",I4152=$C$7),OR($C$8="Semua",$C$8="",C4152=$C$8,E4152=$C$8),OR($C$9="Semua",$C$9="",D4152=$C$9),OR($C$10="",B4152&gt;=$C$10),OR($C$11="",B4152&lt;=$C$11),OR($C$12&lt;&gt;"Ya",K4152&lt;&gt;""),OR($C$13="Semua",$C$13="",L4152=$C$13)),"✓","")</f>
        <v/>
      </c>
      <c r="N4152" s="93">
        <f>N(N4151)+IF(M4152="✓",1,0)</f>
        <v/>
      </c>
      <c r="O4152" s="93">
        <f>N(O4151)+IF(AND(B4152&lt;&gt;"",B4152&gt;='Uang Riba'!$H$30,B4152&lt;='Uang Riba'!$I$30,OR(H4152="Dana riba",H4152="Pinjam uang riba",I4152="Pinjam dari uang riba",I4152="Ganti uang riba",I4152="Kelebihan ganti dikembalikan",AND(C4152="Kantong Uang Riba",G4152="Pengeluaran"))),1,0)</f>
        <v/>
      </c>
      <c r="X4152" s="93">
        <f>IF(AND(B4152&lt;&gt;"",B4152&gt;='Buku Akun'!$H$4,B4152&lt;='Buku Akun'!$H$5,OR(C4152='Buku Akun'!$C$4,AND(D4152="Pindah",E4152='Buku Akun'!$C$4))),B4152+IF(AND(I4152="Selisih bunga",DAY(B4152)=1),0,0.01)+ROW()/10000000,"")</f>
        <v/>
      </c>
    </row>
    <row r="4153" outlineLevel="1" ht="15" customHeight="1" s="94">
      <c r="A4153" s="123">
        <f>IF(B4153="","",ROW()-15)</f>
        <v/>
      </c>
      <c r="B4153" s="124" t="n"/>
      <c r="C4153" s="123" t="n"/>
      <c r="D4153" s="123" t="n"/>
      <c r="E4153" s="123" t="n"/>
      <c r="F4153" s="125" t="n"/>
      <c r="G4153" s="123" t="n"/>
      <c r="H4153" s="123" t="n"/>
      <c r="I4153" s="123" t="n"/>
      <c r="J4153" s="123" t="n"/>
      <c r="K4153" s="123" t="n"/>
      <c r="L4153" s="123" t="n"/>
      <c r="M4153" s="123">
        <f>IF(AND(B4153&lt;&gt;"",OR($C$4="",ISNUMBER(SEARCH($C$4,C4153&amp;" "&amp;E4153&amp;" "&amp;G4153&amp;" "&amp;H4153&amp;" "&amp;I4153&amp;" "&amp;J4153&amp;" "&amp;K4153&amp;" "&amp;L4153))),OR($C$5="Semua",$C$5="",G4153=$C$5),OR($C$6="Semua",$C$6="",H4153=$C$6,H4153="Pengeluaran "&amp;$C$6,AND($C$6="Uang Kos Mama",H4153="Pengeluaran Uang Kos")),OR($C$7="Semua",$C$7="",I4153=$C$7),OR($C$8="Semua",$C$8="",C4153=$C$8,E4153=$C$8),OR($C$9="Semua",$C$9="",D4153=$C$9),OR($C$10="",B4153&gt;=$C$10),OR($C$11="",B4153&lt;=$C$11),OR($C$12&lt;&gt;"Ya",K4153&lt;&gt;""),OR($C$13="Semua",$C$13="",L4153=$C$13)),"✓","")</f>
        <v/>
      </c>
      <c r="N4153" s="93">
        <f>N(N4152)+IF(M4153="✓",1,0)</f>
        <v/>
      </c>
      <c r="O4153" s="93">
        <f>N(O4152)+IF(AND(B4153&lt;&gt;"",B4153&gt;='Uang Riba'!$H$30,B4153&lt;='Uang Riba'!$I$30,OR(H4153="Dana riba",H4153="Pinjam uang riba",I4153="Pinjam dari uang riba",I4153="Ganti uang riba",I4153="Kelebihan ganti dikembalikan",AND(C4153="Kantong Uang Riba",G4153="Pengeluaran"))),1,0)</f>
        <v/>
      </c>
      <c r="X4153" s="93">
        <f>IF(AND(B4153&lt;&gt;"",B4153&gt;='Buku Akun'!$H$4,B4153&lt;='Buku Akun'!$H$5,OR(C4153='Buku Akun'!$C$4,AND(D4153="Pindah",E4153='Buku Akun'!$C$4))),B4153+IF(AND(I4153="Selisih bunga",DAY(B4153)=1),0,0.01)+ROW()/10000000,"")</f>
        <v/>
      </c>
    </row>
    <row r="4154" outlineLevel="1" ht="15" customHeight="1" s="94">
      <c r="A4154" s="123">
        <f>IF(B4154="","",ROW()-15)</f>
        <v/>
      </c>
      <c r="B4154" s="124" t="n"/>
      <c r="C4154" s="123" t="n"/>
      <c r="D4154" s="123" t="n"/>
      <c r="E4154" s="123" t="n"/>
      <c r="F4154" s="125" t="n"/>
      <c r="G4154" s="123" t="n"/>
      <c r="H4154" s="123" t="n"/>
      <c r="I4154" s="123" t="n"/>
      <c r="J4154" s="123" t="n"/>
      <c r="K4154" s="123" t="n"/>
      <c r="L4154" s="123" t="n"/>
      <c r="M4154" s="123">
        <f>IF(AND(B4154&lt;&gt;"",OR($C$4="",ISNUMBER(SEARCH($C$4,C4154&amp;" "&amp;E4154&amp;" "&amp;G4154&amp;" "&amp;H4154&amp;" "&amp;I4154&amp;" "&amp;J4154&amp;" "&amp;K4154&amp;" "&amp;L4154))),OR($C$5="Semua",$C$5="",G4154=$C$5),OR($C$6="Semua",$C$6="",H4154=$C$6,H4154="Pengeluaran "&amp;$C$6,AND($C$6="Uang Kos Mama",H4154="Pengeluaran Uang Kos")),OR($C$7="Semua",$C$7="",I4154=$C$7),OR($C$8="Semua",$C$8="",C4154=$C$8,E4154=$C$8),OR($C$9="Semua",$C$9="",D4154=$C$9),OR($C$10="",B4154&gt;=$C$10),OR($C$11="",B4154&lt;=$C$11),OR($C$12&lt;&gt;"Ya",K4154&lt;&gt;""),OR($C$13="Semua",$C$13="",L4154=$C$13)),"✓","")</f>
        <v/>
      </c>
      <c r="N4154" s="93">
        <f>N(N4153)+IF(M4154="✓",1,0)</f>
        <v/>
      </c>
      <c r="O4154" s="93">
        <f>N(O4153)+IF(AND(B4154&lt;&gt;"",B4154&gt;='Uang Riba'!$H$30,B4154&lt;='Uang Riba'!$I$30,OR(H4154="Dana riba",H4154="Pinjam uang riba",I4154="Pinjam dari uang riba",I4154="Ganti uang riba",I4154="Kelebihan ganti dikembalikan",AND(C4154="Kantong Uang Riba",G4154="Pengeluaran"))),1,0)</f>
        <v/>
      </c>
      <c r="X4154" s="93">
        <f>IF(AND(B4154&lt;&gt;"",B4154&gt;='Buku Akun'!$H$4,B4154&lt;='Buku Akun'!$H$5,OR(C4154='Buku Akun'!$C$4,AND(D4154="Pindah",E4154='Buku Akun'!$C$4))),B4154+IF(AND(I4154="Selisih bunga",DAY(B4154)=1),0,0.01)+ROW()/10000000,"")</f>
        <v/>
      </c>
    </row>
    <row r="4155" outlineLevel="1" ht="15" customHeight="1" s="94">
      <c r="A4155" s="123">
        <f>IF(B4155="","",ROW()-15)</f>
        <v/>
      </c>
      <c r="B4155" s="124" t="n"/>
      <c r="C4155" s="123" t="n"/>
      <c r="D4155" s="123" t="n"/>
      <c r="E4155" s="123" t="n"/>
      <c r="F4155" s="125" t="n"/>
      <c r="G4155" s="123" t="n"/>
      <c r="H4155" s="123" t="n"/>
      <c r="I4155" s="123" t="n"/>
      <c r="J4155" s="123" t="n"/>
      <c r="K4155" s="123" t="n"/>
      <c r="L4155" s="123" t="n"/>
      <c r="M4155" s="123">
        <f>IF(AND(B4155&lt;&gt;"",OR($C$4="",ISNUMBER(SEARCH($C$4,C4155&amp;" "&amp;E4155&amp;" "&amp;G4155&amp;" "&amp;H4155&amp;" "&amp;I4155&amp;" "&amp;J4155&amp;" "&amp;K4155&amp;" "&amp;L4155))),OR($C$5="Semua",$C$5="",G4155=$C$5),OR($C$6="Semua",$C$6="",H4155=$C$6,H4155="Pengeluaran "&amp;$C$6,AND($C$6="Uang Kos Mama",H4155="Pengeluaran Uang Kos")),OR($C$7="Semua",$C$7="",I4155=$C$7),OR($C$8="Semua",$C$8="",C4155=$C$8,E4155=$C$8),OR($C$9="Semua",$C$9="",D4155=$C$9),OR($C$10="",B4155&gt;=$C$10),OR($C$11="",B4155&lt;=$C$11),OR($C$12&lt;&gt;"Ya",K4155&lt;&gt;""),OR($C$13="Semua",$C$13="",L4155=$C$13)),"✓","")</f>
        <v/>
      </c>
      <c r="N4155" s="93">
        <f>N(N4154)+IF(M4155="✓",1,0)</f>
        <v/>
      </c>
      <c r="O4155" s="93">
        <f>N(O4154)+IF(AND(B4155&lt;&gt;"",B4155&gt;='Uang Riba'!$H$30,B4155&lt;='Uang Riba'!$I$30,OR(H4155="Dana riba",H4155="Pinjam uang riba",I4155="Pinjam dari uang riba",I4155="Ganti uang riba",I4155="Kelebihan ganti dikembalikan",AND(C4155="Kantong Uang Riba",G4155="Pengeluaran"))),1,0)</f>
        <v/>
      </c>
      <c r="X4155" s="93">
        <f>IF(AND(B4155&lt;&gt;"",B4155&gt;='Buku Akun'!$H$4,B4155&lt;='Buku Akun'!$H$5,OR(C4155='Buku Akun'!$C$4,AND(D4155="Pindah",E4155='Buku Akun'!$C$4))),B4155+IF(AND(I4155="Selisih bunga",DAY(B4155)=1),0,0.01)+ROW()/10000000,"")</f>
        <v/>
      </c>
    </row>
    <row r="4156" outlineLevel="1" ht="15" customHeight="1" s="94">
      <c r="A4156" s="123">
        <f>IF(B4156="","",ROW()-15)</f>
        <v/>
      </c>
      <c r="B4156" s="124" t="n"/>
      <c r="C4156" s="123" t="n"/>
      <c r="D4156" s="123" t="n"/>
      <c r="E4156" s="123" t="n"/>
      <c r="F4156" s="125" t="n"/>
      <c r="G4156" s="123" t="n"/>
      <c r="H4156" s="123" t="n"/>
      <c r="I4156" s="123" t="n"/>
      <c r="J4156" s="123" t="n"/>
      <c r="K4156" s="123" t="n"/>
      <c r="L4156" s="123" t="n"/>
      <c r="M4156" s="123">
        <f>IF(AND(B4156&lt;&gt;"",OR($C$4="",ISNUMBER(SEARCH($C$4,C4156&amp;" "&amp;E4156&amp;" "&amp;G4156&amp;" "&amp;H4156&amp;" "&amp;I4156&amp;" "&amp;J4156&amp;" "&amp;K4156&amp;" "&amp;L4156))),OR($C$5="Semua",$C$5="",G4156=$C$5),OR($C$6="Semua",$C$6="",H4156=$C$6,H4156="Pengeluaran "&amp;$C$6,AND($C$6="Uang Kos Mama",H4156="Pengeluaran Uang Kos")),OR($C$7="Semua",$C$7="",I4156=$C$7),OR($C$8="Semua",$C$8="",C4156=$C$8,E4156=$C$8),OR($C$9="Semua",$C$9="",D4156=$C$9),OR($C$10="",B4156&gt;=$C$10),OR($C$11="",B4156&lt;=$C$11),OR($C$12&lt;&gt;"Ya",K4156&lt;&gt;""),OR($C$13="Semua",$C$13="",L4156=$C$13)),"✓","")</f>
        <v/>
      </c>
      <c r="N4156" s="93">
        <f>N(N4155)+IF(M4156="✓",1,0)</f>
        <v/>
      </c>
      <c r="O4156" s="93">
        <f>N(O4155)+IF(AND(B4156&lt;&gt;"",B4156&gt;='Uang Riba'!$H$30,B4156&lt;='Uang Riba'!$I$30,OR(H4156="Dana riba",H4156="Pinjam uang riba",I4156="Pinjam dari uang riba",I4156="Ganti uang riba",I4156="Kelebihan ganti dikembalikan",AND(C4156="Kantong Uang Riba",G4156="Pengeluaran"))),1,0)</f>
        <v/>
      </c>
      <c r="X4156" s="93">
        <f>IF(AND(B4156&lt;&gt;"",B4156&gt;='Buku Akun'!$H$4,B4156&lt;='Buku Akun'!$H$5,OR(C4156='Buku Akun'!$C$4,AND(D4156="Pindah",E4156='Buku Akun'!$C$4))),B4156+IF(AND(I4156="Selisih bunga",DAY(B4156)=1),0,0.01)+ROW()/10000000,"")</f>
        <v/>
      </c>
    </row>
    <row r="4157" outlineLevel="1" ht="15" customHeight="1" s="94">
      <c r="A4157" s="123">
        <f>IF(B4157="","",ROW()-15)</f>
        <v/>
      </c>
      <c r="B4157" s="124" t="n"/>
      <c r="C4157" s="123" t="n"/>
      <c r="D4157" s="123" t="n"/>
      <c r="E4157" s="123" t="n"/>
      <c r="F4157" s="125" t="n"/>
      <c r="G4157" s="123" t="n"/>
      <c r="H4157" s="123" t="n"/>
      <c r="I4157" s="123" t="n"/>
      <c r="J4157" s="123" t="n"/>
      <c r="K4157" s="123" t="n"/>
      <c r="L4157" s="123" t="n"/>
      <c r="M4157" s="123">
        <f>IF(AND(B4157&lt;&gt;"",OR($C$4="",ISNUMBER(SEARCH($C$4,C4157&amp;" "&amp;E4157&amp;" "&amp;G4157&amp;" "&amp;H4157&amp;" "&amp;I4157&amp;" "&amp;J4157&amp;" "&amp;K4157&amp;" "&amp;L4157))),OR($C$5="Semua",$C$5="",G4157=$C$5),OR($C$6="Semua",$C$6="",H4157=$C$6,H4157="Pengeluaran "&amp;$C$6,AND($C$6="Uang Kos Mama",H4157="Pengeluaran Uang Kos")),OR($C$7="Semua",$C$7="",I4157=$C$7),OR($C$8="Semua",$C$8="",C4157=$C$8,E4157=$C$8),OR($C$9="Semua",$C$9="",D4157=$C$9),OR($C$10="",B4157&gt;=$C$10),OR($C$11="",B4157&lt;=$C$11),OR($C$12&lt;&gt;"Ya",K4157&lt;&gt;""),OR($C$13="Semua",$C$13="",L4157=$C$13)),"✓","")</f>
        <v/>
      </c>
      <c r="N4157" s="93">
        <f>N(N4156)+IF(M4157="✓",1,0)</f>
        <v/>
      </c>
      <c r="O4157" s="93">
        <f>N(O4156)+IF(AND(B4157&lt;&gt;"",B4157&gt;='Uang Riba'!$H$30,B4157&lt;='Uang Riba'!$I$30,OR(H4157="Dana riba",H4157="Pinjam uang riba",I4157="Pinjam dari uang riba",I4157="Ganti uang riba",I4157="Kelebihan ganti dikembalikan",AND(C4157="Kantong Uang Riba",G4157="Pengeluaran"))),1,0)</f>
        <v/>
      </c>
      <c r="X4157" s="93">
        <f>IF(AND(B4157&lt;&gt;"",B4157&gt;='Buku Akun'!$H$4,B4157&lt;='Buku Akun'!$H$5,OR(C4157='Buku Akun'!$C$4,AND(D4157="Pindah",E4157='Buku Akun'!$C$4))),B4157+IF(AND(I4157="Selisih bunga",DAY(B4157)=1),0,0.01)+ROW()/10000000,"")</f>
        <v/>
      </c>
    </row>
    <row r="4158" outlineLevel="1" ht="15" customHeight="1" s="94">
      <c r="A4158" s="123">
        <f>IF(B4158="","",ROW()-15)</f>
        <v/>
      </c>
      <c r="B4158" s="124" t="n"/>
      <c r="C4158" s="123" t="n"/>
      <c r="D4158" s="123" t="n"/>
      <c r="E4158" s="123" t="n"/>
      <c r="F4158" s="125" t="n"/>
      <c r="G4158" s="123" t="n"/>
      <c r="H4158" s="123" t="n"/>
      <c r="I4158" s="123" t="n"/>
      <c r="J4158" s="123" t="n"/>
      <c r="K4158" s="123" t="n"/>
      <c r="L4158" s="123" t="n"/>
      <c r="M4158" s="123">
        <f>IF(AND(B4158&lt;&gt;"",OR($C$4="",ISNUMBER(SEARCH($C$4,C4158&amp;" "&amp;E4158&amp;" "&amp;G4158&amp;" "&amp;H4158&amp;" "&amp;I4158&amp;" "&amp;J4158&amp;" "&amp;K4158&amp;" "&amp;L4158))),OR($C$5="Semua",$C$5="",G4158=$C$5),OR($C$6="Semua",$C$6="",H4158=$C$6,H4158="Pengeluaran "&amp;$C$6,AND($C$6="Uang Kos Mama",H4158="Pengeluaran Uang Kos")),OR($C$7="Semua",$C$7="",I4158=$C$7),OR($C$8="Semua",$C$8="",C4158=$C$8,E4158=$C$8),OR($C$9="Semua",$C$9="",D4158=$C$9),OR($C$10="",B4158&gt;=$C$10),OR($C$11="",B4158&lt;=$C$11),OR($C$12&lt;&gt;"Ya",K4158&lt;&gt;""),OR($C$13="Semua",$C$13="",L4158=$C$13)),"✓","")</f>
        <v/>
      </c>
      <c r="N4158" s="93">
        <f>N(N4157)+IF(M4158="✓",1,0)</f>
        <v/>
      </c>
      <c r="O4158" s="93">
        <f>N(O4157)+IF(AND(B4158&lt;&gt;"",B4158&gt;='Uang Riba'!$H$30,B4158&lt;='Uang Riba'!$I$30,OR(H4158="Dana riba",H4158="Pinjam uang riba",I4158="Pinjam dari uang riba",I4158="Ganti uang riba",I4158="Kelebihan ganti dikembalikan",AND(C4158="Kantong Uang Riba",G4158="Pengeluaran"))),1,0)</f>
        <v/>
      </c>
      <c r="X4158" s="93">
        <f>IF(AND(B4158&lt;&gt;"",B4158&gt;='Buku Akun'!$H$4,B4158&lt;='Buku Akun'!$H$5,OR(C4158='Buku Akun'!$C$4,AND(D4158="Pindah",E4158='Buku Akun'!$C$4))),B4158+IF(AND(I4158="Selisih bunga",DAY(B4158)=1),0,0.01)+ROW()/10000000,"")</f>
        <v/>
      </c>
    </row>
    <row r="4159" outlineLevel="1" ht="15" customHeight="1" s="94">
      <c r="A4159" s="123">
        <f>IF(B4159="","",ROW()-15)</f>
        <v/>
      </c>
      <c r="B4159" s="124" t="n"/>
      <c r="C4159" s="123" t="n"/>
      <c r="D4159" s="123" t="n"/>
      <c r="E4159" s="123" t="n"/>
      <c r="F4159" s="125" t="n"/>
      <c r="G4159" s="123" t="n"/>
      <c r="H4159" s="123" t="n"/>
      <c r="I4159" s="123" t="n"/>
      <c r="J4159" s="123" t="n"/>
      <c r="K4159" s="123" t="n"/>
      <c r="L4159" s="123" t="n"/>
      <c r="M4159" s="123">
        <f>IF(AND(B4159&lt;&gt;"",OR($C$4="",ISNUMBER(SEARCH($C$4,C4159&amp;" "&amp;E4159&amp;" "&amp;G4159&amp;" "&amp;H4159&amp;" "&amp;I4159&amp;" "&amp;J4159&amp;" "&amp;K4159&amp;" "&amp;L4159))),OR($C$5="Semua",$C$5="",G4159=$C$5),OR($C$6="Semua",$C$6="",H4159=$C$6,H4159="Pengeluaran "&amp;$C$6,AND($C$6="Uang Kos Mama",H4159="Pengeluaran Uang Kos")),OR($C$7="Semua",$C$7="",I4159=$C$7),OR($C$8="Semua",$C$8="",C4159=$C$8,E4159=$C$8),OR($C$9="Semua",$C$9="",D4159=$C$9),OR($C$10="",B4159&gt;=$C$10),OR($C$11="",B4159&lt;=$C$11),OR($C$12&lt;&gt;"Ya",K4159&lt;&gt;""),OR($C$13="Semua",$C$13="",L4159=$C$13)),"✓","")</f>
        <v/>
      </c>
      <c r="N4159" s="93">
        <f>N(N4158)+IF(M4159="✓",1,0)</f>
        <v/>
      </c>
      <c r="O4159" s="93">
        <f>N(O4158)+IF(AND(B4159&lt;&gt;"",B4159&gt;='Uang Riba'!$H$30,B4159&lt;='Uang Riba'!$I$30,OR(H4159="Dana riba",H4159="Pinjam uang riba",I4159="Pinjam dari uang riba",I4159="Ganti uang riba",I4159="Kelebihan ganti dikembalikan",AND(C4159="Kantong Uang Riba",G4159="Pengeluaran"))),1,0)</f>
        <v/>
      </c>
      <c r="X4159" s="93">
        <f>IF(AND(B4159&lt;&gt;"",B4159&gt;='Buku Akun'!$H$4,B4159&lt;='Buku Akun'!$H$5,OR(C4159='Buku Akun'!$C$4,AND(D4159="Pindah",E4159='Buku Akun'!$C$4))),B4159+IF(AND(I4159="Selisih bunga",DAY(B4159)=1),0,0.01)+ROW()/10000000,"")</f>
        <v/>
      </c>
    </row>
    <row r="4160" outlineLevel="1" ht="15" customHeight="1" s="94">
      <c r="A4160" s="123">
        <f>IF(B4160="","",ROW()-15)</f>
        <v/>
      </c>
      <c r="B4160" s="124" t="n"/>
      <c r="C4160" s="123" t="n"/>
      <c r="D4160" s="123" t="n"/>
      <c r="E4160" s="123" t="n"/>
      <c r="F4160" s="125" t="n"/>
      <c r="G4160" s="123" t="n"/>
      <c r="H4160" s="123" t="n"/>
      <c r="I4160" s="123" t="n"/>
      <c r="J4160" s="123" t="n"/>
      <c r="K4160" s="123" t="n"/>
      <c r="L4160" s="123" t="n"/>
      <c r="M4160" s="123">
        <f>IF(AND(B4160&lt;&gt;"",OR($C$4="",ISNUMBER(SEARCH($C$4,C4160&amp;" "&amp;E4160&amp;" "&amp;G4160&amp;" "&amp;H4160&amp;" "&amp;I4160&amp;" "&amp;J4160&amp;" "&amp;K4160&amp;" "&amp;L4160))),OR($C$5="Semua",$C$5="",G4160=$C$5),OR($C$6="Semua",$C$6="",H4160=$C$6,H4160="Pengeluaran "&amp;$C$6,AND($C$6="Uang Kos Mama",H4160="Pengeluaran Uang Kos")),OR($C$7="Semua",$C$7="",I4160=$C$7),OR($C$8="Semua",$C$8="",C4160=$C$8,E4160=$C$8),OR($C$9="Semua",$C$9="",D4160=$C$9),OR($C$10="",B4160&gt;=$C$10),OR($C$11="",B4160&lt;=$C$11),OR($C$12&lt;&gt;"Ya",K4160&lt;&gt;""),OR($C$13="Semua",$C$13="",L4160=$C$13)),"✓","")</f>
        <v/>
      </c>
      <c r="N4160" s="93">
        <f>N(N4159)+IF(M4160="✓",1,0)</f>
        <v/>
      </c>
      <c r="O4160" s="93">
        <f>N(O4159)+IF(AND(B4160&lt;&gt;"",B4160&gt;='Uang Riba'!$H$30,B4160&lt;='Uang Riba'!$I$30,OR(H4160="Dana riba",H4160="Pinjam uang riba",I4160="Pinjam dari uang riba",I4160="Ganti uang riba",I4160="Kelebihan ganti dikembalikan",AND(C4160="Kantong Uang Riba",G4160="Pengeluaran"))),1,0)</f>
        <v/>
      </c>
      <c r="X4160" s="93">
        <f>IF(AND(B4160&lt;&gt;"",B4160&gt;='Buku Akun'!$H$4,B4160&lt;='Buku Akun'!$H$5,OR(C4160='Buku Akun'!$C$4,AND(D4160="Pindah",E4160='Buku Akun'!$C$4))),B4160+IF(AND(I4160="Selisih bunga",DAY(B4160)=1),0,0.01)+ROW()/10000000,"")</f>
        <v/>
      </c>
    </row>
    <row r="4161" outlineLevel="1" ht="15" customHeight="1" s="94">
      <c r="A4161" s="123">
        <f>IF(B4161="","",ROW()-15)</f>
        <v/>
      </c>
      <c r="B4161" s="124" t="n"/>
      <c r="C4161" s="123" t="n"/>
      <c r="D4161" s="123" t="n"/>
      <c r="E4161" s="123" t="n"/>
      <c r="F4161" s="125" t="n"/>
      <c r="G4161" s="123" t="n"/>
      <c r="H4161" s="123" t="n"/>
      <c r="I4161" s="123" t="n"/>
      <c r="J4161" s="123" t="n"/>
      <c r="K4161" s="123" t="n"/>
      <c r="L4161" s="123" t="n"/>
      <c r="M4161" s="123">
        <f>IF(AND(B4161&lt;&gt;"",OR($C$4="",ISNUMBER(SEARCH($C$4,C4161&amp;" "&amp;E4161&amp;" "&amp;G4161&amp;" "&amp;H4161&amp;" "&amp;I4161&amp;" "&amp;J4161&amp;" "&amp;K4161&amp;" "&amp;L4161))),OR($C$5="Semua",$C$5="",G4161=$C$5),OR($C$6="Semua",$C$6="",H4161=$C$6,H4161="Pengeluaran "&amp;$C$6,AND($C$6="Uang Kos Mama",H4161="Pengeluaran Uang Kos")),OR($C$7="Semua",$C$7="",I4161=$C$7),OR($C$8="Semua",$C$8="",C4161=$C$8,E4161=$C$8),OR($C$9="Semua",$C$9="",D4161=$C$9),OR($C$10="",B4161&gt;=$C$10),OR($C$11="",B4161&lt;=$C$11),OR($C$12&lt;&gt;"Ya",K4161&lt;&gt;""),OR($C$13="Semua",$C$13="",L4161=$C$13)),"✓","")</f>
        <v/>
      </c>
      <c r="N4161" s="93">
        <f>N(N4160)+IF(M4161="✓",1,0)</f>
        <v/>
      </c>
      <c r="O4161" s="93">
        <f>N(O4160)+IF(AND(B4161&lt;&gt;"",B4161&gt;='Uang Riba'!$H$30,B4161&lt;='Uang Riba'!$I$30,OR(H4161="Dana riba",H4161="Pinjam uang riba",I4161="Pinjam dari uang riba",I4161="Ganti uang riba",I4161="Kelebihan ganti dikembalikan",AND(C4161="Kantong Uang Riba",G4161="Pengeluaran"))),1,0)</f>
        <v/>
      </c>
      <c r="X4161" s="93">
        <f>IF(AND(B4161&lt;&gt;"",B4161&gt;='Buku Akun'!$H$4,B4161&lt;='Buku Akun'!$H$5,OR(C4161='Buku Akun'!$C$4,AND(D4161="Pindah",E4161='Buku Akun'!$C$4))),B4161+IF(AND(I4161="Selisih bunga",DAY(B4161)=1),0,0.01)+ROW()/10000000,"")</f>
        <v/>
      </c>
    </row>
    <row r="4162" outlineLevel="1" ht="15" customHeight="1" s="94">
      <c r="A4162" s="123">
        <f>IF(B4162="","",ROW()-15)</f>
        <v/>
      </c>
      <c r="B4162" s="124" t="n"/>
      <c r="C4162" s="123" t="n"/>
      <c r="D4162" s="123" t="n"/>
      <c r="E4162" s="123" t="n"/>
      <c r="F4162" s="125" t="n"/>
      <c r="G4162" s="123" t="n"/>
      <c r="H4162" s="123" t="n"/>
      <c r="I4162" s="123" t="n"/>
      <c r="J4162" s="123" t="n"/>
      <c r="K4162" s="123" t="n"/>
      <c r="L4162" s="123" t="n"/>
      <c r="M4162" s="123">
        <f>IF(AND(B4162&lt;&gt;"",OR($C$4="",ISNUMBER(SEARCH($C$4,C4162&amp;" "&amp;E4162&amp;" "&amp;G4162&amp;" "&amp;H4162&amp;" "&amp;I4162&amp;" "&amp;J4162&amp;" "&amp;K4162&amp;" "&amp;L4162))),OR($C$5="Semua",$C$5="",G4162=$C$5),OR($C$6="Semua",$C$6="",H4162=$C$6,H4162="Pengeluaran "&amp;$C$6,AND($C$6="Uang Kos Mama",H4162="Pengeluaran Uang Kos")),OR($C$7="Semua",$C$7="",I4162=$C$7),OR($C$8="Semua",$C$8="",C4162=$C$8,E4162=$C$8),OR($C$9="Semua",$C$9="",D4162=$C$9),OR($C$10="",B4162&gt;=$C$10),OR($C$11="",B4162&lt;=$C$11),OR($C$12&lt;&gt;"Ya",K4162&lt;&gt;""),OR($C$13="Semua",$C$13="",L4162=$C$13)),"✓","")</f>
        <v/>
      </c>
      <c r="N4162" s="93">
        <f>N(N4161)+IF(M4162="✓",1,0)</f>
        <v/>
      </c>
      <c r="O4162" s="93">
        <f>N(O4161)+IF(AND(B4162&lt;&gt;"",B4162&gt;='Uang Riba'!$H$30,B4162&lt;='Uang Riba'!$I$30,OR(H4162="Dana riba",H4162="Pinjam uang riba",I4162="Pinjam dari uang riba",I4162="Ganti uang riba",I4162="Kelebihan ganti dikembalikan",AND(C4162="Kantong Uang Riba",G4162="Pengeluaran"))),1,0)</f>
        <v/>
      </c>
      <c r="X4162" s="93">
        <f>IF(AND(B4162&lt;&gt;"",B4162&gt;='Buku Akun'!$H$4,B4162&lt;='Buku Akun'!$H$5,OR(C4162='Buku Akun'!$C$4,AND(D4162="Pindah",E4162='Buku Akun'!$C$4))),B4162+IF(AND(I4162="Selisih bunga",DAY(B4162)=1),0,0.01)+ROW()/10000000,"")</f>
        <v/>
      </c>
    </row>
    <row r="4163" outlineLevel="1" ht="15" customHeight="1" s="94">
      <c r="A4163" s="123">
        <f>IF(B4163="","",ROW()-15)</f>
        <v/>
      </c>
      <c r="B4163" s="124" t="n"/>
      <c r="C4163" s="123" t="n"/>
      <c r="D4163" s="123" t="n"/>
      <c r="E4163" s="123" t="n"/>
      <c r="F4163" s="125" t="n"/>
      <c r="G4163" s="123" t="n"/>
      <c r="H4163" s="123" t="n"/>
      <c r="I4163" s="123" t="n"/>
      <c r="J4163" s="123" t="n"/>
      <c r="K4163" s="123" t="n"/>
      <c r="L4163" s="123" t="n"/>
      <c r="M4163" s="123">
        <f>IF(AND(B4163&lt;&gt;"",OR($C$4="",ISNUMBER(SEARCH($C$4,C4163&amp;" "&amp;E4163&amp;" "&amp;G4163&amp;" "&amp;H4163&amp;" "&amp;I4163&amp;" "&amp;J4163&amp;" "&amp;K4163&amp;" "&amp;L4163))),OR($C$5="Semua",$C$5="",G4163=$C$5),OR($C$6="Semua",$C$6="",H4163=$C$6,H4163="Pengeluaran "&amp;$C$6,AND($C$6="Uang Kos Mama",H4163="Pengeluaran Uang Kos")),OR($C$7="Semua",$C$7="",I4163=$C$7),OR($C$8="Semua",$C$8="",C4163=$C$8,E4163=$C$8),OR($C$9="Semua",$C$9="",D4163=$C$9),OR($C$10="",B4163&gt;=$C$10),OR($C$11="",B4163&lt;=$C$11),OR($C$12&lt;&gt;"Ya",K4163&lt;&gt;""),OR($C$13="Semua",$C$13="",L4163=$C$13)),"✓","")</f>
        <v/>
      </c>
      <c r="N4163" s="93">
        <f>N(N4162)+IF(M4163="✓",1,0)</f>
        <v/>
      </c>
      <c r="O4163" s="93">
        <f>N(O4162)+IF(AND(B4163&lt;&gt;"",B4163&gt;='Uang Riba'!$H$30,B4163&lt;='Uang Riba'!$I$30,OR(H4163="Dana riba",H4163="Pinjam uang riba",I4163="Pinjam dari uang riba",I4163="Ganti uang riba",I4163="Kelebihan ganti dikembalikan",AND(C4163="Kantong Uang Riba",G4163="Pengeluaran"))),1,0)</f>
        <v/>
      </c>
      <c r="X4163" s="93">
        <f>IF(AND(B4163&lt;&gt;"",B4163&gt;='Buku Akun'!$H$4,B4163&lt;='Buku Akun'!$H$5,OR(C4163='Buku Akun'!$C$4,AND(D4163="Pindah",E4163='Buku Akun'!$C$4))),B4163+IF(AND(I4163="Selisih bunga",DAY(B4163)=1),0,0.01)+ROW()/10000000,"")</f>
        <v/>
      </c>
    </row>
    <row r="4164" outlineLevel="1" ht="15" customHeight="1" s="94">
      <c r="A4164" s="123">
        <f>IF(B4164="","",ROW()-15)</f>
        <v/>
      </c>
      <c r="B4164" s="124" t="n"/>
      <c r="C4164" s="123" t="n"/>
      <c r="D4164" s="123" t="n"/>
      <c r="E4164" s="123" t="n"/>
      <c r="F4164" s="125" t="n"/>
      <c r="G4164" s="123" t="n"/>
      <c r="H4164" s="123" t="n"/>
      <c r="I4164" s="123" t="n"/>
      <c r="J4164" s="123" t="n"/>
      <c r="K4164" s="123" t="n"/>
      <c r="L4164" s="123" t="n"/>
      <c r="M4164" s="123">
        <f>IF(AND(B4164&lt;&gt;"",OR($C$4="",ISNUMBER(SEARCH($C$4,C4164&amp;" "&amp;E4164&amp;" "&amp;G4164&amp;" "&amp;H4164&amp;" "&amp;I4164&amp;" "&amp;J4164&amp;" "&amp;K4164&amp;" "&amp;L4164))),OR($C$5="Semua",$C$5="",G4164=$C$5),OR($C$6="Semua",$C$6="",H4164=$C$6,H4164="Pengeluaran "&amp;$C$6,AND($C$6="Uang Kos Mama",H4164="Pengeluaran Uang Kos")),OR($C$7="Semua",$C$7="",I4164=$C$7),OR($C$8="Semua",$C$8="",C4164=$C$8,E4164=$C$8),OR($C$9="Semua",$C$9="",D4164=$C$9),OR($C$10="",B4164&gt;=$C$10),OR($C$11="",B4164&lt;=$C$11),OR($C$12&lt;&gt;"Ya",K4164&lt;&gt;""),OR($C$13="Semua",$C$13="",L4164=$C$13)),"✓","")</f>
        <v/>
      </c>
      <c r="N4164" s="93">
        <f>N(N4163)+IF(M4164="✓",1,0)</f>
        <v/>
      </c>
      <c r="O4164" s="93">
        <f>N(O4163)+IF(AND(B4164&lt;&gt;"",B4164&gt;='Uang Riba'!$H$30,B4164&lt;='Uang Riba'!$I$30,OR(H4164="Dana riba",H4164="Pinjam uang riba",I4164="Pinjam dari uang riba",I4164="Ganti uang riba",I4164="Kelebihan ganti dikembalikan",AND(C4164="Kantong Uang Riba",G4164="Pengeluaran"))),1,0)</f>
        <v/>
      </c>
      <c r="X4164" s="93">
        <f>IF(AND(B4164&lt;&gt;"",B4164&gt;='Buku Akun'!$H$4,B4164&lt;='Buku Akun'!$H$5,OR(C4164='Buku Akun'!$C$4,AND(D4164="Pindah",E4164='Buku Akun'!$C$4))),B4164+IF(AND(I4164="Selisih bunga",DAY(B4164)=1),0,0.01)+ROW()/10000000,"")</f>
        <v/>
      </c>
    </row>
    <row r="4165" outlineLevel="1" ht="15" customHeight="1" s="94">
      <c r="A4165" s="123">
        <f>IF(B4165="","",ROW()-15)</f>
        <v/>
      </c>
      <c r="B4165" s="124" t="n"/>
      <c r="C4165" s="123" t="n"/>
      <c r="D4165" s="123" t="n"/>
      <c r="E4165" s="123" t="n"/>
      <c r="F4165" s="125" t="n"/>
      <c r="G4165" s="123" t="n"/>
      <c r="H4165" s="123" t="n"/>
      <c r="I4165" s="123" t="n"/>
      <c r="J4165" s="123" t="n"/>
      <c r="K4165" s="123" t="n"/>
      <c r="L4165" s="123" t="n"/>
      <c r="M4165" s="123">
        <f>IF(AND(B4165&lt;&gt;"",OR($C$4="",ISNUMBER(SEARCH($C$4,C4165&amp;" "&amp;E4165&amp;" "&amp;G4165&amp;" "&amp;H4165&amp;" "&amp;I4165&amp;" "&amp;J4165&amp;" "&amp;K4165&amp;" "&amp;L4165))),OR($C$5="Semua",$C$5="",G4165=$C$5),OR($C$6="Semua",$C$6="",H4165=$C$6,H4165="Pengeluaran "&amp;$C$6,AND($C$6="Uang Kos Mama",H4165="Pengeluaran Uang Kos")),OR($C$7="Semua",$C$7="",I4165=$C$7),OR($C$8="Semua",$C$8="",C4165=$C$8,E4165=$C$8),OR($C$9="Semua",$C$9="",D4165=$C$9),OR($C$10="",B4165&gt;=$C$10),OR($C$11="",B4165&lt;=$C$11),OR($C$12&lt;&gt;"Ya",K4165&lt;&gt;""),OR($C$13="Semua",$C$13="",L4165=$C$13)),"✓","")</f>
        <v/>
      </c>
      <c r="N4165" s="93">
        <f>N(N4164)+IF(M4165="✓",1,0)</f>
        <v/>
      </c>
      <c r="O4165" s="93">
        <f>N(O4164)+IF(AND(B4165&lt;&gt;"",B4165&gt;='Uang Riba'!$H$30,B4165&lt;='Uang Riba'!$I$30,OR(H4165="Dana riba",H4165="Pinjam uang riba",I4165="Pinjam dari uang riba",I4165="Ganti uang riba",I4165="Kelebihan ganti dikembalikan",AND(C4165="Kantong Uang Riba",G4165="Pengeluaran"))),1,0)</f>
        <v/>
      </c>
      <c r="X4165" s="93">
        <f>IF(AND(B4165&lt;&gt;"",B4165&gt;='Buku Akun'!$H$4,B4165&lt;='Buku Akun'!$H$5,OR(C4165='Buku Akun'!$C$4,AND(D4165="Pindah",E4165='Buku Akun'!$C$4))),B4165+IF(AND(I4165="Selisih bunga",DAY(B4165)=1),0,0.01)+ROW()/10000000,"")</f>
        <v/>
      </c>
    </row>
    <row r="4166" outlineLevel="1" ht="15" customHeight="1" s="94">
      <c r="A4166" s="123">
        <f>IF(B4166="","",ROW()-15)</f>
        <v/>
      </c>
      <c r="B4166" s="124" t="n"/>
      <c r="C4166" s="123" t="n"/>
      <c r="D4166" s="123" t="n"/>
      <c r="E4166" s="123" t="n"/>
      <c r="F4166" s="125" t="n"/>
      <c r="G4166" s="123" t="n"/>
      <c r="H4166" s="123" t="n"/>
      <c r="I4166" s="123" t="n"/>
      <c r="J4166" s="123" t="n"/>
      <c r="K4166" s="123" t="n"/>
      <c r="L4166" s="123" t="n"/>
      <c r="M4166" s="123">
        <f>IF(AND(B4166&lt;&gt;"",OR($C$4="",ISNUMBER(SEARCH($C$4,C4166&amp;" "&amp;E4166&amp;" "&amp;G4166&amp;" "&amp;H4166&amp;" "&amp;I4166&amp;" "&amp;J4166&amp;" "&amp;K4166&amp;" "&amp;L4166))),OR($C$5="Semua",$C$5="",G4166=$C$5),OR($C$6="Semua",$C$6="",H4166=$C$6,H4166="Pengeluaran "&amp;$C$6,AND($C$6="Uang Kos Mama",H4166="Pengeluaran Uang Kos")),OR($C$7="Semua",$C$7="",I4166=$C$7),OR($C$8="Semua",$C$8="",C4166=$C$8,E4166=$C$8),OR($C$9="Semua",$C$9="",D4166=$C$9),OR($C$10="",B4166&gt;=$C$10),OR($C$11="",B4166&lt;=$C$11),OR($C$12&lt;&gt;"Ya",K4166&lt;&gt;""),OR($C$13="Semua",$C$13="",L4166=$C$13)),"✓","")</f>
        <v/>
      </c>
      <c r="N4166" s="93">
        <f>N(N4165)+IF(M4166="✓",1,0)</f>
        <v/>
      </c>
      <c r="O4166" s="93">
        <f>N(O4165)+IF(AND(B4166&lt;&gt;"",B4166&gt;='Uang Riba'!$H$30,B4166&lt;='Uang Riba'!$I$30,OR(H4166="Dana riba",H4166="Pinjam uang riba",I4166="Pinjam dari uang riba",I4166="Ganti uang riba",I4166="Kelebihan ganti dikembalikan",AND(C4166="Kantong Uang Riba",G4166="Pengeluaran"))),1,0)</f>
        <v/>
      </c>
      <c r="X4166" s="93">
        <f>IF(AND(B4166&lt;&gt;"",B4166&gt;='Buku Akun'!$H$4,B4166&lt;='Buku Akun'!$H$5,OR(C4166='Buku Akun'!$C$4,AND(D4166="Pindah",E4166='Buku Akun'!$C$4))),B4166+IF(AND(I4166="Selisih bunga",DAY(B4166)=1),0,0.01)+ROW()/10000000,"")</f>
        <v/>
      </c>
    </row>
    <row r="4167" outlineLevel="1" ht="15" customHeight="1" s="94">
      <c r="A4167" s="123">
        <f>IF(B4167="","",ROW()-15)</f>
        <v/>
      </c>
      <c r="B4167" s="124" t="n"/>
      <c r="C4167" s="123" t="n"/>
      <c r="D4167" s="123" t="n"/>
      <c r="E4167" s="123" t="n"/>
      <c r="F4167" s="125" t="n"/>
      <c r="G4167" s="123" t="n"/>
      <c r="H4167" s="123" t="n"/>
      <c r="I4167" s="123" t="n"/>
      <c r="J4167" s="123" t="n"/>
      <c r="K4167" s="123" t="n"/>
      <c r="L4167" s="123" t="n"/>
      <c r="M4167" s="123">
        <f>IF(AND(B4167&lt;&gt;"",OR($C$4="",ISNUMBER(SEARCH($C$4,C4167&amp;" "&amp;E4167&amp;" "&amp;G4167&amp;" "&amp;H4167&amp;" "&amp;I4167&amp;" "&amp;J4167&amp;" "&amp;K4167&amp;" "&amp;L4167))),OR($C$5="Semua",$C$5="",G4167=$C$5),OR($C$6="Semua",$C$6="",H4167=$C$6,H4167="Pengeluaran "&amp;$C$6,AND($C$6="Uang Kos Mama",H4167="Pengeluaran Uang Kos")),OR($C$7="Semua",$C$7="",I4167=$C$7),OR($C$8="Semua",$C$8="",C4167=$C$8,E4167=$C$8),OR($C$9="Semua",$C$9="",D4167=$C$9),OR($C$10="",B4167&gt;=$C$10),OR($C$11="",B4167&lt;=$C$11),OR($C$12&lt;&gt;"Ya",K4167&lt;&gt;""),OR($C$13="Semua",$C$13="",L4167=$C$13)),"✓","")</f>
        <v/>
      </c>
      <c r="N4167" s="93">
        <f>N(N4166)+IF(M4167="✓",1,0)</f>
        <v/>
      </c>
      <c r="O4167" s="93">
        <f>N(O4166)+IF(AND(B4167&lt;&gt;"",B4167&gt;='Uang Riba'!$H$30,B4167&lt;='Uang Riba'!$I$30,OR(H4167="Dana riba",H4167="Pinjam uang riba",I4167="Pinjam dari uang riba",I4167="Ganti uang riba",I4167="Kelebihan ganti dikembalikan",AND(C4167="Kantong Uang Riba",G4167="Pengeluaran"))),1,0)</f>
        <v/>
      </c>
      <c r="X4167" s="93">
        <f>IF(AND(B4167&lt;&gt;"",B4167&gt;='Buku Akun'!$H$4,B4167&lt;='Buku Akun'!$H$5,OR(C4167='Buku Akun'!$C$4,AND(D4167="Pindah",E4167='Buku Akun'!$C$4))),B4167+IF(AND(I4167="Selisih bunga",DAY(B4167)=1),0,0.01)+ROW()/10000000,"")</f>
        <v/>
      </c>
    </row>
    <row r="4168" outlineLevel="1" ht="15" customHeight="1" s="94">
      <c r="A4168" s="123">
        <f>IF(B4168="","",ROW()-15)</f>
        <v/>
      </c>
      <c r="B4168" s="124" t="n"/>
      <c r="C4168" s="123" t="n"/>
      <c r="D4168" s="123" t="n"/>
      <c r="E4168" s="123" t="n"/>
      <c r="F4168" s="125" t="n"/>
      <c r="G4168" s="123" t="n"/>
      <c r="H4168" s="123" t="n"/>
      <c r="I4168" s="123" t="n"/>
      <c r="J4168" s="123" t="n"/>
      <c r="K4168" s="123" t="n"/>
      <c r="L4168" s="123" t="n"/>
      <c r="M4168" s="123">
        <f>IF(AND(B4168&lt;&gt;"",OR($C$4="",ISNUMBER(SEARCH($C$4,C4168&amp;" "&amp;E4168&amp;" "&amp;G4168&amp;" "&amp;H4168&amp;" "&amp;I4168&amp;" "&amp;J4168&amp;" "&amp;K4168&amp;" "&amp;L4168))),OR($C$5="Semua",$C$5="",G4168=$C$5),OR($C$6="Semua",$C$6="",H4168=$C$6,H4168="Pengeluaran "&amp;$C$6,AND($C$6="Uang Kos Mama",H4168="Pengeluaran Uang Kos")),OR($C$7="Semua",$C$7="",I4168=$C$7),OR($C$8="Semua",$C$8="",C4168=$C$8,E4168=$C$8),OR($C$9="Semua",$C$9="",D4168=$C$9),OR($C$10="",B4168&gt;=$C$10),OR($C$11="",B4168&lt;=$C$11),OR($C$12&lt;&gt;"Ya",K4168&lt;&gt;""),OR($C$13="Semua",$C$13="",L4168=$C$13)),"✓","")</f>
        <v/>
      </c>
      <c r="N4168" s="93">
        <f>N(N4167)+IF(M4168="✓",1,0)</f>
        <v/>
      </c>
      <c r="O4168" s="93">
        <f>N(O4167)+IF(AND(B4168&lt;&gt;"",B4168&gt;='Uang Riba'!$H$30,B4168&lt;='Uang Riba'!$I$30,OR(H4168="Dana riba",H4168="Pinjam uang riba",I4168="Pinjam dari uang riba",I4168="Ganti uang riba",I4168="Kelebihan ganti dikembalikan",AND(C4168="Kantong Uang Riba",G4168="Pengeluaran"))),1,0)</f>
        <v/>
      </c>
      <c r="X4168" s="93">
        <f>IF(AND(B4168&lt;&gt;"",B4168&gt;='Buku Akun'!$H$4,B4168&lt;='Buku Akun'!$H$5,OR(C4168='Buku Akun'!$C$4,AND(D4168="Pindah",E4168='Buku Akun'!$C$4))),B4168+IF(AND(I4168="Selisih bunga",DAY(B4168)=1),0,0.01)+ROW()/10000000,"")</f>
        <v/>
      </c>
    </row>
    <row r="4169" outlineLevel="1" ht="15" customHeight="1" s="94">
      <c r="A4169" s="123">
        <f>IF(B4169="","",ROW()-15)</f>
        <v/>
      </c>
      <c r="B4169" s="124" t="n"/>
      <c r="C4169" s="123" t="n"/>
      <c r="D4169" s="123" t="n"/>
      <c r="E4169" s="123" t="n"/>
      <c r="F4169" s="125" t="n"/>
      <c r="G4169" s="123" t="n"/>
      <c r="H4169" s="123" t="n"/>
      <c r="I4169" s="123" t="n"/>
      <c r="J4169" s="123" t="n"/>
      <c r="K4169" s="123" t="n"/>
      <c r="L4169" s="123" t="n"/>
      <c r="M4169" s="123">
        <f>IF(AND(B4169&lt;&gt;"",OR($C$4="",ISNUMBER(SEARCH($C$4,C4169&amp;" "&amp;E4169&amp;" "&amp;G4169&amp;" "&amp;H4169&amp;" "&amp;I4169&amp;" "&amp;J4169&amp;" "&amp;K4169&amp;" "&amp;L4169))),OR($C$5="Semua",$C$5="",G4169=$C$5),OR($C$6="Semua",$C$6="",H4169=$C$6,H4169="Pengeluaran "&amp;$C$6,AND($C$6="Uang Kos Mama",H4169="Pengeluaran Uang Kos")),OR($C$7="Semua",$C$7="",I4169=$C$7),OR($C$8="Semua",$C$8="",C4169=$C$8,E4169=$C$8),OR($C$9="Semua",$C$9="",D4169=$C$9),OR($C$10="",B4169&gt;=$C$10),OR($C$11="",B4169&lt;=$C$11),OR($C$12&lt;&gt;"Ya",K4169&lt;&gt;""),OR($C$13="Semua",$C$13="",L4169=$C$13)),"✓","")</f>
        <v/>
      </c>
      <c r="N4169" s="93">
        <f>N(N4168)+IF(M4169="✓",1,0)</f>
        <v/>
      </c>
      <c r="O4169" s="93">
        <f>N(O4168)+IF(AND(B4169&lt;&gt;"",B4169&gt;='Uang Riba'!$H$30,B4169&lt;='Uang Riba'!$I$30,OR(H4169="Dana riba",H4169="Pinjam uang riba",I4169="Pinjam dari uang riba",I4169="Ganti uang riba",I4169="Kelebihan ganti dikembalikan",AND(C4169="Kantong Uang Riba",G4169="Pengeluaran"))),1,0)</f>
        <v/>
      </c>
      <c r="X4169" s="93">
        <f>IF(AND(B4169&lt;&gt;"",B4169&gt;='Buku Akun'!$H$4,B4169&lt;='Buku Akun'!$H$5,OR(C4169='Buku Akun'!$C$4,AND(D4169="Pindah",E4169='Buku Akun'!$C$4))),B4169+IF(AND(I4169="Selisih bunga",DAY(B4169)=1),0,0.01)+ROW()/10000000,"")</f>
        <v/>
      </c>
    </row>
    <row r="4170" outlineLevel="1" ht="15" customHeight="1" s="94">
      <c r="A4170" s="123">
        <f>IF(B4170="","",ROW()-15)</f>
        <v/>
      </c>
      <c r="B4170" s="124" t="n"/>
      <c r="C4170" s="123" t="n"/>
      <c r="D4170" s="123" t="n"/>
      <c r="E4170" s="123" t="n"/>
      <c r="F4170" s="125" t="n"/>
      <c r="G4170" s="123" t="n"/>
      <c r="H4170" s="123" t="n"/>
      <c r="I4170" s="123" t="n"/>
      <c r="J4170" s="123" t="n"/>
      <c r="K4170" s="123" t="n"/>
      <c r="L4170" s="123" t="n"/>
      <c r="M4170" s="123">
        <f>IF(AND(B4170&lt;&gt;"",OR($C$4="",ISNUMBER(SEARCH($C$4,C4170&amp;" "&amp;E4170&amp;" "&amp;G4170&amp;" "&amp;H4170&amp;" "&amp;I4170&amp;" "&amp;J4170&amp;" "&amp;K4170&amp;" "&amp;L4170))),OR($C$5="Semua",$C$5="",G4170=$C$5),OR($C$6="Semua",$C$6="",H4170=$C$6,H4170="Pengeluaran "&amp;$C$6,AND($C$6="Uang Kos Mama",H4170="Pengeluaran Uang Kos")),OR($C$7="Semua",$C$7="",I4170=$C$7),OR($C$8="Semua",$C$8="",C4170=$C$8,E4170=$C$8),OR($C$9="Semua",$C$9="",D4170=$C$9),OR($C$10="",B4170&gt;=$C$10),OR($C$11="",B4170&lt;=$C$11),OR($C$12&lt;&gt;"Ya",K4170&lt;&gt;""),OR($C$13="Semua",$C$13="",L4170=$C$13)),"✓","")</f>
        <v/>
      </c>
      <c r="N4170" s="93">
        <f>N(N4169)+IF(M4170="✓",1,0)</f>
        <v/>
      </c>
      <c r="O4170" s="93">
        <f>N(O4169)+IF(AND(B4170&lt;&gt;"",B4170&gt;='Uang Riba'!$H$30,B4170&lt;='Uang Riba'!$I$30,OR(H4170="Dana riba",H4170="Pinjam uang riba",I4170="Pinjam dari uang riba",I4170="Ganti uang riba",I4170="Kelebihan ganti dikembalikan",AND(C4170="Kantong Uang Riba",G4170="Pengeluaran"))),1,0)</f>
        <v/>
      </c>
      <c r="X4170" s="93">
        <f>IF(AND(B4170&lt;&gt;"",B4170&gt;='Buku Akun'!$H$4,B4170&lt;='Buku Akun'!$H$5,OR(C4170='Buku Akun'!$C$4,AND(D4170="Pindah",E4170='Buku Akun'!$C$4))),B4170+IF(AND(I4170="Selisih bunga",DAY(B4170)=1),0,0.01)+ROW()/10000000,"")</f>
        <v/>
      </c>
    </row>
    <row r="4171" outlineLevel="1" ht="15" customHeight="1" s="94">
      <c r="A4171" s="123">
        <f>IF(B4171="","",ROW()-15)</f>
        <v/>
      </c>
      <c r="B4171" s="124" t="n"/>
      <c r="C4171" s="123" t="n"/>
      <c r="D4171" s="123" t="n"/>
      <c r="E4171" s="123" t="n"/>
      <c r="F4171" s="125" t="n"/>
      <c r="G4171" s="123" t="n"/>
      <c r="H4171" s="123" t="n"/>
      <c r="I4171" s="123" t="n"/>
      <c r="J4171" s="123" t="n"/>
      <c r="K4171" s="123" t="n"/>
      <c r="L4171" s="123" t="n"/>
      <c r="M4171" s="123">
        <f>IF(AND(B4171&lt;&gt;"",OR($C$4="",ISNUMBER(SEARCH($C$4,C4171&amp;" "&amp;E4171&amp;" "&amp;G4171&amp;" "&amp;H4171&amp;" "&amp;I4171&amp;" "&amp;J4171&amp;" "&amp;K4171&amp;" "&amp;L4171))),OR($C$5="Semua",$C$5="",G4171=$C$5),OR($C$6="Semua",$C$6="",H4171=$C$6,H4171="Pengeluaran "&amp;$C$6,AND($C$6="Uang Kos Mama",H4171="Pengeluaran Uang Kos")),OR($C$7="Semua",$C$7="",I4171=$C$7),OR($C$8="Semua",$C$8="",C4171=$C$8,E4171=$C$8),OR($C$9="Semua",$C$9="",D4171=$C$9),OR($C$10="",B4171&gt;=$C$10),OR($C$11="",B4171&lt;=$C$11),OR($C$12&lt;&gt;"Ya",K4171&lt;&gt;""),OR($C$13="Semua",$C$13="",L4171=$C$13)),"✓","")</f>
        <v/>
      </c>
      <c r="N4171" s="93">
        <f>N(N4170)+IF(M4171="✓",1,0)</f>
        <v/>
      </c>
      <c r="O4171" s="93">
        <f>N(O4170)+IF(AND(B4171&lt;&gt;"",B4171&gt;='Uang Riba'!$H$30,B4171&lt;='Uang Riba'!$I$30,OR(H4171="Dana riba",H4171="Pinjam uang riba",I4171="Pinjam dari uang riba",I4171="Ganti uang riba",I4171="Kelebihan ganti dikembalikan",AND(C4171="Kantong Uang Riba",G4171="Pengeluaran"))),1,0)</f>
        <v/>
      </c>
      <c r="X4171" s="93">
        <f>IF(AND(B4171&lt;&gt;"",B4171&gt;='Buku Akun'!$H$4,B4171&lt;='Buku Akun'!$H$5,OR(C4171='Buku Akun'!$C$4,AND(D4171="Pindah",E4171='Buku Akun'!$C$4))),B4171+IF(AND(I4171="Selisih bunga",DAY(B4171)=1),0,0.01)+ROW()/10000000,"")</f>
        <v/>
      </c>
    </row>
    <row r="4172" outlineLevel="1" ht="15" customHeight="1" s="94">
      <c r="A4172" s="123">
        <f>IF(B4172="","",ROW()-15)</f>
        <v/>
      </c>
      <c r="B4172" s="124" t="n"/>
      <c r="C4172" s="123" t="n"/>
      <c r="D4172" s="123" t="n"/>
      <c r="E4172" s="123" t="n"/>
      <c r="F4172" s="125" t="n"/>
      <c r="G4172" s="123" t="n"/>
      <c r="H4172" s="123" t="n"/>
      <c r="I4172" s="123" t="n"/>
      <c r="J4172" s="123" t="n"/>
      <c r="K4172" s="123" t="n"/>
      <c r="L4172" s="123" t="n"/>
      <c r="M4172" s="123">
        <f>IF(AND(B4172&lt;&gt;"",OR($C$4="",ISNUMBER(SEARCH($C$4,C4172&amp;" "&amp;E4172&amp;" "&amp;G4172&amp;" "&amp;H4172&amp;" "&amp;I4172&amp;" "&amp;J4172&amp;" "&amp;K4172&amp;" "&amp;L4172))),OR($C$5="Semua",$C$5="",G4172=$C$5),OR($C$6="Semua",$C$6="",H4172=$C$6,H4172="Pengeluaran "&amp;$C$6,AND($C$6="Uang Kos Mama",H4172="Pengeluaran Uang Kos")),OR($C$7="Semua",$C$7="",I4172=$C$7),OR($C$8="Semua",$C$8="",C4172=$C$8,E4172=$C$8),OR($C$9="Semua",$C$9="",D4172=$C$9),OR($C$10="",B4172&gt;=$C$10),OR($C$11="",B4172&lt;=$C$11),OR($C$12&lt;&gt;"Ya",K4172&lt;&gt;""),OR($C$13="Semua",$C$13="",L4172=$C$13)),"✓","")</f>
        <v/>
      </c>
      <c r="N4172" s="93">
        <f>N(N4171)+IF(M4172="✓",1,0)</f>
        <v/>
      </c>
      <c r="O4172" s="93">
        <f>N(O4171)+IF(AND(B4172&lt;&gt;"",B4172&gt;='Uang Riba'!$H$30,B4172&lt;='Uang Riba'!$I$30,OR(H4172="Dana riba",H4172="Pinjam uang riba",I4172="Pinjam dari uang riba",I4172="Ganti uang riba",I4172="Kelebihan ganti dikembalikan",AND(C4172="Kantong Uang Riba",G4172="Pengeluaran"))),1,0)</f>
        <v/>
      </c>
      <c r="X4172" s="93">
        <f>IF(AND(B4172&lt;&gt;"",B4172&gt;='Buku Akun'!$H$4,B4172&lt;='Buku Akun'!$H$5,OR(C4172='Buku Akun'!$C$4,AND(D4172="Pindah",E4172='Buku Akun'!$C$4))),B4172+IF(AND(I4172="Selisih bunga",DAY(B4172)=1),0,0.01)+ROW()/10000000,"")</f>
        <v/>
      </c>
    </row>
    <row r="4173" outlineLevel="1" ht="15" customHeight="1" s="94">
      <c r="A4173" s="123">
        <f>IF(B4173="","",ROW()-15)</f>
        <v/>
      </c>
      <c r="B4173" s="124" t="n"/>
      <c r="C4173" s="123" t="n"/>
      <c r="D4173" s="123" t="n"/>
      <c r="E4173" s="123" t="n"/>
      <c r="F4173" s="125" t="n"/>
      <c r="G4173" s="123" t="n"/>
      <c r="H4173" s="123" t="n"/>
      <c r="I4173" s="123" t="n"/>
      <c r="J4173" s="123" t="n"/>
      <c r="K4173" s="123" t="n"/>
      <c r="L4173" s="123" t="n"/>
      <c r="M4173" s="123">
        <f>IF(AND(B4173&lt;&gt;"",OR($C$4="",ISNUMBER(SEARCH($C$4,C4173&amp;" "&amp;E4173&amp;" "&amp;G4173&amp;" "&amp;H4173&amp;" "&amp;I4173&amp;" "&amp;J4173&amp;" "&amp;K4173&amp;" "&amp;L4173))),OR($C$5="Semua",$C$5="",G4173=$C$5),OR($C$6="Semua",$C$6="",H4173=$C$6,H4173="Pengeluaran "&amp;$C$6,AND($C$6="Uang Kos Mama",H4173="Pengeluaran Uang Kos")),OR($C$7="Semua",$C$7="",I4173=$C$7),OR($C$8="Semua",$C$8="",C4173=$C$8,E4173=$C$8),OR($C$9="Semua",$C$9="",D4173=$C$9),OR($C$10="",B4173&gt;=$C$10),OR($C$11="",B4173&lt;=$C$11),OR($C$12&lt;&gt;"Ya",K4173&lt;&gt;""),OR($C$13="Semua",$C$13="",L4173=$C$13)),"✓","")</f>
        <v/>
      </c>
      <c r="N4173" s="93">
        <f>N(N4172)+IF(M4173="✓",1,0)</f>
        <v/>
      </c>
      <c r="O4173" s="93">
        <f>N(O4172)+IF(AND(B4173&lt;&gt;"",B4173&gt;='Uang Riba'!$H$30,B4173&lt;='Uang Riba'!$I$30,OR(H4173="Dana riba",H4173="Pinjam uang riba",I4173="Pinjam dari uang riba",I4173="Ganti uang riba",I4173="Kelebihan ganti dikembalikan",AND(C4173="Kantong Uang Riba",G4173="Pengeluaran"))),1,0)</f>
        <v/>
      </c>
      <c r="X4173" s="93">
        <f>IF(AND(B4173&lt;&gt;"",B4173&gt;='Buku Akun'!$H$4,B4173&lt;='Buku Akun'!$H$5,OR(C4173='Buku Akun'!$C$4,AND(D4173="Pindah",E4173='Buku Akun'!$C$4))),B4173+IF(AND(I4173="Selisih bunga",DAY(B4173)=1),0,0.01)+ROW()/10000000,"")</f>
        <v/>
      </c>
    </row>
    <row r="4174" outlineLevel="1" ht="15" customHeight="1" s="94">
      <c r="A4174" s="123">
        <f>IF(B4174="","",ROW()-15)</f>
        <v/>
      </c>
      <c r="B4174" s="124" t="n"/>
      <c r="C4174" s="123" t="n"/>
      <c r="D4174" s="123" t="n"/>
      <c r="E4174" s="123" t="n"/>
      <c r="F4174" s="125" t="n"/>
      <c r="G4174" s="123" t="n"/>
      <c r="H4174" s="123" t="n"/>
      <c r="I4174" s="123" t="n"/>
      <c r="J4174" s="123" t="n"/>
      <c r="K4174" s="123" t="n"/>
      <c r="L4174" s="123" t="n"/>
      <c r="M4174" s="123">
        <f>IF(AND(B4174&lt;&gt;"",OR($C$4="",ISNUMBER(SEARCH($C$4,C4174&amp;" "&amp;E4174&amp;" "&amp;G4174&amp;" "&amp;H4174&amp;" "&amp;I4174&amp;" "&amp;J4174&amp;" "&amp;K4174&amp;" "&amp;L4174))),OR($C$5="Semua",$C$5="",G4174=$C$5),OR($C$6="Semua",$C$6="",H4174=$C$6,H4174="Pengeluaran "&amp;$C$6,AND($C$6="Uang Kos Mama",H4174="Pengeluaran Uang Kos")),OR($C$7="Semua",$C$7="",I4174=$C$7),OR($C$8="Semua",$C$8="",C4174=$C$8,E4174=$C$8),OR($C$9="Semua",$C$9="",D4174=$C$9),OR($C$10="",B4174&gt;=$C$10),OR($C$11="",B4174&lt;=$C$11),OR($C$12&lt;&gt;"Ya",K4174&lt;&gt;""),OR($C$13="Semua",$C$13="",L4174=$C$13)),"✓","")</f>
        <v/>
      </c>
      <c r="N4174" s="93">
        <f>N(N4173)+IF(M4174="✓",1,0)</f>
        <v/>
      </c>
      <c r="O4174" s="93">
        <f>N(O4173)+IF(AND(B4174&lt;&gt;"",B4174&gt;='Uang Riba'!$H$30,B4174&lt;='Uang Riba'!$I$30,OR(H4174="Dana riba",H4174="Pinjam uang riba",I4174="Pinjam dari uang riba",I4174="Ganti uang riba",I4174="Kelebihan ganti dikembalikan",AND(C4174="Kantong Uang Riba",G4174="Pengeluaran"))),1,0)</f>
        <v/>
      </c>
      <c r="X4174" s="93">
        <f>IF(AND(B4174&lt;&gt;"",B4174&gt;='Buku Akun'!$H$4,B4174&lt;='Buku Akun'!$H$5,OR(C4174='Buku Akun'!$C$4,AND(D4174="Pindah",E4174='Buku Akun'!$C$4))),B4174+IF(AND(I4174="Selisih bunga",DAY(B4174)=1),0,0.01)+ROW()/10000000,"")</f>
        <v/>
      </c>
    </row>
    <row r="4175" outlineLevel="1" ht="15" customHeight="1" s="94">
      <c r="A4175" s="123">
        <f>IF(B4175="","",ROW()-15)</f>
        <v/>
      </c>
      <c r="B4175" s="124" t="n"/>
      <c r="C4175" s="123" t="n"/>
      <c r="D4175" s="123" t="n"/>
      <c r="E4175" s="123" t="n"/>
      <c r="F4175" s="125" t="n"/>
      <c r="G4175" s="123" t="n"/>
      <c r="H4175" s="123" t="n"/>
      <c r="I4175" s="123" t="n"/>
      <c r="J4175" s="123" t="n"/>
      <c r="K4175" s="123" t="n"/>
      <c r="L4175" s="123" t="n"/>
      <c r="M4175" s="123">
        <f>IF(AND(B4175&lt;&gt;"",OR($C$4="",ISNUMBER(SEARCH($C$4,C4175&amp;" "&amp;E4175&amp;" "&amp;G4175&amp;" "&amp;H4175&amp;" "&amp;I4175&amp;" "&amp;J4175&amp;" "&amp;K4175&amp;" "&amp;L4175))),OR($C$5="Semua",$C$5="",G4175=$C$5),OR($C$6="Semua",$C$6="",H4175=$C$6,H4175="Pengeluaran "&amp;$C$6,AND($C$6="Uang Kos Mama",H4175="Pengeluaran Uang Kos")),OR($C$7="Semua",$C$7="",I4175=$C$7),OR($C$8="Semua",$C$8="",C4175=$C$8,E4175=$C$8),OR($C$9="Semua",$C$9="",D4175=$C$9),OR($C$10="",B4175&gt;=$C$10),OR($C$11="",B4175&lt;=$C$11),OR($C$12&lt;&gt;"Ya",K4175&lt;&gt;""),OR($C$13="Semua",$C$13="",L4175=$C$13)),"✓","")</f>
        <v/>
      </c>
      <c r="N4175" s="93">
        <f>N(N4174)+IF(M4175="✓",1,0)</f>
        <v/>
      </c>
      <c r="O4175" s="93">
        <f>N(O4174)+IF(AND(B4175&lt;&gt;"",B4175&gt;='Uang Riba'!$H$30,B4175&lt;='Uang Riba'!$I$30,OR(H4175="Dana riba",H4175="Pinjam uang riba",I4175="Pinjam dari uang riba",I4175="Ganti uang riba",I4175="Kelebihan ganti dikembalikan",AND(C4175="Kantong Uang Riba",G4175="Pengeluaran"))),1,0)</f>
        <v/>
      </c>
      <c r="X4175" s="93">
        <f>IF(AND(B4175&lt;&gt;"",B4175&gt;='Buku Akun'!$H$4,B4175&lt;='Buku Akun'!$H$5,OR(C4175='Buku Akun'!$C$4,AND(D4175="Pindah",E4175='Buku Akun'!$C$4))),B4175+IF(AND(I4175="Selisih bunga",DAY(B4175)=1),0,0.01)+ROW()/10000000,"")</f>
        <v/>
      </c>
    </row>
    <row r="4176" outlineLevel="1" ht="15" customHeight="1" s="94">
      <c r="A4176" s="123">
        <f>IF(B4176="","",ROW()-15)</f>
        <v/>
      </c>
      <c r="B4176" s="124" t="n"/>
      <c r="C4176" s="123" t="n"/>
      <c r="D4176" s="123" t="n"/>
      <c r="E4176" s="123" t="n"/>
      <c r="F4176" s="125" t="n"/>
      <c r="G4176" s="123" t="n"/>
      <c r="H4176" s="123" t="n"/>
      <c r="I4176" s="123" t="n"/>
      <c r="J4176" s="123" t="n"/>
      <c r="K4176" s="123" t="n"/>
      <c r="L4176" s="123" t="n"/>
      <c r="M4176" s="123">
        <f>IF(AND(B4176&lt;&gt;"",OR($C$4="",ISNUMBER(SEARCH($C$4,C4176&amp;" "&amp;E4176&amp;" "&amp;G4176&amp;" "&amp;H4176&amp;" "&amp;I4176&amp;" "&amp;J4176&amp;" "&amp;K4176&amp;" "&amp;L4176))),OR($C$5="Semua",$C$5="",G4176=$C$5),OR($C$6="Semua",$C$6="",H4176=$C$6,H4176="Pengeluaran "&amp;$C$6,AND($C$6="Uang Kos Mama",H4176="Pengeluaran Uang Kos")),OR($C$7="Semua",$C$7="",I4176=$C$7),OR($C$8="Semua",$C$8="",C4176=$C$8,E4176=$C$8),OR($C$9="Semua",$C$9="",D4176=$C$9),OR($C$10="",B4176&gt;=$C$10),OR($C$11="",B4176&lt;=$C$11),OR($C$12&lt;&gt;"Ya",K4176&lt;&gt;""),OR($C$13="Semua",$C$13="",L4176=$C$13)),"✓","")</f>
        <v/>
      </c>
      <c r="N4176" s="93">
        <f>N(N4175)+IF(M4176="✓",1,0)</f>
        <v/>
      </c>
      <c r="O4176" s="93">
        <f>N(O4175)+IF(AND(B4176&lt;&gt;"",B4176&gt;='Uang Riba'!$H$30,B4176&lt;='Uang Riba'!$I$30,OR(H4176="Dana riba",H4176="Pinjam uang riba",I4176="Pinjam dari uang riba",I4176="Ganti uang riba",I4176="Kelebihan ganti dikembalikan",AND(C4176="Kantong Uang Riba",G4176="Pengeluaran"))),1,0)</f>
        <v/>
      </c>
      <c r="X4176" s="93">
        <f>IF(AND(B4176&lt;&gt;"",B4176&gt;='Buku Akun'!$H$4,B4176&lt;='Buku Akun'!$H$5,OR(C4176='Buku Akun'!$C$4,AND(D4176="Pindah",E4176='Buku Akun'!$C$4))),B4176+IF(AND(I4176="Selisih bunga",DAY(B4176)=1),0,0.01)+ROW()/10000000,"")</f>
        <v/>
      </c>
    </row>
    <row r="4177" outlineLevel="1" ht="15" customHeight="1" s="94">
      <c r="A4177" s="123">
        <f>IF(B4177="","",ROW()-15)</f>
        <v/>
      </c>
      <c r="B4177" s="124" t="n"/>
      <c r="C4177" s="123" t="n"/>
      <c r="D4177" s="123" t="n"/>
      <c r="E4177" s="123" t="n"/>
      <c r="F4177" s="125" t="n"/>
      <c r="G4177" s="123" t="n"/>
      <c r="H4177" s="123" t="n"/>
      <c r="I4177" s="123" t="n"/>
      <c r="J4177" s="123" t="n"/>
      <c r="K4177" s="123" t="n"/>
      <c r="L4177" s="123" t="n"/>
      <c r="M4177" s="123">
        <f>IF(AND(B4177&lt;&gt;"",OR($C$4="",ISNUMBER(SEARCH($C$4,C4177&amp;" "&amp;E4177&amp;" "&amp;G4177&amp;" "&amp;H4177&amp;" "&amp;I4177&amp;" "&amp;J4177&amp;" "&amp;K4177&amp;" "&amp;L4177))),OR($C$5="Semua",$C$5="",G4177=$C$5),OR($C$6="Semua",$C$6="",H4177=$C$6,H4177="Pengeluaran "&amp;$C$6,AND($C$6="Uang Kos Mama",H4177="Pengeluaran Uang Kos")),OR($C$7="Semua",$C$7="",I4177=$C$7),OR($C$8="Semua",$C$8="",C4177=$C$8,E4177=$C$8),OR($C$9="Semua",$C$9="",D4177=$C$9),OR($C$10="",B4177&gt;=$C$10),OR($C$11="",B4177&lt;=$C$11),OR($C$12&lt;&gt;"Ya",K4177&lt;&gt;""),OR($C$13="Semua",$C$13="",L4177=$C$13)),"✓","")</f>
        <v/>
      </c>
      <c r="N4177" s="93">
        <f>N(N4176)+IF(M4177="✓",1,0)</f>
        <v/>
      </c>
      <c r="O4177" s="93">
        <f>N(O4176)+IF(AND(B4177&lt;&gt;"",B4177&gt;='Uang Riba'!$H$30,B4177&lt;='Uang Riba'!$I$30,OR(H4177="Dana riba",H4177="Pinjam uang riba",I4177="Pinjam dari uang riba",I4177="Ganti uang riba",I4177="Kelebihan ganti dikembalikan",AND(C4177="Kantong Uang Riba",G4177="Pengeluaran"))),1,0)</f>
        <v/>
      </c>
      <c r="X4177" s="93">
        <f>IF(AND(B4177&lt;&gt;"",B4177&gt;='Buku Akun'!$H$4,B4177&lt;='Buku Akun'!$H$5,OR(C4177='Buku Akun'!$C$4,AND(D4177="Pindah",E4177='Buku Akun'!$C$4))),B4177+IF(AND(I4177="Selisih bunga",DAY(B4177)=1),0,0.01)+ROW()/10000000,"")</f>
        <v/>
      </c>
    </row>
    <row r="4178" outlineLevel="1" ht="15" customHeight="1" s="94">
      <c r="A4178" s="123">
        <f>IF(B4178="","",ROW()-15)</f>
        <v/>
      </c>
      <c r="B4178" s="124" t="n"/>
      <c r="C4178" s="123" t="n"/>
      <c r="D4178" s="123" t="n"/>
      <c r="E4178" s="123" t="n"/>
      <c r="F4178" s="125" t="n"/>
      <c r="G4178" s="123" t="n"/>
      <c r="H4178" s="123" t="n"/>
      <c r="I4178" s="123" t="n"/>
      <c r="J4178" s="123" t="n"/>
      <c r="K4178" s="123" t="n"/>
      <c r="L4178" s="123" t="n"/>
      <c r="M4178" s="123">
        <f>IF(AND(B4178&lt;&gt;"",OR($C$4="",ISNUMBER(SEARCH($C$4,C4178&amp;" "&amp;E4178&amp;" "&amp;G4178&amp;" "&amp;H4178&amp;" "&amp;I4178&amp;" "&amp;J4178&amp;" "&amp;K4178&amp;" "&amp;L4178))),OR($C$5="Semua",$C$5="",G4178=$C$5),OR($C$6="Semua",$C$6="",H4178=$C$6,H4178="Pengeluaran "&amp;$C$6,AND($C$6="Uang Kos Mama",H4178="Pengeluaran Uang Kos")),OR($C$7="Semua",$C$7="",I4178=$C$7),OR($C$8="Semua",$C$8="",C4178=$C$8,E4178=$C$8),OR($C$9="Semua",$C$9="",D4178=$C$9),OR($C$10="",B4178&gt;=$C$10),OR($C$11="",B4178&lt;=$C$11),OR($C$12&lt;&gt;"Ya",K4178&lt;&gt;""),OR($C$13="Semua",$C$13="",L4178=$C$13)),"✓","")</f>
        <v/>
      </c>
      <c r="N4178" s="93">
        <f>N(N4177)+IF(M4178="✓",1,0)</f>
        <v/>
      </c>
      <c r="O4178" s="93">
        <f>N(O4177)+IF(AND(B4178&lt;&gt;"",B4178&gt;='Uang Riba'!$H$30,B4178&lt;='Uang Riba'!$I$30,OR(H4178="Dana riba",H4178="Pinjam uang riba",I4178="Pinjam dari uang riba",I4178="Ganti uang riba",I4178="Kelebihan ganti dikembalikan",AND(C4178="Kantong Uang Riba",G4178="Pengeluaran"))),1,0)</f>
        <v/>
      </c>
      <c r="X4178" s="93">
        <f>IF(AND(B4178&lt;&gt;"",B4178&gt;='Buku Akun'!$H$4,B4178&lt;='Buku Akun'!$H$5,OR(C4178='Buku Akun'!$C$4,AND(D4178="Pindah",E4178='Buku Akun'!$C$4))),B4178+IF(AND(I4178="Selisih bunga",DAY(B4178)=1),0,0.01)+ROW()/10000000,"")</f>
        <v/>
      </c>
    </row>
    <row r="4179" outlineLevel="1" ht="15" customHeight="1" s="94">
      <c r="A4179" s="123">
        <f>IF(B4179="","",ROW()-15)</f>
        <v/>
      </c>
      <c r="B4179" s="124" t="n"/>
      <c r="C4179" s="123" t="n"/>
      <c r="D4179" s="123" t="n"/>
      <c r="E4179" s="123" t="n"/>
      <c r="F4179" s="125" t="n"/>
      <c r="G4179" s="123" t="n"/>
      <c r="H4179" s="123" t="n"/>
      <c r="I4179" s="123" t="n"/>
      <c r="J4179" s="123" t="n"/>
      <c r="K4179" s="123" t="n"/>
      <c r="L4179" s="123" t="n"/>
      <c r="M4179" s="123">
        <f>IF(AND(B4179&lt;&gt;"",OR($C$4="",ISNUMBER(SEARCH($C$4,C4179&amp;" "&amp;E4179&amp;" "&amp;G4179&amp;" "&amp;H4179&amp;" "&amp;I4179&amp;" "&amp;J4179&amp;" "&amp;K4179&amp;" "&amp;L4179))),OR($C$5="Semua",$C$5="",G4179=$C$5),OR($C$6="Semua",$C$6="",H4179=$C$6,H4179="Pengeluaran "&amp;$C$6,AND($C$6="Uang Kos Mama",H4179="Pengeluaran Uang Kos")),OR($C$7="Semua",$C$7="",I4179=$C$7),OR($C$8="Semua",$C$8="",C4179=$C$8,E4179=$C$8),OR($C$9="Semua",$C$9="",D4179=$C$9),OR($C$10="",B4179&gt;=$C$10),OR($C$11="",B4179&lt;=$C$11),OR($C$12&lt;&gt;"Ya",K4179&lt;&gt;""),OR($C$13="Semua",$C$13="",L4179=$C$13)),"✓","")</f>
        <v/>
      </c>
      <c r="N4179" s="93">
        <f>N(N4178)+IF(M4179="✓",1,0)</f>
        <v/>
      </c>
      <c r="O4179" s="93">
        <f>N(O4178)+IF(AND(B4179&lt;&gt;"",B4179&gt;='Uang Riba'!$H$30,B4179&lt;='Uang Riba'!$I$30,OR(H4179="Dana riba",H4179="Pinjam uang riba",I4179="Pinjam dari uang riba",I4179="Ganti uang riba",I4179="Kelebihan ganti dikembalikan",AND(C4179="Kantong Uang Riba",G4179="Pengeluaran"))),1,0)</f>
        <v/>
      </c>
      <c r="X4179" s="93">
        <f>IF(AND(B4179&lt;&gt;"",B4179&gt;='Buku Akun'!$H$4,B4179&lt;='Buku Akun'!$H$5,OR(C4179='Buku Akun'!$C$4,AND(D4179="Pindah",E4179='Buku Akun'!$C$4))),B4179+IF(AND(I4179="Selisih bunga",DAY(B4179)=1),0,0.01)+ROW()/10000000,"")</f>
        <v/>
      </c>
    </row>
    <row r="4180" outlineLevel="1" ht="15" customHeight="1" s="94">
      <c r="A4180" s="123">
        <f>IF(B4180="","",ROW()-15)</f>
        <v/>
      </c>
      <c r="B4180" s="124" t="n"/>
      <c r="C4180" s="123" t="n"/>
      <c r="D4180" s="123" t="n"/>
      <c r="E4180" s="123" t="n"/>
      <c r="F4180" s="125" t="n"/>
      <c r="G4180" s="123" t="n"/>
      <c r="H4180" s="123" t="n"/>
      <c r="I4180" s="123" t="n"/>
      <c r="J4180" s="123" t="n"/>
      <c r="K4180" s="123" t="n"/>
      <c r="L4180" s="123" t="n"/>
      <c r="M4180" s="123">
        <f>IF(AND(B4180&lt;&gt;"",OR($C$4="",ISNUMBER(SEARCH($C$4,C4180&amp;" "&amp;E4180&amp;" "&amp;G4180&amp;" "&amp;H4180&amp;" "&amp;I4180&amp;" "&amp;J4180&amp;" "&amp;K4180&amp;" "&amp;L4180))),OR($C$5="Semua",$C$5="",G4180=$C$5),OR($C$6="Semua",$C$6="",H4180=$C$6,H4180="Pengeluaran "&amp;$C$6,AND($C$6="Uang Kos Mama",H4180="Pengeluaran Uang Kos")),OR($C$7="Semua",$C$7="",I4180=$C$7),OR($C$8="Semua",$C$8="",C4180=$C$8,E4180=$C$8),OR($C$9="Semua",$C$9="",D4180=$C$9),OR($C$10="",B4180&gt;=$C$10),OR($C$11="",B4180&lt;=$C$11),OR($C$12&lt;&gt;"Ya",K4180&lt;&gt;""),OR($C$13="Semua",$C$13="",L4180=$C$13)),"✓","")</f>
        <v/>
      </c>
      <c r="N4180" s="93">
        <f>N(N4179)+IF(M4180="✓",1,0)</f>
        <v/>
      </c>
      <c r="O4180" s="93">
        <f>N(O4179)+IF(AND(B4180&lt;&gt;"",B4180&gt;='Uang Riba'!$H$30,B4180&lt;='Uang Riba'!$I$30,OR(H4180="Dana riba",H4180="Pinjam uang riba",I4180="Pinjam dari uang riba",I4180="Ganti uang riba",I4180="Kelebihan ganti dikembalikan",AND(C4180="Kantong Uang Riba",G4180="Pengeluaran"))),1,0)</f>
        <v/>
      </c>
      <c r="X4180" s="93">
        <f>IF(AND(B4180&lt;&gt;"",B4180&gt;='Buku Akun'!$H$4,B4180&lt;='Buku Akun'!$H$5,OR(C4180='Buku Akun'!$C$4,AND(D4180="Pindah",E4180='Buku Akun'!$C$4))),B4180+IF(AND(I4180="Selisih bunga",DAY(B4180)=1),0,0.01)+ROW()/10000000,"")</f>
        <v/>
      </c>
    </row>
    <row r="4181" outlineLevel="1" ht="15" customHeight="1" s="94">
      <c r="A4181" s="123">
        <f>IF(B4181="","",ROW()-15)</f>
        <v/>
      </c>
      <c r="B4181" s="124" t="n"/>
      <c r="C4181" s="123" t="n"/>
      <c r="D4181" s="123" t="n"/>
      <c r="E4181" s="123" t="n"/>
      <c r="F4181" s="125" t="n"/>
      <c r="G4181" s="123" t="n"/>
      <c r="H4181" s="123" t="n"/>
      <c r="I4181" s="123" t="n"/>
      <c r="J4181" s="123" t="n"/>
      <c r="K4181" s="123" t="n"/>
      <c r="L4181" s="123" t="n"/>
      <c r="M4181" s="123">
        <f>IF(AND(B4181&lt;&gt;"",OR($C$4="",ISNUMBER(SEARCH($C$4,C4181&amp;" "&amp;E4181&amp;" "&amp;G4181&amp;" "&amp;H4181&amp;" "&amp;I4181&amp;" "&amp;J4181&amp;" "&amp;K4181&amp;" "&amp;L4181))),OR($C$5="Semua",$C$5="",G4181=$C$5),OR($C$6="Semua",$C$6="",H4181=$C$6,H4181="Pengeluaran "&amp;$C$6,AND($C$6="Uang Kos Mama",H4181="Pengeluaran Uang Kos")),OR($C$7="Semua",$C$7="",I4181=$C$7),OR($C$8="Semua",$C$8="",C4181=$C$8,E4181=$C$8),OR($C$9="Semua",$C$9="",D4181=$C$9),OR($C$10="",B4181&gt;=$C$10),OR($C$11="",B4181&lt;=$C$11),OR($C$12&lt;&gt;"Ya",K4181&lt;&gt;""),OR($C$13="Semua",$C$13="",L4181=$C$13)),"✓","")</f>
        <v/>
      </c>
      <c r="N4181" s="93">
        <f>N(N4180)+IF(M4181="✓",1,0)</f>
        <v/>
      </c>
      <c r="O4181" s="93">
        <f>N(O4180)+IF(AND(B4181&lt;&gt;"",B4181&gt;='Uang Riba'!$H$30,B4181&lt;='Uang Riba'!$I$30,OR(H4181="Dana riba",H4181="Pinjam uang riba",I4181="Pinjam dari uang riba",I4181="Ganti uang riba",I4181="Kelebihan ganti dikembalikan",AND(C4181="Kantong Uang Riba",G4181="Pengeluaran"))),1,0)</f>
        <v/>
      </c>
      <c r="X4181" s="93">
        <f>IF(AND(B4181&lt;&gt;"",B4181&gt;='Buku Akun'!$H$4,B4181&lt;='Buku Akun'!$H$5,OR(C4181='Buku Akun'!$C$4,AND(D4181="Pindah",E4181='Buku Akun'!$C$4))),B4181+IF(AND(I4181="Selisih bunga",DAY(B4181)=1),0,0.01)+ROW()/10000000,"")</f>
        <v/>
      </c>
    </row>
    <row r="4182" outlineLevel="1" ht="15" customHeight="1" s="94">
      <c r="A4182" s="123">
        <f>IF(B4182="","",ROW()-15)</f>
        <v/>
      </c>
      <c r="B4182" s="124" t="n"/>
      <c r="C4182" s="123" t="n"/>
      <c r="D4182" s="123" t="n"/>
      <c r="E4182" s="123" t="n"/>
      <c r="F4182" s="125" t="n"/>
      <c r="G4182" s="123" t="n"/>
      <c r="H4182" s="123" t="n"/>
      <c r="I4182" s="123" t="n"/>
      <c r="J4182" s="123" t="n"/>
      <c r="K4182" s="123" t="n"/>
      <c r="L4182" s="123" t="n"/>
      <c r="M4182" s="123">
        <f>IF(AND(B4182&lt;&gt;"",OR($C$4="",ISNUMBER(SEARCH($C$4,C4182&amp;" "&amp;E4182&amp;" "&amp;G4182&amp;" "&amp;H4182&amp;" "&amp;I4182&amp;" "&amp;J4182&amp;" "&amp;K4182&amp;" "&amp;L4182))),OR($C$5="Semua",$C$5="",G4182=$C$5),OR($C$6="Semua",$C$6="",H4182=$C$6,H4182="Pengeluaran "&amp;$C$6,AND($C$6="Uang Kos Mama",H4182="Pengeluaran Uang Kos")),OR($C$7="Semua",$C$7="",I4182=$C$7),OR($C$8="Semua",$C$8="",C4182=$C$8,E4182=$C$8),OR($C$9="Semua",$C$9="",D4182=$C$9),OR($C$10="",B4182&gt;=$C$10),OR($C$11="",B4182&lt;=$C$11),OR($C$12&lt;&gt;"Ya",K4182&lt;&gt;""),OR($C$13="Semua",$C$13="",L4182=$C$13)),"✓","")</f>
        <v/>
      </c>
      <c r="N4182" s="93">
        <f>N(N4181)+IF(M4182="✓",1,0)</f>
        <v/>
      </c>
      <c r="O4182" s="93">
        <f>N(O4181)+IF(AND(B4182&lt;&gt;"",B4182&gt;='Uang Riba'!$H$30,B4182&lt;='Uang Riba'!$I$30,OR(H4182="Dana riba",H4182="Pinjam uang riba",I4182="Pinjam dari uang riba",I4182="Ganti uang riba",I4182="Kelebihan ganti dikembalikan",AND(C4182="Kantong Uang Riba",G4182="Pengeluaran"))),1,0)</f>
        <v/>
      </c>
      <c r="X4182" s="93">
        <f>IF(AND(B4182&lt;&gt;"",B4182&gt;='Buku Akun'!$H$4,B4182&lt;='Buku Akun'!$H$5,OR(C4182='Buku Akun'!$C$4,AND(D4182="Pindah",E4182='Buku Akun'!$C$4))),B4182+IF(AND(I4182="Selisih bunga",DAY(B4182)=1),0,0.01)+ROW()/10000000,"")</f>
        <v/>
      </c>
    </row>
    <row r="4183" outlineLevel="1" ht="15" customHeight="1" s="94">
      <c r="A4183" s="123">
        <f>IF(B4183="","",ROW()-15)</f>
        <v/>
      </c>
      <c r="B4183" s="124" t="n"/>
      <c r="C4183" s="123" t="n"/>
      <c r="D4183" s="123" t="n"/>
      <c r="E4183" s="123" t="n"/>
      <c r="F4183" s="125" t="n"/>
      <c r="G4183" s="123" t="n"/>
      <c r="H4183" s="123" t="n"/>
      <c r="I4183" s="123" t="n"/>
      <c r="J4183" s="123" t="n"/>
      <c r="K4183" s="123" t="n"/>
      <c r="L4183" s="123" t="n"/>
      <c r="M4183" s="123">
        <f>IF(AND(B4183&lt;&gt;"",OR($C$4="",ISNUMBER(SEARCH($C$4,C4183&amp;" "&amp;E4183&amp;" "&amp;G4183&amp;" "&amp;H4183&amp;" "&amp;I4183&amp;" "&amp;J4183&amp;" "&amp;K4183&amp;" "&amp;L4183))),OR($C$5="Semua",$C$5="",G4183=$C$5),OR($C$6="Semua",$C$6="",H4183=$C$6,H4183="Pengeluaran "&amp;$C$6,AND($C$6="Uang Kos Mama",H4183="Pengeluaran Uang Kos")),OR($C$7="Semua",$C$7="",I4183=$C$7),OR($C$8="Semua",$C$8="",C4183=$C$8,E4183=$C$8),OR($C$9="Semua",$C$9="",D4183=$C$9),OR($C$10="",B4183&gt;=$C$10),OR($C$11="",B4183&lt;=$C$11),OR($C$12&lt;&gt;"Ya",K4183&lt;&gt;""),OR($C$13="Semua",$C$13="",L4183=$C$13)),"✓","")</f>
        <v/>
      </c>
      <c r="N4183" s="93">
        <f>N(N4182)+IF(M4183="✓",1,0)</f>
        <v/>
      </c>
      <c r="O4183" s="93">
        <f>N(O4182)+IF(AND(B4183&lt;&gt;"",B4183&gt;='Uang Riba'!$H$30,B4183&lt;='Uang Riba'!$I$30,OR(H4183="Dana riba",H4183="Pinjam uang riba",I4183="Pinjam dari uang riba",I4183="Ganti uang riba",I4183="Kelebihan ganti dikembalikan",AND(C4183="Kantong Uang Riba",G4183="Pengeluaran"))),1,0)</f>
        <v/>
      </c>
      <c r="X4183" s="93">
        <f>IF(AND(B4183&lt;&gt;"",B4183&gt;='Buku Akun'!$H$4,B4183&lt;='Buku Akun'!$H$5,OR(C4183='Buku Akun'!$C$4,AND(D4183="Pindah",E4183='Buku Akun'!$C$4))),B4183+IF(AND(I4183="Selisih bunga",DAY(B4183)=1),0,0.01)+ROW()/10000000,"")</f>
        <v/>
      </c>
    </row>
    <row r="4184" outlineLevel="1" ht="15" customHeight="1" s="94">
      <c r="A4184" s="123">
        <f>IF(B4184="","",ROW()-15)</f>
        <v/>
      </c>
      <c r="B4184" s="124" t="n"/>
      <c r="C4184" s="123" t="n"/>
      <c r="D4184" s="123" t="n"/>
      <c r="E4184" s="123" t="n"/>
      <c r="F4184" s="125" t="n"/>
      <c r="G4184" s="123" t="n"/>
      <c r="H4184" s="123" t="n"/>
      <c r="I4184" s="123" t="n"/>
      <c r="J4184" s="123" t="n"/>
      <c r="K4184" s="123" t="n"/>
      <c r="L4184" s="123" t="n"/>
      <c r="M4184" s="123">
        <f>IF(AND(B4184&lt;&gt;"",OR($C$4="",ISNUMBER(SEARCH($C$4,C4184&amp;" "&amp;E4184&amp;" "&amp;G4184&amp;" "&amp;H4184&amp;" "&amp;I4184&amp;" "&amp;J4184&amp;" "&amp;K4184&amp;" "&amp;L4184))),OR($C$5="Semua",$C$5="",G4184=$C$5),OR($C$6="Semua",$C$6="",H4184=$C$6,H4184="Pengeluaran "&amp;$C$6,AND($C$6="Uang Kos Mama",H4184="Pengeluaran Uang Kos")),OR($C$7="Semua",$C$7="",I4184=$C$7),OR($C$8="Semua",$C$8="",C4184=$C$8,E4184=$C$8),OR($C$9="Semua",$C$9="",D4184=$C$9),OR($C$10="",B4184&gt;=$C$10),OR($C$11="",B4184&lt;=$C$11),OR($C$12&lt;&gt;"Ya",K4184&lt;&gt;""),OR($C$13="Semua",$C$13="",L4184=$C$13)),"✓","")</f>
        <v/>
      </c>
      <c r="N4184" s="93">
        <f>N(N4183)+IF(M4184="✓",1,0)</f>
        <v/>
      </c>
      <c r="O4184" s="93">
        <f>N(O4183)+IF(AND(B4184&lt;&gt;"",B4184&gt;='Uang Riba'!$H$30,B4184&lt;='Uang Riba'!$I$30,OR(H4184="Dana riba",H4184="Pinjam uang riba",I4184="Pinjam dari uang riba",I4184="Ganti uang riba",I4184="Kelebihan ganti dikembalikan",AND(C4184="Kantong Uang Riba",G4184="Pengeluaran"))),1,0)</f>
        <v/>
      </c>
      <c r="X4184" s="93">
        <f>IF(AND(B4184&lt;&gt;"",B4184&gt;='Buku Akun'!$H$4,B4184&lt;='Buku Akun'!$H$5,OR(C4184='Buku Akun'!$C$4,AND(D4184="Pindah",E4184='Buku Akun'!$C$4))),B4184+IF(AND(I4184="Selisih bunga",DAY(B4184)=1),0,0.01)+ROW()/10000000,"")</f>
        <v/>
      </c>
    </row>
    <row r="4185" outlineLevel="1" ht="15" customHeight="1" s="94">
      <c r="A4185" s="123">
        <f>IF(B4185="","",ROW()-15)</f>
        <v/>
      </c>
      <c r="B4185" s="124" t="n"/>
      <c r="C4185" s="123" t="n"/>
      <c r="D4185" s="123" t="n"/>
      <c r="E4185" s="123" t="n"/>
      <c r="F4185" s="125" t="n"/>
      <c r="G4185" s="123" t="n"/>
      <c r="H4185" s="123" t="n"/>
      <c r="I4185" s="123" t="n"/>
      <c r="J4185" s="123" t="n"/>
      <c r="K4185" s="123" t="n"/>
      <c r="L4185" s="123" t="n"/>
      <c r="M4185" s="123">
        <f>IF(AND(B4185&lt;&gt;"",OR($C$4="",ISNUMBER(SEARCH($C$4,C4185&amp;" "&amp;E4185&amp;" "&amp;G4185&amp;" "&amp;H4185&amp;" "&amp;I4185&amp;" "&amp;J4185&amp;" "&amp;K4185&amp;" "&amp;L4185))),OR($C$5="Semua",$C$5="",G4185=$C$5),OR($C$6="Semua",$C$6="",H4185=$C$6,H4185="Pengeluaran "&amp;$C$6,AND($C$6="Uang Kos Mama",H4185="Pengeluaran Uang Kos")),OR($C$7="Semua",$C$7="",I4185=$C$7),OR($C$8="Semua",$C$8="",C4185=$C$8,E4185=$C$8),OR($C$9="Semua",$C$9="",D4185=$C$9),OR($C$10="",B4185&gt;=$C$10),OR($C$11="",B4185&lt;=$C$11),OR($C$12&lt;&gt;"Ya",K4185&lt;&gt;""),OR($C$13="Semua",$C$13="",L4185=$C$13)),"✓","")</f>
        <v/>
      </c>
      <c r="N4185" s="93">
        <f>N(N4184)+IF(M4185="✓",1,0)</f>
        <v/>
      </c>
      <c r="O4185" s="93">
        <f>N(O4184)+IF(AND(B4185&lt;&gt;"",B4185&gt;='Uang Riba'!$H$30,B4185&lt;='Uang Riba'!$I$30,OR(H4185="Dana riba",H4185="Pinjam uang riba",I4185="Pinjam dari uang riba",I4185="Ganti uang riba",I4185="Kelebihan ganti dikembalikan",AND(C4185="Kantong Uang Riba",G4185="Pengeluaran"))),1,0)</f>
        <v/>
      </c>
      <c r="X4185" s="93">
        <f>IF(AND(B4185&lt;&gt;"",B4185&gt;='Buku Akun'!$H$4,B4185&lt;='Buku Akun'!$H$5,OR(C4185='Buku Akun'!$C$4,AND(D4185="Pindah",E4185='Buku Akun'!$C$4))),B4185+IF(AND(I4185="Selisih bunga",DAY(B4185)=1),0,0.01)+ROW()/10000000,"")</f>
        <v/>
      </c>
    </row>
    <row r="4186" outlineLevel="1" ht="15" customHeight="1" s="94">
      <c r="A4186" s="123">
        <f>IF(B4186="","",ROW()-15)</f>
        <v/>
      </c>
      <c r="B4186" s="124" t="n"/>
      <c r="C4186" s="123" t="n"/>
      <c r="D4186" s="123" t="n"/>
      <c r="E4186" s="123" t="n"/>
      <c r="F4186" s="125" t="n"/>
      <c r="G4186" s="123" t="n"/>
      <c r="H4186" s="123" t="n"/>
      <c r="I4186" s="123" t="n"/>
      <c r="J4186" s="123" t="n"/>
      <c r="K4186" s="123" t="n"/>
      <c r="L4186" s="123" t="n"/>
      <c r="M4186" s="123">
        <f>IF(AND(B4186&lt;&gt;"",OR($C$4="",ISNUMBER(SEARCH($C$4,C4186&amp;" "&amp;E4186&amp;" "&amp;G4186&amp;" "&amp;H4186&amp;" "&amp;I4186&amp;" "&amp;J4186&amp;" "&amp;K4186&amp;" "&amp;L4186))),OR($C$5="Semua",$C$5="",G4186=$C$5),OR($C$6="Semua",$C$6="",H4186=$C$6,H4186="Pengeluaran "&amp;$C$6,AND($C$6="Uang Kos Mama",H4186="Pengeluaran Uang Kos")),OR($C$7="Semua",$C$7="",I4186=$C$7),OR($C$8="Semua",$C$8="",C4186=$C$8,E4186=$C$8),OR($C$9="Semua",$C$9="",D4186=$C$9),OR($C$10="",B4186&gt;=$C$10),OR($C$11="",B4186&lt;=$C$11),OR($C$12&lt;&gt;"Ya",K4186&lt;&gt;""),OR($C$13="Semua",$C$13="",L4186=$C$13)),"✓","")</f>
        <v/>
      </c>
      <c r="N4186" s="93">
        <f>N(N4185)+IF(M4186="✓",1,0)</f>
        <v/>
      </c>
      <c r="O4186" s="93">
        <f>N(O4185)+IF(AND(B4186&lt;&gt;"",B4186&gt;='Uang Riba'!$H$30,B4186&lt;='Uang Riba'!$I$30,OR(H4186="Dana riba",H4186="Pinjam uang riba",I4186="Pinjam dari uang riba",I4186="Ganti uang riba",I4186="Kelebihan ganti dikembalikan",AND(C4186="Kantong Uang Riba",G4186="Pengeluaran"))),1,0)</f>
        <v/>
      </c>
      <c r="X4186" s="93">
        <f>IF(AND(B4186&lt;&gt;"",B4186&gt;='Buku Akun'!$H$4,B4186&lt;='Buku Akun'!$H$5,OR(C4186='Buku Akun'!$C$4,AND(D4186="Pindah",E4186='Buku Akun'!$C$4))),B4186+IF(AND(I4186="Selisih bunga",DAY(B4186)=1),0,0.01)+ROW()/10000000,"")</f>
        <v/>
      </c>
    </row>
    <row r="4187" outlineLevel="1" ht="15" customHeight="1" s="94">
      <c r="A4187" s="123">
        <f>IF(B4187="","",ROW()-15)</f>
        <v/>
      </c>
      <c r="B4187" s="124" t="n"/>
      <c r="C4187" s="123" t="n"/>
      <c r="D4187" s="123" t="n"/>
      <c r="E4187" s="123" t="n"/>
      <c r="F4187" s="125" t="n"/>
      <c r="G4187" s="123" t="n"/>
      <c r="H4187" s="123" t="n"/>
      <c r="I4187" s="123" t="n"/>
      <c r="J4187" s="123" t="n"/>
      <c r="K4187" s="123" t="n"/>
      <c r="L4187" s="123" t="n"/>
      <c r="M4187" s="123">
        <f>IF(AND(B4187&lt;&gt;"",OR($C$4="",ISNUMBER(SEARCH($C$4,C4187&amp;" "&amp;E4187&amp;" "&amp;G4187&amp;" "&amp;H4187&amp;" "&amp;I4187&amp;" "&amp;J4187&amp;" "&amp;K4187&amp;" "&amp;L4187))),OR($C$5="Semua",$C$5="",G4187=$C$5),OR($C$6="Semua",$C$6="",H4187=$C$6,H4187="Pengeluaran "&amp;$C$6,AND($C$6="Uang Kos Mama",H4187="Pengeluaran Uang Kos")),OR($C$7="Semua",$C$7="",I4187=$C$7),OR($C$8="Semua",$C$8="",C4187=$C$8,E4187=$C$8),OR($C$9="Semua",$C$9="",D4187=$C$9),OR($C$10="",B4187&gt;=$C$10),OR($C$11="",B4187&lt;=$C$11),OR($C$12&lt;&gt;"Ya",K4187&lt;&gt;""),OR($C$13="Semua",$C$13="",L4187=$C$13)),"✓","")</f>
        <v/>
      </c>
      <c r="N4187" s="93">
        <f>N(N4186)+IF(M4187="✓",1,0)</f>
        <v/>
      </c>
      <c r="O4187" s="93">
        <f>N(O4186)+IF(AND(B4187&lt;&gt;"",B4187&gt;='Uang Riba'!$H$30,B4187&lt;='Uang Riba'!$I$30,OR(H4187="Dana riba",H4187="Pinjam uang riba",I4187="Pinjam dari uang riba",I4187="Ganti uang riba",I4187="Kelebihan ganti dikembalikan",AND(C4187="Kantong Uang Riba",G4187="Pengeluaran"))),1,0)</f>
        <v/>
      </c>
      <c r="X4187" s="93">
        <f>IF(AND(B4187&lt;&gt;"",B4187&gt;='Buku Akun'!$H$4,B4187&lt;='Buku Akun'!$H$5,OR(C4187='Buku Akun'!$C$4,AND(D4187="Pindah",E4187='Buku Akun'!$C$4))),B4187+IF(AND(I4187="Selisih bunga",DAY(B4187)=1),0,0.01)+ROW()/10000000,"")</f>
        <v/>
      </c>
    </row>
    <row r="4188" outlineLevel="1" ht="15" customHeight="1" s="94">
      <c r="A4188" s="123">
        <f>IF(B4188="","",ROW()-15)</f>
        <v/>
      </c>
      <c r="B4188" s="124" t="n"/>
      <c r="C4188" s="123" t="n"/>
      <c r="D4188" s="123" t="n"/>
      <c r="E4188" s="123" t="n"/>
      <c r="F4188" s="125" t="n"/>
      <c r="G4188" s="123" t="n"/>
      <c r="H4188" s="123" t="n"/>
      <c r="I4188" s="123" t="n"/>
      <c r="J4188" s="123" t="n"/>
      <c r="K4188" s="123" t="n"/>
      <c r="L4188" s="123" t="n"/>
      <c r="M4188" s="123">
        <f>IF(AND(B4188&lt;&gt;"",OR($C$4="",ISNUMBER(SEARCH($C$4,C4188&amp;" "&amp;E4188&amp;" "&amp;G4188&amp;" "&amp;H4188&amp;" "&amp;I4188&amp;" "&amp;J4188&amp;" "&amp;K4188&amp;" "&amp;L4188))),OR($C$5="Semua",$C$5="",G4188=$C$5),OR($C$6="Semua",$C$6="",H4188=$C$6,H4188="Pengeluaran "&amp;$C$6,AND($C$6="Uang Kos Mama",H4188="Pengeluaran Uang Kos")),OR($C$7="Semua",$C$7="",I4188=$C$7),OR($C$8="Semua",$C$8="",C4188=$C$8,E4188=$C$8),OR($C$9="Semua",$C$9="",D4188=$C$9),OR($C$10="",B4188&gt;=$C$10),OR($C$11="",B4188&lt;=$C$11),OR($C$12&lt;&gt;"Ya",K4188&lt;&gt;""),OR($C$13="Semua",$C$13="",L4188=$C$13)),"✓","")</f>
        <v/>
      </c>
      <c r="N4188" s="93">
        <f>N(N4187)+IF(M4188="✓",1,0)</f>
        <v/>
      </c>
      <c r="O4188" s="93">
        <f>N(O4187)+IF(AND(B4188&lt;&gt;"",B4188&gt;='Uang Riba'!$H$30,B4188&lt;='Uang Riba'!$I$30,OR(H4188="Dana riba",H4188="Pinjam uang riba",I4188="Pinjam dari uang riba",I4188="Ganti uang riba",I4188="Kelebihan ganti dikembalikan",AND(C4188="Kantong Uang Riba",G4188="Pengeluaran"))),1,0)</f>
        <v/>
      </c>
      <c r="X4188" s="93">
        <f>IF(AND(B4188&lt;&gt;"",B4188&gt;='Buku Akun'!$H$4,B4188&lt;='Buku Akun'!$H$5,OR(C4188='Buku Akun'!$C$4,AND(D4188="Pindah",E4188='Buku Akun'!$C$4))),B4188+IF(AND(I4188="Selisih bunga",DAY(B4188)=1),0,0.01)+ROW()/10000000,"")</f>
        <v/>
      </c>
    </row>
    <row r="4189" outlineLevel="1" ht="15" customHeight="1" s="94">
      <c r="A4189" s="123">
        <f>IF(B4189="","",ROW()-15)</f>
        <v/>
      </c>
      <c r="B4189" s="124" t="n"/>
      <c r="C4189" s="123" t="n"/>
      <c r="D4189" s="123" t="n"/>
      <c r="E4189" s="123" t="n"/>
      <c r="F4189" s="125" t="n"/>
      <c r="G4189" s="123" t="n"/>
      <c r="H4189" s="123" t="n"/>
      <c r="I4189" s="123" t="n"/>
      <c r="J4189" s="123" t="n"/>
      <c r="K4189" s="123" t="n"/>
      <c r="L4189" s="123" t="n"/>
      <c r="M4189" s="123">
        <f>IF(AND(B4189&lt;&gt;"",OR($C$4="",ISNUMBER(SEARCH($C$4,C4189&amp;" "&amp;E4189&amp;" "&amp;G4189&amp;" "&amp;H4189&amp;" "&amp;I4189&amp;" "&amp;J4189&amp;" "&amp;K4189&amp;" "&amp;L4189))),OR($C$5="Semua",$C$5="",G4189=$C$5),OR($C$6="Semua",$C$6="",H4189=$C$6,H4189="Pengeluaran "&amp;$C$6,AND($C$6="Uang Kos Mama",H4189="Pengeluaran Uang Kos")),OR($C$7="Semua",$C$7="",I4189=$C$7),OR($C$8="Semua",$C$8="",C4189=$C$8,E4189=$C$8),OR($C$9="Semua",$C$9="",D4189=$C$9),OR($C$10="",B4189&gt;=$C$10),OR($C$11="",B4189&lt;=$C$11),OR($C$12&lt;&gt;"Ya",K4189&lt;&gt;""),OR($C$13="Semua",$C$13="",L4189=$C$13)),"✓","")</f>
        <v/>
      </c>
      <c r="N4189" s="93">
        <f>N(N4188)+IF(M4189="✓",1,0)</f>
        <v/>
      </c>
      <c r="O4189" s="93">
        <f>N(O4188)+IF(AND(B4189&lt;&gt;"",B4189&gt;='Uang Riba'!$H$30,B4189&lt;='Uang Riba'!$I$30,OR(H4189="Dana riba",H4189="Pinjam uang riba",I4189="Pinjam dari uang riba",I4189="Ganti uang riba",I4189="Kelebihan ganti dikembalikan",AND(C4189="Kantong Uang Riba",G4189="Pengeluaran"))),1,0)</f>
        <v/>
      </c>
      <c r="X4189" s="93">
        <f>IF(AND(B4189&lt;&gt;"",B4189&gt;='Buku Akun'!$H$4,B4189&lt;='Buku Akun'!$H$5,OR(C4189='Buku Akun'!$C$4,AND(D4189="Pindah",E4189='Buku Akun'!$C$4))),B4189+IF(AND(I4189="Selisih bunga",DAY(B4189)=1),0,0.01)+ROW()/10000000,"")</f>
        <v/>
      </c>
    </row>
    <row r="4190" outlineLevel="1" ht="15" customHeight="1" s="94">
      <c r="A4190" s="123">
        <f>IF(B4190="","",ROW()-15)</f>
        <v/>
      </c>
      <c r="B4190" s="124" t="n"/>
      <c r="C4190" s="123" t="n"/>
      <c r="D4190" s="123" t="n"/>
      <c r="E4190" s="123" t="n"/>
      <c r="F4190" s="125" t="n"/>
      <c r="G4190" s="123" t="n"/>
      <c r="H4190" s="123" t="n"/>
      <c r="I4190" s="123" t="n"/>
      <c r="J4190" s="123" t="n"/>
      <c r="K4190" s="123" t="n"/>
      <c r="L4190" s="123" t="n"/>
      <c r="M4190" s="123">
        <f>IF(AND(B4190&lt;&gt;"",OR($C$4="",ISNUMBER(SEARCH($C$4,C4190&amp;" "&amp;E4190&amp;" "&amp;G4190&amp;" "&amp;H4190&amp;" "&amp;I4190&amp;" "&amp;J4190&amp;" "&amp;K4190&amp;" "&amp;L4190))),OR($C$5="Semua",$C$5="",G4190=$C$5),OR($C$6="Semua",$C$6="",H4190=$C$6,H4190="Pengeluaran "&amp;$C$6,AND($C$6="Uang Kos Mama",H4190="Pengeluaran Uang Kos")),OR($C$7="Semua",$C$7="",I4190=$C$7),OR($C$8="Semua",$C$8="",C4190=$C$8,E4190=$C$8),OR($C$9="Semua",$C$9="",D4190=$C$9),OR($C$10="",B4190&gt;=$C$10),OR($C$11="",B4190&lt;=$C$11),OR($C$12&lt;&gt;"Ya",K4190&lt;&gt;""),OR($C$13="Semua",$C$13="",L4190=$C$13)),"✓","")</f>
        <v/>
      </c>
      <c r="N4190" s="93">
        <f>N(N4189)+IF(M4190="✓",1,0)</f>
        <v/>
      </c>
      <c r="O4190" s="93">
        <f>N(O4189)+IF(AND(B4190&lt;&gt;"",B4190&gt;='Uang Riba'!$H$30,B4190&lt;='Uang Riba'!$I$30,OR(H4190="Dana riba",H4190="Pinjam uang riba",I4190="Pinjam dari uang riba",I4190="Ganti uang riba",I4190="Kelebihan ganti dikembalikan",AND(C4190="Kantong Uang Riba",G4190="Pengeluaran"))),1,0)</f>
        <v/>
      </c>
      <c r="X4190" s="93">
        <f>IF(AND(B4190&lt;&gt;"",B4190&gt;='Buku Akun'!$H$4,B4190&lt;='Buku Akun'!$H$5,OR(C4190='Buku Akun'!$C$4,AND(D4190="Pindah",E4190='Buku Akun'!$C$4))),B4190+IF(AND(I4190="Selisih bunga",DAY(B4190)=1),0,0.01)+ROW()/10000000,"")</f>
        <v/>
      </c>
    </row>
    <row r="4191" outlineLevel="1" ht="15" customHeight="1" s="94">
      <c r="A4191" s="123">
        <f>IF(B4191="","",ROW()-15)</f>
        <v/>
      </c>
      <c r="B4191" s="124" t="n"/>
      <c r="C4191" s="123" t="n"/>
      <c r="D4191" s="123" t="n"/>
      <c r="E4191" s="123" t="n"/>
      <c r="F4191" s="125" t="n"/>
      <c r="G4191" s="123" t="n"/>
      <c r="H4191" s="123" t="n"/>
      <c r="I4191" s="123" t="n"/>
      <c r="J4191" s="123" t="n"/>
      <c r="K4191" s="123" t="n"/>
      <c r="L4191" s="123" t="n"/>
      <c r="M4191" s="123">
        <f>IF(AND(B4191&lt;&gt;"",OR($C$4="",ISNUMBER(SEARCH($C$4,C4191&amp;" "&amp;E4191&amp;" "&amp;G4191&amp;" "&amp;H4191&amp;" "&amp;I4191&amp;" "&amp;J4191&amp;" "&amp;K4191&amp;" "&amp;L4191))),OR($C$5="Semua",$C$5="",G4191=$C$5),OR($C$6="Semua",$C$6="",H4191=$C$6,H4191="Pengeluaran "&amp;$C$6,AND($C$6="Uang Kos Mama",H4191="Pengeluaran Uang Kos")),OR($C$7="Semua",$C$7="",I4191=$C$7),OR($C$8="Semua",$C$8="",C4191=$C$8,E4191=$C$8),OR($C$9="Semua",$C$9="",D4191=$C$9),OR($C$10="",B4191&gt;=$C$10),OR($C$11="",B4191&lt;=$C$11),OR($C$12&lt;&gt;"Ya",K4191&lt;&gt;""),OR($C$13="Semua",$C$13="",L4191=$C$13)),"✓","")</f>
        <v/>
      </c>
      <c r="N4191" s="93">
        <f>N(N4190)+IF(M4191="✓",1,0)</f>
        <v/>
      </c>
      <c r="O4191" s="93">
        <f>N(O4190)+IF(AND(B4191&lt;&gt;"",B4191&gt;='Uang Riba'!$H$30,B4191&lt;='Uang Riba'!$I$30,OR(H4191="Dana riba",H4191="Pinjam uang riba",I4191="Pinjam dari uang riba",I4191="Ganti uang riba",I4191="Kelebihan ganti dikembalikan",AND(C4191="Kantong Uang Riba",G4191="Pengeluaran"))),1,0)</f>
        <v/>
      </c>
      <c r="X4191" s="93">
        <f>IF(AND(B4191&lt;&gt;"",B4191&gt;='Buku Akun'!$H$4,B4191&lt;='Buku Akun'!$H$5,OR(C4191='Buku Akun'!$C$4,AND(D4191="Pindah",E4191='Buku Akun'!$C$4))),B4191+IF(AND(I4191="Selisih bunga",DAY(B4191)=1),0,0.01)+ROW()/10000000,"")</f>
        <v/>
      </c>
    </row>
    <row r="4192" outlineLevel="1" ht="15" customHeight="1" s="94">
      <c r="A4192" s="123">
        <f>IF(B4192="","",ROW()-15)</f>
        <v/>
      </c>
      <c r="B4192" s="124" t="n"/>
      <c r="C4192" s="123" t="n"/>
      <c r="D4192" s="123" t="n"/>
      <c r="E4192" s="123" t="n"/>
      <c r="F4192" s="125" t="n"/>
      <c r="G4192" s="123" t="n"/>
      <c r="H4192" s="123" t="n"/>
      <c r="I4192" s="123" t="n"/>
      <c r="J4192" s="123" t="n"/>
      <c r="K4192" s="123" t="n"/>
      <c r="L4192" s="123" t="n"/>
      <c r="M4192" s="123">
        <f>IF(AND(B4192&lt;&gt;"",OR($C$4="",ISNUMBER(SEARCH($C$4,C4192&amp;" "&amp;E4192&amp;" "&amp;G4192&amp;" "&amp;H4192&amp;" "&amp;I4192&amp;" "&amp;J4192&amp;" "&amp;K4192&amp;" "&amp;L4192))),OR($C$5="Semua",$C$5="",G4192=$C$5),OR($C$6="Semua",$C$6="",H4192=$C$6,H4192="Pengeluaran "&amp;$C$6,AND($C$6="Uang Kos Mama",H4192="Pengeluaran Uang Kos")),OR($C$7="Semua",$C$7="",I4192=$C$7),OR($C$8="Semua",$C$8="",C4192=$C$8,E4192=$C$8),OR($C$9="Semua",$C$9="",D4192=$C$9),OR($C$10="",B4192&gt;=$C$10),OR($C$11="",B4192&lt;=$C$11),OR($C$12&lt;&gt;"Ya",K4192&lt;&gt;""),OR($C$13="Semua",$C$13="",L4192=$C$13)),"✓","")</f>
        <v/>
      </c>
      <c r="N4192" s="93">
        <f>N(N4191)+IF(M4192="✓",1,0)</f>
        <v/>
      </c>
      <c r="O4192" s="93">
        <f>N(O4191)+IF(AND(B4192&lt;&gt;"",B4192&gt;='Uang Riba'!$H$30,B4192&lt;='Uang Riba'!$I$30,OR(H4192="Dana riba",H4192="Pinjam uang riba",I4192="Pinjam dari uang riba",I4192="Ganti uang riba",I4192="Kelebihan ganti dikembalikan",AND(C4192="Kantong Uang Riba",G4192="Pengeluaran"))),1,0)</f>
        <v/>
      </c>
      <c r="X4192" s="93">
        <f>IF(AND(B4192&lt;&gt;"",B4192&gt;='Buku Akun'!$H$4,B4192&lt;='Buku Akun'!$H$5,OR(C4192='Buku Akun'!$C$4,AND(D4192="Pindah",E4192='Buku Akun'!$C$4))),B4192+IF(AND(I4192="Selisih bunga",DAY(B4192)=1),0,0.01)+ROW()/10000000,"")</f>
        <v/>
      </c>
    </row>
    <row r="4193" outlineLevel="1" ht="15" customHeight="1" s="94">
      <c r="A4193" s="123">
        <f>IF(B4193="","",ROW()-15)</f>
        <v/>
      </c>
      <c r="B4193" s="124" t="n"/>
      <c r="C4193" s="123" t="n"/>
      <c r="D4193" s="123" t="n"/>
      <c r="E4193" s="123" t="n"/>
      <c r="F4193" s="125" t="n"/>
      <c r="G4193" s="123" t="n"/>
      <c r="H4193" s="123" t="n"/>
      <c r="I4193" s="123" t="n"/>
      <c r="J4193" s="123" t="n"/>
      <c r="K4193" s="123" t="n"/>
      <c r="L4193" s="123" t="n"/>
      <c r="M4193" s="123">
        <f>IF(AND(B4193&lt;&gt;"",OR($C$4="",ISNUMBER(SEARCH($C$4,C4193&amp;" "&amp;E4193&amp;" "&amp;G4193&amp;" "&amp;H4193&amp;" "&amp;I4193&amp;" "&amp;J4193&amp;" "&amp;K4193&amp;" "&amp;L4193))),OR($C$5="Semua",$C$5="",G4193=$C$5),OR($C$6="Semua",$C$6="",H4193=$C$6,H4193="Pengeluaran "&amp;$C$6,AND($C$6="Uang Kos Mama",H4193="Pengeluaran Uang Kos")),OR($C$7="Semua",$C$7="",I4193=$C$7),OR($C$8="Semua",$C$8="",C4193=$C$8,E4193=$C$8),OR($C$9="Semua",$C$9="",D4193=$C$9),OR($C$10="",B4193&gt;=$C$10),OR($C$11="",B4193&lt;=$C$11),OR($C$12&lt;&gt;"Ya",K4193&lt;&gt;""),OR($C$13="Semua",$C$13="",L4193=$C$13)),"✓","")</f>
        <v/>
      </c>
      <c r="N4193" s="93">
        <f>N(N4192)+IF(M4193="✓",1,0)</f>
        <v/>
      </c>
      <c r="O4193" s="93">
        <f>N(O4192)+IF(AND(B4193&lt;&gt;"",B4193&gt;='Uang Riba'!$H$30,B4193&lt;='Uang Riba'!$I$30,OR(H4193="Dana riba",H4193="Pinjam uang riba",I4193="Pinjam dari uang riba",I4193="Ganti uang riba",I4193="Kelebihan ganti dikembalikan",AND(C4193="Kantong Uang Riba",G4193="Pengeluaran"))),1,0)</f>
        <v/>
      </c>
      <c r="X4193" s="93">
        <f>IF(AND(B4193&lt;&gt;"",B4193&gt;='Buku Akun'!$H$4,B4193&lt;='Buku Akun'!$H$5,OR(C4193='Buku Akun'!$C$4,AND(D4193="Pindah",E4193='Buku Akun'!$C$4))),B4193+IF(AND(I4193="Selisih bunga",DAY(B4193)=1),0,0.01)+ROW()/10000000,"")</f>
        <v/>
      </c>
    </row>
    <row r="4194" outlineLevel="1" ht="15" customHeight="1" s="94">
      <c r="A4194" s="123">
        <f>IF(B4194="","",ROW()-15)</f>
        <v/>
      </c>
      <c r="B4194" s="124" t="n"/>
      <c r="C4194" s="123" t="n"/>
      <c r="D4194" s="123" t="n"/>
      <c r="E4194" s="123" t="n"/>
      <c r="F4194" s="125" t="n"/>
      <c r="G4194" s="123" t="n"/>
      <c r="H4194" s="123" t="n"/>
      <c r="I4194" s="123" t="n"/>
      <c r="J4194" s="123" t="n"/>
      <c r="K4194" s="123" t="n"/>
      <c r="L4194" s="123" t="n"/>
      <c r="M4194" s="123">
        <f>IF(AND(B4194&lt;&gt;"",OR($C$4="",ISNUMBER(SEARCH($C$4,C4194&amp;" "&amp;E4194&amp;" "&amp;G4194&amp;" "&amp;H4194&amp;" "&amp;I4194&amp;" "&amp;J4194&amp;" "&amp;K4194&amp;" "&amp;L4194))),OR($C$5="Semua",$C$5="",G4194=$C$5),OR($C$6="Semua",$C$6="",H4194=$C$6,H4194="Pengeluaran "&amp;$C$6,AND($C$6="Uang Kos Mama",H4194="Pengeluaran Uang Kos")),OR($C$7="Semua",$C$7="",I4194=$C$7),OR($C$8="Semua",$C$8="",C4194=$C$8,E4194=$C$8),OR($C$9="Semua",$C$9="",D4194=$C$9),OR($C$10="",B4194&gt;=$C$10),OR($C$11="",B4194&lt;=$C$11),OR($C$12&lt;&gt;"Ya",K4194&lt;&gt;""),OR($C$13="Semua",$C$13="",L4194=$C$13)),"✓","")</f>
        <v/>
      </c>
      <c r="N4194" s="93">
        <f>N(N4193)+IF(M4194="✓",1,0)</f>
        <v/>
      </c>
      <c r="O4194" s="93">
        <f>N(O4193)+IF(AND(B4194&lt;&gt;"",B4194&gt;='Uang Riba'!$H$30,B4194&lt;='Uang Riba'!$I$30,OR(H4194="Dana riba",H4194="Pinjam uang riba",I4194="Pinjam dari uang riba",I4194="Ganti uang riba",I4194="Kelebihan ganti dikembalikan",AND(C4194="Kantong Uang Riba",G4194="Pengeluaran"))),1,0)</f>
        <v/>
      </c>
      <c r="X4194" s="93">
        <f>IF(AND(B4194&lt;&gt;"",B4194&gt;='Buku Akun'!$H$4,B4194&lt;='Buku Akun'!$H$5,OR(C4194='Buku Akun'!$C$4,AND(D4194="Pindah",E4194='Buku Akun'!$C$4))),B4194+IF(AND(I4194="Selisih bunga",DAY(B4194)=1),0,0.01)+ROW()/10000000,"")</f>
        <v/>
      </c>
    </row>
    <row r="4195" outlineLevel="1" ht="15" customHeight="1" s="94">
      <c r="A4195" s="123">
        <f>IF(B4195="","",ROW()-15)</f>
        <v/>
      </c>
      <c r="B4195" s="124" t="n"/>
      <c r="C4195" s="123" t="n"/>
      <c r="D4195" s="123" t="n"/>
      <c r="E4195" s="123" t="n"/>
      <c r="F4195" s="125" t="n"/>
      <c r="G4195" s="123" t="n"/>
      <c r="H4195" s="123" t="n"/>
      <c r="I4195" s="123" t="n"/>
      <c r="J4195" s="123" t="n"/>
      <c r="K4195" s="123" t="n"/>
      <c r="L4195" s="123" t="n"/>
      <c r="M4195" s="123">
        <f>IF(AND(B4195&lt;&gt;"",OR($C$4="",ISNUMBER(SEARCH($C$4,C4195&amp;" "&amp;E4195&amp;" "&amp;G4195&amp;" "&amp;H4195&amp;" "&amp;I4195&amp;" "&amp;J4195&amp;" "&amp;K4195&amp;" "&amp;L4195))),OR($C$5="Semua",$C$5="",G4195=$C$5),OR($C$6="Semua",$C$6="",H4195=$C$6,H4195="Pengeluaran "&amp;$C$6,AND($C$6="Uang Kos Mama",H4195="Pengeluaran Uang Kos")),OR($C$7="Semua",$C$7="",I4195=$C$7),OR($C$8="Semua",$C$8="",C4195=$C$8,E4195=$C$8),OR($C$9="Semua",$C$9="",D4195=$C$9),OR($C$10="",B4195&gt;=$C$10),OR($C$11="",B4195&lt;=$C$11),OR($C$12&lt;&gt;"Ya",K4195&lt;&gt;""),OR($C$13="Semua",$C$13="",L4195=$C$13)),"✓","")</f>
        <v/>
      </c>
      <c r="N4195" s="93">
        <f>N(N4194)+IF(M4195="✓",1,0)</f>
        <v/>
      </c>
      <c r="O4195" s="93">
        <f>N(O4194)+IF(AND(B4195&lt;&gt;"",B4195&gt;='Uang Riba'!$H$30,B4195&lt;='Uang Riba'!$I$30,OR(H4195="Dana riba",H4195="Pinjam uang riba",I4195="Pinjam dari uang riba",I4195="Ganti uang riba",I4195="Kelebihan ganti dikembalikan",AND(C4195="Kantong Uang Riba",G4195="Pengeluaran"))),1,0)</f>
        <v/>
      </c>
      <c r="X4195" s="93">
        <f>IF(AND(B4195&lt;&gt;"",B4195&gt;='Buku Akun'!$H$4,B4195&lt;='Buku Akun'!$H$5,OR(C4195='Buku Akun'!$C$4,AND(D4195="Pindah",E4195='Buku Akun'!$C$4))),B4195+IF(AND(I4195="Selisih bunga",DAY(B4195)=1),0,0.01)+ROW()/10000000,"")</f>
        <v/>
      </c>
    </row>
    <row r="4196" outlineLevel="1" ht="15" customHeight="1" s="94">
      <c r="A4196" s="123">
        <f>IF(B4196="","",ROW()-15)</f>
        <v/>
      </c>
      <c r="B4196" s="124" t="n"/>
      <c r="C4196" s="123" t="n"/>
      <c r="D4196" s="123" t="n"/>
      <c r="E4196" s="123" t="n"/>
      <c r="F4196" s="125" t="n"/>
      <c r="G4196" s="123" t="n"/>
      <c r="H4196" s="123" t="n"/>
      <c r="I4196" s="123" t="n"/>
      <c r="J4196" s="123" t="n"/>
      <c r="K4196" s="123" t="n"/>
      <c r="L4196" s="123" t="n"/>
      <c r="M4196" s="123">
        <f>IF(AND(B4196&lt;&gt;"",OR($C$4="",ISNUMBER(SEARCH($C$4,C4196&amp;" "&amp;E4196&amp;" "&amp;G4196&amp;" "&amp;H4196&amp;" "&amp;I4196&amp;" "&amp;J4196&amp;" "&amp;K4196&amp;" "&amp;L4196))),OR($C$5="Semua",$C$5="",G4196=$C$5),OR($C$6="Semua",$C$6="",H4196=$C$6,H4196="Pengeluaran "&amp;$C$6,AND($C$6="Uang Kos Mama",H4196="Pengeluaran Uang Kos")),OR($C$7="Semua",$C$7="",I4196=$C$7),OR($C$8="Semua",$C$8="",C4196=$C$8,E4196=$C$8),OR($C$9="Semua",$C$9="",D4196=$C$9),OR($C$10="",B4196&gt;=$C$10),OR($C$11="",B4196&lt;=$C$11),OR($C$12&lt;&gt;"Ya",K4196&lt;&gt;""),OR($C$13="Semua",$C$13="",L4196=$C$13)),"✓","")</f>
        <v/>
      </c>
      <c r="N4196" s="93">
        <f>N(N4195)+IF(M4196="✓",1,0)</f>
        <v/>
      </c>
      <c r="O4196" s="93">
        <f>N(O4195)+IF(AND(B4196&lt;&gt;"",B4196&gt;='Uang Riba'!$H$30,B4196&lt;='Uang Riba'!$I$30,OR(H4196="Dana riba",H4196="Pinjam uang riba",I4196="Pinjam dari uang riba",I4196="Ganti uang riba",I4196="Kelebihan ganti dikembalikan",AND(C4196="Kantong Uang Riba",G4196="Pengeluaran"))),1,0)</f>
        <v/>
      </c>
      <c r="X4196" s="93">
        <f>IF(AND(B4196&lt;&gt;"",B4196&gt;='Buku Akun'!$H$4,B4196&lt;='Buku Akun'!$H$5,OR(C4196='Buku Akun'!$C$4,AND(D4196="Pindah",E4196='Buku Akun'!$C$4))),B4196+IF(AND(I4196="Selisih bunga",DAY(B4196)=1),0,0.01)+ROW()/10000000,"")</f>
        <v/>
      </c>
    </row>
    <row r="4197" outlineLevel="1" ht="15" customHeight="1" s="94">
      <c r="A4197" s="123">
        <f>IF(B4197="","",ROW()-15)</f>
        <v/>
      </c>
      <c r="B4197" s="124" t="n"/>
      <c r="C4197" s="123" t="n"/>
      <c r="D4197" s="123" t="n"/>
      <c r="E4197" s="123" t="n"/>
      <c r="F4197" s="125" t="n"/>
      <c r="G4197" s="123" t="n"/>
      <c r="H4197" s="123" t="n"/>
      <c r="I4197" s="123" t="n"/>
      <c r="J4197" s="123" t="n"/>
      <c r="K4197" s="123" t="n"/>
      <c r="L4197" s="123" t="n"/>
      <c r="M4197" s="123">
        <f>IF(AND(B4197&lt;&gt;"",OR($C$4="",ISNUMBER(SEARCH($C$4,C4197&amp;" "&amp;E4197&amp;" "&amp;G4197&amp;" "&amp;H4197&amp;" "&amp;I4197&amp;" "&amp;J4197&amp;" "&amp;K4197&amp;" "&amp;L4197))),OR($C$5="Semua",$C$5="",G4197=$C$5),OR($C$6="Semua",$C$6="",H4197=$C$6,H4197="Pengeluaran "&amp;$C$6,AND($C$6="Uang Kos Mama",H4197="Pengeluaran Uang Kos")),OR($C$7="Semua",$C$7="",I4197=$C$7),OR($C$8="Semua",$C$8="",C4197=$C$8,E4197=$C$8),OR($C$9="Semua",$C$9="",D4197=$C$9),OR($C$10="",B4197&gt;=$C$10),OR($C$11="",B4197&lt;=$C$11),OR($C$12&lt;&gt;"Ya",K4197&lt;&gt;""),OR($C$13="Semua",$C$13="",L4197=$C$13)),"✓","")</f>
        <v/>
      </c>
      <c r="N4197" s="93">
        <f>N(N4196)+IF(M4197="✓",1,0)</f>
        <v/>
      </c>
      <c r="O4197" s="93">
        <f>N(O4196)+IF(AND(B4197&lt;&gt;"",B4197&gt;='Uang Riba'!$H$30,B4197&lt;='Uang Riba'!$I$30,OR(H4197="Dana riba",H4197="Pinjam uang riba",I4197="Pinjam dari uang riba",I4197="Ganti uang riba",I4197="Kelebihan ganti dikembalikan",AND(C4197="Kantong Uang Riba",G4197="Pengeluaran"))),1,0)</f>
        <v/>
      </c>
      <c r="X4197" s="93">
        <f>IF(AND(B4197&lt;&gt;"",B4197&gt;='Buku Akun'!$H$4,B4197&lt;='Buku Akun'!$H$5,OR(C4197='Buku Akun'!$C$4,AND(D4197="Pindah",E4197='Buku Akun'!$C$4))),B4197+IF(AND(I4197="Selisih bunga",DAY(B4197)=1),0,0.01)+ROW()/10000000,"")</f>
        <v/>
      </c>
    </row>
    <row r="4198" outlineLevel="1" ht="15" customHeight="1" s="94">
      <c r="A4198" s="123">
        <f>IF(B4198="","",ROW()-15)</f>
        <v/>
      </c>
      <c r="B4198" s="124" t="n"/>
      <c r="C4198" s="123" t="n"/>
      <c r="D4198" s="123" t="n"/>
      <c r="E4198" s="123" t="n"/>
      <c r="F4198" s="125" t="n"/>
      <c r="G4198" s="123" t="n"/>
      <c r="H4198" s="123" t="n"/>
      <c r="I4198" s="123" t="n"/>
      <c r="J4198" s="123" t="n"/>
      <c r="K4198" s="123" t="n"/>
      <c r="L4198" s="123" t="n"/>
      <c r="M4198" s="123">
        <f>IF(AND(B4198&lt;&gt;"",OR($C$4="",ISNUMBER(SEARCH($C$4,C4198&amp;" "&amp;E4198&amp;" "&amp;G4198&amp;" "&amp;H4198&amp;" "&amp;I4198&amp;" "&amp;J4198&amp;" "&amp;K4198&amp;" "&amp;L4198))),OR($C$5="Semua",$C$5="",G4198=$C$5),OR($C$6="Semua",$C$6="",H4198=$C$6,H4198="Pengeluaran "&amp;$C$6,AND($C$6="Uang Kos Mama",H4198="Pengeluaran Uang Kos")),OR($C$7="Semua",$C$7="",I4198=$C$7),OR($C$8="Semua",$C$8="",C4198=$C$8,E4198=$C$8),OR($C$9="Semua",$C$9="",D4198=$C$9),OR($C$10="",B4198&gt;=$C$10),OR($C$11="",B4198&lt;=$C$11),OR($C$12&lt;&gt;"Ya",K4198&lt;&gt;""),OR($C$13="Semua",$C$13="",L4198=$C$13)),"✓","")</f>
        <v/>
      </c>
      <c r="N4198" s="93">
        <f>N(N4197)+IF(M4198="✓",1,0)</f>
        <v/>
      </c>
      <c r="O4198" s="93">
        <f>N(O4197)+IF(AND(B4198&lt;&gt;"",B4198&gt;='Uang Riba'!$H$30,B4198&lt;='Uang Riba'!$I$30,OR(H4198="Dana riba",H4198="Pinjam uang riba",I4198="Pinjam dari uang riba",I4198="Ganti uang riba",I4198="Kelebihan ganti dikembalikan",AND(C4198="Kantong Uang Riba",G4198="Pengeluaran"))),1,0)</f>
        <v/>
      </c>
      <c r="X4198" s="93">
        <f>IF(AND(B4198&lt;&gt;"",B4198&gt;='Buku Akun'!$H$4,B4198&lt;='Buku Akun'!$H$5,OR(C4198='Buku Akun'!$C$4,AND(D4198="Pindah",E4198='Buku Akun'!$C$4))),B4198+IF(AND(I4198="Selisih bunga",DAY(B4198)=1),0,0.01)+ROW()/10000000,"")</f>
        <v/>
      </c>
    </row>
    <row r="4199" outlineLevel="1" ht="15" customHeight="1" s="94">
      <c r="A4199" s="123">
        <f>IF(B4199="","",ROW()-15)</f>
        <v/>
      </c>
      <c r="B4199" s="124" t="n"/>
      <c r="C4199" s="123" t="n"/>
      <c r="D4199" s="123" t="n"/>
      <c r="E4199" s="123" t="n"/>
      <c r="F4199" s="125" t="n"/>
      <c r="G4199" s="123" t="n"/>
      <c r="H4199" s="123" t="n"/>
      <c r="I4199" s="123" t="n"/>
      <c r="J4199" s="123" t="n"/>
      <c r="K4199" s="123" t="n"/>
      <c r="L4199" s="123" t="n"/>
      <c r="M4199" s="123">
        <f>IF(AND(B4199&lt;&gt;"",OR($C$4="",ISNUMBER(SEARCH($C$4,C4199&amp;" "&amp;E4199&amp;" "&amp;G4199&amp;" "&amp;H4199&amp;" "&amp;I4199&amp;" "&amp;J4199&amp;" "&amp;K4199&amp;" "&amp;L4199))),OR($C$5="Semua",$C$5="",G4199=$C$5),OR($C$6="Semua",$C$6="",H4199=$C$6,H4199="Pengeluaran "&amp;$C$6,AND($C$6="Uang Kos Mama",H4199="Pengeluaran Uang Kos")),OR($C$7="Semua",$C$7="",I4199=$C$7),OR($C$8="Semua",$C$8="",C4199=$C$8,E4199=$C$8),OR($C$9="Semua",$C$9="",D4199=$C$9),OR($C$10="",B4199&gt;=$C$10),OR($C$11="",B4199&lt;=$C$11),OR($C$12&lt;&gt;"Ya",K4199&lt;&gt;""),OR($C$13="Semua",$C$13="",L4199=$C$13)),"✓","")</f>
        <v/>
      </c>
      <c r="N4199" s="93">
        <f>N(N4198)+IF(M4199="✓",1,0)</f>
        <v/>
      </c>
      <c r="O4199" s="93">
        <f>N(O4198)+IF(AND(B4199&lt;&gt;"",B4199&gt;='Uang Riba'!$H$30,B4199&lt;='Uang Riba'!$I$30,OR(H4199="Dana riba",H4199="Pinjam uang riba",I4199="Pinjam dari uang riba",I4199="Ganti uang riba",I4199="Kelebihan ganti dikembalikan",AND(C4199="Kantong Uang Riba",G4199="Pengeluaran"))),1,0)</f>
        <v/>
      </c>
      <c r="X4199" s="93">
        <f>IF(AND(B4199&lt;&gt;"",B4199&gt;='Buku Akun'!$H$4,B4199&lt;='Buku Akun'!$H$5,OR(C4199='Buku Akun'!$C$4,AND(D4199="Pindah",E4199='Buku Akun'!$C$4))),B4199+IF(AND(I4199="Selisih bunga",DAY(B4199)=1),0,0.01)+ROW()/10000000,"")</f>
        <v/>
      </c>
    </row>
    <row r="4200" outlineLevel="1" ht="15" customHeight="1" s="94">
      <c r="A4200" s="123">
        <f>IF(B4200="","",ROW()-15)</f>
        <v/>
      </c>
      <c r="B4200" s="124" t="n"/>
      <c r="C4200" s="123" t="n"/>
      <c r="D4200" s="123" t="n"/>
      <c r="E4200" s="123" t="n"/>
      <c r="F4200" s="125" t="n"/>
      <c r="G4200" s="123" t="n"/>
      <c r="H4200" s="123" t="n"/>
      <c r="I4200" s="123" t="n"/>
      <c r="J4200" s="123" t="n"/>
      <c r="K4200" s="123" t="n"/>
      <c r="L4200" s="123" t="n"/>
      <c r="M4200" s="123">
        <f>IF(AND(B4200&lt;&gt;"",OR($C$4="",ISNUMBER(SEARCH($C$4,C4200&amp;" "&amp;E4200&amp;" "&amp;G4200&amp;" "&amp;H4200&amp;" "&amp;I4200&amp;" "&amp;J4200&amp;" "&amp;K4200&amp;" "&amp;L4200))),OR($C$5="Semua",$C$5="",G4200=$C$5),OR($C$6="Semua",$C$6="",H4200=$C$6,H4200="Pengeluaran "&amp;$C$6,AND($C$6="Uang Kos Mama",H4200="Pengeluaran Uang Kos")),OR($C$7="Semua",$C$7="",I4200=$C$7),OR($C$8="Semua",$C$8="",C4200=$C$8,E4200=$C$8),OR($C$9="Semua",$C$9="",D4200=$C$9),OR($C$10="",B4200&gt;=$C$10),OR($C$11="",B4200&lt;=$C$11),OR($C$12&lt;&gt;"Ya",K4200&lt;&gt;""),OR($C$13="Semua",$C$13="",L4200=$C$13)),"✓","")</f>
        <v/>
      </c>
      <c r="N4200" s="93">
        <f>N(N4199)+IF(M4200="✓",1,0)</f>
        <v/>
      </c>
      <c r="O4200" s="93">
        <f>N(O4199)+IF(AND(B4200&lt;&gt;"",B4200&gt;='Uang Riba'!$H$30,B4200&lt;='Uang Riba'!$I$30,OR(H4200="Dana riba",H4200="Pinjam uang riba",I4200="Pinjam dari uang riba",I4200="Ganti uang riba",I4200="Kelebihan ganti dikembalikan",AND(C4200="Kantong Uang Riba",G4200="Pengeluaran"))),1,0)</f>
        <v/>
      </c>
      <c r="X4200" s="93">
        <f>IF(AND(B4200&lt;&gt;"",B4200&gt;='Buku Akun'!$H$4,B4200&lt;='Buku Akun'!$H$5,OR(C4200='Buku Akun'!$C$4,AND(D4200="Pindah",E4200='Buku Akun'!$C$4))),B4200+IF(AND(I4200="Selisih bunga",DAY(B4200)=1),0,0.01)+ROW()/10000000,"")</f>
        <v/>
      </c>
    </row>
    <row r="4201" outlineLevel="1" ht="15" customHeight="1" s="94">
      <c r="A4201" s="123">
        <f>IF(B4201="","",ROW()-15)</f>
        <v/>
      </c>
      <c r="B4201" s="124" t="n"/>
      <c r="C4201" s="123" t="n"/>
      <c r="D4201" s="123" t="n"/>
      <c r="E4201" s="123" t="n"/>
      <c r="F4201" s="125" t="n"/>
      <c r="G4201" s="123" t="n"/>
      <c r="H4201" s="123" t="n"/>
      <c r="I4201" s="123" t="n"/>
      <c r="J4201" s="123" t="n"/>
      <c r="K4201" s="123" t="n"/>
      <c r="L4201" s="123" t="n"/>
      <c r="M4201" s="123">
        <f>IF(AND(B4201&lt;&gt;"",OR($C$4="",ISNUMBER(SEARCH($C$4,C4201&amp;" "&amp;E4201&amp;" "&amp;G4201&amp;" "&amp;H4201&amp;" "&amp;I4201&amp;" "&amp;J4201&amp;" "&amp;K4201&amp;" "&amp;L4201))),OR($C$5="Semua",$C$5="",G4201=$C$5),OR($C$6="Semua",$C$6="",H4201=$C$6,H4201="Pengeluaran "&amp;$C$6,AND($C$6="Uang Kos Mama",H4201="Pengeluaran Uang Kos")),OR($C$7="Semua",$C$7="",I4201=$C$7),OR($C$8="Semua",$C$8="",C4201=$C$8,E4201=$C$8),OR($C$9="Semua",$C$9="",D4201=$C$9),OR($C$10="",B4201&gt;=$C$10),OR($C$11="",B4201&lt;=$C$11),OR($C$12&lt;&gt;"Ya",K4201&lt;&gt;""),OR($C$13="Semua",$C$13="",L4201=$C$13)),"✓","")</f>
        <v/>
      </c>
      <c r="N4201" s="93">
        <f>N(N4200)+IF(M4201="✓",1,0)</f>
        <v/>
      </c>
      <c r="O4201" s="93">
        <f>N(O4200)+IF(AND(B4201&lt;&gt;"",B4201&gt;='Uang Riba'!$H$30,B4201&lt;='Uang Riba'!$I$30,OR(H4201="Dana riba",H4201="Pinjam uang riba",I4201="Pinjam dari uang riba",I4201="Ganti uang riba",I4201="Kelebihan ganti dikembalikan",AND(C4201="Kantong Uang Riba",G4201="Pengeluaran"))),1,0)</f>
        <v/>
      </c>
      <c r="X4201" s="93">
        <f>IF(AND(B4201&lt;&gt;"",B4201&gt;='Buku Akun'!$H$4,B4201&lt;='Buku Akun'!$H$5,OR(C4201='Buku Akun'!$C$4,AND(D4201="Pindah",E4201='Buku Akun'!$C$4))),B4201+IF(AND(I4201="Selisih bunga",DAY(B4201)=1),0,0.01)+ROW()/10000000,"")</f>
        <v/>
      </c>
    </row>
    <row r="4202" outlineLevel="1" ht="15" customHeight="1" s="94">
      <c r="A4202" s="123">
        <f>IF(B4202="","",ROW()-15)</f>
        <v/>
      </c>
      <c r="B4202" s="124" t="n"/>
      <c r="C4202" s="123" t="n"/>
      <c r="D4202" s="123" t="n"/>
      <c r="E4202" s="123" t="n"/>
      <c r="F4202" s="125" t="n"/>
      <c r="G4202" s="123" t="n"/>
      <c r="H4202" s="123" t="n"/>
      <c r="I4202" s="123" t="n"/>
      <c r="J4202" s="123" t="n"/>
      <c r="K4202" s="123" t="n"/>
      <c r="L4202" s="123" t="n"/>
      <c r="M4202" s="123">
        <f>IF(AND(B4202&lt;&gt;"",OR($C$4="",ISNUMBER(SEARCH($C$4,C4202&amp;" "&amp;E4202&amp;" "&amp;G4202&amp;" "&amp;H4202&amp;" "&amp;I4202&amp;" "&amp;J4202&amp;" "&amp;K4202&amp;" "&amp;L4202))),OR($C$5="Semua",$C$5="",G4202=$C$5),OR($C$6="Semua",$C$6="",H4202=$C$6,H4202="Pengeluaran "&amp;$C$6,AND($C$6="Uang Kos Mama",H4202="Pengeluaran Uang Kos")),OR($C$7="Semua",$C$7="",I4202=$C$7),OR($C$8="Semua",$C$8="",C4202=$C$8,E4202=$C$8),OR($C$9="Semua",$C$9="",D4202=$C$9),OR($C$10="",B4202&gt;=$C$10),OR($C$11="",B4202&lt;=$C$11),OR($C$12&lt;&gt;"Ya",K4202&lt;&gt;""),OR($C$13="Semua",$C$13="",L4202=$C$13)),"✓","")</f>
        <v/>
      </c>
      <c r="N4202" s="93">
        <f>N(N4201)+IF(M4202="✓",1,0)</f>
        <v/>
      </c>
      <c r="O4202" s="93">
        <f>N(O4201)+IF(AND(B4202&lt;&gt;"",B4202&gt;='Uang Riba'!$H$30,B4202&lt;='Uang Riba'!$I$30,OR(H4202="Dana riba",H4202="Pinjam uang riba",I4202="Pinjam dari uang riba",I4202="Ganti uang riba",I4202="Kelebihan ganti dikembalikan",AND(C4202="Kantong Uang Riba",G4202="Pengeluaran"))),1,0)</f>
        <v/>
      </c>
      <c r="X4202" s="93">
        <f>IF(AND(B4202&lt;&gt;"",B4202&gt;='Buku Akun'!$H$4,B4202&lt;='Buku Akun'!$H$5,OR(C4202='Buku Akun'!$C$4,AND(D4202="Pindah",E4202='Buku Akun'!$C$4))),B4202+IF(AND(I4202="Selisih bunga",DAY(B4202)=1),0,0.01)+ROW()/10000000,"")</f>
        <v/>
      </c>
    </row>
    <row r="4203" outlineLevel="1" ht="15" customHeight="1" s="94">
      <c r="A4203" s="123">
        <f>IF(B4203="","",ROW()-15)</f>
        <v/>
      </c>
      <c r="B4203" s="124" t="n"/>
      <c r="C4203" s="123" t="n"/>
      <c r="D4203" s="123" t="n"/>
      <c r="E4203" s="123" t="n"/>
      <c r="F4203" s="125" t="n"/>
      <c r="G4203" s="123" t="n"/>
      <c r="H4203" s="123" t="n"/>
      <c r="I4203" s="123" t="n"/>
      <c r="J4203" s="123" t="n"/>
      <c r="K4203" s="123" t="n"/>
      <c r="L4203" s="123" t="n"/>
      <c r="M4203" s="123">
        <f>IF(AND(B4203&lt;&gt;"",OR($C$4="",ISNUMBER(SEARCH($C$4,C4203&amp;" "&amp;E4203&amp;" "&amp;G4203&amp;" "&amp;H4203&amp;" "&amp;I4203&amp;" "&amp;J4203&amp;" "&amp;K4203&amp;" "&amp;L4203))),OR($C$5="Semua",$C$5="",G4203=$C$5),OR($C$6="Semua",$C$6="",H4203=$C$6,H4203="Pengeluaran "&amp;$C$6,AND($C$6="Uang Kos Mama",H4203="Pengeluaran Uang Kos")),OR($C$7="Semua",$C$7="",I4203=$C$7),OR($C$8="Semua",$C$8="",C4203=$C$8,E4203=$C$8),OR($C$9="Semua",$C$9="",D4203=$C$9),OR($C$10="",B4203&gt;=$C$10),OR($C$11="",B4203&lt;=$C$11),OR($C$12&lt;&gt;"Ya",K4203&lt;&gt;""),OR($C$13="Semua",$C$13="",L4203=$C$13)),"✓","")</f>
        <v/>
      </c>
      <c r="N4203" s="93">
        <f>N(N4202)+IF(M4203="✓",1,0)</f>
        <v/>
      </c>
      <c r="O4203" s="93">
        <f>N(O4202)+IF(AND(B4203&lt;&gt;"",B4203&gt;='Uang Riba'!$H$30,B4203&lt;='Uang Riba'!$I$30,OR(H4203="Dana riba",H4203="Pinjam uang riba",I4203="Pinjam dari uang riba",I4203="Ganti uang riba",I4203="Kelebihan ganti dikembalikan",AND(C4203="Kantong Uang Riba",G4203="Pengeluaran"))),1,0)</f>
        <v/>
      </c>
      <c r="X4203" s="93">
        <f>IF(AND(B4203&lt;&gt;"",B4203&gt;='Buku Akun'!$H$4,B4203&lt;='Buku Akun'!$H$5,OR(C4203='Buku Akun'!$C$4,AND(D4203="Pindah",E4203='Buku Akun'!$C$4))),B4203+IF(AND(I4203="Selisih bunga",DAY(B4203)=1),0,0.01)+ROW()/10000000,"")</f>
        <v/>
      </c>
    </row>
    <row r="4204" outlineLevel="1" ht="15" customHeight="1" s="94">
      <c r="A4204" s="123">
        <f>IF(B4204="","",ROW()-15)</f>
        <v/>
      </c>
      <c r="B4204" s="124" t="n"/>
      <c r="C4204" s="123" t="n"/>
      <c r="D4204" s="123" t="n"/>
      <c r="E4204" s="123" t="n"/>
      <c r="F4204" s="125" t="n"/>
      <c r="G4204" s="123" t="n"/>
      <c r="H4204" s="123" t="n"/>
      <c r="I4204" s="123" t="n"/>
      <c r="J4204" s="123" t="n"/>
      <c r="K4204" s="123" t="n"/>
      <c r="L4204" s="123" t="n"/>
      <c r="M4204" s="123">
        <f>IF(AND(B4204&lt;&gt;"",OR($C$4="",ISNUMBER(SEARCH($C$4,C4204&amp;" "&amp;E4204&amp;" "&amp;G4204&amp;" "&amp;H4204&amp;" "&amp;I4204&amp;" "&amp;J4204&amp;" "&amp;K4204&amp;" "&amp;L4204))),OR($C$5="Semua",$C$5="",G4204=$C$5),OR($C$6="Semua",$C$6="",H4204=$C$6,H4204="Pengeluaran "&amp;$C$6,AND($C$6="Uang Kos Mama",H4204="Pengeluaran Uang Kos")),OR($C$7="Semua",$C$7="",I4204=$C$7),OR($C$8="Semua",$C$8="",C4204=$C$8,E4204=$C$8),OR($C$9="Semua",$C$9="",D4204=$C$9),OR($C$10="",B4204&gt;=$C$10),OR($C$11="",B4204&lt;=$C$11),OR($C$12&lt;&gt;"Ya",K4204&lt;&gt;""),OR($C$13="Semua",$C$13="",L4204=$C$13)),"✓","")</f>
        <v/>
      </c>
      <c r="N4204" s="93">
        <f>N(N4203)+IF(M4204="✓",1,0)</f>
        <v/>
      </c>
      <c r="O4204" s="93">
        <f>N(O4203)+IF(AND(B4204&lt;&gt;"",B4204&gt;='Uang Riba'!$H$30,B4204&lt;='Uang Riba'!$I$30,OR(H4204="Dana riba",H4204="Pinjam uang riba",I4204="Pinjam dari uang riba",I4204="Ganti uang riba",I4204="Kelebihan ganti dikembalikan",AND(C4204="Kantong Uang Riba",G4204="Pengeluaran"))),1,0)</f>
        <v/>
      </c>
      <c r="X4204" s="93">
        <f>IF(AND(B4204&lt;&gt;"",B4204&gt;='Buku Akun'!$H$4,B4204&lt;='Buku Akun'!$H$5,OR(C4204='Buku Akun'!$C$4,AND(D4204="Pindah",E4204='Buku Akun'!$C$4))),B4204+IF(AND(I4204="Selisih bunga",DAY(B4204)=1),0,0.01)+ROW()/10000000,"")</f>
        <v/>
      </c>
    </row>
    <row r="4205" outlineLevel="1" ht="15" customHeight="1" s="94">
      <c r="A4205" s="123">
        <f>IF(B4205="","",ROW()-15)</f>
        <v/>
      </c>
      <c r="B4205" s="124" t="n"/>
      <c r="C4205" s="123" t="n"/>
      <c r="D4205" s="123" t="n"/>
      <c r="E4205" s="123" t="n"/>
      <c r="F4205" s="125" t="n"/>
      <c r="G4205" s="123" t="n"/>
      <c r="H4205" s="123" t="n"/>
      <c r="I4205" s="123" t="n"/>
      <c r="J4205" s="123" t="n"/>
      <c r="K4205" s="123" t="n"/>
      <c r="L4205" s="123" t="n"/>
      <c r="M4205" s="123">
        <f>IF(AND(B4205&lt;&gt;"",OR($C$4="",ISNUMBER(SEARCH($C$4,C4205&amp;" "&amp;E4205&amp;" "&amp;G4205&amp;" "&amp;H4205&amp;" "&amp;I4205&amp;" "&amp;J4205&amp;" "&amp;K4205&amp;" "&amp;L4205))),OR($C$5="Semua",$C$5="",G4205=$C$5),OR($C$6="Semua",$C$6="",H4205=$C$6,H4205="Pengeluaran "&amp;$C$6,AND($C$6="Uang Kos Mama",H4205="Pengeluaran Uang Kos")),OR($C$7="Semua",$C$7="",I4205=$C$7),OR($C$8="Semua",$C$8="",C4205=$C$8,E4205=$C$8),OR($C$9="Semua",$C$9="",D4205=$C$9),OR($C$10="",B4205&gt;=$C$10),OR($C$11="",B4205&lt;=$C$11),OR($C$12&lt;&gt;"Ya",K4205&lt;&gt;""),OR($C$13="Semua",$C$13="",L4205=$C$13)),"✓","")</f>
        <v/>
      </c>
      <c r="N4205" s="93">
        <f>N(N4204)+IF(M4205="✓",1,0)</f>
        <v/>
      </c>
      <c r="O4205" s="93">
        <f>N(O4204)+IF(AND(B4205&lt;&gt;"",B4205&gt;='Uang Riba'!$H$30,B4205&lt;='Uang Riba'!$I$30,OR(H4205="Dana riba",H4205="Pinjam uang riba",I4205="Pinjam dari uang riba",I4205="Ganti uang riba",I4205="Kelebihan ganti dikembalikan",AND(C4205="Kantong Uang Riba",G4205="Pengeluaran"))),1,0)</f>
        <v/>
      </c>
      <c r="X4205" s="93">
        <f>IF(AND(B4205&lt;&gt;"",B4205&gt;='Buku Akun'!$H$4,B4205&lt;='Buku Akun'!$H$5,OR(C4205='Buku Akun'!$C$4,AND(D4205="Pindah",E4205='Buku Akun'!$C$4))),B4205+IF(AND(I4205="Selisih bunga",DAY(B4205)=1),0,0.01)+ROW()/10000000,"")</f>
        <v/>
      </c>
    </row>
    <row r="4206" outlineLevel="1" ht="15" customHeight="1" s="94">
      <c r="A4206" s="123">
        <f>IF(B4206="","",ROW()-15)</f>
        <v/>
      </c>
      <c r="B4206" s="124" t="n"/>
      <c r="C4206" s="123" t="n"/>
      <c r="D4206" s="123" t="n"/>
      <c r="E4206" s="123" t="n"/>
      <c r="F4206" s="125" t="n"/>
      <c r="G4206" s="123" t="n"/>
      <c r="H4206" s="123" t="n"/>
      <c r="I4206" s="123" t="n"/>
      <c r="J4206" s="123" t="n"/>
      <c r="K4206" s="123" t="n"/>
      <c r="L4206" s="123" t="n"/>
      <c r="M4206" s="123">
        <f>IF(AND(B4206&lt;&gt;"",OR($C$4="",ISNUMBER(SEARCH($C$4,C4206&amp;" "&amp;E4206&amp;" "&amp;G4206&amp;" "&amp;H4206&amp;" "&amp;I4206&amp;" "&amp;J4206&amp;" "&amp;K4206&amp;" "&amp;L4206))),OR($C$5="Semua",$C$5="",G4206=$C$5),OR($C$6="Semua",$C$6="",H4206=$C$6,H4206="Pengeluaran "&amp;$C$6,AND($C$6="Uang Kos Mama",H4206="Pengeluaran Uang Kos")),OR($C$7="Semua",$C$7="",I4206=$C$7),OR($C$8="Semua",$C$8="",C4206=$C$8,E4206=$C$8),OR($C$9="Semua",$C$9="",D4206=$C$9),OR($C$10="",B4206&gt;=$C$10),OR($C$11="",B4206&lt;=$C$11),OR($C$12&lt;&gt;"Ya",K4206&lt;&gt;""),OR($C$13="Semua",$C$13="",L4206=$C$13)),"✓","")</f>
        <v/>
      </c>
      <c r="N4206" s="93">
        <f>N(N4205)+IF(M4206="✓",1,0)</f>
        <v/>
      </c>
      <c r="O4206" s="93">
        <f>N(O4205)+IF(AND(B4206&lt;&gt;"",B4206&gt;='Uang Riba'!$H$30,B4206&lt;='Uang Riba'!$I$30,OR(H4206="Dana riba",H4206="Pinjam uang riba",I4206="Pinjam dari uang riba",I4206="Ganti uang riba",I4206="Kelebihan ganti dikembalikan",AND(C4206="Kantong Uang Riba",G4206="Pengeluaran"))),1,0)</f>
        <v/>
      </c>
      <c r="X4206" s="93">
        <f>IF(AND(B4206&lt;&gt;"",B4206&gt;='Buku Akun'!$H$4,B4206&lt;='Buku Akun'!$H$5,OR(C4206='Buku Akun'!$C$4,AND(D4206="Pindah",E4206='Buku Akun'!$C$4))),B4206+IF(AND(I4206="Selisih bunga",DAY(B4206)=1),0,0.01)+ROW()/10000000,"")</f>
        <v/>
      </c>
    </row>
    <row r="4207" outlineLevel="1" ht="15" customHeight="1" s="94">
      <c r="A4207" s="123">
        <f>IF(B4207="","",ROW()-15)</f>
        <v/>
      </c>
      <c r="B4207" s="124" t="n"/>
      <c r="C4207" s="123" t="n"/>
      <c r="D4207" s="123" t="n"/>
      <c r="E4207" s="123" t="n"/>
      <c r="F4207" s="125" t="n"/>
      <c r="G4207" s="123" t="n"/>
      <c r="H4207" s="123" t="n"/>
      <c r="I4207" s="123" t="n"/>
      <c r="J4207" s="123" t="n"/>
      <c r="K4207" s="123" t="n"/>
      <c r="L4207" s="123" t="n"/>
      <c r="M4207" s="123">
        <f>IF(AND(B4207&lt;&gt;"",OR($C$4="",ISNUMBER(SEARCH($C$4,C4207&amp;" "&amp;E4207&amp;" "&amp;G4207&amp;" "&amp;H4207&amp;" "&amp;I4207&amp;" "&amp;J4207&amp;" "&amp;K4207&amp;" "&amp;L4207))),OR($C$5="Semua",$C$5="",G4207=$C$5),OR($C$6="Semua",$C$6="",H4207=$C$6,H4207="Pengeluaran "&amp;$C$6,AND($C$6="Uang Kos Mama",H4207="Pengeluaran Uang Kos")),OR($C$7="Semua",$C$7="",I4207=$C$7),OR($C$8="Semua",$C$8="",C4207=$C$8,E4207=$C$8),OR($C$9="Semua",$C$9="",D4207=$C$9),OR($C$10="",B4207&gt;=$C$10),OR($C$11="",B4207&lt;=$C$11),OR($C$12&lt;&gt;"Ya",K4207&lt;&gt;""),OR($C$13="Semua",$C$13="",L4207=$C$13)),"✓","")</f>
        <v/>
      </c>
      <c r="N4207" s="93">
        <f>N(N4206)+IF(M4207="✓",1,0)</f>
        <v/>
      </c>
      <c r="O4207" s="93">
        <f>N(O4206)+IF(AND(B4207&lt;&gt;"",B4207&gt;='Uang Riba'!$H$30,B4207&lt;='Uang Riba'!$I$30,OR(H4207="Dana riba",H4207="Pinjam uang riba",I4207="Pinjam dari uang riba",I4207="Ganti uang riba",I4207="Kelebihan ganti dikembalikan",AND(C4207="Kantong Uang Riba",G4207="Pengeluaran"))),1,0)</f>
        <v/>
      </c>
      <c r="X4207" s="93">
        <f>IF(AND(B4207&lt;&gt;"",B4207&gt;='Buku Akun'!$H$4,B4207&lt;='Buku Akun'!$H$5,OR(C4207='Buku Akun'!$C$4,AND(D4207="Pindah",E4207='Buku Akun'!$C$4))),B4207+IF(AND(I4207="Selisih bunga",DAY(B4207)=1),0,0.01)+ROW()/10000000,"")</f>
        <v/>
      </c>
    </row>
    <row r="4208" outlineLevel="1" ht="15" customHeight="1" s="94">
      <c r="A4208" s="123">
        <f>IF(B4208="","",ROW()-15)</f>
        <v/>
      </c>
      <c r="B4208" s="124" t="n"/>
      <c r="C4208" s="123" t="n"/>
      <c r="D4208" s="123" t="n"/>
      <c r="E4208" s="123" t="n"/>
      <c r="F4208" s="125" t="n"/>
      <c r="G4208" s="123" t="n"/>
      <c r="H4208" s="123" t="n"/>
      <c r="I4208" s="123" t="n"/>
      <c r="J4208" s="123" t="n"/>
      <c r="K4208" s="123" t="n"/>
      <c r="L4208" s="123" t="n"/>
      <c r="M4208" s="123">
        <f>IF(AND(B4208&lt;&gt;"",OR($C$4="",ISNUMBER(SEARCH($C$4,C4208&amp;" "&amp;E4208&amp;" "&amp;G4208&amp;" "&amp;H4208&amp;" "&amp;I4208&amp;" "&amp;J4208&amp;" "&amp;K4208&amp;" "&amp;L4208))),OR($C$5="Semua",$C$5="",G4208=$C$5),OR($C$6="Semua",$C$6="",H4208=$C$6,H4208="Pengeluaran "&amp;$C$6,AND($C$6="Uang Kos Mama",H4208="Pengeluaran Uang Kos")),OR($C$7="Semua",$C$7="",I4208=$C$7),OR($C$8="Semua",$C$8="",C4208=$C$8,E4208=$C$8),OR($C$9="Semua",$C$9="",D4208=$C$9),OR($C$10="",B4208&gt;=$C$10),OR($C$11="",B4208&lt;=$C$11),OR($C$12&lt;&gt;"Ya",K4208&lt;&gt;""),OR($C$13="Semua",$C$13="",L4208=$C$13)),"✓","")</f>
        <v/>
      </c>
      <c r="N4208" s="93">
        <f>N(N4207)+IF(M4208="✓",1,0)</f>
        <v/>
      </c>
      <c r="O4208" s="93">
        <f>N(O4207)+IF(AND(B4208&lt;&gt;"",B4208&gt;='Uang Riba'!$H$30,B4208&lt;='Uang Riba'!$I$30,OR(H4208="Dana riba",H4208="Pinjam uang riba",I4208="Pinjam dari uang riba",I4208="Ganti uang riba",I4208="Kelebihan ganti dikembalikan",AND(C4208="Kantong Uang Riba",G4208="Pengeluaran"))),1,0)</f>
        <v/>
      </c>
      <c r="X4208" s="93">
        <f>IF(AND(B4208&lt;&gt;"",B4208&gt;='Buku Akun'!$H$4,B4208&lt;='Buku Akun'!$H$5,OR(C4208='Buku Akun'!$C$4,AND(D4208="Pindah",E4208='Buku Akun'!$C$4))),B4208+IF(AND(I4208="Selisih bunga",DAY(B4208)=1),0,0.01)+ROW()/10000000,"")</f>
        <v/>
      </c>
    </row>
    <row r="4209" outlineLevel="1" ht="15" customHeight="1" s="94">
      <c r="A4209" s="123">
        <f>IF(B4209="","",ROW()-15)</f>
        <v/>
      </c>
      <c r="B4209" s="124" t="n"/>
      <c r="C4209" s="123" t="n"/>
      <c r="D4209" s="123" t="n"/>
      <c r="E4209" s="123" t="n"/>
      <c r="F4209" s="125" t="n"/>
      <c r="G4209" s="123" t="n"/>
      <c r="H4209" s="123" t="n"/>
      <c r="I4209" s="123" t="n"/>
      <c r="J4209" s="123" t="n"/>
      <c r="K4209" s="123" t="n"/>
      <c r="L4209" s="123" t="n"/>
      <c r="M4209" s="123">
        <f>IF(AND(B4209&lt;&gt;"",OR($C$4="",ISNUMBER(SEARCH($C$4,C4209&amp;" "&amp;E4209&amp;" "&amp;G4209&amp;" "&amp;H4209&amp;" "&amp;I4209&amp;" "&amp;J4209&amp;" "&amp;K4209&amp;" "&amp;L4209))),OR($C$5="Semua",$C$5="",G4209=$C$5),OR($C$6="Semua",$C$6="",H4209=$C$6,H4209="Pengeluaran "&amp;$C$6,AND($C$6="Uang Kos Mama",H4209="Pengeluaran Uang Kos")),OR($C$7="Semua",$C$7="",I4209=$C$7),OR($C$8="Semua",$C$8="",C4209=$C$8,E4209=$C$8),OR($C$9="Semua",$C$9="",D4209=$C$9),OR($C$10="",B4209&gt;=$C$10),OR($C$11="",B4209&lt;=$C$11),OR($C$12&lt;&gt;"Ya",K4209&lt;&gt;""),OR($C$13="Semua",$C$13="",L4209=$C$13)),"✓","")</f>
        <v/>
      </c>
      <c r="N4209" s="93">
        <f>N(N4208)+IF(M4209="✓",1,0)</f>
        <v/>
      </c>
      <c r="O4209" s="93">
        <f>N(O4208)+IF(AND(B4209&lt;&gt;"",B4209&gt;='Uang Riba'!$H$30,B4209&lt;='Uang Riba'!$I$30,OR(H4209="Dana riba",H4209="Pinjam uang riba",I4209="Pinjam dari uang riba",I4209="Ganti uang riba",I4209="Kelebihan ganti dikembalikan",AND(C4209="Kantong Uang Riba",G4209="Pengeluaran"))),1,0)</f>
        <v/>
      </c>
      <c r="X4209" s="93">
        <f>IF(AND(B4209&lt;&gt;"",B4209&gt;='Buku Akun'!$H$4,B4209&lt;='Buku Akun'!$H$5,OR(C4209='Buku Akun'!$C$4,AND(D4209="Pindah",E4209='Buku Akun'!$C$4))),B4209+IF(AND(I4209="Selisih bunga",DAY(B4209)=1),0,0.01)+ROW()/10000000,"")</f>
        <v/>
      </c>
    </row>
    <row r="4210" outlineLevel="1" ht="15" customHeight="1" s="94">
      <c r="A4210" s="123">
        <f>IF(B4210="","",ROW()-15)</f>
        <v/>
      </c>
      <c r="B4210" s="124" t="n"/>
      <c r="C4210" s="123" t="n"/>
      <c r="D4210" s="123" t="n"/>
      <c r="E4210" s="123" t="n"/>
      <c r="F4210" s="125" t="n"/>
      <c r="G4210" s="123" t="n"/>
      <c r="H4210" s="123" t="n"/>
      <c r="I4210" s="123" t="n"/>
      <c r="J4210" s="123" t="n"/>
      <c r="K4210" s="123" t="n"/>
      <c r="L4210" s="123" t="n"/>
      <c r="M4210" s="123">
        <f>IF(AND(B4210&lt;&gt;"",OR($C$4="",ISNUMBER(SEARCH($C$4,C4210&amp;" "&amp;E4210&amp;" "&amp;G4210&amp;" "&amp;H4210&amp;" "&amp;I4210&amp;" "&amp;J4210&amp;" "&amp;K4210&amp;" "&amp;L4210))),OR($C$5="Semua",$C$5="",G4210=$C$5),OR($C$6="Semua",$C$6="",H4210=$C$6,H4210="Pengeluaran "&amp;$C$6,AND($C$6="Uang Kos Mama",H4210="Pengeluaran Uang Kos")),OR($C$7="Semua",$C$7="",I4210=$C$7),OR($C$8="Semua",$C$8="",C4210=$C$8,E4210=$C$8),OR($C$9="Semua",$C$9="",D4210=$C$9),OR($C$10="",B4210&gt;=$C$10),OR($C$11="",B4210&lt;=$C$11),OR($C$12&lt;&gt;"Ya",K4210&lt;&gt;""),OR($C$13="Semua",$C$13="",L4210=$C$13)),"✓","")</f>
        <v/>
      </c>
      <c r="N4210" s="93">
        <f>N(N4209)+IF(M4210="✓",1,0)</f>
        <v/>
      </c>
      <c r="O4210" s="93">
        <f>N(O4209)+IF(AND(B4210&lt;&gt;"",B4210&gt;='Uang Riba'!$H$30,B4210&lt;='Uang Riba'!$I$30,OR(H4210="Dana riba",H4210="Pinjam uang riba",I4210="Pinjam dari uang riba",I4210="Ganti uang riba",I4210="Kelebihan ganti dikembalikan",AND(C4210="Kantong Uang Riba",G4210="Pengeluaran"))),1,0)</f>
        <v/>
      </c>
      <c r="X4210" s="93">
        <f>IF(AND(B4210&lt;&gt;"",B4210&gt;='Buku Akun'!$H$4,B4210&lt;='Buku Akun'!$H$5,OR(C4210='Buku Akun'!$C$4,AND(D4210="Pindah",E4210='Buku Akun'!$C$4))),B4210+IF(AND(I4210="Selisih bunga",DAY(B4210)=1),0,0.01)+ROW()/10000000,"")</f>
        <v/>
      </c>
    </row>
    <row r="4211" outlineLevel="1" ht="15" customHeight="1" s="94">
      <c r="A4211" s="123">
        <f>IF(B4211="","",ROW()-15)</f>
        <v/>
      </c>
      <c r="B4211" s="124" t="n"/>
      <c r="C4211" s="123" t="n"/>
      <c r="D4211" s="123" t="n"/>
      <c r="E4211" s="123" t="n"/>
      <c r="F4211" s="125" t="n"/>
      <c r="G4211" s="123" t="n"/>
      <c r="H4211" s="123" t="n"/>
      <c r="I4211" s="123" t="n"/>
      <c r="J4211" s="123" t="n"/>
      <c r="K4211" s="123" t="n"/>
      <c r="L4211" s="123" t="n"/>
      <c r="M4211" s="123">
        <f>IF(AND(B4211&lt;&gt;"",OR($C$4="",ISNUMBER(SEARCH($C$4,C4211&amp;" "&amp;E4211&amp;" "&amp;G4211&amp;" "&amp;H4211&amp;" "&amp;I4211&amp;" "&amp;J4211&amp;" "&amp;K4211&amp;" "&amp;L4211))),OR($C$5="Semua",$C$5="",G4211=$C$5),OR($C$6="Semua",$C$6="",H4211=$C$6,H4211="Pengeluaran "&amp;$C$6,AND($C$6="Uang Kos Mama",H4211="Pengeluaran Uang Kos")),OR($C$7="Semua",$C$7="",I4211=$C$7),OR($C$8="Semua",$C$8="",C4211=$C$8,E4211=$C$8),OR($C$9="Semua",$C$9="",D4211=$C$9),OR($C$10="",B4211&gt;=$C$10),OR($C$11="",B4211&lt;=$C$11),OR($C$12&lt;&gt;"Ya",K4211&lt;&gt;""),OR($C$13="Semua",$C$13="",L4211=$C$13)),"✓","")</f>
        <v/>
      </c>
      <c r="N4211" s="93">
        <f>N(N4210)+IF(M4211="✓",1,0)</f>
        <v/>
      </c>
      <c r="O4211" s="93">
        <f>N(O4210)+IF(AND(B4211&lt;&gt;"",B4211&gt;='Uang Riba'!$H$30,B4211&lt;='Uang Riba'!$I$30,OR(H4211="Dana riba",H4211="Pinjam uang riba",I4211="Pinjam dari uang riba",I4211="Ganti uang riba",I4211="Kelebihan ganti dikembalikan",AND(C4211="Kantong Uang Riba",G4211="Pengeluaran"))),1,0)</f>
        <v/>
      </c>
      <c r="X4211" s="93">
        <f>IF(AND(B4211&lt;&gt;"",B4211&gt;='Buku Akun'!$H$4,B4211&lt;='Buku Akun'!$H$5,OR(C4211='Buku Akun'!$C$4,AND(D4211="Pindah",E4211='Buku Akun'!$C$4))),B4211+IF(AND(I4211="Selisih bunga",DAY(B4211)=1),0,0.01)+ROW()/10000000,"")</f>
        <v/>
      </c>
    </row>
    <row r="4212" outlineLevel="1" ht="15" customHeight="1" s="94">
      <c r="A4212" s="123">
        <f>IF(B4212="","",ROW()-15)</f>
        <v/>
      </c>
      <c r="B4212" s="124" t="n"/>
      <c r="C4212" s="123" t="n"/>
      <c r="D4212" s="123" t="n"/>
      <c r="E4212" s="123" t="n"/>
      <c r="F4212" s="125" t="n"/>
      <c r="G4212" s="123" t="n"/>
      <c r="H4212" s="123" t="n"/>
      <c r="I4212" s="123" t="n"/>
      <c r="J4212" s="123" t="n"/>
      <c r="K4212" s="123" t="n"/>
      <c r="L4212" s="123" t="n"/>
      <c r="M4212" s="123">
        <f>IF(AND(B4212&lt;&gt;"",OR($C$4="",ISNUMBER(SEARCH($C$4,C4212&amp;" "&amp;E4212&amp;" "&amp;G4212&amp;" "&amp;H4212&amp;" "&amp;I4212&amp;" "&amp;J4212&amp;" "&amp;K4212&amp;" "&amp;L4212))),OR($C$5="Semua",$C$5="",G4212=$C$5),OR($C$6="Semua",$C$6="",H4212=$C$6,H4212="Pengeluaran "&amp;$C$6,AND($C$6="Uang Kos Mama",H4212="Pengeluaran Uang Kos")),OR($C$7="Semua",$C$7="",I4212=$C$7),OR($C$8="Semua",$C$8="",C4212=$C$8,E4212=$C$8),OR($C$9="Semua",$C$9="",D4212=$C$9),OR($C$10="",B4212&gt;=$C$10),OR($C$11="",B4212&lt;=$C$11),OR($C$12&lt;&gt;"Ya",K4212&lt;&gt;""),OR($C$13="Semua",$C$13="",L4212=$C$13)),"✓","")</f>
        <v/>
      </c>
      <c r="N4212" s="93">
        <f>N(N4211)+IF(M4212="✓",1,0)</f>
        <v/>
      </c>
      <c r="O4212" s="93">
        <f>N(O4211)+IF(AND(B4212&lt;&gt;"",B4212&gt;='Uang Riba'!$H$30,B4212&lt;='Uang Riba'!$I$30,OR(H4212="Dana riba",H4212="Pinjam uang riba",I4212="Pinjam dari uang riba",I4212="Ganti uang riba",I4212="Kelebihan ganti dikembalikan",AND(C4212="Kantong Uang Riba",G4212="Pengeluaran"))),1,0)</f>
        <v/>
      </c>
      <c r="X4212" s="93">
        <f>IF(AND(B4212&lt;&gt;"",B4212&gt;='Buku Akun'!$H$4,B4212&lt;='Buku Akun'!$H$5,OR(C4212='Buku Akun'!$C$4,AND(D4212="Pindah",E4212='Buku Akun'!$C$4))),B4212+IF(AND(I4212="Selisih bunga",DAY(B4212)=1),0,0.01)+ROW()/10000000,"")</f>
        <v/>
      </c>
    </row>
    <row r="4213" outlineLevel="1" ht="15" customHeight="1" s="94">
      <c r="A4213" s="123">
        <f>IF(B4213="","",ROW()-15)</f>
        <v/>
      </c>
      <c r="B4213" s="124" t="n"/>
      <c r="C4213" s="123" t="n"/>
      <c r="D4213" s="123" t="n"/>
      <c r="E4213" s="123" t="n"/>
      <c r="F4213" s="125" t="n"/>
      <c r="G4213" s="123" t="n"/>
      <c r="H4213" s="123" t="n"/>
      <c r="I4213" s="123" t="n"/>
      <c r="J4213" s="123" t="n"/>
      <c r="K4213" s="123" t="n"/>
      <c r="L4213" s="123" t="n"/>
      <c r="M4213" s="123">
        <f>IF(AND(B4213&lt;&gt;"",OR($C$4="",ISNUMBER(SEARCH($C$4,C4213&amp;" "&amp;E4213&amp;" "&amp;G4213&amp;" "&amp;H4213&amp;" "&amp;I4213&amp;" "&amp;J4213&amp;" "&amp;K4213&amp;" "&amp;L4213))),OR($C$5="Semua",$C$5="",G4213=$C$5),OR($C$6="Semua",$C$6="",H4213=$C$6,H4213="Pengeluaran "&amp;$C$6,AND($C$6="Uang Kos Mama",H4213="Pengeluaran Uang Kos")),OR($C$7="Semua",$C$7="",I4213=$C$7),OR($C$8="Semua",$C$8="",C4213=$C$8,E4213=$C$8),OR($C$9="Semua",$C$9="",D4213=$C$9),OR($C$10="",B4213&gt;=$C$10),OR($C$11="",B4213&lt;=$C$11),OR($C$12&lt;&gt;"Ya",K4213&lt;&gt;""),OR($C$13="Semua",$C$13="",L4213=$C$13)),"✓","")</f>
        <v/>
      </c>
      <c r="N4213" s="93">
        <f>N(N4212)+IF(M4213="✓",1,0)</f>
        <v/>
      </c>
      <c r="O4213" s="93">
        <f>N(O4212)+IF(AND(B4213&lt;&gt;"",B4213&gt;='Uang Riba'!$H$30,B4213&lt;='Uang Riba'!$I$30,OR(H4213="Dana riba",H4213="Pinjam uang riba",I4213="Pinjam dari uang riba",I4213="Ganti uang riba",I4213="Kelebihan ganti dikembalikan",AND(C4213="Kantong Uang Riba",G4213="Pengeluaran"))),1,0)</f>
        <v/>
      </c>
      <c r="X4213" s="93">
        <f>IF(AND(B4213&lt;&gt;"",B4213&gt;='Buku Akun'!$H$4,B4213&lt;='Buku Akun'!$H$5,OR(C4213='Buku Akun'!$C$4,AND(D4213="Pindah",E4213='Buku Akun'!$C$4))),B4213+IF(AND(I4213="Selisih bunga",DAY(B4213)=1),0,0.01)+ROW()/10000000,"")</f>
        <v/>
      </c>
    </row>
    <row r="4214" outlineLevel="1" ht="15" customHeight="1" s="94">
      <c r="A4214" s="123">
        <f>IF(B4214="","",ROW()-15)</f>
        <v/>
      </c>
      <c r="B4214" s="124" t="n"/>
      <c r="C4214" s="123" t="n"/>
      <c r="D4214" s="123" t="n"/>
      <c r="E4214" s="123" t="n"/>
      <c r="F4214" s="125" t="n"/>
      <c r="G4214" s="123" t="n"/>
      <c r="H4214" s="123" t="n"/>
      <c r="I4214" s="123" t="n"/>
      <c r="J4214" s="123" t="n"/>
      <c r="K4214" s="123" t="n"/>
      <c r="L4214" s="123" t="n"/>
      <c r="M4214" s="123">
        <f>IF(AND(B4214&lt;&gt;"",OR($C$4="",ISNUMBER(SEARCH($C$4,C4214&amp;" "&amp;E4214&amp;" "&amp;G4214&amp;" "&amp;H4214&amp;" "&amp;I4214&amp;" "&amp;J4214&amp;" "&amp;K4214&amp;" "&amp;L4214))),OR($C$5="Semua",$C$5="",G4214=$C$5),OR($C$6="Semua",$C$6="",H4214=$C$6,H4214="Pengeluaran "&amp;$C$6,AND($C$6="Uang Kos Mama",H4214="Pengeluaran Uang Kos")),OR($C$7="Semua",$C$7="",I4214=$C$7),OR($C$8="Semua",$C$8="",C4214=$C$8,E4214=$C$8),OR($C$9="Semua",$C$9="",D4214=$C$9),OR($C$10="",B4214&gt;=$C$10),OR($C$11="",B4214&lt;=$C$11),OR($C$12&lt;&gt;"Ya",K4214&lt;&gt;""),OR($C$13="Semua",$C$13="",L4214=$C$13)),"✓","")</f>
        <v/>
      </c>
      <c r="N4214" s="93">
        <f>N(N4213)+IF(M4214="✓",1,0)</f>
        <v/>
      </c>
      <c r="O4214" s="93">
        <f>N(O4213)+IF(AND(B4214&lt;&gt;"",B4214&gt;='Uang Riba'!$H$30,B4214&lt;='Uang Riba'!$I$30,OR(H4214="Dana riba",H4214="Pinjam uang riba",I4214="Pinjam dari uang riba",I4214="Ganti uang riba",I4214="Kelebihan ganti dikembalikan",AND(C4214="Kantong Uang Riba",G4214="Pengeluaran"))),1,0)</f>
        <v/>
      </c>
      <c r="X4214" s="93">
        <f>IF(AND(B4214&lt;&gt;"",B4214&gt;='Buku Akun'!$H$4,B4214&lt;='Buku Akun'!$H$5,OR(C4214='Buku Akun'!$C$4,AND(D4214="Pindah",E4214='Buku Akun'!$C$4))),B4214+IF(AND(I4214="Selisih bunga",DAY(B4214)=1),0,0.01)+ROW()/10000000,"")</f>
        <v/>
      </c>
    </row>
    <row r="4215" outlineLevel="1" ht="15" customHeight="1" s="94">
      <c r="A4215" s="123">
        <f>IF(B4215="","",ROW()-15)</f>
        <v/>
      </c>
      <c r="B4215" s="124" t="n"/>
      <c r="C4215" s="123" t="n"/>
      <c r="D4215" s="123" t="n"/>
      <c r="E4215" s="123" t="n"/>
      <c r="F4215" s="125" t="n"/>
      <c r="G4215" s="123" t="n"/>
      <c r="H4215" s="123" t="n"/>
      <c r="I4215" s="123" t="n"/>
      <c r="J4215" s="123" t="n"/>
      <c r="K4215" s="123" t="n"/>
      <c r="L4215" s="123" t="n"/>
      <c r="M4215" s="123">
        <f>IF(AND(B4215&lt;&gt;"",OR($C$4="",ISNUMBER(SEARCH($C$4,C4215&amp;" "&amp;E4215&amp;" "&amp;G4215&amp;" "&amp;H4215&amp;" "&amp;I4215&amp;" "&amp;J4215&amp;" "&amp;K4215&amp;" "&amp;L4215))),OR($C$5="Semua",$C$5="",G4215=$C$5),OR($C$6="Semua",$C$6="",H4215=$C$6,H4215="Pengeluaran "&amp;$C$6,AND($C$6="Uang Kos Mama",H4215="Pengeluaran Uang Kos")),OR($C$7="Semua",$C$7="",I4215=$C$7),OR($C$8="Semua",$C$8="",C4215=$C$8,E4215=$C$8),OR($C$9="Semua",$C$9="",D4215=$C$9),OR($C$10="",B4215&gt;=$C$10),OR($C$11="",B4215&lt;=$C$11),OR($C$12&lt;&gt;"Ya",K4215&lt;&gt;""),OR($C$13="Semua",$C$13="",L4215=$C$13)),"✓","")</f>
        <v/>
      </c>
      <c r="N4215" s="93">
        <f>N(N4214)+IF(M4215="✓",1,0)</f>
        <v/>
      </c>
      <c r="O4215" s="93">
        <f>N(O4214)+IF(AND(B4215&lt;&gt;"",B4215&gt;='Uang Riba'!$H$30,B4215&lt;='Uang Riba'!$I$30,OR(H4215="Dana riba",H4215="Pinjam uang riba",I4215="Pinjam dari uang riba",I4215="Ganti uang riba",I4215="Kelebihan ganti dikembalikan",AND(C4215="Kantong Uang Riba",G4215="Pengeluaran"))),1,0)</f>
        <v/>
      </c>
      <c r="X4215" s="93">
        <f>IF(AND(B4215&lt;&gt;"",B4215&gt;='Buku Akun'!$H$4,B4215&lt;='Buku Akun'!$H$5,OR(C4215='Buku Akun'!$C$4,AND(D4215="Pindah",E4215='Buku Akun'!$C$4))),B4215+IF(AND(I4215="Selisih bunga",DAY(B4215)=1),0,0.01)+ROW()/10000000,"")</f>
        <v/>
      </c>
    </row>
    <row r="4216" outlineLevel="1" ht="15" customHeight="1" s="94">
      <c r="A4216" s="123">
        <f>IF(B4216="","",ROW()-15)</f>
        <v/>
      </c>
      <c r="B4216" s="124" t="n"/>
      <c r="C4216" s="123" t="n"/>
      <c r="D4216" s="123" t="n"/>
      <c r="E4216" s="123" t="n"/>
      <c r="F4216" s="125" t="n"/>
      <c r="G4216" s="123" t="n"/>
      <c r="H4216" s="123" t="n"/>
      <c r="I4216" s="123" t="n"/>
      <c r="J4216" s="123" t="n"/>
      <c r="K4216" s="123" t="n"/>
      <c r="L4216" s="123" t="n"/>
      <c r="M4216" s="123">
        <f>IF(AND(B4216&lt;&gt;"",OR($C$4="",ISNUMBER(SEARCH($C$4,C4216&amp;" "&amp;E4216&amp;" "&amp;G4216&amp;" "&amp;H4216&amp;" "&amp;I4216&amp;" "&amp;J4216&amp;" "&amp;K4216&amp;" "&amp;L4216))),OR($C$5="Semua",$C$5="",G4216=$C$5),OR($C$6="Semua",$C$6="",H4216=$C$6,H4216="Pengeluaran "&amp;$C$6,AND($C$6="Uang Kos Mama",H4216="Pengeluaran Uang Kos")),OR($C$7="Semua",$C$7="",I4216=$C$7),OR($C$8="Semua",$C$8="",C4216=$C$8,E4216=$C$8),OR($C$9="Semua",$C$9="",D4216=$C$9),OR($C$10="",B4216&gt;=$C$10),OR($C$11="",B4216&lt;=$C$11),OR($C$12&lt;&gt;"Ya",K4216&lt;&gt;""),OR($C$13="Semua",$C$13="",L4216=$C$13)),"✓","")</f>
        <v/>
      </c>
      <c r="N4216" s="93">
        <f>N(N4215)+IF(M4216="✓",1,0)</f>
        <v/>
      </c>
      <c r="O4216" s="93">
        <f>N(O4215)+IF(AND(B4216&lt;&gt;"",B4216&gt;='Uang Riba'!$H$30,B4216&lt;='Uang Riba'!$I$30,OR(H4216="Dana riba",H4216="Pinjam uang riba",I4216="Pinjam dari uang riba",I4216="Ganti uang riba",I4216="Kelebihan ganti dikembalikan",AND(C4216="Kantong Uang Riba",G4216="Pengeluaran"))),1,0)</f>
        <v/>
      </c>
      <c r="X4216" s="93">
        <f>IF(AND(B4216&lt;&gt;"",B4216&gt;='Buku Akun'!$H$4,B4216&lt;='Buku Akun'!$H$5,OR(C4216='Buku Akun'!$C$4,AND(D4216="Pindah",E4216='Buku Akun'!$C$4))),B4216+IF(AND(I4216="Selisih bunga",DAY(B4216)=1),0,0.01)+ROW()/10000000,"")</f>
        <v/>
      </c>
    </row>
    <row r="4217" outlineLevel="1" ht="15" customHeight="1" s="94">
      <c r="A4217" s="123">
        <f>IF(B4217="","",ROW()-15)</f>
        <v/>
      </c>
      <c r="B4217" s="124" t="n"/>
      <c r="C4217" s="123" t="n"/>
      <c r="D4217" s="123" t="n"/>
      <c r="E4217" s="123" t="n"/>
      <c r="F4217" s="125" t="n"/>
      <c r="G4217" s="123" t="n"/>
      <c r="H4217" s="123" t="n"/>
      <c r="I4217" s="123" t="n"/>
      <c r="J4217" s="123" t="n"/>
      <c r="K4217" s="123" t="n"/>
      <c r="L4217" s="123" t="n"/>
      <c r="M4217" s="123">
        <f>IF(AND(B4217&lt;&gt;"",OR($C$4="",ISNUMBER(SEARCH($C$4,C4217&amp;" "&amp;E4217&amp;" "&amp;G4217&amp;" "&amp;H4217&amp;" "&amp;I4217&amp;" "&amp;J4217&amp;" "&amp;K4217&amp;" "&amp;L4217))),OR($C$5="Semua",$C$5="",G4217=$C$5),OR($C$6="Semua",$C$6="",H4217=$C$6,H4217="Pengeluaran "&amp;$C$6,AND($C$6="Uang Kos Mama",H4217="Pengeluaran Uang Kos")),OR($C$7="Semua",$C$7="",I4217=$C$7),OR($C$8="Semua",$C$8="",C4217=$C$8,E4217=$C$8),OR($C$9="Semua",$C$9="",D4217=$C$9),OR($C$10="",B4217&gt;=$C$10),OR($C$11="",B4217&lt;=$C$11),OR($C$12&lt;&gt;"Ya",K4217&lt;&gt;""),OR($C$13="Semua",$C$13="",L4217=$C$13)),"✓","")</f>
        <v/>
      </c>
      <c r="N4217" s="93">
        <f>N(N4216)+IF(M4217="✓",1,0)</f>
        <v/>
      </c>
      <c r="O4217" s="93">
        <f>N(O4216)+IF(AND(B4217&lt;&gt;"",B4217&gt;='Uang Riba'!$H$30,B4217&lt;='Uang Riba'!$I$30,OR(H4217="Dana riba",H4217="Pinjam uang riba",I4217="Pinjam dari uang riba",I4217="Ganti uang riba",I4217="Kelebihan ganti dikembalikan",AND(C4217="Kantong Uang Riba",G4217="Pengeluaran"))),1,0)</f>
        <v/>
      </c>
      <c r="X4217" s="93">
        <f>IF(AND(B4217&lt;&gt;"",B4217&gt;='Buku Akun'!$H$4,B4217&lt;='Buku Akun'!$H$5,OR(C4217='Buku Akun'!$C$4,AND(D4217="Pindah",E4217='Buku Akun'!$C$4))),B4217+IF(AND(I4217="Selisih bunga",DAY(B4217)=1),0,0.01)+ROW()/10000000,"")</f>
        <v/>
      </c>
    </row>
    <row r="4218" outlineLevel="1" ht="15" customHeight="1" s="94">
      <c r="A4218" s="123">
        <f>IF(B4218="","",ROW()-15)</f>
        <v/>
      </c>
      <c r="B4218" s="124" t="n"/>
      <c r="C4218" s="123" t="n"/>
      <c r="D4218" s="123" t="n"/>
      <c r="E4218" s="123" t="n"/>
      <c r="F4218" s="125" t="n"/>
      <c r="G4218" s="123" t="n"/>
      <c r="H4218" s="123" t="n"/>
      <c r="I4218" s="123" t="n"/>
      <c r="J4218" s="123" t="n"/>
      <c r="K4218" s="123" t="n"/>
      <c r="L4218" s="123" t="n"/>
      <c r="M4218" s="123">
        <f>IF(AND(B4218&lt;&gt;"",OR($C$4="",ISNUMBER(SEARCH($C$4,C4218&amp;" "&amp;E4218&amp;" "&amp;G4218&amp;" "&amp;H4218&amp;" "&amp;I4218&amp;" "&amp;J4218&amp;" "&amp;K4218&amp;" "&amp;L4218))),OR($C$5="Semua",$C$5="",G4218=$C$5),OR($C$6="Semua",$C$6="",H4218=$C$6,H4218="Pengeluaran "&amp;$C$6,AND($C$6="Uang Kos Mama",H4218="Pengeluaran Uang Kos")),OR($C$7="Semua",$C$7="",I4218=$C$7),OR($C$8="Semua",$C$8="",C4218=$C$8,E4218=$C$8),OR($C$9="Semua",$C$9="",D4218=$C$9),OR($C$10="",B4218&gt;=$C$10),OR($C$11="",B4218&lt;=$C$11),OR($C$12&lt;&gt;"Ya",K4218&lt;&gt;""),OR($C$13="Semua",$C$13="",L4218=$C$13)),"✓","")</f>
        <v/>
      </c>
      <c r="N4218" s="93">
        <f>N(N4217)+IF(M4218="✓",1,0)</f>
        <v/>
      </c>
      <c r="O4218" s="93">
        <f>N(O4217)+IF(AND(B4218&lt;&gt;"",B4218&gt;='Uang Riba'!$H$30,B4218&lt;='Uang Riba'!$I$30,OR(H4218="Dana riba",H4218="Pinjam uang riba",I4218="Pinjam dari uang riba",I4218="Ganti uang riba",I4218="Kelebihan ganti dikembalikan",AND(C4218="Kantong Uang Riba",G4218="Pengeluaran"))),1,0)</f>
        <v/>
      </c>
      <c r="X4218" s="93">
        <f>IF(AND(B4218&lt;&gt;"",B4218&gt;='Buku Akun'!$H$4,B4218&lt;='Buku Akun'!$H$5,OR(C4218='Buku Akun'!$C$4,AND(D4218="Pindah",E4218='Buku Akun'!$C$4))),B4218+IF(AND(I4218="Selisih bunga",DAY(B4218)=1),0,0.01)+ROW()/10000000,"")</f>
        <v/>
      </c>
    </row>
    <row r="4219" outlineLevel="1" ht="15" customHeight="1" s="94">
      <c r="A4219" s="123">
        <f>IF(B4219="","",ROW()-15)</f>
        <v/>
      </c>
      <c r="B4219" s="124" t="n"/>
      <c r="C4219" s="123" t="n"/>
      <c r="D4219" s="123" t="n"/>
      <c r="E4219" s="123" t="n"/>
      <c r="F4219" s="125" t="n"/>
      <c r="G4219" s="123" t="n"/>
      <c r="H4219" s="123" t="n"/>
      <c r="I4219" s="123" t="n"/>
      <c r="J4219" s="123" t="n"/>
      <c r="K4219" s="123" t="n"/>
      <c r="L4219" s="123" t="n"/>
      <c r="M4219" s="123">
        <f>IF(AND(B4219&lt;&gt;"",OR($C$4="",ISNUMBER(SEARCH($C$4,C4219&amp;" "&amp;E4219&amp;" "&amp;G4219&amp;" "&amp;H4219&amp;" "&amp;I4219&amp;" "&amp;J4219&amp;" "&amp;K4219&amp;" "&amp;L4219))),OR($C$5="Semua",$C$5="",G4219=$C$5),OR($C$6="Semua",$C$6="",H4219=$C$6,H4219="Pengeluaran "&amp;$C$6,AND($C$6="Uang Kos Mama",H4219="Pengeluaran Uang Kos")),OR($C$7="Semua",$C$7="",I4219=$C$7),OR($C$8="Semua",$C$8="",C4219=$C$8,E4219=$C$8),OR($C$9="Semua",$C$9="",D4219=$C$9),OR($C$10="",B4219&gt;=$C$10),OR($C$11="",B4219&lt;=$C$11),OR($C$12&lt;&gt;"Ya",K4219&lt;&gt;""),OR($C$13="Semua",$C$13="",L4219=$C$13)),"✓","")</f>
        <v/>
      </c>
      <c r="N4219" s="93">
        <f>N(N4218)+IF(M4219="✓",1,0)</f>
        <v/>
      </c>
      <c r="O4219" s="93">
        <f>N(O4218)+IF(AND(B4219&lt;&gt;"",B4219&gt;='Uang Riba'!$H$30,B4219&lt;='Uang Riba'!$I$30,OR(H4219="Dana riba",H4219="Pinjam uang riba",I4219="Pinjam dari uang riba",I4219="Ganti uang riba",I4219="Kelebihan ganti dikembalikan",AND(C4219="Kantong Uang Riba",G4219="Pengeluaran"))),1,0)</f>
        <v/>
      </c>
      <c r="X4219" s="93">
        <f>IF(AND(B4219&lt;&gt;"",B4219&gt;='Buku Akun'!$H$4,B4219&lt;='Buku Akun'!$H$5,OR(C4219='Buku Akun'!$C$4,AND(D4219="Pindah",E4219='Buku Akun'!$C$4))),B4219+IF(AND(I4219="Selisih bunga",DAY(B4219)=1),0,0.01)+ROW()/10000000,"")</f>
        <v/>
      </c>
    </row>
    <row r="4220" outlineLevel="1" ht="15" customHeight="1" s="94">
      <c r="A4220" s="123">
        <f>IF(B4220="","",ROW()-15)</f>
        <v/>
      </c>
      <c r="B4220" s="124" t="n"/>
      <c r="C4220" s="123" t="n"/>
      <c r="D4220" s="123" t="n"/>
      <c r="E4220" s="123" t="n"/>
      <c r="F4220" s="125" t="n"/>
      <c r="G4220" s="123" t="n"/>
      <c r="H4220" s="123" t="n"/>
      <c r="I4220" s="123" t="n"/>
      <c r="J4220" s="123" t="n"/>
      <c r="K4220" s="123" t="n"/>
      <c r="L4220" s="123" t="n"/>
      <c r="M4220" s="123">
        <f>IF(AND(B4220&lt;&gt;"",OR($C$4="",ISNUMBER(SEARCH($C$4,C4220&amp;" "&amp;E4220&amp;" "&amp;G4220&amp;" "&amp;H4220&amp;" "&amp;I4220&amp;" "&amp;J4220&amp;" "&amp;K4220&amp;" "&amp;L4220))),OR($C$5="Semua",$C$5="",G4220=$C$5),OR($C$6="Semua",$C$6="",H4220=$C$6,H4220="Pengeluaran "&amp;$C$6,AND($C$6="Uang Kos Mama",H4220="Pengeluaran Uang Kos")),OR($C$7="Semua",$C$7="",I4220=$C$7),OR($C$8="Semua",$C$8="",C4220=$C$8,E4220=$C$8),OR($C$9="Semua",$C$9="",D4220=$C$9),OR($C$10="",B4220&gt;=$C$10),OR($C$11="",B4220&lt;=$C$11),OR($C$12&lt;&gt;"Ya",K4220&lt;&gt;""),OR($C$13="Semua",$C$13="",L4220=$C$13)),"✓","")</f>
        <v/>
      </c>
      <c r="N4220" s="93">
        <f>N(N4219)+IF(M4220="✓",1,0)</f>
        <v/>
      </c>
      <c r="O4220" s="93">
        <f>N(O4219)+IF(AND(B4220&lt;&gt;"",B4220&gt;='Uang Riba'!$H$30,B4220&lt;='Uang Riba'!$I$30,OR(H4220="Dana riba",H4220="Pinjam uang riba",I4220="Pinjam dari uang riba",I4220="Ganti uang riba",I4220="Kelebihan ganti dikembalikan",AND(C4220="Kantong Uang Riba",G4220="Pengeluaran"))),1,0)</f>
        <v/>
      </c>
      <c r="X4220" s="93">
        <f>IF(AND(B4220&lt;&gt;"",B4220&gt;='Buku Akun'!$H$4,B4220&lt;='Buku Akun'!$H$5,OR(C4220='Buku Akun'!$C$4,AND(D4220="Pindah",E4220='Buku Akun'!$C$4))),B4220+IF(AND(I4220="Selisih bunga",DAY(B4220)=1),0,0.01)+ROW()/10000000,"")</f>
        <v/>
      </c>
    </row>
    <row r="4221" outlineLevel="1" ht="15" customHeight="1" s="94">
      <c r="A4221" s="123">
        <f>IF(B4221="","",ROW()-15)</f>
        <v/>
      </c>
      <c r="B4221" s="124" t="n"/>
      <c r="C4221" s="123" t="n"/>
      <c r="D4221" s="123" t="n"/>
      <c r="E4221" s="123" t="n"/>
      <c r="F4221" s="125" t="n"/>
      <c r="G4221" s="123" t="n"/>
      <c r="H4221" s="123" t="n"/>
      <c r="I4221" s="123" t="n"/>
      <c r="J4221" s="123" t="n"/>
      <c r="K4221" s="123" t="n"/>
      <c r="L4221" s="123" t="n"/>
      <c r="M4221" s="123">
        <f>IF(AND(B4221&lt;&gt;"",OR($C$4="",ISNUMBER(SEARCH($C$4,C4221&amp;" "&amp;E4221&amp;" "&amp;G4221&amp;" "&amp;H4221&amp;" "&amp;I4221&amp;" "&amp;J4221&amp;" "&amp;K4221&amp;" "&amp;L4221))),OR($C$5="Semua",$C$5="",G4221=$C$5),OR($C$6="Semua",$C$6="",H4221=$C$6,H4221="Pengeluaran "&amp;$C$6,AND($C$6="Uang Kos Mama",H4221="Pengeluaran Uang Kos")),OR($C$7="Semua",$C$7="",I4221=$C$7),OR($C$8="Semua",$C$8="",C4221=$C$8,E4221=$C$8),OR($C$9="Semua",$C$9="",D4221=$C$9),OR($C$10="",B4221&gt;=$C$10),OR($C$11="",B4221&lt;=$C$11),OR($C$12&lt;&gt;"Ya",K4221&lt;&gt;""),OR($C$13="Semua",$C$13="",L4221=$C$13)),"✓","")</f>
        <v/>
      </c>
      <c r="N4221" s="93">
        <f>N(N4220)+IF(M4221="✓",1,0)</f>
        <v/>
      </c>
      <c r="O4221" s="93">
        <f>N(O4220)+IF(AND(B4221&lt;&gt;"",B4221&gt;='Uang Riba'!$H$30,B4221&lt;='Uang Riba'!$I$30,OR(H4221="Dana riba",H4221="Pinjam uang riba",I4221="Pinjam dari uang riba",I4221="Ganti uang riba",I4221="Kelebihan ganti dikembalikan",AND(C4221="Kantong Uang Riba",G4221="Pengeluaran"))),1,0)</f>
        <v/>
      </c>
      <c r="X4221" s="93">
        <f>IF(AND(B4221&lt;&gt;"",B4221&gt;='Buku Akun'!$H$4,B4221&lt;='Buku Akun'!$H$5,OR(C4221='Buku Akun'!$C$4,AND(D4221="Pindah",E4221='Buku Akun'!$C$4))),B4221+IF(AND(I4221="Selisih bunga",DAY(B4221)=1),0,0.01)+ROW()/10000000,"")</f>
        <v/>
      </c>
    </row>
    <row r="4222" outlineLevel="1" ht="15" customHeight="1" s="94">
      <c r="A4222" s="123">
        <f>IF(B4222="","",ROW()-15)</f>
        <v/>
      </c>
      <c r="B4222" s="124" t="n"/>
      <c r="C4222" s="123" t="n"/>
      <c r="D4222" s="123" t="n"/>
      <c r="E4222" s="123" t="n"/>
      <c r="F4222" s="125" t="n"/>
      <c r="G4222" s="123" t="n"/>
      <c r="H4222" s="123" t="n"/>
      <c r="I4222" s="123" t="n"/>
      <c r="J4222" s="123" t="n"/>
      <c r="K4222" s="123" t="n"/>
      <c r="L4222" s="123" t="n"/>
      <c r="M4222" s="123">
        <f>IF(AND(B4222&lt;&gt;"",OR($C$4="",ISNUMBER(SEARCH($C$4,C4222&amp;" "&amp;E4222&amp;" "&amp;G4222&amp;" "&amp;H4222&amp;" "&amp;I4222&amp;" "&amp;J4222&amp;" "&amp;K4222&amp;" "&amp;L4222))),OR($C$5="Semua",$C$5="",G4222=$C$5),OR($C$6="Semua",$C$6="",H4222=$C$6,H4222="Pengeluaran "&amp;$C$6,AND($C$6="Uang Kos Mama",H4222="Pengeluaran Uang Kos")),OR($C$7="Semua",$C$7="",I4222=$C$7),OR($C$8="Semua",$C$8="",C4222=$C$8,E4222=$C$8),OR($C$9="Semua",$C$9="",D4222=$C$9),OR($C$10="",B4222&gt;=$C$10),OR($C$11="",B4222&lt;=$C$11),OR($C$12&lt;&gt;"Ya",K4222&lt;&gt;""),OR($C$13="Semua",$C$13="",L4222=$C$13)),"✓","")</f>
        <v/>
      </c>
      <c r="N4222" s="93">
        <f>N(N4221)+IF(M4222="✓",1,0)</f>
        <v/>
      </c>
      <c r="O4222" s="93">
        <f>N(O4221)+IF(AND(B4222&lt;&gt;"",B4222&gt;='Uang Riba'!$H$30,B4222&lt;='Uang Riba'!$I$30,OR(H4222="Dana riba",H4222="Pinjam uang riba",I4222="Pinjam dari uang riba",I4222="Ganti uang riba",I4222="Kelebihan ganti dikembalikan",AND(C4222="Kantong Uang Riba",G4222="Pengeluaran"))),1,0)</f>
        <v/>
      </c>
      <c r="X4222" s="93">
        <f>IF(AND(B4222&lt;&gt;"",B4222&gt;='Buku Akun'!$H$4,B4222&lt;='Buku Akun'!$H$5,OR(C4222='Buku Akun'!$C$4,AND(D4222="Pindah",E4222='Buku Akun'!$C$4))),B4222+IF(AND(I4222="Selisih bunga",DAY(B4222)=1),0,0.01)+ROW()/10000000,"")</f>
        <v/>
      </c>
    </row>
    <row r="4223" outlineLevel="1" ht="15" customHeight="1" s="94">
      <c r="A4223" s="123">
        <f>IF(B4223="","",ROW()-15)</f>
        <v/>
      </c>
      <c r="B4223" s="124" t="n"/>
      <c r="C4223" s="123" t="n"/>
      <c r="D4223" s="123" t="n"/>
      <c r="E4223" s="123" t="n"/>
      <c r="F4223" s="125" t="n"/>
      <c r="G4223" s="123" t="n"/>
      <c r="H4223" s="123" t="n"/>
      <c r="I4223" s="123" t="n"/>
      <c r="J4223" s="123" t="n"/>
      <c r="K4223" s="123" t="n"/>
      <c r="L4223" s="123" t="n"/>
      <c r="M4223" s="123">
        <f>IF(AND(B4223&lt;&gt;"",OR($C$4="",ISNUMBER(SEARCH($C$4,C4223&amp;" "&amp;E4223&amp;" "&amp;G4223&amp;" "&amp;H4223&amp;" "&amp;I4223&amp;" "&amp;J4223&amp;" "&amp;K4223&amp;" "&amp;L4223))),OR($C$5="Semua",$C$5="",G4223=$C$5),OR($C$6="Semua",$C$6="",H4223=$C$6,H4223="Pengeluaran "&amp;$C$6,AND($C$6="Uang Kos Mama",H4223="Pengeluaran Uang Kos")),OR($C$7="Semua",$C$7="",I4223=$C$7),OR($C$8="Semua",$C$8="",C4223=$C$8,E4223=$C$8),OR($C$9="Semua",$C$9="",D4223=$C$9),OR($C$10="",B4223&gt;=$C$10),OR($C$11="",B4223&lt;=$C$11),OR($C$12&lt;&gt;"Ya",K4223&lt;&gt;""),OR($C$13="Semua",$C$13="",L4223=$C$13)),"✓","")</f>
        <v/>
      </c>
      <c r="N4223" s="93">
        <f>N(N4222)+IF(M4223="✓",1,0)</f>
        <v/>
      </c>
      <c r="O4223" s="93">
        <f>N(O4222)+IF(AND(B4223&lt;&gt;"",B4223&gt;='Uang Riba'!$H$30,B4223&lt;='Uang Riba'!$I$30,OR(H4223="Dana riba",H4223="Pinjam uang riba",I4223="Pinjam dari uang riba",I4223="Ganti uang riba",I4223="Kelebihan ganti dikembalikan",AND(C4223="Kantong Uang Riba",G4223="Pengeluaran"))),1,0)</f>
        <v/>
      </c>
      <c r="X4223" s="93">
        <f>IF(AND(B4223&lt;&gt;"",B4223&gt;='Buku Akun'!$H$4,B4223&lt;='Buku Akun'!$H$5,OR(C4223='Buku Akun'!$C$4,AND(D4223="Pindah",E4223='Buku Akun'!$C$4))),B4223+IF(AND(I4223="Selisih bunga",DAY(B4223)=1),0,0.01)+ROW()/10000000,"")</f>
        <v/>
      </c>
    </row>
    <row r="4224" outlineLevel="1" ht="15" customHeight="1" s="94">
      <c r="A4224" s="123">
        <f>IF(B4224="","",ROW()-15)</f>
        <v/>
      </c>
      <c r="B4224" s="124" t="n"/>
      <c r="C4224" s="123" t="n"/>
      <c r="D4224" s="123" t="n"/>
      <c r="E4224" s="123" t="n"/>
      <c r="F4224" s="125" t="n"/>
      <c r="G4224" s="123" t="n"/>
      <c r="H4224" s="123" t="n"/>
      <c r="I4224" s="123" t="n"/>
      <c r="J4224" s="123" t="n"/>
      <c r="K4224" s="123" t="n"/>
      <c r="L4224" s="123" t="n"/>
      <c r="M4224" s="123">
        <f>IF(AND(B4224&lt;&gt;"",OR($C$4="",ISNUMBER(SEARCH($C$4,C4224&amp;" "&amp;E4224&amp;" "&amp;G4224&amp;" "&amp;H4224&amp;" "&amp;I4224&amp;" "&amp;J4224&amp;" "&amp;K4224&amp;" "&amp;L4224))),OR($C$5="Semua",$C$5="",G4224=$C$5),OR($C$6="Semua",$C$6="",H4224=$C$6,H4224="Pengeluaran "&amp;$C$6,AND($C$6="Uang Kos Mama",H4224="Pengeluaran Uang Kos")),OR($C$7="Semua",$C$7="",I4224=$C$7),OR($C$8="Semua",$C$8="",C4224=$C$8,E4224=$C$8),OR($C$9="Semua",$C$9="",D4224=$C$9),OR($C$10="",B4224&gt;=$C$10),OR($C$11="",B4224&lt;=$C$11),OR($C$12&lt;&gt;"Ya",K4224&lt;&gt;""),OR($C$13="Semua",$C$13="",L4224=$C$13)),"✓","")</f>
        <v/>
      </c>
      <c r="N4224" s="93">
        <f>N(N4223)+IF(M4224="✓",1,0)</f>
        <v/>
      </c>
      <c r="O4224" s="93">
        <f>N(O4223)+IF(AND(B4224&lt;&gt;"",B4224&gt;='Uang Riba'!$H$30,B4224&lt;='Uang Riba'!$I$30,OR(H4224="Dana riba",H4224="Pinjam uang riba",I4224="Pinjam dari uang riba",I4224="Ganti uang riba",I4224="Kelebihan ganti dikembalikan",AND(C4224="Kantong Uang Riba",G4224="Pengeluaran"))),1,0)</f>
        <v/>
      </c>
      <c r="X4224" s="93">
        <f>IF(AND(B4224&lt;&gt;"",B4224&gt;='Buku Akun'!$H$4,B4224&lt;='Buku Akun'!$H$5,OR(C4224='Buku Akun'!$C$4,AND(D4224="Pindah",E4224='Buku Akun'!$C$4))),B4224+IF(AND(I4224="Selisih bunga",DAY(B4224)=1),0,0.01)+ROW()/10000000,"")</f>
        <v/>
      </c>
    </row>
    <row r="4225" outlineLevel="1" ht="15" customHeight="1" s="94">
      <c r="A4225" s="123">
        <f>IF(B4225="","",ROW()-15)</f>
        <v/>
      </c>
      <c r="B4225" s="124" t="n"/>
      <c r="C4225" s="123" t="n"/>
      <c r="D4225" s="123" t="n"/>
      <c r="E4225" s="123" t="n"/>
      <c r="F4225" s="125" t="n"/>
      <c r="G4225" s="123" t="n"/>
      <c r="H4225" s="123" t="n"/>
      <c r="I4225" s="123" t="n"/>
      <c r="J4225" s="123" t="n"/>
      <c r="K4225" s="123" t="n"/>
      <c r="L4225" s="123" t="n"/>
      <c r="M4225" s="123">
        <f>IF(AND(B4225&lt;&gt;"",OR($C$4="",ISNUMBER(SEARCH($C$4,C4225&amp;" "&amp;E4225&amp;" "&amp;G4225&amp;" "&amp;H4225&amp;" "&amp;I4225&amp;" "&amp;J4225&amp;" "&amp;K4225&amp;" "&amp;L4225))),OR($C$5="Semua",$C$5="",G4225=$C$5),OR($C$6="Semua",$C$6="",H4225=$C$6,H4225="Pengeluaran "&amp;$C$6,AND($C$6="Uang Kos Mama",H4225="Pengeluaran Uang Kos")),OR($C$7="Semua",$C$7="",I4225=$C$7),OR($C$8="Semua",$C$8="",C4225=$C$8,E4225=$C$8),OR($C$9="Semua",$C$9="",D4225=$C$9),OR($C$10="",B4225&gt;=$C$10),OR($C$11="",B4225&lt;=$C$11),OR($C$12&lt;&gt;"Ya",K4225&lt;&gt;""),OR($C$13="Semua",$C$13="",L4225=$C$13)),"✓","")</f>
        <v/>
      </c>
      <c r="N4225" s="93">
        <f>N(N4224)+IF(M4225="✓",1,0)</f>
        <v/>
      </c>
      <c r="O4225" s="93">
        <f>N(O4224)+IF(AND(B4225&lt;&gt;"",B4225&gt;='Uang Riba'!$H$30,B4225&lt;='Uang Riba'!$I$30,OR(H4225="Dana riba",H4225="Pinjam uang riba",I4225="Pinjam dari uang riba",I4225="Ganti uang riba",I4225="Kelebihan ganti dikembalikan",AND(C4225="Kantong Uang Riba",G4225="Pengeluaran"))),1,0)</f>
        <v/>
      </c>
      <c r="X4225" s="93">
        <f>IF(AND(B4225&lt;&gt;"",B4225&gt;='Buku Akun'!$H$4,B4225&lt;='Buku Akun'!$H$5,OR(C4225='Buku Akun'!$C$4,AND(D4225="Pindah",E4225='Buku Akun'!$C$4))),B4225+IF(AND(I4225="Selisih bunga",DAY(B4225)=1),0,0.01)+ROW()/10000000,"")</f>
        <v/>
      </c>
    </row>
    <row r="4226" outlineLevel="1" ht="15" customHeight="1" s="94">
      <c r="A4226" s="123">
        <f>IF(B4226="","",ROW()-15)</f>
        <v/>
      </c>
      <c r="B4226" s="124" t="n"/>
      <c r="C4226" s="123" t="n"/>
      <c r="D4226" s="123" t="n"/>
      <c r="E4226" s="123" t="n"/>
      <c r="F4226" s="125" t="n"/>
      <c r="G4226" s="123" t="n"/>
      <c r="H4226" s="123" t="n"/>
      <c r="I4226" s="123" t="n"/>
      <c r="J4226" s="123" t="n"/>
      <c r="K4226" s="123" t="n"/>
      <c r="L4226" s="123" t="n"/>
      <c r="M4226" s="123">
        <f>IF(AND(B4226&lt;&gt;"",OR($C$4="",ISNUMBER(SEARCH($C$4,C4226&amp;" "&amp;E4226&amp;" "&amp;G4226&amp;" "&amp;H4226&amp;" "&amp;I4226&amp;" "&amp;J4226&amp;" "&amp;K4226&amp;" "&amp;L4226))),OR($C$5="Semua",$C$5="",G4226=$C$5),OR($C$6="Semua",$C$6="",H4226=$C$6,H4226="Pengeluaran "&amp;$C$6,AND($C$6="Uang Kos Mama",H4226="Pengeluaran Uang Kos")),OR($C$7="Semua",$C$7="",I4226=$C$7),OR($C$8="Semua",$C$8="",C4226=$C$8,E4226=$C$8),OR($C$9="Semua",$C$9="",D4226=$C$9),OR($C$10="",B4226&gt;=$C$10),OR($C$11="",B4226&lt;=$C$11),OR($C$12&lt;&gt;"Ya",K4226&lt;&gt;""),OR($C$13="Semua",$C$13="",L4226=$C$13)),"✓","")</f>
        <v/>
      </c>
      <c r="N4226" s="93">
        <f>N(N4225)+IF(M4226="✓",1,0)</f>
        <v/>
      </c>
      <c r="O4226" s="93">
        <f>N(O4225)+IF(AND(B4226&lt;&gt;"",B4226&gt;='Uang Riba'!$H$30,B4226&lt;='Uang Riba'!$I$30,OR(H4226="Dana riba",H4226="Pinjam uang riba",I4226="Pinjam dari uang riba",I4226="Ganti uang riba",I4226="Kelebihan ganti dikembalikan",AND(C4226="Kantong Uang Riba",G4226="Pengeluaran"))),1,0)</f>
        <v/>
      </c>
      <c r="X4226" s="93">
        <f>IF(AND(B4226&lt;&gt;"",B4226&gt;='Buku Akun'!$H$4,B4226&lt;='Buku Akun'!$H$5,OR(C4226='Buku Akun'!$C$4,AND(D4226="Pindah",E4226='Buku Akun'!$C$4))),B4226+IF(AND(I4226="Selisih bunga",DAY(B4226)=1),0,0.01)+ROW()/10000000,"")</f>
        <v/>
      </c>
    </row>
    <row r="4227" outlineLevel="1" ht="15" customHeight="1" s="94">
      <c r="A4227" s="123">
        <f>IF(B4227="","",ROW()-15)</f>
        <v/>
      </c>
      <c r="B4227" s="124" t="n"/>
      <c r="C4227" s="123" t="n"/>
      <c r="D4227" s="123" t="n"/>
      <c r="E4227" s="123" t="n"/>
      <c r="F4227" s="125" t="n"/>
      <c r="G4227" s="123" t="n"/>
      <c r="H4227" s="123" t="n"/>
      <c r="I4227" s="123" t="n"/>
      <c r="J4227" s="123" t="n"/>
      <c r="K4227" s="123" t="n"/>
      <c r="L4227" s="123" t="n"/>
      <c r="M4227" s="123">
        <f>IF(AND(B4227&lt;&gt;"",OR($C$4="",ISNUMBER(SEARCH($C$4,C4227&amp;" "&amp;E4227&amp;" "&amp;G4227&amp;" "&amp;H4227&amp;" "&amp;I4227&amp;" "&amp;J4227&amp;" "&amp;K4227&amp;" "&amp;L4227))),OR($C$5="Semua",$C$5="",G4227=$C$5),OR($C$6="Semua",$C$6="",H4227=$C$6,H4227="Pengeluaran "&amp;$C$6,AND($C$6="Uang Kos Mama",H4227="Pengeluaran Uang Kos")),OR($C$7="Semua",$C$7="",I4227=$C$7),OR($C$8="Semua",$C$8="",C4227=$C$8,E4227=$C$8),OR($C$9="Semua",$C$9="",D4227=$C$9),OR($C$10="",B4227&gt;=$C$10),OR($C$11="",B4227&lt;=$C$11),OR($C$12&lt;&gt;"Ya",K4227&lt;&gt;""),OR($C$13="Semua",$C$13="",L4227=$C$13)),"✓","")</f>
        <v/>
      </c>
      <c r="N4227" s="93">
        <f>N(N4226)+IF(M4227="✓",1,0)</f>
        <v/>
      </c>
      <c r="O4227" s="93">
        <f>N(O4226)+IF(AND(B4227&lt;&gt;"",B4227&gt;='Uang Riba'!$H$30,B4227&lt;='Uang Riba'!$I$30,OR(H4227="Dana riba",H4227="Pinjam uang riba",I4227="Pinjam dari uang riba",I4227="Ganti uang riba",I4227="Kelebihan ganti dikembalikan",AND(C4227="Kantong Uang Riba",G4227="Pengeluaran"))),1,0)</f>
        <v/>
      </c>
      <c r="X4227" s="93">
        <f>IF(AND(B4227&lt;&gt;"",B4227&gt;='Buku Akun'!$H$4,B4227&lt;='Buku Akun'!$H$5,OR(C4227='Buku Akun'!$C$4,AND(D4227="Pindah",E4227='Buku Akun'!$C$4))),B4227+IF(AND(I4227="Selisih bunga",DAY(B4227)=1),0,0.01)+ROW()/10000000,"")</f>
        <v/>
      </c>
    </row>
    <row r="4228" outlineLevel="1" ht="15" customHeight="1" s="94">
      <c r="A4228" s="123">
        <f>IF(B4228="","",ROW()-15)</f>
        <v/>
      </c>
      <c r="B4228" s="124" t="n"/>
      <c r="C4228" s="123" t="n"/>
      <c r="D4228" s="123" t="n"/>
      <c r="E4228" s="123" t="n"/>
      <c r="F4228" s="125" t="n"/>
      <c r="G4228" s="123" t="n"/>
      <c r="H4228" s="123" t="n"/>
      <c r="I4228" s="123" t="n"/>
      <c r="J4228" s="123" t="n"/>
      <c r="K4228" s="123" t="n"/>
      <c r="L4228" s="123" t="n"/>
      <c r="M4228" s="123">
        <f>IF(AND(B4228&lt;&gt;"",OR($C$4="",ISNUMBER(SEARCH($C$4,C4228&amp;" "&amp;E4228&amp;" "&amp;G4228&amp;" "&amp;H4228&amp;" "&amp;I4228&amp;" "&amp;J4228&amp;" "&amp;K4228&amp;" "&amp;L4228))),OR($C$5="Semua",$C$5="",G4228=$C$5),OR($C$6="Semua",$C$6="",H4228=$C$6,H4228="Pengeluaran "&amp;$C$6,AND($C$6="Uang Kos Mama",H4228="Pengeluaran Uang Kos")),OR($C$7="Semua",$C$7="",I4228=$C$7),OR($C$8="Semua",$C$8="",C4228=$C$8,E4228=$C$8),OR($C$9="Semua",$C$9="",D4228=$C$9),OR($C$10="",B4228&gt;=$C$10),OR($C$11="",B4228&lt;=$C$11),OR($C$12&lt;&gt;"Ya",K4228&lt;&gt;""),OR($C$13="Semua",$C$13="",L4228=$C$13)),"✓","")</f>
        <v/>
      </c>
      <c r="N4228" s="93">
        <f>N(N4227)+IF(M4228="✓",1,0)</f>
        <v/>
      </c>
      <c r="O4228" s="93">
        <f>N(O4227)+IF(AND(B4228&lt;&gt;"",B4228&gt;='Uang Riba'!$H$30,B4228&lt;='Uang Riba'!$I$30,OR(H4228="Dana riba",H4228="Pinjam uang riba",I4228="Pinjam dari uang riba",I4228="Ganti uang riba",I4228="Kelebihan ganti dikembalikan",AND(C4228="Kantong Uang Riba",G4228="Pengeluaran"))),1,0)</f>
        <v/>
      </c>
      <c r="X4228" s="93">
        <f>IF(AND(B4228&lt;&gt;"",B4228&gt;='Buku Akun'!$H$4,B4228&lt;='Buku Akun'!$H$5,OR(C4228='Buku Akun'!$C$4,AND(D4228="Pindah",E4228='Buku Akun'!$C$4))),B4228+IF(AND(I4228="Selisih bunga",DAY(B4228)=1),0,0.01)+ROW()/10000000,"")</f>
        <v/>
      </c>
    </row>
    <row r="4229" outlineLevel="1" ht="15" customHeight="1" s="94">
      <c r="A4229" s="123">
        <f>IF(B4229="","",ROW()-15)</f>
        <v/>
      </c>
      <c r="B4229" s="124" t="n"/>
      <c r="C4229" s="123" t="n"/>
      <c r="D4229" s="123" t="n"/>
      <c r="E4229" s="123" t="n"/>
      <c r="F4229" s="125" t="n"/>
      <c r="G4229" s="123" t="n"/>
      <c r="H4229" s="123" t="n"/>
      <c r="I4229" s="123" t="n"/>
      <c r="J4229" s="123" t="n"/>
      <c r="K4229" s="123" t="n"/>
      <c r="L4229" s="123" t="n"/>
      <c r="M4229" s="123">
        <f>IF(AND(B4229&lt;&gt;"",OR($C$4="",ISNUMBER(SEARCH($C$4,C4229&amp;" "&amp;E4229&amp;" "&amp;G4229&amp;" "&amp;H4229&amp;" "&amp;I4229&amp;" "&amp;J4229&amp;" "&amp;K4229&amp;" "&amp;L4229))),OR($C$5="Semua",$C$5="",G4229=$C$5),OR($C$6="Semua",$C$6="",H4229=$C$6,H4229="Pengeluaran "&amp;$C$6,AND($C$6="Uang Kos Mama",H4229="Pengeluaran Uang Kos")),OR($C$7="Semua",$C$7="",I4229=$C$7),OR($C$8="Semua",$C$8="",C4229=$C$8,E4229=$C$8),OR($C$9="Semua",$C$9="",D4229=$C$9),OR($C$10="",B4229&gt;=$C$10),OR($C$11="",B4229&lt;=$C$11),OR($C$12&lt;&gt;"Ya",K4229&lt;&gt;""),OR($C$13="Semua",$C$13="",L4229=$C$13)),"✓","")</f>
        <v/>
      </c>
      <c r="N4229" s="93">
        <f>N(N4228)+IF(M4229="✓",1,0)</f>
        <v/>
      </c>
      <c r="O4229" s="93">
        <f>N(O4228)+IF(AND(B4229&lt;&gt;"",B4229&gt;='Uang Riba'!$H$30,B4229&lt;='Uang Riba'!$I$30,OR(H4229="Dana riba",H4229="Pinjam uang riba",I4229="Pinjam dari uang riba",I4229="Ganti uang riba",I4229="Kelebihan ganti dikembalikan",AND(C4229="Kantong Uang Riba",G4229="Pengeluaran"))),1,0)</f>
        <v/>
      </c>
      <c r="X4229" s="93">
        <f>IF(AND(B4229&lt;&gt;"",B4229&gt;='Buku Akun'!$H$4,B4229&lt;='Buku Akun'!$H$5,OR(C4229='Buku Akun'!$C$4,AND(D4229="Pindah",E4229='Buku Akun'!$C$4))),B4229+IF(AND(I4229="Selisih bunga",DAY(B4229)=1),0,0.01)+ROW()/10000000,"")</f>
        <v/>
      </c>
    </row>
    <row r="4230" outlineLevel="1" ht="15" customHeight="1" s="94">
      <c r="A4230" s="123">
        <f>IF(B4230="","",ROW()-15)</f>
        <v/>
      </c>
      <c r="B4230" s="124" t="n"/>
      <c r="C4230" s="123" t="n"/>
      <c r="D4230" s="123" t="n"/>
      <c r="E4230" s="123" t="n"/>
      <c r="F4230" s="125" t="n"/>
      <c r="G4230" s="123" t="n"/>
      <c r="H4230" s="123" t="n"/>
      <c r="I4230" s="123" t="n"/>
      <c r="J4230" s="123" t="n"/>
      <c r="K4230" s="123" t="n"/>
      <c r="L4230" s="123" t="n"/>
      <c r="M4230" s="123">
        <f>IF(AND(B4230&lt;&gt;"",OR($C$4="",ISNUMBER(SEARCH($C$4,C4230&amp;" "&amp;E4230&amp;" "&amp;G4230&amp;" "&amp;H4230&amp;" "&amp;I4230&amp;" "&amp;J4230&amp;" "&amp;K4230&amp;" "&amp;L4230))),OR($C$5="Semua",$C$5="",G4230=$C$5),OR($C$6="Semua",$C$6="",H4230=$C$6,H4230="Pengeluaran "&amp;$C$6,AND($C$6="Uang Kos Mama",H4230="Pengeluaran Uang Kos")),OR($C$7="Semua",$C$7="",I4230=$C$7),OR($C$8="Semua",$C$8="",C4230=$C$8,E4230=$C$8),OR($C$9="Semua",$C$9="",D4230=$C$9),OR($C$10="",B4230&gt;=$C$10),OR($C$11="",B4230&lt;=$C$11),OR($C$12&lt;&gt;"Ya",K4230&lt;&gt;""),OR($C$13="Semua",$C$13="",L4230=$C$13)),"✓","")</f>
        <v/>
      </c>
      <c r="N4230" s="93">
        <f>N(N4229)+IF(M4230="✓",1,0)</f>
        <v/>
      </c>
      <c r="O4230" s="93">
        <f>N(O4229)+IF(AND(B4230&lt;&gt;"",B4230&gt;='Uang Riba'!$H$30,B4230&lt;='Uang Riba'!$I$30,OR(H4230="Dana riba",H4230="Pinjam uang riba",I4230="Pinjam dari uang riba",I4230="Ganti uang riba",I4230="Kelebihan ganti dikembalikan",AND(C4230="Kantong Uang Riba",G4230="Pengeluaran"))),1,0)</f>
        <v/>
      </c>
      <c r="X4230" s="93">
        <f>IF(AND(B4230&lt;&gt;"",B4230&gt;='Buku Akun'!$H$4,B4230&lt;='Buku Akun'!$H$5,OR(C4230='Buku Akun'!$C$4,AND(D4230="Pindah",E4230='Buku Akun'!$C$4))),B4230+IF(AND(I4230="Selisih bunga",DAY(B4230)=1),0,0.01)+ROW()/10000000,"")</f>
        <v/>
      </c>
    </row>
    <row r="4231" outlineLevel="1" ht="15" customHeight="1" s="94">
      <c r="A4231" s="123">
        <f>IF(B4231="","",ROW()-15)</f>
        <v/>
      </c>
      <c r="B4231" s="124" t="n"/>
      <c r="C4231" s="123" t="n"/>
      <c r="D4231" s="123" t="n"/>
      <c r="E4231" s="123" t="n"/>
      <c r="F4231" s="125" t="n"/>
      <c r="G4231" s="123" t="n"/>
      <c r="H4231" s="123" t="n"/>
      <c r="I4231" s="123" t="n"/>
      <c r="J4231" s="123" t="n"/>
      <c r="K4231" s="123" t="n"/>
      <c r="L4231" s="123" t="n"/>
      <c r="M4231" s="123">
        <f>IF(AND(B4231&lt;&gt;"",OR($C$4="",ISNUMBER(SEARCH($C$4,C4231&amp;" "&amp;E4231&amp;" "&amp;G4231&amp;" "&amp;H4231&amp;" "&amp;I4231&amp;" "&amp;J4231&amp;" "&amp;K4231&amp;" "&amp;L4231))),OR($C$5="Semua",$C$5="",G4231=$C$5),OR($C$6="Semua",$C$6="",H4231=$C$6,H4231="Pengeluaran "&amp;$C$6,AND($C$6="Uang Kos Mama",H4231="Pengeluaran Uang Kos")),OR($C$7="Semua",$C$7="",I4231=$C$7),OR($C$8="Semua",$C$8="",C4231=$C$8,E4231=$C$8),OR($C$9="Semua",$C$9="",D4231=$C$9),OR($C$10="",B4231&gt;=$C$10),OR($C$11="",B4231&lt;=$C$11),OR($C$12&lt;&gt;"Ya",K4231&lt;&gt;""),OR($C$13="Semua",$C$13="",L4231=$C$13)),"✓","")</f>
        <v/>
      </c>
      <c r="N4231" s="93">
        <f>N(N4230)+IF(M4231="✓",1,0)</f>
        <v/>
      </c>
      <c r="O4231" s="93">
        <f>N(O4230)+IF(AND(B4231&lt;&gt;"",B4231&gt;='Uang Riba'!$H$30,B4231&lt;='Uang Riba'!$I$30,OR(H4231="Dana riba",H4231="Pinjam uang riba",I4231="Pinjam dari uang riba",I4231="Ganti uang riba",I4231="Kelebihan ganti dikembalikan",AND(C4231="Kantong Uang Riba",G4231="Pengeluaran"))),1,0)</f>
        <v/>
      </c>
      <c r="X4231" s="93">
        <f>IF(AND(B4231&lt;&gt;"",B4231&gt;='Buku Akun'!$H$4,B4231&lt;='Buku Akun'!$H$5,OR(C4231='Buku Akun'!$C$4,AND(D4231="Pindah",E4231='Buku Akun'!$C$4))),B4231+IF(AND(I4231="Selisih bunga",DAY(B4231)=1),0,0.01)+ROW()/10000000,"")</f>
        <v/>
      </c>
    </row>
    <row r="4232" outlineLevel="1" ht="15" customHeight="1" s="94">
      <c r="A4232" s="123">
        <f>IF(B4232="","",ROW()-15)</f>
        <v/>
      </c>
      <c r="B4232" s="124" t="n"/>
      <c r="C4232" s="123" t="n"/>
      <c r="D4232" s="123" t="n"/>
      <c r="E4232" s="123" t="n"/>
      <c r="F4232" s="125" t="n"/>
      <c r="G4232" s="123" t="n"/>
      <c r="H4232" s="123" t="n"/>
      <c r="I4232" s="123" t="n"/>
      <c r="J4232" s="123" t="n"/>
      <c r="K4232" s="123" t="n"/>
      <c r="L4232" s="123" t="n"/>
      <c r="M4232" s="123">
        <f>IF(AND(B4232&lt;&gt;"",OR($C$4="",ISNUMBER(SEARCH($C$4,C4232&amp;" "&amp;E4232&amp;" "&amp;G4232&amp;" "&amp;H4232&amp;" "&amp;I4232&amp;" "&amp;J4232&amp;" "&amp;K4232&amp;" "&amp;L4232))),OR($C$5="Semua",$C$5="",G4232=$C$5),OR($C$6="Semua",$C$6="",H4232=$C$6,H4232="Pengeluaran "&amp;$C$6,AND($C$6="Uang Kos Mama",H4232="Pengeluaran Uang Kos")),OR($C$7="Semua",$C$7="",I4232=$C$7),OR($C$8="Semua",$C$8="",C4232=$C$8,E4232=$C$8),OR($C$9="Semua",$C$9="",D4232=$C$9),OR($C$10="",B4232&gt;=$C$10),OR($C$11="",B4232&lt;=$C$11),OR($C$12&lt;&gt;"Ya",K4232&lt;&gt;""),OR($C$13="Semua",$C$13="",L4232=$C$13)),"✓","")</f>
        <v/>
      </c>
      <c r="N4232" s="93">
        <f>N(N4231)+IF(M4232="✓",1,0)</f>
        <v/>
      </c>
      <c r="O4232" s="93">
        <f>N(O4231)+IF(AND(B4232&lt;&gt;"",B4232&gt;='Uang Riba'!$H$30,B4232&lt;='Uang Riba'!$I$30,OR(H4232="Dana riba",H4232="Pinjam uang riba",I4232="Pinjam dari uang riba",I4232="Ganti uang riba",I4232="Kelebihan ganti dikembalikan",AND(C4232="Kantong Uang Riba",G4232="Pengeluaran"))),1,0)</f>
        <v/>
      </c>
      <c r="X4232" s="93">
        <f>IF(AND(B4232&lt;&gt;"",B4232&gt;='Buku Akun'!$H$4,B4232&lt;='Buku Akun'!$H$5,OR(C4232='Buku Akun'!$C$4,AND(D4232="Pindah",E4232='Buku Akun'!$C$4))),B4232+IF(AND(I4232="Selisih bunga",DAY(B4232)=1),0,0.01)+ROW()/10000000,"")</f>
        <v/>
      </c>
    </row>
    <row r="4233" outlineLevel="1" ht="15" customHeight="1" s="94">
      <c r="A4233" s="123">
        <f>IF(B4233="","",ROW()-15)</f>
        <v/>
      </c>
      <c r="B4233" s="124" t="n"/>
      <c r="C4233" s="123" t="n"/>
      <c r="D4233" s="123" t="n"/>
      <c r="E4233" s="123" t="n"/>
      <c r="F4233" s="125" t="n"/>
      <c r="G4233" s="123" t="n"/>
      <c r="H4233" s="123" t="n"/>
      <c r="I4233" s="123" t="n"/>
      <c r="J4233" s="123" t="n"/>
      <c r="K4233" s="123" t="n"/>
      <c r="L4233" s="123" t="n"/>
      <c r="M4233" s="123">
        <f>IF(AND(B4233&lt;&gt;"",OR($C$4="",ISNUMBER(SEARCH($C$4,C4233&amp;" "&amp;E4233&amp;" "&amp;G4233&amp;" "&amp;H4233&amp;" "&amp;I4233&amp;" "&amp;J4233&amp;" "&amp;K4233&amp;" "&amp;L4233))),OR($C$5="Semua",$C$5="",G4233=$C$5),OR($C$6="Semua",$C$6="",H4233=$C$6,H4233="Pengeluaran "&amp;$C$6,AND($C$6="Uang Kos Mama",H4233="Pengeluaran Uang Kos")),OR($C$7="Semua",$C$7="",I4233=$C$7),OR($C$8="Semua",$C$8="",C4233=$C$8,E4233=$C$8),OR($C$9="Semua",$C$9="",D4233=$C$9),OR($C$10="",B4233&gt;=$C$10),OR($C$11="",B4233&lt;=$C$11),OR($C$12&lt;&gt;"Ya",K4233&lt;&gt;""),OR($C$13="Semua",$C$13="",L4233=$C$13)),"✓","")</f>
        <v/>
      </c>
      <c r="N4233" s="93">
        <f>N(N4232)+IF(M4233="✓",1,0)</f>
        <v/>
      </c>
      <c r="O4233" s="93">
        <f>N(O4232)+IF(AND(B4233&lt;&gt;"",B4233&gt;='Uang Riba'!$H$30,B4233&lt;='Uang Riba'!$I$30,OR(H4233="Dana riba",H4233="Pinjam uang riba",I4233="Pinjam dari uang riba",I4233="Ganti uang riba",I4233="Kelebihan ganti dikembalikan",AND(C4233="Kantong Uang Riba",G4233="Pengeluaran"))),1,0)</f>
        <v/>
      </c>
      <c r="X4233" s="93">
        <f>IF(AND(B4233&lt;&gt;"",B4233&gt;='Buku Akun'!$H$4,B4233&lt;='Buku Akun'!$H$5,OR(C4233='Buku Akun'!$C$4,AND(D4233="Pindah",E4233='Buku Akun'!$C$4))),B4233+IF(AND(I4233="Selisih bunga",DAY(B4233)=1),0,0.01)+ROW()/10000000,"")</f>
        <v/>
      </c>
    </row>
    <row r="4234" outlineLevel="1" ht="15" customHeight="1" s="94">
      <c r="A4234" s="123">
        <f>IF(B4234="","",ROW()-15)</f>
        <v/>
      </c>
      <c r="B4234" s="124" t="n"/>
      <c r="C4234" s="123" t="n"/>
      <c r="D4234" s="123" t="n"/>
      <c r="E4234" s="123" t="n"/>
      <c r="F4234" s="125" t="n"/>
      <c r="G4234" s="123" t="n"/>
      <c r="H4234" s="123" t="n"/>
      <c r="I4234" s="123" t="n"/>
      <c r="J4234" s="123" t="n"/>
      <c r="K4234" s="123" t="n"/>
      <c r="L4234" s="123" t="n"/>
      <c r="M4234" s="123">
        <f>IF(AND(B4234&lt;&gt;"",OR($C$4="",ISNUMBER(SEARCH($C$4,C4234&amp;" "&amp;E4234&amp;" "&amp;G4234&amp;" "&amp;H4234&amp;" "&amp;I4234&amp;" "&amp;J4234&amp;" "&amp;K4234&amp;" "&amp;L4234))),OR($C$5="Semua",$C$5="",G4234=$C$5),OR($C$6="Semua",$C$6="",H4234=$C$6,H4234="Pengeluaran "&amp;$C$6,AND($C$6="Uang Kos Mama",H4234="Pengeluaran Uang Kos")),OR($C$7="Semua",$C$7="",I4234=$C$7),OR($C$8="Semua",$C$8="",C4234=$C$8,E4234=$C$8),OR($C$9="Semua",$C$9="",D4234=$C$9),OR($C$10="",B4234&gt;=$C$10),OR($C$11="",B4234&lt;=$C$11),OR($C$12&lt;&gt;"Ya",K4234&lt;&gt;""),OR($C$13="Semua",$C$13="",L4234=$C$13)),"✓","")</f>
        <v/>
      </c>
      <c r="N4234" s="93">
        <f>N(N4233)+IF(M4234="✓",1,0)</f>
        <v/>
      </c>
      <c r="O4234" s="93">
        <f>N(O4233)+IF(AND(B4234&lt;&gt;"",B4234&gt;='Uang Riba'!$H$30,B4234&lt;='Uang Riba'!$I$30,OR(H4234="Dana riba",H4234="Pinjam uang riba",I4234="Pinjam dari uang riba",I4234="Ganti uang riba",I4234="Kelebihan ganti dikembalikan",AND(C4234="Kantong Uang Riba",G4234="Pengeluaran"))),1,0)</f>
        <v/>
      </c>
      <c r="X4234" s="93">
        <f>IF(AND(B4234&lt;&gt;"",B4234&gt;='Buku Akun'!$H$4,B4234&lt;='Buku Akun'!$H$5,OR(C4234='Buku Akun'!$C$4,AND(D4234="Pindah",E4234='Buku Akun'!$C$4))),B4234+IF(AND(I4234="Selisih bunga",DAY(B4234)=1),0,0.01)+ROW()/10000000,"")</f>
        <v/>
      </c>
    </row>
    <row r="4235" outlineLevel="1" ht="15" customHeight="1" s="94">
      <c r="A4235" s="123">
        <f>IF(B4235="","",ROW()-15)</f>
        <v/>
      </c>
      <c r="B4235" s="124" t="n"/>
      <c r="C4235" s="123" t="n"/>
      <c r="D4235" s="123" t="n"/>
      <c r="E4235" s="123" t="n"/>
      <c r="F4235" s="125" t="n"/>
      <c r="G4235" s="123" t="n"/>
      <c r="H4235" s="123" t="n"/>
      <c r="I4235" s="123" t="n"/>
      <c r="J4235" s="123" t="n"/>
      <c r="K4235" s="123" t="n"/>
      <c r="L4235" s="123" t="n"/>
      <c r="M4235" s="123">
        <f>IF(AND(B4235&lt;&gt;"",OR($C$4="",ISNUMBER(SEARCH($C$4,C4235&amp;" "&amp;E4235&amp;" "&amp;G4235&amp;" "&amp;H4235&amp;" "&amp;I4235&amp;" "&amp;J4235&amp;" "&amp;K4235&amp;" "&amp;L4235))),OR($C$5="Semua",$C$5="",G4235=$C$5),OR($C$6="Semua",$C$6="",H4235=$C$6,H4235="Pengeluaran "&amp;$C$6,AND($C$6="Uang Kos Mama",H4235="Pengeluaran Uang Kos")),OR($C$7="Semua",$C$7="",I4235=$C$7),OR($C$8="Semua",$C$8="",C4235=$C$8,E4235=$C$8),OR($C$9="Semua",$C$9="",D4235=$C$9),OR($C$10="",B4235&gt;=$C$10),OR($C$11="",B4235&lt;=$C$11),OR($C$12&lt;&gt;"Ya",K4235&lt;&gt;""),OR($C$13="Semua",$C$13="",L4235=$C$13)),"✓","")</f>
        <v/>
      </c>
      <c r="N4235" s="93">
        <f>N(N4234)+IF(M4235="✓",1,0)</f>
        <v/>
      </c>
      <c r="O4235" s="93">
        <f>N(O4234)+IF(AND(B4235&lt;&gt;"",B4235&gt;='Uang Riba'!$H$30,B4235&lt;='Uang Riba'!$I$30,OR(H4235="Dana riba",H4235="Pinjam uang riba",I4235="Pinjam dari uang riba",I4235="Ganti uang riba",I4235="Kelebihan ganti dikembalikan",AND(C4235="Kantong Uang Riba",G4235="Pengeluaran"))),1,0)</f>
        <v/>
      </c>
      <c r="X4235" s="93">
        <f>IF(AND(B4235&lt;&gt;"",B4235&gt;='Buku Akun'!$H$4,B4235&lt;='Buku Akun'!$H$5,OR(C4235='Buku Akun'!$C$4,AND(D4235="Pindah",E4235='Buku Akun'!$C$4))),B4235+IF(AND(I4235="Selisih bunga",DAY(B4235)=1),0,0.01)+ROW()/10000000,"")</f>
        <v/>
      </c>
    </row>
    <row r="4236" outlineLevel="1" ht="15" customHeight="1" s="94">
      <c r="A4236" s="123">
        <f>IF(B4236="","",ROW()-15)</f>
        <v/>
      </c>
      <c r="B4236" s="124" t="n"/>
      <c r="C4236" s="123" t="n"/>
      <c r="D4236" s="123" t="n"/>
      <c r="E4236" s="123" t="n"/>
      <c r="F4236" s="125" t="n"/>
      <c r="G4236" s="123" t="n"/>
      <c r="H4236" s="123" t="n"/>
      <c r="I4236" s="123" t="n"/>
      <c r="J4236" s="123" t="n"/>
      <c r="K4236" s="123" t="n"/>
      <c r="L4236" s="123" t="n"/>
      <c r="M4236" s="123">
        <f>IF(AND(B4236&lt;&gt;"",OR($C$4="",ISNUMBER(SEARCH($C$4,C4236&amp;" "&amp;E4236&amp;" "&amp;G4236&amp;" "&amp;H4236&amp;" "&amp;I4236&amp;" "&amp;J4236&amp;" "&amp;K4236&amp;" "&amp;L4236))),OR($C$5="Semua",$C$5="",G4236=$C$5),OR($C$6="Semua",$C$6="",H4236=$C$6,H4236="Pengeluaran "&amp;$C$6,AND($C$6="Uang Kos Mama",H4236="Pengeluaran Uang Kos")),OR($C$7="Semua",$C$7="",I4236=$C$7),OR($C$8="Semua",$C$8="",C4236=$C$8,E4236=$C$8),OR($C$9="Semua",$C$9="",D4236=$C$9),OR($C$10="",B4236&gt;=$C$10),OR($C$11="",B4236&lt;=$C$11),OR($C$12&lt;&gt;"Ya",K4236&lt;&gt;""),OR($C$13="Semua",$C$13="",L4236=$C$13)),"✓","")</f>
        <v/>
      </c>
      <c r="N4236" s="93">
        <f>N(N4235)+IF(M4236="✓",1,0)</f>
        <v/>
      </c>
      <c r="O4236" s="93">
        <f>N(O4235)+IF(AND(B4236&lt;&gt;"",B4236&gt;='Uang Riba'!$H$30,B4236&lt;='Uang Riba'!$I$30,OR(H4236="Dana riba",H4236="Pinjam uang riba",I4236="Pinjam dari uang riba",I4236="Ganti uang riba",I4236="Kelebihan ganti dikembalikan",AND(C4236="Kantong Uang Riba",G4236="Pengeluaran"))),1,0)</f>
        <v/>
      </c>
      <c r="X4236" s="93">
        <f>IF(AND(B4236&lt;&gt;"",B4236&gt;='Buku Akun'!$H$4,B4236&lt;='Buku Akun'!$H$5,OR(C4236='Buku Akun'!$C$4,AND(D4236="Pindah",E4236='Buku Akun'!$C$4))),B4236+IF(AND(I4236="Selisih bunga",DAY(B4236)=1),0,0.01)+ROW()/10000000,"")</f>
        <v/>
      </c>
    </row>
    <row r="4237" outlineLevel="1" ht="15" customHeight="1" s="94">
      <c r="A4237" s="123">
        <f>IF(B4237="","",ROW()-15)</f>
        <v/>
      </c>
      <c r="B4237" s="124" t="n"/>
      <c r="C4237" s="123" t="n"/>
      <c r="D4237" s="123" t="n"/>
      <c r="E4237" s="123" t="n"/>
      <c r="F4237" s="125" t="n"/>
      <c r="G4237" s="123" t="n"/>
      <c r="H4237" s="123" t="n"/>
      <c r="I4237" s="123" t="n"/>
      <c r="J4237" s="123" t="n"/>
      <c r="K4237" s="123" t="n"/>
      <c r="L4237" s="123" t="n"/>
      <c r="M4237" s="123">
        <f>IF(AND(B4237&lt;&gt;"",OR($C$4="",ISNUMBER(SEARCH($C$4,C4237&amp;" "&amp;E4237&amp;" "&amp;G4237&amp;" "&amp;H4237&amp;" "&amp;I4237&amp;" "&amp;J4237&amp;" "&amp;K4237&amp;" "&amp;L4237))),OR($C$5="Semua",$C$5="",G4237=$C$5),OR($C$6="Semua",$C$6="",H4237=$C$6,H4237="Pengeluaran "&amp;$C$6,AND($C$6="Uang Kos Mama",H4237="Pengeluaran Uang Kos")),OR($C$7="Semua",$C$7="",I4237=$C$7),OR($C$8="Semua",$C$8="",C4237=$C$8,E4237=$C$8),OR($C$9="Semua",$C$9="",D4237=$C$9),OR($C$10="",B4237&gt;=$C$10),OR($C$11="",B4237&lt;=$C$11),OR($C$12&lt;&gt;"Ya",K4237&lt;&gt;""),OR($C$13="Semua",$C$13="",L4237=$C$13)),"✓","")</f>
        <v/>
      </c>
      <c r="N4237" s="93">
        <f>N(N4236)+IF(M4237="✓",1,0)</f>
        <v/>
      </c>
      <c r="O4237" s="93">
        <f>N(O4236)+IF(AND(B4237&lt;&gt;"",B4237&gt;='Uang Riba'!$H$30,B4237&lt;='Uang Riba'!$I$30,OR(H4237="Dana riba",H4237="Pinjam uang riba",I4237="Pinjam dari uang riba",I4237="Ganti uang riba",I4237="Kelebihan ganti dikembalikan",AND(C4237="Kantong Uang Riba",G4237="Pengeluaran"))),1,0)</f>
        <v/>
      </c>
      <c r="X4237" s="93">
        <f>IF(AND(B4237&lt;&gt;"",B4237&gt;='Buku Akun'!$H$4,B4237&lt;='Buku Akun'!$H$5,OR(C4237='Buku Akun'!$C$4,AND(D4237="Pindah",E4237='Buku Akun'!$C$4))),B4237+IF(AND(I4237="Selisih bunga",DAY(B4237)=1),0,0.01)+ROW()/10000000,"")</f>
        <v/>
      </c>
    </row>
    <row r="4238" outlineLevel="1" ht="15" customHeight="1" s="94">
      <c r="A4238" s="123">
        <f>IF(B4238="","",ROW()-15)</f>
        <v/>
      </c>
      <c r="B4238" s="124" t="n"/>
      <c r="C4238" s="123" t="n"/>
      <c r="D4238" s="123" t="n"/>
      <c r="E4238" s="123" t="n"/>
      <c r="F4238" s="125" t="n"/>
      <c r="G4238" s="123" t="n"/>
      <c r="H4238" s="123" t="n"/>
      <c r="I4238" s="123" t="n"/>
      <c r="J4238" s="123" t="n"/>
      <c r="K4238" s="123" t="n"/>
      <c r="L4238" s="123" t="n"/>
      <c r="M4238" s="123">
        <f>IF(AND(B4238&lt;&gt;"",OR($C$4="",ISNUMBER(SEARCH($C$4,C4238&amp;" "&amp;E4238&amp;" "&amp;G4238&amp;" "&amp;H4238&amp;" "&amp;I4238&amp;" "&amp;J4238&amp;" "&amp;K4238&amp;" "&amp;L4238))),OR($C$5="Semua",$C$5="",G4238=$C$5),OR($C$6="Semua",$C$6="",H4238=$C$6,H4238="Pengeluaran "&amp;$C$6,AND($C$6="Uang Kos Mama",H4238="Pengeluaran Uang Kos")),OR($C$7="Semua",$C$7="",I4238=$C$7),OR($C$8="Semua",$C$8="",C4238=$C$8,E4238=$C$8),OR($C$9="Semua",$C$9="",D4238=$C$9),OR($C$10="",B4238&gt;=$C$10),OR($C$11="",B4238&lt;=$C$11),OR($C$12&lt;&gt;"Ya",K4238&lt;&gt;""),OR($C$13="Semua",$C$13="",L4238=$C$13)),"✓","")</f>
        <v/>
      </c>
      <c r="N4238" s="93">
        <f>N(N4237)+IF(M4238="✓",1,0)</f>
        <v/>
      </c>
      <c r="O4238" s="93">
        <f>N(O4237)+IF(AND(B4238&lt;&gt;"",B4238&gt;='Uang Riba'!$H$30,B4238&lt;='Uang Riba'!$I$30,OR(H4238="Dana riba",H4238="Pinjam uang riba",I4238="Pinjam dari uang riba",I4238="Ganti uang riba",I4238="Kelebihan ganti dikembalikan",AND(C4238="Kantong Uang Riba",G4238="Pengeluaran"))),1,0)</f>
        <v/>
      </c>
      <c r="X4238" s="93">
        <f>IF(AND(B4238&lt;&gt;"",B4238&gt;='Buku Akun'!$H$4,B4238&lt;='Buku Akun'!$H$5,OR(C4238='Buku Akun'!$C$4,AND(D4238="Pindah",E4238='Buku Akun'!$C$4))),B4238+IF(AND(I4238="Selisih bunga",DAY(B4238)=1),0,0.01)+ROW()/10000000,"")</f>
        <v/>
      </c>
    </row>
    <row r="4239" outlineLevel="1" ht="15" customHeight="1" s="94">
      <c r="A4239" s="123">
        <f>IF(B4239="","",ROW()-15)</f>
        <v/>
      </c>
      <c r="B4239" s="124" t="n"/>
      <c r="C4239" s="123" t="n"/>
      <c r="D4239" s="123" t="n"/>
      <c r="E4239" s="123" t="n"/>
      <c r="F4239" s="125" t="n"/>
      <c r="G4239" s="123" t="n"/>
      <c r="H4239" s="123" t="n"/>
      <c r="I4239" s="123" t="n"/>
      <c r="J4239" s="123" t="n"/>
      <c r="K4239" s="123" t="n"/>
      <c r="L4239" s="123" t="n"/>
      <c r="M4239" s="123">
        <f>IF(AND(B4239&lt;&gt;"",OR($C$4="",ISNUMBER(SEARCH($C$4,C4239&amp;" "&amp;E4239&amp;" "&amp;G4239&amp;" "&amp;H4239&amp;" "&amp;I4239&amp;" "&amp;J4239&amp;" "&amp;K4239&amp;" "&amp;L4239))),OR($C$5="Semua",$C$5="",G4239=$C$5),OR($C$6="Semua",$C$6="",H4239=$C$6,H4239="Pengeluaran "&amp;$C$6,AND($C$6="Uang Kos Mama",H4239="Pengeluaran Uang Kos")),OR($C$7="Semua",$C$7="",I4239=$C$7),OR($C$8="Semua",$C$8="",C4239=$C$8,E4239=$C$8),OR($C$9="Semua",$C$9="",D4239=$C$9),OR($C$10="",B4239&gt;=$C$10),OR($C$11="",B4239&lt;=$C$11),OR($C$12&lt;&gt;"Ya",K4239&lt;&gt;""),OR($C$13="Semua",$C$13="",L4239=$C$13)),"✓","")</f>
        <v/>
      </c>
      <c r="N4239" s="93">
        <f>N(N4238)+IF(M4239="✓",1,0)</f>
        <v/>
      </c>
      <c r="O4239" s="93">
        <f>N(O4238)+IF(AND(B4239&lt;&gt;"",B4239&gt;='Uang Riba'!$H$30,B4239&lt;='Uang Riba'!$I$30,OR(H4239="Dana riba",H4239="Pinjam uang riba",I4239="Pinjam dari uang riba",I4239="Ganti uang riba",I4239="Kelebihan ganti dikembalikan",AND(C4239="Kantong Uang Riba",G4239="Pengeluaran"))),1,0)</f>
        <v/>
      </c>
      <c r="X4239" s="93">
        <f>IF(AND(B4239&lt;&gt;"",B4239&gt;='Buku Akun'!$H$4,B4239&lt;='Buku Akun'!$H$5,OR(C4239='Buku Akun'!$C$4,AND(D4239="Pindah",E4239='Buku Akun'!$C$4))),B4239+IF(AND(I4239="Selisih bunga",DAY(B4239)=1),0,0.01)+ROW()/10000000,"")</f>
        <v/>
      </c>
    </row>
    <row r="4240" outlineLevel="1" ht="15" customHeight="1" s="94">
      <c r="A4240" s="123">
        <f>IF(B4240="","",ROW()-15)</f>
        <v/>
      </c>
      <c r="B4240" s="124" t="n"/>
      <c r="C4240" s="123" t="n"/>
      <c r="D4240" s="123" t="n"/>
      <c r="E4240" s="123" t="n"/>
      <c r="F4240" s="125" t="n"/>
      <c r="G4240" s="123" t="n"/>
      <c r="H4240" s="123" t="n"/>
      <c r="I4240" s="123" t="n"/>
      <c r="J4240" s="123" t="n"/>
      <c r="K4240" s="123" t="n"/>
      <c r="L4240" s="123" t="n"/>
      <c r="M4240" s="123">
        <f>IF(AND(B4240&lt;&gt;"",OR($C$4="",ISNUMBER(SEARCH($C$4,C4240&amp;" "&amp;E4240&amp;" "&amp;G4240&amp;" "&amp;H4240&amp;" "&amp;I4240&amp;" "&amp;J4240&amp;" "&amp;K4240&amp;" "&amp;L4240))),OR($C$5="Semua",$C$5="",G4240=$C$5),OR($C$6="Semua",$C$6="",H4240=$C$6,H4240="Pengeluaran "&amp;$C$6,AND($C$6="Uang Kos Mama",H4240="Pengeluaran Uang Kos")),OR($C$7="Semua",$C$7="",I4240=$C$7),OR($C$8="Semua",$C$8="",C4240=$C$8,E4240=$C$8),OR($C$9="Semua",$C$9="",D4240=$C$9),OR($C$10="",B4240&gt;=$C$10),OR($C$11="",B4240&lt;=$C$11),OR($C$12&lt;&gt;"Ya",K4240&lt;&gt;""),OR($C$13="Semua",$C$13="",L4240=$C$13)),"✓","")</f>
        <v/>
      </c>
      <c r="N4240" s="93">
        <f>N(N4239)+IF(M4240="✓",1,0)</f>
        <v/>
      </c>
      <c r="O4240" s="93">
        <f>N(O4239)+IF(AND(B4240&lt;&gt;"",B4240&gt;='Uang Riba'!$H$30,B4240&lt;='Uang Riba'!$I$30,OR(H4240="Dana riba",H4240="Pinjam uang riba",I4240="Pinjam dari uang riba",I4240="Ganti uang riba",I4240="Kelebihan ganti dikembalikan",AND(C4240="Kantong Uang Riba",G4240="Pengeluaran"))),1,0)</f>
        <v/>
      </c>
      <c r="X4240" s="93">
        <f>IF(AND(B4240&lt;&gt;"",B4240&gt;='Buku Akun'!$H$4,B4240&lt;='Buku Akun'!$H$5,OR(C4240='Buku Akun'!$C$4,AND(D4240="Pindah",E4240='Buku Akun'!$C$4))),B4240+IF(AND(I4240="Selisih bunga",DAY(B4240)=1),0,0.01)+ROW()/10000000,"")</f>
        <v/>
      </c>
    </row>
    <row r="4241" outlineLevel="1" ht="15" customHeight="1" s="94">
      <c r="A4241" s="123">
        <f>IF(B4241="","",ROW()-15)</f>
        <v/>
      </c>
      <c r="B4241" s="124" t="n"/>
      <c r="C4241" s="123" t="n"/>
      <c r="D4241" s="123" t="n"/>
      <c r="E4241" s="123" t="n"/>
      <c r="F4241" s="125" t="n"/>
      <c r="G4241" s="123" t="n"/>
      <c r="H4241" s="123" t="n"/>
      <c r="I4241" s="123" t="n"/>
      <c r="J4241" s="123" t="n"/>
      <c r="K4241" s="123" t="n"/>
      <c r="L4241" s="123" t="n"/>
      <c r="M4241" s="123">
        <f>IF(AND(B4241&lt;&gt;"",OR($C$4="",ISNUMBER(SEARCH($C$4,C4241&amp;" "&amp;E4241&amp;" "&amp;G4241&amp;" "&amp;H4241&amp;" "&amp;I4241&amp;" "&amp;J4241&amp;" "&amp;K4241&amp;" "&amp;L4241))),OR($C$5="Semua",$C$5="",G4241=$C$5),OR($C$6="Semua",$C$6="",H4241=$C$6,H4241="Pengeluaran "&amp;$C$6,AND($C$6="Uang Kos Mama",H4241="Pengeluaran Uang Kos")),OR($C$7="Semua",$C$7="",I4241=$C$7),OR($C$8="Semua",$C$8="",C4241=$C$8,E4241=$C$8),OR($C$9="Semua",$C$9="",D4241=$C$9),OR($C$10="",B4241&gt;=$C$10),OR($C$11="",B4241&lt;=$C$11),OR($C$12&lt;&gt;"Ya",K4241&lt;&gt;""),OR($C$13="Semua",$C$13="",L4241=$C$13)),"✓","")</f>
        <v/>
      </c>
      <c r="N4241" s="93">
        <f>N(N4240)+IF(M4241="✓",1,0)</f>
        <v/>
      </c>
      <c r="O4241" s="93">
        <f>N(O4240)+IF(AND(B4241&lt;&gt;"",B4241&gt;='Uang Riba'!$H$30,B4241&lt;='Uang Riba'!$I$30,OR(H4241="Dana riba",H4241="Pinjam uang riba",I4241="Pinjam dari uang riba",I4241="Ganti uang riba",I4241="Kelebihan ganti dikembalikan",AND(C4241="Kantong Uang Riba",G4241="Pengeluaran"))),1,0)</f>
        <v/>
      </c>
      <c r="X4241" s="93">
        <f>IF(AND(B4241&lt;&gt;"",B4241&gt;='Buku Akun'!$H$4,B4241&lt;='Buku Akun'!$H$5,OR(C4241='Buku Akun'!$C$4,AND(D4241="Pindah",E4241='Buku Akun'!$C$4))),B4241+IF(AND(I4241="Selisih bunga",DAY(B4241)=1),0,0.01)+ROW()/10000000,"")</f>
        <v/>
      </c>
    </row>
    <row r="4242" outlineLevel="1" ht="15" customHeight="1" s="94">
      <c r="A4242" s="123">
        <f>IF(B4242="","",ROW()-15)</f>
        <v/>
      </c>
      <c r="B4242" s="124" t="n"/>
      <c r="C4242" s="123" t="n"/>
      <c r="D4242" s="123" t="n"/>
      <c r="E4242" s="123" t="n"/>
      <c r="F4242" s="125" t="n"/>
      <c r="G4242" s="123" t="n"/>
      <c r="H4242" s="123" t="n"/>
      <c r="I4242" s="123" t="n"/>
      <c r="J4242" s="123" t="n"/>
      <c r="K4242" s="123" t="n"/>
      <c r="L4242" s="123" t="n"/>
      <c r="M4242" s="123">
        <f>IF(AND(B4242&lt;&gt;"",OR($C$4="",ISNUMBER(SEARCH($C$4,C4242&amp;" "&amp;E4242&amp;" "&amp;G4242&amp;" "&amp;H4242&amp;" "&amp;I4242&amp;" "&amp;J4242&amp;" "&amp;K4242&amp;" "&amp;L4242))),OR($C$5="Semua",$C$5="",G4242=$C$5),OR($C$6="Semua",$C$6="",H4242=$C$6,H4242="Pengeluaran "&amp;$C$6,AND($C$6="Uang Kos Mama",H4242="Pengeluaran Uang Kos")),OR($C$7="Semua",$C$7="",I4242=$C$7),OR($C$8="Semua",$C$8="",C4242=$C$8,E4242=$C$8),OR($C$9="Semua",$C$9="",D4242=$C$9),OR($C$10="",B4242&gt;=$C$10),OR($C$11="",B4242&lt;=$C$11),OR($C$12&lt;&gt;"Ya",K4242&lt;&gt;""),OR($C$13="Semua",$C$13="",L4242=$C$13)),"✓","")</f>
        <v/>
      </c>
      <c r="N4242" s="93">
        <f>N(N4241)+IF(M4242="✓",1,0)</f>
        <v/>
      </c>
      <c r="O4242" s="93">
        <f>N(O4241)+IF(AND(B4242&lt;&gt;"",B4242&gt;='Uang Riba'!$H$30,B4242&lt;='Uang Riba'!$I$30,OR(H4242="Dana riba",H4242="Pinjam uang riba",I4242="Pinjam dari uang riba",I4242="Ganti uang riba",I4242="Kelebihan ganti dikembalikan",AND(C4242="Kantong Uang Riba",G4242="Pengeluaran"))),1,0)</f>
        <v/>
      </c>
      <c r="X4242" s="93">
        <f>IF(AND(B4242&lt;&gt;"",B4242&gt;='Buku Akun'!$H$4,B4242&lt;='Buku Akun'!$H$5,OR(C4242='Buku Akun'!$C$4,AND(D4242="Pindah",E4242='Buku Akun'!$C$4))),B4242+IF(AND(I4242="Selisih bunga",DAY(B4242)=1),0,0.01)+ROW()/10000000,"")</f>
        <v/>
      </c>
    </row>
    <row r="4243" outlineLevel="1" ht="15" customHeight="1" s="94">
      <c r="A4243" s="123">
        <f>IF(B4243="","",ROW()-15)</f>
        <v/>
      </c>
      <c r="B4243" s="124" t="n"/>
      <c r="C4243" s="123" t="n"/>
      <c r="D4243" s="123" t="n"/>
      <c r="E4243" s="123" t="n"/>
      <c r="F4243" s="125" t="n"/>
      <c r="G4243" s="123" t="n"/>
      <c r="H4243" s="123" t="n"/>
      <c r="I4243" s="123" t="n"/>
      <c r="J4243" s="123" t="n"/>
      <c r="K4243" s="123" t="n"/>
      <c r="L4243" s="123" t="n"/>
      <c r="M4243" s="123">
        <f>IF(AND(B4243&lt;&gt;"",OR($C$4="",ISNUMBER(SEARCH($C$4,C4243&amp;" "&amp;E4243&amp;" "&amp;G4243&amp;" "&amp;H4243&amp;" "&amp;I4243&amp;" "&amp;J4243&amp;" "&amp;K4243&amp;" "&amp;L4243))),OR($C$5="Semua",$C$5="",G4243=$C$5),OR($C$6="Semua",$C$6="",H4243=$C$6,H4243="Pengeluaran "&amp;$C$6,AND($C$6="Uang Kos Mama",H4243="Pengeluaran Uang Kos")),OR($C$7="Semua",$C$7="",I4243=$C$7),OR($C$8="Semua",$C$8="",C4243=$C$8,E4243=$C$8),OR($C$9="Semua",$C$9="",D4243=$C$9),OR($C$10="",B4243&gt;=$C$10),OR($C$11="",B4243&lt;=$C$11),OR($C$12&lt;&gt;"Ya",K4243&lt;&gt;""),OR($C$13="Semua",$C$13="",L4243=$C$13)),"✓","")</f>
        <v/>
      </c>
      <c r="N4243" s="93">
        <f>N(N4242)+IF(M4243="✓",1,0)</f>
        <v/>
      </c>
      <c r="O4243" s="93">
        <f>N(O4242)+IF(AND(B4243&lt;&gt;"",B4243&gt;='Uang Riba'!$H$30,B4243&lt;='Uang Riba'!$I$30,OR(H4243="Dana riba",H4243="Pinjam uang riba",I4243="Pinjam dari uang riba",I4243="Ganti uang riba",I4243="Kelebihan ganti dikembalikan",AND(C4243="Kantong Uang Riba",G4243="Pengeluaran"))),1,0)</f>
        <v/>
      </c>
      <c r="X4243" s="93">
        <f>IF(AND(B4243&lt;&gt;"",B4243&gt;='Buku Akun'!$H$4,B4243&lt;='Buku Akun'!$H$5,OR(C4243='Buku Akun'!$C$4,AND(D4243="Pindah",E4243='Buku Akun'!$C$4))),B4243+IF(AND(I4243="Selisih bunga",DAY(B4243)=1),0,0.01)+ROW()/10000000,"")</f>
        <v/>
      </c>
    </row>
    <row r="4244" outlineLevel="1" ht="15" customHeight="1" s="94">
      <c r="A4244" s="123">
        <f>IF(B4244="","",ROW()-15)</f>
        <v/>
      </c>
      <c r="B4244" s="124" t="n"/>
      <c r="C4244" s="123" t="n"/>
      <c r="D4244" s="123" t="n"/>
      <c r="E4244" s="123" t="n"/>
      <c r="F4244" s="125" t="n"/>
      <c r="G4244" s="123" t="n"/>
      <c r="H4244" s="123" t="n"/>
      <c r="I4244" s="123" t="n"/>
      <c r="J4244" s="123" t="n"/>
      <c r="K4244" s="123" t="n"/>
      <c r="L4244" s="123" t="n"/>
      <c r="M4244" s="123">
        <f>IF(AND(B4244&lt;&gt;"",OR($C$4="",ISNUMBER(SEARCH($C$4,C4244&amp;" "&amp;E4244&amp;" "&amp;G4244&amp;" "&amp;H4244&amp;" "&amp;I4244&amp;" "&amp;J4244&amp;" "&amp;K4244&amp;" "&amp;L4244))),OR($C$5="Semua",$C$5="",G4244=$C$5),OR($C$6="Semua",$C$6="",H4244=$C$6,H4244="Pengeluaran "&amp;$C$6,AND($C$6="Uang Kos Mama",H4244="Pengeluaran Uang Kos")),OR($C$7="Semua",$C$7="",I4244=$C$7),OR($C$8="Semua",$C$8="",C4244=$C$8,E4244=$C$8),OR($C$9="Semua",$C$9="",D4244=$C$9),OR($C$10="",B4244&gt;=$C$10),OR($C$11="",B4244&lt;=$C$11),OR($C$12&lt;&gt;"Ya",K4244&lt;&gt;""),OR($C$13="Semua",$C$13="",L4244=$C$13)),"✓","")</f>
        <v/>
      </c>
      <c r="N4244" s="93">
        <f>N(N4243)+IF(M4244="✓",1,0)</f>
        <v/>
      </c>
      <c r="O4244" s="93">
        <f>N(O4243)+IF(AND(B4244&lt;&gt;"",B4244&gt;='Uang Riba'!$H$30,B4244&lt;='Uang Riba'!$I$30,OR(H4244="Dana riba",H4244="Pinjam uang riba",I4244="Pinjam dari uang riba",I4244="Ganti uang riba",I4244="Kelebihan ganti dikembalikan",AND(C4244="Kantong Uang Riba",G4244="Pengeluaran"))),1,0)</f>
        <v/>
      </c>
      <c r="X4244" s="93">
        <f>IF(AND(B4244&lt;&gt;"",B4244&gt;='Buku Akun'!$H$4,B4244&lt;='Buku Akun'!$H$5,OR(C4244='Buku Akun'!$C$4,AND(D4244="Pindah",E4244='Buku Akun'!$C$4))),B4244+IF(AND(I4244="Selisih bunga",DAY(B4244)=1),0,0.01)+ROW()/10000000,"")</f>
        <v/>
      </c>
    </row>
    <row r="4245" outlineLevel="1" ht="15" customHeight="1" s="94">
      <c r="A4245" s="123">
        <f>IF(B4245="","",ROW()-15)</f>
        <v/>
      </c>
      <c r="B4245" s="124" t="n"/>
      <c r="C4245" s="123" t="n"/>
      <c r="D4245" s="123" t="n"/>
      <c r="E4245" s="123" t="n"/>
      <c r="F4245" s="125" t="n"/>
      <c r="G4245" s="123" t="n"/>
      <c r="H4245" s="123" t="n"/>
      <c r="I4245" s="123" t="n"/>
      <c r="J4245" s="123" t="n"/>
      <c r="K4245" s="123" t="n"/>
      <c r="L4245" s="123" t="n"/>
      <c r="M4245" s="123">
        <f>IF(AND(B4245&lt;&gt;"",OR($C$4="",ISNUMBER(SEARCH($C$4,C4245&amp;" "&amp;E4245&amp;" "&amp;G4245&amp;" "&amp;H4245&amp;" "&amp;I4245&amp;" "&amp;J4245&amp;" "&amp;K4245&amp;" "&amp;L4245))),OR($C$5="Semua",$C$5="",G4245=$C$5),OR($C$6="Semua",$C$6="",H4245=$C$6,H4245="Pengeluaran "&amp;$C$6,AND($C$6="Uang Kos Mama",H4245="Pengeluaran Uang Kos")),OR($C$7="Semua",$C$7="",I4245=$C$7),OR($C$8="Semua",$C$8="",C4245=$C$8,E4245=$C$8),OR($C$9="Semua",$C$9="",D4245=$C$9),OR($C$10="",B4245&gt;=$C$10),OR($C$11="",B4245&lt;=$C$11),OR($C$12&lt;&gt;"Ya",K4245&lt;&gt;""),OR($C$13="Semua",$C$13="",L4245=$C$13)),"✓","")</f>
        <v/>
      </c>
      <c r="N4245" s="93">
        <f>N(N4244)+IF(M4245="✓",1,0)</f>
        <v/>
      </c>
      <c r="O4245" s="93">
        <f>N(O4244)+IF(AND(B4245&lt;&gt;"",B4245&gt;='Uang Riba'!$H$30,B4245&lt;='Uang Riba'!$I$30,OR(H4245="Dana riba",H4245="Pinjam uang riba",I4245="Pinjam dari uang riba",I4245="Ganti uang riba",I4245="Kelebihan ganti dikembalikan",AND(C4245="Kantong Uang Riba",G4245="Pengeluaran"))),1,0)</f>
        <v/>
      </c>
      <c r="X4245" s="93">
        <f>IF(AND(B4245&lt;&gt;"",B4245&gt;='Buku Akun'!$H$4,B4245&lt;='Buku Akun'!$H$5,OR(C4245='Buku Akun'!$C$4,AND(D4245="Pindah",E4245='Buku Akun'!$C$4))),B4245+IF(AND(I4245="Selisih bunga",DAY(B4245)=1),0,0.01)+ROW()/10000000,"")</f>
        <v/>
      </c>
    </row>
    <row r="4246" outlineLevel="1" ht="15" customHeight="1" s="94">
      <c r="A4246" s="123">
        <f>IF(B4246="","",ROW()-15)</f>
        <v/>
      </c>
      <c r="B4246" s="124" t="n"/>
      <c r="C4246" s="123" t="n"/>
      <c r="D4246" s="123" t="n"/>
      <c r="E4246" s="123" t="n"/>
      <c r="F4246" s="125" t="n"/>
      <c r="G4246" s="123" t="n"/>
      <c r="H4246" s="123" t="n"/>
      <c r="I4246" s="123" t="n"/>
      <c r="J4246" s="123" t="n"/>
      <c r="K4246" s="123" t="n"/>
      <c r="L4246" s="123" t="n"/>
      <c r="M4246" s="123">
        <f>IF(AND(B4246&lt;&gt;"",OR($C$4="",ISNUMBER(SEARCH($C$4,C4246&amp;" "&amp;E4246&amp;" "&amp;G4246&amp;" "&amp;H4246&amp;" "&amp;I4246&amp;" "&amp;J4246&amp;" "&amp;K4246&amp;" "&amp;L4246))),OR($C$5="Semua",$C$5="",G4246=$C$5),OR($C$6="Semua",$C$6="",H4246=$C$6,H4246="Pengeluaran "&amp;$C$6,AND($C$6="Uang Kos Mama",H4246="Pengeluaran Uang Kos")),OR($C$7="Semua",$C$7="",I4246=$C$7),OR($C$8="Semua",$C$8="",C4246=$C$8,E4246=$C$8),OR($C$9="Semua",$C$9="",D4246=$C$9),OR($C$10="",B4246&gt;=$C$10),OR($C$11="",B4246&lt;=$C$11),OR($C$12&lt;&gt;"Ya",K4246&lt;&gt;""),OR($C$13="Semua",$C$13="",L4246=$C$13)),"✓","")</f>
        <v/>
      </c>
      <c r="N4246" s="93">
        <f>N(N4245)+IF(M4246="✓",1,0)</f>
        <v/>
      </c>
      <c r="O4246" s="93">
        <f>N(O4245)+IF(AND(B4246&lt;&gt;"",B4246&gt;='Uang Riba'!$H$30,B4246&lt;='Uang Riba'!$I$30,OR(H4246="Dana riba",H4246="Pinjam uang riba",I4246="Pinjam dari uang riba",I4246="Ganti uang riba",I4246="Kelebihan ganti dikembalikan",AND(C4246="Kantong Uang Riba",G4246="Pengeluaran"))),1,0)</f>
        <v/>
      </c>
      <c r="X4246" s="93">
        <f>IF(AND(B4246&lt;&gt;"",B4246&gt;='Buku Akun'!$H$4,B4246&lt;='Buku Akun'!$H$5,OR(C4246='Buku Akun'!$C$4,AND(D4246="Pindah",E4246='Buku Akun'!$C$4))),B4246+IF(AND(I4246="Selisih bunga",DAY(B4246)=1),0,0.01)+ROW()/10000000,"")</f>
        <v/>
      </c>
    </row>
    <row r="4247" outlineLevel="1" ht="15" customHeight="1" s="94">
      <c r="A4247" s="123">
        <f>IF(B4247="","",ROW()-15)</f>
        <v/>
      </c>
      <c r="B4247" s="124" t="n"/>
      <c r="C4247" s="123" t="n"/>
      <c r="D4247" s="123" t="n"/>
      <c r="E4247" s="123" t="n"/>
      <c r="F4247" s="125" t="n"/>
      <c r="G4247" s="123" t="n"/>
      <c r="H4247" s="123" t="n"/>
      <c r="I4247" s="123" t="n"/>
      <c r="J4247" s="123" t="n"/>
      <c r="K4247" s="123" t="n"/>
      <c r="L4247" s="123" t="n"/>
      <c r="M4247" s="123">
        <f>IF(AND(B4247&lt;&gt;"",OR($C$4="",ISNUMBER(SEARCH($C$4,C4247&amp;" "&amp;E4247&amp;" "&amp;G4247&amp;" "&amp;H4247&amp;" "&amp;I4247&amp;" "&amp;J4247&amp;" "&amp;K4247&amp;" "&amp;L4247))),OR($C$5="Semua",$C$5="",G4247=$C$5),OR($C$6="Semua",$C$6="",H4247=$C$6,H4247="Pengeluaran "&amp;$C$6,AND($C$6="Uang Kos Mama",H4247="Pengeluaran Uang Kos")),OR($C$7="Semua",$C$7="",I4247=$C$7),OR($C$8="Semua",$C$8="",C4247=$C$8,E4247=$C$8),OR($C$9="Semua",$C$9="",D4247=$C$9),OR($C$10="",B4247&gt;=$C$10),OR($C$11="",B4247&lt;=$C$11),OR($C$12&lt;&gt;"Ya",K4247&lt;&gt;""),OR($C$13="Semua",$C$13="",L4247=$C$13)),"✓","")</f>
        <v/>
      </c>
      <c r="N4247" s="93">
        <f>N(N4246)+IF(M4247="✓",1,0)</f>
        <v/>
      </c>
      <c r="O4247" s="93">
        <f>N(O4246)+IF(AND(B4247&lt;&gt;"",B4247&gt;='Uang Riba'!$H$30,B4247&lt;='Uang Riba'!$I$30,OR(H4247="Dana riba",H4247="Pinjam uang riba",I4247="Pinjam dari uang riba",I4247="Ganti uang riba",I4247="Kelebihan ganti dikembalikan",AND(C4247="Kantong Uang Riba",G4247="Pengeluaran"))),1,0)</f>
        <v/>
      </c>
      <c r="X4247" s="93">
        <f>IF(AND(B4247&lt;&gt;"",B4247&gt;='Buku Akun'!$H$4,B4247&lt;='Buku Akun'!$H$5,OR(C4247='Buku Akun'!$C$4,AND(D4247="Pindah",E4247='Buku Akun'!$C$4))),B4247+IF(AND(I4247="Selisih bunga",DAY(B4247)=1),0,0.01)+ROW()/10000000,"")</f>
        <v/>
      </c>
    </row>
    <row r="4248" outlineLevel="1" ht="15" customHeight="1" s="94">
      <c r="A4248" s="123">
        <f>IF(B4248="","",ROW()-15)</f>
        <v/>
      </c>
      <c r="B4248" s="124" t="n"/>
      <c r="C4248" s="123" t="n"/>
      <c r="D4248" s="123" t="n"/>
      <c r="E4248" s="123" t="n"/>
      <c r="F4248" s="125" t="n"/>
      <c r="G4248" s="123" t="n"/>
      <c r="H4248" s="123" t="n"/>
      <c r="I4248" s="123" t="n"/>
      <c r="J4248" s="123" t="n"/>
      <c r="K4248" s="123" t="n"/>
      <c r="L4248" s="123" t="n"/>
      <c r="M4248" s="123">
        <f>IF(AND(B4248&lt;&gt;"",OR($C$4="",ISNUMBER(SEARCH($C$4,C4248&amp;" "&amp;E4248&amp;" "&amp;G4248&amp;" "&amp;H4248&amp;" "&amp;I4248&amp;" "&amp;J4248&amp;" "&amp;K4248&amp;" "&amp;L4248))),OR($C$5="Semua",$C$5="",G4248=$C$5),OR($C$6="Semua",$C$6="",H4248=$C$6,H4248="Pengeluaran "&amp;$C$6,AND($C$6="Uang Kos Mama",H4248="Pengeluaran Uang Kos")),OR($C$7="Semua",$C$7="",I4248=$C$7),OR($C$8="Semua",$C$8="",C4248=$C$8,E4248=$C$8),OR($C$9="Semua",$C$9="",D4248=$C$9),OR($C$10="",B4248&gt;=$C$10),OR($C$11="",B4248&lt;=$C$11),OR($C$12&lt;&gt;"Ya",K4248&lt;&gt;""),OR($C$13="Semua",$C$13="",L4248=$C$13)),"✓","")</f>
        <v/>
      </c>
      <c r="N4248" s="93">
        <f>N(N4247)+IF(M4248="✓",1,0)</f>
        <v/>
      </c>
      <c r="O4248" s="93">
        <f>N(O4247)+IF(AND(B4248&lt;&gt;"",B4248&gt;='Uang Riba'!$H$30,B4248&lt;='Uang Riba'!$I$30,OR(H4248="Dana riba",H4248="Pinjam uang riba",I4248="Pinjam dari uang riba",I4248="Ganti uang riba",I4248="Kelebihan ganti dikembalikan",AND(C4248="Kantong Uang Riba",G4248="Pengeluaran"))),1,0)</f>
        <v/>
      </c>
      <c r="X4248" s="93">
        <f>IF(AND(B4248&lt;&gt;"",B4248&gt;='Buku Akun'!$H$4,B4248&lt;='Buku Akun'!$H$5,OR(C4248='Buku Akun'!$C$4,AND(D4248="Pindah",E4248='Buku Akun'!$C$4))),B4248+IF(AND(I4248="Selisih bunga",DAY(B4248)=1),0,0.01)+ROW()/10000000,"")</f>
        <v/>
      </c>
    </row>
    <row r="4249" outlineLevel="1" ht="15" customHeight="1" s="94">
      <c r="A4249" s="123">
        <f>IF(B4249="","",ROW()-15)</f>
        <v/>
      </c>
      <c r="B4249" s="124" t="n"/>
      <c r="C4249" s="123" t="n"/>
      <c r="D4249" s="123" t="n"/>
      <c r="E4249" s="123" t="n"/>
      <c r="F4249" s="125" t="n"/>
      <c r="G4249" s="123" t="n"/>
      <c r="H4249" s="123" t="n"/>
      <c r="I4249" s="123" t="n"/>
      <c r="J4249" s="123" t="n"/>
      <c r="K4249" s="123" t="n"/>
      <c r="L4249" s="123" t="n"/>
      <c r="M4249" s="123">
        <f>IF(AND(B4249&lt;&gt;"",OR($C$4="",ISNUMBER(SEARCH($C$4,C4249&amp;" "&amp;E4249&amp;" "&amp;G4249&amp;" "&amp;H4249&amp;" "&amp;I4249&amp;" "&amp;J4249&amp;" "&amp;K4249&amp;" "&amp;L4249))),OR($C$5="Semua",$C$5="",G4249=$C$5),OR($C$6="Semua",$C$6="",H4249=$C$6,H4249="Pengeluaran "&amp;$C$6,AND($C$6="Uang Kos Mama",H4249="Pengeluaran Uang Kos")),OR($C$7="Semua",$C$7="",I4249=$C$7),OR($C$8="Semua",$C$8="",C4249=$C$8,E4249=$C$8),OR($C$9="Semua",$C$9="",D4249=$C$9),OR($C$10="",B4249&gt;=$C$10),OR($C$11="",B4249&lt;=$C$11),OR($C$12&lt;&gt;"Ya",K4249&lt;&gt;""),OR($C$13="Semua",$C$13="",L4249=$C$13)),"✓","")</f>
        <v/>
      </c>
      <c r="N4249" s="93">
        <f>N(N4248)+IF(M4249="✓",1,0)</f>
        <v/>
      </c>
      <c r="O4249" s="93">
        <f>N(O4248)+IF(AND(B4249&lt;&gt;"",B4249&gt;='Uang Riba'!$H$30,B4249&lt;='Uang Riba'!$I$30,OR(H4249="Dana riba",H4249="Pinjam uang riba",I4249="Pinjam dari uang riba",I4249="Ganti uang riba",I4249="Kelebihan ganti dikembalikan",AND(C4249="Kantong Uang Riba",G4249="Pengeluaran"))),1,0)</f>
        <v/>
      </c>
      <c r="X4249" s="93">
        <f>IF(AND(B4249&lt;&gt;"",B4249&gt;='Buku Akun'!$H$4,B4249&lt;='Buku Akun'!$H$5,OR(C4249='Buku Akun'!$C$4,AND(D4249="Pindah",E4249='Buku Akun'!$C$4))),B4249+IF(AND(I4249="Selisih bunga",DAY(B4249)=1),0,0.01)+ROW()/10000000,"")</f>
        <v/>
      </c>
    </row>
    <row r="4250" outlineLevel="1" ht="15" customHeight="1" s="94">
      <c r="A4250" s="123">
        <f>IF(B4250="","",ROW()-15)</f>
        <v/>
      </c>
      <c r="B4250" s="124" t="n"/>
      <c r="C4250" s="123" t="n"/>
      <c r="D4250" s="123" t="n"/>
      <c r="E4250" s="123" t="n"/>
      <c r="F4250" s="125" t="n"/>
      <c r="G4250" s="123" t="n"/>
      <c r="H4250" s="123" t="n"/>
      <c r="I4250" s="123" t="n"/>
      <c r="J4250" s="123" t="n"/>
      <c r="K4250" s="123" t="n"/>
      <c r="L4250" s="123" t="n"/>
      <c r="M4250" s="123">
        <f>IF(AND(B4250&lt;&gt;"",OR($C$4="",ISNUMBER(SEARCH($C$4,C4250&amp;" "&amp;E4250&amp;" "&amp;G4250&amp;" "&amp;H4250&amp;" "&amp;I4250&amp;" "&amp;J4250&amp;" "&amp;K4250&amp;" "&amp;L4250))),OR($C$5="Semua",$C$5="",G4250=$C$5),OR($C$6="Semua",$C$6="",H4250=$C$6,H4250="Pengeluaran "&amp;$C$6,AND($C$6="Uang Kos Mama",H4250="Pengeluaran Uang Kos")),OR($C$7="Semua",$C$7="",I4250=$C$7),OR($C$8="Semua",$C$8="",C4250=$C$8,E4250=$C$8),OR($C$9="Semua",$C$9="",D4250=$C$9),OR($C$10="",B4250&gt;=$C$10),OR($C$11="",B4250&lt;=$C$11),OR($C$12&lt;&gt;"Ya",K4250&lt;&gt;""),OR($C$13="Semua",$C$13="",L4250=$C$13)),"✓","")</f>
        <v/>
      </c>
      <c r="N4250" s="93">
        <f>N(N4249)+IF(M4250="✓",1,0)</f>
        <v/>
      </c>
      <c r="O4250" s="93">
        <f>N(O4249)+IF(AND(B4250&lt;&gt;"",B4250&gt;='Uang Riba'!$H$30,B4250&lt;='Uang Riba'!$I$30,OR(H4250="Dana riba",H4250="Pinjam uang riba",I4250="Pinjam dari uang riba",I4250="Ganti uang riba",I4250="Kelebihan ganti dikembalikan",AND(C4250="Kantong Uang Riba",G4250="Pengeluaran"))),1,0)</f>
        <v/>
      </c>
      <c r="X4250" s="93">
        <f>IF(AND(B4250&lt;&gt;"",B4250&gt;='Buku Akun'!$H$4,B4250&lt;='Buku Akun'!$H$5,OR(C4250='Buku Akun'!$C$4,AND(D4250="Pindah",E4250='Buku Akun'!$C$4))),B4250+IF(AND(I4250="Selisih bunga",DAY(B4250)=1),0,0.01)+ROW()/10000000,"")</f>
        <v/>
      </c>
    </row>
    <row r="4251" outlineLevel="1" ht="15" customHeight="1" s="94">
      <c r="A4251" s="123">
        <f>IF(B4251="","",ROW()-15)</f>
        <v/>
      </c>
      <c r="B4251" s="124" t="n"/>
      <c r="C4251" s="123" t="n"/>
      <c r="D4251" s="123" t="n"/>
      <c r="E4251" s="123" t="n"/>
      <c r="F4251" s="125" t="n"/>
      <c r="G4251" s="123" t="n"/>
      <c r="H4251" s="123" t="n"/>
      <c r="I4251" s="123" t="n"/>
      <c r="J4251" s="123" t="n"/>
      <c r="K4251" s="123" t="n"/>
      <c r="L4251" s="123" t="n"/>
      <c r="M4251" s="123">
        <f>IF(AND(B4251&lt;&gt;"",OR($C$4="",ISNUMBER(SEARCH($C$4,C4251&amp;" "&amp;E4251&amp;" "&amp;G4251&amp;" "&amp;H4251&amp;" "&amp;I4251&amp;" "&amp;J4251&amp;" "&amp;K4251&amp;" "&amp;L4251))),OR($C$5="Semua",$C$5="",G4251=$C$5),OR($C$6="Semua",$C$6="",H4251=$C$6,H4251="Pengeluaran "&amp;$C$6,AND($C$6="Uang Kos Mama",H4251="Pengeluaran Uang Kos")),OR($C$7="Semua",$C$7="",I4251=$C$7),OR($C$8="Semua",$C$8="",C4251=$C$8,E4251=$C$8),OR($C$9="Semua",$C$9="",D4251=$C$9),OR($C$10="",B4251&gt;=$C$10),OR($C$11="",B4251&lt;=$C$11),OR($C$12&lt;&gt;"Ya",K4251&lt;&gt;""),OR($C$13="Semua",$C$13="",L4251=$C$13)),"✓","")</f>
        <v/>
      </c>
      <c r="N4251" s="93">
        <f>N(N4250)+IF(M4251="✓",1,0)</f>
        <v/>
      </c>
      <c r="O4251" s="93">
        <f>N(O4250)+IF(AND(B4251&lt;&gt;"",B4251&gt;='Uang Riba'!$H$30,B4251&lt;='Uang Riba'!$I$30,OR(H4251="Dana riba",H4251="Pinjam uang riba",I4251="Pinjam dari uang riba",I4251="Ganti uang riba",I4251="Kelebihan ganti dikembalikan",AND(C4251="Kantong Uang Riba",G4251="Pengeluaran"))),1,0)</f>
        <v/>
      </c>
      <c r="X4251" s="93">
        <f>IF(AND(B4251&lt;&gt;"",B4251&gt;='Buku Akun'!$H$4,B4251&lt;='Buku Akun'!$H$5,OR(C4251='Buku Akun'!$C$4,AND(D4251="Pindah",E4251='Buku Akun'!$C$4))),B4251+IF(AND(I4251="Selisih bunga",DAY(B4251)=1),0,0.01)+ROW()/10000000,"")</f>
        <v/>
      </c>
    </row>
    <row r="4252" outlineLevel="1" ht="15" customHeight="1" s="94">
      <c r="A4252" s="123">
        <f>IF(B4252="","",ROW()-15)</f>
        <v/>
      </c>
      <c r="B4252" s="124" t="n"/>
      <c r="C4252" s="123" t="n"/>
      <c r="D4252" s="123" t="n"/>
      <c r="E4252" s="123" t="n"/>
      <c r="F4252" s="125" t="n"/>
      <c r="G4252" s="123" t="n"/>
      <c r="H4252" s="123" t="n"/>
      <c r="I4252" s="123" t="n"/>
      <c r="J4252" s="123" t="n"/>
      <c r="K4252" s="123" t="n"/>
      <c r="L4252" s="123" t="n"/>
      <c r="M4252" s="123">
        <f>IF(AND(B4252&lt;&gt;"",OR($C$4="",ISNUMBER(SEARCH($C$4,C4252&amp;" "&amp;E4252&amp;" "&amp;G4252&amp;" "&amp;H4252&amp;" "&amp;I4252&amp;" "&amp;J4252&amp;" "&amp;K4252&amp;" "&amp;L4252))),OR($C$5="Semua",$C$5="",G4252=$C$5),OR($C$6="Semua",$C$6="",H4252=$C$6,H4252="Pengeluaran "&amp;$C$6,AND($C$6="Uang Kos Mama",H4252="Pengeluaran Uang Kos")),OR($C$7="Semua",$C$7="",I4252=$C$7),OR($C$8="Semua",$C$8="",C4252=$C$8,E4252=$C$8),OR($C$9="Semua",$C$9="",D4252=$C$9),OR($C$10="",B4252&gt;=$C$10),OR($C$11="",B4252&lt;=$C$11),OR($C$12&lt;&gt;"Ya",K4252&lt;&gt;""),OR($C$13="Semua",$C$13="",L4252=$C$13)),"✓","")</f>
        <v/>
      </c>
      <c r="N4252" s="93">
        <f>N(N4251)+IF(M4252="✓",1,0)</f>
        <v/>
      </c>
      <c r="O4252" s="93">
        <f>N(O4251)+IF(AND(B4252&lt;&gt;"",B4252&gt;='Uang Riba'!$H$30,B4252&lt;='Uang Riba'!$I$30,OR(H4252="Dana riba",H4252="Pinjam uang riba",I4252="Pinjam dari uang riba",I4252="Ganti uang riba",I4252="Kelebihan ganti dikembalikan",AND(C4252="Kantong Uang Riba",G4252="Pengeluaran"))),1,0)</f>
        <v/>
      </c>
      <c r="X4252" s="93">
        <f>IF(AND(B4252&lt;&gt;"",B4252&gt;='Buku Akun'!$H$4,B4252&lt;='Buku Akun'!$H$5,OR(C4252='Buku Akun'!$C$4,AND(D4252="Pindah",E4252='Buku Akun'!$C$4))),B4252+IF(AND(I4252="Selisih bunga",DAY(B4252)=1),0,0.01)+ROW()/10000000,"")</f>
        <v/>
      </c>
    </row>
    <row r="4253" outlineLevel="1" ht="15" customHeight="1" s="94">
      <c r="A4253" s="123">
        <f>IF(B4253="","",ROW()-15)</f>
        <v/>
      </c>
      <c r="B4253" s="124" t="n"/>
      <c r="C4253" s="123" t="n"/>
      <c r="D4253" s="123" t="n"/>
      <c r="E4253" s="123" t="n"/>
      <c r="F4253" s="125" t="n"/>
      <c r="G4253" s="123" t="n"/>
      <c r="H4253" s="123" t="n"/>
      <c r="I4253" s="123" t="n"/>
      <c r="J4253" s="123" t="n"/>
      <c r="K4253" s="123" t="n"/>
      <c r="L4253" s="123" t="n"/>
      <c r="M4253" s="123">
        <f>IF(AND(B4253&lt;&gt;"",OR($C$4="",ISNUMBER(SEARCH($C$4,C4253&amp;" "&amp;E4253&amp;" "&amp;G4253&amp;" "&amp;H4253&amp;" "&amp;I4253&amp;" "&amp;J4253&amp;" "&amp;K4253&amp;" "&amp;L4253))),OR($C$5="Semua",$C$5="",G4253=$C$5),OR($C$6="Semua",$C$6="",H4253=$C$6,H4253="Pengeluaran "&amp;$C$6,AND($C$6="Uang Kos Mama",H4253="Pengeluaran Uang Kos")),OR($C$7="Semua",$C$7="",I4253=$C$7),OR($C$8="Semua",$C$8="",C4253=$C$8,E4253=$C$8),OR($C$9="Semua",$C$9="",D4253=$C$9),OR($C$10="",B4253&gt;=$C$10),OR($C$11="",B4253&lt;=$C$11),OR($C$12&lt;&gt;"Ya",K4253&lt;&gt;""),OR($C$13="Semua",$C$13="",L4253=$C$13)),"✓","")</f>
        <v/>
      </c>
      <c r="N4253" s="93">
        <f>N(N4252)+IF(M4253="✓",1,0)</f>
        <v/>
      </c>
      <c r="O4253" s="93">
        <f>N(O4252)+IF(AND(B4253&lt;&gt;"",B4253&gt;='Uang Riba'!$H$30,B4253&lt;='Uang Riba'!$I$30,OR(H4253="Dana riba",H4253="Pinjam uang riba",I4253="Pinjam dari uang riba",I4253="Ganti uang riba",I4253="Kelebihan ganti dikembalikan",AND(C4253="Kantong Uang Riba",G4253="Pengeluaran"))),1,0)</f>
        <v/>
      </c>
      <c r="X4253" s="93">
        <f>IF(AND(B4253&lt;&gt;"",B4253&gt;='Buku Akun'!$H$4,B4253&lt;='Buku Akun'!$H$5,OR(C4253='Buku Akun'!$C$4,AND(D4253="Pindah",E4253='Buku Akun'!$C$4))),B4253+IF(AND(I4253="Selisih bunga",DAY(B4253)=1),0,0.01)+ROW()/10000000,"")</f>
        <v/>
      </c>
    </row>
    <row r="4254" outlineLevel="1" ht="15" customHeight="1" s="94">
      <c r="A4254" s="123">
        <f>IF(B4254="","",ROW()-15)</f>
        <v/>
      </c>
      <c r="B4254" s="124" t="n"/>
      <c r="C4254" s="123" t="n"/>
      <c r="D4254" s="123" t="n"/>
      <c r="E4254" s="123" t="n"/>
      <c r="F4254" s="125" t="n"/>
      <c r="G4254" s="123" t="n"/>
      <c r="H4254" s="123" t="n"/>
      <c r="I4254" s="123" t="n"/>
      <c r="J4254" s="123" t="n"/>
      <c r="K4254" s="123" t="n"/>
      <c r="L4254" s="123" t="n"/>
      <c r="M4254" s="123">
        <f>IF(AND(B4254&lt;&gt;"",OR($C$4="",ISNUMBER(SEARCH($C$4,C4254&amp;" "&amp;E4254&amp;" "&amp;G4254&amp;" "&amp;H4254&amp;" "&amp;I4254&amp;" "&amp;J4254&amp;" "&amp;K4254&amp;" "&amp;L4254))),OR($C$5="Semua",$C$5="",G4254=$C$5),OR($C$6="Semua",$C$6="",H4254=$C$6,H4254="Pengeluaran "&amp;$C$6,AND($C$6="Uang Kos Mama",H4254="Pengeluaran Uang Kos")),OR($C$7="Semua",$C$7="",I4254=$C$7),OR($C$8="Semua",$C$8="",C4254=$C$8,E4254=$C$8),OR($C$9="Semua",$C$9="",D4254=$C$9),OR($C$10="",B4254&gt;=$C$10),OR($C$11="",B4254&lt;=$C$11),OR($C$12&lt;&gt;"Ya",K4254&lt;&gt;""),OR($C$13="Semua",$C$13="",L4254=$C$13)),"✓","")</f>
        <v/>
      </c>
      <c r="N4254" s="93">
        <f>N(N4253)+IF(M4254="✓",1,0)</f>
        <v/>
      </c>
      <c r="O4254" s="93">
        <f>N(O4253)+IF(AND(B4254&lt;&gt;"",B4254&gt;='Uang Riba'!$H$30,B4254&lt;='Uang Riba'!$I$30,OR(H4254="Dana riba",H4254="Pinjam uang riba",I4254="Pinjam dari uang riba",I4254="Ganti uang riba",I4254="Kelebihan ganti dikembalikan",AND(C4254="Kantong Uang Riba",G4254="Pengeluaran"))),1,0)</f>
        <v/>
      </c>
      <c r="X4254" s="93">
        <f>IF(AND(B4254&lt;&gt;"",B4254&gt;='Buku Akun'!$H$4,B4254&lt;='Buku Akun'!$H$5,OR(C4254='Buku Akun'!$C$4,AND(D4254="Pindah",E4254='Buku Akun'!$C$4))),B4254+IF(AND(I4254="Selisih bunga",DAY(B4254)=1),0,0.01)+ROW()/10000000,"")</f>
        <v/>
      </c>
    </row>
    <row r="4255" outlineLevel="1" ht="15" customHeight="1" s="94">
      <c r="A4255" s="123">
        <f>IF(B4255="","",ROW()-15)</f>
        <v/>
      </c>
      <c r="B4255" s="124" t="n"/>
      <c r="C4255" s="123" t="n"/>
      <c r="D4255" s="123" t="n"/>
      <c r="E4255" s="123" t="n"/>
      <c r="F4255" s="125" t="n"/>
      <c r="G4255" s="123" t="n"/>
      <c r="H4255" s="123" t="n"/>
      <c r="I4255" s="123" t="n"/>
      <c r="J4255" s="123" t="n"/>
      <c r="K4255" s="123" t="n"/>
      <c r="L4255" s="123" t="n"/>
      <c r="M4255" s="123">
        <f>IF(AND(B4255&lt;&gt;"",OR($C$4="",ISNUMBER(SEARCH($C$4,C4255&amp;" "&amp;E4255&amp;" "&amp;G4255&amp;" "&amp;H4255&amp;" "&amp;I4255&amp;" "&amp;J4255&amp;" "&amp;K4255&amp;" "&amp;L4255))),OR($C$5="Semua",$C$5="",G4255=$C$5),OR($C$6="Semua",$C$6="",H4255=$C$6,H4255="Pengeluaran "&amp;$C$6,AND($C$6="Uang Kos Mama",H4255="Pengeluaran Uang Kos")),OR($C$7="Semua",$C$7="",I4255=$C$7),OR($C$8="Semua",$C$8="",C4255=$C$8,E4255=$C$8),OR($C$9="Semua",$C$9="",D4255=$C$9),OR($C$10="",B4255&gt;=$C$10),OR($C$11="",B4255&lt;=$C$11),OR($C$12&lt;&gt;"Ya",K4255&lt;&gt;""),OR($C$13="Semua",$C$13="",L4255=$C$13)),"✓","")</f>
        <v/>
      </c>
      <c r="N4255" s="93">
        <f>N(N4254)+IF(M4255="✓",1,0)</f>
        <v/>
      </c>
      <c r="O4255" s="93">
        <f>N(O4254)+IF(AND(B4255&lt;&gt;"",B4255&gt;='Uang Riba'!$H$30,B4255&lt;='Uang Riba'!$I$30,OR(H4255="Dana riba",H4255="Pinjam uang riba",I4255="Pinjam dari uang riba",I4255="Ganti uang riba",I4255="Kelebihan ganti dikembalikan",AND(C4255="Kantong Uang Riba",G4255="Pengeluaran"))),1,0)</f>
        <v/>
      </c>
      <c r="X4255" s="93">
        <f>IF(AND(B4255&lt;&gt;"",B4255&gt;='Buku Akun'!$H$4,B4255&lt;='Buku Akun'!$H$5,OR(C4255='Buku Akun'!$C$4,AND(D4255="Pindah",E4255='Buku Akun'!$C$4))),B4255+IF(AND(I4255="Selisih bunga",DAY(B4255)=1),0,0.01)+ROW()/10000000,"")</f>
        <v/>
      </c>
    </row>
    <row r="4256" outlineLevel="1" ht="15" customHeight="1" s="94">
      <c r="A4256" s="123">
        <f>IF(B4256="","",ROW()-15)</f>
        <v/>
      </c>
      <c r="B4256" s="124" t="n"/>
      <c r="C4256" s="123" t="n"/>
      <c r="D4256" s="123" t="n"/>
      <c r="E4256" s="123" t="n"/>
      <c r="F4256" s="125" t="n"/>
      <c r="G4256" s="123" t="n"/>
      <c r="H4256" s="123" t="n"/>
      <c r="I4256" s="123" t="n"/>
      <c r="J4256" s="123" t="n"/>
      <c r="K4256" s="123" t="n"/>
      <c r="L4256" s="123" t="n"/>
      <c r="M4256" s="123">
        <f>IF(AND(B4256&lt;&gt;"",OR($C$4="",ISNUMBER(SEARCH($C$4,C4256&amp;" "&amp;E4256&amp;" "&amp;G4256&amp;" "&amp;H4256&amp;" "&amp;I4256&amp;" "&amp;J4256&amp;" "&amp;K4256&amp;" "&amp;L4256))),OR($C$5="Semua",$C$5="",G4256=$C$5),OR($C$6="Semua",$C$6="",H4256=$C$6,H4256="Pengeluaran "&amp;$C$6,AND($C$6="Uang Kos Mama",H4256="Pengeluaran Uang Kos")),OR($C$7="Semua",$C$7="",I4256=$C$7),OR($C$8="Semua",$C$8="",C4256=$C$8,E4256=$C$8),OR($C$9="Semua",$C$9="",D4256=$C$9),OR($C$10="",B4256&gt;=$C$10),OR($C$11="",B4256&lt;=$C$11),OR($C$12&lt;&gt;"Ya",K4256&lt;&gt;""),OR($C$13="Semua",$C$13="",L4256=$C$13)),"✓","")</f>
        <v/>
      </c>
      <c r="N4256" s="93">
        <f>N(N4255)+IF(M4256="✓",1,0)</f>
        <v/>
      </c>
      <c r="O4256" s="93">
        <f>N(O4255)+IF(AND(B4256&lt;&gt;"",B4256&gt;='Uang Riba'!$H$30,B4256&lt;='Uang Riba'!$I$30,OR(H4256="Dana riba",H4256="Pinjam uang riba",I4256="Pinjam dari uang riba",I4256="Ganti uang riba",I4256="Kelebihan ganti dikembalikan",AND(C4256="Kantong Uang Riba",G4256="Pengeluaran"))),1,0)</f>
        <v/>
      </c>
      <c r="X4256" s="93">
        <f>IF(AND(B4256&lt;&gt;"",B4256&gt;='Buku Akun'!$H$4,B4256&lt;='Buku Akun'!$H$5,OR(C4256='Buku Akun'!$C$4,AND(D4256="Pindah",E4256='Buku Akun'!$C$4))),B4256+IF(AND(I4256="Selisih bunga",DAY(B4256)=1),0,0.01)+ROW()/10000000,"")</f>
        <v/>
      </c>
    </row>
    <row r="4257" outlineLevel="1" ht="15" customHeight="1" s="94">
      <c r="A4257" s="123">
        <f>IF(B4257="","",ROW()-15)</f>
        <v/>
      </c>
      <c r="B4257" s="124" t="n"/>
      <c r="C4257" s="123" t="n"/>
      <c r="D4257" s="123" t="n"/>
      <c r="E4257" s="123" t="n"/>
      <c r="F4257" s="125" t="n"/>
      <c r="G4257" s="123" t="n"/>
      <c r="H4257" s="123" t="n"/>
      <c r="I4257" s="123" t="n"/>
      <c r="J4257" s="123" t="n"/>
      <c r="K4257" s="123" t="n"/>
      <c r="L4257" s="123" t="n"/>
      <c r="M4257" s="123">
        <f>IF(AND(B4257&lt;&gt;"",OR($C$4="",ISNUMBER(SEARCH($C$4,C4257&amp;" "&amp;E4257&amp;" "&amp;G4257&amp;" "&amp;H4257&amp;" "&amp;I4257&amp;" "&amp;J4257&amp;" "&amp;K4257&amp;" "&amp;L4257))),OR($C$5="Semua",$C$5="",G4257=$C$5),OR($C$6="Semua",$C$6="",H4257=$C$6,H4257="Pengeluaran "&amp;$C$6,AND($C$6="Uang Kos Mama",H4257="Pengeluaran Uang Kos")),OR($C$7="Semua",$C$7="",I4257=$C$7),OR($C$8="Semua",$C$8="",C4257=$C$8,E4257=$C$8),OR($C$9="Semua",$C$9="",D4257=$C$9),OR($C$10="",B4257&gt;=$C$10),OR($C$11="",B4257&lt;=$C$11),OR($C$12&lt;&gt;"Ya",K4257&lt;&gt;""),OR($C$13="Semua",$C$13="",L4257=$C$13)),"✓","")</f>
        <v/>
      </c>
      <c r="N4257" s="93">
        <f>N(N4256)+IF(M4257="✓",1,0)</f>
        <v/>
      </c>
      <c r="O4257" s="93">
        <f>N(O4256)+IF(AND(B4257&lt;&gt;"",B4257&gt;='Uang Riba'!$H$30,B4257&lt;='Uang Riba'!$I$30,OR(H4257="Dana riba",H4257="Pinjam uang riba",I4257="Pinjam dari uang riba",I4257="Ganti uang riba",I4257="Kelebihan ganti dikembalikan",AND(C4257="Kantong Uang Riba",G4257="Pengeluaran"))),1,0)</f>
        <v/>
      </c>
      <c r="X4257" s="93">
        <f>IF(AND(B4257&lt;&gt;"",B4257&gt;='Buku Akun'!$H$4,B4257&lt;='Buku Akun'!$H$5,OR(C4257='Buku Akun'!$C$4,AND(D4257="Pindah",E4257='Buku Akun'!$C$4))),B4257+IF(AND(I4257="Selisih bunga",DAY(B4257)=1),0,0.01)+ROW()/10000000,"")</f>
        <v/>
      </c>
    </row>
    <row r="4258" outlineLevel="1" ht="15" customHeight="1" s="94">
      <c r="A4258" s="123">
        <f>IF(B4258="","",ROW()-15)</f>
        <v/>
      </c>
      <c r="B4258" s="124" t="n"/>
      <c r="C4258" s="123" t="n"/>
      <c r="D4258" s="123" t="n"/>
      <c r="E4258" s="123" t="n"/>
      <c r="F4258" s="125" t="n"/>
      <c r="G4258" s="123" t="n"/>
      <c r="H4258" s="123" t="n"/>
      <c r="I4258" s="123" t="n"/>
      <c r="J4258" s="123" t="n"/>
      <c r="K4258" s="123" t="n"/>
      <c r="L4258" s="123" t="n"/>
      <c r="M4258" s="123">
        <f>IF(AND(B4258&lt;&gt;"",OR($C$4="",ISNUMBER(SEARCH($C$4,C4258&amp;" "&amp;E4258&amp;" "&amp;G4258&amp;" "&amp;H4258&amp;" "&amp;I4258&amp;" "&amp;J4258&amp;" "&amp;K4258&amp;" "&amp;L4258))),OR($C$5="Semua",$C$5="",G4258=$C$5),OR($C$6="Semua",$C$6="",H4258=$C$6,H4258="Pengeluaran "&amp;$C$6,AND($C$6="Uang Kos Mama",H4258="Pengeluaran Uang Kos")),OR($C$7="Semua",$C$7="",I4258=$C$7),OR($C$8="Semua",$C$8="",C4258=$C$8,E4258=$C$8),OR($C$9="Semua",$C$9="",D4258=$C$9),OR($C$10="",B4258&gt;=$C$10),OR($C$11="",B4258&lt;=$C$11),OR($C$12&lt;&gt;"Ya",K4258&lt;&gt;""),OR($C$13="Semua",$C$13="",L4258=$C$13)),"✓","")</f>
        <v/>
      </c>
      <c r="N4258" s="93">
        <f>N(N4257)+IF(M4258="✓",1,0)</f>
        <v/>
      </c>
      <c r="O4258" s="93">
        <f>N(O4257)+IF(AND(B4258&lt;&gt;"",B4258&gt;='Uang Riba'!$H$30,B4258&lt;='Uang Riba'!$I$30,OR(H4258="Dana riba",H4258="Pinjam uang riba",I4258="Pinjam dari uang riba",I4258="Ganti uang riba",I4258="Kelebihan ganti dikembalikan",AND(C4258="Kantong Uang Riba",G4258="Pengeluaran"))),1,0)</f>
        <v/>
      </c>
      <c r="X4258" s="93">
        <f>IF(AND(B4258&lt;&gt;"",B4258&gt;='Buku Akun'!$H$4,B4258&lt;='Buku Akun'!$H$5,OR(C4258='Buku Akun'!$C$4,AND(D4258="Pindah",E4258='Buku Akun'!$C$4))),B4258+IF(AND(I4258="Selisih bunga",DAY(B4258)=1),0,0.01)+ROW()/10000000,"")</f>
        <v/>
      </c>
    </row>
    <row r="4259" outlineLevel="1" ht="15" customHeight="1" s="94">
      <c r="A4259" s="123">
        <f>IF(B4259="","",ROW()-15)</f>
        <v/>
      </c>
      <c r="B4259" s="124" t="n"/>
      <c r="C4259" s="123" t="n"/>
      <c r="D4259" s="123" t="n"/>
      <c r="E4259" s="123" t="n"/>
      <c r="F4259" s="125" t="n"/>
      <c r="G4259" s="123" t="n"/>
      <c r="H4259" s="123" t="n"/>
      <c r="I4259" s="123" t="n"/>
      <c r="J4259" s="123" t="n"/>
      <c r="K4259" s="123" t="n"/>
      <c r="L4259" s="123" t="n"/>
      <c r="M4259" s="123">
        <f>IF(AND(B4259&lt;&gt;"",OR($C$4="",ISNUMBER(SEARCH($C$4,C4259&amp;" "&amp;E4259&amp;" "&amp;G4259&amp;" "&amp;H4259&amp;" "&amp;I4259&amp;" "&amp;J4259&amp;" "&amp;K4259&amp;" "&amp;L4259))),OR($C$5="Semua",$C$5="",G4259=$C$5),OR($C$6="Semua",$C$6="",H4259=$C$6,H4259="Pengeluaran "&amp;$C$6,AND($C$6="Uang Kos Mama",H4259="Pengeluaran Uang Kos")),OR($C$7="Semua",$C$7="",I4259=$C$7),OR($C$8="Semua",$C$8="",C4259=$C$8,E4259=$C$8),OR($C$9="Semua",$C$9="",D4259=$C$9),OR($C$10="",B4259&gt;=$C$10),OR($C$11="",B4259&lt;=$C$11),OR($C$12&lt;&gt;"Ya",K4259&lt;&gt;""),OR($C$13="Semua",$C$13="",L4259=$C$13)),"✓","")</f>
        <v/>
      </c>
      <c r="N4259" s="93">
        <f>N(N4258)+IF(M4259="✓",1,0)</f>
        <v/>
      </c>
      <c r="O4259" s="93">
        <f>N(O4258)+IF(AND(B4259&lt;&gt;"",B4259&gt;='Uang Riba'!$H$30,B4259&lt;='Uang Riba'!$I$30,OR(H4259="Dana riba",H4259="Pinjam uang riba",I4259="Pinjam dari uang riba",I4259="Ganti uang riba",I4259="Kelebihan ganti dikembalikan",AND(C4259="Kantong Uang Riba",G4259="Pengeluaran"))),1,0)</f>
        <v/>
      </c>
      <c r="X4259" s="93">
        <f>IF(AND(B4259&lt;&gt;"",B4259&gt;='Buku Akun'!$H$4,B4259&lt;='Buku Akun'!$H$5,OR(C4259='Buku Akun'!$C$4,AND(D4259="Pindah",E4259='Buku Akun'!$C$4))),B4259+IF(AND(I4259="Selisih bunga",DAY(B4259)=1),0,0.01)+ROW()/10000000,"")</f>
        <v/>
      </c>
    </row>
    <row r="4260" outlineLevel="1" ht="15" customHeight="1" s="94">
      <c r="A4260" s="123">
        <f>IF(B4260="","",ROW()-15)</f>
        <v/>
      </c>
      <c r="B4260" s="124" t="n"/>
      <c r="C4260" s="123" t="n"/>
      <c r="D4260" s="123" t="n"/>
      <c r="E4260" s="123" t="n"/>
      <c r="F4260" s="125" t="n"/>
      <c r="G4260" s="123" t="n"/>
      <c r="H4260" s="123" t="n"/>
      <c r="I4260" s="123" t="n"/>
      <c r="J4260" s="123" t="n"/>
      <c r="K4260" s="123" t="n"/>
      <c r="L4260" s="123" t="n"/>
      <c r="M4260" s="123">
        <f>IF(AND(B4260&lt;&gt;"",OR($C$4="",ISNUMBER(SEARCH($C$4,C4260&amp;" "&amp;E4260&amp;" "&amp;G4260&amp;" "&amp;H4260&amp;" "&amp;I4260&amp;" "&amp;J4260&amp;" "&amp;K4260&amp;" "&amp;L4260))),OR($C$5="Semua",$C$5="",G4260=$C$5),OR($C$6="Semua",$C$6="",H4260=$C$6,H4260="Pengeluaran "&amp;$C$6,AND($C$6="Uang Kos Mama",H4260="Pengeluaran Uang Kos")),OR($C$7="Semua",$C$7="",I4260=$C$7),OR($C$8="Semua",$C$8="",C4260=$C$8,E4260=$C$8),OR($C$9="Semua",$C$9="",D4260=$C$9),OR($C$10="",B4260&gt;=$C$10),OR($C$11="",B4260&lt;=$C$11),OR($C$12&lt;&gt;"Ya",K4260&lt;&gt;""),OR($C$13="Semua",$C$13="",L4260=$C$13)),"✓","")</f>
        <v/>
      </c>
      <c r="N4260" s="93">
        <f>N(N4259)+IF(M4260="✓",1,0)</f>
        <v/>
      </c>
      <c r="O4260" s="93">
        <f>N(O4259)+IF(AND(B4260&lt;&gt;"",B4260&gt;='Uang Riba'!$H$30,B4260&lt;='Uang Riba'!$I$30,OR(H4260="Dana riba",H4260="Pinjam uang riba",I4260="Pinjam dari uang riba",I4260="Ganti uang riba",I4260="Kelebihan ganti dikembalikan",AND(C4260="Kantong Uang Riba",G4260="Pengeluaran"))),1,0)</f>
        <v/>
      </c>
      <c r="X4260" s="93">
        <f>IF(AND(B4260&lt;&gt;"",B4260&gt;='Buku Akun'!$H$4,B4260&lt;='Buku Akun'!$H$5,OR(C4260='Buku Akun'!$C$4,AND(D4260="Pindah",E4260='Buku Akun'!$C$4))),B4260+IF(AND(I4260="Selisih bunga",DAY(B4260)=1),0,0.01)+ROW()/10000000,"")</f>
        <v/>
      </c>
    </row>
    <row r="4261" outlineLevel="1" ht="15" customHeight="1" s="94">
      <c r="A4261" s="123">
        <f>IF(B4261="","",ROW()-15)</f>
        <v/>
      </c>
      <c r="B4261" s="124" t="n"/>
      <c r="C4261" s="123" t="n"/>
      <c r="D4261" s="123" t="n"/>
      <c r="E4261" s="123" t="n"/>
      <c r="F4261" s="125" t="n"/>
      <c r="G4261" s="123" t="n"/>
      <c r="H4261" s="123" t="n"/>
      <c r="I4261" s="123" t="n"/>
      <c r="J4261" s="123" t="n"/>
      <c r="K4261" s="123" t="n"/>
      <c r="L4261" s="123" t="n"/>
      <c r="M4261" s="123">
        <f>IF(AND(B4261&lt;&gt;"",OR($C$4="",ISNUMBER(SEARCH($C$4,C4261&amp;" "&amp;E4261&amp;" "&amp;G4261&amp;" "&amp;H4261&amp;" "&amp;I4261&amp;" "&amp;J4261&amp;" "&amp;K4261&amp;" "&amp;L4261))),OR($C$5="Semua",$C$5="",G4261=$C$5),OR($C$6="Semua",$C$6="",H4261=$C$6,H4261="Pengeluaran "&amp;$C$6,AND($C$6="Uang Kos Mama",H4261="Pengeluaran Uang Kos")),OR($C$7="Semua",$C$7="",I4261=$C$7),OR($C$8="Semua",$C$8="",C4261=$C$8,E4261=$C$8),OR($C$9="Semua",$C$9="",D4261=$C$9),OR($C$10="",B4261&gt;=$C$10),OR($C$11="",B4261&lt;=$C$11),OR($C$12&lt;&gt;"Ya",K4261&lt;&gt;""),OR($C$13="Semua",$C$13="",L4261=$C$13)),"✓","")</f>
        <v/>
      </c>
      <c r="N4261" s="93">
        <f>N(N4260)+IF(M4261="✓",1,0)</f>
        <v/>
      </c>
      <c r="O4261" s="93">
        <f>N(O4260)+IF(AND(B4261&lt;&gt;"",B4261&gt;='Uang Riba'!$H$30,B4261&lt;='Uang Riba'!$I$30,OR(H4261="Dana riba",H4261="Pinjam uang riba",I4261="Pinjam dari uang riba",I4261="Ganti uang riba",I4261="Kelebihan ganti dikembalikan",AND(C4261="Kantong Uang Riba",G4261="Pengeluaran"))),1,0)</f>
        <v/>
      </c>
      <c r="X4261" s="93">
        <f>IF(AND(B4261&lt;&gt;"",B4261&gt;='Buku Akun'!$H$4,B4261&lt;='Buku Akun'!$H$5,OR(C4261='Buku Akun'!$C$4,AND(D4261="Pindah",E4261='Buku Akun'!$C$4))),B4261+IF(AND(I4261="Selisih bunga",DAY(B4261)=1),0,0.01)+ROW()/10000000,"")</f>
        <v/>
      </c>
    </row>
    <row r="4262" outlineLevel="1" ht="15" customHeight="1" s="94">
      <c r="A4262" s="123">
        <f>IF(B4262="","",ROW()-15)</f>
        <v/>
      </c>
      <c r="B4262" s="124" t="n"/>
      <c r="C4262" s="123" t="n"/>
      <c r="D4262" s="123" t="n"/>
      <c r="E4262" s="123" t="n"/>
      <c r="F4262" s="125" t="n"/>
      <c r="G4262" s="123" t="n"/>
      <c r="H4262" s="123" t="n"/>
      <c r="I4262" s="123" t="n"/>
      <c r="J4262" s="123" t="n"/>
      <c r="K4262" s="123" t="n"/>
      <c r="L4262" s="123" t="n"/>
      <c r="M4262" s="123">
        <f>IF(AND(B4262&lt;&gt;"",OR($C$4="",ISNUMBER(SEARCH($C$4,C4262&amp;" "&amp;E4262&amp;" "&amp;G4262&amp;" "&amp;H4262&amp;" "&amp;I4262&amp;" "&amp;J4262&amp;" "&amp;K4262&amp;" "&amp;L4262))),OR($C$5="Semua",$C$5="",G4262=$C$5),OR($C$6="Semua",$C$6="",H4262=$C$6,H4262="Pengeluaran "&amp;$C$6,AND($C$6="Uang Kos Mama",H4262="Pengeluaran Uang Kos")),OR($C$7="Semua",$C$7="",I4262=$C$7),OR($C$8="Semua",$C$8="",C4262=$C$8,E4262=$C$8),OR($C$9="Semua",$C$9="",D4262=$C$9),OR($C$10="",B4262&gt;=$C$10),OR($C$11="",B4262&lt;=$C$11),OR($C$12&lt;&gt;"Ya",K4262&lt;&gt;""),OR($C$13="Semua",$C$13="",L4262=$C$13)),"✓","")</f>
        <v/>
      </c>
      <c r="N4262" s="93">
        <f>N(N4261)+IF(M4262="✓",1,0)</f>
        <v/>
      </c>
      <c r="O4262" s="93">
        <f>N(O4261)+IF(AND(B4262&lt;&gt;"",B4262&gt;='Uang Riba'!$H$30,B4262&lt;='Uang Riba'!$I$30,OR(H4262="Dana riba",H4262="Pinjam uang riba",I4262="Pinjam dari uang riba",I4262="Ganti uang riba",I4262="Kelebihan ganti dikembalikan",AND(C4262="Kantong Uang Riba",G4262="Pengeluaran"))),1,0)</f>
        <v/>
      </c>
      <c r="X4262" s="93">
        <f>IF(AND(B4262&lt;&gt;"",B4262&gt;='Buku Akun'!$H$4,B4262&lt;='Buku Akun'!$H$5,OR(C4262='Buku Akun'!$C$4,AND(D4262="Pindah",E4262='Buku Akun'!$C$4))),B4262+IF(AND(I4262="Selisih bunga",DAY(B4262)=1),0,0.01)+ROW()/10000000,"")</f>
        <v/>
      </c>
    </row>
    <row r="4263" outlineLevel="1" ht="15" customHeight="1" s="94">
      <c r="A4263" s="123">
        <f>IF(B4263="","",ROW()-15)</f>
        <v/>
      </c>
      <c r="B4263" s="124" t="n"/>
      <c r="C4263" s="123" t="n"/>
      <c r="D4263" s="123" t="n"/>
      <c r="E4263" s="123" t="n"/>
      <c r="F4263" s="125" t="n"/>
      <c r="G4263" s="123" t="n"/>
      <c r="H4263" s="123" t="n"/>
      <c r="I4263" s="123" t="n"/>
      <c r="J4263" s="123" t="n"/>
      <c r="K4263" s="123" t="n"/>
      <c r="L4263" s="123" t="n"/>
      <c r="M4263" s="123">
        <f>IF(AND(B4263&lt;&gt;"",OR($C$4="",ISNUMBER(SEARCH($C$4,C4263&amp;" "&amp;E4263&amp;" "&amp;G4263&amp;" "&amp;H4263&amp;" "&amp;I4263&amp;" "&amp;J4263&amp;" "&amp;K4263&amp;" "&amp;L4263))),OR($C$5="Semua",$C$5="",G4263=$C$5),OR($C$6="Semua",$C$6="",H4263=$C$6,H4263="Pengeluaran "&amp;$C$6,AND($C$6="Uang Kos Mama",H4263="Pengeluaran Uang Kos")),OR($C$7="Semua",$C$7="",I4263=$C$7),OR($C$8="Semua",$C$8="",C4263=$C$8,E4263=$C$8),OR($C$9="Semua",$C$9="",D4263=$C$9),OR($C$10="",B4263&gt;=$C$10),OR($C$11="",B4263&lt;=$C$11),OR($C$12&lt;&gt;"Ya",K4263&lt;&gt;""),OR($C$13="Semua",$C$13="",L4263=$C$13)),"✓","")</f>
        <v/>
      </c>
      <c r="N4263" s="93">
        <f>N(N4262)+IF(M4263="✓",1,0)</f>
        <v/>
      </c>
      <c r="O4263" s="93">
        <f>N(O4262)+IF(AND(B4263&lt;&gt;"",B4263&gt;='Uang Riba'!$H$30,B4263&lt;='Uang Riba'!$I$30,OR(H4263="Dana riba",H4263="Pinjam uang riba",I4263="Pinjam dari uang riba",I4263="Ganti uang riba",I4263="Kelebihan ganti dikembalikan",AND(C4263="Kantong Uang Riba",G4263="Pengeluaran"))),1,0)</f>
        <v/>
      </c>
      <c r="X4263" s="93">
        <f>IF(AND(B4263&lt;&gt;"",B4263&gt;='Buku Akun'!$H$4,B4263&lt;='Buku Akun'!$H$5,OR(C4263='Buku Akun'!$C$4,AND(D4263="Pindah",E4263='Buku Akun'!$C$4))),B4263+IF(AND(I4263="Selisih bunga",DAY(B4263)=1),0,0.01)+ROW()/10000000,"")</f>
        <v/>
      </c>
    </row>
    <row r="4264" outlineLevel="1" ht="15" customHeight="1" s="94">
      <c r="A4264" s="123">
        <f>IF(B4264="","",ROW()-15)</f>
        <v/>
      </c>
      <c r="B4264" s="124" t="n"/>
      <c r="C4264" s="123" t="n"/>
      <c r="D4264" s="123" t="n"/>
      <c r="E4264" s="123" t="n"/>
      <c r="F4264" s="125" t="n"/>
      <c r="G4264" s="123" t="n"/>
      <c r="H4264" s="123" t="n"/>
      <c r="I4264" s="123" t="n"/>
      <c r="J4264" s="123" t="n"/>
      <c r="K4264" s="123" t="n"/>
      <c r="L4264" s="123" t="n"/>
      <c r="M4264" s="123">
        <f>IF(AND(B4264&lt;&gt;"",OR($C$4="",ISNUMBER(SEARCH($C$4,C4264&amp;" "&amp;E4264&amp;" "&amp;G4264&amp;" "&amp;H4264&amp;" "&amp;I4264&amp;" "&amp;J4264&amp;" "&amp;K4264&amp;" "&amp;L4264))),OR($C$5="Semua",$C$5="",G4264=$C$5),OR($C$6="Semua",$C$6="",H4264=$C$6,H4264="Pengeluaran "&amp;$C$6,AND($C$6="Uang Kos Mama",H4264="Pengeluaran Uang Kos")),OR($C$7="Semua",$C$7="",I4264=$C$7),OR($C$8="Semua",$C$8="",C4264=$C$8,E4264=$C$8),OR($C$9="Semua",$C$9="",D4264=$C$9),OR($C$10="",B4264&gt;=$C$10),OR($C$11="",B4264&lt;=$C$11),OR($C$12&lt;&gt;"Ya",K4264&lt;&gt;""),OR($C$13="Semua",$C$13="",L4264=$C$13)),"✓","")</f>
        <v/>
      </c>
      <c r="N4264" s="93">
        <f>N(N4263)+IF(M4264="✓",1,0)</f>
        <v/>
      </c>
      <c r="O4264" s="93">
        <f>N(O4263)+IF(AND(B4264&lt;&gt;"",B4264&gt;='Uang Riba'!$H$30,B4264&lt;='Uang Riba'!$I$30,OR(H4264="Dana riba",H4264="Pinjam uang riba",I4264="Pinjam dari uang riba",I4264="Ganti uang riba",I4264="Kelebihan ganti dikembalikan",AND(C4264="Kantong Uang Riba",G4264="Pengeluaran"))),1,0)</f>
        <v/>
      </c>
      <c r="X4264" s="93">
        <f>IF(AND(B4264&lt;&gt;"",B4264&gt;='Buku Akun'!$H$4,B4264&lt;='Buku Akun'!$H$5,OR(C4264='Buku Akun'!$C$4,AND(D4264="Pindah",E4264='Buku Akun'!$C$4))),B4264+IF(AND(I4264="Selisih bunga",DAY(B4264)=1),0,0.01)+ROW()/10000000,"")</f>
        <v/>
      </c>
    </row>
    <row r="4265" outlineLevel="1" ht="15" customHeight="1" s="94">
      <c r="A4265" s="123">
        <f>IF(B4265="","",ROW()-15)</f>
        <v/>
      </c>
      <c r="B4265" s="124" t="n"/>
      <c r="C4265" s="123" t="n"/>
      <c r="D4265" s="123" t="n"/>
      <c r="E4265" s="123" t="n"/>
      <c r="F4265" s="125" t="n"/>
      <c r="G4265" s="123" t="n"/>
      <c r="H4265" s="123" t="n"/>
      <c r="I4265" s="123" t="n"/>
      <c r="J4265" s="123" t="n"/>
      <c r="K4265" s="123" t="n"/>
      <c r="L4265" s="123" t="n"/>
      <c r="M4265" s="123">
        <f>IF(AND(B4265&lt;&gt;"",OR($C$4="",ISNUMBER(SEARCH($C$4,C4265&amp;" "&amp;E4265&amp;" "&amp;G4265&amp;" "&amp;H4265&amp;" "&amp;I4265&amp;" "&amp;J4265&amp;" "&amp;K4265&amp;" "&amp;L4265))),OR($C$5="Semua",$C$5="",G4265=$C$5),OR($C$6="Semua",$C$6="",H4265=$C$6,H4265="Pengeluaran "&amp;$C$6,AND($C$6="Uang Kos Mama",H4265="Pengeluaran Uang Kos")),OR($C$7="Semua",$C$7="",I4265=$C$7),OR($C$8="Semua",$C$8="",C4265=$C$8,E4265=$C$8),OR($C$9="Semua",$C$9="",D4265=$C$9),OR($C$10="",B4265&gt;=$C$10),OR($C$11="",B4265&lt;=$C$11),OR($C$12&lt;&gt;"Ya",K4265&lt;&gt;""),OR($C$13="Semua",$C$13="",L4265=$C$13)),"✓","")</f>
        <v/>
      </c>
      <c r="N4265" s="93">
        <f>N(N4264)+IF(M4265="✓",1,0)</f>
        <v/>
      </c>
      <c r="O4265" s="93">
        <f>N(O4264)+IF(AND(B4265&lt;&gt;"",B4265&gt;='Uang Riba'!$H$30,B4265&lt;='Uang Riba'!$I$30,OR(H4265="Dana riba",H4265="Pinjam uang riba",I4265="Pinjam dari uang riba",I4265="Ganti uang riba",I4265="Kelebihan ganti dikembalikan",AND(C4265="Kantong Uang Riba",G4265="Pengeluaran"))),1,0)</f>
        <v/>
      </c>
      <c r="X4265" s="93">
        <f>IF(AND(B4265&lt;&gt;"",B4265&gt;='Buku Akun'!$H$4,B4265&lt;='Buku Akun'!$H$5,OR(C4265='Buku Akun'!$C$4,AND(D4265="Pindah",E4265='Buku Akun'!$C$4))),B4265+IF(AND(I4265="Selisih bunga",DAY(B4265)=1),0,0.01)+ROW()/10000000,"")</f>
        <v/>
      </c>
    </row>
    <row r="4266" outlineLevel="1" ht="15" customHeight="1" s="94">
      <c r="A4266" s="123">
        <f>IF(B4266="","",ROW()-15)</f>
        <v/>
      </c>
      <c r="B4266" s="124" t="n"/>
      <c r="C4266" s="123" t="n"/>
      <c r="D4266" s="123" t="n"/>
      <c r="E4266" s="123" t="n"/>
      <c r="F4266" s="125" t="n"/>
      <c r="G4266" s="123" t="n"/>
      <c r="H4266" s="123" t="n"/>
      <c r="I4266" s="123" t="n"/>
      <c r="J4266" s="123" t="n"/>
      <c r="K4266" s="123" t="n"/>
      <c r="L4266" s="123" t="n"/>
      <c r="M4266" s="123">
        <f>IF(AND(B4266&lt;&gt;"",OR($C$4="",ISNUMBER(SEARCH($C$4,C4266&amp;" "&amp;E4266&amp;" "&amp;G4266&amp;" "&amp;H4266&amp;" "&amp;I4266&amp;" "&amp;J4266&amp;" "&amp;K4266&amp;" "&amp;L4266))),OR($C$5="Semua",$C$5="",G4266=$C$5),OR($C$6="Semua",$C$6="",H4266=$C$6,H4266="Pengeluaran "&amp;$C$6,AND($C$6="Uang Kos Mama",H4266="Pengeluaran Uang Kos")),OR($C$7="Semua",$C$7="",I4266=$C$7),OR($C$8="Semua",$C$8="",C4266=$C$8,E4266=$C$8),OR($C$9="Semua",$C$9="",D4266=$C$9),OR($C$10="",B4266&gt;=$C$10),OR($C$11="",B4266&lt;=$C$11),OR($C$12&lt;&gt;"Ya",K4266&lt;&gt;""),OR($C$13="Semua",$C$13="",L4266=$C$13)),"✓","")</f>
        <v/>
      </c>
      <c r="N4266" s="93">
        <f>N(N4265)+IF(M4266="✓",1,0)</f>
        <v/>
      </c>
      <c r="O4266" s="93">
        <f>N(O4265)+IF(AND(B4266&lt;&gt;"",B4266&gt;='Uang Riba'!$H$30,B4266&lt;='Uang Riba'!$I$30,OR(H4266="Dana riba",H4266="Pinjam uang riba",I4266="Pinjam dari uang riba",I4266="Ganti uang riba",I4266="Kelebihan ganti dikembalikan",AND(C4266="Kantong Uang Riba",G4266="Pengeluaran"))),1,0)</f>
        <v/>
      </c>
      <c r="X4266" s="93">
        <f>IF(AND(B4266&lt;&gt;"",B4266&gt;='Buku Akun'!$H$4,B4266&lt;='Buku Akun'!$H$5,OR(C4266='Buku Akun'!$C$4,AND(D4266="Pindah",E4266='Buku Akun'!$C$4))),B4266+IF(AND(I4266="Selisih bunga",DAY(B4266)=1),0,0.01)+ROW()/10000000,"")</f>
        <v/>
      </c>
    </row>
    <row r="4267" outlineLevel="1" ht="15" customHeight="1" s="94">
      <c r="A4267" s="123">
        <f>IF(B4267="","",ROW()-15)</f>
        <v/>
      </c>
      <c r="B4267" s="124" t="n"/>
      <c r="C4267" s="123" t="n"/>
      <c r="D4267" s="123" t="n"/>
      <c r="E4267" s="123" t="n"/>
      <c r="F4267" s="125" t="n"/>
      <c r="G4267" s="123" t="n"/>
      <c r="H4267" s="123" t="n"/>
      <c r="I4267" s="123" t="n"/>
      <c r="J4267" s="123" t="n"/>
      <c r="K4267" s="123" t="n"/>
      <c r="L4267" s="123" t="n"/>
      <c r="M4267" s="123">
        <f>IF(AND(B4267&lt;&gt;"",OR($C$4="",ISNUMBER(SEARCH($C$4,C4267&amp;" "&amp;E4267&amp;" "&amp;G4267&amp;" "&amp;H4267&amp;" "&amp;I4267&amp;" "&amp;J4267&amp;" "&amp;K4267&amp;" "&amp;L4267))),OR($C$5="Semua",$C$5="",G4267=$C$5),OR($C$6="Semua",$C$6="",H4267=$C$6,H4267="Pengeluaran "&amp;$C$6,AND($C$6="Uang Kos Mama",H4267="Pengeluaran Uang Kos")),OR($C$7="Semua",$C$7="",I4267=$C$7),OR($C$8="Semua",$C$8="",C4267=$C$8,E4267=$C$8),OR($C$9="Semua",$C$9="",D4267=$C$9),OR($C$10="",B4267&gt;=$C$10),OR($C$11="",B4267&lt;=$C$11),OR($C$12&lt;&gt;"Ya",K4267&lt;&gt;""),OR($C$13="Semua",$C$13="",L4267=$C$13)),"✓","")</f>
        <v/>
      </c>
      <c r="N4267" s="93">
        <f>N(N4266)+IF(M4267="✓",1,0)</f>
        <v/>
      </c>
      <c r="O4267" s="93">
        <f>N(O4266)+IF(AND(B4267&lt;&gt;"",B4267&gt;='Uang Riba'!$H$30,B4267&lt;='Uang Riba'!$I$30,OR(H4267="Dana riba",H4267="Pinjam uang riba",I4267="Pinjam dari uang riba",I4267="Ganti uang riba",I4267="Kelebihan ganti dikembalikan",AND(C4267="Kantong Uang Riba",G4267="Pengeluaran"))),1,0)</f>
        <v/>
      </c>
      <c r="X4267" s="93">
        <f>IF(AND(B4267&lt;&gt;"",B4267&gt;='Buku Akun'!$H$4,B4267&lt;='Buku Akun'!$H$5,OR(C4267='Buku Akun'!$C$4,AND(D4267="Pindah",E4267='Buku Akun'!$C$4))),B4267+IF(AND(I4267="Selisih bunga",DAY(B4267)=1),0,0.01)+ROW()/10000000,"")</f>
        <v/>
      </c>
    </row>
    <row r="4268" outlineLevel="1" ht="15" customHeight="1" s="94">
      <c r="A4268" s="123">
        <f>IF(B4268="","",ROW()-15)</f>
        <v/>
      </c>
      <c r="B4268" s="124" t="n"/>
      <c r="C4268" s="123" t="n"/>
      <c r="D4268" s="123" t="n"/>
      <c r="E4268" s="123" t="n"/>
      <c r="F4268" s="125" t="n"/>
      <c r="G4268" s="123" t="n"/>
      <c r="H4268" s="123" t="n"/>
      <c r="I4268" s="123" t="n"/>
      <c r="J4268" s="123" t="n"/>
      <c r="K4268" s="123" t="n"/>
      <c r="L4268" s="123" t="n"/>
      <c r="M4268" s="123">
        <f>IF(AND(B4268&lt;&gt;"",OR($C$4="",ISNUMBER(SEARCH($C$4,C4268&amp;" "&amp;E4268&amp;" "&amp;G4268&amp;" "&amp;H4268&amp;" "&amp;I4268&amp;" "&amp;J4268&amp;" "&amp;K4268&amp;" "&amp;L4268))),OR($C$5="Semua",$C$5="",G4268=$C$5),OR($C$6="Semua",$C$6="",H4268=$C$6,H4268="Pengeluaran "&amp;$C$6,AND($C$6="Uang Kos Mama",H4268="Pengeluaran Uang Kos")),OR($C$7="Semua",$C$7="",I4268=$C$7),OR($C$8="Semua",$C$8="",C4268=$C$8,E4268=$C$8),OR($C$9="Semua",$C$9="",D4268=$C$9),OR($C$10="",B4268&gt;=$C$10),OR($C$11="",B4268&lt;=$C$11),OR($C$12&lt;&gt;"Ya",K4268&lt;&gt;""),OR($C$13="Semua",$C$13="",L4268=$C$13)),"✓","")</f>
        <v/>
      </c>
      <c r="N4268" s="93">
        <f>N(N4267)+IF(M4268="✓",1,0)</f>
        <v/>
      </c>
      <c r="O4268" s="93">
        <f>N(O4267)+IF(AND(B4268&lt;&gt;"",B4268&gt;='Uang Riba'!$H$30,B4268&lt;='Uang Riba'!$I$30,OR(H4268="Dana riba",H4268="Pinjam uang riba",I4268="Pinjam dari uang riba",I4268="Ganti uang riba",I4268="Kelebihan ganti dikembalikan",AND(C4268="Kantong Uang Riba",G4268="Pengeluaran"))),1,0)</f>
        <v/>
      </c>
      <c r="X4268" s="93">
        <f>IF(AND(B4268&lt;&gt;"",B4268&gt;='Buku Akun'!$H$4,B4268&lt;='Buku Akun'!$H$5,OR(C4268='Buku Akun'!$C$4,AND(D4268="Pindah",E4268='Buku Akun'!$C$4))),B4268+IF(AND(I4268="Selisih bunga",DAY(B4268)=1),0,0.01)+ROW()/10000000,"")</f>
        <v/>
      </c>
    </row>
    <row r="4269" outlineLevel="1" ht="15" customHeight="1" s="94">
      <c r="A4269" s="123">
        <f>IF(B4269="","",ROW()-15)</f>
        <v/>
      </c>
      <c r="B4269" s="124" t="n"/>
      <c r="C4269" s="123" t="n"/>
      <c r="D4269" s="123" t="n"/>
      <c r="E4269" s="123" t="n"/>
      <c r="F4269" s="125" t="n"/>
      <c r="G4269" s="123" t="n"/>
      <c r="H4269" s="123" t="n"/>
      <c r="I4269" s="123" t="n"/>
      <c r="J4269" s="123" t="n"/>
      <c r="K4269" s="123" t="n"/>
      <c r="L4269" s="123" t="n"/>
      <c r="M4269" s="123">
        <f>IF(AND(B4269&lt;&gt;"",OR($C$4="",ISNUMBER(SEARCH($C$4,C4269&amp;" "&amp;E4269&amp;" "&amp;G4269&amp;" "&amp;H4269&amp;" "&amp;I4269&amp;" "&amp;J4269&amp;" "&amp;K4269&amp;" "&amp;L4269))),OR($C$5="Semua",$C$5="",G4269=$C$5),OR($C$6="Semua",$C$6="",H4269=$C$6,H4269="Pengeluaran "&amp;$C$6,AND($C$6="Uang Kos Mama",H4269="Pengeluaran Uang Kos")),OR($C$7="Semua",$C$7="",I4269=$C$7),OR($C$8="Semua",$C$8="",C4269=$C$8,E4269=$C$8),OR($C$9="Semua",$C$9="",D4269=$C$9),OR($C$10="",B4269&gt;=$C$10),OR($C$11="",B4269&lt;=$C$11),OR($C$12&lt;&gt;"Ya",K4269&lt;&gt;""),OR($C$13="Semua",$C$13="",L4269=$C$13)),"✓","")</f>
        <v/>
      </c>
      <c r="N4269" s="93">
        <f>N(N4268)+IF(M4269="✓",1,0)</f>
        <v/>
      </c>
      <c r="O4269" s="93">
        <f>N(O4268)+IF(AND(B4269&lt;&gt;"",B4269&gt;='Uang Riba'!$H$30,B4269&lt;='Uang Riba'!$I$30,OR(H4269="Dana riba",H4269="Pinjam uang riba",I4269="Pinjam dari uang riba",I4269="Ganti uang riba",I4269="Kelebihan ganti dikembalikan",AND(C4269="Kantong Uang Riba",G4269="Pengeluaran"))),1,0)</f>
        <v/>
      </c>
      <c r="X4269" s="93">
        <f>IF(AND(B4269&lt;&gt;"",B4269&gt;='Buku Akun'!$H$4,B4269&lt;='Buku Akun'!$H$5,OR(C4269='Buku Akun'!$C$4,AND(D4269="Pindah",E4269='Buku Akun'!$C$4))),B4269+IF(AND(I4269="Selisih bunga",DAY(B4269)=1),0,0.01)+ROW()/10000000,"")</f>
        <v/>
      </c>
    </row>
    <row r="4270" outlineLevel="1" ht="15" customHeight="1" s="94">
      <c r="A4270" s="123">
        <f>IF(B4270="","",ROW()-15)</f>
        <v/>
      </c>
      <c r="B4270" s="124" t="n"/>
      <c r="C4270" s="123" t="n"/>
      <c r="D4270" s="123" t="n"/>
      <c r="E4270" s="123" t="n"/>
      <c r="F4270" s="125" t="n"/>
      <c r="G4270" s="123" t="n"/>
      <c r="H4270" s="123" t="n"/>
      <c r="I4270" s="123" t="n"/>
      <c r="J4270" s="123" t="n"/>
      <c r="K4270" s="123" t="n"/>
      <c r="L4270" s="123" t="n"/>
      <c r="M4270" s="123">
        <f>IF(AND(B4270&lt;&gt;"",OR($C$4="",ISNUMBER(SEARCH($C$4,C4270&amp;" "&amp;E4270&amp;" "&amp;G4270&amp;" "&amp;H4270&amp;" "&amp;I4270&amp;" "&amp;J4270&amp;" "&amp;K4270&amp;" "&amp;L4270))),OR($C$5="Semua",$C$5="",G4270=$C$5),OR($C$6="Semua",$C$6="",H4270=$C$6,H4270="Pengeluaran "&amp;$C$6,AND($C$6="Uang Kos Mama",H4270="Pengeluaran Uang Kos")),OR($C$7="Semua",$C$7="",I4270=$C$7),OR($C$8="Semua",$C$8="",C4270=$C$8,E4270=$C$8),OR($C$9="Semua",$C$9="",D4270=$C$9),OR($C$10="",B4270&gt;=$C$10),OR($C$11="",B4270&lt;=$C$11),OR($C$12&lt;&gt;"Ya",K4270&lt;&gt;""),OR($C$13="Semua",$C$13="",L4270=$C$13)),"✓","")</f>
        <v/>
      </c>
      <c r="N4270" s="93">
        <f>N(N4269)+IF(M4270="✓",1,0)</f>
        <v/>
      </c>
      <c r="O4270" s="93">
        <f>N(O4269)+IF(AND(B4270&lt;&gt;"",B4270&gt;='Uang Riba'!$H$30,B4270&lt;='Uang Riba'!$I$30,OR(H4270="Dana riba",H4270="Pinjam uang riba",I4270="Pinjam dari uang riba",I4270="Ganti uang riba",I4270="Kelebihan ganti dikembalikan",AND(C4270="Kantong Uang Riba",G4270="Pengeluaran"))),1,0)</f>
        <v/>
      </c>
      <c r="X4270" s="93">
        <f>IF(AND(B4270&lt;&gt;"",B4270&gt;='Buku Akun'!$H$4,B4270&lt;='Buku Akun'!$H$5,OR(C4270='Buku Akun'!$C$4,AND(D4270="Pindah",E4270='Buku Akun'!$C$4))),B4270+IF(AND(I4270="Selisih bunga",DAY(B4270)=1),0,0.01)+ROW()/10000000,"")</f>
        <v/>
      </c>
    </row>
    <row r="4271" outlineLevel="1" ht="15" customHeight="1" s="94">
      <c r="A4271" s="123">
        <f>IF(B4271="","",ROW()-15)</f>
        <v/>
      </c>
      <c r="B4271" s="124" t="n"/>
      <c r="C4271" s="123" t="n"/>
      <c r="D4271" s="123" t="n"/>
      <c r="E4271" s="123" t="n"/>
      <c r="F4271" s="125" t="n"/>
      <c r="G4271" s="123" t="n"/>
      <c r="H4271" s="123" t="n"/>
      <c r="I4271" s="123" t="n"/>
      <c r="J4271" s="123" t="n"/>
      <c r="K4271" s="123" t="n"/>
      <c r="L4271" s="123" t="n"/>
      <c r="M4271" s="123">
        <f>IF(AND(B4271&lt;&gt;"",OR($C$4="",ISNUMBER(SEARCH($C$4,C4271&amp;" "&amp;E4271&amp;" "&amp;G4271&amp;" "&amp;H4271&amp;" "&amp;I4271&amp;" "&amp;J4271&amp;" "&amp;K4271&amp;" "&amp;L4271))),OR($C$5="Semua",$C$5="",G4271=$C$5),OR($C$6="Semua",$C$6="",H4271=$C$6,H4271="Pengeluaran "&amp;$C$6,AND($C$6="Uang Kos Mama",H4271="Pengeluaran Uang Kos")),OR($C$7="Semua",$C$7="",I4271=$C$7),OR($C$8="Semua",$C$8="",C4271=$C$8,E4271=$C$8),OR($C$9="Semua",$C$9="",D4271=$C$9),OR($C$10="",B4271&gt;=$C$10),OR($C$11="",B4271&lt;=$C$11),OR($C$12&lt;&gt;"Ya",K4271&lt;&gt;""),OR($C$13="Semua",$C$13="",L4271=$C$13)),"✓","")</f>
        <v/>
      </c>
      <c r="N4271" s="93">
        <f>N(N4270)+IF(M4271="✓",1,0)</f>
        <v/>
      </c>
      <c r="O4271" s="93">
        <f>N(O4270)+IF(AND(B4271&lt;&gt;"",B4271&gt;='Uang Riba'!$H$30,B4271&lt;='Uang Riba'!$I$30,OR(H4271="Dana riba",H4271="Pinjam uang riba",I4271="Pinjam dari uang riba",I4271="Ganti uang riba",I4271="Kelebihan ganti dikembalikan",AND(C4271="Kantong Uang Riba",G4271="Pengeluaran"))),1,0)</f>
        <v/>
      </c>
      <c r="X4271" s="93">
        <f>IF(AND(B4271&lt;&gt;"",B4271&gt;='Buku Akun'!$H$4,B4271&lt;='Buku Akun'!$H$5,OR(C4271='Buku Akun'!$C$4,AND(D4271="Pindah",E4271='Buku Akun'!$C$4))),B4271+IF(AND(I4271="Selisih bunga",DAY(B4271)=1),0,0.01)+ROW()/10000000,"")</f>
        <v/>
      </c>
    </row>
    <row r="4272" outlineLevel="1" ht="15" customHeight="1" s="94">
      <c r="A4272" s="123">
        <f>IF(B4272="","",ROW()-15)</f>
        <v/>
      </c>
      <c r="B4272" s="124" t="n"/>
      <c r="C4272" s="123" t="n"/>
      <c r="D4272" s="123" t="n"/>
      <c r="E4272" s="123" t="n"/>
      <c r="F4272" s="125" t="n"/>
      <c r="G4272" s="123" t="n"/>
      <c r="H4272" s="123" t="n"/>
      <c r="I4272" s="123" t="n"/>
      <c r="J4272" s="123" t="n"/>
      <c r="K4272" s="123" t="n"/>
      <c r="L4272" s="123" t="n"/>
      <c r="M4272" s="123">
        <f>IF(AND(B4272&lt;&gt;"",OR($C$4="",ISNUMBER(SEARCH($C$4,C4272&amp;" "&amp;E4272&amp;" "&amp;G4272&amp;" "&amp;H4272&amp;" "&amp;I4272&amp;" "&amp;J4272&amp;" "&amp;K4272&amp;" "&amp;L4272))),OR($C$5="Semua",$C$5="",G4272=$C$5),OR($C$6="Semua",$C$6="",H4272=$C$6,H4272="Pengeluaran "&amp;$C$6,AND($C$6="Uang Kos Mama",H4272="Pengeluaran Uang Kos")),OR($C$7="Semua",$C$7="",I4272=$C$7),OR($C$8="Semua",$C$8="",C4272=$C$8,E4272=$C$8),OR($C$9="Semua",$C$9="",D4272=$C$9),OR($C$10="",B4272&gt;=$C$10),OR($C$11="",B4272&lt;=$C$11),OR($C$12&lt;&gt;"Ya",K4272&lt;&gt;""),OR($C$13="Semua",$C$13="",L4272=$C$13)),"✓","")</f>
        <v/>
      </c>
      <c r="N4272" s="93">
        <f>N(N4271)+IF(M4272="✓",1,0)</f>
        <v/>
      </c>
      <c r="O4272" s="93">
        <f>N(O4271)+IF(AND(B4272&lt;&gt;"",B4272&gt;='Uang Riba'!$H$30,B4272&lt;='Uang Riba'!$I$30,OR(H4272="Dana riba",H4272="Pinjam uang riba",I4272="Pinjam dari uang riba",I4272="Ganti uang riba",I4272="Kelebihan ganti dikembalikan",AND(C4272="Kantong Uang Riba",G4272="Pengeluaran"))),1,0)</f>
        <v/>
      </c>
      <c r="X4272" s="93">
        <f>IF(AND(B4272&lt;&gt;"",B4272&gt;='Buku Akun'!$H$4,B4272&lt;='Buku Akun'!$H$5,OR(C4272='Buku Akun'!$C$4,AND(D4272="Pindah",E4272='Buku Akun'!$C$4))),B4272+IF(AND(I4272="Selisih bunga",DAY(B4272)=1),0,0.01)+ROW()/10000000,"")</f>
        <v/>
      </c>
    </row>
    <row r="4273" outlineLevel="1" ht="15" customHeight="1" s="94">
      <c r="A4273" s="123">
        <f>IF(B4273="","",ROW()-15)</f>
        <v/>
      </c>
      <c r="B4273" s="124" t="n"/>
      <c r="C4273" s="123" t="n"/>
      <c r="D4273" s="123" t="n"/>
      <c r="E4273" s="123" t="n"/>
      <c r="F4273" s="125" t="n"/>
      <c r="G4273" s="123" t="n"/>
      <c r="H4273" s="123" t="n"/>
      <c r="I4273" s="123" t="n"/>
      <c r="J4273" s="123" t="n"/>
      <c r="K4273" s="123" t="n"/>
      <c r="L4273" s="123" t="n"/>
      <c r="M4273" s="123">
        <f>IF(AND(B4273&lt;&gt;"",OR($C$4="",ISNUMBER(SEARCH($C$4,C4273&amp;" "&amp;E4273&amp;" "&amp;G4273&amp;" "&amp;H4273&amp;" "&amp;I4273&amp;" "&amp;J4273&amp;" "&amp;K4273&amp;" "&amp;L4273))),OR($C$5="Semua",$C$5="",G4273=$C$5),OR($C$6="Semua",$C$6="",H4273=$C$6,H4273="Pengeluaran "&amp;$C$6,AND($C$6="Uang Kos Mama",H4273="Pengeluaran Uang Kos")),OR($C$7="Semua",$C$7="",I4273=$C$7),OR($C$8="Semua",$C$8="",C4273=$C$8,E4273=$C$8),OR($C$9="Semua",$C$9="",D4273=$C$9),OR($C$10="",B4273&gt;=$C$10),OR($C$11="",B4273&lt;=$C$11),OR($C$12&lt;&gt;"Ya",K4273&lt;&gt;""),OR($C$13="Semua",$C$13="",L4273=$C$13)),"✓","")</f>
        <v/>
      </c>
      <c r="N4273" s="93">
        <f>N(N4272)+IF(M4273="✓",1,0)</f>
        <v/>
      </c>
      <c r="O4273" s="93">
        <f>N(O4272)+IF(AND(B4273&lt;&gt;"",B4273&gt;='Uang Riba'!$H$30,B4273&lt;='Uang Riba'!$I$30,OR(H4273="Dana riba",H4273="Pinjam uang riba",I4273="Pinjam dari uang riba",I4273="Ganti uang riba",I4273="Kelebihan ganti dikembalikan",AND(C4273="Kantong Uang Riba",G4273="Pengeluaran"))),1,0)</f>
        <v/>
      </c>
      <c r="X4273" s="93">
        <f>IF(AND(B4273&lt;&gt;"",B4273&gt;='Buku Akun'!$H$4,B4273&lt;='Buku Akun'!$H$5,OR(C4273='Buku Akun'!$C$4,AND(D4273="Pindah",E4273='Buku Akun'!$C$4))),B4273+IF(AND(I4273="Selisih bunga",DAY(B4273)=1),0,0.01)+ROW()/10000000,"")</f>
        <v/>
      </c>
    </row>
    <row r="4274" outlineLevel="1" ht="15" customHeight="1" s="94">
      <c r="A4274" s="123">
        <f>IF(B4274="","",ROW()-15)</f>
        <v/>
      </c>
      <c r="B4274" s="124" t="n"/>
      <c r="C4274" s="123" t="n"/>
      <c r="D4274" s="123" t="n"/>
      <c r="E4274" s="123" t="n"/>
      <c r="F4274" s="125" t="n"/>
      <c r="G4274" s="123" t="n"/>
      <c r="H4274" s="123" t="n"/>
      <c r="I4274" s="123" t="n"/>
      <c r="J4274" s="123" t="n"/>
      <c r="K4274" s="123" t="n"/>
      <c r="L4274" s="123" t="n"/>
      <c r="M4274" s="123">
        <f>IF(AND(B4274&lt;&gt;"",OR($C$4="",ISNUMBER(SEARCH($C$4,C4274&amp;" "&amp;E4274&amp;" "&amp;G4274&amp;" "&amp;H4274&amp;" "&amp;I4274&amp;" "&amp;J4274&amp;" "&amp;K4274&amp;" "&amp;L4274))),OR($C$5="Semua",$C$5="",G4274=$C$5),OR($C$6="Semua",$C$6="",H4274=$C$6,H4274="Pengeluaran "&amp;$C$6,AND($C$6="Uang Kos Mama",H4274="Pengeluaran Uang Kos")),OR($C$7="Semua",$C$7="",I4274=$C$7),OR($C$8="Semua",$C$8="",C4274=$C$8,E4274=$C$8),OR($C$9="Semua",$C$9="",D4274=$C$9),OR($C$10="",B4274&gt;=$C$10),OR($C$11="",B4274&lt;=$C$11),OR($C$12&lt;&gt;"Ya",K4274&lt;&gt;""),OR($C$13="Semua",$C$13="",L4274=$C$13)),"✓","")</f>
        <v/>
      </c>
      <c r="N4274" s="93">
        <f>N(N4273)+IF(M4274="✓",1,0)</f>
        <v/>
      </c>
      <c r="O4274" s="93">
        <f>N(O4273)+IF(AND(B4274&lt;&gt;"",B4274&gt;='Uang Riba'!$H$30,B4274&lt;='Uang Riba'!$I$30,OR(H4274="Dana riba",H4274="Pinjam uang riba",I4274="Pinjam dari uang riba",I4274="Ganti uang riba",I4274="Kelebihan ganti dikembalikan",AND(C4274="Kantong Uang Riba",G4274="Pengeluaran"))),1,0)</f>
        <v/>
      </c>
      <c r="X4274" s="93">
        <f>IF(AND(B4274&lt;&gt;"",B4274&gt;='Buku Akun'!$H$4,B4274&lt;='Buku Akun'!$H$5,OR(C4274='Buku Akun'!$C$4,AND(D4274="Pindah",E4274='Buku Akun'!$C$4))),B4274+IF(AND(I4274="Selisih bunga",DAY(B4274)=1),0,0.01)+ROW()/10000000,"")</f>
        <v/>
      </c>
    </row>
    <row r="4275" outlineLevel="1" ht="15" customHeight="1" s="94">
      <c r="A4275" s="123">
        <f>IF(B4275="","",ROW()-15)</f>
        <v/>
      </c>
      <c r="B4275" s="124" t="n"/>
      <c r="C4275" s="123" t="n"/>
      <c r="D4275" s="123" t="n"/>
      <c r="E4275" s="123" t="n"/>
      <c r="F4275" s="125" t="n"/>
      <c r="G4275" s="123" t="n"/>
      <c r="H4275" s="123" t="n"/>
      <c r="I4275" s="123" t="n"/>
      <c r="J4275" s="123" t="n"/>
      <c r="K4275" s="123" t="n"/>
      <c r="L4275" s="123" t="n"/>
      <c r="M4275" s="123">
        <f>IF(AND(B4275&lt;&gt;"",OR($C$4="",ISNUMBER(SEARCH($C$4,C4275&amp;" "&amp;E4275&amp;" "&amp;G4275&amp;" "&amp;H4275&amp;" "&amp;I4275&amp;" "&amp;J4275&amp;" "&amp;K4275&amp;" "&amp;L4275))),OR($C$5="Semua",$C$5="",G4275=$C$5),OR($C$6="Semua",$C$6="",H4275=$C$6,H4275="Pengeluaran "&amp;$C$6,AND($C$6="Uang Kos Mama",H4275="Pengeluaran Uang Kos")),OR($C$7="Semua",$C$7="",I4275=$C$7),OR($C$8="Semua",$C$8="",C4275=$C$8,E4275=$C$8),OR($C$9="Semua",$C$9="",D4275=$C$9),OR($C$10="",B4275&gt;=$C$10),OR($C$11="",B4275&lt;=$C$11),OR($C$12&lt;&gt;"Ya",K4275&lt;&gt;""),OR($C$13="Semua",$C$13="",L4275=$C$13)),"✓","")</f>
        <v/>
      </c>
      <c r="N4275" s="93">
        <f>N(N4274)+IF(M4275="✓",1,0)</f>
        <v/>
      </c>
      <c r="O4275" s="93">
        <f>N(O4274)+IF(AND(B4275&lt;&gt;"",B4275&gt;='Uang Riba'!$H$30,B4275&lt;='Uang Riba'!$I$30,OR(H4275="Dana riba",H4275="Pinjam uang riba",I4275="Pinjam dari uang riba",I4275="Ganti uang riba",I4275="Kelebihan ganti dikembalikan",AND(C4275="Kantong Uang Riba",G4275="Pengeluaran"))),1,0)</f>
        <v/>
      </c>
      <c r="X4275" s="93">
        <f>IF(AND(B4275&lt;&gt;"",B4275&gt;='Buku Akun'!$H$4,B4275&lt;='Buku Akun'!$H$5,OR(C4275='Buku Akun'!$C$4,AND(D4275="Pindah",E4275='Buku Akun'!$C$4))),B4275+IF(AND(I4275="Selisih bunga",DAY(B4275)=1),0,0.01)+ROW()/10000000,"")</f>
        <v/>
      </c>
    </row>
    <row r="4276" outlineLevel="1" ht="15" customHeight="1" s="94">
      <c r="A4276" s="123">
        <f>IF(B4276="","",ROW()-15)</f>
        <v/>
      </c>
      <c r="B4276" s="124" t="n"/>
      <c r="C4276" s="123" t="n"/>
      <c r="D4276" s="123" t="n"/>
      <c r="E4276" s="123" t="n"/>
      <c r="F4276" s="125" t="n"/>
      <c r="G4276" s="123" t="n"/>
      <c r="H4276" s="123" t="n"/>
      <c r="I4276" s="123" t="n"/>
      <c r="J4276" s="123" t="n"/>
      <c r="K4276" s="123" t="n"/>
      <c r="L4276" s="123" t="n"/>
      <c r="M4276" s="123">
        <f>IF(AND(B4276&lt;&gt;"",OR($C$4="",ISNUMBER(SEARCH($C$4,C4276&amp;" "&amp;E4276&amp;" "&amp;G4276&amp;" "&amp;H4276&amp;" "&amp;I4276&amp;" "&amp;J4276&amp;" "&amp;K4276&amp;" "&amp;L4276))),OR($C$5="Semua",$C$5="",G4276=$C$5),OR($C$6="Semua",$C$6="",H4276=$C$6,H4276="Pengeluaran "&amp;$C$6,AND($C$6="Uang Kos Mama",H4276="Pengeluaran Uang Kos")),OR($C$7="Semua",$C$7="",I4276=$C$7),OR($C$8="Semua",$C$8="",C4276=$C$8,E4276=$C$8),OR($C$9="Semua",$C$9="",D4276=$C$9),OR($C$10="",B4276&gt;=$C$10),OR($C$11="",B4276&lt;=$C$11),OR($C$12&lt;&gt;"Ya",K4276&lt;&gt;""),OR($C$13="Semua",$C$13="",L4276=$C$13)),"✓","")</f>
        <v/>
      </c>
      <c r="N4276" s="93">
        <f>N(N4275)+IF(M4276="✓",1,0)</f>
        <v/>
      </c>
      <c r="O4276" s="93">
        <f>N(O4275)+IF(AND(B4276&lt;&gt;"",B4276&gt;='Uang Riba'!$H$30,B4276&lt;='Uang Riba'!$I$30,OR(H4276="Dana riba",H4276="Pinjam uang riba",I4276="Pinjam dari uang riba",I4276="Ganti uang riba",I4276="Kelebihan ganti dikembalikan",AND(C4276="Kantong Uang Riba",G4276="Pengeluaran"))),1,0)</f>
        <v/>
      </c>
      <c r="X4276" s="93">
        <f>IF(AND(B4276&lt;&gt;"",B4276&gt;='Buku Akun'!$H$4,B4276&lt;='Buku Akun'!$H$5,OR(C4276='Buku Akun'!$C$4,AND(D4276="Pindah",E4276='Buku Akun'!$C$4))),B4276+IF(AND(I4276="Selisih bunga",DAY(B4276)=1),0,0.01)+ROW()/10000000,"")</f>
        <v/>
      </c>
    </row>
    <row r="4277" outlineLevel="1" ht="15" customHeight="1" s="94">
      <c r="A4277" s="123">
        <f>IF(B4277="","",ROW()-15)</f>
        <v/>
      </c>
      <c r="B4277" s="124" t="n"/>
      <c r="C4277" s="123" t="n"/>
      <c r="D4277" s="123" t="n"/>
      <c r="E4277" s="123" t="n"/>
      <c r="F4277" s="125" t="n"/>
      <c r="G4277" s="123" t="n"/>
      <c r="H4277" s="123" t="n"/>
      <c r="I4277" s="123" t="n"/>
      <c r="J4277" s="123" t="n"/>
      <c r="K4277" s="123" t="n"/>
      <c r="L4277" s="123" t="n"/>
      <c r="M4277" s="123">
        <f>IF(AND(B4277&lt;&gt;"",OR($C$4="",ISNUMBER(SEARCH($C$4,C4277&amp;" "&amp;E4277&amp;" "&amp;G4277&amp;" "&amp;H4277&amp;" "&amp;I4277&amp;" "&amp;J4277&amp;" "&amp;K4277&amp;" "&amp;L4277))),OR($C$5="Semua",$C$5="",G4277=$C$5),OR($C$6="Semua",$C$6="",H4277=$C$6,H4277="Pengeluaran "&amp;$C$6,AND($C$6="Uang Kos Mama",H4277="Pengeluaran Uang Kos")),OR($C$7="Semua",$C$7="",I4277=$C$7),OR($C$8="Semua",$C$8="",C4277=$C$8,E4277=$C$8),OR($C$9="Semua",$C$9="",D4277=$C$9),OR($C$10="",B4277&gt;=$C$10),OR($C$11="",B4277&lt;=$C$11),OR($C$12&lt;&gt;"Ya",K4277&lt;&gt;""),OR($C$13="Semua",$C$13="",L4277=$C$13)),"✓","")</f>
        <v/>
      </c>
      <c r="N4277" s="93">
        <f>N(N4276)+IF(M4277="✓",1,0)</f>
        <v/>
      </c>
      <c r="O4277" s="93">
        <f>N(O4276)+IF(AND(B4277&lt;&gt;"",B4277&gt;='Uang Riba'!$H$30,B4277&lt;='Uang Riba'!$I$30,OR(H4277="Dana riba",H4277="Pinjam uang riba",I4277="Pinjam dari uang riba",I4277="Ganti uang riba",I4277="Kelebihan ganti dikembalikan",AND(C4277="Kantong Uang Riba",G4277="Pengeluaran"))),1,0)</f>
        <v/>
      </c>
      <c r="X4277" s="93">
        <f>IF(AND(B4277&lt;&gt;"",B4277&gt;='Buku Akun'!$H$4,B4277&lt;='Buku Akun'!$H$5,OR(C4277='Buku Akun'!$C$4,AND(D4277="Pindah",E4277='Buku Akun'!$C$4))),B4277+IF(AND(I4277="Selisih bunga",DAY(B4277)=1),0,0.01)+ROW()/10000000,"")</f>
        <v/>
      </c>
    </row>
    <row r="4278" outlineLevel="1" ht="15" customHeight="1" s="94">
      <c r="A4278" s="123">
        <f>IF(B4278="","",ROW()-15)</f>
        <v/>
      </c>
      <c r="B4278" s="124" t="n"/>
      <c r="C4278" s="123" t="n"/>
      <c r="D4278" s="123" t="n"/>
      <c r="E4278" s="123" t="n"/>
      <c r="F4278" s="125" t="n"/>
      <c r="G4278" s="123" t="n"/>
      <c r="H4278" s="123" t="n"/>
      <c r="I4278" s="123" t="n"/>
      <c r="J4278" s="123" t="n"/>
      <c r="K4278" s="123" t="n"/>
      <c r="L4278" s="123" t="n"/>
      <c r="M4278" s="123">
        <f>IF(AND(B4278&lt;&gt;"",OR($C$4="",ISNUMBER(SEARCH($C$4,C4278&amp;" "&amp;E4278&amp;" "&amp;G4278&amp;" "&amp;H4278&amp;" "&amp;I4278&amp;" "&amp;J4278&amp;" "&amp;K4278&amp;" "&amp;L4278))),OR($C$5="Semua",$C$5="",G4278=$C$5),OR($C$6="Semua",$C$6="",H4278=$C$6,H4278="Pengeluaran "&amp;$C$6,AND($C$6="Uang Kos Mama",H4278="Pengeluaran Uang Kos")),OR($C$7="Semua",$C$7="",I4278=$C$7),OR($C$8="Semua",$C$8="",C4278=$C$8,E4278=$C$8),OR($C$9="Semua",$C$9="",D4278=$C$9),OR($C$10="",B4278&gt;=$C$10),OR($C$11="",B4278&lt;=$C$11),OR($C$12&lt;&gt;"Ya",K4278&lt;&gt;""),OR($C$13="Semua",$C$13="",L4278=$C$13)),"✓","")</f>
        <v/>
      </c>
      <c r="N4278" s="93">
        <f>N(N4277)+IF(M4278="✓",1,0)</f>
        <v/>
      </c>
      <c r="O4278" s="93">
        <f>N(O4277)+IF(AND(B4278&lt;&gt;"",B4278&gt;='Uang Riba'!$H$30,B4278&lt;='Uang Riba'!$I$30,OR(H4278="Dana riba",H4278="Pinjam uang riba",I4278="Pinjam dari uang riba",I4278="Ganti uang riba",I4278="Kelebihan ganti dikembalikan",AND(C4278="Kantong Uang Riba",G4278="Pengeluaran"))),1,0)</f>
        <v/>
      </c>
      <c r="X4278" s="93">
        <f>IF(AND(B4278&lt;&gt;"",B4278&gt;='Buku Akun'!$H$4,B4278&lt;='Buku Akun'!$H$5,OR(C4278='Buku Akun'!$C$4,AND(D4278="Pindah",E4278='Buku Akun'!$C$4))),B4278+IF(AND(I4278="Selisih bunga",DAY(B4278)=1),0,0.01)+ROW()/10000000,"")</f>
        <v/>
      </c>
    </row>
    <row r="4279" outlineLevel="1" ht="15" customHeight="1" s="94">
      <c r="A4279" s="123">
        <f>IF(B4279="","",ROW()-15)</f>
        <v/>
      </c>
      <c r="B4279" s="124" t="n"/>
      <c r="C4279" s="123" t="n"/>
      <c r="D4279" s="123" t="n"/>
      <c r="E4279" s="123" t="n"/>
      <c r="F4279" s="125" t="n"/>
      <c r="G4279" s="123" t="n"/>
      <c r="H4279" s="123" t="n"/>
      <c r="I4279" s="123" t="n"/>
      <c r="J4279" s="123" t="n"/>
      <c r="K4279" s="123" t="n"/>
      <c r="L4279" s="123" t="n"/>
      <c r="M4279" s="123">
        <f>IF(AND(B4279&lt;&gt;"",OR($C$4="",ISNUMBER(SEARCH($C$4,C4279&amp;" "&amp;E4279&amp;" "&amp;G4279&amp;" "&amp;H4279&amp;" "&amp;I4279&amp;" "&amp;J4279&amp;" "&amp;K4279&amp;" "&amp;L4279))),OR($C$5="Semua",$C$5="",G4279=$C$5),OR($C$6="Semua",$C$6="",H4279=$C$6,H4279="Pengeluaran "&amp;$C$6,AND($C$6="Uang Kos Mama",H4279="Pengeluaran Uang Kos")),OR($C$7="Semua",$C$7="",I4279=$C$7),OR($C$8="Semua",$C$8="",C4279=$C$8,E4279=$C$8),OR($C$9="Semua",$C$9="",D4279=$C$9),OR($C$10="",B4279&gt;=$C$10),OR($C$11="",B4279&lt;=$C$11),OR($C$12&lt;&gt;"Ya",K4279&lt;&gt;""),OR($C$13="Semua",$C$13="",L4279=$C$13)),"✓","")</f>
        <v/>
      </c>
      <c r="N4279" s="93">
        <f>N(N4278)+IF(M4279="✓",1,0)</f>
        <v/>
      </c>
      <c r="O4279" s="93">
        <f>N(O4278)+IF(AND(B4279&lt;&gt;"",B4279&gt;='Uang Riba'!$H$30,B4279&lt;='Uang Riba'!$I$30,OR(H4279="Dana riba",H4279="Pinjam uang riba",I4279="Pinjam dari uang riba",I4279="Ganti uang riba",I4279="Kelebihan ganti dikembalikan",AND(C4279="Kantong Uang Riba",G4279="Pengeluaran"))),1,0)</f>
        <v/>
      </c>
      <c r="X4279" s="93">
        <f>IF(AND(B4279&lt;&gt;"",B4279&gt;='Buku Akun'!$H$4,B4279&lt;='Buku Akun'!$H$5,OR(C4279='Buku Akun'!$C$4,AND(D4279="Pindah",E4279='Buku Akun'!$C$4))),B4279+IF(AND(I4279="Selisih bunga",DAY(B4279)=1),0,0.01)+ROW()/10000000,"")</f>
        <v/>
      </c>
    </row>
    <row r="4280" outlineLevel="1" ht="15" customHeight="1" s="94">
      <c r="A4280" s="123">
        <f>IF(B4280="","",ROW()-15)</f>
        <v/>
      </c>
      <c r="B4280" s="124" t="n"/>
      <c r="C4280" s="123" t="n"/>
      <c r="D4280" s="123" t="n"/>
      <c r="E4280" s="123" t="n"/>
      <c r="F4280" s="125" t="n"/>
      <c r="G4280" s="123" t="n"/>
      <c r="H4280" s="123" t="n"/>
      <c r="I4280" s="123" t="n"/>
      <c r="J4280" s="123" t="n"/>
      <c r="K4280" s="123" t="n"/>
      <c r="L4280" s="123" t="n"/>
      <c r="M4280" s="123">
        <f>IF(AND(B4280&lt;&gt;"",OR($C$4="",ISNUMBER(SEARCH($C$4,C4280&amp;" "&amp;E4280&amp;" "&amp;G4280&amp;" "&amp;H4280&amp;" "&amp;I4280&amp;" "&amp;J4280&amp;" "&amp;K4280&amp;" "&amp;L4280))),OR($C$5="Semua",$C$5="",G4280=$C$5),OR($C$6="Semua",$C$6="",H4280=$C$6,H4280="Pengeluaran "&amp;$C$6,AND($C$6="Uang Kos Mama",H4280="Pengeluaran Uang Kos")),OR($C$7="Semua",$C$7="",I4280=$C$7),OR($C$8="Semua",$C$8="",C4280=$C$8,E4280=$C$8),OR($C$9="Semua",$C$9="",D4280=$C$9),OR($C$10="",B4280&gt;=$C$10),OR($C$11="",B4280&lt;=$C$11),OR($C$12&lt;&gt;"Ya",K4280&lt;&gt;""),OR($C$13="Semua",$C$13="",L4280=$C$13)),"✓","")</f>
        <v/>
      </c>
      <c r="N4280" s="93">
        <f>N(N4279)+IF(M4280="✓",1,0)</f>
        <v/>
      </c>
      <c r="O4280" s="93">
        <f>N(O4279)+IF(AND(B4280&lt;&gt;"",B4280&gt;='Uang Riba'!$H$30,B4280&lt;='Uang Riba'!$I$30,OR(H4280="Dana riba",H4280="Pinjam uang riba",I4280="Pinjam dari uang riba",I4280="Ganti uang riba",I4280="Kelebihan ganti dikembalikan",AND(C4280="Kantong Uang Riba",G4280="Pengeluaran"))),1,0)</f>
        <v/>
      </c>
      <c r="X4280" s="93">
        <f>IF(AND(B4280&lt;&gt;"",B4280&gt;='Buku Akun'!$H$4,B4280&lt;='Buku Akun'!$H$5,OR(C4280='Buku Akun'!$C$4,AND(D4280="Pindah",E4280='Buku Akun'!$C$4))),B4280+IF(AND(I4280="Selisih bunga",DAY(B4280)=1),0,0.01)+ROW()/10000000,"")</f>
        <v/>
      </c>
    </row>
    <row r="4281" outlineLevel="1" ht="15" customHeight="1" s="94">
      <c r="A4281" s="123">
        <f>IF(B4281="","",ROW()-15)</f>
        <v/>
      </c>
      <c r="B4281" s="124" t="n"/>
      <c r="C4281" s="123" t="n"/>
      <c r="D4281" s="123" t="n"/>
      <c r="E4281" s="123" t="n"/>
      <c r="F4281" s="125" t="n"/>
      <c r="G4281" s="123" t="n"/>
      <c r="H4281" s="123" t="n"/>
      <c r="I4281" s="123" t="n"/>
      <c r="J4281" s="123" t="n"/>
      <c r="K4281" s="123" t="n"/>
      <c r="L4281" s="123" t="n"/>
      <c r="M4281" s="123">
        <f>IF(AND(B4281&lt;&gt;"",OR($C$4="",ISNUMBER(SEARCH($C$4,C4281&amp;" "&amp;E4281&amp;" "&amp;G4281&amp;" "&amp;H4281&amp;" "&amp;I4281&amp;" "&amp;J4281&amp;" "&amp;K4281&amp;" "&amp;L4281))),OR($C$5="Semua",$C$5="",G4281=$C$5),OR($C$6="Semua",$C$6="",H4281=$C$6,H4281="Pengeluaran "&amp;$C$6,AND($C$6="Uang Kos Mama",H4281="Pengeluaran Uang Kos")),OR($C$7="Semua",$C$7="",I4281=$C$7),OR($C$8="Semua",$C$8="",C4281=$C$8,E4281=$C$8),OR($C$9="Semua",$C$9="",D4281=$C$9),OR($C$10="",B4281&gt;=$C$10),OR($C$11="",B4281&lt;=$C$11),OR($C$12&lt;&gt;"Ya",K4281&lt;&gt;""),OR($C$13="Semua",$C$13="",L4281=$C$13)),"✓","")</f>
        <v/>
      </c>
      <c r="N4281" s="93">
        <f>N(N4280)+IF(M4281="✓",1,0)</f>
        <v/>
      </c>
      <c r="O4281" s="93">
        <f>N(O4280)+IF(AND(B4281&lt;&gt;"",B4281&gt;='Uang Riba'!$H$30,B4281&lt;='Uang Riba'!$I$30,OR(H4281="Dana riba",H4281="Pinjam uang riba",I4281="Pinjam dari uang riba",I4281="Ganti uang riba",I4281="Kelebihan ganti dikembalikan",AND(C4281="Kantong Uang Riba",G4281="Pengeluaran"))),1,0)</f>
        <v/>
      </c>
      <c r="X4281" s="93">
        <f>IF(AND(B4281&lt;&gt;"",B4281&gt;='Buku Akun'!$H$4,B4281&lt;='Buku Akun'!$H$5,OR(C4281='Buku Akun'!$C$4,AND(D4281="Pindah",E4281='Buku Akun'!$C$4))),B4281+IF(AND(I4281="Selisih bunga",DAY(B4281)=1),0,0.01)+ROW()/10000000,"")</f>
        <v/>
      </c>
    </row>
    <row r="4282" outlineLevel="1" ht="15" customHeight="1" s="94">
      <c r="A4282" s="123">
        <f>IF(B4282="","",ROW()-15)</f>
        <v/>
      </c>
      <c r="B4282" s="124" t="n"/>
      <c r="C4282" s="123" t="n"/>
      <c r="D4282" s="123" t="n"/>
      <c r="E4282" s="123" t="n"/>
      <c r="F4282" s="125" t="n"/>
      <c r="G4282" s="123" t="n"/>
      <c r="H4282" s="123" t="n"/>
      <c r="I4282" s="123" t="n"/>
      <c r="J4282" s="123" t="n"/>
      <c r="K4282" s="123" t="n"/>
      <c r="L4282" s="123" t="n"/>
      <c r="M4282" s="123">
        <f>IF(AND(B4282&lt;&gt;"",OR($C$4="",ISNUMBER(SEARCH($C$4,C4282&amp;" "&amp;E4282&amp;" "&amp;G4282&amp;" "&amp;H4282&amp;" "&amp;I4282&amp;" "&amp;J4282&amp;" "&amp;K4282&amp;" "&amp;L4282))),OR($C$5="Semua",$C$5="",G4282=$C$5),OR($C$6="Semua",$C$6="",H4282=$C$6,H4282="Pengeluaran "&amp;$C$6,AND($C$6="Uang Kos Mama",H4282="Pengeluaran Uang Kos")),OR($C$7="Semua",$C$7="",I4282=$C$7),OR($C$8="Semua",$C$8="",C4282=$C$8,E4282=$C$8),OR($C$9="Semua",$C$9="",D4282=$C$9),OR($C$10="",B4282&gt;=$C$10),OR($C$11="",B4282&lt;=$C$11),OR($C$12&lt;&gt;"Ya",K4282&lt;&gt;""),OR($C$13="Semua",$C$13="",L4282=$C$13)),"✓","")</f>
        <v/>
      </c>
      <c r="N4282" s="93">
        <f>N(N4281)+IF(M4282="✓",1,0)</f>
        <v/>
      </c>
      <c r="O4282" s="93">
        <f>N(O4281)+IF(AND(B4282&lt;&gt;"",B4282&gt;='Uang Riba'!$H$30,B4282&lt;='Uang Riba'!$I$30,OR(H4282="Dana riba",H4282="Pinjam uang riba",I4282="Pinjam dari uang riba",I4282="Ganti uang riba",I4282="Kelebihan ganti dikembalikan",AND(C4282="Kantong Uang Riba",G4282="Pengeluaran"))),1,0)</f>
        <v/>
      </c>
      <c r="X4282" s="93">
        <f>IF(AND(B4282&lt;&gt;"",B4282&gt;='Buku Akun'!$H$4,B4282&lt;='Buku Akun'!$H$5,OR(C4282='Buku Akun'!$C$4,AND(D4282="Pindah",E4282='Buku Akun'!$C$4))),B4282+IF(AND(I4282="Selisih bunga",DAY(B4282)=1),0,0.01)+ROW()/10000000,"")</f>
        <v/>
      </c>
    </row>
    <row r="4283" outlineLevel="1" ht="15" customHeight="1" s="94">
      <c r="A4283" s="123">
        <f>IF(B4283="","",ROW()-15)</f>
        <v/>
      </c>
      <c r="B4283" s="124" t="n"/>
      <c r="C4283" s="123" t="n"/>
      <c r="D4283" s="123" t="n"/>
      <c r="E4283" s="123" t="n"/>
      <c r="F4283" s="125" t="n"/>
      <c r="G4283" s="123" t="n"/>
      <c r="H4283" s="123" t="n"/>
      <c r="I4283" s="123" t="n"/>
      <c r="J4283" s="123" t="n"/>
      <c r="K4283" s="123" t="n"/>
      <c r="L4283" s="123" t="n"/>
      <c r="M4283" s="123">
        <f>IF(AND(B4283&lt;&gt;"",OR($C$4="",ISNUMBER(SEARCH($C$4,C4283&amp;" "&amp;E4283&amp;" "&amp;G4283&amp;" "&amp;H4283&amp;" "&amp;I4283&amp;" "&amp;J4283&amp;" "&amp;K4283&amp;" "&amp;L4283))),OR($C$5="Semua",$C$5="",G4283=$C$5),OR($C$6="Semua",$C$6="",H4283=$C$6,H4283="Pengeluaran "&amp;$C$6,AND($C$6="Uang Kos Mama",H4283="Pengeluaran Uang Kos")),OR($C$7="Semua",$C$7="",I4283=$C$7),OR($C$8="Semua",$C$8="",C4283=$C$8,E4283=$C$8),OR($C$9="Semua",$C$9="",D4283=$C$9),OR($C$10="",B4283&gt;=$C$10),OR($C$11="",B4283&lt;=$C$11),OR($C$12&lt;&gt;"Ya",K4283&lt;&gt;""),OR($C$13="Semua",$C$13="",L4283=$C$13)),"✓","")</f>
        <v/>
      </c>
      <c r="N4283" s="93">
        <f>N(N4282)+IF(M4283="✓",1,0)</f>
        <v/>
      </c>
      <c r="O4283" s="93">
        <f>N(O4282)+IF(AND(B4283&lt;&gt;"",B4283&gt;='Uang Riba'!$H$30,B4283&lt;='Uang Riba'!$I$30,OR(H4283="Dana riba",H4283="Pinjam uang riba",I4283="Pinjam dari uang riba",I4283="Ganti uang riba",I4283="Kelebihan ganti dikembalikan",AND(C4283="Kantong Uang Riba",G4283="Pengeluaran"))),1,0)</f>
        <v/>
      </c>
      <c r="X4283" s="93">
        <f>IF(AND(B4283&lt;&gt;"",B4283&gt;='Buku Akun'!$H$4,B4283&lt;='Buku Akun'!$H$5,OR(C4283='Buku Akun'!$C$4,AND(D4283="Pindah",E4283='Buku Akun'!$C$4))),B4283+IF(AND(I4283="Selisih bunga",DAY(B4283)=1),0,0.01)+ROW()/10000000,"")</f>
        <v/>
      </c>
    </row>
    <row r="4284" outlineLevel="1" ht="15" customHeight="1" s="94">
      <c r="A4284" s="123">
        <f>IF(B4284="","",ROW()-15)</f>
        <v/>
      </c>
      <c r="B4284" s="124" t="n"/>
      <c r="C4284" s="123" t="n"/>
      <c r="D4284" s="123" t="n"/>
      <c r="E4284" s="123" t="n"/>
      <c r="F4284" s="125" t="n"/>
      <c r="G4284" s="123" t="n"/>
      <c r="H4284" s="123" t="n"/>
      <c r="I4284" s="123" t="n"/>
      <c r="J4284" s="123" t="n"/>
      <c r="K4284" s="123" t="n"/>
      <c r="L4284" s="123" t="n"/>
      <c r="M4284" s="123">
        <f>IF(AND(B4284&lt;&gt;"",OR($C$4="",ISNUMBER(SEARCH($C$4,C4284&amp;" "&amp;E4284&amp;" "&amp;G4284&amp;" "&amp;H4284&amp;" "&amp;I4284&amp;" "&amp;J4284&amp;" "&amp;K4284&amp;" "&amp;L4284))),OR($C$5="Semua",$C$5="",G4284=$C$5),OR($C$6="Semua",$C$6="",H4284=$C$6,H4284="Pengeluaran "&amp;$C$6,AND($C$6="Uang Kos Mama",H4284="Pengeluaran Uang Kos")),OR($C$7="Semua",$C$7="",I4284=$C$7),OR($C$8="Semua",$C$8="",C4284=$C$8,E4284=$C$8),OR($C$9="Semua",$C$9="",D4284=$C$9),OR($C$10="",B4284&gt;=$C$10),OR($C$11="",B4284&lt;=$C$11),OR($C$12&lt;&gt;"Ya",K4284&lt;&gt;""),OR($C$13="Semua",$C$13="",L4284=$C$13)),"✓","")</f>
        <v/>
      </c>
      <c r="N4284" s="93">
        <f>N(N4283)+IF(M4284="✓",1,0)</f>
        <v/>
      </c>
      <c r="O4284" s="93">
        <f>N(O4283)+IF(AND(B4284&lt;&gt;"",B4284&gt;='Uang Riba'!$H$30,B4284&lt;='Uang Riba'!$I$30,OR(H4284="Dana riba",H4284="Pinjam uang riba",I4284="Pinjam dari uang riba",I4284="Ganti uang riba",I4284="Kelebihan ganti dikembalikan",AND(C4284="Kantong Uang Riba",G4284="Pengeluaran"))),1,0)</f>
        <v/>
      </c>
      <c r="X4284" s="93">
        <f>IF(AND(B4284&lt;&gt;"",B4284&gt;='Buku Akun'!$H$4,B4284&lt;='Buku Akun'!$H$5,OR(C4284='Buku Akun'!$C$4,AND(D4284="Pindah",E4284='Buku Akun'!$C$4))),B4284+IF(AND(I4284="Selisih bunga",DAY(B4284)=1),0,0.01)+ROW()/10000000,"")</f>
        <v/>
      </c>
    </row>
    <row r="4285" outlineLevel="1" ht="15" customHeight="1" s="94">
      <c r="A4285" s="123">
        <f>IF(B4285="","",ROW()-15)</f>
        <v/>
      </c>
      <c r="B4285" s="124" t="n"/>
      <c r="C4285" s="123" t="n"/>
      <c r="D4285" s="123" t="n"/>
      <c r="E4285" s="123" t="n"/>
      <c r="F4285" s="125" t="n"/>
      <c r="G4285" s="123" t="n"/>
      <c r="H4285" s="123" t="n"/>
      <c r="I4285" s="123" t="n"/>
      <c r="J4285" s="123" t="n"/>
      <c r="K4285" s="123" t="n"/>
      <c r="L4285" s="123" t="n"/>
      <c r="M4285" s="123">
        <f>IF(AND(B4285&lt;&gt;"",OR($C$4="",ISNUMBER(SEARCH($C$4,C4285&amp;" "&amp;E4285&amp;" "&amp;G4285&amp;" "&amp;H4285&amp;" "&amp;I4285&amp;" "&amp;J4285&amp;" "&amp;K4285&amp;" "&amp;L4285))),OR($C$5="Semua",$C$5="",G4285=$C$5),OR($C$6="Semua",$C$6="",H4285=$C$6,H4285="Pengeluaran "&amp;$C$6,AND($C$6="Uang Kos Mama",H4285="Pengeluaran Uang Kos")),OR($C$7="Semua",$C$7="",I4285=$C$7),OR($C$8="Semua",$C$8="",C4285=$C$8,E4285=$C$8),OR($C$9="Semua",$C$9="",D4285=$C$9),OR($C$10="",B4285&gt;=$C$10),OR($C$11="",B4285&lt;=$C$11),OR($C$12&lt;&gt;"Ya",K4285&lt;&gt;""),OR($C$13="Semua",$C$13="",L4285=$C$13)),"✓","")</f>
        <v/>
      </c>
      <c r="N4285" s="93">
        <f>N(N4284)+IF(M4285="✓",1,0)</f>
        <v/>
      </c>
      <c r="O4285" s="93">
        <f>N(O4284)+IF(AND(B4285&lt;&gt;"",B4285&gt;='Uang Riba'!$H$30,B4285&lt;='Uang Riba'!$I$30,OR(H4285="Dana riba",H4285="Pinjam uang riba",I4285="Pinjam dari uang riba",I4285="Ganti uang riba",I4285="Kelebihan ganti dikembalikan",AND(C4285="Kantong Uang Riba",G4285="Pengeluaran"))),1,0)</f>
        <v/>
      </c>
      <c r="X4285" s="93">
        <f>IF(AND(B4285&lt;&gt;"",B4285&gt;='Buku Akun'!$H$4,B4285&lt;='Buku Akun'!$H$5,OR(C4285='Buku Akun'!$C$4,AND(D4285="Pindah",E4285='Buku Akun'!$C$4))),B4285+IF(AND(I4285="Selisih bunga",DAY(B4285)=1),0,0.01)+ROW()/10000000,"")</f>
        <v/>
      </c>
    </row>
    <row r="4286" outlineLevel="1" ht="15" customHeight="1" s="94">
      <c r="A4286" s="123">
        <f>IF(B4286="","",ROW()-15)</f>
        <v/>
      </c>
      <c r="B4286" s="124" t="n"/>
      <c r="C4286" s="123" t="n"/>
      <c r="D4286" s="123" t="n"/>
      <c r="E4286" s="123" t="n"/>
      <c r="F4286" s="125" t="n"/>
      <c r="G4286" s="123" t="n"/>
      <c r="H4286" s="123" t="n"/>
      <c r="I4286" s="123" t="n"/>
      <c r="J4286" s="123" t="n"/>
      <c r="K4286" s="123" t="n"/>
      <c r="L4286" s="123" t="n"/>
      <c r="M4286" s="123">
        <f>IF(AND(B4286&lt;&gt;"",OR($C$4="",ISNUMBER(SEARCH($C$4,C4286&amp;" "&amp;E4286&amp;" "&amp;G4286&amp;" "&amp;H4286&amp;" "&amp;I4286&amp;" "&amp;J4286&amp;" "&amp;K4286&amp;" "&amp;L4286))),OR($C$5="Semua",$C$5="",G4286=$C$5),OR($C$6="Semua",$C$6="",H4286=$C$6,H4286="Pengeluaran "&amp;$C$6,AND($C$6="Uang Kos Mama",H4286="Pengeluaran Uang Kos")),OR($C$7="Semua",$C$7="",I4286=$C$7),OR($C$8="Semua",$C$8="",C4286=$C$8,E4286=$C$8),OR($C$9="Semua",$C$9="",D4286=$C$9),OR($C$10="",B4286&gt;=$C$10),OR($C$11="",B4286&lt;=$C$11),OR($C$12&lt;&gt;"Ya",K4286&lt;&gt;""),OR($C$13="Semua",$C$13="",L4286=$C$13)),"✓","")</f>
        <v/>
      </c>
      <c r="N4286" s="93">
        <f>N(N4285)+IF(M4286="✓",1,0)</f>
        <v/>
      </c>
      <c r="O4286" s="93">
        <f>N(O4285)+IF(AND(B4286&lt;&gt;"",B4286&gt;='Uang Riba'!$H$30,B4286&lt;='Uang Riba'!$I$30,OR(H4286="Dana riba",H4286="Pinjam uang riba",I4286="Pinjam dari uang riba",I4286="Ganti uang riba",I4286="Kelebihan ganti dikembalikan",AND(C4286="Kantong Uang Riba",G4286="Pengeluaran"))),1,0)</f>
        <v/>
      </c>
      <c r="X4286" s="93">
        <f>IF(AND(B4286&lt;&gt;"",B4286&gt;='Buku Akun'!$H$4,B4286&lt;='Buku Akun'!$H$5,OR(C4286='Buku Akun'!$C$4,AND(D4286="Pindah",E4286='Buku Akun'!$C$4))),B4286+IF(AND(I4286="Selisih bunga",DAY(B4286)=1),0,0.01)+ROW()/10000000,"")</f>
        <v/>
      </c>
    </row>
    <row r="4287" outlineLevel="1" ht="15" customHeight="1" s="94">
      <c r="A4287" s="123">
        <f>IF(B4287="","",ROW()-15)</f>
        <v/>
      </c>
      <c r="B4287" s="124" t="n"/>
      <c r="C4287" s="123" t="n"/>
      <c r="D4287" s="123" t="n"/>
      <c r="E4287" s="123" t="n"/>
      <c r="F4287" s="125" t="n"/>
      <c r="G4287" s="123" t="n"/>
      <c r="H4287" s="123" t="n"/>
      <c r="I4287" s="123" t="n"/>
      <c r="J4287" s="123" t="n"/>
      <c r="K4287" s="123" t="n"/>
      <c r="L4287" s="123" t="n"/>
      <c r="M4287" s="123">
        <f>IF(AND(B4287&lt;&gt;"",OR($C$4="",ISNUMBER(SEARCH($C$4,C4287&amp;" "&amp;E4287&amp;" "&amp;G4287&amp;" "&amp;H4287&amp;" "&amp;I4287&amp;" "&amp;J4287&amp;" "&amp;K4287&amp;" "&amp;L4287))),OR($C$5="Semua",$C$5="",G4287=$C$5),OR($C$6="Semua",$C$6="",H4287=$C$6,H4287="Pengeluaran "&amp;$C$6,AND($C$6="Uang Kos Mama",H4287="Pengeluaran Uang Kos")),OR($C$7="Semua",$C$7="",I4287=$C$7),OR($C$8="Semua",$C$8="",C4287=$C$8,E4287=$C$8),OR($C$9="Semua",$C$9="",D4287=$C$9),OR($C$10="",B4287&gt;=$C$10),OR($C$11="",B4287&lt;=$C$11),OR($C$12&lt;&gt;"Ya",K4287&lt;&gt;""),OR($C$13="Semua",$C$13="",L4287=$C$13)),"✓","")</f>
        <v/>
      </c>
      <c r="N4287" s="93">
        <f>N(N4286)+IF(M4287="✓",1,0)</f>
        <v/>
      </c>
      <c r="O4287" s="93">
        <f>N(O4286)+IF(AND(B4287&lt;&gt;"",B4287&gt;='Uang Riba'!$H$30,B4287&lt;='Uang Riba'!$I$30,OR(H4287="Dana riba",H4287="Pinjam uang riba",I4287="Pinjam dari uang riba",I4287="Ganti uang riba",I4287="Kelebihan ganti dikembalikan",AND(C4287="Kantong Uang Riba",G4287="Pengeluaran"))),1,0)</f>
        <v/>
      </c>
      <c r="X4287" s="93">
        <f>IF(AND(B4287&lt;&gt;"",B4287&gt;='Buku Akun'!$H$4,B4287&lt;='Buku Akun'!$H$5,OR(C4287='Buku Akun'!$C$4,AND(D4287="Pindah",E4287='Buku Akun'!$C$4))),B4287+IF(AND(I4287="Selisih bunga",DAY(B4287)=1),0,0.01)+ROW()/10000000,"")</f>
        <v/>
      </c>
    </row>
    <row r="4288" outlineLevel="1" ht="15" customHeight="1" s="94">
      <c r="A4288" s="123">
        <f>IF(B4288="","",ROW()-15)</f>
        <v/>
      </c>
      <c r="B4288" s="124" t="n"/>
      <c r="C4288" s="123" t="n"/>
      <c r="D4288" s="123" t="n"/>
      <c r="E4288" s="123" t="n"/>
      <c r="F4288" s="125" t="n"/>
      <c r="G4288" s="123" t="n"/>
      <c r="H4288" s="123" t="n"/>
      <c r="I4288" s="123" t="n"/>
      <c r="J4288" s="123" t="n"/>
      <c r="K4288" s="123" t="n"/>
      <c r="L4288" s="123" t="n"/>
      <c r="M4288" s="123">
        <f>IF(AND(B4288&lt;&gt;"",OR($C$4="",ISNUMBER(SEARCH($C$4,C4288&amp;" "&amp;E4288&amp;" "&amp;G4288&amp;" "&amp;H4288&amp;" "&amp;I4288&amp;" "&amp;J4288&amp;" "&amp;K4288&amp;" "&amp;L4288))),OR($C$5="Semua",$C$5="",G4288=$C$5),OR($C$6="Semua",$C$6="",H4288=$C$6,H4288="Pengeluaran "&amp;$C$6,AND($C$6="Uang Kos Mama",H4288="Pengeluaran Uang Kos")),OR($C$7="Semua",$C$7="",I4288=$C$7),OR($C$8="Semua",$C$8="",C4288=$C$8,E4288=$C$8),OR($C$9="Semua",$C$9="",D4288=$C$9),OR($C$10="",B4288&gt;=$C$10),OR($C$11="",B4288&lt;=$C$11),OR($C$12&lt;&gt;"Ya",K4288&lt;&gt;""),OR($C$13="Semua",$C$13="",L4288=$C$13)),"✓","")</f>
        <v/>
      </c>
      <c r="N4288" s="93">
        <f>N(N4287)+IF(M4288="✓",1,0)</f>
        <v/>
      </c>
      <c r="O4288" s="93">
        <f>N(O4287)+IF(AND(B4288&lt;&gt;"",B4288&gt;='Uang Riba'!$H$30,B4288&lt;='Uang Riba'!$I$30,OR(H4288="Dana riba",H4288="Pinjam uang riba",I4288="Pinjam dari uang riba",I4288="Ganti uang riba",I4288="Kelebihan ganti dikembalikan",AND(C4288="Kantong Uang Riba",G4288="Pengeluaran"))),1,0)</f>
        <v/>
      </c>
      <c r="X4288" s="93">
        <f>IF(AND(B4288&lt;&gt;"",B4288&gt;='Buku Akun'!$H$4,B4288&lt;='Buku Akun'!$H$5,OR(C4288='Buku Akun'!$C$4,AND(D4288="Pindah",E4288='Buku Akun'!$C$4))),B4288+IF(AND(I4288="Selisih bunga",DAY(B4288)=1),0,0.01)+ROW()/10000000,"")</f>
        <v/>
      </c>
    </row>
    <row r="4289" outlineLevel="1" ht="15" customHeight="1" s="94">
      <c r="A4289" s="123">
        <f>IF(B4289="","",ROW()-15)</f>
        <v/>
      </c>
      <c r="B4289" s="124" t="n"/>
      <c r="C4289" s="123" t="n"/>
      <c r="D4289" s="123" t="n"/>
      <c r="E4289" s="123" t="n"/>
      <c r="F4289" s="125" t="n"/>
      <c r="G4289" s="123" t="n"/>
      <c r="H4289" s="123" t="n"/>
      <c r="I4289" s="123" t="n"/>
      <c r="J4289" s="123" t="n"/>
      <c r="K4289" s="123" t="n"/>
      <c r="L4289" s="123" t="n"/>
      <c r="M4289" s="123">
        <f>IF(AND(B4289&lt;&gt;"",OR($C$4="",ISNUMBER(SEARCH($C$4,C4289&amp;" "&amp;E4289&amp;" "&amp;G4289&amp;" "&amp;H4289&amp;" "&amp;I4289&amp;" "&amp;J4289&amp;" "&amp;K4289&amp;" "&amp;L4289))),OR($C$5="Semua",$C$5="",G4289=$C$5),OR($C$6="Semua",$C$6="",H4289=$C$6,H4289="Pengeluaran "&amp;$C$6,AND($C$6="Uang Kos Mama",H4289="Pengeluaran Uang Kos")),OR($C$7="Semua",$C$7="",I4289=$C$7),OR($C$8="Semua",$C$8="",C4289=$C$8,E4289=$C$8),OR($C$9="Semua",$C$9="",D4289=$C$9),OR($C$10="",B4289&gt;=$C$10),OR($C$11="",B4289&lt;=$C$11),OR($C$12&lt;&gt;"Ya",K4289&lt;&gt;""),OR($C$13="Semua",$C$13="",L4289=$C$13)),"✓","")</f>
        <v/>
      </c>
      <c r="N4289" s="93">
        <f>N(N4288)+IF(M4289="✓",1,0)</f>
        <v/>
      </c>
      <c r="O4289" s="93">
        <f>N(O4288)+IF(AND(B4289&lt;&gt;"",B4289&gt;='Uang Riba'!$H$30,B4289&lt;='Uang Riba'!$I$30,OR(H4289="Dana riba",H4289="Pinjam uang riba",I4289="Pinjam dari uang riba",I4289="Ganti uang riba",I4289="Kelebihan ganti dikembalikan",AND(C4289="Kantong Uang Riba",G4289="Pengeluaran"))),1,0)</f>
        <v/>
      </c>
      <c r="X4289" s="93">
        <f>IF(AND(B4289&lt;&gt;"",B4289&gt;='Buku Akun'!$H$4,B4289&lt;='Buku Akun'!$H$5,OR(C4289='Buku Akun'!$C$4,AND(D4289="Pindah",E4289='Buku Akun'!$C$4))),B4289+IF(AND(I4289="Selisih bunga",DAY(B4289)=1),0,0.01)+ROW()/10000000,"")</f>
        <v/>
      </c>
    </row>
    <row r="4290" outlineLevel="1" ht="15" customHeight="1" s="94">
      <c r="A4290" s="123">
        <f>IF(B4290="","",ROW()-15)</f>
        <v/>
      </c>
      <c r="B4290" s="124" t="n"/>
      <c r="C4290" s="123" t="n"/>
      <c r="D4290" s="123" t="n"/>
      <c r="E4290" s="123" t="n"/>
      <c r="F4290" s="125" t="n"/>
      <c r="G4290" s="123" t="n"/>
      <c r="H4290" s="123" t="n"/>
      <c r="I4290" s="123" t="n"/>
      <c r="J4290" s="123" t="n"/>
      <c r="K4290" s="123" t="n"/>
      <c r="L4290" s="123" t="n"/>
      <c r="M4290" s="123">
        <f>IF(AND(B4290&lt;&gt;"",OR($C$4="",ISNUMBER(SEARCH($C$4,C4290&amp;" "&amp;E4290&amp;" "&amp;G4290&amp;" "&amp;H4290&amp;" "&amp;I4290&amp;" "&amp;J4290&amp;" "&amp;K4290&amp;" "&amp;L4290))),OR($C$5="Semua",$C$5="",G4290=$C$5),OR($C$6="Semua",$C$6="",H4290=$C$6,H4290="Pengeluaran "&amp;$C$6,AND($C$6="Uang Kos Mama",H4290="Pengeluaran Uang Kos")),OR($C$7="Semua",$C$7="",I4290=$C$7),OR($C$8="Semua",$C$8="",C4290=$C$8,E4290=$C$8),OR($C$9="Semua",$C$9="",D4290=$C$9),OR($C$10="",B4290&gt;=$C$10),OR($C$11="",B4290&lt;=$C$11),OR($C$12&lt;&gt;"Ya",K4290&lt;&gt;""),OR($C$13="Semua",$C$13="",L4290=$C$13)),"✓","")</f>
        <v/>
      </c>
      <c r="N4290" s="93">
        <f>N(N4289)+IF(M4290="✓",1,0)</f>
        <v/>
      </c>
      <c r="O4290" s="93">
        <f>N(O4289)+IF(AND(B4290&lt;&gt;"",B4290&gt;='Uang Riba'!$H$30,B4290&lt;='Uang Riba'!$I$30,OR(H4290="Dana riba",H4290="Pinjam uang riba",I4290="Pinjam dari uang riba",I4290="Ganti uang riba",I4290="Kelebihan ganti dikembalikan",AND(C4290="Kantong Uang Riba",G4290="Pengeluaran"))),1,0)</f>
        <v/>
      </c>
      <c r="X4290" s="93">
        <f>IF(AND(B4290&lt;&gt;"",B4290&gt;='Buku Akun'!$H$4,B4290&lt;='Buku Akun'!$H$5,OR(C4290='Buku Akun'!$C$4,AND(D4290="Pindah",E4290='Buku Akun'!$C$4))),B4290+IF(AND(I4290="Selisih bunga",DAY(B4290)=1),0,0.01)+ROW()/10000000,"")</f>
        <v/>
      </c>
    </row>
    <row r="4291" outlineLevel="1" ht="15" customHeight="1" s="94">
      <c r="A4291" s="123">
        <f>IF(B4291="","",ROW()-15)</f>
        <v/>
      </c>
      <c r="B4291" s="124" t="n"/>
      <c r="C4291" s="123" t="n"/>
      <c r="D4291" s="123" t="n"/>
      <c r="E4291" s="123" t="n"/>
      <c r="F4291" s="125" t="n"/>
      <c r="G4291" s="123" t="n"/>
      <c r="H4291" s="123" t="n"/>
      <c r="I4291" s="123" t="n"/>
      <c r="J4291" s="123" t="n"/>
      <c r="K4291" s="123" t="n"/>
      <c r="L4291" s="123" t="n"/>
      <c r="M4291" s="123">
        <f>IF(AND(B4291&lt;&gt;"",OR($C$4="",ISNUMBER(SEARCH($C$4,C4291&amp;" "&amp;E4291&amp;" "&amp;G4291&amp;" "&amp;H4291&amp;" "&amp;I4291&amp;" "&amp;J4291&amp;" "&amp;K4291&amp;" "&amp;L4291))),OR($C$5="Semua",$C$5="",G4291=$C$5),OR($C$6="Semua",$C$6="",H4291=$C$6,H4291="Pengeluaran "&amp;$C$6,AND($C$6="Uang Kos Mama",H4291="Pengeluaran Uang Kos")),OR($C$7="Semua",$C$7="",I4291=$C$7),OR($C$8="Semua",$C$8="",C4291=$C$8,E4291=$C$8),OR($C$9="Semua",$C$9="",D4291=$C$9),OR($C$10="",B4291&gt;=$C$10),OR($C$11="",B4291&lt;=$C$11),OR($C$12&lt;&gt;"Ya",K4291&lt;&gt;""),OR($C$13="Semua",$C$13="",L4291=$C$13)),"✓","")</f>
        <v/>
      </c>
      <c r="N4291" s="93">
        <f>N(N4290)+IF(M4291="✓",1,0)</f>
        <v/>
      </c>
      <c r="O4291" s="93">
        <f>N(O4290)+IF(AND(B4291&lt;&gt;"",B4291&gt;='Uang Riba'!$H$30,B4291&lt;='Uang Riba'!$I$30,OR(H4291="Dana riba",H4291="Pinjam uang riba",I4291="Pinjam dari uang riba",I4291="Ganti uang riba",I4291="Kelebihan ganti dikembalikan",AND(C4291="Kantong Uang Riba",G4291="Pengeluaran"))),1,0)</f>
        <v/>
      </c>
      <c r="X4291" s="93">
        <f>IF(AND(B4291&lt;&gt;"",B4291&gt;='Buku Akun'!$H$4,B4291&lt;='Buku Akun'!$H$5,OR(C4291='Buku Akun'!$C$4,AND(D4291="Pindah",E4291='Buku Akun'!$C$4))),B4291+IF(AND(I4291="Selisih bunga",DAY(B4291)=1),0,0.01)+ROW()/10000000,"")</f>
        <v/>
      </c>
    </row>
    <row r="4292" outlineLevel="1" ht="15" customHeight="1" s="94">
      <c r="A4292" s="123">
        <f>IF(B4292="","",ROW()-15)</f>
        <v/>
      </c>
      <c r="B4292" s="124" t="n"/>
      <c r="C4292" s="123" t="n"/>
      <c r="D4292" s="123" t="n"/>
      <c r="E4292" s="123" t="n"/>
      <c r="F4292" s="125" t="n"/>
      <c r="G4292" s="123" t="n"/>
      <c r="H4292" s="123" t="n"/>
      <c r="I4292" s="123" t="n"/>
      <c r="J4292" s="123" t="n"/>
      <c r="K4292" s="123" t="n"/>
      <c r="L4292" s="123" t="n"/>
      <c r="M4292" s="123">
        <f>IF(AND(B4292&lt;&gt;"",OR($C$4="",ISNUMBER(SEARCH($C$4,C4292&amp;" "&amp;E4292&amp;" "&amp;G4292&amp;" "&amp;H4292&amp;" "&amp;I4292&amp;" "&amp;J4292&amp;" "&amp;K4292&amp;" "&amp;L4292))),OR($C$5="Semua",$C$5="",G4292=$C$5),OR($C$6="Semua",$C$6="",H4292=$C$6,H4292="Pengeluaran "&amp;$C$6,AND($C$6="Uang Kos Mama",H4292="Pengeluaran Uang Kos")),OR($C$7="Semua",$C$7="",I4292=$C$7),OR($C$8="Semua",$C$8="",C4292=$C$8,E4292=$C$8),OR($C$9="Semua",$C$9="",D4292=$C$9),OR($C$10="",B4292&gt;=$C$10),OR($C$11="",B4292&lt;=$C$11),OR($C$12&lt;&gt;"Ya",K4292&lt;&gt;""),OR($C$13="Semua",$C$13="",L4292=$C$13)),"✓","")</f>
        <v/>
      </c>
      <c r="N4292" s="93">
        <f>N(N4291)+IF(M4292="✓",1,0)</f>
        <v/>
      </c>
      <c r="O4292" s="93">
        <f>N(O4291)+IF(AND(B4292&lt;&gt;"",B4292&gt;='Uang Riba'!$H$30,B4292&lt;='Uang Riba'!$I$30,OR(H4292="Dana riba",H4292="Pinjam uang riba",I4292="Pinjam dari uang riba",I4292="Ganti uang riba",I4292="Kelebihan ganti dikembalikan",AND(C4292="Kantong Uang Riba",G4292="Pengeluaran"))),1,0)</f>
        <v/>
      </c>
      <c r="X4292" s="93">
        <f>IF(AND(B4292&lt;&gt;"",B4292&gt;='Buku Akun'!$H$4,B4292&lt;='Buku Akun'!$H$5,OR(C4292='Buku Akun'!$C$4,AND(D4292="Pindah",E4292='Buku Akun'!$C$4))),B4292+IF(AND(I4292="Selisih bunga",DAY(B4292)=1),0,0.01)+ROW()/10000000,"")</f>
        <v/>
      </c>
    </row>
    <row r="4293" outlineLevel="1" ht="15" customHeight="1" s="94">
      <c r="A4293" s="123">
        <f>IF(B4293="","",ROW()-15)</f>
        <v/>
      </c>
      <c r="B4293" s="124" t="n"/>
      <c r="C4293" s="123" t="n"/>
      <c r="D4293" s="123" t="n"/>
      <c r="E4293" s="123" t="n"/>
      <c r="F4293" s="125" t="n"/>
      <c r="G4293" s="123" t="n"/>
      <c r="H4293" s="123" t="n"/>
      <c r="I4293" s="123" t="n"/>
      <c r="J4293" s="123" t="n"/>
      <c r="K4293" s="123" t="n"/>
      <c r="L4293" s="123" t="n"/>
      <c r="M4293" s="123">
        <f>IF(AND(B4293&lt;&gt;"",OR($C$4="",ISNUMBER(SEARCH($C$4,C4293&amp;" "&amp;E4293&amp;" "&amp;G4293&amp;" "&amp;H4293&amp;" "&amp;I4293&amp;" "&amp;J4293&amp;" "&amp;K4293&amp;" "&amp;L4293))),OR($C$5="Semua",$C$5="",G4293=$C$5),OR($C$6="Semua",$C$6="",H4293=$C$6,H4293="Pengeluaran "&amp;$C$6,AND($C$6="Uang Kos Mama",H4293="Pengeluaran Uang Kos")),OR($C$7="Semua",$C$7="",I4293=$C$7),OR($C$8="Semua",$C$8="",C4293=$C$8,E4293=$C$8),OR($C$9="Semua",$C$9="",D4293=$C$9),OR($C$10="",B4293&gt;=$C$10),OR($C$11="",B4293&lt;=$C$11),OR($C$12&lt;&gt;"Ya",K4293&lt;&gt;""),OR($C$13="Semua",$C$13="",L4293=$C$13)),"✓","")</f>
        <v/>
      </c>
      <c r="N4293" s="93">
        <f>N(N4292)+IF(M4293="✓",1,0)</f>
        <v/>
      </c>
      <c r="O4293" s="93">
        <f>N(O4292)+IF(AND(B4293&lt;&gt;"",B4293&gt;='Uang Riba'!$H$30,B4293&lt;='Uang Riba'!$I$30,OR(H4293="Dana riba",H4293="Pinjam uang riba",I4293="Pinjam dari uang riba",I4293="Ganti uang riba",I4293="Kelebihan ganti dikembalikan",AND(C4293="Kantong Uang Riba",G4293="Pengeluaran"))),1,0)</f>
        <v/>
      </c>
      <c r="X4293" s="93">
        <f>IF(AND(B4293&lt;&gt;"",B4293&gt;='Buku Akun'!$H$4,B4293&lt;='Buku Akun'!$H$5,OR(C4293='Buku Akun'!$C$4,AND(D4293="Pindah",E4293='Buku Akun'!$C$4))),B4293+IF(AND(I4293="Selisih bunga",DAY(B4293)=1),0,0.01)+ROW()/10000000,"")</f>
        <v/>
      </c>
    </row>
    <row r="4294" outlineLevel="1" ht="15" customHeight="1" s="94">
      <c r="A4294" s="123">
        <f>IF(B4294="","",ROW()-15)</f>
        <v/>
      </c>
      <c r="B4294" s="124" t="n"/>
      <c r="C4294" s="123" t="n"/>
      <c r="D4294" s="123" t="n"/>
      <c r="E4294" s="123" t="n"/>
      <c r="F4294" s="125" t="n"/>
      <c r="G4294" s="123" t="n"/>
      <c r="H4294" s="123" t="n"/>
      <c r="I4294" s="123" t="n"/>
      <c r="J4294" s="123" t="n"/>
      <c r="K4294" s="123" t="n"/>
      <c r="L4294" s="123" t="n"/>
      <c r="M4294" s="123">
        <f>IF(AND(B4294&lt;&gt;"",OR($C$4="",ISNUMBER(SEARCH($C$4,C4294&amp;" "&amp;E4294&amp;" "&amp;G4294&amp;" "&amp;H4294&amp;" "&amp;I4294&amp;" "&amp;J4294&amp;" "&amp;K4294&amp;" "&amp;L4294))),OR($C$5="Semua",$C$5="",G4294=$C$5),OR($C$6="Semua",$C$6="",H4294=$C$6,H4294="Pengeluaran "&amp;$C$6,AND($C$6="Uang Kos Mama",H4294="Pengeluaran Uang Kos")),OR($C$7="Semua",$C$7="",I4294=$C$7),OR($C$8="Semua",$C$8="",C4294=$C$8,E4294=$C$8),OR($C$9="Semua",$C$9="",D4294=$C$9),OR($C$10="",B4294&gt;=$C$10),OR($C$11="",B4294&lt;=$C$11),OR($C$12&lt;&gt;"Ya",K4294&lt;&gt;""),OR($C$13="Semua",$C$13="",L4294=$C$13)),"✓","")</f>
        <v/>
      </c>
      <c r="N4294" s="93">
        <f>N(N4293)+IF(M4294="✓",1,0)</f>
        <v/>
      </c>
      <c r="O4294" s="93">
        <f>N(O4293)+IF(AND(B4294&lt;&gt;"",B4294&gt;='Uang Riba'!$H$30,B4294&lt;='Uang Riba'!$I$30,OR(H4294="Dana riba",H4294="Pinjam uang riba",I4294="Pinjam dari uang riba",I4294="Ganti uang riba",I4294="Kelebihan ganti dikembalikan",AND(C4294="Kantong Uang Riba",G4294="Pengeluaran"))),1,0)</f>
        <v/>
      </c>
      <c r="X4294" s="93">
        <f>IF(AND(B4294&lt;&gt;"",B4294&gt;='Buku Akun'!$H$4,B4294&lt;='Buku Akun'!$H$5,OR(C4294='Buku Akun'!$C$4,AND(D4294="Pindah",E4294='Buku Akun'!$C$4))),B4294+IF(AND(I4294="Selisih bunga",DAY(B4294)=1),0,0.01)+ROW()/10000000,"")</f>
        <v/>
      </c>
    </row>
    <row r="4295" outlineLevel="1" ht="15" customHeight="1" s="94">
      <c r="A4295" s="123">
        <f>IF(B4295="","",ROW()-15)</f>
        <v/>
      </c>
      <c r="B4295" s="124" t="n"/>
      <c r="C4295" s="123" t="n"/>
      <c r="D4295" s="123" t="n"/>
      <c r="E4295" s="123" t="n"/>
      <c r="F4295" s="125" t="n"/>
      <c r="G4295" s="123" t="n"/>
      <c r="H4295" s="123" t="n"/>
      <c r="I4295" s="123" t="n"/>
      <c r="J4295" s="123" t="n"/>
      <c r="K4295" s="123" t="n"/>
      <c r="L4295" s="123" t="n"/>
      <c r="M4295" s="123">
        <f>IF(AND(B4295&lt;&gt;"",OR($C$4="",ISNUMBER(SEARCH($C$4,C4295&amp;" "&amp;E4295&amp;" "&amp;G4295&amp;" "&amp;H4295&amp;" "&amp;I4295&amp;" "&amp;J4295&amp;" "&amp;K4295&amp;" "&amp;L4295))),OR($C$5="Semua",$C$5="",G4295=$C$5),OR($C$6="Semua",$C$6="",H4295=$C$6,H4295="Pengeluaran "&amp;$C$6,AND($C$6="Uang Kos Mama",H4295="Pengeluaran Uang Kos")),OR($C$7="Semua",$C$7="",I4295=$C$7),OR($C$8="Semua",$C$8="",C4295=$C$8,E4295=$C$8),OR($C$9="Semua",$C$9="",D4295=$C$9),OR($C$10="",B4295&gt;=$C$10),OR($C$11="",B4295&lt;=$C$11),OR($C$12&lt;&gt;"Ya",K4295&lt;&gt;""),OR($C$13="Semua",$C$13="",L4295=$C$13)),"✓","")</f>
        <v/>
      </c>
      <c r="N4295" s="93">
        <f>N(N4294)+IF(M4295="✓",1,0)</f>
        <v/>
      </c>
      <c r="O4295" s="93">
        <f>N(O4294)+IF(AND(B4295&lt;&gt;"",B4295&gt;='Uang Riba'!$H$30,B4295&lt;='Uang Riba'!$I$30,OR(H4295="Dana riba",H4295="Pinjam uang riba",I4295="Pinjam dari uang riba",I4295="Ganti uang riba",I4295="Kelebihan ganti dikembalikan",AND(C4295="Kantong Uang Riba",G4295="Pengeluaran"))),1,0)</f>
        <v/>
      </c>
      <c r="X4295" s="93">
        <f>IF(AND(B4295&lt;&gt;"",B4295&gt;='Buku Akun'!$H$4,B4295&lt;='Buku Akun'!$H$5,OR(C4295='Buku Akun'!$C$4,AND(D4295="Pindah",E4295='Buku Akun'!$C$4))),B4295+IF(AND(I4295="Selisih bunga",DAY(B4295)=1),0,0.01)+ROW()/10000000,"")</f>
        <v/>
      </c>
    </row>
    <row r="4296" outlineLevel="1" ht="15" customHeight="1" s="94">
      <c r="A4296" s="123">
        <f>IF(B4296="","",ROW()-15)</f>
        <v/>
      </c>
      <c r="B4296" s="124" t="n"/>
      <c r="C4296" s="123" t="n"/>
      <c r="D4296" s="123" t="n"/>
      <c r="E4296" s="123" t="n"/>
      <c r="F4296" s="125" t="n"/>
      <c r="G4296" s="123" t="n"/>
      <c r="H4296" s="123" t="n"/>
      <c r="I4296" s="123" t="n"/>
      <c r="J4296" s="123" t="n"/>
      <c r="K4296" s="123" t="n"/>
      <c r="L4296" s="123" t="n"/>
      <c r="M4296" s="123">
        <f>IF(AND(B4296&lt;&gt;"",OR($C$4="",ISNUMBER(SEARCH($C$4,C4296&amp;" "&amp;E4296&amp;" "&amp;G4296&amp;" "&amp;H4296&amp;" "&amp;I4296&amp;" "&amp;J4296&amp;" "&amp;K4296&amp;" "&amp;L4296))),OR($C$5="Semua",$C$5="",G4296=$C$5),OR($C$6="Semua",$C$6="",H4296=$C$6,H4296="Pengeluaran "&amp;$C$6,AND($C$6="Uang Kos Mama",H4296="Pengeluaran Uang Kos")),OR($C$7="Semua",$C$7="",I4296=$C$7),OR($C$8="Semua",$C$8="",C4296=$C$8,E4296=$C$8),OR($C$9="Semua",$C$9="",D4296=$C$9),OR($C$10="",B4296&gt;=$C$10),OR($C$11="",B4296&lt;=$C$11),OR($C$12&lt;&gt;"Ya",K4296&lt;&gt;""),OR($C$13="Semua",$C$13="",L4296=$C$13)),"✓","")</f>
        <v/>
      </c>
      <c r="N4296" s="93">
        <f>N(N4295)+IF(M4296="✓",1,0)</f>
        <v/>
      </c>
      <c r="O4296" s="93">
        <f>N(O4295)+IF(AND(B4296&lt;&gt;"",B4296&gt;='Uang Riba'!$H$30,B4296&lt;='Uang Riba'!$I$30,OR(H4296="Dana riba",H4296="Pinjam uang riba",I4296="Pinjam dari uang riba",I4296="Ganti uang riba",I4296="Kelebihan ganti dikembalikan",AND(C4296="Kantong Uang Riba",G4296="Pengeluaran"))),1,0)</f>
        <v/>
      </c>
      <c r="X4296" s="93">
        <f>IF(AND(B4296&lt;&gt;"",B4296&gt;='Buku Akun'!$H$4,B4296&lt;='Buku Akun'!$H$5,OR(C4296='Buku Akun'!$C$4,AND(D4296="Pindah",E4296='Buku Akun'!$C$4))),B4296+IF(AND(I4296="Selisih bunga",DAY(B4296)=1),0,0.01)+ROW()/10000000,"")</f>
        <v/>
      </c>
    </row>
    <row r="4297" outlineLevel="1" ht="15" customHeight="1" s="94">
      <c r="A4297" s="123">
        <f>IF(B4297="","",ROW()-15)</f>
        <v/>
      </c>
      <c r="B4297" s="124" t="n"/>
      <c r="C4297" s="123" t="n"/>
      <c r="D4297" s="123" t="n"/>
      <c r="E4297" s="123" t="n"/>
      <c r="F4297" s="125" t="n"/>
      <c r="G4297" s="123" t="n"/>
      <c r="H4297" s="123" t="n"/>
      <c r="I4297" s="123" t="n"/>
      <c r="J4297" s="123" t="n"/>
      <c r="K4297" s="123" t="n"/>
      <c r="L4297" s="123" t="n"/>
      <c r="M4297" s="123">
        <f>IF(AND(B4297&lt;&gt;"",OR($C$4="",ISNUMBER(SEARCH($C$4,C4297&amp;" "&amp;E4297&amp;" "&amp;G4297&amp;" "&amp;H4297&amp;" "&amp;I4297&amp;" "&amp;J4297&amp;" "&amp;K4297&amp;" "&amp;L4297))),OR($C$5="Semua",$C$5="",G4297=$C$5),OR($C$6="Semua",$C$6="",H4297=$C$6,H4297="Pengeluaran "&amp;$C$6,AND($C$6="Uang Kos Mama",H4297="Pengeluaran Uang Kos")),OR($C$7="Semua",$C$7="",I4297=$C$7),OR($C$8="Semua",$C$8="",C4297=$C$8,E4297=$C$8),OR($C$9="Semua",$C$9="",D4297=$C$9),OR($C$10="",B4297&gt;=$C$10),OR($C$11="",B4297&lt;=$C$11),OR($C$12&lt;&gt;"Ya",K4297&lt;&gt;""),OR($C$13="Semua",$C$13="",L4297=$C$13)),"✓","")</f>
        <v/>
      </c>
      <c r="N4297" s="93">
        <f>N(N4296)+IF(M4297="✓",1,0)</f>
        <v/>
      </c>
      <c r="O4297" s="93">
        <f>N(O4296)+IF(AND(B4297&lt;&gt;"",B4297&gt;='Uang Riba'!$H$30,B4297&lt;='Uang Riba'!$I$30,OR(H4297="Dana riba",H4297="Pinjam uang riba",I4297="Pinjam dari uang riba",I4297="Ganti uang riba",I4297="Kelebihan ganti dikembalikan",AND(C4297="Kantong Uang Riba",G4297="Pengeluaran"))),1,0)</f>
        <v/>
      </c>
      <c r="X4297" s="93">
        <f>IF(AND(B4297&lt;&gt;"",B4297&gt;='Buku Akun'!$H$4,B4297&lt;='Buku Akun'!$H$5,OR(C4297='Buku Akun'!$C$4,AND(D4297="Pindah",E4297='Buku Akun'!$C$4))),B4297+IF(AND(I4297="Selisih bunga",DAY(B4297)=1),0,0.01)+ROW()/10000000,"")</f>
        <v/>
      </c>
    </row>
    <row r="4298" outlineLevel="1" ht="15" customHeight="1" s="94">
      <c r="A4298" s="123">
        <f>IF(B4298="","",ROW()-15)</f>
        <v/>
      </c>
      <c r="B4298" s="124" t="n"/>
      <c r="C4298" s="123" t="n"/>
      <c r="D4298" s="123" t="n"/>
      <c r="E4298" s="123" t="n"/>
      <c r="F4298" s="125" t="n"/>
      <c r="G4298" s="123" t="n"/>
      <c r="H4298" s="123" t="n"/>
      <c r="I4298" s="123" t="n"/>
      <c r="J4298" s="123" t="n"/>
      <c r="K4298" s="123" t="n"/>
      <c r="L4298" s="123" t="n"/>
      <c r="M4298" s="123">
        <f>IF(AND(B4298&lt;&gt;"",OR($C$4="",ISNUMBER(SEARCH($C$4,C4298&amp;" "&amp;E4298&amp;" "&amp;G4298&amp;" "&amp;H4298&amp;" "&amp;I4298&amp;" "&amp;J4298&amp;" "&amp;K4298&amp;" "&amp;L4298))),OR($C$5="Semua",$C$5="",G4298=$C$5),OR($C$6="Semua",$C$6="",H4298=$C$6,H4298="Pengeluaran "&amp;$C$6,AND($C$6="Uang Kos Mama",H4298="Pengeluaran Uang Kos")),OR($C$7="Semua",$C$7="",I4298=$C$7),OR($C$8="Semua",$C$8="",C4298=$C$8,E4298=$C$8),OR($C$9="Semua",$C$9="",D4298=$C$9),OR($C$10="",B4298&gt;=$C$10),OR($C$11="",B4298&lt;=$C$11),OR($C$12&lt;&gt;"Ya",K4298&lt;&gt;""),OR($C$13="Semua",$C$13="",L4298=$C$13)),"✓","")</f>
        <v/>
      </c>
      <c r="N4298" s="93">
        <f>N(N4297)+IF(M4298="✓",1,0)</f>
        <v/>
      </c>
      <c r="O4298" s="93">
        <f>N(O4297)+IF(AND(B4298&lt;&gt;"",B4298&gt;='Uang Riba'!$H$30,B4298&lt;='Uang Riba'!$I$30,OR(H4298="Dana riba",H4298="Pinjam uang riba",I4298="Pinjam dari uang riba",I4298="Ganti uang riba",I4298="Kelebihan ganti dikembalikan",AND(C4298="Kantong Uang Riba",G4298="Pengeluaran"))),1,0)</f>
        <v/>
      </c>
      <c r="X4298" s="93">
        <f>IF(AND(B4298&lt;&gt;"",B4298&gt;='Buku Akun'!$H$4,B4298&lt;='Buku Akun'!$H$5,OR(C4298='Buku Akun'!$C$4,AND(D4298="Pindah",E4298='Buku Akun'!$C$4))),B4298+IF(AND(I4298="Selisih bunga",DAY(B4298)=1),0,0.01)+ROW()/10000000,"")</f>
        <v/>
      </c>
    </row>
    <row r="4299" outlineLevel="1" ht="15" customHeight="1" s="94">
      <c r="A4299" s="123">
        <f>IF(B4299="","",ROW()-15)</f>
        <v/>
      </c>
      <c r="B4299" s="124" t="n"/>
      <c r="C4299" s="123" t="n"/>
      <c r="D4299" s="123" t="n"/>
      <c r="E4299" s="123" t="n"/>
      <c r="F4299" s="125" t="n"/>
      <c r="G4299" s="123" t="n"/>
      <c r="H4299" s="123" t="n"/>
      <c r="I4299" s="123" t="n"/>
      <c r="J4299" s="123" t="n"/>
      <c r="K4299" s="123" t="n"/>
      <c r="L4299" s="123" t="n"/>
      <c r="M4299" s="123">
        <f>IF(AND(B4299&lt;&gt;"",OR($C$4="",ISNUMBER(SEARCH($C$4,C4299&amp;" "&amp;E4299&amp;" "&amp;G4299&amp;" "&amp;H4299&amp;" "&amp;I4299&amp;" "&amp;J4299&amp;" "&amp;K4299&amp;" "&amp;L4299))),OR($C$5="Semua",$C$5="",G4299=$C$5),OR($C$6="Semua",$C$6="",H4299=$C$6,H4299="Pengeluaran "&amp;$C$6,AND($C$6="Uang Kos Mama",H4299="Pengeluaran Uang Kos")),OR($C$7="Semua",$C$7="",I4299=$C$7),OR($C$8="Semua",$C$8="",C4299=$C$8,E4299=$C$8),OR($C$9="Semua",$C$9="",D4299=$C$9),OR($C$10="",B4299&gt;=$C$10),OR($C$11="",B4299&lt;=$C$11),OR($C$12&lt;&gt;"Ya",K4299&lt;&gt;""),OR($C$13="Semua",$C$13="",L4299=$C$13)),"✓","")</f>
        <v/>
      </c>
      <c r="N4299" s="93">
        <f>N(N4298)+IF(M4299="✓",1,0)</f>
        <v/>
      </c>
      <c r="O4299" s="93">
        <f>N(O4298)+IF(AND(B4299&lt;&gt;"",B4299&gt;='Uang Riba'!$H$30,B4299&lt;='Uang Riba'!$I$30,OR(H4299="Dana riba",H4299="Pinjam uang riba",I4299="Pinjam dari uang riba",I4299="Ganti uang riba",I4299="Kelebihan ganti dikembalikan",AND(C4299="Kantong Uang Riba",G4299="Pengeluaran"))),1,0)</f>
        <v/>
      </c>
      <c r="X4299" s="93">
        <f>IF(AND(B4299&lt;&gt;"",B4299&gt;='Buku Akun'!$H$4,B4299&lt;='Buku Akun'!$H$5,OR(C4299='Buku Akun'!$C$4,AND(D4299="Pindah",E4299='Buku Akun'!$C$4))),B4299+IF(AND(I4299="Selisih bunga",DAY(B4299)=1),0,0.01)+ROW()/10000000,"")</f>
        <v/>
      </c>
    </row>
    <row r="4300" outlineLevel="1" ht="15" customHeight="1" s="94">
      <c r="A4300" s="123">
        <f>IF(B4300="","",ROW()-15)</f>
        <v/>
      </c>
      <c r="B4300" s="124" t="n"/>
      <c r="C4300" s="123" t="n"/>
      <c r="D4300" s="123" t="n"/>
      <c r="E4300" s="123" t="n"/>
      <c r="F4300" s="125" t="n"/>
      <c r="G4300" s="123" t="n"/>
      <c r="H4300" s="123" t="n"/>
      <c r="I4300" s="123" t="n"/>
      <c r="J4300" s="123" t="n"/>
      <c r="K4300" s="123" t="n"/>
      <c r="L4300" s="123" t="n"/>
      <c r="M4300" s="123">
        <f>IF(AND(B4300&lt;&gt;"",OR($C$4="",ISNUMBER(SEARCH($C$4,C4300&amp;" "&amp;E4300&amp;" "&amp;G4300&amp;" "&amp;H4300&amp;" "&amp;I4300&amp;" "&amp;J4300&amp;" "&amp;K4300&amp;" "&amp;L4300))),OR($C$5="Semua",$C$5="",G4300=$C$5),OR($C$6="Semua",$C$6="",H4300=$C$6,H4300="Pengeluaran "&amp;$C$6,AND($C$6="Uang Kos Mama",H4300="Pengeluaran Uang Kos")),OR($C$7="Semua",$C$7="",I4300=$C$7),OR($C$8="Semua",$C$8="",C4300=$C$8,E4300=$C$8),OR($C$9="Semua",$C$9="",D4300=$C$9),OR($C$10="",B4300&gt;=$C$10),OR($C$11="",B4300&lt;=$C$11),OR($C$12&lt;&gt;"Ya",K4300&lt;&gt;""),OR($C$13="Semua",$C$13="",L4300=$C$13)),"✓","")</f>
        <v/>
      </c>
      <c r="N4300" s="93">
        <f>N(N4299)+IF(M4300="✓",1,0)</f>
        <v/>
      </c>
      <c r="O4300" s="93">
        <f>N(O4299)+IF(AND(B4300&lt;&gt;"",B4300&gt;='Uang Riba'!$H$30,B4300&lt;='Uang Riba'!$I$30,OR(H4300="Dana riba",H4300="Pinjam uang riba",I4300="Pinjam dari uang riba",I4300="Ganti uang riba",I4300="Kelebihan ganti dikembalikan",AND(C4300="Kantong Uang Riba",G4300="Pengeluaran"))),1,0)</f>
        <v/>
      </c>
      <c r="X4300" s="93">
        <f>IF(AND(B4300&lt;&gt;"",B4300&gt;='Buku Akun'!$H$4,B4300&lt;='Buku Akun'!$H$5,OR(C4300='Buku Akun'!$C$4,AND(D4300="Pindah",E4300='Buku Akun'!$C$4))),B4300+IF(AND(I4300="Selisih bunga",DAY(B4300)=1),0,0.01)+ROW()/10000000,"")</f>
        <v/>
      </c>
    </row>
    <row r="4301" outlineLevel="1" ht="15" customHeight="1" s="94">
      <c r="A4301" s="123">
        <f>IF(B4301="","",ROW()-15)</f>
        <v/>
      </c>
      <c r="B4301" s="124" t="n"/>
      <c r="C4301" s="123" t="n"/>
      <c r="D4301" s="123" t="n"/>
      <c r="E4301" s="123" t="n"/>
      <c r="F4301" s="125" t="n"/>
      <c r="G4301" s="123" t="n"/>
      <c r="H4301" s="123" t="n"/>
      <c r="I4301" s="123" t="n"/>
      <c r="J4301" s="123" t="n"/>
      <c r="K4301" s="123" t="n"/>
      <c r="L4301" s="123" t="n"/>
      <c r="M4301" s="123">
        <f>IF(AND(B4301&lt;&gt;"",OR($C$4="",ISNUMBER(SEARCH($C$4,C4301&amp;" "&amp;E4301&amp;" "&amp;G4301&amp;" "&amp;H4301&amp;" "&amp;I4301&amp;" "&amp;J4301&amp;" "&amp;K4301&amp;" "&amp;L4301))),OR($C$5="Semua",$C$5="",G4301=$C$5),OR($C$6="Semua",$C$6="",H4301=$C$6,H4301="Pengeluaran "&amp;$C$6,AND($C$6="Uang Kos Mama",H4301="Pengeluaran Uang Kos")),OR($C$7="Semua",$C$7="",I4301=$C$7),OR($C$8="Semua",$C$8="",C4301=$C$8,E4301=$C$8),OR($C$9="Semua",$C$9="",D4301=$C$9),OR($C$10="",B4301&gt;=$C$10),OR($C$11="",B4301&lt;=$C$11),OR($C$12&lt;&gt;"Ya",K4301&lt;&gt;""),OR($C$13="Semua",$C$13="",L4301=$C$13)),"✓","")</f>
        <v/>
      </c>
      <c r="N4301" s="93">
        <f>N(N4300)+IF(M4301="✓",1,0)</f>
        <v/>
      </c>
      <c r="O4301" s="93">
        <f>N(O4300)+IF(AND(B4301&lt;&gt;"",B4301&gt;='Uang Riba'!$H$30,B4301&lt;='Uang Riba'!$I$30,OR(H4301="Dana riba",H4301="Pinjam uang riba",I4301="Pinjam dari uang riba",I4301="Ganti uang riba",I4301="Kelebihan ganti dikembalikan",AND(C4301="Kantong Uang Riba",G4301="Pengeluaran"))),1,0)</f>
        <v/>
      </c>
      <c r="X4301" s="93">
        <f>IF(AND(B4301&lt;&gt;"",B4301&gt;='Buku Akun'!$H$4,B4301&lt;='Buku Akun'!$H$5,OR(C4301='Buku Akun'!$C$4,AND(D4301="Pindah",E4301='Buku Akun'!$C$4))),B4301+IF(AND(I4301="Selisih bunga",DAY(B4301)=1),0,0.01)+ROW()/10000000,"")</f>
        <v/>
      </c>
    </row>
    <row r="4302" outlineLevel="1" ht="15" customHeight="1" s="94">
      <c r="A4302" s="123">
        <f>IF(B4302="","",ROW()-15)</f>
        <v/>
      </c>
      <c r="B4302" s="124" t="n"/>
      <c r="C4302" s="123" t="n"/>
      <c r="D4302" s="123" t="n"/>
      <c r="E4302" s="123" t="n"/>
      <c r="F4302" s="125" t="n"/>
      <c r="G4302" s="123" t="n"/>
      <c r="H4302" s="123" t="n"/>
      <c r="I4302" s="123" t="n"/>
      <c r="J4302" s="123" t="n"/>
      <c r="K4302" s="123" t="n"/>
      <c r="L4302" s="123" t="n"/>
      <c r="M4302" s="123">
        <f>IF(AND(B4302&lt;&gt;"",OR($C$4="",ISNUMBER(SEARCH($C$4,C4302&amp;" "&amp;E4302&amp;" "&amp;G4302&amp;" "&amp;H4302&amp;" "&amp;I4302&amp;" "&amp;J4302&amp;" "&amp;K4302&amp;" "&amp;L4302))),OR($C$5="Semua",$C$5="",G4302=$C$5),OR($C$6="Semua",$C$6="",H4302=$C$6,H4302="Pengeluaran "&amp;$C$6,AND($C$6="Uang Kos Mama",H4302="Pengeluaran Uang Kos")),OR($C$7="Semua",$C$7="",I4302=$C$7),OR($C$8="Semua",$C$8="",C4302=$C$8,E4302=$C$8),OR($C$9="Semua",$C$9="",D4302=$C$9),OR($C$10="",B4302&gt;=$C$10),OR($C$11="",B4302&lt;=$C$11),OR($C$12&lt;&gt;"Ya",K4302&lt;&gt;""),OR($C$13="Semua",$C$13="",L4302=$C$13)),"✓","")</f>
        <v/>
      </c>
      <c r="N4302" s="93">
        <f>N(N4301)+IF(M4302="✓",1,0)</f>
        <v/>
      </c>
      <c r="O4302" s="93">
        <f>N(O4301)+IF(AND(B4302&lt;&gt;"",B4302&gt;='Uang Riba'!$H$30,B4302&lt;='Uang Riba'!$I$30,OR(H4302="Dana riba",H4302="Pinjam uang riba",I4302="Pinjam dari uang riba",I4302="Ganti uang riba",I4302="Kelebihan ganti dikembalikan",AND(C4302="Kantong Uang Riba",G4302="Pengeluaran"))),1,0)</f>
        <v/>
      </c>
      <c r="X4302" s="93">
        <f>IF(AND(B4302&lt;&gt;"",B4302&gt;='Buku Akun'!$H$4,B4302&lt;='Buku Akun'!$H$5,OR(C4302='Buku Akun'!$C$4,AND(D4302="Pindah",E4302='Buku Akun'!$C$4))),B4302+IF(AND(I4302="Selisih bunga",DAY(B4302)=1),0,0.01)+ROW()/10000000,"")</f>
        <v/>
      </c>
    </row>
    <row r="4303" outlineLevel="1" ht="15" customHeight="1" s="94">
      <c r="A4303" s="123">
        <f>IF(B4303="","",ROW()-15)</f>
        <v/>
      </c>
      <c r="B4303" s="124" t="n"/>
      <c r="C4303" s="123" t="n"/>
      <c r="D4303" s="123" t="n"/>
      <c r="E4303" s="123" t="n"/>
      <c r="F4303" s="125" t="n"/>
      <c r="G4303" s="123" t="n"/>
      <c r="H4303" s="123" t="n"/>
      <c r="I4303" s="123" t="n"/>
      <c r="J4303" s="123" t="n"/>
      <c r="K4303" s="123" t="n"/>
      <c r="L4303" s="123" t="n"/>
      <c r="M4303" s="123">
        <f>IF(AND(B4303&lt;&gt;"",OR($C$4="",ISNUMBER(SEARCH($C$4,C4303&amp;" "&amp;E4303&amp;" "&amp;G4303&amp;" "&amp;H4303&amp;" "&amp;I4303&amp;" "&amp;J4303&amp;" "&amp;K4303&amp;" "&amp;L4303))),OR($C$5="Semua",$C$5="",G4303=$C$5),OR($C$6="Semua",$C$6="",H4303=$C$6,H4303="Pengeluaran "&amp;$C$6,AND($C$6="Uang Kos Mama",H4303="Pengeluaran Uang Kos")),OR($C$7="Semua",$C$7="",I4303=$C$7),OR($C$8="Semua",$C$8="",C4303=$C$8,E4303=$C$8),OR($C$9="Semua",$C$9="",D4303=$C$9),OR($C$10="",B4303&gt;=$C$10),OR($C$11="",B4303&lt;=$C$11),OR($C$12&lt;&gt;"Ya",K4303&lt;&gt;""),OR($C$13="Semua",$C$13="",L4303=$C$13)),"✓","")</f>
        <v/>
      </c>
      <c r="N4303" s="93">
        <f>N(N4302)+IF(M4303="✓",1,0)</f>
        <v/>
      </c>
      <c r="O4303" s="93">
        <f>N(O4302)+IF(AND(B4303&lt;&gt;"",B4303&gt;='Uang Riba'!$H$30,B4303&lt;='Uang Riba'!$I$30,OR(H4303="Dana riba",H4303="Pinjam uang riba",I4303="Pinjam dari uang riba",I4303="Ganti uang riba",I4303="Kelebihan ganti dikembalikan",AND(C4303="Kantong Uang Riba",G4303="Pengeluaran"))),1,0)</f>
        <v/>
      </c>
      <c r="X4303" s="93">
        <f>IF(AND(B4303&lt;&gt;"",B4303&gt;='Buku Akun'!$H$4,B4303&lt;='Buku Akun'!$H$5,OR(C4303='Buku Akun'!$C$4,AND(D4303="Pindah",E4303='Buku Akun'!$C$4))),B4303+IF(AND(I4303="Selisih bunga",DAY(B4303)=1),0,0.01)+ROW()/10000000,"")</f>
        <v/>
      </c>
    </row>
    <row r="4304" outlineLevel="1" ht="15" customHeight="1" s="94">
      <c r="A4304" s="123">
        <f>IF(B4304="","",ROW()-15)</f>
        <v/>
      </c>
      <c r="B4304" s="124" t="n"/>
      <c r="C4304" s="123" t="n"/>
      <c r="D4304" s="123" t="n"/>
      <c r="E4304" s="123" t="n"/>
      <c r="F4304" s="125" t="n"/>
      <c r="G4304" s="123" t="n"/>
      <c r="H4304" s="123" t="n"/>
      <c r="I4304" s="123" t="n"/>
      <c r="J4304" s="123" t="n"/>
      <c r="K4304" s="123" t="n"/>
      <c r="L4304" s="123" t="n"/>
      <c r="M4304" s="123">
        <f>IF(AND(B4304&lt;&gt;"",OR($C$4="",ISNUMBER(SEARCH($C$4,C4304&amp;" "&amp;E4304&amp;" "&amp;G4304&amp;" "&amp;H4304&amp;" "&amp;I4304&amp;" "&amp;J4304&amp;" "&amp;K4304&amp;" "&amp;L4304))),OR($C$5="Semua",$C$5="",G4304=$C$5),OR($C$6="Semua",$C$6="",H4304=$C$6,H4304="Pengeluaran "&amp;$C$6,AND($C$6="Uang Kos Mama",H4304="Pengeluaran Uang Kos")),OR($C$7="Semua",$C$7="",I4304=$C$7),OR($C$8="Semua",$C$8="",C4304=$C$8,E4304=$C$8),OR($C$9="Semua",$C$9="",D4304=$C$9),OR($C$10="",B4304&gt;=$C$10),OR($C$11="",B4304&lt;=$C$11),OR($C$12&lt;&gt;"Ya",K4304&lt;&gt;""),OR($C$13="Semua",$C$13="",L4304=$C$13)),"✓","")</f>
        <v/>
      </c>
      <c r="N4304" s="93">
        <f>N(N4303)+IF(M4304="✓",1,0)</f>
        <v/>
      </c>
      <c r="O4304" s="93">
        <f>N(O4303)+IF(AND(B4304&lt;&gt;"",B4304&gt;='Uang Riba'!$H$30,B4304&lt;='Uang Riba'!$I$30,OR(H4304="Dana riba",H4304="Pinjam uang riba",I4304="Pinjam dari uang riba",I4304="Ganti uang riba",I4304="Kelebihan ganti dikembalikan",AND(C4304="Kantong Uang Riba",G4304="Pengeluaran"))),1,0)</f>
        <v/>
      </c>
      <c r="X4304" s="93">
        <f>IF(AND(B4304&lt;&gt;"",B4304&gt;='Buku Akun'!$H$4,B4304&lt;='Buku Akun'!$H$5,OR(C4304='Buku Akun'!$C$4,AND(D4304="Pindah",E4304='Buku Akun'!$C$4))),B4304+IF(AND(I4304="Selisih bunga",DAY(B4304)=1),0,0.01)+ROW()/10000000,"")</f>
        <v/>
      </c>
    </row>
    <row r="4305" outlineLevel="1" ht="15" customHeight="1" s="94">
      <c r="A4305" s="123">
        <f>IF(B4305="","",ROW()-15)</f>
        <v/>
      </c>
      <c r="B4305" s="124" t="n"/>
      <c r="C4305" s="123" t="n"/>
      <c r="D4305" s="123" t="n"/>
      <c r="E4305" s="123" t="n"/>
      <c r="F4305" s="125" t="n"/>
      <c r="G4305" s="123" t="n"/>
      <c r="H4305" s="123" t="n"/>
      <c r="I4305" s="123" t="n"/>
      <c r="J4305" s="123" t="n"/>
      <c r="K4305" s="123" t="n"/>
      <c r="L4305" s="123" t="n"/>
      <c r="M4305" s="123">
        <f>IF(AND(B4305&lt;&gt;"",OR($C$4="",ISNUMBER(SEARCH($C$4,C4305&amp;" "&amp;E4305&amp;" "&amp;G4305&amp;" "&amp;H4305&amp;" "&amp;I4305&amp;" "&amp;J4305&amp;" "&amp;K4305&amp;" "&amp;L4305))),OR($C$5="Semua",$C$5="",G4305=$C$5),OR($C$6="Semua",$C$6="",H4305=$C$6,H4305="Pengeluaran "&amp;$C$6,AND($C$6="Uang Kos Mama",H4305="Pengeluaran Uang Kos")),OR($C$7="Semua",$C$7="",I4305=$C$7),OR($C$8="Semua",$C$8="",C4305=$C$8,E4305=$C$8),OR($C$9="Semua",$C$9="",D4305=$C$9),OR($C$10="",B4305&gt;=$C$10),OR($C$11="",B4305&lt;=$C$11),OR($C$12&lt;&gt;"Ya",K4305&lt;&gt;""),OR($C$13="Semua",$C$13="",L4305=$C$13)),"✓","")</f>
        <v/>
      </c>
      <c r="N4305" s="93">
        <f>N(N4304)+IF(M4305="✓",1,0)</f>
        <v/>
      </c>
      <c r="O4305" s="93">
        <f>N(O4304)+IF(AND(B4305&lt;&gt;"",B4305&gt;='Uang Riba'!$H$30,B4305&lt;='Uang Riba'!$I$30,OR(H4305="Dana riba",H4305="Pinjam uang riba",I4305="Pinjam dari uang riba",I4305="Ganti uang riba",I4305="Kelebihan ganti dikembalikan",AND(C4305="Kantong Uang Riba",G4305="Pengeluaran"))),1,0)</f>
        <v/>
      </c>
      <c r="X4305" s="93">
        <f>IF(AND(B4305&lt;&gt;"",B4305&gt;='Buku Akun'!$H$4,B4305&lt;='Buku Akun'!$H$5,OR(C4305='Buku Akun'!$C$4,AND(D4305="Pindah",E4305='Buku Akun'!$C$4))),B4305+IF(AND(I4305="Selisih bunga",DAY(B4305)=1),0,0.01)+ROW()/10000000,"")</f>
        <v/>
      </c>
    </row>
    <row r="4306" outlineLevel="1" ht="15" customHeight="1" s="94">
      <c r="A4306" s="123">
        <f>IF(B4306="","",ROW()-15)</f>
        <v/>
      </c>
      <c r="B4306" s="124" t="n"/>
      <c r="C4306" s="123" t="n"/>
      <c r="D4306" s="123" t="n"/>
      <c r="E4306" s="123" t="n"/>
      <c r="F4306" s="125" t="n"/>
      <c r="G4306" s="123" t="n"/>
      <c r="H4306" s="123" t="n"/>
      <c r="I4306" s="123" t="n"/>
      <c r="J4306" s="123" t="n"/>
      <c r="K4306" s="123" t="n"/>
      <c r="L4306" s="123" t="n"/>
      <c r="M4306" s="123">
        <f>IF(AND(B4306&lt;&gt;"",OR($C$4="",ISNUMBER(SEARCH($C$4,C4306&amp;" "&amp;E4306&amp;" "&amp;G4306&amp;" "&amp;H4306&amp;" "&amp;I4306&amp;" "&amp;J4306&amp;" "&amp;K4306&amp;" "&amp;L4306))),OR($C$5="Semua",$C$5="",G4306=$C$5),OR($C$6="Semua",$C$6="",H4306=$C$6,H4306="Pengeluaran "&amp;$C$6,AND($C$6="Uang Kos Mama",H4306="Pengeluaran Uang Kos")),OR($C$7="Semua",$C$7="",I4306=$C$7),OR($C$8="Semua",$C$8="",C4306=$C$8,E4306=$C$8),OR($C$9="Semua",$C$9="",D4306=$C$9),OR($C$10="",B4306&gt;=$C$10),OR($C$11="",B4306&lt;=$C$11),OR($C$12&lt;&gt;"Ya",K4306&lt;&gt;""),OR($C$13="Semua",$C$13="",L4306=$C$13)),"✓","")</f>
        <v/>
      </c>
      <c r="N4306" s="93">
        <f>N(N4305)+IF(M4306="✓",1,0)</f>
        <v/>
      </c>
      <c r="O4306" s="93">
        <f>N(O4305)+IF(AND(B4306&lt;&gt;"",B4306&gt;='Uang Riba'!$H$30,B4306&lt;='Uang Riba'!$I$30,OR(H4306="Dana riba",H4306="Pinjam uang riba",I4306="Pinjam dari uang riba",I4306="Ganti uang riba",I4306="Kelebihan ganti dikembalikan",AND(C4306="Kantong Uang Riba",G4306="Pengeluaran"))),1,0)</f>
        <v/>
      </c>
      <c r="X4306" s="93">
        <f>IF(AND(B4306&lt;&gt;"",B4306&gt;='Buku Akun'!$H$4,B4306&lt;='Buku Akun'!$H$5,OR(C4306='Buku Akun'!$C$4,AND(D4306="Pindah",E4306='Buku Akun'!$C$4))),B4306+IF(AND(I4306="Selisih bunga",DAY(B4306)=1),0,0.01)+ROW()/10000000,"")</f>
        <v/>
      </c>
    </row>
    <row r="4307" outlineLevel="1" ht="15" customHeight="1" s="94">
      <c r="A4307" s="123">
        <f>IF(B4307="","",ROW()-15)</f>
        <v/>
      </c>
      <c r="B4307" s="124" t="n"/>
      <c r="C4307" s="123" t="n"/>
      <c r="D4307" s="123" t="n"/>
      <c r="E4307" s="123" t="n"/>
      <c r="F4307" s="125" t="n"/>
      <c r="G4307" s="123" t="n"/>
      <c r="H4307" s="123" t="n"/>
      <c r="I4307" s="123" t="n"/>
      <c r="J4307" s="123" t="n"/>
      <c r="K4307" s="123" t="n"/>
      <c r="L4307" s="123" t="n"/>
      <c r="M4307" s="123">
        <f>IF(AND(B4307&lt;&gt;"",OR($C$4="",ISNUMBER(SEARCH($C$4,C4307&amp;" "&amp;E4307&amp;" "&amp;G4307&amp;" "&amp;H4307&amp;" "&amp;I4307&amp;" "&amp;J4307&amp;" "&amp;K4307&amp;" "&amp;L4307))),OR($C$5="Semua",$C$5="",G4307=$C$5),OR($C$6="Semua",$C$6="",H4307=$C$6,H4307="Pengeluaran "&amp;$C$6,AND($C$6="Uang Kos Mama",H4307="Pengeluaran Uang Kos")),OR($C$7="Semua",$C$7="",I4307=$C$7),OR($C$8="Semua",$C$8="",C4307=$C$8,E4307=$C$8),OR($C$9="Semua",$C$9="",D4307=$C$9),OR($C$10="",B4307&gt;=$C$10),OR($C$11="",B4307&lt;=$C$11),OR($C$12&lt;&gt;"Ya",K4307&lt;&gt;""),OR($C$13="Semua",$C$13="",L4307=$C$13)),"✓","")</f>
        <v/>
      </c>
      <c r="N4307" s="93">
        <f>N(N4306)+IF(M4307="✓",1,0)</f>
        <v/>
      </c>
      <c r="O4307" s="93">
        <f>N(O4306)+IF(AND(B4307&lt;&gt;"",B4307&gt;='Uang Riba'!$H$30,B4307&lt;='Uang Riba'!$I$30,OR(H4307="Dana riba",H4307="Pinjam uang riba",I4307="Pinjam dari uang riba",I4307="Ganti uang riba",I4307="Kelebihan ganti dikembalikan",AND(C4307="Kantong Uang Riba",G4307="Pengeluaran"))),1,0)</f>
        <v/>
      </c>
      <c r="X4307" s="93">
        <f>IF(AND(B4307&lt;&gt;"",B4307&gt;='Buku Akun'!$H$4,B4307&lt;='Buku Akun'!$H$5,OR(C4307='Buku Akun'!$C$4,AND(D4307="Pindah",E4307='Buku Akun'!$C$4))),B4307+IF(AND(I4307="Selisih bunga",DAY(B4307)=1),0,0.01)+ROW()/10000000,"")</f>
        <v/>
      </c>
    </row>
    <row r="4308" outlineLevel="1" ht="15" customHeight="1" s="94">
      <c r="A4308" s="123">
        <f>IF(B4308="","",ROW()-15)</f>
        <v/>
      </c>
      <c r="B4308" s="124" t="n"/>
      <c r="C4308" s="123" t="n"/>
      <c r="D4308" s="123" t="n"/>
      <c r="E4308" s="123" t="n"/>
      <c r="F4308" s="125" t="n"/>
      <c r="G4308" s="123" t="n"/>
      <c r="H4308" s="123" t="n"/>
      <c r="I4308" s="123" t="n"/>
      <c r="J4308" s="123" t="n"/>
      <c r="K4308" s="123" t="n"/>
      <c r="L4308" s="123" t="n"/>
      <c r="M4308" s="123">
        <f>IF(AND(B4308&lt;&gt;"",OR($C$4="",ISNUMBER(SEARCH($C$4,C4308&amp;" "&amp;E4308&amp;" "&amp;G4308&amp;" "&amp;H4308&amp;" "&amp;I4308&amp;" "&amp;J4308&amp;" "&amp;K4308&amp;" "&amp;L4308))),OR($C$5="Semua",$C$5="",G4308=$C$5),OR($C$6="Semua",$C$6="",H4308=$C$6,H4308="Pengeluaran "&amp;$C$6,AND($C$6="Uang Kos Mama",H4308="Pengeluaran Uang Kos")),OR($C$7="Semua",$C$7="",I4308=$C$7),OR($C$8="Semua",$C$8="",C4308=$C$8,E4308=$C$8),OR($C$9="Semua",$C$9="",D4308=$C$9),OR($C$10="",B4308&gt;=$C$10),OR($C$11="",B4308&lt;=$C$11),OR($C$12&lt;&gt;"Ya",K4308&lt;&gt;""),OR($C$13="Semua",$C$13="",L4308=$C$13)),"✓","")</f>
        <v/>
      </c>
      <c r="N4308" s="93">
        <f>N(N4307)+IF(M4308="✓",1,0)</f>
        <v/>
      </c>
      <c r="O4308" s="93">
        <f>N(O4307)+IF(AND(B4308&lt;&gt;"",B4308&gt;='Uang Riba'!$H$30,B4308&lt;='Uang Riba'!$I$30,OR(H4308="Dana riba",H4308="Pinjam uang riba",I4308="Pinjam dari uang riba",I4308="Ganti uang riba",I4308="Kelebihan ganti dikembalikan",AND(C4308="Kantong Uang Riba",G4308="Pengeluaran"))),1,0)</f>
        <v/>
      </c>
      <c r="X4308" s="93">
        <f>IF(AND(B4308&lt;&gt;"",B4308&gt;='Buku Akun'!$H$4,B4308&lt;='Buku Akun'!$H$5,OR(C4308='Buku Akun'!$C$4,AND(D4308="Pindah",E4308='Buku Akun'!$C$4))),B4308+IF(AND(I4308="Selisih bunga",DAY(B4308)=1),0,0.01)+ROW()/10000000,"")</f>
        <v/>
      </c>
    </row>
    <row r="4309" outlineLevel="1" ht="15" customHeight="1" s="94">
      <c r="A4309" s="123">
        <f>IF(B4309="","",ROW()-15)</f>
        <v/>
      </c>
      <c r="B4309" s="124" t="n"/>
      <c r="C4309" s="123" t="n"/>
      <c r="D4309" s="123" t="n"/>
      <c r="E4309" s="123" t="n"/>
      <c r="F4309" s="125" t="n"/>
      <c r="G4309" s="123" t="n"/>
      <c r="H4309" s="123" t="n"/>
      <c r="I4309" s="123" t="n"/>
      <c r="J4309" s="123" t="n"/>
      <c r="K4309" s="123" t="n"/>
      <c r="L4309" s="123" t="n"/>
      <c r="M4309" s="123">
        <f>IF(AND(B4309&lt;&gt;"",OR($C$4="",ISNUMBER(SEARCH($C$4,C4309&amp;" "&amp;E4309&amp;" "&amp;G4309&amp;" "&amp;H4309&amp;" "&amp;I4309&amp;" "&amp;J4309&amp;" "&amp;K4309&amp;" "&amp;L4309))),OR($C$5="Semua",$C$5="",G4309=$C$5),OR($C$6="Semua",$C$6="",H4309=$C$6,H4309="Pengeluaran "&amp;$C$6,AND($C$6="Uang Kos Mama",H4309="Pengeluaran Uang Kos")),OR($C$7="Semua",$C$7="",I4309=$C$7),OR($C$8="Semua",$C$8="",C4309=$C$8,E4309=$C$8),OR($C$9="Semua",$C$9="",D4309=$C$9),OR($C$10="",B4309&gt;=$C$10),OR($C$11="",B4309&lt;=$C$11),OR($C$12&lt;&gt;"Ya",K4309&lt;&gt;""),OR($C$13="Semua",$C$13="",L4309=$C$13)),"✓","")</f>
        <v/>
      </c>
      <c r="N4309" s="93">
        <f>N(N4308)+IF(M4309="✓",1,0)</f>
        <v/>
      </c>
      <c r="O4309" s="93">
        <f>N(O4308)+IF(AND(B4309&lt;&gt;"",B4309&gt;='Uang Riba'!$H$30,B4309&lt;='Uang Riba'!$I$30,OR(H4309="Dana riba",H4309="Pinjam uang riba",I4309="Pinjam dari uang riba",I4309="Ganti uang riba",I4309="Kelebihan ganti dikembalikan",AND(C4309="Kantong Uang Riba",G4309="Pengeluaran"))),1,0)</f>
        <v/>
      </c>
      <c r="X4309" s="93">
        <f>IF(AND(B4309&lt;&gt;"",B4309&gt;='Buku Akun'!$H$4,B4309&lt;='Buku Akun'!$H$5,OR(C4309='Buku Akun'!$C$4,AND(D4309="Pindah",E4309='Buku Akun'!$C$4))),B4309+IF(AND(I4309="Selisih bunga",DAY(B4309)=1),0,0.01)+ROW()/10000000,"")</f>
        <v/>
      </c>
    </row>
    <row r="4310" outlineLevel="1" ht="15" customHeight="1" s="94">
      <c r="A4310" s="123">
        <f>IF(B4310="","",ROW()-15)</f>
        <v/>
      </c>
      <c r="B4310" s="124" t="n"/>
      <c r="C4310" s="123" t="n"/>
      <c r="D4310" s="123" t="n"/>
      <c r="E4310" s="123" t="n"/>
      <c r="F4310" s="125" t="n"/>
      <c r="G4310" s="123" t="n"/>
      <c r="H4310" s="123" t="n"/>
      <c r="I4310" s="123" t="n"/>
      <c r="J4310" s="123" t="n"/>
      <c r="K4310" s="123" t="n"/>
      <c r="L4310" s="123" t="n"/>
      <c r="M4310" s="123">
        <f>IF(AND(B4310&lt;&gt;"",OR($C$4="",ISNUMBER(SEARCH($C$4,C4310&amp;" "&amp;E4310&amp;" "&amp;G4310&amp;" "&amp;H4310&amp;" "&amp;I4310&amp;" "&amp;J4310&amp;" "&amp;K4310&amp;" "&amp;L4310))),OR($C$5="Semua",$C$5="",G4310=$C$5),OR($C$6="Semua",$C$6="",H4310=$C$6,H4310="Pengeluaran "&amp;$C$6,AND($C$6="Uang Kos Mama",H4310="Pengeluaran Uang Kos")),OR($C$7="Semua",$C$7="",I4310=$C$7),OR($C$8="Semua",$C$8="",C4310=$C$8,E4310=$C$8),OR($C$9="Semua",$C$9="",D4310=$C$9),OR($C$10="",B4310&gt;=$C$10),OR($C$11="",B4310&lt;=$C$11),OR($C$12&lt;&gt;"Ya",K4310&lt;&gt;""),OR($C$13="Semua",$C$13="",L4310=$C$13)),"✓","")</f>
        <v/>
      </c>
      <c r="N4310" s="93">
        <f>N(N4309)+IF(M4310="✓",1,0)</f>
        <v/>
      </c>
      <c r="O4310" s="93">
        <f>N(O4309)+IF(AND(B4310&lt;&gt;"",B4310&gt;='Uang Riba'!$H$30,B4310&lt;='Uang Riba'!$I$30,OR(H4310="Dana riba",H4310="Pinjam uang riba",I4310="Pinjam dari uang riba",I4310="Ganti uang riba",I4310="Kelebihan ganti dikembalikan",AND(C4310="Kantong Uang Riba",G4310="Pengeluaran"))),1,0)</f>
        <v/>
      </c>
      <c r="X4310" s="93">
        <f>IF(AND(B4310&lt;&gt;"",B4310&gt;='Buku Akun'!$H$4,B4310&lt;='Buku Akun'!$H$5,OR(C4310='Buku Akun'!$C$4,AND(D4310="Pindah",E4310='Buku Akun'!$C$4))),B4310+IF(AND(I4310="Selisih bunga",DAY(B4310)=1),0,0.01)+ROW()/10000000,"")</f>
        <v/>
      </c>
    </row>
    <row r="4311" outlineLevel="1" ht="15" customHeight="1" s="94">
      <c r="A4311" s="123">
        <f>IF(B4311="","",ROW()-15)</f>
        <v/>
      </c>
      <c r="B4311" s="124" t="n"/>
      <c r="C4311" s="123" t="n"/>
      <c r="D4311" s="123" t="n"/>
      <c r="E4311" s="123" t="n"/>
      <c r="F4311" s="125" t="n"/>
      <c r="G4311" s="123" t="n"/>
      <c r="H4311" s="123" t="n"/>
      <c r="I4311" s="123" t="n"/>
      <c r="J4311" s="123" t="n"/>
      <c r="K4311" s="123" t="n"/>
      <c r="L4311" s="123" t="n"/>
      <c r="M4311" s="123">
        <f>IF(AND(B4311&lt;&gt;"",OR($C$4="",ISNUMBER(SEARCH($C$4,C4311&amp;" "&amp;E4311&amp;" "&amp;G4311&amp;" "&amp;H4311&amp;" "&amp;I4311&amp;" "&amp;J4311&amp;" "&amp;K4311&amp;" "&amp;L4311))),OR($C$5="Semua",$C$5="",G4311=$C$5),OR($C$6="Semua",$C$6="",H4311=$C$6,H4311="Pengeluaran "&amp;$C$6,AND($C$6="Uang Kos Mama",H4311="Pengeluaran Uang Kos")),OR($C$7="Semua",$C$7="",I4311=$C$7),OR($C$8="Semua",$C$8="",C4311=$C$8,E4311=$C$8),OR($C$9="Semua",$C$9="",D4311=$C$9),OR($C$10="",B4311&gt;=$C$10),OR($C$11="",B4311&lt;=$C$11),OR($C$12&lt;&gt;"Ya",K4311&lt;&gt;""),OR($C$13="Semua",$C$13="",L4311=$C$13)),"✓","")</f>
        <v/>
      </c>
      <c r="N4311" s="93">
        <f>N(N4310)+IF(M4311="✓",1,0)</f>
        <v/>
      </c>
      <c r="O4311" s="93">
        <f>N(O4310)+IF(AND(B4311&lt;&gt;"",B4311&gt;='Uang Riba'!$H$30,B4311&lt;='Uang Riba'!$I$30,OR(H4311="Dana riba",H4311="Pinjam uang riba",I4311="Pinjam dari uang riba",I4311="Ganti uang riba",I4311="Kelebihan ganti dikembalikan",AND(C4311="Kantong Uang Riba",G4311="Pengeluaran"))),1,0)</f>
        <v/>
      </c>
      <c r="X4311" s="93">
        <f>IF(AND(B4311&lt;&gt;"",B4311&gt;='Buku Akun'!$H$4,B4311&lt;='Buku Akun'!$H$5,OR(C4311='Buku Akun'!$C$4,AND(D4311="Pindah",E4311='Buku Akun'!$C$4))),B4311+IF(AND(I4311="Selisih bunga",DAY(B4311)=1),0,0.01)+ROW()/10000000,"")</f>
        <v/>
      </c>
    </row>
    <row r="4312" outlineLevel="1" ht="15" customHeight="1" s="94">
      <c r="A4312" s="123">
        <f>IF(B4312="","",ROW()-15)</f>
        <v/>
      </c>
      <c r="B4312" s="124" t="n"/>
      <c r="C4312" s="123" t="n"/>
      <c r="D4312" s="123" t="n"/>
      <c r="E4312" s="123" t="n"/>
      <c r="F4312" s="125" t="n"/>
      <c r="G4312" s="123" t="n"/>
      <c r="H4312" s="123" t="n"/>
      <c r="I4312" s="123" t="n"/>
      <c r="J4312" s="123" t="n"/>
      <c r="K4312" s="123" t="n"/>
      <c r="L4312" s="123" t="n"/>
      <c r="M4312" s="123">
        <f>IF(AND(B4312&lt;&gt;"",OR($C$4="",ISNUMBER(SEARCH($C$4,C4312&amp;" "&amp;E4312&amp;" "&amp;G4312&amp;" "&amp;H4312&amp;" "&amp;I4312&amp;" "&amp;J4312&amp;" "&amp;K4312&amp;" "&amp;L4312))),OR($C$5="Semua",$C$5="",G4312=$C$5),OR($C$6="Semua",$C$6="",H4312=$C$6,H4312="Pengeluaran "&amp;$C$6,AND($C$6="Uang Kos Mama",H4312="Pengeluaran Uang Kos")),OR($C$7="Semua",$C$7="",I4312=$C$7),OR($C$8="Semua",$C$8="",C4312=$C$8,E4312=$C$8),OR($C$9="Semua",$C$9="",D4312=$C$9),OR($C$10="",B4312&gt;=$C$10),OR($C$11="",B4312&lt;=$C$11),OR($C$12&lt;&gt;"Ya",K4312&lt;&gt;""),OR($C$13="Semua",$C$13="",L4312=$C$13)),"✓","")</f>
        <v/>
      </c>
      <c r="N4312" s="93">
        <f>N(N4311)+IF(M4312="✓",1,0)</f>
        <v/>
      </c>
      <c r="O4312" s="93">
        <f>N(O4311)+IF(AND(B4312&lt;&gt;"",B4312&gt;='Uang Riba'!$H$30,B4312&lt;='Uang Riba'!$I$30,OR(H4312="Dana riba",H4312="Pinjam uang riba",I4312="Pinjam dari uang riba",I4312="Ganti uang riba",I4312="Kelebihan ganti dikembalikan",AND(C4312="Kantong Uang Riba",G4312="Pengeluaran"))),1,0)</f>
        <v/>
      </c>
      <c r="X4312" s="93">
        <f>IF(AND(B4312&lt;&gt;"",B4312&gt;='Buku Akun'!$H$4,B4312&lt;='Buku Akun'!$H$5,OR(C4312='Buku Akun'!$C$4,AND(D4312="Pindah",E4312='Buku Akun'!$C$4))),B4312+IF(AND(I4312="Selisih bunga",DAY(B4312)=1),0,0.01)+ROW()/10000000,"")</f>
        <v/>
      </c>
    </row>
    <row r="4313" outlineLevel="1" ht="15" customHeight="1" s="94">
      <c r="A4313" s="123">
        <f>IF(B4313="","",ROW()-15)</f>
        <v/>
      </c>
      <c r="B4313" s="124" t="n"/>
      <c r="C4313" s="123" t="n"/>
      <c r="D4313" s="123" t="n"/>
      <c r="E4313" s="123" t="n"/>
      <c r="F4313" s="125" t="n"/>
      <c r="G4313" s="123" t="n"/>
      <c r="H4313" s="123" t="n"/>
      <c r="I4313" s="123" t="n"/>
      <c r="J4313" s="123" t="n"/>
      <c r="K4313" s="123" t="n"/>
      <c r="L4313" s="123" t="n"/>
      <c r="M4313" s="123">
        <f>IF(AND(B4313&lt;&gt;"",OR($C$4="",ISNUMBER(SEARCH($C$4,C4313&amp;" "&amp;E4313&amp;" "&amp;G4313&amp;" "&amp;H4313&amp;" "&amp;I4313&amp;" "&amp;J4313&amp;" "&amp;K4313&amp;" "&amp;L4313))),OR($C$5="Semua",$C$5="",G4313=$C$5),OR($C$6="Semua",$C$6="",H4313=$C$6,H4313="Pengeluaran "&amp;$C$6,AND($C$6="Uang Kos Mama",H4313="Pengeluaran Uang Kos")),OR($C$7="Semua",$C$7="",I4313=$C$7),OR($C$8="Semua",$C$8="",C4313=$C$8,E4313=$C$8),OR($C$9="Semua",$C$9="",D4313=$C$9),OR($C$10="",B4313&gt;=$C$10),OR($C$11="",B4313&lt;=$C$11),OR($C$12&lt;&gt;"Ya",K4313&lt;&gt;""),OR($C$13="Semua",$C$13="",L4313=$C$13)),"✓","")</f>
        <v/>
      </c>
      <c r="N4313" s="93">
        <f>N(N4312)+IF(M4313="✓",1,0)</f>
        <v/>
      </c>
      <c r="O4313" s="93">
        <f>N(O4312)+IF(AND(B4313&lt;&gt;"",B4313&gt;='Uang Riba'!$H$30,B4313&lt;='Uang Riba'!$I$30,OR(H4313="Dana riba",H4313="Pinjam uang riba",I4313="Pinjam dari uang riba",I4313="Ganti uang riba",I4313="Kelebihan ganti dikembalikan",AND(C4313="Kantong Uang Riba",G4313="Pengeluaran"))),1,0)</f>
        <v/>
      </c>
      <c r="X4313" s="93">
        <f>IF(AND(B4313&lt;&gt;"",B4313&gt;='Buku Akun'!$H$4,B4313&lt;='Buku Akun'!$H$5,OR(C4313='Buku Akun'!$C$4,AND(D4313="Pindah",E4313='Buku Akun'!$C$4))),B4313+IF(AND(I4313="Selisih bunga",DAY(B4313)=1),0,0.01)+ROW()/10000000,"")</f>
        <v/>
      </c>
    </row>
    <row r="4314" outlineLevel="1" ht="15" customHeight="1" s="94">
      <c r="A4314" s="123">
        <f>IF(B4314="","",ROW()-15)</f>
        <v/>
      </c>
      <c r="B4314" s="124" t="n"/>
      <c r="C4314" s="123" t="n"/>
      <c r="D4314" s="123" t="n"/>
      <c r="E4314" s="123" t="n"/>
      <c r="F4314" s="125" t="n"/>
      <c r="G4314" s="123" t="n"/>
      <c r="H4314" s="123" t="n"/>
      <c r="I4314" s="123" t="n"/>
      <c r="J4314" s="123" t="n"/>
      <c r="K4314" s="123" t="n"/>
      <c r="L4314" s="123" t="n"/>
      <c r="M4314" s="123">
        <f>IF(AND(B4314&lt;&gt;"",OR($C$4="",ISNUMBER(SEARCH($C$4,C4314&amp;" "&amp;E4314&amp;" "&amp;G4314&amp;" "&amp;H4314&amp;" "&amp;I4314&amp;" "&amp;J4314&amp;" "&amp;K4314&amp;" "&amp;L4314))),OR($C$5="Semua",$C$5="",G4314=$C$5),OR($C$6="Semua",$C$6="",H4314=$C$6,H4314="Pengeluaran "&amp;$C$6,AND($C$6="Uang Kos Mama",H4314="Pengeluaran Uang Kos")),OR($C$7="Semua",$C$7="",I4314=$C$7),OR($C$8="Semua",$C$8="",C4314=$C$8,E4314=$C$8),OR($C$9="Semua",$C$9="",D4314=$C$9),OR($C$10="",B4314&gt;=$C$10),OR($C$11="",B4314&lt;=$C$11),OR($C$12&lt;&gt;"Ya",K4314&lt;&gt;""),OR($C$13="Semua",$C$13="",L4314=$C$13)),"✓","")</f>
        <v/>
      </c>
      <c r="N4314" s="93">
        <f>N(N4313)+IF(M4314="✓",1,0)</f>
        <v/>
      </c>
      <c r="O4314" s="93">
        <f>N(O4313)+IF(AND(B4314&lt;&gt;"",B4314&gt;='Uang Riba'!$H$30,B4314&lt;='Uang Riba'!$I$30,OR(H4314="Dana riba",H4314="Pinjam uang riba",I4314="Pinjam dari uang riba",I4314="Ganti uang riba",I4314="Kelebihan ganti dikembalikan",AND(C4314="Kantong Uang Riba",G4314="Pengeluaran"))),1,0)</f>
        <v/>
      </c>
      <c r="X4314" s="93">
        <f>IF(AND(B4314&lt;&gt;"",B4314&gt;='Buku Akun'!$H$4,B4314&lt;='Buku Akun'!$H$5,OR(C4314='Buku Akun'!$C$4,AND(D4314="Pindah",E4314='Buku Akun'!$C$4))),B4314+IF(AND(I4314="Selisih bunga",DAY(B4314)=1),0,0.01)+ROW()/10000000,"")</f>
        <v/>
      </c>
    </row>
    <row r="4315" outlineLevel="1" ht="15" customHeight="1" s="94">
      <c r="A4315" s="123">
        <f>IF(B4315="","",ROW()-15)</f>
        <v/>
      </c>
      <c r="B4315" s="124" t="n"/>
      <c r="C4315" s="123" t="n"/>
      <c r="D4315" s="123" t="n"/>
      <c r="E4315" s="123" t="n"/>
      <c r="F4315" s="125" t="n"/>
      <c r="G4315" s="123" t="n"/>
      <c r="H4315" s="123" t="n"/>
      <c r="I4315" s="123" t="n"/>
      <c r="J4315" s="123" t="n"/>
      <c r="K4315" s="123" t="n"/>
      <c r="L4315" s="123" t="n"/>
      <c r="M4315" s="123">
        <f>IF(AND(B4315&lt;&gt;"",OR($C$4="",ISNUMBER(SEARCH($C$4,C4315&amp;" "&amp;E4315&amp;" "&amp;G4315&amp;" "&amp;H4315&amp;" "&amp;I4315&amp;" "&amp;J4315&amp;" "&amp;K4315&amp;" "&amp;L4315))),OR($C$5="Semua",$C$5="",G4315=$C$5),OR($C$6="Semua",$C$6="",H4315=$C$6,H4315="Pengeluaran "&amp;$C$6,AND($C$6="Uang Kos Mama",H4315="Pengeluaran Uang Kos")),OR($C$7="Semua",$C$7="",I4315=$C$7),OR($C$8="Semua",$C$8="",C4315=$C$8,E4315=$C$8),OR($C$9="Semua",$C$9="",D4315=$C$9),OR($C$10="",B4315&gt;=$C$10),OR($C$11="",B4315&lt;=$C$11),OR($C$12&lt;&gt;"Ya",K4315&lt;&gt;""),OR($C$13="Semua",$C$13="",L4315=$C$13)),"✓","")</f>
        <v/>
      </c>
      <c r="N4315" s="93">
        <f>N(N4314)+IF(M4315="✓",1,0)</f>
        <v/>
      </c>
      <c r="O4315" s="93">
        <f>N(O4314)+IF(AND(B4315&lt;&gt;"",B4315&gt;='Uang Riba'!$H$30,B4315&lt;='Uang Riba'!$I$30,OR(H4315="Dana riba",H4315="Pinjam uang riba",I4315="Pinjam dari uang riba",I4315="Ganti uang riba",I4315="Kelebihan ganti dikembalikan",AND(C4315="Kantong Uang Riba",G4315="Pengeluaran"))),1,0)</f>
        <v/>
      </c>
      <c r="X4315" s="93">
        <f>IF(AND(B4315&lt;&gt;"",B4315&gt;='Buku Akun'!$H$4,B4315&lt;='Buku Akun'!$H$5,OR(C4315='Buku Akun'!$C$4,AND(D4315="Pindah",E4315='Buku Akun'!$C$4))),B4315+IF(AND(I4315="Selisih bunga",DAY(B4315)=1),0,0.01)+ROW()/10000000,"")</f>
        <v/>
      </c>
    </row>
    <row r="4316" outlineLevel="1" ht="15" customHeight="1" s="94">
      <c r="A4316" s="123">
        <f>IF(B4316="","",ROW()-15)</f>
        <v/>
      </c>
      <c r="B4316" s="124" t="n"/>
      <c r="C4316" s="123" t="n"/>
      <c r="D4316" s="123" t="n"/>
      <c r="E4316" s="123" t="n"/>
      <c r="F4316" s="125" t="n"/>
      <c r="G4316" s="123" t="n"/>
      <c r="H4316" s="123" t="n"/>
      <c r="I4316" s="123" t="n"/>
      <c r="J4316" s="123" t="n"/>
      <c r="K4316" s="123" t="n"/>
      <c r="L4316" s="123" t="n"/>
      <c r="M4316" s="123">
        <f>IF(AND(B4316&lt;&gt;"",OR($C$4="",ISNUMBER(SEARCH($C$4,C4316&amp;" "&amp;E4316&amp;" "&amp;G4316&amp;" "&amp;H4316&amp;" "&amp;I4316&amp;" "&amp;J4316&amp;" "&amp;K4316&amp;" "&amp;L4316))),OR($C$5="Semua",$C$5="",G4316=$C$5),OR($C$6="Semua",$C$6="",H4316=$C$6,H4316="Pengeluaran "&amp;$C$6,AND($C$6="Uang Kos Mama",H4316="Pengeluaran Uang Kos")),OR($C$7="Semua",$C$7="",I4316=$C$7),OR($C$8="Semua",$C$8="",C4316=$C$8,E4316=$C$8),OR($C$9="Semua",$C$9="",D4316=$C$9),OR($C$10="",B4316&gt;=$C$10),OR($C$11="",B4316&lt;=$C$11),OR($C$12&lt;&gt;"Ya",K4316&lt;&gt;""),OR($C$13="Semua",$C$13="",L4316=$C$13)),"✓","")</f>
        <v/>
      </c>
      <c r="N4316" s="93">
        <f>N(N4315)+IF(M4316="✓",1,0)</f>
        <v/>
      </c>
      <c r="O4316" s="93">
        <f>N(O4315)+IF(AND(B4316&lt;&gt;"",B4316&gt;='Uang Riba'!$H$30,B4316&lt;='Uang Riba'!$I$30,OR(H4316="Dana riba",H4316="Pinjam uang riba",I4316="Pinjam dari uang riba",I4316="Ganti uang riba",I4316="Kelebihan ganti dikembalikan",AND(C4316="Kantong Uang Riba",G4316="Pengeluaran"))),1,0)</f>
        <v/>
      </c>
      <c r="X4316" s="93">
        <f>IF(AND(B4316&lt;&gt;"",B4316&gt;='Buku Akun'!$H$4,B4316&lt;='Buku Akun'!$H$5,OR(C4316='Buku Akun'!$C$4,AND(D4316="Pindah",E4316='Buku Akun'!$C$4))),B4316+IF(AND(I4316="Selisih bunga",DAY(B4316)=1),0,0.01)+ROW()/10000000,"")</f>
        <v/>
      </c>
    </row>
    <row r="4317" outlineLevel="1" ht="15" customHeight="1" s="94">
      <c r="A4317" s="123">
        <f>IF(B4317="","",ROW()-15)</f>
        <v/>
      </c>
      <c r="B4317" s="124" t="n"/>
      <c r="C4317" s="123" t="n"/>
      <c r="D4317" s="123" t="n"/>
      <c r="E4317" s="123" t="n"/>
      <c r="F4317" s="125" t="n"/>
      <c r="G4317" s="123" t="n"/>
      <c r="H4317" s="123" t="n"/>
      <c r="I4317" s="123" t="n"/>
      <c r="J4317" s="123" t="n"/>
      <c r="K4317" s="123" t="n"/>
      <c r="L4317" s="123" t="n"/>
      <c r="M4317" s="123">
        <f>IF(AND(B4317&lt;&gt;"",OR($C$4="",ISNUMBER(SEARCH($C$4,C4317&amp;" "&amp;E4317&amp;" "&amp;G4317&amp;" "&amp;H4317&amp;" "&amp;I4317&amp;" "&amp;J4317&amp;" "&amp;K4317&amp;" "&amp;L4317))),OR($C$5="Semua",$C$5="",G4317=$C$5),OR($C$6="Semua",$C$6="",H4317=$C$6,H4317="Pengeluaran "&amp;$C$6,AND($C$6="Uang Kos Mama",H4317="Pengeluaran Uang Kos")),OR($C$7="Semua",$C$7="",I4317=$C$7),OR($C$8="Semua",$C$8="",C4317=$C$8,E4317=$C$8),OR($C$9="Semua",$C$9="",D4317=$C$9),OR($C$10="",B4317&gt;=$C$10),OR($C$11="",B4317&lt;=$C$11),OR($C$12&lt;&gt;"Ya",K4317&lt;&gt;""),OR($C$13="Semua",$C$13="",L4317=$C$13)),"✓","")</f>
        <v/>
      </c>
      <c r="N4317" s="93">
        <f>N(N4316)+IF(M4317="✓",1,0)</f>
        <v/>
      </c>
      <c r="O4317" s="93">
        <f>N(O4316)+IF(AND(B4317&lt;&gt;"",B4317&gt;='Uang Riba'!$H$30,B4317&lt;='Uang Riba'!$I$30,OR(H4317="Dana riba",H4317="Pinjam uang riba",I4317="Pinjam dari uang riba",I4317="Ganti uang riba",I4317="Kelebihan ganti dikembalikan",AND(C4317="Kantong Uang Riba",G4317="Pengeluaran"))),1,0)</f>
        <v/>
      </c>
      <c r="X4317" s="93">
        <f>IF(AND(B4317&lt;&gt;"",B4317&gt;='Buku Akun'!$H$4,B4317&lt;='Buku Akun'!$H$5,OR(C4317='Buku Akun'!$C$4,AND(D4317="Pindah",E4317='Buku Akun'!$C$4))),B4317+IF(AND(I4317="Selisih bunga",DAY(B4317)=1),0,0.01)+ROW()/10000000,"")</f>
        <v/>
      </c>
    </row>
    <row r="4318" outlineLevel="1" ht="15" customHeight="1" s="94">
      <c r="A4318" s="123">
        <f>IF(B4318="","",ROW()-15)</f>
        <v/>
      </c>
      <c r="B4318" s="124" t="n"/>
      <c r="C4318" s="123" t="n"/>
      <c r="D4318" s="123" t="n"/>
      <c r="E4318" s="123" t="n"/>
      <c r="F4318" s="125" t="n"/>
      <c r="G4318" s="123" t="n"/>
      <c r="H4318" s="123" t="n"/>
      <c r="I4318" s="123" t="n"/>
      <c r="J4318" s="123" t="n"/>
      <c r="K4318" s="123" t="n"/>
      <c r="L4318" s="123" t="n"/>
      <c r="M4318" s="123">
        <f>IF(AND(B4318&lt;&gt;"",OR($C$4="",ISNUMBER(SEARCH($C$4,C4318&amp;" "&amp;E4318&amp;" "&amp;G4318&amp;" "&amp;H4318&amp;" "&amp;I4318&amp;" "&amp;J4318&amp;" "&amp;K4318&amp;" "&amp;L4318))),OR($C$5="Semua",$C$5="",G4318=$C$5),OR($C$6="Semua",$C$6="",H4318=$C$6,H4318="Pengeluaran "&amp;$C$6,AND($C$6="Uang Kos Mama",H4318="Pengeluaran Uang Kos")),OR($C$7="Semua",$C$7="",I4318=$C$7),OR($C$8="Semua",$C$8="",C4318=$C$8,E4318=$C$8),OR($C$9="Semua",$C$9="",D4318=$C$9),OR($C$10="",B4318&gt;=$C$10),OR($C$11="",B4318&lt;=$C$11),OR($C$12&lt;&gt;"Ya",K4318&lt;&gt;""),OR($C$13="Semua",$C$13="",L4318=$C$13)),"✓","")</f>
        <v/>
      </c>
      <c r="N4318" s="93">
        <f>N(N4317)+IF(M4318="✓",1,0)</f>
        <v/>
      </c>
      <c r="O4318" s="93">
        <f>N(O4317)+IF(AND(B4318&lt;&gt;"",B4318&gt;='Uang Riba'!$H$30,B4318&lt;='Uang Riba'!$I$30,OR(H4318="Dana riba",H4318="Pinjam uang riba",I4318="Pinjam dari uang riba",I4318="Ganti uang riba",I4318="Kelebihan ganti dikembalikan",AND(C4318="Kantong Uang Riba",G4318="Pengeluaran"))),1,0)</f>
        <v/>
      </c>
      <c r="X4318" s="93">
        <f>IF(AND(B4318&lt;&gt;"",B4318&gt;='Buku Akun'!$H$4,B4318&lt;='Buku Akun'!$H$5,OR(C4318='Buku Akun'!$C$4,AND(D4318="Pindah",E4318='Buku Akun'!$C$4))),B4318+IF(AND(I4318="Selisih bunga",DAY(B4318)=1),0,0.01)+ROW()/10000000,"")</f>
        <v/>
      </c>
    </row>
    <row r="4319" outlineLevel="1" ht="15" customHeight="1" s="94">
      <c r="A4319" s="123">
        <f>IF(B4319="","",ROW()-15)</f>
        <v/>
      </c>
      <c r="B4319" s="124" t="n"/>
      <c r="C4319" s="123" t="n"/>
      <c r="D4319" s="123" t="n"/>
      <c r="E4319" s="123" t="n"/>
      <c r="F4319" s="125" t="n"/>
      <c r="G4319" s="123" t="n"/>
      <c r="H4319" s="123" t="n"/>
      <c r="I4319" s="123" t="n"/>
      <c r="J4319" s="123" t="n"/>
      <c r="K4319" s="123" t="n"/>
      <c r="L4319" s="123" t="n"/>
      <c r="M4319" s="123">
        <f>IF(AND(B4319&lt;&gt;"",OR($C$4="",ISNUMBER(SEARCH($C$4,C4319&amp;" "&amp;E4319&amp;" "&amp;G4319&amp;" "&amp;H4319&amp;" "&amp;I4319&amp;" "&amp;J4319&amp;" "&amp;K4319&amp;" "&amp;L4319))),OR($C$5="Semua",$C$5="",G4319=$C$5),OR($C$6="Semua",$C$6="",H4319=$C$6,H4319="Pengeluaran "&amp;$C$6,AND($C$6="Uang Kos Mama",H4319="Pengeluaran Uang Kos")),OR($C$7="Semua",$C$7="",I4319=$C$7),OR($C$8="Semua",$C$8="",C4319=$C$8,E4319=$C$8),OR($C$9="Semua",$C$9="",D4319=$C$9),OR($C$10="",B4319&gt;=$C$10),OR($C$11="",B4319&lt;=$C$11),OR($C$12&lt;&gt;"Ya",K4319&lt;&gt;""),OR($C$13="Semua",$C$13="",L4319=$C$13)),"✓","")</f>
        <v/>
      </c>
      <c r="N4319" s="93">
        <f>N(N4318)+IF(M4319="✓",1,0)</f>
        <v/>
      </c>
      <c r="O4319" s="93">
        <f>N(O4318)+IF(AND(B4319&lt;&gt;"",B4319&gt;='Uang Riba'!$H$30,B4319&lt;='Uang Riba'!$I$30,OR(H4319="Dana riba",H4319="Pinjam uang riba",I4319="Pinjam dari uang riba",I4319="Ganti uang riba",I4319="Kelebihan ganti dikembalikan",AND(C4319="Kantong Uang Riba",G4319="Pengeluaran"))),1,0)</f>
        <v/>
      </c>
      <c r="X4319" s="93">
        <f>IF(AND(B4319&lt;&gt;"",B4319&gt;='Buku Akun'!$H$4,B4319&lt;='Buku Akun'!$H$5,OR(C4319='Buku Akun'!$C$4,AND(D4319="Pindah",E4319='Buku Akun'!$C$4))),B4319+IF(AND(I4319="Selisih bunga",DAY(B4319)=1),0,0.01)+ROW()/10000000,"")</f>
        <v/>
      </c>
    </row>
    <row r="4320" outlineLevel="1" ht="15" customHeight="1" s="94">
      <c r="A4320" s="123">
        <f>IF(B4320="","",ROW()-15)</f>
        <v/>
      </c>
      <c r="B4320" s="124" t="n"/>
      <c r="C4320" s="123" t="n"/>
      <c r="D4320" s="123" t="n"/>
      <c r="E4320" s="123" t="n"/>
      <c r="F4320" s="125" t="n"/>
      <c r="G4320" s="123" t="n"/>
      <c r="H4320" s="123" t="n"/>
      <c r="I4320" s="123" t="n"/>
      <c r="J4320" s="123" t="n"/>
      <c r="K4320" s="123" t="n"/>
      <c r="L4320" s="123" t="n"/>
      <c r="M4320" s="123">
        <f>IF(AND(B4320&lt;&gt;"",OR($C$4="",ISNUMBER(SEARCH($C$4,C4320&amp;" "&amp;E4320&amp;" "&amp;G4320&amp;" "&amp;H4320&amp;" "&amp;I4320&amp;" "&amp;J4320&amp;" "&amp;K4320&amp;" "&amp;L4320))),OR($C$5="Semua",$C$5="",G4320=$C$5),OR($C$6="Semua",$C$6="",H4320=$C$6,H4320="Pengeluaran "&amp;$C$6,AND($C$6="Uang Kos Mama",H4320="Pengeluaran Uang Kos")),OR($C$7="Semua",$C$7="",I4320=$C$7),OR($C$8="Semua",$C$8="",C4320=$C$8,E4320=$C$8),OR($C$9="Semua",$C$9="",D4320=$C$9),OR($C$10="",B4320&gt;=$C$10),OR($C$11="",B4320&lt;=$C$11),OR($C$12&lt;&gt;"Ya",K4320&lt;&gt;""),OR($C$13="Semua",$C$13="",L4320=$C$13)),"✓","")</f>
        <v/>
      </c>
      <c r="N4320" s="93">
        <f>N(N4319)+IF(M4320="✓",1,0)</f>
        <v/>
      </c>
      <c r="O4320" s="93">
        <f>N(O4319)+IF(AND(B4320&lt;&gt;"",B4320&gt;='Uang Riba'!$H$30,B4320&lt;='Uang Riba'!$I$30,OR(H4320="Dana riba",H4320="Pinjam uang riba",I4320="Pinjam dari uang riba",I4320="Ganti uang riba",I4320="Kelebihan ganti dikembalikan",AND(C4320="Kantong Uang Riba",G4320="Pengeluaran"))),1,0)</f>
        <v/>
      </c>
      <c r="X4320" s="93">
        <f>IF(AND(B4320&lt;&gt;"",B4320&gt;='Buku Akun'!$H$4,B4320&lt;='Buku Akun'!$H$5,OR(C4320='Buku Akun'!$C$4,AND(D4320="Pindah",E4320='Buku Akun'!$C$4))),B4320+IF(AND(I4320="Selisih bunga",DAY(B4320)=1),0,0.01)+ROW()/10000000,"")</f>
        <v/>
      </c>
    </row>
    <row r="4321" outlineLevel="1" ht="15" customHeight="1" s="94">
      <c r="A4321" s="123">
        <f>IF(B4321="","",ROW()-15)</f>
        <v/>
      </c>
      <c r="B4321" s="124" t="n"/>
      <c r="C4321" s="123" t="n"/>
      <c r="D4321" s="123" t="n"/>
      <c r="E4321" s="123" t="n"/>
      <c r="F4321" s="125" t="n"/>
      <c r="G4321" s="123" t="n"/>
      <c r="H4321" s="123" t="n"/>
      <c r="I4321" s="123" t="n"/>
      <c r="J4321" s="123" t="n"/>
      <c r="K4321" s="123" t="n"/>
      <c r="L4321" s="123" t="n"/>
      <c r="M4321" s="123">
        <f>IF(AND(B4321&lt;&gt;"",OR($C$4="",ISNUMBER(SEARCH($C$4,C4321&amp;" "&amp;E4321&amp;" "&amp;G4321&amp;" "&amp;H4321&amp;" "&amp;I4321&amp;" "&amp;J4321&amp;" "&amp;K4321&amp;" "&amp;L4321))),OR($C$5="Semua",$C$5="",G4321=$C$5),OR($C$6="Semua",$C$6="",H4321=$C$6,H4321="Pengeluaran "&amp;$C$6,AND($C$6="Uang Kos Mama",H4321="Pengeluaran Uang Kos")),OR($C$7="Semua",$C$7="",I4321=$C$7),OR($C$8="Semua",$C$8="",C4321=$C$8,E4321=$C$8),OR($C$9="Semua",$C$9="",D4321=$C$9),OR($C$10="",B4321&gt;=$C$10),OR($C$11="",B4321&lt;=$C$11),OR($C$12&lt;&gt;"Ya",K4321&lt;&gt;""),OR($C$13="Semua",$C$13="",L4321=$C$13)),"✓","")</f>
        <v/>
      </c>
      <c r="N4321" s="93">
        <f>N(N4320)+IF(M4321="✓",1,0)</f>
        <v/>
      </c>
      <c r="O4321" s="93">
        <f>N(O4320)+IF(AND(B4321&lt;&gt;"",B4321&gt;='Uang Riba'!$H$30,B4321&lt;='Uang Riba'!$I$30,OR(H4321="Dana riba",H4321="Pinjam uang riba",I4321="Pinjam dari uang riba",I4321="Ganti uang riba",I4321="Kelebihan ganti dikembalikan",AND(C4321="Kantong Uang Riba",G4321="Pengeluaran"))),1,0)</f>
        <v/>
      </c>
      <c r="X4321" s="93">
        <f>IF(AND(B4321&lt;&gt;"",B4321&gt;='Buku Akun'!$H$4,B4321&lt;='Buku Akun'!$H$5,OR(C4321='Buku Akun'!$C$4,AND(D4321="Pindah",E4321='Buku Akun'!$C$4))),B4321+IF(AND(I4321="Selisih bunga",DAY(B4321)=1),0,0.01)+ROW()/10000000,"")</f>
        <v/>
      </c>
    </row>
    <row r="4322" outlineLevel="1" ht="15" customHeight="1" s="94">
      <c r="A4322" s="123">
        <f>IF(B4322="","",ROW()-15)</f>
        <v/>
      </c>
      <c r="B4322" s="124" t="n"/>
      <c r="C4322" s="123" t="n"/>
      <c r="D4322" s="123" t="n"/>
      <c r="E4322" s="123" t="n"/>
      <c r="F4322" s="125" t="n"/>
      <c r="G4322" s="123" t="n"/>
      <c r="H4322" s="123" t="n"/>
      <c r="I4322" s="123" t="n"/>
      <c r="J4322" s="123" t="n"/>
      <c r="K4322" s="123" t="n"/>
      <c r="L4322" s="123" t="n"/>
      <c r="M4322" s="123">
        <f>IF(AND(B4322&lt;&gt;"",OR($C$4="",ISNUMBER(SEARCH($C$4,C4322&amp;" "&amp;E4322&amp;" "&amp;G4322&amp;" "&amp;H4322&amp;" "&amp;I4322&amp;" "&amp;J4322&amp;" "&amp;K4322&amp;" "&amp;L4322))),OR($C$5="Semua",$C$5="",G4322=$C$5),OR($C$6="Semua",$C$6="",H4322=$C$6,H4322="Pengeluaran "&amp;$C$6,AND($C$6="Uang Kos Mama",H4322="Pengeluaran Uang Kos")),OR($C$7="Semua",$C$7="",I4322=$C$7),OR($C$8="Semua",$C$8="",C4322=$C$8,E4322=$C$8),OR($C$9="Semua",$C$9="",D4322=$C$9),OR($C$10="",B4322&gt;=$C$10),OR($C$11="",B4322&lt;=$C$11),OR($C$12&lt;&gt;"Ya",K4322&lt;&gt;""),OR($C$13="Semua",$C$13="",L4322=$C$13)),"✓","")</f>
        <v/>
      </c>
      <c r="N4322" s="93">
        <f>N(N4321)+IF(M4322="✓",1,0)</f>
        <v/>
      </c>
      <c r="O4322" s="93">
        <f>N(O4321)+IF(AND(B4322&lt;&gt;"",B4322&gt;='Uang Riba'!$H$30,B4322&lt;='Uang Riba'!$I$30,OR(H4322="Dana riba",H4322="Pinjam uang riba",I4322="Pinjam dari uang riba",I4322="Ganti uang riba",I4322="Kelebihan ganti dikembalikan",AND(C4322="Kantong Uang Riba",G4322="Pengeluaran"))),1,0)</f>
        <v/>
      </c>
      <c r="X4322" s="93">
        <f>IF(AND(B4322&lt;&gt;"",B4322&gt;='Buku Akun'!$H$4,B4322&lt;='Buku Akun'!$H$5,OR(C4322='Buku Akun'!$C$4,AND(D4322="Pindah",E4322='Buku Akun'!$C$4))),B4322+IF(AND(I4322="Selisih bunga",DAY(B4322)=1),0,0.01)+ROW()/10000000,"")</f>
        <v/>
      </c>
    </row>
    <row r="4323" outlineLevel="1" ht="15" customHeight="1" s="94">
      <c r="A4323" s="123">
        <f>IF(B4323="","",ROW()-15)</f>
        <v/>
      </c>
      <c r="B4323" s="124" t="n"/>
      <c r="C4323" s="123" t="n"/>
      <c r="D4323" s="123" t="n"/>
      <c r="E4323" s="123" t="n"/>
      <c r="F4323" s="125" t="n"/>
      <c r="G4323" s="123" t="n"/>
      <c r="H4323" s="123" t="n"/>
      <c r="I4323" s="123" t="n"/>
      <c r="J4323" s="123" t="n"/>
      <c r="K4323" s="123" t="n"/>
      <c r="L4323" s="123" t="n"/>
      <c r="M4323" s="123">
        <f>IF(AND(B4323&lt;&gt;"",OR($C$4="",ISNUMBER(SEARCH($C$4,C4323&amp;" "&amp;E4323&amp;" "&amp;G4323&amp;" "&amp;H4323&amp;" "&amp;I4323&amp;" "&amp;J4323&amp;" "&amp;K4323&amp;" "&amp;L4323))),OR($C$5="Semua",$C$5="",G4323=$C$5),OR($C$6="Semua",$C$6="",H4323=$C$6,H4323="Pengeluaran "&amp;$C$6,AND($C$6="Uang Kos Mama",H4323="Pengeluaran Uang Kos")),OR($C$7="Semua",$C$7="",I4323=$C$7),OR($C$8="Semua",$C$8="",C4323=$C$8,E4323=$C$8),OR($C$9="Semua",$C$9="",D4323=$C$9),OR($C$10="",B4323&gt;=$C$10),OR($C$11="",B4323&lt;=$C$11),OR($C$12&lt;&gt;"Ya",K4323&lt;&gt;""),OR($C$13="Semua",$C$13="",L4323=$C$13)),"✓","")</f>
        <v/>
      </c>
      <c r="N4323" s="93">
        <f>N(N4322)+IF(M4323="✓",1,0)</f>
        <v/>
      </c>
      <c r="O4323" s="93">
        <f>N(O4322)+IF(AND(B4323&lt;&gt;"",B4323&gt;='Uang Riba'!$H$30,B4323&lt;='Uang Riba'!$I$30,OR(H4323="Dana riba",H4323="Pinjam uang riba",I4323="Pinjam dari uang riba",I4323="Ganti uang riba",I4323="Kelebihan ganti dikembalikan",AND(C4323="Kantong Uang Riba",G4323="Pengeluaran"))),1,0)</f>
        <v/>
      </c>
      <c r="X4323" s="93">
        <f>IF(AND(B4323&lt;&gt;"",B4323&gt;='Buku Akun'!$H$4,B4323&lt;='Buku Akun'!$H$5,OR(C4323='Buku Akun'!$C$4,AND(D4323="Pindah",E4323='Buku Akun'!$C$4))),B4323+IF(AND(I4323="Selisih bunga",DAY(B4323)=1),0,0.01)+ROW()/10000000,"")</f>
        <v/>
      </c>
    </row>
    <row r="4324" outlineLevel="1" ht="15" customHeight="1" s="94">
      <c r="A4324" s="123">
        <f>IF(B4324="","",ROW()-15)</f>
        <v/>
      </c>
      <c r="B4324" s="124" t="n"/>
      <c r="C4324" s="123" t="n"/>
      <c r="D4324" s="123" t="n"/>
      <c r="E4324" s="123" t="n"/>
      <c r="F4324" s="125" t="n"/>
      <c r="G4324" s="123" t="n"/>
      <c r="H4324" s="123" t="n"/>
      <c r="I4324" s="123" t="n"/>
      <c r="J4324" s="123" t="n"/>
      <c r="K4324" s="123" t="n"/>
      <c r="L4324" s="123" t="n"/>
      <c r="M4324" s="123">
        <f>IF(AND(B4324&lt;&gt;"",OR($C$4="",ISNUMBER(SEARCH($C$4,C4324&amp;" "&amp;E4324&amp;" "&amp;G4324&amp;" "&amp;H4324&amp;" "&amp;I4324&amp;" "&amp;J4324&amp;" "&amp;K4324&amp;" "&amp;L4324))),OR($C$5="Semua",$C$5="",G4324=$C$5),OR($C$6="Semua",$C$6="",H4324=$C$6,H4324="Pengeluaran "&amp;$C$6,AND($C$6="Uang Kos Mama",H4324="Pengeluaran Uang Kos")),OR($C$7="Semua",$C$7="",I4324=$C$7),OR($C$8="Semua",$C$8="",C4324=$C$8,E4324=$C$8),OR($C$9="Semua",$C$9="",D4324=$C$9),OR($C$10="",B4324&gt;=$C$10),OR($C$11="",B4324&lt;=$C$11),OR($C$12&lt;&gt;"Ya",K4324&lt;&gt;""),OR($C$13="Semua",$C$13="",L4324=$C$13)),"✓","")</f>
        <v/>
      </c>
      <c r="N4324" s="93">
        <f>N(N4323)+IF(M4324="✓",1,0)</f>
        <v/>
      </c>
      <c r="O4324" s="93">
        <f>N(O4323)+IF(AND(B4324&lt;&gt;"",B4324&gt;='Uang Riba'!$H$30,B4324&lt;='Uang Riba'!$I$30,OR(H4324="Dana riba",H4324="Pinjam uang riba",I4324="Pinjam dari uang riba",I4324="Ganti uang riba",I4324="Kelebihan ganti dikembalikan",AND(C4324="Kantong Uang Riba",G4324="Pengeluaran"))),1,0)</f>
        <v/>
      </c>
      <c r="X4324" s="93">
        <f>IF(AND(B4324&lt;&gt;"",B4324&gt;='Buku Akun'!$H$4,B4324&lt;='Buku Akun'!$H$5,OR(C4324='Buku Akun'!$C$4,AND(D4324="Pindah",E4324='Buku Akun'!$C$4))),B4324+IF(AND(I4324="Selisih bunga",DAY(B4324)=1),0,0.01)+ROW()/10000000,"")</f>
        <v/>
      </c>
    </row>
    <row r="4325" outlineLevel="1" ht="15" customHeight="1" s="94">
      <c r="A4325" s="123">
        <f>IF(B4325="","",ROW()-15)</f>
        <v/>
      </c>
      <c r="B4325" s="124" t="n"/>
      <c r="C4325" s="123" t="n"/>
      <c r="D4325" s="123" t="n"/>
      <c r="E4325" s="123" t="n"/>
      <c r="F4325" s="125" t="n"/>
      <c r="G4325" s="123" t="n"/>
      <c r="H4325" s="123" t="n"/>
      <c r="I4325" s="123" t="n"/>
      <c r="J4325" s="123" t="n"/>
      <c r="K4325" s="123" t="n"/>
      <c r="L4325" s="123" t="n"/>
      <c r="M4325" s="123">
        <f>IF(AND(B4325&lt;&gt;"",OR($C$4="",ISNUMBER(SEARCH($C$4,C4325&amp;" "&amp;E4325&amp;" "&amp;G4325&amp;" "&amp;H4325&amp;" "&amp;I4325&amp;" "&amp;J4325&amp;" "&amp;K4325&amp;" "&amp;L4325))),OR($C$5="Semua",$C$5="",G4325=$C$5),OR($C$6="Semua",$C$6="",H4325=$C$6,H4325="Pengeluaran "&amp;$C$6,AND($C$6="Uang Kos Mama",H4325="Pengeluaran Uang Kos")),OR($C$7="Semua",$C$7="",I4325=$C$7),OR($C$8="Semua",$C$8="",C4325=$C$8,E4325=$C$8),OR($C$9="Semua",$C$9="",D4325=$C$9),OR($C$10="",B4325&gt;=$C$10),OR($C$11="",B4325&lt;=$C$11),OR($C$12&lt;&gt;"Ya",K4325&lt;&gt;""),OR($C$13="Semua",$C$13="",L4325=$C$13)),"✓","")</f>
        <v/>
      </c>
      <c r="N4325" s="93">
        <f>N(N4324)+IF(M4325="✓",1,0)</f>
        <v/>
      </c>
      <c r="O4325" s="93">
        <f>N(O4324)+IF(AND(B4325&lt;&gt;"",B4325&gt;='Uang Riba'!$H$30,B4325&lt;='Uang Riba'!$I$30,OR(H4325="Dana riba",H4325="Pinjam uang riba",I4325="Pinjam dari uang riba",I4325="Ganti uang riba",I4325="Kelebihan ganti dikembalikan",AND(C4325="Kantong Uang Riba",G4325="Pengeluaran"))),1,0)</f>
        <v/>
      </c>
      <c r="X4325" s="93">
        <f>IF(AND(B4325&lt;&gt;"",B4325&gt;='Buku Akun'!$H$4,B4325&lt;='Buku Akun'!$H$5,OR(C4325='Buku Akun'!$C$4,AND(D4325="Pindah",E4325='Buku Akun'!$C$4))),B4325+IF(AND(I4325="Selisih bunga",DAY(B4325)=1),0,0.01)+ROW()/10000000,"")</f>
        <v/>
      </c>
    </row>
    <row r="4326" outlineLevel="1" ht="15" customHeight="1" s="94">
      <c r="A4326" s="123">
        <f>IF(B4326="","",ROW()-15)</f>
        <v/>
      </c>
      <c r="B4326" s="124" t="n"/>
      <c r="C4326" s="123" t="n"/>
      <c r="D4326" s="123" t="n"/>
      <c r="E4326" s="123" t="n"/>
      <c r="F4326" s="125" t="n"/>
      <c r="G4326" s="123" t="n"/>
      <c r="H4326" s="123" t="n"/>
      <c r="I4326" s="123" t="n"/>
      <c r="J4326" s="123" t="n"/>
      <c r="K4326" s="123" t="n"/>
      <c r="L4326" s="123" t="n"/>
      <c r="M4326" s="123">
        <f>IF(AND(B4326&lt;&gt;"",OR($C$4="",ISNUMBER(SEARCH($C$4,C4326&amp;" "&amp;E4326&amp;" "&amp;G4326&amp;" "&amp;H4326&amp;" "&amp;I4326&amp;" "&amp;J4326&amp;" "&amp;K4326&amp;" "&amp;L4326))),OR($C$5="Semua",$C$5="",G4326=$C$5),OR($C$6="Semua",$C$6="",H4326=$C$6,H4326="Pengeluaran "&amp;$C$6,AND($C$6="Uang Kos Mama",H4326="Pengeluaran Uang Kos")),OR($C$7="Semua",$C$7="",I4326=$C$7),OR($C$8="Semua",$C$8="",C4326=$C$8,E4326=$C$8),OR($C$9="Semua",$C$9="",D4326=$C$9),OR($C$10="",B4326&gt;=$C$10),OR($C$11="",B4326&lt;=$C$11),OR($C$12&lt;&gt;"Ya",K4326&lt;&gt;""),OR($C$13="Semua",$C$13="",L4326=$C$13)),"✓","")</f>
        <v/>
      </c>
      <c r="N4326" s="93">
        <f>N(N4325)+IF(M4326="✓",1,0)</f>
        <v/>
      </c>
      <c r="O4326" s="93">
        <f>N(O4325)+IF(AND(B4326&lt;&gt;"",B4326&gt;='Uang Riba'!$H$30,B4326&lt;='Uang Riba'!$I$30,OR(H4326="Dana riba",H4326="Pinjam uang riba",I4326="Pinjam dari uang riba",I4326="Ganti uang riba",I4326="Kelebihan ganti dikembalikan",AND(C4326="Kantong Uang Riba",G4326="Pengeluaran"))),1,0)</f>
        <v/>
      </c>
      <c r="X4326" s="93">
        <f>IF(AND(B4326&lt;&gt;"",B4326&gt;='Buku Akun'!$H$4,B4326&lt;='Buku Akun'!$H$5,OR(C4326='Buku Akun'!$C$4,AND(D4326="Pindah",E4326='Buku Akun'!$C$4))),B4326+IF(AND(I4326="Selisih bunga",DAY(B4326)=1),0,0.01)+ROW()/10000000,"")</f>
        <v/>
      </c>
    </row>
    <row r="4327" outlineLevel="1" ht="15" customHeight="1" s="94">
      <c r="A4327" s="123">
        <f>IF(B4327="","",ROW()-15)</f>
        <v/>
      </c>
      <c r="B4327" s="124" t="n"/>
      <c r="C4327" s="123" t="n"/>
      <c r="D4327" s="123" t="n"/>
      <c r="E4327" s="123" t="n"/>
      <c r="F4327" s="125" t="n"/>
      <c r="G4327" s="123" t="n"/>
      <c r="H4327" s="123" t="n"/>
      <c r="I4327" s="123" t="n"/>
      <c r="J4327" s="123" t="n"/>
      <c r="K4327" s="123" t="n"/>
      <c r="L4327" s="123" t="n"/>
      <c r="M4327" s="123">
        <f>IF(AND(B4327&lt;&gt;"",OR($C$4="",ISNUMBER(SEARCH($C$4,C4327&amp;" "&amp;E4327&amp;" "&amp;G4327&amp;" "&amp;H4327&amp;" "&amp;I4327&amp;" "&amp;J4327&amp;" "&amp;K4327&amp;" "&amp;L4327))),OR($C$5="Semua",$C$5="",G4327=$C$5),OR($C$6="Semua",$C$6="",H4327=$C$6,H4327="Pengeluaran "&amp;$C$6,AND($C$6="Uang Kos Mama",H4327="Pengeluaran Uang Kos")),OR($C$7="Semua",$C$7="",I4327=$C$7),OR($C$8="Semua",$C$8="",C4327=$C$8,E4327=$C$8),OR($C$9="Semua",$C$9="",D4327=$C$9),OR($C$10="",B4327&gt;=$C$10),OR($C$11="",B4327&lt;=$C$11),OR($C$12&lt;&gt;"Ya",K4327&lt;&gt;""),OR($C$13="Semua",$C$13="",L4327=$C$13)),"✓","")</f>
        <v/>
      </c>
      <c r="N4327" s="93">
        <f>N(N4326)+IF(M4327="✓",1,0)</f>
        <v/>
      </c>
      <c r="O4327" s="93">
        <f>N(O4326)+IF(AND(B4327&lt;&gt;"",B4327&gt;='Uang Riba'!$H$30,B4327&lt;='Uang Riba'!$I$30,OR(H4327="Dana riba",H4327="Pinjam uang riba",I4327="Pinjam dari uang riba",I4327="Ganti uang riba",I4327="Kelebihan ganti dikembalikan",AND(C4327="Kantong Uang Riba",G4327="Pengeluaran"))),1,0)</f>
        <v/>
      </c>
      <c r="X4327" s="93">
        <f>IF(AND(B4327&lt;&gt;"",B4327&gt;='Buku Akun'!$H$4,B4327&lt;='Buku Akun'!$H$5,OR(C4327='Buku Akun'!$C$4,AND(D4327="Pindah",E4327='Buku Akun'!$C$4))),B4327+IF(AND(I4327="Selisih bunga",DAY(B4327)=1),0,0.01)+ROW()/10000000,"")</f>
        <v/>
      </c>
    </row>
    <row r="4328" outlineLevel="1" ht="15" customHeight="1" s="94">
      <c r="A4328" s="123">
        <f>IF(B4328="","",ROW()-15)</f>
        <v/>
      </c>
      <c r="B4328" s="124" t="n"/>
      <c r="C4328" s="123" t="n"/>
      <c r="D4328" s="123" t="n"/>
      <c r="E4328" s="123" t="n"/>
      <c r="F4328" s="125" t="n"/>
      <c r="G4328" s="123" t="n"/>
      <c r="H4328" s="123" t="n"/>
      <c r="I4328" s="123" t="n"/>
      <c r="J4328" s="123" t="n"/>
      <c r="K4328" s="123" t="n"/>
      <c r="L4328" s="123" t="n"/>
      <c r="M4328" s="123">
        <f>IF(AND(B4328&lt;&gt;"",OR($C$4="",ISNUMBER(SEARCH($C$4,C4328&amp;" "&amp;E4328&amp;" "&amp;G4328&amp;" "&amp;H4328&amp;" "&amp;I4328&amp;" "&amp;J4328&amp;" "&amp;K4328&amp;" "&amp;L4328))),OR($C$5="Semua",$C$5="",G4328=$C$5),OR($C$6="Semua",$C$6="",H4328=$C$6,H4328="Pengeluaran "&amp;$C$6,AND($C$6="Uang Kos Mama",H4328="Pengeluaran Uang Kos")),OR($C$7="Semua",$C$7="",I4328=$C$7),OR($C$8="Semua",$C$8="",C4328=$C$8,E4328=$C$8),OR($C$9="Semua",$C$9="",D4328=$C$9),OR($C$10="",B4328&gt;=$C$10),OR($C$11="",B4328&lt;=$C$11),OR($C$12&lt;&gt;"Ya",K4328&lt;&gt;""),OR($C$13="Semua",$C$13="",L4328=$C$13)),"✓","")</f>
        <v/>
      </c>
      <c r="N4328" s="93">
        <f>N(N4327)+IF(M4328="✓",1,0)</f>
        <v/>
      </c>
      <c r="O4328" s="93">
        <f>N(O4327)+IF(AND(B4328&lt;&gt;"",B4328&gt;='Uang Riba'!$H$30,B4328&lt;='Uang Riba'!$I$30,OR(H4328="Dana riba",H4328="Pinjam uang riba",I4328="Pinjam dari uang riba",I4328="Ganti uang riba",I4328="Kelebihan ganti dikembalikan",AND(C4328="Kantong Uang Riba",G4328="Pengeluaran"))),1,0)</f>
        <v/>
      </c>
      <c r="X4328" s="93">
        <f>IF(AND(B4328&lt;&gt;"",B4328&gt;='Buku Akun'!$H$4,B4328&lt;='Buku Akun'!$H$5,OR(C4328='Buku Akun'!$C$4,AND(D4328="Pindah",E4328='Buku Akun'!$C$4))),B4328+IF(AND(I4328="Selisih bunga",DAY(B4328)=1),0,0.01)+ROW()/10000000,"")</f>
        <v/>
      </c>
    </row>
    <row r="4329" outlineLevel="1" ht="15" customHeight="1" s="94">
      <c r="A4329" s="123">
        <f>IF(B4329="","",ROW()-15)</f>
        <v/>
      </c>
      <c r="B4329" s="124" t="n"/>
      <c r="C4329" s="123" t="n"/>
      <c r="D4329" s="123" t="n"/>
      <c r="E4329" s="123" t="n"/>
      <c r="F4329" s="125" t="n"/>
      <c r="G4329" s="123" t="n"/>
      <c r="H4329" s="123" t="n"/>
      <c r="I4329" s="123" t="n"/>
      <c r="J4329" s="123" t="n"/>
      <c r="K4329" s="123" t="n"/>
      <c r="L4329" s="123" t="n"/>
      <c r="M4329" s="123">
        <f>IF(AND(B4329&lt;&gt;"",OR($C$4="",ISNUMBER(SEARCH($C$4,C4329&amp;" "&amp;E4329&amp;" "&amp;G4329&amp;" "&amp;H4329&amp;" "&amp;I4329&amp;" "&amp;J4329&amp;" "&amp;K4329&amp;" "&amp;L4329))),OR($C$5="Semua",$C$5="",G4329=$C$5),OR($C$6="Semua",$C$6="",H4329=$C$6,H4329="Pengeluaran "&amp;$C$6,AND($C$6="Uang Kos Mama",H4329="Pengeluaran Uang Kos")),OR($C$7="Semua",$C$7="",I4329=$C$7),OR($C$8="Semua",$C$8="",C4329=$C$8,E4329=$C$8),OR($C$9="Semua",$C$9="",D4329=$C$9),OR($C$10="",B4329&gt;=$C$10),OR($C$11="",B4329&lt;=$C$11),OR($C$12&lt;&gt;"Ya",K4329&lt;&gt;""),OR($C$13="Semua",$C$13="",L4329=$C$13)),"✓","")</f>
        <v/>
      </c>
      <c r="N4329" s="93">
        <f>N(N4328)+IF(M4329="✓",1,0)</f>
        <v/>
      </c>
      <c r="O4329" s="93">
        <f>N(O4328)+IF(AND(B4329&lt;&gt;"",B4329&gt;='Uang Riba'!$H$30,B4329&lt;='Uang Riba'!$I$30,OR(H4329="Dana riba",H4329="Pinjam uang riba",I4329="Pinjam dari uang riba",I4329="Ganti uang riba",I4329="Kelebihan ganti dikembalikan",AND(C4329="Kantong Uang Riba",G4329="Pengeluaran"))),1,0)</f>
        <v/>
      </c>
      <c r="X4329" s="93">
        <f>IF(AND(B4329&lt;&gt;"",B4329&gt;='Buku Akun'!$H$4,B4329&lt;='Buku Akun'!$H$5,OR(C4329='Buku Akun'!$C$4,AND(D4329="Pindah",E4329='Buku Akun'!$C$4))),B4329+IF(AND(I4329="Selisih bunga",DAY(B4329)=1),0,0.01)+ROW()/10000000,"")</f>
        <v/>
      </c>
    </row>
    <row r="4330" outlineLevel="1" ht="15" customHeight="1" s="94">
      <c r="A4330" s="123">
        <f>IF(B4330="","",ROW()-15)</f>
        <v/>
      </c>
      <c r="B4330" s="124" t="n"/>
      <c r="C4330" s="123" t="n"/>
      <c r="D4330" s="123" t="n"/>
      <c r="E4330" s="123" t="n"/>
      <c r="F4330" s="125" t="n"/>
      <c r="G4330" s="123" t="n"/>
      <c r="H4330" s="123" t="n"/>
      <c r="I4330" s="123" t="n"/>
      <c r="J4330" s="123" t="n"/>
      <c r="K4330" s="123" t="n"/>
      <c r="L4330" s="123" t="n"/>
      <c r="M4330" s="123">
        <f>IF(AND(B4330&lt;&gt;"",OR($C$4="",ISNUMBER(SEARCH($C$4,C4330&amp;" "&amp;E4330&amp;" "&amp;G4330&amp;" "&amp;H4330&amp;" "&amp;I4330&amp;" "&amp;J4330&amp;" "&amp;K4330&amp;" "&amp;L4330))),OR($C$5="Semua",$C$5="",G4330=$C$5),OR($C$6="Semua",$C$6="",H4330=$C$6,H4330="Pengeluaran "&amp;$C$6,AND($C$6="Uang Kos Mama",H4330="Pengeluaran Uang Kos")),OR($C$7="Semua",$C$7="",I4330=$C$7),OR($C$8="Semua",$C$8="",C4330=$C$8,E4330=$C$8),OR($C$9="Semua",$C$9="",D4330=$C$9),OR($C$10="",B4330&gt;=$C$10),OR($C$11="",B4330&lt;=$C$11),OR($C$12&lt;&gt;"Ya",K4330&lt;&gt;""),OR($C$13="Semua",$C$13="",L4330=$C$13)),"✓","")</f>
        <v/>
      </c>
      <c r="N4330" s="93">
        <f>N(N4329)+IF(M4330="✓",1,0)</f>
        <v/>
      </c>
      <c r="O4330" s="93">
        <f>N(O4329)+IF(AND(B4330&lt;&gt;"",B4330&gt;='Uang Riba'!$H$30,B4330&lt;='Uang Riba'!$I$30,OR(H4330="Dana riba",H4330="Pinjam uang riba",I4330="Pinjam dari uang riba",I4330="Ganti uang riba",I4330="Kelebihan ganti dikembalikan",AND(C4330="Kantong Uang Riba",G4330="Pengeluaran"))),1,0)</f>
        <v/>
      </c>
      <c r="X4330" s="93">
        <f>IF(AND(B4330&lt;&gt;"",B4330&gt;='Buku Akun'!$H$4,B4330&lt;='Buku Akun'!$H$5,OR(C4330='Buku Akun'!$C$4,AND(D4330="Pindah",E4330='Buku Akun'!$C$4))),B4330+IF(AND(I4330="Selisih bunga",DAY(B4330)=1),0,0.01)+ROW()/10000000,"")</f>
        <v/>
      </c>
    </row>
    <row r="4331" outlineLevel="1" ht="15" customHeight="1" s="94">
      <c r="A4331" s="123">
        <f>IF(B4331="","",ROW()-15)</f>
        <v/>
      </c>
      <c r="B4331" s="124" t="n"/>
      <c r="C4331" s="123" t="n"/>
      <c r="D4331" s="123" t="n"/>
      <c r="E4331" s="123" t="n"/>
      <c r="F4331" s="125" t="n"/>
      <c r="G4331" s="123" t="n"/>
      <c r="H4331" s="123" t="n"/>
      <c r="I4331" s="123" t="n"/>
      <c r="J4331" s="123" t="n"/>
      <c r="K4331" s="123" t="n"/>
      <c r="L4331" s="123" t="n"/>
      <c r="M4331" s="123">
        <f>IF(AND(B4331&lt;&gt;"",OR($C$4="",ISNUMBER(SEARCH($C$4,C4331&amp;" "&amp;E4331&amp;" "&amp;G4331&amp;" "&amp;H4331&amp;" "&amp;I4331&amp;" "&amp;J4331&amp;" "&amp;K4331&amp;" "&amp;L4331))),OR($C$5="Semua",$C$5="",G4331=$C$5),OR($C$6="Semua",$C$6="",H4331=$C$6,H4331="Pengeluaran "&amp;$C$6,AND($C$6="Uang Kos Mama",H4331="Pengeluaran Uang Kos")),OR($C$7="Semua",$C$7="",I4331=$C$7),OR($C$8="Semua",$C$8="",C4331=$C$8,E4331=$C$8),OR($C$9="Semua",$C$9="",D4331=$C$9),OR($C$10="",B4331&gt;=$C$10),OR($C$11="",B4331&lt;=$C$11),OR($C$12&lt;&gt;"Ya",K4331&lt;&gt;""),OR($C$13="Semua",$C$13="",L4331=$C$13)),"✓","")</f>
        <v/>
      </c>
      <c r="N4331" s="93">
        <f>N(N4330)+IF(M4331="✓",1,0)</f>
        <v/>
      </c>
      <c r="O4331" s="93">
        <f>N(O4330)+IF(AND(B4331&lt;&gt;"",B4331&gt;='Uang Riba'!$H$30,B4331&lt;='Uang Riba'!$I$30,OR(H4331="Dana riba",H4331="Pinjam uang riba",I4331="Pinjam dari uang riba",I4331="Ganti uang riba",I4331="Kelebihan ganti dikembalikan",AND(C4331="Kantong Uang Riba",G4331="Pengeluaran"))),1,0)</f>
        <v/>
      </c>
      <c r="X4331" s="93">
        <f>IF(AND(B4331&lt;&gt;"",B4331&gt;='Buku Akun'!$H$4,B4331&lt;='Buku Akun'!$H$5,OR(C4331='Buku Akun'!$C$4,AND(D4331="Pindah",E4331='Buku Akun'!$C$4))),B4331+IF(AND(I4331="Selisih bunga",DAY(B4331)=1),0,0.01)+ROW()/10000000,"")</f>
        <v/>
      </c>
    </row>
    <row r="4332" outlineLevel="1" ht="15" customHeight="1" s="94">
      <c r="A4332" s="123">
        <f>IF(B4332="","",ROW()-15)</f>
        <v/>
      </c>
      <c r="B4332" s="124" t="n"/>
      <c r="C4332" s="123" t="n"/>
      <c r="D4332" s="123" t="n"/>
      <c r="E4332" s="123" t="n"/>
      <c r="F4332" s="125" t="n"/>
      <c r="G4332" s="123" t="n"/>
      <c r="H4332" s="123" t="n"/>
      <c r="I4332" s="123" t="n"/>
      <c r="J4332" s="123" t="n"/>
      <c r="K4332" s="123" t="n"/>
      <c r="L4332" s="123" t="n"/>
      <c r="M4332" s="123">
        <f>IF(AND(B4332&lt;&gt;"",OR($C$4="",ISNUMBER(SEARCH($C$4,C4332&amp;" "&amp;E4332&amp;" "&amp;G4332&amp;" "&amp;H4332&amp;" "&amp;I4332&amp;" "&amp;J4332&amp;" "&amp;K4332&amp;" "&amp;L4332))),OR($C$5="Semua",$C$5="",G4332=$C$5),OR($C$6="Semua",$C$6="",H4332=$C$6,H4332="Pengeluaran "&amp;$C$6,AND($C$6="Uang Kos Mama",H4332="Pengeluaran Uang Kos")),OR($C$7="Semua",$C$7="",I4332=$C$7),OR($C$8="Semua",$C$8="",C4332=$C$8,E4332=$C$8),OR($C$9="Semua",$C$9="",D4332=$C$9),OR($C$10="",B4332&gt;=$C$10),OR($C$11="",B4332&lt;=$C$11),OR($C$12&lt;&gt;"Ya",K4332&lt;&gt;""),OR($C$13="Semua",$C$13="",L4332=$C$13)),"✓","")</f>
        <v/>
      </c>
      <c r="N4332" s="93">
        <f>N(N4331)+IF(M4332="✓",1,0)</f>
        <v/>
      </c>
      <c r="O4332" s="93">
        <f>N(O4331)+IF(AND(B4332&lt;&gt;"",B4332&gt;='Uang Riba'!$H$30,B4332&lt;='Uang Riba'!$I$30,OR(H4332="Dana riba",H4332="Pinjam uang riba",I4332="Pinjam dari uang riba",I4332="Ganti uang riba",I4332="Kelebihan ganti dikembalikan",AND(C4332="Kantong Uang Riba",G4332="Pengeluaran"))),1,0)</f>
        <v/>
      </c>
      <c r="X4332" s="93">
        <f>IF(AND(B4332&lt;&gt;"",B4332&gt;='Buku Akun'!$H$4,B4332&lt;='Buku Akun'!$H$5,OR(C4332='Buku Akun'!$C$4,AND(D4332="Pindah",E4332='Buku Akun'!$C$4))),B4332+IF(AND(I4332="Selisih bunga",DAY(B4332)=1),0,0.01)+ROW()/10000000,"")</f>
        <v/>
      </c>
    </row>
    <row r="4333" outlineLevel="1" ht="15" customHeight="1" s="94">
      <c r="A4333" s="123">
        <f>IF(B4333="","",ROW()-15)</f>
        <v/>
      </c>
      <c r="B4333" s="124" t="n"/>
      <c r="C4333" s="123" t="n"/>
      <c r="D4333" s="123" t="n"/>
      <c r="E4333" s="123" t="n"/>
      <c r="F4333" s="125" t="n"/>
      <c r="G4333" s="123" t="n"/>
      <c r="H4333" s="123" t="n"/>
      <c r="I4333" s="123" t="n"/>
      <c r="J4333" s="123" t="n"/>
      <c r="K4333" s="123" t="n"/>
      <c r="L4333" s="123" t="n"/>
      <c r="M4333" s="123">
        <f>IF(AND(B4333&lt;&gt;"",OR($C$4="",ISNUMBER(SEARCH($C$4,C4333&amp;" "&amp;E4333&amp;" "&amp;G4333&amp;" "&amp;H4333&amp;" "&amp;I4333&amp;" "&amp;J4333&amp;" "&amp;K4333&amp;" "&amp;L4333))),OR($C$5="Semua",$C$5="",G4333=$C$5),OR($C$6="Semua",$C$6="",H4333=$C$6,H4333="Pengeluaran "&amp;$C$6,AND($C$6="Uang Kos Mama",H4333="Pengeluaran Uang Kos")),OR($C$7="Semua",$C$7="",I4333=$C$7),OR($C$8="Semua",$C$8="",C4333=$C$8,E4333=$C$8),OR($C$9="Semua",$C$9="",D4333=$C$9),OR($C$10="",B4333&gt;=$C$10),OR($C$11="",B4333&lt;=$C$11),OR($C$12&lt;&gt;"Ya",K4333&lt;&gt;""),OR($C$13="Semua",$C$13="",L4333=$C$13)),"✓","")</f>
        <v/>
      </c>
      <c r="N4333" s="93">
        <f>N(N4332)+IF(M4333="✓",1,0)</f>
        <v/>
      </c>
      <c r="O4333" s="93">
        <f>N(O4332)+IF(AND(B4333&lt;&gt;"",B4333&gt;='Uang Riba'!$H$30,B4333&lt;='Uang Riba'!$I$30,OR(H4333="Dana riba",H4333="Pinjam uang riba",I4333="Pinjam dari uang riba",I4333="Ganti uang riba",I4333="Kelebihan ganti dikembalikan",AND(C4333="Kantong Uang Riba",G4333="Pengeluaran"))),1,0)</f>
        <v/>
      </c>
      <c r="X4333" s="93">
        <f>IF(AND(B4333&lt;&gt;"",B4333&gt;='Buku Akun'!$H$4,B4333&lt;='Buku Akun'!$H$5,OR(C4333='Buku Akun'!$C$4,AND(D4333="Pindah",E4333='Buku Akun'!$C$4))),B4333+IF(AND(I4333="Selisih bunga",DAY(B4333)=1),0,0.01)+ROW()/10000000,"")</f>
        <v/>
      </c>
    </row>
    <row r="4334" outlineLevel="1" ht="15" customHeight="1" s="94">
      <c r="A4334" s="123">
        <f>IF(B4334="","",ROW()-15)</f>
        <v/>
      </c>
      <c r="B4334" s="124" t="n"/>
      <c r="C4334" s="123" t="n"/>
      <c r="D4334" s="123" t="n"/>
      <c r="E4334" s="123" t="n"/>
      <c r="F4334" s="125" t="n"/>
      <c r="G4334" s="123" t="n"/>
      <c r="H4334" s="123" t="n"/>
      <c r="I4334" s="123" t="n"/>
      <c r="J4334" s="123" t="n"/>
      <c r="K4334" s="123" t="n"/>
      <c r="L4334" s="123" t="n"/>
      <c r="M4334" s="123">
        <f>IF(AND(B4334&lt;&gt;"",OR($C$4="",ISNUMBER(SEARCH($C$4,C4334&amp;" "&amp;E4334&amp;" "&amp;G4334&amp;" "&amp;H4334&amp;" "&amp;I4334&amp;" "&amp;J4334&amp;" "&amp;K4334&amp;" "&amp;L4334))),OR($C$5="Semua",$C$5="",G4334=$C$5),OR($C$6="Semua",$C$6="",H4334=$C$6,H4334="Pengeluaran "&amp;$C$6,AND($C$6="Uang Kos Mama",H4334="Pengeluaran Uang Kos")),OR($C$7="Semua",$C$7="",I4334=$C$7),OR($C$8="Semua",$C$8="",C4334=$C$8,E4334=$C$8),OR($C$9="Semua",$C$9="",D4334=$C$9),OR($C$10="",B4334&gt;=$C$10),OR($C$11="",B4334&lt;=$C$11),OR($C$12&lt;&gt;"Ya",K4334&lt;&gt;""),OR($C$13="Semua",$C$13="",L4334=$C$13)),"✓","")</f>
        <v/>
      </c>
      <c r="N4334" s="93">
        <f>N(N4333)+IF(M4334="✓",1,0)</f>
        <v/>
      </c>
      <c r="O4334" s="93">
        <f>N(O4333)+IF(AND(B4334&lt;&gt;"",B4334&gt;='Uang Riba'!$H$30,B4334&lt;='Uang Riba'!$I$30,OR(H4334="Dana riba",H4334="Pinjam uang riba",I4334="Pinjam dari uang riba",I4334="Ganti uang riba",I4334="Kelebihan ganti dikembalikan",AND(C4334="Kantong Uang Riba",G4334="Pengeluaran"))),1,0)</f>
        <v/>
      </c>
      <c r="X4334" s="93">
        <f>IF(AND(B4334&lt;&gt;"",B4334&gt;='Buku Akun'!$H$4,B4334&lt;='Buku Akun'!$H$5,OR(C4334='Buku Akun'!$C$4,AND(D4334="Pindah",E4334='Buku Akun'!$C$4))),B4334+IF(AND(I4334="Selisih bunga",DAY(B4334)=1),0,0.01)+ROW()/10000000,"")</f>
        <v/>
      </c>
    </row>
    <row r="4335" outlineLevel="1" ht="15" customHeight="1" s="94">
      <c r="A4335" s="123">
        <f>IF(B4335="","",ROW()-15)</f>
        <v/>
      </c>
      <c r="B4335" s="124" t="n"/>
      <c r="C4335" s="123" t="n"/>
      <c r="D4335" s="123" t="n"/>
      <c r="E4335" s="123" t="n"/>
      <c r="F4335" s="125" t="n"/>
      <c r="G4335" s="123" t="n"/>
      <c r="H4335" s="123" t="n"/>
      <c r="I4335" s="123" t="n"/>
      <c r="J4335" s="123" t="n"/>
      <c r="K4335" s="123" t="n"/>
      <c r="L4335" s="123" t="n"/>
      <c r="M4335" s="123">
        <f>IF(AND(B4335&lt;&gt;"",OR($C$4="",ISNUMBER(SEARCH($C$4,C4335&amp;" "&amp;E4335&amp;" "&amp;G4335&amp;" "&amp;H4335&amp;" "&amp;I4335&amp;" "&amp;J4335&amp;" "&amp;K4335&amp;" "&amp;L4335))),OR($C$5="Semua",$C$5="",G4335=$C$5),OR($C$6="Semua",$C$6="",H4335=$C$6,H4335="Pengeluaran "&amp;$C$6,AND($C$6="Uang Kos Mama",H4335="Pengeluaran Uang Kos")),OR($C$7="Semua",$C$7="",I4335=$C$7),OR($C$8="Semua",$C$8="",C4335=$C$8,E4335=$C$8),OR($C$9="Semua",$C$9="",D4335=$C$9),OR($C$10="",B4335&gt;=$C$10),OR($C$11="",B4335&lt;=$C$11),OR($C$12&lt;&gt;"Ya",K4335&lt;&gt;""),OR($C$13="Semua",$C$13="",L4335=$C$13)),"✓","")</f>
        <v/>
      </c>
      <c r="N4335" s="93">
        <f>N(N4334)+IF(M4335="✓",1,0)</f>
        <v/>
      </c>
      <c r="O4335" s="93">
        <f>N(O4334)+IF(AND(B4335&lt;&gt;"",B4335&gt;='Uang Riba'!$H$30,B4335&lt;='Uang Riba'!$I$30,OR(H4335="Dana riba",H4335="Pinjam uang riba",I4335="Pinjam dari uang riba",I4335="Ganti uang riba",I4335="Kelebihan ganti dikembalikan",AND(C4335="Kantong Uang Riba",G4335="Pengeluaran"))),1,0)</f>
        <v/>
      </c>
      <c r="X4335" s="93">
        <f>IF(AND(B4335&lt;&gt;"",B4335&gt;='Buku Akun'!$H$4,B4335&lt;='Buku Akun'!$H$5,OR(C4335='Buku Akun'!$C$4,AND(D4335="Pindah",E4335='Buku Akun'!$C$4))),B4335+IF(AND(I4335="Selisih bunga",DAY(B4335)=1),0,0.01)+ROW()/10000000,"")</f>
        <v/>
      </c>
    </row>
    <row r="4336" outlineLevel="1" ht="15" customHeight="1" s="94">
      <c r="A4336" s="123">
        <f>IF(B4336="","",ROW()-15)</f>
        <v/>
      </c>
      <c r="B4336" s="124" t="n"/>
      <c r="C4336" s="123" t="n"/>
      <c r="D4336" s="123" t="n"/>
      <c r="E4336" s="123" t="n"/>
      <c r="F4336" s="125" t="n"/>
      <c r="G4336" s="123" t="n"/>
      <c r="H4336" s="123" t="n"/>
      <c r="I4336" s="123" t="n"/>
      <c r="J4336" s="123" t="n"/>
      <c r="K4336" s="123" t="n"/>
      <c r="L4336" s="123" t="n"/>
      <c r="M4336" s="123">
        <f>IF(AND(B4336&lt;&gt;"",OR($C$4="",ISNUMBER(SEARCH($C$4,C4336&amp;" "&amp;E4336&amp;" "&amp;G4336&amp;" "&amp;H4336&amp;" "&amp;I4336&amp;" "&amp;J4336&amp;" "&amp;K4336&amp;" "&amp;L4336))),OR($C$5="Semua",$C$5="",G4336=$C$5),OR($C$6="Semua",$C$6="",H4336=$C$6,H4336="Pengeluaran "&amp;$C$6,AND($C$6="Uang Kos Mama",H4336="Pengeluaran Uang Kos")),OR($C$7="Semua",$C$7="",I4336=$C$7),OR($C$8="Semua",$C$8="",C4336=$C$8,E4336=$C$8),OR($C$9="Semua",$C$9="",D4336=$C$9),OR($C$10="",B4336&gt;=$C$10),OR($C$11="",B4336&lt;=$C$11),OR($C$12&lt;&gt;"Ya",K4336&lt;&gt;""),OR($C$13="Semua",$C$13="",L4336=$C$13)),"✓","")</f>
        <v/>
      </c>
      <c r="N4336" s="93">
        <f>N(N4335)+IF(M4336="✓",1,0)</f>
        <v/>
      </c>
      <c r="O4336" s="93">
        <f>N(O4335)+IF(AND(B4336&lt;&gt;"",B4336&gt;='Uang Riba'!$H$30,B4336&lt;='Uang Riba'!$I$30,OR(H4336="Dana riba",H4336="Pinjam uang riba",I4336="Pinjam dari uang riba",I4336="Ganti uang riba",I4336="Kelebihan ganti dikembalikan",AND(C4336="Kantong Uang Riba",G4336="Pengeluaran"))),1,0)</f>
        <v/>
      </c>
      <c r="X4336" s="93">
        <f>IF(AND(B4336&lt;&gt;"",B4336&gt;='Buku Akun'!$H$4,B4336&lt;='Buku Akun'!$H$5,OR(C4336='Buku Akun'!$C$4,AND(D4336="Pindah",E4336='Buku Akun'!$C$4))),B4336+IF(AND(I4336="Selisih bunga",DAY(B4336)=1),0,0.01)+ROW()/10000000,"")</f>
        <v/>
      </c>
    </row>
    <row r="4337" outlineLevel="1" ht="15" customHeight="1" s="94">
      <c r="A4337" s="123">
        <f>IF(B4337="","",ROW()-15)</f>
        <v/>
      </c>
      <c r="B4337" s="124" t="n"/>
      <c r="C4337" s="123" t="n"/>
      <c r="D4337" s="123" t="n"/>
      <c r="E4337" s="123" t="n"/>
      <c r="F4337" s="125" t="n"/>
      <c r="G4337" s="123" t="n"/>
      <c r="H4337" s="123" t="n"/>
      <c r="I4337" s="123" t="n"/>
      <c r="J4337" s="123" t="n"/>
      <c r="K4337" s="123" t="n"/>
      <c r="L4337" s="123" t="n"/>
      <c r="M4337" s="123">
        <f>IF(AND(B4337&lt;&gt;"",OR($C$4="",ISNUMBER(SEARCH($C$4,C4337&amp;" "&amp;E4337&amp;" "&amp;G4337&amp;" "&amp;H4337&amp;" "&amp;I4337&amp;" "&amp;J4337&amp;" "&amp;K4337&amp;" "&amp;L4337))),OR($C$5="Semua",$C$5="",G4337=$C$5),OR($C$6="Semua",$C$6="",H4337=$C$6,H4337="Pengeluaran "&amp;$C$6,AND($C$6="Uang Kos Mama",H4337="Pengeluaran Uang Kos")),OR($C$7="Semua",$C$7="",I4337=$C$7),OR($C$8="Semua",$C$8="",C4337=$C$8,E4337=$C$8),OR($C$9="Semua",$C$9="",D4337=$C$9),OR($C$10="",B4337&gt;=$C$10),OR($C$11="",B4337&lt;=$C$11),OR($C$12&lt;&gt;"Ya",K4337&lt;&gt;""),OR($C$13="Semua",$C$13="",L4337=$C$13)),"✓","")</f>
        <v/>
      </c>
      <c r="N4337" s="93">
        <f>N(N4336)+IF(M4337="✓",1,0)</f>
        <v/>
      </c>
      <c r="O4337" s="93">
        <f>N(O4336)+IF(AND(B4337&lt;&gt;"",B4337&gt;='Uang Riba'!$H$30,B4337&lt;='Uang Riba'!$I$30,OR(H4337="Dana riba",H4337="Pinjam uang riba",I4337="Pinjam dari uang riba",I4337="Ganti uang riba",I4337="Kelebihan ganti dikembalikan",AND(C4337="Kantong Uang Riba",G4337="Pengeluaran"))),1,0)</f>
        <v/>
      </c>
      <c r="X4337" s="93">
        <f>IF(AND(B4337&lt;&gt;"",B4337&gt;='Buku Akun'!$H$4,B4337&lt;='Buku Akun'!$H$5,OR(C4337='Buku Akun'!$C$4,AND(D4337="Pindah",E4337='Buku Akun'!$C$4))),B4337+IF(AND(I4337="Selisih bunga",DAY(B4337)=1),0,0.01)+ROW()/10000000,"")</f>
        <v/>
      </c>
    </row>
    <row r="4338" outlineLevel="1" ht="15" customHeight="1" s="94">
      <c r="A4338" s="123">
        <f>IF(B4338="","",ROW()-15)</f>
        <v/>
      </c>
      <c r="B4338" s="124" t="n"/>
      <c r="C4338" s="123" t="n"/>
      <c r="D4338" s="123" t="n"/>
      <c r="E4338" s="123" t="n"/>
      <c r="F4338" s="125" t="n"/>
      <c r="G4338" s="123" t="n"/>
      <c r="H4338" s="123" t="n"/>
      <c r="I4338" s="123" t="n"/>
      <c r="J4338" s="123" t="n"/>
      <c r="K4338" s="123" t="n"/>
      <c r="L4338" s="123" t="n"/>
      <c r="M4338" s="123">
        <f>IF(AND(B4338&lt;&gt;"",OR($C$4="",ISNUMBER(SEARCH($C$4,C4338&amp;" "&amp;E4338&amp;" "&amp;G4338&amp;" "&amp;H4338&amp;" "&amp;I4338&amp;" "&amp;J4338&amp;" "&amp;K4338&amp;" "&amp;L4338))),OR($C$5="Semua",$C$5="",G4338=$C$5),OR($C$6="Semua",$C$6="",H4338=$C$6,H4338="Pengeluaran "&amp;$C$6,AND($C$6="Uang Kos Mama",H4338="Pengeluaran Uang Kos")),OR($C$7="Semua",$C$7="",I4338=$C$7),OR($C$8="Semua",$C$8="",C4338=$C$8,E4338=$C$8),OR($C$9="Semua",$C$9="",D4338=$C$9),OR($C$10="",B4338&gt;=$C$10),OR($C$11="",B4338&lt;=$C$11),OR($C$12&lt;&gt;"Ya",K4338&lt;&gt;""),OR($C$13="Semua",$C$13="",L4338=$C$13)),"✓","")</f>
        <v/>
      </c>
      <c r="N4338" s="93">
        <f>N(N4337)+IF(M4338="✓",1,0)</f>
        <v/>
      </c>
      <c r="O4338" s="93">
        <f>N(O4337)+IF(AND(B4338&lt;&gt;"",B4338&gt;='Uang Riba'!$H$30,B4338&lt;='Uang Riba'!$I$30,OR(H4338="Dana riba",H4338="Pinjam uang riba",I4338="Pinjam dari uang riba",I4338="Ganti uang riba",I4338="Kelebihan ganti dikembalikan",AND(C4338="Kantong Uang Riba",G4338="Pengeluaran"))),1,0)</f>
        <v/>
      </c>
      <c r="X4338" s="93">
        <f>IF(AND(B4338&lt;&gt;"",B4338&gt;='Buku Akun'!$H$4,B4338&lt;='Buku Akun'!$H$5,OR(C4338='Buku Akun'!$C$4,AND(D4338="Pindah",E4338='Buku Akun'!$C$4))),B4338+IF(AND(I4338="Selisih bunga",DAY(B4338)=1),0,0.01)+ROW()/10000000,"")</f>
        <v/>
      </c>
    </row>
    <row r="4339" outlineLevel="1" ht="15" customHeight="1" s="94">
      <c r="A4339" s="123">
        <f>IF(B4339="","",ROW()-15)</f>
        <v/>
      </c>
      <c r="B4339" s="124" t="n"/>
      <c r="C4339" s="123" t="n"/>
      <c r="D4339" s="123" t="n"/>
      <c r="E4339" s="123" t="n"/>
      <c r="F4339" s="125" t="n"/>
      <c r="G4339" s="123" t="n"/>
      <c r="H4339" s="123" t="n"/>
      <c r="I4339" s="123" t="n"/>
      <c r="J4339" s="123" t="n"/>
      <c r="K4339" s="123" t="n"/>
      <c r="L4339" s="123" t="n"/>
      <c r="M4339" s="123">
        <f>IF(AND(B4339&lt;&gt;"",OR($C$4="",ISNUMBER(SEARCH($C$4,C4339&amp;" "&amp;E4339&amp;" "&amp;G4339&amp;" "&amp;H4339&amp;" "&amp;I4339&amp;" "&amp;J4339&amp;" "&amp;K4339&amp;" "&amp;L4339))),OR($C$5="Semua",$C$5="",G4339=$C$5),OR($C$6="Semua",$C$6="",H4339=$C$6,H4339="Pengeluaran "&amp;$C$6,AND($C$6="Uang Kos Mama",H4339="Pengeluaran Uang Kos")),OR($C$7="Semua",$C$7="",I4339=$C$7),OR($C$8="Semua",$C$8="",C4339=$C$8,E4339=$C$8),OR($C$9="Semua",$C$9="",D4339=$C$9),OR($C$10="",B4339&gt;=$C$10),OR($C$11="",B4339&lt;=$C$11),OR($C$12&lt;&gt;"Ya",K4339&lt;&gt;""),OR($C$13="Semua",$C$13="",L4339=$C$13)),"✓","")</f>
        <v/>
      </c>
      <c r="N4339" s="93">
        <f>N(N4338)+IF(M4339="✓",1,0)</f>
        <v/>
      </c>
      <c r="O4339" s="93">
        <f>N(O4338)+IF(AND(B4339&lt;&gt;"",B4339&gt;='Uang Riba'!$H$30,B4339&lt;='Uang Riba'!$I$30,OR(H4339="Dana riba",H4339="Pinjam uang riba",I4339="Pinjam dari uang riba",I4339="Ganti uang riba",I4339="Kelebihan ganti dikembalikan",AND(C4339="Kantong Uang Riba",G4339="Pengeluaran"))),1,0)</f>
        <v/>
      </c>
      <c r="X4339" s="93">
        <f>IF(AND(B4339&lt;&gt;"",B4339&gt;='Buku Akun'!$H$4,B4339&lt;='Buku Akun'!$H$5,OR(C4339='Buku Akun'!$C$4,AND(D4339="Pindah",E4339='Buku Akun'!$C$4))),B4339+IF(AND(I4339="Selisih bunga",DAY(B4339)=1),0,0.01)+ROW()/10000000,"")</f>
        <v/>
      </c>
    </row>
    <row r="4340" outlineLevel="1" ht="15" customHeight="1" s="94">
      <c r="A4340" s="123">
        <f>IF(B4340="","",ROW()-15)</f>
        <v/>
      </c>
      <c r="B4340" s="124" t="n"/>
      <c r="C4340" s="123" t="n"/>
      <c r="D4340" s="123" t="n"/>
      <c r="E4340" s="123" t="n"/>
      <c r="F4340" s="125" t="n"/>
      <c r="G4340" s="123" t="n"/>
      <c r="H4340" s="123" t="n"/>
      <c r="I4340" s="123" t="n"/>
      <c r="J4340" s="123" t="n"/>
      <c r="K4340" s="123" t="n"/>
      <c r="L4340" s="123" t="n"/>
      <c r="M4340" s="123">
        <f>IF(AND(B4340&lt;&gt;"",OR($C$4="",ISNUMBER(SEARCH($C$4,C4340&amp;" "&amp;E4340&amp;" "&amp;G4340&amp;" "&amp;H4340&amp;" "&amp;I4340&amp;" "&amp;J4340&amp;" "&amp;K4340&amp;" "&amp;L4340))),OR($C$5="Semua",$C$5="",G4340=$C$5),OR($C$6="Semua",$C$6="",H4340=$C$6,H4340="Pengeluaran "&amp;$C$6,AND($C$6="Uang Kos Mama",H4340="Pengeluaran Uang Kos")),OR($C$7="Semua",$C$7="",I4340=$C$7),OR($C$8="Semua",$C$8="",C4340=$C$8,E4340=$C$8),OR($C$9="Semua",$C$9="",D4340=$C$9),OR($C$10="",B4340&gt;=$C$10),OR($C$11="",B4340&lt;=$C$11),OR($C$12&lt;&gt;"Ya",K4340&lt;&gt;""),OR($C$13="Semua",$C$13="",L4340=$C$13)),"✓","")</f>
        <v/>
      </c>
      <c r="N4340" s="93">
        <f>N(N4339)+IF(M4340="✓",1,0)</f>
        <v/>
      </c>
      <c r="O4340" s="93">
        <f>N(O4339)+IF(AND(B4340&lt;&gt;"",B4340&gt;='Uang Riba'!$H$30,B4340&lt;='Uang Riba'!$I$30,OR(H4340="Dana riba",H4340="Pinjam uang riba",I4340="Pinjam dari uang riba",I4340="Ganti uang riba",I4340="Kelebihan ganti dikembalikan",AND(C4340="Kantong Uang Riba",G4340="Pengeluaran"))),1,0)</f>
        <v/>
      </c>
      <c r="X4340" s="93">
        <f>IF(AND(B4340&lt;&gt;"",B4340&gt;='Buku Akun'!$H$4,B4340&lt;='Buku Akun'!$H$5,OR(C4340='Buku Akun'!$C$4,AND(D4340="Pindah",E4340='Buku Akun'!$C$4))),B4340+IF(AND(I4340="Selisih bunga",DAY(B4340)=1),0,0.01)+ROW()/10000000,"")</f>
        <v/>
      </c>
    </row>
    <row r="4341" outlineLevel="1" ht="15" customHeight="1" s="94">
      <c r="A4341" s="123">
        <f>IF(B4341="","",ROW()-15)</f>
        <v/>
      </c>
      <c r="B4341" s="124" t="n"/>
      <c r="C4341" s="123" t="n"/>
      <c r="D4341" s="123" t="n"/>
      <c r="E4341" s="123" t="n"/>
      <c r="F4341" s="125" t="n"/>
      <c r="G4341" s="123" t="n"/>
      <c r="H4341" s="123" t="n"/>
      <c r="I4341" s="123" t="n"/>
      <c r="J4341" s="123" t="n"/>
      <c r="K4341" s="123" t="n"/>
      <c r="L4341" s="123" t="n"/>
      <c r="M4341" s="123">
        <f>IF(AND(B4341&lt;&gt;"",OR($C$4="",ISNUMBER(SEARCH($C$4,C4341&amp;" "&amp;E4341&amp;" "&amp;G4341&amp;" "&amp;H4341&amp;" "&amp;I4341&amp;" "&amp;J4341&amp;" "&amp;K4341&amp;" "&amp;L4341))),OR($C$5="Semua",$C$5="",G4341=$C$5),OR($C$6="Semua",$C$6="",H4341=$C$6,H4341="Pengeluaran "&amp;$C$6,AND($C$6="Uang Kos Mama",H4341="Pengeluaran Uang Kos")),OR($C$7="Semua",$C$7="",I4341=$C$7),OR($C$8="Semua",$C$8="",C4341=$C$8,E4341=$C$8),OR($C$9="Semua",$C$9="",D4341=$C$9),OR($C$10="",B4341&gt;=$C$10),OR($C$11="",B4341&lt;=$C$11),OR($C$12&lt;&gt;"Ya",K4341&lt;&gt;""),OR($C$13="Semua",$C$13="",L4341=$C$13)),"✓","")</f>
        <v/>
      </c>
      <c r="N4341" s="93">
        <f>N(N4340)+IF(M4341="✓",1,0)</f>
        <v/>
      </c>
      <c r="O4341" s="93">
        <f>N(O4340)+IF(AND(B4341&lt;&gt;"",B4341&gt;='Uang Riba'!$H$30,B4341&lt;='Uang Riba'!$I$30,OR(H4341="Dana riba",H4341="Pinjam uang riba",I4341="Pinjam dari uang riba",I4341="Ganti uang riba",I4341="Kelebihan ganti dikembalikan",AND(C4341="Kantong Uang Riba",G4341="Pengeluaran"))),1,0)</f>
        <v/>
      </c>
      <c r="X4341" s="93">
        <f>IF(AND(B4341&lt;&gt;"",B4341&gt;='Buku Akun'!$H$4,B4341&lt;='Buku Akun'!$H$5,OR(C4341='Buku Akun'!$C$4,AND(D4341="Pindah",E4341='Buku Akun'!$C$4))),B4341+IF(AND(I4341="Selisih bunga",DAY(B4341)=1),0,0.01)+ROW()/10000000,"")</f>
        <v/>
      </c>
    </row>
    <row r="4342" outlineLevel="1" ht="15" customHeight="1" s="94">
      <c r="A4342" s="123">
        <f>IF(B4342="","",ROW()-15)</f>
        <v/>
      </c>
      <c r="B4342" s="124" t="n"/>
      <c r="C4342" s="123" t="n"/>
      <c r="D4342" s="123" t="n"/>
      <c r="E4342" s="123" t="n"/>
      <c r="F4342" s="125" t="n"/>
      <c r="G4342" s="123" t="n"/>
      <c r="H4342" s="123" t="n"/>
      <c r="I4342" s="123" t="n"/>
      <c r="J4342" s="123" t="n"/>
      <c r="K4342" s="123" t="n"/>
      <c r="L4342" s="123" t="n"/>
      <c r="M4342" s="123">
        <f>IF(AND(B4342&lt;&gt;"",OR($C$4="",ISNUMBER(SEARCH($C$4,C4342&amp;" "&amp;E4342&amp;" "&amp;G4342&amp;" "&amp;H4342&amp;" "&amp;I4342&amp;" "&amp;J4342&amp;" "&amp;K4342&amp;" "&amp;L4342))),OR($C$5="Semua",$C$5="",G4342=$C$5),OR($C$6="Semua",$C$6="",H4342=$C$6,H4342="Pengeluaran "&amp;$C$6,AND($C$6="Uang Kos Mama",H4342="Pengeluaran Uang Kos")),OR($C$7="Semua",$C$7="",I4342=$C$7),OR($C$8="Semua",$C$8="",C4342=$C$8,E4342=$C$8),OR($C$9="Semua",$C$9="",D4342=$C$9),OR($C$10="",B4342&gt;=$C$10),OR($C$11="",B4342&lt;=$C$11),OR($C$12&lt;&gt;"Ya",K4342&lt;&gt;""),OR($C$13="Semua",$C$13="",L4342=$C$13)),"✓","")</f>
        <v/>
      </c>
      <c r="N4342" s="93">
        <f>N(N4341)+IF(M4342="✓",1,0)</f>
        <v/>
      </c>
      <c r="O4342" s="93">
        <f>N(O4341)+IF(AND(B4342&lt;&gt;"",B4342&gt;='Uang Riba'!$H$30,B4342&lt;='Uang Riba'!$I$30,OR(H4342="Dana riba",H4342="Pinjam uang riba",I4342="Pinjam dari uang riba",I4342="Ganti uang riba",I4342="Kelebihan ganti dikembalikan",AND(C4342="Kantong Uang Riba",G4342="Pengeluaran"))),1,0)</f>
        <v/>
      </c>
      <c r="X4342" s="93">
        <f>IF(AND(B4342&lt;&gt;"",B4342&gt;='Buku Akun'!$H$4,B4342&lt;='Buku Akun'!$H$5,OR(C4342='Buku Akun'!$C$4,AND(D4342="Pindah",E4342='Buku Akun'!$C$4))),B4342+IF(AND(I4342="Selisih bunga",DAY(B4342)=1),0,0.01)+ROW()/10000000,"")</f>
        <v/>
      </c>
    </row>
    <row r="4343" outlineLevel="1" ht="15" customHeight="1" s="94">
      <c r="A4343" s="123">
        <f>IF(B4343="","",ROW()-15)</f>
        <v/>
      </c>
      <c r="B4343" s="124" t="n"/>
      <c r="C4343" s="123" t="n"/>
      <c r="D4343" s="123" t="n"/>
      <c r="E4343" s="123" t="n"/>
      <c r="F4343" s="125" t="n"/>
      <c r="G4343" s="123" t="n"/>
      <c r="H4343" s="123" t="n"/>
      <c r="I4343" s="123" t="n"/>
      <c r="J4343" s="123" t="n"/>
      <c r="K4343" s="123" t="n"/>
      <c r="L4343" s="123" t="n"/>
      <c r="M4343" s="123">
        <f>IF(AND(B4343&lt;&gt;"",OR($C$4="",ISNUMBER(SEARCH($C$4,C4343&amp;" "&amp;E4343&amp;" "&amp;G4343&amp;" "&amp;H4343&amp;" "&amp;I4343&amp;" "&amp;J4343&amp;" "&amp;K4343&amp;" "&amp;L4343))),OR($C$5="Semua",$C$5="",G4343=$C$5),OR($C$6="Semua",$C$6="",H4343=$C$6,H4343="Pengeluaran "&amp;$C$6,AND($C$6="Uang Kos Mama",H4343="Pengeluaran Uang Kos")),OR($C$7="Semua",$C$7="",I4343=$C$7),OR($C$8="Semua",$C$8="",C4343=$C$8,E4343=$C$8),OR($C$9="Semua",$C$9="",D4343=$C$9),OR($C$10="",B4343&gt;=$C$10),OR($C$11="",B4343&lt;=$C$11),OR($C$12&lt;&gt;"Ya",K4343&lt;&gt;""),OR($C$13="Semua",$C$13="",L4343=$C$13)),"✓","")</f>
        <v/>
      </c>
      <c r="N4343" s="93">
        <f>N(N4342)+IF(M4343="✓",1,0)</f>
        <v/>
      </c>
      <c r="O4343" s="93">
        <f>N(O4342)+IF(AND(B4343&lt;&gt;"",B4343&gt;='Uang Riba'!$H$30,B4343&lt;='Uang Riba'!$I$30,OR(H4343="Dana riba",H4343="Pinjam uang riba",I4343="Pinjam dari uang riba",I4343="Ganti uang riba",I4343="Kelebihan ganti dikembalikan",AND(C4343="Kantong Uang Riba",G4343="Pengeluaran"))),1,0)</f>
        <v/>
      </c>
      <c r="X4343" s="93">
        <f>IF(AND(B4343&lt;&gt;"",B4343&gt;='Buku Akun'!$H$4,B4343&lt;='Buku Akun'!$H$5,OR(C4343='Buku Akun'!$C$4,AND(D4343="Pindah",E4343='Buku Akun'!$C$4))),B4343+IF(AND(I4343="Selisih bunga",DAY(B4343)=1),0,0.01)+ROW()/10000000,"")</f>
        <v/>
      </c>
    </row>
    <row r="4344" outlineLevel="1" ht="15" customHeight="1" s="94">
      <c r="A4344" s="123">
        <f>IF(B4344="","",ROW()-15)</f>
        <v/>
      </c>
      <c r="B4344" s="124" t="n"/>
      <c r="C4344" s="123" t="n"/>
      <c r="D4344" s="123" t="n"/>
      <c r="E4344" s="123" t="n"/>
      <c r="F4344" s="125" t="n"/>
      <c r="G4344" s="123" t="n"/>
      <c r="H4344" s="123" t="n"/>
      <c r="I4344" s="123" t="n"/>
      <c r="J4344" s="123" t="n"/>
      <c r="K4344" s="123" t="n"/>
      <c r="L4344" s="123" t="n"/>
      <c r="M4344" s="123">
        <f>IF(AND(B4344&lt;&gt;"",OR($C$4="",ISNUMBER(SEARCH($C$4,C4344&amp;" "&amp;E4344&amp;" "&amp;G4344&amp;" "&amp;H4344&amp;" "&amp;I4344&amp;" "&amp;J4344&amp;" "&amp;K4344&amp;" "&amp;L4344))),OR($C$5="Semua",$C$5="",G4344=$C$5),OR($C$6="Semua",$C$6="",H4344=$C$6,H4344="Pengeluaran "&amp;$C$6,AND($C$6="Uang Kos Mama",H4344="Pengeluaran Uang Kos")),OR($C$7="Semua",$C$7="",I4344=$C$7),OR($C$8="Semua",$C$8="",C4344=$C$8,E4344=$C$8),OR($C$9="Semua",$C$9="",D4344=$C$9),OR($C$10="",B4344&gt;=$C$10),OR($C$11="",B4344&lt;=$C$11),OR($C$12&lt;&gt;"Ya",K4344&lt;&gt;""),OR($C$13="Semua",$C$13="",L4344=$C$13)),"✓","")</f>
        <v/>
      </c>
      <c r="N4344" s="93">
        <f>N(N4343)+IF(M4344="✓",1,0)</f>
        <v/>
      </c>
      <c r="O4344" s="93">
        <f>N(O4343)+IF(AND(B4344&lt;&gt;"",B4344&gt;='Uang Riba'!$H$30,B4344&lt;='Uang Riba'!$I$30,OR(H4344="Dana riba",H4344="Pinjam uang riba",I4344="Pinjam dari uang riba",I4344="Ganti uang riba",I4344="Kelebihan ganti dikembalikan",AND(C4344="Kantong Uang Riba",G4344="Pengeluaran"))),1,0)</f>
        <v/>
      </c>
      <c r="X4344" s="93">
        <f>IF(AND(B4344&lt;&gt;"",B4344&gt;='Buku Akun'!$H$4,B4344&lt;='Buku Akun'!$H$5,OR(C4344='Buku Akun'!$C$4,AND(D4344="Pindah",E4344='Buku Akun'!$C$4))),B4344+IF(AND(I4344="Selisih bunga",DAY(B4344)=1),0,0.01)+ROW()/10000000,"")</f>
        <v/>
      </c>
    </row>
    <row r="4345" outlineLevel="1" ht="15" customHeight="1" s="94">
      <c r="A4345" s="123">
        <f>IF(B4345="","",ROW()-15)</f>
        <v/>
      </c>
      <c r="B4345" s="124" t="n"/>
      <c r="C4345" s="123" t="n"/>
      <c r="D4345" s="123" t="n"/>
      <c r="E4345" s="123" t="n"/>
      <c r="F4345" s="125" t="n"/>
      <c r="G4345" s="123" t="n"/>
      <c r="H4345" s="123" t="n"/>
      <c r="I4345" s="123" t="n"/>
      <c r="J4345" s="123" t="n"/>
      <c r="K4345" s="123" t="n"/>
      <c r="L4345" s="123" t="n"/>
      <c r="M4345" s="123">
        <f>IF(AND(B4345&lt;&gt;"",OR($C$4="",ISNUMBER(SEARCH($C$4,C4345&amp;" "&amp;E4345&amp;" "&amp;G4345&amp;" "&amp;H4345&amp;" "&amp;I4345&amp;" "&amp;J4345&amp;" "&amp;K4345&amp;" "&amp;L4345))),OR($C$5="Semua",$C$5="",G4345=$C$5),OR($C$6="Semua",$C$6="",H4345=$C$6,H4345="Pengeluaran "&amp;$C$6,AND($C$6="Uang Kos Mama",H4345="Pengeluaran Uang Kos")),OR($C$7="Semua",$C$7="",I4345=$C$7),OR($C$8="Semua",$C$8="",C4345=$C$8,E4345=$C$8),OR($C$9="Semua",$C$9="",D4345=$C$9),OR($C$10="",B4345&gt;=$C$10),OR($C$11="",B4345&lt;=$C$11),OR($C$12&lt;&gt;"Ya",K4345&lt;&gt;""),OR($C$13="Semua",$C$13="",L4345=$C$13)),"✓","")</f>
        <v/>
      </c>
      <c r="N4345" s="93">
        <f>N(N4344)+IF(M4345="✓",1,0)</f>
        <v/>
      </c>
      <c r="O4345" s="93">
        <f>N(O4344)+IF(AND(B4345&lt;&gt;"",B4345&gt;='Uang Riba'!$H$30,B4345&lt;='Uang Riba'!$I$30,OR(H4345="Dana riba",H4345="Pinjam uang riba",I4345="Pinjam dari uang riba",I4345="Ganti uang riba",I4345="Kelebihan ganti dikembalikan",AND(C4345="Kantong Uang Riba",G4345="Pengeluaran"))),1,0)</f>
        <v/>
      </c>
      <c r="X4345" s="93">
        <f>IF(AND(B4345&lt;&gt;"",B4345&gt;='Buku Akun'!$H$4,B4345&lt;='Buku Akun'!$H$5,OR(C4345='Buku Akun'!$C$4,AND(D4345="Pindah",E4345='Buku Akun'!$C$4))),B4345+IF(AND(I4345="Selisih bunga",DAY(B4345)=1),0,0.01)+ROW()/10000000,"")</f>
        <v/>
      </c>
    </row>
    <row r="4346" outlineLevel="1" ht="15" customHeight="1" s="94">
      <c r="A4346" s="123">
        <f>IF(B4346="","",ROW()-15)</f>
        <v/>
      </c>
      <c r="B4346" s="124" t="n"/>
      <c r="C4346" s="123" t="n"/>
      <c r="D4346" s="123" t="n"/>
      <c r="E4346" s="123" t="n"/>
      <c r="F4346" s="125" t="n"/>
      <c r="G4346" s="123" t="n"/>
      <c r="H4346" s="123" t="n"/>
      <c r="I4346" s="123" t="n"/>
      <c r="J4346" s="123" t="n"/>
      <c r="K4346" s="123" t="n"/>
      <c r="L4346" s="123" t="n"/>
      <c r="M4346" s="123">
        <f>IF(AND(B4346&lt;&gt;"",OR($C$4="",ISNUMBER(SEARCH($C$4,C4346&amp;" "&amp;E4346&amp;" "&amp;G4346&amp;" "&amp;H4346&amp;" "&amp;I4346&amp;" "&amp;J4346&amp;" "&amp;K4346&amp;" "&amp;L4346))),OR($C$5="Semua",$C$5="",G4346=$C$5),OR($C$6="Semua",$C$6="",H4346=$C$6,H4346="Pengeluaran "&amp;$C$6,AND($C$6="Uang Kos Mama",H4346="Pengeluaran Uang Kos")),OR($C$7="Semua",$C$7="",I4346=$C$7),OR($C$8="Semua",$C$8="",C4346=$C$8,E4346=$C$8),OR($C$9="Semua",$C$9="",D4346=$C$9),OR($C$10="",B4346&gt;=$C$10),OR($C$11="",B4346&lt;=$C$11),OR($C$12&lt;&gt;"Ya",K4346&lt;&gt;""),OR($C$13="Semua",$C$13="",L4346=$C$13)),"✓","")</f>
        <v/>
      </c>
      <c r="N4346" s="93">
        <f>N(N4345)+IF(M4346="✓",1,0)</f>
        <v/>
      </c>
      <c r="O4346" s="93">
        <f>N(O4345)+IF(AND(B4346&lt;&gt;"",B4346&gt;='Uang Riba'!$H$30,B4346&lt;='Uang Riba'!$I$30,OR(H4346="Dana riba",H4346="Pinjam uang riba",I4346="Pinjam dari uang riba",I4346="Ganti uang riba",I4346="Kelebihan ganti dikembalikan",AND(C4346="Kantong Uang Riba",G4346="Pengeluaran"))),1,0)</f>
        <v/>
      </c>
      <c r="X4346" s="93">
        <f>IF(AND(B4346&lt;&gt;"",B4346&gt;='Buku Akun'!$H$4,B4346&lt;='Buku Akun'!$H$5,OR(C4346='Buku Akun'!$C$4,AND(D4346="Pindah",E4346='Buku Akun'!$C$4))),B4346+IF(AND(I4346="Selisih bunga",DAY(B4346)=1),0,0.01)+ROW()/10000000,"")</f>
        <v/>
      </c>
    </row>
    <row r="4347" outlineLevel="1" ht="15" customHeight="1" s="94">
      <c r="A4347" s="123">
        <f>IF(B4347="","",ROW()-15)</f>
        <v/>
      </c>
      <c r="B4347" s="124" t="n"/>
      <c r="C4347" s="123" t="n"/>
      <c r="D4347" s="123" t="n"/>
      <c r="E4347" s="123" t="n"/>
      <c r="F4347" s="125" t="n"/>
      <c r="G4347" s="123" t="n"/>
      <c r="H4347" s="123" t="n"/>
      <c r="I4347" s="123" t="n"/>
      <c r="J4347" s="123" t="n"/>
      <c r="K4347" s="123" t="n"/>
      <c r="L4347" s="123" t="n"/>
      <c r="M4347" s="123">
        <f>IF(AND(B4347&lt;&gt;"",OR($C$4="",ISNUMBER(SEARCH($C$4,C4347&amp;" "&amp;E4347&amp;" "&amp;G4347&amp;" "&amp;H4347&amp;" "&amp;I4347&amp;" "&amp;J4347&amp;" "&amp;K4347&amp;" "&amp;L4347))),OR($C$5="Semua",$C$5="",G4347=$C$5),OR($C$6="Semua",$C$6="",H4347=$C$6,H4347="Pengeluaran "&amp;$C$6,AND($C$6="Uang Kos Mama",H4347="Pengeluaran Uang Kos")),OR($C$7="Semua",$C$7="",I4347=$C$7),OR($C$8="Semua",$C$8="",C4347=$C$8,E4347=$C$8),OR($C$9="Semua",$C$9="",D4347=$C$9),OR($C$10="",B4347&gt;=$C$10),OR($C$11="",B4347&lt;=$C$11),OR($C$12&lt;&gt;"Ya",K4347&lt;&gt;""),OR($C$13="Semua",$C$13="",L4347=$C$13)),"✓","")</f>
        <v/>
      </c>
      <c r="N4347" s="93">
        <f>N(N4346)+IF(M4347="✓",1,0)</f>
        <v/>
      </c>
      <c r="O4347" s="93">
        <f>N(O4346)+IF(AND(B4347&lt;&gt;"",B4347&gt;='Uang Riba'!$H$30,B4347&lt;='Uang Riba'!$I$30,OR(H4347="Dana riba",H4347="Pinjam uang riba",I4347="Pinjam dari uang riba",I4347="Ganti uang riba",I4347="Kelebihan ganti dikembalikan",AND(C4347="Kantong Uang Riba",G4347="Pengeluaran"))),1,0)</f>
        <v/>
      </c>
      <c r="X4347" s="93">
        <f>IF(AND(B4347&lt;&gt;"",B4347&gt;='Buku Akun'!$H$4,B4347&lt;='Buku Akun'!$H$5,OR(C4347='Buku Akun'!$C$4,AND(D4347="Pindah",E4347='Buku Akun'!$C$4))),B4347+IF(AND(I4347="Selisih bunga",DAY(B4347)=1),0,0.01)+ROW()/10000000,"")</f>
        <v/>
      </c>
    </row>
    <row r="4348" outlineLevel="1" ht="15" customHeight="1" s="94">
      <c r="A4348" s="123">
        <f>IF(B4348="","",ROW()-15)</f>
        <v/>
      </c>
      <c r="B4348" s="124" t="n"/>
      <c r="C4348" s="123" t="n"/>
      <c r="D4348" s="123" t="n"/>
      <c r="E4348" s="123" t="n"/>
      <c r="F4348" s="125" t="n"/>
      <c r="G4348" s="123" t="n"/>
      <c r="H4348" s="123" t="n"/>
      <c r="I4348" s="123" t="n"/>
      <c r="J4348" s="123" t="n"/>
      <c r="K4348" s="123" t="n"/>
      <c r="L4348" s="123" t="n"/>
      <c r="M4348" s="123">
        <f>IF(AND(B4348&lt;&gt;"",OR($C$4="",ISNUMBER(SEARCH($C$4,C4348&amp;" "&amp;E4348&amp;" "&amp;G4348&amp;" "&amp;H4348&amp;" "&amp;I4348&amp;" "&amp;J4348&amp;" "&amp;K4348&amp;" "&amp;L4348))),OR($C$5="Semua",$C$5="",G4348=$C$5),OR($C$6="Semua",$C$6="",H4348=$C$6,H4348="Pengeluaran "&amp;$C$6,AND($C$6="Uang Kos Mama",H4348="Pengeluaran Uang Kos")),OR($C$7="Semua",$C$7="",I4348=$C$7),OR($C$8="Semua",$C$8="",C4348=$C$8,E4348=$C$8),OR($C$9="Semua",$C$9="",D4348=$C$9),OR($C$10="",B4348&gt;=$C$10),OR($C$11="",B4348&lt;=$C$11),OR($C$12&lt;&gt;"Ya",K4348&lt;&gt;""),OR($C$13="Semua",$C$13="",L4348=$C$13)),"✓","")</f>
        <v/>
      </c>
      <c r="N4348" s="93">
        <f>N(N4347)+IF(M4348="✓",1,0)</f>
        <v/>
      </c>
      <c r="O4348" s="93">
        <f>N(O4347)+IF(AND(B4348&lt;&gt;"",B4348&gt;='Uang Riba'!$H$30,B4348&lt;='Uang Riba'!$I$30,OR(H4348="Dana riba",H4348="Pinjam uang riba",I4348="Pinjam dari uang riba",I4348="Ganti uang riba",I4348="Kelebihan ganti dikembalikan",AND(C4348="Kantong Uang Riba",G4348="Pengeluaran"))),1,0)</f>
        <v/>
      </c>
      <c r="X4348" s="93">
        <f>IF(AND(B4348&lt;&gt;"",B4348&gt;='Buku Akun'!$H$4,B4348&lt;='Buku Akun'!$H$5,OR(C4348='Buku Akun'!$C$4,AND(D4348="Pindah",E4348='Buku Akun'!$C$4))),B4348+IF(AND(I4348="Selisih bunga",DAY(B4348)=1),0,0.01)+ROW()/10000000,"")</f>
        <v/>
      </c>
    </row>
    <row r="4349" outlineLevel="1" ht="15" customHeight="1" s="94">
      <c r="A4349" s="123">
        <f>IF(B4349="","",ROW()-15)</f>
        <v/>
      </c>
      <c r="B4349" s="124" t="n"/>
      <c r="C4349" s="123" t="n"/>
      <c r="D4349" s="123" t="n"/>
      <c r="E4349" s="123" t="n"/>
      <c r="F4349" s="125" t="n"/>
      <c r="G4349" s="123" t="n"/>
      <c r="H4349" s="123" t="n"/>
      <c r="I4349" s="123" t="n"/>
      <c r="J4349" s="123" t="n"/>
      <c r="K4349" s="123" t="n"/>
      <c r="L4349" s="123" t="n"/>
      <c r="M4349" s="123">
        <f>IF(AND(B4349&lt;&gt;"",OR($C$4="",ISNUMBER(SEARCH($C$4,C4349&amp;" "&amp;E4349&amp;" "&amp;G4349&amp;" "&amp;H4349&amp;" "&amp;I4349&amp;" "&amp;J4349&amp;" "&amp;K4349&amp;" "&amp;L4349))),OR($C$5="Semua",$C$5="",G4349=$C$5),OR($C$6="Semua",$C$6="",H4349=$C$6,H4349="Pengeluaran "&amp;$C$6,AND($C$6="Uang Kos Mama",H4349="Pengeluaran Uang Kos")),OR($C$7="Semua",$C$7="",I4349=$C$7),OR($C$8="Semua",$C$8="",C4349=$C$8,E4349=$C$8),OR($C$9="Semua",$C$9="",D4349=$C$9),OR($C$10="",B4349&gt;=$C$10),OR($C$11="",B4349&lt;=$C$11),OR($C$12&lt;&gt;"Ya",K4349&lt;&gt;""),OR($C$13="Semua",$C$13="",L4349=$C$13)),"✓","")</f>
        <v/>
      </c>
      <c r="N4349" s="93">
        <f>N(N4348)+IF(M4349="✓",1,0)</f>
        <v/>
      </c>
      <c r="O4349" s="93">
        <f>N(O4348)+IF(AND(B4349&lt;&gt;"",B4349&gt;='Uang Riba'!$H$30,B4349&lt;='Uang Riba'!$I$30,OR(H4349="Dana riba",H4349="Pinjam uang riba",I4349="Pinjam dari uang riba",I4349="Ganti uang riba",I4349="Kelebihan ganti dikembalikan",AND(C4349="Kantong Uang Riba",G4349="Pengeluaran"))),1,0)</f>
        <v/>
      </c>
      <c r="X4349" s="93">
        <f>IF(AND(B4349&lt;&gt;"",B4349&gt;='Buku Akun'!$H$4,B4349&lt;='Buku Akun'!$H$5,OR(C4349='Buku Akun'!$C$4,AND(D4349="Pindah",E4349='Buku Akun'!$C$4))),B4349+IF(AND(I4349="Selisih bunga",DAY(B4349)=1),0,0.01)+ROW()/10000000,"")</f>
        <v/>
      </c>
    </row>
    <row r="4350" outlineLevel="1" ht="15" customHeight="1" s="94">
      <c r="A4350" s="123">
        <f>IF(B4350="","",ROW()-15)</f>
        <v/>
      </c>
      <c r="B4350" s="124" t="n"/>
      <c r="C4350" s="123" t="n"/>
      <c r="D4350" s="123" t="n"/>
      <c r="E4350" s="123" t="n"/>
      <c r="F4350" s="125" t="n"/>
      <c r="G4350" s="123" t="n"/>
      <c r="H4350" s="123" t="n"/>
      <c r="I4350" s="123" t="n"/>
      <c r="J4350" s="123" t="n"/>
      <c r="K4350" s="123" t="n"/>
      <c r="L4350" s="123" t="n"/>
      <c r="M4350" s="123">
        <f>IF(AND(B4350&lt;&gt;"",OR($C$4="",ISNUMBER(SEARCH($C$4,C4350&amp;" "&amp;E4350&amp;" "&amp;G4350&amp;" "&amp;H4350&amp;" "&amp;I4350&amp;" "&amp;J4350&amp;" "&amp;K4350&amp;" "&amp;L4350))),OR($C$5="Semua",$C$5="",G4350=$C$5),OR($C$6="Semua",$C$6="",H4350=$C$6,H4350="Pengeluaran "&amp;$C$6,AND($C$6="Uang Kos Mama",H4350="Pengeluaran Uang Kos")),OR($C$7="Semua",$C$7="",I4350=$C$7),OR($C$8="Semua",$C$8="",C4350=$C$8,E4350=$C$8),OR($C$9="Semua",$C$9="",D4350=$C$9),OR($C$10="",B4350&gt;=$C$10),OR($C$11="",B4350&lt;=$C$11),OR($C$12&lt;&gt;"Ya",K4350&lt;&gt;""),OR($C$13="Semua",$C$13="",L4350=$C$13)),"✓","")</f>
        <v/>
      </c>
      <c r="N4350" s="93">
        <f>N(N4349)+IF(M4350="✓",1,0)</f>
        <v/>
      </c>
      <c r="O4350" s="93">
        <f>N(O4349)+IF(AND(B4350&lt;&gt;"",B4350&gt;='Uang Riba'!$H$30,B4350&lt;='Uang Riba'!$I$30,OR(H4350="Dana riba",H4350="Pinjam uang riba",I4350="Pinjam dari uang riba",I4350="Ganti uang riba",I4350="Kelebihan ganti dikembalikan",AND(C4350="Kantong Uang Riba",G4350="Pengeluaran"))),1,0)</f>
        <v/>
      </c>
      <c r="X4350" s="93">
        <f>IF(AND(B4350&lt;&gt;"",B4350&gt;='Buku Akun'!$H$4,B4350&lt;='Buku Akun'!$H$5,OR(C4350='Buku Akun'!$C$4,AND(D4350="Pindah",E4350='Buku Akun'!$C$4))),B4350+IF(AND(I4350="Selisih bunga",DAY(B4350)=1),0,0.01)+ROW()/10000000,"")</f>
        <v/>
      </c>
    </row>
    <row r="4351" outlineLevel="1" ht="15" customHeight="1" s="94">
      <c r="A4351" s="123">
        <f>IF(B4351="","",ROW()-15)</f>
        <v/>
      </c>
      <c r="B4351" s="124" t="n"/>
      <c r="C4351" s="123" t="n"/>
      <c r="D4351" s="123" t="n"/>
      <c r="E4351" s="123" t="n"/>
      <c r="F4351" s="125" t="n"/>
      <c r="G4351" s="123" t="n"/>
      <c r="H4351" s="123" t="n"/>
      <c r="I4351" s="123" t="n"/>
      <c r="J4351" s="123" t="n"/>
      <c r="K4351" s="123" t="n"/>
      <c r="L4351" s="123" t="n"/>
      <c r="M4351" s="123">
        <f>IF(AND(B4351&lt;&gt;"",OR($C$4="",ISNUMBER(SEARCH($C$4,C4351&amp;" "&amp;E4351&amp;" "&amp;G4351&amp;" "&amp;H4351&amp;" "&amp;I4351&amp;" "&amp;J4351&amp;" "&amp;K4351&amp;" "&amp;L4351))),OR($C$5="Semua",$C$5="",G4351=$C$5),OR($C$6="Semua",$C$6="",H4351=$C$6,H4351="Pengeluaran "&amp;$C$6,AND($C$6="Uang Kos Mama",H4351="Pengeluaran Uang Kos")),OR($C$7="Semua",$C$7="",I4351=$C$7),OR($C$8="Semua",$C$8="",C4351=$C$8,E4351=$C$8),OR($C$9="Semua",$C$9="",D4351=$C$9),OR($C$10="",B4351&gt;=$C$10),OR($C$11="",B4351&lt;=$C$11),OR($C$12&lt;&gt;"Ya",K4351&lt;&gt;""),OR($C$13="Semua",$C$13="",L4351=$C$13)),"✓","")</f>
        <v/>
      </c>
      <c r="N4351" s="93">
        <f>N(N4350)+IF(M4351="✓",1,0)</f>
        <v/>
      </c>
      <c r="O4351" s="93">
        <f>N(O4350)+IF(AND(B4351&lt;&gt;"",B4351&gt;='Uang Riba'!$H$30,B4351&lt;='Uang Riba'!$I$30,OR(H4351="Dana riba",H4351="Pinjam uang riba",I4351="Pinjam dari uang riba",I4351="Ganti uang riba",I4351="Kelebihan ganti dikembalikan",AND(C4351="Kantong Uang Riba",G4351="Pengeluaran"))),1,0)</f>
        <v/>
      </c>
      <c r="X4351" s="93">
        <f>IF(AND(B4351&lt;&gt;"",B4351&gt;='Buku Akun'!$H$4,B4351&lt;='Buku Akun'!$H$5,OR(C4351='Buku Akun'!$C$4,AND(D4351="Pindah",E4351='Buku Akun'!$C$4))),B4351+IF(AND(I4351="Selisih bunga",DAY(B4351)=1),0,0.01)+ROW()/10000000,"")</f>
        <v/>
      </c>
    </row>
    <row r="4352" outlineLevel="1" ht="15" customHeight="1" s="94">
      <c r="A4352" s="123">
        <f>IF(B4352="","",ROW()-15)</f>
        <v/>
      </c>
      <c r="B4352" s="124" t="n"/>
      <c r="C4352" s="123" t="n"/>
      <c r="D4352" s="123" t="n"/>
      <c r="E4352" s="123" t="n"/>
      <c r="F4352" s="125" t="n"/>
      <c r="G4352" s="123" t="n"/>
      <c r="H4352" s="123" t="n"/>
      <c r="I4352" s="123" t="n"/>
      <c r="J4352" s="123" t="n"/>
      <c r="K4352" s="123" t="n"/>
      <c r="L4352" s="123" t="n"/>
      <c r="M4352" s="123">
        <f>IF(AND(B4352&lt;&gt;"",OR($C$4="",ISNUMBER(SEARCH($C$4,C4352&amp;" "&amp;E4352&amp;" "&amp;G4352&amp;" "&amp;H4352&amp;" "&amp;I4352&amp;" "&amp;J4352&amp;" "&amp;K4352&amp;" "&amp;L4352))),OR($C$5="Semua",$C$5="",G4352=$C$5),OR($C$6="Semua",$C$6="",H4352=$C$6,H4352="Pengeluaran "&amp;$C$6,AND($C$6="Uang Kos Mama",H4352="Pengeluaran Uang Kos")),OR($C$7="Semua",$C$7="",I4352=$C$7),OR($C$8="Semua",$C$8="",C4352=$C$8,E4352=$C$8),OR($C$9="Semua",$C$9="",D4352=$C$9),OR($C$10="",B4352&gt;=$C$10),OR($C$11="",B4352&lt;=$C$11),OR($C$12&lt;&gt;"Ya",K4352&lt;&gt;""),OR($C$13="Semua",$C$13="",L4352=$C$13)),"✓","")</f>
        <v/>
      </c>
      <c r="N4352" s="93">
        <f>N(N4351)+IF(M4352="✓",1,0)</f>
        <v/>
      </c>
      <c r="O4352" s="93">
        <f>N(O4351)+IF(AND(B4352&lt;&gt;"",B4352&gt;='Uang Riba'!$H$30,B4352&lt;='Uang Riba'!$I$30,OR(H4352="Dana riba",H4352="Pinjam uang riba",I4352="Pinjam dari uang riba",I4352="Ganti uang riba",I4352="Kelebihan ganti dikembalikan",AND(C4352="Kantong Uang Riba",G4352="Pengeluaran"))),1,0)</f>
        <v/>
      </c>
      <c r="X4352" s="93">
        <f>IF(AND(B4352&lt;&gt;"",B4352&gt;='Buku Akun'!$H$4,B4352&lt;='Buku Akun'!$H$5,OR(C4352='Buku Akun'!$C$4,AND(D4352="Pindah",E4352='Buku Akun'!$C$4))),B4352+IF(AND(I4352="Selisih bunga",DAY(B4352)=1),0,0.01)+ROW()/10000000,"")</f>
        <v/>
      </c>
    </row>
    <row r="4353" outlineLevel="1" ht="15" customHeight="1" s="94">
      <c r="A4353" s="123">
        <f>IF(B4353="","",ROW()-15)</f>
        <v/>
      </c>
      <c r="B4353" s="124" t="n"/>
      <c r="C4353" s="123" t="n"/>
      <c r="D4353" s="123" t="n"/>
      <c r="E4353" s="123" t="n"/>
      <c r="F4353" s="125" t="n"/>
      <c r="G4353" s="123" t="n"/>
      <c r="H4353" s="123" t="n"/>
      <c r="I4353" s="123" t="n"/>
      <c r="J4353" s="123" t="n"/>
      <c r="K4353" s="123" t="n"/>
      <c r="L4353" s="123" t="n"/>
      <c r="M4353" s="123">
        <f>IF(AND(B4353&lt;&gt;"",OR($C$4="",ISNUMBER(SEARCH($C$4,C4353&amp;" "&amp;E4353&amp;" "&amp;G4353&amp;" "&amp;H4353&amp;" "&amp;I4353&amp;" "&amp;J4353&amp;" "&amp;K4353&amp;" "&amp;L4353))),OR($C$5="Semua",$C$5="",G4353=$C$5),OR($C$6="Semua",$C$6="",H4353=$C$6,H4353="Pengeluaran "&amp;$C$6,AND($C$6="Uang Kos Mama",H4353="Pengeluaran Uang Kos")),OR($C$7="Semua",$C$7="",I4353=$C$7),OR($C$8="Semua",$C$8="",C4353=$C$8,E4353=$C$8),OR($C$9="Semua",$C$9="",D4353=$C$9),OR($C$10="",B4353&gt;=$C$10),OR($C$11="",B4353&lt;=$C$11),OR($C$12&lt;&gt;"Ya",K4353&lt;&gt;""),OR($C$13="Semua",$C$13="",L4353=$C$13)),"✓","")</f>
        <v/>
      </c>
      <c r="N4353" s="93">
        <f>N(N4352)+IF(M4353="✓",1,0)</f>
        <v/>
      </c>
      <c r="O4353" s="93">
        <f>N(O4352)+IF(AND(B4353&lt;&gt;"",B4353&gt;='Uang Riba'!$H$30,B4353&lt;='Uang Riba'!$I$30,OR(H4353="Dana riba",H4353="Pinjam uang riba",I4353="Pinjam dari uang riba",I4353="Ganti uang riba",I4353="Kelebihan ganti dikembalikan",AND(C4353="Kantong Uang Riba",G4353="Pengeluaran"))),1,0)</f>
        <v/>
      </c>
      <c r="X4353" s="93">
        <f>IF(AND(B4353&lt;&gt;"",B4353&gt;='Buku Akun'!$H$4,B4353&lt;='Buku Akun'!$H$5,OR(C4353='Buku Akun'!$C$4,AND(D4353="Pindah",E4353='Buku Akun'!$C$4))),B4353+IF(AND(I4353="Selisih bunga",DAY(B4353)=1),0,0.01)+ROW()/10000000,"")</f>
        <v/>
      </c>
    </row>
    <row r="4354" outlineLevel="1" ht="15" customHeight="1" s="94">
      <c r="A4354" s="123">
        <f>IF(B4354="","",ROW()-15)</f>
        <v/>
      </c>
      <c r="B4354" s="124" t="n"/>
      <c r="C4354" s="123" t="n"/>
      <c r="D4354" s="123" t="n"/>
      <c r="E4354" s="123" t="n"/>
      <c r="F4354" s="125" t="n"/>
      <c r="G4354" s="123" t="n"/>
      <c r="H4354" s="123" t="n"/>
      <c r="I4354" s="123" t="n"/>
      <c r="J4354" s="123" t="n"/>
      <c r="K4354" s="123" t="n"/>
      <c r="L4354" s="123" t="n"/>
      <c r="M4354" s="123">
        <f>IF(AND(B4354&lt;&gt;"",OR($C$4="",ISNUMBER(SEARCH($C$4,C4354&amp;" "&amp;E4354&amp;" "&amp;G4354&amp;" "&amp;H4354&amp;" "&amp;I4354&amp;" "&amp;J4354&amp;" "&amp;K4354&amp;" "&amp;L4354))),OR($C$5="Semua",$C$5="",G4354=$C$5),OR($C$6="Semua",$C$6="",H4354=$C$6,H4354="Pengeluaran "&amp;$C$6,AND($C$6="Uang Kos Mama",H4354="Pengeluaran Uang Kos")),OR($C$7="Semua",$C$7="",I4354=$C$7),OR($C$8="Semua",$C$8="",C4354=$C$8,E4354=$C$8),OR($C$9="Semua",$C$9="",D4354=$C$9),OR($C$10="",B4354&gt;=$C$10),OR($C$11="",B4354&lt;=$C$11),OR($C$12&lt;&gt;"Ya",K4354&lt;&gt;""),OR($C$13="Semua",$C$13="",L4354=$C$13)),"✓","")</f>
        <v/>
      </c>
      <c r="N4354" s="93">
        <f>N(N4353)+IF(M4354="✓",1,0)</f>
        <v/>
      </c>
      <c r="O4354" s="93">
        <f>N(O4353)+IF(AND(B4354&lt;&gt;"",B4354&gt;='Uang Riba'!$H$30,B4354&lt;='Uang Riba'!$I$30,OR(H4354="Dana riba",H4354="Pinjam uang riba",I4354="Pinjam dari uang riba",I4354="Ganti uang riba",I4354="Kelebihan ganti dikembalikan",AND(C4354="Kantong Uang Riba",G4354="Pengeluaran"))),1,0)</f>
        <v/>
      </c>
      <c r="X4354" s="93">
        <f>IF(AND(B4354&lt;&gt;"",B4354&gt;='Buku Akun'!$H$4,B4354&lt;='Buku Akun'!$H$5,OR(C4354='Buku Akun'!$C$4,AND(D4354="Pindah",E4354='Buku Akun'!$C$4))),B4354+IF(AND(I4354="Selisih bunga",DAY(B4354)=1),0,0.01)+ROW()/10000000,"")</f>
        <v/>
      </c>
    </row>
    <row r="4355" outlineLevel="1" ht="15" customHeight="1" s="94">
      <c r="A4355" s="123">
        <f>IF(B4355="","",ROW()-15)</f>
        <v/>
      </c>
      <c r="B4355" s="124" t="n"/>
      <c r="C4355" s="123" t="n"/>
      <c r="D4355" s="123" t="n"/>
      <c r="E4355" s="123" t="n"/>
      <c r="F4355" s="125" t="n"/>
      <c r="G4355" s="123" t="n"/>
      <c r="H4355" s="123" t="n"/>
      <c r="I4355" s="123" t="n"/>
      <c r="J4355" s="123" t="n"/>
      <c r="K4355" s="123" t="n"/>
      <c r="L4355" s="123" t="n"/>
      <c r="M4355" s="123">
        <f>IF(AND(B4355&lt;&gt;"",OR($C$4="",ISNUMBER(SEARCH($C$4,C4355&amp;" "&amp;E4355&amp;" "&amp;G4355&amp;" "&amp;H4355&amp;" "&amp;I4355&amp;" "&amp;J4355&amp;" "&amp;K4355&amp;" "&amp;L4355))),OR($C$5="Semua",$C$5="",G4355=$C$5),OR($C$6="Semua",$C$6="",H4355=$C$6,H4355="Pengeluaran "&amp;$C$6,AND($C$6="Uang Kos Mama",H4355="Pengeluaran Uang Kos")),OR($C$7="Semua",$C$7="",I4355=$C$7),OR($C$8="Semua",$C$8="",C4355=$C$8,E4355=$C$8),OR($C$9="Semua",$C$9="",D4355=$C$9),OR($C$10="",B4355&gt;=$C$10),OR($C$11="",B4355&lt;=$C$11),OR($C$12&lt;&gt;"Ya",K4355&lt;&gt;""),OR($C$13="Semua",$C$13="",L4355=$C$13)),"✓","")</f>
        <v/>
      </c>
      <c r="N4355" s="93">
        <f>N(N4354)+IF(M4355="✓",1,0)</f>
        <v/>
      </c>
      <c r="O4355" s="93">
        <f>N(O4354)+IF(AND(B4355&lt;&gt;"",B4355&gt;='Uang Riba'!$H$30,B4355&lt;='Uang Riba'!$I$30,OR(H4355="Dana riba",H4355="Pinjam uang riba",I4355="Pinjam dari uang riba",I4355="Ganti uang riba",I4355="Kelebihan ganti dikembalikan",AND(C4355="Kantong Uang Riba",G4355="Pengeluaran"))),1,0)</f>
        <v/>
      </c>
      <c r="X4355" s="93">
        <f>IF(AND(B4355&lt;&gt;"",B4355&gt;='Buku Akun'!$H$4,B4355&lt;='Buku Akun'!$H$5,OR(C4355='Buku Akun'!$C$4,AND(D4355="Pindah",E4355='Buku Akun'!$C$4))),B4355+IF(AND(I4355="Selisih bunga",DAY(B4355)=1),0,0.01)+ROW()/10000000,"")</f>
        <v/>
      </c>
    </row>
    <row r="4356" outlineLevel="1" ht="15" customHeight="1" s="94">
      <c r="A4356" s="123">
        <f>IF(B4356="","",ROW()-15)</f>
        <v/>
      </c>
      <c r="B4356" s="124" t="n"/>
      <c r="C4356" s="123" t="n"/>
      <c r="D4356" s="123" t="n"/>
      <c r="E4356" s="123" t="n"/>
      <c r="F4356" s="125" t="n"/>
      <c r="G4356" s="123" t="n"/>
      <c r="H4356" s="123" t="n"/>
      <c r="I4356" s="123" t="n"/>
      <c r="J4356" s="123" t="n"/>
      <c r="K4356" s="123" t="n"/>
      <c r="L4356" s="123" t="n"/>
      <c r="M4356" s="123">
        <f>IF(AND(B4356&lt;&gt;"",OR($C$4="",ISNUMBER(SEARCH($C$4,C4356&amp;" "&amp;E4356&amp;" "&amp;G4356&amp;" "&amp;H4356&amp;" "&amp;I4356&amp;" "&amp;J4356&amp;" "&amp;K4356&amp;" "&amp;L4356))),OR($C$5="Semua",$C$5="",G4356=$C$5),OR($C$6="Semua",$C$6="",H4356=$C$6,H4356="Pengeluaran "&amp;$C$6,AND($C$6="Uang Kos Mama",H4356="Pengeluaran Uang Kos")),OR($C$7="Semua",$C$7="",I4356=$C$7),OR($C$8="Semua",$C$8="",C4356=$C$8,E4356=$C$8),OR($C$9="Semua",$C$9="",D4356=$C$9),OR($C$10="",B4356&gt;=$C$10),OR($C$11="",B4356&lt;=$C$11),OR($C$12&lt;&gt;"Ya",K4356&lt;&gt;""),OR($C$13="Semua",$C$13="",L4356=$C$13)),"✓","")</f>
        <v/>
      </c>
      <c r="N4356" s="93">
        <f>N(N4355)+IF(M4356="✓",1,0)</f>
        <v/>
      </c>
      <c r="O4356" s="93">
        <f>N(O4355)+IF(AND(B4356&lt;&gt;"",B4356&gt;='Uang Riba'!$H$30,B4356&lt;='Uang Riba'!$I$30,OR(H4356="Dana riba",H4356="Pinjam uang riba",I4356="Pinjam dari uang riba",I4356="Ganti uang riba",I4356="Kelebihan ganti dikembalikan",AND(C4356="Kantong Uang Riba",G4356="Pengeluaran"))),1,0)</f>
        <v/>
      </c>
      <c r="X4356" s="93">
        <f>IF(AND(B4356&lt;&gt;"",B4356&gt;='Buku Akun'!$H$4,B4356&lt;='Buku Akun'!$H$5,OR(C4356='Buku Akun'!$C$4,AND(D4356="Pindah",E4356='Buku Akun'!$C$4))),B4356+IF(AND(I4356="Selisih bunga",DAY(B4356)=1),0,0.01)+ROW()/10000000,"")</f>
        <v/>
      </c>
    </row>
    <row r="4357" outlineLevel="1" ht="15" customHeight="1" s="94">
      <c r="A4357" s="123">
        <f>IF(B4357="","",ROW()-15)</f>
        <v/>
      </c>
      <c r="B4357" s="124" t="n"/>
      <c r="C4357" s="123" t="n"/>
      <c r="D4357" s="123" t="n"/>
      <c r="E4357" s="123" t="n"/>
      <c r="F4357" s="125" t="n"/>
      <c r="G4357" s="123" t="n"/>
      <c r="H4357" s="123" t="n"/>
      <c r="I4357" s="123" t="n"/>
      <c r="J4357" s="123" t="n"/>
      <c r="K4357" s="123" t="n"/>
      <c r="L4357" s="123" t="n"/>
      <c r="M4357" s="123">
        <f>IF(AND(B4357&lt;&gt;"",OR($C$4="",ISNUMBER(SEARCH($C$4,C4357&amp;" "&amp;E4357&amp;" "&amp;G4357&amp;" "&amp;H4357&amp;" "&amp;I4357&amp;" "&amp;J4357&amp;" "&amp;K4357&amp;" "&amp;L4357))),OR($C$5="Semua",$C$5="",G4357=$C$5),OR($C$6="Semua",$C$6="",H4357=$C$6,H4357="Pengeluaran "&amp;$C$6,AND($C$6="Uang Kos Mama",H4357="Pengeluaran Uang Kos")),OR($C$7="Semua",$C$7="",I4357=$C$7),OR($C$8="Semua",$C$8="",C4357=$C$8,E4357=$C$8),OR($C$9="Semua",$C$9="",D4357=$C$9),OR($C$10="",B4357&gt;=$C$10),OR($C$11="",B4357&lt;=$C$11),OR($C$12&lt;&gt;"Ya",K4357&lt;&gt;""),OR($C$13="Semua",$C$13="",L4357=$C$13)),"✓","")</f>
        <v/>
      </c>
      <c r="N4357" s="93">
        <f>N(N4356)+IF(M4357="✓",1,0)</f>
        <v/>
      </c>
      <c r="O4357" s="93">
        <f>N(O4356)+IF(AND(B4357&lt;&gt;"",B4357&gt;='Uang Riba'!$H$30,B4357&lt;='Uang Riba'!$I$30,OR(H4357="Dana riba",H4357="Pinjam uang riba",I4357="Pinjam dari uang riba",I4357="Ganti uang riba",I4357="Kelebihan ganti dikembalikan",AND(C4357="Kantong Uang Riba",G4357="Pengeluaran"))),1,0)</f>
        <v/>
      </c>
      <c r="X4357" s="93">
        <f>IF(AND(B4357&lt;&gt;"",B4357&gt;='Buku Akun'!$H$4,B4357&lt;='Buku Akun'!$H$5,OR(C4357='Buku Akun'!$C$4,AND(D4357="Pindah",E4357='Buku Akun'!$C$4))),B4357+IF(AND(I4357="Selisih bunga",DAY(B4357)=1),0,0.01)+ROW()/10000000,"")</f>
        <v/>
      </c>
    </row>
    <row r="4358" outlineLevel="1" ht="15" customHeight="1" s="94">
      <c r="A4358" s="123">
        <f>IF(B4358="","",ROW()-15)</f>
        <v/>
      </c>
      <c r="B4358" s="124" t="n"/>
      <c r="C4358" s="123" t="n"/>
      <c r="D4358" s="123" t="n"/>
      <c r="E4358" s="123" t="n"/>
      <c r="F4358" s="125" t="n"/>
      <c r="G4358" s="123" t="n"/>
      <c r="H4358" s="123" t="n"/>
      <c r="I4358" s="123" t="n"/>
      <c r="J4358" s="123" t="n"/>
      <c r="K4358" s="123" t="n"/>
      <c r="L4358" s="123" t="n"/>
      <c r="M4358" s="123">
        <f>IF(AND(B4358&lt;&gt;"",OR($C$4="",ISNUMBER(SEARCH($C$4,C4358&amp;" "&amp;E4358&amp;" "&amp;G4358&amp;" "&amp;H4358&amp;" "&amp;I4358&amp;" "&amp;J4358&amp;" "&amp;K4358&amp;" "&amp;L4358))),OR($C$5="Semua",$C$5="",G4358=$C$5),OR($C$6="Semua",$C$6="",H4358=$C$6,H4358="Pengeluaran "&amp;$C$6,AND($C$6="Uang Kos Mama",H4358="Pengeluaran Uang Kos")),OR($C$7="Semua",$C$7="",I4358=$C$7),OR($C$8="Semua",$C$8="",C4358=$C$8,E4358=$C$8),OR($C$9="Semua",$C$9="",D4358=$C$9),OR($C$10="",B4358&gt;=$C$10),OR($C$11="",B4358&lt;=$C$11),OR($C$12&lt;&gt;"Ya",K4358&lt;&gt;""),OR($C$13="Semua",$C$13="",L4358=$C$13)),"✓","")</f>
        <v/>
      </c>
      <c r="N4358" s="93">
        <f>N(N4357)+IF(M4358="✓",1,0)</f>
        <v/>
      </c>
      <c r="O4358" s="93">
        <f>N(O4357)+IF(AND(B4358&lt;&gt;"",B4358&gt;='Uang Riba'!$H$30,B4358&lt;='Uang Riba'!$I$30,OR(H4358="Dana riba",H4358="Pinjam uang riba",I4358="Pinjam dari uang riba",I4358="Ganti uang riba",I4358="Kelebihan ganti dikembalikan",AND(C4358="Kantong Uang Riba",G4358="Pengeluaran"))),1,0)</f>
        <v/>
      </c>
      <c r="X4358" s="93">
        <f>IF(AND(B4358&lt;&gt;"",B4358&gt;='Buku Akun'!$H$4,B4358&lt;='Buku Akun'!$H$5,OR(C4358='Buku Akun'!$C$4,AND(D4358="Pindah",E4358='Buku Akun'!$C$4))),B4358+IF(AND(I4358="Selisih bunga",DAY(B4358)=1),0,0.01)+ROW()/10000000,"")</f>
        <v/>
      </c>
    </row>
    <row r="4359" outlineLevel="1" ht="15" customHeight="1" s="94">
      <c r="A4359" s="123">
        <f>IF(B4359="","",ROW()-15)</f>
        <v/>
      </c>
      <c r="B4359" s="124" t="n"/>
      <c r="C4359" s="123" t="n"/>
      <c r="D4359" s="123" t="n"/>
      <c r="E4359" s="123" t="n"/>
      <c r="F4359" s="125" t="n"/>
      <c r="G4359" s="123" t="n"/>
      <c r="H4359" s="123" t="n"/>
      <c r="I4359" s="123" t="n"/>
      <c r="J4359" s="123" t="n"/>
      <c r="K4359" s="123" t="n"/>
      <c r="L4359" s="123" t="n"/>
      <c r="M4359" s="123">
        <f>IF(AND(B4359&lt;&gt;"",OR($C$4="",ISNUMBER(SEARCH($C$4,C4359&amp;" "&amp;E4359&amp;" "&amp;G4359&amp;" "&amp;H4359&amp;" "&amp;I4359&amp;" "&amp;J4359&amp;" "&amp;K4359&amp;" "&amp;L4359))),OR($C$5="Semua",$C$5="",G4359=$C$5),OR($C$6="Semua",$C$6="",H4359=$C$6,H4359="Pengeluaran "&amp;$C$6,AND($C$6="Uang Kos Mama",H4359="Pengeluaran Uang Kos")),OR($C$7="Semua",$C$7="",I4359=$C$7),OR($C$8="Semua",$C$8="",C4359=$C$8,E4359=$C$8),OR($C$9="Semua",$C$9="",D4359=$C$9),OR($C$10="",B4359&gt;=$C$10),OR($C$11="",B4359&lt;=$C$11),OR($C$12&lt;&gt;"Ya",K4359&lt;&gt;""),OR($C$13="Semua",$C$13="",L4359=$C$13)),"✓","")</f>
        <v/>
      </c>
      <c r="N4359" s="93">
        <f>N(N4358)+IF(M4359="✓",1,0)</f>
        <v/>
      </c>
      <c r="O4359" s="93">
        <f>N(O4358)+IF(AND(B4359&lt;&gt;"",B4359&gt;='Uang Riba'!$H$30,B4359&lt;='Uang Riba'!$I$30,OR(H4359="Dana riba",H4359="Pinjam uang riba",I4359="Pinjam dari uang riba",I4359="Ganti uang riba",I4359="Kelebihan ganti dikembalikan",AND(C4359="Kantong Uang Riba",G4359="Pengeluaran"))),1,0)</f>
        <v/>
      </c>
      <c r="X4359" s="93">
        <f>IF(AND(B4359&lt;&gt;"",B4359&gt;='Buku Akun'!$H$4,B4359&lt;='Buku Akun'!$H$5,OR(C4359='Buku Akun'!$C$4,AND(D4359="Pindah",E4359='Buku Akun'!$C$4))),B4359+IF(AND(I4359="Selisih bunga",DAY(B4359)=1),0,0.01)+ROW()/10000000,"")</f>
        <v/>
      </c>
    </row>
    <row r="4360" outlineLevel="1" ht="15" customHeight="1" s="94">
      <c r="A4360" s="123">
        <f>IF(B4360="","",ROW()-15)</f>
        <v/>
      </c>
      <c r="B4360" s="124" t="n"/>
      <c r="C4360" s="123" t="n"/>
      <c r="D4360" s="123" t="n"/>
      <c r="E4360" s="123" t="n"/>
      <c r="F4360" s="125" t="n"/>
      <c r="G4360" s="123" t="n"/>
      <c r="H4360" s="123" t="n"/>
      <c r="I4360" s="123" t="n"/>
      <c r="J4360" s="123" t="n"/>
      <c r="K4360" s="123" t="n"/>
      <c r="L4360" s="123" t="n"/>
      <c r="M4360" s="123">
        <f>IF(AND(B4360&lt;&gt;"",OR($C$4="",ISNUMBER(SEARCH($C$4,C4360&amp;" "&amp;E4360&amp;" "&amp;G4360&amp;" "&amp;H4360&amp;" "&amp;I4360&amp;" "&amp;J4360&amp;" "&amp;K4360&amp;" "&amp;L4360))),OR($C$5="Semua",$C$5="",G4360=$C$5),OR($C$6="Semua",$C$6="",H4360=$C$6,H4360="Pengeluaran "&amp;$C$6,AND($C$6="Uang Kos Mama",H4360="Pengeluaran Uang Kos")),OR($C$7="Semua",$C$7="",I4360=$C$7),OR($C$8="Semua",$C$8="",C4360=$C$8,E4360=$C$8),OR($C$9="Semua",$C$9="",D4360=$C$9),OR($C$10="",B4360&gt;=$C$10),OR($C$11="",B4360&lt;=$C$11),OR($C$12&lt;&gt;"Ya",K4360&lt;&gt;""),OR($C$13="Semua",$C$13="",L4360=$C$13)),"✓","")</f>
        <v/>
      </c>
      <c r="N4360" s="93">
        <f>N(N4359)+IF(M4360="✓",1,0)</f>
        <v/>
      </c>
      <c r="O4360" s="93">
        <f>N(O4359)+IF(AND(B4360&lt;&gt;"",B4360&gt;='Uang Riba'!$H$30,B4360&lt;='Uang Riba'!$I$30,OR(H4360="Dana riba",H4360="Pinjam uang riba",I4360="Pinjam dari uang riba",I4360="Ganti uang riba",I4360="Kelebihan ganti dikembalikan",AND(C4360="Kantong Uang Riba",G4360="Pengeluaran"))),1,0)</f>
        <v/>
      </c>
      <c r="X4360" s="93">
        <f>IF(AND(B4360&lt;&gt;"",B4360&gt;='Buku Akun'!$H$4,B4360&lt;='Buku Akun'!$H$5,OR(C4360='Buku Akun'!$C$4,AND(D4360="Pindah",E4360='Buku Akun'!$C$4))),B4360+IF(AND(I4360="Selisih bunga",DAY(B4360)=1),0,0.01)+ROW()/10000000,"")</f>
        <v/>
      </c>
    </row>
    <row r="4361" outlineLevel="1" ht="15" customHeight="1" s="94">
      <c r="A4361" s="123">
        <f>IF(B4361="","",ROW()-15)</f>
        <v/>
      </c>
      <c r="B4361" s="124" t="n"/>
      <c r="C4361" s="123" t="n"/>
      <c r="D4361" s="123" t="n"/>
      <c r="E4361" s="123" t="n"/>
      <c r="F4361" s="125" t="n"/>
      <c r="G4361" s="123" t="n"/>
      <c r="H4361" s="123" t="n"/>
      <c r="I4361" s="123" t="n"/>
      <c r="J4361" s="123" t="n"/>
      <c r="K4361" s="123" t="n"/>
      <c r="L4361" s="123" t="n"/>
      <c r="M4361" s="123">
        <f>IF(AND(B4361&lt;&gt;"",OR($C$4="",ISNUMBER(SEARCH($C$4,C4361&amp;" "&amp;E4361&amp;" "&amp;G4361&amp;" "&amp;H4361&amp;" "&amp;I4361&amp;" "&amp;J4361&amp;" "&amp;K4361&amp;" "&amp;L4361))),OR($C$5="Semua",$C$5="",G4361=$C$5),OR($C$6="Semua",$C$6="",H4361=$C$6,H4361="Pengeluaran "&amp;$C$6,AND($C$6="Uang Kos Mama",H4361="Pengeluaran Uang Kos")),OR($C$7="Semua",$C$7="",I4361=$C$7),OR($C$8="Semua",$C$8="",C4361=$C$8,E4361=$C$8),OR($C$9="Semua",$C$9="",D4361=$C$9),OR($C$10="",B4361&gt;=$C$10),OR($C$11="",B4361&lt;=$C$11),OR($C$12&lt;&gt;"Ya",K4361&lt;&gt;""),OR($C$13="Semua",$C$13="",L4361=$C$13)),"✓","")</f>
        <v/>
      </c>
      <c r="N4361" s="93">
        <f>N(N4360)+IF(M4361="✓",1,0)</f>
        <v/>
      </c>
      <c r="O4361" s="93">
        <f>N(O4360)+IF(AND(B4361&lt;&gt;"",B4361&gt;='Uang Riba'!$H$30,B4361&lt;='Uang Riba'!$I$30,OR(H4361="Dana riba",H4361="Pinjam uang riba",I4361="Pinjam dari uang riba",I4361="Ganti uang riba",I4361="Kelebihan ganti dikembalikan",AND(C4361="Kantong Uang Riba",G4361="Pengeluaran"))),1,0)</f>
        <v/>
      </c>
      <c r="X4361" s="93">
        <f>IF(AND(B4361&lt;&gt;"",B4361&gt;='Buku Akun'!$H$4,B4361&lt;='Buku Akun'!$H$5,OR(C4361='Buku Akun'!$C$4,AND(D4361="Pindah",E4361='Buku Akun'!$C$4))),B4361+IF(AND(I4361="Selisih bunga",DAY(B4361)=1),0,0.01)+ROW()/10000000,"")</f>
        <v/>
      </c>
    </row>
    <row r="4362" outlineLevel="1" ht="15" customHeight="1" s="94">
      <c r="A4362" s="123">
        <f>IF(B4362="","",ROW()-15)</f>
        <v/>
      </c>
      <c r="B4362" s="124" t="n"/>
      <c r="C4362" s="123" t="n"/>
      <c r="D4362" s="123" t="n"/>
      <c r="E4362" s="123" t="n"/>
      <c r="F4362" s="125" t="n"/>
      <c r="G4362" s="123" t="n"/>
      <c r="H4362" s="123" t="n"/>
      <c r="I4362" s="123" t="n"/>
      <c r="J4362" s="123" t="n"/>
      <c r="K4362" s="123" t="n"/>
      <c r="L4362" s="123" t="n"/>
      <c r="M4362" s="123">
        <f>IF(AND(B4362&lt;&gt;"",OR($C$4="",ISNUMBER(SEARCH($C$4,C4362&amp;" "&amp;E4362&amp;" "&amp;G4362&amp;" "&amp;H4362&amp;" "&amp;I4362&amp;" "&amp;J4362&amp;" "&amp;K4362&amp;" "&amp;L4362))),OR($C$5="Semua",$C$5="",G4362=$C$5),OR($C$6="Semua",$C$6="",H4362=$C$6,H4362="Pengeluaran "&amp;$C$6,AND($C$6="Uang Kos Mama",H4362="Pengeluaran Uang Kos")),OR($C$7="Semua",$C$7="",I4362=$C$7),OR($C$8="Semua",$C$8="",C4362=$C$8,E4362=$C$8),OR($C$9="Semua",$C$9="",D4362=$C$9),OR($C$10="",B4362&gt;=$C$10),OR($C$11="",B4362&lt;=$C$11),OR($C$12&lt;&gt;"Ya",K4362&lt;&gt;""),OR($C$13="Semua",$C$13="",L4362=$C$13)),"✓","")</f>
        <v/>
      </c>
      <c r="N4362" s="93">
        <f>N(N4361)+IF(M4362="✓",1,0)</f>
        <v/>
      </c>
      <c r="O4362" s="93">
        <f>N(O4361)+IF(AND(B4362&lt;&gt;"",B4362&gt;='Uang Riba'!$H$30,B4362&lt;='Uang Riba'!$I$30,OR(H4362="Dana riba",H4362="Pinjam uang riba",I4362="Pinjam dari uang riba",I4362="Ganti uang riba",I4362="Kelebihan ganti dikembalikan",AND(C4362="Kantong Uang Riba",G4362="Pengeluaran"))),1,0)</f>
        <v/>
      </c>
      <c r="X4362" s="93">
        <f>IF(AND(B4362&lt;&gt;"",B4362&gt;='Buku Akun'!$H$4,B4362&lt;='Buku Akun'!$H$5,OR(C4362='Buku Akun'!$C$4,AND(D4362="Pindah",E4362='Buku Akun'!$C$4))),B4362+IF(AND(I4362="Selisih bunga",DAY(B4362)=1),0,0.01)+ROW()/10000000,"")</f>
        <v/>
      </c>
    </row>
    <row r="4363" outlineLevel="1" ht="15" customHeight="1" s="94">
      <c r="A4363" s="123">
        <f>IF(B4363="","",ROW()-15)</f>
        <v/>
      </c>
      <c r="B4363" s="124" t="n"/>
      <c r="C4363" s="123" t="n"/>
      <c r="D4363" s="123" t="n"/>
      <c r="E4363" s="123" t="n"/>
      <c r="F4363" s="125" t="n"/>
      <c r="G4363" s="123" t="n"/>
      <c r="H4363" s="123" t="n"/>
      <c r="I4363" s="123" t="n"/>
      <c r="J4363" s="123" t="n"/>
      <c r="K4363" s="123" t="n"/>
      <c r="L4363" s="123" t="n"/>
      <c r="M4363" s="123">
        <f>IF(AND(B4363&lt;&gt;"",OR($C$4="",ISNUMBER(SEARCH($C$4,C4363&amp;" "&amp;E4363&amp;" "&amp;G4363&amp;" "&amp;H4363&amp;" "&amp;I4363&amp;" "&amp;J4363&amp;" "&amp;K4363&amp;" "&amp;L4363))),OR($C$5="Semua",$C$5="",G4363=$C$5),OR($C$6="Semua",$C$6="",H4363=$C$6,H4363="Pengeluaran "&amp;$C$6,AND($C$6="Uang Kos Mama",H4363="Pengeluaran Uang Kos")),OR($C$7="Semua",$C$7="",I4363=$C$7),OR($C$8="Semua",$C$8="",C4363=$C$8,E4363=$C$8),OR($C$9="Semua",$C$9="",D4363=$C$9),OR($C$10="",B4363&gt;=$C$10),OR($C$11="",B4363&lt;=$C$11),OR($C$12&lt;&gt;"Ya",K4363&lt;&gt;""),OR($C$13="Semua",$C$13="",L4363=$C$13)),"✓","")</f>
        <v/>
      </c>
      <c r="N4363" s="93">
        <f>N(N4362)+IF(M4363="✓",1,0)</f>
        <v/>
      </c>
      <c r="O4363" s="93">
        <f>N(O4362)+IF(AND(B4363&lt;&gt;"",B4363&gt;='Uang Riba'!$H$30,B4363&lt;='Uang Riba'!$I$30,OR(H4363="Dana riba",H4363="Pinjam uang riba",I4363="Pinjam dari uang riba",I4363="Ganti uang riba",I4363="Kelebihan ganti dikembalikan",AND(C4363="Kantong Uang Riba",G4363="Pengeluaran"))),1,0)</f>
        <v/>
      </c>
      <c r="X4363" s="93">
        <f>IF(AND(B4363&lt;&gt;"",B4363&gt;='Buku Akun'!$H$4,B4363&lt;='Buku Akun'!$H$5,OR(C4363='Buku Akun'!$C$4,AND(D4363="Pindah",E4363='Buku Akun'!$C$4))),B4363+IF(AND(I4363="Selisih bunga",DAY(B4363)=1),0,0.01)+ROW()/10000000,"")</f>
        <v/>
      </c>
    </row>
    <row r="4364" outlineLevel="1" ht="15" customHeight="1" s="94">
      <c r="A4364" s="123">
        <f>IF(B4364="","",ROW()-15)</f>
        <v/>
      </c>
      <c r="B4364" s="124" t="n"/>
      <c r="C4364" s="123" t="n"/>
      <c r="D4364" s="123" t="n"/>
      <c r="E4364" s="123" t="n"/>
      <c r="F4364" s="125" t="n"/>
      <c r="G4364" s="123" t="n"/>
      <c r="H4364" s="123" t="n"/>
      <c r="I4364" s="123" t="n"/>
      <c r="J4364" s="123" t="n"/>
      <c r="K4364" s="123" t="n"/>
      <c r="L4364" s="123" t="n"/>
      <c r="M4364" s="123">
        <f>IF(AND(B4364&lt;&gt;"",OR($C$4="",ISNUMBER(SEARCH($C$4,C4364&amp;" "&amp;E4364&amp;" "&amp;G4364&amp;" "&amp;H4364&amp;" "&amp;I4364&amp;" "&amp;J4364&amp;" "&amp;K4364&amp;" "&amp;L4364))),OR($C$5="Semua",$C$5="",G4364=$C$5),OR($C$6="Semua",$C$6="",H4364=$C$6,H4364="Pengeluaran "&amp;$C$6,AND($C$6="Uang Kos Mama",H4364="Pengeluaran Uang Kos")),OR($C$7="Semua",$C$7="",I4364=$C$7),OR($C$8="Semua",$C$8="",C4364=$C$8,E4364=$C$8),OR($C$9="Semua",$C$9="",D4364=$C$9),OR($C$10="",B4364&gt;=$C$10),OR($C$11="",B4364&lt;=$C$11),OR($C$12&lt;&gt;"Ya",K4364&lt;&gt;""),OR($C$13="Semua",$C$13="",L4364=$C$13)),"✓","")</f>
        <v/>
      </c>
      <c r="N4364" s="93">
        <f>N(N4363)+IF(M4364="✓",1,0)</f>
        <v/>
      </c>
      <c r="O4364" s="93">
        <f>N(O4363)+IF(AND(B4364&lt;&gt;"",B4364&gt;='Uang Riba'!$H$30,B4364&lt;='Uang Riba'!$I$30,OR(H4364="Dana riba",H4364="Pinjam uang riba",I4364="Pinjam dari uang riba",I4364="Ganti uang riba",I4364="Kelebihan ganti dikembalikan",AND(C4364="Kantong Uang Riba",G4364="Pengeluaran"))),1,0)</f>
        <v/>
      </c>
      <c r="X4364" s="93">
        <f>IF(AND(B4364&lt;&gt;"",B4364&gt;='Buku Akun'!$H$4,B4364&lt;='Buku Akun'!$H$5,OR(C4364='Buku Akun'!$C$4,AND(D4364="Pindah",E4364='Buku Akun'!$C$4))),B4364+IF(AND(I4364="Selisih bunga",DAY(B4364)=1),0,0.01)+ROW()/10000000,"")</f>
        <v/>
      </c>
    </row>
    <row r="4365" outlineLevel="1" ht="15" customHeight="1" s="94">
      <c r="A4365" s="123">
        <f>IF(B4365="","",ROW()-15)</f>
        <v/>
      </c>
      <c r="B4365" s="124" t="n"/>
      <c r="C4365" s="123" t="n"/>
      <c r="D4365" s="123" t="n"/>
      <c r="E4365" s="123" t="n"/>
      <c r="F4365" s="125" t="n"/>
      <c r="G4365" s="123" t="n"/>
      <c r="H4365" s="123" t="n"/>
      <c r="I4365" s="123" t="n"/>
      <c r="J4365" s="123" t="n"/>
      <c r="K4365" s="123" t="n"/>
      <c r="L4365" s="123" t="n"/>
      <c r="M4365" s="123">
        <f>IF(AND(B4365&lt;&gt;"",OR($C$4="",ISNUMBER(SEARCH($C$4,C4365&amp;" "&amp;E4365&amp;" "&amp;G4365&amp;" "&amp;H4365&amp;" "&amp;I4365&amp;" "&amp;J4365&amp;" "&amp;K4365&amp;" "&amp;L4365))),OR($C$5="Semua",$C$5="",G4365=$C$5),OR($C$6="Semua",$C$6="",H4365=$C$6,H4365="Pengeluaran "&amp;$C$6,AND($C$6="Uang Kos Mama",H4365="Pengeluaran Uang Kos")),OR($C$7="Semua",$C$7="",I4365=$C$7),OR($C$8="Semua",$C$8="",C4365=$C$8,E4365=$C$8),OR($C$9="Semua",$C$9="",D4365=$C$9),OR($C$10="",B4365&gt;=$C$10),OR($C$11="",B4365&lt;=$C$11),OR($C$12&lt;&gt;"Ya",K4365&lt;&gt;""),OR($C$13="Semua",$C$13="",L4365=$C$13)),"✓","")</f>
        <v/>
      </c>
      <c r="N4365" s="93">
        <f>N(N4364)+IF(M4365="✓",1,0)</f>
        <v/>
      </c>
      <c r="O4365" s="93">
        <f>N(O4364)+IF(AND(B4365&lt;&gt;"",B4365&gt;='Uang Riba'!$H$30,B4365&lt;='Uang Riba'!$I$30,OR(H4365="Dana riba",H4365="Pinjam uang riba",I4365="Pinjam dari uang riba",I4365="Ganti uang riba",I4365="Kelebihan ganti dikembalikan",AND(C4365="Kantong Uang Riba",G4365="Pengeluaran"))),1,0)</f>
        <v/>
      </c>
      <c r="X4365" s="93">
        <f>IF(AND(B4365&lt;&gt;"",B4365&gt;='Buku Akun'!$H$4,B4365&lt;='Buku Akun'!$H$5,OR(C4365='Buku Akun'!$C$4,AND(D4365="Pindah",E4365='Buku Akun'!$C$4))),B4365+IF(AND(I4365="Selisih bunga",DAY(B4365)=1),0,0.01)+ROW()/10000000,"")</f>
        <v/>
      </c>
    </row>
    <row r="4366" outlineLevel="1" ht="15" customHeight="1" s="94">
      <c r="A4366" s="123">
        <f>IF(B4366="","",ROW()-15)</f>
        <v/>
      </c>
      <c r="B4366" s="124" t="n"/>
      <c r="C4366" s="123" t="n"/>
      <c r="D4366" s="123" t="n"/>
      <c r="E4366" s="123" t="n"/>
      <c r="F4366" s="125" t="n"/>
      <c r="G4366" s="123" t="n"/>
      <c r="H4366" s="123" t="n"/>
      <c r="I4366" s="123" t="n"/>
      <c r="J4366" s="123" t="n"/>
      <c r="K4366" s="123" t="n"/>
      <c r="L4366" s="123" t="n"/>
      <c r="M4366" s="123">
        <f>IF(AND(B4366&lt;&gt;"",OR($C$4="",ISNUMBER(SEARCH($C$4,C4366&amp;" "&amp;E4366&amp;" "&amp;G4366&amp;" "&amp;H4366&amp;" "&amp;I4366&amp;" "&amp;J4366&amp;" "&amp;K4366&amp;" "&amp;L4366))),OR($C$5="Semua",$C$5="",G4366=$C$5),OR($C$6="Semua",$C$6="",H4366=$C$6,H4366="Pengeluaran "&amp;$C$6,AND($C$6="Uang Kos Mama",H4366="Pengeluaran Uang Kos")),OR($C$7="Semua",$C$7="",I4366=$C$7),OR($C$8="Semua",$C$8="",C4366=$C$8,E4366=$C$8),OR($C$9="Semua",$C$9="",D4366=$C$9),OR($C$10="",B4366&gt;=$C$10),OR($C$11="",B4366&lt;=$C$11),OR($C$12&lt;&gt;"Ya",K4366&lt;&gt;""),OR($C$13="Semua",$C$13="",L4366=$C$13)),"✓","")</f>
        <v/>
      </c>
      <c r="N4366" s="93">
        <f>N(N4365)+IF(M4366="✓",1,0)</f>
        <v/>
      </c>
      <c r="O4366" s="93">
        <f>N(O4365)+IF(AND(B4366&lt;&gt;"",B4366&gt;='Uang Riba'!$H$30,B4366&lt;='Uang Riba'!$I$30,OR(H4366="Dana riba",H4366="Pinjam uang riba",I4366="Pinjam dari uang riba",I4366="Ganti uang riba",I4366="Kelebihan ganti dikembalikan",AND(C4366="Kantong Uang Riba",G4366="Pengeluaran"))),1,0)</f>
        <v/>
      </c>
      <c r="X4366" s="93">
        <f>IF(AND(B4366&lt;&gt;"",B4366&gt;='Buku Akun'!$H$4,B4366&lt;='Buku Akun'!$H$5,OR(C4366='Buku Akun'!$C$4,AND(D4366="Pindah",E4366='Buku Akun'!$C$4))),B4366+IF(AND(I4366="Selisih bunga",DAY(B4366)=1),0,0.01)+ROW()/10000000,"")</f>
        <v/>
      </c>
    </row>
    <row r="4367" outlineLevel="1" ht="15" customHeight="1" s="94">
      <c r="A4367" s="123">
        <f>IF(B4367="","",ROW()-15)</f>
        <v/>
      </c>
      <c r="B4367" s="124" t="n"/>
      <c r="C4367" s="123" t="n"/>
      <c r="D4367" s="123" t="n"/>
      <c r="E4367" s="123" t="n"/>
      <c r="F4367" s="125" t="n"/>
      <c r="G4367" s="123" t="n"/>
      <c r="H4367" s="123" t="n"/>
      <c r="I4367" s="123" t="n"/>
      <c r="J4367" s="123" t="n"/>
      <c r="K4367" s="123" t="n"/>
      <c r="L4367" s="123" t="n"/>
      <c r="M4367" s="123">
        <f>IF(AND(B4367&lt;&gt;"",OR($C$4="",ISNUMBER(SEARCH($C$4,C4367&amp;" "&amp;E4367&amp;" "&amp;G4367&amp;" "&amp;H4367&amp;" "&amp;I4367&amp;" "&amp;J4367&amp;" "&amp;K4367&amp;" "&amp;L4367))),OR($C$5="Semua",$C$5="",G4367=$C$5),OR($C$6="Semua",$C$6="",H4367=$C$6,H4367="Pengeluaran "&amp;$C$6,AND($C$6="Uang Kos Mama",H4367="Pengeluaran Uang Kos")),OR($C$7="Semua",$C$7="",I4367=$C$7),OR($C$8="Semua",$C$8="",C4367=$C$8,E4367=$C$8),OR($C$9="Semua",$C$9="",D4367=$C$9),OR($C$10="",B4367&gt;=$C$10),OR($C$11="",B4367&lt;=$C$11),OR($C$12&lt;&gt;"Ya",K4367&lt;&gt;""),OR($C$13="Semua",$C$13="",L4367=$C$13)),"✓","")</f>
        <v/>
      </c>
      <c r="N4367" s="93">
        <f>N(N4366)+IF(M4367="✓",1,0)</f>
        <v/>
      </c>
      <c r="O4367" s="93">
        <f>N(O4366)+IF(AND(B4367&lt;&gt;"",B4367&gt;='Uang Riba'!$H$30,B4367&lt;='Uang Riba'!$I$30,OR(H4367="Dana riba",H4367="Pinjam uang riba",I4367="Pinjam dari uang riba",I4367="Ganti uang riba",I4367="Kelebihan ganti dikembalikan",AND(C4367="Kantong Uang Riba",G4367="Pengeluaran"))),1,0)</f>
        <v/>
      </c>
      <c r="X4367" s="93">
        <f>IF(AND(B4367&lt;&gt;"",B4367&gt;='Buku Akun'!$H$4,B4367&lt;='Buku Akun'!$H$5,OR(C4367='Buku Akun'!$C$4,AND(D4367="Pindah",E4367='Buku Akun'!$C$4))),B4367+IF(AND(I4367="Selisih bunga",DAY(B4367)=1),0,0.01)+ROW()/10000000,"")</f>
        <v/>
      </c>
    </row>
    <row r="4368" outlineLevel="1" ht="15" customHeight="1" s="94">
      <c r="A4368" s="123">
        <f>IF(B4368="","",ROW()-15)</f>
        <v/>
      </c>
      <c r="B4368" s="124" t="n"/>
      <c r="C4368" s="123" t="n"/>
      <c r="D4368" s="123" t="n"/>
      <c r="E4368" s="123" t="n"/>
      <c r="F4368" s="125" t="n"/>
      <c r="G4368" s="123" t="n"/>
      <c r="H4368" s="123" t="n"/>
      <c r="I4368" s="123" t="n"/>
      <c r="J4368" s="123" t="n"/>
      <c r="K4368" s="123" t="n"/>
      <c r="L4368" s="123" t="n"/>
      <c r="M4368" s="123">
        <f>IF(AND(B4368&lt;&gt;"",OR($C$4="",ISNUMBER(SEARCH($C$4,C4368&amp;" "&amp;E4368&amp;" "&amp;G4368&amp;" "&amp;H4368&amp;" "&amp;I4368&amp;" "&amp;J4368&amp;" "&amp;K4368&amp;" "&amp;L4368))),OR($C$5="Semua",$C$5="",G4368=$C$5),OR($C$6="Semua",$C$6="",H4368=$C$6,H4368="Pengeluaran "&amp;$C$6,AND($C$6="Uang Kos Mama",H4368="Pengeluaran Uang Kos")),OR($C$7="Semua",$C$7="",I4368=$C$7),OR($C$8="Semua",$C$8="",C4368=$C$8,E4368=$C$8),OR($C$9="Semua",$C$9="",D4368=$C$9),OR($C$10="",B4368&gt;=$C$10),OR($C$11="",B4368&lt;=$C$11),OR($C$12&lt;&gt;"Ya",K4368&lt;&gt;""),OR($C$13="Semua",$C$13="",L4368=$C$13)),"✓","")</f>
        <v/>
      </c>
      <c r="N4368" s="93">
        <f>N(N4367)+IF(M4368="✓",1,0)</f>
        <v/>
      </c>
      <c r="O4368" s="93">
        <f>N(O4367)+IF(AND(B4368&lt;&gt;"",B4368&gt;='Uang Riba'!$H$30,B4368&lt;='Uang Riba'!$I$30,OR(H4368="Dana riba",H4368="Pinjam uang riba",I4368="Pinjam dari uang riba",I4368="Ganti uang riba",I4368="Kelebihan ganti dikembalikan",AND(C4368="Kantong Uang Riba",G4368="Pengeluaran"))),1,0)</f>
        <v/>
      </c>
      <c r="X4368" s="93">
        <f>IF(AND(B4368&lt;&gt;"",B4368&gt;='Buku Akun'!$H$4,B4368&lt;='Buku Akun'!$H$5,OR(C4368='Buku Akun'!$C$4,AND(D4368="Pindah",E4368='Buku Akun'!$C$4))),B4368+IF(AND(I4368="Selisih bunga",DAY(B4368)=1),0,0.01)+ROW()/10000000,"")</f>
        <v/>
      </c>
    </row>
    <row r="4369" outlineLevel="1" ht="15" customHeight="1" s="94">
      <c r="A4369" s="123">
        <f>IF(B4369="","",ROW()-15)</f>
        <v/>
      </c>
      <c r="B4369" s="124" t="n"/>
      <c r="C4369" s="123" t="n"/>
      <c r="D4369" s="123" t="n"/>
      <c r="E4369" s="123" t="n"/>
      <c r="F4369" s="125" t="n"/>
      <c r="G4369" s="123" t="n"/>
      <c r="H4369" s="123" t="n"/>
      <c r="I4369" s="123" t="n"/>
      <c r="J4369" s="123" t="n"/>
      <c r="K4369" s="123" t="n"/>
      <c r="L4369" s="123" t="n"/>
      <c r="M4369" s="123">
        <f>IF(AND(B4369&lt;&gt;"",OR($C$4="",ISNUMBER(SEARCH($C$4,C4369&amp;" "&amp;E4369&amp;" "&amp;G4369&amp;" "&amp;H4369&amp;" "&amp;I4369&amp;" "&amp;J4369&amp;" "&amp;K4369&amp;" "&amp;L4369))),OR($C$5="Semua",$C$5="",G4369=$C$5),OR($C$6="Semua",$C$6="",H4369=$C$6,H4369="Pengeluaran "&amp;$C$6,AND($C$6="Uang Kos Mama",H4369="Pengeluaran Uang Kos")),OR($C$7="Semua",$C$7="",I4369=$C$7),OR($C$8="Semua",$C$8="",C4369=$C$8,E4369=$C$8),OR($C$9="Semua",$C$9="",D4369=$C$9),OR($C$10="",B4369&gt;=$C$10),OR($C$11="",B4369&lt;=$C$11),OR($C$12&lt;&gt;"Ya",K4369&lt;&gt;""),OR($C$13="Semua",$C$13="",L4369=$C$13)),"✓","")</f>
        <v/>
      </c>
      <c r="N4369" s="93">
        <f>N(N4368)+IF(M4369="✓",1,0)</f>
        <v/>
      </c>
      <c r="O4369" s="93">
        <f>N(O4368)+IF(AND(B4369&lt;&gt;"",B4369&gt;='Uang Riba'!$H$30,B4369&lt;='Uang Riba'!$I$30,OR(H4369="Dana riba",H4369="Pinjam uang riba",I4369="Pinjam dari uang riba",I4369="Ganti uang riba",I4369="Kelebihan ganti dikembalikan",AND(C4369="Kantong Uang Riba",G4369="Pengeluaran"))),1,0)</f>
        <v/>
      </c>
      <c r="X4369" s="93">
        <f>IF(AND(B4369&lt;&gt;"",B4369&gt;='Buku Akun'!$H$4,B4369&lt;='Buku Akun'!$H$5,OR(C4369='Buku Akun'!$C$4,AND(D4369="Pindah",E4369='Buku Akun'!$C$4))),B4369+IF(AND(I4369="Selisih bunga",DAY(B4369)=1),0,0.01)+ROW()/10000000,"")</f>
        <v/>
      </c>
    </row>
    <row r="4370" outlineLevel="1" ht="15" customHeight="1" s="94">
      <c r="A4370" s="123">
        <f>IF(B4370="","",ROW()-15)</f>
        <v/>
      </c>
      <c r="B4370" s="124" t="n"/>
      <c r="C4370" s="123" t="n"/>
      <c r="D4370" s="123" t="n"/>
      <c r="E4370" s="123" t="n"/>
      <c r="F4370" s="125" t="n"/>
      <c r="G4370" s="123" t="n"/>
      <c r="H4370" s="123" t="n"/>
      <c r="I4370" s="123" t="n"/>
      <c r="J4370" s="123" t="n"/>
      <c r="K4370" s="123" t="n"/>
      <c r="L4370" s="123" t="n"/>
      <c r="M4370" s="123">
        <f>IF(AND(B4370&lt;&gt;"",OR($C$4="",ISNUMBER(SEARCH($C$4,C4370&amp;" "&amp;E4370&amp;" "&amp;G4370&amp;" "&amp;H4370&amp;" "&amp;I4370&amp;" "&amp;J4370&amp;" "&amp;K4370&amp;" "&amp;L4370))),OR($C$5="Semua",$C$5="",G4370=$C$5),OR($C$6="Semua",$C$6="",H4370=$C$6,H4370="Pengeluaran "&amp;$C$6,AND($C$6="Uang Kos Mama",H4370="Pengeluaran Uang Kos")),OR($C$7="Semua",$C$7="",I4370=$C$7),OR($C$8="Semua",$C$8="",C4370=$C$8,E4370=$C$8),OR($C$9="Semua",$C$9="",D4370=$C$9),OR($C$10="",B4370&gt;=$C$10),OR($C$11="",B4370&lt;=$C$11),OR($C$12&lt;&gt;"Ya",K4370&lt;&gt;""),OR($C$13="Semua",$C$13="",L4370=$C$13)),"✓","")</f>
        <v/>
      </c>
      <c r="N4370" s="93">
        <f>N(N4369)+IF(M4370="✓",1,0)</f>
        <v/>
      </c>
      <c r="O4370" s="93">
        <f>N(O4369)+IF(AND(B4370&lt;&gt;"",B4370&gt;='Uang Riba'!$H$30,B4370&lt;='Uang Riba'!$I$30,OR(H4370="Dana riba",H4370="Pinjam uang riba",I4370="Pinjam dari uang riba",I4370="Ganti uang riba",I4370="Kelebihan ganti dikembalikan",AND(C4370="Kantong Uang Riba",G4370="Pengeluaran"))),1,0)</f>
        <v/>
      </c>
      <c r="X4370" s="93">
        <f>IF(AND(B4370&lt;&gt;"",B4370&gt;='Buku Akun'!$H$4,B4370&lt;='Buku Akun'!$H$5,OR(C4370='Buku Akun'!$C$4,AND(D4370="Pindah",E4370='Buku Akun'!$C$4))),B4370+IF(AND(I4370="Selisih bunga",DAY(B4370)=1),0,0.01)+ROW()/10000000,"")</f>
        <v/>
      </c>
    </row>
    <row r="4371" outlineLevel="1" ht="15" customHeight="1" s="94">
      <c r="A4371" s="123">
        <f>IF(B4371="","",ROW()-15)</f>
        <v/>
      </c>
      <c r="B4371" s="124" t="n"/>
      <c r="C4371" s="123" t="n"/>
      <c r="D4371" s="123" t="n"/>
      <c r="E4371" s="123" t="n"/>
      <c r="F4371" s="125" t="n"/>
      <c r="G4371" s="123" t="n"/>
      <c r="H4371" s="123" t="n"/>
      <c r="I4371" s="123" t="n"/>
      <c r="J4371" s="123" t="n"/>
      <c r="K4371" s="123" t="n"/>
      <c r="L4371" s="123" t="n"/>
      <c r="M4371" s="123">
        <f>IF(AND(B4371&lt;&gt;"",OR($C$4="",ISNUMBER(SEARCH($C$4,C4371&amp;" "&amp;E4371&amp;" "&amp;G4371&amp;" "&amp;H4371&amp;" "&amp;I4371&amp;" "&amp;J4371&amp;" "&amp;K4371&amp;" "&amp;L4371))),OR($C$5="Semua",$C$5="",G4371=$C$5),OR($C$6="Semua",$C$6="",H4371=$C$6,H4371="Pengeluaran "&amp;$C$6,AND($C$6="Uang Kos Mama",H4371="Pengeluaran Uang Kos")),OR($C$7="Semua",$C$7="",I4371=$C$7),OR($C$8="Semua",$C$8="",C4371=$C$8,E4371=$C$8),OR($C$9="Semua",$C$9="",D4371=$C$9),OR($C$10="",B4371&gt;=$C$10),OR($C$11="",B4371&lt;=$C$11),OR($C$12&lt;&gt;"Ya",K4371&lt;&gt;""),OR($C$13="Semua",$C$13="",L4371=$C$13)),"✓","")</f>
        <v/>
      </c>
      <c r="N4371" s="93">
        <f>N(N4370)+IF(M4371="✓",1,0)</f>
        <v/>
      </c>
      <c r="O4371" s="93">
        <f>N(O4370)+IF(AND(B4371&lt;&gt;"",B4371&gt;='Uang Riba'!$H$30,B4371&lt;='Uang Riba'!$I$30,OR(H4371="Dana riba",H4371="Pinjam uang riba",I4371="Pinjam dari uang riba",I4371="Ganti uang riba",I4371="Kelebihan ganti dikembalikan",AND(C4371="Kantong Uang Riba",G4371="Pengeluaran"))),1,0)</f>
        <v/>
      </c>
      <c r="X4371" s="93">
        <f>IF(AND(B4371&lt;&gt;"",B4371&gt;='Buku Akun'!$H$4,B4371&lt;='Buku Akun'!$H$5,OR(C4371='Buku Akun'!$C$4,AND(D4371="Pindah",E4371='Buku Akun'!$C$4))),B4371+IF(AND(I4371="Selisih bunga",DAY(B4371)=1),0,0.01)+ROW()/10000000,"")</f>
        <v/>
      </c>
    </row>
    <row r="4372" outlineLevel="1" ht="15" customHeight="1" s="94">
      <c r="A4372" s="123">
        <f>IF(B4372="","",ROW()-15)</f>
        <v/>
      </c>
      <c r="B4372" s="124" t="n"/>
      <c r="C4372" s="123" t="n"/>
      <c r="D4372" s="123" t="n"/>
      <c r="E4372" s="123" t="n"/>
      <c r="F4372" s="125" t="n"/>
      <c r="G4372" s="123" t="n"/>
      <c r="H4372" s="123" t="n"/>
      <c r="I4372" s="123" t="n"/>
      <c r="J4372" s="123" t="n"/>
      <c r="K4372" s="123" t="n"/>
      <c r="L4372" s="123" t="n"/>
      <c r="M4372" s="123">
        <f>IF(AND(B4372&lt;&gt;"",OR($C$4="",ISNUMBER(SEARCH($C$4,C4372&amp;" "&amp;E4372&amp;" "&amp;G4372&amp;" "&amp;H4372&amp;" "&amp;I4372&amp;" "&amp;J4372&amp;" "&amp;K4372&amp;" "&amp;L4372))),OR($C$5="Semua",$C$5="",G4372=$C$5),OR($C$6="Semua",$C$6="",H4372=$C$6,H4372="Pengeluaran "&amp;$C$6,AND($C$6="Uang Kos Mama",H4372="Pengeluaran Uang Kos")),OR($C$7="Semua",$C$7="",I4372=$C$7),OR($C$8="Semua",$C$8="",C4372=$C$8,E4372=$C$8),OR($C$9="Semua",$C$9="",D4372=$C$9),OR($C$10="",B4372&gt;=$C$10),OR($C$11="",B4372&lt;=$C$11),OR($C$12&lt;&gt;"Ya",K4372&lt;&gt;""),OR($C$13="Semua",$C$13="",L4372=$C$13)),"✓","")</f>
        <v/>
      </c>
      <c r="N4372" s="93">
        <f>N(N4371)+IF(M4372="✓",1,0)</f>
        <v/>
      </c>
      <c r="O4372" s="93">
        <f>N(O4371)+IF(AND(B4372&lt;&gt;"",B4372&gt;='Uang Riba'!$H$30,B4372&lt;='Uang Riba'!$I$30,OR(H4372="Dana riba",H4372="Pinjam uang riba",I4372="Pinjam dari uang riba",I4372="Ganti uang riba",I4372="Kelebihan ganti dikembalikan",AND(C4372="Kantong Uang Riba",G4372="Pengeluaran"))),1,0)</f>
        <v/>
      </c>
      <c r="X4372" s="93">
        <f>IF(AND(B4372&lt;&gt;"",B4372&gt;='Buku Akun'!$H$4,B4372&lt;='Buku Akun'!$H$5,OR(C4372='Buku Akun'!$C$4,AND(D4372="Pindah",E4372='Buku Akun'!$C$4))),B4372+IF(AND(I4372="Selisih bunga",DAY(B4372)=1),0,0.01)+ROW()/10000000,"")</f>
        <v/>
      </c>
    </row>
    <row r="4373" outlineLevel="1" ht="15" customHeight="1" s="94">
      <c r="A4373" s="123">
        <f>IF(B4373="","",ROW()-15)</f>
        <v/>
      </c>
      <c r="B4373" s="124" t="n"/>
      <c r="C4373" s="123" t="n"/>
      <c r="D4373" s="123" t="n"/>
      <c r="E4373" s="123" t="n"/>
      <c r="F4373" s="125" t="n"/>
      <c r="G4373" s="123" t="n"/>
      <c r="H4373" s="123" t="n"/>
      <c r="I4373" s="123" t="n"/>
      <c r="J4373" s="123" t="n"/>
      <c r="K4373" s="123" t="n"/>
      <c r="L4373" s="123" t="n"/>
      <c r="M4373" s="123">
        <f>IF(AND(B4373&lt;&gt;"",OR($C$4="",ISNUMBER(SEARCH($C$4,C4373&amp;" "&amp;E4373&amp;" "&amp;G4373&amp;" "&amp;H4373&amp;" "&amp;I4373&amp;" "&amp;J4373&amp;" "&amp;K4373&amp;" "&amp;L4373))),OR($C$5="Semua",$C$5="",G4373=$C$5),OR($C$6="Semua",$C$6="",H4373=$C$6,H4373="Pengeluaran "&amp;$C$6,AND($C$6="Uang Kos Mama",H4373="Pengeluaran Uang Kos")),OR($C$7="Semua",$C$7="",I4373=$C$7),OR($C$8="Semua",$C$8="",C4373=$C$8,E4373=$C$8),OR($C$9="Semua",$C$9="",D4373=$C$9),OR($C$10="",B4373&gt;=$C$10),OR($C$11="",B4373&lt;=$C$11),OR($C$12&lt;&gt;"Ya",K4373&lt;&gt;""),OR($C$13="Semua",$C$13="",L4373=$C$13)),"✓","")</f>
        <v/>
      </c>
      <c r="N4373" s="93">
        <f>N(N4372)+IF(M4373="✓",1,0)</f>
        <v/>
      </c>
      <c r="O4373" s="93">
        <f>N(O4372)+IF(AND(B4373&lt;&gt;"",B4373&gt;='Uang Riba'!$H$30,B4373&lt;='Uang Riba'!$I$30,OR(H4373="Dana riba",H4373="Pinjam uang riba",I4373="Pinjam dari uang riba",I4373="Ganti uang riba",I4373="Kelebihan ganti dikembalikan",AND(C4373="Kantong Uang Riba",G4373="Pengeluaran"))),1,0)</f>
        <v/>
      </c>
      <c r="X4373" s="93">
        <f>IF(AND(B4373&lt;&gt;"",B4373&gt;='Buku Akun'!$H$4,B4373&lt;='Buku Akun'!$H$5,OR(C4373='Buku Akun'!$C$4,AND(D4373="Pindah",E4373='Buku Akun'!$C$4))),B4373+IF(AND(I4373="Selisih bunga",DAY(B4373)=1),0,0.01)+ROW()/10000000,"")</f>
        <v/>
      </c>
    </row>
    <row r="4374" outlineLevel="1" ht="15" customHeight="1" s="94">
      <c r="A4374" s="123">
        <f>IF(B4374="","",ROW()-15)</f>
        <v/>
      </c>
      <c r="B4374" s="124" t="n"/>
      <c r="C4374" s="123" t="n"/>
      <c r="D4374" s="123" t="n"/>
      <c r="E4374" s="123" t="n"/>
      <c r="F4374" s="125" t="n"/>
      <c r="G4374" s="123" t="n"/>
      <c r="H4374" s="123" t="n"/>
      <c r="I4374" s="123" t="n"/>
      <c r="J4374" s="123" t="n"/>
      <c r="K4374" s="123" t="n"/>
      <c r="L4374" s="123" t="n"/>
      <c r="M4374" s="123">
        <f>IF(AND(B4374&lt;&gt;"",OR($C$4="",ISNUMBER(SEARCH($C$4,C4374&amp;" "&amp;E4374&amp;" "&amp;G4374&amp;" "&amp;H4374&amp;" "&amp;I4374&amp;" "&amp;J4374&amp;" "&amp;K4374&amp;" "&amp;L4374))),OR($C$5="Semua",$C$5="",G4374=$C$5),OR($C$6="Semua",$C$6="",H4374=$C$6,H4374="Pengeluaran "&amp;$C$6,AND($C$6="Uang Kos Mama",H4374="Pengeluaran Uang Kos")),OR($C$7="Semua",$C$7="",I4374=$C$7),OR($C$8="Semua",$C$8="",C4374=$C$8,E4374=$C$8),OR($C$9="Semua",$C$9="",D4374=$C$9),OR($C$10="",B4374&gt;=$C$10),OR($C$11="",B4374&lt;=$C$11),OR($C$12&lt;&gt;"Ya",K4374&lt;&gt;""),OR($C$13="Semua",$C$13="",L4374=$C$13)),"✓","")</f>
        <v/>
      </c>
      <c r="N4374" s="93">
        <f>N(N4373)+IF(M4374="✓",1,0)</f>
        <v/>
      </c>
      <c r="O4374" s="93">
        <f>N(O4373)+IF(AND(B4374&lt;&gt;"",B4374&gt;='Uang Riba'!$H$30,B4374&lt;='Uang Riba'!$I$30,OR(H4374="Dana riba",H4374="Pinjam uang riba",I4374="Pinjam dari uang riba",I4374="Ganti uang riba",I4374="Kelebihan ganti dikembalikan",AND(C4374="Kantong Uang Riba",G4374="Pengeluaran"))),1,0)</f>
        <v/>
      </c>
      <c r="X4374" s="93">
        <f>IF(AND(B4374&lt;&gt;"",B4374&gt;='Buku Akun'!$H$4,B4374&lt;='Buku Akun'!$H$5,OR(C4374='Buku Akun'!$C$4,AND(D4374="Pindah",E4374='Buku Akun'!$C$4))),B4374+IF(AND(I4374="Selisih bunga",DAY(B4374)=1),0,0.01)+ROW()/10000000,"")</f>
        <v/>
      </c>
    </row>
    <row r="4375" outlineLevel="1" ht="15" customHeight="1" s="94">
      <c r="A4375" s="123">
        <f>IF(B4375="","",ROW()-15)</f>
        <v/>
      </c>
      <c r="B4375" s="124" t="n"/>
      <c r="C4375" s="123" t="n"/>
      <c r="D4375" s="123" t="n"/>
      <c r="E4375" s="123" t="n"/>
      <c r="F4375" s="125" t="n"/>
      <c r="G4375" s="123" t="n"/>
      <c r="H4375" s="123" t="n"/>
      <c r="I4375" s="123" t="n"/>
      <c r="J4375" s="123" t="n"/>
      <c r="K4375" s="123" t="n"/>
      <c r="L4375" s="123" t="n"/>
      <c r="M4375" s="123">
        <f>IF(AND(B4375&lt;&gt;"",OR($C$4="",ISNUMBER(SEARCH($C$4,C4375&amp;" "&amp;E4375&amp;" "&amp;G4375&amp;" "&amp;H4375&amp;" "&amp;I4375&amp;" "&amp;J4375&amp;" "&amp;K4375&amp;" "&amp;L4375))),OR($C$5="Semua",$C$5="",G4375=$C$5),OR($C$6="Semua",$C$6="",H4375=$C$6,H4375="Pengeluaran "&amp;$C$6,AND($C$6="Uang Kos Mama",H4375="Pengeluaran Uang Kos")),OR($C$7="Semua",$C$7="",I4375=$C$7),OR($C$8="Semua",$C$8="",C4375=$C$8,E4375=$C$8),OR($C$9="Semua",$C$9="",D4375=$C$9),OR($C$10="",B4375&gt;=$C$10),OR($C$11="",B4375&lt;=$C$11),OR($C$12&lt;&gt;"Ya",K4375&lt;&gt;""),OR($C$13="Semua",$C$13="",L4375=$C$13)),"✓","")</f>
        <v/>
      </c>
      <c r="N4375" s="93">
        <f>N(N4374)+IF(M4375="✓",1,0)</f>
        <v/>
      </c>
      <c r="O4375" s="93">
        <f>N(O4374)+IF(AND(B4375&lt;&gt;"",B4375&gt;='Uang Riba'!$H$30,B4375&lt;='Uang Riba'!$I$30,OR(H4375="Dana riba",H4375="Pinjam uang riba",I4375="Pinjam dari uang riba",I4375="Ganti uang riba",I4375="Kelebihan ganti dikembalikan",AND(C4375="Kantong Uang Riba",G4375="Pengeluaran"))),1,0)</f>
        <v/>
      </c>
      <c r="X4375" s="93">
        <f>IF(AND(B4375&lt;&gt;"",B4375&gt;='Buku Akun'!$H$4,B4375&lt;='Buku Akun'!$H$5,OR(C4375='Buku Akun'!$C$4,AND(D4375="Pindah",E4375='Buku Akun'!$C$4))),B4375+IF(AND(I4375="Selisih bunga",DAY(B4375)=1),0,0.01)+ROW()/10000000,"")</f>
        <v/>
      </c>
    </row>
    <row r="4376" outlineLevel="1" ht="15" customHeight="1" s="94">
      <c r="A4376" s="123">
        <f>IF(B4376="","",ROW()-15)</f>
        <v/>
      </c>
      <c r="B4376" s="124" t="n"/>
      <c r="C4376" s="123" t="n"/>
      <c r="D4376" s="123" t="n"/>
      <c r="E4376" s="123" t="n"/>
      <c r="F4376" s="125" t="n"/>
      <c r="G4376" s="123" t="n"/>
      <c r="H4376" s="123" t="n"/>
      <c r="I4376" s="123" t="n"/>
      <c r="J4376" s="123" t="n"/>
      <c r="K4376" s="123" t="n"/>
      <c r="L4376" s="123" t="n"/>
      <c r="M4376" s="123">
        <f>IF(AND(B4376&lt;&gt;"",OR($C$4="",ISNUMBER(SEARCH($C$4,C4376&amp;" "&amp;E4376&amp;" "&amp;G4376&amp;" "&amp;H4376&amp;" "&amp;I4376&amp;" "&amp;J4376&amp;" "&amp;K4376&amp;" "&amp;L4376))),OR($C$5="Semua",$C$5="",G4376=$C$5),OR($C$6="Semua",$C$6="",H4376=$C$6,H4376="Pengeluaran "&amp;$C$6,AND($C$6="Uang Kos Mama",H4376="Pengeluaran Uang Kos")),OR($C$7="Semua",$C$7="",I4376=$C$7),OR($C$8="Semua",$C$8="",C4376=$C$8,E4376=$C$8),OR($C$9="Semua",$C$9="",D4376=$C$9),OR($C$10="",B4376&gt;=$C$10),OR($C$11="",B4376&lt;=$C$11),OR($C$12&lt;&gt;"Ya",K4376&lt;&gt;""),OR($C$13="Semua",$C$13="",L4376=$C$13)),"✓","")</f>
        <v/>
      </c>
      <c r="N4376" s="93">
        <f>N(N4375)+IF(M4376="✓",1,0)</f>
        <v/>
      </c>
      <c r="O4376" s="93">
        <f>N(O4375)+IF(AND(B4376&lt;&gt;"",B4376&gt;='Uang Riba'!$H$30,B4376&lt;='Uang Riba'!$I$30,OR(H4376="Dana riba",H4376="Pinjam uang riba",I4376="Pinjam dari uang riba",I4376="Ganti uang riba",I4376="Kelebihan ganti dikembalikan",AND(C4376="Kantong Uang Riba",G4376="Pengeluaran"))),1,0)</f>
        <v/>
      </c>
      <c r="X4376" s="93">
        <f>IF(AND(B4376&lt;&gt;"",B4376&gt;='Buku Akun'!$H$4,B4376&lt;='Buku Akun'!$H$5,OR(C4376='Buku Akun'!$C$4,AND(D4376="Pindah",E4376='Buku Akun'!$C$4))),B4376+IF(AND(I4376="Selisih bunga",DAY(B4376)=1),0,0.01)+ROW()/10000000,"")</f>
        <v/>
      </c>
    </row>
    <row r="4377" outlineLevel="1" ht="15" customHeight="1" s="94">
      <c r="A4377" s="123">
        <f>IF(B4377="","",ROW()-15)</f>
        <v/>
      </c>
      <c r="B4377" s="124" t="n"/>
      <c r="C4377" s="123" t="n"/>
      <c r="D4377" s="123" t="n"/>
      <c r="E4377" s="123" t="n"/>
      <c r="F4377" s="125" t="n"/>
      <c r="G4377" s="123" t="n"/>
      <c r="H4377" s="123" t="n"/>
      <c r="I4377" s="123" t="n"/>
      <c r="J4377" s="123" t="n"/>
      <c r="K4377" s="123" t="n"/>
      <c r="L4377" s="123" t="n"/>
      <c r="M4377" s="123">
        <f>IF(AND(B4377&lt;&gt;"",OR($C$4="",ISNUMBER(SEARCH($C$4,C4377&amp;" "&amp;E4377&amp;" "&amp;G4377&amp;" "&amp;H4377&amp;" "&amp;I4377&amp;" "&amp;J4377&amp;" "&amp;K4377&amp;" "&amp;L4377))),OR($C$5="Semua",$C$5="",G4377=$C$5),OR($C$6="Semua",$C$6="",H4377=$C$6,H4377="Pengeluaran "&amp;$C$6,AND($C$6="Uang Kos Mama",H4377="Pengeluaran Uang Kos")),OR($C$7="Semua",$C$7="",I4377=$C$7),OR($C$8="Semua",$C$8="",C4377=$C$8,E4377=$C$8),OR($C$9="Semua",$C$9="",D4377=$C$9),OR($C$10="",B4377&gt;=$C$10),OR($C$11="",B4377&lt;=$C$11),OR($C$12&lt;&gt;"Ya",K4377&lt;&gt;""),OR($C$13="Semua",$C$13="",L4377=$C$13)),"✓","")</f>
        <v/>
      </c>
      <c r="N4377" s="93">
        <f>N(N4376)+IF(M4377="✓",1,0)</f>
        <v/>
      </c>
      <c r="O4377" s="93">
        <f>N(O4376)+IF(AND(B4377&lt;&gt;"",B4377&gt;='Uang Riba'!$H$30,B4377&lt;='Uang Riba'!$I$30,OR(H4377="Dana riba",H4377="Pinjam uang riba",I4377="Pinjam dari uang riba",I4377="Ganti uang riba",I4377="Kelebihan ganti dikembalikan",AND(C4377="Kantong Uang Riba",G4377="Pengeluaran"))),1,0)</f>
        <v/>
      </c>
      <c r="X4377" s="93">
        <f>IF(AND(B4377&lt;&gt;"",B4377&gt;='Buku Akun'!$H$4,B4377&lt;='Buku Akun'!$H$5,OR(C4377='Buku Akun'!$C$4,AND(D4377="Pindah",E4377='Buku Akun'!$C$4))),B4377+IF(AND(I4377="Selisih bunga",DAY(B4377)=1),0,0.01)+ROW()/10000000,"")</f>
        <v/>
      </c>
    </row>
    <row r="4378" outlineLevel="1" ht="15" customHeight="1" s="94">
      <c r="A4378" s="123">
        <f>IF(B4378="","",ROW()-15)</f>
        <v/>
      </c>
      <c r="B4378" s="124" t="n"/>
      <c r="C4378" s="123" t="n"/>
      <c r="D4378" s="123" t="n"/>
      <c r="E4378" s="123" t="n"/>
      <c r="F4378" s="125" t="n"/>
      <c r="G4378" s="123" t="n"/>
      <c r="H4378" s="123" t="n"/>
      <c r="I4378" s="123" t="n"/>
      <c r="J4378" s="123" t="n"/>
      <c r="K4378" s="123" t="n"/>
      <c r="L4378" s="123" t="n"/>
      <c r="M4378" s="123">
        <f>IF(AND(B4378&lt;&gt;"",OR($C$4="",ISNUMBER(SEARCH($C$4,C4378&amp;" "&amp;E4378&amp;" "&amp;G4378&amp;" "&amp;H4378&amp;" "&amp;I4378&amp;" "&amp;J4378&amp;" "&amp;K4378&amp;" "&amp;L4378))),OR($C$5="Semua",$C$5="",G4378=$C$5),OR($C$6="Semua",$C$6="",H4378=$C$6,H4378="Pengeluaran "&amp;$C$6,AND($C$6="Uang Kos Mama",H4378="Pengeluaran Uang Kos")),OR($C$7="Semua",$C$7="",I4378=$C$7),OR($C$8="Semua",$C$8="",C4378=$C$8,E4378=$C$8),OR($C$9="Semua",$C$9="",D4378=$C$9),OR($C$10="",B4378&gt;=$C$10),OR($C$11="",B4378&lt;=$C$11),OR($C$12&lt;&gt;"Ya",K4378&lt;&gt;""),OR($C$13="Semua",$C$13="",L4378=$C$13)),"✓","")</f>
        <v/>
      </c>
      <c r="N4378" s="93">
        <f>N(N4377)+IF(M4378="✓",1,0)</f>
        <v/>
      </c>
      <c r="O4378" s="93">
        <f>N(O4377)+IF(AND(B4378&lt;&gt;"",B4378&gt;='Uang Riba'!$H$30,B4378&lt;='Uang Riba'!$I$30,OR(H4378="Dana riba",H4378="Pinjam uang riba",I4378="Pinjam dari uang riba",I4378="Ganti uang riba",I4378="Kelebihan ganti dikembalikan",AND(C4378="Kantong Uang Riba",G4378="Pengeluaran"))),1,0)</f>
        <v/>
      </c>
      <c r="X4378" s="93">
        <f>IF(AND(B4378&lt;&gt;"",B4378&gt;='Buku Akun'!$H$4,B4378&lt;='Buku Akun'!$H$5,OR(C4378='Buku Akun'!$C$4,AND(D4378="Pindah",E4378='Buku Akun'!$C$4))),B4378+IF(AND(I4378="Selisih bunga",DAY(B4378)=1),0,0.01)+ROW()/10000000,"")</f>
        <v/>
      </c>
    </row>
    <row r="4379" outlineLevel="1" ht="15" customHeight="1" s="94">
      <c r="A4379" s="123">
        <f>IF(B4379="","",ROW()-15)</f>
        <v/>
      </c>
      <c r="B4379" s="124" t="n"/>
      <c r="C4379" s="123" t="n"/>
      <c r="D4379" s="123" t="n"/>
      <c r="E4379" s="123" t="n"/>
      <c r="F4379" s="125" t="n"/>
      <c r="G4379" s="123" t="n"/>
      <c r="H4379" s="123" t="n"/>
      <c r="I4379" s="123" t="n"/>
      <c r="J4379" s="123" t="n"/>
      <c r="K4379" s="123" t="n"/>
      <c r="L4379" s="123" t="n"/>
      <c r="M4379" s="123">
        <f>IF(AND(B4379&lt;&gt;"",OR($C$4="",ISNUMBER(SEARCH($C$4,C4379&amp;" "&amp;E4379&amp;" "&amp;G4379&amp;" "&amp;H4379&amp;" "&amp;I4379&amp;" "&amp;J4379&amp;" "&amp;K4379&amp;" "&amp;L4379))),OR($C$5="Semua",$C$5="",G4379=$C$5),OR($C$6="Semua",$C$6="",H4379=$C$6,H4379="Pengeluaran "&amp;$C$6,AND($C$6="Uang Kos Mama",H4379="Pengeluaran Uang Kos")),OR($C$7="Semua",$C$7="",I4379=$C$7),OR($C$8="Semua",$C$8="",C4379=$C$8,E4379=$C$8),OR($C$9="Semua",$C$9="",D4379=$C$9),OR($C$10="",B4379&gt;=$C$10),OR($C$11="",B4379&lt;=$C$11),OR($C$12&lt;&gt;"Ya",K4379&lt;&gt;""),OR($C$13="Semua",$C$13="",L4379=$C$13)),"✓","")</f>
        <v/>
      </c>
      <c r="N4379" s="93">
        <f>N(N4378)+IF(M4379="✓",1,0)</f>
        <v/>
      </c>
      <c r="O4379" s="93">
        <f>N(O4378)+IF(AND(B4379&lt;&gt;"",B4379&gt;='Uang Riba'!$H$30,B4379&lt;='Uang Riba'!$I$30,OR(H4379="Dana riba",H4379="Pinjam uang riba",I4379="Pinjam dari uang riba",I4379="Ganti uang riba",I4379="Kelebihan ganti dikembalikan",AND(C4379="Kantong Uang Riba",G4379="Pengeluaran"))),1,0)</f>
        <v/>
      </c>
      <c r="X4379" s="93">
        <f>IF(AND(B4379&lt;&gt;"",B4379&gt;='Buku Akun'!$H$4,B4379&lt;='Buku Akun'!$H$5,OR(C4379='Buku Akun'!$C$4,AND(D4379="Pindah",E4379='Buku Akun'!$C$4))),B4379+IF(AND(I4379="Selisih bunga",DAY(B4379)=1),0,0.01)+ROW()/10000000,"")</f>
        <v/>
      </c>
    </row>
    <row r="4380" outlineLevel="1" ht="15" customHeight="1" s="94">
      <c r="A4380" s="123">
        <f>IF(B4380="","",ROW()-15)</f>
        <v/>
      </c>
      <c r="B4380" s="124" t="n"/>
      <c r="C4380" s="123" t="n"/>
      <c r="D4380" s="123" t="n"/>
      <c r="E4380" s="123" t="n"/>
      <c r="F4380" s="125" t="n"/>
      <c r="G4380" s="123" t="n"/>
      <c r="H4380" s="123" t="n"/>
      <c r="I4380" s="123" t="n"/>
      <c r="J4380" s="123" t="n"/>
      <c r="K4380" s="123" t="n"/>
      <c r="L4380" s="123" t="n"/>
      <c r="M4380" s="123">
        <f>IF(AND(B4380&lt;&gt;"",OR($C$4="",ISNUMBER(SEARCH($C$4,C4380&amp;" "&amp;E4380&amp;" "&amp;G4380&amp;" "&amp;H4380&amp;" "&amp;I4380&amp;" "&amp;J4380&amp;" "&amp;K4380&amp;" "&amp;L4380))),OR($C$5="Semua",$C$5="",G4380=$C$5),OR($C$6="Semua",$C$6="",H4380=$C$6,H4380="Pengeluaran "&amp;$C$6,AND($C$6="Uang Kos Mama",H4380="Pengeluaran Uang Kos")),OR($C$7="Semua",$C$7="",I4380=$C$7),OR($C$8="Semua",$C$8="",C4380=$C$8,E4380=$C$8),OR($C$9="Semua",$C$9="",D4380=$C$9),OR($C$10="",B4380&gt;=$C$10),OR($C$11="",B4380&lt;=$C$11),OR($C$12&lt;&gt;"Ya",K4380&lt;&gt;""),OR($C$13="Semua",$C$13="",L4380=$C$13)),"✓","")</f>
        <v/>
      </c>
      <c r="N4380" s="93">
        <f>N(N4379)+IF(M4380="✓",1,0)</f>
        <v/>
      </c>
      <c r="O4380" s="93">
        <f>N(O4379)+IF(AND(B4380&lt;&gt;"",B4380&gt;='Uang Riba'!$H$30,B4380&lt;='Uang Riba'!$I$30,OR(H4380="Dana riba",H4380="Pinjam uang riba",I4380="Pinjam dari uang riba",I4380="Ganti uang riba",I4380="Kelebihan ganti dikembalikan",AND(C4380="Kantong Uang Riba",G4380="Pengeluaran"))),1,0)</f>
        <v/>
      </c>
      <c r="X4380" s="93">
        <f>IF(AND(B4380&lt;&gt;"",B4380&gt;='Buku Akun'!$H$4,B4380&lt;='Buku Akun'!$H$5,OR(C4380='Buku Akun'!$C$4,AND(D4380="Pindah",E4380='Buku Akun'!$C$4))),B4380+IF(AND(I4380="Selisih bunga",DAY(B4380)=1),0,0.01)+ROW()/10000000,"")</f>
        <v/>
      </c>
    </row>
    <row r="4381" outlineLevel="1" ht="15" customHeight="1" s="94">
      <c r="A4381" s="123">
        <f>IF(B4381="","",ROW()-15)</f>
        <v/>
      </c>
      <c r="B4381" s="124" t="n"/>
      <c r="C4381" s="123" t="n"/>
      <c r="D4381" s="123" t="n"/>
      <c r="E4381" s="123" t="n"/>
      <c r="F4381" s="125" t="n"/>
      <c r="G4381" s="123" t="n"/>
      <c r="H4381" s="123" t="n"/>
      <c r="I4381" s="123" t="n"/>
      <c r="J4381" s="123" t="n"/>
      <c r="K4381" s="123" t="n"/>
      <c r="L4381" s="123" t="n"/>
      <c r="M4381" s="123">
        <f>IF(AND(B4381&lt;&gt;"",OR($C$4="",ISNUMBER(SEARCH($C$4,C4381&amp;" "&amp;E4381&amp;" "&amp;G4381&amp;" "&amp;H4381&amp;" "&amp;I4381&amp;" "&amp;J4381&amp;" "&amp;K4381&amp;" "&amp;L4381))),OR($C$5="Semua",$C$5="",G4381=$C$5),OR($C$6="Semua",$C$6="",H4381=$C$6,H4381="Pengeluaran "&amp;$C$6,AND($C$6="Uang Kos Mama",H4381="Pengeluaran Uang Kos")),OR($C$7="Semua",$C$7="",I4381=$C$7),OR($C$8="Semua",$C$8="",C4381=$C$8,E4381=$C$8),OR($C$9="Semua",$C$9="",D4381=$C$9),OR($C$10="",B4381&gt;=$C$10),OR($C$11="",B4381&lt;=$C$11),OR($C$12&lt;&gt;"Ya",K4381&lt;&gt;""),OR($C$13="Semua",$C$13="",L4381=$C$13)),"✓","")</f>
        <v/>
      </c>
      <c r="N4381" s="93">
        <f>N(N4380)+IF(M4381="✓",1,0)</f>
        <v/>
      </c>
      <c r="O4381" s="93">
        <f>N(O4380)+IF(AND(B4381&lt;&gt;"",B4381&gt;='Uang Riba'!$H$30,B4381&lt;='Uang Riba'!$I$30,OR(H4381="Dana riba",H4381="Pinjam uang riba",I4381="Pinjam dari uang riba",I4381="Ganti uang riba",I4381="Kelebihan ganti dikembalikan",AND(C4381="Kantong Uang Riba",G4381="Pengeluaran"))),1,0)</f>
        <v/>
      </c>
      <c r="X4381" s="93">
        <f>IF(AND(B4381&lt;&gt;"",B4381&gt;='Buku Akun'!$H$4,B4381&lt;='Buku Akun'!$H$5,OR(C4381='Buku Akun'!$C$4,AND(D4381="Pindah",E4381='Buku Akun'!$C$4))),B4381+IF(AND(I4381="Selisih bunga",DAY(B4381)=1),0,0.01)+ROW()/10000000,"")</f>
        <v/>
      </c>
    </row>
    <row r="4382" outlineLevel="1" ht="15" customHeight="1" s="94">
      <c r="A4382" s="123">
        <f>IF(B4382="","",ROW()-15)</f>
        <v/>
      </c>
      <c r="B4382" s="124" t="n"/>
      <c r="C4382" s="123" t="n"/>
      <c r="D4382" s="123" t="n"/>
      <c r="E4382" s="123" t="n"/>
      <c r="F4382" s="125" t="n"/>
      <c r="G4382" s="123" t="n"/>
      <c r="H4382" s="123" t="n"/>
      <c r="I4382" s="123" t="n"/>
      <c r="J4382" s="123" t="n"/>
      <c r="K4382" s="123" t="n"/>
      <c r="L4382" s="123" t="n"/>
      <c r="M4382" s="123">
        <f>IF(AND(B4382&lt;&gt;"",OR($C$4="",ISNUMBER(SEARCH($C$4,C4382&amp;" "&amp;E4382&amp;" "&amp;G4382&amp;" "&amp;H4382&amp;" "&amp;I4382&amp;" "&amp;J4382&amp;" "&amp;K4382&amp;" "&amp;L4382))),OR($C$5="Semua",$C$5="",G4382=$C$5),OR($C$6="Semua",$C$6="",H4382=$C$6,H4382="Pengeluaran "&amp;$C$6,AND($C$6="Uang Kos Mama",H4382="Pengeluaran Uang Kos")),OR($C$7="Semua",$C$7="",I4382=$C$7),OR($C$8="Semua",$C$8="",C4382=$C$8,E4382=$C$8),OR($C$9="Semua",$C$9="",D4382=$C$9),OR($C$10="",B4382&gt;=$C$10),OR($C$11="",B4382&lt;=$C$11),OR($C$12&lt;&gt;"Ya",K4382&lt;&gt;""),OR($C$13="Semua",$C$13="",L4382=$C$13)),"✓","")</f>
        <v/>
      </c>
      <c r="N4382" s="93">
        <f>N(N4381)+IF(M4382="✓",1,0)</f>
        <v/>
      </c>
      <c r="O4382" s="93">
        <f>N(O4381)+IF(AND(B4382&lt;&gt;"",B4382&gt;='Uang Riba'!$H$30,B4382&lt;='Uang Riba'!$I$30,OR(H4382="Dana riba",H4382="Pinjam uang riba",I4382="Pinjam dari uang riba",I4382="Ganti uang riba",I4382="Kelebihan ganti dikembalikan",AND(C4382="Kantong Uang Riba",G4382="Pengeluaran"))),1,0)</f>
        <v/>
      </c>
      <c r="X4382" s="93">
        <f>IF(AND(B4382&lt;&gt;"",B4382&gt;='Buku Akun'!$H$4,B4382&lt;='Buku Akun'!$H$5,OR(C4382='Buku Akun'!$C$4,AND(D4382="Pindah",E4382='Buku Akun'!$C$4))),B4382+IF(AND(I4382="Selisih bunga",DAY(B4382)=1),0,0.01)+ROW()/10000000,"")</f>
        <v/>
      </c>
    </row>
    <row r="4383" outlineLevel="1" ht="15" customHeight="1" s="94">
      <c r="A4383" s="123">
        <f>IF(B4383="","",ROW()-15)</f>
        <v/>
      </c>
      <c r="B4383" s="124" t="n"/>
      <c r="C4383" s="123" t="n"/>
      <c r="D4383" s="123" t="n"/>
      <c r="E4383" s="123" t="n"/>
      <c r="F4383" s="125" t="n"/>
      <c r="G4383" s="123" t="n"/>
      <c r="H4383" s="123" t="n"/>
      <c r="I4383" s="123" t="n"/>
      <c r="J4383" s="123" t="n"/>
      <c r="K4383" s="123" t="n"/>
      <c r="L4383" s="123" t="n"/>
      <c r="M4383" s="123">
        <f>IF(AND(B4383&lt;&gt;"",OR($C$4="",ISNUMBER(SEARCH($C$4,C4383&amp;" "&amp;E4383&amp;" "&amp;G4383&amp;" "&amp;H4383&amp;" "&amp;I4383&amp;" "&amp;J4383&amp;" "&amp;K4383&amp;" "&amp;L4383))),OR($C$5="Semua",$C$5="",G4383=$C$5),OR($C$6="Semua",$C$6="",H4383=$C$6,H4383="Pengeluaran "&amp;$C$6,AND($C$6="Uang Kos Mama",H4383="Pengeluaran Uang Kos")),OR($C$7="Semua",$C$7="",I4383=$C$7),OR($C$8="Semua",$C$8="",C4383=$C$8,E4383=$C$8),OR($C$9="Semua",$C$9="",D4383=$C$9),OR($C$10="",B4383&gt;=$C$10),OR($C$11="",B4383&lt;=$C$11),OR($C$12&lt;&gt;"Ya",K4383&lt;&gt;""),OR($C$13="Semua",$C$13="",L4383=$C$13)),"✓","")</f>
        <v/>
      </c>
      <c r="N4383" s="93">
        <f>N(N4382)+IF(M4383="✓",1,0)</f>
        <v/>
      </c>
      <c r="O4383" s="93">
        <f>N(O4382)+IF(AND(B4383&lt;&gt;"",B4383&gt;='Uang Riba'!$H$30,B4383&lt;='Uang Riba'!$I$30,OR(H4383="Dana riba",H4383="Pinjam uang riba",I4383="Pinjam dari uang riba",I4383="Ganti uang riba",I4383="Kelebihan ganti dikembalikan",AND(C4383="Kantong Uang Riba",G4383="Pengeluaran"))),1,0)</f>
        <v/>
      </c>
      <c r="X4383" s="93">
        <f>IF(AND(B4383&lt;&gt;"",B4383&gt;='Buku Akun'!$H$4,B4383&lt;='Buku Akun'!$H$5,OR(C4383='Buku Akun'!$C$4,AND(D4383="Pindah",E4383='Buku Akun'!$C$4))),B4383+IF(AND(I4383="Selisih bunga",DAY(B4383)=1),0,0.01)+ROW()/10000000,"")</f>
        <v/>
      </c>
    </row>
    <row r="4384" outlineLevel="1" ht="15" customHeight="1" s="94">
      <c r="A4384" s="123">
        <f>IF(B4384="","",ROW()-15)</f>
        <v/>
      </c>
      <c r="B4384" s="124" t="n"/>
      <c r="C4384" s="123" t="n"/>
      <c r="D4384" s="123" t="n"/>
      <c r="E4384" s="123" t="n"/>
      <c r="F4384" s="125" t="n"/>
      <c r="G4384" s="123" t="n"/>
      <c r="H4384" s="123" t="n"/>
      <c r="I4384" s="123" t="n"/>
      <c r="J4384" s="123" t="n"/>
      <c r="K4384" s="123" t="n"/>
      <c r="L4384" s="123" t="n"/>
      <c r="M4384" s="123">
        <f>IF(AND(B4384&lt;&gt;"",OR($C$4="",ISNUMBER(SEARCH($C$4,C4384&amp;" "&amp;E4384&amp;" "&amp;G4384&amp;" "&amp;H4384&amp;" "&amp;I4384&amp;" "&amp;J4384&amp;" "&amp;K4384&amp;" "&amp;L4384))),OR($C$5="Semua",$C$5="",G4384=$C$5),OR($C$6="Semua",$C$6="",H4384=$C$6,H4384="Pengeluaran "&amp;$C$6,AND($C$6="Uang Kos Mama",H4384="Pengeluaran Uang Kos")),OR($C$7="Semua",$C$7="",I4384=$C$7),OR($C$8="Semua",$C$8="",C4384=$C$8,E4384=$C$8),OR($C$9="Semua",$C$9="",D4384=$C$9),OR($C$10="",B4384&gt;=$C$10),OR($C$11="",B4384&lt;=$C$11),OR($C$12&lt;&gt;"Ya",K4384&lt;&gt;""),OR($C$13="Semua",$C$13="",L4384=$C$13)),"✓","")</f>
        <v/>
      </c>
      <c r="N4384" s="93">
        <f>N(N4383)+IF(M4384="✓",1,0)</f>
        <v/>
      </c>
      <c r="O4384" s="93">
        <f>N(O4383)+IF(AND(B4384&lt;&gt;"",B4384&gt;='Uang Riba'!$H$30,B4384&lt;='Uang Riba'!$I$30,OR(H4384="Dana riba",H4384="Pinjam uang riba",I4384="Pinjam dari uang riba",I4384="Ganti uang riba",I4384="Kelebihan ganti dikembalikan",AND(C4384="Kantong Uang Riba",G4384="Pengeluaran"))),1,0)</f>
        <v/>
      </c>
      <c r="X4384" s="93">
        <f>IF(AND(B4384&lt;&gt;"",B4384&gt;='Buku Akun'!$H$4,B4384&lt;='Buku Akun'!$H$5,OR(C4384='Buku Akun'!$C$4,AND(D4384="Pindah",E4384='Buku Akun'!$C$4))),B4384+IF(AND(I4384="Selisih bunga",DAY(B4384)=1),0,0.01)+ROW()/10000000,"")</f>
        <v/>
      </c>
    </row>
    <row r="4385" outlineLevel="1" ht="15" customHeight="1" s="94">
      <c r="A4385" s="123">
        <f>IF(B4385="","",ROW()-15)</f>
        <v/>
      </c>
      <c r="B4385" s="124" t="n"/>
      <c r="C4385" s="123" t="n"/>
      <c r="D4385" s="123" t="n"/>
      <c r="E4385" s="123" t="n"/>
      <c r="F4385" s="125" t="n"/>
      <c r="G4385" s="123" t="n"/>
      <c r="H4385" s="123" t="n"/>
      <c r="I4385" s="123" t="n"/>
      <c r="J4385" s="123" t="n"/>
      <c r="K4385" s="123" t="n"/>
      <c r="L4385" s="123" t="n"/>
      <c r="M4385" s="123">
        <f>IF(AND(B4385&lt;&gt;"",OR($C$4="",ISNUMBER(SEARCH($C$4,C4385&amp;" "&amp;E4385&amp;" "&amp;G4385&amp;" "&amp;H4385&amp;" "&amp;I4385&amp;" "&amp;J4385&amp;" "&amp;K4385&amp;" "&amp;L4385))),OR($C$5="Semua",$C$5="",G4385=$C$5),OR($C$6="Semua",$C$6="",H4385=$C$6,H4385="Pengeluaran "&amp;$C$6,AND($C$6="Uang Kos Mama",H4385="Pengeluaran Uang Kos")),OR($C$7="Semua",$C$7="",I4385=$C$7),OR($C$8="Semua",$C$8="",C4385=$C$8,E4385=$C$8),OR($C$9="Semua",$C$9="",D4385=$C$9),OR($C$10="",B4385&gt;=$C$10),OR($C$11="",B4385&lt;=$C$11),OR($C$12&lt;&gt;"Ya",K4385&lt;&gt;""),OR($C$13="Semua",$C$13="",L4385=$C$13)),"✓","")</f>
        <v/>
      </c>
      <c r="N4385" s="93">
        <f>N(N4384)+IF(M4385="✓",1,0)</f>
        <v/>
      </c>
      <c r="O4385" s="93">
        <f>N(O4384)+IF(AND(B4385&lt;&gt;"",B4385&gt;='Uang Riba'!$H$30,B4385&lt;='Uang Riba'!$I$30,OR(H4385="Dana riba",H4385="Pinjam uang riba",I4385="Pinjam dari uang riba",I4385="Ganti uang riba",I4385="Kelebihan ganti dikembalikan",AND(C4385="Kantong Uang Riba",G4385="Pengeluaran"))),1,0)</f>
        <v/>
      </c>
      <c r="X4385" s="93">
        <f>IF(AND(B4385&lt;&gt;"",B4385&gt;='Buku Akun'!$H$4,B4385&lt;='Buku Akun'!$H$5,OR(C4385='Buku Akun'!$C$4,AND(D4385="Pindah",E4385='Buku Akun'!$C$4))),B4385+IF(AND(I4385="Selisih bunga",DAY(B4385)=1),0,0.01)+ROW()/10000000,"")</f>
        <v/>
      </c>
    </row>
    <row r="4386" outlineLevel="1" ht="15" customHeight="1" s="94">
      <c r="A4386" s="123">
        <f>IF(B4386="","",ROW()-15)</f>
        <v/>
      </c>
      <c r="B4386" s="124" t="n"/>
      <c r="C4386" s="123" t="n"/>
      <c r="D4386" s="123" t="n"/>
      <c r="E4386" s="123" t="n"/>
      <c r="F4386" s="125" t="n"/>
      <c r="G4386" s="123" t="n"/>
      <c r="H4386" s="123" t="n"/>
      <c r="I4386" s="123" t="n"/>
      <c r="J4386" s="123" t="n"/>
      <c r="K4386" s="123" t="n"/>
      <c r="L4386" s="123" t="n"/>
      <c r="M4386" s="123">
        <f>IF(AND(B4386&lt;&gt;"",OR($C$4="",ISNUMBER(SEARCH($C$4,C4386&amp;" "&amp;E4386&amp;" "&amp;G4386&amp;" "&amp;H4386&amp;" "&amp;I4386&amp;" "&amp;J4386&amp;" "&amp;K4386&amp;" "&amp;L4386))),OR($C$5="Semua",$C$5="",G4386=$C$5),OR($C$6="Semua",$C$6="",H4386=$C$6,H4386="Pengeluaran "&amp;$C$6,AND($C$6="Uang Kos Mama",H4386="Pengeluaran Uang Kos")),OR($C$7="Semua",$C$7="",I4386=$C$7),OR($C$8="Semua",$C$8="",C4386=$C$8,E4386=$C$8),OR($C$9="Semua",$C$9="",D4386=$C$9),OR($C$10="",B4386&gt;=$C$10),OR($C$11="",B4386&lt;=$C$11),OR($C$12&lt;&gt;"Ya",K4386&lt;&gt;""),OR($C$13="Semua",$C$13="",L4386=$C$13)),"✓","")</f>
        <v/>
      </c>
      <c r="N4386" s="93">
        <f>N(N4385)+IF(M4386="✓",1,0)</f>
        <v/>
      </c>
      <c r="O4386" s="93">
        <f>N(O4385)+IF(AND(B4386&lt;&gt;"",B4386&gt;='Uang Riba'!$H$30,B4386&lt;='Uang Riba'!$I$30,OR(H4386="Dana riba",H4386="Pinjam uang riba",I4386="Pinjam dari uang riba",I4386="Ganti uang riba",I4386="Kelebihan ganti dikembalikan",AND(C4386="Kantong Uang Riba",G4386="Pengeluaran"))),1,0)</f>
        <v/>
      </c>
      <c r="X4386" s="93">
        <f>IF(AND(B4386&lt;&gt;"",B4386&gt;='Buku Akun'!$H$4,B4386&lt;='Buku Akun'!$H$5,OR(C4386='Buku Akun'!$C$4,AND(D4386="Pindah",E4386='Buku Akun'!$C$4))),B4386+IF(AND(I4386="Selisih bunga",DAY(B4386)=1),0,0.01)+ROW()/10000000,"")</f>
        <v/>
      </c>
    </row>
    <row r="4387" outlineLevel="1" ht="15" customHeight="1" s="94">
      <c r="A4387" s="123">
        <f>IF(B4387="","",ROW()-15)</f>
        <v/>
      </c>
      <c r="B4387" s="124" t="n"/>
      <c r="C4387" s="123" t="n"/>
      <c r="D4387" s="123" t="n"/>
      <c r="E4387" s="123" t="n"/>
      <c r="F4387" s="125" t="n"/>
      <c r="G4387" s="123" t="n"/>
      <c r="H4387" s="123" t="n"/>
      <c r="I4387" s="123" t="n"/>
      <c r="J4387" s="123" t="n"/>
      <c r="K4387" s="123" t="n"/>
      <c r="L4387" s="123" t="n"/>
      <c r="M4387" s="123">
        <f>IF(AND(B4387&lt;&gt;"",OR($C$4="",ISNUMBER(SEARCH($C$4,C4387&amp;" "&amp;E4387&amp;" "&amp;G4387&amp;" "&amp;H4387&amp;" "&amp;I4387&amp;" "&amp;J4387&amp;" "&amp;K4387&amp;" "&amp;L4387))),OR($C$5="Semua",$C$5="",G4387=$C$5),OR($C$6="Semua",$C$6="",H4387=$C$6,H4387="Pengeluaran "&amp;$C$6,AND($C$6="Uang Kos Mama",H4387="Pengeluaran Uang Kos")),OR($C$7="Semua",$C$7="",I4387=$C$7),OR($C$8="Semua",$C$8="",C4387=$C$8,E4387=$C$8),OR($C$9="Semua",$C$9="",D4387=$C$9),OR($C$10="",B4387&gt;=$C$10),OR($C$11="",B4387&lt;=$C$11),OR($C$12&lt;&gt;"Ya",K4387&lt;&gt;""),OR($C$13="Semua",$C$13="",L4387=$C$13)),"✓","")</f>
        <v/>
      </c>
      <c r="N4387" s="93">
        <f>N(N4386)+IF(M4387="✓",1,0)</f>
        <v/>
      </c>
      <c r="O4387" s="93">
        <f>N(O4386)+IF(AND(B4387&lt;&gt;"",B4387&gt;='Uang Riba'!$H$30,B4387&lt;='Uang Riba'!$I$30,OR(H4387="Dana riba",H4387="Pinjam uang riba",I4387="Pinjam dari uang riba",I4387="Ganti uang riba",I4387="Kelebihan ganti dikembalikan",AND(C4387="Kantong Uang Riba",G4387="Pengeluaran"))),1,0)</f>
        <v/>
      </c>
      <c r="X4387" s="93">
        <f>IF(AND(B4387&lt;&gt;"",B4387&gt;='Buku Akun'!$H$4,B4387&lt;='Buku Akun'!$H$5,OR(C4387='Buku Akun'!$C$4,AND(D4387="Pindah",E4387='Buku Akun'!$C$4))),B4387+IF(AND(I4387="Selisih bunga",DAY(B4387)=1),0,0.01)+ROW()/10000000,"")</f>
        <v/>
      </c>
    </row>
    <row r="4388" outlineLevel="1" ht="15" customHeight="1" s="94">
      <c r="A4388" s="123">
        <f>IF(B4388="","",ROW()-15)</f>
        <v/>
      </c>
      <c r="B4388" s="124" t="n"/>
      <c r="C4388" s="123" t="n"/>
      <c r="D4388" s="123" t="n"/>
      <c r="E4388" s="123" t="n"/>
      <c r="F4388" s="125" t="n"/>
      <c r="G4388" s="123" t="n"/>
      <c r="H4388" s="123" t="n"/>
      <c r="I4388" s="123" t="n"/>
      <c r="J4388" s="123" t="n"/>
      <c r="K4388" s="123" t="n"/>
      <c r="L4388" s="123" t="n"/>
      <c r="M4388" s="123">
        <f>IF(AND(B4388&lt;&gt;"",OR($C$4="",ISNUMBER(SEARCH($C$4,C4388&amp;" "&amp;E4388&amp;" "&amp;G4388&amp;" "&amp;H4388&amp;" "&amp;I4388&amp;" "&amp;J4388&amp;" "&amp;K4388&amp;" "&amp;L4388))),OR($C$5="Semua",$C$5="",G4388=$C$5),OR($C$6="Semua",$C$6="",H4388=$C$6,H4388="Pengeluaran "&amp;$C$6,AND($C$6="Uang Kos Mama",H4388="Pengeluaran Uang Kos")),OR($C$7="Semua",$C$7="",I4388=$C$7),OR($C$8="Semua",$C$8="",C4388=$C$8,E4388=$C$8),OR($C$9="Semua",$C$9="",D4388=$C$9),OR($C$10="",B4388&gt;=$C$10),OR($C$11="",B4388&lt;=$C$11),OR($C$12&lt;&gt;"Ya",K4388&lt;&gt;""),OR($C$13="Semua",$C$13="",L4388=$C$13)),"✓","")</f>
        <v/>
      </c>
      <c r="N4388" s="93">
        <f>N(N4387)+IF(M4388="✓",1,0)</f>
        <v/>
      </c>
      <c r="O4388" s="93">
        <f>N(O4387)+IF(AND(B4388&lt;&gt;"",B4388&gt;='Uang Riba'!$H$30,B4388&lt;='Uang Riba'!$I$30,OR(H4388="Dana riba",H4388="Pinjam uang riba",I4388="Pinjam dari uang riba",I4388="Ganti uang riba",I4388="Kelebihan ganti dikembalikan",AND(C4388="Kantong Uang Riba",G4388="Pengeluaran"))),1,0)</f>
        <v/>
      </c>
      <c r="X4388" s="93">
        <f>IF(AND(B4388&lt;&gt;"",B4388&gt;='Buku Akun'!$H$4,B4388&lt;='Buku Akun'!$H$5,OR(C4388='Buku Akun'!$C$4,AND(D4388="Pindah",E4388='Buku Akun'!$C$4))),B4388+IF(AND(I4388="Selisih bunga",DAY(B4388)=1),0,0.01)+ROW()/10000000,"")</f>
        <v/>
      </c>
    </row>
    <row r="4389" outlineLevel="1" ht="15" customHeight="1" s="94">
      <c r="A4389" s="123">
        <f>IF(B4389="","",ROW()-15)</f>
        <v/>
      </c>
      <c r="B4389" s="124" t="n"/>
      <c r="C4389" s="123" t="n"/>
      <c r="D4389" s="123" t="n"/>
      <c r="E4389" s="123" t="n"/>
      <c r="F4389" s="125" t="n"/>
      <c r="G4389" s="123" t="n"/>
      <c r="H4389" s="123" t="n"/>
      <c r="I4389" s="123" t="n"/>
      <c r="J4389" s="123" t="n"/>
      <c r="K4389" s="123" t="n"/>
      <c r="L4389" s="123" t="n"/>
      <c r="M4389" s="123">
        <f>IF(AND(B4389&lt;&gt;"",OR($C$4="",ISNUMBER(SEARCH($C$4,C4389&amp;" "&amp;E4389&amp;" "&amp;G4389&amp;" "&amp;H4389&amp;" "&amp;I4389&amp;" "&amp;J4389&amp;" "&amp;K4389&amp;" "&amp;L4389))),OR($C$5="Semua",$C$5="",G4389=$C$5),OR($C$6="Semua",$C$6="",H4389=$C$6,H4389="Pengeluaran "&amp;$C$6,AND($C$6="Uang Kos Mama",H4389="Pengeluaran Uang Kos")),OR($C$7="Semua",$C$7="",I4389=$C$7),OR($C$8="Semua",$C$8="",C4389=$C$8,E4389=$C$8),OR($C$9="Semua",$C$9="",D4389=$C$9),OR($C$10="",B4389&gt;=$C$10),OR($C$11="",B4389&lt;=$C$11),OR($C$12&lt;&gt;"Ya",K4389&lt;&gt;""),OR($C$13="Semua",$C$13="",L4389=$C$13)),"✓","")</f>
        <v/>
      </c>
      <c r="N4389" s="93">
        <f>N(N4388)+IF(M4389="✓",1,0)</f>
        <v/>
      </c>
      <c r="O4389" s="93">
        <f>N(O4388)+IF(AND(B4389&lt;&gt;"",B4389&gt;='Uang Riba'!$H$30,B4389&lt;='Uang Riba'!$I$30,OR(H4389="Dana riba",H4389="Pinjam uang riba",I4389="Pinjam dari uang riba",I4389="Ganti uang riba",I4389="Kelebihan ganti dikembalikan",AND(C4389="Kantong Uang Riba",G4389="Pengeluaran"))),1,0)</f>
        <v/>
      </c>
      <c r="X4389" s="93">
        <f>IF(AND(B4389&lt;&gt;"",B4389&gt;='Buku Akun'!$H$4,B4389&lt;='Buku Akun'!$H$5,OR(C4389='Buku Akun'!$C$4,AND(D4389="Pindah",E4389='Buku Akun'!$C$4))),B4389+IF(AND(I4389="Selisih bunga",DAY(B4389)=1),0,0.01)+ROW()/10000000,"")</f>
        <v/>
      </c>
    </row>
    <row r="4390" outlineLevel="1" ht="15" customHeight="1" s="94">
      <c r="A4390" s="123">
        <f>IF(B4390="","",ROW()-15)</f>
        <v/>
      </c>
      <c r="B4390" s="124" t="n"/>
      <c r="C4390" s="123" t="n"/>
      <c r="D4390" s="123" t="n"/>
      <c r="E4390" s="123" t="n"/>
      <c r="F4390" s="125" t="n"/>
      <c r="G4390" s="123" t="n"/>
      <c r="H4390" s="123" t="n"/>
      <c r="I4390" s="123" t="n"/>
      <c r="J4390" s="123" t="n"/>
      <c r="K4390" s="123" t="n"/>
      <c r="L4390" s="123" t="n"/>
      <c r="M4390" s="123">
        <f>IF(AND(B4390&lt;&gt;"",OR($C$4="",ISNUMBER(SEARCH($C$4,C4390&amp;" "&amp;E4390&amp;" "&amp;G4390&amp;" "&amp;H4390&amp;" "&amp;I4390&amp;" "&amp;J4390&amp;" "&amp;K4390&amp;" "&amp;L4390))),OR($C$5="Semua",$C$5="",G4390=$C$5),OR($C$6="Semua",$C$6="",H4390=$C$6,H4390="Pengeluaran "&amp;$C$6,AND($C$6="Uang Kos Mama",H4390="Pengeluaran Uang Kos")),OR($C$7="Semua",$C$7="",I4390=$C$7),OR($C$8="Semua",$C$8="",C4390=$C$8,E4390=$C$8),OR($C$9="Semua",$C$9="",D4390=$C$9),OR($C$10="",B4390&gt;=$C$10),OR($C$11="",B4390&lt;=$C$11),OR($C$12&lt;&gt;"Ya",K4390&lt;&gt;""),OR($C$13="Semua",$C$13="",L4390=$C$13)),"✓","")</f>
        <v/>
      </c>
      <c r="N4390" s="93">
        <f>N(N4389)+IF(M4390="✓",1,0)</f>
        <v/>
      </c>
      <c r="O4390" s="93">
        <f>N(O4389)+IF(AND(B4390&lt;&gt;"",B4390&gt;='Uang Riba'!$H$30,B4390&lt;='Uang Riba'!$I$30,OR(H4390="Dana riba",H4390="Pinjam uang riba",I4390="Pinjam dari uang riba",I4390="Ganti uang riba",I4390="Kelebihan ganti dikembalikan",AND(C4390="Kantong Uang Riba",G4390="Pengeluaran"))),1,0)</f>
        <v/>
      </c>
      <c r="X4390" s="93">
        <f>IF(AND(B4390&lt;&gt;"",B4390&gt;='Buku Akun'!$H$4,B4390&lt;='Buku Akun'!$H$5,OR(C4390='Buku Akun'!$C$4,AND(D4390="Pindah",E4390='Buku Akun'!$C$4))),B4390+IF(AND(I4390="Selisih bunga",DAY(B4390)=1),0,0.01)+ROW()/10000000,"")</f>
        <v/>
      </c>
    </row>
    <row r="4391" outlineLevel="1" ht="15" customHeight="1" s="94">
      <c r="A4391" s="123">
        <f>IF(B4391="","",ROW()-15)</f>
        <v/>
      </c>
      <c r="B4391" s="124" t="n"/>
      <c r="C4391" s="123" t="n"/>
      <c r="D4391" s="123" t="n"/>
      <c r="E4391" s="123" t="n"/>
      <c r="F4391" s="125" t="n"/>
      <c r="G4391" s="123" t="n"/>
      <c r="H4391" s="123" t="n"/>
      <c r="I4391" s="123" t="n"/>
      <c r="J4391" s="123" t="n"/>
      <c r="K4391" s="123" t="n"/>
      <c r="L4391" s="123" t="n"/>
      <c r="M4391" s="123">
        <f>IF(AND(B4391&lt;&gt;"",OR($C$4="",ISNUMBER(SEARCH($C$4,C4391&amp;" "&amp;E4391&amp;" "&amp;G4391&amp;" "&amp;H4391&amp;" "&amp;I4391&amp;" "&amp;J4391&amp;" "&amp;K4391&amp;" "&amp;L4391))),OR($C$5="Semua",$C$5="",G4391=$C$5),OR($C$6="Semua",$C$6="",H4391=$C$6,H4391="Pengeluaran "&amp;$C$6,AND($C$6="Uang Kos Mama",H4391="Pengeluaran Uang Kos")),OR($C$7="Semua",$C$7="",I4391=$C$7),OR($C$8="Semua",$C$8="",C4391=$C$8,E4391=$C$8),OR($C$9="Semua",$C$9="",D4391=$C$9),OR($C$10="",B4391&gt;=$C$10),OR($C$11="",B4391&lt;=$C$11),OR($C$12&lt;&gt;"Ya",K4391&lt;&gt;""),OR($C$13="Semua",$C$13="",L4391=$C$13)),"✓","")</f>
        <v/>
      </c>
      <c r="N4391" s="93">
        <f>N(N4390)+IF(M4391="✓",1,0)</f>
        <v/>
      </c>
      <c r="O4391" s="93">
        <f>N(O4390)+IF(AND(B4391&lt;&gt;"",B4391&gt;='Uang Riba'!$H$30,B4391&lt;='Uang Riba'!$I$30,OR(H4391="Dana riba",H4391="Pinjam uang riba",I4391="Pinjam dari uang riba",I4391="Ganti uang riba",I4391="Kelebihan ganti dikembalikan",AND(C4391="Kantong Uang Riba",G4391="Pengeluaran"))),1,0)</f>
        <v/>
      </c>
      <c r="X4391" s="93">
        <f>IF(AND(B4391&lt;&gt;"",B4391&gt;='Buku Akun'!$H$4,B4391&lt;='Buku Akun'!$H$5,OR(C4391='Buku Akun'!$C$4,AND(D4391="Pindah",E4391='Buku Akun'!$C$4))),B4391+IF(AND(I4391="Selisih bunga",DAY(B4391)=1),0,0.01)+ROW()/10000000,"")</f>
        <v/>
      </c>
    </row>
    <row r="4392" outlineLevel="1" ht="15" customHeight="1" s="94">
      <c r="A4392" s="123">
        <f>IF(B4392="","",ROW()-15)</f>
        <v/>
      </c>
      <c r="B4392" s="124" t="n"/>
      <c r="C4392" s="123" t="n"/>
      <c r="D4392" s="123" t="n"/>
      <c r="E4392" s="123" t="n"/>
      <c r="F4392" s="125" t="n"/>
      <c r="G4392" s="123" t="n"/>
      <c r="H4392" s="123" t="n"/>
      <c r="I4392" s="123" t="n"/>
      <c r="J4392" s="123" t="n"/>
      <c r="K4392" s="123" t="n"/>
      <c r="L4392" s="123" t="n"/>
      <c r="M4392" s="123">
        <f>IF(AND(B4392&lt;&gt;"",OR($C$4="",ISNUMBER(SEARCH($C$4,C4392&amp;" "&amp;E4392&amp;" "&amp;G4392&amp;" "&amp;H4392&amp;" "&amp;I4392&amp;" "&amp;J4392&amp;" "&amp;K4392&amp;" "&amp;L4392))),OR($C$5="Semua",$C$5="",G4392=$C$5),OR($C$6="Semua",$C$6="",H4392=$C$6,H4392="Pengeluaran "&amp;$C$6,AND($C$6="Uang Kos Mama",H4392="Pengeluaran Uang Kos")),OR($C$7="Semua",$C$7="",I4392=$C$7),OR($C$8="Semua",$C$8="",C4392=$C$8,E4392=$C$8),OR($C$9="Semua",$C$9="",D4392=$C$9),OR($C$10="",B4392&gt;=$C$10),OR($C$11="",B4392&lt;=$C$11),OR($C$12&lt;&gt;"Ya",K4392&lt;&gt;""),OR($C$13="Semua",$C$13="",L4392=$C$13)),"✓","")</f>
        <v/>
      </c>
      <c r="N4392" s="93">
        <f>N(N4391)+IF(M4392="✓",1,0)</f>
        <v/>
      </c>
      <c r="O4392" s="93">
        <f>N(O4391)+IF(AND(B4392&lt;&gt;"",B4392&gt;='Uang Riba'!$H$30,B4392&lt;='Uang Riba'!$I$30,OR(H4392="Dana riba",H4392="Pinjam uang riba",I4392="Pinjam dari uang riba",I4392="Ganti uang riba",I4392="Kelebihan ganti dikembalikan",AND(C4392="Kantong Uang Riba",G4392="Pengeluaran"))),1,0)</f>
        <v/>
      </c>
      <c r="X4392" s="93">
        <f>IF(AND(B4392&lt;&gt;"",B4392&gt;='Buku Akun'!$H$4,B4392&lt;='Buku Akun'!$H$5,OR(C4392='Buku Akun'!$C$4,AND(D4392="Pindah",E4392='Buku Akun'!$C$4))),B4392+IF(AND(I4392="Selisih bunga",DAY(B4392)=1),0,0.01)+ROW()/10000000,"")</f>
        <v/>
      </c>
    </row>
    <row r="4393" outlineLevel="1" ht="15" customHeight="1" s="94">
      <c r="A4393" s="123">
        <f>IF(B4393="","",ROW()-15)</f>
        <v/>
      </c>
      <c r="B4393" s="124" t="n"/>
      <c r="C4393" s="123" t="n"/>
      <c r="D4393" s="123" t="n"/>
      <c r="E4393" s="123" t="n"/>
      <c r="F4393" s="125" t="n"/>
      <c r="G4393" s="123" t="n"/>
      <c r="H4393" s="123" t="n"/>
      <c r="I4393" s="123" t="n"/>
      <c r="J4393" s="123" t="n"/>
      <c r="K4393" s="123" t="n"/>
      <c r="L4393" s="123" t="n"/>
      <c r="M4393" s="123">
        <f>IF(AND(B4393&lt;&gt;"",OR($C$4="",ISNUMBER(SEARCH($C$4,C4393&amp;" "&amp;E4393&amp;" "&amp;G4393&amp;" "&amp;H4393&amp;" "&amp;I4393&amp;" "&amp;J4393&amp;" "&amp;K4393&amp;" "&amp;L4393))),OR($C$5="Semua",$C$5="",G4393=$C$5),OR($C$6="Semua",$C$6="",H4393=$C$6,H4393="Pengeluaran "&amp;$C$6,AND($C$6="Uang Kos Mama",H4393="Pengeluaran Uang Kos")),OR($C$7="Semua",$C$7="",I4393=$C$7),OR($C$8="Semua",$C$8="",C4393=$C$8,E4393=$C$8),OR($C$9="Semua",$C$9="",D4393=$C$9),OR($C$10="",B4393&gt;=$C$10),OR($C$11="",B4393&lt;=$C$11),OR($C$12&lt;&gt;"Ya",K4393&lt;&gt;""),OR($C$13="Semua",$C$13="",L4393=$C$13)),"✓","")</f>
        <v/>
      </c>
      <c r="N4393" s="93">
        <f>N(N4392)+IF(M4393="✓",1,0)</f>
        <v/>
      </c>
      <c r="O4393" s="93">
        <f>N(O4392)+IF(AND(B4393&lt;&gt;"",B4393&gt;='Uang Riba'!$H$30,B4393&lt;='Uang Riba'!$I$30,OR(H4393="Dana riba",H4393="Pinjam uang riba",I4393="Pinjam dari uang riba",I4393="Ganti uang riba",I4393="Kelebihan ganti dikembalikan",AND(C4393="Kantong Uang Riba",G4393="Pengeluaran"))),1,0)</f>
        <v/>
      </c>
      <c r="X4393" s="93">
        <f>IF(AND(B4393&lt;&gt;"",B4393&gt;='Buku Akun'!$H$4,B4393&lt;='Buku Akun'!$H$5,OR(C4393='Buku Akun'!$C$4,AND(D4393="Pindah",E4393='Buku Akun'!$C$4))),B4393+IF(AND(I4393="Selisih bunga",DAY(B4393)=1),0,0.01)+ROW()/10000000,"")</f>
        <v/>
      </c>
    </row>
    <row r="4394" outlineLevel="1" ht="15" customHeight="1" s="94">
      <c r="A4394" s="123">
        <f>IF(B4394="","",ROW()-15)</f>
        <v/>
      </c>
      <c r="B4394" s="124" t="n"/>
      <c r="C4394" s="123" t="n"/>
      <c r="D4394" s="123" t="n"/>
      <c r="E4394" s="123" t="n"/>
      <c r="F4394" s="125" t="n"/>
      <c r="G4394" s="123" t="n"/>
      <c r="H4394" s="123" t="n"/>
      <c r="I4394" s="123" t="n"/>
      <c r="J4394" s="123" t="n"/>
      <c r="K4394" s="123" t="n"/>
      <c r="L4394" s="123" t="n"/>
      <c r="M4394" s="123">
        <f>IF(AND(B4394&lt;&gt;"",OR($C$4="",ISNUMBER(SEARCH($C$4,C4394&amp;" "&amp;E4394&amp;" "&amp;G4394&amp;" "&amp;H4394&amp;" "&amp;I4394&amp;" "&amp;J4394&amp;" "&amp;K4394&amp;" "&amp;L4394))),OR($C$5="Semua",$C$5="",G4394=$C$5),OR($C$6="Semua",$C$6="",H4394=$C$6,H4394="Pengeluaran "&amp;$C$6,AND($C$6="Uang Kos Mama",H4394="Pengeluaran Uang Kos")),OR($C$7="Semua",$C$7="",I4394=$C$7),OR($C$8="Semua",$C$8="",C4394=$C$8,E4394=$C$8),OR($C$9="Semua",$C$9="",D4394=$C$9),OR($C$10="",B4394&gt;=$C$10),OR($C$11="",B4394&lt;=$C$11),OR($C$12&lt;&gt;"Ya",K4394&lt;&gt;""),OR($C$13="Semua",$C$13="",L4394=$C$13)),"✓","")</f>
        <v/>
      </c>
      <c r="N4394" s="93">
        <f>N(N4393)+IF(M4394="✓",1,0)</f>
        <v/>
      </c>
      <c r="O4394" s="93">
        <f>N(O4393)+IF(AND(B4394&lt;&gt;"",B4394&gt;='Uang Riba'!$H$30,B4394&lt;='Uang Riba'!$I$30,OR(H4394="Dana riba",H4394="Pinjam uang riba",I4394="Pinjam dari uang riba",I4394="Ganti uang riba",I4394="Kelebihan ganti dikembalikan",AND(C4394="Kantong Uang Riba",G4394="Pengeluaran"))),1,0)</f>
        <v/>
      </c>
      <c r="X4394" s="93">
        <f>IF(AND(B4394&lt;&gt;"",B4394&gt;='Buku Akun'!$H$4,B4394&lt;='Buku Akun'!$H$5,OR(C4394='Buku Akun'!$C$4,AND(D4394="Pindah",E4394='Buku Akun'!$C$4))),B4394+IF(AND(I4394="Selisih bunga",DAY(B4394)=1),0,0.01)+ROW()/10000000,"")</f>
        <v/>
      </c>
    </row>
    <row r="4395" outlineLevel="1" ht="15" customHeight="1" s="94">
      <c r="A4395" s="123">
        <f>IF(B4395="","",ROW()-15)</f>
        <v/>
      </c>
      <c r="B4395" s="124" t="n"/>
      <c r="C4395" s="123" t="n"/>
      <c r="D4395" s="123" t="n"/>
      <c r="E4395" s="123" t="n"/>
      <c r="F4395" s="125" t="n"/>
      <c r="G4395" s="123" t="n"/>
      <c r="H4395" s="123" t="n"/>
      <c r="I4395" s="123" t="n"/>
      <c r="J4395" s="123" t="n"/>
      <c r="K4395" s="123" t="n"/>
      <c r="L4395" s="123" t="n"/>
      <c r="M4395" s="123">
        <f>IF(AND(B4395&lt;&gt;"",OR($C$4="",ISNUMBER(SEARCH($C$4,C4395&amp;" "&amp;E4395&amp;" "&amp;G4395&amp;" "&amp;H4395&amp;" "&amp;I4395&amp;" "&amp;J4395&amp;" "&amp;K4395&amp;" "&amp;L4395))),OR($C$5="Semua",$C$5="",G4395=$C$5),OR($C$6="Semua",$C$6="",H4395=$C$6,H4395="Pengeluaran "&amp;$C$6,AND($C$6="Uang Kos Mama",H4395="Pengeluaran Uang Kos")),OR($C$7="Semua",$C$7="",I4395=$C$7),OR($C$8="Semua",$C$8="",C4395=$C$8,E4395=$C$8),OR($C$9="Semua",$C$9="",D4395=$C$9),OR($C$10="",B4395&gt;=$C$10),OR($C$11="",B4395&lt;=$C$11),OR($C$12&lt;&gt;"Ya",K4395&lt;&gt;""),OR($C$13="Semua",$C$13="",L4395=$C$13)),"✓","")</f>
        <v/>
      </c>
      <c r="N4395" s="93">
        <f>N(N4394)+IF(M4395="✓",1,0)</f>
        <v/>
      </c>
      <c r="O4395" s="93">
        <f>N(O4394)+IF(AND(B4395&lt;&gt;"",B4395&gt;='Uang Riba'!$H$30,B4395&lt;='Uang Riba'!$I$30,OR(H4395="Dana riba",H4395="Pinjam uang riba",I4395="Pinjam dari uang riba",I4395="Ganti uang riba",I4395="Kelebihan ganti dikembalikan",AND(C4395="Kantong Uang Riba",G4395="Pengeluaran"))),1,0)</f>
        <v/>
      </c>
      <c r="X4395" s="93">
        <f>IF(AND(B4395&lt;&gt;"",B4395&gt;='Buku Akun'!$H$4,B4395&lt;='Buku Akun'!$H$5,OR(C4395='Buku Akun'!$C$4,AND(D4395="Pindah",E4395='Buku Akun'!$C$4))),B4395+IF(AND(I4395="Selisih bunga",DAY(B4395)=1),0,0.01)+ROW()/10000000,"")</f>
        <v/>
      </c>
    </row>
    <row r="4396" outlineLevel="1" ht="15" customHeight="1" s="94">
      <c r="A4396" s="123">
        <f>IF(B4396="","",ROW()-15)</f>
        <v/>
      </c>
      <c r="B4396" s="124" t="n"/>
      <c r="C4396" s="123" t="n"/>
      <c r="D4396" s="123" t="n"/>
      <c r="E4396" s="123" t="n"/>
      <c r="F4396" s="125" t="n"/>
      <c r="G4396" s="123" t="n"/>
      <c r="H4396" s="123" t="n"/>
      <c r="I4396" s="123" t="n"/>
      <c r="J4396" s="123" t="n"/>
      <c r="K4396" s="123" t="n"/>
      <c r="L4396" s="123" t="n"/>
      <c r="M4396" s="123">
        <f>IF(AND(B4396&lt;&gt;"",OR($C$4="",ISNUMBER(SEARCH($C$4,C4396&amp;" "&amp;E4396&amp;" "&amp;G4396&amp;" "&amp;H4396&amp;" "&amp;I4396&amp;" "&amp;J4396&amp;" "&amp;K4396&amp;" "&amp;L4396))),OR($C$5="Semua",$C$5="",G4396=$C$5),OR($C$6="Semua",$C$6="",H4396=$C$6,H4396="Pengeluaran "&amp;$C$6,AND($C$6="Uang Kos Mama",H4396="Pengeluaran Uang Kos")),OR($C$7="Semua",$C$7="",I4396=$C$7),OR($C$8="Semua",$C$8="",C4396=$C$8,E4396=$C$8),OR($C$9="Semua",$C$9="",D4396=$C$9),OR($C$10="",B4396&gt;=$C$10),OR($C$11="",B4396&lt;=$C$11),OR($C$12&lt;&gt;"Ya",K4396&lt;&gt;""),OR($C$13="Semua",$C$13="",L4396=$C$13)),"✓","")</f>
        <v/>
      </c>
      <c r="N4396" s="93">
        <f>N(N4395)+IF(M4396="✓",1,0)</f>
        <v/>
      </c>
      <c r="O4396" s="93">
        <f>N(O4395)+IF(AND(B4396&lt;&gt;"",B4396&gt;='Uang Riba'!$H$30,B4396&lt;='Uang Riba'!$I$30,OR(H4396="Dana riba",H4396="Pinjam uang riba",I4396="Pinjam dari uang riba",I4396="Ganti uang riba",I4396="Kelebihan ganti dikembalikan",AND(C4396="Kantong Uang Riba",G4396="Pengeluaran"))),1,0)</f>
        <v/>
      </c>
      <c r="X4396" s="93">
        <f>IF(AND(B4396&lt;&gt;"",B4396&gt;='Buku Akun'!$H$4,B4396&lt;='Buku Akun'!$H$5,OR(C4396='Buku Akun'!$C$4,AND(D4396="Pindah",E4396='Buku Akun'!$C$4))),B4396+IF(AND(I4396="Selisih bunga",DAY(B4396)=1),0,0.01)+ROW()/10000000,"")</f>
        <v/>
      </c>
    </row>
    <row r="4397" outlineLevel="1" ht="15" customHeight="1" s="94">
      <c r="A4397" s="123">
        <f>IF(B4397="","",ROW()-15)</f>
        <v/>
      </c>
      <c r="B4397" s="124" t="n"/>
      <c r="C4397" s="123" t="n"/>
      <c r="D4397" s="123" t="n"/>
      <c r="E4397" s="123" t="n"/>
      <c r="F4397" s="125" t="n"/>
      <c r="G4397" s="123" t="n"/>
      <c r="H4397" s="123" t="n"/>
      <c r="I4397" s="123" t="n"/>
      <c r="J4397" s="123" t="n"/>
      <c r="K4397" s="123" t="n"/>
      <c r="L4397" s="123" t="n"/>
      <c r="M4397" s="123">
        <f>IF(AND(B4397&lt;&gt;"",OR($C$4="",ISNUMBER(SEARCH($C$4,C4397&amp;" "&amp;E4397&amp;" "&amp;G4397&amp;" "&amp;H4397&amp;" "&amp;I4397&amp;" "&amp;J4397&amp;" "&amp;K4397&amp;" "&amp;L4397))),OR($C$5="Semua",$C$5="",G4397=$C$5),OR($C$6="Semua",$C$6="",H4397=$C$6,H4397="Pengeluaran "&amp;$C$6,AND($C$6="Uang Kos Mama",H4397="Pengeluaran Uang Kos")),OR($C$7="Semua",$C$7="",I4397=$C$7),OR($C$8="Semua",$C$8="",C4397=$C$8,E4397=$C$8),OR($C$9="Semua",$C$9="",D4397=$C$9),OR($C$10="",B4397&gt;=$C$10),OR($C$11="",B4397&lt;=$C$11),OR($C$12&lt;&gt;"Ya",K4397&lt;&gt;""),OR($C$13="Semua",$C$13="",L4397=$C$13)),"✓","")</f>
        <v/>
      </c>
      <c r="N4397" s="93">
        <f>N(N4396)+IF(M4397="✓",1,0)</f>
        <v/>
      </c>
      <c r="O4397" s="93">
        <f>N(O4396)+IF(AND(B4397&lt;&gt;"",B4397&gt;='Uang Riba'!$H$30,B4397&lt;='Uang Riba'!$I$30,OR(H4397="Dana riba",H4397="Pinjam uang riba",I4397="Pinjam dari uang riba",I4397="Ganti uang riba",I4397="Kelebihan ganti dikembalikan",AND(C4397="Kantong Uang Riba",G4397="Pengeluaran"))),1,0)</f>
        <v/>
      </c>
      <c r="X4397" s="93">
        <f>IF(AND(B4397&lt;&gt;"",B4397&gt;='Buku Akun'!$H$4,B4397&lt;='Buku Akun'!$H$5,OR(C4397='Buku Akun'!$C$4,AND(D4397="Pindah",E4397='Buku Akun'!$C$4))),B4397+IF(AND(I4397="Selisih bunga",DAY(B4397)=1),0,0.01)+ROW()/10000000,"")</f>
        <v/>
      </c>
    </row>
    <row r="4398" outlineLevel="1" ht="15" customHeight="1" s="94">
      <c r="A4398" s="123">
        <f>IF(B4398="","",ROW()-15)</f>
        <v/>
      </c>
      <c r="B4398" s="124" t="n"/>
      <c r="C4398" s="123" t="n"/>
      <c r="D4398" s="123" t="n"/>
      <c r="E4398" s="123" t="n"/>
      <c r="F4398" s="125" t="n"/>
      <c r="G4398" s="123" t="n"/>
      <c r="H4398" s="123" t="n"/>
      <c r="I4398" s="123" t="n"/>
      <c r="J4398" s="123" t="n"/>
      <c r="K4398" s="123" t="n"/>
      <c r="L4398" s="123" t="n"/>
      <c r="M4398" s="123">
        <f>IF(AND(B4398&lt;&gt;"",OR($C$4="",ISNUMBER(SEARCH($C$4,C4398&amp;" "&amp;E4398&amp;" "&amp;G4398&amp;" "&amp;H4398&amp;" "&amp;I4398&amp;" "&amp;J4398&amp;" "&amp;K4398&amp;" "&amp;L4398))),OR($C$5="Semua",$C$5="",G4398=$C$5),OR($C$6="Semua",$C$6="",H4398=$C$6,H4398="Pengeluaran "&amp;$C$6,AND($C$6="Uang Kos Mama",H4398="Pengeluaran Uang Kos")),OR($C$7="Semua",$C$7="",I4398=$C$7),OR($C$8="Semua",$C$8="",C4398=$C$8,E4398=$C$8),OR($C$9="Semua",$C$9="",D4398=$C$9),OR($C$10="",B4398&gt;=$C$10),OR($C$11="",B4398&lt;=$C$11),OR($C$12&lt;&gt;"Ya",K4398&lt;&gt;""),OR($C$13="Semua",$C$13="",L4398=$C$13)),"✓","")</f>
        <v/>
      </c>
      <c r="N4398" s="93">
        <f>N(N4397)+IF(M4398="✓",1,0)</f>
        <v/>
      </c>
      <c r="O4398" s="93">
        <f>N(O4397)+IF(AND(B4398&lt;&gt;"",B4398&gt;='Uang Riba'!$H$30,B4398&lt;='Uang Riba'!$I$30,OR(H4398="Dana riba",H4398="Pinjam uang riba",I4398="Pinjam dari uang riba",I4398="Ganti uang riba",I4398="Kelebihan ganti dikembalikan",AND(C4398="Kantong Uang Riba",G4398="Pengeluaran"))),1,0)</f>
        <v/>
      </c>
      <c r="X4398" s="93">
        <f>IF(AND(B4398&lt;&gt;"",B4398&gt;='Buku Akun'!$H$4,B4398&lt;='Buku Akun'!$H$5,OR(C4398='Buku Akun'!$C$4,AND(D4398="Pindah",E4398='Buku Akun'!$C$4))),B4398+IF(AND(I4398="Selisih bunga",DAY(B4398)=1),0,0.01)+ROW()/10000000,"")</f>
        <v/>
      </c>
    </row>
    <row r="4399" outlineLevel="1" ht="15" customHeight="1" s="94">
      <c r="A4399" s="123">
        <f>IF(B4399="","",ROW()-15)</f>
        <v/>
      </c>
      <c r="B4399" s="124" t="n"/>
      <c r="C4399" s="123" t="n"/>
      <c r="D4399" s="123" t="n"/>
      <c r="E4399" s="123" t="n"/>
      <c r="F4399" s="125" t="n"/>
      <c r="G4399" s="123" t="n"/>
      <c r="H4399" s="123" t="n"/>
      <c r="I4399" s="123" t="n"/>
      <c r="J4399" s="123" t="n"/>
      <c r="K4399" s="123" t="n"/>
      <c r="L4399" s="123" t="n"/>
      <c r="M4399" s="123">
        <f>IF(AND(B4399&lt;&gt;"",OR($C$4="",ISNUMBER(SEARCH($C$4,C4399&amp;" "&amp;E4399&amp;" "&amp;G4399&amp;" "&amp;H4399&amp;" "&amp;I4399&amp;" "&amp;J4399&amp;" "&amp;K4399&amp;" "&amp;L4399))),OR($C$5="Semua",$C$5="",G4399=$C$5),OR($C$6="Semua",$C$6="",H4399=$C$6,H4399="Pengeluaran "&amp;$C$6,AND($C$6="Uang Kos Mama",H4399="Pengeluaran Uang Kos")),OR($C$7="Semua",$C$7="",I4399=$C$7),OR($C$8="Semua",$C$8="",C4399=$C$8,E4399=$C$8),OR($C$9="Semua",$C$9="",D4399=$C$9),OR($C$10="",B4399&gt;=$C$10),OR($C$11="",B4399&lt;=$C$11),OR($C$12&lt;&gt;"Ya",K4399&lt;&gt;""),OR($C$13="Semua",$C$13="",L4399=$C$13)),"✓","")</f>
        <v/>
      </c>
      <c r="N4399" s="93">
        <f>N(N4398)+IF(M4399="✓",1,0)</f>
        <v/>
      </c>
      <c r="O4399" s="93">
        <f>N(O4398)+IF(AND(B4399&lt;&gt;"",B4399&gt;='Uang Riba'!$H$30,B4399&lt;='Uang Riba'!$I$30,OR(H4399="Dana riba",H4399="Pinjam uang riba",I4399="Pinjam dari uang riba",I4399="Ganti uang riba",I4399="Kelebihan ganti dikembalikan",AND(C4399="Kantong Uang Riba",G4399="Pengeluaran"))),1,0)</f>
        <v/>
      </c>
      <c r="X4399" s="93">
        <f>IF(AND(B4399&lt;&gt;"",B4399&gt;='Buku Akun'!$H$4,B4399&lt;='Buku Akun'!$H$5,OR(C4399='Buku Akun'!$C$4,AND(D4399="Pindah",E4399='Buku Akun'!$C$4))),B4399+IF(AND(I4399="Selisih bunga",DAY(B4399)=1),0,0.01)+ROW()/10000000,"")</f>
        <v/>
      </c>
    </row>
    <row r="4400" outlineLevel="1" ht="15" customHeight="1" s="94">
      <c r="A4400" s="123">
        <f>IF(B4400="","",ROW()-15)</f>
        <v/>
      </c>
      <c r="B4400" s="124" t="n"/>
      <c r="C4400" s="123" t="n"/>
      <c r="D4400" s="123" t="n"/>
      <c r="E4400" s="123" t="n"/>
      <c r="F4400" s="125" t="n"/>
      <c r="G4400" s="123" t="n"/>
      <c r="H4400" s="123" t="n"/>
      <c r="I4400" s="123" t="n"/>
      <c r="J4400" s="123" t="n"/>
      <c r="K4400" s="123" t="n"/>
      <c r="L4400" s="123" t="n"/>
      <c r="M4400" s="123">
        <f>IF(AND(B4400&lt;&gt;"",OR($C$4="",ISNUMBER(SEARCH($C$4,C4400&amp;" "&amp;E4400&amp;" "&amp;G4400&amp;" "&amp;H4400&amp;" "&amp;I4400&amp;" "&amp;J4400&amp;" "&amp;K4400&amp;" "&amp;L4400))),OR($C$5="Semua",$C$5="",G4400=$C$5),OR($C$6="Semua",$C$6="",H4400=$C$6,H4400="Pengeluaran "&amp;$C$6,AND($C$6="Uang Kos Mama",H4400="Pengeluaran Uang Kos")),OR($C$7="Semua",$C$7="",I4400=$C$7),OR($C$8="Semua",$C$8="",C4400=$C$8,E4400=$C$8),OR($C$9="Semua",$C$9="",D4400=$C$9),OR($C$10="",B4400&gt;=$C$10),OR($C$11="",B4400&lt;=$C$11),OR($C$12&lt;&gt;"Ya",K4400&lt;&gt;""),OR($C$13="Semua",$C$13="",L4400=$C$13)),"✓","")</f>
        <v/>
      </c>
      <c r="N4400" s="93">
        <f>N(N4399)+IF(M4400="✓",1,0)</f>
        <v/>
      </c>
      <c r="O4400" s="93">
        <f>N(O4399)+IF(AND(B4400&lt;&gt;"",B4400&gt;='Uang Riba'!$H$30,B4400&lt;='Uang Riba'!$I$30,OR(H4400="Dana riba",H4400="Pinjam uang riba",I4400="Pinjam dari uang riba",I4400="Ganti uang riba",I4400="Kelebihan ganti dikembalikan",AND(C4400="Kantong Uang Riba",G4400="Pengeluaran"))),1,0)</f>
        <v/>
      </c>
      <c r="X4400" s="93">
        <f>IF(AND(B4400&lt;&gt;"",B4400&gt;='Buku Akun'!$H$4,B4400&lt;='Buku Akun'!$H$5,OR(C4400='Buku Akun'!$C$4,AND(D4400="Pindah",E4400='Buku Akun'!$C$4))),B4400+IF(AND(I4400="Selisih bunga",DAY(B4400)=1),0,0.01)+ROW()/10000000,"")</f>
        <v/>
      </c>
    </row>
    <row r="4401" outlineLevel="1" ht="15" customHeight="1" s="94">
      <c r="A4401" s="123">
        <f>IF(B4401="","",ROW()-15)</f>
        <v/>
      </c>
      <c r="B4401" s="124" t="n"/>
      <c r="C4401" s="123" t="n"/>
      <c r="D4401" s="123" t="n"/>
      <c r="E4401" s="123" t="n"/>
      <c r="F4401" s="125" t="n"/>
      <c r="G4401" s="123" t="n"/>
      <c r="H4401" s="123" t="n"/>
      <c r="I4401" s="123" t="n"/>
      <c r="J4401" s="123" t="n"/>
      <c r="K4401" s="123" t="n"/>
      <c r="L4401" s="123" t="n"/>
      <c r="M4401" s="123">
        <f>IF(AND(B4401&lt;&gt;"",OR($C$4="",ISNUMBER(SEARCH($C$4,C4401&amp;" "&amp;E4401&amp;" "&amp;G4401&amp;" "&amp;H4401&amp;" "&amp;I4401&amp;" "&amp;J4401&amp;" "&amp;K4401&amp;" "&amp;L4401))),OR($C$5="Semua",$C$5="",G4401=$C$5),OR($C$6="Semua",$C$6="",H4401=$C$6,H4401="Pengeluaran "&amp;$C$6,AND($C$6="Uang Kos Mama",H4401="Pengeluaran Uang Kos")),OR($C$7="Semua",$C$7="",I4401=$C$7),OR($C$8="Semua",$C$8="",C4401=$C$8,E4401=$C$8),OR($C$9="Semua",$C$9="",D4401=$C$9),OR($C$10="",B4401&gt;=$C$10),OR($C$11="",B4401&lt;=$C$11),OR($C$12&lt;&gt;"Ya",K4401&lt;&gt;""),OR($C$13="Semua",$C$13="",L4401=$C$13)),"✓","")</f>
        <v/>
      </c>
      <c r="N4401" s="93">
        <f>N(N4400)+IF(M4401="✓",1,0)</f>
        <v/>
      </c>
      <c r="O4401" s="93">
        <f>N(O4400)+IF(AND(B4401&lt;&gt;"",B4401&gt;='Uang Riba'!$H$30,B4401&lt;='Uang Riba'!$I$30,OR(H4401="Dana riba",H4401="Pinjam uang riba",I4401="Pinjam dari uang riba",I4401="Ganti uang riba",I4401="Kelebihan ganti dikembalikan",AND(C4401="Kantong Uang Riba",G4401="Pengeluaran"))),1,0)</f>
        <v/>
      </c>
      <c r="X4401" s="93">
        <f>IF(AND(B4401&lt;&gt;"",B4401&gt;='Buku Akun'!$H$4,B4401&lt;='Buku Akun'!$H$5,OR(C4401='Buku Akun'!$C$4,AND(D4401="Pindah",E4401='Buku Akun'!$C$4))),B4401+IF(AND(I4401="Selisih bunga",DAY(B4401)=1),0,0.01)+ROW()/10000000,"")</f>
        <v/>
      </c>
    </row>
    <row r="4402" outlineLevel="1" ht="15" customHeight="1" s="94">
      <c r="A4402" s="123">
        <f>IF(B4402="","",ROW()-15)</f>
        <v/>
      </c>
      <c r="B4402" s="124" t="n"/>
      <c r="C4402" s="123" t="n"/>
      <c r="D4402" s="123" t="n"/>
      <c r="E4402" s="123" t="n"/>
      <c r="F4402" s="125" t="n"/>
      <c r="G4402" s="123" t="n"/>
      <c r="H4402" s="123" t="n"/>
      <c r="I4402" s="123" t="n"/>
      <c r="J4402" s="123" t="n"/>
      <c r="K4402" s="123" t="n"/>
      <c r="L4402" s="123" t="n"/>
      <c r="M4402" s="123">
        <f>IF(AND(B4402&lt;&gt;"",OR($C$4="",ISNUMBER(SEARCH($C$4,C4402&amp;" "&amp;E4402&amp;" "&amp;G4402&amp;" "&amp;H4402&amp;" "&amp;I4402&amp;" "&amp;J4402&amp;" "&amp;K4402&amp;" "&amp;L4402))),OR($C$5="Semua",$C$5="",G4402=$C$5),OR($C$6="Semua",$C$6="",H4402=$C$6,H4402="Pengeluaran "&amp;$C$6,AND($C$6="Uang Kos Mama",H4402="Pengeluaran Uang Kos")),OR($C$7="Semua",$C$7="",I4402=$C$7),OR($C$8="Semua",$C$8="",C4402=$C$8,E4402=$C$8),OR($C$9="Semua",$C$9="",D4402=$C$9),OR($C$10="",B4402&gt;=$C$10),OR($C$11="",B4402&lt;=$C$11),OR($C$12&lt;&gt;"Ya",K4402&lt;&gt;""),OR($C$13="Semua",$C$13="",L4402=$C$13)),"✓","")</f>
        <v/>
      </c>
      <c r="N4402" s="93">
        <f>N(N4401)+IF(M4402="✓",1,0)</f>
        <v/>
      </c>
      <c r="O4402" s="93">
        <f>N(O4401)+IF(AND(B4402&lt;&gt;"",B4402&gt;='Uang Riba'!$H$30,B4402&lt;='Uang Riba'!$I$30,OR(H4402="Dana riba",H4402="Pinjam uang riba",I4402="Pinjam dari uang riba",I4402="Ganti uang riba",I4402="Kelebihan ganti dikembalikan",AND(C4402="Kantong Uang Riba",G4402="Pengeluaran"))),1,0)</f>
        <v/>
      </c>
      <c r="X4402" s="93">
        <f>IF(AND(B4402&lt;&gt;"",B4402&gt;='Buku Akun'!$H$4,B4402&lt;='Buku Akun'!$H$5,OR(C4402='Buku Akun'!$C$4,AND(D4402="Pindah",E4402='Buku Akun'!$C$4))),B4402+IF(AND(I4402="Selisih bunga",DAY(B4402)=1),0,0.01)+ROW()/10000000,"")</f>
        <v/>
      </c>
    </row>
    <row r="4403" outlineLevel="1" ht="15" customHeight="1" s="94">
      <c r="A4403" s="123">
        <f>IF(B4403="","",ROW()-15)</f>
        <v/>
      </c>
      <c r="B4403" s="124" t="n"/>
      <c r="C4403" s="123" t="n"/>
      <c r="D4403" s="123" t="n"/>
      <c r="E4403" s="123" t="n"/>
      <c r="F4403" s="125" t="n"/>
      <c r="G4403" s="123" t="n"/>
      <c r="H4403" s="123" t="n"/>
      <c r="I4403" s="123" t="n"/>
      <c r="J4403" s="123" t="n"/>
      <c r="K4403" s="123" t="n"/>
      <c r="L4403" s="123" t="n"/>
      <c r="M4403" s="123">
        <f>IF(AND(B4403&lt;&gt;"",OR($C$4="",ISNUMBER(SEARCH($C$4,C4403&amp;" "&amp;E4403&amp;" "&amp;G4403&amp;" "&amp;H4403&amp;" "&amp;I4403&amp;" "&amp;J4403&amp;" "&amp;K4403&amp;" "&amp;L4403))),OR($C$5="Semua",$C$5="",G4403=$C$5),OR($C$6="Semua",$C$6="",H4403=$C$6,H4403="Pengeluaran "&amp;$C$6,AND($C$6="Uang Kos Mama",H4403="Pengeluaran Uang Kos")),OR($C$7="Semua",$C$7="",I4403=$C$7),OR($C$8="Semua",$C$8="",C4403=$C$8,E4403=$C$8),OR($C$9="Semua",$C$9="",D4403=$C$9),OR($C$10="",B4403&gt;=$C$10),OR($C$11="",B4403&lt;=$C$11),OR($C$12&lt;&gt;"Ya",K4403&lt;&gt;""),OR($C$13="Semua",$C$13="",L4403=$C$13)),"✓","")</f>
        <v/>
      </c>
      <c r="N4403" s="93">
        <f>N(N4402)+IF(M4403="✓",1,0)</f>
        <v/>
      </c>
      <c r="O4403" s="93">
        <f>N(O4402)+IF(AND(B4403&lt;&gt;"",B4403&gt;='Uang Riba'!$H$30,B4403&lt;='Uang Riba'!$I$30,OR(H4403="Dana riba",H4403="Pinjam uang riba",I4403="Pinjam dari uang riba",I4403="Ganti uang riba",I4403="Kelebihan ganti dikembalikan",AND(C4403="Kantong Uang Riba",G4403="Pengeluaran"))),1,0)</f>
        <v/>
      </c>
      <c r="X4403" s="93">
        <f>IF(AND(B4403&lt;&gt;"",B4403&gt;='Buku Akun'!$H$4,B4403&lt;='Buku Akun'!$H$5,OR(C4403='Buku Akun'!$C$4,AND(D4403="Pindah",E4403='Buku Akun'!$C$4))),B4403+IF(AND(I4403="Selisih bunga",DAY(B4403)=1),0,0.01)+ROW()/10000000,"")</f>
        <v/>
      </c>
    </row>
    <row r="4404" outlineLevel="1" ht="15" customHeight="1" s="94">
      <c r="A4404" s="123">
        <f>IF(B4404="","",ROW()-15)</f>
        <v/>
      </c>
      <c r="B4404" s="124" t="n"/>
      <c r="C4404" s="123" t="n"/>
      <c r="D4404" s="123" t="n"/>
      <c r="E4404" s="123" t="n"/>
      <c r="F4404" s="125" t="n"/>
      <c r="G4404" s="123" t="n"/>
      <c r="H4404" s="123" t="n"/>
      <c r="I4404" s="123" t="n"/>
      <c r="J4404" s="123" t="n"/>
      <c r="K4404" s="123" t="n"/>
      <c r="L4404" s="123" t="n"/>
      <c r="M4404" s="123">
        <f>IF(AND(B4404&lt;&gt;"",OR($C$4="",ISNUMBER(SEARCH($C$4,C4404&amp;" "&amp;E4404&amp;" "&amp;G4404&amp;" "&amp;H4404&amp;" "&amp;I4404&amp;" "&amp;J4404&amp;" "&amp;K4404&amp;" "&amp;L4404))),OR($C$5="Semua",$C$5="",G4404=$C$5),OR($C$6="Semua",$C$6="",H4404=$C$6,H4404="Pengeluaran "&amp;$C$6,AND($C$6="Uang Kos Mama",H4404="Pengeluaran Uang Kos")),OR($C$7="Semua",$C$7="",I4404=$C$7),OR($C$8="Semua",$C$8="",C4404=$C$8,E4404=$C$8),OR($C$9="Semua",$C$9="",D4404=$C$9),OR($C$10="",B4404&gt;=$C$10),OR($C$11="",B4404&lt;=$C$11),OR($C$12&lt;&gt;"Ya",K4404&lt;&gt;""),OR($C$13="Semua",$C$13="",L4404=$C$13)),"✓","")</f>
        <v/>
      </c>
      <c r="N4404" s="93">
        <f>N(N4403)+IF(M4404="✓",1,0)</f>
        <v/>
      </c>
      <c r="O4404" s="93">
        <f>N(O4403)+IF(AND(B4404&lt;&gt;"",B4404&gt;='Uang Riba'!$H$30,B4404&lt;='Uang Riba'!$I$30,OR(H4404="Dana riba",H4404="Pinjam uang riba",I4404="Pinjam dari uang riba",I4404="Ganti uang riba",I4404="Kelebihan ganti dikembalikan",AND(C4404="Kantong Uang Riba",G4404="Pengeluaran"))),1,0)</f>
        <v/>
      </c>
      <c r="X4404" s="93">
        <f>IF(AND(B4404&lt;&gt;"",B4404&gt;='Buku Akun'!$H$4,B4404&lt;='Buku Akun'!$H$5,OR(C4404='Buku Akun'!$C$4,AND(D4404="Pindah",E4404='Buku Akun'!$C$4))),B4404+IF(AND(I4404="Selisih bunga",DAY(B4404)=1),0,0.01)+ROW()/10000000,"")</f>
        <v/>
      </c>
    </row>
    <row r="4405" outlineLevel="1" ht="15" customHeight="1" s="94">
      <c r="A4405" s="123">
        <f>IF(B4405="","",ROW()-15)</f>
        <v/>
      </c>
      <c r="B4405" s="124" t="n"/>
      <c r="C4405" s="123" t="n"/>
      <c r="D4405" s="123" t="n"/>
      <c r="E4405" s="123" t="n"/>
      <c r="F4405" s="125" t="n"/>
      <c r="G4405" s="123" t="n"/>
      <c r="H4405" s="123" t="n"/>
      <c r="I4405" s="123" t="n"/>
      <c r="J4405" s="123" t="n"/>
      <c r="K4405" s="123" t="n"/>
      <c r="L4405" s="123" t="n"/>
      <c r="M4405" s="123">
        <f>IF(AND(B4405&lt;&gt;"",OR($C$4="",ISNUMBER(SEARCH($C$4,C4405&amp;" "&amp;E4405&amp;" "&amp;G4405&amp;" "&amp;H4405&amp;" "&amp;I4405&amp;" "&amp;J4405&amp;" "&amp;K4405&amp;" "&amp;L4405))),OR($C$5="Semua",$C$5="",G4405=$C$5),OR($C$6="Semua",$C$6="",H4405=$C$6,H4405="Pengeluaran "&amp;$C$6,AND($C$6="Uang Kos Mama",H4405="Pengeluaran Uang Kos")),OR($C$7="Semua",$C$7="",I4405=$C$7),OR($C$8="Semua",$C$8="",C4405=$C$8,E4405=$C$8),OR($C$9="Semua",$C$9="",D4405=$C$9),OR($C$10="",B4405&gt;=$C$10),OR($C$11="",B4405&lt;=$C$11),OR($C$12&lt;&gt;"Ya",K4405&lt;&gt;""),OR($C$13="Semua",$C$13="",L4405=$C$13)),"✓","")</f>
        <v/>
      </c>
      <c r="N4405" s="93">
        <f>N(N4404)+IF(M4405="✓",1,0)</f>
        <v/>
      </c>
      <c r="O4405" s="93">
        <f>N(O4404)+IF(AND(B4405&lt;&gt;"",B4405&gt;='Uang Riba'!$H$30,B4405&lt;='Uang Riba'!$I$30,OR(H4405="Dana riba",H4405="Pinjam uang riba",I4405="Pinjam dari uang riba",I4405="Ganti uang riba",I4405="Kelebihan ganti dikembalikan",AND(C4405="Kantong Uang Riba",G4405="Pengeluaran"))),1,0)</f>
        <v/>
      </c>
      <c r="X4405" s="93">
        <f>IF(AND(B4405&lt;&gt;"",B4405&gt;='Buku Akun'!$H$4,B4405&lt;='Buku Akun'!$H$5,OR(C4405='Buku Akun'!$C$4,AND(D4405="Pindah",E4405='Buku Akun'!$C$4))),B4405+IF(AND(I4405="Selisih bunga",DAY(B4405)=1),0,0.01)+ROW()/10000000,"")</f>
        <v/>
      </c>
    </row>
    <row r="4406" outlineLevel="1" ht="15" customHeight="1" s="94">
      <c r="A4406" s="123">
        <f>IF(B4406="","",ROW()-15)</f>
        <v/>
      </c>
      <c r="B4406" s="124" t="n"/>
      <c r="C4406" s="123" t="n"/>
      <c r="D4406" s="123" t="n"/>
      <c r="E4406" s="123" t="n"/>
      <c r="F4406" s="125" t="n"/>
      <c r="G4406" s="123" t="n"/>
      <c r="H4406" s="123" t="n"/>
      <c r="I4406" s="123" t="n"/>
      <c r="J4406" s="123" t="n"/>
      <c r="K4406" s="123" t="n"/>
      <c r="L4406" s="123" t="n"/>
      <c r="M4406" s="123">
        <f>IF(AND(B4406&lt;&gt;"",OR($C$4="",ISNUMBER(SEARCH($C$4,C4406&amp;" "&amp;E4406&amp;" "&amp;G4406&amp;" "&amp;H4406&amp;" "&amp;I4406&amp;" "&amp;J4406&amp;" "&amp;K4406&amp;" "&amp;L4406))),OR($C$5="Semua",$C$5="",G4406=$C$5),OR($C$6="Semua",$C$6="",H4406=$C$6,H4406="Pengeluaran "&amp;$C$6,AND($C$6="Uang Kos Mama",H4406="Pengeluaran Uang Kos")),OR($C$7="Semua",$C$7="",I4406=$C$7),OR($C$8="Semua",$C$8="",C4406=$C$8,E4406=$C$8),OR($C$9="Semua",$C$9="",D4406=$C$9),OR($C$10="",B4406&gt;=$C$10),OR($C$11="",B4406&lt;=$C$11),OR($C$12&lt;&gt;"Ya",K4406&lt;&gt;""),OR($C$13="Semua",$C$13="",L4406=$C$13)),"✓","")</f>
        <v/>
      </c>
      <c r="N4406" s="93">
        <f>N(N4405)+IF(M4406="✓",1,0)</f>
        <v/>
      </c>
      <c r="O4406" s="93">
        <f>N(O4405)+IF(AND(B4406&lt;&gt;"",B4406&gt;='Uang Riba'!$H$30,B4406&lt;='Uang Riba'!$I$30,OR(H4406="Dana riba",H4406="Pinjam uang riba",I4406="Pinjam dari uang riba",I4406="Ganti uang riba",I4406="Kelebihan ganti dikembalikan",AND(C4406="Kantong Uang Riba",G4406="Pengeluaran"))),1,0)</f>
        <v/>
      </c>
      <c r="X4406" s="93">
        <f>IF(AND(B4406&lt;&gt;"",B4406&gt;='Buku Akun'!$H$4,B4406&lt;='Buku Akun'!$H$5,OR(C4406='Buku Akun'!$C$4,AND(D4406="Pindah",E4406='Buku Akun'!$C$4))),B4406+IF(AND(I4406="Selisih bunga",DAY(B4406)=1),0,0.01)+ROW()/10000000,"")</f>
        <v/>
      </c>
    </row>
    <row r="4407" outlineLevel="1" ht="15" customHeight="1" s="94">
      <c r="A4407" s="123">
        <f>IF(B4407="","",ROW()-15)</f>
        <v/>
      </c>
      <c r="B4407" s="124" t="n"/>
      <c r="C4407" s="123" t="n"/>
      <c r="D4407" s="123" t="n"/>
      <c r="E4407" s="123" t="n"/>
      <c r="F4407" s="125" t="n"/>
      <c r="G4407" s="123" t="n"/>
      <c r="H4407" s="123" t="n"/>
      <c r="I4407" s="123" t="n"/>
      <c r="J4407" s="123" t="n"/>
      <c r="K4407" s="123" t="n"/>
      <c r="L4407" s="123" t="n"/>
      <c r="M4407" s="123">
        <f>IF(AND(B4407&lt;&gt;"",OR($C$4="",ISNUMBER(SEARCH($C$4,C4407&amp;" "&amp;E4407&amp;" "&amp;G4407&amp;" "&amp;H4407&amp;" "&amp;I4407&amp;" "&amp;J4407&amp;" "&amp;K4407&amp;" "&amp;L4407))),OR($C$5="Semua",$C$5="",G4407=$C$5),OR($C$6="Semua",$C$6="",H4407=$C$6,H4407="Pengeluaran "&amp;$C$6,AND($C$6="Uang Kos Mama",H4407="Pengeluaran Uang Kos")),OR($C$7="Semua",$C$7="",I4407=$C$7),OR($C$8="Semua",$C$8="",C4407=$C$8,E4407=$C$8),OR($C$9="Semua",$C$9="",D4407=$C$9),OR($C$10="",B4407&gt;=$C$10),OR($C$11="",B4407&lt;=$C$11),OR($C$12&lt;&gt;"Ya",K4407&lt;&gt;""),OR($C$13="Semua",$C$13="",L4407=$C$13)),"✓","")</f>
        <v/>
      </c>
      <c r="N4407" s="93">
        <f>N(N4406)+IF(M4407="✓",1,0)</f>
        <v/>
      </c>
      <c r="O4407" s="93">
        <f>N(O4406)+IF(AND(B4407&lt;&gt;"",B4407&gt;='Uang Riba'!$H$30,B4407&lt;='Uang Riba'!$I$30,OR(H4407="Dana riba",H4407="Pinjam uang riba",I4407="Pinjam dari uang riba",I4407="Ganti uang riba",I4407="Kelebihan ganti dikembalikan",AND(C4407="Kantong Uang Riba",G4407="Pengeluaran"))),1,0)</f>
        <v/>
      </c>
      <c r="X4407" s="93">
        <f>IF(AND(B4407&lt;&gt;"",B4407&gt;='Buku Akun'!$H$4,B4407&lt;='Buku Akun'!$H$5,OR(C4407='Buku Akun'!$C$4,AND(D4407="Pindah",E4407='Buku Akun'!$C$4))),B4407+IF(AND(I4407="Selisih bunga",DAY(B4407)=1),0,0.01)+ROW()/10000000,"")</f>
        <v/>
      </c>
    </row>
    <row r="4408" outlineLevel="1" ht="15" customHeight="1" s="94">
      <c r="A4408" s="123">
        <f>IF(B4408="","",ROW()-15)</f>
        <v/>
      </c>
      <c r="B4408" s="124" t="n"/>
      <c r="C4408" s="123" t="n"/>
      <c r="D4408" s="123" t="n"/>
      <c r="E4408" s="123" t="n"/>
      <c r="F4408" s="125" t="n"/>
      <c r="G4408" s="123" t="n"/>
      <c r="H4408" s="123" t="n"/>
      <c r="I4408" s="123" t="n"/>
      <c r="J4408" s="123" t="n"/>
      <c r="K4408" s="123" t="n"/>
      <c r="L4408" s="123" t="n"/>
      <c r="M4408" s="123">
        <f>IF(AND(B4408&lt;&gt;"",OR($C$4="",ISNUMBER(SEARCH($C$4,C4408&amp;" "&amp;E4408&amp;" "&amp;G4408&amp;" "&amp;H4408&amp;" "&amp;I4408&amp;" "&amp;J4408&amp;" "&amp;K4408&amp;" "&amp;L4408))),OR($C$5="Semua",$C$5="",G4408=$C$5),OR($C$6="Semua",$C$6="",H4408=$C$6,H4408="Pengeluaran "&amp;$C$6,AND($C$6="Uang Kos Mama",H4408="Pengeluaran Uang Kos")),OR($C$7="Semua",$C$7="",I4408=$C$7),OR($C$8="Semua",$C$8="",C4408=$C$8,E4408=$C$8),OR($C$9="Semua",$C$9="",D4408=$C$9),OR($C$10="",B4408&gt;=$C$10),OR($C$11="",B4408&lt;=$C$11),OR($C$12&lt;&gt;"Ya",K4408&lt;&gt;""),OR($C$13="Semua",$C$13="",L4408=$C$13)),"✓","")</f>
        <v/>
      </c>
      <c r="N4408" s="93">
        <f>N(N4407)+IF(M4408="✓",1,0)</f>
        <v/>
      </c>
      <c r="O4408" s="93">
        <f>N(O4407)+IF(AND(B4408&lt;&gt;"",B4408&gt;='Uang Riba'!$H$30,B4408&lt;='Uang Riba'!$I$30,OR(H4408="Dana riba",H4408="Pinjam uang riba",I4408="Pinjam dari uang riba",I4408="Ganti uang riba",I4408="Kelebihan ganti dikembalikan",AND(C4408="Kantong Uang Riba",G4408="Pengeluaran"))),1,0)</f>
        <v/>
      </c>
      <c r="X4408" s="93">
        <f>IF(AND(B4408&lt;&gt;"",B4408&gt;='Buku Akun'!$H$4,B4408&lt;='Buku Akun'!$H$5,OR(C4408='Buku Akun'!$C$4,AND(D4408="Pindah",E4408='Buku Akun'!$C$4))),B4408+IF(AND(I4408="Selisih bunga",DAY(B4408)=1),0,0.01)+ROW()/10000000,"")</f>
        <v/>
      </c>
    </row>
    <row r="4409" outlineLevel="1" ht="15" customHeight="1" s="94">
      <c r="A4409" s="123">
        <f>IF(B4409="","",ROW()-15)</f>
        <v/>
      </c>
      <c r="B4409" s="124" t="n"/>
      <c r="C4409" s="123" t="n"/>
      <c r="D4409" s="123" t="n"/>
      <c r="E4409" s="123" t="n"/>
      <c r="F4409" s="125" t="n"/>
      <c r="G4409" s="123" t="n"/>
      <c r="H4409" s="123" t="n"/>
      <c r="I4409" s="123" t="n"/>
      <c r="J4409" s="123" t="n"/>
      <c r="K4409" s="123" t="n"/>
      <c r="L4409" s="123" t="n"/>
      <c r="M4409" s="123">
        <f>IF(AND(B4409&lt;&gt;"",OR($C$4="",ISNUMBER(SEARCH($C$4,C4409&amp;" "&amp;E4409&amp;" "&amp;G4409&amp;" "&amp;H4409&amp;" "&amp;I4409&amp;" "&amp;J4409&amp;" "&amp;K4409&amp;" "&amp;L4409))),OR($C$5="Semua",$C$5="",G4409=$C$5),OR($C$6="Semua",$C$6="",H4409=$C$6,H4409="Pengeluaran "&amp;$C$6,AND($C$6="Uang Kos Mama",H4409="Pengeluaran Uang Kos")),OR($C$7="Semua",$C$7="",I4409=$C$7),OR($C$8="Semua",$C$8="",C4409=$C$8,E4409=$C$8),OR($C$9="Semua",$C$9="",D4409=$C$9),OR($C$10="",B4409&gt;=$C$10),OR($C$11="",B4409&lt;=$C$11),OR($C$12&lt;&gt;"Ya",K4409&lt;&gt;""),OR($C$13="Semua",$C$13="",L4409=$C$13)),"✓","")</f>
        <v/>
      </c>
      <c r="N4409" s="93">
        <f>N(N4408)+IF(M4409="✓",1,0)</f>
        <v/>
      </c>
      <c r="O4409" s="93">
        <f>N(O4408)+IF(AND(B4409&lt;&gt;"",B4409&gt;='Uang Riba'!$H$30,B4409&lt;='Uang Riba'!$I$30,OR(H4409="Dana riba",H4409="Pinjam uang riba",I4409="Pinjam dari uang riba",I4409="Ganti uang riba",I4409="Kelebihan ganti dikembalikan",AND(C4409="Kantong Uang Riba",G4409="Pengeluaran"))),1,0)</f>
        <v/>
      </c>
      <c r="X4409" s="93">
        <f>IF(AND(B4409&lt;&gt;"",B4409&gt;='Buku Akun'!$H$4,B4409&lt;='Buku Akun'!$H$5,OR(C4409='Buku Akun'!$C$4,AND(D4409="Pindah",E4409='Buku Akun'!$C$4))),B4409+IF(AND(I4409="Selisih bunga",DAY(B4409)=1),0,0.01)+ROW()/10000000,"")</f>
        <v/>
      </c>
    </row>
    <row r="4410" outlineLevel="1" ht="15" customHeight="1" s="94">
      <c r="A4410" s="123">
        <f>IF(B4410="","",ROW()-15)</f>
        <v/>
      </c>
      <c r="B4410" s="124" t="n"/>
      <c r="C4410" s="123" t="n"/>
      <c r="D4410" s="123" t="n"/>
      <c r="E4410" s="123" t="n"/>
      <c r="F4410" s="125" t="n"/>
      <c r="G4410" s="123" t="n"/>
      <c r="H4410" s="123" t="n"/>
      <c r="I4410" s="123" t="n"/>
      <c r="J4410" s="123" t="n"/>
      <c r="K4410" s="123" t="n"/>
      <c r="L4410" s="123" t="n"/>
      <c r="M4410" s="123">
        <f>IF(AND(B4410&lt;&gt;"",OR($C$4="",ISNUMBER(SEARCH($C$4,C4410&amp;" "&amp;E4410&amp;" "&amp;G4410&amp;" "&amp;H4410&amp;" "&amp;I4410&amp;" "&amp;J4410&amp;" "&amp;K4410&amp;" "&amp;L4410))),OR($C$5="Semua",$C$5="",G4410=$C$5),OR($C$6="Semua",$C$6="",H4410=$C$6,H4410="Pengeluaran "&amp;$C$6,AND($C$6="Uang Kos Mama",H4410="Pengeluaran Uang Kos")),OR($C$7="Semua",$C$7="",I4410=$C$7),OR($C$8="Semua",$C$8="",C4410=$C$8,E4410=$C$8),OR($C$9="Semua",$C$9="",D4410=$C$9),OR($C$10="",B4410&gt;=$C$10),OR($C$11="",B4410&lt;=$C$11),OR($C$12&lt;&gt;"Ya",K4410&lt;&gt;""),OR($C$13="Semua",$C$13="",L4410=$C$13)),"✓","")</f>
        <v/>
      </c>
      <c r="N4410" s="93">
        <f>N(N4409)+IF(M4410="✓",1,0)</f>
        <v/>
      </c>
      <c r="O4410" s="93">
        <f>N(O4409)+IF(AND(B4410&lt;&gt;"",B4410&gt;='Uang Riba'!$H$30,B4410&lt;='Uang Riba'!$I$30,OR(H4410="Dana riba",H4410="Pinjam uang riba",I4410="Pinjam dari uang riba",I4410="Ganti uang riba",I4410="Kelebihan ganti dikembalikan",AND(C4410="Kantong Uang Riba",G4410="Pengeluaran"))),1,0)</f>
        <v/>
      </c>
      <c r="X4410" s="93">
        <f>IF(AND(B4410&lt;&gt;"",B4410&gt;='Buku Akun'!$H$4,B4410&lt;='Buku Akun'!$H$5,OR(C4410='Buku Akun'!$C$4,AND(D4410="Pindah",E4410='Buku Akun'!$C$4))),B4410+IF(AND(I4410="Selisih bunga",DAY(B4410)=1),0,0.01)+ROW()/10000000,"")</f>
        <v/>
      </c>
    </row>
    <row r="4411" outlineLevel="1" ht="15" customHeight="1" s="94">
      <c r="A4411" s="123">
        <f>IF(B4411="","",ROW()-15)</f>
        <v/>
      </c>
      <c r="B4411" s="124" t="n"/>
      <c r="C4411" s="123" t="n"/>
      <c r="D4411" s="123" t="n"/>
      <c r="E4411" s="123" t="n"/>
      <c r="F4411" s="125" t="n"/>
      <c r="G4411" s="123" t="n"/>
      <c r="H4411" s="123" t="n"/>
      <c r="I4411" s="123" t="n"/>
      <c r="J4411" s="123" t="n"/>
      <c r="K4411" s="123" t="n"/>
      <c r="L4411" s="123" t="n"/>
      <c r="M4411" s="123">
        <f>IF(AND(B4411&lt;&gt;"",OR($C$4="",ISNUMBER(SEARCH($C$4,C4411&amp;" "&amp;E4411&amp;" "&amp;G4411&amp;" "&amp;H4411&amp;" "&amp;I4411&amp;" "&amp;J4411&amp;" "&amp;K4411&amp;" "&amp;L4411))),OR($C$5="Semua",$C$5="",G4411=$C$5),OR($C$6="Semua",$C$6="",H4411=$C$6,H4411="Pengeluaran "&amp;$C$6,AND($C$6="Uang Kos Mama",H4411="Pengeluaran Uang Kos")),OR($C$7="Semua",$C$7="",I4411=$C$7),OR($C$8="Semua",$C$8="",C4411=$C$8,E4411=$C$8),OR($C$9="Semua",$C$9="",D4411=$C$9),OR($C$10="",B4411&gt;=$C$10),OR($C$11="",B4411&lt;=$C$11),OR($C$12&lt;&gt;"Ya",K4411&lt;&gt;""),OR($C$13="Semua",$C$13="",L4411=$C$13)),"✓","")</f>
        <v/>
      </c>
      <c r="N4411" s="93">
        <f>N(N4410)+IF(M4411="✓",1,0)</f>
        <v/>
      </c>
      <c r="O4411" s="93">
        <f>N(O4410)+IF(AND(B4411&lt;&gt;"",B4411&gt;='Uang Riba'!$H$30,B4411&lt;='Uang Riba'!$I$30,OR(H4411="Dana riba",H4411="Pinjam uang riba",I4411="Pinjam dari uang riba",I4411="Ganti uang riba",I4411="Kelebihan ganti dikembalikan",AND(C4411="Kantong Uang Riba",G4411="Pengeluaran"))),1,0)</f>
        <v/>
      </c>
      <c r="X4411" s="93">
        <f>IF(AND(B4411&lt;&gt;"",B4411&gt;='Buku Akun'!$H$4,B4411&lt;='Buku Akun'!$H$5,OR(C4411='Buku Akun'!$C$4,AND(D4411="Pindah",E4411='Buku Akun'!$C$4))),B4411+IF(AND(I4411="Selisih bunga",DAY(B4411)=1),0,0.01)+ROW()/10000000,"")</f>
        <v/>
      </c>
    </row>
    <row r="4412" outlineLevel="1" ht="15" customHeight="1" s="94">
      <c r="A4412" s="123">
        <f>IF(B4412="","",ROW()-15)</f>
        <v/>
      </c>
      <c r="B4412" s="124" t="n"/>
      <c r="C4412" s="123" t="n"/>
      <c r="D4412" s="123" t="n"/>
      <c r="E4412" s="123" t="n"/>
      <c r="F4412" s="125" t="n"/>
      <c r="G4412" s="123" t="n"/>
      <c r="H4412" s="123" t="n"/>
      <c r="I4412" s="123" t="n"/>
      <c r="J4412" s="123" t="n"/>
      <c r="K4412" s="123" t="n"/>
      <c r="L4412" s="123" t="n"/>
      <c r="M4412" s="123">
        <f>IF(AND(B4412&lt;&gt;"",OR($C$4="",ISNUMBER(SEARCH($C$4,C4412&amp;" "&amp;E4412&amp;" "&amp;G4412&amp;" "&amp;H4412&amp;" "&amp;I4412&amp;" "&amp;J4412&amp;" "&amp;K4412&amp;" "&amp;L4412))),OR($C$5="Semua",$C$5="",G4412=$C$5),OR($C$6="Semua",$C$6="",H4412=$C$6,H4412="Pengeluaran "&amp;$C$6,AND($C$6="Uang Kos Mama",H4412="Pengeluaran Uang Kos")),OR($C$7="Semua",$C$7="",I4412=$C$7),OR($C$8="Semua",$C$8="",C4412=$C$8,E4412=$C$8),OR($C$9="Semua",$C$9="",D4412=$C$9),OR($C$10="",B4412&gt;=$C$10),OR($C$11="",B4412&lt;=$C$11),OR($C$12&lt;&gt;"Ya",K4412&lt;&gt;""),OR($C$13="Semua",$C$13="",L4412=$C$13)),"✓","")</f>
        <v/>
      </c>
      <c r="N4412" s="93">
        <f>N(N4411)+IF(M4412="✓",1,0)</f>
        <v/>
      </c>
      <c r="O4412" s="93">
        <f>N(O4411)+IF(AND(B4412&lt;&gt;"",B4412&gt;='Uang Riba'!$H$30,B4412&lt;='Uang Riba'!$I$30,OR(H4412="Dana riba",H4412="Pinjam uang riba",I4412="Pinjam dari uang riba",I4412="Ganti uang riba",I4412="Kelebihan ganti dikembalikan",AND(C4412="Kantong Uang Riba",G4412="Pengeluaran"))),1,0)</f>
        <v/>
      </c>
      <c r="X4412" s="93">
        <f>IF(AND(B4412&lt;&gt;"",B4412&gt;='Buku Akun'!$H$4,B4412&lt;='Buku Akun'!$H$5,OR(C4412='Buku Akun'!$C$4,AND(D4412="Pindah",E4412='Buku Akun'!$C$4))),B4412+IF(AND(I4412="Selisih bunga",DAY(B4412)=1),0,0.01)+ROW()/10000000,"")</f>
        <v/>
      </c>
    </row>
    <row r="4413" outlineLevel="1" ht="15" customHeight="1" s="94">
      <c r="A4413" s="123">
        <f>IF(B4413="","",ROW()-15)</f>
        <v/>
      </c>
      <c r="B4413" s="124" t="n"/>
      <c r="C4413" s="123" t="n"/>
      <c r="D4413" s="123" t="n"/>
      <c r="E4413" s="123" t="n"/>
      <c r="F4413" s="125" t="n"/>
      <c r="G4413" s="123" t="n"/>
      <c r="H4413" s="123" t="n"/>
      <c r="I4413" s="123" t="n"/>
      <c r="J4413" s="123" t="n"/>
      <c r="K4413" s="123" t="n"/>
      <c r="L4413" s="123" t="n"/>
      <c r="M4413" s="123">
        <f>IF(AND(B4413&lt;&gt;"",OR($C$4="",ISNUMBER(SEARCH($C$4,C4413&amp;" "&amp;E4413&amp;" "&amp;G4413&amp;" "&amp;H4413&amp;" "&amp;I4413&amp;" "&amp;J4413&amp;" "&amp;K4413&amp;" "&amp;L4413))),OR($C$5="Semua",$C$5="",G4413=$C$5),OR($C$6="Semua",$C$6="",H4413=$C$6,H4413="Pengeluaran "&amp;$C$6,AND($C$6="Uang Kos Mama",H4413="Pengeluaran Uang Kos")),OR($C$7="Semua",$C$7="",I4413=$C$7),OR($C$8="Semua",$C$8="",C4413=$C$8,E4413=$C$8),OR($C$9="Semua",$C$9="",D4413=$C$9),OR($C$10="",B4413&gt;=$C$10),OR($C$11="",B4413&lt;=$C$11),OR($C$12&lt;&gt;"Ya",K4413&lt;&gt;""),OR($C$13="Semua",$C$13="",L4413=$C$13)),"✓","")</f>
        <v/>
      </c>
      <c r="N4413" s="93">
        <f>N(N4412)+IF(M4413="✓",1,0)</f>
        <v/>
      </c>
      <c r="O4413" s="93">
        <f>N(O4412)+IF(AND(B4413&lt;&gt;"",B4413&gt;='Uang Riba'!$H$30,B4413&lt;='Uang Riba'!$I$30,OR(H4413="Dana riba",H4413="Pinjam uang riba",I4413="Pinjam dari uang riba",I4413="Ganti uang riba",I4413="Kelebihan ganti dikembalikan",AND(C4413="Kantong Uang Riba",G4413="Pengeluaran"))),1,0)</f>
        <v/>
      </c>
      <c r="X4413" s="93">
        <f>IF(AND(B4413&lt;&gt;"",B4413&gt;='Buku Akun'!$H$4,B4413&lt;='Buku Akun'!$H$5,OR(C4413='Buku Akun'!$C$4,AND(D4413="Pindah",E4413='Buku Akun'!$C$4))),B4413+IF(AND(I4413="Selisih bunga",DAY(B4413)=1),0,0.01)+ROW()/10000000,"")</f>
        <v/>
      </c>
    </row>
    <row r="4414" outlineLevel="1" ht="15" customHeight="1" s="94">
      <c r="A4414" s="123">
        <f>IF(B4414="","",ROW()-15)</f>
        <v/>
      </c>
      <c r="B4414" s="124" t="n"/>
      <c r="C4414" s="123" t="n"/>
      <c r="D4414" s="123" t="n"/>
      <c r="E4414" s="123" t="n"/>
      <c r="F4414" s="125" t="n"/>
      <c r="G4414" s="123" t="n"/>
      <c r="H4414" s="123" t="n"/>
      <c r="I4414" s="123" t="n"/>
      <c r="J4414" s="123" t="n"/>
      <c r="K4414" s="123" t="n"/>
      <c r="L4414" s="123" t="n"/>
      <c r="M4414" s="123">
        <f>IF(AND(B4414&lt;&gt;"",OR($C$4="",ISNUMBER(SEARCH($C$4,C4414&amp;" "&amp;E4414&amp;" "&amp;G4414&amp;" "&amp;H4414&amp;" "&amp;I4414&amp;" "&amp;J4414&amp;" "&amp;K4414&amp;" "&amp;L4414))),OR($C$5="Semua",$C$5="",G4414=$C$5),OR($C$6="Semua",$C$6="",H4414=$C$6,H4414="Pengeluaran "&amp;$C$6,AND($C$6="Uang Kos Mama",H4414="Pengeluaran Uang Kos")),OR($C$7="Semua",$C$7="",I4414=$C$7),OR($C$8="Semua",$C$8="",C4414=$C$8,E4414=$C$8),OR($C$9="Semua",$C$9="",D4414=$C$9),OR($C$10="",B4414&gt;=$C$10),OR($C$11="",B4414&lt;=$C$11),OR($C$12&lt;&gt;"Ya",K4414&lt;&gt;""),OR($C$13="Semua",$C$13="",L4414=$C$13)),"✓","")</f>
        <v/>
      </c>
      <c r="N4414" s="93">
        <f>N(N4413)+IF(M4414="✓",1,0)</f>
        <v/>
      </c>
      <c r="O4414" s="93">
        <f>N(O4413)+IF(AND(B4414&lt;&gt;"",B4414&gt;='Uang Riba'!$H$30,B4414&lt;='Uang Riba'!$I$30,OR(H4414="Dana riba",H4414="Pinjam uang riba",I4414="Pinjam dari uang riba",I4414="Ganti uang riba",I4414="Kelebihan ganti dikembalikan",AND(C4414="Kantong Uang Riba",G4414="Pengeluaran"))),1,0)</f>
        <v/>
      </c>
      <c r="X4414" s="93">
        <f>IF(AND(B4414&lt;&gt;"",B4414&gt;='Buku Akun'!$H$4,B4414&lt;='Buku Akun'!$H$5,OR(C4414='Buku Akun'!$C$4,AND(D4414="Pindah",E4414='Buku Akun'!$C$4))),B4414+IF(AND(I4414="Selisih bunga",DAY(B4414)=1),0,0.01)+ROW()/10000000,"")</f>
        <v/>
      </c>
    </row>
    <row r="4415" outlineLevel="1" ht="15" customHeight="1" s="94">
      <c r="A4415" s="123">
        <f>IF(B4415="","",ROW()-15)</f>
        <v/>
      </c>
      <c r="B4415" s="124" t="n"/>
      <c r="C4415" s="123" t="n"/>
      <c r="D4415" s="123" t="n"/>
      <c r="E4415" s="123" t="n"/>
      <c r="F4415" s="125" t="n"/>
      <c r="G4415" s="123" t="n"/>
      <c r="H4415" s="123" t="n"/>
      <c r="I4415" s="123" t="n"/>
      <c r="J4415" s="123" t="n"/>
      <c r="K4415" s="123" t="n"/>
      <c r="L4415" s="123" t="n"/>
      <c r="M4415" s="123">
        <f>IF(AND(B4415&lt;&gt;"",OR($C$4="",ISNUMBER(SEARCH($C$4,C4415&amp;" "&amp;E4415&amp;" "&amp;G4415&amp;" "&amp;H4415&amp;" "&amp;I4415&amp;" "&amp;J4415&amp;" "&amp;K4415&amp;" "&amp;L4415))),OR($C$5="Semua",$C$5="",G4415=$C$5),OR($C$6="Semua",$C$6="",H4415=$C$6,H4415="Pengeluaran "&amp;$C$6,AND($C$6="Uang Kos Mama",H4415="Pengeluaran Uang Kos")),OR($C$7="Semua",$C$7="",I4415=$C$7),OR($C$8="Semua",$C$8="",C4415=$C$8,E4415=$C$8),OR($C$9="Semua",$C$9="",D4415=$C$9),OR($C$10="",B4415&gt;=$C$10),OR($C$11="",B4415&lt;=$C$11),OR($C$12&lt;&gt;"Ya",K4415&lt;&gt;""),OR($C$13="Semua",$C$13="",L4415=$C$13)),"✓","")</f>
        <v/>
      </c>
      <c r="N4415" s="93">
        <f>N(N4414)+IF(M4415="✓",1,0)</f>
        <v/>
      </c>
      <c r="O4415" s="93">
        <f>N(O4414)+IF(AND(B4415&lt;&gt;"",B4415&gt;='Uang Riba'!$H$30,B4415&lt;='Uang Riba'!$I$30,OR(H4415="Dana riba",H4415="Pinjam uang riba",I4415="Pinjam dari uang riba",I4415="Ganti uang riba",I4415="Kelebihan ganti dikembalikan",AND(C4415="Kantong Uang Riba",G4415="Pengeluaran"))),1,0)</f>
        <v/>
      </c>
      <c r="X4415" s="93">
        <f>IF(AND(B4415&lt;&gt;"",B4415&gt;='Buku Akun'!$H$4,B4415&lt;='Buku Akun'!$H$5,OR(C4415='Buku Akun'!$C$4,AND(D4415="Pindah",E4415='Buku Akun'!$C$4))),B4415+IF(AND(I4415="Selisih bunga",DAY(B4415)=1),0,0.01)+ROW()/10000000,"")</f>
        <v/>
      </c>
    </row>
    <row r="4416" outlineLevel="1" ht="15" customHeight="1" s="94">
      <c r="A4416" s="123">
        <f>IF(B4416="","",ROW()-15)</f>
        <v/>
      </c>
      <c r="B4416" s="124" t="n"/>
      <c r="C4416" s="123" t="n"/>
      <c r="D4416" s="123" t="n"/>
      <c r="E4416" s="123" t="n"/>
      <c r="F4416" s="125" t="n"/>
      <c r="G4416" s="123" t="n"/>
      <c r="H4416" s="123" t="n"/>
      <c r="I4416" s="123" t="n"/>
      <c r="J4416" s="123" t="n"/>
      <c r="K4416" s="123" t="n"/>
      <c r="L4416" s="123" t="n"/>
      <c r="M4416" s="123">
        <f>IF(AND(B4416&lt;&gt;"",OR($C$4="",ISNUMBER(SEARCH($C$4,C4416&amp;" "&amp;E4416&amp;" "&amp;G4416&amp;" "&amp;H4416&amp;" "&amp;I4416&amp;" "&amp;J4416&amp;" "&amp;K4416&amp;" "&amp;L4416))),OR($C$5="Semua",$C$5="",G4416=$C$5),OR($C$6="Semua",$C$6="",H4416=$C$6,H4416="Pengeluaran "&amp;$C$6,AND($C$6="Uang Kos Mama",H4416="Pengeluaran Uang Kos")),OR($C$7="Semua",$C$7="",I4416=$C$7),OR($C$8="Semua",$C$8="",C4416=$C$8,E4416=$C$8),OR($C$9="Semua",$C$9="",D4416=$C$9),OR($C$10="",B4416&gt;=$C$10),OR($C$11="",B4416&lt;=$C$11),OR($C$12&lt;&gt;"Ya",K4416&lt;&gt;""),OR($C$13="Semua",$C$13="",L4416=$C$13)),"✓","")</f>
        <v/>
      </c>
      <c r="N4416" s="93">
        <f>N(N4415)+IF(M4416="✓",1,0)</f>
        <v/>
      </c>
      <c r="O4416" s="93">
        <f>N(O4415)+IF(AND(B4416&lt;&gt;"",B4416&gt;='Uang Riba'!$H$30,B4416&lt;='Uang Riba'!$I$30,OR(H4416="Dana riba",H4416="Pinjam uang riba",I4416="Pinjam dari uang riba",I4416="Ganti uang riba",I4416="Kelebihan ganti dikembalikan",AND(C4416="Kantong Uang Riba",G4416="Pengeluaran"))),1,0)</f>
        <v/>
      </c>
      <c r="X4416" s="93">
        <f>IF(AND(B4416&lt;&gt;"",B4416&gt;='Buku Akun'!$H$4,B4416&lt;='Buku Akun'!$H$5,OR(C4416='Buku Akun'!$C$4,AND(D4416="Pindah",E4416='Buku Akun'!$C$4))),B4416+IF(AND(I4416="Selisih bunga",DAY(B4416)=1),0,0.01)+ROW()/10000000,"")</f>
        <v/>
      </c>
    </row>
    <row r="4417" outlineLevel="1" ht="15" customHeight="1" s="94">
      <c r="A4417" s="123">
        <f>IF(B4417="","",ROW()-15)</f>
        <v/>
      </c>
      <c r="B4417" s="124" t="n"/>
      <c r="C4417" s="123" t="n"/>
      <c r="D4417" s="123" t="n"/>
      <c r="E4417" s="123" t="n"/>
      <c r="F4417" s="125" t="n"/>
      <c r="G4417" s="123" t="n"/>
      <c r="H4417" s="123" t="n"/>
      <c r="I4417" s="123" t="n"/>
      <c r="J4417" s="123" t="n"/>
      <c r="K4417" s="123" t="n"/>
      <c r="L4417" s="123" t="n"/>
      <c r="M4417" s="123">
        <f>IF(AND(B4417&lt;&gt;"",OR($C$4="",ISNUMBER(SEARCH($C$4,C4417&amp;" "&amp;E4417&amp;" "&amp;G4417&amp;" "&amp;H4417&amp;" "&amp;I4417&amp;" "&amp;J4417&amp;" "&amp;K4417&amp;" "&amp;L4417))),OR($C$5="Semua",$C$5="",G4417=$C$5),OR($C$6="Semua",$C$6="",H4417=$C$6,H4417="Pengeluaran "&amp;$C$6,AND($C$6="Uang Kos Mama",H4417="Pengeluaran Uang Kos")),OR($C$7="Semua",$C$7="",I4417=$C$7),OR($C$8="Semua",$C$8="",C4417=$C$8,E4417=$C$8),OR($C$9="Semua",$C$9="",D4417=$C$9),OR($C$10="",B4417&gt;=$C$10),OR($C$11="",B4417&lt;=$C$11),OR($C$12&lt;&gt;"Ya",K4417&lt;&gt;""),OR($C$13="Semua",$C$13="",L4417=$C$13)),"✓","")</f>
        <v/>
      </c>
      <c r="N4417" s="93">
        <f>N(N4416)+IF(M4417="✓",1,0)</f>
        <v/>
      </c>
      <c r="O4417" s="93">
        <f>N(O4416)+IF(AND(B4417&lt;&gt;"",B4417&gt;='Uang Riba'!$H$30,B4417&lt;='Uang Riba'!$I$30,OR(H4417="Dana riba",H4417="Pinjam uang riba",I4417="Pinjam dari uang riba",I4417="Ganti uang riba",I4417="Kelebihan ganti dikembalikan",AND(C4417="Kantong Uang Riba",G4417="Pengeluaran"))),1,0)</f>
        <v/>
      </c>
      <c r="X4417" s="93">
        <f>IF(AND(B4417&lt;&gt;"",B4417&gt;='Buku Akun'!$H$4,B4417&lt;='Buku Akun'!$H$5,OR(C4417='Buku Akun'!$C$4,AND(D4417="Pindah",E4417='Buku Akun'!$C$4))),B4417+IF(AND(I4417="Selisih bunga",DAY(B4417)=1),0,0.01)+ROW()/10000000,"")</f>
        <v/>
      </c>
    </row>
    <row r="4418" outlineLevel="1" ht="15" customHeight="1" s="94">
      <c r="A4418" s="123">
        <f>IF(B4418="","",ROW()-15)</f>
        <v/>
      </c>
      <c r="B4418" s="124" t="n"/>
      <c r="C4418" s="123" t="n"/>
      <c r="D4418" s="123" t="n"/>
      <c r="E4418" s="123" t="n"/>
      <c r="F4418" s="125" t="n"/>
      <c r="G4418" s="123" t="n"/>
      <c r="H4418" s="123" t="n"/>
      <c r="I4418" s="123" t="n"/>
      <c r="J4418" s="123" t="n"/>
      <c r="K4418" s="123" t="n"/>
      <c r="L4418" s="123" t="n"/>
      <c r="M4418" s="123">
        <f>IF(AND(B4418&lt;&gt;"",OR($C$4="",ISNUMBER(SEARCH($C$4,C4418&amp;" "&amp;E4418&amp;" "&amp;G4418&amp;" "&amp;H4418&amp;" "&amp;I4418&amp;" "&amp;J4418&amp;" "&amp;K4418&amp;" "&amp;L4418))),OR($C$5="Semua",$C$5="",G4418=$C$5),OR($C$6="Semua",$C$6="",H4418=$C$6,H4418="Pengeluaran "&amp;$C$6,AND($C$6="Uang Kos Mama",H4418="Pengeluaran Uang Kos")),OR($C$7="Semua",$C$7="",I4418=$C$7),OR($C$8="Semua",$C$8="",C4418=$C$8,E4418=$C$8),OR($C$9="Semua",$C$9="",D4418=$C$9),OR($C$10="",B4418&gt;=$C$10),OR($C$11="",B4418&lt;=$C$11),OR($C$12&lt;&gt;"Ya",K4418&lt;&gt;""),OR($C$13="Semua",$C$13="",L4418=$C$13)),"✓","")</f>
        <v/>
      </c>
      <c r="N4418" s="93">
        <f>N(N4417)+IF(M4418="✓",1,0)</f>
        <v/>
      </c>
      <c r="O4418" s="93">
        <f>N(O4417)+IF(AND(B4418&lt;&gt;"",B4418&gt;='Uang Riba'!$H$30,B4418&lt;='Uang Riba'!$I$30,OR(H4418="Dana riba",H4418="Pinjam uang riba",I4418="Pinjam dari uang riba",I4418="Ganti uang riba",I4418="Kelebihan ganti dikembalikan",AND(C4418="Kantong Uang Riba",G4418="Pengeluaran"))),1,0)</f>
        <v/>
      </c>
      <c r="X4418" s="93">
        <f>IF(AND(B4418&lt;&gt;"",B4418&gt;='Buku Akun'!$H$4,B4418&lt;='Buku Akun'!$H$5,OR(C4418='Buku Akun'!$C$4,AND(D4418="Pindah",E4418='Buku Akun'!$C$4))),B4418+IF(AND(I4418="Selisih bunga",DAY(B4418)=1),0,0.01)+ROW()/10000000,"")</f>
        <v/>
      </c>
    </row>
    <row r="4419" outlineLevel="1" ht="15" customHeight="1" s="94">
      <c r="A4419" s="123">
        <f>IF(B4419="","",ROW()-15)</f>
        <v/>
      </c>
      <c r="B4419" s="124" t="n"/>
      <c r="C4419" s="123" t="n"/>
      <c r="D4419" s="123" t="n"/>
      <c r="E4419" s="123" t="n"/>
      <c r="F4419" s="125" t="n"/>
      <c r="G4419" s="123" t="n"/>
      <c r="H4419" s="123" t="n"/>
      <c r="I4419" s="123" t="n"/>
      <c r="J4419" s="123" t="n"/>
      <c r="K4419" s="123" t="n"/>
      <c r="L4419" s="123" t="n"/>
      <c r="M4419" s="123">
        <f>IF(AND(B4419&lt;&gt;"",OR($C$4="",ISNUMBER(SEARCH($C$4,C4419&amp;" "&amp;E4419&amp;" "&amp;G4419&amp;" "&amp;H4419&amp;" "&amp;I4419&amp;" "&amp;J4419&amp;" "&amp;K4419&amp;" "&amp;L4419))),OR($C$5="Semua",$C$5="",G4419=$C$5),OR($C$6="Semua",$C$6="",H4419=$C$6,H4419="Pengeluaran "&amp;$C$6,AND($C$6="Uang Kos Mama",H4419="Pengeluaran Uang Kos")),OR($C$7="Semua",$C$7="",I4419=$C$7),OR($C$8="Semua",$C$8="",C4419=$C$8,E4419=$C$8),OR($C$9="Semua",$C$9="",D4419=$C$9),OR($C$10="",B4419&gt;=$C$10),OR($C$11="",B4419&lt;=$C$11),OR($C$12&lt;&gt;"Ya",K4419&lt;&gt;""),OR($C$13="Semua",$C$13="",L4419=$C$13)),"✓","")</f>
        <v/>
      </c>
      <c r="N4419" s="93">
        <f>N(N4418)+IF(M4419="✓",1,0)</f>
        <v/>
      </c>
      <c r="O4419" s="93">
        <f>N(O4418)+IF(AND(B4419&lt;&gt;"",B4419&gt;='Uang Riba'!$H$30,B4419&lt;='Uang Riba'!$I$30,OR(H4419="Dana riba",H4419="Pinjam uang riba",I4419="Pinjam dari uang riba",I4419="Ganti uang riba",I4419="Kelebihan ganti dikembalikan",AND(C4419="Kantong Uang Riba",G4419="Pengeluaran"))),1,0)</f>
        <v/>
      </c>
      <c r="X4419" s="93">
        <f>IF(AND(B4419&lt;&gt;"",B4419&gt;='Buku Akun'!$H$4,B4419&lt;='Buku Akun'!$H$5,OR(C4419='Buku Akun'!$C$4,AND(D4419="Pindah",E4419='Buku Akun'!$C$4))),B4419+IF(AND(I4419="Selisih bunga",DAY(B4419)=1),0,0.01)+ROW()/10000000,"")</f>
        <v/>
      </c>
    </row>
    <row r="4420" outlineLevel="1" ht="15" customHeight="1" s="94">
      <c r="A4420" s="123">
        <f>IF(B4420="","",ROW()-15)</f>
        <v/>
      </c>
      <c r="B4420" s="124" t="n"/>
      <c r="C4420" s="123" t="n"/>
      <c r="D4420" s="123" t="n"/>
      <c r="E4420" s="123" t="n"/>
      <c r="F4420" s="125" t="n"/>
      <c r="G4420" s="123" t="n"/>
      <c r="H4420" s="123" t="n"/>
      <c r="I4420" s="123" t="n"/>
      <c r="J4420" s="123" t="n"/>
      <c r="K4420" s="123" t="n"/>
      <c r="L4420" s="123" t="n"/>
      <c r="M4420" s="123">
        <f>IF(AND(B4420&lt;&gt;"",OR($C$4="",ISNUMBER(SEARCH($C$4,C4420&amp;" "&amp;E4420&amp;" "&amp;G4420&amp;" "&amp;H4420&amp;" "&amp;I4420&amp;" "&amp;J4420&amp;" "&amp;K4420&amp;" "&amp;L4420))),OR($C$5="Semua",$C$5="",G4420=$C$5),OR($C$6="Semua",$C$6="",H4420=$C$6,H4420="Pengeluaran "&amp;$C$6,AND($C$6="Uang Kos Mama",H4420="Pengeluaran Uang Kos")),OR($C$7="Semua",$C$7="",I4420=$C$7),OR($C$8="Semua",$C$8="",C4420=$C$8,E4420=$C$8),OR($C$9="Semua",$C$9="",D4420=$C$9),OR($C$10="",B4420&gt;=$C$10),OR($C$11="",B4420&lt;=$C$11),OR($C$12&lt;&gt;"Ya",K4420&lt;&gt;""),OR($C$13="Semua",$C$13="",L4420=$C$13)),"✓","")</f>
        <v/>
      </c>
      <c r="N4420" s="93">
        <f>N(N4419)+IF(M4420="✓",1,0)</f>
        <v/>
      </c>
      <c r="O4420" s="93">
        <f>N(O4419)+IF(AND(B4420&lt;&gt;"",B4420&gt;='Uang Riba'!$H$30,B4420&lt;='Uang Riba'!$I$30,OR(H4420="Dana riba",H4420="Pinjam uang riba",I4420="Pinjam dari uang riba",I4420="Ganti uang riba",I4420="Kelebihan ganti dikembalikan",AND(C4420="Kantong Uang Riba",G4420="Pengeluaran"))),1,0)</f>
        <v/>
      </c>
      <c r="X4420" s="93">
        <f>IF(AND(B4420&lt;&gt;"",B4420&gt;='Buku Akun'!$H$4,B4420&lt;='Buku Akun'!$H$5,OR(C4420='Buku Akun'!$C$4,AND(D4420="Pindah",E4420='Buku Akun'!$C$4))),B4420+IF(AND(I4420="Selisih bunga",DAY(B4420)=1),0,0.01)+ROW()/10000000,"")</f>
        <v/>
      </c>
    </row>
    <row r="4421" outlineLevel="1" ht="15" customHeight="1" s="94">
      <c r="A4421" s="123">
        <f>IF(B4421="","",ROW()-15)</f>
        <v/>
      </c>
      <c r="B4421" s="124" t="n"/>
      <c r="C4421" s="123" t="n"/>
      <c r="D4421" s="123" t="n"/>
      <c r="E4421" s="123" t="n"/>
      <c r="F4421" s="125" t="n"/>
      <c r="G4421" s="123" t="n"/>
      <c r="H4421" s="123" t="n"/>
      <c r="I4421" s="123" t="n"/>
      <c r="J4421" s="123" t="n"/>
      <c r="K4421" s="123" t="n"/>
      <c r="L4421" s="123" t="n"/>
      <c r="M4421" s="123">
        <f>IF(AND(B4421&lt;&gt;"",OR($C$4="",ISNUMBER(SEARCH($C$4,C4421&amp;" "&amp;E4421&amp;" "&amp;G4421&amp;" "&amp;H4421&amp;" "&amp;I4421&amp;" "&amp;J4421&amp;" "&amp;K4421&amp;" "&amp;L4421))),OR($C$5="Semua",$C$5="",G4421=$C$5),OR($C$6="Semua",$C$6="",H4421=$C$6,H4421="Pengeluaran "&amp;$C$6,AND($C$6="Uang Kos Mama",H4421="Pengeluaran Uang Kos")),OR($C$7="Semua",$C$7="",I4421=$C$7),OR($C$8="Semua",$C$8="",C4421=$C$8,E4421=$C$8),OR($C$9="Semua",$C$9="",D4421=$C$9),OR($C$10="",B4421&gt;=$C$10),OR($C$11="",B4421&lt;=$C$11),OR($C$12&lt;&gt;"Ya",K4421&lt;&gt;""),OR($C$13="Semua",$C$13="",L4421=$C$13)),"✓","")</f>
        <v/>
      </c>
      <c r="N4421" s="93">
        <f>N(N4420)+IF(M4421="✓",1,0)</f>
        <v/>
      </c>
      <c r="O4421" s="93">
        <f>N(O4420)+IF(AND(B4421&lt;&gt;"",B4421&gt;='Uang Riba'!$H$30,B4421&lt;='Uang Riba'!$I$30,OR(H4421="Dana riba",H4421="Pinjam uang riba",I4421="Pinjam dari uang riba",I4421="Ganti uang riba",I4421="Kelebihan ganti dikembalikan",AND(C4421="Kantong Uang Riba",G4421="Pengeluaran"))),1,0)</f>
        <v/>
      </c>
      <c r="X4421" s="93">
        <f>IF(AND(B4421&lt;&gt;"",B4421&gt;='Buku Akun'!$H$4,B4421&lt;='Buku Akun'!$H$5,OR(C4421='Buku Akun'!$C$4,AND(D4421="Pindah",E4421='Buku Akun'!$C$4))),B4421+IF(AND(I4421="Selisih bunga",DAY(B4421)=1),0,0.01)+ROW()/10000000,"")</f>
        <v/>
      </c>
    </row>
    <row r="4422" outlineLevel="1" ht="15" customHeight="1" s="94">
      <c r="A4422" s="123">
        <f>IF(B4422="","",ROW()-15)</f>
        <v/>
      </c>
      <c r="B4422" s="124" t="n"/>
      <c r="C4422" s="123" t="n"/>
      <c r="D4422" s="123" t="n"/>
      <c r="E4422" s="123" t="n"/>
      <c r="F4422" s="125" t="n"/>
      <c r="G4422" s="123" t="n"/>
      <c r="H4422" s="123" t="n"/>
      <c r="I4422" s="123" t="n"/>
      <c r="J4422" s="123" t="n"/>
      <c r="K4422" s="123" t="n"/>
      <c r="L4422" s="123" t="n"/>
      <c r="M4422" s="123">
        <f>IF(AND(B4422&lt;&gt;"",OR($C$4="",ISNUMBER(SEARCH($C$4,C4422&amp;" "&amp;E4422&amp;" "&amp;G4422&amp;" "&amp;H4422&amp;" "&amp;I4422&amp;" "&amp;J4422&amp;" "&amp;K4422&amp;" "&amp;L4422))),OR($C$5="Semua",$C$5="",G4422=$C$5),OR($C$6="Semua",$C$6="",H4422=$C$6,H4422="Pengeluaran "&amp;$C$6,AND($C$6="Uang Kos Mama",H4422="Pengeluaran Uang Kos")),OR($C$7="Semua",$C$7="",I4422=$C$7),OR($C$8="Semua",$C$8="",C4422=$C$8,E4422=$C$8),OR($C$9="Semua",$C$9="",D4422=$C$9),OR($C$10="",B4422&gt;=$C$10),OR($C$11="",B4422&lt;=$C$11),OR($C$12&lt;&gt;"Ya",K4422&lt;&gt;""),OR($C$13="Semua",$C$13="",L4422=$C$13)),"✓","")</f>
        <v/>
      </c>
      <c r="N4422" s="93">
        <f>N(N4421)+IF(M4422="✓",1,0)</f>
        <v/>
      </c>
      <c r="O4422" s="93">
        <f>N(O4421)+IF(AND(B4422&lt;&gt;"",B4422&gt;='Uang Riba'!$H$30,B4422&lt;='Uang Riba'!$I$30,OR(H4422="Dana riba",H4422="Pinjam uang riba",I4422="Pinjam dari uang riba",I4422="Ganti uang riba",I4422="Kelebihan ganti dikembalikan",AND(C4422="Kantong Uang Riba",G4422="Pengeluaran"))),1,0)</f>
        <v/>
      </c>
      <c r="X4422" s="93">
        <f>IF(AND(B4422&lt;&gt;"",B4422&gt;='Buku Akun'!$H$4,B4422&lt;='Buku Akun'!$H$5,OR(C4422='Buku Akun'!$C$4,AND(D4422="Pindah",E4422='Buku Akun'!$C$4))),B4422+IF(AND(I4422="Selisih bunga",DAY(B4422)=1),0,0.01)+ROW()/10000000,"")</f>
        <v/>
      </c>
    </row>
    <row r="4423" outlineLevel="1" ht="15" customHeight="1" s="94">
      <c r="A4423" s="123">
        <f>IF(B4423="","",ROW()-15)</f>
        <v/>
      </c>
      <c r="B4423" s="124" t="n"/>
      <c r="C4423" s="123" t="n"/>
      <c r="D4423" s="123" t="n"/>
      <c r="E4423" s="123" t="n"/>
      <c r="F4423" s="125" t="n"/>
      <c r="G4423" s="123" t="n"/>
      <c r="H4423" s="123" t="n"/>
      <c r="I4423" s="123" t="n"/>
      <c r="J4423" s="123" t="n"/>
      <c r="K4423" s="123" t="n"/>
      <c r="L4423" s="123" t="n"/>
      <c r="M4423" s="123">
        <f>IF(AND(B4423&lt;&gt;"",OR($C$4="",ISNUMBER(SEARCH($C$4,C4423&amp;" "&amp;E4423&amp;" "&amp;G4423&amp;" "&amp;H4423&amp;" "&amp;I4423&amp;" "&amp;J4423&amp;" "&amp;K4423&amp;" "&amp;L4423))),OR($C$5="Semua",$C$5="",G4423=$C$5),OR($C$6="Semua",$C$6="",H4423=$C$6,H4423="Pengeluaran "&amp;$C$6,AND($C$6="Uang Kos Mama",H4423="Pengeluaran Uang Kos")),OR($C$7="Semua",$C$7="",I4423=$C$7),OR($C$8="Semua",$C$8="",C4423=$C$8,E4423=$C$8),OR($C$9="Semua",$C$9="",D4423=$C$9),OR($C$10="",B4423&gt;=$C$10),OR($C$11="",B4423&lt;=$C$11),OR($C$12&lt;&gt;"Ya",K4423&lt;&gt;""),OR($C$13="Semua",$C$13="",L4423=$C$13)),"✓","")</f>
        <v/>
      </c>
      <c r="N4423" s="93">
        <f>N(N4422)+IF(M4423="✓",1,0)</f>
        <v/>
      </c>
      <c r="O4423" s="93">
        <f>N(O4422)+IF(AND(B4423&lt;&gt;"",B4423&gt;='Uang Riba'!$H$30,B4423&lt;='Uang Riba'!$I$30,OR(H4423="Dana riba",H4423="Pinjam uang riba",I4423="Pinjam dari uang riba",I4423="Ganti uang riba",I4423="Kelebihan ganti dikembalikan",AND(C4423="Kantong Uang Riba",G4423="Pengeluaran"))),1,0)</f>
        <v/>
      </c>
      <c r="X4423" s="93">
        <f>IF(AND(B4423&lt;&gt;"",B4423&gt;='Buku Akun'!$H$4,B4423&lt;='Buku Akun'!$H$5,OR(C4423='Buku Akun'!$C$4,AND(D4423="Pindah",E4423='Buku Akun'!$C$4))),B4423+IF(AND(I4423="Selisih bunga",DAY(B4423)=1),0,0.01)+ROW()/10000000,"")</f>
        <v/>
      </c>
    </row>
    <row r="4424" outlineLevel="1" ht="15" customHeight="1" s="94">
      <c r="A4424" s="123">
        <f>IF(B4424="","",ROW()-15)</f>
        <v/>
      </c>
      <c r="B4424" s="124" t="n"/>
      <c r="C4424" s="123" t="n"/>
      <c r="D4424" s="123" t="n"/>
      <c r="E4424" s="123" t="n"/>
      <c r="F4424" s="125" t="n"/>
      <c r="G4424" s="123" t="n"/>
      <c r="H4424" s="123" t="n"/>
      <c r="I4424" s="123" t="n"/>
      <c r="J4424" s="123" t="n"/>
      <c r="K4424" s="123" t="n"/>
      <c r="L4424" s="123" t="n"/>
      <c r="M4424" s="123">
        <f>IF(AND(B4424&lt;&gt;"",OR($C$4="",ISNUMBER(SEARCH($C$4,C4424&amp;" "&amp;E4424&amp;" "&amp;G4424&amp;" "&amp;H4424&amp;" "&amp;I4424&amp;" "&amp;J4424&amp;" "&amp;K4424&amp;" "&amp;L4424))),OR($C$5="Semua",$C$5="",G4424=$C$5),OR($C$6="Semua",$C$6="",H4424=$C$6,H4424="Pengeluaran "&amp;$C$6,AND($C$6="Uang Kos Mama",H4424="Pengeluaran Uang Kos")),OR($C$7="Semua",$C$7="",I4424=$C$7),OR($C$8="Semua",$C$8="",C4424=$C$8,E4424=$C$8),OR($C$9="Semua",$C$9="",D4424=$C$9),OR($C$10="",B4424&gt;=$C$10),OR($C$11="",B4424&lt;=$C$11),OR($C$12&lt;&gt;"Ya",K4424&lt;&gt;""),OR($C$13="Semua",$C$13="",L4424=$C$13)),"✓","")</f>
        <v/>
      </c>
      <c r="N4424" s="93">
        <f>N(N4423)+IF(M4424="✓",1,0)</f>
        <v/>
      </c>
      <c r="O4424" s="93">
        <f>N(O4423)+IF(AND(B4424&lt;&gt;"",B4424&gt;='Uang Riba'!$H$30,B4424&lt;='Uang Riba'!$I$30,OR(H4424="Dana riba",H4424="Pinjam uang riba",I4424="Pinjam dari uang riba",I4424="Ganti uang riba",I4424="Kelebihan ganti dikembalikan",AND(C4424="Kantong Uang Riba",G4424="Pengeluaran"))),1,0)</f>
        <v/>
      </c>
      <c r="X4424" s="93">
        <f>IF(AND(B4424&lt;&gt;"",B4424&gt;='Buku Akun'!$H$4,B4424&lt;='Buku Akun'!$H$5,OR(C4424='Buku Akun'!$C$4,AND(D4424="Pindah",E4424='Buku Akun'!$C$4))),B4424+IF(AND(I4424="Selisih bunga",DAY(B4424)=1),0,0.01)+ROW()/10000000,"")</f>
        <v/>
      </c>
    </row>
    <row r="4425" outlineLevel="1" ht="15" customHeight="1" s="94">
      <c r="A4425" s="123">
        <f>IF(B4425="","",ROW()-15)</f>
        <v/>
      </c>
      <c r="B4425" s="124" t="n"/>
      <c r="C4425" s="123" t="n"/>
      <c r="D4425" s="123" t="n"/>
      <c r="E4425" s="123" t="n"/>
      <c r="F4425" s="125" t="n"/>
      <c r="G4425" s="123" t="n"/>
      <c r="H4425" s="123" t="n"/>
      <c r="I4425" s="123" t="n"/>
      <c r="J4425" s="123" t="n"/>
      <c r="K4425" s="123" t="n"/>
      <c r="L4425" s="123" t="n"/>
      <c r="M4425" s="123">
        <f>IF(AND(B4425&lt;&gt;"",OR($C$4="",ISNUMBER(SEARCH($C$4,C4425&amp;" "&amp;E4425&amp;" "&amp;G4425&amp;" "&amp;H4425&amp;" "&amp;I4425&amp;" "&amp;J4425&amp;" "&amp;K4425&amp;" "&amp;L4425))),OR($C$5="Semua",$C$5="",G4425=$C$5),OR($C$6="Semua",$C$6="",H4425=$C$6,H4425="Pengeluaran "&amp;$C$6,AND($C$6="Uang Kos Mama",H4425="Pengeluaran Uang Kos")),OR($C$7="Semua",$C$7="",I4425=$C$7),OR($C$8="Semua",$C$8="",C4425=$C$8,E4425=$C$8),OR($C$9="Semua",$C$9="",D4425=$C$9),OR($C$10="",B4425&gt;=$C$10),OR($C$11="",B4425&lt;=$C$11),OR($C$12&lt;&gt;"Ya",K4425&lt;&gt;""),OR($C$13="Semua",$C$13="",L4425=$C$13)),"✓","")</f>
        <v/>
      </c>
      <c r="N4425" s="93">
        <f>N(N4424)+IF(M4425="✓",1,0)</f>
        <v/>
      </c>
      <c r="O4425" s="93">
        <f>N(O4424)+IF(AND(B4425&lt;&gt;"",B4425&gt;='Uang Riba'!$H$30,B4425&lt;='Uang Riba'!$I$30,OR(H4425="Dana riba",H4425="Pinjam uang riba",I4425="Pinjam dari uang riba",I4425="Ganti uang riba",I4425="Kelebihan ganti dikembalikan",AND(C4425="Kantong Uang Riba",G4425="Pengeluaran"))),1,0)</f>
        <v/>
      </c>
      <c r="X4425" s="93">
        <f>IF(AND(B4425&lt;&gt;"",B4425&gt;='Buku Akun'!$H$4,B4425&lt;='Buku Akun'!$H$5,OR(C4425='Buku Akun'!$C$4,AND(D4425="Pindah",E4425='Buku Akun'!$C$4))),B4425+IF(AND(I4425="Selisih bunga",DAY(B4425)=1),0,0.01)+ROW()/10000000,"")</f>
        <v/>
      </c>
    </row>
    <row r="4426" outlineLevel="1" ht="15" customHeight="1" s="94">
      <c r="A4426" s="123">
        <f>IF(B4426="","",ROW()-15)</f>
        <v/>
      </c>
      <c r="B4426" s="124" t="n"/>
      <c r="C4426" s="123" t="n"/>
      <c r="D4426" s="123" t="n"/>
      <c r="E4426" s="123" t="n"/>
      <c r="F4426" s="125" t="n"/>
      <c r="G4426" s="123" t="n"/>
      <c r="H4426" s="123" t="n"/>
      <c r="I4426" s="123" t="n"/>
      <c r="J4426" s="123" t="n"/>
      <c r="K4426" s="123" t="n"/>
      <c r="L4426" s="123" t="n"/>
      <c r="M4426" s="123">
        <f>IF(AND(B4426&lt;&gt;"",OR($C$4="",ISNUMBER(SEARCH($C$4,C4426&amp;" "&amp;E4426&amp;" "&amp;G4426&amp;" "&amp;H4426&amp;" "&amp;I4426&amp;" "&amp;J4426&amp;" "&amp;K4426&amp;" "&amp;L4426))),OR($C$5="Semua",$C$5="",G4426=$C$5),OR($C$6="Semua",$C$6="",H4426=$C$6,H4426="Pengeluaran "&amp;$C$6,AND($C$6="Uang Kos Mama",H4426="Pengeluaran Uang Kos")),OR($C$7="Semua",$C$7="",I4426=$C$7),OR($C$8="Semua",$C$8="",C4426=$C$8,E4426=$C$8),OR($C$9="Semua",$C$9="",D4426=$C$9),OR($C$10="",B4426&gt;=$C$10),OR($C$11="",B4426&lt;=$C$11),OR($C$12&lt;&gt;"Ya",K4426&lt;&gt;""),OR($C$13="Semua",$C$13="",L4426=$C$13)),"✓","")</f>
        <v/>
      </c>
      <c r="N4426" s="93">
        <f>N(N4425)+IF(M4426="✓",1,0)</f>
        <v/>
      </c>
      <c r="O4426" s="93">
        <f>N(O4425)+IF(AND(B4426&lt;&gt;"",B4426&gt;='Uang Riba'!$H$30,B4426&lt;='Uang Riba'!$I$30,OR(H4426="Dana riba",H4426="Pinjam uang riba",I4426="Pinjam dari uang riba",I4426="Ganti uang riba",I4426="Kelebihan ganti dikembalikan",AND(C4426="Kantong Uang Riba",G4426="Pengeluaran"))),1,0)</f>
        <v/>
      </c>
      <c r="X4426" s="93">
        <f>IF(AND(B4426&lt;&gt;"",B4426&gt;='Buku Akun'!$H$4,B4426&lt;='Buku Akun'!$H$5,OR(C4426='Buku Akun'!$C$4,AND(D4426="Pindah",E4426='Buku Akun'!$C$4))),B4426+IF(AND(I4426="Selisih bunga",DAY(B4426)=1),0,0.01)+ROW()/10000000,"")</f>
        <v/>
      </c>
    </row>
    <row r="4427" outlineLevel="1" ht="15" customHeight="1" s="94">
      <c r="A4427" s="123">
        <f>IF(B4427="","",ROW()-15)</f>
        <v/>
      </c>
      <c r="B4427" s="124" t="n"/>
      <c r="C4427" s="123" t="n"/>
      <c r="D4427" s="123" t="n"/>
      <c r="E4427" s="123" t="n"/>
      <c r="F4427" s="125" t="n"/>
      <c r="G4427" s="123" t="n"/>
      <c r="H4427" s="123" t="n"/>
      <c r="I4427" s="123" t="n"/>
      <c r="J4427" s="123" t="n"/>
      <c r="K4427" s="123" t="n"/>
      <c r="L4427" s="123" t="n"/>
      <c r="M4427" s="123">
        <f>IF(AND(B4427&lt;&gt;"",OR($C$4="",ISNUMBER(SEARCH($C$4,C4427&amp;" "&amp;E4427&amp;" "&amp;G4427&amp;" "&amp;H4427&amp;" "&amp;I4427&amp;" "&amp;J4427&amp;" "&amp;K4427&amp;" "&amp;L4427))),OR($C$5="Semua",$C$5="",G4427=$C$5),OR($C$6="Semua",$C$6="",H4427=$C$6,H4427="Pengeluaran "&amp;$C$6,AND($C$6="Uang Kos Mama",H4427="Pengeluaran Uang Kos")),OR($C$7="Semua",$C$7="",I4427=$C$7),OR($C$8="Semua",$C$8="",C4427=$C$8,E4427=$C$8),OR($C$9="Semua",$C$9="",D4427=$C$9),OR($C$10="",B4427&gt;=$C$10),OR($C$11="",B4427&lt;=$C$11),OR($C$12&lt;&gt;"Ya",K4427&lt;&gt;""),OR($C$13="Semua",$C$13="",L4427=$C$13)),"✓","")</f>
        <v/>
      </c>
      <c r="N4427" s="93">
        <f>N(N4426)+IF(M4427="✓",1,0)</f>
        <v/>
      </c>
      <c r="O4427" s="93">
        <f>N(O4426)+IF(AND(B4427&lt;&gt;"",B4427&gt;='Uang Riba'!$H$30,B4427&lt;='Uang Riba'!$I$30,OR(H4427="Dana riba",H4427="Pinjam uang riba",I4427="Pinjam dari uang riba",I4427="Ganti uang riba",I4427="Kelebihan ganti dikembalikan",AND(C4427="Kantong Uang Riba",G4427="Pengeluaran"))),1,0)</f>
        <v/>
      </c>
      <c r="X4427" s="93">
        <f>IF(AND(B4427&lt;&gt;"",B4427&gt;='Buku Akun'!$H$4,B4427&lt;='Buku Akun'!$H$5,OR(C4427='Buku Akun'!$C$4,AND(D4427="Pindah",E4427='Buku Akun'!$C$4))),B4427+IF(AND(I4427="Selisih bunga",DAY(B4427)=1),0,0.01)+ROW()/10000000,"")</f>
        <v/>
      </c>
    </row>
    <row r="4428" outlineLevel="1" ht="15" customHeight="1" s="94">
      <c r="A4428" s="123">
        <f>IF(B4428="","",ROW()-15)</f>
        <v/>
      </c>
      <c r="B4428" s="124" t="n"/>
      <c r="C4428" s="123" t="n"/>
      <c r="D4428" s="123" t="n"/>
      <c r="E4428" s="123" t="n"/>
      <c r="F4428" s="125" t="n"/>
      <c r="G4428" s="123" t="n"/>
      <c r="H4428" s="123" t="n"/>
      <c r="I4428" s="123" t="n"/>
      <c r="J4428" s="123" t="n"/>
      <c r="K4428" s="123" t="n"/>
      <c r="L4428" s="123" t="n"/>
      <c r="M4428" s="123">
        <f>IF(AND(B4428&lt;&gt;"",OR($C$4="",ISNUMBER(SEARCH($C$4,C4428&amp;" "&amp;E4428&amp;" "&amp;G4428&amp;" "&amp;H4428&amp;" "&amp;I4428&amp;" "&amp;J4428&amp;" "&amp;K4428&amp;" "&amp;L4428))),OR($C$5="Semua",$C$5="",G4428=$C$5),OR($C$6="Semua",$C$6="",H4428=$C$6,H4428="Pengeluaran "&amp;$C$6,AND($C$6="Uang Kos Mama",H4428="Pengeluaran Uang Kos")),OR($C$7="Semua",$C$7="",I4428=$C$7),OR($C$8="Semua",$C$8="",C4428=$C$8,E4428=$C$8),OR($C$9="Semua",$C$9="",D4428=$C$9),OR($C$10="",B4428&gt;=$C$10),OR($C$11="",B4428&lt;=$C$11),OR($C$12&lt;&gt;"Ya",K4428&lt;&gt;""),OR($C$13="Semua",$C$13="",L4428=$C$13)),"✓","")</f>
        <v/>
      </c>
      <c r="N4428" s="93">
        <f>N(N4427)+IF(M4428="✓",1,0)</f>
        <v/>
      </c>
      <c r="O4428" s="93">
        <f>N(O4427)+IF(AND(B4428&lt;&gt;"",B4428&gt;='Uang Riba'!$H$30,B4428&lt;='Uang Riba'!$I$30,OR(H4428="Dana riba",H4428="Pinjam uang riba",I4428="Pinjam dari uang riba",I4428="Ganti uang riba",I4428="Kelebihan ganti dikembalikan",AND(C4428="Kantong Uang Riba",G4428="Pengeluaran"))),1,0)</f>
        <v/>
      </c>
      <c r="X4428" s="93">
        <f>IF(AND(B4428&lt;&gt;"",B4428&gt;='Buku Akun'!$H$4,B4428&lt;='Buku Akun'!$H$5,OR(C4428='Buku Akun'!$C$4,AND(D4428="Pindah",E4428='Buku Akun'!$C$4))),B4428+IF(AND(I4428="Selisih bunga",DAY(B4428)=1),0,0.01)+ROW()/10000000,"")</f>
        <v/>
      </c>
    </row>
    <row r="4429" outlineLevel="1" ht="15" customHeight="1" s="94">
      <c r="A4429" s="123">
        <f>IF(B4429="","",ROW()-15)</f>
        <v/>
      </c>
      <c r="B4429" s="124" t="n"/>
      <c r="C4429" s="123" t="n"/>
      <c r="D4429" s="123" t="n"/>
      <c r="E4429" s="123" t="n"/>
      <c r="F4429" s="125" t="n"/>
      <c r="G4429" s="123" t="n"/>
      <c r="H4429" s="123" t="n"/>
      <c r="I4429" s="123" t="n"/>
      <c r="J4429" s="123" t="n"/>
      <c r="K4429" s="123" t="n"/>
      <c r="L4429" s="123" t="n"/>
      <c r="M4429" s="123">
        <f>IF(AND(B4429&lt;&gt;"",OR($C$4="",ISNUMBER(SEARCH($C$4,C4429&amp;" "&amp;E4429&amp;" "&amp;G4429&amp;" "&amp;H4429&amp;" "&amp;I4429&amp;" "&amp;J4429&amp;" "&amp;K4429&amp;" "&amp;L4429))),OR($C$5="Semua",$C$5="",G4429=$C$5),OR($C$6="Semua",$C$6="",H4429=$C$6,H4429="Pengeluaran "&amp;$C$6,AND($C$6="Uang Kos Mama",H4429="Pengeluaran Uang Kos")),OR($C$7="Semua",$C$7="",I4429=$C$7),OR($C$8="Semua",$C$8="",C4429=$C$8,E4429=$C$8),OR($C$9="Semua",$C$9="",D4429=$C$9),OR($C$10="",B4429&gt;=$C$10),OR($C$11="",B4429&lt;=$C$11),OR($C$12&lt;&gt;"Ya",K4429&lt;&gt;""),OR($C$13="Semua",$C$13="",L4429=$C$13)),"✓","")</f>
        <v/>
      </c>
      <c r="N4429" s="93">
        <f>N(N4428)+IF(M4429="✓",1,0)</f>
        <v/>
      </c>
      <c r="O4429" s="93">
        <f>N(O4428)+IF(AND(B4429&lt;&gt;"",B4429&gt;='Uang Riba'!$H$30,B4429&lt;='Uang Riba'!$I$30,OR(H4429="Dana riba",H4429="Pinjam uang riba",I4429="Pinjam dari uang riba",I4429="Ganti uang riba",I4429="Kelebihan ganti dikembalikan",AND(C4429="Kantong Uang Riba",G4429="Pengeluaran"))),1,0)</f>
        <v/>
      </c>
      <c r="X4429" s="93">
        <f>IF(AND(B4429&lt;&gt;"",B4429&gt;='Buku Akun'!$H$4,B4429&lt;='Buku Akun'!$H$5,OR(C4429='Buku Akun'!$C$4,AND(D4429="Pindah",E4429='Buku Akun'!$C$4))),B4429+IF(AND(I4429="Selisih bunga",DAY(B4429)=1),0,0.01)+ROW()/10000000,"")</f>
        <v/>
      </c>
    </row>
    <row r="4430" outlineLevel="1" ht="15" customHeight="1" s="94">
      <c r="A4430" s="123">
        <f>IF(B4430="","",ROW()-15)</f>
        <v/>
      </c>
      <c r="B4430" s="124" t="n"/>
      <c r="C4430" s="123" t="n"/>
      <c r="D4430" s="123" t="n"/>
      <c r="E4430" s="123" t="n"/>
      <c r="F4430" s="125" t="n"/>
      <c r="G4430" s="123" t="n"/>
      <c r="H4430" s="123" t="n"/>
      <c r="I4430" s="123" t="n"/>
      <c r="J4430" s="123" t="n"/>
      <c r="K4430" s="123" t="n"/>
      <c r="L4430" s="123" t="n"/>
      <c r="M4430" s="123">
        <f>IF(AND(B4430&lt;&gt;"",OR($C$4="",ISNUMBER(SEARCH($C$4,C4430&amp;" "&amp;E4430&amp;" "&amp;G4430&amp;" "&amp;H4430&amp;" "&amp;I4430&amp;" "&amp;J4430&amp;" "&amp;K4430&amp;" "&amp;L4430))),OR($C$5="Semua",$C$5="",G4430=$C$5),OR($C$6="Semua",$C$6="",H4430=$C$6,H4430="Pengeluaran "&amp;$C$6,AND($C$6="Uang Kos Mama",H4430="Pengeluaran Uang Kos")),OR($C$7="Semua",$C$7="",I4430=$C$7),OR($C$8="Semua",$C$8="",C4430=$C$8,E4430=$C$8),OR($C$9="Semua",$C$9="",D4430=$C$9),OR($C$10="",B4430&gt;=$C$10),OR($C$11="",B4430&lt;=$C$11),OR($C$12&lt;&gt;"Ya",K4430&lt;&gt;""),OR($C$13="Semua",$C$13="",L4430=$C$13)),"✓","")</f>
        <v/>
      </c>
      <c r="N4430" s="93">
        <f>N(N4429)+IF(M4430="✓",1,0)</f>
        <v/>
      </c>
      <c r="O4430" s="93">
        <f>N(O4429)+IF(AND(B4430&lt;&gt;"",B4430&gt;='Uang Riba'!$H$30,B4430&lt;='Uang Riba'!$I$30,OR(H4430="Dana riba",H4430="Pinjam uang riba",I4430="Pinjam dari uang riba",I4430="Ganti uang riba",I4430="Kelebihan ganti dikembalikan",AND(C4430="Kantong Uang Riba",G4430="Pengeluaran"))),1,0)</f>
        <v/>
      </c>
      <c r="X4430" s="93">
        <f>IF(AND(B4430&lt;&gt;"",B4430&gt;='Buku Akun'!$H$4,B4430&lt;='Buku Akun'!$H$5,OR(C4430='Buku Akun'!$C$4,AND(D4430="Pindah",E4430='Buku Akun'!$C$4))),B4430+IF(AND(I4430="Selisih bunga",DAY(B4430)=1),0,0.01)+ROW()/10000000,"")</f>
        <v/>
      </c>
    </row>
    <row r="4431" outlineLevel="1" ht="15" customHeight="1" s="94">
      <c r="A4431" s="123">
        <f>IF(B4431="","",ROW()-15)</f>
        <v/>
      </c>
      <c r="B4431" s="124" t="n"/>
      <c r="C4431" s="123" t="n"/>
      <c r="D4431" s="123" t="n"/>
      <c r="E4431" s="123" t="n"/>
      <c r="F4431" s="125" t="n"/>
      <c r="G4431" s="123" t="n"/>
      <c r="H4431" s="123" t="n"/>
      <c r="I4431" s="123" t="n"/>
      <c r="J4431" s="123" t="n"/>
      <c r="K4431" s="123" t="n"/>
      <c r="L4431" s="123" t="n"/>
      <c r="M4431" s="123">
        <f>IF(AND(B4431&lt;&gt;"",OR($C$4="",ISNUMBER(SEARCH($C$4,C4431&amp;" "&amp;E4431&amp;" "&amp;G4431&amp;" "&amp;H4431&amp;" "&amp;I4431&amp;" "&amp;J4431&amp;" "&amp;K4431&amp;" "&amp;L4431))),OR($C$5="Semua",$C$5="",G4431=$C$5),OR($C$6="Semua",$C$6="",H4431=$C$6,H4431="Pengeluaran "&amp;$C$6,AND($C$6="Uang Kos Mama",H4431="Pengeluaran Uang Kos")),OR($C$7="Semua",$C$7="",I4431=$C$7),OR($C$8="Semua",$C$8="",C4431=$C$8,E4431=$C$8),OR($C$9="Semua",$C$9="",D4431=$C$9),OR($C$10="",B4431&gt;=$C$10),OR($C$11="",B4431&lt;=$C$11),OR($C$12&lt;&gt;"Ya",K4431&lt;&gt;""),OR($C$13="Semua",$C$13="",L4431=$C$13)),"✓","")</f>
        <v/>
      </c>
      <c r="N4431" s="93">
        <f>N(N4430)+IF(M4431="✓",1,0)</f>
        <v/>
      </c>
      <c r="O4431" s="93">
        <f>N(O4430)+IF(AND(B4431&lt;&gt;"",B4431&gt;='Uang Riba'!$H$30,B4431&lt;='Uang Riba'!$I$30,OR(H4431="Dana riba",H4431="Pinjam uang riba",I4431="Pinjam dari uang riba",I4431="Ganti uang riba",I4431="Kelebihan ganti dikembalikan",AND(C4431="Kantong Uang Riba",G4431="Pengeluaran"))),1,0)</f>
        <v/>
      </c>
      <c r="X4431" s="93">
        <f>IF(AND(B4431&lt;&gt;"",B4431&gt;='Buku Akun'!$H$4,B4431&lt;='Buku Akun'!$H$5,OR(C4431='Buku Akun'!$C$4,AND(D4431="Pindah",E4431='Buku Akun'!$C$4))),B4431+IF(AND(I4431="Selisih bunga",DAY(B4431)=1),0,0.01)+ROW()/10000000,"")</f>
        <v/>
      </c>
    </row>
    <row r="4432" outlineLevel="1" ht="15" customHeight="1" s="94">
      <c r="A4432" s="123">
        <f>IF(B4432="","",ROW()-15)</f>
        <v/>
      </c>
      <c r="B4432" s="124" t="n"/>
      <c r="C4432" s="123" t="n"/>
      <c r="D4432" s="123" t="n"/>
      <c r="E4432" s="123" t="n"/>
      <c r="F4432" s="125" t="n"/>
      <c r="G4432" s="123" t="n"/>
      <c r="H4432" s="123" t="n"/>
      <c r="I4432" s="123" t="n"/>
      <c r="J4432" s="123" t="n"/>
      <c r="K4432" s="123" t="n"/>
      <c r="L4432" s="123" t="n"/>
      <c r="M4432" s="123">
        <f>IF(AND(B4432&lt;&gt;"",OR($C$4="",ISNUMBER(SEARCH($C$4,C4432&amp;" "&amp;E4432&amp;" "&amp;G4432&amp;" "&amp;H4432&amp;" "&amp;I4432&amp;" "&amp;J4432&amp;" "&amp;K4432&amp;" "&amp;L4432))),OR($C$5="Semua",$C$5="",G4432=$C$5),OR($C$6="Semua",$C$6="",H4432=$C$6,H4432="Pengeluaran "&amp;$C$6,AND($C$6="Uang Kos Mama",H4432="Pengeluaran Uang Kos")),OR($C$7="Semua",$C$7="",I4432=$C$7),OR($C$8="Semua",$C$8="",C4432=$C$8,E4432=$C$8),OR($C$9="Semua",$C$9="",D4432=$C$9),OR($C$10="",B4432&gt;=$C$10),OR($C$11="",B4432&lt;=$C$11),OR($C$12&lt;&gt;"Ya",K4432&lt;&gt;""),OR($C$13="Semua",$C$13="",L4432=$C$13)),"✓","")</f>
        <v/>
      </c>
      <c r="N4432" s="93">
        <f>N(N4431)+IF(M4432="✓",1,0)</f>
        <v/>
      </c>
      <c r="O4432" s="93">
        <f>N(O4431)+IF(AND(B4432&lt;&gt;"",B4432&gt;='Uang Riba'!$H$30,B4432&lt;='Uang Riba'!$I$30,OR(H4432="Dana riba",H4432="Pinjam uang riba",I4432="Pinjam dari uang riba",I4432="Ganti uang riba",I4432="Kelebihan ganti dikembalikan",AND(C4432="Kantong Uang Riba",G4432="Pengeluaran"))),1,0)</f>
        <v/>
      </c>
      <c r="X4432" s="93">
        <f>IF(AND(B4432&lt;&gt;"",B4432&gt;='Buku Akun'!$H$4,B4432&lt;='Buku Akun'!$H$5,OR(C4432='Buku Akun'!$C$4,AND(D4432="Pindah",E4432='Buku Akun'!$C$4))),B4432+IF(AND(I4432="Selisih bunga",DAY(B4432)=1),0,0.01)+ROW()/10000000,"")</f>
        <v/>
      </c>
    </row>
    <row r="4433" outlineLevel="1" ht="15" customHeight="1" s="94">
      <c r="A4433" s="123">
        <f>IF(B4433="","",ROW()-15)</f>
        <v/>
      </c>
      <c r="B4433" s="124" t="n"/>
      <c r="C4433" s="123" t="n"/>
      <c r="D4433" s="123" t="n"/>
      <c r="E4433" s="123" t="n"/>
      <c r="F4433" s="125" t="n"/>
      <c r="G4433" s="123" t="n"/>
      <c r="H4433" s="123" t="n"/>
      <c r="I4433" s="123" t="n"/>
      <c r="J4433" s="123" t="n"/>
      <c r="K4433" s="123" t="n"/>
      <c r="L4433" s="123" t="n"/>
      <c r="M4433" s="123">
        <f>IF(AND(B4433&lt;&gt;"",OR($C$4="",ISNUMBER(SEARCH($C$4,C4433&amp;" "&amp;E4433&amp;" "&amp;G4433&amp;" "&amp;H4433&amp;" "&amp;I4433&amp;" "&amp;J4433&amp;" "&amp;K4433&amp;" "&amp;L4433))),OR($C$5="Semua",$C$5="",G4433=$C$5),OR($C$6="Semua",$C$6="",H4433=$C$6,H4433="Pengeluaran "&amp;$C$6,AND($C$6="Uang Kos Mama",H4433="Pengeluaran Uang Kos")),OR($C$7="Semua",$C$7="",I4433=$C$7),OR($C$8="Semua",$C$8="",C4433=$C$8,E4433=$C$8),OR($C$9="Semua",$C$9="",D4433=$C$9),OR($C$10="",B4433&gt;=$C$10),OR($C$11="",B4433&lt;=$C$11),OR($C$12&lt;&gt;"Ya",K4433&lt;&gt;""),OR($C$13="Semua",$C$13="",L4433=$C$13)),"✓","")</f>
        <v/>
      </c>
      <c r="N4433" s="93">
        <f>N(N4432)+IF(M4433="✓",1,0)</f>
        <v/>
      </c>
      <c r="O4433" s="93">
        <f>N(O4432)+IF(AND(B4433&lt;&gt;"",B4433&gt;='Uang Riba'!$H$30,B4433&lt;='Uang Riba'!$I$30,OR(H4433="Dana riba",H4433="Pinjam uang riba",I4433="Pinjam dari uang riba",I4433="Ganti uang riba",I4433="Kelebihan ganti dikembalikan",AND(C4433="Kantong Uang Riba",G4433="Pengeluaran"))),1,0)</f>
        <v/>
      </c>
      <c r="X4433" s="93">
        <f>IF(AND(B4433&lt;&gt;"",B4433&gt;='Buku Akun'!$H$4,B4433&lt;='Buku Akun'!$H$5,OR(C4433='Buku Akun'!$C$4,AND(D4433="Pindah",E4433='Buku Akun'!$C$4))),B4433+IF(AND(I4433="Selisih bunga",DAY(B4433)=1),0,0.01)+ROW()/10000000,"")</f>
        <v/>
      </c>
    </row>
    <row r="4434" outlineLevel="1" ht="15" customHeight="1" s="94">
      <c r="A4434" s="123">
        <f>IF(B4434="","",ROW()-15)</f>
        <v/>
      </c>
      <c r="B4434" s="124" t="n"/>
      <c r="C4434" s="123" t="n"/>
      <c r="D4434" s="123" t="n"/>
      <c r="E4434" s="123" t="n"/>
      <c r="F4434" s="125" t="n"/>
      <c r="G4434" s="123" t="n"/>
      <c r="H4434" s="123" t="n"/>
      <c r="I4434" s="123" t="n"/>
      <c r="J4434" s="123" t="n"/>
      <c r="K4434" s="123" t="n"/>
      <c r="L4434" s="123" t="n"/>
      <c r="M4434" s="123">
        <f>IF(AND(B4434&lt;&gt;"",OR($C$4="",ISNUMBER(SEARCH($C$4,C4434&amp;" "&amp;E4434&amp;" "&amp;G4434&amp;" "&amp;H4434&amp;" "&amp;I4434&amp;" "&amp;J4434&amp;" "&amp;K4434&amp;" "&amp;L4434))),OR($C$5="Semua",$C$5="",G4434=$C$5),OR($C$6="Semua",$C$6="",H4434=$C$6,H4434="Pengeluaran "&amp;$C$6,AND($C$6="Uang Kos Mama",H4434="Pengeluaran Uang Kos")),OR($C$7="Semua",$C$7="",I4434=$C$7),OR($C$8="Semua",$C$8="",C4434=$C$8,E4434=$C$8),OR($C$9="Semua",$C$9="",D4434=$C$9),OR($C$10="",B4434&gt;=$C$10),OR($C$11="",B4434&lt;=$C$11),OR($C$12&lt;&gt;"Ya",K4434&lt;&gt;""),OR($C$13="Semua",$C$13="",L4434=$C$13)),"✓","")</f>
        <v/>
      </c>
      <c r="N4434" s="93">
        <f>N(N4433)+IF(M4434="✓",1,0)</f>
        <v/>
      </c>
      <c r="O4434" s="93">
        <f>N(O4433)+IF(AND(B4434&lt;&gt;"",B4434&gt;='Uang Riba'!$H$30,B4434&lt;='Uang Riba'!$I$30,OR(H4434="Dana riba",H4434="Pinjam uang riba",I4434="Pinjam dari uang riba",I4434="Ganti uang riba",I4434="Kelebihan ganti dikembalikan",AND(C4434="Kantong Uang Riba",G4434="Pengeluaran"))),1,0)</f>
        <v/>
      </c>
      <c r="X4434" s="93">
        <f>IF(AND(B4434&lt;&gt;"",B4434&gt;='Buku Akun'!$H$4,B4434&lt;='Buku Akun'!$H$5,OR(C4434='Buku Akun'!$C$4,AND(D4434="Pindah",E4434='Buku Akun'!$C$4))),B4434+IF(AND(I4434="Selisih bunga",DAY(B4434)=1),0,0.01)+ROW()/10000000,"")</f>
        <v/>
      </c>
    </row>
    <row r="4435" outlineLevel="1" ht="15" customHeight="1" s="94">
      <c r="A4435" s="123">
        <f>IF(B4435="","",ROW()-15)</f>
        <v/>
      </c>
      <c r="B4435" s="124" t="n"/>
      <c r="C4435" s="123" t="n"/>
      <c r="D4435" s="123" t="n"/>
      <c r="E4435" s="123" t="n"/>
      <c r="F4435" s="125" t="n"/>
      <c r="G4435" s="123" t="n"/>
      <c r="H4435" s="123" t="n"/>
      <c r="I4435" s="123" t="n"/>
      <c r="J4435" s="123" t="n"/>
      <c r="K4435" s="123" t="n"/>
      <c r="L4435" s="123" t="n"/>
      <c r="M4435" s="123">
        <f>IF(AND(B4435&lt;&gt;"",OR($C$4="",ISNUMBER(SEARCH($C$4,C4435&amp;" "&amp;E4435&amp;" "&amp;G4435&amp;" "&amp;H4435&amp;" "&amp;I4435&amp;" "&amp;J4435&amp;" "&amp;K4435&amp;" "&amp;L4435))),OR($C$5="Semua",$C$5="",G4435=$C$5),OR($C$6="Semua",$C$6="",H4435=$C$6,H4435="Pengeluaran "&amp;$C$6,AND($C$6="Uang Kos Mama",H4435="Pengeluaran Uang Kos")),OR($C$7="Semua",$C$7="",I4435=$C$7),OR($C$8="Semua",$C$8="",C4435=$C$8,E4435=$C$8),OR($C$9="Semua",$C$9="",D4435=$C$9),OR($C$10="",B4435&gt;=$C$10),OR($C$11="",B4435&lt;=$C$11),OR($C$12&lt;&gt;"Ya",K4435&lt;&gt;""),OR($C$13="Semua",$C$13="",L4435=$C$13)),"✓","")</f>
        <v/>
      </c>
      <c r="N4435" s="93">
        <f>N(N4434)+IF(M4435="✓",1,0)</f>
        <v/>
      </c>
      <c r="O4435" s="93">
        <f>N(O4434)+IF(AND(B4435&lt;&gt;"",B4435&gt;='Uang Riba'!$H$30,B4435&lt;='Uang Riba'!$I$30,OR(H4435="Dana riba",H4435="Pinjam uang riba",I4435="Pinjam dari uang riba",I4435="Ganti uang riba",I4435="Kelebihan ganti dikembalikan",AND(C4435="Kantong Uang Riba",G4435="Pengeluaran"))),1,0)</f>
        <v/>
      </c>
      <c r="X4435" s="93">
        <f>IF(AND(B4435&lt;&gt;"",B4435&gt;='Buku Akun'!$H$4,B4435&lt;='Buku Akun'!$H$5,OR(C4435='Buku Akun'!$C$4,AND(D4435="Pindah",E4435='Buku Akun'!$C$4))),B4435+IF(AND(I4435="Selisih bunga",DAY(B4435)=1),0,0.01)+ROW()/10000000,"")</f>
        <v/>
      </c>
    </row>
    <row r="4436" outlineLevel="1" ht="15" customHeight="1" s="94">
      <c r="A4436" s="123">
        <f>IF(B4436="","",ROW()-15)</f>
        <v/>
      </c>
      <c r="B4436" s="124" t="n"/>
      <c r="C4436" s="123" t="n"/>
      <c r="D4436" s="123" t="n"/>
      <c r="E4436" s="123" t="n"/>
      <c r="F4436" s="125" t="n"/>
      <c r="G4436" s="123" t="n"/>
      <c r="H4436" s="123" t="n"/>
      <c r="I4436" s="123" t="n"/>
      <c r="J4436" s="123" t="n"/>
      <c r="K4436" s="123" t="n"/>
      <c r="L4436" s="123" t="n"/>
      <c r="M4436" s="123">
        <f>IF(AND(B4436&lt;&gt;"",OR($C$4="",ISNUMBER(SEARCH($C$4,C4436&amp;" "&amp;E4436&amp;" "&amp;G4436&amp;" "&amp;H4436&amp;" "&amp;I4436&amp;" "&amp;J4436&amp;" "&amp;K4436&amp;" "&amp;L4436))),OR($C$5="Semua",$C$5="",G4436=$C$5),OR($C$6="Semua",$C$6="",H4436=$C$6,H4436="Pengeluaran "&amp;$C$6,AND($C$6="Uang Kos Mama",H4436="Pengeluaran Uang Kos")),OR($C$7="Semua",$C$7="",I4436=$C$7),OR($C$8="Semua",$C$8="",C4436=$C$8,E4436=$C$8),OR($C$9="Semua",$C$9="",D4436=$C$9),OR($C$10="",B4436&gt;=$C$10),OR($C$11="",B4436&lt;=$C$11),OR($C$12&lt;&gt;"Ya",K4436&lt;&gt;""),OR($C$13="Semua",$C$13="",L4436=$C$13)),"✓","")</f>
        <v/>
      </c>
      <c r="N4436" s="93">
        <f>N(N4435)+IF(M4436="✓",1,0)</f>
        <v/>
      </c>
      <c r="O4436" s="93">
        <f>N(O4435)+IF(AND(B4436&lt;&gt;"",B4436&gt;='Uang Riba'!$H$30,B4436&lt;='Uang Riba'!$I$30,OR(H4436="Dana riba",H4436="Pinjam uang riba",I4436="Pinjam dari uang riba",I4436="Ganti uang riba",I4436="Kelebihan ganti dikembalikan",AND(C4436="Kantong Uang Riba",G4436="Pengeluaran"))),1,0)</f>
        <v/>
      </c>
      <c r="X4436" s="93">
        <f>IF(AND(B4436&lt;&gt;"",B4436&gt;='Buku Akun'!$H$4,B4436&lt;='Buku Akun'!$H$5,OR(C4436='Buku Akun'!$C$4,AND(D4436="Pindah",E4436='Buku Akun'!$C$4))),B4436+IF(AND(I4436="Selisih bunga",DAY(B4436)=1),0,0.01)+ROW()/10000000,"")</f>
        <v/>
      </c>
    </row>
    <row r="4437" outlineLevel="1" ht="15" customHeight="1" s="94">
      <c r="A4437" s="123">
        <f>IF(B4437="","",ROW()-15)</f>
        <v/>
      </c>
      <c r="B4437" s="124" t="n"/>
      <c r="C4437" s="123" t="n"/>
      <c r="D4437" s="123" t="n"/>
      <c r="E4437" s="123" t="n"/>
      <c r="F4437" s="125" t="n"/>
      <c r="G4437" s="123" t="n"/>
      <c r="H4437" s="123" t="n"/>
      <c r="I4437" s="123" t="n"/>
      <c r="J4437" s="123" t="n"/>
      <c r="K4437" s="123" t="n"/>
      <c r="L4437" s="123" t="n"/>
      <c r="M4437" s="123">
        <f>IF(AND(B4437&lt;&gt;"",OR($C$4="",ISNUMBER(SEARCH($C$4,C4437&amp;" "&amp;E4437&amp;" "&amp;G4437&amp;" "&amp;H4437&amp;" "&amp;I4437&amp;" "&amp;J4437&amp;" "&amp;K4437&amp;" "&amp;L4437))),OR($C$5="Semua",$C$5="",G4437=$C$5),OR($C$6="Semua",$C$6="",H4437=$C$6,H4437="Pengeluaran "&amp;$C$6,AND($C$6="Uang Kos Mama",H4437="Pengeluaran Uang Kos")),OR($C$7="Semua",$C$7="",I4437=$C$7),OR($C$8="Semua",$C$8="",C4437=$C$8,E4437=$C$8),OR($C$9="Semua",$C$9="",D4437=$C$9),OR($C$10="",B4437&gt;=$C$10),OR($C$11="",B4437&lt;=$C$11),OR($C$12&lt;&gt;"Ya",K4437&lt;&gt;""),OR($C$13="Semua",$C$13="",L4437=$C$13)),"✓","")</f>
        <v/>
      </c>
      <c r="N4437" s="93">
        <f>N(N4436)+IF(M4437="✓",1,0)</f>
        <v/>
      </c>
      <c r="O4437" s="93">
        <f>N(O4436)+IF(AND(B4437&lt;&gt;"",B4437&gt;='Uang Riba'!$H$30,B4437&lt;='Uang Riba'!$I$30,OR(H4437="Dana riba",H4437="Pinjam uang riba",I4437="Pinjam dari uang riba",I4437="Ganti uang riba",I4437="Kelebihan ganti dikembalikan",AND(C4437="Kantong Uang Riba",G4437="Pengeluaran"))),1,0)</f>
        <v/>
      </c>
      <c r="X4437" s="93">
        <f>IF(AND(B4437&lt;&gt;"",B4437&gt;='Buku Akun'!$H$4,B4437&lt;='Buku Akun'!$H$5,OR(C4437='Buku Akun'!$C$4,AND(D4437="Pindah",E4437='Buku Akun'!$C$4))),B4437+IF(AND(I4437="Selisih bunga",DAY(B4437)=1),0,0.01)+ROW()/10000000,"")</f>
        <v/>
      </c>
    </row>
    <row r="4438" outlineLevel="1" ht="15" customHeight="1" s="94">
      <c r="A4438" s="123">
        <f>IF(B4438="","",ROW()-15)</f>
        <v/>
      </c>
      <c r="B4438" s="124" t="n"/>
      <c r="C4438" s="123" t="n"/>
      <c r="D4438" s="123" t="n"/>
      <c r="E4438" s="123" t="n"/>
      <c r="F4438" s="125" t="n"/>
      <c r="G4438" s="123" t="n"/>
      <c r="H4438" s="123" t="n"/>
      <c r="I4438" s="123" t="n"/>
      <c r="J4438" s="123" t="n"/>
      <c r="K4438" s="123" t="n"/>
      <c r="L4438" s="123" t="n"/>
      <c r="M4438" s="123">
        <f>IF(AND(B4438&lt;&gt;"",OR($C$4="",ISNUMBER(SEARCH($C$4,C4438&amp;" "&amp;E4438&amp;" "&amp;G4438&amp;" "&amp;H4438&amp;" "&amp;I4438&amp;" "&amp;J4438&amp;" "&amp;K4438&amp;" "&amp;L4438))),OR($C$5="Semua",$C$5="",G4438=$C$5),OR($C$6="Semua",$C$6="",H4438=$C$6,H4438="Pengeluaran "&amp;$C$6,AND($C$6="Uang Kos Mama",H4438="Pengeluaran Uang Kos")),OR($C$7="Semua",$C$7="",I4438=$C$7),OR($C$8="Semua",$C$8="",C4438=$C$8,E4438=$C$8),OR($C$9="Semua",$C$9="",D4438=$C$9),OR($C$10="",B4438&gt;=$C$10),OR($C$11="",B4438&lt;=$C$11),OR($C$12&lt;&gt;"Ya",K4438&lt;&gt;""),OR($C$13="Semua",$C$13="",L4438=$C$13)),"✓","")</f>
        <v/>
      </c>
      <c r="N4438" s="93">
        <f>N(N4437)+IF(M4438="✓",1,0)</f>
        <v/>
      </c>
      <c r="O4438" s="93">
        <f>N(O4437)+IF(AND(B4438&lt;&gt;"",B4438&gt;='Uang Riba'!$H$30,B4438&lt;='Uang Riba'!$I$30,OR(H4438="Dana riba",H4438="Pinjam uang riba",I4438="Pinjam dari uang riba",I4438="Ganti uang riba",I4438="Kelebihan ganti dikembalikan",AND(C4438="Kantong Uang Riba",G4438="Pengeluaran"))),1,0)</f>
        <v/>
      </c>
      <c r="X4438" s="93">
        <f>IF(AND(B4438&lt;&gt;"",B4438&gt;='Buku Akun'!$H$4,B4438&lt;='Buku Akun'!$H$5,OR(C4438='Buku Akun'!$C$4,AND(D4438="Pindah",E4438='Buku Akun'!$C$4))),B4438+IF(AND(I4438="Selisih bunga",DAY(B4438)=1),0,0.01)+ROW()/10000000,"")</f>
        <v/>
      </c>
    </row>
    <row r="4439" outlineLevel="1" ht="15" customHeight="1" s="94">
      <c r="A4439" s="123">
        <f>IF(B4439="","",ROW()-15)</f>
        <v/>
      </c>
      <c r="B4439" s="124" t="n"/>
      <c r="C4439" s="123" t="n"/>
      <c r="D4439" s="123" t="n"/>
      <c r="E4439" s="123" t="n"/>
      <c r="F4439" s="125" t="n"/>
      <c r="G4439" s="123" t="n"/>
      <c r="H4439" s="123" t="n"/>
      <c r="I4439" s="123" t="n"/>
      <c r="J4439" s="123" t="n"/>
      <c r="K4439" s="123" t="n"/>
      <c r="L4439" s="123" t="n"/>
      <c r="M4439" s="123">
        <f>IF(AND(B4439&lt;&gt;"",OR($C$4="",ISNUMBER(SEARCH($C$4,C4439&amp;" "&amp;E4439&amp;" "&amp;G4439&amp;" "&amp;H4439&amp;" "&amp;I4439&amp;" "&amp;J4439&amp;" "&amp;K4439&amp;" "&amp;L4439))),OR($C$5="Semua",$C$5="",G4439=$C$5),OR($C$6="Semua",$C$6="",H4439=$C$6,H4439="Pengeluaran "&amp;$C$6,AND($C$6="Uang Kos Mama",H4439="Pengeluaran Uang Kos")),OR($C$7="Semua",$C$7="",I4439=$C$7),OR($C$8="Semua",$C$8="",C4439=$C$8,E4439=$C$8),OR($C$9="Semua",$C$9="",D4439=$C$9),OR($C$10="",B4439&gt;=$C$10),OR($C$11="",B4439&lt;=$C$11),OR($C$12&lt;&gt;"Ya",K4439&lt;&gt;""),OR($C$13="Semua",$C$13="",L4439=$C$13)),"✓","")</f>
        <v/>
      </c>
      <c r="N4439" s="93">
        <f>N(N4438)+IF(M4439="✓",1,0)</f>
        <v/>
      </c>
      <c r="O4439" s="93">
        <f>N(O4438)+IF(AND(B4439&lt;&gt;"",B4439&gt;='Uang Riba'!$H$30,B4439&lt;='Uang Riba'!$I$30,OR(H4439="Dana riba",H4439="Pinjam uang riba",I4439="Pinjam dari uang riba",I4439="Ganti uang riba",I4439="Kelebihan ganti dikembalikan",AND(C4439="Kantong Uang Riba",G4439="Pengeluaran"))),1,0)</f>
        <v/>
      </c>
      <c r="X4439" s="93">
        <f>IF(AND(B4439&lt;&gt;"",B4439&gt;='Buku Akun'!$H$4,B4439&lt;='Buku Akun'!$H$5,OR(C4439='Buku Akun'!$C$4,AND(D4439="Pindah",E4439='Buku Akun'!$C$4))),B4439+IF(AND(I4439="Selisih bunga",DAY(B4439)=1),0,0.01)+ROW()/10000000,"")</f>
        <v/>
      </c>
    </row>
    <row r="4440" outlineLevel="1" ht="15" customHeight="1" s="94">
      <c r="A4440" s="123">
        <f>IF(B4440="","",ROW()-15)</f>
        <v/>
      </c>
      <c r="B4440" s="124" t="n"/>
      <c r="C4440" s="123" t="n"/>
      <c r="D4440" s="123" t="n"/>
      <c r="E4440" s="123" t="n"/>
      <c r="F4440" s="125" t="n"/>
      <c r="G4440" s="123" t="n"/>
      <c r="H4440" s="123" t="n"/>
      <c r="I4440" s="123" t="n"/>
      <c r="J4440" s="123" t="n"/>
      <c r="K4440" s="123" t="n"/>
      <c r="L4440" s="123" t="n"/>
      <c r="M4440" s="123">
        <f>IF(AND(B4440&lt;&gt;"",OR($C$4="",ISNUMBER(SEARCH($C$4,C4440&amp;" "&amp;E4440&amp;" "&amp;G4440&amp;" "&amp;H4440&amp;" "&amp;I4440&amp;" "&amp;J4440&amp;" "&amp;K4440&amp;" "&amp;L4440))),OR($C$5="Semua",$C$5="",G4440=$C$5),OR($C$6="Semua",$C$6="",H4440=$C$6,H4440="Pengeluaran "&amp;$C$6,AND($C$6="Uang Kos Mama",H4440="Pengeluaran Uang Kos")),OR($C$7="Semua",$C$7="",I4440=$C$7),OR($C$8="Semua",$C$8="",C4440=$C$8,E4440=$C$8),OR($C$9="Semua",$C$9="",D4440=$C$9),OR($C$10="",B4440&gt;=$C$10),OR($C$11="",B4440&lt;=$C$11),OR($C$12&lt;&gt;"Ya",K4440&lt;&gt;""),OR($C$13="Semua",$C$13="",L4440=$C$13)),"✓","")</f>
        <v/>
      </c>
      <c r="N4440" s="93">
        <f>N(N4439)+IF(M4440="✓",1,0)</f>
        <v/>
      </c>
      <c r="O4440" s="93">
        <f>N(O4439)+IF(AND(B4440&lt;&gt;"",B4440&gt;='Uang Riba'!$H$30,B4440&lt;='Uang Riba'!$I$30,OR(H4440="Dana riba",H4440="Pinjam uang riba",I4440="Pinjam dari uang riba",I4440="Ganti uang riba",I4440="Kelebihan ganti dikembalikan",AND(C4440="Kantong Uang Riba",G4440="Pengeluaran"))),1,0)</f>
        <v/>
      </c>
      <c r="X4440" s="93">
        <f>IF(AND(B4440&lt;&gt;"",B4440&gt;='Buku Akun'!$H$4,B4440&lt;='Buku Akun'!$H$5,OR(C4440='Buku Akun'!$C$4,AND(D4440="Pindah",E4440='Buku Akun'!$C$4))),B4440+IF(AND(I4440="Selisih bunga",DAY(B4440)=1),0,0.01)+ROW()/10000000,"")</f>
        <v/>
      </c>
    </row>
    <row r="4441" outlineLevel="1" ht="15" customHeight="1" s="94">
      <c r="A4441" s="123">
        <f>IF(B4441="","",ROW()-15)</f>
        <v/>
      </c>
      <c r="B4441" s="124" t="n"/>
      <c r="C4441" s="123" t="n"/>
      <c r="D4441" s="123" t="n"/>
      <c r="E4441" s="123" t="n"/>
      <c r="F4441" s="125" t="n"/>
      <c r="G4441" s="123" t="n"/>
      <c r="H4441" s="123" t="n"/>
      <c r="I4441" s="123" t="n"/>
      <c r="J4441" s="123" t="n"/>
      <c r="K4441" s="123" t="n"/>
      <c r="L4441" s="123" t="n"/>
      <c r="M4441" s="123">
        <f>IF(AND(B4441&lt;&gt;"",OR($C$4="",ISNUMBER(SEARCH($C$4,C4441&amp;" "&amp;E4441&amp;" "&amp;G4441&amp;" "&amp;H4441&amp;" "&amp;I4441&amp;" "&amp;J4441&amp;" "&amp;K4441&amp;" "&amp;L4441))),OR($C$5="Semua",$C$5="",G4441=$C$5),OR($C$6="Semua",$C$6="",H4441=$C$6,H4441="Pengeluaran "&amp;$C$6,AND($C$6="Uang Kos Mama",H4441="Pengeluaran Uang Kos")),OR($C$7="Semua",$C$7="",I4441=$C$7),OR($C$8="Semua",$C$8="",C4441=$C$8,E4441=$C$8),OR($C$9="Semua",$C$9="",D4441=$C$9),OR($C$10="",B4441&gt;=$C$10),OR($C$11="",B4441&lt;=$C$11),OR($C$12&lt;&gt;"Ya",K4441&lt;&gt;""),OR($C$13="Semua",$C$13="",L4441=$C$13)),"✓","")</f>
        <v/>
      </c>
      <c r="N4441" s="93">
        <f>N(N4440)+IF(M4441="✓",1,0)</f>
        <v/>
      </c>
      <c r="O4441" s="93">
        <f>N(O4440)+IF(AND(B4441&lt;&gt;"",B4441&gt;='Uang Riba'!$H$30,B4441&lt;='Uang Riba'!$I$30,OR(H4441="Dana riba",H4441="Pinjam uang riba",I4441="Pinjam dari uang riba",I4441="Ganti uang riba",I4441="Kelebihan ganti dikembalikan",AND(C4441="Kantong Uang Riba",G4441="Pengeluaran"))),1,0)</f>
        <v/>
      </c>
      <c r="X4441" s="93">
        <f>IF(AND(B4441&lt;&gt;"",B4441&gt;='Buku Akun'!$H$4,B4441&lt;='Buku Akun'!$H$5,OR(C4441='Buku Akun'!$C$4,AND(D4441="Pindah",E4441='Buku Akun'!$C$4))),B4441+IF(AND(I4441="Selisih bunga",DAY(B4441)=1),0,0.01)+ROW()/10000000,"")</f>
        <v/>
      </c>
    </row>
    <row r="4442" outlineLevel="1" ht="15" customHeight="1" s="94">
      <c r="A4442" s="123">
        <f>IF(B4442="","",ROW()-15)</f>
        <v/>
      </c>
      <c r="B4442" s="124" t="n"/>
      <c r="C4442" s="123" t="n"/>
      <c r="D4442" s="123" t="n"/>
      <c r="E4442" s="123" t="n"/>
      <c r="F4442" s="125" t="n"/>
      <c r="G4442" s="123" t="n"/>
      <c r="H4442" s="123" t="n"/>
      <c r="I4442" s="123" t="n"/>
      <c r="J4442" s="123" t="n"/>
      <c r="K4442" s="123" t="n"/>
      <c r="L4442" s="123" t="n"/>
      <c r="M4442" s="123">
        <f>IF(AND(B4442&lt;&gt;"",OR($C$4="",ISNUMBER(SEARCH($C$4,C4442&amp;" "&amp;E4442&amp;" "&amp;G4442&amp;" "&amp;H4442&amp;" "&amp;I4442&amp;" "&amp;J4442&amp;" "&amp;K4442&amp;" "&amp;L4442))),OR($C$5="Semua",$C$5="",G4442=$C$5),OR($C$6="Semua",$C$6="",H4442=$C$6,H4442="Pengeluaran "&amp;$C$6,AND($C$6="Uang Kos Mama",H4442="Pengeluaran Uang Kos")),OR($C$7="Semua",$C$7="",I4442=$C$7),OR($C$8="Semua",$C$8="",C4442=$C$8,E4442=$C$8),OR($C$9="Semua",$C$9="",D4442=$C$9),OR($C$10="",B4442&gt;=$C$10),OR($C$11="",B4442&lt;=$C$11),OR($C$12&lt;&gt;"Ya",K4442&lt;&gt;""),OR($C$13="Semua",$C$13="",L4442=$C$13)),"✓","")</f>
        <v/>
      </c>
      <c r="N4442" s="93">
        <f>N(N4441)+IF(M4442="✓",1,0)</f>
        <v/>
      </c>
      <c r="O4442" s="93">
        <f>N(O4441)+IF(AND(B4442&lt;&gt;"",B4442&gt;='Uang Riba'!$H$30,B4442&lt;='Uang Riba'!$I$30,OR(H4442="Dana riba",H4442="Pinjam uang riba",I4442="Pinjam dari uang riba",I4442="Ganti uang riba",I4442="Kelebihan ganti dikembalikan",AND(C4442="Kantong Uang Riba",G4442="Pengeluaran"))),1,0)</f>
        <v/>
      </c>
      <c r="X4442" s="93">
        <f>IF(AND(B4442&lt;&gt;"",B4442&gt;='Buku Akun'!$H$4,B4442&lt;='Buku Akun'!$H$5,OR(C4442='Buku Akun'!$C$4,AND(D4442="Pindah",E4442='Buku Akun'!$C$4))),B4442+IF(AND(I4442="Selisih bunga",DAY(B4442)=1),0,0.01)+ROW()/10000000,"")</f>
        <v/>
      </c>
    </row>
    <row r="4443" outlineLevel="1" ht="15" customHeight="1" s="94">
      <c r="A4443" s="123">
        <f>IF(B4443="","",ROW()-15)</f>
        <v/>
      </c>
      <c r="B4443" s="124" t="n"/>
      <c r="C4443" s="123" t="n"/>
      <c r="D4443" s="123" t="n"/>
      <c r="E4443" s="123" t="n"/>
      <c r="F4443" s="125" t="n"/>
      <c r="G4443" s="123" t="n"/>
      <c r="H4443" s="123" t="n"/>
      <c r="I4443" s="123" t="n"/>
      <c r="J4443" s="123" t="n"/>
      <c r="K4443" s="123" t="n"/>
      <c r="L4443" s="123" t="n"/>
      <c r="M4443" s="123">
        <f>IF(AND(B4443&lt;&gt;"",OR($C$4="",ISNUMBER(SEARCH($C$4,C4443&amp;" "&amp;E4443&amp;" "&amp;G4443&amp;" "&amp;H4443&amp;" "&amp;I4443&amp;" "&amp;J4443&amp;" "&amp;K4443&amp;" "&amp;L4443))),OR($C$5="Semua",$C$5="",G4443=$C$5),OR($C$6="Semua",$C$6="",H4443=$C$6,H4443="Pengeluaran "&amp;$C$6,AND($C$6="Uang Kos Mama",H4443="Pengeluaran Uang Kos")),OR($C$7="Semua",$C$7="",I4443=$C$7),OR($C$8="Semua",$C$8="",C4443=$C$8,E4443=$C$8),OR($C$9="Semua",$C$9="",D4443=$C$9),OR($C$10="",B4443&gt;=$C$10),OR($C$11="",B4443&lt;=$C$11),OR($C$12&lt;&gt;"Ya",K4443&lt;&gt;""),OR($C$13="Semua",$C$13="",L4443=$C$13)),"✓","")</f>
        <v/>
      </c>
      <c r="N4443" s="93">
        <f>N(N4442)+IF(M4443="✓",1,0)</f>
        <v/>
      </c>
      <c r="O4443" s="93">
        <f>N(O4442)+IF(AND(B4443&lt;&gt;"",B4443&gt;='Uang Riba'!$H$30,B4443&lt;='Uang Riba'!$I$30,OR(H4443="Dana riba",H4443="Pinjam uang riba",I4443="Pinjam dari uang riba",I4443="Ganti uang riba",I4443="Kelebihan ganti dikembalikan",AND(C4443="Kantong Uang Riba",G4443="Pengeluaran"))),1,0)</f>
        <v/>
      </c>
      <c r="X4443" s="93">
        <f>IF(AND(B4443&lt;&gt;"",B4443&gt;='Buku Akun'!$H$4,B4443&lt;='Buku Akun'!$H$5,OR(C4443='Buku Akun'!$C$4,AND(D4443="Pindah",E4443='Buku Akun'!$C$4))),B4443+IF(AND(I4443="Selisih bunga",DAY(B4443)=1),0,0.01)+ROW()/10000000,"")</f>
        <v/>
      </c>
    </row>
    <row r="4444" outlineLevel="1" ht="15" customHeight="1" s="94">
      <c r="A4444" s="123">
        <f>IF(B4444="","",ROW()-15)</f>
        <v/>
      </c>
      <c r="B4444" s="124" t="n"/>
      <c r="C4444" s="123" t="n"/>
      <c r="D4444" s="123" t="n"/>
      <c r="E4444" s="123" t="n"/>
      <c r="F4444" s="125" t="n"/>
      <c r="G4444" s="123" t="n"/>
      <c r="H4444" s="123" t="n"/>
      <c r="I4444" s="123" t="n"/>
      <c r="J4444" s="123" t="n"/>
      <c r="K4444" s="123" t="n"/>
      <c r="L4444" s="123" t="n"/>
      <c r="M4444" s="123">
        <f>IF(AND(B4444&lt;&gt;"",OR($C$4="",ISNUMBER(SEARCH($C$4,C4444&amp;" "&amp;E4444&amp;" "&amp;G4444&amp;" "&amp;H4444&amp;" "&amp;I4444&amp;" "&amp;J4444&amp;" "&amp;K4444&amp;" "&amp;L4444))),OR($C$5="Semua",$C$5="",G4444=$C$5),OR($C$6="Semua",$C$6="",H4444=$C$6,H4444="Pengeluaran "&amp;$C$6,AND($C$6="Uang Kos Mama",H4444="Pengeluaran Uang Kos")),OR($C$7="Semua",$C$7="",I4444=$C$7),OR($C$8="Semua",$C$8="",C4444=$C$8,E4444=$C$8),OR($C$9="Semua",$C$9="",D4444=$C$9),OR($C$10="",B4444&gt;=$C$10),OR($C$11="",B4444&lt;=$C$11),OR($C$12&lt;&gt;"Ya",K4444&lt;&gt;""),OR($C$13="Semua",$C$13="",L4444=$C$13)),"✓","")</f>
        <v/>
      </c>
      <c r="N4444" s="93">
        <f>N(N4443)+IF(M4444="✓",1,0)</f>
        <v/>
      </c>
      <c r="O4444" s="93">
        <f>N(O4443)+IF(AND(B4444&lt;&gt;"",B4444&gt;='Uang Riba'!$H$30,B4444&lt;='Uang Riba'!$I$30,OR(H4444="Dana riba",H4444="Pinjam uang riba",I4444="Pinjam dari uang riba",I4444="Ganti uang riba",I4444="Kelebihan ganti dikembalikan",AND(C4444="Kantong Uang Riba",G4444="Pengeluaran"))),1,0)</f>
        <v/>
      </c>
      <c r="X4444" s="93">
        <f>IF(AND(B4444&lt;&gt;"",B4444&gt;='Buku Akun'!$H$4,B4444&lt;='Buku Akun'!$H$5,OR(C4444='Buku Akun'!$C$4,AND(D4444="Pindah",E4444='Buku Akun'!$C$4))),B4444+IF(AND(I4444="Selisih bunga",DAY(B4444)=1),0,0.01)+ROW()/10000000,"")</f>
        <v/>
      </c>
    </row>
    <row r="4445" outlineLevel="1" ht="15" customHeight="1" s="94">
      <c r="A4445" s="123">
        <f>IF(B4445="","",ROW()-15)</f>
        <v/>
      </c>
      <c r="B4445" s="124" t="n"/>
      <c r="C4445" s="123" t="n"/>
      <c r="D4445" s="123" t="n"/>
      <c r="E4445" s="123" t="n"/>
      <c r="F4445" s="125" t="n"/>
      <c r="G4445" s="123" t="n"/>
      <c r="H4445" s="123" t="n"/>
      <c r="I4445" s="123" t="n"/>
      <c r="J4445" s="123" t="n"/>
      <c r="K4445" s="123" t="n"/>
      <c r="L4445" s="123" t="n"/>
      <c r="M4445" s="123">
        <f>IF(AND(B4445&lt;&gt;"",OR($C$4="",ISNUMBER(SEARCH($C$4,C4445&amp;" "&amp;E4445&amp;" "&amp;G4445&amp;" "&amp;H4445&amp;" "&amp;I4445&amp;" "&amp;J4445&amp;" "&amp;K4445&amp;" "&amp;L4445))),OR($C$5="Semua",$C$5="",G4445=$C$5),OR($C$6="Semua",$C$6="",H4445=$C$6,H4445="Pengeluaran "&amp;$C$6,AND($C$6="Uang Kos Mama",H4445="Pengeluaran Uang Kos")),OR($C$7="Semua",$C$7="",I4445=$C$7),OR($C$8="Semua",$C$8="",C4445=$C$8,E4445=$C$8),OR($C$9="Semua",$C$9="",D4445=$C$9),OR($C$10="",B4445&gt;=$C$10),OR($C$11="",B4445&lt;=$C$11),OR($C$12&lt;&gt;"Ya",K4445&lt;&gt;""),OR($C$13="Semua",$C$13="",L4445=$C$13)),"✓","")</f>
        <v/>
      </c>
      <c r="N4445" s="93">
        <f>N(N4444)+IF(M4445="✓",1,0)</f>
        <v/>
      </c>
      <c r="O4445" s="93">
        <f>N(O4444)+IF(AND(B4445&lt;&gt;"",B4445&gt;='Uang Riba'!$H$30,B4445&lt;='Uang Riba'!$I$30,OR(H4445="Dana riba",H4445="Pinjam uang riba",I4445="Pinjam dari uang riba",I4445="Ganti uang riba",I4445="Kelebihan ganti dikembalikan",AND(C4445="Kantong Uang Riba",G4445="Pengeluaran"))),1,0)</f>
        <v/>
      </c>
      <c r="X4445" s="93">
        <f>IF(AND(B4445&lt;&gt;"",B4445&gt;='Buku Akun'!$H$4,B4445&lt;='Buku Akun'!$H$5,OR(C4445='Buku Akun'!$C$4,AND(D4445="Pindah",E4445='Buku Akun'!$C$4))),B4445+IF(AND(I4445="Selisih bunga",DAY(B4445)=1),0,0.01)+ROW()/10000000,"")</f>
        <v/>
      </c>
    </row>
    <row r="4446" outlineLevel="1" ht="15" customHeight="1" s="94">
      <c r="A4446" s="123">
        <f>IF(B4446="","",ROW()-15)</f>
        <v/>
      </c>
      <c r="B4446" s="124" t="n"/>
      <c r="C4446" s="123" t="n"/>
      <c r="D4446" s="123" t="n"/>
      <c r="E4446" s="123" t="n"/>
      <c r="F4446" s="125" t="n"/>
      <c r="G4446" s="123" t="n"/>
      <c r="H4446" s="123" t="n"/>
      <c r="I4446" s="123" t="n"/>
      <c r="J4446" s="123" t="n"/>
      <c r="K4446" s="123" t="n"/>
      <c r="L4446" s="123" t="n"/>
      <c r="M4446" s="123">
        <f>IF(AND(B4446&lt;&gt;"",OR($C$4="",ISNUMBER(SEARCH($C$4,C4446&amp;" "&amp;E4446&amp;" "&amp;G4446&amp;" "&amp;H4446&amp;" "&amp;I4446&amp;" "&amp;J4446&amp;" "&amp;K4446&amp;" "&amp;L4446))),OR($C$5="Semua",$C$5="",G4446=$C$5),OR($C$6="Semua",$C$6="",H4446=$C$6,H4446="Pengeluaran "&amp;$C$6,AND($C$6="Uang Kos Mama",H4446="Pengeluaran Uang Kos")),OR($C$7="Semua",$C$7="",I4446=$C$7),OR($C$8="Semua",$C$8="",C4446=$C$8,E4446=$C$8),OR($C$9="Semua",$C$9="",D4446=$C$9),OR($C$10="",B4446&gt;=$C$10),OR($C$11="",B4446&lt;=$C$11),OR($C$12&lt;&gt;"Ya",K4446&lt;&gt;""),OR($C$13="Semua",$C$13="",L4446=$C$13)),"✓","")</f>
        <v/>
      </c>
      <c r="N4446" s="93">
        <f>N(N4445)+IF(M4446="✓",1,0)</f>
        <v/>
      </c>
      <c r="O4446" s="93">
        <f>N(O4445)+IF(AND(B4446&lt;&gt;"",B4446&gt;='Uang Riba'!$H$30,B4446&lt;='Uang Riba'!$I$30,OR(H4446="Dana riba",H4446="Pinjam uang riba",I4446="Pinjam dari uang riba",I4446="Ganti uang riba",I4446="Kelebihan ganti dikembalikan",AND(C4446="Kantong Uang Riba",G4446="Pengeluaran"))),1,0)</f>
        <v/>
      </c>
      <c r="X4446" s="93">
        <f>IF(AND(B4446&lt;&gt;"",B4446&gt;='Buku Akun'!$H$4,B4446&lt;='Buku Akun'!$H$5,OR(C4446='Buku Akun'!$C$4,AND(D4446="Pindah",E4446='Buku Akun'!$C$4))),B4446+IF(AND(I4446="Selisih bunga",DAY(B4446)=1),0,0.01)+ROW()/10000000,"")</f>
        <v/>
      </c>
    </row>
    <row r="4447" outlineLevel="1" ht="15" customHeight="1" s="94">
      <c r="A4447" s="123">
        <f>IF(B4447="","",ROW()-15)</f>
        <v/>
      </c>
      <c r="B4447" s="124" t="n"/>
      <c r="C4447" s="123" t="n"/>
      <c r="D4447" s="123" t="n"/>
      <c r="E4447" s="123" t="n"/>
      <c r="F4447" s="125" t="n"/>
      <c r="G4447" s="123" t="n"/>
      <c r="H4447" s="123" t="n"/>
      <c r="I4447" s="123" t="n"/>
      <c r="J4447" s="123" t="n"/>
      <c r="K4447" s="123" t="n"/>
      <c r="L4447" s="123" t="n"/>
      <c r="M4447" s="123">
        <f>IF(AND(B4447&lt;&gt;"",OR($C$4="",ISNUMBER(SEARCH($C$4,C4447&amp;" "&amp;E4447&amp;" "&amp;G4447&amp;" "&amp;H4447&amp;" "&amp;I4447&amp;" "&amp;J4447&amp;" "&amp;K4447&amp;" "&amp;L4447))),OR($C$5="Semua",$C$5="",G4447=$C$5),OR($C$6="Semua",$C$6="",H4447=$C$6,H4447="Pengeluaran "&amp;$C$6,AND($C$6="Uang Kos Mama",H4447="Pengeluaran Uang Kos")),OR($C$7="Semua",$C$7="",I4447=$C$7),OR($C$8="Semua",$C$8="",C4447=$C$8,E4447=$C$8),OR($C$9="Semua",$C$9="",D4447=$C$9),OR($C$10="",B4447&gt;=$C$10),OR($C$11="",B4447&lt;=$C$11),OR($C$12&lt;&gt;"Ya",K4447&lt;&gt;""),OR($C$13="Semua",$C$13="",L4447=$C$13)),"✓","")</f>
        <v/>
      </c>
      <c r="N4447" s="93">
        <f>N(N4446)+IF(M4447="✓",1,0)</f>
        <v/>
      </c>
      <c r="O4447" s="93">
        <f>N(O4446)+IF(AND(B4447&lt;&gt;"",B4447&gt;='Uang Riba'!$H$30,B4447&lt;='Uang Riba'!$I$30,OR(H4447="Dana riba",H4447="Pinjam uang riba",I4447="Pinjam dari uang riba",I4447="Ganti uang riba",I4447="Kelebihan ganti dikembalikan",AND(C4447="Kantong Uang Riba",G4447="Pengeluaran"))),1,0)</f>
        <v/>
      </c>
      <c r="X4447" s="93">
        <f>IF(AND(B4447&lt;&gt;"",B4447&gt;='Buku Akun'!$H$4,B4447&lt;='Buku Akun'!$H$5,OR(C4447='Buku Akun'!$C$4,AND(D4447="Pindah",E4447='Buku Akun'!$C$4))),B4447+IF(AND(I4447="Selisih bunga",DAY(B4447)=1),0,0.01)+ROW()/10000000,"")</f>
        <v/>
      </c>
    </row>
    <row r="4448" outlineLevel="1" ht="15" customHeight="1" s="94">
      <c r="A4448" s="123">
        <f>IF(B4448="","",ROW()-15)</f>
        <v/>
      </c>
      <c r="B4448" s="124" t="n"/>
      <c r="C4448" s="123" t="n"/>
      <c r="D4448" s="123" t="n"/>
      <c r="E4448" s="123" t="n"/>
      <c r="F4448" s="125" t="n"/>
      <c r="G4448" s="123" t="n"/>
      <c r="H4448" s="123" t="n"/>
      <c r="I4448" s="123" t="n"/>
      <c r="J4448" s="123" t="n"/>
      <c r="K4448" s="123" t="n"/>
      <c r="L4448" s="123" t="n"/>
      <c r="M4448" s="123">
        <f>IF(AND(B4448&lt;&gt;"",OR($C$4="",ISNUMBER(SEARCH($C$4,C4448&amp;" "&amp;E4448&amp;" "&amp;G4448&amp;" "&amp;H4448&amp;" "&amp;I4448&amp;" "&amp;J4448&amp;" "&amp;K4448&amp;" "&amp;L4448))),OR($C$5="Semua",$C$5="",G4448=$C$5),OR($C$6="Semua",$C$6="",H4448=$C$6,H4448="Pengeluaran "&amp;$C$6,AND($C$6="Uang Kos Mama",H4448="Pengeluaran Uang Kos")),OR($C$7="Semua",$C$7="",I4448=$C$7),OR($C$8="Semua",$C$8="",C4448=$C$8,E4448=$C$8),OR($C$9="Semua",$C$9="",D4448=$C$9),OR($C$10="",B4448&gt;=$C$10),OR($C$11="",B4448&lt;=$C$11),OR($C$12&lt;&gt;"Ya",K4448&lt;&gt;""),OR($C$13="Semua",$C$13="",L4448=$C$13)),"✓","")</f>
        <v/>
      </c>
      <c r="N4448" s="93">
        <f>N(N4447)+IF(M4448="✓",1,0)</f>
        <v/>
      </c>
      <c r="O4448" s="93">
        <f>N(O4447)+IF(AND(B4448&lt;&gt;"",B4448&gt;='Uang Riba'!$H$30,B4448&lt;='Uang Riba'!$I$30,OR(H4448="Dana riba",H4448="Pinjam uang riba",I4448="Pinjam dari uang riba",I4448="Ganti uang riba",I4448="Kelebihan ganti dikembalikan",AND(C4448="Kantong Uang Riba",G4448="Pengeluaran"))),1,0)</f>
        <v/>
      </c>
      <c r="X4448" s="93">
        <f>IF(AND(B4448&lt;&gt;"",B4448&gt;='Buku Akun'!$H$4,B4448&lt;='Buku Akun'!$H$5,OR(C4448='Buku Akun'!$C$4,AND(D4448="Pindah",E4448='Buku Akun'!$C$4))),B4448+IF(AND(I4448="Selisih bunga",DAY(B4448)=1),0,0.01)+ROW()/10000000,"")</f>
        <v/>
      </c>
    </row>
    <row r="4449" outlineLevel="1" ht="15" customHeight="1" s="94">
      <c r="A4449" s="123">
        <f>IF(B4449="","",ROW()-15)</f>
        <v/>
      </c>
      <c r="B4449" s="124" t="n"/>
      <c r="C4449" s="123" t="n"/>
      <c r="D4449" s="123" t="n"/>
      <c r="E4449" s="123" t="n"/>
      <c r="F4449" s="125" t="n"/>
      <c r="G4449" s="123" t="n"/>
      <c r="H4449" s="123" t="n"/>
      <c r="I4449" s="123" t="n"/>
      <c r="J4449" s="123" t="n"/>
      <c r="K4449" s="123" t="n"/>
      <c r="L4449" s="123" t="n"/>
      <c r="M4449" s="123">
        <f>IF(AND(B4449&lt;&gt;"",OR($C$4="",ISNUMBER(SEARCH($C$4,C4449&amp;" "&amp;E4449&amp;" "&amp;G4449&amp;" "&amp;H4449&amp;" "&amp;I4449&amp;" "&amp;J4449&amp;" "&amp;K4449&amp;" "&amp;L4449))),OR($C$5="Semua",$C$5="",G4449=$C$5),OR($C$6="Semua",$C$6="",H4449=$C$6,H4449="Pengeluaran "&amp;$C$6,AND($C$6="Uang Kos Mama",H4449="Pengeluaran Uang Kos")),OR($C$7="Semua",$C$7="",I4449=$C$7),OR($C$8="Semua",$C$8="",C4449=$C$8,E4449=$C$8),OR($C$9="Semua",$C$9="",D4449=$C$9),OR($C$10="",B4449&gt;=$C$10),OR($C$11="",B4449&lt;=$C$11),OR($C$12&lt;&gt;"Ya",K4449&lt;&gt;""),OR($C$13="Semua",$C$13="",L4449=$C$13)),"✓","")</f>
        <v/>
      </c>
      <c r="N4449" s="93">
        <f>N(N4448)+IF(M4449="✓",1,0)</f>
        <v/>
      </c>
      <c r="O4449" s="93">
        <f>N(O4448)+IF(AND(B4449&lt;&gt;"",B4449&gt;='Uang Riba'!$H$30,B4449&lt;='Uang Riba'!$I$30,OR(H4449="Dana riba",H4449="Pinjam uang riba",I4449="Pinjam dari uang riba",I4449="Ganti uang riba",I4449="Kelebihan ganti dikembalikan",AND(C4449="Kantong Uang Riba",G4449="Pengeluaran"))),1,0)</f>
        <v/>
      </c>
      <c r="X4449" s="93">
        <f>IF(AND(B4449&lt;&gt;"",B4449&gt;='Buku Akun'!$H$4,B4449&lt;='Buku Akun'!$H$5,OR(C4449='Buku Akun'!$C$4,AND(D4449="Pindah",E4449='Buku Akun'!$C$4))),B4449+IF(AND(I4449="Selisih bunga",DAY(B4449)=1),0,0.01)+ROW()/10000000,"")</f>
        <v/>
      </c>
    </row>
    <row r="4450" outlineLevel="1" ht="15" customHeight="1" s="94">
      <c r="A4450" s="123">
        <f>IF(B4450="","",ROW()-15)</f>
        <v/>
      </c>
      <c r="B4450" s="124" t="n"/>
      <c r="C4450" s="123" t="n"/>
      <c r="D4450" s="123" t="n"/>
      <c r="E4450" s="123" t="n"/>
      <c r="F4450" s="125" t="n"/>
      <c r="G4450" s="123" t="n"/>
      <c r="H4450" s="123" t="n"/>
      <c r="I4450" s="123" t="n"/>
      <c r="J4450" s="123" t="n"/>
      <c r="K4450" s="123" t="n"/>
      <c r="L4450" s="123" t="n"/>
      <c r="M4450" s="123">
        <f>IF(AND(B4450&lt;&gt;"",OR($C$4="",ISNUMBER(SEARCH($C$4,C4450&amp;" "&amp;E4450&amp;" "&amp;G4450&amp;" "&amp;H4450&amp;" "&amp;I4450&amp;" "&amp;J4450&amp;" "&amp;K4450&amp;" "&amp;L4450))),OR($C$5="Semua",$C$5="",G4450=$C$5),OR($C$6="Semua",$C$6="",H4450=$C$6,H4450="Pengeluaran "&amp;$C$6,AND($C$6="Uang Kos Mama",H4450="Pengeluaran Uang Kos")),OR($C$7="Semua",$C$7="",I4450=$C$7),OR($C$8="Semua",$C$8="",C4450=$C$8,E4450=$C$8),OR($C$9="Semua",$C$9="",D4450=$C$9),OR($C$10="",B4450&gt;=$C$10),OR($C$11="",B4450&lt;=$C$11),OR($C$12&lt;&gt;"Ya",K4450&lt;&gt;""),OR($C$13="Semua",$C$13="",L4450=$C$13)),"✓","")</f>
        <v/>
      </c>
      <c r="N4450" s="93">
        <f>N(N4449)+IF(M4450="✓",1,0)</f>
        <v/>
      </c>
      <c r="O4450" s="93">
        <f>N(O4449)+IF(AND(B4450&lt;&gt;"",B4450&gt;='Uang Riba'!$H$30,B4450&lt;='Uang Riba'!$I$30,OR(H4450="Dana riba",H4450="Pinjam uang riba",I4450="Pinjam dari uang riba",I4450="Ganti uang riba",I4450="Kelebihan ganti dikembalikan",AND(C4450="Kantong Uang Riba",G4450="Pengeluaran"))),1,0)</f>
        <v/>
      </c>
      <c r="X4450" s="93">
        <f>IF(AND(B4450&lt;&gt;"",B4450&gt;='Buku Akun'!$H$4,B4450&lt;='Buku Akun'!$H$5,OR(C4450='Buku Akun'!$C$4,AND(D4450="Pindah",E4450='Buku Akun'!$C$4))),B4450+IF(AND(I4450="Selisih bunga",DAY(B4450)=1),0,0.01)+ROW()/10000000,"")</f>
        <v/>
      </c>
    </row>
    <row r="4451" outlineLevel="1" ht="15" customHeight="1" s="94">
      <c r="A4451" s="123">
        <f>IF(B4451="","",ROW()-15)</f>
        <v/>
      </c>
      <c r="B4451" s="124" t="n"/>
      <c r="C4451" s="123" t="n"/>
      <c r="D4451" s="123" t="n"/>
      <c r="E4451" s="123" t="n"/>
      <c r="F4451" s="125" t="n"/>
      <c r="G4451" s="123" t="n"/>
      <c r="H4451" s="123" t="n"/>
      <c r="I4451" s="123" t="n"/>
      <c r="J4451" s="123" t="n"/>
      <c r="K4451" s="123" t="n"/>
      <c r="L4451" s="123" t="n"/>
      <c r="M4451" s="123">
        <f>IF(AND(B4451&lt;&gt;"",OR($C$4="",ISNUMBER(SEARCH($C$4,C4451&amp;" "&amp;E4451&amp;" "&amp;G4451&amp;" "&amp;H4451&amp;" "&amp;I4451&amp;" "&amp;J4451&amp;" "&amp;K4451&amp;" "&amp;L4451))),OR($C$5="Semua",$C$5="",G4451=$C$5),OR($C$6="Semua",$C$6="",H4451=$C$6,H4451="Pengeluaran "&amp;$C$6,AND($C$6="Uang Kos Mama",H4451="Pengeluaran Uang Kos")),OR($C$7="Semua",$C$7="",I4451=$C$7),OR($C$8="Semua",$C$8="",C4451=$C$8,E4451=$C$8),OR($C$9="Semua",$C$9="",D4451=$C$9),OR($C$10="",B4451&gt;=$C$10),OR($C$11="",B4451&lt;=$C$11),OR($C$12&lt;&gt;"Ya",K4451&lt;&gt;""),OR($C$13="Semua",$C$13="",L4451=$C$13)),"✓","")</f>
        <v/>
      </c>
      <c r="N4451" s="93">
        <f>N(N4450)+IF(M4451="✓",1,0)</f>
        <v/>
      </c>
      <c r="O4451" s="93">
        <f>N(O4450)+IF(AND(B4451&lt;&gt;"",B4451&gt;='Uang Riba'!$H$30,B4451&lt;='Uang Riba'!$I$30,OR(H4451="Dana riba",H4451="Pinjam uang riba",I4451="Pinjam dari uang riba",I4451="Ganti uang riba",I4451="Kelebihan ganti dikembalikan",AND(C4451="Kantong Uang Riba",G4451="Pengeluaran"))),1,0)</f>
        <v/>
      </c>
      <c r="X4451" s="93">
        <f>IF(AND(B4451&lt;&gt;"",B4451&gt;='Buku Akun'!$H$4,B4451&lt;='Buku Akun'!$H$5,OR(C4451='Buku Akun'!$C$4,AND(D4451="Pindah",E4451='Buku Akun'!$C$4))),B4451+IF(AND(I4451="Selisih bunga",DAY(B4451)=1),0,0.01)+ROW()/10000000,"")</f>
        <v/>
      </c>
    </row>
    <row r="4452" outlineLevel="1" ht="15" customHeight="1" s="94">
      <c r="A4452" s="123">
        <f>IF(B4452="","",ROW()-15)</f>
        <v/>
      </c>
      <c r="B4452" s="124" t="n"/>
      <c r="C4452" s="123" t="n"/>
      <c r="D4452" s="123" t="n"/>
      <c r="E4452" s="123" t="n"/>
      <c r="F4452" s="125" t="n"/>
      <c r="G4452" s="123" t="n"/>
      <c r="H4452" s="123" t="n"/>
      <c r="I4452" s="123" t="n"/>
      <c r="J4452" s="123" t="n"/>
      <c r="K4452" s="123" t="n"/>
      <c r="L4452" s="123" t="n"/>
      <c r="M4452" s="123">
        <f>IF(AND(B4452&lt;&gt;"",OR($C$4="",ISNUMBER(SEARCH($C$4,C4452&amp;" "&amp;E4452&amp;" "&amp;G4452&amp;" "&amp;H4452&amp;" "&amp;I4452&amp;" "&amp;J4452&amp;" "&amp;K4452&amp;" "&amp;L4452))),OR($C$5="Semua",$C$5="",G4452=$C$5),OR($C$6="Semua",$C$6="",H4452=$C$6,H4452="Pengeluaran "&amp;$C$6,AND($C$6="Uang Kos Mama",H4452="Pengeluaran Uang Kos")),OR($C$7="Semua",$C$7="",I4452=$C$7),OR($C$8="Semua",$C$8="",C4452=$C$8,E4452=$C$8),OR($C$9="Semua",$C$9="",D4452=$C$9),OR($C$10="",B4452&gt;=$C$10),OR($C$11="",B4452&lt;=$C$11),OR($C$12&lt;&gt;"Ya",K4452&lt;&gt;""),OR($C$13="Semua",$C$13="",L4452=$C$13)),"✓","")</f>
        <v/>
      </c>
      <c r="N4452" s="93">
        <f>N(N4451)+IF(M4452="✓",1,0)</f>
        <v/>
      </c>
      <c r="O4452" s="93">
        <f>N(O4451)+IF(AND(B4452&lt;&gt;"",B4452&gt;='Uang Riba'!$H$30,B4452&lt;='Uang Riba'!$I$30,OR(H4452="Dana riba",H4452="Pinjam uang riba",I4452="Pinjam dari uang riba",I4452="Ganti uang riba",I4452="Kelebihan ganti dikembalikan",AND(C4452="Kantong Uang Riba",G4452="Pengeluaran"))),1,0)</f>
        <v/>
      </c>
      <c r="X4452" s="93">
        <f>IF(AND(B4452&lt;&gt;"",B4452&gt;='Buku Akun'!$H$4,B4452&lt;='Buku Akun'!$H$5,OR(C4452='Buku Akun'!$C$4,AND(D4452="Pindah",E4452='Buku Akun'!$C$4))),B4452+IF(AND(I4452="Selisih bunga",DAY(B4452)=1),0,0.01)+ROW()/10000000,"")</f>
        <v/>
      </c>
    </row>
    <row r="4453" outlineLevel="1" ht="15" customHeight="1" s="94">
      <c r="A4453" s="123">
        <f>IF(B4453="","",ROW()-15)</f>
        <v/>
      </c>
      <c r="B4453" s="124" t="n"/>
      <c r="C4453" s="123" t="n"/>
      <c r="D4453" s="123" t="n"/>
      <c r="E4453" s="123" t="n"/>
      <c r="F4453" s="125" t="n"/>
      <c r="G4453" s="123" t="n"/>
      <c r="H4453" s="123" t="n"/>
      <c r="I4453" s="123" t="n"/>
      <c r="J4453" s="123" t="n"/>
      <c r="K4453" s="123" t="n"/>
      <c r="L4453" s="123" t="n"/>
      <c r="M4453" s="123">
        <f>IF(AND(B4453&lt;&gt;"",OR($C$4="",ISNUMBER(SEARCH($C$4,C4453&amp;" "&amp;E4453&amp;" "&amp;G4453&amp;" "&amp;H4453&amp;" "&amp;I4453&amp;" "&amp;J4453&amp;" "&amp;K4453&amp;" "&amp;L4453))),OR($C$5="Semua",$C$5="",G4453=$C$5),OR($C$6="Semua",$C$6="",H4453=$C$6,H4453="Pengeluaran "&amp;$C$6,AND($C$6="Uang Kos Mama",H4453="Pengeluaran Uang Kos")),OR($C$7="Semua",$C$7="",I4453=$C$7),OR($C$8="Semua",$C$8="",C4453=$C$8,E4453=$C$8),OR($C$9="Semua",$C$9="",D4453=$C$9),OR($C$10="",B4453&gt;=$C$10),OR($C$11="",B4453&lt;=$C$11),OR($C$12&lt;&gt;"Ya",K4453&lt;&gt;""),OR($C$13="Semua",$C$13="",L4453=$C$13)),"✓","")</f>
        <v/>
      </c>
      <c r="N4453" s="93">
        <f>N(N4452)+IF(M4453="✓",1,0)</f>
        <v/>
      </c>
      <c r="O4453" s="93">
        <f>N(O4452)+IF(AND(B4453&lt;&gt;"",B4453&gt;='Uang Riba'!$H$30,B4453&lt;='Uang Riba'!$I$30,OR(H4453="Dana riba",H4453="Pinjam uang riba",I4453="Pinjam dari uang riba",I4453="Ganti uang riba",I4453="Kelebihan ganti dikembalikan",AND(C4453="Kantong Uang Riba",G4453="Pengeluaran"))),1,0)</f>
        <v/>
      </c>
      <c r="X4453" s="93">
        <f>IF(AND(B4453&lt;&gt;"",B4453&gt;='Buku Akun'!$H$4,B4453&lt;='Buku Akun'!$H$5,OR(C4453='Buku Akun'!$C$4,AND(D4453="Pindah",E4453='Buku Akun'!$C$4))),B4453+IF(AND(I4453="Selisih bunga",DAY(B4453)=1),0,0.01)+ROW()/10000000,"")</f>
        <v/>
      </c>
    </row>
    <row r="4454" outlineLevel="1" ht="15" customHeight="1" s="94">
      <c r="A4454" s="123">
        <f>IF(B4454="","",ROW()-15)</f>
        <v/>
      </c>
      <c r="B4454" s="124" t="n"/>
      <c r="C4454" s="123" t="n"/>
      <c r="D4454" s="123" t="n"/>
      <c r="E4454" s="123" t="n"/>
      <c r="F4454" s="125" t="n"/>
      <c r="G4454" s="123" t="n"/>
      <c r="H4454" s="123" t="n"/>
      <c r="I4454" s="123" t="n"/>
      <c r="J4454" s="123" t="n"/>
      <c r="K4454" s="123" t="n"/>
      <c r="L4454" s="123" t="n"/>
      <c r="M4454" s="123">
        <f>IF(AND(B4454&lt;&gt;"",OR($C$4="",ISNUMBER(SEARCH($C$4,C4454&amp;" "&amp;E4454&amp;" "&amp;G4454&amp;" "&amp;H4454&amp;" "&amp;I4454&amp;" "&amp;J4454&amp;" "&amp;K4454&amp;" "&amp;L4454))),OR($C$5="Semua",$C$5="",G4454=$C$5),OR($C$6="Semua",$C$6="",H4454=$C$6,H4454="Pengeluaran "&amp;$C$6,AND($C$6="Uang Kos Mama",H4454="Pengeluaran Uang Kos")),OR($C$7="Semua",$C$7="",I4454=$C$7),OR($C$8="Semua",$C$8="",C4454=$C$8,E4454=$C$8),OR($C$9="Semua",$C$9="",D4454=$C$9),OR($C$10="",B4454&gt;=$C$10),OR($C$11="",B4454&lt;=$C$11),OR($C$12&lt;&gt;"Ya",K4454&lt;&gt;""),OR($C$13="Semua",$C$13="",L4454=$C$13)),"✓","")</f>
        <v/>
      </c>
      <c r="N4454" s="93">
        <f>N(N4453)+IF(M4454="✓",1,0)</f>
        <v/>
      </c>
      <c r="O4454" s="93">
        <f>N(O4453)+IF(AND(B4454&lt;&gt;"",B4454&gt;='Uang Riba'!$H$30,B4454&lt;='Uang Riba'!$I$30,OR(H4454="Dana riba",H4454="Pinjam uang riba",I4454="Pinjam dari uang riba",I4454="Ganti uang riba",I4454="Kelebihan ganti dikembalikan",AND(C4454="Kantong Uang Riba",G4454="Pengeluaran"))),1,0)</f>
        <v/>
      </c>
      <c r="X4454" s="93">
        <f>IF(AND(B4454&lt;&gt;"",B4454&gt;='Buku Akun'!$H$4,B4454&lt;='Buku Akun'!$H$5,OR(C4454='Buku Akun'!$C$4,AND(D4454="Pindah",E4454='Buku Akun'!$C$4))),B4454+IF(AND(I4454="Selisih bunga",DAY(B4454)=1),0,0.01)+ROW()/10000000,"")</f>
        <v/>
      </c>
    </row>
    <row r="4455" outlineLevel="1" ht="15" customHeight="1" s="94">
      <c r="A4455" s="123">
        <f>IF(B4455="","",ROW()-15)</f>
        <v/>
      </c>
      <c r="B4455" s="124" t="n"/>
      <c r="C4455" s="123" t="n"/>
      <c r="D4455" s="123" t="n"/>
      <c r="E4455" s="123" t="n"/>
      <c r="F4455" s="125" t="n"/>
      <c r="G4455" s="123" t="n"/>
      <c r="H4455" s="123" t="n"/>
      <c r="I4455" s="123" t="n"/>
      <c r="J4455" s="123" t="n"/>
      <c r="K4455" s="123" t="n"/>
      <c r="L4455" s="123" t="n"/>
      <c r="M4455" s="123">
        <f>IF(AND(B4455&lt;&gt;"",OR($C$4="",ISNUMBER(SEARCH($C$4,C4455&amp;" "&amp;E4455&amp;" "&amp;G4455&amp;" "&amp;H4455&amp;" "&amp;I4455&amp;" "&amp;J4455&amp;" "&amp;K4455&amp;" "&amp;L4455))),OR($C$5="Semua",$C$5="",G4455=$C$5),OR($C$6="Semua",$C$6="",H4455=$C$6,H4455="Pengeluaran "&amp;$C$6,AND($C$6="Uang Kos Mama",H4455="Pengeluaran Uang Kos")),OR($C$7="Semua",$C$7="",I4455=$C$7),OR($C$8="Semua",$C$8="",C4455=$C$8,E4455=$C$8),OR($C$9="Semua",$C$9="",D4455=$C$9),OR($C$10="",B4455&gt;=$C$10),OR($C$11="",B4455&lt;=$C$11),OR($C$12&lt;&gt;"Ya",K4455&lt;&gt;""),OR($C$13="Semua",$C$13="",L4455=$C$13)),"✓","")</f>
        <v/>
      </c>
      <c r="N4455" s="93">
        <f>N(N4454)+IF(M4455="✓",1,0)</f>
        <v/>
      </c>
      <c r="O4455" s="93">
        <f>N(O4454)+IF(AND(B4455&lt;&gt;"",B4455&gt;='Uang Riba'!$H$30,B4455&lt;='Uang Riba'!$I$30,OR(H4455="Dana riba",H4455="Pinjam uang riba",I4455="Pinjam dari uang riba",I4455="Ganti uang riba",I4455="Kelebihan ganti dikembalikan",AND(C4455="Kantong Uang Riba",G4455="Pengeluaran"))),1,0)</f>
        <v/>
      </c>
      <c r="X4455" s="93">
        <f>IF(AND(B4455&lt;&gt;"",B4455&gt;='Buku Akun'!$H$4,B4455&lt;='Buku Akun'!$H$5,OR(C4455='Buku Akun'!$C$4,AND(D4455="Pindah",E4455='Buku Akun'!$C$4))),B4455+IF(AND(I4455="Selisih bunga",DAY(B4455)=1),0,0.01)+ROW()/10000000,"")</f>
        <v/>
      </c>
    </row>
    <row r="4456" outlineLevel="1" ht="15" customHeight="1" s="94">
      <c r="A4456" s="123">
        <f>IF(B4456="","",ROW()-15)</f>
        <v/>
      </c>
      <c r="B4456" s="124" t="n"/>
      <c r="C4456" s="123" t="n"/>
      <c r="D4456" s="123" t="n"/>
      <c r="E4456" s="123" t="n"/>
      <c r="F4456" s="125" t="n"/>
      <c r="G4456" s="123" t="n"/>
      <c r="H4456" s="123" t="n"/>
      <c r="I4456" s="123" t="n"/>
      <c r="J4456" s="123" t="n"/>
      <c r="K4456" s="123" t="n"/>
      <c r="L4456" s="123" t="n"/>
      <c r="M4456" s="123">
        <f>IF(AND(B4456&lt;&gt;"",OR($C$4="",ISNUMBER(SEARCH($C$4,C4456&amp;" "&amp;E4456&amp;" "&amp;G4456&amp;" "&amp;H4456&amp;" "&amp;I4456&amp;" "&amp;J4456&amp;" "&amp;K4456&amp;" "&amp;L4456))),OR($C$5="Semua",$C$5="",G4456=$C$5),OR($C$6="Semua",$C$6="",H4456=$C$6,H4456="Pengeluaran "&amp;$C$6,AND($C$6="Uang Kos Mama",H4456="Pengeluaran Uang Kos")),OR($C$7="Semua",$C$7="",I4456=$C$7),OR($C$8="Semua",$C$8="",C4456=$C$8,E4456=$C$8),OR($C$9="Semua",$C$9="",D4456=$C$9),OR($C$10="",B4456&gt;=$C$10),OR($C$11="",B4456&lt;=$C$11),OR($C$12&lt;&gt;"Ya",K4456&lt;&gt;""),OR($C$13="Semua",$C$13="",L4456=$C$13)),"✓","")</f>
        <v/>
      </c>
      <c r="N4456" s="93">
        <f>N(N4455)+IF(M4456="✓",1,0)</f>
        <v/>
      </c>
      <c r="O4456" s="93">
        <f>N(O4455)+IF(AND(B4456&lt;&gt;"",B4456&gt;='Uang Riba'!$H$30,B4456&lt;='Uang Riba'!$I$30,OR(H4456="Dana riba",H4456="Pinjam uang riba",I4456="Pinjam dari uang riba",I4456="Ganti uang riba",I4456="Kelebihan ganti dikembalikan",AND(C4456="Kantong Uang Riba",G4456="Pengeluaran"))),1,0)</f>
        <v/>
      </c>
      <c r="X4456" s="93">
        <f>IF(AND(B4456&lt;&gt;"",B4456&gt;='Buku Akun'!$H$4,B4456&lt;='Buku Akun'!$H$5,OR(C4456='Buku Akun'!$C$4,AND(D4456="Pindah",E4456='Buku Akun'!$C$4))),B4456+IF(AND(I4456="Selisih bunga",DAY(B4456)=1),0,0.01)+ROW()/10000000,"")</f>
        <v/>
      </c>
    </row>
    <row r="4457" outlineLevel="1" ht="15" customHeight="1" s="94">
      <c r="A4457" s="123">
        <f>IF(B4457="","",ROW()-15)</f>
        <v/>
      </c>
      <c r="B4457" s="124" t="n"/>
      <c r="C4457" s="123" t="n"/>
      <c r="D4457" s="123" t="n"/>
      <c r="E4457" s="123" t="n"/>
      <c r="F4457" s="125" t="n"/>
      <c r="G4457" s="123" t="n"/>
      <c r="H4457" s="123" t="n"/>
      <c r="I4457" s="123" t="n"/>
      <c r="J4457" s="123" t="n"/>
      <c r="K4457" s="123" t="n"/>
      <c r="L4457" s="123" t="n"/>
      <c r="M4457" s="123">
        <f>IF(AND(B4457&lt;&gt;"",OR($C$4="",ISNUMBER(SEARCH($C$4,C4457&amp;" "&amp;E4457&amp;" "&amp;G4457&amp;" "&amp;H4457&amp;" "&amp;I4457&amp;" "&amp;J4457&amp;" "&amp;K4457&amp;" "&amp;L4457))),OR($C$5="Semua",$C$5="",G4457=$C$5),OR($C$6="Semua",$C$6="",H4457=$C$6,H4457="Pengeluaran "&amp;$C$6,AND($C$6="Uang Kos Mama",H4457="Pengeluaran Uang Kos")),OR($C$7="Semua",$C$7="",I4457=$C$7),OR($C$8="Semua",$C$8="",C4457=$C$8,E4457=$C$8),OR($C$9="Semua",$C$9="",D4457=$C$9),OR($C$10="",B4457&gt;=$C$10),OR($C$11="",B4457&lt;=$C$11),OR($C$12&lt;&gt;"Ya",K4457&lt;&gt;""),OR($C$13="Semua",$C$13="",L4457=$C$13)),"✓","")</f>
        <v/>
      </c>
      <c r="N4457" s="93">
        <f>N(N4456)+IF(M4457="✓",1,0)</f>
        <v/>
      </c>
      <c r="O4457" s="93">
        <f>N(O4456)+IF(AND(B4457&lt;&gt;"",B4457&gt;='Uang Riba'!$H$30,B4457&lt;='Uang Riba'!$I$30,OR(H4457="Dana riba",H4457="Pinjam uang riba",I4457="Pinjam dari uang riba",I4457="Ganti uang riba",I4457="Kelebihan ganti dikembalikan",AND(C4457="Kantong Uang Riba",G4457="Pengeluaran"))),1,0)</f>
        <v/>
      </c>
      <c r="X4457" s="93">
        <f>IF(AND(B4457&lt;&gt;"",B4457&gt;='Buku Akun'!$H$4,B4457&lt;='Buku Akun'!$H$5,OR(C4457='Buku Akun'!$C$4,AND(D4457="Pindah",E4457='Buku Akun'!$C$4))),B4457+IF(AND(I4457="Selisih bunga",DAY(B4457)=1),0,0.01)+ROW()/10000000,"")</f>
        <v/>
      </c>
    </row>
    <row r="4458" outlineLevel="1" ht="15" customHeight="1" s="94">
      <c r="A4458" s="123">
        <f>IF(B4458="","",ROW()-15)</f>
        <v/>
      </c>
      <c r="B4458" s="124" t="n"/>
      <c r="C4458" s="123" t="n"/>
      <c r="D4458" s="123" t="n"/>
      <c r="E4458" s="123" t="n"/>
      <c r="F4458" s="125" t="n"/>
      <c r="G4458" s="123" t="n"/>
      <c r="H4458" s="123" t="n"/>
      <c r="I4458" s="123" t="n"/>
      <c r="J4458" s="123" t="n"/>
      <c r="K4458" s="123" t="n"/>
      <c r="L4458" s="123" t="n"/>
      <c r="M4458" s="123">
        <f>IF(AND(B4458&lt;&gt;"",OR($C$4="",ISNUMBER(SEARCH($C$4,C4458&amp;" "&amp;E4458&amp;" "&amp;G4458&amp;" "&amp;H4458&amp;" "&amp;I4458&amp;" "&amp;J4458&amp;" "&amp;K4458&amp;" "&amp;L4458))),OR($C$5="Semua",$C$5="",G4458=$C$5),OR($C$6="Semua",$C$6="",H4458=$C$6,H4458="Pengeluaran "&amp;$C$6,AND($C$6="Uang Kos Mama",H4458="Pengeluaran Uang Kos")),OR($C$7="Semua",$C$7="",I4458=$C$7),OR($C$8="Semua",$C$8="",C4458=$C$8,E4458=$C$8),OR($C$9="Semua",$C$9="",D4458=$C$9),OR($C$10="",B4458&gt;=$C$10),OR($C$11="",B4458&lt;=$C$11),OR($C$12&lt;&gt;"Ya",K4458&lt;&gt;""),OR($C$13="Semua",$C$13="",L4458=$C$13)),"✓","")</f>
        <v/>
      </c>
      <c r="N4458" s="93">
        <f>N(N4457)+IF(M4458="✓",1,0)</f>
        <v/>
      </c>
      <c r="O4458" s="93">
        <f>N(O4457)+IF(AND(B4458&lt;&gt;"",B4458&gt;='Uang Riba'!$H$30,B4458&lt;='Uang Riba'!$I$30,OR(H4458="Dana riba",H4458="Pinjam uang riba",I4458="Pinjam dari uang riba",I4458="Ganti uang riba",I4458="Kelebihan ganti dikembalikan",AND(C4458="Kantong Uang Riba",G4458="Pengeluaran"))),1,0)</f>
        <v/>
      </c>
      <c r="X4458" s="93">
        <f>IF(AND(B4458&lt;&gt;"",B4458&gt;='Buku Akun'!$H$4,B4458&lt;='Buku Akun'!$H$5,OR(C4458='Buku Akun'!$C$4,AND(D4458="Pindah",E4458='Buku Akun'!$C$4))),B4458+IF(AND(I4458="Selisih bunga",DAY(B4458)=1),0,0.01)+ROW()/10000000,"")</f>
        <v/>
      </c>
    </row>
    <row r="4459" outlineLevel="1" ht="15" customHeight="1" s="94">
      <c r="A4459" s="123">
        <f>IF(B4459="","",ROW()-15)</f>
        <v/>
      </c>
      <c r="B4459" s="124" t="n"/>
      <c r="C4459" s="123" t="n"/>
      <c r="D4459" s="123" t="n"/>
      <c r="E4459" s="123" t="n"/>
      <c r="F4459" s="125" t="n"/>
      <c r="G4459" s="123" t="n"/>
      <c r="H4459" s="123" t="n"/>
      <c r="I4459" s="123" t="n"/>
      <c r="J4459" s="123" t="n"/>
      <c r="K4459" s="123" t="n"/>
      <c r="L4459" s="123" t="n"/>
      <c r="M4459" s="123">
        <f>IF(AND(B4459&lt;&gt;"",OR($C$4="",ISNUMBER(SEARCH($C$4,C4459&amp;" "&amp;E4459&amp;" "&amp;G4459&amp;" "&amp;H4459&amp;" "&amp;I4459&amp;" "&amp;J4459&amp;" "&amp;K4459&amp;" "&amp;L4459))),OR($C$5="Semua",$C$5="",G4459=$C$5),OR($C$6="Semua",$C$6="",H4459=$C$6,H4459="Pengeluaran "&amp;$C$6,AND($C$6="Uang Kos Mama",H4459="Pengeluaran Uang Kos")),OR($C$7="Semua",$C$7="",I4459=$C$7),OR($C$8="Semua",$C$8="",C4459=$C$8,E4459=$C$8),OR($C$9="Semua",$C$9="",D4459=$C$9),OR($C$10="",B4459&gt;=$C$10),OR($C$11="",B4459&lt;=$C$11),OR($C$12&lt;&gt;"Ya",K4459&lt;&gt;""),OR($C$13="Semua",$C$13="",L4459=$C$13)),"✓","")</f>
        <v/>
      </c>
      <c r="N4459" s="93">
        <f>N(N4458)+IF(M4459="✓",1,0)</f>
        <v/>
      </c>
      <c r="O4459" s="93">
        <f>N(O4458)+IF(AND(B4459&lt;&gt;"",B4459&gt;='Uang Riba'!$H$30,B4459&lt;='Uang Riba'!$I$30,OR(H4459="Dana riba",H4459="Pinjam uang riba",I4459="Pinjam dari uang riba",I4459="Ganti uang riba",I4459="Kelebihan ganti dikembalikan",AND(C4459="Kantong Uang Riba",G4459="Pengeluaran"))),1,0)</f>
        <v/>
      </c>
      <c r="X4459" s="93">
        <f>IF(AND(B4459&lt;&gt;"",B4459&gt;='Buku Akun'!$H$4,B4459&lt;='Buku Akun'!$H$5,OR(C4459='Buku Akun'!$C$4,AND(D4459="Pindah",E4459='Buku Akun'!$C$4))),B4459+IF(AND(I4459="Selisih bunga",DAY(B4459)=1),0,0.01)+ROW()/10000000,"")</f>
        <v/>
      </c>
    </row>
    <row r="4460" outlineLevel="1" ht="15" customHeight="1" s="94">
      <c r="A4460" s="123">
        <f>IF(B4460="","",ROW()-15)</f>
        <v/>
      </c>
      <c r="B4460" s="124" t="n"/>
      <c r="C4460" s="123" t="n"/>
      <c r="D4460" s="123" t="n"/>
      <c r="E4460" s="123" t="n"/>
      <c r="F4460" s="125" t="n"/>
      <c r="G4460" s="123" t="n"/>
      <c r="H4460" s="123" t="n"/>
      <c r="I4460" s="123" t="n"/>
      <c r="J4460" s="123" t="n"/>
      <c r="K4460" s="123" t="n"/>
      <c r="L4460" s="123" t="n"/>
      <c r="M4460" s="123">
        <f>IF(AND(B4460&lt;&gt;"",OR($C$4="",ISNUMBER(SEARCH($C$4,C4460&amp;" "&amp;E4460&amp;" "&amp;G4460&amp;" "&amp;H4460&amp;" "&amp;I4460&amp;" "&amp;J4460&amp;" "&amp;K4460&amp;" "&amp;L4460))),OR($C$5="Semua",$C$5="",G4460=$C$5),OR($C$6="Semua",$C$6="",H4460=$C$6,H4460="Pengeluaran "&amp;$C$6,AND($C$6="Uang Kos Mama",H4460="Pengeluaran Uang Kos")),OR($C$7="Semua",$C$7="",I4460=$C$7),OR($C$8="Semua",$C$8="",C4460=$C$8,E4460=$C$8),OR($C$9="Semua",$C$9="",D4460=$C$9),OR($C$10="",B4460&gt;=$C$10),OR($C$11="",B4460&lt;=$C$11),OR($C$12&lt;&gt;"Ya",K4460&lt;&gt;""),OR($C$13="Semua",$C$13="",L4460=$C$13)),"✓","")</f>
        <v/>
      </c>
      <c r="N4460" s="93">
        <f>N(N4459)+IF(M4460="✓",1,0)</f>
        <v/>
      </c>
      <c r="O4460" s="93">
        <f>N(O4459)+IF(AND(B4460&lt;&gt;"",B4460&gt;='Uang Riba'!$H$30,B4460&lt;='Uang Riba'!$I$30,OR(H4460="Dana riba",H4460="Pinjam uang riba",I4460="Pinjam dari uang riba",I4460="Ganti uang riba",I4460="Kelebihan ganti dikembalikan",AND(C4460="Kantong Uang Riba",G4460="Pengeluaran"))),1,0)</f>
        <v/>
      </c>
      <c r="X4460" s="93">
        <f>IF(AND(B4460&lt;&gt;"",B4460&gt;='Buku Akun'!$H$4,B4460&lt;='Buku Akun'!$H$5,OR(C4460='Buku Akun'!$C$4,AND(D4460="Pindah",E4460='Buku Akun'!$C$4))),B4460+IF(AND(I4460="Selisih bunga",DAY(B4460)=1),0,0.01)+ROW()/10000000,"")</f>
        <v/>
      </c>
    </row>
    <row r="4461" outlineLevel="1" ht="15" customHeight="1" s="94">
      <c r="A4461" s="123">
        <f>IF(B4461="","",ROW()-15)</f>
        <v/>
      </c>
      <c r="B4461" s="124" t="n"/>
      <c r="C4461" s="123" t="n"/>
      <c r="D4461" s="123" t="n"/>
      <c r="E4461" s="123" t="n"/>
      <c r="F4461" s="125" t="n"/>
      <c r="G4461" s="123" t="n"/>
      <c r="H4461" s="123" t="n"/>
      <c r="I4461" s="123" t="n"/>
      <c r="J4461" s="123" t="n"/>
      <c r="K4461" s="123" t="n"/>
      <c r="L4461" s="123" t="n"/>
      <c r="M4461" s="123">
        <f>IF(AND(B4461&lt;&gt;"",OR($C$4="",ISNUMBER(SEARCH($C$4,C4461&amp;" "&amp;E4461&amp;" "&amp;G4461&amp;" "&amp;H4461&amp;" "&amp;I4461&amp;" "&amp;J4461&amp;" "&amp;K4461&amp;" "&amp;L4461))),OR($C$5="Semua",$C$5="",G4461=$C$5),OR($C$6="Semua",$C$6="",H4461=$C$6,H4461="Pengeluaran "&amp;$C$6,AND($C$6="Uang Kos Mama",H4461="Pengeluaran Uang Kos")),OR($C$7="Semua",$C$7="",I4461=$C$7),OR($C$8="Semua",$C$8="",C4461=$C$8,E4461=$C$8),OR($C$9="Semua",$C$9="",D4461=$C$9),OR($C$10="",B4461&gt;=$C$10),OR($C$11="",B4461&lt;=$C$11),OR($C$12&lt;&gt;"Ya",K4461&lt;&gt;""),OR($C$13="Semua",$C$13="",L4461=$C$13)),"✓","")</f>
        <v/>
      </c>
      <c r="N4461" s="93">
        <f>N(N4460)+IF(M4461="✓",1,0)</f>
        <v/>
      </c>
      <c r="O4461" s="93">
        <f>N(O4460)+IF(AND(B4461&lt;&gt;"",B4461&gt;='Uang Riba'!$H$30,B4461&lt;='Uang Riba'!$I$30,OR(H4461="Dana riba",H4461="Pinjam uang riba",I4461="Pinjam dari uang riba",I4461="Ganti uang riba",I4461="Kelebihan ganti dikembalikan",AND(C4461="Kantong Uang Riba",G4461="Pengeluaran"))),1,0)</f>
        <v/>
      </c>
      <c r="X4461" s="93">
        <f>IF(AND(B4461&lt;&gt;"",B4461&gt;='Buku Akun'!$H$4,B4461&lt;='Buku Akun'!$H$5,OR(C4461='Buku Akun'!$C$4,AND(D4461="Pindah",E4461='Buku Akun'!$C$4))),B4461+IF(AND(I4461="Selisih bunga",DAY(B4461)=1),0,0.01)+ROW()/10000000,"")</f>
        <v/>
      </c>
    </row>
    <row r="4462" outlineLevel="1" ht="15" customHeight="1" s="94">
      <c r="A4462" s="123">
        <f>IF(B4462="","",ROW()-15)</f>
        <v/>
      </c>
      <c r="B4462" s="124" t="n"/>
      <c r="C4462" s="123" t="n"/>
      <c r="D4462" s="123" t="n"/>
      <c r="E4462" s="123" t="n"/>
      <c r="F4462" s="125" t="n"/>
      <c r="G4462" s="123" t="n"/>
      <c r="H4462" s="123" t="n"/>
      <c r="I4462" s="123" t="n"/>
      <c r="J4462" s="123" t="n"/>
      <c r="K4462" s="123" t="n"/>
      <c r="L4462" s="123" t="n"/>
      <c r="M4462" s="123">
        <f>IF(AND(B4462&lt;&gt;"",OR($C$4="",ISNUMBER(SEARCH($C$4,C4462&amp;" "&amp;E4462&amp;" "&amp;G4462&amp;" "&amp;H4462&amp;" "&amp;I4462&amp;" "&amp;J4462&amp;" "&amp;K4462&amp;" "&amp;L4462))),OR($C$5="Semua",$C$5="",G4462=$C$5),OR($C$6="Semua",$C$6="",H4462=$C$6,H4462="Pengeluaran "&amp;$C$6,AND($C$6="Uang Kos Mama",H4462="Pengeluaran Uang Kos")),OR($C$7="Semua",$C$7="",I4462=$C$7),OR($C$8="Semua",$C$8="",C4462=$C$8,E4462=$C$8),OR($C$9="Semua",$C$9="",D4462=$C$9),OR($C$10="",B4462&gt;=$C$10),OR($C$11="",B4462&lt;=$C$11),OR($C$12&lt;&gt;"Ya",K4462&lt;&gt;""),OR($C$13="Semua",$C$13="",L4462=$C$13)),"✓","")</f>
        <v/>
      </c>
      <c r="N4462" s="93">
        <f>N(N4461)+IF(M4462="✓",1,0)</f>
        <v/>
      </c>
      <c r="O4462" s="93">
        <f>N(O4461)+IF(AND(B4462&lt;&gt;"",B4462&gt;='Uang Riba'!$H$30,B4462&lt;='Uang Riba'!$I$30,OR(H4462="Dana riba",H4462="Pinjam uang riba",I4462="Pinjam dari uang riba",I4462="Ganti uang riba",I4462="Kelebihan ganti dikembalikan",AND(C4462="Kantong Uang Riba",G4462="Pengeluaran"))),1,0)</f>
        <v/>
      </c>
      <c r="X4462" s="93">
        <f>IF(AND(B4462&lt;&gt;"",B4462&gt;='Buku Akun'!$H$4,B4462&lt;='Buku Akun'!$H$5,OR(C4462='Buku Akun'!$C$4,AND(D4462="Pindah",E4462='Buku Akun'!$C$4))),B4462+IF(AND(I4462="Selisih bunga",DAY(B4462)=1),0,0.01)+ROW()/10000000,"")</f>
        <v/>
      </c>
    </row>
    <row r="4463" outlineLevel="1" ht="15" customHeight="1" s="94">
      <c r="A4463" s="123">
        <f>IF(B4463="","",ROW()-15)</f>
        <v/>
      </c>
      <c r="B4463" s="124" t="n"/>
      <c r="C4463" s="123" t="n"/>
      <c r="D4463" s="123" t="n"/>
      <c r="E4463" s="123" t="n"/>
      <c r="F4463" s="125" t="n"/>
      <c r="G4463" s="123" t="n"/>
      <c r="H4463" s="123" t="n"/>
      <c r="I4463" s="123" t="n"/>
      <c r="J4463" s="123" t="n"/>
      <c r="K4463" s="123" t="n"/>
      <c r="L4463" s="123" t="n"/>
      <c r="M4463" s="123">
        <f>IF(AND(B4463&lt;&gt;"",OR($C$4="",ISNUMBER(SEARCH($C$4,C4463&amp;" "&amp;E4463&amp;" "&amp;G4463&amp;" "&amp;H4463&amp;" "&amp;I4463&amp;" "&amp;J4463&amp;" "&amp;K4463&amp;" "&amp;L4463))),OR($C$5="Semua",$C$5="",G4463=$C$5),OR($C$6="Semua",$C$6="",H4463=$C$6,H4463="Pengeluaran "&amp;$C$6,AND($C$6="Uang Kos Mama",H4463="Pengeluaran Uang Kos")),OR($C$7="Semua",$C$7="",I4463=$C$7),OR($C$8="Semua",$C$8="",C4463=$C$8,E4463=$C$8),OR($C$9="Semua",$C$9="",D4463=$C$9),OR($C$10="",B4463&gt;=$C$10),OR($C$11="",B4463&lt;=$C$11),OR($C$12&lt;&gt;"Ya",K4463&lt;&gt;""),OR($C$13="Semua",$C$13="",L4463=$C$13)),"✓","")</f>
        <v/>
      </c>
      <c r="N4463" s="93">
        <f>N(N4462)+IF(M4463="✓",1,0)</f>
        <v/>
      </c>
      <c r="O4463" s="93">
        <f>N(O4462)+IF(AND(B4463&lt;&gt;"",B4463&gt;='Uang Riba'!$H$30,B4463&lt;='Uang Riba'!$I$30,OR(H4463="Dana riba",H4463="Pinjam uang riba",I4463="Pinjam dari uang riba",I4463="Ganti uang riba",I4463="Kelebihan ganti dikembalikan",AND(C4463="Kantong Uang Riba",G4463="Pengeluaran"))),1,0)</f>
        <v/>
      </c>
      <c r="X4463" s="93">
        <f>IF(AND(B4463&lt;&gt;"",B4463&gt;='Buku Akun'!$H$4,B4463&lt;='Buku Akun'!$H$5,OR(C4463='Buku Akun'!$C$4,AND(D4463="Pindah",E4463='Buku Akun'!$C$4))),B4463+IF(AND(I4463="Selisih bunga",DAY(B4463)=1),0,0.01)+ROW()/10000000,"")</f>
        <v/>
      </c>
    </row>
    <row r="4464" outlineLevel="1" ht="15" customHeight="1" s="94">
      <c r="A4464" s="123">
        <f>IF(B4464="","",ROW()-15)</f>
        <v/>
      </c>
      <c r="B4464" s="124" t="n"/>
      <c r="C4464" s="123" t="n"/>
      <c r="D4464" s="123" t="n"/>
      <c r="E4464" s="123" t="n"/>
      <c r="F4464" s="125" t="n"/>
      <c r="G4464" s="123" t="n"/>
      <c r="H4464" s="123" t="n"/>
      <c r="I4464" s="123" t="n"/>
      <c r="J4464" s="123" t="n"/>
      <c r="K4464" s="123" t="n"/>
      <c r="L4464" s="123" t="n"/>
      <c r="M4464" s="123">
        <f>IF(AND(B4464&lt;&gt;"",OR($C$4="",ISNUMBER(SEARCH($C$4,C4464&amp;" "&amp;E4464&amp;" "&amp;G4464&amp;" "&amp;H4464&amp;" "&amp;I4464&amp;" "&amp;J4464&amp;" "&amp;K4464&amp;" "&amp;L4464))),OR($C$5="Semua",$C$5="",G4464=$C$5),OR($C$6="Semua",$C$6="",H4464=$C$6,H4464="Pengeluaran "&amp;$C$6,AND($C$6="Uang Kos Mama",H4464="Pengeluaran Uang Kos")),OR($C$7="Semua",$C$7="",I4464=$C$7),OR($C$8="Semua",$C$8="",C4464=$C$8,E4464=$C$8),OR($C$9="Semua",$C$9="",D4464=$C$9),OR($C$10="",B4464&gt;=$C$10),OR($C$11="",B4464&lt;=$C$11),OR($C$12&lt;&gt;"Ya",K4464&lt;&gt;""),OR($C$13="Semua",$C$13="",L4464=$C$13)),"✓","")</f>
        <v/>
      </c>
      <c r="N4464" s="93">
        <f>N(N4463)+IF(M4464="✓",1,0)</f>
        <v/>
      </c>
      <c r="O4464" s="93">
        <f>N(O4463)+IF(AND(B4464&lt;&gt;"",B4464&gt;='Uang Riba'!$H$30,B4464&lt;='Uang Riba'!$I$30,OR(H4464="Dana riba",H4464="Pinjam uang riba",I4464="Pinjam dari uang riba",I4464="Ganti uang riba",I4464="Kelebihan ganti dikembalikan",AND(C4464="Kantong Uang Riba",G4464="Pengeluaran"))),1,0)</f>
        <v/>
      </c>
      <c r="X4464" s="93">
        <f>IF(AND(B4464&lt;&gt;"",B4464&gt;='Buku Akun'!$H$4,B4464&lt;='Buku Akun'!$H$5,OR(C4464='Buku Akun'!$C$4,AND(D4464="Pindah",E4464='Buku Akun'!$C$4))),B4464+IF(AND(I4464="Selisih bunga",DAY(B4464)=1),0,0.01)+ROW()/10000000,"")</f>
        <v/>
      </c>
    </row>
    <row r="4465" outlineLevel="1" ht="15" customHeight="1" s="94">
      <c r="A4465" s="123">
        <f>IF(B4465="","",ROW()-15)</f>
        <v/>
      </c>
      <c r="B4465" s="124" t="n"/>
      <c r="C4465" s="123" t="n"/>
      <c r="D4465" s="123" t="n"/>
      <c r="E4465" s="123" t="n"/>
      <c r="F4465" s="125" t="n"/>
      <c r="G4465" s="123" t="n"/>
      <c r="H4465" s="123" t="n"/>
      <c r="I4465" s="123" t="n"/>
      <c r="J4465" s="123" t="n"/>
      <c r="K4465" s="123" t="n"/>
      <c r="L4465" s="123" t="n"/>
      <c r="M4465" s="123">
        <f>IF(AND(B4465&lt;&gt;"",OR($C$4="",ISNUMBER(SEARCH($C$4,C4465&amp;" "&amp;E4465&amp;" "&amp;G4465&amp;" "&amp;H4465&amp;" "&amp;I4465&amp;" "&amp;J4465&amp;" "&amp;K4465&amp;" "&amp;L4465))),OR($C$5="Semua",$C$5="",G4465=$C$5),OR($C$6="Semua",$C$6="",H4465=$C$6,H4465="Pengeluaran "&amp;$C$6,AND($C$6="Uang Kos Mama",H4465="Pengeluaran Uang Kos")),OR($C$7="Semua",$C$7="",I4465=$C$7),OR($C$8="Semua",$C$8="",C4465=$C$8,E4465=$C$8),OR($C$9="Semua",$C$9="",D4465=$C$9),OR($C$10="",B4465&gt;=$C$10),OR($C$11="",B4465&lt;=$C$11),OR($C$12&lt;&gt;"Ya",K4465&lt;&gt;""),OR($C$13="Semua",$C$13="",L4465=$C$13)),"✓","")</f>
        <v/>
      </c>
      <c r="N4465" s="93">
        <f>N(N4464)+IF(M4465="✓",1,0)</f>
        <v/>
      </c>
      <c r="O4465" s="93">
        <f>N(O4464)+IF(AND(B4465&lt;&gt;"",B4465&gt;='Uang Riba'!$H$30,B4465&lt;='Uang Riba'!$I$30,OR(H4465="Dana riba",H4465="Pinjam uang riba",I4465="Pinjam dari uang riba",I4465="Ganti uang riba",I4465="Kelebihan ganti dikembalikan",AND(C4465="Kantong Uang Riba",G4465="Pengeluaran"))),1,0)</f>
        <v/>
      </c>
      <c r="X4465" s="93">
        <f>IF(AND(B4465&lt;&gt;"",B4465&gt;='Buku Akun'!$H$4,B4465&lt;='Buku Akun'!$H$5,OR(C4465='Buku Akun'!$C$4,AND(D4465="Pindah",E4465='Buku Akun'!$C$4))),B4465+IF(AND(I4465="Selisih bunga",DAY(B4465)=1),0,0.01)+ROW()/10000000,"")</f>
        <v/>
      </c>
    </row>
    <row r="4466" outlineLevel="1" ht="15" customHeight="1" s="94">
      <c r="A4466" s="123">
        <f>IF(B4466="","",ROW()-15)</f>
        <v/>
      </c>
      <c r="B4466" s="124" t="n"/>
      <c r="C4466" s="123" t="n"/>
      <c r="D4466" s="123" t="n"/>
      <c r="E4466" s="123" t="n"/>
      <c r="F4466" s="125" t="n"/>
      <c r="G4466" s="123" t="n"/>
      <c r="H4466" s="123" t="n"/>
      <c r="I4466" s="123" t="n"/>
      <c r="J4466" s="123" t="n"/>
      <c r="K4466" s="123" t="n"/>
      <c r="L4466" s="123" t="n"/>
      <c r="M4466" s="123">
        <f>IF(AND(B4466&lt;&gt;"",OR($C$4="",ISNUMBER(SEARCH($C$4,C4466&amp;" "&amp;E4466&amp;" "&amp;G4466&amp;" "&amp;H4466&amp;" "&amp;I4466&amp;" "&amp;J4466&amp;" "&amp;K4466&amp;" "&amp;L4466))),OR($C$5="Semua",$C$5="",G4466=$C$5),OR($C$6="Semua",$C$6="",H4466=$C$6,H4466="Pengeluaran "&amp;$C$6,AND($C$6="Uang Kos Mama",H4466="Pengeluaran Uang Kos")),OR($C$7="Semua",$C$7="",I4466=$C$7),OR($C$8="Semua",$C$8="",C4466=$C$8,E4466=$C$8),OR($C$9="Semua",$C$9="",D4466=$C$9),OR($C$10="",B4466&gt;=$C$10),OR($C$11="",B4466&lt;=$C$11),OR($C$12&lt;&gt;"Ya",K4466&lt;&gt;""),OR($C$13="Semua",$C$13="",L4466=$C$13)),"✓","")</f>
        <v/>
      </c>
      <c r="N4466" s="93">
        <f>N(N4465)+IF(M4466="✓",1,0)</f>
        <v/>
      </c>
      <c r="O4466" s="93">
        <f>N(O4465)+IF(AND(B4466&lt;&gt;"",B4466&gt;='Uang Riba'!$H$30,B4466&lt;='Uang Riba'!$I$30,OR(H4466="Dana riba",H4466="Pinjam uang riba",I4466="Pinjam dari uang riba",I4466="Ganti uang riba",I4466="Kelebihan ganti dikembalikan",AND(C4466="Kantong Uang Riba",G4466="Pengeluaran"))),1,0)</f>
        <v/>
      </c>
      <c r="X4466" s="93">
        <f>IF(AND(B4466&lt;&gt;"",B4466&gt;='Buku Akun'!$H$4,B4466&lt;='Buku Akun'!$H$5,OR(C4466='Buku Akun'!$C$4,AND(D4466="Pindah",E4466='Buku Akun'!$C$4))),B4466+IF(AND(I4466="Selisih bunga",DAY(B4466)=1),0,0.01)+ROW()/10000000,"")</f>
        <v/>
      </c>
    </row>
    <row r="4467" outlineLevel="1" ht="15" customHeight="1" s="94">
      <c r="A4467" s="123">
        <f>IF(B4467="","",ROW()-15)</f>
        <v/>
      </c>
      <c r="B4467" s="124" t="n"/>
      <c r="C4467" s="123" t="n"/>
      <c r="D4467" s="123" t="n"/>
      <c r="E4467" s="123" t="n"/>
      <c r="F4467" s="125" t="n"/>
      <c r="G4467" s="123" t="n"/>
      <c r="H4467" s="123" t="n"/>
      <c r="I4467" s="123" t="n"/>
      <c r="J4467" s="123" t="n"/>
      <c r="K4467" s="123" t="n"/>
      <c r="L4467" s="123" t="n"/>
      <c r="M4467" s="123">
        <f>IF(AND(B4467&lt;&gt;"",OR($C$4="",ISNUMBER(SEARCH($C$4,C4467&amp;" "&amp;E4467&amp;" "&amp;G4467&amp;" "&amp;H4467&amp;" "&amp;I4467&amp;" "&amp;J4467&amp;" "&amp;K4467&amp;" "&amp;L4467))),OR($C$5="Semua",$C$5="",G4467=$C$5),OR($C$6="Semua",$C$6="",H4467=$C$6,H4467="Pengeluaran "&amp;$C$6,AND($C$6="Uang Kos Mama",H4467="Pengeluaran Uang Kos")),OR($C$7="Semua",$C$7="",I4467=$C$7),OR($C$8="Semua",$C$8="",C4467=$C$8,E4467=$C$8),OR($C$9="Semua",$C$9="",D4467=$C$9),OR($C$10="",B4467&gt;=$C$10),OR($C$11="",B4467&lt;=$C$11),OR($C$12&lt;&gt;"Ya",K4467&lt;&gt;""),OR($C$13="Semua",$C$13="",L4467=$C$13)),"✓","")</f>
        <v/>
      </c>
      <c r="N4467" s="93">
        <f>N(N4466)+IF(M4467="✓",1,0)</f>
        <v/>
      </c>
      <c r="O4467" s="93">
        <f>N(O4466)+IF(AND(B4467&lt;&gt;"",B4467&gt;='Uang Riba'!$H$30,B4467&lt;='Uang Riba'!$I$30,OR(H4467="Dana riba",H4467="Pinjam uang riba",I4467="Pinjam dari uang riba",I4467="Ganti uang riba",I4467="Kelebihan ganti dikembalikan",AND(C4467="Kantong Uang Riba",G4467="Pengeluaran"))),1,0)</f>
        <v/>
      </c>
      <c r="X4467" s="93">
        <f>IF(AND(B4467&lt;&gt;"",B4467&gt;='Buku Akun'!$H$4,B4467&lt;='Buku Akun'!$H$5,OR(C4467='Buku Akun'!$C$4,AND(D4467="Pindah",E4467='Buku Akun'!$C$4))),B4467+IF(AND(I4467="Selisih bunga",DAY(B4467)=1),0,0.01)+ROW()/10000000,"")</f>
        <v/>
      </c>
    </row>
    <row r="4468" outlineLevel="1" ht="15" customHeight="1" s="94">
      <c r="A4468" s="123">
        <f>IF(B4468="","",ROW()-15)</f>
        <v/>
      </c>
      <c r="B4468" s="124" t="n"/>
      <c r="C4468" s="123" t="n"/>
      <c r="D4468" s="123" t="n"/>
      <c r="E4468" s="123" t="n"/>
      <c r="F4468" s="125" t="n"/>
      <c r="G4468" s="123" t="n"/>
      <c r="H4468" s="123" t="n"/>
      <c r="I4468" s="123" t="n"/>
      <c r="J4468" s="123" t="n"/>
      <c r="K4468" s="123" t="n"/>
      <c r="L4468" s="123" t="n"/>
      <c r="M4468" s="123">
        <f>IF(AND(B4468&lt;&gt;"",OR($C$4="",ISNUMBER(SEARCH($C$4,C4468&amp;" "&amp;E4468&amp;" "&amp;G4468&amp;" "&amp;H4468&amp;" "&amp;I4468&amp;" "&amp;J4468&amp;" "&amp;K4468&amp;" "&amp;L4468))),OR($C$5="Semua",$C$5="",G4468=$C$5),OR($C$6="Semua",$C$6="",H4468=$C$6,H4468="Pengeluaran "&amp;$C$6,AND($C$6="Uang Kos Mama",H4468="Pengeluaran Uang Kos")),OR($C$7="Semua",$C$7="",I4468=$C$7),OR($C$8="Semua",$C$8="",C4468=$C$8,E4468=$C$8),OR($C$9="Semua",$C$9="",D4468=$C$9),OR($C$10="",B4468&gt;=$C$10),OR($C$11="",B4468&lt;=$C$11),OR($C$12&lt;&gt;"Ya",K4468&lt;&gt;""),OR($C$13="Semua",$C$13="",L4468=$C$13)),"✓","")</f>
        <v/>
      </c>
      <c r="N4468" s="93">
        <f>N(N4467)+IF(M4468="✓",1,0)</f>
        <v/>
      </c>
      <c r="O4468" s="93">
        <f>N(O4467)+IF(AND(B4468&lt;&gt;"",B4468&gt;='Uang Riba'!$H$30,B4468&lt;='Uang Riba'!$I$30,OR(H4468="Dana riba",H4468="Pinjam uang riba",I4468="Pinjam dari uang riba",I4468="Ganti uang riba",I4468="Kelebihan ganti dikembalikan",AND(C4468="Kantong Uang Riba",G4468="Pengeluaran"))),1,0)</f>
        <v/>
      </c>
      <c r="X4468" s="93">
        <f>IF(AND(B4468&lt;&gt;"",B4468&gt;='Buku Akun'!$H$4,B4468&lt;='Buku Akun'!$H$5,OR(C4468='Buku Akun'!$C$4,AND(D4468="Pindah",E4468='Buku Akun'!$C$4))),B4468+IF(AND(I4468="Selisih bunga",DAY(B4468)=1),0,0.01)+ROW()/10000000,"")</f>
        <v/>
      </c>
    </row>
    <row r="4469" outlineLevel="1" ht="15" customHeight="1" s="94">
      <c r="A4469" s="123">
        <f>IF(B4469="","",ROW()-15)</f>
        <v/>
      </c>
      <c r="B4469" s="124" t="n"/>
      <c r="C4469" s="123" t="n"/>
      <c r="D4469" s="123" t="n"/>
      <c r="E4469" s="123" t="n"/>
      <c r="F4469" s="125" t="n"/>
      <c r="G4469" s="123" t="n"/>
      <c r="H4469" s="123" t="n"/>
      <c r="I4469" s="123" t="n"/>
      <c r="J4469" s="123" t="n"/>
      <c r="K4469" s="123" t="n"/>
      <c r="L4469" s="123" t="n"/>
      <c r="M4469" s="123">
        <f>IF(AND(B4469&lt;&gt;"",OR($C$4="",ISNUMBER(SEARCH($C$4,C4469&amp;" "&amp;E4469&amp;" "&amp;G4469&amp;" "&amp;H4469&amp;" "&amp;I4469&amp;" "&amp;J4469&amp;" "&amp;K4469&amp;" "&amp;L4469))),OR($C$5="Semua",$C$5="",G4469=$C$5),OR($C$6="Semua",$C$6="",H4469=$C$6,H4469="Pengeluaran "&amp;$C$6,AND($C$6="Uang Kos Mama",H4469="Pengeluaran Uang Kos")),OR($C$7="Semua",$C$7="",I4469=$C$7),OR($C$8="Semua",$C$8="",C4469=$C$8,E4469=$C$8),OR($C$9="Semua",$C$9="",D4469=$C$9),OR($C$10="",B4469&gt;=$C$10),OR($C$11="",B4469&lt;=$C$11),OR($C$12&lt;&gt;"Ya",K4469&lt;&gt;""),OR($C$13="Semua",$C$13="",L4469=$C$13)),"✓","")</f>
        <v/>
      </c>
      <c r="N4469" s="93">
        <f>N(N4468)+IF(M4469="✓",1,0)</f>
        <v/>
      </c>
      <c r="O4469" s="93">
        <f>N(O4468)+IF(AND(B4469&lt;&gt;"",B4469&gt;='Uang Riba'!$H$30,B4469&lt;='Uang Riba'!$I$30,OR(H4469="Dana riba",H4469="Pinjam uang riba",I4469="Pinjam dari uang riba",I4469="Ganti uang riba",I4469="Kelebihan ganti dikembalikan",AND(C4469="Kantong Uang Riba",G4469="Pengeluaran"))),1,0)</f>
        <v/>
      </c>
      <c r="X4469" s="93">
        <f>IF(AND(B4469&lt;&gt;"",B4469&gt;='Buku Akun'!$H$4,B4469&lt;='Buku Akun'!$H$5,OR(C4469='Buku Akun'!$C$4,AND(D4469="Pindah",E4469='Buku Akun'!$C$4))),B4469+IF(AND(I4469="Selisih bunga",DAY(B4469)=1),0,0.01)+ROW()/10000000,"")</f>
        <v/>
      </c>
    </row>
    <row r="4470" outlineLevel="1" ht="15" customHeight="1" s="94">
      <c r="A4470" s="123">
        <f>IF(B4470="","",ROW()-15)</f>
        <v/>
      </c>
      <c r="B4470" s="124" t="n"/>
      <c r="C4470" s="123" t="n"/>
      <c r="D4470" s="123" t="n"/>
      <c r="E4470" s="123" t="n"/>
      <c r="F4470" s="125" t="n"/>
      <c r="G4470" s="123" t="n"/>
      <c r="H4470" s="123" t="n"/>
      <c r="I4470" s="123" t="n"/>
      <c r="J4470" s="123" t="n"/>
      <c r="K4470" s="123" t="n"/>
      <c r="L4470" s="123" t="n"/>
      <c r="M4470" s="123">
        <f>IF(AND(B4470&lt;&gt;"",OR($C$4="",ISNUMBER(SEARCH($C$4,C4470&amp;" "&amp;E4470&amp;" "&amp;G4470&amp;" "&amp;H4470&amp;" "&amp;I4470&amp;" "&amp;J4470&amp;" "&amp;K4470&amp;" "&amp;L4470))),OR($C$5="Semua",$C$5="",G4470=$C$5),OR($C$6="Semua",$C$6="",H4470=$C$6,H4470="Pengeluaran "&amp;$C$6,AND($C$6="Uang Kos Mama",H4470="Pengeluaran Uang Kos")),OR($C$7="Semua",$C$7="",I4470=$C$7),OR($C$8="Semua",$C$8="",C4470=$C$8,E4470=$C$8),OR($C$9="Semua",$C$9="",D4470=$C$9),OR($C$10="",B4470&gt;=$C$10),OR($C$11="",B4470&lt;=$C$11),OR($C$12&lt;&gt;"Ya",K4470&lt;&gt;""),OR($C$13="Semua",$C$13="",L4470=$C$13)),"✓","")</f>
        <v/>
      </c>
      <c r="N4470" s="93">
        <f>N(N4469)+IF(M4470="✓",1,0)</f>
        <v/>
      </c>
      <c r="O4470" s="93">
        <f>N(O4469)+IF(AND(B4470&lt;&gt;"",B4470&gt;='Uang Riba'!$H$30,B4470&lt;='Uang Riba'!$I$30,OR(H4470="Dana riba",H4470="Pinjam uang riba",I4470="Pinjam dari uang riba",I4470="Ganti uang riba",I4470="Kelebihan ganti dikembalikan",AND(C4470="Kantong Uang Riba",G4470="Pengeluaran"))),1,0)</f>
        <v/>
      </c>
      <c r="X4470" s="93">
        <f>IF(AND(B4470&lt;&gt;"",B4470&gt;='Buku Akun'!$H$4,B4470&lt;='Buku Akun'!$H$5,OR(C4470='Buku Akun'!$C$4,AND(D4470="Pindah",E4470='Buku Akun'!$C$4))),B4470+IF(AND(I4470="Selisih bunga",DAY(B4470)=1),0,0.01)+ROW()/10000000,"")</f>
        <v/>
      </c>
    </row>
    <row r="4471" outlineLevel="1" ht="15" customHeight="1" s="94">
      <c r="A4471" s="123">
        <f>IF(B4471="","",ROW()-15)</f>
        <v/>
      </c>
      <c r="B4471" s="124" t="n"/>
      <c r="C4471" s="123" t="n"/>
      <c r="D4471" s="123" t="n"/>
      <c r="E4471" s="123" t="n"/>
      <c r="F4471" s="125" t="n"/>
      <c r="G4471" s="123" t="n"/>
      <c r="H4471" s="123" t="n"/>
      <c r="I4471" s="123" t="n"/>
      <c r="J4471" s="123" t="n"/>
      <c r="K4471" s="123" t="n"/>
      <c r="L4471" s="123" t="n"/>
      <c r="M4471" s="123">
        <f>IF(AND(B4471&lt;&gt;"",OR($C$4="",ISNUMBER(SEARCH($C$4,C4471&amp;" "&amp;E4471&amp;" "&amp;G4471&amp;" "&amp;H4471&amp;" "&amp;I4471&amp;" "&amp;J4471&amp;" "&amp;K4471&amp;" "&amp;L4471))),OR($C$5="Semua",$C$5="",G4471=$C$5),OR($C$6="Semua",$C$6="",H4471=$C$6,H4471="Pengeluaran "&amp;$C$6,AND($C$6="Uang Kos Mama",H4471="Pengeluaran Uang Kos")),OR($C$7="Semua",$C$7="",I4471=$C$7),OR($C$8="Semua",$C$8="",C4471=$C$8,E4471=$C$8),OR($C$9="Semua",$C$9="",D4471=$C$9),OR($C$10="",B4471&gt;=$C$10),OR($C$11="",B4471&lt;=$C$11),OR($C$12&lt;&gt;"Ya",K4471&lt;&gt;""),OR($C$13="Semua",$C$13="",L4471=$C$13)),"✓","")</f>
        <v/>
      </c>
      <c r="N4471" s="93">
        <f>N(N4470)+IF(M4471="✓",1,0)</f>
        <v/>
      </c>
      <c r="O4471" s="93">
        <f>N(O4470)+IF(AND(B4471&lt;&gt;"",B4471&gt;='Uang Riba'!$H$30,B4471&lt;='Uang Riba'!$I$30,OR(H4471="Dana riba",H4471="Pinjam uang riba",I4471="Pinjam dari uang riba",I4471="Ganti uang riba",I4471="Kelebihan ganti dikembalikan",AND(C4471="Kantong Uang Riba",G4471="Pengeluaran"))),1,0)</f>
        <v/>
      </c>
      <c r="X4471" s="93">
        <f>IF(AND(B4471&lt;&gt;"",B4471&gt;='Buku Akun'!$H$4,B4471&lt;='Buku Akun'!$H$5,OR(C4471='Buku Akun'!$C$4,AND(D4471="Pindah",E4471='Buku Akun'!$C$4))),B4471+IF(AND(I4471="Selisih bunga",DAY(B4471)=1),0,0.01)+ROW()/10000000,"")</f>
        <v/>
      </c>
    </row>
    <row r="4472" outlineLevel="1" ht="15" customHeight="1" s="94">
      <c r="A4472" s="123">
        <f>IF(B4472="","",ROW()-15)</f>
        <v/>
      </c>
      <c r="B4472" s="124" t="n"/>
      <c r="C4472" s="123" t="n"/>
      <c r="D4472" s="123" t="n"/>
      <c r="E4472" s="123" t="n"/>
      <c r="F4472" s="125" t="n"/>
      <c r="G4472" s="123" t="n"/>
      <c r="H4472" s="123" t="n"/>
      <c r="I4472" s="123" t="n"/>
      <c r="J4472" s="123" t="n"/>
      <c r="K4472" s="123" t="n"/>
      <c r="L4472" s="123" t="n"/>
      <c r="M4472" s="123">
        <f>IF(AND(B4472&lt;&gt;"",OR($C$4="",ISNUMBER(SEARCH($C$4,C4472&amp;" "&amp;E4472&amp;" "&amp;G4472&amp;" "&amp;H4472&amp;" "&amp;I4472&amp;" "&amp;J4472&amp;" "&amp;K4472&amp;" "&amp;L4472))),OR($C$5="Semua",$C$5="",G4472=$C$5),OR($C$6="Semua",$C$6="",H4472=$C$6,H4472="Pengeluaran "&amp;$C$6,AND($C$6="Uang Kos Mama",H4472="Pengeluaran Uang Kos")),OR($C$7="Semua",$C$7="",I4472=$C$7),OR($C$8="Semua",$C$8="",C4472=$C$8,E4472=$C$8),OR($C$9="Semua",$C$9="",D4472=$C$9),OR($C$10="",B4472&gt;=$C$10),OR($C$11="",B4472&lt;=$C$11),OR($C$12&lt;&gt;"Ya",K4472&lt;&gt;""),OR($C$13="Semua",$C$13="",L4472=$C$13)),"✓","")</f>
        <v/>
      </c>
      <c r="N4472" s="93">
        <f>N(N4471)+IF(M4472="✓",1,0)</f>
        <v/>
      </c>
      <c r="O4472" s="93">
        <f>N(O4471)+IF(AND(B4472&lt;&gt;"",B4472&gt;='Uang Riba'!$H$30,B4472&lt;='Uang Riba'!$I$30,OR(H4472="Dana riba",H4472="Pinjam uang riba",I4472="Pinjam dari uang riba",I4472="Ganti uang riba",I4472="Kelebihan ganti dikembalikan",AND(C4472="Kantong Uang Riba",G4472="Pengeluaran"))),1,0)</f>
        <v/>
      </c>
      <c r="X4472" s="93">
        <f>IF(AND(B4472&lt;&gt;"",B4472&gt;='Buku Akun'!$H$4,B4472&lt;='Buku Akun'!$H$5,OR(C4472='Buku Akun'!$C$4,AND(D4472="Pindah",E4472='Buku Akun'!$C$4))),B4472+IF(AND(I4472="Selisih bunga",DAY(B4472)=1),0,0.01)+ROW()/10000000,"")</f>
        <v/>
      </c>
    </row>
    <row r="4473" outlineLevel="1" ht="15" customHeight="1" s="94">
      <c r="A4473" s="123">
        <f>IF(B4473="","",ROW()-15)</f>
        <v/>
      </c>
      <c r="B4473" s="124" t="n"/>
      <c r="C4473" s="123" t="n"/>
      <c r="D4473" s="123" t="n"/>
      <c r="E4473" s="123" t="n"/>
      <c r="F4473" s="125" t="n"/>
      <c r="G4473" s="123" t="n"/>
      <c r="H4473" s="123" t="n"/>
      <c r="I4473" s="123" t="n"/>
      <c r="J4473" s="123" t="n"/>
      <c r="K4473" s="123" t="n"/>
      <c r="L4473" s="123" t="n"/>
      <c r="M4473" s="123">
        <f>IF(AND(B4473&lt;&gt;"",OR($C$4="",ISNUMBER(SEARCH($C$4,C4473&amp;" "&amp;E4473&amp;" "&amp;G4473&amp;" "&amp;H4473&amp;" "&amp;I4473&amp;" "&amp;J4473&amp;" "&amp;K4473&amp;" "&amp;L4473))),OR($C$5="Semua",$C$5="",G4473=$C$5),OR($C$6="Semua",$C$6="",H4473=$C$6,H4473="Pengeluaran "&amp;$C$6,AND($C$6="Uang Kos Mama",H4473="Pengeluaran Uang Kos")),OR($C$7="Semua",$C$7="",I4473=$C$7),OR($C$8="Semua",$C$8="",C4473=$C$8,E4473=$C$8),OR($C$9="Semua",$C$9="",D4473=$C$9),OR($C$10="",B4473&gt;=$C$10),OR($C$11="",B4473&lt;=$C$11),OR($C$12&lt;&gt;"Ya",K4473&lt;&gt;""),OR($C$13="Semua",$C$13="",L4473=$C$13)),"✓","")</f>
        <v/>
      </c>
      <c r="N4473" s="93">
        <f>N(N4472)+IF(M4473="✓",1,0)</f>
        <v/>
      </c>
      <c r="O4473" s="93">
        <f>N(O4472)+IF(AND(B4473&lt;&gt;"",B4473&gt;='Uang Riba'!$H$30,B4473&lt;='Uang Riba'!$I$30,OR(H4473="Dana riba",H4473="Pinjam uang riba",I4473="Pinjam dari uang riba",I4473="Ganti uang riba",I4473="Kelebihan ganti dikembalikan",AND(C4473="Kantong Uang Riba",G4473="Pengeluaran"))),1,0)</f>
        <v/>
      </c>
      <c r="X4473" s="93">
        <f>IF(AND(B4473&lt;&gt;"",B4473&gt;='Buku Akun'!$H$4,B4473&lt;='Buku Akun'!$H$5,OR(C4473='Buku Akun'!$C$4,AND(D4473="Pindah",E4473='Buku Akun'!$C$4))),B4473+IF(AND(I4473="Selisih bunga",DAY(B4473)=1),0,0.01)+ROW()/10000000,"")</f>
        <v/>
      </c>
    </row>
    <row r="4474" outlineLevel="1" ht="15" customHeight="1" s="94">
      <c r="A4474" s="123">
        <f>IF(B4474="","",ROW()-15)</f>
        <v/>
      </c>
      <c r="B4474" s="124" t="n"/>
      <c r="C4474" s="123" t="n"/>
      <c r="D4474" s="123" t="n"/>
      <c r="E4474" s="123" t="n"/>
      <c r="F4474" s="125" t="n"/>
      <c r="G4474" s="123" t="n"/>
      <c r="H4474" s="123" t="n"/>
      <c r="I4474" s="123" t="n"/>
      <c r="J4474" s="123" t="n"/>
      <c r="K4474" s="123" t="n"/>
      <c r="L4474" s="123" t="n"/>
      <c r="M4474" s="123">
        <f>IF(AND(B4474&lt;&gt;"",OR($C$4="",ISNUMBER(SEARCH($C$4,C4474&amp;" "&amp;E4474&amp;" "&amp;G4474&amp;" "&amp;H4474&amp;" "&amp;I4474&amp;" "&amp;J4474&amp;" "&amp;K4474&amp;" "&amp;L4474))),OR($C$5="Semua",$C$5="",G4474=$C$5),OR($C$6="Semua",$C$6="",H4474=$C$6,H4474="Pengeluaran "&amp;$C$6,AND($C$6="Uang Kos Mama",H4474="Pengeluaran Uang Kos")),OR($C$7="Semua",$C$7="",I4474=$C$7),OR($C$8="Semua",$C$8="",C4474=$C$8,E4474=$C$8),OR($C$9="Semua",$C$9="",D4474=$C$9),OR($C$10="",B4474&gt;=$C$10),OR($C$11="",B4474&lt;=$C$11),OR($C$12&lt;&gt;"Ya",K4474&lt;&gt;""),OR($C$13="Semua",$C$13="",L4474=$C$13)),"✓","")</f>
        <v/>
      </c>
      <c r="N4474" s="93">
        <f>N(N4473)+IF(M4474="✓",1,0)</f>
        <v/>
      </c>
      <c r="O4474" s="93">
        <f>N(O4473)+IF(AND(B4474&lt;&gt;"",B4474&gt;='Uang Riba'!$H$30,B4474&lt;='Uang Riba'!$I$30,OR(H4474="Dana riba",H4474="Pinjam uang riba",I4474="Pinjam dari uang riba",I4474="Ganti uang riba",I4474="Kelebihan ganti dikembalikan",AND(C4474="Kantong Uang Riba",G4474="Pengeluaran"))),1,0)</f>
        <v/>
      </c>
      <c r="X4474" s="93">
        <f>IF(AND(B4474&lt;&gt;"",B4474&gt;='Buku Akun'!$H$4,B4474&lt;='Buku Akun'!$H$5,OR(C4474='Buku Akun'!$C$4,AND(D4474="Pindah",E4474='Buku Akun'!$C$4))),B4474+IF(AND(I4474="Selisih bunga",DAY(B4474)=1),0,0.01)+ROW()/10000000,"")</f>
        <v/>
      </c>
    </row>
    <row r="4475" outlineLevel="1" ht="15" customHeight="1" s="94">
      <c r="A4475" s="123">
        <f>IF(B4475="","",ROW()-15)</f>
        <v/>
      </c>
      <c r="B4475" s="124" t="n"/>
      <c r="C4475" s="123" t="n"/>
      <c r="D4475" s="123" t="n"/>
      <c r="E4475" s="123" t="n"/>
      <c r="F4475" s="125" t="n"/>
      <c r="G4475" s="123" t="n"/>
      <c r="H4475" s="123" t="n"/>
      <c r="I4475" s="123" t="n"/>
      <c r="J4475" s="123" t="n"/>
      <c r="K4475" s="123" t="n"/>
      <c r="L4475" s="123" t="n"/>
      <c r="M4475" s="123">
        <f>IF(AND(B4475&lt;&gt;"",OR($C$4="",ISNUMBER(SEARCH($C$4,C4475&amp;" "&amp;E4475&amp;" "&amp;G4475&amp;" "&amp;H4475&amp;" "&amp;I4475&amp;" "&amp;J4475&amp;" "&amp;K4475&amp;" "&amp;L4475))),OR($C$5="Semua",$C$5="",G4475=$C$5),OR($C$6="Semua",$C$6="",H4475=$C$6,H4475="Pengeluaran "&amp;$C$6,AND($C$6="Uang Kos Mama",H4475="Pengeluaran Uang Kos")),OR($C$7="Semua",$C$7="",I4475=$C$7),OR($C$8="Semua",$C$8="",C4475=$C$8,E4475=$C$8),OR($C$9="Semua",$C$9="",D4475=$C$9),OR($C$10="",B4475&gt;=$C$10),OR($C$11="",B4475&lt;=$C$11),OR($C$12&lt;&gt;"Ya",K4475&lt;&gt;""),OR($C$13="Semua",$C$13="",L4475=$C$13)),"✓","")</f>
        <v/>
      </c>
      <c r="N4475" s="93">
        <f>N(N4474)+IF(M4475="✓",1,0)</f>
        <v/>
      </c>
      <c r="O4475" s="93">
        <f>N(O4474)+IF(AND(B4475&lt;&gt;"",B4475&gt;='Uang Riba'!$H$30,B4475&lt;='Uang Riba'!$I$30,OR(H4475="Dana riba",H4475="Pinjam uang riba",I4475="Pinjam dari uang riba",I4475="Ganti uang riba",I4475="Kelebihan ganti dikembalikan",AND(C4475="Kantong Uang Riba",G4475="Pengeluaran"))),1,0)</f>
        <v/>
      </c>
      <c r="X4475" s="93">
        <f>IF(AND(B4475&lt;&gt;"",B4475&gt;='Buku Akun'!$H$4,B4475&lt;='Buku Akun'!$H$5,OR(C4475='Buku Akun'!$C$4,AND(D4475="Pindah",E4475='Buku Akun'!$C$4))),B4475+IF(AND(I4475="Selisih bunga",DAY(B4475)=1),0,0.01)+ROW()/10000000,"")</f>
        <v/>
      </c>
    </row>
    <row r="4476" outlineLevel="1" ht="15" customHeight="1" s="94">
      <c r="A4476" s="123">
        <f>IF(B4476="","",ROW()-15)</f>
        <v/>
      </c>
      <c r="B4476" s="124" t="n"/>
      <c r="C4476" s="123" t="n"/>
      <c r="D4476" s="123" t="n"/>
      <c r="E4476" s="123" t="n"/>
      <c r="F4476" s="125" t="n"/>
      <c r="G4476" s="123" t="n"/>
      <c r="H4476" s="123" t="n"/>
      <c r="I4476" s="123" t="n"/>
      <c r="J4476" s="123" t="n"/>
      <c r="K4476" s="123" t="n"/>
      <c r="L4476" s="123" t="n"/>
      <c r="M4476" s="123">
        <f>IF(AND(B4476&lt;&gt;"",OR($C$4="",ISNUMBER(SEARCH($C$4,C4476&amp;" "&amp;E4476&amp;" "&amp;G4476&amp;" "&amp;H4476&amp;" "&amp;I4476&amp;" "&amp;J4476&amp;" "&amp;K4476&amp;" "&amp;L4476))),OR($C$5="Semua",$C$5="",G4476=$C$5),OR($C$6="Semua",$C$6="",H4476=$C$6,H4476="Pengeluaran "&amp;$C$6,AND($C$6="Uang Kos Mama",H4476="Pengeluaran Uang Kos")),OR($C$7="Semua",$C$7="",I4476=$C$7),OR($C$8="Semua",$C$8="",C4476=$C$8,E4476=$C$8),OR($C$9="Semua",$C$9="",D4476=$C$9),OR($C$10="",B4476&gt;=$C$10),OR($C$11="",B4476&lt;=$C$11),OR($C$12&lt;&gt;"Ya",K4476&lt;&gt;""),OR($C$13="Semua",$C$13="",L4476=$C$13)),"✓","")</f>
        <v/>
      </c>
      <c r="N4476" s="93">
        <f>N(N4475)+IF(M4476="✓",1,0)</f>
        <v/>
      </c>
      <c r="O4476" s="93">
        <f>N(O4475)+IF(AND(B4476&lt;&gt;"",B4476&gt;='Uang Riba'!$H$30,B4476&lt;='Uang Riba'!$I$30,OR(H4476="Dana riba",H4476="Pinjam uang riba",I4476="Pinjam dari uang riba",I4476="Ganti uang riba",I4476="Kelebihan ganti dikembalikan",AND(C4476="Kantong Uang Riba",G4476="Pengeluaran"))),1,0)</f>
        <v/>
      </c>
      <c r="X4476" s="93">
        <f>IF(AND(B4476&lt;&gt;"",B4476&gt;='Buku Akun'!$H$4,B4476&lt;='Buku Akun'!$H$5,OR(C4476='Buku Akun'!$C$4,AND(D4476="Pindah",E4476='Buku Akun'!$C$4))),B4476+IF(AND(I4476="Selisih bunga",DAY(B4476)=1),0,0.01)+ROW()/10000000,"")</f>
        <v/>
      </c>
    </row>
    <row r="4477" outlineLevel="1" ht="15" customHeight="1" s="94">
      <c r="A4477" s="123">
        <f>IF(B4477="","",ROW()-15)</f>
        <v/>
      </c>
      <c r="B4477" s="124" t="n"/>
      <c r="C4477" s="123" t="n"/>
      <c r="D4477" s="123" t="n"/>
      <c r="E4477" s="123" t="n"/>
      <c r="F4477" s="125" t="n"/>
      <c r="G4477" s="123" t="n"/>
      <c r="H4477" s="123" t="n"/>
      <c r="I4477" s="123" t="n"/>
      <c r="J4477" s="123" t="n"/>
      <c r="K4477" s="123" t="n"/>
      <c r="L4477" s="123" t="n"/>
      <c r="M4477" s="123">
        <f>IF(AND(B4477&lt;&gt;"",OR($C$4="",ISNUMBER(SEARCH($C$4,C4477&amp;" "&amp;E4477&amp;" "&amp;G4477&amp;" "&amp;H4477&amp;" "&amp;I4477&amp;" "&amp;J4477&amp;" "&amp;K4477&amp;" "&amp;L4477))),OR($C$5="Semua",$C$5="",G4477=$C$5),OR($C$6="Semua",$C$6="",H4477=$C$6,H4477="Pengeluaran "&amp;$C$6,AND($C$6="Uang Kos Mama",H4477="Pengeluaran Uang Kos")),OR($C$7="Semua",$C$7="",I4477=$C$7),OR($C$8="Semua",$C$8="",C4477=$C$8,E4477=$C$8),OR($C$9="Semua",$C$9="",D4477=$C$9),OR($C$10="",B4477&gt;=$C$10),OR($C$11="",B4477&lt;=$C$11),OR($C$12&lt;&gt;"Ya",K4477&lt;&gt;""),OR($C$13="Semua",$C$13="",L4477=$C$13)),"✓","")</f>
        <v/>
      </c>
      <c r="N4477" s="93">
        <f>N(N4476)+IF(M4477="✓",1,0)</f>
        <v/>
      </c>
      <c r="O4477" s="93">
        <f>N(O4476)+IF(AND(B4477&lt;&gt;"",B4477&gt;='Uang Riba'!$H$30,B4477&lt;='Uang Riba'!$I$30,OR(H4477="Dana riba",H4477="Pinjam uang riba",I4477="Pinjam dari uang riba",I4477="Ganti uang riba",I4477="Kelebihan ganti dikembalikan",AND(C4477="Kantong Uang Riba",G4477="Pengeluaran"))),1,0)</f>
        <v/>
      </c>
      <c r="X4477" s="93">
        <f>IF(AND(B4477&lt;&gt;"",B4477&gt;='Buku Akun'!$H$4,B4477&lt;='Buku Akun'!$H$5,OR(C4477='Buku Akun'!$C$4,AND(D4477="Pindah",E4477='Buku Akun'!$C$4))),B4477+IF(AND(I4477="Selisih bunga",DAY(B4477)=1),0,0.01)+ROW()/10000000,"")</f>
        <v/>
      </c>
    </row>
    <row r="4478" outlineLevel="1" ht="15" customHeight="1" s="94">
      <c r="A4478" s="123">
        <f>IF(B4478="","",ROW()-15)</f>
        <v/>
      </c>
      <c r="B4478" s="124" t="n"/>
      <c r="C4478" s="123" t="n"/>
      <c r="D4478" s="123" t="n"/>
      <c r="E4478" s="123" t="n"/>
      <c r="F4478" s="125" t="n"/>
      <c r="G4478" s="123" t="n"/>
      <c r="H4478" s="123" t="n"/>
      <c r="I4478" s="123" t="n"/>
      <c r="J4478" s="123" t="n"/>
      <c r="K4478" s="123" t="n"/>
      <c r="L4478" s="123" t="n"/>
      <c r="M4478" s="123">
        <f>IF(AND(B4478&lt;&gt;"",OR($C$4="",ISNUMBER(SEARCH($C$4,C4478&amp;" "&amp;E4478&amp;" "&amp;G4478&amp;" "&amp;H4478&amp;" "&amp;I4478&amp;" "&amp;J4478&amp;" "&amp;K4478&amp;" "&amp;L4478))),OR($C$5="Semua",$C$5="",G4478=$C$5),OR($C$6="Semua",$C$6="",H4478=$C$6,H4478="Pengeluaran "&amp;$C$6,AND($C$6="Uang Kos Mama",H4478="Pengeluaran Uang Kos")),OR($C$7="Semua",$C$7="",I4478=$C$7),OR($C$8="Semua",$C$8="",C4478=$C$8,E4478=$C$8),OR($C$9="Semua",$C$9="",D4478=$C$9),OR($C$10="",B4478&gt;=$C$10),OR($C$11="",B4478&lt;=$C$11),OR($C$12&lt;&gt;"Ya",K4478&lt;&gt;""),OR($C$13="Semua",$C$13="",L4478=$C$13)),"✓","")</f>
        <v/>
      </c>
      <c r="N4478" s="93">
        <f>N(N4477)+IF(M4478="✓",1,0)</f>
        <v/>
      </c>
      <c r="O4478" s="93">
        <f>N(O4477)+IF(AND(B4478&lt;&gt;"",B4478&gt;='Uang Riba'!$H$30,B4478&lt;='Uang Riba'!$I$30,OR(H4478="Dana riba",H4478="Pinjam uang riba",I4478="Pinjam dari uang riba",I4478="Ganti uang riba",I4478="Kelebihan ganti dikembalikan",AND(C4478="Kantong Uang Riba",G4478="Pengeluaran"))),1,0)</f>
        <v/>
      </c>
      <c r="X4478" s="93">
        <f>IF(AND(B4478&lt;&gt;"",B4478&gt;='Buku Akun'!$H$4,B4478&lt;='Buku Akun'!$H$5,OR(C4478='Buku Akun'!$C$4,AND(D4478="Pindah",E4478='Buku Akun'!$C$4))),B4478+IF(AND(I4478="Selisih bunga",DAY(B4478)=1),0,0.01)+ROW()/10000000,"")</f>
        <v/>
      </c>
    </row>
    <row r="4479" outlineLevel="1" ht="15" customHeight="1" s="94">
      <c r="A4479" s="123">
        <f>IF(B4479="","",ROW()-15)</f>
        <v/>
      </c>
      <c r="B4479" s="124" t="n"/>
      <c r="C4479" s="123" t="n"/>
      <c r="D4479" s="123" t="n"/>
      <c r="E4479" s="123" t="n"/>
      <c r="F4479" s="125" t="n"/>
      <c r="G4479" s="123" t="n"/>
      <c r="H4479" s="123" t="n"/>
      <c r="I4479" s="123" t="n"/>
      <c r="J4479" s="123" t="n"/>
      <c r="K4479" s="123" t="n"/>
      <c r="L4479" s="123" t="n"/>
      <c r="M4479" s="123">
        <f>IF(AND(B4479&lt;&gt;"",OR($C$4="",ISNUMBER(SEARCH($C$4,C4479&amp;" "&amp;E4479&amp;" "&amp;G4479&amp;" "&amp;H4479&amp;" "&amp;I4479&amp;" "&amp;J4479&amp;" "&amp;K4479&amp;" "&amp;L4479))),OR($C$5="Semua",$C$5="",G4479=$C$5),OR($C$6="Semua",$C$6="",H4479=$C$6,H4479="Pengeluaran "&amp;$C$6,AND($C$6="Uang Kos Mama",H4479="Pengeluaran Uang Kos")),OR($C$7="Semua",$C$7="",I4479=$C$7),OR($C$8="Semua",$C$8="",C4479=$C$8,E4479=$C$8),OR($C$9="Semua",$C$9="",D4479=$C$9),OR($C$10="",B4479&gt;=$C$10),OR($C$11="",B4479&lt;=$C$11),OR($C$12&lt;&gt;"Ya",K4479&lt;&gt;""),OR($C$13="Semua",$C$13="",L4479=$C$13)),"✓","")</f>
        <v/>
      </c>
      <c r="N4479" s="93">
        <f>N(N4478)+IF(M4479="✓",1,0)</f>
        <v/>
      </c>
      <c r="O4479" s="93">
        <f>N(O4478)+IF(AND(B4479&lt;&gt;"",B4479&gt;='Uang Riba'!$H$30,B4479&lt;='Uang Riba'!$I$30,OR(H4479="Dana riba",H4479="Pinjam uang riba",I4479="Pinjam dari uang riba",I4479="Ganti uang riba",I4479="Kelebihan ganti dikembalikan",AND(C4479="Kantong Uang Riba",G4479="Pengeluaran"))),1,0)</f>
        <v/>
      </c>
      <c r="X4479" s="93">
        <f>IF(AND(B4479&lt;&gt;"",B4479&gt;='Buku Akun'!$H$4,B4479&lt;='Buku Akun'!$H$5,OR(C4479='Buku Akun'!$C$4,AND(D4479="Pindah",E4479='Buku Akun'!$C$4))),B4479+IF(AND(I4479="Selisih bunga",DAY(B4479)=1),0,0.01)+ROW()/10000000,"")</f>
        <v/>
      </c>
    </row>
    <row r="4480" outlineLevel="1" ht="15" customHeight="1" s="94">
      <c r="A4480" s="123">
        <f>IF(B4480="","",ROW()-15)</f>
        <v/>
      </c>
      <c r="B4480" s="124" t="n"/>
      <c r="C4480" s="123" t="n"/>
      <c r="D4480" s="123" t="n"/>
      <c r="E4480" s="123" t="n"/>
      <c r="F4480" s="125" t="n"/>
      <c r="G4480" s="123" t="n"/>
      <c r="H4480" s="123" t="n"/>
      <c r="I4480" s="123" t="n"/>
      <c r="J4480" s="123" t="n"/>
      <c r="K4480" s="123" t="n"/>
      <c r="L4480" s="123" t="n"/>
      <c r="M4480" s="123">
        <f>IF(AND(B4480&lt;&gt;"",OR($C$4="",ISNUMBER(SEARCH($C$4,C4480&amp;" "&amp;E4480&amp;" "&amp;G4480&amp;" "&amp;H4480&amp;" "&amp;I4480&amp;" "&amp;J4480&amp;" "&amp;K4480&amp;" "&amp;L4480))),OR($C$5="Semua",$C$5="",G4480=$C$5),OR($C$6="Semua",$C$6="",H4480=$C$6,H4480="Pengeluaran "&amp;$C$6,AND($C$6="Uang Kos Mama",H4480="Pengeluaran Uang Kos")),OR($C$7="Semua",$C$7="",I4480=$C$7),OR($C$8="Semua",$C$8="",C4480=$C$8,E4480=$C$8),OR($C$9="Semua",$C$9="",D4480=$C$9),OR($C$10="",B4480&gt;=$C$10),OR($C$11="",B4480&lt;=$C$11),OR($C$12&lt;&gt;"Ya",K4480&lt;&gt;""),OR($C$13="Semua",$C$13="",L4480=$C$13)),"✓","")</f>
        <v/>
      </c>
      <c r="N4480" s="93">
        <f>N(N4479)+IF(M4480="✓",1,0)</f>
        <v/>
      </c>
      <c r="O4480" s="93">
        <f>N(O4479)+IF(AND(B4480&lt;&gt;"",B4480&gt;='Uang Riba'!$H$30,B4480&lt;='Uang Riba'!$I$30,OR(H4480="Dana riba",H4480="Pinjam uang riba",I4480="Pinjam dari uang riba",I4480="Ganti uang riba",I4480="Kelebihan ganti dikembalikan",AND(C4480="Kantong Uang Riba",G4480="Pengeluaran"))),1,0)</f>
        <v/>
      </c>
      <c r="X4480" s="93">
        <f>IF(AND(B4480&lt;&gt;"",B4480&gt;='Buku Akun'!$H$4,B4480&lt;='Buku Akun'!$H$5,OR(C4480='Buku Akun'!$C$4,AND(D4480="Pindah",E4480='Buku Akun'!$C$4))),B4480+IF(AND(I4480="Selisih bunga",DAY(B4480)=1),0,0.01)+ROW()/10000000,"")</f>
        <v/>
      </c>
    </row>
    <row r="4481" outlineLevel="1" ht="15" customHeight="1" s="94">
      <c r="A4481" s="123">
        <f>IF(B4481="","",ROW()-15)</f>
        <v/>
      </c>
      <c r="B4481" s="124" t="n"/>
      <c r="C4481" s="123" t="n"/>
      <c r="D4481" s="123" t="n"/>
      <c r="E4481" s="123" t="n"/>
      <c r="F4481" s="125" t="n"/>
      <c r="G4481" s="123" t="n"/>
      <c r="H4481" s="123" t="n"/>
      <c r="I4481" s="123" t="n"/>
      <c r="J4481" s="123" t="n"/>
      <c r="K4481" s="123" t="n"/>
      <c r="L4481" s="123" t="n"/>
      <c r="M4481" s="123">
        <f>IF(AND(B4481&lt;&gt;"",OR($C$4="",ISNUMBER(SEARCH($C$4,C4481&amp;" "&amp;E4481&amp;" "&amp;G4481&amp;" "&amp;H4481&amp;" "&amp;I4481&amp;" "&amp;J4481&amp;" "&amp;K4481&amp;" "&amp;L4481))),OR($C$5="Semua",$C$5="",G4481=$C$5),OR($C$6="Semua",$C$6="",H4481=$C$6,H4481="Pengeluaran "&amp;$C$6,AND($C$6="Uang Kos Mama",H4481="Pengeluaran Uang Kos")),OR($C$7="Semua",$C$7="",I4481=$C$7),OR($C$8="Semua",$C$8="",C4481=$C$8,E4481=$C$8),OR($C$9="Semua",$C$9="",D4481=$C$9),OR($C$10="",B4481&gt;=$C$10),OR($C$11="",B4481&lt;=$C$11),OR($C$12&lt;&gt;"Ya",K4481&lt;&gt;""),OR($C$13="Semua",$C$13="",L4481=$C$13)),"✓","")</f>
        <v/>
      </c>
      <c r="N4481" s="93">
        <f>N(N4480)+IF(M4481="✓",1,0)</f>
        <v/>
      </c>
      <c r="O4481" s="93">
        <f>N(O4480)+IF(AND(B4481&lt;&gt;"",B4481&gt;='Uang Riba'!$H$30,B4481&lt;='Uang Riba'!$I$30,OR(H4481="Dana riba",H4481="Pinjam uang riba",I4481="Pinjam dari uang riba",I4481="Ganti uang riba",I4481="Kelebihan ganti dikembalikan",AND(C4481="Kantong Uang Riba",G4481="Pengeluaran"))),1,0)</f>
        <v/>
      </c>
      <c r="X4481" s="93">
        <f>IF(AND(B4481&lt;&gt;"",B4481&gt;='Buku Akun'!$H$4,B4481&lt;='Buku Akun'!$H$5,OR(C4481='Buku Akun'!$C$4,AND(D4481="Pindah",E4481='Buku Akun'!$C$4))),B4481+IF(AND(I4481="Selisih bunga",DAY(B4481)=1),0,0.01)+ROW()/10000000,"")</f>
        <v/>
      </c>
    </row>
    <row r="4482" outlineLevel="1" ht="15" customHeight="1" s="94">
      <c r="A4482" s="123">
        <f>IF(B4482="","",ROW()-15)</f>
        <v/>
      </c>
      <c r="B4482" s="124" t="n"/>
      <c r="C4482" s="123" t="n"/>
      <c r="D4482" s="123" t="n"/>
      <c r="E4482" s="123" t="n"/>
      <c r="F4482" s="125" t="n"/>
      <c r="G4482" s="123" t="n"/>
      <c r="H4482" s="123" t="n"/>
      <c r="I4482" s="123" t="n"/>
      <c r="J4482" s="123" t="n"/>
      <c r="K4482" s="123" t="n"/>
      <c r="L4482" s="123" t="n"/>
      <c r="M4482" s="123">
        <f>IF(AND(B4482&lt;&gt;"",OR($C$4="",ISNUMBER(SEARCH($C$4,C4482&amp;" "&amp;E4482&amp;" "&amp;G4482&amp;" "&amp;H4482&amp;" "&amp;I4482&amp;" "&amp;J4482&amp;" "&amp;K4482&amp;" "&amp;L4482))),OR($C$5="Semua",$C$5="",G4482=$C$5),OR($C$6="Semua",$C$6="",H4482=$C$6,H4482="Pengeluaran "&amp;$C$6,AND($C$6="Uang Kos Mama",H4482="Pengeluaran Uang Kos")),OR($C$7="Semua",$C$7="",I4482=$C$7),OR($C$8="Semua",$C$8="",C4482=$C$8,E4482=$C$8),OR($C$9="Semua",$C$9="",D4482=$C$9),OR($C$10="",B4482&gt;=$C$10),OR($C$11="",B4482&lt;=$C$11),OR($C$12&lt;&gt;"Ya",K4482&lt;&gt;""),OR($C$13="Semua",$C$13="",L4482=$C$13)),"✓","")</f>
        <v/>
      </c>
      <c r="N4482" s="93">
        <f>N(N4481)+IF(M4482="✓",1,0)</f>
        <v/>
      </c>
      <c r="O4482" s="93">
        <f>N(O4481)+IF(AND(B4482&lt;&gt;"",B4482&gt;='Uang Riba'!$H$30,B4482&lt;='Uang Riba'!$I$30,OR(H4482="Dana riba",H4482="Pinjam uang riba",I4482="Pinjam dari uang riba",I4482="Ganti uang riba",I4482="Kelebihan ganti dikembalikan",AND(C4482="Kantong Uang Riba",G4482="Pengeluaran"))),1,0)</f>
        <v/>
      </c>
      <c r="X4482" s="93">
        <f>IF(AND(B4482&lt;&gt;"",B4482&gt;='Buku Akun'!$H$4,B4482&lt;='Buku Akun'!$H$5,OR(C4482='Buku Akun'!$C$4,AND(D4482="Pindah",E4482='Buku Akun'!$C$4))),B4482+IF(AND(I4482="Selisih bunga",DAY(B4482)=1),0,0.01)+ROW()/10000000,"")</f>
        <v/>
      </c>
    </row>
    <row r="4483" outlineLevel="1" ht="15" customHeight="1" s="94">
      <c r="A4483" s="123">
        <f>IF(B4483="","",ROW()-15)</f>
        <v/>
      </c>
      <c r="B4483" s="124" t="n"/>
      <c r="C4483" s="123" t="n"/>
      <c r="D4483" s="123" t="n"/>
      <c r="E4483" s="123" t="n"/>
      <c r="F4483" s="125" t="n"/>
      <c r="G4483" s="123" t="n"/>
      <c r="H4483" s="123" t="n"/>
      <c r="I4483" s="123" t="n"/>
      <c r="J4483" s="123" t="n"/>
      <c r="K4483" s="123" t="n"/>
      <c r="L4483" s="123" t="n"/>
      <c r="M4483" s="123">
        <f>IF(AND(B4483&lt;&gt;"",OR($C$4="",ISNUMBER(SEARCH($C$4,C4483&amp;" "&amp;E4483&amp;" "&amp;G4483&amp;" "&amp;H4483&amp;" "&amp;I4483&amp;" "&amp;J4483&amp;" "&amp;K4483&amp;" "&amp;L4483))),OR($C$5="Semua",$C$5="",G4483=$C$5),OR($C$6="Semua",$C$6="",H4483=$C$6,H4483="Pengeluaran "&amp;$C$6,AND($C$6="Uang Kos Mama",H4483="Pengeluaran Uang Kos")),OR($C$7="Semua",$C$7="",I4483=$C$7),OR($C$8="Semua",$C$8="",C4483=$C$8,E4483=$C$8),OR($C$9="Semua",$C$9="",D4483=$C$9),OR($C$10="",B4483&gt;=$C$10),OR($C$11="",B4483&lt;=$C$11),OR($C$12&lt;&gt;"Ya",K4483&lt;&gt;""),OR($C$13="Semua",$C$13="",L4483=$C$13)),"✓","")</f>
        <v/>
      </c>
      <c r="N4483" s="93">
        <f>N(N4482)+IF(M4483="✓",1,0)</f>
        <v/>
      </c>
      <c r="O4483" s="93">
        <f>N(O4482)+IF(AND(B4483&lt;&gt;"",B4483&gt;='Uang Riba'!$H$30,B4483&lt;='Uang Riba'!$I$30,OR(H4483="Dana riba",H4483="Pinjam uang riba",I4483="Pinjam dari uang riba",I4483="Ganti uang riba",I4483="Kelebihan ganti dikembalikan",AND(C4483="Kantong Uang Riba",G4483="Pengeluaran"))),1,0)</f>
        <v/>
      </c>
      <c r="X4483" s="93">
        <f>IF(AND(B4483&lt;&gt;"",B4483&gt;='Buku Akun'!$H$4,B4483&lt;='Buku Akun'!$H$5,OR(C4483='Buku Akun'!$C$4,AND(D4483="Pindah",E4483='Buku Akun'!$C$4))),B4483+IF(AND(I4483="Selisih bunga",DAY(B4483)=1),0,0.01)+ROW()/10000000,"")</f>
        <v/>
      </c>
    </row>
    <row r="4484" outlineLevel="1" ht="15" customHeight="1" s="94">
      <c r="A4484" s="123">
        <f>IF(B4484="","",ROW()-15)</f>
        <v/>
      </c>
      <c r="B4484" s="124" t="n"/>
      <c r="C4484" s="123" t="n"/>
      <c r="D4484" s="123" t="n"/>
      <c r="E4484" s="123" t="n"/>
      <c r="F4484" s="125" t="n"/>
      <c r="G4484" s="123" t="n"/>
      <c r="H4484" s="123" t="n"/>
      <c r="I4484" s="123" t="n"/>
      <c r="J4484" s="123" t="n"/>
      <c r="K4484" s="123" t="n"/>
      <c r="L4484" s="123" t="n"/>
      <c r="M4484" s="123">
        <f>IF(AND(B4484&lt;&gt;"",OR($C$4="",ISNUMBER(SEARCH($C$4,C4484&amp;" "&amp;E4484&amp;" "&amp;G4484&amp;" "&amp;H4484&amp;" "&amp;I4484&amp;" "&amp;J4484&amp;" "&amp;K4484&amp;" "&amp;L4484))),OR($C$5="Semua",$C$5="",G4484=$C$5),OR($C$6="Semua",$C$6="",H4484=$C$6,H4484="Pengeluaran "&amp;$C$6,AND($C$6="Uang Kos Mama",H4484="Pengeluaran Uang Kos")),OR($C$7="Semua",$C$7="",I4484=$C$7),OR($C$8="Semua",$C$8="",C4484=$C$8,E4484=$C$8),OR($C$9="Semua",$C$9="",D4484=$C$9),OR($C$10="",B4484&gt;=$C$10),OR($C$11="",B4484&lt;=$C$11),OR($C$12&lt;&gt;"Ya",K4484&lt;&gt;""),OR($C$13="Semua",$C$13="",L4484=$C$13)),"✓","")</f>
        <v/>
      </c>
      <c r="N4484" s="93">
        <f>N(N4483)+IF(M4484="✓",1,0)</f>
        <v/>
      </c>
      <c r="O4484" s="93">
        <f>N(O4483)+IF(AND(B4484&lt;&gt;"",B4484&gt;='Uang Riba'!$H$30,B4484&lt;='Uang Riba'!$I$30,OR(H4484="Dana riba",H4484="Pinjam uang riba",I4484="Pinjam dari uang riba",I4484="Ganti uang riba",I4484="Kelebihan ganti dikembalikan",AND(C4484="Kantong Uang Riba",G4484="Pengeluaran"))),1,0)</f>
        <v/>
      </c>
      <c r="X4484" s="93">
        <f>IF(AND(B4484&lt;&gt;"",B4484&gt;='Buku Akun'!$H$4,B4484&lt;='Buku Akun'!$H$5,OR(C4484='Buku Akun'!$C$4,AND(D4484="Pindah",E4484='Buku Akun'!$C$4))),B4484+IF(AND(I4484="Selisih bunga",DAY(B4484)=1),0,0.01)+ROW()/10000000,"")</f>
        <v/>
      </c>
    </row>
    <row r="4485" outlineLevel="1" ht="15" customHeight="1" s="94">
      <c r="A4485" s="123">
        <f>IF(B4485="","",ROW()-15)</f>
        <v/>
      </c>
      <c r="B4485" s="124" t="n"/>
      <c r="C4485" s="123" t="n"/>
      <c r="D4485" s="123" t="n"/>
      <c r="E4485" s="123" t="n"/>
      <c r="F4485" s="125" t="n"/>
      <c r="G4485" s="123" t="n"/>
      <c r="H4485" s="123" t="n"/>
      <c r="I4485" s="123" t="n"/>
      <c r="J4485" s="123" t="n"/>
      <c r="K4485" s="123" t="n"/>
      <c r="L4485" s="123" t="n"/>
      <c r="M4485" s="123">
        <f>IF(AND(B4485&lt;&gt;"",OR($C$4="",ISNUMBER(SEARCH($C$4,C4485&amp;" "&amp;E4485&amp;" "&amp;G4485&amp;" "&amp;H4485&amp;" "&amp;I4485&amp;" "&amp;J4485&amp;" "&amp;K4485&amp;" "&amp;L4485))),OR($C$5="Semua",$C$5="",G4485=$C$5),OR($C$6="Semua",$C$6="",H4485=$C$6,H4485="Pengeluaran "&amp;$C$6,AND($C$6="Uang Kos Mama",H4485="Pengeluaran Uang Kos")),OR($C$7="Semua",$C$7="",I4485=$C$7),OR($C$8="Semua",$C$8="",C4485=$C$8,E4485=$C$8),OR($C$9="Semua",$C$9="",D4485=$C$9),OR($C$10="",B4485&gt;=$C$10),OR($C$11="",B4485&lt;=$C$11),OR($C$12&lt;&gt;"Ya",K4485&lt;&gt;""),OR($C$13="Semua",$C$13="",L4485=$C$13)),"✓","")</f>
        <v/>
      </c>
      <c r="N4485" s="93">
        <f>N(N4484)+IF(M4485="✓",1,0)</f>
        <v/>
      </c>
      <c r="O4485" s="93">
        <f>N(O4484)+IF(AND(B4485&lt;&gt;"",B4485&gt;='Uang Riba'!$H$30,B4485&lt;='Uang Riba'!$I$30,OR(H4485="Dana riba",H4485="Pinjam uang riba",I4485="Pinjam dari uang riba",I4485="Ganti uang riba",I4485="Kelebihan ganti dikembalikan",AND(C4485="Kantong Uang Riba",G4485="Pengeluaran"))),1,0)</f>
        <v/>
      </c>
      <c r="X4485" s="93">
        <f>IF(AND(B4485&lt;&gt;"",B4485&gt;='Buku Akun'!$H$4,B4485&lt;='Buku Akun'!$H$5,OR(C4485='Buku Akun'!$C$4,AND(D4485="Pindah",E4485='Buku Akun'!$C$4))),B4485+IF(AND(I4485="Selisih bunga",DAY(B4485)=1),0,0.01)+ROW()/10000000,"")</f>
        <v/>
      </c>
    </row>
    <row r="4486" outlineLevel="1" ht="15" customHeight="1" s="94">
      <c r="A4486" s="123">
        <f>IF(B4486="","",ROW()-15)</f>
        <v/>
      </c>
      <c r="B4486" s="124" t="n"/>
      <c r="C4486" s="123" t="n"/>
      <c r="D4486" s="123" t="n"/>
      <c r="E4486" s="123" t="n"/>
      <c r="F4486" s="125" t="n"/>
      <c r="G4486" s="123" t="n"/>
      <c r="H4486" s="123" t="n"/>
      <c r="I4486" s="123" t="n"/>
      <c r="J4486" s="123" t="n"/>
      <c r="K4486" s="123" t="n"/>
      <c r="L4486" s="123" t="n"/>
      <c r="M4486" s="123">
        <f>IF(AND(B4486&lt;&gt;"",OR($C$4="",ISNUMBER(SEARCH($C$4,C4486&amp;" "&amp;E4486&amp;" "&amp;G4486&amp;" "&amp;H4486&amp;" "&amp;I4486&amp;" "&amp;J4486&amp;" "&amp;K4486&amp;" "&amp;L4486))),OR($C$5="Semua",$C$5="",G4486=$C$5),OR($C$6="Semua",$C$6="",H4486=$C$6,H4486="Pengeluaran "&amp;$C$6,AND($C$6="Uang Kos Mama",H4486="Pengeluaran Uang Kos")),OR($C$7="Semua",$C$7="",I4486=$C$7),OR($C$8="Semua",$C$8="",C4486=$C$8,E4486=$C$8),OR($C$9="Semua",$C$9="",D4486=$C$9),OR($C$10="",B4486&gt;=$C$10),OR($C$11="",B4486&lt;=$C$11),OR($C$12&lt;&gt;"Ya",K4486&lt;&gt;""),OR($C$13="Semua",$C$13="",L4486=$C$13)),"✓","")</f>
        <v/>
      </c>
      <c r="N4486" s="93">
        <f>N(N4485)+IF(M4486="✓",1,0)</f>
        <v/>
      </c>
      <c r="O4486" s="93">
        <f>N(O4485)+IF(AND(B4486&lt;&gt;"",B4486&gt;='Uang Riba'!$H$30,B4486&lt;='Uang Riba'!$I$30,OR(H4486="Dana riba",H4486="Pinjam uang riba",I4486="Pinjam dari uang riba",I4486="Ganti uang riba",I4486="Kelebihan ganti dikembalikan",AND(C4486="Kantong Uang Riba",G4486="Pengeluaran"))),1,0)</f>
        <v/>
      </c>
      <c r="X4486" s="93">
        <f>IF(AND(B4486&lt;&gt;"",B4486&gt;='Buku Akun'!$H$4,B4486&lt;='Buku Akun'!$H$5,OR(C4486='Buku Akun'!$C$4,AND(D4486="Pindah",E4486='Buku Akun'!$C$4))),B4486+IF(AND(I4486="Selisih bunga",DAY(B4486)=1),0,0.01)+ROW()/10000000,"")</f>
        <v/>
      </c>
    </row>
    <row r="4487" outlineLevel="1" ht="15" customHeight="1" s="94">
      <c r="A4487" s="123">
        <f>IF(B4487="","",ROW()-15)</f>
        <v/>
      </c>
      <c r="B4487" s="124" t="n"/>
      <c r="C4487" s="123" t="n"/>
      <c r="D4487" s="123" t="n"/>
      <c r="E4487" s="123" t="n"/>
      <c r="F4487" s="125" t="n"/>
      <c r="G4487" s="123" t="n"/>
      <c r="H4487" s="123" t="n"/>
      <c r="I4487" s="123" t="n"/>
      <c r="J4487" s="123" t="n"/>
      <c r="K4487" s="123" t="n"/>
      <c r="L4487" s="123" t="n"/>
      <c r="M4487" s="123">
        <f>IF(AND(B4487&lt;&gt;"",OR($C$4="",ISNUMBER(SEARCH($C$4,C4487&amp;" "&amp;E4487&amp;" "&amp;G4487&amp;" "&amp;H4487&amp;" "&amp;I4487&amp;" "&amp;J4487&amp;" "&amp;K4487&amp;" "&amp;L4487))),OR($C$5="Semua",$C$5="",G4487=$C$5),OR($C$6="Semua",$C$6="",H4487=$C$6,H4487="Pengeluaran "&amp;$C$6,AND($C$6="Uang Kos Mama",H4487="Pengeluaran Uang Kos")),OR($C$7="Semua",$C$7="",I4487=$C$7),OR($C$8="Semua",$C$8="",C4487=$C$8,E4487=$C$8),OR($C$9="Semua",$C$9="",D4487=$C$9),OR($C$10="",B4487&gt;=$C$10),OR($C$11="",B4487&lt;=$C$11),OR($C$12&lt;&gt;"Ya",K4487&lt;&gt;""),OR($C$13="Semua",$C$13="",L4487=$C$13)),"✓","")</f>
        <v/>
      </c>
      <c r="N4487" s="93">
        <f>N(N4486)+IF(M4487="✓",1,0)</f>
        <v/>
      </c>
      <c r="O4487" s="93">
        <f>N(O4486)+IF(AND(B4487&lt;&gt;"",B4487&gt;='Uang Riba'!$H$30,B4487&lt;='Uang Riba'!$I$30,OR(H4487="Dana riba",H4487="Pinjam uang riba",I4487="Pinjam dari uang riba",I4487="Ganti uang riba",I4487="Kelebihan ganti dikembalikan",AND(C4487="Kantong Uang Riba",G4487="Pengeluaran"))),1,0)</f>
        <v/>
      </c>
      <c r="X4487" s="93">
        <f>IF(AND(B4487&lt;&gt;"",B4487&gt;='Buku Akun'!$H$4,B4487&lt;='Buku Akun'!$H$5,OR(C4487='Buku Akun'!$C$4,AND(D4487="Pindah",E4487='Buku Akun'!$C$4))),B4487+IF(AND(I4487="Selisih bunga",DAY(B4487)=1),0,0.01)+ROW()/10000000,"")</f>
        <v/>
      </c>
    </row>
    <row r="4488" outlineLevel="1" ht="15" customHeight="1" s="94">
      <c r="A4488" s="123">
        <f>IF(B4488="","",ROW()-15)</f>
        <v/>
      </c>
      <c r="B4488" s="124" t="n"/>
      <c r="C4488" s="123" t="n"/>
      <c r="D4488" s="123" t="n"/>
      <c r="E4488" s="123" t="n"/>
      <c r="F4488" s="125" t="n"/>
      <c r="G4488" s="123" t="n"/>
      <c r="H4488" s="123" t="n"/>
      <c r="I4488" s="123" t="n"/>
      <c r="J4488" s="123" t="n"/>
      <c r="K4488" s="123" t="n"/>
      <c r="L4488" s="123" t="n"/>
      <c r="M4488" s="123">
        <f>IF(AND(B4488&lt;&gt;"",OR($C$4="",ISNUMBER(SEARCH($C$4,C4488&amp;" "&amp;E4488&amp;" "&amp;G4488&amp;" "&amp;H4488&amp;" "&amp;I4488&amp;" "&amp;J4488&amp;" "&amp;K4488&amp;" "&amp;L4488))),OR($C$5="Semua",$C$5="",G4488=$C$5),OR($C$6="Semua",$C$6="",H4488=$C$6,H4488="Pengeluaran "&amp;$C$6,AND($C$6="Uang Kos Mama",H4488="Pengeluaran Uang Kos")),OR($C$7="Semua",$C$7="",I4488=$C$7),OR($C$8="Semua",$C$8="",C4488=$C$8,E4488=$C$8),OR($C$9="Semua",$C$9="",D4488=$C$9),OR($C$10="",B4488&gt;=$C$10),OR($C$11="",B4488&lt;=$C$11),OR($C$12&lt;&gt;"Ya",K4488&lt;&gt;""),OR($C$13="Semua",$C$13="",L4488=$C$13)),"✓","")</f>
        <v/>
      </c>
      <c r="N4488" s="93">
        <f>N(N4487)+IF(M4488="✓",1,0)</f>
        <v/>
      </c>
      <c r="O4488" s="93">
        <f>N(O4487)+IF(AND(B4488&lt;&gt;"",B4488&gt;='Uang Riba'!$H$30,B4488&lt;='Uang Riba'!$I$30,OR(H4488="Dana riba",H4488="Pinjam uang riba",I4488="Pinjam dari uang riba",I4488="Ganti uang riba",I4488="Kelebihan ganti dikembalikan",AND(C4488="Kantong Uang Riba",G4488="Pengeluaran"))),1,0)</f>
        <v/>
      </c>
      <c r="X4488" s="93">
        <f>IF(AND(B4488&lt;&gt;"",B4488&gt;='Buku Akun'!$H$4,B4488&lt;='Buku Akun'!$H$5,OR(C4488='Buku Akun'!$C$4,AND(D4488="Pindah",E4488='Buku Akun'!$C$4))),B4488+IF(AND(I4488="Selisih bunga",DAY(B4488)=1),0,0.01)+ROW()/10000000,"")</f>
        <v/>
      </c>
    </row>
    <row r="4489" outlineLevel="1" ht="15" customHeight="1" s="94">
      <c r="A4489" s="123">
        <f>IF(B4489="","",ROW()-15)</f>
        <v/>
      </c>
      <c r="B4489" s="124" t="n"/>
      <c r="C4489" s="123" t="n"/>
      <c r="D4489" s="123" t="n"/>
      <c r="E4489" s="123" t="n"/>
      <c r="F4489" s="125" t="n"/>
      <c r="G4489" s="123" t="n"/>
      <c r="H4489" s="123" t="n"/>
      <c r="I4489" s="123" t="n"/>
      <c r="J4489" s="123" t="n"/>
      <c r="K4489" s="123" t="n"/>
      <c r="L4489" s="123" t="n"/>
      <c r="M4489" s="123">
        <f>IF(AND(B4489&lt;&gt;"",OR($C$4="",ISNUMBER(SEARCH($C$4,C4489&amp;" "&amp;E4489&amp;" "&amp;G4489&amp;" "&amp;H4489&amp;" "&amp;I4489&amp;" "&amp;J4489&amp;" "&amp;K4489&amp;" "&amp;L4489))),OR($C$5="Semua",$C$5="",G4489=$C$5),OR($C$6="Semua",$C$6="",H4489=$C$6,H4489="Pengeluaran "&amp;$C$6,AND($C$6="Uang Kos Mama",H4489="Pengeluaran Uang Kos")),OR($C$7="Semua",$C$7="",I4489=$C$7),OR($C$8="Semua",$C$8="",C4489=$C$8,E4489=$C$8),OR($C$9="Semua",$C$9="",D4489=$C$9),OR($C$10="",B4489&gt;=$C$10),OR($C$11="",B4489&lt;=$C$11),OR($C$12&lt;&gt;"Ya",K4489&lt;&gt;""),OR($C$13="Semua",$C$13="",L4489=$C$13)),"✓","")</f>
        <v/>
      </c>
      <c r="N4489" s="93">
        <f>N(N4488)+IF(M4489="✓",1,0)</f>
        <v/>
      </c>
      <c r="O4489" s="93">
        <f>N(O4488)+IF(AND(B4489&lt;&gt;"",B4489&gt;='Uang Riba'!$H$30,B4489&lt;='Uang Riba'!$I$30,OR(H4489="Dana riba",H4489="Pinjam uang riba",I4489="Pinjam dari uang riba",I4489="Ganti uang riba",I4489="Kelebihan ganti dikembalikan",AND(C4489="Kantong Uang Riba",G4489="Pengeluaran"))),1,0)</f>
        <v/>
      </c>
      <c r="X4489" s="93">
        <f>IF(AND(B4489&lt;&gt;"",B4489&gt;='Buku Akun'!$H$4,B4489&lt;='Buku Akun'!$H$5,OR(C4489='Buku Akun'!$C$4,AND(D4489="Pindah",E4489='Buku Akun'!$C$4))),B4489+IF(AND(I4489="Selisih bunga",DAY(B4489)=1),0,0.01)+ROW()/10000000,"")</f>
        <v/>
      </c>
    </row>
    <row r="4490" outlineLevel="1" ht="15" customHeight="1" s="94">
      <c r="A4490" s="123">
        <f>IF(B4490="","",ROW()-15)</f>
        <v/>
      </c>
      <c r="B4490" s="124" t="n"/>
      <c r="C4490" s="123" t="n"/>
      <c r="D4490" s="123" t="n"/>
      <c r="E4490" s="123" t="n"/>
      <c r="F4490" s="125" t="n"/>
      <c r="G4490" s="123" t="n"/>
      <c r="H4490" s="123" t="n"/>
      <c r="I4490" s="123" t="n"/>
      <c r="J4490" s="123" t="n"/>
      <c r="K4490" s="123" t="n"/>
      <c r="L4490" s="123" t="n"/>
      <c r="M4490" s="123">
        <f>IF(AND(B4490&lt;&gt;"",OR($C$4="",ISNUMBER(SEARCH($C$4,C4490&amp;" "&amp;E4490&amp;" "&amp;G4490&amp;" "&amp;H4490&amp;" "&amp;I4490&amp;" "&amp;J4490&amp;" "&amp;K4490&amp;" "&amp;L4490))),OR($C$5="Semua",$C$5="",G4490=$C$5),OR($C$6="Semua",$C$6="",H4490=$C$6,H4490="Pengeluaran "&amp;$C$6,AND($C$6="Uang Kos Mama",H4490="Pengeluaran Uang Kos")),OR($C$7="Semua",$C$7="",I4490=$C$7),OR($C$8="Semua",$C$8="",C4490=$C$8,E4490=$C$8),OR($C$9="Semua",$C$9="",D4490=$C$9),OR($C$10="",B4490&gt;=$C$10),OR($C$11="",B4490&lt;=$C$11),OR($C$12&lt;&gt;"Ya",K4490&lt;&gt;""),OR($C$13="Semua",$C$13="",L4490=$C$13)),"✓","")</f>
        <v/>
      </c>
      <c r="N4490" s="93">
        <f>N(N4489)+IF(M4490="✓",1,0)</f>
        <v/>
      </c>
      <c r="O4490" s="93">
        <f>N(O4489)+IF(AND(B4490&lt;&gt;"",B4490&gt;='Uang Riba'!$H$30,B4490&lt;='Uang Riba'!$I$30,OR(H4490="Dana riba",H4490="Pinjam uang riba",I4490="Pinjam dari uang riba",I4490="Ganti uang riba",I4490="Kelebihan ganti dikembalikan",AND(C4490="Kantong Uang Riba",G4490="Pengeluaran"))),1,0)</f>
        <v/>
      </c>
      <c r="X4490" s="93">
        <f>IF(AND(B4490&lt;&gt;"",B4490&gt;='Buku Akun'!$H$4,B4490&lt;='Buku Akun'!$H$5,OR(C4490='Buku Akun'!$C$4,AND(D4490="Pindah",E4490='Buku Akun'!$C$4))),B4490+IF(AND(I4490="Selisih bunga",DAY(B4490)=1),0,0.01)+ROW()/10000000,"")</f>
        <v/>
      </c>
    </row>
    <row r="4491" outlineLevel="1" ht="15" customHeight="1" s="94">
      <c r="A4491" s="123">
        <f>IF(B4491="","",ROW()-15)</f>
        <v/>
      </c>
      <c r="B4491" s="124" t="n"/>
      <c r="C4491" s="123" t="n"/>
      <c r="D4491" s="123" t="n"/>
      <c r="E4491" s="123" t="n"/>
      <c r="F4491" s="125" t="n"/>
      <c r="G4491" s="123" t="n"/>
      <c r="H4491" s="123" t="n"/>
      <c r="I4491" s="123" t="n"/>
      <c r="J4491" s="123" t="n"/>
      <c r="K4491" s="123" t="n"/>
      <c r="L4491" s="123" t="n"/>
      <c r="M4491" s="123">
        <f>IF(AND(B4491&lt;&gt;"",OR($C$4="",ISNUMBER(SEARCH($C$4,C4491&amp;" "&amp;E4491&amp;" "&amp;G4491&amp;" "&amp;H4491&amp;" "&amp;I4491&amp;" "&amp;J4491&amp;" "&amp;K4491&amp;" "&amp;L4491))),OR($C$5="Semua",$C$5="",G4491=$C$5),OR($C$6="Semua",$C$6="",H4491=$C$6,H4491="Pengeluaran "&amp;$C$6,AND($C$6="Uang Kos Mama",H4491="Pengeluaran Uang Kos")),OR($C$7="Semua",$C$7="",I4491=$C$7),OR($C$8="Semua",$C$8="",C4491=$C$8,E4491=$C$8),OR($C$9="Semua",$C$9="",D4491=$C$9),OR($C$10="",B4491&gt;=$C$10),OR($C$11="",B4491&lt;=$C$11),OR($C$12&lt;&gt;"Ya",K4491&lt;&gt;""),OR($C$13="Semua",$C$13="",L4491=$C$13)),"✓","")</f>
        <v/>
      </c>
      <c r="N4491" s="93">
        <f>N(N4490)+IF(M4491="✓",1,0)</f>
        <v/>
      </c>
      <c r="O4491" s="93">
        <f>N(O4490)+IF(AND(B4491&lt;&gt;"",B4491&gt;='Uang Riba'!$H$30,B4491&lt;='Uang Riba'!$I$30,OR(H4491="Dana riba",H4491="Pinjam uang riba",I4491="Pinjam dari uang riba",I4491="Ganti uang riba",I4491="Kelebihan ganti dikembalikan",AND(C4491="Kantong Uang Riba",G4491="Pengeluaran"))),1,0)</f>
        <v/>
      </c>
      <c r="X4491" s="93">
        <f>IF(AND(B4491&lt;&gt;"",B4491&gt;='Buku Akun'!$H$4,B4491&lt;='Buku Akun'!$H$5,OR(C4491='Buku Akun'!$C$4,AND(D4491="Pindah",E4491='Buku Akun'!$C$4))),B4491+IF(AND(I4491="Selisih bunga",DAY(B4491)=1),0,0.01)+ROW()/10000000,"")</f>
        <v/>
      </c>
    </row>
    <row r="4492" outlineLevel="1" ht="15" customHeight="1" s="94">
      <c r="A4492" s="123">
        <f>IF(B4492="","",ROW()-15)</f>
        <v/>
      </c>
      <c r="B4492" s="124" t="n"/>
      <c r="C4492" s="123" t="n"/>
      <c r="D4492" s="123" t="n"/>
      <c r="E4492" s="123" t="n"/>
      <c r="F4492" s="125" t="n"/>
      <c r="G4492" s="123" t="n"/>
      <c r="H4492" s="123" t="n"/>
      <c r="I4492" s="123" t="n"/>
      <c r="J4492" s="123" t="n"/>
      <c r="K4492" s="123" t="n"/>
      <c r="L4492" s="123" t="n"/>
      <c r="M4492" s="123">
        <f>IF(AND(B4492&lt;&gt;"",OR($C$4="",ISNUMBER(SEARCH($C$4,C4492&amp;" "&amp;E4492&amp;" "&amp;G4492&amp;" "&amp;H4492&amp;" "&amp;I4492&amp;" "&amp;J4492&amp;" "&amp;K4492&amp;" "&amp;L4492))),OR($C$5="Semua",$C$5="",G4492=$C$5),OR($C$6="Semua",$C$6="",H4492=$C$6,H4492="Pengeluaran "&amp;$C$6,AND($C$6="Uang Kos Mama",H4492="Pengeluaran Uang Kos")),OR($C$7="Semua",$C$7="",I4492=$C$7),OR($C$8="Semua",$C$8="",C4492=$C$8,E4492=$C$8),OR($C$9="Semua",$C$9="",D4492=$C$9),OR($C$10="",B4492&gt;=$C$10),OR($C$11="",B4492&lt;=$C$11),OR($C$12&lt;&gt;"Ya",K4492&lt;&gt;""),OR($C$13="Semua",$C$13="",L4492=$C$13)),"✓","")</f>
        <v/>
      </c>
      <c r="N4492" s="93">
        <f>N(N4491)+IF(M4492="✓",1,0)</f>
        <v/>
      </c>
      <c r="O4492" s="93">
        <f>N(O4491)+IF(AND(B4492&lt;&gt;"",B4492&gt;='Uang Riba'!$H$30,B4492&lt;='Uang Riba'!$I$30,OR(H4492="Dana riba",H4492="Pinjam uang riba",I4492="Pinjam dari uang riba",I4492="Ganti uang riba",I4492="Kelebihan ganti dikembalikan",AND(C4492="Kantong Uang Riba",G4492="Pengeluaran"))),1,0)</f>
        <v/>
      </c>
      <c r="X4492" s="93">
        <f>IF(AND(B4492&lt;&gt;"",B4492&gt;='Buku Akun'!$H$4,B4492&lt;='Buku Akun'!$H$5,OR(C4492='Buku Akun'!$C$4,AND(D4492="Pindah",E4492='Buku Akun'!$C$4))),B4492+IF(AND(I4492="Selisih bunga",DAY(B4492)=1),0,0.01)+ROW()/10000000,"")</f>
        <v/>
      </c>
    </row>
    <row r="4493" outlineLevel="1" ht="15" customHeight="1" s="94">
      <c r="A4493" s="123">
        <f>IF(B4493="","",ROW()-15)</f>
        <v/>
      </c>
      <c r="B4493" s="124" t="n"/>
      <c r="C4493" s="123" t="n"/>
      <c r="D4493" s="123" t="n"/>
      <c r="E4493" s="123" t="n"/>
      <c r="F4493" s="125" t="n"/>
      <c r="G4493" s="123" t="n"/>
      <c r="H4493" s="123" t="n"/>
      <c r="I4493" s="123" t="n"/>
      <c r="J4493" s="123" t="n"/>
      <c r="K4493" s="123" t="n"/>
      <c r="L4493" s="123" t="n"/>
      <c r="M4493" s="123">
        <f>IF(AND(B4493&lt;&gt;"",OR($C$4="",ISNUMBER(SEARCH($C$4,C4493&amp;" "&amp;E4493&amp;" "&amp;G4493&amp;" "&amp;H4493&amp;" "&amp;I4493&amp;" "&amp;J4493&amp;" "&amp;K4493&amp;" "&amp;L4493))),OR($C$5="Semua",$C$5="",G4493=$C$5),OR($C$6="Semua",$C$6="",H4493=$C$6,H4493="Pengeluaran "&amp;$C$6,AND($C$6="Uang Kos Mama",H4493="Pengeluaran Uang Kos")),OR($C$7="Semua",$C$7="",I4493=$C$7),OR($C$8="Semua",$C$8="",C4493=$C$8,E4493=$C$8),OR($C$9="Semua",$C$9="",D4493=$C$9),OR($C$10="",B4493&gt;=$C$10),OR($C$11="",B4493&lt;=$C$11),OR($C$12&lt;&gt;"Ya",K4493&lt;&gt;""),OR($C$13="Semua",$C$13="",L4493=$C$13)),"✓","")</f>
        <v/>
      </c>
      <c r="N4493" s="93">
        <f>N(N4492)+IF(M4493="✓",1,0)</f>
        <v/>
      </c>
      <c r="O4493" s="93">
        <f>N(O4492)+IF(AND(B4493&lt;&gt;"",B4493&gt;='Uang Riba'!$H$30,B4493&lt;='Uang Riba'!$I$30,OR(H4493="Dana riba",H4493="Pinjam uang riba",I4493="Pinjam dari uang riba",I4493="Ganti uang riba",I4493="Kelebihan ganti dikembalikan",AND(C4493="Kantong Uang Riba",G4493="Pengeluaran"))),1,0)</f>
        <v/>
      </c>
      <c r="X4493" s="93">
        <f>IF(AND(B4493&lt;&gt;"",B4493&gt;='Buku Akun'!$H$4,B4493&lt;='Buku Akun'!$H$5,OR(C4493='Buku Akun'!$C$4,AND(D4493="Pindah",E4493='Buku Akun'!$C$4))),B4493+IF(AND(I4493="Selisih bunga",DAY(B4493)=1),0,0.01)+ROW()/10000000,"")</f>
        <v/>
      </c>
    </row>
    <row r="4494" outlineLevel="1" ht="15" customHeight="1" s="94">
      <c r="A4494" s="123">
        <f>IF(B4494="","",ROW()-15)</f>
        <v/>
      </c>
      <c r="B4494" s="124" t="n"/>
      <c r="C4494" s="123" t="n"/>
      <c r="D4494" s="123" t="n"/>
      <c r="E4494" s="123" t="n"/>
      <c r="F4494" s="125" t="n"/>
      <c r="G4494" s="123" t="n"/>
      <c r="H4494" s="123" t="n"/>
      <c r="I4494" s="123" t="n"/>
      <c r="J4494" s="123" t="n"/>
      <c r="K4494" s="123" t="n"/>
      <c r="L4494" s="123" t="n"/>
      <c r="M4494" s="123">
        <f>IF(AND(B4494&lt;&gt;"",OR($C$4="",ISNUMBER(SEARCH($C$4,C4494&amp;" "&amp;E4494&amp;" "&amp;G4494&amp;" "&amp;H4494&amp;" "&amp;I4494&amp;" "&amp;J4494&amp;" "&amp;K4494&amp;" "&amp;L4494))),OR($C$5="Semua",$C$5="",G4494=$C$5),OR($C$6="Semua",$C$6="",H4494=$C$6,H4494="Pengeluaran "&amp;$C$6,AND($C$6="Uang Kos Mama",H4494="Pengeluaran Uang Kos")),OR($C$7="Semua",$C$7="",I4494=$C$7),OR($C$8="Semua",$C$8="",C4494=$C$8,E4494=$C$8),OR($C$9="Semua",$C$9="",D4494=$C$9),OR($C$10="",B4494&gt;=$C$10),OR($C$11="",B4494&lt;=$C$11),OR($C$12&lt;&gt;"Ya",K4494&lt;&gt;""),OR($C$13="Semua",$C$13="",L4494=$C$13)),"✓","")</f>
        <v/>
      </c>
      <c r="N4494" s="93">
        <f>N(N4493)+IF(M4494="✓",1,0)</f>
        <v/>
      </c>
      <c r="O4494" s="93">
        <f>N(O4493)+IF(AND(B4494&lt;&gt;"",B4494&gt;='Uang Riba'!$H$30,B4494&lt;='Uang Riba'!$I$30,OR(H4494="Dana riba",H4494="Pinjam uang riba",I4494="Pinjam dari uang riba",I4494="Ganti uang riba",I4494="Kelebihan ganti dikembalikan",AND(C4494="Kantong Uang Riba",G4494="Pengeluaran"))),1,0)</f>
        <v/>
      </c>
      <c r="X4494" s="93">
        <f>IF(AND(B4494&lt;&gt;"",B4494&gt;='Buku Akun'!$H$4,B4494&lt;='Buku Akun'!$H$5,OR(C4494='Buku Akun'!$C$4,AND(D4494="Pindah",E4494='Buku Akun'!$C$4))),B4494+IF(AND(I4494="Selisih bunga",DAY(B4494)=1),0,0.01)+ROW()/10000000,"")</f>
        <v/>
      </c>
    </row>
    <row r="4495" outlineLevel="1" ht="15" customHeight="1" s="94">
      <c r="A4495" s="123">
        <f>IF(B4495="","",ROW()-15)</f>
        <v/>
      </c>
      <c r="B4495" s="124" t="n"/>
      <c r="C4495" s="123" t="n"/>
      <c r="D4495" s="123" t="n"/>
      <c r="E4495" s="123" t="n"/>
      <c r="F4495" s="125" t="n"/>
      <c r="G4495" s="123" t="n"/>
      <c r="H4495" s="123" t="n"/>
      <c r="I4495" s="123" t="n"/>
      <c r="J4495" s="123" t="n"/>
      <c r="K4495" s="123" t="n"/>
      <c r="L4495" s="123" t="n"/>
      <c r="M4495" s="123">
        <f>IF(AND(B4495&lt;&gt;"",OR($C$4="",ISNUMBER(SEARCH($C$4,C4495&amp;" "&amp;E4495&amp;" "&amp;G4495&amp;" "&amp;H4495&amp;" "&amp;I4495&amp;" "&amp;J4495&amp;" "&amp;K4495&amp;" "&amp;L4495))),OR($C$5="Semua",$C$5="",G4495=$C$5),OR($C$6="Semua",$C$6="",H4495=$C$6,H4495="Pengeluaran "&amp;$C$6,AND($C$6="Uang Kos Mama",H4495="Pengeluaran Uang Kos")),OR($C$7="Semua",$C$7="",I4495=$C$7),OR($C$8="Semua",$C$8="",C4495=$C$8,E4495=$C$8),OR($C$9="Semua",$C$9="",D4495=$C$9),OR($C$10="",B4495&gt;=$C$10),OR($C$11="",B4495&lt;=$C$11),OR($C$12&lt;&gt;"Ya",K4495&lt;&gt;""),OR($C$13="Semua",$C$13="",L4495=$C$13)),"✓","")</f>
        <v/>
      </c>
      <c r="N4495" s="93">
        <f>N(N4494)+IF(M4495="✓",1,0)</f>
        <v/>
      </c>
      <c r="O4495" s="93">
        <f>N(O4494)+IF(AND(B4495&lt;&gt;"",B4495&gt;='Uang Riba'!$H$30,B4495&lt;='Uang Riba'!$I$30,OR(H4495="Dana riba",H4495="Pinjam uang riba",I4495="Pinjam dari uang riba",I4495="Ganti uang riba",I4495="Kelebihan ganti dikembalikan",AND(C4495="Kantong Uang Riba",G4495="Pengeluaran"))),1,0)</f>
        <v/>
      </c>
      <c r="X4495" s="93">
        <f>IF(AND(B4495&lt;&gt;"",B4495&gt;='Buku Akun'!$H$4,B4495&lt;='Buku Akun'!$H$5,OR(C4495='Buku Akun'!$C$4,AND(D4495="Pindah",E4495='Buku Akun'!$C$4))),B4495+IF(AND(I4495="Selisih bunga",DAY(B4495)=1),0,0.01)+ROW()/10000000,"")</f>
        <v/>
      </c>
    </row>
    <row r="4496" outlineLevel="1" ht="15" customHeight="1" s="94">
      <c r="A4496" s="123">
        <f>IF(B4496="","",ROW()-15)</f>
        <v/>
      </c>
      <c r="B4496" s="124" t="n"/>
      <c r="C4496" s="123" t="n"/>
      <c r="D4496" s="123" t="n"/>
      <c r="E4496" s="123" t="n"/>
      <c r="F4496" s="125" t="n"/>
      <c r="G4496" s="123" t="n"/>
      <c r="H4496" s="123" t="n"/>
      <c r="I4496" s="123" t="n"/>
      <c r="J4496" s="123" t="n"/>
      <c r="K4496" s="123" t="n"/>
      <c r="L4496" s="123" t="n"/>
      <c r="M4496" s="123">
        <f>IF(AND(B4496&lt;&gt;"",OR($C$4="",ISNUMBER(SEARCH($C$4,C4496&amp;" "&amp;E4496&amp;" "&amp;G4496&amp;" "&amp;H4496&amp;" "&amp;I4496&amp;" "&amp;J4496&amp;" "&amp;K4496&amp;" "&amp;L4496))),OR($C$5="Semua",$C$5="",G4496=$C$5),OR($C$6="Semua",$C$6="",H4496=$C$6,H4496="Pengeluaran "&amp;$C$6,AND($C$6="Uang Kos Mama",H4496="Pengeluaran Uang Kos")),OR($C$7="Semua",$C$7="",I4496=$C$7),OR($C$8="Semua",$C$8="",C4496=$C$8,E4496=$C$8),OR($C$9="Semua",$C$9="",D4496=$C$9),OR($C$10="",B4496&gt;=$C$10),OR($C$11="",B4496&lt;=$C$11),OR($C$12&lt;&gt;"Ya",K4496&lt;&gt;""),OR($C$13="Semua",$C$13="",L4496=$C$13)),"✓","")</f>
        <v/>
      </c>
      <c r="N4496" s="93">
        <f>N(N4495)+IF(M4496="✓",1,0)</f>
        <v/>
      </c>
      <c r="O4496" s="93">
        <f>N(O4495)+IF(AND(B4496&lt;&gt;"",B4496&gt;='Uang Riba'!$H$30,B4496&lt;='Uang Riba'!$I$30,OR(H4496="Dana riba",H4496="Pinjam uang riba",I4496="Pinjam dari uang riba",I4496="Ganti uang riba",I4496="Kelebihan ganti dikembalikan",AND(C4496="Kantong Uang Riba",G4496="Pengeluaran"))),1,0)</f>
        <v/>
      </c>
      <c r="X4496" s="93">
        <f>IF(AND(B4496&lt;&gt;"",B4496&gt;='Buku Akun'!$H$4,B4496&lt;='Buku Akun'!$H$5,OR(C4496='Buku Akun'!$C$4,AND(D4496="Pindah",E4496='Buku Akun'!$C$4))),B4496+IF(AND(I4496="Selisih bunga",DAY(B4496)=1),0,0.01)+ROW()/10000000,"")</f>
        <v/>
      </c>
    </row>
    <row r="4497" outlineLevel="1" ht="15" customHeight="1" s="94">
      <c r="A4497" s="123">
        <f>IF(B4497="","",ROW()-15)</f>
        <v/>
      </c>
      <c r="B4497" s="124" t="n"/>
      <c r="C4497" s="123" t="n"/>
      <c r="D4497" s="123" t="n"/>
      <c r="E4497" s="123" t="n"/>
      <c r="F4497" s="125" t="n"/>
      <c r="G4497" s="123" t="n"/>
      <c r="H4497" s="123" t="n"/>
      <c r="I4497" s="123" t="n"/>
      <c r="J4497" s="123" t="n"/>
      <c r="K4497" s="123" t="n"/>
      <c r="L4497" s="123" t="n"/>
      <c r="M4497" s="123">
        <f>IF(AND(B4497&lt;&gt;"",OR($C$4="",ISNUMBER(SEARCH($C$4,C4497&amp;" "&amp;E4497&amp;" "&amp;G4497&amp;" "&amp;H4497&amp;" "&amp;I4497&amp;" "&amp;J4497&amp;" "&amp;K4497&amp;" "&amp;L4497))),OR($C$5="Semua",$C$5="",G4497=$C$5),OR($C$6="Semua",$C$6="",H4497=$C$6,H4497="Pengeluaran "&amp;$C$6,AND($C$6="Uang Kos Mama",H4497="Pengeluaran Uang Kos")),OR($C$7="Semua",$C$7="",I4497=$C$7),OR($C$8="Semua",$C$8="",C4497=$C$8,E4497=$C$8),OR($C$9="Semua",$C$9="",D4497=$C$9),OR($C$10="",B4497&gt;=$C$10),OR($C$11="",B4497&lt;=$C$11),OR($C$12&lt;&gt;"Ya",K4497&lt;&gt;""),OR($C$13="Semua",$C$13="",L4497=$C$13)),"✓","")</f>
        <v/>
      </c>
      <c r="N4497" s="93">
        <f>N(N4496)+IF(M4497="✓",1,0)</f>
        <v/>
      </c>
      <c r="O4497" s="93">
        <f>N(O4496)+IF(AND(B4497&lt;&gt;"",B4497&gt;='Uang Riba'!$H$30,B4497&lt;='Uang Riba'!$I$30,OR(H4497="Dana riba",H4497="Pinjam uang riba",I4497="Pinjam dari uang riba",I4497="Ganti uang riba",I4497="Kelebihan ganti dikembalikan",AND(C4497="Kantong Uang Riba",G4497="Pengeluaran"))),1,0)</f>
        <v/>
      </c>
      <c r="X4497" s="93">
        <f>IF(AND(B4497&lt;&gt;"",B4497&gt;='Buku Akun'!$H$4,B4497&lt;='Buku Akun'!$H$5,OR(C4497='Buku Akun'!$C$4,AND(D4497="Pindah",E4497='Buku Akun'!$C$4))),B4497+IF(AND(I4497="Selisih bunga",DAY(B4497)=1),0,0.01)+ROW()/10000000,"")</f>
        <v/>
      </c>
    </row>
    <row r="4498" outlineLevel="1" ht="15" customHeight="1" s="94">
      <c r="A4498" s="123">
        <f>IF(B4498="","",ROW()-15)</f>
        <v/>
      </c>
      <c r="B4498" s="124" t="n"/>
      <c r="C4498" s="123" t="n"/>
      <c r="D4498" s="123" t="n"/>
      <c r="E4498" s="123" t="n"/>
      <c r="F4498" s="125" t="n"/>
      <c r="G4498" s="123" t="n"/>
      <c r="H4498" s="123" t="n"/>
      <c r="I4498" s="123" t="n"/>
      <c r="J4498" s="123" t="n"/>
      <c r="K4498" s="123" t="n"/>
      <c r="L4498" s="123" t="n"/>
      <c r="M4498" s="123">
        <f>IF(AND(B4498&lt;&gt;"",OR($C$4="",ISNUMBER(SEARCH($C$4,C4498&amp;" "&amp;E4498&amp;" "&amp;G4498&amp;" "&amp;H4498&amp;" "&amp;I4498&amp;" "&amp;J4498&amp;" "&amp;K4498&amp;" "&amp;L4498))),OR($C$5="Semua",$C$5="",G4498=$C$5),OR($C$6="Semua",$C$6="",H4498=$C$6,H4498="Pengeluaran "&amp;$C$6,AND($C$6="Uang Kos Mama",H4498="Pengeluaran Uang Kos")),OR($C$7="Semua",$C$7="",I4498=$C$7),OR($C$8="Semua",$C$8="",C4498=$C$8,E4498=$C$8),OR($C$9="Semua",$C$9="",D4498=$C$9),OR($C$10="",B4498&gt;=$C$10),OR($C$11="",B4498&lt;=$C$11),OR($C$12&lt;&gt;"Ya",K4498&lt;&gt;""),OR($C$13="Semua",$C$13="",L4498=$C$13)),"✓","")</f>
        <v/>
      </c>
      <c r="N4498" s="93">
        <f>N(N4497)+IF(M4498="✓",1,0)</f>
        <v/>
      </c>
      <c r="O4498" s="93">
        <f>N(O4497)+IF(AND(B4498&lt;&gt;"",B4498&gt;='Uang Riba'!$H$30,B4498&lt;='Uang Riba'!$I$30,OR(H4498="Dana riba",H4498="Pinjam uang riba",I4498="Pinjam dari uang riba",I4498="Ganti uang riba",I4498="Kelebihan ganti dikembalikan",AND(C4498="Kantong Uang Riba",G4498="Pengeluaran"))),1,0)</f>
        <v/>
      </c>
      <c r="X4498" s="93">
        <f>IF(AND(B4498&lt;&gt;"",B4498&gt;='Buku Akun'!$H$4,B4498&lt;='Buku Akun'!$H$5,OR(C4498='Buku Akun'!$C$4,AND(D4498="Pindah",E4498='Buku Akun'!$C$4))),B4498+IF(AND(I4498="Selisih bunga",DAY(B4498)=1),0,0.01)+ROW()/10000000,"")</f>
        <v/>
      </c>
    </row>
    <row r="4499" outlineLevel="1" ht="15" customHeight="1" s="94">
      <c r="A4499" s="123">
        <f>IF(B4499="","",ROW()-15)</f>
        <v/>
      </c>
      <c r="B4499" s="124" t="n"/>
      <c r="C4499" s="123" t="n"/>
      <c r="D4499" s="123" t="n"/>
      <c r="E4499" s="123" t="n"/>
      <c r="F4499" s="125" t="n"/>
      <c r="G4499" s="123" t="n"/>
      <c r="H4499" s="123" t="n"/>
      <c r="I4499" s="123" t="n"/>
      <c r="J4499" s="123" t="n"/>
      <c r="K4499" s="123" t="n"/>
      <c r="L4499" s="123" t="n"/>
      <c r="M4499" s="123">
        <f>IF(AND(B4499&lt;&gt;"",OR($C$4="",ISNUMBER(SEARCH($C$4,C4499&amp;" "&amp;E4499&amp;" "&amp;G4499&amp;" "&amp;H4499&amp;" "&amp;I4499&amp;" "&amp;J4499&amp;" "&amp;K4499&amp;" "&amp;L4499))),OR($C$5="Semua",$C$5="",G4499=$C$5),OR($C$6="Semua",$C$6="",H4499=$C$6,H4499="Pengeluaran "&amp;$C$6,AND($C$6="Uang Kos Mama",H4499="Pengeluaran Uang Kos")),OR($C$7="Semua",$C$7="",I4499=$C$7),OR($C$8="Semua",$C$8="",C4499=$C$8,E4499=$C$8),OR($C$9="Semua",$C$9="",D4499=$C$9),OR($C$10="",B4499&gt;=$C$10),OR($C$11="",B4499&lt;=$C$11),OR($C$12&lt;&gt;"Ya",K4499&lt;&gt;""),OR($C$13="Semua",$C$13="",L4499=$C$13)),"✓","")</f>
        <v/>
      </c>
      <c r="N4499" s="93">
        <f>N(N4498)+IF(M4499="✓",1,0)</f>
        <v/>
      </c>
      <c r="O4499" s="93">
        <f>N(O4498)+IF(AND(B4499&lt;&gt;"",B4499&gt;='Uang Riba'!$H$30,B4499&lt;='Uang Riba'!$I$30,OR(H4499="Dana riba",H4499="Pinjam uang riba",I4499="Pinjam dari uang riba",I4499="Ganti uang riba",I4499="Kelebihan ganti dikembalikan",AND(C4499="Kantong Uang Riba",G4499="Pengeluaran"))),1,0)</f>
        <v/>
      </c>
      <c r="X4499" s="93">
        <f>IF(AND(B4499&lt;&gt;"",B4499&gt;='Buku Akun'!$H$4,B4499&lt;='Buku Akun'!$H$5,OR(C4499='Buku Akun'!$C$4,AND(D4499="Pindah",E4499='Buku Akun'!$C$4))),B4499+IF(AND(I4499="Selisih bunga",DAY(B4499)=1),0,0.01)+ROW()/10000000,"")</f>
        <v/>
      </c>
    </row>
    <row r="4500" outlineLevel="1" ht="15" customHeight="1" s="94">
      <c r="A4500" s="123">
        <f>IF(B4500="","",ROW()-15)</f>
        <v/>
      </c>
      <c r="B4500" s="124" t="n"/>
      <c r="C4500" s="123" t="n"/>
      <c r="D4500" s="123" t="n"/>
      <c r="E4500" s="123" t="n"/>
      <c r="F4500" s="125" t="n"/>
      <c r="G4500" s="123" t="n"/>
      <c r="H4500" s="123" t="n"/>
      <c r="I4500" s="123" t="n"/>
      <c r="J4500" s="123" t="n"/>
      <c r="K4500" s="123" t="n"/>
      <c r="L4500" s="123" t="n"/>
      <c r="M4500" s="123">
        <f>IF(AND(B4500&lt;&gt;"",OR($C$4="",ISNUMBER(SEARCH($C$4,C4500&amp;" "&amp;E4500&amp;" "&amp;G4500&amp;" "&amp;H4500&amp;" "&amp;I4500&amp;" "&amp;J4500&amp;" "&amp;K4500&amp;" "&amp;L4500))),OR($C$5="Semua",$C$5="",G4500=$C$5),OR($C$6="Semua",$C$6="",H4500=$C$6,H4500="Pengeluaran "&amp;$C$6,AND($C$6="Uang Kos Mama",H4500="Pengeluaran Uang Kos")),OR($C$7="Semua",$C$7="",I4500=$C$7),OR($C$8="Semua",$C$8="",C4500=$C$8,E4500=$C$8),OR($C$9="Semua",$C$9="",D4500=$C$9),OR($C$10="",B4500&gt;=$C$10),OR($C$11="",B4500&lt;=$C$11),OR($C$12&lt;&gt;"Ya",K4500&lt;&gt;""),OR($C$13="Semua",$C$13="",L4500=$C$13)),"✓","")</f>
        <v/>
      </c>
      <c r="N4500" s="93">
        <f>N(N4499)+IF(M4500="✓",1,0)</f>
        <v/>
      </c>
      <c r="O4500" s="93">
        <f>N(O4499)+IF(AND(B4500&lt;&gt;"",B4500&gt;='Uang Riba'!$H$30,B4500&lt;='Uang Riba'!$I$30,OR(H4500="Dana riba",H4500="Pinjam uang riba",I4500="Pinjam dari uang riba",I4500="Ganti uang riba",I4500="Kelebihan ganti dikembalikan",AND(C4500="Kantong Uang Riba",G4500="Pengeluaran"))),1,0)</f>
        <v/>
      </c>
      <c r="X4500" s="93">
        <f>IF(AND(B4500&lt;&gt;"",B4500&gt;='Buku Akun'!$H$4,B4500&lt;='Buku Akun'!$H$5,OR(C4500='Buku Akun'!$C$4,AND(D4500="Pindah",E4500='Buku Akun'!$C$4))),B4500+IF(AND(I4500="Selisih bunga",DAY(B4500)=1),0,0.01)+ROW()/10000000,"")</f>
        <v/>
      </c>
    </row>
    <row r="4501" outlineLevel="1" ht="15" customHeight="1" s="94">
      <c r="A4501" s="123">
        <f>IF(B4501="","",ROW()-15)</f>
        <v/>
      </c>
      <c r="B4501" s="124" t="n"/>
      <c r="C4501" s="123" t="n"/>
      <c r="D4501" s="123" t="n"/>
      <c r="E4501" s="123" t="n"/>
      <c r="F4501" s="125" t="n"/>
      <c r="G4501" s="123" t="n"/>
      <c r="H4501" s="123" t="n"/>
      <c r="I4501" s="123" t="n"/>
      <c r="J4501" s="123" t="n"/>
      <c r="K4501" s="123" t="n"/>
      <c r="L4501" s="123" t="n"/>
      <c r="M4501" s="123">
        <f>IF(AND(B4501&lt;&gt;"",OR($C$4="",ISNUMBER(SEARCH($C$4,C4501&amp;" "&amp;E4501&amp;" "&amp;G4501&amp;" "&amp;H4501&amp;" "&amp;I4501&amp;" "&amp;J4501&amp;" "&amp;K4501&amp;" "&amp;L4501))),OR($C$5="Semua",$C$5="",G4501=$C$5),OR($C$6="Semua",$C$6="",H4501=$C$6,H4501="Pengeluaran "&amp;$C$6,AND($C$6="Uang Kos Mama",H4501="Pengeluaran Uang Kos")),OR($C$7="Semua",$C$7="",I4501=$C$7),OR($C$8="Semua",$C$8="",C4501=$C$8,E4501=$C$8),OR($C$9="Semua",$C$9="",D4501=$C$9),OR($C$10="",B4501&gt;=$C$10),OR($C$11="",B4501&lt;=$C$11),OR($C$12&lt;&gt;"Ya",K4501&lt;&gt;""),OR($C$13="Semua",$C$13="",L4501=$C$13)),"✓","")</f>
        <v/>
      </c>
      <c r="N4501" s="93">
        <f>N(N4500)+IF(M4501="✓",1,0)</f>
        <v/>
      </c>
      <c r="O4501" s="93">
        <f>N(O4500)+IF(AND(B4501&lt;&gt;"",B4501&gt;='Uang Riba'!$H$30,B4501&lt;='Uang Riba'!$I$30,OR(H4501="Dana riba",H4501="Pinjam uang riba",I4501="Pinjam dari uang riba",I4501="Ganti uang riba",I4501="Kelebihan ganti dikembalikan",AND(C4501="Kantong Uang Riba",G4501="Pengeluaran"))),1,0)</f>
        <v/>
      </c>
      <c r="X4501" s="93">
        <f>IF(AND(B4501&lt;&gt;"",B4501&gt;='Buku Akun'!$H$4,B4501&lt;='Buku Akun'!$H$5,OR(C4501='Buku Akun'!$C$4,AND(D4501="Pindah",E4501='Buku Akun'!$C$4))),B4501+IF(AND(I4501="Selisih bunga",DAY(B4501)=1),0,0.01)+ROW()/10000000,"")</f>
        <v/>
      </c>
    </row>
    <row r="4502" outlineLevel="1" ht="15" customHeight="1" s="94">
      <c r="A4502" s="123">
        <f>IF(B4502="","",ROW()-15)</f>
        <v/>
      </c>
      <c r="B4502" s="124" t="n"/>
      <c r="C4502" s="123" t="n"/>
      <c r="D4502" s="123" t="n"/>
      <c r="E4502" s="123" t="n"/>
      <c r="F4502" s="125" t="n"/>
      <c r="G4502" s="123" t="n"/>
      <c r="H4502" s="123" t="n"/>
      <c r="I4502" s="123" t="n"/>
      <c r="J4502" s="123" t="n"/>
      <c r="K4502" s="123" t="n"/>
      <c r="L4502" s="123" t="n"/>
      <c r="M4502" s="123">
        <f>IF(AND(B4502&lt;&gt;"",OR($C$4="",ISNUMBER(SEARCH($C$4,C4502&amp;" "&amp;E4502&amp;" "&amp;G4502&amp;" "&amp;H4502&amp;" "&amp;I4502&amp;" "&amp;J4502&amp;" "&amp;K4502&amp;" "&amp;L4502))),OR($C$5="Semua",$C$5="",G4502=$C$5),OR($C$6="Semua",$C$6="",H4502=$C$6,H4502="Pengeluaran "&amp;$C$6,AND($C$6="Uang Kos Mama",H4502="Pengeluaran Uang Kos")),OR($C$7="Semua",$C$7="",I4502=$C$7),OR($C$8="Semua",$C$8="",C4502=$C$8,E4502=$C$8),OR($C$9="Semua",$C$9="",D4502=$C$9),OR($C$10="",B4502&gt;=$C$10),OR($C$11="",B4502&lt;=$C$11),OR($C$12&lt;&gt;"Ya",K4502&lt;&gt;""),OR($C$13="Semua",$C$13="",L4502=$C$13)),"✓","")</f>
        <v/>
      </c>
      <c r="N4502" s="93">
        <f>N(N4501)+IF(M4502="✓",1,0)</f>
        <v/>
      </c>
      <c r="O4502" s="93">
        <f>N(O4501)+IF(AND(B4502&lt;&gt;"",B4502&gt;='Uang Riba'!$H$30,B4502&lt;='Uang Riba'!$I$30,OR(H4502="Dana riba",H4502="Pinjam uang riba",I4502="Pinjam dari uang riba",I4502="Ganti uang riba",I4502="Kelebihan ganti dikembalikan",AND(C4502="Kantong Uang Riba",G4502="Pengeluaran"))),1,0)</f>
        <v/>
      </c>
      <c r="X4502" s="93">
        <f>IF(AND(B4502&lt;&gt;"",B4502&gt;='Buku Akun'!$H$4,B4502&lt;='Buku Akun'!$H$5,OR(C4502='Buku Akun'!$C$4,AND(D4502="Pindah",E4502='Buku Akun'!$C$4))),B4502+IF(AND(I4502="Selisih bunga",DAY(B4502)=1),0,0.01)+ROW()/10000000,"")</f>
        <v/>
      </c>
    </row>
    <row r="4503" outlineLevel="1" ht="15" customHeight="1" s="94">
      <c r="A4503" s="123">
        <f>IF(B4503="","",ROW()-15)</f>
        <v/>
      </c>
      <c r="B4503" s="124" t="n"/>
      <c r="C4503" s="123" t="n"/>
      <c r="D4503" s="123" t="n"/>
      <c r="E4503" s="123" t="n"/>
      <c r="F4503" s="125" t="n"/>
      <c r="G4503" s="123" t="n"/>
      <c r="H4503" s="123" t="n"/>
      <c r="I4503" s="123" t="n"/>
      <c r="J4503" s="123" t="n"/>
      <c r="K4503" s="123" t="n"/>
      <c r="L4503" s="123" t="n"/>
      <c r="M4503" s="123">
        <f>IF(AND(B4503&lt;&gt;"",OR($C$4="",ISNUMBER(SEARCH($C$4,C4503&amp;" "&amp;E4503&amp;" "&amp;G4503&amp;" "&amp;H4503&amp;" "&amp;I4503&amp;" "&amp;J4503&amp;" "&amp;K4503&amp;" "&amp;L4503))),OR($C$5="Semua",$C$5="",G4503=$C$5),OR($C$6="Semua",$C$6="",H4503=$C$6,H4503="Pengeluaran "&amp;$C$6,AND($C$6="Uang Kos Mama",H4503="Pengeluaran Uang Kos")),OR($C$7="Semua",$C$7="",I4503=$C$7),OR($C$8="Semua",$C$8="",C4503=$C$8,E4503=$C$8),OR($C$9="Semua",$C$9="",D4503=$C$9),OR($C$10="",B4503&gt;=$C$10),OR($C$11="",B4503&lt;=$C$11),OR($C$12&lt;&gt;"Ya",K4503&lt;&gt;""),OR($C$13="Semua",$C$13="",L4503=$C$13)),"✓","")</f>
        <v/>
      </c>
      <c r="N4503" s="93">
        <f>N(N4502)+IF(M4503="✓",1,0)</f>
        <v/>
      </c>
      <c r="O4503" s="93">
        <f>N(O4502)+IF(AND(B4503&lt;&gt;"",B4503&gt;='Uang Riba'!$H$30,B4503&lt;='Uang Riba'!$I$30,OR(H4503="Dana riba",H4503="Pinjam uang riba",I4503="Pinjam dari uang riba",I4503="Ganti uang riba",I4503="Kelebihan ganti dikembalikan",AND(C4503="Kantong Uang Riba",G4503="Pengeluaran"))),1,0)</f>
        <v/>
      </c>
      <c r="X4503" s="93">
        <f>IF(AND(B4503&lt;&gt;"",B4503&gt;='Buku Akun'!$H$4,B4503&lt;='Buku Akun'!$H$5,OR(C4503='Buku Akun'!$C$4,AND(D4503="Pindah",E4503='Buku Akun'!$C$4))),B4503+IF(AND(I4503="Selisih bunga",DAY(B4503)=1),0,0.01)+ROW()/10000000,"")</f>
        <v/>
      </c>
    </row>
    <row r="4504" outlineLevel="1" ht="15" customHeight="1" s="94">
      <c r="A4504" s="123">
        <f>IF(B4504="","",ROW()-15)</f>
        <v/>
      </c>
      <c r="B4504" s="124" t="n"/>
      <c r="C4504" s="123" t="n"/>
      <c r="D4504" s="123" t="n"/>
      <c r="E4504" s="123" t="n"/>
      <c r="F4504" s="125" t="n"/>
      <c r="G4504" s="123" t="n"/>
      <c r="H4504" s="123" t="n"/>
      <c r="I4504" s="123" t="n"/>
      <c r="J4504" s="123" t="n"/>
      <c r="K4504" s="123" t="n"/>
      <c r="L4504" s="123" t="n"/>
      <c r="M4504" s="123">
        <f>IF(AND(B4504&lt;&gt;"",OR($C$4="",ISNUMBER(SEARCH($C$4,C4504&amp;" "&amp;E4504&amp;" "&amp;G4504&amp;" "&amp;H4504&amp;" "&amp;I4504&amp;" "&amp;J4504&amp;" "&amp;K4504&amp;" "&amp;L4504))),OR($C$5="Semua",$C$5="",G4504=$C$5),OR($C$6="Semua",$C$6="",H4504=$C$6,H4504="Pengeluaran "&amp;$C$6,AND($C$6="Uang Kos Mama",H4504="Pengeluaran Uang Kos")),OR($C$7="Semua",$C$7="",I4504=$C$7),OR($C$8="Semua",$C$8="",C4504=$C$8,E4504=$C$8),OR($C$9="Semua",$C$9="",D4504=$C$9),OR($C$10="",B4504&gt;=$C$10),OR($C$11="",B4504&lt;=$C$11),OR($C$12&lt;&gt;"Ya",K4504&lt;&gt;""),OR($C$13="Semua",$C$13="",L4504=$C$13)),"✓","")</f>
        <v/>
      </c>
      <c r="N4504" s="93">
        <f>N(N4503)+IF(M4504="✓",1,0)</f>
        <v/>
      </c>
      <c r="O4504" s="93">
        <f>N(O4503)+IF(AND(B4504&lt;&gt;"",B4504&gt;='Uang Riba'!$H$30,B4504&lt;='Uang Riba'!$I$30,OR(H4504="Dana riba",H4504="Pinjam uang riba",I4504="Pinjam dari uang riba",I4504="Ganti uang riba",I4504="Kelebihan ganti dikembalikan",AND(C4504="Kantong Uang Riba",G4504="Pengeluaran"))),1,0)</f>
        <v/>
      </c>
      <c r="X4504" s="93">
        <f>IF(AND(B4504&lt;&gt;"",B4504&gt;='Buku Akun'!$H$4,B4504&lt;='Buku Akun'!$H$5,OR(C4504='Buku Akun'!$C$4,AND(D4504="Pindah",E4504='Buku Akun'!$C$4))),B4504+IF(AND(I4504="Selisih bunga",DAY(B4504)=1),0,0.01)+ROW()/10000000,"")</f>
        <v/>
      </c>
    </row>
    <row r="4505" outlineLevel="1" ht="15" customHeight="1" s="94">
      <c r="A4505" s="123">
        <f>IF(B4505="","",ROW()-15)</f>
        <v/>
      </c>
      <c r="B4505" s="124" t="n"/>
      <c r="C4505" s="123" t="n"/>
      <c r="D4505" s="123" t="n"/>
      <c r="E4505" s="123" t="n"/>
      <c r="F4505" s="125" t="n"/>
      <c r="G4505" s="123" t="n"/>
      <c r="H4505" s="123" t="n"/>
      <c r="I4505" s="123" t="n"/>
      <c r="J4505" s="123" t="n"/>
      <c r="K4505" s="123" t="n"/>
      <c r="L4505" s="123" t="n"/>
      <c r="M4505" s="123">
        <f>IF(AND(B4505&lt;&gt;"",OR($C$4="",ISNUMBER(SEARCH($C$4,C4505&amp;" "&amp;E4505&amp;" "&amp;G4505&amp;" "&amp;H4505&amp;" "&amp;I4505&amp;" "&amp;J4505&amp;" "&amp;K4505&amp;" "&amp;L4505))),OR($C$5="Semua",$C$5="",G4505=$C$5),OR($C$6="Semua",$C$6="",H4505=$C$6,H4505="Pengeluaran "&amp;$C$6,AND($C$6="Uang Kos Mama",H4505="Pengeluaran Uang Kos")),OR($C$7="Semua",$C$7="",I4505=$C$7),OR($C$8="Semua",$C$8="",C4505=$C$8,E4505=$C$8),OR($C$9="Semua",$C$9="",D4505=$C$9),OR($C$10="",B4505&gt;=$C$10),OR($C$11="",B4505&lt;=$C$11),OR($C$12&lt;&gt;"Ya",K4505&lt;&gt;""),OR($C$13="Semua",$C$13="",L4505=$C$13)),"✓","")</f>
        <v/>
      </c>
      <c r="N4505" s="93">
        <f>N(N4504)+IF(M4505="✓",1,0)</f>
        <v/>
      </c>
      <c r="O4505" s="93">
        <f>N(O4504)+IF(AND(B4505&lt;&gt;"",B4505&gt;='Uang Riba'!$H$30,B4505&lt;='Uang Riba'!$I$30,OR(H4505="Dana riba",H4505="Pinjam uang riba",I4505="Pinjam dari uang riba",I4505="Ganti uang riba",I4505="Kelebihan ganti dikembalikan",AND(C4505="Kantong Uang Riba",G4505="Pengeluaran"))),1,0)</f>
        <v/>
      </c>
      <c r="X4505" s="93">
        <f>IF(AND(B4505&lt;&gt;"",B4505&gt;='Buku Akun'!$H$4,B4505&lt;='Buku Akun'!$H$5,OR(C4505='Buku Akun'!$C$4,AND(D4505="Pindah",E4505='Buku Akun'!$C$4))),B4505+IF(AND(I4505="Selisih bunga",DAY(B4505)=1),0,0.01)+ROW()/10000000,"")</f>
        <v/>
      </c>
    </row>
    <row r="4506" outlineLevel="1" ht="15" customHeight="1" s="94">
      <c r="A4506" s="123">
        <f>IF(B4506="","",ROW()-15)</f>
        <v/>
      </c>
      <c r="B4506" s="124" t="n"/>
      <c r="C4506" s="123" t="n"/>
      <c r="D4506" s="123" t="n"/>
      <c r="E4506" s="123" t="n"/>
      <c r="F4506" s="125" t="n"/>
      <c r="G4506" s="123" t="n"/>
      <c r="H4506" s="123" t="n"/>
      <c r="I4506" s="123" t="n"/>
      <c r="J4506" s="123" t="n"/>
      <c r="K4506" s="123" t="n"/>
      <c r="L4506" s="123" t="n"/>
      <c r="M4506" s="123">
        <f>IF(AND(B4506&lt;&gt;"",OR($C$4="",ISNUMBER(SEARCH($C$4,C4506&amp;" "&amp;E4506&amp;" "&amp;G4506&amp;" "&amp;H4506&amp;" "&amp;I4506&amp;" "&amp;J4506&amp;" "&amp;K4506&amp;" "&amp;L4506))),OR($C$5="Semua",$C$5="",G4506=$C$5),OR($C$6="Semua",$C$6="",H4506=$C$6,H4506="Pengeluaran "&amp;$C$6,AND($C$6="Uang Kos Mama",H4506="Pengeluaran Uang Kos")),OR($C$7="Semua",$C$7="",I4506=$C$7),OR($C$8="Semua",$C$8="",C4506=$C$8,E4506=$C$8),OR($C$9="Semua",$C$9="",D4506=$C$9),OR($C$10="",B4506&gt;=$C$10),OR($C$11="",B4506&lt;=$C$11),OR($C$12&lt;&gt;"Ya",K4506&lt;&gt;""),OR($C$13="Semua",$C$13="",L4506=$C$13)),"✓","")</f>
        <v/>
      </c>
      <c r="N4506" s="93">
        <f>N(N4505)+IF(M4506="✓",1,0)</f>
        <v/>
      </c>
      <c r="O4506" s="93">
        <f>N(O4505)+IF(AND(B4506&lt;&gt;"",B4506&gt;='Uang Riba'!$H$30,B4506&lt;='Uang Riba'!$I$30,OR(H4506="Dana riba",H4506="Pinjam uang riba",I4506="Pinjam dari uang riba",I4506="Ganti uang riba",I4506="Kelebihan ganti dikembalikan",AND(C4506="Kantong Uang Riba",G4506="Pengeluaran"))),1,0)</f>
        <v/>
      </c>
      <c r="X4506" s="93">
        <f>IF(AND(B4506&lt;&gt;"",B4506&gt;='Buku Akun'!$H$4,B4506&lt;='Buku Akun'!$H$5,OR(C4506='Buku Akun'!$C$4,AND(D4506="Pindah",E4506='Buku Akun'!$C$4))),B4506+IF(AND(I4506="Selisih bunga",DAY(B4506)=1),0,0.01)+ROW()/10000000,"")</f>
        <v/>
      </c>
    </row>
    <row r="4507" outlineLevel="1" ht="15" customHeight="1" s="94">
      <c r="A4507" s="123">
        <f>IF(B4507="","",ROW()-15)</f>
        <v/>
      </c>
      <c r="B4507" s="124" t="n"/>
      <c r="C4507" s="123" t="n"/>
      <c r="D4507" s="123" t="n"/>
      <c r="E4507" s="123" t="n"/>
      <c r="F4507" s="125" t="n"/>
      <c r="G4507" s="123" t="n"/>
      <c r="H4507" s="123" t="n"/>
      <c r="I4507" s="123" t="n"/>
      <c r="J4507" s="123" t="n"/>
      <c r="K4507" s="123" t="n"/>
      <c r="L4507" s="123" t="n"/>
      <c r="M4507" s="123">
        <f>IF(AND(B4507&lt;&gt;"",OR($C$4="",ISNUMBER(SEARCH($C$4,C4507&amp;" "&amp;E4507&amp;" "&amp;G4507&amp;" "&amp;H4507&amp;" "&amp;I4507&amp;" "&amp;J4507&amp;" "&amp;K4507&amp;" "&amp;L4507))),OR($C$5="Semua",$C$5="",G4507=$C$5),OR($C$6="Semua",$C$6="",H4507=$C$6,H4507="Pengeluaran "&amp;$C$6,AND($C$6="Uang Kos Mama",H4507="Pengeluaran Uang Kos")),OR($C$7="Semua",$C$7="",I4507=$C$7),OR($C$8="Semua",$C$8="",C4507=$C$8,E4507=$C$8),OR($C$9="Semua",$C$9="",D4507=$C$9),OR($C$10="",B4507&gt;=$C$10),OR($C$11="",B4507&lt;=$C$11),OR($C$12&lt;&gt;"Ya",K4507&lt;&gt;""),OR($C$13="Semua",$C$13="",L4507=$C$13)),"✓","")</f>
        <v/>
      </c>
      <c r="N4507" s="93">
        <f>N(N4506)+IF(M4507="✓",1,0)</f>
        <v/>
      </c>
      <c r="O4507" s="93">
        <f>N(O4506)+IF(AND(B4507&lt;&gt;"",B4507&gt;='Uang Riba'!$H$30,B4507&lt;='Uang Riba'!$I$30,OR(H4507="Dana riba",H4507="Pinjam uang riba",I4507="Pinjam dari uang riba",I4507="Ganti uang riba",I4507="Kelebihan ganti dikembalikan",AND(C4507="Kantong Uang Riba",G4507="Pengeluaran"))),1,0)</f>
        <v/>
      </c>
      <c r="X4507" s="93">
        <f>IF(AND(B4507&lt;&gt;"",B4507&gt;='Buku Akun'!$H$4,B4507&lt;='Buku Akun'!$H$5,OR(C4507='Buku Akun'!$C$4,AND(D4507="Pindah",E4507='Buku Akun'!$C$4))),B4507+IF(AND(I4507="Selisih bunga",DAY(B4507)=1),0,0.01)+ROW()/10000000,"")</f>
        <v/>
      </c>
    </row>
    <row r="4508" outlineLevel="1" ht="15" customHeight="1" s="94">
      <c r="A4508" s="123">
        <f>IF(B4508="","",ROW()-15)</f>
        <v/>
      </c>
      <c r="B4508" s="124" t="n"/>
      <c r="C4508" s="123" t="n"/>
      <c r="D4508" s="123" t="n"/>
      <c r="E4508" s="123" t="n"/>
      <c r="F4508" s="125" t="n"/>
      <c r="G4508" s="123" t="n"/>
      <c r="H4508" s="123" t="n"/>
      <c r="I4508" s="123" t="n"/>
      <c r="J4508" s="123" t="n"/>
      <c r="K4508" s="123" t="n"/>
      <c r="L4508" s="123" t="n"/>
      <c r="M4508" s="123">
        <f>IF(AND(B4508&lt;&gt;"",OR($C$4="",ISNUMBER(SEARCH($C$4,C4508&amp;" "&amp;E4508&amp;" "&amp;G4508&amp;" "&amp;H4508&amp;" "&amp;I4508&amp;" "&amp;J4508&amp;" "&amp;K4508&amp;" "&amp;L4508))),OR($C$5="Semua",$C$5="",G4508=$C$5),OR($C$6="Semua",$C$6="",H4508=$C$6,H4508="Pengeluaran "&amp;$C$6,AND($C$6="Uang Kos Mama",H4508="Pengeluaran Uang Kos")),OR($C$7="Semua",$C$7="",I4508=$C$7),OR($C$8="Semua",$C$8="",C4508=$C$8,E4508=$C$8),OR($C$9="Semua",$C$9="",D4508=$C$9),OR($C$10="",B4508&gt;=$C$10),OR($C$11="",B4508&lt;=$C$11),OR($C$12&lt;&gt;"Ya",K4508&lt;&gt;""),OR($C$13="Semua",$C$13="",L4508=$C$13)),"✓","")</f>
        <v/>
      </c>
      <c r="N4508" s="93">
        <f>N(N4507)+IF(M4508="✓",1,0)</f>
        <v/>
      </c>
      <c r="O4508" s="93">
        <f>N(O4507)+IF(AND(B4508&lt;&gt;"",B4508&gt;='Uang Riba'!$H$30,B4508&lt;='Uang Riba'!$I$30,OR(H4508="Dana riba",H4508="Pinjam uang riba",I4508="Pinjam dari uang riba",I4508="Ganti uang riba",I4508="Kelebihan ganti dikembalikan",AND(C4508="Kantong Uang Riba",G4508="Pengeluaran"))),1,0)</f>
        <v/>
      </c>
      <c r="X4508" s="93">
        <f>IF(AND(B4508&lt;&gt;"",B4508&gt;='Buku Akun'!$H$4,B4508&lt;='Buku Akun'!$H$5,OR(C4508='Buku Akun'!$C$4,AND(D4508="Pindah",E4508='Buku Akun'!$C$4))),B4508+IF(AND(I4508="Selisih bunga",DAY(B4508)=1),0,0.01)+ROW()/10000000,"")</f>
        <v/>
      </c>
    </row>
    <row r="4509" outlineLevel="1" ht="15" customHeight="1" s="94">
      <c r="A4509" s="123">
        <f>IF(B4509="","",ROW()-15)</f>
        <v/>
      </c>
      <c r="B4509" s="124" t="n"/>
      <c r="C4509" s="123" t="n"/>
      <c r="D4509" s="123" t="n"/>
      <c r="E4509" s="123" t="n"/>
      <c r="F4509" s="125" t="n"/>
      <c r="G4509" s="123" t="n"/>
      <c r="H4509" s="123" t="n"/>
      <c r="I4509" s="123" t="n"/>
      <c r="J4509" s="123" t="n"/>
      <c r="K4509" s="123" t="n"/>
      <c r="L4509" s="123" t="n"/>
      <c r="M4509" s="123">
        <f>IF(AND(B4509&lt;&gt;"",OR($C$4="",ISNUMBER(SEARCH($C$4,C4509&amp;" "&amp;E4509&amp;" "&amp;G4509&amp;" "&amp;H4509&amp;" "&amp;I4509&amp;" "&amp;J4509&amp;" "&amp;K4509&amp;" "&amp;L4509))),OR($C$5="Semua",$C$5="",G4509=$C$5),OR($C$6="Semua",$C$6="",H4509=$C$6,H4509="Pengeluaran "&amp;$C$6,AND($C$6="Uang Kos Mama",H4509="Pengeluaran Uang Kos")),OR($C$7="Semua",$C$7="",I4509=$C$7),OR($C$8="Semua",$C$8="",C4509=$C$8,E4509=$C$8),OR($C$9="Semua",$C$9="",D4509=$C$9),OR($C$10="",B4509&gt;=$C$10),OR($C$11="",B4509&lt;=$C$11),OR($C$12&lt;&gt;"Ya",K4509&lt;&gt;""),OR($C$13="Semua",$C$13="",L4509=$C$13)),"✓","")</f>
        <v/>
      </c>
      <c r="N4509" s="93">
        <f>N(N4508)+IF(M4509="✓",1,0)</f>
        <v/>
      </c>
      <c r="O4509" s="93">
        <f>N(O4508)+IF(AND(B4509&lt;&gt;"",B4509&gt;='Uang Riba'!$H$30,B4509&lt;='Uang Riba'!$I$30,OR(H4509="Dana riba",H4509="Pinjam uang riba",I4509="Pinjam dari uang riba",I4509="Ganti uang riba",I4509="Kelebihan ganti dikembalikan",AND(C4509="Kantong Uang Riba",G4509="Pengeluaran"))),1,0)</f>
        <v/>
      </c>
      <c r="X4509" s="93">
        <f>IF(AND(B4509&lt;&gt;"",B4509&gt;='Buku Akun'!$H$4,B4509&lt;='Buku Akun'!$H$5,OR(C4509='Buku Akun'!$C$4,AND(D4509="Pindah",E4509='Buku Akun'!$C$4))),B4509+IF(AND(I4509="Selisih bunga",DAY(B4509)=1),0,0.01)+ROW()/10000000,"")</f>
        <v/>
      </c>
    </row>
    <row r="4510" outlineLevel="1" ht="15" customHeight="1" s="94">
      <c r="A4510" s="123">
        <f>IF(B4510="","",ROW()-15)</f>
        <v/>
      </c>
      <c r="B4510" s="124" t="n"/>
      <c r="C4510" s="123" t="n"/>
      <c r="D4510" s="123" t="n"/>
      <c r="E4510" s="123" t="n"/>
      <c r="F4510" s="125" t="n"/>
      <c r="G4510" s="123" t="n"/>
      <c r="H4510" s="123" t="n"/>
      <c r="I4510" s="123" t="n"/>
      <c r="J4510" s="123" t="n"/>
      <c r="K4510" s="123" t="n"/>
      <c r="L4510" s="123" t="n"/>
      <c r="M4510" s="123">
        <f>IF(AND(B4510&lt;&gt;"",OR($C$4="",ISNUMBER(SEARCH($C$4,C4510&amp;" "&amp;E4510&amp;" "&amp;G4510&amp;" "&amp;H4510&amp;" "&amp;I4510&amp;" "&amp;J4510&amp;" "&amp;K4510&amp;" "&amp;L4510))),OR($C$5="Semua",$C$5="",G4510=$C$5),OR($C$6="Semua",$C$6="",H4510=$C$6,H4510="Pengeluaran "&amp;$C$6,AND($C$6="Uang Kos Mama",H4510="Pengeluaran Uang Kos")),OR($C$7="Semua",$C$7="",I4510=$C$7),OR($C$8="Semua",$C$8="",C4510=$C$8,E4510=$C$8),OR($C$9="Semua",$C$9="",D4510=$C$9),OR($C$10="",B4510&gt;=$C$10),OR($C$11="",B4510&lt;=$C$11),OR($C$12&lt;&gt;"Ya",K4510&lt;&gt;""),OR($C$13="Semua",$C$13="",L4510=$C$13)),"✓","")</f>
        <v/>
      </c>
      <c r="N4510" s="93">
        <f>N(N4509)+IF(M4510="✓",1,0)</f>
        <v/>
      </c>
      <c r="O4510" s="93">
        <f>N(O4509)+IF(AND(B4510&lt;&gt;"",B4510&gt;='Uang Riba'!$H$30,B4510&lt;='Uang Riba'!$I$30,OR(H4510="Dana riba",H4510="Pinjam uang riba",I4510="Pinjam dari uang riba",I4510="Ganti uang riba",I4510="Kelebihan ganti dikembalikan",AND(C4510="Kantong Uang Riba",G4510="Pengeluaran"))),1,0)</f>
        <v/>
      </c>
      <c r="X4510" s="93">
        <f>IF(AND(B4510&lt;&gt;"",B4510&gt;='Buku Akun'!$H$4,B4510&lt;='Buku Akun'!$H$5,OR(C4510='Buku Akun'!$C$4,AND(D4510="Pindah",E4510='Buku Akun'!$C$4))),B4510+IF(AND(I4510="Selisih bunga",DAY(B4510)=1),0,0.01)+ROW()/10000000,"")</f>
        <v/>
      </c>
    </row>
    <row r="4511" outlineLevel="1" ht="15" customHeight="1" s="94">
      <c r="A4511" s="123">
        <f>IF(B4511="","",ROW()-15)</f>
        <v/>
      </c>
      <c r="B4511" s="124" t="n"/>
      <c r="C4511" s="123" t="n"/>
      <c r="D4511" s="123" t="n"/>
      <c r="E4511" s="123" t="n"/>
      <c r="F4511" s="125" t="n"/>
      <c r="G4511" s="123" t="n"/>
      <c r="H4511" s="123" t="n"/>
      <c r="I4511" s="123" t="n"/>
      <c r="J4511" s="123" t="n"/>
      <c r="K4511" s="123" t="n"/>
      <c r="L4511" s="123" t="n"/>
      <c r="M4511" s="123">
        <f>IF(AND(B4511&lt;&gt;"",OR($C$4="",ISNUMBER(SEARCH($C$4,C4511&amp;" "&amp;E4511&amp;" "&amp;G4511&amp;" "&amp;H4511&amp;" "&amp;I4511&amp;" "&amp;J4511&amp;" "&amp;K4511&amp;" "&amp;L4511))),OR($C$5="Semua",$C$5="",G4511=$C$5),OR($C$6="Semua",$C$6="",H4511=$C$6,H4511="Pengeluaran "&amp;$C$6,AND($C$6="Uang Kos Mama",H4511="Pengeluaran Uang Kos")),OR($C$7="Semua",$C$7="",I4511=$C$7),OR($C$8="Semua",$C$8="",C4511=$C$8,E4511=$C$8),OR($C$9="Semua",$C$9="",D4511=$C$9),OR($C$10="",B4511&gt;=$C$10),OR($C$11="",B4511&lt;=$C$11),OR($C$12&lt;&gt;"Ya",K4511&lt;&gt;""),OR($C$13="Semua",$C$13="",L4511=$C$13)),"✓","")</f>
        <v/>
      </c>
      <c r="N4511" s="93">
        <f>N(N4510)+IF(M4511="✓",1,0)</f>
        <v/>
      </c>
      <c r="O4511" s="93">
        <f>N(O4510)+IF(AND(B4511&lt;&gt;"",B4511&gt;='Uang Riba'!$H$30,B4511&lt;='Uang Riba'!$I$30,OR(H4511="Dana riba",H4511="Pinjam uang riba",I4511="Pinjam dari uang riba",I4511="Ganti uang riba",I4511="Kelebihan ganti dikembalikan",AND(C4511="Kantong Uang Riba",G4511="Pengeluaran"))),1,0)</f>
        <v/>
      </c>
      <c r="X4511" s="93">
        <f>IF(AND(B4511&lt;&gt;"",B4511&gt;='Buku Akun'!$H$4,B4511&lt;='Buku Akun'!$H$5,OR(C4511='Buku Akun'!$C$4,AND(D4511="Pindah",E4511='Buku Akun'!$C$4))),B4511+IF(AND(I4511="Selisih bunga",DAY(B4511)=1),0,0.01)+ROW()/10000000,"")</f>
        <v/>
      </c>
    </row>
    <row r="4512" outlineLevel="1" ht="15" customHeight="1" s="94">
      <c r="A4512" s="123">
        <f>IF(B4512="","",ROW()-15)</f>
        <v/>
      </c>
      <c r="B4512" s="124" t="n"/>
      <c r="C4512" s="123" t="n"/>
      <c r="D4512" s="123" t="n"/>
      <c r="E4512" s="123" t="n"/>
      <c r="F4512" s="125" t="n"/>
      <c r="G4512" s="123" t="n"/>
      <c r="H4512" s="123" t="n"/>
      <c r="I4512" s="123" t="n"/>
      <c r="J4512" s="123" t="n"/>
      <c r="K4512" s="123" t="n"/>
      <c r="L4512" s="123" t="n"/>
      <c r="M4512" s="123">
        <f>IF(AND(B4512&lt;&gt;"",OR($C$4="",ISNUMBER(SEARCH($C$4,C4512&amp;" "&amp;E4512&amp;" "&amp;G4512&amp;" "&amp;H4512&amp;" "&amp;I4512&amp;" "&amp;J4512&amp;" "&amp;K4512&amp;" "&amp;L4512))),OR($C$5="Semua",$C$5="",G4512=$C$5),OR($C$6="Semua",$C$6="",H4512=$C$6,H4512="Pengeluaran "&amp;$C$6,AND($C$6="Uang Kos Mama",H4512="Pengeluaran Uang Kos")),OR($C$7="Semua",$C$7="",I4512=$C$7),OR($C$8="Semua",$C$8="",C4512=$C$8,E4512=$C$8),OR($C$9="Semua",$C$9="",D4512=$C$9),OR($C$10="",B4512&gt;=$C$10),OR($C$11="",B4512&lt;=$C$11),OR($C$12&lt;&gt;"Ya",K4512&lt;&gt;""),OR($C$13="Semua",$C$13="",L4512=$C$13)),"✓","")</f>
        <v/>
      </c>
      <c r="N4512" s="93">
        <f>N(N4511)+IF(M4512="✓",1,0)</f>
        <v/>
      </c>
      <c r="O4512" s="93">
        <f>N(O4511)+IF(AND(B4512&lt;&gt;"",B4512&gt;='Uang Riba'!$H$30,B4512&lt;='Uang Riba'!$I$30,OR(H4512="Dana riba",H4512="Pinjam uang riba",I4512="Pinjam dari uang riba",I4512="Ganti uang riba",I4512="Kelebihan ganti dikembalikan",AND(C4512="Kantong Uang Riba",G4512="Pengeluaran"))),1,0)</f>
        <v/>
      </c>
      <c r="X4512" s="93">
        <f>IF(AND(B4512&lt;&gt;"",B4512&gt;='Buku Akun'!$H$4,B4512&lt;='Buku Akun'!$H$5,OR(C4512='Buku Akun'!$C$4,AND(D4512="Pindah",E4512='Buku Akun'!$C$4))),B4512+IF(AND(I4512="Selisih bunga",DAY(B4512)=1),0,0.01)+ROW()/10000000,"")</f>
        <v/>
      </c>
    </row>
    <row r="4513" outlineLevel="1" ht="15" customHeight="1" s="94">
      <c r="A4513" s="123">
        <f>IF(B4513="","",ROW()-15)</f>
        <v/>
      </c>
      <c r="B4513" s="124" t="n"/>
      <c r="C4513" s="123" t="n"/>
      <c r="D4513" s="123" t="n"/>
      <c r="E4513" s="123" t="n"/>
      <c r="F4513" s="125" t="n"/>
      <c r="G4513" s="123" t="n"/>
      <c r="H4513" s="123" t="n"/>
      <c r="I4513" s="123" t="n"/>
      <c r="J4513" s="123" t="n"/>
      <c r="K4513" s="123" t="n"/>
      <c r="L4513" s="123" t="n"/>
      <c r="M4513" s="123">
        <f>IF(AND(B4513&lt;&gt;"",OR($C$4="",ISNUMBER(SEARCH($C$4,C4513&amp;" "&amp;E4513&amp;" "&amp;G4513&amp;" "&amp;H4513&amp;" "&amp;I4513&amp;" "&amp;J4513&amp;" "&amp;K4513&amp;" "&amp;L4513))),OR($C$5="Semua",$C$5="",G4513=$C$5),OR($C$6="Semua",$C$6="",H4513=$C$6,H4513="Pengeluaran "&amp;$C$6,AND($C$6="Uang Kos Mama",H4513="Pengeluaran Uang Kos")),OR($C$7="Semua",$C$7="",I4513=$C$7),OR($C$8="Semua",$C$8="",C4513=$C$8,E4513=$C$8),OR($C$9="Semua",$C$9="",D4513=$C$9),OR($C$10="",B4513&gt;=$C$10),OR($C$11="",B4513&lt;=$C$11),OR($C$12&lt;&gt;"Ya",K4513&lt;&gt;""),OR($C$13="Semua",$C$13="",L4513=$C$13)),"✓","")</f>
        <v/>
      </c>
      <c r="N4513" s="93">
        <f>N(N4512)+IF(M4513="✓",1,0)</f>
        <v/>
      </c>
      <c r="O4513" s="93">
        <f>N(O4512)+IF(AND(B4513&lt;&gt;"",B4513&gt;='Uang Riba'!$H$30,B4513&lt;='Uang Riba'!$I$30,OR(H4513="Dana riba",H4513="Pinjam uang riba",I4513="Pinjam dari uang riba",I4513="Ganti uang riba",I4513="Kelebihan ganti dikembalikan",AND(C4513="Kantong Uang Riba",G4513="Pengeluaran"))),1,0)</f>
        <v/>
      </c>
      <c r="X4513" s="93">
        <f>IF(AND(B4513&lt;&gt;"",B4513&gt;='Buku Akun'!$H$4,B4513&lt;='Buku Akun'!$H$5,OR(C4513='Buku Akun'!$C$4,AND(D4513="Pindah",E4513='Buku Akun'!$C$4))),B4513+IF(AND(I4513="Selisih bunga",DAY(B4513)=1),0,0.01)+ROW()/10000000,"")</f>
        <v/>
      </c>
    </row>
    <row r="4514" outlineLevel="1" ht="15" customHeight="1" s="94">
      <c r="A4514" s="123">
        <f>IF(B4514="","",ROW()-15)</f>
        <v/>
      </c>
      <c r="B4514" s="124" t="n"/>
      <c r="C4514" s="123" t="n"/>
      <c r="D4514" s="123" t="n"/>
      <c r="E4514" s="123" t="n"/>
      <c r="F4514" s="125" t="n"/>
      <c r="G4514" s="123" t="n"/>
      <c r="H4514" s="123" t="n"/>
      <c r="I4514" s="123" t="n"/>
      <c r="J4514" s="123" t="n"/>
      <c r="K4514" s="123" t="n"/>
      <c r="L4514" s="123" t="n"/>
      <c r="M4514" s="123">
        <f>IF(AND(B4514&lt;&gt;"",OR($C$4="",ISNUMBER(SEARCH($C$4,C4514&amp;" "&amp;E4514&amp;" "&amp;G4514&amp;" "&amp;H4514&amp;" "&amp;I4514&amp;" "&amp;J4514&amp;" "&amp;K4514&amp;" "&amp;L4514))),OR($C$5="Semua",$C$5="",G4514=$C$5),OR($C$6="Semua",$C$6="",H4514=$C$6,H4514="Pengeluaran "&amp;$C$6,AND($C$6="Uang Kos Mama",H4514="Pengeluaran Uang Kos")),OR($C$7="Semua",$C$7="",I4514=$C$7),OR($C$8="Semua",$C$8="",C4514=$C$8,E4514=$C$8),OR($C$9="Semua",$C$9="",D4514=$C$9),OR($C$10="",B4514&gt;=$C$10),OR($C$11="",B4514&lt;=$C$11),OR($C$12&lt;&gt;"Ya",K4514&lt;&gt;""),OR($C$13="Semua",$C$13="",L4514=$C$13)),"✓","")</f>
        <v/>
      </c>
      <c r="N4514" s="93">
        <f>N(N4513)+IF(M4514="✓",1,0)</f>
        <v/>
      </c>
      <c r="O4514" s="93">
        <f>N(O4513)+IF(AND(B4514&lt;&gt;"",B4514&gt;='Uang Riba'!$H$30,B4514&lt;='Uang Riba'!$I$30,OR(H4514="Dana riba",H4514="Pinjam uang riba",I4514="Pinjam dari uang riba",I4514="Ganti uang riba",I4514="Kelebihan ganti dikembalikan",AND(C4514="Kantong Uang Riba",G4514="Pengeluaran"))),1,0)</f>
        <v/>
      </c>
      <c r="X4514" s="93">
        <f>IF(AND(B4514&lt;&gt;"",B4514&gt;='Buku Akun'!$H$4,B4514&lt;='Buku Akun'!$H$5,OR(C4514='Buku Akun'!$C$4,AND(D4514="Pindah",E4514='Buku Akun'!$C$4))),B4514+IF(AND(I4514="Selisih bunga",DAY(B4514)=1),0,0.01)+ROW()/10000000,"")</f>
        <v/>
      </c>
    </row>
    <row r="4515" outlineLevel="1" ht="15" customHeight="1" s="94">
      <c r="A4515" s="123">
        <f>IF(B4515="","",ROW()-15)</f>
        <v/>
      </c>
      <c r="B4515" s="124" t="n"/>
      <c r="C4515" s="123" t="n"/>
      <c r="D4515" s="123" t="n"/>
      <c r="E4515" s="123" t="n"/>
      <c r="F4515" s="125" t="n"/>
      <c r="G4515" s="123" t="n"/>
      <c r="H4515" s="123" t="n"/>
      <c r="I4515" s="123" t="n"/>
      <c r="J4515" s="123" t="n"/>
      <c r="K4515" s="123" t="n"/>
      <c r="L4515" s="123" t="n"/>
      <c r="M4515" s="123">
        <f>IF(AND(B4515&lt;&gt;"",OR($C$4="",ISNUMBER(SEARCH($C$4,C4515&amp;" "&amp;E4515&amp;" "&amp;G4515&amp;" "&amp;H4515&amp;" "&amp;I4515&amp;" "&amp;J4515&amp;" "&amp;K4515&amp;" "&amp;L4515))),OR($C$5="Semua",$C$5="",G4515=$C$5),OR($C$6="Semua",$C$6="",H4515=$C$6,H4515="Pengeluaran "&amp;$C$6,AND($C$6="Uang Kos Mama",H4515="Pengeluaran Uang Kos")),OR($C$7="Semua",$C$7="",I4515=$C$7),OR($C$8="Semua",$C$8="",C4515=$C$8,E4515=$C$8),OR($C$9="Semua",$C$9="",D4515=$C$9),OR($C$10="",B4515&gt;=$C$10),OR($C$11="",B4515&lt;=$C$11),OR($C$12&lt;&gt;"Ya",K4515&lt;&gt;""),OR($C$13="Semua",$C$13="",L4515=$C$13)),"✓","")</f>
        <v/>
      </c>
      <c r="N4515" s="93">
        <f>N(N4514)+IF(M4515="✓",1,0)</f>
        <v/>
      </c>
      <c r="O4515" s="93">
        <f>N(O4514)+IF(AND(B4515&lt;&gt;"",B4515&gt;='Uang Riba'!$H$30,B4515&lt;='Uang Riba'!$I$30,OR(H4515="Dana riba",H4515="Pinjam uang riba",I4515="Pinjam dari uang riba",I4515="Ganti uang riba",I4515="Kelebihan ganti dikembalikan",AND(C4515="Kantong Uang Riba",G4515="Pengeluaran"))),1,0)</f>
        <v/>
      </c>
      <c r="X4515" s="93">
        <f>IF(AND(B4515&lt;&gt;"",B4515&gt;='Buku Akun'!$H$4,B4515&lt;='Buku Akun'!$H$5,OR(C4515='Buku Akun'!$C$4,AND(D4515="Pindah",E4515='Buku Akun'!$C$4))),B4515+IF(AND(I4515="Selisih bunga",DAY(B4515)=1),0,0.01)+ROW()/10000000,"")</f>
        <v/>
      </c>
    </row>
    <row r="4516" outlineLevel="1" ht="15" customHeight="1" s="94">
      <c r="A4516" s="123">
        <f>IF(B4516="","",ROW()-15)</f>
        <v/>
      </c>
      <c r="B4516" s="124" t="n"/>
      <c r="C4516" s="123" t="n"/>
      <c r="D4516" s="123" t="n"/>
      <c r="E4516" s="123" t="n"/>
      <c r="F4516" s="125" t="n"/>
      <c r="G4516" s="123" t="n"/>
      <c r="H4516" s="123" t="n"/>
      <c r="I4516" s="123" t="n"/>
      <c r="J4516" s="123" t="n"/>
      <c r="K4516" s="123" t="n"/>
      <c r="L4516" s="123" t="n"/>
      <c r="M4516" s="123">
        <f>IF(AND(B4516&lt;&gt;"",OR($C$4="",ISNUMBER(SEARCH($C$4,C4516&amp;" "&amp;E4516&amp;" "&amp;G4516&amp;" "&amp;H4516&amp;" "&amp;I4516&amp;" "&amp;J4516&amp;" "&amp;K4516&amp;" "&amp;L4516))),OR($C$5="Semua",$C$5="",G4516=$C$5),OR($C$6="Semua",$C$6="",H4516=$C$6,H4516="Pengeluaran "&amp;$C$6,AND($C$6="Uang Kos Mama",H4516="Pengeluaran Uang Kos")),OR($C$7="Semua",$C$7="",I4516=$C$7),OR($C$8="Semua",$C$8="",C4516=$C$8,E4516=$C$8),OR($C$9="Semua",$C$9="",D4516=$C$9),OR($C$10="",B4516&gt;=$C$10),OR($C$11="",B4516&lt;=$C$11),OR($C$12&lt;&gt;"Ya",K4516&lt;&gt;""),OR($C$13="Semua",$C$13="",L4516=$C$13)),"✓","")</f>
        <v/>
      </c>
      <c r="N4516" s="93">
        <f>N(N4515)+IF(M4516="✓",1,0)</f>
        <v/>
      </c>
      <c r="O4516" s="93">
        <f>N(O4515)+IF(AND(B4516&lt;&gt;"",B4516&gt;='Uang Riba'!$H$30,B4516&lt;='Uang Riba'!$I$30,OR(H4516="Dana riba",H4516="Pinjam uang riba",I4516="Pinjam dari uang riba",I4516="Ganti uang riba",I4516="Kelebihan ganti dikembalikan",AND(C4516="Kantong Uang Riba",G4516="Pengeluaran"))),1,0)</f>
        <v/>
      </c>
      <c r="X4516" s="93">
        <f>IF(AND(B4516&lt;&gt;"",B4516&gt;='Buku Akun'!$H$4,B4516&lt;='Buku Akun'!$H$5,OR(C4516='Buku Akun'!$C$4,AND(D4516="Pindah",E4516='Buku Akun'!$C$4))),B4516+IF(AND(I4516="Selisih bunga",DAY(B4516)=1),0,0.01)+ROW()/10000000,"")</f>
        <v/>
      </c>
    </row>
    <row r="4517" outlineLevel="1" ht="15" customHeight="1" s="94">
      <c r="A4517" s="123">
        <f>IF(B4517="","",ROW()-15)</f>
        <v/>
      </c>
      <c r="B4517" s="124" t="n"/>
      <c r="C4517" s="123" t="n"/>
      <c r="D4517" s="123" t="n"/>
      <c r="E4517" s="123" t="n"/>
      <c r="F4517" s="125" t="n"/>
      <c r="G4517" s="123" t="n"/>
      <c r="H4517" s="123" t="n"/>
      <c r="I4517" s="123" t="n"/>
      <c r="J4517" s="123" t="n"/>
      <c r="K4517" s="123" t="n"/>
      <c r="L4517" s="123" t="n"/>
      <c r="M4517" s="123">
        <f>IF(AND(B4517&lt;&gt;"",OR($C$4="",ISNUMBER(SEARCH($C$4,C4517&amp;" "&amp;E4517&amp;" "&amp;G4517&amp;" "&amp;H4517&amp;" "&amp;I4517&amp;" "&amp;J4517&amp;" "&amp;K4517&amp;" "&amp;L4517))),OR($C$5="Semua",$C$5="",G4517=$C$5),OR($C$6="Semua",$C$6="",H4517=$C$6,H4517="Pengeluaran "&amp;$C$6,AND($C$6="Uang Kos Mama",H4517="Pengeluaran Uang Kos")),OR($C$7="Semua",$C$7="",I4517=$C$7),OR($C$8="Semua",$C$8="",C4517=$C$8,E4517=$C$8),OR($C$9="Semua",$C$9="",D4517=$C$9),OR($C$10="",B4517&gt;=$C$10),OR($C$11="",B4517&lt;=$C$11),OR($C$12&lt;&gt;"Ya",K4517&lt;&gt;""),OR($C$13="Semua",$C$13="",L4517=$C$13)),"✓","")</f>
        <v/>
      </c>
      <c r="N4517" s="93">
        <f>N(N4516)+IF(M4517="✓",1,0)</f>
        <v/>
      </c>
      <c r="O4517" s="93">
        <f>N(O4516)+IF(AND(B4517&lt;&gt;"",B4517&gt;='Uang Riba'!$H$30,B4517&lt;='Uang Riba'!$I$30,OR(H4517="Dana riba",H4517="Pinjam uang riba",I4517="Pinjam dari uang riba",I4517="Ganti uang riba",I4517="Kelebihan ganti dikembalikan",AND(C4517="Kantong Uang Riba",G4517="Pengeluaran"))),1,0)</f>
        <v/>
      </c>
      <c r="X4517" s="93">
        <f>IF(AND(B4517&lt;&gt;"",B4517&gt;='Buku Akun'!$H$4,B4517&lt;='Buku Akun'!$H$5,OR(C4517='Buku Akun'!$C$4,AND(D4517="Pindah",E4517='Buku Akun'!$C$4))),B4517+IF(AND(I4517="Selisih bunga",DAY(B4517)=1),0,0.01)+ROW()/10000000,"")</f>
        <v/>
      </c>
    </row>
    <row r="4518" outlineLevel="1" ht="15" customHeight="1" s="94">
      <c r="A4518" s="123">
        <f>IF(B4518="","",ROW()-15)</f>
        <v/>
      </c>
      <c r="B4518" s="124" t="n"/>
      <c r="C4518" s="123" t="n"/>
      <c r="D4518" s="123" t="n"/>
      <c r="E4518" s="123" t="n"/>
      <c r="F4518" s="125" t="n"/>
      <c r="G4518" s="123" t="n"/>
      <c r="H4518" s="123" t="n"/>
      <c r="I4518" s="123" t="n"/>
      <c r="J4518" s="123" t="n"/>
      <c r="K4518" s="123" t="n"/>
      <c r="L4518" s="123" t="n"/>
      <c r="M4518" s="123">
        <f>IF(AND(B4518&lt;&gt;"",OR($C$4="",ISNUMBER(SEARCH($C$4,C4518&amp;" "&amp;E4518&amp;" "&amp;G4518&amp;" "&amp;H4518&amp;" "&amp;I4518&amp;" "&amp;J4518&amp;" "&amp;K4518&amp;" "&amp;L4518))),OR($C$5="Semua",$C$5="",G4518=$C$5),OR($C$6="Semua",$C$6="",H4518=$C$6,H4518="Pengeluaran "&amp;$C$6,AND($C$6="Uang Kos Mama",H4518="Pengeluaran Uang Kos")),OR($C$7="Semua",$C$7="",I4518=$C$7),OR($C$8="Semua",$C$8="",C4518=$C$8,E4518=$C$8),OR($C$9="Semua",$C$9="",D4518=$C$9),OR($C$10="",B4518&gt;=$C$10),OR($C$11="",B4518&lt;=$C$11),OR($C$12&lt;&gt;"Ya",K4518&lt;&gt;""),OR($C$13="Semua",$C$13="",L4518=$C$13)),"✓","")</f>
        <v/>
      </c>
      <c r="N4518" s="93">
        <f>N(N4517)+IF(M4518="✓",1,0)</f>
        <v/>
      </c>
      <c r="O4518" s="93">
        <f>N(O4517)+IF(AND(B4518&lt;&gt;"",B4518&gt;='Uang Riba'!$H$30,B4518&lt;='Uang Riba'!$I$30,OR(H4518="Dana riba",H4518="Pinjam uang riba",I4518="Pinjam dari uang riba",I4518="Ganti uang riba",I4518="Kelebihan ganti dikembalikan",AND(C4518="Kantong Uang Riba",G4518="Pengeluaran"))),1,0)</f>
        <v/>
      </c>
      <c r="X4518" s="93">
        <f>IF(AND(B4518&lt;&gt;"",B4518&gt;='Buku Akun'!$H$4,B4518&lt;='Buku Akun'!$H$5,OR(C4518='Buku Akun'!$C$4,AND(D4518="Pindah",E4518='Buku Akun'!$C$4))),B4518+IF(AND(I4518="Selisih bunga",DAY(B4518)=1),0,0.01)+ROW()/10000000,"")</f>
        <v/>
      </c>
    </row>
    <row r="4519" outlineLevel="1" ht="15" customHeight="1" s="94">
      <c r="A4519" s="123">
        <f>IF(B4519="","",ROW()-15)</f>
        <v/>
      </c>
      <c r="B4519" s="124" t="n"/>
      <c r="C4519" s="123" t="n"/>
      <c r="D4519" s="123" t="n"/>
      <c r="E4519" s="123" t="n"/>
      <c r="F4519" s="125" t="n"/>
      <c r="G4519" s="123" t="n"/>
      <c r="H4519" s="123" t="n"/>
      <c r="I4519" s="123" t="n"/>
      <c r="J4519" s="123" t="n"/>
      <c r="K4519" s="123" t="n"/>
      <c r="L4519" s="123" t="n"/>
      <c r="M4519" s="123">
        <f>IF(AND(B4519&lt;&gt;"",OR($C$4="",ISNUMBER(SEARCH($C$4,C4519&amp;" "&amp;E4519&amp;" "&amp;G4519&amp;" "&amp;H4519&amp;" "&amp;I4519&amp;" "&amp;J4519&amp;" "&amp;K4519&amp;" "&amp;L4519))),OR($C$5="Semua",$C$5="",G4519=$C$5),OR($C$6="Semua",$C$6="",H4519=$C$6,H4519="Pengeluaran "&amp;$C$6,AND($C$6="Uang Kos Mama",H4519="Pengeluaran Uang Kos")),OR($C$7="Semua",$C$7="",I4519=$C$7),OR($C$8="Semua",$C$8="",C4519=$C$8,E4519=$C$8),OR($C$9="Semua",$C$9="",D4519=$C$9),OR($C$10="",B4519&gt;=$C$10),OR($C$11="",B4519&lt;=$C$11),OR($C$12&lt;&gt;"Ya",K4519&lt;&gt;""),OR($C$13="Semua",$C$13="",L4519=$C$13)),"✓","")</f>
        <v/>
      </c>
      <c r="N4519" s="93">
        <f>N(N4518)+IF(M4519="✓",1,0)</f>
        <v/>
      </c>
      <c r="O4519" s="93">
        <f>N(O4518)+IF(AND(B4519&lt;&gt;"",B4519&gt;='Uang Riba'!$H$30,B4519&lt;='Uang Riba'!$I$30,OR(H4519="Dana riba",H4519="Pinjam uang riba",I4519="Pinjam dari uang riba",I4519="Ganti uang riba",I4519="Kelebihan ganti dikembalikan",AND(C4519="Kantong Uang Riba",G4519="Pengeluaran"))),1,0)</f>
        <v/>
      </c>
      <c r="X4519" s="93">
        <f>IF(AND(B4519&lt;&gt;"",B4519&gt;='Buku Akun'!$H$4,B4519&lt;='Buku Akun'!$H$5,OR(C4519='Buku Akun'!$C$4,AND(D4519="Pindah",E4519='Buku Akun'!$C$4))),B4519+IF(AND(I4519="Selisih bunga",DAY(B4519)=1),0,0.01)+ROW()/10000000,"")</f>
        <v/>
      </c>
    </row>
    <row r="4520" outlineLevel="1" ht="15" customHeight="1" s="94">
      <c r="A4520" s="123">
        <f>IF(B4520="","",ROW()-15)</f>
        <v/>
      </c>
      <c r="B4520" s="124" t="n"/>
      <c r="C4520" s="123" t="n"/>
      <c r="D4520" s="123" t="n"/>
      <c r="E4520" s="123" t="n"/>
      <c r="F4520" s="125" t="n"/>
      <c r="G4520" s="123" t="n"/>
      <c r="H4520" s="123" t="n"/>
      <c r="I4520" s="123" t="n"/>
      <c r="J4520" s="123" t="n"/>
      <c r="K4520" s="123" t="n"/>
      <c r="L4520" s="123" t="n"/>
      <c r="M4520" s="123">
        <f>IF(AND(B4520&lt;&gt;"",OR($C$4="",ISNUMBER(SEARCH($C$4,C4520&amp;" "&amp;E4520&amp;" "&amp;G4520&amp;" "&amp;H4520&amp;" "&amp;I4520&amp;" "&amp;J4520&amp;" "&amp;K4520&amp;" "&amp;L4520))),OR($C$5="Semua",$C$5="",G4520=$C$5),OR($C$6="Semua",$C$6="",H4520=$C$6,H4520="Pengeluaran "&amp;$C$6,AND($C$6="Uang Kos Mama",H4520="Pengeluaran Uang Kos")),OR($C$7="Semua",$C$7="",I4520=$C$7),OR($C$8="Semua",$C$8="",C4520=$C$8,E4520=$C$8),OR($C$9="Semua",$C$9="",D4520=$C$9),OR($C$10="",B4520&gt;=$C$10),OR($C$11="",B4520&lt;=$C$11),OR($C$12&lt;&gt;"Ya",K4520&lt;&gt;""),OR($C$13="Semua",$C$13="",L4520=$C$13)),"✓","")</f>
        <v/>
      </c>
      <c r="N4520" s="93">
        <f>N(N4519)+IF(M4520="✓",1,0)</f>
        <v/>
      </c>
      <c r="O4520" s="93">
        <f>N(O4519)+IF(AND(B4520&lt;&gt;"",B4520&gt;='Uang Riba'!$H$30,B4520&lt;='Uang Riba'!$I$30,OR(H4520="Dana riba",H4520="Pinjam uang riba",I4520="Pinjam dari uang riba",I4520="Ganti uang riba",I4520="Kelebihan ganti dikembalikan",AND(C4520="Kantong Uang Riba",G4520="Pengeluaran"))),1,0)</f>
        <v/>
      </c>
      <c r="X4520" s="93">
        <f>IF(AND(B4520&lt;&gt;"",B4520&gt;='Buku Akun'!$H$4,B4520&lt;='Buku Akun'!$H$5,OR(C4520='Buku Akun'!$C$4,AND(D4520="Pindah",E4520='Buku Akun'!$C$4))),B4520+IF(AND(I4520="Selisih bunga",DAY(B4520)=1),0,0.01)+ROW()/10000000,"")</f>
        <v/>
      </c>
    </row>
    <row r="4521" outlineLevel="1" ht="15" customHeight="1" s="94">
      <c r="A4521" s="123">
        <f>IF(B4521="","",ROW()-15)</f>
        <v/>
      </c>
      <c r="B4521" s="124" t="n"/>
      <c r="C4521" s="123" t="n"/>
      <c r="D4521" s="123" t="n"/>
      <c r="E4521" s="123" t="n"/>
      <c r="F4521" s="125" t="n"/>
      <c r="G4521" s="123" t="n"/>
      <c r="H4521" s="123" t="n"/>
      <c r="I4521" s="123" t="n"/>
      <c r="J4521" s="123" t="n"/>
      <c r="K4521" s="123" t="n"/>
      <c r="L4521" s="123" t="n"/>
      <c r="M4521" s="123">
        <f>IF(AND(B4521&lt;&gt;"",OR($C$4="",ISNUMBER(SEARCH($C$4,C4521&amp;" "&amp;E4521&amp;" "&amp;G4521&amp;" "&amp;H4521&amp;" "&amp;I4521&amp;" "&amp;J4521&amp;" "&amp;K4521&amp;" "&amp;L4521))),OR($C$5="Semua",$C$5="",G4521=$C$5),OR($C$6="Semua",$C$6="",H4521=$C$6,H4521="Pengeluaran "&amp;$C$6,AND($C$6="Uang Kos Mama",H4521="Pengeluaran Uang Kos")),OR($C$7="Semua",$C$7="",I4521=$C$7),OR($C$8="Semua",$C$8="",C4521=$C$8,E4521=$C$8),OR($C$9="Semua",$C$9="",D4521=$C$9),OR($C$10="",B4521&gt;=$C$10),OR($C$11="",B4521&lt;=$C$11),OR($C$12&lt;&gt;"Ya",K4521&lt;&gt;""),OR($C$13="Semua",$C$13="",L4521=$C$13)),"✓","")</f>
        <v/>
      </c>
      <c r="N4521" s="93">
        <f>N(N4520)+IF(M4521="✓",1,0)</f>
        <v/>
      </c>
      <c r="O4521" s="93">
        <f>N(O4520)+IF(AND(B4521&lt;&gt;"",B4521&gt;='Uang Riba'!$H$30,B4521&lt;='Uang Riba'!$I$30,OR(H4521="Dana riba",H4521="Pinjam uang riba",I4521="Pinjam dari uang riba",I4521="Ganti uang riba",I4521="Kelebihan ganti dikembalikan",AND(C4521="Kantong Uang Riba",G4521="Pengeluaran"))),1,0)</f>
        <v/>
      </c>
      <c r="X4521" s="93">
        <f>IF(AND(B4521&lt;&gt;"",B4521&gt;='Buku Akun'!$H$4,B4521&lt;='Buku Akun'!$H$5,OR(C4521='Buku Akun'!$C$4,AND(D4521="Pindah",E4521='Buku Akun'!$C$4))),B4521+IF(AND(I4521="Selisih bunga",DAY(B4521)=1),0,0.01)+ROW()/10000000,"")</f>
        <v/>
      </c>
    </row>
    <row r="4522" outlineLevel="1" ht="15" customHeight="1" s="94">
      <c r="A4522" s="123">
        <f>IF(B4522="","",ROW()-15)</f>
        <v/>
      </c>
      <c r="B4522" s="124" t="n"/>
      <c r="C4522" s="123" t="n"/>
      <c r="D4522" s="123" t="n"/>
      <c r="E4522" s="123" t="n"/>
      <c r="F4522" s="125" t="n"/>
      <c r="G4522" s="123" t="n"/>
      <c r="H4522" s="123" t="n"/>
      <c r="I4522" s="123" t="n"/>
      <c r="J4522" s="123" t="n"/>
      <c r="K4522" s="123" t="n"/>
      <c r="L4522" s="123" t="n"/>
      <c r="M4522" s="123">
        <f>IF(AND(B4522&lt;&gt;"",OR($C$4="",ISNUMBER(SEARCH($C$4,C4522&amp;" "&amp;E4522&amp;" "&amp;G4522&amp;" "&amp;H4522&amp;" "&amp;I4522&amp;" "&amp;J4522&amp;" "&amp;K4522&amp;" "&amp;L4522))),OR($C$5="Semua",$C$5="",G4522=$C$5),OR($C$6="Semua",$C$6="",H4522=$C$6,H4522="Pengeluaran "&amp;$C$6,AND($C$6="Uang Kos Mama",H4522="Pengeluaran Uang Kos")),OR($C$7="Semua",$C$7="",I4522=$C$7),OR($C$8="Semua",$C$8="",C4522=$C$8,E4522=$C$8),OR($C$9="Semua",$C$9="",D4522=$C$9),OR($C$10="",B4522&gt;=$C$10),OR($C$11="",B4522&lt;=$C$11),OR($C$12&lt;&gt;"Ya",K4522&lt;&gt;""),OR($C$13="Semua",$C$13="",L4522=$C$13)),"✓","")</f>
        <v/>
      </c>
      <c r="N4522" s="93">
        <f>N(N4521)+IF(M4522="✓",1,0)</f>
        <v/>
      </c>
      <c r="O4522" s="93">
        <f>N(O4521)+IF(AND(B4522&lt;&gt;"",B4522&gt;='Uang Riba'!$H$30,B4522&lt;='Uang Riba'!$I$30,OR(H4522="Dana riba",H4522="Pinjam uang riba",I4522="Pinjam dari uang riba",I4522="Ganti uang riba",I4522="Kelebihan ganti dikembalikan",AND(C4522="Kantong Uang Riba",G4522="Pengeluaran"))),1,0)</f>
        <v/>
      </c>
      <c r="X4522" s="93">
        <f>IF(AND(B4522&lt;&gt;"",B4522&gt;='Buku Akun'!$H$4,B4522&lt;='Buku Akun'!$H$5,OR(C4522='Buku Akun'!$C$4,AND(D4522="Pindah",E4522='Buku Akun'!$C$4))),B4522+IF(AND(I4522="Selisih bunga",DAY(B4522)=1),0,0.01)+ROW()/10000000,"")</f>
        <v/>
      </c>
    </row>
    <row r="4523" outlineLevel="1" ht="15" customHeight="1" s="94">
      <c r="A4523" s="123">
        <f>IF(B4523="","",ROW()-15)</f>
        <v/>
      </c>
      <c r="B4523" s="124" t="n"/>
      <c r="C4523" s="123" t="n"/>
      <c r="D4523" s="123" t="n"/>
      <c r="E4523" s="123" t="n"/>
      <c r="F4523" s="125" t="n"/>
      <c r="G4523" s="123" t="n"/>
      <c r="H4523" s="123" t="n"/>
      <c r="I4523" s="123" t="n"/>
      <c r="J4523" s="123" t="n"/>
      <c r="K4523" s="123" t="n"/>
      <c r="L4523" s="123" t="n"/>
      <c r="M4523" s="123">
        <f>IF(AND(B4523&lt;&gt;"",OR($C$4="",ISNUMBER(SEARCH($C$4,C4523&amp;" "&amp;E4523&amp;" "&amp;G4523&amp;" "&amp;H4523&amp;" "&amp;I4523&amp;" "&amp;J4523&amp;" "&amp;K4523&amp;" "&amp;L4523))),OR($C$5="Semua",$C$5="",G4523=$C$5),OR($C$6="Semua",$C$6="",H4523=$C$6,H4523="Pengeluaran "&amp;$C$6,AND($C$6="Uang Kos Mama",H4523="Pengeluaran Uang Kos")),OR($C$7="Semua",$C$7="",I4523=$C$7),OR($C$8="Semua",$C$8="",C4523=$C$8,E4523=$C$8),OR($C$9="Semua",$C$9="",D4523=$C$9),OR($C$10="",B4523&gt;=$C$10),OR($C$11="",B4523&lt;=$C$11),OR($C$12&lt;&gt;"Ya",K4523&lt;&gt;""),OR($C$13="Semua",$C$13="",L4523=$C$13)),"✓","")</f>
        <v/>
      </c>
      <c r="N4523" s="93">
        <f>N(N4522)+IF(M4523="✓",1,0)</f>
        <v/>
      </c>
      <c r="O4523" s="93">
        <f>N(O4522)+IF(AND(B4523&lt;&gt;"",B4523&gt;='Uang Riba'!$H$30,B4523&lt;='Uang Riba'!$I$30,OR(H4523="Dana riba",H4523="Pinjam uang riba",I4523="Pinjam dari uang riba",I4523="Ganti uang riba",I4523="Kelebihan ganti dikembalikan",AND(C4523="Kantong Uang Riba",G4523="Pengeluaran"))),1,0)</f>
        <v/>
      </c>
      <c r="X4523" s="93">
        <f>IF(AND(B4523&lt;&gt;"",B4523&gt;='Buku Akun'!$H$4,B4523&lt;='Buku Akun'!$H$5,OR(C4523='Buku Akun'!$C$4,AND(D4523="Pindah",E4523='Buku Akun'!$C$4))),B4523+IF(AND(I4523="Selisih bunga",DAY(B4523)=1),0,0.01)+ROW()/10000000,"")</f>
        <v/>
      </c>
    </row>
    <row r="4524" outlineLevel="1" ht="15" customHeight="1" s="94">
      <c r="A4524" s="123">
        <f>IF(B4524="","",ROW()-15)</f>
        <v/>
      </c>
      <c r="B4524" s="124" t="n"/>
      <c r="C4524" s="123" t="n"/>
      <c r="D4524" s="123" t="n"/>
      <c r="E4524" s="123" t="n"/>
      <c r="F4524" s="125" t="n"/>
      <c r="G4524" s="123" t="n"/>
      <c r="H4524" s="123" t="n"/>
      <c r="I4524" s="123" t="n"/>
      <c r="J4524" s="123" t="n"/>
      <c r="K4524" s="123" t="n"/>
      <c r="L4524" s="123" t="n"/>
      <c r="M4524" s="123">
        <f>IF(AND(B4524&lt;&gt;"",OR($C$4="",ISNUMBER(SEARCH($C$4,C4524&amp;" "&amp;E4524&amp;" "&amp;G4524&amp;" "&amp;H4524&amp;" "&amp;I4524&amp;" "&amp;J4524&amp;" "&amp;K4524&amp;" "&amp;L4524))),OR($C$5="Semua",$C$5="",G4524=$C$5),OR($C$6="Semua",$C$6="",H4524=$C$6,H4524="Pengeluaran "&amp;$C$6,AND($C$6="Uang Kos Mama",H4524="Pengeluaran Uang Kos")),OR($C$7="Semua",$C$7="",I4524=$C$7),OR($C$8="Semua",$C$8="",C4524=$C$8,E4524=$C$8),OR($C$9="Semua",$C$9="",D4524=$C$9),OR($C$10="",B4524&gt;=$C$10),OR($C$11="",B4524&lt;=$C$11),OR($C$12&lt;&gt;"Ya",K4524&lt;&gt;""),OR($C$13="Semua",$C$13="",L4524=$C$13)),"✓","")</f>
        <v/>
      </c>
      <c r="N4524" s="93">
        <f>N(N4523)+IF(M4524="✓",1,0)</f>
        <v/>
      </c>
      <c r="O4524" s="93">
        <f>N(O4523)+IF(AND(B4524&lt;&gt;"",B4524&gt;='Uang Riba'!$H$30,B4524&lt;='Uang Riba'!$I$30,OR(H4524="Dana riba",H4524="Pinjam uang riba",I4524="Pinjam dari uang riba",I4524="Ganti uang riba",I4524="Kelebihan ganti dikembalikan",AND(C4524="Kantong Uang Riba",G4524="Pengeluaran"))),1,0)</f>
        <v/>
      </c>
      <c r="X4524" s="93">
        <f>IF(AND(B4524&lt;&gt;"",B4524&gt;='Buku Akun'!$H$4,B4524&lt;='Buku Akun'!$H$5,OR(C4524='Buku Akun'!$C$4,AND(D4524="Pindah",E4524='Buku Akun'!$C$4))),B4524+IF(AND(I4524="Selisih bunga",DAY(B4524)=1),0,0.01)+ROW()/10000000,"")</f>
        <v/>
      </c>
    </row>
    <row r="4525" outlineLevel="1" ht="15" customHeight="1" s="94">
      <c r="A4525" s="123">
        <f>IF(B4525="","",ROW()-15)</f>
        <v/>
      </c>
      <c r="B4525" s="124" t="n"/>
      <c r="C4525" s="123" t="n"/>
      <c r="D4525" s="123" t="n"/>
      <c r="E4525" s="123" t="n"/>
      <c r="F4525" s="125" t="n"/>
      <c r="G4525" s="123" t="n"/>
      <c r="H4525" s="123" t="n"/>
      <c r="I4525" s="123" t="n"/>
      <c r="J4525" s="123" t="n"/>
      <c r="K4525" s="123" t="n"/>
      <c r="L4525" s="123" t="n"/>
      <c r="M4525" s="123">
        <f>IF(AND(B4525&lt;&gt;"",OR($C$4="",ISNUMBER(SEARCH($C$4,C4525&amp;" "&amp;E4525&amp;" "&amp;G4525&amp;" "&amp;H4525&amp;" "&amp;I4525&amp;" "&amp;J4525&amp;" "&amp;K4525&amp;" "&amp;L4525))),OR($C$5="Semua",$C$5="",G4525=$C$5),OR($C$6="Semua",$C$6="",H4525=$C$6,H4525="Pengeluaran "&amp;$C$6,AND($C$6="Uang Kos Mama",H4525="Pengeluaran Uang Kos")),OR($C$7="Semua",$C$7="",I4525=$C$7),OR($C$8="Semua",$C$8="",C4525=$C$8,E4525=$C$8),OR($C$9="Semua",$C$9="",D4525=$C$9),OR($C$10="",B4525&gt;=$C$10),OR($C$11="",B4525&lt;=$C$11),OR($C$12&lt;&gt;"Ya",K4525&lt;&gt;""),OR($C$13="Semua",$C$13="",L4525=$C$13)),"✓","")</f>
        <v/>
      </c>
      <c r="N4525" s="93">
        <f>N(N4524)+IF(M4525="✓",1,0)</f>
        <v/>
      </c>
      <c r="O4525" s="93">
        <f>N(O4524)+IF(AND(B4525&lt;&gt;"",B4525&gt;='Uang Riba'!$H$30,B4525&lt;='Uang Riba'!$I$30,OR(H4525="Dana riba",H4525="Pinjam uang riba",I4525="Pinjam dari uang riba",I4525="Ganti uang riba",I4525="Kelebihan ganti dikembalikan",AND(C4525="Kantong Uang Riba",G4525="Pengeluaran"))),1,0)</f>
        <v/>
      </c>
      <c r="X4525" s="93">
        <f>IF(AND(B4525&lt;&gt;"",B4525&gt;='Buku Akun'!$H$4,B4525&lt;='Buku Akun'!$H$5,OR(C4525='Buku Akun'!$C$4,AND(D4525="Pindah",E4525='Buku Akun'!$C$4))),B4525+IF(AND(I4525="Selisih bunga",DAY(B4525)=1),0,0.01)+ROW()/10000000,"")</f>
        <v/>
      </c>
    </row>
    <row r="4526" outlineLevel="1" ht="15" customHeight="1" s="94">
      <c r="A4526" s="123">
        <f>IF(B4526="","",ROW()-15)</f>
        <v/>
      </c>
      <c r="B4526" s="124" t="n"/>
      <c r="C4526" s="123" t="n"/>
      <c r="D4526" s="123" t="n"/>
      <c r="E4526" s="123" t="n"/>
      <c r="F4526" s="125" t="n"/>
      <c r="G4526" s="123" t="n"/>
      <c r="H4526" s="123" t="n"/>
      <c r="I4526" s="123" t="n"/>
      <c r="J4526" s="123" t="n"/>
      <c r="K4526" s="123" t="n"/>
      <c r="L4526" s="123" t="n"/>
      <c r="M4526" s="123">
        <f>IF(AND(B4526&lt;&gt;"",OR($C$4="",ISNUMBER(SEARCH($C$4,C4526&amp;" "&amp;E4526&amp;" "&amp;G4526&amp;" "&amp;H4526&amp;" "&amp;I4526&amp;" "&amp;J4526&amp;" "&amp;K4526&amp;" "&amp;L4526))),OR($C$5="Semua",$C$5="",G4526=$C$5),OR($C$6="Semua",$C$6="",H4526=$C$6,H4526="Pengeluaran "&amp;$C$6,AND($C$6="Uang Kos Mama",H4526="Pengeluaran Uang Kos")),OR($C$7="Semua",$C$7="",I4526=$C$7),OR($C$8="Semua",$C$8="",C4526=$C$8,E4526=$C$8),OR($C$9="Semua",$C$9="",D4526=$C$9),OR($C$10="",B4526&gt;=$C$10),OR($C$11="",B4526&lt;=$C$11),OR($C$12&lt;&gt;"Ya",K4526&lt;&gt;""),OR($C$13="Semua",$C$13="",L4526=$C$13)),"✓","")</f>
        <v/>
      </c>
      <c r="N4526" s="93">
        <f>N(N4525)+IF(M4526="✓",1,0)</f>
        <v/>
      </c>
      <c r="O4526" s="93">
        <f>N(O4525)+IF(AND(B4526&lt;&gt;"",B4526&gt;='Uang Riba'!$H$30,B4526&lt;='Uang Riba'!$I$30,OR(H4526="Dana riba",H4526="Pinjam uang riba",I4526="Pinjam dari uang riba",I4526="Ganti uang riba",I4526="Kelebihan ganti dikembalikan",AND(C4526="Kantong Uang Riba",G4526="Pengeluaran"))),1,0)</f>
        <v/>
      </c>
      <c r="X4526" s="93">
        <f>IF(AND(B4526&lt;&gt;"",B4526&gt;='Buku Akun'!$H$4,B4526&lt;='Buku Akun'!$H$5,OR(C4526='Buku Akun'!$C$4,AND(D4526="Pindah",E4526='Buku Akun'!$C$4))),B4526+IF(AND(I4526="Selisih bunga",DAY(B4526)=1),0,0.01)+ROW()/10000000,"")</f>
        <v/>
      </c>
    </row>
    <row r="4527" outlineLevel="1" ht="15" customHeight="1" s="94">
      <c r="A4527" s="123">
        <f>IF(B4527="","",ROW()-15)</f>
        <v/>
      </c>
      <c r="B4527" s="124" t="n"/>
      <c r="C4527" s="123" t="n"/>
      <c r="D4527" s="123" t="n"/>
      <c r="E4527" s="123" t="n"/>
      <c r="F4527" s="125" t="n"/>
      <c r="G4527" s="123" t="n"/>
      <c r="H4527" s="123" t="n"/>
      <c r="I4527" s="123" t="n"/>
      <c r="J4527" s="123" t="n"/>
      <c r="K4527" s="123" t="n"/>
      <c r="L4527" s="123" t="n"/>
      <c r="M4527" s="123">
        <f>IF(AND(B4527&lt;&gt;"",OR($C$4="",ISNUMBER(SEARCH($C$4,C4527&amp;" "&amp;E4527&amp;" "&amp;G4527&amp;" "&amp;H4527&amp;" "&amp;I4527&amp;" "&amp;J4527&amp;" "&amp;K4527&amp;" "&amp;L4527))),OR($C$5="Semua",$C$5="",G4527=$C$5),OR($C$6="Semua",$C$6="",H4527=$C$6,H4527="Pengeluaran "&amp;$C$6,AND($C$6="Uang Kos Mama",H4527="Pengeluaran Uang Kos")),OR($C$7="Semua",$C$7="",I4527=$C$7),OR($C$8="Semua",$C$8="",C4527=$C$8,E4527=$C$8),OR($C$9="Semua",$C$9="",D4527=$C$9),OR($C$10="",B4527&gt;=$C$10),OR($C$11="",B4527&lt;=$C$11),OR($C$12&lt;&gt;"Ya",K4527&lt;&gt;""),OR($C$13="Semua",$C$13="",L4527=$C$13)),"✓","")</f>
        <v/>
      </c>
      <c r="N4527" s="93">
        <f>N(N4526)+IF(M4527="✓",1,0)</f>
        <v/>
      </c>
      <c r="O4527" s="93">
        <f>N(O4526)+IF(AND(B4527&lt;&gt;"",B4527&gt;='Uang Riba'!$H$30,B4527&lt;='Uang Riba'!$I$30,OR(H4527="Dana riba",H4527="Pinjam uang riba",I4527="Pinjam dari uang riba",I4527="Ganti uang riba",I4527="Kelebihan ganti dikembalikan",AND(C4527="Kantong Uang Riba",G4527="Pengeluaran"))),1,0)</f>
        <v/>
      </c>
      <c r="X4527" s="93">
        <f>IF(AND(B4527&lt;&gt;"",B4527&gt;='Buku Akun'!$H$4,B4527&lt;='Buku Akun'!$H$5,OR(C4527='Buku Akun'!$C$4,AND(D4527="Pindah",E4527='Buku Akun'!$C$4))),B4527+IF(AND(I4527="Selisih bunga",DAY(B4527)=1),0,0.01)+ROW()/10000000,"")</f>
        <v/>
      </c>
    </row>
    <row r="4528" outlineLevel="1" ht="15" customHeight="1" s="94">
      <c r="A4528" s="123">
        <f>IF(B4528="","",ROW()-15)</f>
        <v/>
      </c>
      <c r="B4528" s="124" t="n"/>
      <c r="C4528" s="123" t="n"/>
      <c r="D4528" s="123" t="n"/>
      <c r="E4528" s="123" t="n"/>
      <c r="F4528" s="125" t="n"/>
      <c r="G4528" s="123" t="n"/>
      <c r="H4528" s="123" t="n"/>
      <c r="I4528" s="123" t="n"/>
      <c r="J4528" s="123" t="n"/>
      <c r="K4528" s="123" t="n"/>
      <c r="L4528" s="123" t="n"/>
      <c r="M4528" s="123">
        <f>IF(AND(B4528&lt;&gt;"",OR($C$4="",ISNUMBER(SEARCH($C$4,C4528&amp;" "&amp;E4528&amp;" "&amp;G4528&amp;" "&amp;H4528&amp;" "&amp;I4528&amp;" "&amp;J4528&amp;" "&amp;K4528&amp;" "&amp;L4528))),OR($C$5="Semua",$C$5="",G4528=$C$5),OR($C$6="Semua",$C$6="",H4528=$C$6,H4528="Pengeluaran "&amp;$C$6,AND($C$6="Uang Kos Mama",H4528="Pengeluaran Uang Kos")),OR($C$7="Semua",$C$7="",I4528=$C$7),OR($C$8="Semua",$C$8="",C4528=$C$8,E4528=$C$8),OR($C$9="Semua",$C$9="",D4528=$C$9),OR($C$10="",B4528&gt;=$C$10),OR($C$11="",B4528&lt;=$C$11),OR($C$12&lt;&gt;"Ya",K4528&lt;&gt;""),OR($C$13="Semua",$C$13="",L4528=$C$13)),"✓","")</f>
        <v/>
      </c>
      <c r="N4528" s="93">
        <f>N(N4527)+IF(M4528="✓",1,0)</f>
        <v/>
      </c>
      <c r="O4528" s="93">
        <f>N(O4527)+IF(AND(B4528&lt;&gt;"",B4528&gt;='Uang Riba'!$H$30,B4528&lt;='Uang Riba'!$I$30,OR(H4528="Dana riba",H4528="Pinjam uang riba",I4528="Pinjam dari uang riba",I4528="Ganti uang riba",I4528="Kelebihan ganti dikembalikan",AND(C4528="Kantong Uang Riba",G4528="Pengeluaran"))),1,0)</f>
        <v/>
      </c>
      <c r="X4528" s="93">
        <f>IF(AND(B4528&lt;&gt;"",B4528&gt;='Buku Akun'!$H$4,B4528&lt;='Buku Akun'!$H$5,OR(C4528='Buku Akun'!$C$4,AND(D4528="Pindah",E4528='Buku Akun'!$C$4))),B4528+IF(AND(I4528="Selisih bunga",DAY(B4528)=1),0,0.01)+ROW()/10000000,"")</f>
        <v/>
      </c>
    </row>
    <row r="4529" outlineLevel="1" ht="15" customHeight="1" s="94">
      <c r="A4529" s="123">
        <f>IF(B4529="","",ROW()-15)</f>
        <v/>
      </c>
      <c r="B4529" s="124" t="n"/>
      <c r="C4529" s="123" t="n"/>
      <c r="D4529" s="123" t="n"/>
      <c r="E4529" s="123" t="n"/>
      <c r="F4529" s="125" t="n"/>
      <c r="G4529" s="123" t="n"/>
      <c r="H4529" s="123" t="n"/>
      <c r="I4529" s="123" t="n"/>
      <c r="J4529" s="123" t="n"/>
      <c r="K4529" s="123" t="n"/>
      <c r="L4529" s="123" t="n"/>
      <c r="M4529" s="123">
        <f>IF(AND(B4529&lt;&gt;"",OR($C$4="",ISNUMBER(SEARCH($C$4,C4529&amp;" "&amp;E4529&amp;" "&amp;G4529&amp;" "&amp;H4529&amp;" "&amp;I4529&amp;" "&amp;J4529&amp;" "&amp;K4529&amp;" "&amp;L4529))),OR($C$5="Semua",$C$5="",G4529=$C$5),OR($C$6="Semua",$C$6="",H4529=$C$6,H4529="Pengeluaran "&amp;$C$6,AND($C$6="Uang Kos Mama",H4529="Pengeluaran Uang Kos")),OR($C$7="Semua",$C$7="",I4529=$C$7),OR($C$8="Semua",$C$8="",C4529=$C$8,E4529=$C$8),OR($C$9="Semua",$C$9="",D4529=$C$9),OR($C$10="",B4529&gt;=$C$10),OR($C$11="",B4529&lt;=$C$11),OR($C$12&lt;&gt;"Ya",K4529&lt;&gt;""),OR($C$13="Semua",$C$13="",L4529=$C$13)),"✓","")</f>
        <v/>
      </c>
      <c r="N4529" s="93">
        <f>N(N4528)+IF(M4529="✓",1,0)</f>
        <v/>
      </c>
      <c r="O4529" s="93">
        <f>N(O4528)+IF(AND(B4529&lt;&gt;"",B4529&gt;='Uang Riba'!$H$30,B4529&lt;='Uang Riba'!$I$30,OR(H4529="Dana riba",H4529="Pinjam uang riba",I4529="Pinjam dari uang riba",I4529="Ganti uang riba",I4529="Kelebihan ganti dikembalikan",AND(C4529="Kantong Uang Riba",G4529="Pengeluaran"))),1,0)</f>
        <v/>
      </c>
      <c r="X4529" s="93">
        <f>IF(AND(B4529&lt;&gt;"",B4529&gt;='Buku Akun'!$H$4,B4529&lt;='Buku Akun'!$H$5,OR(C4529='Buku Akun'!$C$4,AND(D4529="Pindah",E4529='Buku Akun'!$C$4))),B4529+IF(AND(I4529="Selisih bunga",DAY(B4529)=1),0,0.01)+ROW()/10000000,"")</f>
        <v/>
      </c>
    </row>
    <row r="4530" outlineLevel="1" ht="15" customHeight="1" s="94">
      <c r="A4530" s="123">
        <f>IF(B4530="","",ROW()-15)</f>
        <v/>
      </c>
      <c r="B4530" s="124" t="n"/>
      <c r="C4530" s="123" t="n"/>
      <c r="D4530" s="123" t="n"/>
      <c r="E4530" s="123" t="n"/>
      <c r="F4530" s="125" t="n"/>
      <c r="G4530" s="123" t="n"/>
      <c r="H4530" s="123" t="n"/>
      <c r="I4530" s="123" t="n"/>
      <c r="J4530" s="123" t="n"/>
      <c r="K4530" s="123" t="n"/>
      <c r="L4530" s="123" t="n"/>
      <c r="M4530" s="123">
        <f>IF(AND(B4530&lt;&gt;"",OR($C$4="",ISNUMBER(SEARCH($C$4,C4530&amp;" "&amp;E4530&amp;" "&amp;G4530&amp;" "&amp;H4530&amp;" "&amp;I4530&amp;" "&amp;J4530&amp;" "&amp;K4530&amp;" "&amp;L4530))),OR($C$5="Semua",$C$5="",G4530=$C$5),OR($C$6="Semua",$C$6="",H4530=$C$6,H4530="Pengeluaran "&amp;$C$6,AND($C$6="Uang Kos Mama",H4530="Pengeluaran Uang Kos")),OR($C$7="Semua",$C$7="",I4530=$C$7),OR($C$8="Semua",$C$8="",C4530=$C$8,E4530=$C$8),OR($C$9="Semua",$C$9="",D4530=$C$9),OR($C$10="",B4530&gt;=$C$10),OR($C$11="",B4530&lt;=$C$11),OR($C$12&lt;&gt;"Ya",K4530&lt;&gt;""),OR($C$13="Semua",$C$13="",L4530=$C$13)),"✓","")</f>
        <v/>
      </c>
      <c r="N4530" s="93">
        <f>N(N4529)+IF(M4530="✓",1,0)</f>
        <v/>
      </c>
      <c r="O4530" s="93">
        <f>N(O4529)+IF(AND(B4530&lt;&gt;"",B4530&gt;='Uang Riba'!$H$30,B4530&lt;='Uang Riba'!$I$30,OR(H4530="Dana riba",H4530="Pinjam uang riba",I4530="Pinjam dari uang riba",I4530="Ganti uang riba",I4530="Kelebihan ganti dikembalikan",AND(C4530="Kantong Uang Riba",G4530="Pengeluaran"))),1,0)</f>
        <v/>
      </c>
      <c r="X4530" s="93">
        <f>IF(AND(B4530&lt;&gt;"",B4530&gt;='Buku Akun'!$H$4,B4530&lt;='Buku Akun'!$H$5,OR(C4530='Buku Akun'!$C$4,AND(D4530="Pindah",E4530='Buku Akun'!$C$4))),B4530+IF(AND(I4530="Selisih bunga",DAY(B4530)=1),0,0.01)+ROW()/10000000,"")</f>
        <v/>
      </c>
    </row>
    <row r="4531" outlineLevel="1" ht="15" customHeight="1" s="94">
      <c r="A4531" s="123">
        <f>IF(B4531="","",ROW()-15)</f>
        <v/>
      </c>
      <c r="B4531" s="124" t="n"/>
      <c r="C4531" s="123" t="n"/>
      <c r="D4531" s="123" t="n"/>
      <c r="E4531" s="123" t="n"/>
      <c r="F4531" s="125" t="n"/>
      <c r="G4531" s="123" t="n"/>
      <c r="H4531" s="123" t="n"/>
      <c r="I4531" s="123" t="n"/>
      <c r="J4531" s="123" t="n"/>
      <c r="K4531" s="123" t="n"/>
      <c r="L4531" s="123" t="n"/>
      <c r="M4531" s="123">
        <f>IF(AND(B4531&lt;&gt;"",OR($C$4="",ISNUMBER(SEARCH($C$4,C4531&amp;" "&amp;E4531&amp;" "&amp;G4531&amp;" "&amp;H4531&amp;" "&amp;I4531&amp;" "&amp;J4531&amp;" "&amp;K4531&amp;" "&amp;L4531))),OR($C$5="Semua",$C$5="",G4531=$C$5),OR($C$6="Semua",$C$6="",H4531=$C$6,H4531="Pengeluaran "&amp;$C$6,AND($C$6="Uang Kos Mama",H4531="Pengeluaran Uang Kos")),OR($C$7="Semua",$C$7="",I4531=$C$7),OR($C$8="Semua",$C$8="",C4531=$C$8,E4531=$C$8),OR($C$9="Semua",$C$9="",D4531=$C$9),OR($C$10="",B4531&gt;=$C$10),OR($C$11="",B4531&lt;=$C$11),OR($C$12&lt;&gt;"Ya",K4531&lt;&gt;""),OR($C$13="Semua",$C$13="",L4531=$C$13)),"✓","")</f>
        <v/>
      </c>
      <c r="N4531" s="93">
        <f>N(N4530)+IF(M4531="✓",1,0)</f>
        <v/>
      </c>
      <c r="O4531" s="93">
        <f>N(O4530)+IF(AND(B4531&lt;&gt;"",B4531&gt;='Uang Riba'!$H$30,B4531&lt;='Uang Riba'!$I$30,OR(H4531="Dana riba",H4531="Pinjam uang riba",I4531="Pinjam dari uang riba",I4531="Ganti uang riba",I4531="Kelebihan ganti dikembalikan",AND(C4531="Kantong Uang Riba",G4531="Pengeluaran"))),1,0)</f>
        <v/>
      </c>
      <c r="X4531" s="93">
        <f>IF(AND(B4531&lt;&gt;"",B4531&gt;='Buku Akun'!$H$4,B4531&lt;='Buku Akun'!$H$5,OR(C4531='Buku Akun'!$C$4,AND(D4531="Pindah",E4531='Buku Akun'!$C$4))),B4531+IF(AND(I4531="Selisih bunga",DAY(B4531)=1),0,0.01)+ROW()/10000000,"")</f>
        <v/>
      </c>
    </row>
    <row r="4532" outlineLevel="1" ht="15" customHeight="1" s="94">
      <c r="A4532" s="123">
        <f>IF(B4532="","",ROW()-15)</f>
        <v/>
      </c>
      <c r="B4532" s="124" t="n"/>
      <c r="C4532" s="123" t="n"/>
      <c r="D4532" s="123" t="n"/>
      <c r="E4532" s="123" t="n"/>
      <c r="F4532" s="125" t="n"/>
      <c r="G4532" s="123" t="n"/>
      <c r="H4532" s="123" t="n"/>
      <c r="I4532" s="123" t="n"/>
      <c r="J4532" s="123" t="n"/>
      <c r="K4532" s="123" t="n"/>
      <c r="L4532" s="123" t="n"/>
      <c r="M4532" s="123">
        <f>IF(AND(B4532&lt;&gt;"",OR($C$4="",ISNUMBER(SEARCH($C$4,C4532&amp;" "&amp;E4532&amp;" "&amp;G4532&amp;" "&amp;H4532&amp;" "&amp;I4532&amp;" "&amp;J4532&amp;" "&amp;K4532&amp;" "&amp;L4532))),OR($C$5="Semua",$C$5="",G4532=$C$5),OR($C$6="Semua",$C$6="",H4532=$C$6,H4532="Pengeluaran "&amp;$C$6,AND($C$6="Uang Kos Mama",H4532="Pengeluaran Uang Kos")),OR($C$7="Semua",$C$7="",I4532=$C$7),OR($C$8="Semua",$C$8="",C4532=$C$8,E4532=$C$8),OR($C$9="Semua",$C$9="",D4532=$C$9),OR($C$10="",B4532&gt;=$C$10),OR($C$11="",B4532&lt;=$C$11),OR($C$12&lt;&gt;"Ya",K4532&lt;&gt;""),OR($C$13="Semua",$C$13="",L4532=$C$13)),"✓","")</f>
        <v/>
      </c>
      <c r="N4532" s="93">
        <f>N(N4531)+IF(M4532="✓",1,0)</f>
        <v/>
      </c>
      <c r="O4532" s="93">
        <f>N(O4531)+IF(AND(B4532&lt;&gt;"",B4532&gt;='Uang Riba'!$H$30,B4532&lt;='Uang Riba'!$I$30,OR(H4532="Dana riba",H4532="Pinjam uang riba",I4532="Pinjam dari uang riba",I4532="Ganti uang riba",I4532="Kelebihan ganti dikembalikan",AND(C4532="Kantong Uang Riba",G4532="Pengeluaran"))),1,0)</f>
        <v/>
      </c>
      <c r="X4532" s="93">
        <f>IF(AND(B4532&lt;&gt;"",B4532&gt;='Buku Akun'!$H$4,B4532&lt;='Buku Akun'!$H$5,OR(C4532='Buku Akun'!$C$4,AND(D4532="Pindah",E4532='Buku Akun'!$C$4))),B4532+IF(AND(I4532="Selisih bunga",DAY(B4532)=1),0,0.01)+ROW()/10000000,"")</f>
        <v/>
      </c>
    </row>
    <row r="4533" outlineLevel="1" ht="15" customHeight="1" s="94">
      <c r="A4533" s="123">
        <f>IF(B4533="","",ROW()-15)</f>
        <v/>
      </c>
      <c r="B4533" s="124" t="n"/>
      <c r="C4533" s="123" t="n"/>
      <c r="D4533" s="123" t="n"/>
      <c r="E4533" s="123" t="n"/>
      <c r="F4533" s="125" t="n"/>
      <c r="G4533" s="123" t="n"/>
      <c r="H4533" s="123" t="n"/>
      <c r="I4533" s="123" t="n"/>
      <c r="J4533" s="123" t="n"/>
      <c r="K4533" s="123" t="n"/>
      <c r="L4533" s="123" t="n"/>
      <c r="M4533" s="123">
        <f>IF(AND(B4533&lt;&gt;"",OR($C$4="",ISNUMBER(SEARCH($C$4,C4533&amp;" "&amp;E4533&amp;" "&amp;G4533&amp;" "&amp;H4533&amp;" "&amp;I4533&amp;" "&amp;J4533&amp;" "&amp;K4533&amp;" "&amp;L4533))),OR($C$5="Semua",$C$5="",G4533=$C$5),OR($C$6="Semua",$C$6="",H4533=$C$6,H4533="Pengeluaran "&amp;$C$6,AND($C$6="Uang Kos Mama",H4533="Pengeluaran Uang Kos")),OR($C$7="Semua",$C$7="",I4533=$C$7),OR($C$8="Semua",$C$8="",C4533=$C$8,E4533=$C$8),OR($C$9="Semua",$C$9="",D4533=$C$9),OR($C$10="",B4533&gt;=$C$10),OR($C$11="",B4533&lt;=$C$11),OR($C$12&lt;&gt;"Ya",K4533&lt;&gt;""),OR($C$13="Semua",$C$13="",L4533=$C$13)),"✓","")</f>
        <v/>
      </c>
      <c r="N4533" s="93">
        <f>N(N4532)+IF(M4533="✓",1,0)</f>
        <v/>
      </c>
      <c r="O4533" s="93">
        <f>N(O4532)+IF(AND(B4533&lt;&gt;"",B4533&gt;='Uang Riba'!$H$30,B4533&lt;='Uang Riba'!$I$30,OR(H4533="Dana riba",H4533="Pinjam uang riba",I4533="Pinjam dari uang riba",I4533="Ganti uang riba",I4533="Kelebihan ganti dikembalikan",AND(C4533="Kantong Uang Riba",G4533="Pengeluaran"))),1,0)</f>
        <v/>
      </c>
      <c r="X4533" s="93">
        <f>IF(AND(B4533&lt;&gt;"",B4533&gt;='Buku Akun'!$H$4,B4533&lt;='Buku Akun'!$H$5,OR(C4533='Buku Akun'!$C$4,AND(D4533="Pindah",E4533='Buku Akun'!$C$4))),B4533+IF(AND(I4533="Selisih bunga",DAY(B4533)=1),0,0.01)+ROW()/10000000,"")</f>
        <v/>
      </c>
    </row>
    <row r="4534" outlineLevel="1" ht="15" customHeight="1" s="94">
      <c r="A4534" s="123">
        <f>IF(B4534="","",ROW()-15)</f>
        <v/>
      </c>
      <c r="B4534" s="124" t="n"/>
      <c r="C4534" s="123" t="n"/>
      <c r="D4534" s="123" t="n"/>
      <c r="E4534" s="123" t="n"/>
      <c r="F4534" s="125" t="n"/>
      <c r="G4534" s="123" t="n"/>
      <c r="H4534" s="123" t="n"/>
      <c r="I4534" s="123" t="n"/>
      <c r="J4534" s="123" t="n"/>
      <c r="K4534" s="123" t="n"/>
      <c r="L4534" s="123" t="n"/>
      <c r="M4534" s="123">
        <f>IF(AND(B4534&lt;&gt;"",OR($C$4="",ISNUMBER(SEARCH($C$4,C4534&amp;" "&amp;E4534&amp;" "&amp;G4534&amp;" "&amp;H4534&amp;" "&amp;I4534&amp;" "&amp;J4534&amp;" "&amp;K4534&amp;" "&amp;L4534))),OR($C$5="Semua",$C$5="",G4534=$C$5),OR($C$6="Semua",$C$6="",H4534=$C$6,H4534="Pengeluaran "&amp;$C$6,AND($C$6="Uang Kos Mama",H4534="Pengeluaran Uang Kos")),OR($C$7="Semua",$C$7="",I4534=$C$7),OR($C$8="Semua",$C$8="",C4534=$C$8,E4534=$C$8),OR($C$9="Semua",$C$9="",D4534=$C$9),OR($C$10="",B4534&gt;=$C$10),OR($C$11="",B4534&lt;=$C$11),OR($C$12&lt;&gt;"Ya",K4534&lt;&gt;""),OR($C$13="Semua",$C$13="",L4534=$C$13)),"✓","")</f>
        <v/>
      </c>
      <c r="N4534" s="93">
        <f>N(N4533)+IF(M4534="✓",1,0)</f>
        <v/>
      </c>
      <c r="O4534" s="93">
        <f>N(O4533)+IF(AND(B4534&lt;&gt;"",B4534&gt;='Uang Riba'!$H$30,B4534&lt;='Uang Riba'!$I$30,OR(H4534="Dana riba",H4534="Pinjam uang riba",I4534="Pinjam dari uang riba",I4534="Ganti uang riba",I4534="Kelebihan ganti dikembalikan",AND(C4534="Kantong Uang Riba",G4534="Pengeluaran"))),1,0)</f>
        <v/>
      </c>
      <c r="X4534" s="93">
        <f>IF(AND(B4534&lt;&gt;"",B4534&gt;='Buku Akun'!$H$4,B4534&lt;='Buku Akun'!$H$5,OR(C4534='Buku Akun'!$C$4,AND(D4534="Pindah",E4534='Buku Akun'!$C$4))),B4534+IF(AND(I4534="Selisih bunga",DAY(B4534)=1),0,0.01)+ROW()/10000000,"")</f>
        <v/>
      </c>
    </row>
    <row r="4535" outlineLevel="1" ht="15" customHeight="1" s="94">
      <c r="A4535" s="123">
        <f>IF(B4535="","",ROW()-15)</f>
        <v/>
      </c>
      <c r="B4535" s="124" t="n"/>
      <c r="C4535" s="123" t="n"/>
      <c r="D4535" s="123" t="n"/>
      <c r="E4535" s="123" t="n"/>
      <c r="F4535" s="125" t="n"/>
      <c r="G4535" s="123" t="n"/>
      <c r="H4535" s="123" t="n"/>
      <c r="I4535" s="123" t="n"/>
      <c r="J4535" s="123" t="n"/>
      <c r="K4535" s="123" t="n"/>
      <c r="L4535" s="123" t="n"/>
      <c r="M4535" s="123">
        <f>IF(AND(B4535&lt;&gt;"",OR($C$4="",ISNUMBER(SEARCH($C$4,C4535&amp;" "&amp;E4535&amp;" "&amp;G4535&amp;" "&amp;H4535&amp;" "&amp;I4535&amp;" "&amp;J4535&amp;" "&amp;K4535&amp;" "&amp;L4535))),OR($C$5="Semua",$C$5="",G4535=$C$5),OR($C$6="Semua",$C$6="",H4535=$C$6,H4535="Pengeluaran "&amp;$C$6,AND($C$6="Uang Kos Mama",H4535="Pengeluaran Uang Kos")),OR($C$7="Semua",$C$7="",I4535=$C$7),OR($C$8="Semua",$C$8="",C4535=$C$8,E4535=$C$8),OR($C$9="Semua",$C$9="",D4535=$C$9),OR($C$10="",B4535&gt;=$C$10),OR($C$11="",B4535&lt;=$C$11),OR($C$12&lt;&gt;"Ya",K4535&lt;&gt;""),OR($C$13="Semua",$C$13="",L4535=$C$13)),"✓","")</f>
        <v/>
      </c>
      <c r="N4535" s="93">
        <f>N(N4534)+IF(M4535="✓",1,0)</f>
        <v/>
      </c>
      <c r="O4535" s="93">
        <f>N(O4534)+IF(AND(B4535&lt;&gt;"",B4535&gt;='Uang Riba'!$H$30,B4535&lt;='Uang Riba'!$I$30,OR(H4535="Dana riba",H4535="Pinjam uang riba",I4535="Pinjam dari uang riba",I4535="Ganti uang riba",I4535="Kelebihan ganti dikembalikan",AND(C4535="Kantong Uang Riba",G4535="Pengeluaran"))),1,0)</f>
        <v/>
      </c>
      <c r="X4535" s="93">
        <f>IF(AND(B4535&lt;&gt;"",B4535&gt;='Buku Akun'!$H$4,B4535&lt;='Buku Akun'!$H$5,OR(C4535='Buku Akun'!$C$4,AND(D4535="Pindah",E4535='Buku Akun'!$C$4))),B4535+IF(AND(I4535="Selisih bunga",DAY(B4535)=1),0,0.01)+ROW()/10000000,"")</f>
        <v/>
      </c>
    </row>
    <row r="4536" outlineLevel="1" ht="15" customHeight="1" s="94">
      <c r="A4536" s="123">
        <f>IF(B4536="","",ROW()-15)</f>
        <v/>
      </c>
      <c r="B4536" s="124" t="n"/>
      <c r="C4536" s="123" t="n"/>
      <c r="D4536" s="123" t="n"/>
      <c r="E4536" s="123" t="n"/>
      <c r="F4536" s="125" t="n"/>
      <c r="G4536" s="123" t="n"/>
      <c r="H4536" s="123" t="n"/>
      <c r="I4536" s="123" t="n"/>
      <c r="J4536" s="123" t="n"/>
      <c r="K4536" s="123" t="n"/>
      <c r="L4536" s="123" t="n"/>
      <c r="M4536" s="123">
        <f>IF(AND(B4536&lt;&gt;"",OR($C$4="",ISNUMBER(SEARCH($C$4,C4536&amp;" "&amp;E4536&amp;" "&amp;G4536&amp;" "&amp;H4536&amp;" "&amp;I4536&amp;" "&amp;J4536&amp;" "&amp;K4536&amp;" "&amp;L4536))),OR($C$5="Semua",$C$5="",G4536=$C$5),OR($C$6="Semua",$C$6="",H4536=$C$6,H4536="Pengeluaran "&amp;$C$6,AND($C$6="Uang Kos Mama",H4536="Pengeluaran Uang Kos")),OR($C$7="Semua",$C$7="",I4536=$C$7),OR($C$8="Semua",$C$8="",C4536=$C$8,E4536=$C$8),OR($C$9="Semua",$C$9="",D4536=$C$9),OR($C$10="",B4536&gt;=$C$10),OR($C$11="",B4536&lt;=$C$11),OR($C$12&lt;&gt;"Ya",K4536&lt;&gt;""),OR($C$13="Semua",$C$13="",L4536=$C$13)),"✓","")</f>
        <v/>
      </c>
      <c r="N4536" s="93">
        <f>N(N4535)+IF(M4536="✓",1,0)</f>
        <v/>
      </c>
      <c r="O4536" s="93">
        <f>N(O4535)+IF(AND(B4536&lt;&gt;"",B4536&gt;='Uang Riba'!$H$30,B4536&lt;='Uang Riba'!$I$30,OR(H4536="Dana riba",H4536="Pinjam uang riba",I4536="Pinjam dari uang riba",I4536="Ganti uang riba",I4536="Kelebihan ganti dikembalikan",AND(C4536="Kantong Uang Riba",G4536="Pengeluaran"))),1,0)</f>
        <v/>
      </c>
      <c r="X4536" s="93">
        <f>IF(AND(B4536&lt;&gt;"",B4536&gt;='Buku Akun'!$H$4,B4536&lt;='Buku Akun'!$H$5,OR(C4536='Buku Akun'!$C$4,AND(D4536="Pindah",E4536='Buku Akun'!$C$4))),B4536+IF(AND(I4536="Selisih bunga",DAY(B4536)=1),0,0.01)+ROW()/10000000,"")</f>
        <v/>
      </c>
    </row>
    <row r="4537" outlineLevel="1" ht="15" customHeight="1" s="94">
      <c r="A4537" s="123">
        <f>IF(B4537="","",ROW()-15)</f>
        <v/>
      </c>
      <c r="B4537" s="124" t="n"/>
      <c r="C4537" s="123" t="n"/>
      <c r="D4537" s="123" t="n"/>
      <c r="E4537" s="123" t="n"/>
      <c r="F4537" s="125" t="n"/>
      <c r="G4537" s="123" t="n"/>
      <c r="H4537" s="123" t="n"/>
      <c r="I4537" s="123" t="n"/>
      <c r="J4537" s="123" t="n"/>
      <c r="K4537" s="123" t="n"/>
      <c r="L4537" s="123" t="n"/>
      <c r="M4537" s="123">
        <f>IF(AND(B4537&lt;&gt;"",OR($C$4="",ISNUMBER(SEARCH($C$4,C4537&amp;" "&amp;E4537&amp;" "&amp;G4537&amp;" "&amp;H4537&amp;" "&amp;I4537&amp;" "&amp;J4537&amp;" "&amp;K4537&amp;" "&amp;L4537))),OR($C$5="Semua",$C$5="",G4537=$C$5),OR($C$6="Semua",$C$6="",H4537=$C$6,H4537="Pengeluaran "&amp;$C$6,AND($C$6="Uang Kos Mama",H4537="Pengeluaran Uang Kos")),OR($C$7="Semua",$C$7="",I4537=$C$7),OR($C$8="Semua",$C$8="",C4537=$C$8,E4537=$C$8),OR($C$9="Semua",$C$9="",D4537=$C$9),OR($C$10="",B4537&gt;=$C$10),OR($C$11="",B4537&lt;=$C$11),OR($C$12&lt;&gt;"Ya",K4537&lt;&gt;""),OR($C$13="Semua",$C$13="",L4537=$C$13)),"✓","")</f>
        <v/>
      </c>
      <c r="N4537" s="93">
        <f>N(N4536)+IF(M4537="✓",1,0)</f>
        <v/>
      </c>
      <c r="O4537" s="93">
        <f>N(O4536)+IF(AND(B4537&lt;&gt;"",B4537&gt;='Uang Riba'!$H$30,B4537&lt;='Uang Riba'!$I$30,OR(H4537="Dana riba",H4537="Pinjam uang riba",I4537="Pinjam dari uang riba",I4537="Ganti uang riba",I4537="Kelebihan ganti dikembalikan",AND(C4537="Kantong Uang Riba",G4537="Pengeluaran"))),1,0)</f>
        <v/>
      </c>
      <c r="X4537" s="93">
        <f>IF(AND(B4537&lt;&gt;"",B4537&gt;='Buku Akun'!$H$4,B4537&lt;='Buku Akun'!$H$5,OR(C4537='Buku Akun'!$C$4,AND(D4537="Pindah",E4537='Buku Akun'!$C$4))),B4537+IF(AND(I4537="Selisih bunga",DAY(B4537)=1),0,0.01)+ROW()/10000000,"")</f>
        <v/>
      </c>
    </row>
    <row r="4538" outlineLevel="1" ht="15" customHeight="1" s="94">
      <c r="A4538" s="123">
        <f>IF(B4538="","",ROW()-15)</f>
        <v/>
      </c>
      <c r="B4538" s="124" t="n"/>
      <c r="C4538" s="123" t="n"/>
      <c r="D4538" s="123" t="n"/>
      <c r="E4538" s="123" t="n"/>
      <c r="F4538" s="125" t="n"/>
      <c r="G4538" s="123" t="n"/>
      <c r="H4538" s="123" t="n"/>
      <c r="I4538" s="123" t="n"/>
      <c r="J4538" s="123" t="n"/>
      <c r="K4538" s="123" t="n"/>
      <c r="L4538" s="123" t="n"/>
      <c r="M4538" s="123">
        <f>IF(AND(B4538&lt;&gt;"",OR($C$4="",ISNUMBER(SEARCH($C$4,C4538&amp;" "&amp;E4538&amp;" "&amp;G4538&amp;" "&amp;H4538&amp;" "&amp;I4538&amp;" "&amp;J4538&amp;" "&amp;K4538&amp;" "&amp;L4538))),OR($C$5="Semua",$C$5="",G4538=$C$5),OR($C$6="Semua",$C$6="",H4538=$C$6,H4538="Pengeluaran "&amp;$C$6,AND($C$6="Uang Kos Mama",H4538="Pengeluaran Uang Kos")),OR($C$7="Semua",$C$7="",I4538=$C$7),OR($C$8="Semua",$C$8="",C4538=$C$8,E4538=$C$8),OR($C$9="Semua",$C$9="",D4538=$C$9),OR($C$10="",B4538&gt;=$C$10),OR($C$11="",B4538&lt;=$C$11),OR($C$12&lt;&gt;"Ya",K4538&lt;&gt;""),OR($C$13="Semua",$C$13="",L4538=$C$13)),"✓","")</f>
        <v/>
      </c>
      <c r="N4538" s="93">
        <f>N(N4537)+IF(M4538="✓",1,0)</f>
        <v/>
      </c>
      <c r="O4538" s="93">
        <f>N(O4537)+IF(AND(B4538&lt;&gt;"",B4538&gt;='Uang Riba'!$H$30,B4538&lt;='Uang Riba'!$I$30,OR(H4538="Dana riba",H4538="Pinjam uang riba",I4538="Pinjam dari uang riba",I4538="Ganti uang riba",I4538="Kelebihan ganti dikembalikan",AND(C4538="Kantong Uang Riba",G4538="Pengeluaran"))),1,0)</f>
        <v/>
      </c>
      <c r="X4538" s="93">
        <f>IF(AND(B4538&lt;&gt;"",B4538&gt;='Buku Akun'!$H$4,B4538&lt;='Buku Akun'!$H$5,OR(C4538='Buku Akun'!$C$4,AND(D4538="Pindah",E4538='Buku Akun'!$C$4))),B4538+IF(AND(I4538="Selisih bunga",DAY(B4538)=1),0,0.01)+ROW()/10000000,"")</f>
        <v/>
      </c>
    </row>
    <row r="4539" outlineLevel="1" ht="15" customHeight="1" s="94">
      <c r="A4539" s="123">
        <f>IF(B4539="","",ROW()-15)</f>
        <v/>
      </c>
      <c r="B4539" s="124" t="n"/>
      <c r="C4539" s="123" t="n"/>
      <c r="D4539" s="123" t="n"/>
      <c r="E4539" s="123" t="n"/>
      <c r="F4539" s="125" t="n"/>
      <c r="G4539" s="123" t="n"/>
      <c r="H4539" s="123" t="n"/>
      <c r="I4539" s="123" t="n"/>
      <c r="J4539" s="123" t="n"/>
      <c r="K4539" s="123" t="n"/>
      <c r="L4539" s="123" t="n"/>
      <c r="M4539" s="123">
        <f>IF(AND(B4539&lt;&gt;"",OR($C$4="",ISNUMBER(SEARCH($C$4,C4539&amp;" "&amp;E4539&amp;" "&amp;G4539&amp;" "&amp;H4539&amp;" "&amp;I4539&amp;" "&amp;J4539&amp;" "&amp;K4539&amp;" "&amp;L4539))),OR($C$5="Semua",$C$5="",G4539=$C$5),OR($C$6="Semua",$C$6="",H4539=$C$6,H4539="Pengeluaran "&amp;$C$6,AND($C$6="Uang Kos Mama",H4539="Pengeluaran Uang Kos")),OR($C$7="Semua",$C$7="",I4539=$C$7),OR($C$8="Semua",$C$8="",C4539=$C$8,E4539=$C$8),OR($C$9="Semua",$C$9="",D4539=$C$9),OR($C$10="",B4539&gt;=$C$10),OR($C$11="",B4539&lt;=$C$11),OR($C$12&lt;&gt;"Ya",K4539&lt;&gt;""),OR($C$13="Semua",$C$13="",L4539=$C$13)),"✓","")</f>
        <v/>
      </c>
      <c r="N4539" s="93">
        <f>N(N4538)+IF(M4539="✓",1,0)</f>
        <v/>
      </c>
      <c r="O4539" s="93">
        <f>N(O4538)+IF(AND(B4539&lt;&gt;"",B4539&gt;='Uang Riba'!$H$30,B4539&lt;='Uang Riba'!$I$30,OR(H4539="Dana riba",H4539="Pinjam uang riba",I4539="Pinjam dari uang riba",I4539="Ganti uang riba",I4539="Kelebihan ganti dikembalikan",AND(C4539="Kantong Uang Riba",G4539="Pengeluaran"))),1,0)</f>
        <v/>
      </c>
      <c r="X4539" s="93">
        <f>IF(AND(B4539&lt;&gt;"",B4539&gt;='Buku Akun'!$H$4,B4539&lt;='Buku Akun'!$H$5,OR(C4539='Buku Akun'!$C$4,AND(D4539="Pindah",E4539='Buku Akun'!$C$4))),B4539+IF(AND(I4539="Selisih bunga",DAY(B4539)=1),0,0.01)+ROW()/10000000,"")</f>
        <v/>
      </c>
    </row>
    <row r="4540" outlineLevel="1" ht="15" customHeight="1" s="94">
      <c r="A4540" s="123">
        <f>IF(B4540="","",ROW()-15)</f>
        <v/>
      </c>
      <c r="B4540" s="124" t="n"/>
      <c r="C4540" s="123" t="n"/>
      <c r="D4540" s="123" t="n"/>
      <c r="E4540" s="123" t="n"/>
      <c r="F4540" s="125" t="n"/>
      <c r="G4540" s="123" t="n"/>
      <c r="H4540" s="123" t="n"/>
      <c r="I4540" s="123" t="n"/>
      <c r="J4540" s="123" t="n"/>
      <c r="K4540" s="123" t="n"/>
      <c r="L4540" s="123" t="n"/>
      <c r="M4540" s="123">
        <f>IF(AND(B4540&lt;&gt;"",OR($C$4="",ISNUMBER(SEARCH($C$4,C4540&amp;" "&amp;E4540&amp;" "&amp;G4540&amp;" "&amp;H4540&amp;" "&amp;I4540&amp;" "&amp;J4540&amp;" "&amp;K4540&amp;" "&amp;L4540))),OR($C$5="Semua",$C$5="",G4540=$C$5),OR($C$6="Semua",$C$6="",H4540=$C$6,H4540="Pengeluaran "&amp;$C$6,AND($C$6="Uang Kos Mama",H4540="Pengeluaran Uang Kos")),OR($C$7="Semua",$C$7="",I4540=$C$7),OR($C$8="Semua",$C$8="",C4540=$C$8,E4540=$C$8),OR($C$9="Semua",$C$9="",D4540=$C$9),OR($C$10="",B4540&gt;=$C$10),OR($C$11="",B4540&lt;=$C$11),OR($C$12&lt;&gt;"Ya",K4540&lt;&gt;""),OR($C$13="Semua",$C$13="",L4540=$C$13)),"✓","")</f>
        <v/>
      </c>
      <c r="N4540" s="93">
        <f>N(N4539)+IF(M4540="✓",1,0)</f>
        <v/>
      </c>
      <c r="O4540" s="93">
        <f>N(O4539)+IF(AND(B4540&lt;&gt;"",B4540&gt;='Uang Riba'!$H$30,B4540&lt;='Uang Riba'!$I$30,OR(H4540="Dana riba",H4540="Pinjam uang riba",I4540="Pinjam dari uang riba",I4540="Ganti uang riba",I4540="Kelebihan ganti dikembalikan",AND(C4540="Kantong Uang Riba",G4540="Pengeluaran"))),1,0)</f>
        <v/>
      </c>
      <c r="X4540" s="93">
        <f>IF(AND(B4540&lt;&gt;"",B4540&gt;='Buku Akun'!$H$4,B4540&lt;='Buku Akun'!$H$5,OR(C4540='Buku Akun'!$C$4,AND(D4540="Pindah",E4540='Buku Akun'!$C$4))),B4540+IF(AND(I4540="Selisih bunga",DAY(B4540)=1),0,0.01)+ROW()/10000000,"")</f>
        <v/>
      </c>
    </row>
    <row r="4541" outlineLevel="1" ht="15" customHeight="1" s="94">
      <c r="A4541" s="123">
        <f>IF(B4541="","",ROW()-15)</f>
        <v/>
      </c>
      <c r="B4541" s="124" t="n"/>
      <c r="C4541" s="123" t="n"/>
      <c r="D4541" s="123" t="n"/>
      <c r="E4541" s="123" t="n"/>
      <c r="F4541" s="125" t="n"/>
      <c r="G4541" s="123" t="n"/>
      <c r="H4541" s="123" t="n"/>
      <c r="I4541" s="123" t="n"/>
      <c r="J4541" s="123" t="n"/>
      <c r="K4541" s="123" t="n"/>
      <c r="L4541" s="123" t="n"/>
      <c r="M4541" s="123">
        <f>IF(AND(B4541&lt;&gt;"",OR($C$4="",ISNUMBER(SEARCH($C$4,C4541&amp;" "&amp;E4541&amp;" "&amp;G4541&amp;" "&amp;H4541&amp;" "&amp;I4541&amp;" "&amp;J4541&amp;" "&amp;K4541&amp;" "&amp;L4541))),OR($C$5="Semua",$C$5="",G4541=$C$5),OR($C$6="Semua",$C$6="",H4541=$C$6,H4541="Pengeluaran "&amp;$C$6,AND($C$6="Uang Kos Mama",H4541="Pengeluaran Uang Kos")),OR($C$7="Semua",$C$7="",I4541=$C$7),OR($C$8="Semua",$C$8="",C4541=$C$8,E4541=$C$8),OR($C$9="Semua",$C$9="",D4541=$C$9),OR($C$10="",B4541&gt;=$C$10),OR($C$11="",B4541&lt;=$C$11),OR($C$12&lt;&gt;"Ya",K4541&lt;&gt;""),OR($C$13="Semua",$C$13="",L4541=$C$13)),"✓","")</f>
        <v/>
      </c>
      <c r="N4541" s="93">
        <f>N(N4540)+IF(M4541="✓",1,0)</f>
        <v/>
      </c>
      <c r="O4541" s="93">
        <f>N(O4540)+IF(AND(B4541&lt;&gt;"",B4541&gt;='Uang Riba'!$H$30,B4541&lt;='Uang Riba'!$I$30,OR(H4541="Dana riba",H4541="Pinjam uang riba",I4541="Pinjam dari uang riba",I4541="Ganti uang riba",I4541="Kelebihan ganti dikembalikan",AND(C4541="Kantong Uang Riba",G4541="Pengeluaran"))),1,0)</f>
        <v/>
      </c>
      <c r="X4541" s="93">
        <f>IF(AND(B4541&lt;&gt;"",B4541&gt;='Buku Akun'!$H$4,B4541&lt;='Buku Akun'!$H$5,OR(C4541='Buku Akun'!$C$4,AND(D4541="Pindah",E4541='Buku Akun'!$C$4))),B4541+IF(AND(I4541="Selisih bunga",DAY(B4541)=1),0,0.01)+ROW()/10000000,"")</f>
        <v/>
      </c>
    </row>
    <row r="4542" outlineLevel="1" ht="15" customHeight="1" s="94">
      <c r="A4542" s="123">
        <f>IF(B4542="","",ROW()-15)</f>
        <v/>
      </c>
      <c r="B4542" s="124" t="n"/>
      <c r="C4542" s="123" t="n"/>
      <c r="D4542" s="123" t="n"/>
      <c r="E4542" s="123" t="n"/>
      <c r="F4542" s="125" t="n"/>
      <c r="G4542" s="123" t="n"/>
      <c r="H4542" s="123" t="n"/>
      <c r="I4542" s="123" t="n"/>
      <c r="J4542" s="123" t="n"/>
      <c r="K4542" s="123" t="n"/>
      <c r="L4542" s="123" t="n"/>
      <c r="M4542" s="123">
        <f>IF(AND(B4542&lt;&gt;"",OR($C$4="",ISNUMBER(SEARCH($C$4,C4542&amp;" "&amp;E4542&amp;" "&amp;G4542&amp;" "&amp;H4542&amp;" "&amp;I4542&amp;" "&amp;J4542&amp;" "&amp;K4542&amp;" "&amp;L4542))),OR($C$5="Semua",$C$5="",G4542=$C$5),OR($C$6="Semua",$C$6="",H4542=$C$6,H4542="Pengeluaran "&amp;$C$6,AND($C$6="Uang Kos Mama",H4542="Pengeluaran Uang Kos")),OR($C$7="Semua",$C$7="",I4542=$C$7),OR($C$8="Semua",$C$8="",C4542=$C$8,E4542=$C$8),OR($C$9="Semua",$C$9="",D4542=$C$9),OR($C$10="",B4542&gt;=$C$10),OR($C$11="",B4542&lt;=$C$11),OR($C$12&lt;&gt;"Ya",K4542&lt;&gt;""),OR($C$13="Semua",$C$13="",L4542=$C$13)),"✓","")</f>
        <v/>
      </c>
      <c r="N4542" s="93">
        <f>N(N4541)+IF(M4542="✓",1,0)</f>
        <v/>
      </c>
      <c r="O4542" s="93">
        <f>N(O4541)+IF(AND(B4542&lt;&gt;"",B4542&gt;='Uang Riba'!$H$30,B4542&lt;='Uang Riba'!$I$30,OR(H4542="Dana riba",H4542="Pinjam uang riba",I4542="Pinjam dari uang riba",I4542="Ganti uang riba",I4542="Kelebihan ganti dikembalikan",AND(C4542="Kantong Uang Riba",G4542="Pengeluaran"))),1,0)</f>
        <v/>
      </c>
      <c r="X4542" s="93">
        <f>IF(AND(B4542&lt;&gt;"",B4542&gt;='Buku Akun'!$H$4,B4542&lt;='Buku Akun'!$H$5,OR(C4542='Buku Akun'!$C$4,AND(D4542="Pindah",E4542='Buku Akun'!$C$4))),B4542+IF(AND(I4542="Selisih bunga",DAY(B4542)=1),0,0.01)+ROW()/10000000,"")</f>
        <v/>
      </c>
    </row>
    <row r="4543" outlineLevel="1" ht="15" customHeight="1" s="94">
      <c r="A4543" s="123">
        <f>IF(B4543="","",ROW()-15)</f>
        <v/>
      </c>
      <c r="B4543" s="124" t="n"/>
      <c r="C4543" s="123" t="n"/>
      <c r="D4543" s="123" t="n"/>
      <c r="E4543" s="123" t="n"/>
      <c r="F4543" s="125" t="n"/>
      <c r="G4543" s="123" t="n"/>
      <c r="H4543" s="123" t="n"/>
      <c r="I4543" s="123" t="n"/>
      <c r="J4543" s="123" t="n"/>
      <c r="K4543" s="123" t="n"/>
      <c r="L4543" s="123" t="n"/>
      <c r="M4543" s="123">
        <f>IF(AND(B4543&lt;&gt;"",OR($C$4="",ISNUMBER(SEARCH($C$4,C4543&amp;" "&amp;E4543&amp;" "&amp;G4543&amp;" "&amp;H4543&amp;" "&amp;I4543&amp;" "&amp;J4543&amp;" "&amp;K4543&amp;" "&amp;L4543))),OR($C$5="Semua",$C$5="",G4543=$C$5),OR($C$6="Semua",$C$6="",H4543=$C$6,H4543="Pengeluaran "&amp;$C$6,AND($C$6="Uang Kos Mama",H4543="Pengeluaran Uang Kos")),OR($C$7="Semua",$C$7="",I4543=$C$7),OR($C$8="Semua",$C$8="",C4543=$C$8,E4543=$C$8),OR($C$9="Semua",$C$9="",D4543=$C$9),OR($C$10="",B4543&gt;=$C$10),OR($C$11="",B4543&lt;=$C$11),OR($C$12&lt;&gt;"Ya",K4543&lt;&gt;""),OR($C$13="Semua",$C$13="",L4543=$C$13)),"✓","")</f>
        <v/>
      </c>
      <c r="N4543" s="93">
        <f>N(N4542)+IF(M4543="✓",1,0)</f>
        <v/>
      </c>
      <c r="O4543" s="93">
        <f>N(O4542)+IF(AND(B4543&lt;&gt;"",B4543&gt;='Uang Riba'!$H$30,B4543&lt;='Uang Riba'!$I$30,OR(H4543="Dana riba",H4543="Pinjam uang riba",I4543="Pinjam dari uang riba",I4543="Ganti uang riba",I4543="Kelebihan ganti dikembalikan",AND(C4543="Kantong Uang Riba",G4543="Pengeluaran"))),1,0)</f>
        <v/>
      </c>
      <c r="X4543" s="93">
        <f>IF(AND(B4543&lt;&gt;"",B4543&gt;='Buku Akun'!$H$4,B4543&lt;='Buku Akun'!$H$5,OR(C4543='Buku Akun'!$C$4,AND(D4543="Pindah",E4543='Buku Akun'!$C$4))),B4543+IF(AND(I4543="Selisih bunga",DAY(B4543)=1),0,0.01)+ROW()/10000000,"")</f>
        <v/>
      </c>
    </row>
    <row r="4544" outlineLevel="1" ht="15" customHeight="1" s="94">
      <c r="A4544" s="123">
        <f>IF(B4544="","",ROW()-15)</f>
        <v/>
      </c>
      <c r="B4544" s="124" t="n"/>
      <c r="C4544" s="123" t="n"/>
      <c r="D4544" s="123" t="n"/>
      <c r="E4544" s="123" t="n"/>
      <c r="F4544" s="125" t="n"/>
      <c r="G4544" s="123" t="n"/>
      <c r="H4544" s="123" t="n"/>
      <c r="I4544" s="123" t="n"/>
      <c r="J4544" s="123" t="n"/>
      <c r="K4544" s="123" t="n"/>
      <c r="L4544" s="123" t="n"/>
      <c r="M4544" s="123">
        <f>IF(AND(B4544&lt;&gt;"",OR($C$4="",ISNUMBER(SEARCH($C$4,C4544&amp;" "&amp;E4544&amp;" "&amp;G4544&amp;" "&amp;H4544&amp;" "&amp;I4544&amp;" "&amp;J4544&amp;" "&amp;K4544&amp;" "&amp;L4544))),OR($C$5="Semua",$C$5="",G4544=$C$5),OR($C$6="Semua",$C$6="",H4544=$C$6,H4544="Pengeluaran "&amp;$C$6,AND($C$6="Uang Kos Mama",H4544="Pengeluaran Uang Kos")),OR($C$7="Semua",$C$7="",I4544=$C$7),OR($C$8="Semua",$C$8="",C4544=$C$8,E4544=$C$8),OR($C$9="Semua",$C$9="",D4544=$C$9),OR($C$10="",B4544&gt;=$C$10),OR($C$11="",B4544&lt;=$C$11),OR($C$12&lt;&gt;"Ya",K4544&lt;&gt;""),OR($C$13="Semua",$C$13="",L4544=$C$13)),"✓","")</f>
        <v/>
      </c>
      <c r="N4544" s="93">
        <f>N(N4543)+IF(M4544="✓",1,0)</f>
        <v/>
      </c>
      <c r="O4544" s="93">
        <f>N(O4543)+IF(AND(B4544&lt;&gt;"",B4544&gt;='Uang Riba'!$H$30,B4544&lt;='Uang Riba'!$I$30,OR(H4544="Dana riba",H4544="Pinjam uang riba",I4544="Pinjam dari uang riba",I4544="Ganti uang riba",I4544="Kelebihan ganti dikembalikan",AND(C4544="Kantong Uang Riba",G4544="Pengeluaran"))),1,0)</f>
        <v/>
      </c>
      <c r="X4544" s="93">
        <f>IF(AND(B4544&lt;&gt;"",B4544&gt;='Buku Akun'!$H$4,B4544&lt;='Buku Akun'!$H$5,OR(C4544='Buku Akun'!$C$4,AND(D4544="Pindah",E4544='Buku Akun'!$C$4))),B4544+IF(AND(I4544="Selisih bunga",DAY(B4544)=1),0,0.01)+ROW()/10000000,"")</f>
        <v/>
      </c>
    </row>
    <row r="4545" outlineLevel="1" ht="15" customHeight="1" s="94">
      <c r="A4545" s="123">
        <f>IF(B4545="","",ROW()-15)</f>
        <v/>
      </c>
      <c r="B4545" s="124" t="n"/>
      <c r="C4545" s="123" t="n"/>
      <c r="D4545" s="123" t="n"/>
      <c r="E4545" s="123" t="n"/>
      <c r="F4545" s="125" t="n"/>
      <c r="G4545" s="123" t="n"/>
      <c r="H4545" s="123" t="n"/>
      <c r="I4545" s="123" t="n"/>
      <c r="J4545" s="123" t="n"/>
      <c r="K4545" s="123" t="n"/>
      <c r="L4545" s="123" t="n"/>
      <c r="M4545" s="123">
        <f>IF(AND(B4545&lt;&gt;"",OR($C$4="",ISNUMBER(SEARCH($C$4,C4545&amp;" "&amp;E4545&amp;" "&amp;G4545&amp;" "&amp;H4545&amp;" "&amp;I4545&amp;" "&amp;J4545&amp;" "&amp;K4545&amp;" "&amp;L4545))),OR($C$5="Semua",$C$5="",G4545=$C$5),OR($C$6="Semua",$C$6="",H4545=$C$6,H4545="Pengeluaran "&amp;$C$6,AND($C$6="Uang Kos Mama",H4545="Pengeluaran Uang Kos")),OR($C$7="Semua",$C$7="",I4545=$C$7),OR($C$8="Semua",$C$8="",C4545=$C$8,E4545=$C$8),OR($C$9="Semua",$C$9="",D4545=$C$9),OR($C$10="",B4545&gt;=$C$10),OR($C$11="",B4545&lt;=$C$11),OR($C$12&lt;&gt;"Ya",K4545&lt;&gt;""),OR($C$13="Semua",$C$13="",L4545=$C$13)),"✓","")</f>
        <v/>
      </c>
      <c r="N4545" s="93">
        <f>N(N4544)+IF(M4545="✓",1,0)</f>
        <v/>
      </c>
      <c r="O4545" s="93">
        <f>N(O4544)+IF(AND(B4545&lt;&gt;"",B4545&gt;='Uang Riba'!$H$30,B4545&lt;='Uang Riba'!$I$30,OR(H4545="Dana riba",H4545="Pinjam uang riba",I4545="Pinjam dari uang riba",I4545="Ganti uang riba",I4545="Kelebihan ganti dikembalikan",AND(C4545="Kantong Uang Riba",G4545="Pengeluaran"))),1,0)</f>
        <v/>
      </c>
      <c r="X4545" s="93">
        <f>IF(AND(B4545&lt;&gt;"",B4545&gt;='Buku Akun'!$H$4,B4545&lt;='Buku Akun'!$H$5,OR(C4545='Buku Akun'!$C$4,AND(D4545="Pindah",E4545='Buku Akun'!$C$4))),B4545+IF(AND(I4545="Selisih bunga",DAY(B4545)=1),0,0.01)+ROW()/10000000,"")</f>
        <v/>
      </c>
    </row>
    <row r="4546" outlineLevel="1" ht="15" customHeight="1" s="94">
      <c r="A4546" s="123">
        <f>IF(B4546="","",ROW()-15)</f>
        <v/>
      </c>
      <c r="B4546" s="124" t="n"/>
      <c r="C4546" s="123" t="n"/>
      <c r="D4546" s="123" t="n"/>
      <c r="E4546" s="123" t="n"/>
      <c r="F4546" s="125" t="n"/>
      <c r="G4546" s="123" t="n"/>
      <c r="H4546" s="123" t="n"/>
      <c r="I4546" s="123" t="n"/>
      <c r="J4546" s="123" t="n"/>
      <c r="K4546" s="123" t="n"/>
      <c r="L4546" s="123" t="n"/>
      <c r="M4546" s="123">
        <f>IF(AND(B4546&lt;&gt;"",OR($C$4="",ISNUMBER(SEARCH($C$4,C4546&amp;" "&amp;E4546&amp;" "&amp;G4546&amp;" "&amp;H4546&amp;" "&amp;I4546&amp;" "&amp;J4546&amp;" "&amp;K4546&amp;" "&amp;L4546))),OR($C$5="Semua",$C$5="",G4546=$C$5),OR($C$6="Semua",$C$6="",H4546=$C$6,H4546="Pengeluaran "&amp;$C$6,AND($C$6="Uang Kos Mama",H4546="Pengeluaran Uang Kos")),OR($C$7="Semua",$C$7="",I4546=$C$7),OR($C$8="Semua",$C$8="",C4546=$C$8,E4546=$C$8),OR($C$9="Semua",$C$9="",D4546=$C$9),OR($C$10="",B4546&gt;=$C$10),OR($C$11="",B4546&lt;=$C$11),OR($C$12&lt;&gt;"Ya",K4546&lt;&gt;""),OR($C$13="Semua",$C$13="",L4546=$C$13)),"✓","")</f>
        <v/>
      </c>
      <c r="N4546" s="93">
        <f>N(N4545)+IF(M4546="✓",1,0)</f>
        <v/>
      </c>
      <c r="O4546" s="93">
        <f>N(O4545)+IF(AND(B4546&lt;&gt;"",B4546&gt;='Uang Riba'!$H$30,B4546&lt;='Uang Riba'!$I$30,OR(H4546="Dana riba",H4546="Pinjam uang riba",I4546="Pinjam dari uang riba",I4546="Ganti uang riba",I4546="Kelebihan ganti dikembalikan",AND(C4546="Kantong Uang Riba",G4546="Pengeluaran"))),1,0)</f>
        <v/>
      </c>
      <c r="X4546" s="93">
        <f>IF(AND(B4546&lt;&gt;"",B4546&gt;='Buku Akun'!$H$4,B4546&lt;='Buku Akun'!$H$5,OR(C4546='Buku Akun'!$C$4,AND(D4546="Pindah",E4546='Buku Akun'!$C$4))),B4546+IF(AND(I4546="Selisih bunga",DAY(B4546)=1),0,0.01)+ROW()/10000000,"")</f>
        <v/>
      </c>
    </row>
    <row r="4547" outlineLevel="1" ht="15" customHeight="1" s="94">
      <c r="A4547" s="123">
        <f>IF(B4547="","",ROW()-15)</f>
        <v/>
      </c>
      <c r="B4547" s="124" t="n"/>
      <c r="C4547" s="123" t="n"/>
      <c r="D4547" s="123" t="n"/>
      <c r="E4547" s="123" t="n"/>
      <c r="F4547" s="125" t="n"/>
      <c r="G4547" s="123" t="n"/>
      <c r="H4547" s="123" t="n"/>
      <c r="I4547" s="123" t="n"/>
      <c r="J4547" s="123" t="n"/>
      <c r="K4547" s="123" t="n"/>
      <c r="L4547" s="123" t="n"/>
      <c r="M4547" s="123">
        <f>IF(AND(B4547&lt;&gt;"",OR($C$4="",ISNUMBER(SEARCH($C$4,C4547&amp;" "&amp;E4547&amp;" "&amp;G4547&amp;" "&amp;H4547&amp;" "&amp;I4547&amp;" "&amp;J4547&amp;" "&amp;K4547&amp;" "&amp;L4547))),OR($C$5="Semua",$C$5="",G4547=$C$5),OR($C$6="Semua",$C$6="",H4547=$C$6,H4547="Pengeluaran "&amp;$C$6,AND($C$6="Uang Kos Mama",H4547="Pengeluaran Uang Kos")),OR($C$7="Semua",$C$7="",I4547=$C$7),OR($C$8="Semua",$C$8="",C4547=$C$8,E4547=$C$8),OR($C$9="Semua",$C$9="",D4547=$C$9),OR($C$10="",B4547&gt;=$C$10),OR($C$11="",B4547&lt;=$C$11),OR($C$12&lt;&gt;"Ya",K4547&lt;&gt;""),OR($C$13="Semua",$C$13="",L4547=$C$13)),"✓","")</f>
        <v/>
      </c>
      <c r="N4547" s="93">
        <f>N(N4546)+IF(M4547="✓",1,0)</f>
        <v/>
      </c>
      <c r="O4547" s="93">
        <f>N(O4546)+IF(AND(B4547&lt;&gt;"",B4547&gt;='Uang Riba'!$H$30,B4547&lt;='Uang Riba'!$I$30,OR(H4547="Dana riba",H4547="Pinjam uang riba",I4547="Pinjam dari uang riba",I4547="Ganti uang riba",I4547="Kelebihan ganti dikembalikan",AND(C4547="Kantong Uang Riba",G4547="Pengeluaran"))),1,0)</f>
        <v/>
      </c>
      <c r="X4547" s="93">
        <f>IF(AND(B4547&lt;&gt;"",B4547&gt;='Buku Akun'!$H$4,B4547&lt;='Buku Akun'!$H$5,OR(C4547='Buku Akun'!$C$4,AND(D4547="Pindah",E4547='Buku Akun'!$C$4))),B4547+IF(AND(I4547="Selisih bunga",DAY(B4547)=1),0,0.01)+ROW()/10000000,"")</f>
        <v/>
      </c>
    </row>
    <row r="4548" outlineLevel="1" ht="15" customHeight="1" s="94">
      <c r="A4548" s="123">
        <f>IF(B4548="","",ROW()-15)</f>
        <v/>
      </c>
      <c r="B4548" s="124" t="n"/>
      <c r="C4548" s="123" t="n"/>
      <c r="D4548" s="123" t="n"/>
      <c r="E4548" s="123" t="n"/>
      <c r="F4548" s="125" t="n"/>
      <c r="G4548" s="123" t="n"/>
      <c r="H4548" s="123" t="n"/>
      <c r="I4548" s="123" t="n"/>
      <c r="J4548" s="123" t="n"/>
      <c r="K4548" s="123" t="n"/>
      <c r="L4548" s="123" t="n"/>
      <c r="M4548" s="123">
        <f>IF(AND(B4548&lt;&gt;"",OR($C$4="",ISNUMBER(SEARCH($C$4,C4548&amp;" "&amp;E4548&amp;" "&amp;G4548&amp;" "&amp;H4548&amp;" "&amp;I4548&amp;" "&amp;J4548&amp;" "&amp;K4548&amp;" "&amp;L4548))),OR($C$5="Semua",$C$5="",G4548=$C$5),OR($C$6="Semua",$C$6="",H4548=$C$6,H4548="Pengeluaran "&amp;$C$6,AND($C$6="Uang Kos Mama",H4548="Pengeluaran Uang Kos")),OR($C$7="Semua",$C$7="",I4548=$C$7),OR($C$8="Semua",$C$8="",C4548=$C$8,E4548=$C$8),OR($C$9="Semua",$C$9="",D4548=$C$9),OR($C$10="",B4548&gt;=$C$10),OR($C$11="",B4548&lt;=$C$11),OR($C$12&lt;&gt;"Ya",K4548&lt;&gt;""),OR($C$13="Semua",$C$13="",L4548=$C$13)),"✓","")</f>
        <v/>
      </c>
      <c r="N4548" s="93">
        <f>N(N4547)+IF(M4548="✓",1,0)</f>
        <v/>
      </c>
      <c r="O4548" s="93">
        <f>N(O4547)+IF(AND(B4548&lt;&gt;"",B4548&gt;='Uang Riba'!$H$30,B4548&lt;='Uang Riba'!$I$30,OR(H4548="Dana riba",H4548="Pinjam uang riba",I4548="Pinjam dari uang riba",I4548="Ganti uang riba",I4548="Kelebihan ganti dikembalikan",AND(C4548="Kantong Uang Riba",G4548="Pengeluaran"))),1,0)</f>
        <v/>
      </c>
      <c r="X4548" s="93">
        <f>IF(AND(B4548&lt;&gt;"",B4548&gt;='Buku Akun'!$H$4,B4548&lt;='Buku Akun'!$H$5,OR(C4548='Buku Akun'!$C$4,AND(D4548="Pindah",E4548='Buku Akun'!$C$4))),B4548+IF(AND(I4548="Selisih bunga",DAY(B4548)=1),0,0.01)+ROW()/10000000,"")</f>
        <v/>
      </c>
    </row>
    <row r="4549" outlineLevel="1" ht="15" customHeight="1" s="94">
      <c r="A4549" s="123">
        <f>IF(B4549="","",ROW()-15)</f>
        <v/>
      </c>
      <c r="B4549" s="124" t="n"/>
      <c r="C4549" s="123" t="n"/>
      <c r="D4549" s="123" t="n"/>
      <c r="E4549" s="123" t="n"/>
      <c r="F4549" s="125" t="n"/>
      <c r="G4549" s="123" t="n"/>
      <c r="H4549" s="123" t="n"/>
      <c r="I4549" s="123" t="n"/>
      <c r="J4549" s="123" t="n"/>
      <c r="K4549" s="123" t="n"/>
      <c r="L4549" s="123" t="n"/>
      <c r="M4549" s="123">
        <f>IF(AND(B4549&lt;&gt;"",OR($C$4="",ISNUMBER(SEARCH($C$4,C4549&amp;" "&amp;E4549&amp;" "&amp;G4549&amp;" "&amp;H4549&amp;" "&amp;I4549&amp;" "&amp;J4549&amp;" "&amp;K4549&amp;" "&amp;L4549))),OR($C$5="Semua",$C$5="",G4549=$C$5),OR($C$6="Semua",$C$6="",H4549=$C$6,H4549="Pengeluaran "&amp;$C$6,AND($C$6="Uang Kos Mama",H4549="Pengeluaran Uang Kos")),OR($C$7="Semua",$C$7="",I4549=$C$7),OR($C$8="Semua",$C$8="",C4549=$C$8,E4549=$C$8),OR($C$9="Semua",$C$9="",D4549=$C$9),OR($C$10="",B4549&gt;=$C$10),OR($C$11="",B4549&lt;=$C$11),OR($C$12&lt;&gt;"Ya",K4549&lt;&gt;""),OR($C$13="Semua",$C$13="",L4549=$C$13)),"✓","")</f>
        <v/>
      </c>
      <c r="N4549" s="93">
        <f>N(N4548)+IF(M4549="✓",1,0)</f>
        <v/>
      </c>
      <c r="O4549" s="93">
        <f>N(O4548)+IF(AND(B4549&lt;&gt;"",B4549&gt;='Uang Riba'!$H$30,B4549&lt;='Uang Riba'!$I$30,OR(H4549="Dana riba",H4549="Pinjam uang riba",I4549="Pinjam dari uang riba",I4549="Ganti uang riba",I4549="Kelebihan ganti dikembalikan",AND(C4549="Kantong Uang Riba",G4549="Pengeluaran"))),1,0)</f>
        <v/>
      </c>
      <c r="X4549" s="93">
        <f>IF(AND(B4549&lt;&gt;"",B4549&gt;='Buku Akun'!$H$4,B4549&lt;='Buku Akun'!$H$5,OR(C4549='Buku Akun'!$C$4,AND(D4549="Pindah",E4549='Buku Akun'!$C$4))),B4549+IF(AND(I4549="Selisih bunga",DAY(B4549)=1),0,0.01)+ROW()/10000000,"")</f>
        <v/>
      </c>
    </row>
    <row r="4550" outlineLevel="1" ht="15" customHeight="1" s="94">
      <c r="A4550" s="123">
        <f>IF(B4550="","",ROW()-15)</f>
        <v/>
      </c>
      <c r="B4550" s="124" t="n"/>
      <c r="C4550" s="123" t="n"/>
      <c r="D4550" s="123" t="n"/>
      <c r="E4550" s="123" t="n"/>
      <c r="F4550" s="125" t="n"/>
      <c r="G4550" s="123" t="n"/>
      <c r="H4550" s="123" t="n"/>
      <c r="I4550" s="123" t="n"/>
      <c r="J4550" s="123" t="n"/>
      <c r="K4550" s="123" t="n"/>
      <c r="L4550" s="123" t="n"/>
      <c r="M4550" s="123">
        <f>IF(AND(B4550&lt;&gt;"",OR($C$4="",ISNUMBER(SEARCH($C$4,C4550&amp;" "&amp;E4550&amp;" "&amp;G4550&amp;" "&amp;H4550&amp;" "&amp;I4550&amp;" "&amp;J4550&amp;" "&amp;K4550&amp;" "&amp;L4550))),OR($C$5="Semua",$C$5="",G4550=$C$5),OR($C$6="Semua",$C$6="",H4550=$C$6,H4550="Pengeluaran "&amp;$C$6,AND($C$6="Uang Kos Mama",H4550="Pengeluaran Uang Kos")),OR($C$7="Semua",$C$7="",I4550=$C$7),OR($C$8="Semua",$C$8="",C4550=$C$8,E4550=$C$8),OR($C$9="Semua",$C$9="",D4550=$C$9),OR($C$10="",B4550&gt;=$C$10),OR($C$11="",B4550&lt;=$C$11),OR($C$12&lt;&gt;"Ya",K4550&lt;&gt;""),OR($C$13="Semua",$C$13="",L4550=$C$13)),"✓","")</f>
        <v/>
      </c>
      <c r="N4550" s="93">
        <f>N(N4549)+IF(M4550="✓",1,0)</f>
        <v/>
      </c>
      <c r="O4550" s="93">
        <f>N(O4549)+IF(AND(B4550&lt;&gt;"",B4550&gt;='Uang Riba'!$H$30,B4550&lt;='Uang Riba'!$I$30,OR(H4550="Dana riba",H4550="Pinjam uang riba",I4550="Pinjam dari uang riba",I4550="Ganti uang riba",I4550="Kelebihan ganti dikembalikan",AND(C4550="Kantong Uang Riba",G4550="Pengeluaran"))),1,0)</f>
        <v/>
      </c>
      <c r="X4550" s="93">
        <f>IF(AND(B4550&lt;&gt;"",B4550&gt;='Buku Akun'!$H$4,B4550&lt;='Buku Akun'!$H$5,OR(C4550='Buku Akun'!$C$4,AND(D4550="Pindah",E4550='Buku Akun'!$C$4))),B4550+IF(AND(I4550="Selisih bunga",DAY(B4550)=1),0,0.01)+ROW()/10000000,"")</f>
        <v/>
      </c>
    </row>
    <row r="4551" outlineLevel="1" ht="15" customHeight="1" s="94">
      <c r="A4551" s="123">
        <f>IF(B4551="","",ROW()-15)</f>
        <v/>
      </c>
      <c r="B4551" s="124" t="n"/>
      <c r="C4551" s="123" t="n"/>
      <c r="D4551" s="123" t="n"/>
      <c r="E4551" s="123" t="n"/>
      <c r="F4551" s="125" t="n"/>
      <c r="G4551" s="123" t="n"/>
      <c r="H4551" s="123" t="n"/>
      <c r="I4551" s="123" t="n"/>
      <c r="J4551" s="123" t="n"/>
      <c r="K4551" s="123" t="n"/>
      <c r="L4551" s="123" t="n"/>
      <c r="M4551" s="123">
        <f>IF(AND(B4551&lt;&gt;"",OR($C$4="",ISNUMBER(SEARCH($C$4,C4551&amp;" "&amp;E4551&amp;" "&amp;G4551&amp;" "&amp;H4551&amp;" "&amp;I4551&amp;" "&amp;J4551&amp;" "&amp;K4551&amp;" "&amp;L4551))),OR($C$5="Semua",$C$5="",G4551=$C$5),OR($C$6="Semua",$C$6="",H4551=$C$6,H4551="Pengeluaran "&amp;$C$6,AND($C$6="Uang Kos Mama",H4551="Pengeluaran Uang Kos")),OR($C$7="Semua",$C$7="",I4551=$C$7),OR($C$8="Semua",$C$8="",C4551=$C$8,E4551=$C$8),OR($C$9="Semua",$C$9="",D4551=$C$9),OR($C$10="",B4551&gt;=$C$10),OR($C$11="",B4551&lt;=$C$11),OR($C$12&lt;&gt;"Ya",K4551&lt;&gt;""),OR($C$13="Semua",$C$13="",L4551=$C$13)),"✓","")</f>
        <v/>
      </c>
      <c r="N4551" s="93">
        <f>N(N4550)+IF(M4551="✓",1,0)</f>
        <v/>
      </c>
      <c r="O4551" s="93">
        <f>N(O4550)+IF(AND(B4551&lt;&gt;"",B4551&gt;='Uang Riba'!$H$30,B4551&lt;='Uang Riba'!$I$30,OR(H4551="Dana riba",H4551="Pinjam uang riba",I4551="Pinjam dari uang riba",I4551="Ganti uang riba",I4551="Kelebihan ganti dikembalikan",AND(C4551="Kantong Uang Riba",G4551="Pengeluaran"))),1,0)</f>
        <v/>
      </c>
      <c r="X4551" s="93">
        <f>IF(AND(B4551&lt;&gt;"",B4551&gt;='Buku Akun'!$H$4,B4551&lt;='Buku Akun'!$H$5,OR(C4551='Buku Akun'!$C$4,AND(D4551="Pindah",E4551='Buku Akun'!$C$4))),B4551+IF(AND(I4551="Selisih bunga",DAY(B4551)=1),0,0.01)+ROW()/10000000,"")</f>
        <v/>
      </c>
    </row>
    <row r="4552" outlineLevel="1" ht="15" customHeight="1" s="94">
      <c r="A4552" s="123">
        <f>IF(B4552="","",ROW()-15)</f>
        <v/>
      </c>
      <c r="B4552" s="124" t="n"/>
      <c r="C4552" s="123" t="n"/>
      <c r="D4552" s="123" t="n"/>
      <c r="E4552" s="123" t="n"/>
      <c r="F4552" s="125" t="n"/>
      <c r="G4552" s="123" t="n"/>
      <c r="H4552" s="123" t="n"/>
      <c r="I4552" s="123" t="n"/>
      <c r="J4552" s="123" t="n"/>
      <c r="K4552" s="123" t="n"/>
      <c r="L4552" s="123" t="n"/>
      <c r="M4552" s="123">
        <f>IF(AND(B4552&lt;&gt;"",OR($C$4="",ISNUMBER(SEARCH($C$4,C4552&amp;" "&amp;E4552&amp;" "&amp;G4552&amp;" "&amp;H4552&amp;" "&amp;I4552&amp;" "&amp;J4552&amp;" "&amp;K4552&amp;" "&amp;L4552))),OR($C$5="Semua",$C$5="",G4552=$C$5),OR($C$6="Semua",$C$6="",H4552=$C$6,H4552="Pengeluaran "&amp;$C$6,AND($C$6="Uang Kos Mama",H4552="Pengeluaran Uang Kos")),OR($C$7="Semua",$C$7="",I4552=$C$7),OR($C$8="Semua",$C$8="",C4552=$C$8,E4552=$C$8),OR($C$9="Semua",$C$9="",D4552=$C$9),OR($C$10="",B4552&gt;=$C$10),OR($C$11="",B4552&lt;=$C$11),OR($C$12&lt;&gt;"Ya",K4552&lt;&gt;""),OR($C$13="Semua",$C$13="",L4552=$C$13)),"✓","")</f>
        <v/>
      </c>
      <c r="N4552" s="93">
        <f>N(N4551)+IF(M4552="✓",1,0)</f>
        <v/>
      </c>
      <c r="O4552" s="93">
        <f>N(O4551)+IF(AND(B4552&lt;&gt;"",B4552&gt;='Uang Riba'!$H$30,B4552&lt;='Uang Riba'!$I$30,OR(H4552="Dana riba",H4552="Pinjam uang riba",I4552="Pinjam dari uang riba",I4552="Ganti uang riba",I4552="Kelebihan ganti dikembalikan",AND(C4552="Kantong Uang Riba",G4552="Pengeluaran"))),1,0)</f>
        <v/>
      </c>
      <c r="X4552" s="93">
        <f>IF(AND(B4552&lt;&gt;"",B4552&gt;='Buku Akun'!$H$4,B4552&lt;='Buku Akun'!$H$5,OR(C4552='Buku Akun'!$C$4,AND(D4552="Pindah",E4552='Buku Akun'!$C$4))),B4552+IF(AND(I4552="Selisih bunga",DAY(B4552)=1),0,0.01)+ROW()/10000000,"")</f>
        <v/>
      </c>
    </row>
    <row r="4553" outlineLevel="1" ht="15" customHeight="1" s="94">
      <c r="A4553" s="123">
        <f>IF(B4553="","",ROW()-15)</f>
        <v/>
      </c>
      <c r="B4553" s="124" t="n"/>
      <c r="C4553" s="123" t="n"/>
      <c r="D4553" s="123" t="n"/>
      <c r="E4553" s="123" t="n"/>
      <c r="F4553" s="125" t="n"/>
      <c r="G4553" s="123" t="n"/>
      <c r="H4553" s="123" t="n"/>
      <c r="I4553" s="123" t="n"/>
      <c r="J4553" s="123" t="n"/>
      <c r="K4553" s="123" t="n"/>
      <c r="L4553" s="123" t="n"/>
      <c r="M4553" s="123">
        <f>IF(AND(B4553&lt;&gt;"",OR($C$4="",ISNUMBER(SEARCH($C$4,C4553&amp;" "&amp;E4553&amp;" "&amp;G4553&amp;" "&amp;H4553&amp;" "&amp;I4553&amp;" "&amp;J4553&amp;" "&amp;K4553&amp;" "&amp;L4553))),OR($C$5="Semua",$C$5="",G4553=$C$5),OR($C$6="Semua",$C$6="",H4553=$C$6,H4553="Pengeluaran "&amp;$C$6,AND($C$6="Uang Kos Mama",H4553="Pengeluaran Uang Kos")),OR($C$7="Semua",$C$7="",I4553=$C$7),OR($C$8="Semua",$C$8="",C4553=$C$8,E4553=$C$8),OR($C$9="Semua",$C$9="",D4553=$C$9),OR($C$10="",B4553&gt;=$C$10),OR($C$11="",B4553&lt;=$C$11),OR($C$12&lt;&gt;"Ya",K4553&lt;&gt;""),OR($C$13="Semua",$C$13="",L4553=$C$13)),"✓","")</f>
        <v/>
      </c>
      <c r="N4553" s="93">
        <f>N(N4552)+IF(M4553="✓",1,0)</f>
        <v/>
      </c>
      <c r="O4553" s="93">
        <f>N(O4552)+IF(AND(B4553&lt;&gt;"",B4553&gt;='Uang Riba'!$H$30,B4553&lt;='Uang Riba'!$I$30,OR(H4553="Dana riba",H4553="Pinjam uang riba",I4553="Pinjam dari uang riba",I4553="Ganti uang riba",I4553="Kelebihan ganti dikembalikan",AND(C4553="Kantong Uang Riba",G4553="Pengeluaran"))),1,0)</f>
        <v/>
      </c>
      <c r="X4553" s="93">
        <f>IF(AND(B4553&lt;&gt;"",B4553&gt;='Buku Akun'!$H$4,B4553&lt;='Buku Akun'!$H$5,OR(C4553='Buku Akun'!$C$4,AND(D4553="Pindah",E4553='Buku Akun'!$C$4))),B4553+IF(AND(I4553="Selisih bunga",DAY(B4553)=1),0,0.01)+ROW()/10000000,"")</f>
        <v/>
      </c>
    </row>
    <row r="4554" outlineLevel="1" ht="15" customHeight="1" s="94">
      <c r="A4554" s="123">
        <f>IF(B4554="","",ROW()-15)</f>
        <v/>
      </c>
      <c r="B4554" s="124" t="n"/>
      <c r="C4554" s="123" t="n"/>
      <c r="D4554" s="123" t="n"/>
      <c r="E4554" s="123" t="n"/>
      <c r="F4554" s="125" t="n"/>
      <c r="G4554" s="123" t="n"/>
      <c r="H4554" s="123" t="n"/>
      <c r="I4554" s="123" t="n"/>
      <c r="J4554" s="123" t="n"/>
      <c r="K4554" s="123" t="n"/>
      <c r="L4554" s="123" t="n"/>
      <c r="M4554" s="123">
        <f>IF(AND(B4554&lt;&gt;"",OR($C$4="",ISNUMBER(SEARCH($C$4,C4554&amp;" "&amp;E4554&amp;" "&amp;G4554&amp;" "&amp;H4554&amp;" "&amp;I4554&amp;" "&amp;J4554&amp;" "&amp;K4554&amp;" "&amp;L4554))),OR($C$5="Semua",$C$5="",G4554=$C$5),OR($C$6="Semua",$C$6="",H4554=$C$6,H4554="Pengeluaran "&amp;$C$6,AND($C$6="Uang Kos Mama",H4554="Pengeluaran Uang Kos")),OR($C$7="Semua",$C$7="",I4554=$C$7),OR($C$8="Semua",$C$8="",C4554=$C$8,E4554=$C$8),OR($C$9="Semua",$C$9="",D4554=$C$9),OR($C$10="",B4554&gt;=$C$10),OR($C$11="",B4554&lt;=$C$11),OR($C$12&lt;&gt;"Ya",K4554&lt;&gt;""),OR($C$13="Semua",$C$13="",L4554=$C$13)),"✓","")</f>
        <v/>
      </c>
      <c r="N4554" s="93">
        <f>N(N4553)+IF(M4554="✓",1,0)</f>
        <v/>
      </c>
      <c r="O4554" s="93">
        <f>N(O4553)+IF(AND(B4554&lt;&gt;"",B4554&gt;='Uang Riba'!$H$30,B4554&lt;='Uang Riba'!$I$30,OR(H4554="Dana riba",H4554="Pinjam uang riba",I4554="Pinjam dari uang riba",I4554="Ganti uang riba",I4554="Kelebihan ganti dikembalikan",AND(C4554="Kantong Uang Riba",G4554="Pengeluaran"))),1,0)</f>
        <v/>
      </c>
      <c r="X4554" s="93">
        <f>IF(AND(B4554&lt;&gt;"",B4554&gt;='Buku Akun'!$H$4,B4554&lt;='Buku Akun'!$H$5,OR(C4554='Buku Akun'!$C$4,AND(D4554="Pindah",E4554='Buku Akun'!$C$4))),B4554+IF(AND(I4554="Selisih bunga",DAY(B4554)=1),0,0.01)+ROW()/10000000,"")</f>
        <v/>
      </c>
    </row>
    <row r="4555" outlineLevel="1" ht="15" customHeight="1" s="94">
      <c r="A4555" s="123">
        <f>IF(B4555="","",ROW()-15)</f>
        <v/>
      </c>
      <c r="B4555" s="124" t="n"/>
      <c r="C4555" s="123" t="n"/>
      <c r="D4555" s="123" t="n"/>
      <c r="E4555" s="123" t="n"/>
      <c r="F4555" s="125" t="n"/>
      <c r="G4555" s="123" t="n"/>
      <c r="H4555" s="123" t="n"/>
      <c r="I4555" s="123" t="n"/>
      <c r="J4555" s="123" t="n"/>
      <c r="K4555" s="123" t="n"/>
      <c r="L4555" s="123" t="n"/>
      <c r="M4555" s="123">
        <f>IF(AND(B4555&lt;&gt;"",OR($C$4="",ISNUMBER(SEARCH($C$4,C4555&amp;" "&amp;E4555&amp;" "&amp;G4555&amp;" "&amp;H4555&amp;" "&amp;I4555&amp;" "&amp;J4555&amp;" "&amp;K4555&amp;" "&amp;L4555))),OR($C$5="Semua",$C$5="",G4555=$C$5),OR($C$6="Semua",$C$6="",H4555=$C$6,H4555="Pengeluaran "&amp;$C$6,AND($C$6="Uang Kos Mama",H4555="Pengeluaran Uang Kos")),OR($C$7="Semua",$C$7="",I4555=$C$7),OR($C$8="Semua",$C$8="",C4555=$C$8,E4555=$C$8),OR($C$9="Semua",$C$9="",D4555=$C$9),OR($C$10="",B4555&gt;=$C$10),OR($C$11="",B4555&lt;=$C$11),OR($C$12&lt;&gt;"Ya",K4555&lt;&gt;""),OR($C$13="Semua",$C$13="",L4555=$C$13)),"✓","")</f>
        <v/>
      </c>
      <c r="N4555" s="93">
        <f>N(N4554)+IF(M4555="✓",1,0)</f>
        <v/>
      </c>
      <c r="O4555" s="93">
        <f>N(O4554)+IF(AND(B4555&lt;&gt;"",B4555&gt;='Uang Riba'!$H$30,B4555&lt;='Uang Riba'!$I$30,OR(H4555="Dana riba",H4555="Pinjam uang riba",I4555="Pinjam dari uang riba",I4555="Ganti uang riba",I4555="Kelebihan ganti dikembalikan",AND(C4555="Kantong Uang Riba",G4555="Pengeluaran"))),1,0)</f>
        <v/>
      </c>
      <c r="X4555" s="93">
        <f>IF(AND(B4555&lt;&gt;"",B4555&gt;='Buku Akun'!$H$4,B4555&lt;='Buku Akun'!$H$5,OR(C4555='Buku Akun'!$C$4,AND(D4555="Pindah",E4555='Buku Akun'!$C$4))),B4555+IF(AND(I4555="Selisih bunga",DAY(B4555)=1),0,0.01)+ROW()/10000000,"")</f>
        <v/>
      </c>
    </row>
    <row r="4556" outlineLevel="1" ht="15" customHeight="1" s="94">
      <c r="A4556" s="123">
        <f>IF(B4556="","",ROW()-15)</f>
        <v/>
      </c>
      <c r="B4556" s="124" t="n"/>
      <c r="C4556" s="123" t="n"/>
      <c r="D4556" s="123" t="n"/>
      <c r="E4556" s="123" t="n"/>
      <c r="F4556" s="125" t="n"/>
      <c r="G4556" s="123" t="n"/>
      <c r="H4556" s="123" t="n"/>
      <c r="I4556" s="123" t="n"/>
      <c r="J4556" s="123" t="n"/>
      <c r="K4556" s="123" t="n"/>
      <c r="L4556" s="123" t="n"/>
      <c r="M4556" s="123">
        <f>IF(AND(B4556&lt;&gt;"",OR($C$4="",ISNUMBER(SEARCH($C$4,C4556&amp;" "&amp;E4556&amp;" "&amp;G4556&amp;" "&amp;H4556&amp;" "&amp;I4556&amp;" "&amp;J4556&amp;" "&amp;K4556&amp;" "&amp;L4556))),OR($C$5="Semua",$C$5="",G4556=$C$5),OR($C$6="Semua",$C$6="",H4556=$C$6,H4556="Pengeluaran "&amp;$C$6,AND($C$6="Uang Kos Mama",H4556="Pengeluaran Uang Kos")),OR($C$7="Semua",$C$7="",I4556=$C$7),OR($C$8="Semua",$C$8="",C4556=$C$8,E4556=$C$8),OR($C$9="Semua",$C$9="",D4556=$C$9),OR($C$10="",B4556&gt;=$C$10),OR($C$11="",B4556&lt;=$C$11),OR($C$12&lt;&gt;"Ya",K4556&lt;&gt;""),OR($C$13="Semua",$C$13="",L4556=$C$13)),"✓","")</f>
        <v/>
      </c>
      <c r="N4556" s="93">
        <f>N(N4555)+IF(M4556="✓",1,0)</f>
        <v/>
      </c>
      <c r="O4556" s="93">
        <f>N(O4555)+IF(AND(B4556&lt;&gt;"",B4556&gt;='Uang Riba'!$H$30,B4556&lt;='Uang Riba'!$I$30,OR(H4556="Dana riba",H4556="Pinjam uang riba",I4556="Pinjam dari uang riba",I4556="Ganti uang riba",I4556="Kelebihan ganti dikembalikan",AND(C4556="Kantong Uang Riba",G4556="Pengeluaran"))),1,0)</f>
        <v/>
      </c>
      <c r="X4556" s="93">
        <f>IF(AND(B4556&lt;&gt;"",B4556&gt;='Buku Akun'!$H$4,B4556&lt;='Buku Akun'!$H$5,OR(C4556='Buku Akun'!$C$4,AND(D4556="Pindah",E4556='Buku Akun'!$C$4))),B4556+IF(AND(I4556="Selisih bunga",DAY(B4556)=1),0,0.01)+ROW()/10000000,"")</f>
        <v/>
      </c>
    </row>
    <row r="4557" outlineLevel="1" ht="15" customHeight="1" s="94">
      <c r="A4557" s="123">
        <f>IF(B4557="","",ROW()-15)</f>
        <v/>
      </c>
      <c r="B4557" s="124" t="n"/>
      <c r="C4557" s="123" t="n"/>
      <c r="D4557" s="123" t="n"/>
      <c r="E4557" s="123" t="n"/>
      <c r="F4557" s="125" t="n"/>
      <c r="G4557" s="123" t="n"/>
      <c r="H4557" s="123" t="n"/>
      <c r="I4557" s="123" t="n"/>
      <c r="J4557" s="123" t="n"/>
      <c r="K4557" s="123" t="n"/>
      <c r="L4557" s="123" t="n"/>
      <c r="M4557" s="123">
        <f>IF(AND(B4557&lt;&gt;"",OR($C$4="",ISNUMBER(SEARCH($C$4,C4557&amp;" "&amp;E4557&amp;" "&amp;G4557&amp;" "&amp;H4557&amp;" "&amp;I4557&amp;" "&amp;J4557&amp;" "&amp;K4557&amp;" "&amp;L4557))),OR($C$5="Semua",$C$5="",G4557=$C$5),OR($C$6="Semua",$C$6="",H4557=$C$6,H4557="Pengeluaran "&amp;$C$6,AND($C$6="Uang Kos Mama",H4557="Pengeluaran Uang Kos")),OR($C$7="Semua",$C$7="",I4557=$C$7),OR($C$8="Semua",$C$8="",C4557=$C$8,E4557=$C$8),OR($C$9="Semua",$C$9="",D4557=$C$9),OR($C$10="",B4557&gt;=$C$10),OR($C$11="",B4557&lt;=$C$11),OR($C$12&lt;&gt;"Ya",K4557&lt;&gt;""),OR($C$13="Semua",$C$13="",L4557=$C$13)),"✓","")</f>
        <v/>
      </c>
      <c r="N4557" s="93">
        <f>N(N4556)+IF(M4557="✓",1,0)</f>
        <v/>
      </c>
      <c r="O4557" s="93">
        <f>N(O4556)+IF(AND(B4557&lt;&gt;"",B4557&gt;='Uang Riba'!$H$30,B4557&lt;='Uang Riba'!$I$30,OR(H4557="Dana riba",H4557="Pinjam uang riba",I4557="Pinjam dari uang riba",I4557="Ganti uang riba",I4557="Kelebihan ganti dikembalikan",AND(C4557="Kantong Uang Riba",G4557="Pengeluaran"))),1,0)</f>
        <v/>
      </c>
      <c r="X4557" s="93">
        <f>IF(AND(B4557&lt;&gt;"",B4557&gt;='Buku Akun'!$H$4,B4557&lt;='Buku Akun'!$H$5,OR(C4557='Buku Akun'!$C$4,AND(D4557="Pindah",E4557='Buku Akun'!$C$4))),B4557+IF(AND(I4557="Selisih bunga",DAY(B4557)=1),0,0.01)+ROW()/10000000,"")</f>
        <v/>
      </c>
    </row>
    <row r="4558" outlineLevel="1" ht="15" customHeight="1" s="94">
      <c r="A4558" s="123">
        <f>IF(B4558="","",ROW()-15)</f>
        <v/>
      </c>
      <c r="B4558" s="124" t="n"/>
      <c r="C4558" s="123" t="n"/>
      <c r="D4558" s="123" t="n"/>
      <c r="E4558" s="123" t="n"/>
      <c r="F4558" s="125" t="n"/>
      <c r="G4558" s="123" t="n"/>
      <c r="H4558" s="123" t="n"/>
      <c r="I4558" s="123" t="n"/>
      <c r="J4558" s="123" t="n"/>
      <c r="K4558" s="123" t="n"/>
      <c r="L4558" s="123" t="n"/>
      <c r="M4558" s="123">
        <f>IF(AND(B4558&lt;&gt;"",OR($C$4="",ISNUMBER(SEARCH($C$4,C4558&amp;" "&amp;E4558&amp;" "&amp;G4558&amp;" "&amp;H4558&amp;" "&amp;I4558&amp;" "&amp;J4558&amp;" "&amp;K4558&amp;" "&amp;L4558))),OR($C$5="Semua",$C$5="",G4558=$C$5),OR($C$6="Semua",$C$6="",H4558=$C$6,H4558="Pengeluaran "&amp;$C$6,AND($C$6="Uang Kos Mama",H4558="Pengeluaran Uang Kos")),OR($C$7="Semua",$C$7="",I4558=$C$7),OR($C$8="Semua",$C$8="",C4558=$C$8,E4558=$C$8),OR($C$9="Semua",$C$9="",D4558=$C$9),OR($C$10="",B4558&gt;=$C$10),OR($C$11="",B4558&lt;=$C$11),OR($C$12&lt;&gt;"Ya",K4558&lt;&gt;""),OR($C$13="Semua",$C$13="",L4558=$C$13)),"✓","")</f>
        <v/>
      </c>
      <c r="N4558" s="93">
        <f>N(N4557)+IF(M4558="✓",1,0)</f>
        <v/>
      </c>
      <c r="O4558" s="93">
        <f>N(O4557)+IF(AND(B4558&lt;&gt;"",B4558&gt;='Uang Riba'!$H$30,B4558&lt;='Uang Riba'!$I$30,OR(H4558="Dana riba",H4558="Pinjam uang riba",I4558="Pinjam dari uang riba",I4558="Ganti uang riba",I4558="Kelebihan ganti dikembalikan",AND(C4558="Kantong Uang Riba",G4558="Pengeluaran"))),1,0)</f>
        <v/>
      </c>
      <c r="X4558" s="93">
        <f>IF(AND(B4558&lt;&gt;"",B4558&gt;='Buku Akun'!$H$4,B4558&lt;='Buku Akun'!$H$5,OR(C4558='Buku Akun'!$C$4,AND(D4558="Pindah",E4558='Buku Akun'!$C$4))),B4558+IF(AND(I4558="Selisih bunga",DAY(B4558)=1),0,0.01)+ROW()/10000000,"")</f>
        <v/>
      </c>
    </row>
    <row r="4559" outlineLevel="1" ht="15" customHeight="1" s="94">
      <c r="A4559" s="123">
        <f>IF(B4559="","",ROW()-15)</f>
        <v/>
      </c>
      <c r="B4559" s="124" t="n"/>
      <c r="C4559" s="123" t="n"/>
      <c r="D4559" s="123" t="n"/>
      <c r="E4559" s="123" t="n"/>
      <c r="F4559" s="125" t="n"/>
      <c r="G4559" s="123" t="n"/>
      <c r="H4559" s="123" t="n"/>
      <c r="I4559" s="123" t="n"/>
      <c r="J4559" s="123" t="n"/>
      <c r="K4559" s="123" t="n"/>
      <c r="L4559" s="123" t="n"/>
      <c r="M4559" s="123">
        <f>IF(AND(B4559&lt;&gt;"",OR($C$4="",ISNUMBER(SEARCH($C$4,C4559&amp;" "&amp;E4559&amp;" "&amp;G4559&amp;" "&amp;H4559&amp;" "&amp;I4559&amp;" "&amp;J4559&amp;" "&amp;K4559&amp;" "&amp;L4559))),OR($C$5="Semua",$C$5="",G4559=$C$5),OR($C$6="Semua",$C$6="",H4559=$C$6,H4559="Pengeluaran "&amp;$C$6,AND($C$6="Uang Kos Mama",H4559="Pengeluaran Uang Kos")),OR($C$7="Semua",$C$7="",I4559=$C$7),OR($C$8="Semua",$C$8="",C4559=$C$8,E4559=$C$8),OR($C$9="Semua",$C$9="",D4559=$C$9),OR($C$10="",B4559&gt;=$C$10),OR($C$11="",B4559&lt;=$C$11),OR($C$12&lt;&gt;"Ya",K4559&lt;&gt;""),OR($C$13="Semua",$C$13="",L4559=$C$13)),"✓","")</f>
        <v/>
      </c>
      <c r="N4559" s="93">
        <f>N(N4558)+IF(M4559="✓",1,0)</f>
        <v/>
      </c>
      <c r="O4559" s="93">
        <f>N(O4558)+IF(AND(B4559&lt;&gt;"",B4559&gt;='Uang Riba'!$H$30,B4559&lt;='Uang Riba'!$I$30,OR(H4559="Dana riba",H4559="Pinjam uang riba",I4559="Pinjam dari uang riba",I4559="Ganti uang riba",I4559="Kelebihan ganti dikembalikan",AND(C4559="Kantong Uang Riba",G4559="Pengeluaran"))),1,0)</f>
        <v/>
      </c>
      <c r="X4559" s="93">
        <f>IF(AND(B4559&lt;&gt;"",B4559&gt;='Buku Akun'!$H$4,B4559&lt;='Buku Akun'!$H$5,OR(C4559='Buku Akun'!$C$4,AND(D4559="Pindah",E4559='Buku Akun'!$C$4))),B4559+IF(AND(I4559="Selisih bunga",DAY(B4559)=1),0,0.01)+ROW()/10000000,"")</f>
        <v/>
      </c>
    </row>
    <row r="4560" outlineLevel="1" ht="15" customHeight="1" s="94">
      <c r="A4560" s="123">
        <f>IF(B4560="","",ROW()-15)</f>
        <v/>
      </c>
      <c r="B4560" s="124" t="n"/>
      <c r="C4560" s="123" t="n"/>
      <c r="D4560" s="123" t="n"/>
      <c r="E4560" s="123" t="n"/>
      <c r="F4560" s="125" t="n"/>
      <c r="G4560" s="123" t="n"/>
      <c r="H4560" s="123" t="n"/>
      <c r="I4560" s="123" t="n"/>
      <c r="J4560" s="123" t="n"/>
      <c r="K4560" s="123" t="n"/>
      <c r="L4560" s="123" t="n"/>
      <c r="M4560" s="123">
        <f>IF(AND(B4560&lt;&gt;"",OR($C$4="",ISNUMBER(SEARCH($C$4,C4560&amp;" "&amp;E4560&amp;" "&amp;G4560&amp;" "&amp;H4560&amp;" "&amp;I4560&amp;" "&amp;J4560&amp;" "&amp;K4560&amp;" "&amp;L4560))),OR($C$5="Semua",$C$5="",G4560=$C$5),OR($C$6="Semua",$C$6="",H4560=$C$6,H4560="Pengeluaran "&amp;$C$6,AND($C$6="Uang Kos Mama",H4560="Pengeluaran Uang Kos")),OR($C$7="Semua",$C$7="",I4560=$C$7),OR($C$8="Semua",$C$8="",C4560=$C$8,E4560=$C$8),OR($C$9="Semua",$C$9="",D4560=$C$9),OR($C$10="",B4560&gt;=$C$10),OR($C$11="",B4560&lt;=$C$11),OR($C$12&lt;&gt;"Ya",K4560&lt;&gt;""),OR($C$13="Semua",$C$13="",L4560=$C$13)),"✓","")</f>
        <v/>
      </c>
      <c r="N4560" s="93">
        <f>N(N4559)+IF(M4560="✓",1,0)</f>
        <v/>
      </c>
      <c r="O4560" s="93">
        <f>N(O4559)+IF(AND(B4560&lt;&gt;"",B4560&gt;='Uang Riba'!$H$30,B4560&lt;='Uang Riba'!$I$30,OR(H4560="Dana riba",H4560="Pinjam uang riba",I4560="Pinjam dari uang riba",I4560="Ganti uang riba",I4560="Kelebihan ganti dikembalikan",AND(C4560="Kantong Uang Riba",G4560="Pengeluaran"))),1,0)</f>
        <v/>
      </c>
      <c r="X4560" s="93">
        <f>IF(AND(B4560&lt;&gt;"",B4560&gt;='Buku Akun'!$H$4,B4560&lt;='Buku Akun'!$H$5,OR(C4560='Buku Akun'!$C$4,AND(D4560="Pindah",E4560='Buku Akun'!$C$4))),B4560+IF(AND(I4560="Selisih bunga",DAY(B4560)=1),0,0.01)+ROW()/10000000,"")</f>
        <v/>
      </c>
    </row>
    <row r="4561" outlineLevel="1" ht="15" customHeight="1" s="94">
      <c r="A4561" s="123">
        <f>IF(B4561="","",ROW()-15)</f>
        <v/>
      </c>
      <c r="B4561" s="124" t="n"/>
      <c r="C4561" s="123" t="n"/>
      <c r="D4561" s="123" t="n"/>
      <c r="E4561" s="123" t="n"/>
      <c r="F4561" s="125" t="n"/>
      <c r="G4561" s="123" t="n"/>
      <c r="H4561" s="123" t="n"/>
      <c r="I4561" s="123" t="n"/>
      <c r="J4561" s="123" t="n"/>
      <c r="K4561" s="123" t="n"/>
      <c r="L4561" s="123" t="n"/>
      <c r="M4561" s="123">
        <f>IF(AND(B4561&lt;&gt;"",OR($C$4="",ISNUMBER(SEARCH($C$4,C4561&amp;" "&amp;E4561&amp;" "&amp;G4561&amp;" "&amp;H4561&amp;" "&amp;I4561&amp;" "&amp;J4561&amp;" "&amp;K4561&amp;" "&amp;L4561))),OR($C$5="Semua",$C$5="",G4561=$C$5),OR($C$6="Semua",$C$6="",H4561=$C$6,H4561="Pengeluaran "&amp;$C$6,AND($C$6="Uang Kos Mama",H4561="Pengeluaran Uang Kos")),OR($C$7="Semua",$C$7="",I4561=$C$7),OR($C$8="Semua",$C$8="",C4561=$C$8,E4561=$C$8),OR($C$9="Semua",$C$9="",D4561=$C$9),OR($C$10="",B4561&gt;=$C$10),OR($C$11="",B4561&lt;=$C$11),OR($C$12&lt;&gt;"Ya",K4561&lt;&gt;""),OR($C$13="Semua",$C$13="",L4561=$C$13)),"✓","")</f>
        <v/>
      </c>
      <c r="N4561" s="93">
        <f>N(N4560)+IF(M4561="✓",1,0)</f>
        <v/>
      </c>
      <c r="O4561" s="93">
        <f>N(O4560)+IF(AND(B4561&lt;&gt;"",B4561&gt;='Uang Riba'!$H$30,B4561&lt;='Uang Riba'!$I$30,OR(H4561="Dana riba",H4561="Pinjam uang riba",I4561="Pinjam dari uang riba",I4561="Ganti uang riba",I4561="Kelebihan ganti dikembalikan",AND(C4561="Kantong Uang Riba",G4561="Pengeluaran"))),1,0)</f>
        <v/>
      </c>
      <c r="X4561" s="93">
        <f>IF(AND(B4561&lt;&gt;"",B4561&gt;='Buku Akun'!$H$4,B4561&lt;='Buku Akun'!$H$5,OR(C4561='Buku Akun'!$C$4,AND(D4561="Pindah",E4561='Buku Akun'!$C$4))),B4561+IF(AND(I4561="Selisih bunga",DAY(B4561)=1),0,0.01)+ROW()/10000000,"")</f>
        <v/>
      </c>
    </row>
    <row r="4562" outlineLevel="1" ht="15" customHeight="1" s="94">
      <c r="A4562" s="123">
        <f>IF(B4562="","",ROW()-15)</f>
        <v/>
      </c>
      <c r="B4562" s="124" t="n"/>
      <c r="C4562" s="123" t="n"/>
      <c r="D4562" s="123" t="n"/>
      <c r="E4562" s="123" t="n"/>
      <c r="F4562" s="125" t="n"/>
      <c r="G4562" s="123" t="n"/>
      <c r="H4562" s="123" t="n"/>
      <c r="I4562" s="123" t="n"/>
      <c r="J4562" s="123" t="n"/>
      <c r="K4562" s="123" t="n"/>
      <c r="L4562" s="123" t="n"/>
      <c r="M4562" s="123">
        <f>IF(AND(B4562&lt;&gt;"",OR($C$4="",ISNUMBER(SEARCH($C$4,C4562&amp;" "&amp;E4562&amp;" "&amp;G4562&amp;" "&amp;H4562&amp;" "&amp;I4562&amp;" "&amp;J4562&amp;" "&amp;K4562&amp;" "&amp;L4562))),OR($C$5="Semua",$C$5="",G4562=$C$5),OR($C$6="Semua",$C$6="",H4562=$C$6,H4562="Pengeluaran "&amp;$C$6,AND($C$6="Uang Kos Mama",H4562="Pengeluaran Uang Kos")),OR($C$7="Semua",$C$7="",I4562=$C$7),OR($C$8="Semua",$C$8="",C4562=$C$8,E4562=$C$8),OR($C$9="Semua",$C$9="",D4562=$C$9),OR($C$10="",B4562&gt;=$C$10),OR($C$11="",B4562&lt;=$C$11),OR($C$12&lt;&gt;"Ya",K4562&lt;&gt;""),OR($C$13="Semua",$C$13="",L4562=$C$13)),"✓","")</f>
        <v/>
      </c>
      <c r="N4562" s="93">
        <f>N(N4561)+IF(M4562="✓",1,0)</f>
        <v/>
      </c>
      <c r="O4562" s="93">
        <f>N(O4561)+IF(AND(B4562&lt;&gt;"",B4562&gt;='Uang Riba'!$H$30,B4562&lt;='Uang Riba'!$I$30,OR(H4562="Dana riba",H4562="Pinjam uang riba",I4562="Pinjam dari uang riba",I4562="Ganti uang riba",I4562="Kelebihan ganti dikembalikan",AND(C4562="Kantong Uang Riba",G4562="Pengeluaran"))),1,0)</f>
        <v/>
      </c>
      <c r="X4562" s="93">
        <f>IF(AND(B4562&lt;&gt;"",B4562&gt;='Buku Akun'!$H$4,B4562&lt;='Buku Akun'!$H$5,OR(C4562='Buku Akun'!$C$4,AND(D4562="Pindah",E4562='Buku Akun'!$C$4))),B4562+IF(AND(I4562="Selisih bunga",DAY(B4562)=1),0,0.01)+ROW()/10000000,"")</f>
        <v/>
      </c>
    </row>
    <row r="4563" outlineLevel="1" ht="15" customHeight="1" s="94">
      <c r="A4563" s="123">
        <f>IF(B4563="","",ROW()-15)</f>
        <v/>
      </c>
      <c r="B4563" s="124" t="n"/>
      <c r="C4563" s="123" t="n"/>
      <c r="D4563" s="123" t="n"/>
      <c r="E4563" s="123" t="n"/>
      <c r="F4563" s="125" t="n"/>
      <c r="G4563" s="123" t="n"/>
      <c r="H4563" s="123" t="n"/>
      <c r="I4563" s="123" t="n"/>
      <c r="J4563" s="123" t="n"/>
      <c r="K4563" s="123" t="n"/>
      <c r="L4563" s="123" t="n"/>
      <c r="M4563" s="123">
        <f>IF(AND(B4563&lt;&gt;"",OR($C$4="",ISNUMBER(SEARCH($C$4,C4563&amp;" "&amp;E4563&amp;" "&amp;G4563&amp;" "&amp;H4563&amp;" "&amp;I4563&amp;" "&amp;J4563&amp;" "&amp;K4563&amp;" "&amp;L4563))),OR($C$5="Semua",$C$5="",G4563=$C$5),OR($C$6="Semua",$C$6="",H4563=$C$6,H4563="Pengeluaran "&amp;$C$6,AND($C$6="Uang Kos Mama",H4563="Pengeluaran Uang Kos")),OR($C$7="Semua",$C$7="",I4563=$C$7),OR($C$8="Semua",$C$8="",C4563=$C$8,E4563=$C$8),OR($C$9="Semua",$C$9="",D4563=$C$9),OR($C$10="",B4563&gt;=$C$10),OR($C$11="",B4563&lt;=$C$11),OR($C$12&lt;&gt;"Ya",K4563&lt;&gt;""),OR($C$13="Semua",$C$13="",L4563=$C$13)),"✓","")</f>
        <v/>
      </c>
      <c r="N4563" s="93">
        <f>N(N4562)+IF(M4563="✓",1,0)</f>
        <v/>
      </c>
      <c r="O4563" s="93">
        <f>N(O4562)+IF(AND(B4563&lt;&gt;"",B4563&gt;='Uang Riba'!$H$30,B4563&lt;='Uang Riba'!$I$30,OR(H4563="Dana riba",H4563="Pinjam uang riba",I4563="Pinjam dari uang riba",I4563="Ganti uang riba",I4563="Kelebihan ganti dikembalikan",AND(C4563="Kantong Uang Riba",G4563="Pengeluaran"))),1,0)</f>
        <v/>
      </c>
      <c r="X4563" s="93">
        <f>IF(AND(B4563&lt;&gt;"",B4563&gt;='Buku Akun'!$H$4,B4563&lt;='Buku Akun'!$H$5,OR(C4563='Buku Akun'!$C$4,AND(D4563="Pindah",E4563='Buku Akun'!$C$4))),B4563+IF(AND(I4563="Selisih bunga",DAY(B4563)=1),0,0.01)+ROW()/10000000,"")</f>
        <v/>
      </c>
    </row>
    <row r="4564" outlineLevel="1" ht="15" customHeight="1" s="94">
      <c r="A4564" s="123">
        <f>IF(B4564="","",ROW()-15)</f>
        <v/>
      </c>
      <c r="B4564" s="124" t="n"/>
      <c r="C4564" s="123" t="n"/>
      <c r="D4564" s="123" t="n"/>
      <c r="E4564" s="123" t="n"/>
      <c r="F4564" s="125" t="n"/>
      <c r="G4564" s="123" t="n"/>
      <c r="H4564" s="123" t="n"/>
      <c r="I4564" s="123" t="n"/>
      <c r="J4564" s="123" t="n"/>
      <c r="K4564" s="123" t="n"/>
      <c r="L4564" s="123" t="n"/>
      <c r="M4564" s="123">
        <f>IF(AND(B4564&lt;&gt;"",OR($C$4="",ISNUMBER(SEARCH($C$4,C4564&amp;" "&amp;E4564&amp;" "&amp;G4564&amp;" "&amp;H4564&amp;" "&amp;I4564&amp;" "&amp;J4564&amp;" "&amp;K4564&amp;" "&amp;L4564))),OR($C$5="Semua",$C$5="",G4564=$C$5),OR($C$6="Semua",$C$6="",H4564=$C$6,H4564="Pengeluaran "&amp;$C$6,AND($C$6="Uang Kos Mama",H4564="Pengeluaran Uang Kos")),OR($C$7="Semua",$C$7="",I4564=$C$7),OR($C$8="Semua",$C$8="",C4564=$C$8,E4564=$C$8),OR($C$9="Semua",$C$9="",D4564=$C$9),OR($C$10="",B4564&gt;=$C$10),OR($C$11="",B4564&lt;=$C$11),OR($C$12&lt;&gt;"Ya",K4564&lt;&gt;""),OR($C$13="Semua",$C$13="",L4564=$C$13)),"✓","")</f>
        <v/>
      </c>
      <c r="N4564" s="93">
        <f>N(N4563)+IF(M4564="✓",1,0)</f>
        <v/>
      </c>
      <c r="O4564" s="93">
        <f>N(O4563)+IF(AND(B4564&lt;&gt;"",B4564&gt;='Uang Riba'!$H$30,B4564&lt;='Uang Riba'!$I$30,OR(H4564="Dana riba",H4564="Pinjam uang riba",I4564="Pinjam dari uang riba",I4564="Ganti uang riba",I4564="Kelebihan ganti dikembalikan",AND(C4564="Kantong Uang Riba",G4564="Pengeluaran"))),1,0)</f>
        <v/>
      </c>
      <c r="X4564" s="93">
        <f>IF(AND(B4564&lt;&gt;"",B4564&gt;='Buku Akun'!$H$4,B4564&lt;='Buku Akun'!$H$5,OR(C4564='Buku Akun'!$C$4,AND(D4564="Pindah",E4564='Buku Akun'!$C$4))),B4564+IF(AND(I4564="Selisih bunga",DAY(B4564)=1),0,0.01)+ROW()/10000000,"")</f>
        <v/>
      </c>
    </row>
    <row r="4565" outlineLevel="1" ht="15" customHeight="1" s="94">
      <c r="A4565" s="123">
        <f>IF(B4565="","",ROW()-15)</f>
        <v/>
      </c>
      <c r="B4565" s="124" t="n"/>
      <c r="C4565" s="123" t="n"/>
      <c r="D4565" s="123" t="n"/>
      <c r="E4565" s="123" t="n"/>
      <c r="F4565" s="125" t="n"/>
      <c r="G4565" s="123" t="n"/>
      <c r="H4565" s="123" t="n"/>
      <c r="I4565" s="123" t="n"/>
      <c r="J4565" s="123" t="n"/>
      <c r="K4565" s="123" t="n"/>
      <c r="L4565" s="123" t="n"/>
      <c r="M4565" s="123">
        <f>IF(AND(B4565&lt;&gt;"",OR($C$4="",ISNUMBER(SEARCH($C$4,C4565&amp;" "&amp;E4565&amp;" "&amp;G4565&amp;" "&amp;H4565&amp;" "&amp;I4565&amp;" "&amp;J4565&amp;" "&amp;K4565&amp;" "&amp;L4565))),OR($C$5="Semua",$C$5="",G4565=$C$5),OR($C$6="Semua",$C$6="",H4565=$C$6,H4565="Pengeluaran "&amp;$C$6,AND($C$6="Uang Kos Mama",H4565="Pengeluaran Uang Kos")),OR($C$7="Semua",$C$7="",I4565=$C$7),OR($C$8="Semua",$C$8="",C4565=$C$8,E4565=$C$8),OR($C$9="Semua",$C$9="",D4565=$C$9),OR($C$10="",B4565&gt;=$C$10),OR($C$11="",B4565&lt;=$C$11),OR($C$12&lt;&gt;"Ya",K4565&lt;&gt;""),OR($C$13="Semua",$C$13="",L4565=$C$13)),"✓","")</f>
        <v/>
      </c>
      <c r="N4565" s="93">
        <f>N(N4564)+IF(M4565="✓",1,0)</f>
        <v/>
      </c>
      <c r="O4565" s="93">
        <f>N(O4564)+IF(AND(B4565&lt;&gt;"",B4565&gt;='Uang Riba'!$H$30,B4565&lt;='Uang Riba'!$I$30,OR(H4565="Dana riba",H4565="Pinjam uang riba",I4565="Pinjam dari uang riba",I4565="Ganti uang riba",I4565="Kelebihan ganti dikembalikan",AND(C4565="Kantong Uang Riba",G4565="Pengeluaran"))),1,0)</f>
        <v/>
      </c>
      <c r="X4565" s="93">
        <f>IF(AND(B4565&lt;&gt;"",B4565&gt;='Buku Akun'!$H$4,B4565&lt;='Buku Akun'!$H$5,OR(C4565='Buku Akun'!$C$4,AND(D4565="Pindah",E4565='Buku Akun'!$C$4))),B4565+IF(AND(I4565="Selisih bunga",DAY(B4565)=1),0,0.01)+ROW()/10000000,"")</f>
        <v/>
      </c>
    </row>
    <row r="4566" outlineLevel="1" ht="15" customHeight="1" s="94">
      <c r="A4566" s="123">
        <f>IF(B4566="","",ROW()-15)</f>
        <v/>
      </c>
      <c r="B4566" s="124" t="n"/>
      <c r="C4566" s="123" t="n"/>
      <c r="D4566" s="123" t="n"/>
      <c r="E4566" s="123" t="n"/>
      <c r="F4566" s="125" t="n"/>
      <c r="G4566" s="123" t="n"/>
      <c r="H4566" s="123" t="n"/>
      <c r="I4566" s="123" t="n"/>
      <c r="J4566" s="123" t="n"/>
      <c r="K4566" s="123" t="n"/>
      <c r="L4566" s="123" t="n"/>
      <c r="M4566" s="123">
        <f>IF(AND(B4566&lt;&gt;"",OR($C$4="",ISNUMBER(SEARCH($C$4,C4566&amp;" "&amp;E4566&amp;" "&amp;G4566&amp;" "&amp;H4566&amp;" "&amp;I4566&amp;" "&amp;J4566&amp;" "&amp;K4566&amp;" "&amp;L4566))),OR($C$5="Semua",$C$5="",G4566=$C$5),OR($C$6="Semua",$C$6="",H4566=$C$6,H4566="Pengeluaran "&amp;$C$6,AND($C$6="Uang Kos Mama",H4566="Pengeluaran Uang Kos")),OR($C$7="Semua",$C$7="",I4566=$C$7),OR($C$8="Semua",$C$8="",C4566=$C$8,E4566=$C$8),OR($C$9="Semua",$C$9="",D4566=$C$9),OR($C$10="",B4566&gt;=$C$10),OR($C$11="",B4566&lt;=$C$11),OR($C$12&lt;&gt;"Ya",K4566&lt;&gt;""),OR($C$13="Semua",$C$13="",L4566=$C$13)),"✓","")</f>
        <v/>
      </c>
      <c r="N4566" s="93">
        <f>N(N4565)+IF(M4566="✓",1,0)</f>
        <v/>
      </c>
      <c r="O4566" s="93">
        <f>N(O4565)+IF(AND(B4566&lt;&gt;"",B4566&gt;='Uang Riba'!$H$30,B4566&lt;='Uang Riba'!$I$30,OR(H4566="Dana riba",H4566="Pinjam uang riba",I4566="Pinjam dari uang riba",I4566="Ganti uang riba",I4566="Kelebihan ganti dikembalikan",AND(C4566="Kantong Uang Riba",G4566="Pengeluaran"))),1,0)</f>
        <v/>
      </c>
      <c r="X4566" s="93">
        <f>IF(AND(B4566&lt;&gt;"",B4566&gt;='Buku Akun'!$H$4,B4566&lt;='Buku Akun'!$H$5,OR(C4566='Buku Akun'!$C$4,AND(D4566="Pindah",E4566='Buku Akun'!$C$4))),B4566+IF(AND(I4566="Selisih bunga",DAY(B4566)=1),0,0.01)+ROW()/10000000,"")</f>
        <v/>
      </c>
    </row>
    <row r="4567" outlineLevel="1" ht="15" customHeight="1" s="94">
      <c r="A4567" s="123">
        <f>IF(B4567="","",ROW()-15)</f>
        <v/>
      </c>
      <c r="B4567" s="124" t="n"/>
      <c r="C4567" s="123" t="n"/>
      <c r="D4567" s="123" t="n"/>
      <c r="E4567" s="123" t="n"/>
      <c r="F4567" s="125" t="n"/>
      <c r="G4567" s="123" t="n"/>
      <c r="H4567" s="123" t="n"/>
      <c r="I4567" s="123" t="n"/>
      <c r="J4567" s="123" t="n"/>
      <c r="K4567" s="123" t="n"/>
      <c r="L4567" s="123" t="n"/>
      <c r="M4567" s="123">
        <f>IF(AND(B4567&lt;&gt;"",OR($C$4="",ISNUMBER(SEARCH($C$4,C4567&amp;" "&amp;E4567&amp;" "&amp;G4567&amp;" "&amp;H4567&amp;" "&amp;I4567&amp;" "&amp;J4567&amp;" "&amp;K4567&amp;" "&amp;L4567))),OR($C$5="Semua",$C$5="",G4567=$C$5),OR($C$6="Semua",$C$6="",H4567=$C$6,H4567="Pengeluaran "&amp;$C$6,AND($C$6="Uang Kos Mama",H4567="Pengeluaran Uang Kos")),OR($C$7="Semua",$C$7="",I4567=$C$7),OR($C$8="Semua",$C$8="",C4567=$C$8,E4567=$C$8),OR($C$9="Semua",$C$9="",D4567=$C$9),OR($C$10="",B4567&gt;=$C$10),OR($C$11="",B4567&lt;=$C$11),OR($C$12&lt;&gt;"Ya",K4567&lt;&gt;""),OR($C$13="Semua",$C$13="",L4567=$C$13)),"✓","")</f>
        <v/>
      </c>
      <c r="N4567" s="93">
        <f>N(N4566)+IF(M4567="✓",1,0)</f>
        <v/>
      </c>
      <c r="O4567" s="93">
        <f>N(O4566)+IF(AND(B4567&lt;&gt;"",B4567&gt;='Uang Riba'!$H$30,B4567&lt;='Uang Riba'!$I$30,OR(H4567="Dana riba",H4567="Pinjam uang riba",I4567="Pinjam dari uang riba",I4567="Ganti uang riba",I4567="Kelebihan ganti dikembalikan",AND(C4567="Kantong Uang Riba",G4567="Pengeluaran"))),1,0)</f>
        <v/>
      </c>
      <c r="X4567" s="93">
        <f>IF(AND(B4567&lt;&gt;"",B4567&gt;='Buku Akun'!$H$4,B4567&lt;='Buku Akun'!$H$5,OR(C4567='Buku Akun'!$C$4,AND(D4567="Pindah",E4567='Buku Akun'!$C$4))),B4567+IF(AND(I4567="Selisih bunga",DAY(B4567)=1),0,0.01)+ROW()/10000000,"")</f>
        <v/>
      </c>
    </row>
    <row r="4568" outlineLevel="1" ht="15" customHeight="1" s="94">
      <c r="A4568" s="123">
        <f>IF(B4568="","",ROW()-15)</f>
        <v/>
      </c>
      <c r="B4568" s="124" t="n"/>
      <c r="C4568" s="123" t="n"/>
      <c r="D4568" s="123" t="n"/>
      <c r="E4568" s="123" t="n"/>
      <c r="F4568" s="125" t="n"/>
      <c r="G4568" s="123" t="n"/>
      <c r="H4568" s="123" t="n"/>
      <c r="I4568" s="123" t="n"/>
      <c r="J4568" s="123" t="n"/>
      <c r="K4568" s="123" t="n"/>
      <c r="L4568" s="123" t="n"/>
      <c r="M4568" s="123">
        <f>IF(AND(B4568&lt;&gt;"",OR($C$4="",ISNUMBER(SEARCH($C$4,C4568&amp;" "&amp;E4568&amp;" "&amp;G4568&amp;" "&amp;H4568&amp;" "&amp;I4568&amp;" "&amp;J4568&amp;" "&amp;K4568&amp;" "&amp;L4568))),OR($C$5="Semua",$C$5="",G4568=$C$5),OR($C$6="Semua",$C$6="",H4568=$C$6,H4568="Pengeluaran "&amp;$C$6,AND($C$6="Uang Kos Mama",H4568="Pengeluaran Uang Kos")),OR($C$7="Semua",$C$7="",I4568=$C$7),OR($C$8="Semua",$C$8="",C4568=$C$8,E4568=$C$8),OR($C$9="Semua",$C$9="",D4568=$C$9),OR($C$10="",B4568&gt;=$C$10),OR($C$11="",B4568&lt;=$C$11),OR($C$12&lt;&gt;"Ya",K4568&lt;&gt;""),OR($C$13="Semua",$C$13="",L4568=$C$13)),"✓","")</f>
        <v/>
      </c>
      <c r="N4568" s="93">
        <f>N(N4567)+IF(M4568="✓",1,0)</f>
        <v/>
      </c>
      <c r="O4568" s="93">
        <f>N(O4567)+IF(AND(B4568&lt;&gt;"",B4568&gt;='Uang Riba'!$H$30,B4568&lt;='Uang Riba'!$I$30,OR(H4568="Dana riba",H4568="Pinjam uang riba",I4568="Pinjam dari uang riba",I4568="Ganti uang riba",I4568="Kelebihan ganti dikembalikan",AND(C4568="Kantong Uang Riba",G4568="Pengeluaran"))),1,0)</f>
        <v/>
      </c>
      <c r="X4568" s="93">
        <f>IF(AND(B4568&lt;&gt;"",B4568&gt;='Buku Akun'!$H$4,B4568&lt;='Buku Akun'!$H$5,OR(C4568='Buku Akun'!$C$4,AND(D4568="Pindah",E4568='Buku Akun'!$C$4))),B4568+IF(AND(I4568="Selisih bunga",DAY(B4568)=1),0,0.01)+ROW()/10000000,"")</f>
        <v/>
      </c>
    </row>
    <row r="4569" outlineLevel="1" ht="15" customHeight="1" s="94">
      <c r="A4569" s="123">
        <f>IF(B4569="","",ROW()-15)</f>
        <v/>
      </c>
      <c r="B4569" s="124" t="n"/>
      <c r="C4569" s="123" t="n"/>
      <c r="D4569" s="123" t="n"/>
      <c r="E4569" s="123" t="n"/>
      <c r="F4569" s="125" t="n"/>
      <c r="G4569" s="123" t="n"/>
      <c r="H4569" s="123" t="n"/>
      <c r="I4569" s="123" t="n"/>
      <c r="J4569" s="123" t="n"/>
      <c r="K4569" s="123" t="n"/>
      <c r="L4569" s="123" t="n"/>
      <c r="M4569" s="123">
        <f>IF(AND(B4569&lt;&gt;"",OR($C$4="",ISNUMBER(SEARCH($C$4,C4569&amp;" "&amp;E4569&amp;" "&amp;G4569&amp;" "&amp;H4569&amp;" "&amp;I4569&amp;" "&amp;J4569&amp;" "&amp;K4569&amp;" "&amp;L4569))),OR($C$5="Semua",$C$5="",G4569=$C$5),OR($C$6="Semua",$C$6="",H4569=$C$6,H4569="Pengeluaran "&amp;$C$6,AND($C$6="Uang Kos Mama",H4569="Pengeluaran Uang Kos")),OR($C$7="Semua",$C$7="",I4569=$C$7),OR($C$8="Semua",$C$8="",C4569=$C$8,E4569=$C$8),OR($C$9="Semua",$C$9="",D4569=$C$9),OR($C$10="",B4569&gt;=$C$10),OR($C$11="",B4569&lt;=$C$11),OR($C$12&lt;&gt;"Ya",K4569&lt;&gt;""),OR($C$13="Semua",$C$13="",L4569=$C$13)),"✓","")</f>
        <v/>
      </c>
      <c r="N4569" s="93">
        <f>N(N4568)+IF(M4569="✓",1,0)</f>
        <v/>
      </c>
      <c r="O4569" s="93">
        <f>N(O4568)+IF(AND(B4569&lt;&gt;"",B4569&gt;='Uang Riba'!$H$30,B4569&lt;='Uang Riba'!$I$30,OR(H4569="Dana riba",H4569="Pinjam uang riba",I4569="Pinjam dari uang riba",I4569="Ganti uang riba",I4569="Kelebihan ganti dikembalikan",AND(C4569="Kantong Uang Riba",G4569="Pengeluaran"))),1,0)</f>
        <v/>
      </c>
      <c r="X4569" s="93">
        <f>IF(AND(B4569&lt;&gt;"",B4569&gt;='Buku Akun'!$H$4,B4569&lt;='Buku Akun'!$H$5,OR(C4569='Buku Akun'!$C$4,AND(D4569="Pindah",E4569='Buku Akun'!$C$4))),B4569+IF(AND(I4569="Selisih bunga",DAY(B4569)=1),0,0.01)+ROW()/10000000,"")</f>
        <v/>
      </c>
    </row>
    <row r="4570" outlineLevel="1" ht="15" customHeight="1" s="94">
      <c r="A4570" s="123">
        <f>IF(B4570="","",ROW()-15)</f>
        <v/>
      </c>
      <c r="B4570" s="124" t="n"/>
      <c r="C4570" s="123" t="n"/>
      <c r="D4570" s="123" t="n"/>
      <c r="E4570" s="123" t="n"/>
      <c r="F4570" s="125" t="n"/>
      <c r="G4570" s="123" t="n"/>
      <c r="H4570" s="123" t="n"/>
      <c r="I4570" s="123" t="n"/>
      <c r="J4570" s="123" t="n"/>
      <c r="K4570" s="123" t="n"/>
      <c r="L4570" s="123" t="n"/>
      <c r="M4570" s="123">
        <f>IF(AND(B4570&lt;&gt;"",OR($C$4="",ISNUMBER(SEARCH($C$4,C4570&amp;" "&amp;E4570&amp;" "&amp;G4570&amp;" "&amp;H4570&amp;" "&amp;I4570&amp;" "&amp;J4570&amp;" "&amp;K4570&amp;" "&amp;L4570))),OR($C$5="Semua",$C$5="",G4570=$C$5),OR($C$6="Semua",$C$6="",H4570=$C$6,H4570="Pengeluaran "&amp;$C$6,AND($C$6="Uang Kos Mama",H4570="Pengeluaran Uang Kos")),OR($C$7="Semua",$C$7="",I4570=$C$7),OR($C$8="Semua",$C$8="",C4570=$C$8,E4570=$C$8),OR($C$9="Semua",$C$9="",D4570=$C$9),OR($C$10="",B4570&gt;=$C$10),OR($C$11="",B4570&lt;=$C$11),OR($C$12&lt;&gt;"Ya",K4570&lt;&gt;""),OR($C$13="Semua",$C$13="",L4570=$C$13)),"✓","")</f>
        <v/>
      </c>
      <c r="N4570" s="93">
        <f>N(N4569)+IF(M4570="✓",1,0)</f>
        <v/>
      </c>
      <c r="O4570" s="93">
        <f>N(O4569)+IF(AND(B4570&lt;&gt;"",B4570&gt;='Uang Riba'!$H$30,B4570&lt;='Uang Riba'!$I$30,OR(H4570="Dana riba",H4570="Pinjam uang riba",I4570="Pinjam dari uang riba",I4570="Ganti uang riba",I4570="Kelebihan ganti dikembalikan",AND(C4570="Kantong Uang Riba",G4570="Pengeluaran"))),1,0)</f>
        <v/>
      </c>
      <c r="X4570" s="93">
        <f>IF(AND(B4570&lt;&gt;"",B4570&gt;='Buku Akun'!$H$4,B4570&lt;='Buku Akun'!$H$5,OR(C4570='Buku Akun'!$C$4,AND(D4570="Pindah",E4570='Buku Akun'!$C$4))),B4570+IF(AND(I4570="Selisih bunga",DAY(B4570)=1),0,0.01)+ROW()/10000000,"")</f>
        <v/>
      </c>
    </row>
    <row r="4571" outlineLevel="1" ht="15" customHeight="1" s="94">
      <c r="A4571" s="123">
        <f>IF(B4571="","",ROW()-15)</f>
        <v/>
      </c>
      <c r="B4571" s="124" t="n"/>
      <c r="C4571" s="123" t="n"/>
      <c r="D4571" s="123" t="n"/>
      <c r="E4571" s="123" t="n"/>
      <c r="F4571" s="125" t="n"/>
      <c r="G4571" s="123" t="n"/>
      <c r="H4571" s="123" t="n"/>
      <c r="I4571" s="123" t="n"/>
      <c r="J4571" s="123" t="n"/>
      <c r="K4571" s="123" t="n"/>
      <c r="L4571" s="123" t="n"/>
      <c r="M4571" s="123">
        <f>IF(AND(B4571&lt;&gt;"",OR($C$4="",ISNUMBER(SEARCH($C$4,C4571&amp;" "&amp;E4571&amp;" "&amp;G4571&amp;" "&amp;H4571&amp;" "&amp;I4571&amp;" "&amp;J4571&amp;" "&amp;K4571&amp;" "&amp;L4571))),OR($C$5="Semua",$C$5="",G4571=$C$5),OR($C$6="Semua",$C$6="",H4571=$C$6,H4571="Pengeluaran "&amp;$C$6,AND($C$6="Uang Kos Mama",H4571="Pengeluaran Uang Kos")),OR($C$7="Semua",$C$7="",I4571=$C$7),OR($C$8="Semua",$C$8="",C4571=$C$8,E4571=$C$8),OR($C$9="Semua",$C$9="",D4571=$C$9),OR($C$10="",B4571&gt;=$C$10),OR($C$11="",B4571&lt;=$C$11),OR($C$12&lt;&gt;"Ya",K4571&lt;&gt;""),OR($C$13="Semua",$C$13="",L4571=$C$13)),"✓","")</f>
        <v/>
      </c>
      <c r="N4571" s="93">
        <f>N(N4570)+IF(M4571="✓",1,0)</f>
        <v/>
      </c>
      <c r="O4571" s="93">
        <f>N(O4570)+IF(AND(B4571&lt;&gt;"",B4571&gt;='Uang Riba'!$H$30,B4571&lt;='Uang Riba'!$I$30,OR(H4571="Dana riba",H4571="Pinjam uang riba",I4571="Pinjam dari uang riba",I4571="Ganti uang riba",I4571="Kelebihan ganti dikembalikan",AND(C4571="Kantong Uang Riba",G4571="Pengeluaran"))),1,0)</f>
        <v/>
      </c>
      <c r="X4571" s="93">
        <f>IF(AND(B4571&lt;&gt;"",B4571&gt;='Buku Akun'!$H$4,B4571&lt;='Buku Akun'!$H$5,OR(C4571='Buku Akun'!$C$4,AND(D4571="Pindah",E4571='Buku Akun'!$C$4))),B4571+IF(AND(I4571="Selisih bunga",DAY(B4571)=1),0,0.01)+ROW()/10000000,"")</f>
        <v/>
      </c>
    </row>
    <row r="4572" outlineLevel="1" ht="15" customHeight="1" s="94">
      <c r="A4572" s="123">
        <f>IF(B4572="","",ROW()-15)</f>
        <v/>
      </c>
      <c r="B4572" s="124" t="n"/>
      <c r="C4572" s="123" t="n"/>
      <c r="D4572" s="123" t="n"/>
      <c r="E4572" s="123" t="n"/>
      <c r="F4572" s="125" t="n"/>
      <c r="G4572" s="123" t="n"/>
      <c r="H4572" s="123" t="n"/>
      <c r="I4572" s="123" t="n"/>
      <c r="J4572" s="123" t="n"/>
      <c r="K4572" s="123" t="n"/>
      <c r="L4572" s="123" t="n"/>
      <c r="M4572" s="123">
        <f>IF(AND(B4572&lt;&gt;"",OR($C$4="",ISNUMBER(SEARCH($C$4,C4572&amp;" "&amp;E4572&amp;" "&amp;G4572&amp;" "&amp;H4572&amp;" "&amp;I4572&amp;" "&amp;J4572&amp;" "&amp;K4572&amp;" "&amp;L4572))),OR($C$5="Semua",$C$5="",G4572=$C$5),OR($C$6="Semua",$C$6="",H4572=$C$6,H4572="Pengeluaran "&amp;$C$6,AND($C$6="Uang Kos Mama",H4572="Pengeluaran Uang Kos")),OR($C$7="Semua",$C$7="",I4572=$C$7),OR($C$8="Semua",$C$8="",C4572=$C$8,E4572=$C$8),OR($C$9="Semua",$C$9="",D4572=$C$9),OR($C$10="",B4572&gt;=$C$10),OR($C$11="",B4572&lt;=$C$11),OR($C$12&lt;&gt;"Ya",K4572&lt;&gt;""),OR($C$13="Semua",$C$13="",L4572=$C$13)),"✓","")</f>
        <v/>
      </c>
      <c r="N4572" s="93">
        <f>N(N4571)+IF(M4572="✓",1,0)</f>
        <v/>
      </c>
      <c r="O4572" s="93">
        <f>N(O4571)+IF(AND(B4572&lt;&gt;"",B4572&gt;='Uang Riba'!$H$30,B4572&lt;='Uang Riba'!$I$30,OR(H4572="Dana riba",H4572="Pinjam uang riba",I4572="Pinjam dari uang riba",I4572="Ganti uang riba",I4572="Kelebihan ganti dikembalikan",AND(C4572="Kantong Uang Riba",G4572="Pengeluaran"))),1,0)</f>
        <v/>
      </c>
      <c r="X4572" s="93">
        <f>IF(AND(B4572&lt;&gt;"",B4572&gt;='Buku Akun'!$H$4,B4572&lt;='Buku Akun'!$H$5,OR(C4572='Buku Akun'!$C$4,AND(D4572="Pindah",E4572='Buku Akun'!$C$4))),B4572+IF(AND(I4572="Selisih bunga",DAY(B4572)=1),0,0.01)+ROW()/10000000,"")</f>
        <v/>
      </c>
    </row>
    <row r="4573" outlineLevel="1" ht="15" customHeight="1" s="94">
      <c r="A4573" s="123">
        <f>IF(B4573="","",ROW()-15)</f>
        <v/>
      </c>
      <c r="B4573" s="124" t="n"/>
      <c r="C4573" s="123" t="n"/>
      <c r="D4573" s="123" t="n"/>
      <c r="E4573" s="123" t="n"/>
      <c r="F4573" s="125" t="n"/>
      <c r="G4573" s="123" t="n"/>
      <c r="H4573" s="123" t="n"/>
      <c r="I4573" s="123" t="n"/>
      <c r="J4573" s="123" t="n"/>
      <c r="K4573" s="123" t="n"/>
      <c r="L4573" s="123" t="n"/>
      <c r="M4573" s="123">
        <f>IF(AND(B4573&lt;&gt;"",OR($C$4="",ISNUMBER(SEARCH($C$4,C4573&amp;" "&amp;E4573&amp;" "&amp;G4573&amp;" "&amp;H4573&amp;" "&amp;I4573&amp;" "&amp;J4573&amp;" "&amp;K4573&amp;" "&amp;L4573))),OR($C$5="Semua",$C$5="",G4573=$C$5),OR($C$6="Semua",$C$6="",H4573=$C$6,H4573="Pengeluaran "&amp;$C$6,AND($C$6="Uang Kos Mama",H4573="Pengeluaran Uang Kos")),OR($C$7="Semua",$C$7="",I4573=$C$7),OR($C$8="Semua",$C$8="",C4573=$C$8,E4573=$C$8),OR($C$9="Semua",$C$9="",D4573=$C$9),OR($C$10="",B4573&gt;=$C$10),OR($C$11="",B4573&lt;=$C$11),OR($C$12&lt;&gt;"Ya",K4573&lt;&gt;""),OR($C$13="Semua",$C$13="",L4573=$C$13)),"✓","")</f>
        <v/>
      </c>
      <c r="N4573" s="93">
        <f>N(N4572)+IF(M4573="✓",1,0)</f>
        <v/>
      </c>
      <c r="O4573" s="93">
        <f>N(O4572)+IF(AND(B4573&lt;&gt;"",B4573&gt;='Uang Riba'!$H$30,B4573&lt;='Uang Riba'!$I$30,OR(H4573="Dana riba",H4573="Pinjam uang riba",I4573="Pinjam dari uang riba",I4573="Ganti uang riba",I4573="Kelebihan ganti dikembalikan",AND(C4573="Kantong Uang Riba",G4573="Pengeluaran"))),1,0)</f>
        <v/>
      </c>
      <c r="X4573" s="93">
        <f>IF(AND(B4573&lt;&gt;"",B4573&gt;='Buku Akun'!$H$4,B4573&lt;='Buku Akun'!$H$5,OR(C4573='Buku Akun'!$C$4,AND(D4573="Pindah",E4573='Buku Akun'!$C$4))),B4573+IF(AND(I4573="Selisih bunga",DAY(B4573)=1),0,0.01)+ROW()/10000000,"")</f>
        <v/>
      </c>
    </row>
    <row r="4574" outlineLevel="1" ht="15" customHeight="1" s="94">
      <c r="A4574" s="123">
        <f>IF(B4574="","",ROW()-15)</f>
        <v/>
      </c>
      <c r="B4574" s="124" t="n"/>
      <c r="C4574" s="123" t="n"/>
      <c r="D4574" s="123" t="n"/>
      <c r="E4574" s="123" t="n"/>
      <c r="F4574" s="125" t="n"/>
      <c r="G4574" s="123" t="n"/>
      <c r="H4574" s="123" t="n"/>
      <c r="I4574" s="123" t="n"/>
      <c r="J4574" s="123" t="n"/>
      <c r="K4574" s="123" t="n"/>
      <c r="L4574" s="123" t="n"/>
      <c r="M4574" s="123">
        <f>IF(AND(B4574&lt;&gt;"",OR($C$4="",ISNUMBER(SEARCH($C$4,C4574&amp;" "&amp;E4574&amp;" "&amp;G4574&amp;" "&amp;H4574&amp;" "&amp;I4574&amp;" "&amp;J4574&amp;" "&amp;K4574&amp;" "&amp;L4574))),OR($C$5="Semua",$C$5="",G4574=$C$5),OR($C$6="Semua",$C$6="",H4574=$C$6,H4574="Pengeluaran "&amp;$C$6,AND($C$6="Uang Kos Mama",H4574="Pengeluaran Uang Kos")),OR($C$7="Semua",$C$7="",I4574=$C$7),OR($C$8="Semua",$C$8="",C4574=$C$8,E4574=$C$8),OR($C$9="Semua",$C$9="",D4574=$C$9),OR($C$10="",B4574&gt;=$C$10),OR($C$11="",B4574&lt;=$C$11),OR($C$12&lt;&gt;"Ya",K4574&lt;&gt;""),OR($C$13="Semua",$C$13="",L4574=$C$13)),"✓","")</f>
        <v/>
      </c>
      <c r="N4574" s="93">
        <f>N(N4573)+IF(M4574="✓",1,0)</f>
        <v/>
      </c>
      <c r="O4574" s="93">
        <f>N(O4573)+IF(AND(B4574&lt;&gt;"",B4574&gt;='Uang Riba'!$H$30,B4574&lt;='Uang Riba'!$I$30,OR(H4574="Dana riba",H4574="Pinjam uang riba",I4574="Pinjam dari uang riba",I4574="Ganti uang riba",I4574="Kelebihan ganti dikembalikan",AND(C4574="Kantong Uang Riba",G4574="Pengeluaran"))),1,0)</f>
        <v/>
      </c>
      <c r="X4574" s="93">
        <f>IF(AND(B4574&lt;&gt;"",B4574&gt;='Buku Akun'!$H$4,B4574&lt;='Buku Akun'!$H$5,OR(C4574='Buku Akun'!$C$4,AND(D4574="Pindah",E4574='Buku Akun'!$C$4))),B4574+IF(AND(I4574="Selisih bunga",DAY(B4574)=1),0,0.01)+ROW()/10000000,"")</f>
        <v/>
      </c>
    </row>
    <row r="4575" outlineLevel="1" ht="15" customHeight="1" s="94">
      <c r="A4575" s="123">
        <f>IF(B4575="","",ROW()-15)</f>
        <v/>
      </c>
      <c r="B4575" s="124" t="n"/>
      <c r="C4575" s="123" t="n"/>
      <c r="D4575" s="123" t="n"/>
      <c r="E4575" s="123" t="n"/>
      <c r="F4575" s="125" t="n"/>
      <c r="G4575" s="123" t="n"/>
      <c r="H4575" s="123" t="n"/>
      <c r="I4575" s="123" t="n"/>
      <c r="J4575" s="123" t="n"/>
      <c r="K4575" s="123" t="n"/>
      <c r="L4575" s="123" t="n"/>
      <c r="M4575" s="123">
        <f>IF(AND(B4575&lt;&gt;"",OR($C$4="",ISNUMBER(SEARCH($C$4,C4575&amp;" "&amp;E4575&amp;" "&amp;G4575&amp;" "&amp;H4575&amp;" "&amp;I4575&amp;" "&amp;J4575&amp;" "&amp;K4575&amp;" "&amp;L4575))),OR($C$5="Semua",$C$5="",G4575=$C$5),OR($C$6="Semua",$C$6="",H4575=$C$6,H4575="Pengeluaran "&amp;$C$6,AND($C$6="Uang Kos Mama",H4575="Pengeluaran Uang Kos")),OR($C$7="Semua",$C$7="",I4575=$C$7),OR($C$8="Semua",$C$8="",C4575=$C$8,E4575=$C$8),OR($C$9="Semua",$C$9="",D4575=$C$9),OR($C$10="",B4575&gt;=$C$10),OR($C$11="",B4575&lt;=$C$11),OR($C$12&lt;&gt;"Ya",K4575&lt;&gt;""),OR($C$13="Semua",$C$13="",L4575=$C$13)),"✓","")</f>
        <v/>
      </c>
      <c r="N4575" s="93">
        <f>N(N4574)+IF(M4575="✓",1,0)</f>
        <v/>
      </c>
      <c r="O4575" s="93">
        <f>N(O4574)+IF(AND(B4575&lt;&gt;"",B4575&gt;='Uang Riba'!$H$30,B4575&lt;='Uang Riba'!$I$30,OR(H4575="Dana riba",H4575="Pinjam uang riba",I4575="Pinjam dari uang riba",I4575="Ganti uang riba",I4575="Kelebihan ganti dikembalikan",AND(C4575="Kantong Uang Riba",G4575="Pengeluaran"))),1,0)</f>
        <v/>
      </c>
      <c r="X4575" s="93">
        <f>IF(AND(B4575&lt;&gt;"",B4575&gt;='Buku Akun'!$H$4,B4575&lt;='Buku Akun'!$H$5,OR(C4575='Buku Akun'!$C$4,AND(D4575="Pindah",E4575='Buku Akun'!$C$4))),B4575+IF(AND(I4575="Selisih bunga",DAY(B4575)=1),0,0.01)+ROW()/10000000,"")</f>
        <v/>
      </c>
    </row>
    <row r="4576" outlineLevel="1" ht="15" customHeight="1" s="94">
      <c r="A4576" s="123">
        <f>IF(B4576="","",ROW()-15)</f>
        <v/>
      </c>
      <c r="B4576" s="124" t="n"/>
      <c r="C4576" s="123" t="n"/>
      <c r="D4576" s="123" t="n"/>
      <c r="E4576" s="123" t="n"/>
      <c r="F4576" s="125" t="n"/>
      <c r="G4576" s="123" t="n"/>
      <c r="H4576" s="123" t="n"/>
      <c r="I4576" s="123" t="n"/>
      <c r="J4576" s="123" t="n"/>
      <c r="K4576" s="123" t="n"/>
      <c r="L4576" s="123" t="n"/>
      <c r="M4576" s="123">
        <f>IF(AND(B4576&lt;&gt;"",OR($C$4="",ISNUMBER(SEARCH($C$4,C4576&amp;" "&amp;E4576&amp;" "&amp;G4576&amp;" "&amp;H4576&amp;" "&amp;I4576&amp;" "&amp;J4576&amp;" "&amp;K4576&amp;" "&amp;L4576))),OR($C$5="Semua",$C$5="",G4576=$C$5),OR($C$6="Semua",$C$6="",H4576=$C$6,H4576="Pengeluaran "&amp;$C$6,AND($C$6="Uang Kos Mama",H4576="Pengeluaran Uang Kos")),OR($C$7="Semua",$C$7="",I4576=$C$7),OR($C$8="Semua",$C$8="",C4576=$C$8,E4576=$C$8),OR($C$9="Semua",$C$9="",D4576=$C$9),OR($C$10="",B4576&gt;=$C$10),OR($C$11="",B4576&lt;=$C$11),OR($C$12&lt;&gt;"Ya",K4576&lt;&gt;""),OR($C$13="Semua",$C$13="",L4576=$C$13)),"✓","")</f>
        <v/>
      </c>
      <c r="N4576" s="93">
        <f>N(N4575)+IF(M4576="✓",1,0)</f>
        <v/>
      </c>
      <c r="O4576" s="93">
        <f>N(O4575)+IF(AND(B4576&lt;&gt;"",B4576&gt;='Uang Riba'!$H$30,B4576&lt;='Uang Riba'!$I$30,OR(H4576="Dana riba",H4576="Pinjam uang riba",I4576="Pinjam dari uang riba",I4576="Ganti uang riba",I4576="Kelebihan ganti dikembalikan",AND(C4576="Kantong Uang Riba",G4576="Pengeluaran"))),1,0)</f>
        <v/>
      </c>
      <c r="X4576" s="93">
        <f>IF(AND(B4576&lt;&gt;"",B4576&gt;='Buku Akun'!$H$4,B4576&lt;='Buku Akun'!$H$5,OR(C4576='Buku Akun'!$C$4,AND(D4576="Pindah",E4576='Buku Akun'!$C$4))),B4576+IF(AND(I4576="Selisih bunga",DAY(B4576)=1),0,0.01)+ROW()/10000000,"")</f>
        <v/>
      </c>
    </row>
    <row r="4577" outlineLevel="1" ht="15" customHeight="1" s="94">
      <c r="A4577" s="123">
        <f>IF(B4577="","",ROW()-15)</f>
        <v/>
      </c>
      <c r="B4577" s="124" t="n"/>
      <c r="C4577" s="123" t="n"/>
      <c r="D4577" s="123" t="n"/>
      <c r="E4577" s="123" t="n"/>
      <c r="F4577" s="125" t="n"/>
      <c r="G4577" s="123" t="n"/>
      <c r="H4577" s="123" t="n"/>
      <c r="I4577" s="123" t="n"/>
      <c r="J4577" s="123" t="n"/>
      <c r="K4577" s="123" t="n"/>
      <c r="L4577" s="123" t="n"/>
      <c r="M4577" s="123">
        <f>IF(AND(B4577&lt;&gt;"",OR($C$4="",ISNUMBER(SEARCH($C$4,C4577&amp;" "&amp;E4577&amp;" "&amp;G4577&amp;" "&amp;H4577&amp;" "&amp;I4577&amp;" "&amp;J4577&amp;" "&amp;K4577&amp;" "&amp;L4577))),OR($C$5="Semua",$C$5="",G4577=$C$5),OR($C$6="Semua",$C$6="",H4577=$C$6,H4577="Pengeluaran "&amp;$C$6,AND($C$6="Uang Kos Mama",H4577="Pengeluaran Uang Kos")),OR($C$7="Semua",$C$7="",I4577=$C$7),OR($C$8="Semua",$C$8="",C4577=$C$8,E4577=$C$8),OR($C$9="Semua",$C$9="",D4577=$C$9),OR($C$10="",B4577&gt;=$C$10),OR($C$11="",B4577&lt;=$C$11),OR($C$12&lt;&gt;"Ya",K4577&lt;&gt;""),OR($C$13="Semua",$C$13="",L4577=$C$13)),"✓","")</f>
        <v/>
      </c>
      <c r="N4577" s="93">
        <f>N(N4576)+IF(M4577="✓",1,0)</f>
        <v/>
      </c>
      <c r="O4577" s="93">
        <f>N(O4576)+IF(AND(B4577&lt;&gt;"",B4577&gt;='Uang Riba'!$H$30,B4577&lt;='Uang Riba'!$I$30,OR(H4577="Dana riba",H4577="Pinjam uang riba",I4577="Pinjam dari uang riba",I4577="Ganti uang riba",I4577="Kelebihan ganti dikembalikan",AND(C4577="Kantong Uang Riba",G4577="Pengeluaran"))),1,0)</f>
        <v/>
      </c>
      <c r="X4577" s="93">
        <f>IF(AND(B4577&lt;&gt;"",B4577&gt;='Buku Akun'!$H$4,B4577&lt;='Buku Akun'!$H$5,OR(C4577='Buku Akun'!$C$4,AND(D4577="Pindah",E4577='Buku Akun'!$C$4))),B4577+IF(AND(I4577="Selisih bunga",DAY(B4577)=1),0,0.01)+ROW()/10000000,"")</f>
        <v/>
      </c>
    </row>
    <row r="4578" outlineLevel="1" ht="15" customHeight="1" s="94">
      <c r="A4578" s="123">
        <f>IF(B4578="","",ROW()-15)</f>
        <v/>
      </c>
      <c r="B4578" s="124" t="n"/>
      <c r="C4578" s="123" t="n"/>
      <c r="D4578" s="123" t="n"/>
      <c r="E4578" s="123" t="n"/>
      <c r="F4578" s="125" t="n"/>
      <c r="G4578" s="123" t="n"/>
      <c r="H4578" s="123" t="n"/>
      <c r="I4578" s="123" t="n"/>
      <c r="J4578" s="123" t="n"/>
      <c r="K4578" s="123" t="n"/>
      <c r="L4578" s="123" t="n"/>
      <c r="M4578" s="123">
        <f>IF(AND(B4578&lt;&gt;"",OR($C$4="",ISNUMBER(SEARCH($C$4,C4578&amp;" "&amp;E4578&amp;" "&amp;G4578&amp;" "&amp;H4578&amp;" "&amp;I4578&amp;" "&amp;J4578&amp;" "&amp;K4578&amp;" "&amp;L4578))),OR($C$5="Semua",$C$5="",G4578=$C$5),OR($C$6="Semua",$C$6="",H4578=$C$6,H4578="Pengeluaran "&amp;$C$6,AND($C$6="Uang Kos Mama",H4578="Pengeluaran Uang Kos")),OR($C$7="Semua",$C$7="",I4578=$C$7),OR($C$8="Semua",$C$8="",C4578=$C$8,E4578=$C$8),OR($C$9="Semua",$C$9="",D4578=$C$9),OR($C$10="",B4578&gt;=$C$10),OR($C$11="",B4578&lt;=$C$11),OR($C$12&lt;&gt;"Ya",K4578&lt;&gt;""),OR($C$13="Semua",$C$13="",L4578=$C$13)),"✓","")</f>
        <v/>
      </c>
      <c r="N4578" s="93">
        <f>N(N4577)+IF(M4578="✓",1,0)</f>
        <v/>
      </c>
      <c r="O4578" s="93">
        <f>N(O4577)+IF(AND(B4578&lt;&gt;"",B4578&gt;='Uang Riba'!$H$30,B4578&lt;='Uang Riba'!$I$30,OR(H4578="Dana riba",H4578="Pinjam uang riba",I4578="Pinjam dari uang riba",I4578="Ganti uang riba",I4578="Kelebihan ganti dikembalikan",AND(C4578="Kantong Uang Riba",G4578="Pengeluaran"))),1,0)</f>
        <v/>
      </c>
      <c r="X4578" s="93">
        <f>IF(AND(B4578&lt;&gt;"",B4578&gt;='Buku Akun'!$H$4,B4578&lt;='Buku Akun'!$H$5,OR(C4578='Buku Akun'!$C$4,AND(D4578="Pindah",E4578='Buku Akun'!$C$4))),B4578+IF(AND(I4578="Selisih bunga",DAY(B4578)=1),0,0.01)+ROW()/10000000,"")</f>
        <v/>
      </c>
    </row>
    <row r="4579" outlineLevel="1" ht="15" customHeight="1" s="94">
      <c r="A4579" s="123">
        <f>IF(B4579="","",ROW()-15)</f>
        <v/>
      </c>
      <c r="B4579" s="124" t="n"/>
      <c r="C4579" s="123" t="n"/>
      <c r="D4579" s="123" t="n"/>
      <c r="E4579" s="123" t="n"/>
      <c r="F4579" s="125" t="n"/>
      <c r="G4579" s="123" t="n"/>
      <c r="H4579" s="123" t="n"/>
      <c r="I4579" s="123" t="n"/>
      <c r="J4579" s="123" t="n"/>
      <c r="K4579" s="123" t="n"/>
      <c r="L4579" s="123" t="n"/>
      <c r="M4579" s="123">
        <f>IF(AND(B4579&lt;&gt;"",OR($C$4="",ISNUMBER(SEARCH($C$4,C4579&amp;" "&amp;E4579&amp;" "&amp;G4579&amp;" "&amp;H4579&amp;" "&amp;I4579&amp;" "&amp;J4579&amp;" "&amp;K4579&amp;" "&amp;L4579))),OR($C$5="Semua",$C$5="",G4579=$C$5),OR($C$6="Semua",$C$6="",H4579=$C$6,H4579="Pengeluaran "&amp;$C$6,AND($C$6="Uang Kos Mama",H4579="Pengeluaran Uang Kos")),OR($C$7="Semua",$C$7="",I4579=$C$7),OR($C$8="Semua",$C$8="",C4579=$C$8,E4579=$C$8),OR($C$9="Semua",$C$9="",D4579=$C$9),OR($C$10="",B4579&gt;=$C$10),OR($C$11="",B4579&lt;=$C$11),OR($C$12&lt;&gt;"Ya",K4579&lt;&gt;""),OR($C$13="Semua",$C$13="",L4579=$C$13)),"✓","")</f>
        <v/>
      </c>
      <c r="N4579" s="93">
        <f>N(N4578)+IF(M4579="✓",1,0)</f>
        <v/>
      </c>
      <c r="O4579" s="93">
        <f>N(O4578)+IF(AND(B4579&lt;&gt;"",B4579&gt;='Uang Riba'!$H$30,B4579&lt;='Uang Riba'!$I$30,OR(H4579="Dana riba",H4579="Pinjam uang riba",I4579="Pinjam dari uang riba",I4579="Ganti uang riba",I4579="Kelebihan ganti dikembalikan",AND(C4579="Kantong Uang Riba",G4579="Pengeluaran"))),1,0)</f>
        <v/>
      </c>
      <c r="X4579" s="93">
        <f>IF(AND(B4579&lt;&gt;"",B4579&gt;='Buku Akun'!$H$4,B4579&lt;='Buku Akun'!$H$5,OR(C4579='Buku Akun'!$C$4,AND(D4579="Pindah",E4579='Buku Akun'!$C$4))),B4579+IF(AND(I4579="Selisih bunga",DAY(B4579)=1),0,0.01)+ROW()/10000000,"")</f>
        <v/>
      </c>
    </row>
    <row r="4580" outlineLevel="1" ht="15" customHeight="1" s="94">
      <c r="A4580" s="123">
        <f>IF(B4580="","",ROW()-15)</f>
        <v/>
      </c>
      <c r="B4580" s="124" t="n"/>
      <c r="C4580" s="123" t="n"/>
      <c r="D4580" s="123" t="n"/>
      <c r="E4580" s="123" t="n"/>
      <c r="F4580" s="125" t="n"/>
      <c r="G4580" s="123" t="n"/>
      <c r="H4580" s="123" t="n"/>
      <c r="I4580" s="123" t="n"/>
      <c r="J4580" s="123" t="n"/>
      <c r="K4580" s="123" t="n"/>
      <c r="L4580" s="123" t="n"/>
      <c r="M4580" s="123">
        <f>IF(AND(B4580&lt;&gt;"",OR($C$4="",ISNUMBER(SEARCH($C$4,C4580&amp;" "&amp;E4580&amp;" "&amp;G4580&amp;" "&amp;H4580&amp;" "&amp;I4580&amp;" "&amp;J4580&amp;" "&amp;K4580&amp;" "&amp;L4580))),OR($C$5="Semua",$C$5="",G4580=$C$5),OR($C$6="Semua",$C$6="",H4580=$C$6,H4580="Pengeluaran "&amp;$C$6,AND($C$6="Uang Kos Mama",H4580="Pengeluaran Uang Kos")),OR($C$7="Semua",$C$7="",I4580=$C$7),OR($C$8="Semua",$C$8="",C4580=$C$8,E4580=$C$8),OR($C$9="Semua",$C$9="",D4580=$C$9),OR($C$10="",B4580&gt;=$C$10),OR($C$11="",B4580&lt;=$C$11),OR($C$12&lt;&gt;"Ya",K4580&lt;&gt;""),OR($C$13="Semua",$C$13="",L4580=$C$13)),"✓","")</f>
        <v/>
      </c>
      <c r="N4580" s="93">
        <f>N(N4579)+IF(M4580="✓",1,0)</f>
        <v/>
      </c>
      <c r="O4580" s="93">
        <f>N(O4579)+IF(AND(B4580&lt;&gt;"",B4580&gt;='Uang Riba'!$H$30,B4580&lt;='Uang Riba'!$I$30,OR(H4580="Dana riba",H4580="Pinjam uang riba",I4580="Pinjam dari uang riba",I4580="Ganti uang riba",I4580="Kelebihan ganti dikembalikan",AND(C4580="Kantong Uang Riba",G4580="Pengeluaran"))),1,0)</f>
        <v/>
      </c>
      <c r="X4580" s="93">
        <f>IF(AND(B4580&lt;&gt;"",B4580&gt;='Buku Akun'!$H$4,B4580&lt;='Buku Akun'!$H$5,OR(C4580='Buku Akun'!$C$4,AND(D4580="Pindah",E4580='Buku Akun'!$C$4))),B4580+IF(AND(I4580="Selisih bunga",DAY(B4580)=1),0,0.01)+ROW()/10000000,"")</f>
        <v/>
      </c>
    </row>
    <row r="4581" outlineLevel="1" ht="15" customHeight="1" s="94">
      <c r="A4581" s="123">
        <f>IF(B4581="","",ROW()-15)</f>
        <v/>
      </c>
      <c r="B4581" s="124" t="n"/>
      <c r="C4581" s="123" t="n"/>
      <c r="D4581" s="123" t="n"/>
      <c r="E4581" s="123" t="n"/>
      <c r="F4581" s="125" t="n"/>
      <c r="G4581" s="123" t="n"/>
      <c r="H4581" s="123" t="n"/>
      <c r="I4581" s="123" t="n"/>
      <c r="J4581" s="123" t="n"/>
      <c r="K4581" s="123" t="n"/>
      <c r="L4581" s="123" t="n"/>
      <c r="M4581" s="123">
        <f>IF(AND(B4581&lt;&gt;"",OR($C$4="",ISNUMBER(SEARCH($C$4,C4581&amp;" "&amp;E4581&amp;" "&amp;G4581&amp;" "&amp;H4581&amp;" "&amp;I4581&amp;" "&amp;J4581&amp;" "&amp;K4581&amp;" "&amp;L4581))),OR($C$5="Semua",$C$5="",G4581=$C$5),OR($C$6="Semua",$C$6="",H4581=$C$6,H4581="Pengeluaran "&amp;$C$6,AND($C$6="Uang Kos Mama",H4581="Pengeluaran Uang Kos")),OR($C$7="Semua",$C$7="",I4581=$C$7),OR($C$8="Semua",$C$8="",C4581=$C$8,E4581=$C$8),OR($C$9="Semua",$C$9="",D4581=$C$9),OR($C$10="",B4581&gt;=$C$10),OR($C$11="",B4581&lt;=$C$11),OR($C$12&lt;&gt;"Ya",K4581&lt;&gt;""),OR($C$13="Semua",$C$13="",L4581=$C$13)),"✓","")</f>
        <v/>
      </c>
      <c r="N4581" s="93">
        <f>N(N4580)+IF(M4581="✓",1,0)</f>
        <v/>
      </c>
      <c r="O4581" s="93">
        <f>N(O4580)+IF(AND(B4581&lt;&gt;"",B4581&gt;='Uang Riba'!$H$30,B4581&lt;='Uang Riba'!$I$30,OR(H4581="Dana riba",H4581="Pinjam uang riba",I4581="Pinjam dari uang riba",I4581="Ganti uang riba",I4581="Kelebihan ganti dikembalikan",AND(C4581="Kantong Uang Riba",G4581="Pengeluaran"))),1,0)</f>
        <v/>
      </c>
      <c r="X4581" s="93">
        <f>IF(AND(B4581&lt;&gt;"",B4581&gt;='Buku Akun'!$H$4,B4581&lt;='Buku Akun'!$H$5,OR(C4581='Buku Akun'!$C$4,AND(D4581="Pindah",E4581='Buku Akun'!$C$4))),B4581+IF(AND(I4581="Selisih bunga",DAY(B4581)=1),0,0.01)+ROW()/10000000,"")</f>
        <v/>
      </c>
    </row>
    <row r="4582" outlineLevel="1" ht="15" customHeight="1" s="94">
      <c r="A4582" s="123">
        <f>IF(B4582="","",ROW()-15)</f>
        <v/>
      </c>
      <c r="B4582" s="124" t="n"/>
      <c r="C4582" s="123" t="n"/>
      <c r="D4582" s="123" t="n"/>
      <c r="E4582" s="123" t="n"/>
      <c r="F4582" s="125" t="n"/>
      <c r="G4582" s="123" t="n"/>
      <c r="H4582" s="123" t="n"/>
      <c r="I4582" s="123" t="n"/>
      <c r="J4582" s="123" t="n"/>
      <c r="K4582" s="123" t="n"/>
      <c r="L4582" s="123" t="n"/>
      <c r="M4582" s="123">
        <f>IF(AND(B4582&lt;&gt;"",OR($C$4="",ISNUMBER(SEARCH($C$4,C4582&amp;" "&amp;E4582&amp;" "&amp;G4582&amp;" "&amp;H4582&amp;" "&amp;I4582&amp;" "&amp;J4582&amp;" "&amp;K4582&amp;" "&amp;L4582))),OR($C$5="Semua",$C$5="",G4582=$C$5),OR($C$6="Semua",$C$6="",H4582=$C$6,H4582="Pengeluaran "&amp;$C$6,AND($C$6="Uang Kos Mama",H4582="Pengeluaran Uang Kos")),OR($C$7="Semua",$C$7="",I4582=$C$7),OR($C$8="Semua",$C$8="",C4582=$C$8,E4582=$C$8),OR($C$9="Semua",$C$9="",D4582=$C$9),OR($C$10="",B4582&gt;=$C$10),OR($C$11="",B4582&lt;=$C$11),OR($C$12&lt;&gt;"Ya",K4582&lt;&gt;""),OR($C$13="Semua",$C$13="",L4582=$C$13)),"✓","")</f>
        <v/>
      </c>
      <c r="N4582" s="93">
        <f>N(N4581)+IF(M4582="✓",1,0)</f>
        <v/>
      </c>
      <c r="O4582" s="93">
        <f>N(O4581)+IF(AND(B4582&lt;&gt;"",B4582&gt;='Uang Riba'!$H$30,B4582&lt;='Uang Riba'!$I$30,OR(H4582="Dana riba",H4582="Pinjam uang riba",I4582="Pinjam dari uang riba",I4582="Ganti uang riba",I4582="Kelebihan ganti dikembalikan",AND(C4582="Kantong Uang Riba",G4582="Pengeluaran"))),1,0)</f>
        <v/>
      </c>
      <c r="X4582" s="93">
        <f>IF(AND(B4582&lt;&gt;"",B4582&gt;='Buku Akun'!$H$4,B4582&lt;='Buku Akun'!$H$5,OR(C4582='Buku Akun'!$C$4,AND(D4582="Pindah",E4582='Buku Akun'!$C$4))),B4582+IF(AND(I4582="Selisih bunga",DAY(B4582)=1),0,0.01)+ROW()/10000000,"")</f>
        <v/>
      </c>
    </row>
    <row r="4583" outlineLevel="1" ht="15" customHeight="1" s="94">
      <c r="A4583" s="123">
        <f>IF(B4583="","",ROW()-15)</f>
        <v/>
      </c>
      <c r="B4583" s="124" t="n"/>
      <c r="C4583" s="123" t="n"/>
      <c r="D4583" s="123" t="n"/>
      <c r="E4583" s="123" t="n"/>
      <c r="F4583" s="125" t="n"/>
      <c r="G4583" s="123" t="n"/>
      <c r="H4583" s="123" t="n"/>
      <c r="I4583" s="123" t="n"/>
      <c r="J4583" s="123" t="n"/>
      <c r="K4583" s="123" t="n"/>
      <c r="L4583" s="123" t="n"/>
      <c r="M4583" s="123">
        <f>IF(AND(B4583&lt;&gt;"",OR($C$4="",ISNUMBER(SEARCH($C$4,C4583&amp;" "&amp;E4583&amp;" "&amp;G4583&amp;" "&amp;H4583&amp;" "&amp;I4583&amp;" "&amp;J4583&amp;" "&amp;K4583&amp;" "&amp;L4583))),OR($C$5="Semua",$C$5="",G4583=$C$5),OR($C$6="Semua",$C$6="",H4583=$C$6,H4583="Pengeluaran "&amp;$C$6,AND($C$6="Uang Kos Mama",H4583="Pengeluaran Uang Kos")),OR($C$7="Semua",$C$7="",I4583=$C$7),OR($C$8="Semua",$C$8="",C4583=$C$8,E4583=$C$8),OR($C$9="Semua",$C$9="",D4583=$C$9),OR($C$10="",B4583&gt;=$C$10),OR($C$11="",B4583&lt;=$C$11),OR($C$12&lt;&gt;"Ya",K4583&lt;&gt;""),OR($C$13="Semua",$C$13="",L4583=$C$13)),"✓","")</f>
        <v/>
      </c>
      <c r="N4583" s="93">
        <f>N(N4582)+IF(M4583="✓",1,0)</f>
        <v/>
      </c>
      <c r="O4583" s="93">
        <f>N(O4582)+IF(AND(B4583&lt;&gt;"",B4583&gt;='Uang Riba'!$H$30,B4583&lt;='Uang Riba'!$I$30,OR(H4583="Dana riba",H4583="Pinjam uang riba",I4583="Pinjam dari uang riba",I4583="Ganti uang riba",I4583="Kelebihan ganti dikembalikan",AND(C4583="Kantong Uang Riba",G4583="Pengeluaran"))),1,0)</f>
        <v/>
      </c>
      <c r="X4583" s="93">
        <f>IF(AND(B4583&lt;&gt;"",B4583&gt;='Buku Akun'!$H$4,B4583&lt;='Buku Akun'!$H$5,OR(C4583='Buku Akun'!$C$4,AND(D4583="Pindah",E4583='Buku Akun'!$C$4))),B4583+IF(AND(I4583="Selisih bunga",DAY(B4583)=1),0,0.01)+ROW()/10000000,"")</f>
        <v/>
      </c>
    </row>
    <row r="4584" outlineLevel="1" ht="15" customHeight="1" s="94">
      <c r="A4584" s="123">
        <f>IF(B4584="","",ROW()-15)</f>
        <v/>
      </c>
      <c r="B4584" s="124" t="n"/>
      <c r="C4584" s="123" t="n"/>
      <c r="D4584" s="123" t="n"/>
      <c r="E4584" s="123" t="n"/>
      <c r="F4584" s="125" t="n"/>
      <c r="G4584" s="123" t="n"/>
      <c r="H4584" s="123" t="n"/>
      <c r="I4584" s="123" t="n"/>
      <c r="J4584" s="123" t="n"/>
      <c r="K4584" s="123" t="n"/>
      <c r="L4584" s="123" t="n"/>
      <c r="M4584" s="123">
        <f>IF(AND(B4584&lt;&gt;"",OR($C$4="",ISNUMBER(SEARCH($C$4,C4584&amp;" "&amp;E4584&amp;" "&amp;G4584&amp;" "&amp;H4584&amp;" "&amp;I4584&amp;" "&amp;J4584&amp;" "&amp;K4584&amp;" "&amp;L4584))),OR($C$5="Semua",$C$5="",G4584=$C$5),OR($C$6="Semua",$C$6="",H4584=$C$6,H4584="Pengeluaran "&amp;$C$6,AND($C$6="Uang Kos Mama",H4584="Pengeluaran Uang Kos")),OR($C$7="Semua",$C$7="",I4584=$C$7),OR($C$8="Semua",$C$8="",C4584=$C$8,E4584=$C$8),OR($C$9="Semua",$C$9="",D4584=$C$9),OR($C$10="",B4584&gt;=$C$10),OR($C$11="",B4584&lt;=$C$11),OR($C$12&lt;&gt;"Ya",K4584&lt;&gt;""),OR($C$13="Semua",$C$13="",L4584=$C$13)),"✓","")</f>
        <v/>
      </c>
      <c r="N4584" s="93">
        <f>N(N4583)+IF(M4584="✓",1,0)</f>
        <v/>
      </c>
      <c r="O4584" s="93">
        <f>N(O4583)+IF(AND(B4584&lt;&gt;"",B4584&gt;='Uang Riba'!$H$30,B4584&lt;='Uang Riba'!$I$30,OR(H4584="Dana riba",H4584="Pinjam uang riba",I4584="Pinjam dari uang riba",I4584="Ganti uang riba",I4584="Kelebihan ganti dikembalikan",AND(C4584="Kantong Uang Riba",G4584="Pengeluaran"))),1,0)</f>
        <v/>
      </c>
      <c r="X4584" s="93">
        <f>IF(AND(B4584&lt;&gt;"",B4584&gt;='Buku Akun'!$H$4,B4584&lt;='Buku Akun'!$H$5,OR(C4584='Buku Akun'!$C$4,AND(D4584="Pindah",E4584='Buku Akun'!$C$4))),B4584+IF(AND(I4584="Selisih bunga",DAY(B4584)=1),0,0.01)+ROW()/10000000,"")</f>
        <v/>
      </c>
    </row>
    <row r="4585" outlineLevel="1" ht="15" customHeight="1" s="94">
      <c r="A4585" s="123">
        <f>IF(B4585="","",ROW()-15)</f>
        <v/>
      </c>
      <c r="B4585" s="124" t="n"/>
      <c r="C4585" s="123" t="n"/>
      <c r="D4585" s="123" t="n"/>
      <c r="E4585" s="123" t="n"/>
      <c r="F4585" s="125" t="n"/>
      <c r="G4585" s="123" t="n"/>
      <c r="H4585" s="123" t="n"/>
      <c r="I4585" s="123" t="n"/>
      <c r="J4585" s="123" t="n"/>
      <c r="K4585" s="123" t="n"/>
      <c r="L4585" s="123" t="n"/>
      <c r="M4585" s="123">
        <f>IF(AND(B4585&lt;&gt;"",OR($C$4="",ISNUMBER(SEARCH($C$4,C4585&amp;" "&amp;E4585&amp;" "&amp;G4585&amp;" "&amp;H4585&amp;" "&amp;I4585&amp;" "&amp;J4585&amp;" "&amp;K4585&amp;" "&amp;L4585))),OR($C$5="Semua",$C$5="",G4585=$C$5),OR($C$6="Semua",$C$6="",H4585=$C$6,H4585="Pengeluaran "&amp;$C$6,AND($C$6="Uang Kos Mama",H4585="Pengeluaran Uang Kos")),OR($C$7="Semua",$C$7="",I4585=$C$7),OR($C$8="Semua",$C$8="",C4585=$C$8,E4585=$C$8),OR($C$9="Semua",$C$9="",D4585=$C$9),OR($C$10="",B4585&gt;=$C$10),OR($C$11="",B4585&lt;=$C$11),OR($C$12&lt;&gt;"Ya",K4585&lt;&gt;""),OR($C$13="Semua",$C$13="",L4585=$C$13)),"✓","")</f>
        <v/>
      </c>
      <c r="N4585" s="93">
        <f>N(N4584)+IF(M4585="✓",1,0)</f>
        <v/>
      </c>
      <c r="O4585" s="93">
        <f>N(O4584)+IF(AND(B4585&lt;&gt;"",B4585&gt;='Uang Riba'!$H$30,B4585&lt;='Uang Riba'!$I$30,OR(H4585="Dana riba",H4585="Pinjam uang riba",I4585="Pinjam dari uang riba",I4585="Ganti uang riba",I4585="Kelebihan ganti dikembalikan",AND(C4585="Kantong Uang Riba",G4585="Pengeluaran"))),1,0)</f>
        <v/>
      </c>
      <c r="X4585" s="93">
        <f>IF(AND(B4585&lt;&gt;"",B4585&gt;='Buku Akun'!$H$4,B4585&lt;='Buku Akun'!$H$5,OR(C4585='Buku Akun'!$C$4,AND(D4585="Pindah",E4585='Buku Akun'!$C$4))),B4585+IF(AND(I4585="Selisih bunga",DAY(B4585)=1),0,0.01)+ROW()/10000000,"")</f>
        <v/>
      </c>
    </row>
    <row r="4586" outlineLevel="1" ht="15" customHeight="1" s="94">
      <c r="A4586" s="123">
        <f>IF(B4586="","",ROW()-15)</f>
        <v/>
      </c>
      <c r="B4586" s="124" t="n"/>
      <c r="C4586" s="123" t="n"/>
      <c r="D4586" s="123" t="n"/>
      <c r="E4586" s="123" t="n"/>
      <c r="F4586" s="125" t="n"/>
      <c r="G4586" s="123" t="n"/>
      <c r="H4586" s="123" t="n"/>
      <c r="I4586" s="123" t="n"/>
      <c r="J4586" s="123" t="n"/>
      <c r="K4586" s="123" t="n"/>
      <c r="L4586" s="123" t="n"/>
      <c r="M4586" s="123">
        <f>IF(AND(B4586&lt;&gt;"",OR($C$4="",ISNUMBER(SEARCH($C$4,C4586&amp;" "&amp;E4586&amp;" "&amp;G4586&amp;" "&amp;H4586&amp;" "&amp;I4586&amp;" "&amp;J4586&amp;" "&amp;K4586&amp;" "&amp;L4586))),OR($C$5="Semua",$C$5="",G4586=$C$5),OR($C$6="Semua",$C$6="",H4586=$C$6,H4586="Pengeluaran "&amp;$C$6,AND($C$6="Uang Kos Mama",H4586="Pengeluaran Uang Kos")),OR($C$7="Semua",$C$7="",I4586=$C$7),OR($C$8="Semua",$C$8="",C4586=$C$8,E4586=$C$8),OR($C$9="Semua",$C$9="",D4586=$C$9),OR($C$10="",B4586&gt;=$C$10),OR($C$11="",B4586&lt;=$C$11),OR($C$12&lt;&gt;"Ya",K4586&lt;&gt;""),OR($C$13="Semua",$C$13="",L4586=$C$13)),"✓","")</f>
        <v/>
      </c>
      <c r="N4586" s="93">
        <f>N(N4585)+IF(M4586="✓",1,0)</f>
        <v/>
      </c>
      <c r="O4586" s="93">
        <f>N(O4585)+IF(AND(B4586&lt;&gt;"",B4586&gt;='Uang Riba'!$H$30,B4586&lt;='Uang Riba'!$I$30,OR(H4586="Dana riba",H4586="Pinjam uang riba",I4586="Pinjam dari uang riba",I4586="Ganti uang riba",I4586="Kelebihan ganti dikembalikan",AND(C4586="Kantong Uang Riba",G4586="Pengeluaran"))),1,0)</f>
        <v/>
      </c>
      <c r="X4586" s="93">
        <f>IF(AND(B4586&lt;&gt;"",B4586&gt;='Buku Akun'!$H$4,B4586&lt;='Buku Akun'!$H$5,OR(C4586='Buku Akun'!$C$4,AND(D4586="Pindah",E4586='Buku Akun'!$C$4))),B4586+IF(AND(I4586="Selisih bunga",DAY(B4586)=1),0,0.01)+ROW()/10000000,"")</f>
        <v/>
      </c>
    </row>
    <row r="4587" outlineLevel="1" ht="15" customHeight="1" s="94">
      <c r="A4587" s="123">
        <f>IF(B4587="","",ROW()-15)</f>
        <v/>
      </c>
      <c r="B4587" s="124" t="n"/>
      <c r="C4587" s="123" t="n"/>
      <c r="D4587" s="123" t="n"/>
      <c r="E4587" s="123" t="n"/>
      <c r="F4587" s="125" t="n"/>
      <c r="G4587" s="123" t="n"/>
      <c r="H4587" s="123" t="n"/>
      <c r="I4587" s="123" t="n"/>
      <c r="J4587" s="123" t="n"/>
      <c r="K4587" s="123" t="n"/>
      <c r="L4587" s="123" t="n"/>
      <c r="M4587" s="123">
        <f>IF(AND(B4587&lt;&gt;"",OR($C$4="",ISNUMBER(SEARCH($C$4,C4587&amp;" "&amp;E4587&amp;" "&amp;G4587&amp;" "&amp;H4587&amp;" "&amp;I4587&amp;" "&amp;J4587&amp;" "&amp;K4587&amp;" "&amp;L4587))),OR($C$5="Semua",$C$5="",G4587=$C$5),OR($C$6="Semua",$C$6="",H4587=$C$6,H4587="Pengeluaran "&amp;$C$6,AND($C$6="Uang Kos Mama",H4587="Pengeluaran Uang Kos")),OR($C$7="Semua",$C$7="",I4587=$C$7),OR($C$8="Semua",$C$8="",C4587=$C$8,E4587=$C$8),OR($C$9="Semua",$C$9="",D4587=$C$9),OR($C$10="",B4587&gt;=$C$10),OR($C$11="",B4587&lt;=$C$11),OR($C$12&lt;&gt;"Ya",K4587&lt;&gt;""),OR($C$13="Semua",$C$13="",L4587=$C$13)),"✓","")</f>
        <v/>
      </c>
      <c r="N4587" s="93">
        <f>N(N4586)+IF(M4587="✓",1,0)</f>
        <v/>
      </c>
      <c r="O4587" s="93">
        <f>N(O4586)+IF(AND(B4587&lt;&gt;"",B4587&gt;='Uang Riba'!$H$30,B4587&lt;='Uang Riba'!$I$30,OR(H4587="Dana riba",H4587="Pinjam uang riba",I4587="Pinjam dari uang riba",I4587="Ganti uang riba",I4587="Kelebihan ganti dikembalikan",AND(C4587="Kantong Uang Riba",G4587="Pengeluaran"))),1,0)</f>
        <v/>
      </c>
      <c r="X4587" s="93">
        <f>IF(AND(B4587&lt;&gt;"",B4587&gt;='Buku Akun'!$H$4,B4587&lt;='Buku Akun'!$H$5,OR(C4587='Buku Akun'!$C$4,AND(D4587="Pindah",E4587='Buku Akun'!$C$4))),B4587+IF(AND(I4587="Selisih bunga",DAY(B4587)=1),0,0.01)+ROW()/10000000,"")</f>
        <v/>
      </c>
    </row>
    <row r="4588" outlineLevel="1" ht="15" customHeight="1" s="94">
      <c r="A4588" s="123">
        <f>IF(B4588="","",ROW()-15)</f>
        <v/>
      </c>
      <c r="B4588" s="124" t="n"/>
      <c r="C4588" s="123" t="n"/>
      <c r="D4588" s="123" t="n"/>
      <c r="E4588" s="123" t="n"/>
      <c r="F4588" s="125" t="n"/>
      <c r="G4588" s="123" t="n"/>
      <c r="H4588" s="123" t="n"/>
      <c r="I4588" s="123" t="n"/>
      <c r="J4588" s="123" t="n"/>
      <c r="K4588" s="123" t="n"/>
      <c r="L4588" s="123" t="n"/>
      <c r="M4588" s="123">
        <f>IF(AND(B4588&lt;&gt;"",OR($C$4="",ISNUMBER(SEARCH($C$4,C4588&amp;" "&amp;E4588&amp;" "&amp;G4588&amp;" "&amp;H4588&amp;" "&amp;I4588&amp;" "&amp;J4588&amp;" "&amp;K4588&amp;" "&amp;L4588))),OR($C$5="Semua",$C$5="",G4588=$C$5),OR($C$6="Semua",$C$6="",H4588=$C$6,H4588="Pengeluaran "&amp;$C$6,AND($C$6="Uang Kos Mama",H4588="Pengeluaran Uang Kos")),OR($C$7="Semua",$C$7="",I4588=$C$7),OR($C$8="Semua",$C$8="",C4588=$C$8,E4588=$C$8),OR($C$9="Semua",$C$9="",D4588=$C$9),OR($C$10="",B4588&gt;=$C$10),OR($C$11="",B4588&lt;=$C$11),OR($C$12&lt;&gt;"Ya",K4588&lt;&gt;""),OR($C$13="Semua",$C$13="",L4588=$C$13)),"✓","")</f>
        <v/>
      </c>
      <c r="N4588" s="93">
        <f>N(N4587)+IF(M4588="✓",1,0)</f>
        <v/>
      </c>
      <c r="O4588" s="93">
        <f>N(O4587)+IF(AND(B4588&lt;&gt;"",B4588&gt;='Uang Riba'!$H$30,B4588&lt;='Uang Riba'!$I$30,OR(H4588="Dana riba",H4588="Pinjam uang riba",I4588="Pinjam dari uang riba",I4588="Ganti uang riba",I4588="Kelebihan ganti dikembalikan",AND(C4588="Kantong Uang Riba",G4588="Pengeluaran"))),1,0)</f>
        <v/>
      </c>
      <c r="X4588" s="93">
        <f>IF(AND(B4588&lt;&gt;"",B4588&gt;='Buku Akun'!$H$4,B4588&lt;='Buku Akun'!$H$5,OR(C4588='Buku Akun'!$C$4,AND(D4588="Pindah",E4588='Buku Akun'!$C$4))),B4588+IF(AND(I4588="Selisih bunga",DAY(B4588)=1),0,0.01)+ROW()/10000000,"")</f>
        <v/>
      </c>
    </row>
    <row r="4589" outlineLevel="1" ht="15" customHeight="1" s="94">
      <c r="A4589" s="123">
        <f>IF(B4589="","",ROW()-15)</f>
        <v/>
      </c>
      <c r="B4589" s="124" t="n"/>
      <c r="C4589" s="123" t="n"/>
      <c r="D4589" s="123" t="n"/>
      <c r="E4589" s="123" t="n"/>
      <c r="F4589" s="125" t="n"/>
      <c r="G4589" s="123" t="n"/>
      <c r="H4589" s="123" t="n"/>
      <c r="I4589" s="123" t="n"/>
      <c r="J4589" s="123" t="n"/>
      <c r="K4589" s="123" t="n"/>
      <c r="L4589" s="123" t="n"/>
      <c r="M4589" s="123">
        <f>IF(AND(B4589&lt;&gt;"",OR($C$4="",ISNUMBER(SEARCH($C$4,C4589&amp;" "&amp;E4589&amp;" "&amp;G4589&amp;" "&amp;H4589&amp;" "&amp;I4589&amp;" "&amp;J4589&amp;" "&amp;K4589&amp;" "&amp;L4589))),OR($C$5="Semua",$C$5="",G4589=$C$5),OR($C$6="Semua",$C$6="",H4589=$C$6,H4589="Pengeluaran "&amp;$C$6,AND($C$6="Uang Kos Mama",H4589="Pengeluaran Uang Kos")),OR($C$7="Semua",$C$7="",I4589=$C$7),OR($C$8="Semua",$C$8="",C4589=$C$8,E4589=$C$8),OR($C$9="Semua",$C$9="",D4589=$C$9),OR($C$10="",B4589&gt;=$C$10),OR($C$11="",B4589&lt;=$C$11),OR($C$12&lt;&gt;"Ya",K4589&lt;&gt;""),OR($C$13="Semua",$C$13="",L4589=$C$13)),"✓","")</f>
        <v/>
      </c>
      <c r="N4589" s="93">
        <f>N(N4588)+IF(M4589="✓",1,0)</f>
        <v/>
      </c>
      <c r="O4589" s="93">
        <f>N(O4588)+IF(AND(B4589&lt;&gt;"",B4589&gt;='Uang Riba'!$H$30,B4589&lt;='Uang Riba'!$I$30,OR(H4589="Dana riba",H4589="Pinjam uang riba",I4589="Pinjam dari uang riba",I4589="Ganti uang riba",I4589="Kelebihan ganti dikembalikan",AND(C4589="Kantong Uang Riba",G4589="Pengeluaran"))),1,0)</f>
        <v/>
      </c>
      <c r="X4589" s="93">
        <f>IF(AND(B4589&lt;&gt;"",B4589&gt;='Buku Akun'!$H$4,B4589&lt;='Buku Akun'!$H$5,OR(C4589='Buku Akun'!$C$4,AND(D4589="Pindah",E4589='Buku Akun'!$C$4))),B4589+IF(AND(I4589="Selisih bunga",DAY(B4589)=1),0,0.01)+ROW()/10000000,"")</f>
        <v/>
      </c>
    </row>
    <row r="4590" outlineLevel="1" ht="15" customHeight="1" s="94">
      <c r="A4590" s="123">
        <f>IF(B4590="","",ROW()-15)</f>
        <v/>
      </c>
      <c r="B4590" s="124" t="n"/>
      <c r="C4590" s="123" t="n"/>
      <c r="D4590" s="123" t="n"/>
      <c r="E4590" s="123" t="n"/>
      <c r="F4590" s="125" t="n"/>
      <c r="G4590" s="123" t="n"/>
      <c r="H4590" s="123" t="n"/>
      <c r="I4590" s="123" t="n"/>
      <c r="J4590" s="123" t="n"/>
      <c r="K4590" s="123" t="n"/>
      <c r="L4590" s="123" t="n"/>
      <c r="M4590" s="123">
        <f>IF(AND(B4590&lt;&gt;"",OR($C$4="",ISNUMBER(SEARCH($C$4,C4590&amp;" "&amp;E4590&amp;" "&amp;G4590&amp;" "&amp;H4590&amp;" "&amp;I4590&amp;" "&amp;J4590&amp;" "&amp;K4590&amp;" "&amp;L4590))),OR($C$5="Semua",$C$5="",G4590=$C$5),OR($C$6="Semua",$C$6="",H4590=$C$6,H4590="Pengeluaran "&amp;$C$6,AND($C$6="Uang Kos Mama",H4590="Pengeluaran Uang Kos")),OR($C$7="Semua",$C$7="",I4590=$C$7),OR($C$8="Semua",$C$8="",C4590=$C$8,E4590=$C$8),OR($C$9="Semua",$C$9="",D4590=$C$9),OR($C$10="",B4590&gt;=$C$10),OR($C$11="",B4590&lt;=$C$11),OR($C$12&lt;&gt;"Ya",K4590&lt;&gt;""),OR($C$13="Semua",$C$13="",L4590=$C$13)),"✓","")</f>
        <v/>
      </c>
      <c r="N4590" s="93">
        <f>N(N4589)+IF(M4590="✓",1,0)</f>
        <v/>
      </c>
      <c r="O4590" s="93">
        <f>N(O4589)+IF(AND(B4590&lt;&gt;"",B4590&gt;='Uang Riba'!$H$30,B4590&lt;='Uang Riba'!$I$30,OR(H4590="Dana riba",H4590="Pinjam uang riba",I4590="Pinjam dari uang riba",I4590="Ganti uang riba",I4590="Kelebihan ganti dikembalikan",AND(C4590="Kantong Uang Riba",G4590="Pengeluaran"))),1,0)</f>
        <v/>
      </c>
      <c r="X4590" s="93">
        <f>IF(AND(B4590&lt;&gt;"",B4590&gt;='Buku Akun'!$H$4,B4590&lt;='Buku Akun'!$H$5,OR(C4590='Buku Akun'!$C$4,AND(D4590="Pindah",E4590='Buku Akun'!$C$4))),B4590+IF(AND(I4590="Selisih bunga",DAY(B4590)=1),0,0.01)+ROW()/10000000,"")</f>
        <v/>
      </c>
    </row>
    <row r="4591" outlineLevel="1" ht="15" customHeight="1" s="94">
      <c r="A4591" s="123">
        <f>IF(B4591="","",ROW()-15)</f>
        <v/>
      </c>
      <c r="B4591" s="124" t="n"/>
      <c r="C4591" s="123" t="n"/>
      <c r="D4591" s="123" t="n"/>
      <c r="E4591" s="123" t="n"/>
      <c r="F4591" s="125" t="n"/>
      <c r="G4591" s="123" t="n"/>
      <c r="H4591" s="123" t="n"/>
      <c r="I4591" s="123" t="n"/>
      <c r="J4591" s="123" t="n"/>
      <c r="K4591" s="123" t="n"/>
      <c r="L4591" s="123" t="n"/>
      <c r="M4591" s="123">
        <f>IF(AND(B4591&lt;&gt;"",OR($C$4="",ISNUMBER(SEARCH($C$4,C4591&amp;" "&amp;E4591&amp;" "&amp;G4591&amp;" "&amp;H4591&amp;" "&amp;I4591&amp;" "&amp;J4591&amp;" "&amp;K4591&amp;" "&amp;L4591))),OR($C$5="Semua",$C$5="",G4591=$C$5),OR($C$6="Semua",$C$6="",H4591=$C$6,H4591="Pengeluaran "&amp;$C$6,AND($C$6="Uang Kos Mama",H4591="Pengeluaran Uang Kos")),OR($C$7="Semua",$C$7="",I4591=$C$7),OR($C$8="Semua",$C$8="",C4591=$C$8,E4591=$C$8),OR($C$9="Semua",$C$9="",D4591=$C$9),OR($C$10="",B4591&gt;=$C$10),OR($C$11="",B4591&lt;=$C$11),OR($C$12&lt;&gt;"Ya",K4591&lt;&gt;""),OR($C$13="Semua",$C$13="",L4591=$C$13)),"✓","")</f>
        <v/>
      </c>
      <c r="N4591" s="93">
        <f>N(N4590)+IF(M4591="✓",1,0)</f>
        <v/>
      </c>
      <c r="O4591" s="93">
        <f>N(O4590)+IF(AND(B4591&lt;&gt;"",B4591&gt;='Uang Riba'!$H$30,B4591&lt;='Uang Riba'!$I$30,OR(H4591="Dana riba",H4591="Pinjam uang riba",I4591="Pinjam dari uang riba",I4591="Ganti uang riba",I4591="Kelebihan ganti dikembalikan",AND(C4591="Kantong Uang Riba",G4591="Pengeluaran"))),1,0)</f>
        <v/>
      </c>
      <c r="X4591" s="93">
        <f>IF(AND(B4591&lt;&gt;"",B4591&gt;='Buku Akun'!$H$4,B4591&lt;='Buku Akun'!$H$5,OR(C4591='Buku Akun'!$C$4,AND(D4591="Pindah",E4591='Buku Akun'!$C$4))),B4591+IF(AND(I4591="Selisih bunga",DAY(B4591)=1),0,0.01)+ROW()/10000000,"")</f>
        <v/>
      </c>
    </row>
    <row r="4592" outlineLevel="1" ht="15" customHeight="1" s="94">
      <c r="A4592" s="123">
        <f>IF(B4592="","",ROW()-15)</f>
        <v/>
      </c>
      <c r="B4592" s="124" t="n"/>
      <c r="C4592" s="123" t="n"/>
      <c r="D4592" s="123" t="n"/>
      <c r="E4592" s="123" t="n"/>
      <c r="F4592" s="125" t="n"/>
      <c r="G4592" s="123" t="n"/>
      <c r="H4592" s="123" t="n"/>
      <c r="I4592" s="123" t="n"/>
      <c r="J4592" s="123" t="n"/>
      <c r="K4592" s="123" t="n"/>
      <c r="L4592" s="123" t="n"/>
      <c r="M4592" s="123">
        <f>IF(AND(B4592&lt;&gt;"",OR($C$4="",ISNUMBER(SEARCH($C$4,C4592&amp;" "&amp;E4592&amp;" "&amp;G4592&amp;" "&amp;H4592&amp;" "&amp;I4592&amp;" "&amp;J4592&amp;" "&amp;K4592&amp;" "&amp;L4592))),OR($C$5="Semua",$C$5="",G4592=$C$5),OR($C$6="Semua",$C$6="",H4592=$C$6,H4592="Pengeluaran "&amp;$C$6,AND($C$6="Uang Kos Mama",H4592="Pengeluaran Uang Kos")),OR($C$7="Semua",$C$7="",I4592=$C$7),OR($C$8="Semua",$C$8="",C4592=$C$8,E4592=$C$8),OR($C$9="Semua",$C$9="",D4592=$C$9),OR($C$10="",B4592&gt;=$C$10),OR($C$11="",B4592&lt;=$C$11),OR($C$12&lt;&gt;"Ya",K4592&lt;&gt;""),OR($C$13="Semua",$C$13="",L4592=$C$13)),"✓","")</f>
        <v/>
      </c>
      <c r="N4592" s="93">
        <f>N(N4591)+IF(M4592="✓",1,0)</f>
        <v/>
      </c>
      <c r="O4592" s="93">
        <f>N(O4591)+IF(AND(B4592&lt;&gt;"",B4592&gt;='Uang Riba'!$H$30,B4592&lt;='Uang Riba'!$I$30,OR(H4592="Dana riba",H4592="Pinjam uang riba",I4592="Pinjam dari uang riba",I4592="Ganti uang riba",I4592="Kelebihan ganti dikembalikan",AND(C4592="Kantong Uang Riba",G4592="Pengeluaran"))),1,0)</f>
        <v/>
      </c>
      <c r="X4592" s="93">
        <f>IF(AND(B4592&lt;&gt;"",B4592&gt;='Buku Akun'!$H$4,B4592&lt;='Buku Akun'!$H$5,OR(C4592='Buku Akun'!$C$4,AND(D4592="Pindah",E4592='Buku Akun'!$C$4))),B4592+IF(AND(I4592="Selisih bunga",DAY(B4592)=1),0,0.01)+ROW()/10000000,"")</f>
        <v/>
      </c>
    </row>
    <row r="4593" outlineLevel="1" ht="15" customHeight="1" s="94">
      <c r="A4593" s="123">
        <f>IF(B4593="","",ROW()-15)</f>
        <v/>
      </c>
      <c r="B4593" s="124" t="n"/>
      <c r="C4593" s="123" t="n"/>
      <c r="D4593" s="123" t="n"/>
      <c r="E4593" s="123" t="n"/>
      <c r="F4593" s="125" t="n"/>
      <c r="G4593" s="123" t="n"/>
      <c r="H4593" s="123" t="n"/>
      <c r="I4593" s="123" t="n"/>
      <c r="J4593" s="123" t="n"/>
      <c r="K4593" s="123" t="n"/>
      <c r="L4593" s="123" t="n"/>
      <c r="M4593" s="123">
        <f>IF(AND(B4593&lt;&gt;"",OR($C$4="",ISNUMBER(SEARCH($C$4,C4593&amp;" "&amp;E4593&amp;" "&amp;G4593&amp;" "&amp;H4593&amp;" "&amp;I4593&amp;" "&amp;J4593&amp;" "&amp;K4593&amp;" "&amp;L4593))),OR($C$5="Semua",$C$5="",G4593=$C$5),OR($C$6="Semua",$C$6="",H4593=$C$6,H4593="Pengeluaran "&amp;$C$6,AND($C$6="Uang Kos Mama",H4593="Pengeluaran Uang Kos")),OR($C$7="Semua",$C$7="",I4593=$C$7),OR($C$8="Semua",$C$8="",C4593=$C$8,E4593=$C$8),OR($C$9="Semua",$C$9="",D4593=$C$9),OR($C$10="",B4593&gt;=$C$10),OR($C$11="",B4593&lt;=$C$11),OR($C$12&lt;&gt;"Ya",K4593&lt;&gt;""),OR($C$13="Semua",$C$13="",L4593=$C$13)),"✓","")</f>
        <v/>
      </c>
      <c r="N4593" s="93">
        <f>N(N4592)+IF(M4593="✓",1,0)</f>
        <v/>
      </c>
      <c r="O4593" s="93">
        <f>N(O4592)+IF(AND(B4593&lt;&gt;"",B4593&gt;='Uang Riba'!$H$30,B4593&lt;='Uang Riba'!$I$30,OR(H4593="Dana riba",H4593="Pinjam uang riba",I4593="Pinjam dari uang riba",I4593="Ganti uang riba",I4593="Kelebihan ganti dikembalikan",AND(C4593="Kantong Uang Riba",G4593="Pengeluaran"))),1,0)</f>
        <v/>
      </c>
      <c r="X4593" s="93">
        <f>IF(AND(B4593&lt;&gt;"",B4593&gt;='Buku Akun'!$H$4,B4593&lt;='Buku Akun'!$H$5,OR(C4593='Buku Akun'!$C$4,AND(D4593="Pindah",E4593='Buku Akun'!$C$4))),B4593+IF(AND(I4593="Selisih bunga",DAY(B4593)=1),0,0.01)+ROW()/10000000,"")</f>
        <v/>
      </c>
    </row>
    <row r="4594" outlineLevel="1" ht="15" customHeight="1" s="94">
      <c r="A4594" s="123">
        <f>IF(B4594="","",ROW()-15)</f>
        <v/>
      </c>
      <c r="B4594" s="124" t="n"/>
      <c r="C4594" s="123" t="n"/>
      <c r="D4594" s="123" t="n"/>
      <c r="E4594" s="123" t="n"/>
      <c r="F4594" s="125" t="n"/>
      <c r="G4594" s="123" t="n"/>
      <c r="H4594" s="123" t="n"/>
      <c r="I4594" s="123" t="n"/>
      <c r="J4594" s="123" t="n"/>
      <c r="K4594" s="123" t="n"/>
      <c r="L4594" s="123" t="n"/>
      <c r="M4594" s="123">
        <f>IF(AND(B4594&lt;&gt;"",OR($C$4="",ISNUMBER(SEARCH($C$4,C4594&amp;" "&amp;E4594&amp;" "&amp;G4594&amp;" "&amp;H4594&amp;" "&amp;I4594&amp;" "&amp;J4594&amp;" "&amp;K4594&amp;" "&amp;L4594))),OR($C$5="Semua",$C$5="",G4594=$C$5),OR($C$6="Semua",$C$6="",H4594=$C$6,H4594="Pengeluaran "&amp;$C$6,AND($C$6="Uang Kos Mama",H4594="Pengeluaran Uang Kos")),OR($C$7="Semua",$C$7="",I4594=$C$7),OR($C$8="Semua",$C$8="",C4594=$C$8,E4594=$C$8),OR($C$9="Semua",$C$9="",D4594=$C$9),OR($C$10="",B4594&gt;=$C$10),OR($C$11="",B4594&lt;=$C$11),OR($C$12&lt;&gt;"Ya",K4594&lt;&gt;""),OR($C$13="Semua",$C$13="",L4594=$C$13)),"✓","")</f>
        <v/>
      </c>
      <c r="N4594" s="93">
        <f>N(N4593)+IF(M4594="✓",1,0)</f>
        <v/>
      </c>
      <c r="O4594" s="93">
        <f>N(O4593)+IF(AND(B4594&lt;&gt;"",B4594&gt;='Uang Riba'!$H$30,B4594&lt;='Uang Riba'!$I$30,OR(H4594="Dana riba",H4594="Pinjam uang riba",I4594="Pinjam dari uang riba",I4594="Ganti uang riba",I4594="Kelebihan ganti dikembalikan",AND(C4594="Kantong Uang Riba",G4594="Pengeluaran"))),1,0)</f>
        <v/>
      </c>
      <c r="X4594" s="93">
        <f>IF(AND(B4594&lt;&gt;"",B4594&gt;='Buku Akun'!$H$4,B4594&lt;='Buku Akun'!$H$5,OR(C4594='Buku Akun'!$C$4,AND(D4594="Pindah",E4594='Buku Akun'!$C$4))),B4594+IF(AND(I4594="Selisih bunga",DAY(B4594)=1),0,0.01)+ROW()/10000000,"")</f>
        <v/>
      </c>
    </row>
    <row r="4595" outlineLevel="1" ht="15" customHeight="1" s="94">
      <c r="A4595" s="123">
        <f>IF(B4595="","",ROW()-15)</f>
        <v/>
      </c>
      <c r="B4595" s="124" t="n"/>
      <c r="C4595" s="123" t="n"/>
      <c r="D4595" s="123" t="n"/>
      <c r="E4595" s="123" t="n"/>
      <c r="F4595" s="125" t="n"/>
      <c r="G4595" s="123" t="n"/>
      <c r="H4595" s="123" t="n"/>
      <c r="I4595" s="123" t="n"/>
      <c r="J4595" s="123" t="n"/>
      <c r="K4595" s="123" t="n"/>
      <c r="L4595" s="123" t="n"/>
      <c r="M4595" s="123">
        <f>IF(AND(B4595&lt;&gt;"",OR($C$4="",ISNUMBER(SEARCH($C$4,C4595&amp;" "&amp;E4595&amp;" "&amp;G4595&amp;" "&amp;H4595&amp;" "&amp;I4595&amp;" "&amp;J4595&amp;" "&amp;K4595&amp;" "&amp;L4595))),OR($C$5="Semua",$C$5="",G4595=$C$5),OR($C$6="Semua",$C$6="",H4595=$C$6,H4595="Pengeluaran "&amp;$C$6,AND($C$6="Uang Kos Mama",H4595="Pengeluaran Uang Kos")),OR($C$7="Semua",$C$7="",I4595=$C$7),OR($C$8="Semua",$C$8="",C4595=$C$8,E4595=$C$8),OR($C$9="Semua",$C$9="",D4595=$C$9),OR($C$10="",B4595&gt;=$C$10),OR($C$11="",B4595&lt;=$C$11),OR($C$12&lt;&gt;"Ya",K4595&lt;&gt;""),OR($C$13="Semua",$C$13="",L4595=$C$13)),"✓","")</f>
        <v/>
      </c>
      <c r="N4595" s="93">
        <f>N(N4594)+IF(M4595="✓",1,0)</f>
        <v/>
      </c>
      <c r="O4595" s="93">
        <f>N(O4594)+IF(AND(B4595&lt;&gt;"",B4595&gt;='Uang Riba'!$H$30,B4595&lt;='Uang Riba'!$I$30,OR(H4595="Dana riba",H4595="Pinjam uang riba",I4595="Pinjam dari uang riba",I4595="Ganti uang riba",I4595="Kelebihan ganti dikembalikan",AND(C4595="Kantong Uang Riba",G4595="Pengeluaran"))),1,0)</f>
        <v/>
      </c>
      <c r="X4595" s="93">
        <f>IF(AND(B4595&lt;&gt;"",B4595&gt;='Buku Akun'!$H$4,B4595&lt;='Buku Akun'!$H$5,OR(C4595='Buku Akun'!$C$4,AND(D4595="Pindah",E4595='Buku Akun'!$C$4))),B4595+IF(AND(I4595="Selisih bunga",DAY(B4595)=1),0,0.01)+ROW()/10000000,"")</f>
        <v/>
      </c>
    </row>
    <row r="4596" outlineLevel="1" ht="15" customHeight="1" s="94">
      <c r="A4596" s="123">
        <f>IF(B4596="","",ROW()-15)</f>
        <v/>
      </c>
      <c r="B4596" s="124" t="n"/>
      <c r="C4596" s="123" t="n"/>
      <c r="D4596" s="123" t="n"/>
      <c r="E4596" s="123" t="n"/>
      <c r="F4596" s="125" t="n"/>
      <c r="G4596" s="123" t="n"/>
      <c r="H4596" s="123" t="n"/>
      <c r="I4596" s="123" t="n"/>
      <c r="J4596" s="123" t="n"/>
      <c r="K4596" s="123" t="n"/>
      <c r="L4596" s="123" t="n"/>
      <c r="M4596" s="123">
        <f>IF(AND(B4596&lt;&gt;"",OR($C$4="",ISNUMBER(SEARCH($C$4,C4596&amp;" "&amp;E4596&amp;" "&amp;G4596&amp;" "&amp;H4596&amp;" "&amp;I4596&amp;" "&amp;J4596&amp;" "&amp;K4596&amp;" "&amp;L4596))),OR($C$5="Semua",$C$5="",G4596=$C$5),OR($C$6="Semua",$C$6="",H4596=$C$6,H4596="Pengeluaran "&amp;$C$6,AND($C$6="Uang Kos Mama",H4596="Pengeluaran Uang Kos")),OR($C$7="Semua",$C$7="",I4596=$C$7),OR($C$8="Semua",$C$8="",C4596=$C$8,E4596=$C$8),OR($C$9="Semua",$C$9="",D4596=$C$9),OR($C$10="",B4596&gt;=$C$10),OR($C$11="",B4596&lt;=$C$11),OR($C$12&lt;&gt;"Ya",K4596&lt;&gt;""),OR($C$13="Semua",$C$13="",L4596=$C$13)),"✓","")</f>
        <v/>
      </c>
      <c r="N4596" s="93">
        <f>N(N4595)+IF(M4596="✓",1,0)</f>
        <v/>
      </c>
      <c r="O4596" s="93">
        <f>N(O4595)+IF(AND(B4596&lt;&gt;"",B4596&gt;='Uang Riba'!$H$30,B4596&lt;='Uang Riba'!$I$30,OR(H4596="Dana riba",H4596="Pinjam uang riba",I4596="Pinjam dari uang riba",I4596="Ganti uang riba",I4596="Kelebihan ganti dikembalikan",AND(C4596="Kantong Uang Riba",G4596="Pengeluaran"))),1,0)</f>
        <v/>
      </c>
      <c r="X4596" s="93">
        <f>IF(AND(B4596&lt;&gt;"",B4596&gt;='Buku Akun'!$H$4,B4596&lt;='Buku Akun'!$H$5,OR(C4596='Buku Akun'!$C$4,AND(D4596="Pindah",E4596='Buku Akun'!$C$4))),B4596+IF(AND(I4596="Selisih bunga",DAY(B4596)=1),0,0.01)+ROW()/10000000,"")</f>
        <v/>
      </c>
    </row>
    <row r="4597" outlineLevel="1" ht="15" customHeight="1" s="94">
      <c r="A4597" s="123">
        <f>IF(B4597="","",ROW()-15)</f>
        <v/>
      </c>
      <c r="B4597" s="124" t="n"/>
      <c r="C4597" s="123" t="n"/>
      <c r="D4597" s="123" t="n"/>
      <c r="E4597" s="123" t="n"/>
      <c r="F4597" s="125" t="n"/>
      <c r="G4597" s="123" t="n"/>
      <c r="H4597" s="123" t="n"/>
      <c r="I4597" s="123" t="n"/>
      <c r="J4597" s="123" t="n"/>
      <c r="K4597" s="123" t="n"/>
      <c r="L4597" s="123" t="n"/>
      <c r="M4597" s="123">
        <f>IF(AND(B4597&lt;&gt;"",OR($C$4="",ISNUMBER(SEARCH($C$4,C4597&amp;" "&amp;E4597&amp;" "&amp;G4597&amp;" "&amp;H4597&amp;" "&amp;I4597&amp;" "&amp;J4597&amp;" "&amp;K4597&amp;" "&amp;L4597))),OR($C$5="Semua",$C$5="",G4597=$C$5),OR($C$6="Semua",$C$6="",H4597=$C$6,H4597="Pengeluaran "&amp;$C$6,AND($C$6="Uang Kos Mama",H4597="Pengeluaran Uang Kos")),OR($C$7="Semua",$C$7="",I4597=$C$7),OR($C$8="Semua",$C$8="",C4597=$C$8,E4597=$C$8),OR($C$9="Semua",$C$9="",D4597=$C$9),OR($C$10="",B4597&gt;=$C$10),OR($C$11="",B4597&lt;=$C$11),OR($C$12&lt;&gt;"Ya",K4597&lt;&gt;""),OR($C$13="Semua",$C$13="",L4597=$C$13)),"✓","")</f>
        <v/>
      </c>
      <c r="N4597" s="93">
        <f>N(N4596)+IF(M4597="✓",1,0)</f>
        <v/>
      </c>
      <c r="O4597" s="93">
        <f>N(O4596)+IF(AND(B4597&lt;&gt;"",B4597&gt;='Uang Riba'!$H$30,B4597&lt;='Uang Riba'!$I$30,OR(H4597="Dana riba",H4597="Pinjam uang riba",I4597="Pinjam dari uang riba",I4597="Ganti uang riba",I4597="Kelebihan ganti dikembalikan",AND(C4597="Kantong Uang Riba",G4597="Pengeluaran"))),1,0)</f>
        <v/>
      </c>
      <c r="X4597" s="93">
        <f>IF(AND(B4597&lt;&gt;"",B4597&gt;='Buku Akun'!$H$4,B4597&lt;='Buku Akun'!$H$5,OR(C4597='Buku Akun'!$C$4,AND(D4597="Pindah",E4597='Buku Akun'!$C$4))),B4597+IF(AND(I4597="Selisih bunga",DAY(B4597)=1),0,0.01)+ROW()/10000000,"")</f>
        <v/>
      </c>
    </row>
    <row r="4598" outlineLevel="1" ht="15" customHeight="1" s="94">
      <c r="A4598" s="123">
        <f>IF(B4598="","",ROW()-15)</f>
        <v/>
      </c>
      <c r="B4598" s="124" t="n"/>
      <c r="C4598" s="123" t="n"/>
      <c r="D4598" s="123" t="n"/>
      <c r="E4598" s="123" t="n"/>
      <c r="F4598" s="125" t="n"/>
      <c r="G4598" s="123" t="n"/>
      <c r="H4598" s="123" t="n"/>
      <c r="I4598" s="123" t="n"/>
      <c r="J4598" s="123" t="n"/>
      <c r="K4598" s="123" t="n"/>
      <c r="L4598" s="123" t="n"/>
      <c r="M4598" s="123">
        <f>IF(AND(B4598&lt;&gt;"",OR($C$4="",ISNUMBER(SEARCH($C$4,C4598&amp;" "&amp;E4598&amp;" "&amp;G4598&amp;" "&amp;H4598&amp;" "&amp;I4598&amp;" "&amp;J4598&amp;" "&amp;K4598&amp;" "&amp;L4598))),OR($C$5="Semua",$C$5="",G4598=$C$5),OR($C$6="Semua",$C$6="",H4598=$C$6,H4598="Pengeluaran "&amp;$C$6,AND($C$6="Uang Kos Mama",H4598="Pengeluaran Uang Kos")),OR($C$7="Semua",$C$7="",I4598=$C$7),OR($C$8="Semua",$C$8="",C4598=$C$8,E4598=$C$8),OR($C$9="Semua",$C$9="",D4598=$C$9),OR($C$10="",B4598&gt;=$C$10),OR($C$11="",B4598&lt;=$C$11),OR($C$12&lt;&gt;"Ya",K4598&lt;&gt;""),OR($C$13="Semua",$C$13="",L4598=$C$13)),"✓","")</f>
        <v/>
      </c>
      <c r="N4598" s="93">
        <f>N(N4597)+IF(M4598="✓",1,0)</f>
        <v/>
      </c>
      <c r="O4598" s="93">
        <f>N(O4597)+IF(AND(B4598&lt;&gt;"",B4598&gt;='Uang Riba'!$H$30,B4598&lt;='Uang Riba'!$I$30,OR(H4598="Dana riba",H4598="Pinjam uang riba",I4598="Pinjam dari uang riba",I4598="Ganti uang riba",I4598="Kelebihan ganti dikembalikan",AND(C4598="Kantong Uang Riba",G4598="Pengeluaran"))),1,0)</f>
        <v/>
      </c>
      <c r="X4598" s="93">
        <f>IF(AND(B4598&lt;&gt;"",B4598&gt;='Buku Akun'!$H$4,B4598&lt;='Buku Akun'!$H$5,OR(C4598='Buku Akun'!$C$4,AND(D4598="Pindah",E4598='Buku Akun'!$C$4))),B4598+IF(AND(I4598="Selisih bunga",DAY(B4598)=1),0,0.01)+ROW()/10000000,"")</f>
        <v/>
      </c>
    </row>
    <row r="4599" outlineLevel="1" ht="15" customHeight="1" s="94">
      <c r="A4599" s="123">
        <f>IF(B4599="","",ROW()-15)</f>
        <v/>
      </c>
      <c r="B4599" s="124" t="n"/>
      <c r="C4599" s="123" t="n"/>
      <c r="D4599" s="123" t="n"/>
      <c r="E4599" s="123" t="n"/>
      <c r="F4599" s="125" t="n"/>
      <c r="G4599" s="123" t="n"/>
      <c r="H4599" s="123" t="n"/>
      <c r="I4599" s="123" t="n"/>
      <c r="J4599" s="123" t="n"/>
      <c r="K4599" s="123" t="n"/>
      <c r="L4599" s="123" t="n"/>
      <c r="M4599" s="123">
        <f>IF(AND(B4599&lt;&gt;"",OR($C$4="",ISNUMBER(SEARCH($C$4,C4599&amp;" "&amp;E4599&amp;" "&amp;G4599&amp;" "&amp;H4599&amp;" "&amp;I4599&amp;" "&amp;J4599&amp;" "&amp;K4599&amp;" "&amp;L4599))),OR($C$5="Semua",$C$5="",G4599=$C$5),OR($C$6="Semua",$C$6="",H4599=$C$6,H4599="Pengeluaran "&amp;$C$6,AND($C$6="Uang Kos Mama",H4599="Pengeluaran Uang Kos")),OR($C$7="Semua",$C$7="",I4599=$C$7),OR($C$8="Semua",$C$8="",C4599=$C$8,E4599=$C$8),OR($C$9="Semua",$C$9="",D4599=$C$9),OR($C$10="",B4599&gt;=$C$10),OR($C$11="",B4599&lt;=$C$11),OR($C$12&lt;&gt;"Ya",K4599&lt;&gt;""),OR($C$13="Semua",$C$13="",L4599=$C$13)),"✓","")</f>
        <v/>
      </c>
      <c r="N4599" s="93">
        <f>N(N4598)+IF(M4599="✓",1,0)</f>
        <v/>
      </c>
      <c r="O4599" s="93">
        <f>N(O4598)+IF(AND(B4599&lt;&gt;"",B4599&gt;='Uang Riba'!$H$30,B4599&lt;='Uang Riba'!$I$30,OR(H4599="Dana riba",H4599="Pinjam uang riba",I4599="Pinjam dari uang riba",I4599="Ganti uang riba",I4599="Kelebihan ganti dikembalikan",AND(C4599="Kantong Uang Riba",G4599="Pengeluaran"))),1,0)</f>
        <v/>
      </c>
      <c r="X4599" s="93">
        <f>IF(AND(B4599&lt;&gt;"",B4599&gt;='Buku Akun'!$H$4,B4599&lt;='Buku Akun'!$H$5,OR(C4599='Buku Akun'!$C$4,AND(D4599="Pindah",E4599='Buku Akun'!$C$4))),B4599+IF(AND(I4599="Selisih bunga",DAY(B4599)=1),0,0.01)+ROW()/10000000,"")</f>
        <v/>
      </c>
    </row>
    <row r="4600" outlineLevel="1" ht="15" customHeight="1" s="94">
      <c r="A4600" s="123">
        <f>IF(B4600="","",ROW()-15)</f>
        <v/>
      </c>
      <c r="B4600" s="124" t="n"/>
      <c r="C4600" s="123" t="n"/>
      <c r="D4600" s="123" t="n"/>
      <c r="E4600" s="123" t="n"/>
      <c r="F4600" s="125" t="n"/>
      <c r="G4600" s="123" t="n"/>
      <c r="H4600" s="123" t="n"/>
      <c r="I4600" s="123" t="n"/>
      <c r="J4600" s="123" t="n"/>
      <c r="K4600" s="123" t="n"/>
      <c r="L4600" s="123" t="n"/>
      <c r="M4600" s="123">
        <f>IF(AND(B4600&lt;&gt;"",OR($C$4="",ISNUMBER(SEARCH($C$4,C4600&amp;" "&amp;E4600&amp;" "&amp;G4600&amp;" "&amp;H4600&amp;" "&amp;I4600&amp;" "&amp;J4600&amp;" "&amp;K4600&amp;" "&amp;L4600))),OR($C$5="Semua",$C$5="",G4600=$C$5),OR($C$6="Semua",$C$6="",H4600=$C$6,H4600="Pengeluaran "&amp;$C$6,AND($C$6="Uang Kos Mama",H4600="Pengeluaran Uang Kos")),OR($C$7="Semua",$C$7="",I4600=$C$7),OR($C$8="Semua",$C$8="",C4600=$C$8,E4600=$C$8),OR($C$9="Semua",$C$9="",D4600=$C$9),OR($C$10="",B4600&gt;=$C$10),OR($C$11="",B4600&lt;=$C$11),OR($C$12&lt;&gt;"Ya",K4600&lt;&gt;""),OR($C$13="Semua",$C$13="",L4600=$C$13)),"✓","")</f>
        <v/>
      </c>
      <c r="N4600" s="93">
        <f>N(N4599)+IF(M4600="✓",1,0)</f>
        <v/>
      </c>
      <c r="O4600" s="93">
        <f>N(O4599)+IF(AND(B4600&lt;&gt;"",B4600&gt;='Uang Riba'!$H$30,B4600&lt;='Uang Riba'!$I$30,OR(H4600="Dana riba",H4600="Pinjam uang riba",I4600="Pinjam dari uang riba",I4600="Ganti uang riba",I4600="Kelebihan ganti dikembalikan",AND(C4600="Kantong Uang Riba",G4600="Pengeluaran"))),1,0)</f>
        <v/>
      </c>
      <c r="X4600" s="93">
        <f>IF(AND(B4600&lt;&gt;"",B4600&gt;='Buku Akun'!$H$4,B4600&lt;='Buku Akun'!$H$5,OR(C4600='Buku Akun'!$C$4,AND(D4600="Pindah",E4600='Buku Akun'!$C$4))),B4600+IF(AND(I4600="Selisih bunga",DAY(B4600)=1),0,0.01)+ROW()/10000000,"")</f>
        <v/>
      </c>
    </row>
    <row r="4601" outlineLevel="1" ht="15" customHeight="1" s="94">
      <c r="A4601" s="123">
        <f>IF(B4601="","",ROW()-15)</f>
        <v/>
      </c>
      <c r="B4601" s="124" t="n"/>
      <c r="C4601" s="123" t="n"/>
      <c r="D4601" s="123" t="n"/>
      <c r="E4601" s="123" t="n"/>
      <c r="F4601" s="125" t="n"/>
      <c r="G4601" s="123" t="n"/>
      <c r="H4601" s="123" t="n"/>
      <c r="I4601" s="123" t="n"/>
      <c r="J4601" s="123" t="n"/>
      <c r="K4601" s="123" t="n"/>
      <c r="L4601" s="123" t="n"/>
      <c r="M4601" s="123">
        <f>IF(AND(B4601&lt;&gt;"",OR($C$4="",ISNUMBER(SEARCH($C$4,C4601&amp;" "&amp;E4601&amp;" "&amp;G4601&amp;" "&amp;H4601&amp;" "&amp;I4601&amp;" "&amp;J4601&amp;" "&amp;K4601&amp;" "&amp;L4601))),OR($C$5="Semua",$C$5="",G4601=$C$5),OR($C$6="Semua",$C$6="",H4601=$C$6,H4601="Pengeluaran "&amp;$C$6,AND($C$6="Uang Kos Mama",H4601="Pengeluaran Uang Kos")),OR($C$7="Semua",$C$7="",I4601=$C$7),OR($C$8="Semua",$C$8="",C4601=$C$8,E4601=$C$8),OR($C$9="Semua",$C$9="",D4601=$C$9),OR($C$10="",B4601&gt;=$C$10),OR($C$11="",B4601&lt;=$C$11),OR($C$12&lt;&gt;"Ya",K4601&lt;&gt;""),OR($C$13="Semua",$C$13="",L4601=$C$13)),"✓","")</f>
        <v/>
      </c>
      <c r="N4601" s="93">
        <f>N(N4600)+IF(M4601="✓",1,0)</f>
        <v/>
      </c>
      <c r="O4601" s="93">
        <f>N(O4600)+IF(AND(B4601&lt;&gt;"",B4601&gt;='Uang Riba'!$H$30,B4601&lt;='Uang Riba'!$I$30,OR(H4601="Dana riba",H4601="Pinjam uang riba",I4601="Pinjam dari uang riba",I4601="Ganti uang riba",I4601="Kelebihan ganti dikembalikan",AND(C4601="Kantong Uang Riba",G4601="Pengeluaran"))),1,0)</f>
        <v/>
      </c>
      <c r="X4601" s="93">
        <f>IF(AND(B4601&lt;&gt;"",B4601&gt;='Buku Akun'!$H$4,B4601&lt;='Buku Akun'!$H$5,OR(C4601='Buku Akun'!$C$4,AND(D4601="Pindah",E4601='Buku Akun'!$C$4))),B4601+IF(AND(I4601="Selisih bunga",DAY(B4601)=1),0,0.01)+ROW()/10000000,"")</f>
        <v/>
      </c>
    </row>
    <row r="4602" outlineLevel="1" ht="15" customHeight="1" s="94">
      <c r="A4602" s="123">
        <f>IF(B4602="","",ROW()-15)</f>
        <v/>
      </c>
      <c r="B4602" s="124" t="n"/>
      <c r="C4602" s="123" t="n"/>
      <c r="D4602" s="123" t="n"/>
      <c r="E4602" s="123" t="n"/>
      <c r="F4602" s="125" t="n"/>
      <c r="G4602" s="123" t="n"/>
      <c r="H4602" s="123" t="n"/>
      <c r="I4602" s="123" t="n"/>
      <c r="J4602" s="123" t="n"/>
      <c r="K4602" s="123" t="n"/>
      <c r="L4602" s="123" t="n"/>
      <c r="M4602" s="123">
        <f>IF(AND(B4602&lt;&gt;"",OR($C$4="",ISNUMBER(SEARCH($C$4,C4602&amp;" "&amp;E4602&amp;" "&amp;G4602&amp;" "&amp;H4602&amp;" "&amp;I4602&amp;" "&amp;J4602&amp;" "&amp;K4602&amp;" "&amp;L4602))),OR($C$5="Semua",$C$5="",G4602=$C$5),OR($C$6="Semua",$C$6="",H4602=$C$6,H4602="Pengeluaran "&amp;$C$6,AND($C$6="Uang Kos Mama",H4602="Pengeluaran Uang Kos")),OR($C$7="Semua",$C$7="",I4602=$C$7),OR($C$8="Semua",$C$8="",C4602=$C$8,E4602=$C$8),OR($C$9="Semua",$C$9="",D4602=$C$9),OR($C$10="",B4602&gt;=$C$10),OR($C$11="",B4602&lt;=$C$11),OR($C$12&lt;&gt;"Ya",K4602&lt;&gt;""),OR($C$13="Semua",$C$13="",L4602=$C$13)),"✓","")</f>
        <v/>
      </c>
      <c r="N4602" s="93">
        <f>N(N4601)+IF(M4602="✓",1,0)</f>
        <v/>
      </c>
      <c r="O4602" s="93">
        <f>N(O4601)+IF(AND(B4602&lt;&gt;"",B4602&gt;='Uang Riba'!$H$30,B4602&lt;='Uang Riba'!$I$30,OR(H4602="Dana riba",H4602="Pinjam uang riba",I4602="Pinjam dari uang riba",I4602="Ganti uang riba",I4602="Kelebihan ganti dikembalikan",AND(C4602="Kantong Uang Riba",G4602="Pengeluaran"))),1,0)</f>
        <v/>
      </c>
      <c r="X4602" s="93">
        <f>IF(AND(B4602&lt;&gt;"",B4602&gt;='Buku Akun'!$H$4,B4602&lt;='Buku Akun'!$H$5,OR(C4602='Buku Akun'!$C$4,AND(D4602="Pindah",E4602='Buku Akun'!$C$4))),B4602+IF(AND(I4602="Selisih bunga",DAY(B4602)=1),0,0.01)+ROW()/10000000,"")</f>
        <v/>
      </c>
    </row>
    <row r="4603" outlineLevel="1" ht="15" customHeight="1" s="94">
      <c r="A4603" s="123">
        <f>IF(B4603="","",ROW()-15)</f>
        <v/>
      </c>
      <c r="B4603" s="124" t="n"/>
      <c r="C4603" s="123" t="n"/>
      <c r="D4603" s="123" t="n"/>
      <c r="E4603" s="123" t="n"/>
      <c r="F4603" s="125" t="n"/>
      <c r="G4603" s="123" t="n"/>
      <c r="H4603" s="123" t="n"/>
      <c r="I4603" s="123" t="n"/>
      <c r="J4603" s="123" t="n"/>
      <c r="K4603" s="123" t="n"/>
      <c r="L4603" s="123" t="n"/>
      <c r="M4603" s="123">
        <f>IF(AND(B4603&lt;&gt;"",OR($C$4="",ISNUMBER(SEARCH($C$4,C4603&amp;" "&amp;E4603&amp;" "&amp;G4603&amp;" "&amp;H4603&amp;" "&amp;I4603&amp;" "&amp;J4603&amp;" "&amp;K4603&amp;" "&amp;L4603))),OR($C$5="Semua",$C$5="",G4603=$C$5),OR($C$6="Semua",$C$6="",H4603=$C$6,H4603="Pengeluaran "&amp;$C$6,AND($C$6="Uang Kos Mama",H4603="Pengeluaran Uang Kos")),OR($C$7="Semua",$C$7="",I4603=$C$7),OR($C$8="Semua",$C$8="",C4603=$C$8,E4603=$C$8),OR($C$9="Semua",$C$9="",D4603=$C$9),OR($C$10="",B4603&gt;=$C$10),OR($C$11="",B4603&lt;=$C$11),OR($C$12&lt;&gt;"Ya",K4603&lt;&gt;""),OR($C$13="Semua",$C$13="",L4603=$C$13)),"✓","")</f>
        <v/>
      </c>
      <c r="N4603" s="93">
        <f>N(N4602)+IF(M4603="✓",1,0)</f>
        <v/>
      </c>
      <c r="O4603" s="93">
        <f>N(O4602)+IF(AND(B4603&lt;&gt;"",B4603&gt;='Uang Riba'!$H$30,B4603&lt;='Uang Riba'!$I$30,OR(H4603="Dana riba",H4603="Pinjam uang riba",I4603="Pinjam dari uang riba",I4603="Ganti uang riba",I4603="Kelebihan ganti dikembalikan",AND(C4603="Kantong Uang Riba",G4603="Pengeluaran"))),1,0)</f>
        <v/>
      </c>
      <c r="X4603" s="93">
        <f>IF(AND(B4603&lt;&gt;"",B4603&gt;='Buku Akun'!$H$4,B4603&lt;='Buku Akun'!$H$5,OR(C4603='Buku Akun'!$C$4,AND(D4603="Pindah",E4603='Buku Akun'!$C$4))),B4603+IF(AND(I4603="Selisih bunga",DAY(B4603)=1),0,0.01)+ROW()/10000000,"")</f>
        <v/>
      </c>
    </row>
    <row r="4604" outlineLevel="1" ht="15" customHeight="1" s="94">
      <c r="A4604" s="123">
        <f>IF(B4604="","",ROW()-15)</f>
        <v/>
      </c>
      <c r="B4604" s="124" t="n"/>
      <c r="C4604" s="123" t="n"/>
      <c r="D4604" s="123" t="n"/>
      <c r="E4604" s="123" t="n"/>
      <c r="F4604" s="125" t="n"/>
      <c r="G4604" s="123" t="n"/>
      <c r="H4604" s="123" t="n"/>
      <c r="I4604" s="123" t="n"/>
      <c r="J4604" s="123" t="n"/>
      <c r="K4604" s="123" t="n"/>
      <c r="L4604" s="123" t="n"/>
      <c r="M4604" s="123">
        <f>IF(AND(B4604&lt;&gt;"",OR($C$4="",ISNUMBER(SEARCH($C$4,C4604&amp;" "&amp;E4604&amp;" "&amp;G4604&amp;" "&amp;H4604&amp;" "&amp;I4604&amp;" "&amp;J4604&amp;" "&amp;K4604&amp;" "&amp;L4604))),OR($C$5="Semua",$C$5="",G4604=$C$5),OR($C$6="Semua",$C$6="",H4604=$C$6,H4604="Pengeluaran "&amp;$C$6,AND($C$6="Uang Kos Mama",H4604="Pengeluaran Uang Kos")),OR($C$7="Semua",$C$7="",I4604=$C$7),OR($C$8="Semua",$C$8="",C4604=$C$8,E4604=$C$8),OR($C$9="Semua",$C$9="",D4604=$C$9),OR($C$10="",B4604&gt;=$C$10),OR($C$11="",B4604&lt;=$C$11),OR($C$12&lt;&gt;"Ya",K4604&lt;&gt;""),OR($C$13="Semua",$C$13="",L4604=$C$13)),"✓","")</f>
        <v/>
      </c>
      <c r="N4604" s="93">
        <f>N(N4603)+IF(M4604="✓",1,0)</f>
        <v/>
      </c>
      <c r="O4604" s="93">
        <f>N(O4603)+IF(AND(B4604&lt;&gt;"",B4604&gt;='Uang Riba'!$H$30,B4604&lt;='Uang Riba'!$I$30,OR(H4604="Dana riba",H4604="Pinjam uang riba",I4604="Pinjam dari uang riba",I4604="Ganti uang riba",I4604="Kelebihan ganti dikembalikan",AND(C4604="Kantong Uang Riba",G4604="Pengeluaran"))),1,0)</f>
        <v/>
      </c>
      <c r="X4604" s="93">
        <f>IF(AND(B4604&lt;&gt;"",B4604&gt;='Buku Akun'!$H$4,B4604&lt;='Buku Akun'!$H$5,OR(C4604='Buku Akun'!$C$4,AND(D4604="Pindah",E4604='Buku Akun'!$C$4))),B4604+IF(AND(I4604="Selisih bunga",DAY(B4604)=1),0,0.01)+ROW()/10000000,"")</f>
        <v/>
      </c>
    </row>
    <row r="4605" outlineLevel="1" ht="15" customHeight="1" s="94">
      <c r="A4605" s="123">
        <f>IF(B4605="","",ROW()-15)</f>
        <v/>
      </c>
      <c r="B4605" s="124" t="n"/>
      <c r="C4605" s="123" t="n"/>
      <c r="D4605" s="123" t="n"/>
      <c r="E4605" s="123" t="n"/>
      <c r="F4605" s="125" t="n"/>
      <c r="G4605" s="123" t="n"/>
      <c r="H4605" s="123" t="n"/>
      <c r="I4605" s="123" t="n"/>
      <c r="J4605" s="123" t="n"/>
      <c r="K4605" s="123" t="n"/>
      <c r="L4605" s="123" t="n"/>
      <c r="M4605" s="123">
        <f>IF(AND(B4605&lt;&gt;"",OR($C$4="",ISNUMBER(SEARCH($C$4,C4605&amp;" "&amp;E4605&amp;" "&amp;G4605&amp;" "&amp;H4605&amp;" "&amp;I4605&amp;" "&amp;J4605&amp;" "&amp;K4605&amp;" "&amp;L4605))),OR($C$5="Semua",$C$5="",G4605=$C$5),OR($C$6="Semua",$C$6="",H4605=$C$6,H4605="Pengeluaran "&amp;$C$6,AND($C$6="Uang Kos Mama",H4605="Pengeluaran Uang Kos")),OR($C$7="Semua",$C$7="",I4605=$C$7),OR($C$8="Semua",$C$8="",C4605=$C$8,E4605=$C$8),OR($C$9="Semua",$C$9="",D4605=$C$9),OR($C$10="",B4605&gt;=$C$10),OR($C$11="",B4605&lt;=$C$11),OR($C$12&lt;&gt;"Ya",K4605&lt;&gt;""),OR($C$13="Semua",$C$13="",L4605=$C$13)),"✓","")</f>
        <v/>
      </c>
      <c r="N4605" s="93">
        <f>N(N4604)+IF(M4605="✓",1,0)</f>
        <v/>
      </c>
      <c r="O4605" s="93">
        <f>N(O4604)+IF(AND(B4605&lt;&gt;"",B4605&gt;='Uang Riba'!$H$30,B4605&lt;='Uang Riba'!$I$30,OR(H4605="Dana riba",H4605="Pinjam uang riba",I4605="Pinjam dari uang riba",I4605="Ganti uang riba",I4605="Kelebihan ganti dikembalikan",AND(C4605="Kantong Uang Riba",G4605="Pengeluaran"))),1,0)</f>
        <v/>
      </c>
      <c r="X4605" s="93">
        <f>IF(AND(B4605&lt;&gt;"",B4605&gt;='Buku Akun'!$H$4,B4605&lt;='Buku Akun'!$H$5,OR(C4605='Buku Akun'!$C$4,AND(D4605="Pindah",E4605='Buku Akun'!$C$4))),B4605+IF(AND(I4605="Selisih bunga",DAY(B4605)=1),0,0.01)+ROW()/10000000,"")</f>
        <v/>
      </c>
    </row>
    <row r="4606" outlineLevel="1" ht="15" customHeight="1" s="94">
      <c r="A4606" s="123">
        <f>IF(B4606="","",ROW()-15)</f>
        <v/>
      </c>
      <c r="B4606" s="124" t="n"/>
      <c r="C4606" s="123" t="n"/>
      <c r="D4606" s="123" t="n"/>
      <c r="E4606" s="123" t="n"/>
      <c r="F4606" s="125" t="n"/>
      <c r="G4606" s="123" t="n"/>
      <c r="H4606" s="123" t="n"/>
      <c r="I4606" s="123" t="n"/>
      <c r="J4606" s="123" t="n"/>
      <c r="K4606" s="123" t="n"/>
      <c r="L4606" s="123" t="n"/>
      <c r="M4606" s="123">
        <f>IF(AND(B4606&lt;&gt;"",OR($C$4="",ISNUMBER(SEARCH($C$4,C4606&amp;" "&amp;E4606&amp;" "&amp;G4606&amp;" "&amp;H4606&amp;" "&amp;I4606&amp;" "&amp;J4606&amp;" "&amp;K4606&amp;" "&amp;L4606))),OR($C$5="Semua",$C$5="",G4606=$C$5),OR($C$6="Semua",$C$6="",H4606=$C$6,H4606="Pengeluaran "&amp;$C$6,AND($C$6="Uang Kos Mama",H4606="Pengeluaran Uang Kos")),OR($C$7="Semua",$C$7="",I4606=$C$7),OR($C$8="Semua",$C$8="",C4606=$C$8,E4606=$C$8),OR($C$9="Semua",$C$9="",D4606=$C$9),OR($C$10="",B4606&gt;=$C$10),OR($C$11="",B4606&lt;=$C$11),OR($C$12&lt;&gt;"Ya",K4606&lt;&gt;""),OR($C$13="Semua",$C$13="",L4606=$C$13)),"✓","")</f>
        <v/>
      </c>
      <c r="N4606" s="93">
        <f>N(N4605)+IF(M4606="✓",1,0)</f>
        <v/>
      </c>
      <c r="O4606" s="93">
        <f>N(O4605)+IF(AND(B4606&lt;&gt;"",B4606&gt;='Uang Riba'!$H$30,B4606&lt;='Uang Riba'!$I$30,OR(H4606="Dana riba",H4606="Pinjam uang riba",I4606="Pinjam dari uang riba",I4606="Ganti uang riba",I4606="Kelebihan ganti dikembalikan",AND(C4606="Kantong Uang Riba",G4606="Pengeluaran"))),1,0)</f>
        <v/>
      </c>
      <c r="X4606" s="93">
        <f>IF(AND(B4606&lt;&gt;"",B4606&gt;='Buku Akun'!$H$4,B4606&lt;='Buku Akun'!$H$5,OR(C4606='Buku Akun'!$C$4,AND(D4606="Pindah",E4606='Buku Akun'!$C$4))),B4606+IF(AND(I4606="Selisih bunga",DAY(B4606)=1),0,0.01)+ROW()/10000000,"")</f>
        <v/>
      </c>
    </row>
    <row r="4607" outlineLevel="1" ht="15" customHeight="1" s="94">
      <c r="A4607" s="123">
        <f>IF(B4607="","",ROW()-15)</f>
        <v/>
      </c>
      <c r="B4607" s="124" t="n"/>
      <c r="C4607" s="123" t="n"/>
      <c r="D4607" s="123" t="n"/>
      <c r="E4607" s="123" t="n"/>
      <c r="F4607" s="125" t="n"/>
      <c r="G4607" s="123" t="n"/>
      <c r="H4607" s="123" t="n"/>
      <c r="I4607" s="123" t="n"/>
      <c r="J4607" s="123" t="n"/>
      <c r="K4607" s="123" t="n"/>
      <c r="L4607" s="123" t="n"/>
      <c r="M4607" s="123">
        <f>IF(AND(B4607&lt;&gt;"",OR($C$4="",ISNUMBER(SEARCH($C$4,C4607&amp;" "&amp;E4607&amp;" "&amp;G4607&amp;" "&amp;H4607&amp;" "&amp;I4607&amp;" "&amp;J4607&amp;" "&amp;K4607&amp;" "&amp;L4607))),OR($C$5="Semua",$C$5="",G4607=$C$5),OR($C$6="Semua",$C$6="",H4607=$C$6,H4607="Pengeluaran "&amp;$C$6,AND($C$6="Uang Kos Mama",H4607="Pengeluaran Uang Kos")),OR($C$7="Semua",$C$7="",I4607=$C$7),OR($C$8="Semua",$C$8="",C4607=$C$8,E4607=$C$8),OR($C$9="Semua",$C$9="",D4607=$C$9),OR($C$10="",B4607&gt;=$C$10),OR($C$11="",B4607&lt;=$C$11),OR($C$12&lt;&gt;"Ya",K4607&lt;&gt;""),OR($C$13="Semua",$C$13="",L4607=$C$13)),"✓","")</f>
        <v/>
      </c>
      <c r="N4607" s="93">
        <f>N(N4606)+IF(M4607="✓",1,0)</f>
        <v/>
      </c>
      <c r="O4607" s="93">
        <f>N(O4606)+IF(AND(B4607&lt;&gt;"",B4607&gt;='Uang Riba'!$H$30,B4607&lt;='Uang Riba'!$I$30,OR(H4607="Dana riba",H4607="Pinjam uang riba",I4607="Pinjam dari uang riba",I4607="Ganti uang riba",I4607="Kelebihan ganti dikembalikan",AND(C4607="Kantong Uang Riba",G4607="Pengeluaran"))),1,0)</f>
        <v/>
      </c>
      <c r="X4607" s="93">
        <f>IF(AND(B4607&lt;&gt;"",B4607&gt;='Buku Akun'!$H$4,B4607&lt;='Buku Akun'!$H$5,OR(C4607='Buku Akun'!$C$4,AND(D4607="Pindah",E4607='Buku Akun'!$C$4))),B4607+IF(AND(I4607="Selisih bunga",DAY(B4607)=1),0,0.01)+ROW()/10000000,"")</f>
        <v/>
      </c>
    </row>
    <row r="4608" outlineLevel="1" ht="15" customHeight="1" s="94">
      <c r="A4608" s="123">
        <f>IF(B4608="","",ROW()-15)</f>
        <v/>
      </c>
      <c r="B4608" s="124" t="n"/>
      <c r="C4608" s="123" t="n"/>
      <c r="D4608" s="123" t="n"/>
      <c r="E4608" s="123" t="n"/>
      <c r="F4608" s="125" t="n"/>
      <c r="G4608" s="123" t="n"/>
      <c r="H4608" s="123" t="n"/>
      <c r="I4608" s="123" t="n"/>
      <c r="J4608" s="123" t="n"/>
      <c r="K4608" s="123" t="n"/>
      <c r="L4608" s="123" t="n"/>
      <c r="M4608" s="123">
        <f>IF(AND(B4608&lt;&gt;"",OR($C$4="",ISNUMBER(SEARCH($C$4,C4608&amp;" "&amp;E4608&amp;" "&amp;G4608&amp;" "&amp;H4608&amp;" "&amp;I4608&amp;" "&amp;J4608&amp;" "&amp;K4608&amp;" "&amp;L4608))),OR($C$5="Semua",$C$5="",G4608=$C$5),OR($C$6="Semua",$C$6="",H4608=$C$6,H4608="Pengeluaran "&amp;$C$6,AND($C$6="Uang Kos Mama",H4608="Pengeluaran Uang Kos")),OR($C$7="Semua",$C$7="",I4608=$C$7),OR($C$8="Semua",$C$8="",C4608=$C$8,E4608=$C$8),OR($C$9="Semua",$C$9="",D4608=$C$9),OR($C$10="",B4608&gt;=$C$10),OR($C$11="",B4608&lt;=$C$11),OR($C$12&lt;&gt;"Ya",K4608&lt;&gt;""),OR($C$13="Semua",$C$13="",L4608=$C$13)),"✓","")</f>
        <v/>
      </c>
      <c r="N4608" s="93">
        <f>N(N4607)+IF(M4608="✓",1,0)</f>
        <v/>
      </c>
      <c r="O4608" s="93">
        <f>N(O4607)+IF(AND(B4608&lt;&gt;"",B4608&gt;='Uang Riba'!$H$30,B4608&lt;='Uang Riba'!$I$30,OR(H4608="Dana riba",H4608="Pinjam uang riba",I4608="Pinjam dari uang riba",I4608="Ganti uang riba",I4608="Kelebihan ganti dikembalikan",AND(C4608="Kantong Uang Riba",G4608="Pengeluaran"))),1,0)</f>
        <v/>
      </c>
      <c r="X4608" s="93">
        <f>IF(AND(B4608&lt;&gt;"",B4608&gt;='Buku Akun'!$H$4,B4608&lt;='Buku Akun'!$H$5,OR(C4608='Buku Akun'!$C$4,AND(D4608="Pindah",E4608='Buku Akun'!$C$4))),B4608+IF(AND(I4608="Selisih bunga",DAY(B4608)=1),0,0.01)+ROW()/10000000,"")</f>
        <v/>
      </c>
    </row>
    <row r="4609" outlineLevel="1" ht="15" customHeight="1" s="94">
      <c r="A4609" s="123">
        <f>IF(B4609="","",ROW()-15)</f>
        <v/>
      </c>
      <c r="B4609" s="124" t="n"/>
      <c r="C4609" s="123" t="n"/>
      <c r="D4609" s="123" t="n"/>
      <c r="E4609" s="123" t="n"/>
      <c r="F4609" s="125" t="n"/>
      <c r="G4609" s="123" t="n"/>
      <c r="H4609" s="123" t="n"/>
      <c r="I4609" s="123" t="n"/>
      <c r="J4609" s="123" t="n"/>
      <c r="K4609" s="123" t="n"/>
      <c r="L4609" s="123" t="n"/>
      <c r="M4609" s="123">
        <f>IF(AND(B4609&lt;&gt;"",OR($C$4="",ISNUMBER(SEARCH($C$4,C4609&amp;" "&amp;E4609&amp;" "&amp;G4609&amp;" "&amp;H4609&amp;" "&amp;I4609&amp;" "&amp;J4609&amp;" "&amp;K4609&amp;" "&amp;L4609))),OR($C$5="Semua",$C$5="",G4609=$C$5),OR($C$6="Semua",$C$6="",H4609=$C$6,H4609="Pengeluaran "&amp;$C$6,AND($C$6="Uang Kos Mama",H4609="Pengeluaran Uang Kos")),OR($C$7="Semua",$C$7="",I4609=$C$7),OR($C$8="Semua",$C$8="",C4609=$C$8,E4609=$C$8),OR($C$9="Semua",$C$9="",D4609=$C$9),OR($C$10="",B4609&gt;=$C$10),OR($C$11="",B4609&lt;=$C$11),OR($C$12&lt;&gt;"Ya",K4609&lt;&gt;""),OR($C$13="Semua",$C$13="",L4609=$C$13)),"✓","")</f>
        <v/>
      </c>
      <c r="N4609" s="93">
        <f>N(N4608)+IF(M4609="✓",1,0)</f>
        <v/>
      </c>
      <c r="O4609" s="93">
        <f>N(O4608)+IF(AND(B4609&lt;&gt;"",B4609&gt;='Uang Riba'!$H$30,B4609&lt;='Uang Riba'!$I$30,OR(H4609="Dana riba",H4609="Pinjam uang riba",I4609="Pinjam dari uang riba",I4609="Ganti uang riba",I4609="Kelebihan ganti dikembalikan",AND(C4609="Kantong Uang Riba",G4609="Pengeluaran"))),1,0)</f>
        <v/>
      </c>
      <c r="X4609" s="93">
        <f>IF(AND(B4609&lt;&gt;"",B4609&gt;='Buku Akun'!$H$4,B4609&lt;='Buku Akun'!$H$5,OR(C4609='Buku Akun'!$C$4,AND(D4609="Pindah",E4609='Buku Akun'!$C$4))),B4609+IF(AND(I4609="Selisih bunga",DAY(B4609)=1),0,0.01)+ROW()/10000000,"")</f>
        <v/>
      </c>
    </row>
    <row r="4610" outlineLevel="1" ht="15" customHeight="1" s="94">
      <c r="A4610" s="123">
        <f>IF(B4610="","",ROW()-15)</f>
        <v/>
      </c>
      <c r="B4610" s="124" t="n"/>
      <c r="C4610" s="123" t="n"/>
      <c r="D4610" s="123" t="n"/>
      <c r="E4610" s="123" t="n"/>
      <c r="F4610" s="125" t="n"/>
      <c r="G4610" s="123" t="n"/>
      <c r="H4610" s="123" t="n"/>
      <c r="I4610" s="123" t="n"/>
      <c r="J4610" s="123" t="n"/>
      <c r="K4610" s="123" t="n"/>
      <c r="L4610" s="123" t="n"/>
      <c r="M4610" s="123">
        <f>IF(AND(B4610&lt;&gt;"",OR($C$4="",ISNUMBER(SEARCH($C$4,C4610&amp;" "&amp;E4610&amp;" "&amp;G4610&amp;" "&amp;H4610&amp;" "&amp;I4610&amp;" "&amp;J4610&amp;" "&amp;K4610&amp;" "&amp;L4610))),OR($C$5="Semua",$C$5="",G4610=$C$5),OR($C$6="Semua",$C$6="",H4610=$C$6,H4610="Pengeluaran "&amp;$C$6,AND($C$6="Uang Kos Mama",H4610="Pengeluaran Uang Kos")),OR($C$7="Semua",$C$7="",I4610=$C$7),OR($C$8="Semua",$C$8="",C4610=$C$8,E4610=$C$8),OR($C$9="Semua",$C$9="",D4610=$C$9),OR($C$10="",B4610&gt;=$C$10),OR($C$11="",B4610&lt;=$C$11),OR($C$12&lt;&gt;"Ya",K4610&lt;&gt;""),OR($C$13="Semua",$C$13="",L4610=$C$13)),"✓","")</f>
        <v/>
      </c>
      <c r="N4610" s="93">
        <f>N(N4609)+IF(M4610="✓",1,0)</f>
        <v/>
      </c>
      <c r="O4610" s="93">
        <f>N(O4609)+IF(AND(B4610&lt;&gt;"",B4610&gt;='Uang Riba'!$H$30,B4610&lt;='Uang Riba'!$I$30,OR(H4610="Dana riba",H4610="Pinjam uang riba",I4610="Pinjam dari uang riba",I4610="Ganti uang riba",I4610="Kelebihan ganti dikembalikan",AND(C4610="Kantong Uang Riba",G4610="Pengeluaran"))),1,0)</f>
        <v/>
      </c>
      <c r="X4610" s="93">
        <f>IF(AND(B4610&lt;&gt;"",B4610&gt;='Buku Akun'!$H$4,B4610&lt;='Buku Akun'!$H$5,OR(C4610='Buku Akun'!$C$4,AND(D4610="Pindah",E4610='Buku Akun'!$C$4))),B4610+IF(AND(I4610="Selisih bunga",DAY(B4610)=1),0,0.01)+ROW()/10000000,"")</f>
        <v/>
      </c>
    </row>
    <row r="4611" outlineLevel="1" ht="15" customHeight="1" s="94">
      <c r="A4611" s="123">
        <f>IF(B4611="","",ROW()-15)</f>
        <v/>
      </c>
      <c r="B4611" s="124" t="n"/>
      <c r="C4611" s="123" t="n"/>
      <c r="D4611" s="123" t="n"/>
      <c r="E4611" s="123" t="n"/>
      <c r="F4611" s="125" t="n"/>
      <c r="G4611" s="123" t="n"/>
      <c r="H4611" s="123" t="n"/>
      <c r="I4611" s="123" t="n"/>
      <c r="J4611" s="123" t="n"/>
      <c r="K4611" s="123" t="n"/>
      <c r="L4611" s="123" t="n"/>
      <c r="M4611" s="123">
        <f>IF(AND(B4611&lt;&gt;"",OR($C$4="",ISNUMBER(SEARCH($C$4,C4611&amp;" "&amp;E4611&amp;" "&amp;G4611&amp;" "&amp;H4611&amp;" "&amp;I4611&amp;" "&amp;J4611&amp;" "&amp;K4611&amp;" "&amp;L4611))),OR($C$5="Semua",$C$5="",G4611=$C$5),OR($C$6="Semua",$C$6="",H4611=$C$6,H4611="Pengeluaran "&amp;$C$6,AND($C$6="Uang Kos Mama",H4611="Pengeluaran Uang Kos")),OR($C$7="Semua",$C$7="",I4611=$C$7),OR($C$8="Semua",$C$8="",C4611=$C$8,E4611=$C$8),OR($C$9="Semua",$C$9="",D4611=$C$9),OR($C$10="",B4611&gt;=$C$10),OR($C$11="",B4611&lt;=$C$11),OR($C$12&lt;&gt;"Ya",K4611&lt;&gt;""),OR($C$13="Semua",$C$13="",L4611=$C$13)),"✓","")</f>
        <v/>
      </c>
      <c r="N4611" s="93">
        <f>N(N4610)+IF(M4611="✓",1,0)</f>
        <v/>
      </c>
      <c r="O4611" s="93">
        <f>N(O4610)+IF(AND(B4611&lt;&gt;"",B4611&gt;='Uang Riba'!$H$30,B4611&lt;='Uang Riba'!$I$30,OR(H4611="Dana riba",H4611="Pinjam uang riba",I4611="Pinjam dari uang riba",I4611="Ganti uang riba",I4611="Kelebihan ganti dikembalikan",AND(C4611="Kantong Uang Riba",G4611="Pengeluaran"))),1,0)</f>
        <v/>
      </c>
      <c r="X4611" s="93">
        <f>IF(AND(B4611&lt;&gt;"",B4611&gt;='Buku Akun'!$H$4,B4611&lt;='Buku Akun'!$H$5,OR(C4611='Buku Akun'!$C$4,AND(D4611="Pindah",E4611='Buku Akun'!$C$4))),B4611+IF(AND(I4611="Selisih bunga",DAY(B4611)=1),0,0.01)+ROW()/10000000,"")</f>
        <v/>
      </c>
    </row>
    <row r="4612" outlineLevel="1" ht="15" customHeight="1" s="94">
      <c r="A4612" s="123">
        <f>IF(B4612="","",ROW()-15)</f>
        <v/>
      </c>
      <c r="B4612" s="124" t="n"/>
      <c r="C4612" s="123" t="n"/>
      <c r="D4612" s="123" t="n"/>
      <c r="E4612" s="123" t="n"/>
      <c r="F4612" s="125" t="n"/>
      <c r="G4612" s="123" t="n"/>
      <c r="H4612" s="123" t="n"/>
      <c r="I4612" s="123" t="n"/>
      <c r="J4612" s="123" t="n"/>
      <c r="K4612" s="123" t="n"/>
      <c r="L4612" s="123" t="n"/>
      <c r="M4612" s="123">
        <f>IF(AND(B4612&lt;&gt;"",OR($C$4="",ISNUMBER(SEARCH($C$4,C4612&amp;" "&amp;E4612&amp;" "&amp;G4612&amp;" "&amp;H4612&amp;" "&amp;I4612&amp;" "&amp;J4612&amp;" "&amp;K4612&amp;" "&amp;L4612))),OR($C$5="Semua",$C$5="",G4612=$C$5),OR($C$6="Semua",$C$6="",H4612=$C$6,H4612="Pengeluaran "&amp;$C$6,AND($C$6="Uang Kos Mama",H4612="Pengeluaran Uang Kos")),OR($C$7="Semua",$C$7="",I4612=$C$7),OR($C$8="Semua",$C$8="",C4612=$C$8,E4612=$C$8),OR($C$9="Semua",$C$9="",D4612=$C$9),OR($C$10="",B4612&gt;=$C$10),OR($C$11="",B4612&lt;=$C$11),OR($C$12&lt;&gt;"Ya",K4612&lt;&gt;""),OR($C$13="Semua",$C$13="",L4612=$C$13)),"✓","")</f>
        <v/>
      </c>
      <c r="N4612" s="93">
        <f>N(N4611)+IF(M4612="✓",1,0)</f>
        <v/>
      </c>
      <c r="O4612" s="93">
        <f>N(O4611)+IF(AND(B4612&lt;&gt;"",B4612&gt;='Uang Riba'!$H$30,B4612&lt;='Uang Riba'!$I$30,OR(H4612="Dana riba",H4612="Pinjam uang riba",I4612="Pinjam dari uang riba",I4612="Ganti uang riba",I4612="Kelebihan ganti dikembalikan",AND(C4612="Kantong Uang Riba",G4612="Pengeluaran"))),1,0)</f>
        <v/>
      </c>
      <c r="X4612" s="93">
        <f>IF(AND(B4612&lt;&gt;"",B4612&gt;='Buku Akun'!$H$4,B4612&lt;='Buku Akun'!$H$5,OR(C4612='Buku Akun'!$C$4,AND(D4612="Pindah",E4612='Buku Akun'!$C$4))),B4612+IF(AND(I4612="Selisih bunga",DAY(B4612)=1),0,0.01)+ROW()/10000000,"")</f>
        <v/>
      </c>
    </row>
    <row r="4613" outlineLevel="1" ht="15" customHeight="1" s="94">
      <c r="A4613" s="123">
        <f>IF(B4613="","",ROW()-15)</f>
        <v/>
      </c>
      <c r="B4613" s="124" t="n"/>
      <c r="C4613" s="123" t="n"/>
      <c r="D4613" s="123" t="n"/>
      <c r="E4613" s="123" t="n"/>
      <c r="F4613" s="125" t="n"/>
      <c r="G4613" s="123" t="n"/>
      <c r="H4613" s="123" t="n"/>
      <c r="I4613" s="123" t="n"/>
      <c r="J4613" s="123" t="n"/>
      <c r="K4613" s="123" t="n"/>
      <c r="L4613" s="123" t="n"/>
      <c r="M4613" s="123">
        <f>IF(AND(B4613&lt;&gt;"",OR($C$4="",ISNUMBER(SEARCH($C$4,C4613&amp;" "&amp;E4613&amp;" "&amp;G4613&amp;" "&amp;H4613&amp;" "&amp;I4613&amp;" "&amp;J4613&amp;" "&amp;K4613&amp;" "&amp;L4613))),OR($C$5="Semua",$C$5="",G4613=$C$5),OR($C$6="Semua",$C$6="",H4613=$C$6,H4613="Pengeluaran "&amp;$C$6,AND($C$6="Uang Kos Mama",H4613="Pengeluaran Uang Kos")),OR($C$7="Semua",$C$7="",I4613=$C$7),OR($C$8="Semua",$C$8="",C4613=$C$8,E4613=$C$8),OR($C$9="Semua",$C$9="",D4613=$C$9),OR($C$10="",B4613&gt;=$C$10),OR($C$11="",B4613&lt;=$C$11),OR($C$12&lt;&gt;"Ya",K4613&lt;&gt;""),OR($C$13="Semua",$C$13="",L4613=$C$13)),"✓","")</f>
        <v/>
      </c>
      <c r="N4613" s="93">
        <f>N(N4612)+IF(M4613="✓",1,0)</f>
        <v/>
      </c>
      <c r="O4613" s="93">
        <f>N(O4612)+IF(AND(B4613&lt;&gt;"",B4613&gt;='Uang Riba'!$H$30,B4613&lt;='Uang Riba'!$I$30,OR(H4613="Dana riba",H4613="Pinjam uang riba",I4613="Pinjam dari uang riba",I4613="Ganti uang riba",I4613="Kelebihan ganti dikembalikan",AND(C4613="Kantong Uang Riba",G4613="Pengeluaran"))),1,0)</f>
        <v/>
      </c>
      <c r="X4613" s="93">
        <f>IF(AND(B4613&lt;&gt;"",B4613&gt;='Buku Akun'!$H$4,B4613&lt;='Buku Akun'!$H$5,OR(C4613='Buku Akun'!$C$4,AND(D4613="Pindah",E4613='Buku Akun'!$C$4))),B4613+IF(AND(I4613="Selisih bunga",DAY(B4613)=1),0,0.01)+ROW()/10000000,"")</f>
        <v/>
      </c>
    </row>
    <row r="4614" outlineLevel="1" ht="15" customHeight="1" s="94">
      <c r="A4614" s="123">
        <f>IF(B4614="","",ROW()-15)</f>
        <v/>
      </c>
      <c r="B4614" s="124" t="n"/>
      <c r="C4614" s="123" t="n"/>
      <c r="D4614" s="123" t="n"/>
      <c r="E4614" s="123" t="n"/>
      <c r="F4614" s="125" t="n"/>
      <c r="G4614" s="123" t="n"/>
      <c r="H4614" s="123" t="n"/>
      <c r="I4614" s="123" t="n"/>
      <c r="J4614" s="123" t="n"/>
      <c r="K4614" s="123" t="n"/>
      <c r="L4614" s="123" t="n"/>
      <c r="M4614" s="123">
        <f>IF(AND(B4614&lt;&gt;"",OR($C$4="",ISNUMBER(SEARCH($C$4,C4614&amp;" "&amp;E4614&amp;" "&amp;G4614&amp;" "&amp;H4614&amp;" "&amp;I4614&amp;" "&amp;J4614&amp;" "&amp;K4614&amp;" "&amp;L4614))),OR($C$5="Semua",$C$5="",G4614=$C$5),OR($C$6="Semua",$C$6="",H4614=$C$6,H4614="Pengeluaran "&amp;$C$6,AND($C$6="Uang Kos Mama",H4614="Pengeluaran Uang Kos")),OR($C$7="Semua",$C$7="",I4614=$C$7),OR($C$8="Semua",$C$8="",C4614=$C$8,E4614=$C$8),OR($C$9="Semua",$C$9="",D4614=$C$9),OR($C$10="",B4614&gt;=$C$10),OR($C$11="",B4614&lt;=$C$11),OR($C$12&lt;&gt;"Ya",K4614&lt;&gt;""),OR($C$13="Semua",$C$13="",L4614=$C$13)),"✓","")</f>
        <v/>
      </c>
      <c r="N4614" s="93">
        <f>N(N4613)+IF(M4614="✓",1,0)</f>
        <v/>
      </c>
      <c r="O4614" s="93">
        <f>N(O4613)+IF(AND(B4614&lt;&gt;"",B4614&gt;='Uang Riba'!$H$30,B4614&lt;='Uang Riba'!$I$30,OR(H4614="Dana riba",H4614="Pinjam uang riba",I4614="Pinjam dari uang riba",I4614="Ganti uang riba",I4614="Kelebihan ganti dikembalikan",AND(C4614="Kantong Uang Riba",G4614="Pengeluaran"))),1,0)</f>
        <v/>
      </c>
      <c r="X4614" s="93">
        <f>IF(AND(B4614&lt;&gt;"",B4614&gt;='Buku Akun'!$H$4,B4614&lt;='Buku Akun'!$H$5,OR(C4614='Buku Akun'!$C$4,AND(D4614="Pindah",E4614='Buku Akun'!$C$4))),B4614+IF(AND(I4614="Selisih bunga",DAY(B4614)=1),0,0.01)+ROW()/10000000,"")</f>
        <v/>
      </c>
    </row>
    <row r="4615" outlineLevel="1" ht="15" customHeight="1" s="94">
      <c r="A4615" s="123">
        <f>IF(B4615="","",ROW()-15)</f>
        <v/>
      </c>
      <c r="B4615" s="124" t="n"/>
      <c r="C4615" s="123" t="n"/>
      <c r="D4615" s="123" t="n"/>
      <c r="E4615" s="123" t="n"/>
      <c r="F4615" s="125" t="n"/>
      <c r="G4615" s="123" t="n"/>
      <c r="H4615" s="123" t="n"/>
      <c r="I4615" s="123" t="n"/>
      <c r="J4615" s="123" t="n"/>
      <c r="K4615" s="123" t="n"/>
      <c r="L4615" s="123" t="n"/>
      <c r="M4615" s="123">
        <f>IF(AND(B4615&lt;&gt;"",OR($C$4="",ISNUMBER(SEARCH($C$4,C4615&amp;" "&amp;E4615&amp;" "&amp;G4615&amp;" "&amp;H4615&amp;" "&amp;I4615&amp;" "&amp;J4615&amp;" "&amp;K4615&amp;" "&amp;L4615))),OR($C$5="Semua",$C$5="",G4615=$C$5),OR($C$6="Semua",$C$6="",H4615=$C$6,H4615="Pengeluaran "&amp;$C$6,AND($C$6="Uang Kos Mama",H4615="Pengeluaran Uang Kos")),OR($C$7="Semua",$C$7="",I4615=$C$7),OR($C$8="Semua",$C$8="",C4615=$C$8,E4615=$C$8),OR($C$9="Semua",$C$9="",D4615=$C$9),OR($C$10="",B4615&gt;=$C$10),OR($C$11="",B4615&lt;=$C$11),OR($C$12&lt;&gt;"Ya",K4615&lt;&gt;""),OR($C$13="Semua",$C$13="",L4615=$C$13)),"✓","")</f>
        <v/>
      </c>
      <c r="N4615" s="93">
        <f>N(N4614)+IF(M4615="✓",1,0)</f>
        <v/>
      </c>
      <c r="O4615" s="93">
        <f>N(O4614)+IF(AND(B4615&lt;&gt;"",B4615&gt;='Uang Riba'!$H$30,B4615&lt;='Uang Riba'!$I$30,OR(H4615="Dana riba",H4615="Pinjam uang riba",I4615="Pinjam dari uang riba",I4615="Ganti uang riba",I4615="Kelebihan ganti dikembalikan",AND(C4615="Kantong Uang Riba",G4615="Pengeluaran"))),1,0)</f>
        <v/>
      </c>
      <c r="X4615" s="93">
        <f>IF(AND(B4615&lt;&gt;"",B4615&gt;='Buku Akun'!$H$4,B4615&lt;='Buku Akun'!$H$5,OR(C4615='Buku Akun'!$C$4,AND(D4615="Pindah",E4615='Buku Akun'!$C$4))),B4615+IF(AND(I4615="Selisih bunga",DAY(B4615)=1),0,0.01)+ROW()/10000000,"")</f>
        <v/>
      </c>
    </row>
    <row r="4616" outlineLevel="1" ht="15" customHeight="1" s="94">
      <c r="A4616" s="123">
        <f>IF(B4616="","",ROW()-15)</f>
        <v/>
      </c>
      <c r="B4616" s="124" t="n"/>
      <c r="C4616" s="123" t="n"/>
      <c r="D4616" s="123" t="n"/>
      <c r="E4616" s="123" t="n"/>
      <c r="F4616" s="125" t="n"/>
      <c r="G4616" s="123" t="n"/>
      <c r="H4616" s="123" t="n"/>
      <c r="I4616" s="123" t="n"/>
      <c r="J4616" s="123" t="n"/>
      <c r="K4616" s="123" t="n"/>
      <c r="L4616" s="123" t="n"/>
      <c r="M4616" s="123">
        <f>IF(AND(B4616&lt;&gt;"",OR($C$4="",ISNUMBER(SEARCH($C$4,C4616&amp;" "&amp;E4616&amp;" "&amp;G4616&amp;" "&amp;H4616&amp;" "&amp;I4616&amp;" "&amp;J4616&amp;" "&amp;K4616&amp;" "&amp;L4616))),OR($C$5="Semua",$C$5="",G4616=$C$5),OR($C$6="Semua",$C$6="",H4616=$C$6,H4616="Pengeluaran "&amp;$C$6,AND($C$6="Uang Kos Mama",H4616="Pengeluaran Uang Kos")),OR($C$7="Semua",$C$7="",I4616=$C$7),OR($C$8="Semua",$C$8="",C4616=$C$8,E4616=$C$8),OR($C$9="Semua",$C$9="",D4616=$C$9),OR($C$10="",B4616&gt;=$C$10),OR($C$11="",B4616&lt;=$C$11),OR($C$12&lt;&gt;"Ya",K4616&lt;&gt;""),OR($C$13="Semua",$C$13="",L4616=$C$13)),"✓","")</f>
        <v/>
      </c>
      <c r="N4616" s="93">
        <f>N(N4615)+IF(M4616="✓",1,0)</f>
        <v/>
      </c>
      <c r="O4616" s="93">
        <f>N(O4615)+IF(AND(B4616&lt;&gt;"",B4616&gt;='Uang Riba'!$H$30,B4616&lt;='Uang Riba'!$I$30,OR(H4616="Dana riba",H4616="Pinjam uang riba",I4616="Pinjam dari uang riba",I4616="Ganti uang riba",I4616="Kelebihan ganti dikembalikan",AND(C4616="Kantong Uang Riba",G4616="Pengeluaran"))),1,0)</f>
        <v/>
      </c>
      <c r="X4616" s="93">
        <f>IF(AND(B4616&lt;&gt;"",B4616&gt;='Buku Akun'!$H$4,B4616&lt;='Buku Akun'!$H$5,OR(C4616='Buku Akun'!$C$4,AND(D4616="Pindah",E4616='Buku Akun'!$C$4))),B4616+IF(AND(I4616="Selisih bunga",DAY(B4616)=1),0,0.01)+ROW()/10000000,"")</f>
        <v/>
      </c>
    </row>
    <row r="4617" outlineLevel="1" ht="15" customHeight="1" s="94">
      <c r="A4617" s="123">
        <f>IF(B4617="","",ROW()-15)</f>
        <v/>
      </c>
      <c r="B4617" s="124" t="n"/>
      <c r="C4617" s="123" t="n"/>
      <c r="D4617" s="123" t="n"/>
      <c r="E4617" s="123" t="n"/>
      <c r="F4617" s="125" t="n"/>
      <c r="G4617" s="123" t="n"/>
      <c r="H4617" s="123" t="n"/>
      <c r="I4617" s="123" t="n"/>
      <c r="J4617" s="123" t="n"/>
      <c r="K4617" s="123" t="n"/>
      <c r="L4617" s="123" t="n"/>
      <c r="M4617" s="123">
        <f>IF(AND(B4617&lt;&gt;"",OR($C$4="",ISNUMBER(SEARCH($C$4,C4617&amp;" "&amp;E4617&amp;" "&amp;G4617&amp;" "&amp;H4617&amp;" "&amp;I4617&amp;" "&amp;J4617&amp;" "&amp;K4617&amp;" "&amp;L4617))),OR($C$5="Semua",$C$5="",G4617=$C$5),OR($C$6="Semua",$C$6="",H4617=$C$6,H4617="Pengeluaran "&amp;$C$6,AND($C$6="Uang Kos Mama",H4617="Pengeluaran Uang Kos")),OR($C$7="Semua",$C$7="",I4617=$C$7),OR($C$8="Semua",$C$8="",C4617=$C$8,E4617=$C$8),OR($C$9="Semua",$C$9="",D4617=$C$9),OR($C$10="",B4617&gt;=$C$10),OR($C$11="",B4617&lt;=$C$11),OR($C$12&lt;&gt;"Ya",K4617&lt;&gt;""),OR($C$13="Semua",$C$13="",L4617=$C$13)),"✓","")</f>
        <v/>
      </c>
      <c r="N4617" s="93">
        <f>N(N4616)+IF(M4617="✓",1,0)</f>
        <v/>
      </c>
      <c r="O4617" s="93">
        <f>N(O4616)+IF(AND(B4617&lt;&gt;"",B4617&gt;='Uang Riba'!$H$30,B4617&lt;='Uang Riba'!$I$30,OR(H4617="Dana riba",H4617="Pinjam uang riba",I4617="Pinjam dari uang riba",I4617="Ganti uang riba",I4617="Kelebihan ganti dikembalikan",AND(C4617="Kantong Uang Riba",G4617="Pengeluaran"))),1,0)</f>
        <v/>
      </c>
      <c r="X4617" s="93">
        <f>IF(AND(B4617&lt;&gt;"",B4617&gt;='Buku Akun'!$H$4,B4617&lt;='Buku Akun'!$H$5,OR(C4617='Buku Akun'!$C$4,AND(D4617="Pindah",E4617='Buku Akun'!$C$4))),B4617+IF(AND(I4617="Selisih bunga",DAY(B4617)=1),0,0.01)+ROW()/10000000,"")</f>
        <v/>
      </c>
    </row>
    <row r="4618" outlineLevel="1" ht="15" customHeight="1" s="94">
      <c r="A4618" s="123">
        <f>IF(B4618="","",ROW()-15)</f>
        <v/>
      </c>
      <c r="B4618" s="124" t="n"/>
      <c r="C4618" s="123" t="n"/>
      <c r="D4618" s="123" t="n"/>
      <c r="E4618" s="123" t="n"/>
      <c r="F4618" s="125" t="n"/>
      <c r="G4618" s="123" t="n"/>
      <c r="H4618" s="123" t="n"/>
      <c r="I4618" s="123" t="n"/>
      <c r="J4618" s="123" t="n"/>
      <c r="K4618" s="123" t="n"/>
      <c r="L4618" s="123" t="n"/>
      <c r="M4618" s="123">
        <f>IF(AND(B4618&lt;&gt;"",OR($C$4="",ISNUMBER(SEARCH($C$4,C4618&amp;" "&amp;E4618&amp;" "&amp;G4618&amp;" "&amp;H4618&amp;" "&amp;I4618&amp;" "&amp;J4618&amp;" "&amp;K4618&amp;" "&amp;L4618))),OR($C$5="Semua",$C$5="",G4618=$C$5),OR($C$6="Semua",$C$6="",H4618=$C$6,H4618="Pengeluaran "&amp;$C$6,AND($C$6="Uang Kos Mama",H4618="Pengeluaran Uang Kos")),OR($C$7="Semua",$C$7="",I4618=$C$7),OR($C$8="Semua",$C$8="",C4618=$C$8,E4618=$C$8),OR($C$9="Semua",$C$9="",D4618=$C$9),OR($C$10="",B4618&gt;=$C$10),OR($C$11="",B4618&lt;=$C$11),OR($C$12&lt;&gt;"Ya",K4618&lt;&gt;""),OR($C$13="Semua",$C$13="",L4618=$C$13)),"✓","")</f>
        <v/>
      </c>
      <c r="N4618" s="93">
        <f>N(N4617)+IF(M4618="✓",1,0)</f>
        <v/>
      </c>
      <c r="O4618" s="93">
        <f>N(O4617)+IF(AND(B4618&lt;&gt;"",B4618&gt;='Uang Riba'!$H$30,B4618&lt;='Uang Riba'!$I$30,OR(H4618="Dana riba",H4618="Pinjam uang riba",I4618="Pinjam dari uang riba",I4618="Ganti uang riba",I4618="Kelebihan ganti dikembalikan",AND(C4618="Kantong Uang Riba",G4618="Pengeluaran"))),1,0)</f>
        <v/>
      </c>
      <c r="X4618" s="93">
        <f>IF(AND(B4618&lt;&gt;"",B4618&gt;='Buku Akun'!$H$4,B4618&lt;='Buku Akun'!$H$5,OR(C4618='Buku Akun'!$C$4,AND(D4618="Pindah",E4618='Buku Akun'!$C$4))),B4618+IF(AND(I4618="Selisih bunga",DAY(B4618)=1),0,0.01)+ROW()/10000000,"")</f>
        <v/>
      </c>
    </row>
    <row r="4619" outlineLevel="1" ht="15" customHeight="1" s="94">
      <c r="A4619" s="123">
        <f>IF(B4619="","",ROW()-15)</f>
        <v/>
      </c>
      <c r="B4619" s="124" t="n"/>
      <c r="C4619" s="123" t="n"/>
      <c r="D4619" s="123" t="n"/>
      <c r="E4619" s="123" t="n"/>
      <c r="F4619" s="125" t="n"/>
      <c r="G4619" s="123" t="n"/>
      <c r="H4619" s="123" t="n"/>
      <c r="I4619" s="123" t="n"/>
      <c r="J4619" s="123" t="n"/>
      <c r="K4619" s="123" t="n"/>
      <c r="L4619" s="123" t="n"/>
      <c r="M4619" s="123">
        <f>IF(AND(B4619&lt;&gt;"",OR($C$4="",ISNUMBER(SEARCH($C$4,C4619&amp;" "&amp;E4619&amp;" "&amp;G4619&amp;" "&amp;H4619&amp;" "&amp;I4619&amp;" "&amp;J4619&amp;" "&amp;K4619&amp;" "&amp;L4619))),OR($C$5="Semua",$C$5="",G4619=$C$5),OR($C$6="Semua",$C$6="",H4619=$C$6,H4619="Pengeluaran "&amp;$C$6,AND($C$6="Uang Kos Mama",H4619="Pengeluaran Uang Kos")),OR($C$7="Semua",$C$7="",I4619=$C$7),OR($C$8="Semua",$C$8="",C4619=$C$8,E4619=$C$8),OR($C$9="Semua",$C$9="",D4619=$C$9),OR($C$10="",B4619&gt;=$C$10),OR($C$11="",B4619&lt;=$C$11),OR($C$12&lt;&gt;"Ya",K4619&lt;&gt;""),OR($C$13="Semua",$C$13="",L4619=$C$13)),"✓","")</f>
        <v/>
      </c>
      <c r="N4619" s="93">
        <f>N(N4618)+IF(M4619="✓",1,0)</f>
        <v/>
      </c>
      <c r="O4619" s="93">
        <f>N(O4618)+IF(AND(B4619&lt;&gt;"",B4619&gt;='Uang Riba'!$H$30,B4619&lt;='Uang Riba'!$I$30,OR(H4619="Dana riba",H4619="Pinjam uang riba",I4619="Pinjam dari uang riba",I4619="Ganti uang riba",I4619="Kelebihan ganti dikembalikan",AND(C4619="Kantong Uang Riba",G4619="Pengeluaran"))),1,0)</f>
        <v/>
      </c>
      <c r="X4619" s="93">
        <f>IF(AND(B4619&lt;&gt;"",B4619&gt;='Buku Akun'!$H$4,B4619&lt;='Buku Akun'!$H$5,OR(C4619='Buku Akun'!$C$4,AND(D4619="Pindah",E4619='Buku Akun'!$C$4))),B4619+IF(AND(I4619="Selisih bunga",DAY(B4619)=1),0,0.01)+ROW()/10000000,"")</f>
        <v/>
      </c>
    </row>
    <row r="4620" outlineLevel="1" ht="15" customHeight="1" s="94">
      <c r="A4620" s="123">
        <f>IF(B4620="","",ROW()-15)</f>
        <v/>
      </c>
      <c r="B4620" s="124" t="n"/>
      <c r="C4620" s="123" t="n"/>
      <c r="D4620" s="123" t="n"/>
      <c r="E4620" s="123" t="n"/>
      <c r="F4620" s="125" t="n"/>
      <c r="G4620" s="123" t="n"/>
      <c r="H4620" s="123" t="n"/>
      <c r="I4620" s="123" t="n"/>
      <c r="J4620" s="123" t="n"/>
      <c r="K4620" s="123" t="n"/>
      <c r="L4620" s="123" t="n"/>
      <c r="M4620" s="123">
        <f>IF(AND(B4620&lt;&gt;"",OR($C$4="",ISNUMBER(SEARCH($C$4,C4620&amp;" "&amp;E4620&amp;" "&amp;G4620&amp;" "&amp;H4620&amp;" "&amp;I4620&amp;" "&amp;J4620&amp;" "&amp;K4620&amp;" "&amp;L4620))),OR($C$5="Semua",$C$5="",G4620=$C$5),OR($C$6="Semua",$C$6="",H4620=$C$6,H4620="Pengeluaran "&amp;$C$6,AND($C$6="Uang Kos Mama",H4620="Pengeluaran Uang Kos")),OR($C$7="Semua",$C$7="",I4620=$C$7),OR($C$8="Semua",$C$8="",C4620=$C$8,E4620=$C$8),OR($C$9="Semua",$C$9="",D4620=$C$9),OR($C$10="",B4620&gt;=$C$10),OR($C$11="",B4620&lt;=$C$11),OR($C$12&lt;&gt;"Ya",K4620&lt;&gt;""),OR($C$13="Semua",$C$13="",L4620=$C$13)),"✓","")</f>
        <v/>
      </c>
      <c r="N4620" s="93">
        <f>N(N4619)+IF(M4620="✓",1,0)</f>
        <v/>
      </c>
      <c r="O4620" s="93">
        <f>N(O4619)+IF(AND(B4620&lt;&gt;"",B4620&gt;='Uang Riba'!$H$30,B4620&lt;='Uang Riba'!$I$30,OR(H4620="Dana riba",H4620="Pinjam uang riba",I4620="Pinjam dari uang riba",I4620="Ganti uang riba",I4620="Kelebihan ganti dikembalikan",AND(C4620="Kantong Uang Riba",G4620="Pengeluaran"))),1,0)</f>
        <v/>
      </c>
      <c r="X4620" s="93">
        <f>IF(AND(B4620&lt;&gt;"",B4620&gt;='Buku Akun'!$H$4,B4620&lt;='Buku Akun'!$H$5,OR(C4620='Buku Akun'!$C$4,AND(D4620="Pindah",E4620='Buku Akun'!$C$4))),B4620+IF(AND(I4620="Selisih bunga",DAY(B4620)=1),0,0.01)+ROW()/10000000,"")</f>
        <v/>
      </c>
    </row>
    <row r="4621" outlineLevel="1" ht="15" customHeight="1" s="94">
      <c r="A4621" s="123">
        <f>IF(B4621="","",ROW()-15)</f>
        <v/>
      </c>
      <c r="B4621" s="124" t="n"/>
      <c r="C4621" s="123" t="n"/>
      <c r="D4621" s="123" t="n"/>
      <c r="E4621" s="123" t="n"/>
      <c r="F4621" s="125" t="n"/>
      <c r="G4621" s="123" t="n"/>
      <c r="H4621" s="123" t="n"/>
      <c r="I4621" s="123" t="n"/>
      <c r="J4621" s="123" t="n"/>
      <c r="K4621" s="123" t="n"/>
      <c r="L4621" s="123" t="n"/>
      <c r="M4621" s="123">
        <f>IF(AND(B4621&lt;&gt;"",OR($C$4="",ISNUMBER(SEARCH($C$4,C4621&amp;" "&amp;E4621&amp;" "&amp;G4621&amp;" "&amp;H4621&amp;" "&amp;I4621&amp;" "&amp;J4621&amp;" "&amp;K4621&amp;" "&amp;L4621))),OR($C$5="Semua",$C$5="",G4621=$C$5),OR($C$6="Semua",$C$6="",H4621=$C$6,H4621="Pengeluaran "&amp;$C$6,AND($C$6="Uang Kos Mama",H4621="Pengeluaran Uang Kos")),OR($C$7="Semua",$C$7="",I4621=$C$7),OR($C$8="Semua",$C$8="",C4621=$C$8,E4621=$C$8),OR($C$9="Semua",$C$9="",D4621=$C$9),OR($C$10="",B4621&gt;=$C$10),OR($C$11="",B4621&lt;=$C$11),OR($C$12&lt;&gt;"Ya",K4621&lt;&gt;""),OR($C$13="Semua",$C$13="",L4621=$C$13)),"✓","")</f>
        <v/>
      </c>
      <c r="N4621" s="93">
        <f>N(N4620)+IF(M4621="✓",1,0)</f>
        <v/>
      </c>
      <c r="O4621" s="93">
        <f>N(O4620)+IF(AND(B4621&lt;&gt;"",B4621&gt;='Uang Riba'!$H$30,B4621&lt;='Uang Riba'!$I$30,OR(H4621="Dana riba",H4621="Pinjam uang riba",I4621="Pinjam dari uang riba",I4621="Ganti uang riba",I4621="Kelebihan ganti dikembalikan",AND(C4621="Kantong Uang Riba",G4621="Pengeluaran"))),1,0)</f>
        <v/>
      </c>
      <c r="X4621" s="93">
        <f>IF(AND(B4621&lt;&gt;"",B4621&gt;='Buku Akun'!$H$4,B4621&lt;='Buku Akun'!$H$5,OR(C4621='Buku Akun'!$C$4,AND(D4621="Pindah",E4621='Buku Akun'!$C$4))),B4621+IF(AND(I4621="Selisih bunga",DAY(B4621)=1),0,0.01)+ROW()/10000000,"")</f>
        <v/>
      </c>
    </row>
    <row r="4622" outlineLevel="1" ht="15" customHeight="1" s="94">
      <c r="A4622" s="123">
        <f>IF(B4622="","",ROW()-15)</f>
        <v/>
      </c>
      <c r="B4622" s="124" t="n"/>
      <c r="C4622" s="123" t="n"/>
      <c r="D4622" s="123" t="n"/>
      <c r="E4622" s="123" t="n"/>
      <c r="F4622" s="125" t="n"/>
      <c r="G4622" s="123" t="n"/>
      <c r="H4622" s="123" t="n"/>
      <c r="I4622" s="123" t="n"/>
      <c r="J4622" s="123" t="n"/>
      <c r="K4622" s="123" t="n"/>
      <c r="L4622" s="123" t="n"/>
      <c r="M4622" s="123">
        <f>IF(AND(B4622&lt;&gt;"",OR($C$4="",ISNUMBER(SEARCH($C$4,C4622&amp;" "&amp;E4622&amp;" "&amp;G4622&amp;" "&amp;H4622&amp;" "&amp;I4622&amp;" "&amp;J4622&amp;" "&amp;K4622&amp;" "&amp;L4622))),OR($C$5="Semua",$C$5="",G4622=$C$5),OR($C$6="Semua",$C$6="",H4622=$C$6,H4622="Pengeluaran "&amp;$C$6,AND($C$6="Uang Kos Mama",H4622="Pengeluaran Uang Kos")),OR($C$7="Semua",$C$7="",I4622=$C$7),OR($C$8="Semua",$C$8="",C4622=$C$8,E4622=$C$8),OR($C$9="Semua",$C$9="",D4622=$C$9),OR($C$10="",B4622&gt;=$C$10),OR($C$11="",B4622&lt;=$C$11),OR($C$12&lt;&gt;"Ya",K4622&lt;&gt;""),OR($C$13="Semua",$C$13="",L4622=$C$13)),"✓","")</f>
        <v/>
      </c>
      <c r="N4622" s="93">
        <f>N(N4621)+IF(M4622="✓",1,0)</f>
        <v/>
      </c>
      <c r="O4622" s="93">
        <f>N(O4621)+IF(AND(B4622&lt;&gt;"",B4622&gt;='Uang Riba'!$H$30,B4622&lt;='Uang Riba'!$I$30,OR(H4622="Dana riba",H4622="Pinjam uang riba",I4622="Pinjam dari uang riba",I4622="Ganti uang riba",I4622="Kelebihan ganti dikembalikan",AND(C4622="Kantong Uang Riba",G4622="Pengeluaran"))),1,0)</f>
        <v/>
      </c>
      <c r="X4622" s="93">
        <f>IF(AND(B4622&lt;&gt;"",B4622&gt;='Buku Akun'!$H$4,B4622&lt;='Buku Akun'!$H$5,OR(C4622='Buku Akun'!$C$4,AND(D4622="Pindah",E4622='Buku Akun'!$C$4))),B4622+IF(AND(I4622="Selisih bunga",DAY(B4622)=1),0,0.01)+ROW()/10000000,"")</f>
        <v/>
      </c>
    </row>
    <row r="4623" outlineLevel="1" ht="15" customHeight="1" s="94">
      <c r="A4623" s="123">
        <f>IF(B4623="","",ROW()-15)</f>
        <v/>
      </c>
      <c r="B4623" s="124" t="n"/>
      <c r="C4623" s="123" t="n"/>
      <c r="D4623" s="123" t="n"/>
      <c r="E4623" s="123" t="n"/>
      <c r="F4623" s="125" t="n"/>
      <c r="G4623" s="123" t="n"/>
      <c r="H4623" s="123" t="n"/>
      <c r="I4623" s="123" t="n"/>
      <c r="J4623" s="123" t="n"/>
      <c r="K4623" s="123" t="n"/>
      <c r="L4623" s="123" t="n"/>
      <c r="M4623" s="123">
        <f>IF(AND(B4623&lt;&gt;"",OR($C$4="",ISNUMBER(SEARCH($C$4,C4623&amp;" "&amp;E4623&amp;" "&amp;G4623&amp;" "&amp;H4623&amp;" "&amp;I4623&amp;" "&amp;J4623&amp;" "&amp;K4623&amp;" "&amp;L4623))),OR($C$5="Semua",$C$5="",G4623=$C$5),OR($C$6="Semua",$C$6="",H4623=$C$6,H4623="Pengeluaran "&amp;$C$6,AND($C$6="Uang Kos Mama",H4623="Pengeluaran Uang Kos")),OR($C$7="Semua",$C$7="",I4623=$C$7),OR($C$8="Semua",$C$8="",C4623=$C$8,E4623=$C$8),OR($C$9="Semua",$C$9="",D4623=$C$9),OR($C$10="",B4623&gt;=$C$10),OR($C$11="",B4623&lt;=$C$11),OR($C$12&lt;&gt;"Ya",K4623&lt;&gt;""),OR($C$13="Semua",$C$13="",L4623=$C$13)),"✓","")</f>
        <v/>
      </c>
      <c r="N4623" s="93">
        <f>N(N4622)+IF(M4623="✓",1,0)</f>
        <v/>
      </c>
      <c r="O4623" s="93">
        <f>N(O4622)+IF(AND(B4623&lt;&gt;"",B4623&gt;='Uang Riba'!$H$30,B4623&lt;='Uang Riba'!$I$30,OR(H4623="Dana riba",H4623="Pinjam uang riba",I4623="Pinjam dari uang riba",I4623="Ganti uang riba",I4623="Kelebihan ganti dikembalikan",AND(C4623="Kantong Uang Riba",G4623="Pengeluaran"))),1,0)</f>
        <v/>
      </c>
      <c r="X4623" s="93">
        <f>IF(AND(B4623&lt;&gt;"",B4623&gt;='Buku Akun'!$H$4,B4623&lt;='Buku Akun'!$H$5,OR(C4623='Buku Akun'!$C$4,AND(D4623="Pindah",E4623='Buku Akun'!$C$4))),B4623+IF(AND(I4623="Selisih bunga",DAY(B4623)=1),0,0.01)+ROW()/10000000,"")</f>
        <v/>
      </c>
    </row>
    <row r="4624" outlineLevel="1" ht="15" customHeight="1" s="94">
      <c r="A4624" s="123">
        <f>IF(B4624="","",ROW()-15)</f>
        <v/>
      </c>
      <c r="B4624" s="124" t="n"/>
      <c r="C4624" s="123" t="n"/>
      <c r="D4624" s="123" t="n"/>
      <c r="E4624" s="123" t="n"/>
      <c r="F4624" s="125" t="n"/>
      <c r="G4624" s="123" t="n"/>
      <c r="H4624" s="123" t="n"/>
      <c r="I4624" s="123" t="n"/>
      <c r="J4624" s="123" t="n"/>
      <c r="K4624" s="123" t="n"/>
      <c r="L4624" s="123" t="n"/>
      <c r="M4624" s="123">
        <f>IF(AND(B4624&lt;&gt;"",OR($C$4="",ISNUMBER(SEARCH($C$4,C4624&amp;" "&amp;E4624&amp;" "&amp;G4624&amp;" "&amp;H4624&amp;" "&amp;I4624&amp;" "&amp;J4624&amp;" "&amp;K4624&amp;" "&amp;L4624))),OR($C$5="Semua",$C$5="",G4624=$C$5),OR($C$6="Semua",$C$6="",H4624=$C$6,H4624="Pengeluaran "&amp;$C$6,AND($C$6="Uang Kos Mama",H4624="Pengeluaran Uang Kos")),OR($C$7="Semua",$C$7="",I4624=$C$7),OR($C$8="Semua",$C$8="",C4624=$C$8,E4624=$C$8),OR($C$9="Semua",$C$9="",D4624=$C$9),OR($C$10="",B4624&gt;=$C$10),OR($C$11="",B4624&lt;=$C$11),OR($C$12&lt;&gt;"Ya",K4624&lt;&gt;""),OR($C$13="Semua",$C$13="",L4624=$C$13)),"✓","")</f>
        <v/>
      </c>
      <c r="N4624" s="93">
        <f>N(N4623)+IF(M4624="✓",1,0)</f>
        <v/>
      </c>
      <c r="O4624" s="93">
        <f>N(O4623)+IF(AND(B4624&lt;&gt;"",B4624&gt;='Uang Riba'!$H$30,B4624&lt;='Uang Riba'!$I$30,OR(H4624="Dana riba",H4624="Pinjam uang riba",I4624="Pinjam dari uang riba",I4624="Ganti uang riba",I4624="Kelebihan ganti dikembalikan",AND(C4624="Kantong Uang Riba",G4624="Pengeluaran"))),1,0)</f>
        <v/>
      </c>
      <c r="X4624" s="93">
        <f>IF(AND(B4624&lt;&gt;"",B4624&gt;='Buku Akun'!$H$4,B4624&lt;='Buku Akun'!$H$5,OR(C4624='Buku Akun'!$C$4,AND(D4624="Pindah",E4624='Buku Akun'!$C$4))),B4624+IF(AND(I4624="Selisih bunga",DAY(B4624)=1),0,0.01)+ROW()/10000000,"")</f>
        <v/>
      </c>
    </row>
    <row r="4625" outlineLevel="1" ht="15" customHeight="1" s="94">
      <c r="A4625" s="123">
        <f>IF(B4625="","",ROW()-15)</f>
        <v/>
      </c>
      <c r="B4625" s="124" t="n"/>
      <c r="C4625" s="123" t="n"/>
      <c r="D4625" s="123" t="n"/>
      <c r="E4625" s="123" t="n"/>
      <c r="F4625" s="125" t="n"/>
      <c r="G4625" s="123" t="n"/>
      <c r="H4625" s="123" t="n"/>
      <c r="I4625" s="123" t="n"/>
      <c r="J4625" s="123" t="n"/>
      <c r="K4625" s="123" t="n"/>
      <c r="L4625" s="123" t="n"/>
      <c r="M4625" s="123">
        <f>IF(AND(B4625&lt;&gt;"",OR($C$4="",ISNUMBER(SEARCH($C$4,C4625&amp;" "&amp;E4625&amp;" "&amp;G4625&amp;" "&amp;H4625&amp;" "&amp;I4625&amp;" "&amp;J4625&amp;" "&amp;K4625&amp;" "&amp;L4625))),OR($C$5="Semua",$C$5="",G4625=$C$5),OR($C$6="Semua",$C$6="",H4625=$C$6,H4625="Pengeluaran "&amp;$C$6,AND($C$6="Uang Kos Mama",H4625="Pengeluaran Uang Kos")),OR($C$7="Semua",$C$7="",I4625=$C$7),OR($C$8="Semua",$C$8="",C4625=$C$8,E4625=$C$8),OR($C$9="Semua",$C$9="",D4625=$C$9),OR($C$10="",B4625&gt;=$C$10),OR($C$11="",B4625&lt;=$C$11),OR($C$12&lt;&gt;"Ya",K4625&lt;&gt;""),OR($C$13="Semua",$C$13="",L4625=$C$13)),"✓","")</f>
        <v/>
      </c>
      <c r="N4625" s="93">
        <f>N(N4624)+IF(M4625="✓",1,0)</f>
        <v/>
      </c>
      <c r="O4625" s="93">
        <f>N(O4624)+IF(AND(B4625&lt;&gt;"",B4625&gt;='Uang Riba'!$H$30,B4625&lt;='Uang Riba'!$I$30,OR(H4625="Dana riba",H4625="Pinjam uang riba",I4625="Pinjam dari uang riba",I4625="Ganti uang riba",I4625="Kelebihan ganti dikembalikan",AND(C4625="Kantong Uang Riba",G4625="Pengeluaran"))),1,0)</f>
        <v/>
      </c>
      <c r="X4625" s="93">
        <f>IF(AND(B4625&lt;&gt;"",B4625&gt;='Buku Akun'!$H$4,B4625&lt;='Buku Akun'!$H$5,OR(C4625='Buku Akun'!$C$4,AND(D4625="Pindah",E4625='Buku Akun'!$C$4))),B4625+IF(AND(I4625="Selisih bunga",DAY(B4625)=1),0,0.01)+ROW()/10000000,"")</f>
        <v/>
      </c>
    </row>
    <row r="4626" outlineLevel="1" ht="15" customHeight="1" s="94">
      <c r="A4626" s="123">
        <f>IF(B4626="","",ROW()-15)</f>
        <v/>
      </c>
      <c r="B4626" s="124" t="n"/>
      <c r="C4626" s="123" t="n"/>
      <c r="D4626" s="123" t="n"/>
      <c r="E4626" s="123" t="n"/>
      <c r="F4626" s="125" t="n"/>
      <c r="G4626" s="123" t="n"/>
      <c r="H4626" s="123" t="n"/>
      <c r="I4626" s="123" t="n"/>
      <c r="J4626" s="123" t="n"/>
      <c r="K4626" s="123" t="n"/>
      <c r="L4626" s="123" t="n"/>
      <c r="M4626" s="123">
        <f>IF(AND(B4626&lt;&gt;"",OR($C$4="",ISNUMBER(SEARCH($C$4,C4626&amp;" "&amp;E4626&amp;" "&amp;G4626&amp;" "&amp;H4626&amp;" "&amp;I4626&amp;" "&amp;J4626&amp;" "&amp;K4626&amp;" "&amp;L4626))),OR($C$5="Semua",$C$5="",G4626=$C$5),OR($C$6="Semua",$C$6="",H4626=$C$6,H4626="Pengeluaran "&amp;$C$6,AND($C$6="Uang Kos Mama",H4626="Pengeluaran Uang Kos")),OR($C$7="Semua",$C$7="",I4626=$C$7),OR($C$8="Semua",$C$8="",C4626=$C$8,E4626=$C$8),OR($C$9="Semua",$C$9="",D4626=$C$9),OR($C$10="",B4626&gt;=$C$10),OR($C$11="",B4626&lt;=$C$11),OR($C$12&lt;&gt;"Ya",K4626&lt;&gt;""),OR($C$13="Semua",$C$13="",L4626=$C$13)),"✓","")</f>
        <v/>
      </c>
      <c r="N4626" s="93">
        <f>N(N4625)+IF(M4626="✓",1,0)</f>
        <v/>
      </c>
      <c r="O4626" s="93">
        <f>N(O4625)+IF(AND(B4626&lt;&gt;"",B4626&gt;='Uang Riba'!$H$30,B4626&lt;='Uang Riba'!$I$30,OR(H4626="Dana riba",H4626="Pinjam uang riba",I4626="Pinjam dari uang riba",I4626="Ganti uang riba",I4626="Kelebihan ganti dikembalikan",AND(C4626="Kantong Uang Riba",G4626="Pengeluaran"))),1,0)</f>
        <v/>
      </c>
      <c r="X4626" s="93">
        <f>IF(AND(B4626&lt;&gt;"",B4626&gt;='Buku Akun'!$H$4,B4626&lt;='Buku Akun'!$H$5,OR(C4626='Buku Akun'!$C$4,AND(D4626="Pindah",E4626='Buku Akun'!$C$4))),B4626+IF(AND(I4626="Selisih bunga",DAY(B4626)=1),0,0.01)+ROW()/10000000,"")</f>
        <v/>
      </c>
    </row>
    <row r="4627" outlineLevel="1" ht="15" customHeight="1" s="94">
      <c r="A4627" s="123">
        <f>IF(B4627="","",ROW()-15)</f>
        <v/>
      </c>
      <c r="B4627" s="124" t="n"/>
      <c r="C4627" s="123" t="n"/>
      <c r="D4627" s="123" t="n"/>
      <c r="E4627" s="123" t="n"/>
      <c r="F4627" s="125" t="n"/>
      <c r="G4627" s="123" t="n"/>
      <c r="H4627" s="123" t="n"/>
      <c r="I4627" s="123" t="n"/>
      <c r="J4627" s="123" t="n"/>
      <c r="K4627" s="123" t="n"/>
      <c r="L4627" s="123" t="n"/>
      <c r="M4627" s="123">
        <f>IF(AND(B4627&lt;&gt;"",OR($C$4="",ISNUMBER(SEARCH($C$4,C4627&amp;" "&amp;E4627&amp;" "&amp;G4627&amp;" "&amp;H4627&amp;" "&amp;I4627&amp;" "&amp;J4627&amp;" "&amp;K4627&amp;" "&amp;L4627))),OR($C$5="Semua",$C$5="",G4627=$C$5),OR($C$6="Semua",$C$6="",H4627=$C$6,H4627="Pengeluaran "&amp;$C$6,AND($C$6="Uang Kos Mama",H4627="Pengeluaran Uang Kos")),OR($C$7="Semua",$C$7="",I4627=$C$7),OR($C$8="Semua",$C$8="",C4627=$C$8,E4627=$C$8),OR($C$9="Semua",$C$9="",D4627=$C$9),OR($C$10="",B4627&gt;=$C$10),OR($C$11="",B4627&lt;=$C$11),OR($C$12&lt;&gt;"Ya",K4627&lt;&gt;""),OR($C$13="Semua",$C$13="",L4627=$C$13)),"✓","")</f>
        <v/>
      </c>
      <c r="N4627" s="93">
        <f>N(N4626)+IF(M4627="✓",1,0)</f>
        <v/>
      </c>
      <c r="O4627" s="93">
        <f>N(O4626)+IF(AND(B4627&lt;&gt;"",B4627&gt;='Uang Riba'!$H$30,B4627&lt;='Uang Riba'!$I$30,OR(H4627="Dana riba",H4627="Pinjam uang riba",I4627="Pinjam dari uang riba",I4627="Ganti uang riba",I4627="Kelebihan ganti dikembalikan",AND(C4627="Kantong Uang Riba",G4627="Pengeluaran"))),1,0)</f>
        <v/>
      </c>
      <c r="X4627" s="93">
        <f>IF(AND(B4627&lt;&gt;"",B4627&gt;='Buku Akun'!$H$4,B4627&lt;='Buku Akun'!$H$5,OR(C4627='Buku Akun'!$C$4,AND(D4627="Pindah",E4627='Buku Akun'!$C$4))),B4627+IF(AND(I4627="Selisih bunga",DAY(B4627)=1),0,0.01)+ROW()/10000000,"")</f>
        <v/>
      </c>
    </row>
    <row r="4628" outlineLevel="1" ht="15" customHeight="1" s="94">
      <c r="A4628" s="123">
        <f>IF(B4628="","",ROW()-15)</f>
        <v/>
      </c>
      <c r="B4628" s="124" t="n"/>
      <c r="C4628" s="123" t="n"/>
      <c r="D4628" s="123" t="n"/>
      <c r="E4628" s="123" t="n"/>
      <c r="F4628" s="125" t="n"/>
      <c r="G4628" s="123" t="n"/>
      <c r="H4628" s="123" t="n"/>
      <c r="I4628" s="123" t="n"/>
      <c r="J4628" s="123" t="n"/>
      <c r="K4628" s="123" t="n"/>
      <c r="L4628" s="123" t="n"/>
      <c r="M4628" s="123">
        <f>IF(AND(B4628&lt;&gt;"",OR($C$4="",ISNUMBER(SEARCH($C$4,C4628&amp;" "&amp;E4628&amp;" "&amp;G4628&amp;" "&amp;H4628&amp;" "&amp;I4628&amp;" "&amp;J4628&amp;" "&amp;K4628&amp;" "&amp;L4628))),OR($C$5="Semua",$C$5="",G4628=$C$5),OR($C$6="Semua",$C$6="",H4628=$C$6,H4628="Pengeluaran "&amp;$C$6,AND($C$6="Uang Kos Mama",H4628="Pengeluaran Uang Kos")),OR($C$7="Semua",$C$7="",I4628=$C$7),OR($C$8="Semua",$C$8="",C4628=$C$8,E4628=$C$8),OR($C$9="Semua",$C$9="",D4628=$C$9),OR($C$10="",B4628&gt;=$C$10),OR($C$11="",B4628&lt;=$C$11),OR($C$12&lt;&gt;"Ya",K4628&lt;&gt;""),OR($C$13="Semua",$C$13="",L4628=$C$13)),"✓","")</f>
        <v/>
      </c>
      <c r="N4628" s="93">
        <f>N(N4627)+IF(M4628="✓",1,0)</f>
        <v/>
      </c>
      <c r="O4628" s="93">
        <f>N(O4627)+IF(AND(B4628&lt;&gt;"",B4628&gt;='Uang Riba'!$H$30,B4628&lt;='Uang Riba'!$I$30,OR(H4628="Dana riba",H4628="Pinjam uang riba",I4628="Pinjam dari uang riba",I4628="Ganti uang riba",I4628="Kelebihan ganti dikembalikan",AND(C4628="Kantong Uang Riba",G4628="Pengeluaran"))),1,0)</f>
        <v/>
      </c>
      <c r="X4628" s="93">
        <f>IF(AND(B4628&lt;&gt;"",B4628&gt;='Buku Akun'!$H$4,B4628&lt;='Buku Akun'!$H$5,OR(C4628='Buku Akun'!$C$4,AND(D4628="Pindah",E4628='Buku Akun'!$C$4))),B4628+IF(AND(I4628="Selisih bunga",DAY(B4628)=1),0,0.01)+ROW()/10000000,"")</f>
        <v/>
      </c>
    </row>
    <row r="4629" outlineLevel="1" ht="15" customHeight="1" s="94">
      <c r="A4629" s="123">
        <f>IF(B4629="","",ROW()-15)</f>
        <v/>
      </c>
      <c r="B4629" s="124" t="n"/>
      <c r="C4629" s="123" t="n"/>
      <c r="D4629" s="123" t="n"/>
      <c r="E4629" s="123" t="n"/>
      <c r="F4629" s="125" t="n"/>
      <c r="G4629" s="123" t="n"/>
      <c r="H4629" s="123" t="n"/>
      <c r="I4629" s="123" t="n"/>
      <c r="J4629" s="123" t="n"/>
      <c r="K4629" s="123" t="n"/>
      <c r="L4629" s="123" t="n"/>
      <c r="M4629" s="123">
        <f>IF(AND(B4629&lt;&gt;"",OR($C$4="",ISNUMBER(SEARCH($C$4,C4629&amp;" "&amp;E4629&amp;" "&amp;G4629&amp;" "&amp;H4629&amp;" "&amp;I4629&amp;" "&amp;J4629&amp;" "&amp;K4629&amp;" "&amp;L4629))),OR($C$5="Semua",$C$5="",G4629=$C$5),OR($C$6="Semua",$C$6="",H4629=$C$6,H4629="Pengeluaran "&amp;$C$6,AND($C$6="Uang Kos Mama",H4629="Pengeluaran Uang Kos")),OR($C$7="Semua",$C$7="",I4629=$C$7),OR($C$8="Semua",$C$8="",C4629=$C$8,E4629=$C$8),OR($C$9="Semua",$C$9="",D4629=$C$9),OR($C$10="",B4629&gt;=$C$10),OR($C$11="",B4629&lt;=$C$11),OR($C$12&lt;&gt;"Ya",K4629&lt;&gt;""),OR($C$13="Semua",$C$13="",L4629=$C$13)),"✓","")</f>
        <v/>
      </c>
      <c r="N4629" s="93">
        <f>N(N4628)+IF(M4629="✓",1,0)</f>
        <v/>
      </c>
      <c r="O4629" s="93">
        <f>N(O4628)+IF(AND(B4629&lt;&gt;"",B4629&gt;='Uang Riba'!$H$30,B4629&lt;='Uang Riba'!$I$30,OR(H4629="Dana riba",H4629="Pinjam uang riba",I4629="Pinjam dari uang riba",I4629="Ganti uang riba",I4629="Kelebihan ganti dikembalikan",AND(C4629="Kantong Uang Riba",G4629="Pengeluaran"))),1,0)</f>
        <v/>
      </c>
      <c r="X4629" s="93">
        <f>IF(AND(B4629&lt;&gt;"",B4629&gt;='Buku Akun'!$H$4,B4629&lt;='Buku Akun'!$H$5,OR(C4629='Buku Akun'!$C$4,AND(D4629="Pindah",E4629='Buku Akun'!$C$4))),B4629+IF(AND(I4629="Selisih bunga",DAY(B4629)=1),0,0.01)+ROW()/10000000,"")</f>
        <v/>
      </c>
    </row>
    <row r="4630" outlineLevel="1" ht="15" customHeight="1" s="94">
      <c r="A4630" s="123">
        <f>IF(B4630="","",ROW()-15)</f>
        <v/>
      </c>
      <c r="B4630" s="124" t="n"/>
      <c r="C4630" s="123" t="n"/>
      <c r="D4630" s="123" t="n"/>
      <c r="E4630" s="123" t="n"/>
      <c r="F4630" s="125" t="n"/>
      <c r="G4630" s="123" t="n"/>
      <c r="H4630" s="123" t="n"/>
      <c r="I4630" s="123" t="n"/>
      <c r="J4630" s="123" t="n"/>
      <c r="K4630" s="123" t="n"/>
      <c r="L4630" s="123" t="n"/>
      <c r="M4630" s="123">
        <f>IF(AND(B4630&lt;&gt;"",OR($C$4="",ISNUMBER(SEARCH($C$4,C4630&amp;" "&amp;E4630&amp;" "&amp;G4630&amp;" "&amp;H4630&amp;" "&amp;I4630&amp;" "&amp;J4630&amp;" "&amp;K4630&amp;" "&amp;L4630))),OR($C$5="Semua",$C$5="",G4630=$C$5),OR($C$6="Semua",$C$6="",H4630=$C$6,H4630="Pengeluaran "&amp;$C$6,AND($C$6="Uang Kos Mama",H4630="Pengeluaran Uang Kos")),OR($C$7="Semua",$C$7="",I4630=$C$7),OR($C$8="Semua",$C$8="",C4630=$C$8,E4630=$C$8),OR($C$9="Semua",$C$9="",D4630=$C$9),OR($C$10="",B4630&gt;=$C$10),OR($C$11="",B4630&lt;=$C$11),OR($C$12&lt;&gt;"Ya",K4630&lt;&gt;""),OR($C$13="Semua",$C$13="",L4630=$C$13)),"✓","")</f>
        <v/>
      </c>
      <c r="N4630" s="93">
        <f>N(N4629)+IF(M4630="✓",1,0)</f>
        <v/>
      </c>
      <c r="O4630" s="93">
        <f>N(O4629)+IF(AND(B4630&lt;&gt;"",B4630&gt;='Uang Riba'!$H$30,B4630&lt;='Uang Riba'!$I$30,OR(H4630="Dana riba",H4630="Pinjam uang riba",I4630="Pinjam dari uang riba",I4630="Ganti uang riba",I4630="Kelebihan ganti dikembalikan",AND(C4630="Kantong Uang Riba",G4630="Pengeluaran"))),1,0)</f>
        <v/>
      </c>
      <c r="X4630" s="93">
        <f>IF(AND(B4630&lt;&gt;"",B4630&gt;='Buku Akun'!$H$4,B4630&lt;='Buku Akun'!$H$5,OR(C4630='Buku Akun'!$C$4,AND(D4630="Pindah",E4630='Buku Akun'!$C$4))),B4630+IF(AND(I4630="Selisih bunga",DAY(B4630)=1),0,0.01)+ROW()/10000000,"")</f>
        <v/>
      </c>
    </row>
    <row r="4631" outlineLevel="1" ht="15" customHeight="1" s="94">
      <c r="A4631" s="123">
        <f>IF(B4631="","",ROW()-15)</f>
        <v/>
      </c>
      <c r="B4631" s="124" t="n"/>
      <c r="C4631" s="123" t="n"/>
      <c r="D4631" s="123" t="n"/>
      <c r="E4631" s="123" t="n"/>
      <c r="F4631" s="125" t="n"/>
      <c r="G4631" s="123" t="n"/>
      <c r="H4631" s="123" t="n"/>
      <c r="I4631" s="123" t="n"/>
      <c r="J4631" s="123" t="n"/>
      <c r="K4631" s="123" t="n"/>
      <c r="L4631" s="123" t="n"/>
      <c r="M4631" s="123">
        <f>IF(AND(B4631&lt;&gt;"",OR($C$4="",ISNUMBER(SEARCH($C$4,C4631&amp;" "&amp;E4631&amp;" "&amp;G4631&amp;" "&amp;H4631&amp;" "&amp;I4631&amp;" "&amp;J4631&amp;" "&amp;K4631&amp;" "&amp;L4631))),OR($C$5="Semua",$C$5="",G4631=$C$5),OR($C$6="Semua",$C$6="",H4631=$C$6,H4631="Pengeluaran "&amp;$C$6,AND($C$6="Uang Kos Mama",H4631="Pengeluaran Uang Kos")),OR($C$7="Semua",$C$7="",I4631=$C$7),OR($C$8="Semua",$C$8="",C4631=$C$8,E4631=$C$8),OR($C$9="Semua",$C$9="",D4631=$C$9),OR($C$10="",B4631&gt;=$C$10),OR($C$11="",B4631&lt;=$C$11),OR($C$12&lt;&gt;"Ya",K4631&lt;&gt;""),OR($C$13="Semua",$C$13="",L4631=$C$13)),"✓","")</f>
        <v/>
      </c>
      <c r="N4631" s="93">
        <f>N(N4630)+IF(M4631="✓",1,0)</f>
        <v/>
      </c>
      <c r="O4631" s="93">
        <f>N(O4630)+IF(AND(B4631&lt;&gt;"",B4631&gt;='Uang Riba'!$H$30,B4631&lt;='Uang Riba'!$I$30,OR(H4631="Dana riba",H4631="Pinjam uang riba",I4631="Pinjam dari uang riba",I4631="Ganti uang riba",I4631="Kelebihan ganti dikembalikan",AND(C4631="Kantong Uang Riba",G4631="Pengeluaran"))),1,0)</f>
        <v/>
      </c>
      <c r="X4631" s="93">
        <f>IF(AND(B4631&lt;&gt;"",B4631&gt;='Buku Akun'!$H$4,B4631&lt;='Buku Akun'!$H$5,OR(C4631='Buku Akun'!$C$4,AND(D4631="Pindah",E4631='Buku Akun'!$C$4))),B4631+IF(AND(I4631="Selisih bunga",DAY(B4631)=1),0,0.01)+ROW()/10000000,"")</f>
        <v/>
      </c>
    </row>
    <row r="4632" outlineLevel="1" ht="15" customHeight="1" s="94">
      <c r="A4632" s="123">
        <f>IF(B4632="","",ROW()-15)</f>
        <v/>
      </c>
      <c r="B4632" s="124" t="n"/>
      <c r="C4632" s="123" t="n"/>
      <c r="D4632" s="123" t="n"/>
      <c r="E4632" s="123" t="n"/>
      <c r="F4632" s="125" t="n"/>
      <c r="G4632" s="123" t="n"/>
      <c r="H4632" s="123" t="n"/>
      <c r="I4632" s="123" t="n"/>
      <c r="J4632" s="123" t="n"/>
      <c r="K4632" s="123" t="n"/>
      <c r="L4632" s="123" t="n"/>
      <c r="M4632" s="123">
        <f>IF(AND(B4632&lt;&gt;"",OR($C$4="",ISNUMBER(SEARCH($C$4,C4632&amp;" "&amp;E4632&amp;" "&amp;G4632&amp;" "&amp;H4632&amp;" "&amp;I4632&amp;" "&amp;J4632&amp;" "&amp;K4632&amp;" "&amp;L4632))),OR($C$5="Semua",$C$5="",G4632=$C$5),OR($C$6="Semua",$C$6="",H4632=$C$6,H4632="Pengeluaran "&amp;$C$6,AND($C$6="Uang Kos Mama",H4632="Pengeluaran Uang Kos")),OR($C$7="Semua",$C$7="",I4632=$C$7),OR($C$8="Semua",$C$8="",C4632=$C$8,E4632=$C$8),OR($C$9="Semua",$C$9="",D4632=$C$9),OR($C$10="",B4632&gt;=$C$10),OR($C$11="",B4632&lt;=$C$11),OR($C$12&lt;&gt;"Ya",K4632&lt;&gt;""),OR($C$13="Semua",$C$13="",L4632=$C$13)),"✓","")</f>
        <v/>
      </c>
      <c r="N4632" s="93">
        <f>N(N4631)+IF(M4632="✓",1,0)</f>
        <v/>
      </c>
      <c r="O4632" s="93">
        <f>N(O4631)+IF(AND(B4632&lt;&gt;"",B4632&gt;='Uang Riba'!$H$30,B4632&lt;='Uang Riba'!$I$30,OR(H4632="Dana riba",H4632="Pinjam uang riba",I4632="Pinjam dari uang riba",I4632="Ganti uang riba",I4632="Kelebihan ganti dikembalikan",AND(C4632="Kantong Uang Riba",G4632="Pengeluaran"))),1,0)</f>
        <v/>
      </c>
      <c r="X4632" s="93">
        <f>IF(AND(B4632&lt;&gt;"",B4632&gt;='Buku Akun'!$H$4,B4632&lt;='Buku Akun'!$H$5,OR(C4632='Buku Akun'!$C$4,AND(D4632="Pindah",E4632='Buku Akun'!$C$4))),B4632+IF(AND(I4632="Selisih bunga",DAY(B4632)=1),0,0.01)+ROW()/10000000,"")</f>
        <v/>
      </c>
    </row>
    <row r="4633" outlineLevel="1" ht="15" customHeight="1" s="94">
      <c r="A4633" s="123">
        <f>IF(B4633="","",ROW()-15)</f>
        <v/>
      </c>
      <c r="B4633" s="124" t="n"/>
      <c r="C4633" s="123" t="n"/>
      <c r="D4633" s="123" t="n"/>
      <c r="E4633" s="123" t="n"/>
      <c r="F4633" s="125" t="n"/>
      <c r="G4633" s="123" t="n"/>
      <c r="H4633" s="123" t="n"/>
      <c r="I4633" s="123" t="n"/>
      <c r="J4633" s="123" t="n"/>
      <c r="K4633" s="123" t="n"/>
      <c r="L4633" s="123" t="n"/>
      <c r="M4633" s="123">
        <f>IF(AND(B4633&lt;&gt;"",OR($C$4="",ISNUMBER(SEARCH($C$4,C4633&amp;" "&amp;E4633&amp;" "&amp;G4633&amp;" "&amp;H4633&amp;" "&amp;I4633&amp;" "&amp;J4633&amp;" "&amp;K4633&amp;" "&amp;L4633))),OR($C$5="Semua",$C$5="",G4633=$C$5),OR($C$6="Semua",$C$6="",H4633=$C$6,H4633="Pengeluaran "&amp;$C$6,AND($C$6="Uang Kos Mama",H4633="Pengeluaran Uang Kos")),OR($C$7="Semua",$C$7="",I4633=$C$7),OR($C$8="Semua",$C$8="",C4633=$C$8,E4633=$C$8),OR($C$9="Semua",$C$9="",D4633=$C$9),OR($C$10="",B4633&gt;=$C$10),OR($C$11="",B4633&lt;=$C$11),OR($C$12&lt;&gt;"Ya",K4633&lt;&gt;""),OR($C$13="Semua",$C$13="",L4633=$C$13)),"✓","")</f>
        <v/>
      </c>
      <c r="N4633" s="93">
        <f>N(N4632)+IF(M4633="✓",1,0)</f>
        <v/>
      </c>
      <c r="O4633" s="93">
        <f>N(O4632)+IF(AND(B4633&lt;&gt;"",B4633&gt;='Uang Riba'!$H$30,B4633&lt;='Uang Riba'!$I$30,OR(H4633="Dana riba",H4633="Pinjam uang riba",I4633="Pinjam dari uang riba",I4633="Ganti uang riba",I4633="Kelebihan ganti dikembalikan",AND(C4633="Kantong Uang Riba",G4633="Pengeluaran"))),1,0)</f>
        <v/>
      </c>
      <c r="X4633" s="93">
        <f>IF(AND(B4633&lt;&gt;"",B4633&gt;='Buku Akun'!$H$4,B4633&lt;='Buku Akun'!$H$5,OR(C4633='Buku Akun'!$C$4,AND(D4633="Pindah",E4633='Buku Akun'!$C$4))),B4633+IF(AND(I4633="Selisih bunga",DAY(B4633)=1),0,0.01)+ROW()/10000000,"")</f>
        <v/>
      </c>
    </row>
    <row r="4634" outlineLevel="1" ht="15" customHeight="1" s="94">
      <c r="A4634" s="123">
        <f>IF(B4634="","",ROW()-15)</f>
        <v/>
      </c>
      <c r="B4634" s="124" t="n"/>
      <c r="C4634" s="123" t="n"/>
      <c r="D4634" s="123" t="n"/>
      <c r="E4634" s="123" t="n"/>
      <c r="F4634" s="125" t="n"/>
      <c r="G4634" s="123" t="n"/>
      <c r="H4634" s="123" t="n"/>
      <c r="I4634" s="123" t="n"/>
      <c r="J4634" s="123" t="n"/>
      <c r="K4634" s="123" t="n"/>
      <c r="L4634" s="123" t="n"/>
      <c r="M4634" s="123">
        <f>IF(AND(B4634&lt;&gt;"",OR($C$4="",ISNUMBER(SEARCH($C$4,C4634&amp;" "&amp;E4634&amp;" "&amp;G4634&amp;" "&amp;H4634&amp;" "&amp;I4634&amp;" "&amp;J4634&amp;" "&amp;K4634&amp;" "&amp;L4634))),OR($C$5="Semua",$C$5="",G4634=$C$5),OR($C$6="Semua",$C$6="",H4634=$C$6,H4634="Pengeluaran "&amp;$C$6,AND($C$6="Uang Kos Mama",H4634="Pengeluaran Uang Kos")),OR($C$7="Semua",$C$7="",I4634=$C$7),OR($C$8="Semua",$C$8="",C4634=$C$8,E4634=$C$8),OR($C$9="Semua",$C$9="",D4634=$C$9),OR($C$10="",B4634&gt;=$C$10),OR($C$11="",B4634&lt;=$C$11),OR($C$12&lt;&gt;"Ya",K4634&lt;&gt;""),OR($C$13="Semua",$C$13="",L4634=$C$13)),"✓","")</f>
        <v/>
      </c>
      <c r="N4634" s="93">
        <f>N(N4633)+IF(M4634="✓",1,0)</f>
        <v/>
      </c>
      <c r="O4634" s="93">
        <f>N(O4633)+IF(AND(B4634&lt;&gt;"",B4634&gt;='Uang Riba'!$H$30,B4634&lt;='Uang Riba'!$I$30,OR(H4634="Dana riba",H4634="Pinjam uang riba",I4634="Pinjam dari uang riba",I4634="Ganti uang riba",I4634="Kelebihan ganti dikembalikan",AND(C4634="Kantong Uang Riba",G4634="Pengeluaran"))),1,0)</f>
        <v/>
      </c>
      <c r="X4634" s="93">
        <f>IF(AND(B4634&lt;&gt;"",B4634&gt;='Buku Akun'!$H$4,B4634&lt;='Buku Akun'!$H$5,OR(C4634='Buku Akun'!$C$4,AND(D4634="Pindah",E4634='Buku Akun'!$C$4))),B4634+IF(AND(I4634="Selisih bunga",DAY(B4634)=1),0,0.01)+ROW()/10000000,"")</f>
        <v/>
      </c>
    </row>
    <row r="4635" outlineLevel="1" ht="15" customHeight="1" s="94">
      <c r="A4635" s="123">
        <f>IF(B4635="","",ROW()-15)</f>
        <v/>
      </c>
      <c r="B4635" s="124" t="n"/>
      <c r="C4635" s="123" t="n"/>
      <c r="D4635" s="123" t="n"/>
      <c r="E4635" s="123" t="n"/>
      <c r="F4635" s="125" t="n"/>
      <c r="G4635" s="123" t="n"/>
      <c r="H4635" s="123" t="n"/>
      <c r="I4635" s="123" t="n"/>
      <c r="J4635" s="123" t="n"/>
      <c r="K4635" s="123" t="n"/>
      <c r="L4635" s="123" t="n"/>
      <c r="M4635" s="123">
        <f>IF(AND(B4635&lt;&gt;"",OR($C$4="",ISNUMBER(SEARCH($C$4,C4635&amp;" "&amp;E4635&amp;" "&amp;G4635&amp;" "&amp;H4635&amp;" "&amp;I4635&amp;" "&amp;J4635&amp;" "&amp;K4635&amp;" "&amp;L4635))),OR($C$5="Semua",$C$5="",G4635=$C$5),OR($C$6="Semua",$C$6="",H4635=$C$6,H4635="Pengeluaran "&amp;$C$6,AND($C$6="Uang Kos Mama",H4635="Pengeluaran Uang Kos")),OR($C$7="Semua",$C$7="",I4635=$C$7),OR($C$8="Semua",$C$8="",C4635=$C$8,E4635=$C$8),OR($C$9="Semua",$C$9="",D4635=$C$9),OR($C$10="",B4635&gt;=$C$10),OR($C$11="",B4635&lt;=$C$11),OR($C$12&lt;&gt;"Ya",K4635&lt;&gt;""),OR($C$13="Semua",$C$13="",L4635=$C$13)),"✓","")</f>
        <v/>
      </c>
      <c r="N4635" s="93">
        <f>N(N4634)+IF(M4635="✓",1,0)</f>
        <v/>
      </c>
      <c r="O4635" s="93">
        <f>N(O4634)+IF(AND(B4635&lt;&gt;"",B4635&gt;='Uang Riba'!$H$30,B4635&lt;='Uang Riba'!$I$30,OR(H4635="Dana riba",H4635="Pinjam uang riba",I4635="Pinjam dari uang riba",I4635="Ganti uang riba",I4635="Kelebihan ganti dikembalikan",AND(C4635="Kantong Uang Riba",G4635="Pengeluaran"))),1,0)</f>
        <v/>
      </c>
      <c r="X4635" s="93">
        <f>IF(AND(B4635&lt;&gt;"",B4635&gt;='Buku Akun'!$H$4,B4635&lt;='Buku Akun'!$H$5,OR(C4635='Buku Akun'!$C$4,AND(D4635="Pindah",E4635='Buku Akun'!$C$4))),B4635+IF(AND(I4635="Selisih bunga",DAY(B4635)=1),0,0.01)+ROW()/10000000,"")</f>
        <v/>
      </c>
    </row>
    <row r="4636" outlineLevel="1" ht="15" customHeight="1" s="94">
      <c r="A4636" s="123">
        <f>IF(B4636="","",ROW()-15)</f>
        <v/>
      </c>
      <c r="B4636" s="124" t="n"/>
      <c r="C4636" s="123" t="n"/>
      <c r="D4636" s="123" t="n"/>
      <c r="E4636" s="123" t="n"/>
      <c r="F4636" s="125" t="n"/>
      <c r="G4636" s="123" t="n"/>
      <c r="H4636" s="123" t="n"/>
      <c r="I4636" s="123" t="n"/>
      <c r="J4636" s="123" t="n"/>
      <c r="K4636" s="123" t="n"/>
      <c r="L4636" s="123" t="n"/>
      <c r="M4636" s="123">
        <f>IF(AND(B4636&lt;&gt;"",OR($C$4="",ISNUMBER(SEARCH($C$4,C4636&amp;" "&amp;E4636&amp;" "&amp;G4636&amp;" "&amp;H4636&amp;" "&amp;I4636&amp;" "&amp;J4636&amp;" "&amp;K4636&amp;" "&amp;L4636))),OR($C$5="Semua",$C$5="",G4636=$C$5),OR($C$6="Semua",$C$6="",H4636=$C$6,H4636="Pengeluaran "&amp;$C$6,AND($C$6="Uang Kos Mama",H4636="Pengeluaran Uang Kos")),OR($C$7="Semua",$C$7="",I4636=$C$7),OR($C$8="Semua",$C$8="",C4636=$C$8,E4636=$C$8),OR($C$9="Semua",$C$9="",D4636=$C$9),OR($C$10="",B4636&gt;=$C$10),OR($C$11="",B4636&lt;=$C$11),OR($C$12&lt;&gt;"Ya",K4636&lt;&gt;""),OR($C$13="Semua",$C$13="",L4636=$C$13)),"✓","")</f>
        <v/>
      </c>
      <c r="N4636" s="93">
        <f>N(N4635)+IF(M4636="✓",1,0)</f>
        <v/>
      </c>
      <c r="O4636" s="93">
        <f>N(O4635)+IF(AND(B4636&lt;&gt;"",B4636&gt;='Uang Riba'!$H$30,B4636&lt;='Uang Riba'!$I$30,OR(H4636="Dana riba",H4636="Pinjam uang riba",I4636="Pinjam dari uang riba",I4636="Ganti uang riba",I4636="Kelebihan ganti dikembalikan",AND(C4636="Kantong Uang Riba",G4636="Pengeluaran"))),1,0)</f>
        <v/>
      </c>
      <c r="X4636" s="93">
        <f>IF(AND(B4636&lt;&gt;"",B4636&gt;='Buku Akun'!$H$4,B4636&lt;='Buku Akun'!$H$5,OR(C4636='Buku Akun'!$C$4,AND(D4636="Pindah",E4636='Buku Akun'!$C$4))),B4636+IF(AND(I4636="Selisih bunga",DAY(B4636)=1),0,0.01)+ROW()/10000000,"")</f>
        <v/>
      </c>
    </row>
    <row r="4637" outlineLevel="1" ht="15" customHeight="1" s="94">
      <c r="A4637" s="123">
        <f>IF(B4637="","",ROW()-15)</f>
        <v/>
      </c>
      <c r="B4637" s="124" t="n"/>
      <c r="C4637" s="123" t="n"/>
      <c r="D4637" s="123" t="n"/>
      <c r="E4637" s="123" t="n"/>
      <c r="F4637" s="125" t="n"/>
      <c r="G4637" s="123" t="n"/>
      <c r="H4637" s="123" t="n"/>
      <c r="I4637" s="123" t="n"/>
      <c r="J4637" s="123" t="n"/>
      <c r="K4637" s="123" t="n"/>
      <c r="L4637" s="123" t="n"/>
      <c r="M4637" s="123">
        <f>IF(AND(B4637&lt;&gt;"",OR($C$4="",ISNUMBER(SEARCH($C$4,C4637&amp;" "&amp;E4637&amp;" "&amp;G4637&amp;" "&amp;H4637&amp;" "&amp;I4637&amp;" "&amp;J4637&amp;" "&amp;K4637&amp;" "&amp;L4637))),OR($C$5="Semua",$C$5="",G4637=$C$5),OR($C$6="Semua",$C$6="",H4637=$C$6,H4637="Pengeluaran "&amp;$C$6,AND($C$6="Uang Kos Mama",H4637="Pengeluaran Uang Kos")),OR($C$7="Semua",$C$7="",I4637=$C$7),OR($C$8="Semua",$C$8="",C4637=$C$8,E4637=$C$8),OR($C$9="Semua",$C$9="",D4637=$C$9),OR($C$10="",B4637&gt;=$C$10),OR($C$11="",B4637&lt;=$C$11),OR($C$12&lt;&gt;"Ya",K4637&lt;&gt;""),OR($C$13="Semua",$C$13="",L4637=$C$13)),"✓","")</f>
        <v/>
      </c>
      <c r="N4637" s="93">
        <f>N(N4636)+IF(M4637="✓",1,0)</f>
        <v/>
      </c>
      <c r="O4637" s="93">
        <f>N(O4636)+IF(AND(B4637&lt;&gt;"",B4637&gt;='Uang Riba'!$H$30,B4637&lt;='Uang Riba'!$I$30,OR(H4637="Dana riba",H4637="Pinjam uang riba",I4637="Pinjam dari uang riba",I4637="Ganti uang riba",I4637="Kelebihan ganti dikembalikan",AND(C4637="Kantong Uang Riba",G4637="Pengeluaran"))),1,0)</f>
        <v/>
      </c>
      <c r="X4637" s="93">
        <f>IF(AND(B4637&lt;&gt;"",B4637&gt;='Buku Akun'!$H$4,B4637&lt;='Buku Akun'!$H$5,OR(C4637='Buku Akun'!$C$4,AND(D4637="Pindah",E4637='Buku Akun'!$C$4))),B4637+IF(AND(I4637="Selisih bunga",DAY(B4637)=1),0,0.01)+ROW()/10000000,"")</f>
        <v/>
      </c>
    </row>
    <row r="4638" outlineLevel="1" ht="15" customHeight="1" s="94">
      <c r="A4638" s="123">
        <f>IF(B4638="","",ROW()-15)</f>
        <v/>
      </c>
      <c r="B4638" s="124" t="n"/>
      <c r="C4638" s="123" t="n"/>
      <c r="D4638" s="123" t="n"/>
      <c r="E4638" s="123" t="n"/>
      <c r="F4638" s="125" t="n"/>
      <c r="G4638" s="123" t="n"/>
      <c r="H4638" s="123" t="n"/>
      <c r="I4638" s="123" t="n"/>
      <c r="J4638" s="123" t="n"/>
      <c r="K4638" s="123" t="n"/>
      <c r="L4638" s="123" t="n"/>
      <c r="M4638" s="123">
        <f>IF(AND(B4638&lt;&gt;"",OR($C$4="",ISNUMBER(SEARCH($C$4,C4638&amp;" "&amp;E4638&amp;" "&amp;G4638&amp;" "&amp;H4638&amp;" "&amp;I4638&amp;" "&amp;J4638&amp;" "&amp;K4638&amp;" "&amp;L4638))),OR($C$5="Semua",$C$5="",G4638=$C$5),OR($C$6="Semua",$C$6="",H4638=$C$6,H4638="Pengeluaran "&amp;$C$6,AND($C$6="Uang Kos Mama",H4638="Pengeluaran Uang Kos")),OR($C$7="Semua",$C$7="",I4638=$C$7),OR($C$8="Semua",$C$8="",C4638=$C$8,E4638=$C$8),OR($C$9="Semua",$C$9="",D4638=$C$9),OR($C$10="",B4638&gt;=$C$10),OR($C$11="",B4638&lt;=$C$11),OR($C$12&lt;&gt;"Ya",K4638&lt;&gt;""),OR($C$13="Semua",$C$13="",L4638=$C$13)),"✓","")</f>
        <v/>
      </c>
      <c r="N4638" s="93">
        <f>N(N4637)+IF(M4638="✓",1,0)</f>
        <v/>
      </c>
      <c r="O4638" s="93">
        <f>N(O4637)+IF(AND(B4638&lt;&gt;"",B4638&gt;='Uang Riba'!$H$30,B4638&lt;='Uang Riba'!$I$30,OR(H4638="Dana riba",H4638="Pinjam uang riba",I4638="Pinjam dari uang riba",I4638="Ganti uang riba",I4638="Kelebihan ganti dikembalikan",AND(C4638="Kantong Uang Riba",G4638="Pengeluaran"))),1,0)</f>
        <v/>
      </c>
      <c r="X4638" s="93">
        <f>IF(AND(B4638&lt;&gt;"",B4638&gt;='Buku Akun'!$H$4,B4638&lt;='Buku Akun'!$H$5,OR(C4638='Buku Akun'!$C$4,AND(D4638="Pindah",E4638='Buku Akun'!$C$4))),B4638+IF(AND(I4638="Selisih bunga",DAY(B4638)=1),0,0.01)+ROW()/10000000,"")</f>
        <v/>
      </c>
    </row>
    <row r="4639" outlineLevel="1" ht="15" customHeight="1" s="94">
      <c r="A4639" s="123">
        <f>IF(B4639="","",ROW()-15)</f>
        <v/>
      </c>
      <c r="B4639" s="124" t="n"/>
      <c r="C4639" s="123" t="n"/>
      <c r="D4639" s="123" t="n"/>
      <c r="E4639" s="123" t="n"/>
      <c r="F4639" s="125" t="n"/>
      <c r="G4639" s="123" t="n"/>
      <c r="H4639" s="123" t="n"/>
      <c r="I4639" s="123" t="n"/>
      <c r="J4639" s="123" t="n"/>
      <c r="K4639" s="123" t="n"/>
      <c r="L4639" s="123" t="n"/>
      <c r="M4639" s="123">
        <f>IF(AND(B4639&lt;&gt;"",OR($C$4="",ISNUMBER(SEARCH($C$4,C4639&amp;" "&amp;E4639&amp;" "&amp;G4639&amp;" "&amp;H4639&amp;" "&amp;I4639&amp;" "&amp;J4639&amp;" "&amp;K4639&amp;" "&amp;L4639))),OR($C$5="Semua",$C$5="",G4639=$C$5),OR($C$6="Semua",$C$6="",H4639=$C$6,H4639="Pengeluaran "&amp;$C$6,AND($C$6="Uang Kos Mama",H4639="Pengeluaran Uang Kos")),OR($C$7="Semua",$C$7="",I4639=$C$7),OR($C$8="Semua",$C$8="",C4639=$C$8,E4639=$C$8),OR($C$9="Semua",$C$9="",D4639=$C$9),OR($C$10="",B4639&gt;=$C$10),OR($C$11="",B4639&lt;=$C$11),OR($C$12&lt;&gt;"Ya",K4639&lt;&gt;""),OR($C$13="Semua",$C$13="",L4639=$C$13)),"✓","")</f>
        <v/>
      </c>
      <c r="N4639" s="93">
        <f>N(N4638)+IF(M4639="✓",1,0)</f>
        <v/>
      </c>
      <c r="O4639" s="93">
        <f>N(O4638)+IF(AND(B4639&lt;&gt;"",B4639&gt;='Uang Riba'!$H$30,B4639&lt;='Uang Riba'!$I$30,OR(H4639="Dana riba",H4639="Pinjam uang riba",I4639="Pinjam dari uang riba",I4639="Ganti uang riba",I4639="Kelebihan ganti dikembalikan",AND(C4639="Kantong Uang Riba",G4639="Pengeluaran"))),1,0)</f>
        <v/>
      </c>
      <c r="X4639" s="93">
        <f>IF(AND(B4639&lt;&gt;"",B4639&gt;='Buku Akun'!$H$4,B4639&lt;='Buku Akun'!$H$5,OR(C4639='Buku Akun'!$C$4,AND(D4639="Pindah",E4639='Buku Akun'!$C$4))),B4639+IF(AND(I4639="Selisih bunga",DAY(B4639)=1),0,0.01)+ROW()/10000000,"")</f>
        <v/>
      </c>
    </row>
    <row r="4640" outlineLevel="1" ht="15" customHeight="1" s="94">
      <c r="A4640" s="123">
        <f>IF(B4640="","",ROW()-15)</f>
        <v/>
      </c>
      <c r="B4640" s="124" t="n"/>
      <c r="C4640" s="123" t="n"/>
      <c r="D4640" s="123" t="n"/>
      <c r="E4640" s="123" t="n"/>
      <c r="F4640" s="125" t="n"/>
      <c r="G4640" s="123" t="n"/>
      <c r="H4640" s="123" t="n"/>
      <c r="I4640" s="123" t="n"/>
      <c r="J4640" s="123" t="n"/>
      <c r="K4640" s="123" t="n"/>
      <c r="L4640" s="123" t="n"/>
      <c r="M4640" s="123">
        <f>IF(AND(B4640&lt;&gt;"",OR($C$4="",ISNUMBER(SEARCH($C$4,C4640&amp;" "&amp;E4640&amp;" "&amp;G4640&amp;" "&amp;H4640&amp;" "&amp;I4640&amp;" "&amp;J4640&amp;" "&amp;K4640&amp;" "&amp;L4640))),OR($C$5="Semua",$C$5="",G4640=$C$5),OR($C$6="Semua",$C$6="",H4640=$C$6,H4640="Pengeluaran "&amp;$C$6,AND($C$6="Uang Kos Mama",H4640="Pengeluaran Uang Kos")),OR($C$7="Semua",$C$7="",I4640=$C$7),OR($C$8="Semua",$C$8="",C4640=$C$8,E4640=$C$8),OR($C$9="Semua",$C$9="",D4640=$C$9),OR($C$10="",B4640&gt;=$C$10),OR($C$11="",B4640&lt;=$C$11),OR($C$12&lt;&gt;"Ya",K4640&lt;&gt;""),OR($C$13="Semua",$C$13="",L4640=$C$13)),"✓","")</f>
        <v/>
      </c>
      <c r="N4640" s="93">
        <f>N(N4639)+IF(M4640="✓",1,0)</f>
        <v/>
      </c>
      <c r="O4640" s="93">
        <f>N(O4639)+IF(AND(B4640&lt;&gt;"",B4640&gt;='Uang Riba'!$H$30,B4640&lt;='Uang Riba'!$I$30,OR(H4640="Dana riba",H4640="Pinjam uang riba",I4640="Pinjam dari uang riba",I4640="Ganti uang riba",I4640="Kelebihan ganti dikembalikan",AND(C4640="Kantong Uang Riba",G4640="Pengeluaran"))),1,0)</f>
        <v/>
      </c>
      <c r="X4640" s="93">
        <f>IF(AND(B4640&lt;&gt;"",B4640&gt;='Buku Akun'!$H$4,B4640&lt;='Buku Akun'!$H$5,OR(C4640='Buku Akun'!$C$4,AND(D4640="Pindah",E4640='Buku Akun'!$C$4))),B4640+IF(AND(I4640="Selisih bunga",DAY(B4640)=1),0,0.01)+ROW()/10000000,"")</f>
        <v/>
      </c>
    </row>
    <row r="4641" outlineLevel="1" ht="15" customHeight="1" s="94">
      <c r="A4641" s="123">
        <f>IF(B4641="","",ROW()-15)</f>
        <v/>
      </c>
      <c r="B4641" s="124" t="n"/>
      <c r="C4641" s="123" t="n"/>
      <c r="D4641" s="123" t="n"/>
      <c r="E4641" s="123" t="n"/>
      <c r="F4641" s="125" t="n"/>
      <c r="G4641" s="123" t="n"/>
      <c r="H4641" s="123" t="n"/>
      <c r="I4641" s="123" t="n"/>
      <c r="J4641" s="123" t="n"/>
      <c r="K4641" s="123" t="n"/>
      <c r="L4641" s="123" t="n"/>
      <c r="M4641" s="123">
        <f>IF(AND(B4641&lt;&gt;"",OR($C$4="",ISNUMBER(SEARCH($C$4,C4641&amp;" "&amp;E4641&amp;" "&amp;G4641&amp;" "&amp;H4641&amp;" "&amp;I4641&amp;" "&amp;J4641&amp;" "&amp;K4641&amp;" "&amp;L4641))),OR($C$5="Semua",$C$5="",G4641=$C$5),OR($C$6="Semua",$C$6="",H4641=$C$6,H4641="Pengeluaran "&amp;$C$6,AND($C$6="Uang Kos Mama",H4641="Pengeluaran Uang Kos")),OR($C$7="Semua",$C$7="",I4641=$C$7),OR($C$8="Semua",$C$8="",C4641=$C$8,E4641=$C$8),OR($C$9="Semua",$C$9="",D4641=$C$9),OR($C$10="",B4641&gt;=$C$10),OR($C$11="",B4641&lt;=$C$11),OR($C$12&lt;&gt;"Ya",K4641&lt;&gt;""),OR($C$13="Semua",$C$13="",L4641=$C$13)),"✓","")</f>
        <v/>
      </c>
      <c r="N4641" s="93">
        <f>N(N4640)+IF(M4641="✓",1,0)</f>
        <v/>
      </c>
      <c r="O4641" s="93">
        <f>N(O4640)+IF(AND(B4641&lt;&gt;"",B4641&gt;='Uang Riba'!$H$30,B4641&lt;='Uang Riba'!$I$30,OR(H4641="Dana riba",H4641="Pinjam uang riba",I4641="Pinjam dari uang riba",I4641="Ganti uang riba",I4641="Kelebihan ganti dikembalikan",AND(C4641="Kantong Uang Riba",G4641="Pengeluaran"))),1,0)</f>
        <v/>
      </c>
      <c r="X4641" s="93">
        <f>IF(AND(B4641&lt;&gt;"",B4641&gt;='Buku Akun'!$H$4,B4641&lt;='Buku Akun'!$H$5,OR(C4641='Buku Akun'!$C$4,AND(D4641="Pindah",E4641='Buku Akun'!$C$4))),B4641+IF(AND(I4641="Selisih bunga",DAY(B4641)=1),0,0.01)+ROW()/10000000,"")</f>
        <v/>
      </c>
    </row>
    <row r="4642" outlineLevel="1" ht="15" customHeight="1" s="94">
      <c r="A4642" s="123">
        <f>IF(B4642="","",ROW()-15)</f>
        <v/>
      </c>
      <c r="B4642" s="124" t="n"/>
      <c r="C4642" s="123" t="n"/>
      <c r="D4642" s="123" t="n"/>
      <c r="E4642" s="123" t="n"/>
      <c r="F4642" s="125" t="n"/>
      <c r="G4642" s="123" t="n"/>
      <c r="H4642" s="123" t="n"/>
      <c r="I4642" s="123" t="n"/>
      <c r="J4642" s="123" t="n"/>
      <c r="K4642" s="123" t="n"/>
      <c r="L4642" s="123" t="n"/>
      <c r="M4642" s="123">
        <f>IF(AND(B4642&lt;&gt;"",OR($C$4="",ISNUMBER(SEARCH($C$4,C4642&amp;" "&amp;E4642&amp;" "&amp;G4642&amp;" "&amp;H4642&amp;" "&amp;I4642&amp;" "&amp;J4642&amp;" "&amp;K4642&amp;" "&amp;L4642))),OR($C$5="Semua",$C$5="",G4642=$C$5),OR($C$6="Semua",$C$6="",H4642=$C$6,H4642="Pengeluaran "&amp;$C$6,AND($C$6="Uang Kos Mama",H4642="Pengeluaran Uang Kos")),OR($C$7="Semua",$C$7="",I4642=$C$7),OR($C$8="Semua",$C$8="",C4642=$C$8,E4642=$C$8),OR($C$9="Semua",$C$9="",D4642=$C$9),OR($C$10="",B4642&gt;=$C$10),OR($C$11="",B4642&lt;=$C$11),OR($C$12&lt;&gt;"Ya",K4642&lt;&gt;""),OR($C$13="Semua",$C$13="",L4642=$C$13)),"✓","")</f>
        <v/>
      </c>
      <c r="N4642" s="93">
        <f>N(N4641)+IF(M4642="✓",1,0)</f>
        <v/>
      </c>
      <c r="O4642" s="93">
        <f>N(O4641)+IF(AND(B4642&lt;&gt;"",B4642&gt;='Uang Riba'!$H$30,B4642&lt;='Uang Riba'!$I$30,OR(H4642="Dana riba",H4642="Pinjam uang riba",I4642="Pinjam dari uang riba",I4642="Ganti uang riba",I4642="Kelebihan ganti dikembalikan",AND(C4642="Kantong Uang Riba",G4642="Pengeluaran"))),1,0)</f>
        <v/>
      </c>
      <c r="X4642" s="93">
        <f>IF(AND(B4642&lt;&gt;"",B4642&gt;='Buku Akun'!$H$4,B4642&lt;='Buku Akun'!$H$5,OR(C4642='Buku Akun'!$C$4,AND(D4642="Pindah",E4642='Buku Akun'!$C$4))),B4642+IF(AND(I4642="Selisih bunga",DAY(B4642)=1),0,0.01)+ROW()/10000000,"")</f>
        <v/>
      </c>
    </row>
    <row r="4643" outlineLevel="1" ht="15" customHeight="1" s="94">
      <c r="A4643" s="123">
        <f>IF(B4643="","",ROW()-15)</f>
        <v/>
      </c>
      <c r="B4643" s="124" t="n"/>
      <c r="C4643" s="123" t="n"/>
      <c r="D4643" s="123" t="n"/>
      <c r="E4643" s="123" t="n"/>
      <c r="F4643" s="125" t="n"/>
      <c r="G4643" s="123" t="n"/>
      <c r="H4643" s="123" t="n"/>
      <c r="I4643" s="123" t="n"/>
      <c r="J4643" s="123" t="n"/>
      <c r="K4643" s="123" t="n"/>
      <c r="L4643" s="123" t="n"/>
      <c r="M4643" s="123">
        <f>IF(AND(B4643&lt;&gt;"",OR($C$4="",ISNUMBER(SEARCH($C$4,C4643&amp;" "&amp;E4643&amp;" "&amp;G4643&amp;" "&amp;H4643&amp;" "&amp;I4643&amp;" "&amp;J4643&amp;" "&amp;K4643&amp;" "&amp;L4643))),OR($C$5="Semua",$C$5="",G4643=$C$5),OR($C$6="Semua",$C$6="",H4643=$C$6,H4643="Pengeluaran "&amp;$C$6,AND($C$6="Uang Kos Mama",H4643="Pengeluaran Uang Kos")),OR($C$7="Semua",$C$7="",I4643=$C$7),OR($C$8="Semua",$C$8="",C4643=$C$8,E4643=$C$8),OR($C$9="Semua",$C$9="",D4643=$C$9),OR($C$10="",B4643&gt;=$C$10),OR($C$11="",B4643&lt;=$C$11),OR($C$12&lt;&gt;"Ya",K4643&lt;&gt;""),OR($C$13="Semua",$C$13="",L4643=$C$13)),"✓","")</f>
        <v/>
      </c>
      <c r="N4643" s="93">
        <f>N(N4642)+IF(M4643="✓",1,0)</f>
        <v/>
      </c>
      <c r="O4643" s="93">
        <f>N(O4642)+IF(AND(B4643&lt;&gt;"",B4643&gt;='Uang Riba'!$H$30,B4643&lt;='Uang Riba'!$I$30,OR(H4643="Dana riba",H4643="Pinjam uang riba",I4643="Pinjam dari uang riba",I4643="Ganti uang riba",I4643="Kelebihan ganti dikembalikan",AND(C4643="Kantong Uang Riba",G4643="Pengeluaran"))),1,0)</f>
        <v/>
      </c>
      <c r="X4643" s="93">
        <f>IF(AND(B4643&lt;&gt;"",B4643&gt;='Buku Akun'!$H$4,B4643&lt;='Buku Akun'!$H$5,OR(C4643='Buku Akun'!$C$4,AND(D4643="Pindah",E4643='Buku Akun'!$C$4))),B4643+IF(AND(I4643="Selisih bunga",DAY(B4643)=1),0,0.01)+ROW()/10000000,"")</f>
        <v/>
      </c>
    </row>
    <row r="4644" outlineLevel="1" ht="15" customHeight="1" s="94">
      <c r="A4644" s="123">
        <f>IF(B4644="","",ROW()-15)</f>
        <v/>
      </c>
      <c r="B4644" s="124" t="n"/>
      <c r="C4644" s="123" t="n"/>
      <c r="D4644" s="123" t="n"/>
      <c r="E4644" s="123" t="n"/>
      <c r="F4644" s="125" t="n"/>
      <c r="G4644" s="123" t="n"/>
      <c r="H4644" s="123" t="n"/>
      <c r="I4644" s="123" t="n"/>
      <c r="J4644" s="123" t="n"/>
      <c r="K4644" s="123" t="n"/>
      <c r="L4644" s="123" t="n"/>
      <c r="M4644" s="123">
        <f>IF(AND(B4644&lt;&gt;"",OR($C$4="",ISNUMBER(SEARCH($C$4,C4644&amp;" "&amp;E4644&amp;" "&amp;G4644&amp;" "&amp;H4644&amp;" "&amp;I4644&amp;" "&amp;J4644&amp;" "&amp;K4644&amp;" "&amp;L4644))),OR($C$5="Semua",$C$5="",G4644=$C$5),OR($C$6="Semua",$C$6="",H4644=$C$6,H4644="Pengeluaran "&amp;$C$6,AND($C$6="Uang Kos Mama",H4644="Pengeluaran Uang Kos")),OR($C$7="Semua",$C$7="",I4644=$C$7),OR($C$8="Semua",$C$8="",C4644=$C$8,E4644=$C$8),OR($C$9="Semua",$C$9="",D4644=$C$9),OR($C$10="",B4644&gt;=$C$10),OR($C$11="",B4644&lt;=$C$11),OR($C$12&lt;&gt;"Ya",K4644&lt;&gt;""),OR($C$13="Semua",$C$13="",L4644=$C$13)),"✓","")</f>
        <v/>
      </c>
      <c r="N4644" s="93">
        <f>N(N4643)+IF(M4644="✓",1,0)</f>
        <v/>
      </c>
      <c r="O4644" s="93">
        <f>N(O4643)+IF(AND(B4644&lt;&gt;"",B4644&gt;='Uang Riba'!$H$30,B4644&lt;='Uang Riba'!$I$30,OR(H4644="Dana riba",H4644="Pinjam uang riba",I4644="Pinjam dari uang riba",I4644="Ganti uang riba",I4644="Kelebihan ganti dikembalikan",AND(C4644="Kantong Uang Riba",G4644="Pengeluaran"))),1,0)</f>
        <v/>
      </c>
      <c r="X4644" s="93">
        <f>IF(AND(B4644&lt;&gt;"",B4644&gt;='Buku Akun'!$H$4,B4644&lt;='Buku Akun'!$H$5,OR(C4644='Buku Akun'!$C$4,AND(D4644="Pindah",E4644='Buku Akun'!$C$4))),B4644+IF(AND(I4644="Selisih bunga",DAY(B4644)=1),0,0.01)+ROW()/10000000,"")</f>
        <v/>
      </c>
    </row>
    <row r="4645" outlineLevel="1" ht="15" customHeight="1" s="94">
      <c r="A4645" s="123">
        <f>IF(B4645="","",ROW()-15)</f>
        <v/>
      </c>
      <c r="B4645" s="124" t="n"/>
      <c r="C4645" s="123" t="n"/>
      <c r="D4645" s="123" t="n"/>
      <c r="E4645" s="123" t="n"/>
      <c r="F4645" s="125" t="n"/>
      <c r="G4645" s="123" t="n"/>
      <c r="H4645" s="123" t="n"/>
      <c r="I4645" s="123" t="n"/>
      <c r="J4645" s="123" t="n"/>
      <c r="K4645" s="123" t="n"/>
      <c r="L4645" s="123" t="n"/>
      <c r="M4645" s="123">
        <f>IF(AND(B4645&lt;&gt;"",OR($C$4="",ISNUMBER(SEARCH($C$4,C4645&amp;" "&amp;E4645&amp;" "&amp;G4645&amp;" "&amp;H4645&amp;" "&amp;I4645&amp;" "&amp;J4645&amp;" "&amp;K4645&amp;" "&amp;L4645))),OR($C$5="Semua",$C$5="",G4645=$C$5),OR($C$6="Semua",$C$6="",H4645=$C$6,H4645="Pengeluaran "&amp;$C$6,AND($C$6="Uang Kos Mama",H4645="Pengeluaran Uang Kos")),OR($C$7="Semua",$C$7="",I4645=$C$7),OR($C$8="Semua",$C$8="",C4645=$C$8,E4645=$C$8),OR($C$9="Semua",$C$9="",D4645=$C$9),OR($C$10="",B4645&gt;=$C$10),OR($C$11="",B4645&lt;=$C$11),OR($C$12&lt;&gt;"Ya",K4645&lt;&gt;""),OR($C$13="Semua",$C$13="",L4645=$C$13)),"✓","")</f>
        <v/>
      </c>
      <c r="N4645" s="93">
        <f>N(N4644)+IF(M4645="✓",1,0)</f>
        <v/>
      </c>
      <c r="O4645" s="93">
        <f>N(O4644)+IF(AND(B4645&lt;&gt;"",B4645&gt;='Uang Riba'!$H$30,B4645&lt;='Uang Riba'!$I$30,OR(H4645="Dana riba",H4645="Pinjam uang riba",I4645="Pinjam dari uang riba",I4645="Ganti uang riba",I4645="Kelebihan ganti dikembalikan",AND(C4645="Kantong Uang Riba",G4645="Pengeluaran"))),1,0)</f>
        <v/>
      </c>
      <c r="X4645" s="93">
        <f>IF(AND(B4645&lt;&gt;"",B4645&gt;='Buku Akun'!$H$4,B4645&lt;='Buku Akun'!$H$5,OR(C4645='Buku Akun'!$C$4,AND(D4645="Pindah",E4645='Buku Akun'!$C$4))),B4645+IF(AND(I4645="Selisih bunga",DAY(B4645)=1),0,0.01)+ROW()/10000000,"")</f>
        <v/>
      </c>
    </row>
    <row r="4646" outlineLevel="1" ht="15" customHeight="1" s="94">
      <c r="A4646" s="123">
        <f>IF(B4646="","",ROW()-15)</f>
        <v/>
      </c>
      <c r="B4646" s="124" t="n"/>
      <c r="C4646" s="123" t="n"/>
      <c r="D4646" s="123" t="n"/>
      <c r="E4646" s="123" t="n"/>
      <c r="F4646" s="125" t="n"/>
      <c r="G4646" s="123" t="n"/>
      <c r="H4646" s="123" t="n"/>
      <c r="I4646" s="123" t="n"/>
      <c r="J4646" s="123" t="n"/>
      <c r="K4646" s="123" t="n"/>
      <c r="L4646" s="123" t="n"/>
      <c r="M4646" s="123">
        <f>IF(AND(B4646&lt;&gt;"",OR($C$4="",ISNUMBER(SEARCH($C$4,C4646&amp;" "&amp;E4646&amp;" "&amp;G4646&amp;" "&amp;H4646&amp;" "&amp;I4646&amp;" "&amp;J4646&amp;" "&amp;K4646&amp;" "&amp;L4646))),OR($C$5="Semua",$C$5="",G4646=$C$5),OR($C$6="Semua",$C$6="",H4646=$C$6,H4646="Pengeluaran "&amp;$C$6,AND($C$6="Uang Kos Mama",H4646="Pengeluaran Uang Kos")),OR($C$7="Semua",$C$7="",I4646=$C$7),OR($C$8="Semua",$C$8="",C4646=$C$8,E4646=$C$8),OR($C$9="Semua",$C$9="",D4646=$C$9),OR($C$10="",B4646&gt;=$C$10),OR($C$11="",B4646&lt;=$C$11),OR($C$12&lt;&gt;"Ya",K4646&lt;&gt;""),OR($C$13="Semua",$C$13="",L4646=$C$13)),"✓","")</f>
        <v/>
      </c>
      <c r="N4646" s="93">
        <f>N(N4645)+IF(M4646="✓",1,0)</f>
        <v/>
      </c>
      <c r="O4646" s="93">
        <f>N(O4645)+IF(AND(B4646&lt;&gt;"",B4646&gt;='Uang Riba'!$H$30,B4646&lt;='Uang Riba'!$I$30,OR(H4646="Dana riba",H4646="Pinjam uang riba",I4646="Pinjam dari uang riba",I4646="Ganti uang riba",I4646="Kelebihan ganti dikembalikan",AND(C4646="Kantong Uang Riba",G4646="Pengeluaran"))),1,0)</f>
        <v/>
      </c>
      <c r="X4646" s="93">
        <f>IF(AND(B4646&lt;&gt;"",B4646&gt;='Buku Akun'!$H$4,B4646&lt;='Buku Akun'!$H$5,OR(C4646='Buku Akun'!$C$4,AND(D4646="Pindah",E4646='Buku Akun'!$C$4))),B4646+IF(AND(I4646="Selisih bunga",DAY(B4646)=1),0,0.01)+ROW()/10000000,"")</f>
        <v/>
      </c>
    </row>
    <row r="4647" outlineLevel="1" ht="15" customHeight="1" s="94">
      <c r="A4647" s="123">
        <f>IF(B4647="","",ROW()-15)</f>
        <v/>
      </c>
      <c r="B4647" s="124" t="n"/>
      <c r="C4647" s="123" t="n"/>
      <c r="D4647" s="123" t="n"/>
      <c r="E4647" s="123" t="n"/>
      <c r="F4647" s="125" t="n"/>
      <c r="G4647" s="123" t="n"/>
      <c r="H4647" s="123" t="n"/>
      <c r="I4647" s="123" t="n"/>
      <c r="J4647" s="123" t="n"/>
      <c r="K4647" s="123" t="n"/>
      <c r="L4647" s="123" t="n"/>
      <c r="M4647" s="123">
        <f>IF(AND(B4647&lt;&gt;"",OR($C$4="",ISNUMBER(SEARCH($C$4,C4647&amp;" "&amp;E4647&amp;" "&amp;G4647&amp;" "&amp;H4647&amp;" "&amp;I4647&amp;" "&amp;J4647&amp;" "&amp;K4647&amp;" "&amp;L4647))),OR($C$5="Semua",$C$5="",G4647=$C$5),OR($C$6="Semua",$C$6="",H4647=$C$6,H4647="Pengeluaran "&amp;$C$6,AND($C$6="Uang Kos Mama",H4647="Pengeluaran Uang Kos")),OR($C$7="Semua",$C$7="",I4647=$C$7),OR($C$8="Semua",$C$8="",C4647=$C$8,E4647=$C$8),OR($C$9="Semua",$C$9="",D4647=$C$9),OR($C$10="",B4647&gt;=$C$10),OR($C$11="",B4647&lt;=$C$11),OR($C$12&lt;&gt;"Ya",K4647&lt;&gt;""),OR($C$13="Semua",$C$13="",L4647=$C$13)),"✓","")</f>
        <v/>
      </c>
      <c r="N4647" s="93">
        <f>N(N4646)+IF(M4647="✓",1,0)</f>
        <v/>
      </c>
      <c r="O4647" s="93">
        <f>N(O4646)+IF(AND(B4647&lt;&gt;"",B4647&gt;='Uang Riba'!$H$30,B4647&lt;='Uang Riba'!$I$30,OR(H4647="Dana riba",H4647="Pinjam uang riba",I4647="Pinjam dari uang riba",I4647="Ganti uang riba",I4647="Kelebihan ganti dikembalikan",AND(C4647="Kantong Uang Riba",G4647="Pengeluaran"))),1,0)</f>
        <v/>
      </c>
      <c r="X4647" s="93">
        <f>IF(AND(B4647&lt;&gt;"",B4647&gt;='Buku Akun'!$H$4,B4647&lt;='Buku Akun'!$H$5,OR(C4647='Buku Akun'!$C$4,AND(D4647="Pindah",E4647='Buku Akun'!$C$4))),B4647+IF(AND(I4647="Selisih bunga",DAY(B4647)=1),0,0.01)+ROW()/10000000,"")</f>
        <v/>
      </c>
    </row>
    <row r="4648" outlineLevel="1" ht="15" customHeight="1" s="94">
      <c r="A4648" s="123">
        <f>IF(B4648="","",ROW()-15)</f>
        <v/>
      </c>
      <c r="B4648" s="124" t="n"/>
      <c r="C4648" s="123" t="n"/>
      <c r="D4648" s="123" t="n"/>
      <c r="E4648" s="123" t="n"/>
      <c r="F4648" s="125" t="n"/>
      <c r="G4648" s="123" t="n"/>
      <c r="H4648" s="123" t="n"/>
      <c r="I4648" s="123" t="n"/>
      <c r="J4648" s="123" t="n"/>
      <c r="K4648" s="123" t="n"/>
      <c r="L4648" s="123" t="n"/>
      <c r="M4648" s="123">
        <f>IF(AND(B4648&lt;&gt;"",OR($C$4="",ISNUMBER(SEARCH($C$4,C4648&amp;" "&amp;E4648&amp;" "&amp;G4648&amp;" "&amp;H4648&amp;" "&amp;I4648&amp;" "&amp;J4648&amp;" "&amp;K4648&amp;" "&amp;L4648))),OR($C$5="Semua",$C$5="",G4648=$C$5),OR($C$6="Semua",$C$6="",H4648=$C$6,H4648="Pengeluaran "&amp;$C$6,AND($C$6="Uang Kos Mama",H4648="Pengeluaran Uang Kos")),OR($C$7="Semua",$C$7="",I4648=$C$7),OR($C$8="Semua",$C$8="",C4648=$C$8,E4648=$C$8),OR($C$9="Semua",$C$9="",D4648=$C$9),OR($C$10="",B4648&gt;=$C$10),OR($C$11="",B4648&lt;=$C$11),OR($C$12&lt;&gt;"Ya",K4648&lt;&gt;""),OR($C$13="Semua",$C$13="",L4648=$C$13)),"✓","")</f>
        <v/>
      </c>
      <c r="N4648" s="93">
        <f>N(N4647)+IF(M4648="✓",1,0)</f>
        <v/>
      </c>
      <c r="O4648" s="93">
        <f>N(O4647)+IF(AND(B4648&lt;&gt;"",B4648&gt;='Uang Riba'!$H$30,B4648&lt;='Uang Riba'!$I$30,OR(H4648="Dana riba",H4648="Pinjam uang riba",I4648="Pinjam dari uang riba",I4648="Ganti uang riba",I4648="Kelebihan ganti dikembalikan",AND(C4648="Kantong Uang Riba",G4648="Pengeluaran"))),1,0)</f>
        <v/>
      </c>
      <c r="X4648" s="93">
        <f>IF(AND(B4648&lt;&gt;"",B4648&gt;='Buku Akun'!$H$4,B4648&lt;='Buku Akun'!$H$5,OR(C4648='Buku Akun'!$C$4,AND(D4648="Pindah",E4648='Buku Akun'!$C$4))),B4648+IF(AND(I4648="Selisih bunga",DAY(B4648)=1),0,0.01)+ROW()/10000000,"")</f>
        <v/>
      </c>
    </row>
    <row r="4649" outlineLevel="1" ht="15" customHeight="1" s="94">
      <c r="A4649" s="123">
        <f>IF(B4649="","",ROW()-15)</f>
        <v/>
      </c>
      <c r="B4649" s="124" t="n"/>
      <c r="C4649" s="123" t="n"/>
      <c r="D4649" s="123" t="n"/>
      <c r="E4649" s="123" t="n"/>
      <c r="F4649" s="125" t="n"/>
      <c r="G4649" s="123" t="n"/>
      <c r="H4649" s="123" t="n"/>
      <c r="I4649" s="123" t="n"/>
      <c r="J4649" s="123" t="n"/>
      <c r="K4649" s="123" t="n"/>
      <c r="L4649" s="123" t="n"/>
      <c r="M4649" s="123">
        <f>IF(AND(B4649&lt;&gt;"",OR($C$4="",ISNUMBER(SEARCH($C$4,C4649&amp;" "&amp;E4649&amp;" "&amp;G4649&amp;" "&amp;H4649&amp;" "&amp;I4649&amp;" "&amp;J4649&amp;" "&amp;K4649&amp;" "&amp;L4649))),OR($C$5="Semua",$C$5="",G4649=$C$5),OR($C$6="Semua",$C$6="",H4649=$C$6,H4649="Pengeluaran "&amp;$C$6,AND($C$6="Uang Kos Mama",H4649="Pengeluaran Uang Kos")),OR($C$7="Semua",$C$7="",I4649=$C$7),OR($C$8="Semua",$C$8="",C4649=$C$8,E4649=$C$8),OR($C$9="Semua",$C$9="",D4649=$C$9),OR($C$10="",B4649&gt;=$C$10),OR($C$11="",B4649&lt;=$C$11),OR($C$12&lt;&gt;"Ya",K4649&lt;&gt;""),OR($C$13="Semua",$C$13="",L4649=$C$13)),"✓","")</f>
        <v/>
      </c>
      <c r="N4649" s="93">
        <f>N(N4648)+IF(M4649="✓",1,0)</f>
        <v/>
      </c>
      <c r="O4649" s="93">
        <f>N(O4648)+IF(AND(B4649&lt;&gt;"",B4649&gt;='Uang Riba'!$H$30,B4649&lt;='Uang Riba'!$I$30,OR(H4649="Dana riba",H4649="Pinjam uang riba",I4649="Pinjam dari uang riba",I4649="Ganti uang riba",I4649="Kelebihan ganti dikembalikan",AND(C4649="Kantong Uang Riba",G4649="Pengeluaran"))),1,0)</f>
        <v/>
      </c>
      <c r="X4649" s="93">
        <f>IF(AND(B4649&lt;&gt;"",B4649&gt;='Buku Akun'!$H$4,B4649&lt;='Buku Akun'!$H$5,OR(C4649='Buku Akun'!$C$4,AND(D4649="Pindah",E4649='Buku Akun'!$C$4))),B4649+IF(AND(I4649="Selisih bunga",DAY(B4649)=1),0,0.01)+ROW()/10000000,"")</f>
        <v/>
      </c>
    </row>
    <row r="4650" outlineLevel="1" ht="15" customHeight="1" s="94">
      <c r="A4650" s="123">
        <f>IF(B4650="","",ROW()-15)</f>
        <v/>
      </c>
      <c r="B4650" s="124" t="n"/>
      <c r="C4650" s="123" t="n"/>
      <c r="D4650" s="123" t="n"/>
      <c r="E4650" s="123" t="n"/>
      <c r="F4650" s="125" t="n"/>
      <c r="G4650" s="123" t="n"/>
      <c r="H4650" s="123" t="n"/>
      <c r="I4650" s="123" t="n"/>
      <c r="J4650" s="123" t="n"/>
      <c r="K4650" s="123" t="n"/>
      <c r="L4650" s="123" t="n"/>
      <c r="M4650" s="123">
        <f>IF(AND(B4650&lt;&gt;"",OR($C$4="",ISNUMBER(SEARCH($C$4,C4650&amp;" "&amp;E4650&amp;" "&amp;G4650&amp;" "&amp;H4650&amp;" "&amp;I4650&amp;" "&amp;J4650&amp;" "&amp;K4650&amp;" "&amp;L4650))),OR($C$5="Semua",$C$5="",G4650=$C$5),OR($C$6="Semua",$C$6="",H4650=$C$6,H4650="Pengeluaran "&amp;$C$6,AND($C$6="Uang Kos Mama",H4650="Pengeluaran Uang Kos")),OR($C$7="Semua",$C$7="",I4650=$C$7),OR($C$8="Semua",$C$8="",C4650=$C$8,E4650=$C$8),OR($C$9="Semua",$C$9="",D4650=$C$9),OR($C$10="",B4650&gt;=$C$10),OR($C$11="",B4650&lt;=$C$11),OR($C$12&lt;&gt;"Ya",K4650&lt;&gt;""),OR($C$13="Semua",$C$13="",L4650=$C$13)),"✓","")</f>
        <v/>
      </c>
      <c r="N4650" s="93">
        <f>N(N4649)+IF(M4650="✓",1,0)</f>
        <v/>
      </c>
      <c r="O4650" s="93">
        <f>N(O4649)+IF(AND(B4650&lt;&gt;"",B4650&gt;='Uang Riba'!$H$30,B4650&lt;='Uang Riba'!$I$30,OR(H4650="Dana riba",H4650="Pinjam uang riba",I4650="Pinjam dari uang riba",I4650="Ganti uang riba",I4650="Kelebihan ganti dikembalikan",AND(C4650="Kantong Uang Riba",G4650="Pengeluaran"))),1,0)</f>
        <v/>
      </c>
      <c r="X4650" s="93">
        <f>IF(AND(B4650&lt;&gt;"",B4650&gt;='Buku Akun'!$H$4,B4650&lt;='Buku Akun'!$H$5,OR(C4650='Buku Akun'!$C$4,AND(D4650="Pindah",E4650='Buku Akun'!$C$4))),B4650+IF(AND(I4650="Selisih bunga",DAY(B4650)=1),0,0.01)+ROW()/10000000,"")</f>
        <v/>
      </c>
    </row>
    <row r="4651" outlineLevel="1" ht="15" customHeight="1" s="94">
      <c r="A4651" s="123">
        <f>IF(B4651="","",ROW()-15)</f>
        <v/>
      </c>
      <c r="B4651" s="124" t="n"/>
      <c r="C4651" s="123" t="n"/>
      <c r="D4651" s="123" t="n"/>
      <c r="E4651" s="123" t="n"/>
      <c r="F4651" s="125" t="n"/>
      <c r="G4651" s="123" t="n"/>
      <c r="H4651" s="123" t="n"/>
      <c r="I4651" s="123" t="n"/>
      <c r="J4651" s="123" t="n"/>
      <c r="K4651" s="123" t="n"/>
      <c r="L4651" s="123" t="n"/>
      <c r="M4651" s="123">
        <f>IF(AND(B4651&lt;&gt;"",OR($C$4="",ISNUMBER(SEARCH($C$4,C4651&amp;" "&amp;E4651&amp;" "&amp;G4651&amp;" "&amp;H4651&amp;" "&amp;I4651&amp;" "&amp;J4651&amp;" "&amp;K4651&amp;" "&amp;L4651))),OR($C$5="Semua",$C$5="",G4651=$C$5),OR($C$6="Semua",$C$6="",H4651=$C$6,H4651="Pengeluaran "&amp;$C$6,AND($C$6="Uang Kos Mama",H4651="Pengeluaran Uang Kos")),OR($C$7="Semua",$C$7="",I4651=$C$7),OR($C$8="Semua",$C$8="",C4651=$C$8,E4651=$C$8),OR($C$9="Semua",$C$9="",D4651=$C$9),OR($C$10="",B4651&gt;=$C$10),OR($C$11="",B4651&lt;=$C$11),OR($C$12&lt;&gt;"Ya",K4651&lt;&gt;""),OR($C$13="Semua",$C$13="",L4651=$C$13)),"✓","")</f>
        <v/>
      </c>
      <c r="N4651" s="93">
        <f>N(N4650)+IF(M4651="✓",1,0)</f>
        <v/>
      </c>
      <c r="O4651" s="93">
        <f>N(O4650)+IF(AND(B4651&lt;&gt;"",B4651&gt;='Uang Riba'!$H$30,B4651&lt;='Uang Riba'!$I$30,OR(H4651="Dana riba",H4651="Pinjam uang riba",I4651="Pinjam dari uang riba",I4651="Ganti uang riba",I4651="Kelebihan ganti dikembalikan",AND(C4651="Kantong Uang Riba",G4651="Pengeluaran"))),1,0)</f>
        <v/>
      </c>
      <c r="X4651" s="93">
        <f>IF(AND(B4651&lt;&gt;"",B4651&gt;='Buku Akun'!$H$4,B4651&lt;='Buku Akun'!$H$5,OR(C4651='Buku Akun'!$C$4,AND(D4651="Pindah",E4651='Buku Akun'!$C$4))),B4651+IF(AND(I4651="Selisih bunga",DAY(B4651)=1),0,0.01)+ROW()/10000000,"")</f>
        <v/>
      </c>
    </row>
    <row r="4652" outlineLevel="1" ht="15" customHeight="1" s="94">
      <c r="A4652" s="123">
        <f>IF(B4652="","",ROW()-15)</f>
        <v/>
      </c>
      <c r="B4652" s="124" t="n"/>
      <c r="C4652" s="123" t="n"/>
      <c r="D4652" s="123" t="n"/>
      <c r="E4652" s="123" t="n"/>
      <c r="F4652" s="125" t="n"/>
      <c r="G4652" s="123" t="n"/>
      <c r="H4652" s="123" t="n"/>
      <c r="I4652" s="123" t="n"/>
      <c r="J4652" s="123" t="n"/>
      <c r="K4652" s="123" t="n"/>
      <c r="L4652" s="123" t="n"/>
      <c r="M4652" s="123">
        <f>IF(AND(B4652&lt;&gt;"",OR($C$4="",ISNUMBER(SEARCH($C$4,C4652&amp;" "&amp;E4652&amp;" "&amp;G4652&amp;" "&amp;H4652&amp;" "&amp;I4652&amp;" "&amp;J4652&amp;" "&amp;K4652&amp;" "&amp;L4652))),OR($C$5="Semua",$C$5="",G4652=$C$5),OR($C$6="Semua",$C$6="",H4652=$C$6,H4652="Pengeluaran "&amp;$C$6,AND($C$6="Uang Kos Mama",H4652="Pengeluaran Uang Kos")),OR($C$7="Semua",$C$7="",I4652=$C$7),OR($C$8="Semua",$C$8="",C4652=$C$8,E4652=$C$8),OR($C$9="Semua",$C$9="",D4652=$C$9),OR($C$10="",B4652&gt;=$C$10),OR($C$11="",B4652&lt;=$C$11),OR($C$12&lt;&gt;"Ya",K4652&lt;&gt;""),OR($C$13="Semua",$C$13="",L4652=$C$13)),"✓","")</f>
        <v/>
      </c>
      <c r="N4652" s="93">
        <f>N(N4651)+IF(M4652="✓",1,0)</f>
        <v/>
      </c>
      <c r="O4652" s="93">
        <f>N(O4651)+IF(AND(B4652&lt;&gt;"",B4652&gt;='Uang Riba'!$H$30,B4652&lt;='Uang Riba'!$I$30,OR(H4652="Dana riba",H4652="Pinjam uang riba",I4652="Pinjam dari uang riba",I4652="Ganti uang riba",I4652="Kelebihan ganti dikembalikan",AND(C4652="Kantong Uang Riba",G4652="Pengeluaran"))),1,0)</f>
        <v/>
      </c>
      <c r="X4652" s="93">
        <f>IF(AND(B4652&lt;&gt;"",B4652&gt;='Buku Akun'!$H$4,B4652&lt;='Buku Akun'!$H$5,OR(C4652='Buku Akun'!$C$4,AND(D4652="Pindah",E4652='Buku Akun'!$C$4))),B4652+IF(AND(I4652="Selisih bunga",DAY(B4652)=1),0,0.01)+ROW()/10000000,"")</f>
        <v/>
      </c>
    </row>
    <row r="4653" outlineLevel="1" ht="15" customHeight="1" s="94">
      <c r="A4653" s="123">
        <f>IF(B4653="","",ROW()-15)</f>
        <v/>
      </c>
      <c r="B4653" s="124" t="n"/>
      <c r="C4653" s="123" t="n"/>
      <c r="D4653" s="123" t="n"/>
      <c r="E4653" s="123" t="n"/>
      <c r="F4653" s="125" t="n"/>
      <c r="G4653" s="123" t="n"/>
      <c r="H4653" s="123" t="n"/>
      <c r="I4653" s="123" t="n"/>
      <c r="J4653" s="123" t="n"/>
      <c r="K4653" s="123" t="n"/>
      <c r="L4653" s="123" t="n"/>
      <c r="M4653" s="123">
        <f>IF(AND(B4653&lt;&gt;"",OR($C$4="",ISNUMBER(SEARCH($C$4,C4653&amp;" "&amp;E4653&amp;" "&amp;G4653&amp;" "&amp;H4653&amp;" "&amp;I4653&amp;" "&amp;J4653&amp;" "&amp;K4653&amp;" "&amp;L4653))),OR($C$5="Semua",$C$5="",G4653=$C$5),OR($C$6="Semua",$C$6="",H4653=$C$6,H4653="Pengeluaran "&amp;$C$6,AND($C$6="Uang Kos Mama",H4653="Pengeluaran Uang Kos")),OR($C$7="Semua",$C$7="",I4653=$C$7),OR($C$8="Semua",$C$8="",C4653=$C$8,E4653=$C$8),OR($C$9="Semua",$C$9="",D4653=$C$9),OR($C$10="",B4653&gt;=$C$10),OR($C$11="",B4653&lt;=$C$11),OR($C$12&lt;&gt;"Ya",K4653&lt;&gt;""),OR($C$13="Semua",$C$13="",L4653=$C$13)),"✓","")</f>
        <v/>
      </c>
      <c r="N4653" s="93">
        <f>N(N4652)+IF(M4653="✓",1,0)</f>
        <v/>
      </c>
      <c r="O4653" s="93">
        <f>N(O4652)+IF(AND(B4653&lt;&gt;"",B4653&gt;='Uang Riba'!$H$30,B4653&lt;='Uang Riba'!$I$30,OR(H4653="Dana riba",H4653="Pinjam uang riba",I4653="Pinjam dari uang riba",I4653="Ganti uang riba",I4653="Kelebihan ganti dikembalikan",AND(C4653="Kantong Uang Riba",G4653="Pengeluaran"))),1,0)</f>
        <v/>
      </c>
      <c r="X4653" s="93">
        <f>IF(AND(B4653&lt;&gt;"",B4653&gt;='Buku Akun'!$H$4,B4653&lt;='Buku Akun'!$H$5,OR(C4653='Buku Akun'!$C$4,AND(D4653="Pindah",E4653='Buku Akun'!$C$4))),B4653+IF(AND(I4653="Selisih bunga",DAY(B4653)=1),0,0.01)+ROW()/10000000,"")</f>
        <v/>
      </c>
    </row>
    <row r="4654" outlineLevel="1" ht="15" customHeight="1" s="94">
      <c r="A4654" s="123">
        <f>IF(B4654="","",ROW()-15)</f>
        <v/>
      </c>
      <c r="B4654" s="124" t="n"/>
      <c r="C4654" s="123" t="n"/>
      <c r="D4654" s="123" t="n"/>
      <c r="E4654" s="123" t="n"/>
      <c r="F4654" s="125" t="n"/>
      <c r="G4654" s="123" t="n"/>
      <c r="H4654" s="123" t="n"/>
      <c r="I4654" s="123" t="n"/>
      <c r="J4654" s="123" t="n"/>
      <c r="K4654" s="123" t="n"/>
      <c r="L4654" s="123" t="n"/>
      <c r="M4654" s="123">
        <f>IF(AND(B4654&lt;&gt;"",OR($C$4="",ISNUMBER(SEARCH($C$4,C4654&amp;" "&amp;E4654&amp;" "&amp;G4654&amp;" "&amp;H4654&amp;" "&amp;I4654&amp;" "&amp;J4654&amp;" "&amp;K4654&amp;" "&amp;L4654))),OR($C$5="Semua",$C$5="",G4654=$C$5),OR($C$6="Semua",$C$6="",H4654=$C$6,H4654="Pengeluaran "&amp;$C$6,AND($C$6="Uang Kos Mama",H4654="Pengeluaran Uang Kos")),OR($C$7="Semua",$C$7="",I4654=$C$7),OR($C$8="Semua",$C$8="",C4654=$C$8,E4654=$C$8),OR($C$9="Semua",$C$9="",D4654=$C$9),OR($C$10="",B4654&gt;=$C$10),OR($C$11="",B4654&lt;=$C$11),OR($C$12&lt;&gt;"Ya",K4654&lt;&gt;""),OR($C$13="Semua",$C$13="",L4654=$C$13)),"✓","")</f>
        <v/>
      </c>
      <c r="N4654" s="93">
        <f>N(N4653)+IF(M4654="✓",1,0)</f>
        <v/>
      </c>
      <c r="O4654" s="93">
        <f>N(O4653)+IF(AND(B4654&lt;&gt;"",B4654&gt;='Uang Riba'!$H$30,B4654&lt;='Uang Riba'!$I$30,OR(H4654="Dana riba",H4654="Pinjam uang riba",I4654="Pinjam dari uang riba",I4654="Ganti uang riba",I4654="Kelebihan ganti dikembalikan",AND(C4654="Kantong Uang Riba",G4654="Pengeluaran"))),1,0)</f>
        <v/>
      </c>
      <c r="X4654" s="93">
        <f>IF(AND(B4654&lt;&gt;"",B4654&gt;='Buku Akun'!$H$4,B4654&lt;='Buku Akun'!$H$5,OR(C4654='Buku Akun'!$C$4,AND(D4654="Pindah",E4654='Buku Akun'!$C$4))),B4654+IF(AND(I4654="Selisih bunga",DAY(B4654)=1),0,0.01)+ROW()/10000000,"")</f>
        <v/>
      </c>
    </row>
    <row r="4655" outlineLevel="1" ht="15" customHeight="1" s="94">
      <c r="A4655" s="123">
        <f>IF(B4655="","",ROW()-15)</f>
        <v/>
      </c>
      <c r="B4655" s="124" t="n"/>
      <c r="C4655" s="123" t="n"/>
      <c r="D4655" s="123" t="n"/>
      <c r="E4655" s="123" t="n"/>
      <c r="F4655" s="125" t="n"/>
      <c r="G4655" s="123" t="n"/>
      <c r="H4655" s="123" t="n"/>
      <c r="I4655" s="123" t="n"/>
      <c r="J4655" s="123" t="n"/>
      <c r="K4655" s="123" t="n"/>
      <c r="L4655" s="123" t="n"/>
      <c r="M4655" s="123">
        <f>IF(AND(B4655&lt;&gt;"",OR($C$4="",ISNUMBER(SEARCH($C$4,C4655&amp;" "&amp;E4655&amp;" "&amp;G4655&amp;" "&amp;H4655&amp;" "&amp;I4655&amp;" "&amp;J4655&amp;" "&amp;K4655&amp;" "&amp;L4655))),OR($C$5="Semua",$C$5="",G4655=$C$5),OR($C$6="Semua",$C$6="",H4655=$C$6,H4655="Pengeluaran "&amp;$C$6,AND($C$6="Uang Kos Mama",H4655="Pengeluaran Uang Kos")),OR($C$7="Semua",$C$7="",I4655=$C$7),OR($C$8="Semua",$C$8="",C4655=$C$8,E4655=$C$8),OR($C$9="Semua",$C$9="",D4655=$C$9),OR($C$10="",B4655&gt;=$C$10),OR($C$11="",B4655&lt;=$C$11),OR($C$12&lt;&gt;"Ya",K4655&lt;&gt;""),OR($C$13="Semua",$C$13="",L4655=$C$13)),"✓","")</f>
        <v/>
      </c>
      <c r="N4655" s="93">
        <f>N(N4654)+IF(M4655="✓",1,0)</f>
        <v/>
      </c>
      <c r="O4655" s="93">
        <f>N(O4654)+IF(AND(B4655&lt;&gt;"",B4655&gt;='Uang Riba'!$H$30,B4655&lt;='Uang Riba'!$I$30,OR(H4655="Dana riba",H4655="Pinjam uang riba",I4655="Pinjam dari uang riba",I4655="Ganti uang riba",I4655="Kelebihan ganti dikembalikan",AND(C4655="Kantong Uang Riba",G4655="Pengeluaran"))),1,0)</f>
        <v/>
      </c>
      <c r="X4655" s="93">
        <f>IF(AND(B4655&lt;&gt;"",B4655&gt;='Buku Akun'!$H$4,B4655&lt;='Buku Akun'!$H$5,OR(C4655='Buku Akun'!$C$4,AND(D4655="Pindah",E4655='Buku Akun'!$C$4))),B4655+IF(AND(I4655="Selisih bunga",DAY(B4655)=1),0,0.01)+ROW()/10000000,"")</f>
        <v/>
      </c>
    </row>
    <row r="4656" outlineLevel="1" ht="15" customHeight="1" s="94">
      <c r="A4656" s="123">
        <f>IF(B4656="","",ROW()-15)</f>
        <v/>
      </c>
      <c r="B4656" s="124" t="n"/>
      <c r="C4656" s="123" t="n"/>
      <c r="D4656" s="123" t="n"/>
      <c r="E4656" s="123" t="n"/>
      <c r="F4656" s="125" t="n"/>
      <c r="G4656" s="123" t="n"/>
      <c r="H4656" s="123" t="n"/>
      <c r="I4656" s="123" t="n"/>
      <c r="J4656" s="123" t="n"/>
      <c r="K4656" s="123" t="n"/>
      <c r="L4656" s="123" t="n"/>
      <c r="M4656" s="123">
        <f>IF(AND(B4656&lt;&gt;"",OR($C$4="",ISNUMBER(SEARCH($C$4,C4656&amp;" "&amp;E4656&amp;" "&amp;G4656&amp;" "&amp;H4656&amp;" "&amp;I4656&amp;" "&amp;J4656&amp;" "&amp;K4656&amp;" "&amp;L4656))),OR($C$5="Semua",$C$5="",G4656=$C$5),OR($C$6="Semua",$C$6="",H4656=$C$6,H4656="Pengeluaran "&amp;$C$6,AND($C$6="Uang Kos Mama",H4656="Pengeluaran Uang Kos")),OR($C$7="Semua",$C$7="",I4656=$C$7),OR($C$8="Semua",$C$8="",C4656=$C$8,E4656=$C$8),OR($C$9="Semua",$C$9="",D4656=$C$9),OR($C$10="",B4656&gt;=$C$10),OR($C$11="",B4656&lt;=$C$11),OR($C$12&lt;&gt;"Ya",K4656&lt;&gt;""),OR($C$13="Semua",$C$13="",L4656=$C$13)),"✓","")</f>
        <v/>
      </c>
      <c r="N4656" s="93">
        <f>N(N4655)+IF(M4656="✓",1,0)</f>
        <v/>
      </c>
      <c r="O4656" s="93">
        <f>N(O4655)+IF(AND(B4656&lt;&gt;"",B4656&gt;='Uang Riba'!$H$30,B4656&lt;='Uang Riba'!$I$30,OR(H4656="Dana riba",H4656="Pinjam uang riba",I4656="Pinjam dari uang riba",I4656="Ganti uang riba",I4656="Kelebihan ganti dikembalikan",AND(C4656="Kantong Uang Riba",G4656="Pengeluaran"))),1,0)</f>
        <v/>
      </c>
      <c r="X4656" s="93">
        <f>IF(AND(B4656&lt;&gt;"",B4656&gt;='Buku Akun'!$H$4,B4656&lt;='Buku Akun'!$H$5,OR(C4656='Buku Akun'!$C$4,AND(D4656="Pindah",E4656='Buku Akun'!$C$4))),B4656+IF(AND(I4656="Selisih bunga",DAY(B4656)=1),0,0.01)+ROW()/10000000,"")</f>
        <v/>
      </c>
    </row>
    <row r="4657" outlineLevel="1" ht="15" customHeight="1" s="94">
      <c r="A4657" s="123">
        <f>IF(B4657="","",ROW()-15)</f>
        <v/>
      </c>
      <c r="B4657" s="124" t="n"/>
      <c r="C4657" s="123" t="n"/>
      <c r="D4657" s="123" t="n"/>
      <c r="E4657" s="123" t="n"/>
      <c r="F4657" s="125" t="n"/>
      <c r="G4657" s="123" t="n"/>
      <c r="H4657" s="123" t="n"/>
      <c r="I4657" s="123" t="n"/>
      <c r="J4657" s="123" t="n"/>
      <c r="K4657" s="123" t="n"/>
      <c r="L4657" s="123" t="n"/>
      <c r="M4657" s="123">
        <f>IF(AND(B4657&lt;&gt;"",OR($C$4="",ISNUMBER(SEARCH($C$4,C4657&amp;" "&amp;E4657&amp;" "&amp;G4657&amp;" "&amp;H4657&amp;" "&amp;I4657&amp;" "&amp;J4657&amp;" "&amp;K4657&amp;" "&amp;L4657))),OR($C$5="Semua",$C$5="",G4657=$C$5),OR($C$6="Semua",$C$6="",H4657=$C$6,H4657="Pengeluaran "&amp;$C$6,AND($C$6="Uang Kos Mama",H4657="Pengeluaran Uang Kos")),OR($C$7="Semua",$C$7="",I4657=$C$7),OR($C$8="Semua",$C$8="",C4657=$C$8,E4657=$C$8),OR($C$9="Semua",$C$9="",D4657=$C$9),OR($C$10="",B4657&gt;=$C$10),OR($C$11="",B4657&lt;=$C$11),OR($C$12&lt;&gt;"Ya",K4657&lt;&gt;""),OR($C$13="Semua",$C$13="",L4657=$C$13)),"✓","")</f>
        <v/>
      </c>
      <c r="N4657" s="93">
        <f>N(N4656)+IF(M4657="✓",1,0)</f>
        <v/>
      </c>
      <c r="O4657" s="93">
        <f>N(O4656)+IF(AND(B4657&lt;&gt;"",B4657&gt;='Uang Riba'!$H$30,B4657&lt;='Uang Riba'!$I$30,OR(H4657="Dana riba",H4657="Pinjam uang riba",I4657="Pinjam dari uang riba",I4657="Ganti uang riba",I4657="Kelebihan ganti dikembalikan",AND(C4657="Kantong Uang Riba",G4657="Pengeluaran"))),1,0)</f>
        <v/>
      </c>
      <c r="X4657" s="93">
        <f>IF(AND(B4657&lt;&gt;"",B4657&gt;='Buku Akun'!$H$4,B4657&lt;='Buku Akun'!$H$5,OR(C4657='Buku Akun'!$C$4,AND(D4657="Pindah",E4657='Buku Akun'!$C$4))),B4657+IF(AND(I4657="Selisih bunga",DAY(B4657)=1),0,0.01)+ROW()/10000000,"")</f>
        <v/>
      </c>
    </row>
    <row r="4658" outlineLevel="1" ht="15" customHeight="1" s="94">
      <c r="A4658" s="123">
        <f>IF(B4658="","",ROW()-15)</f>
        <v/>
      </c>
      <c r="B4658" s="124" t="n"/>
      <c r="C4658" s="123" t="n"/>
      <c r="D4658" s="123" t="n"/>
      <c r="E4658" s="123" t="n"/>
      <c r="F4658" s="125" t="n"/>
      <c r="G4658" s="123" t="n"/>
      <c r="H4658" s="123" t="n"/>
      <c r="I4658" s="123" t="n"/>
      <c r="J4658" s="123" t="n"/>
      <c r="K4658" s="123" t="n"/>
      <c r="L4658" s="123" t="n"/>
      <c r="M4658" s="123">
        <f>IF(AND(B4658&lt;&gt;"",OR($C$4="",ISNUMBER(SEARCH($C$4,C4658&amp;" "&amp;E4658&amp;" "&amp;G4658&amp;" "&amp;H4658&amp;" "&amp;I4658&amp;" "&amp;J4658&amp;" "&amp;K4658&amp;" "&amp;L4658))),OR($C$5="Semua",$C$5="",G4658=$C$5),OR($C$6="Semua",$C$6="",H4658=$C$6,H4658="Pengeluaran "&amp;$C$6,AND($C$6="Uang Kos Mama",H4658="Pengeluaran Uang Kos")),OR($C$7="Semua",$C$7="",I4658=$C$7),OR($C$8="Semua",$C$8="",C4658=$C$8,E4658=$C$8),OR($C$9="Semua",$C$9="",D4658=$C$9),OR($C$10="",B4658&gt;=$C$10),OR($C$11="",B4658&lt;=$C$11),OR($C$12&lt;&gt;"Ya",K4658&lt;&gt;""),OR($C$13="Semua",$C$13="",L4658=$C$13)),"✓","")</f>
        <v/>
      </c>
      <c r="N4658" s="93">
        <f>N(N4657)+IF(M4658="✓",1,0)</f>
        <v/>
      </c>
      <c r="O4658" s="93">
        <f>N(O4657)+IF(AND(B4658&lt;&gt;"",B4658&gt;='Uang Riba'!$H$30,B4658&lt;='Uang Riba'!$I$30,OR(H4658="Dana riba",H4658="Pinjam uang riba",I4658="Pinjam dari uang riba",I4658="Ganti uang riba",I4658="Kelebihan ganti dikembalikan",AND(C4658="Kantong Uang Riba",G4658="Pengeluaran"))),1,0)</f>
        <v/>
      </c>
      <c r="X4658" s="93">
        <f>IF(AND(B4658&lt;&gt;"",B4658&gt;='Buku Akun'!$H$4,B4658&lt;='Buku Akun'!$H$5,OR(C4658='Buku Akun'!$C$4,AND(D4658="Pindah",E4658='Buku Akun'!$C$4))),B4658+IF(AND(I4658="Selisih bunga",DAY(B4658)=1),0,0.01)+ROW()/10000000,"")</f>
        <v/>
      </c>
    </row>
    <row r="4659" outlineLevel="1" ht="15" customHeight="1" s="94">
      <c r="A4659" s="123">
        <f>IF(B4659="","",ROW()-15)</f>
        <v/>
      </c>
      <c r="B4659" s="124" t="n"/>
      <c r="C4659" s="123" t="n"/>
      <c r="D4659" s="123" t="n"/>
      <c r="E4659" s="123" t="n"/>
      <c r="F4659" s="125" t="n"/>
      <c r="G4659" s="123" t="n"/>
      <c r="H4659" s="123" t="n"/>
      <c r="I4659" s="123" t="n"/>
      <c r="J4659" s="123" t="n"/>
      <c r="K4659" s="123" t="n"/>
      <c r="L4659" s="123" t="n"/>
      <c r="M4659" s="123">
        <f>IF(AND(B4659&lt;&gt;"",OR($C$4="",ISNUMBER(SEARCH($C$4,C4659&amp;" "&amp;E4659&amp;" "&amp;G4659&amp;" "&amp;H4659&amp;" "&amp;I4659&amp;" "&amp;J4659&amp;" "&amp;K4659&amp;" "&amp;L4659))),OR($C$5="Semua",$C$5="",G4659=$C$5),OR($C$6="Semua",$C$6="",H4659=$C$6,H4659="Pengeluaran "&amp;$C$6,AND($C$6="Uang Kos Mama",H4659="Pengeluaran Uang Kos")),OR($C$7="Semua",$C$7="",I4659=$C$7),OR($C$8="Semua",$C$8="",C4659=$C$8,E4659=$C$8),OR($C$9="Semua",$C$9="",D4659=$C$9),OR($C$10="",B4659&gt;=$C$10),OR($C$11="",B4659&lt;=$C$11),OR($C$12&lt;&gt;"Ya",K4659&lt;&gt;""),OR($C$13="Semua",$C$13="",L4659=$C$13)),"✓","")</f>
        <v/>
      </c>
      <c r="N4659" s="93">
        <f>N(N4658)+IF(M4659="✓",1,0)</f>
        <v/>
      </c>
      <c r="O4659" s="93">
        <f>N(O4658)+IF(AND(B4659&lt;&gt;"",B4659&gt;='Uang Riba'!$H$30,B4659&lt;='Uang Riba'!$I$30,OR(H4659="Dana riba",H4659="Pinjam uang riba",I4659="Pinjam dari uang riba",I4659="Ganti uang riba",I4659="Kelebihan ganti dikembalikan",AND(C4659="Kantong Uang Riba",G4659="Pengeluaran"))),1,0)</f>
        <v/>
      </c>
      <c r="X4659" s="93">
        <f>IF(AND(B4659&lt;&gt;"",B4659&gt;='Buku Akun'!$H$4,B4659&lt;='Buku Akun'!$H$5,OR(C4659='Buku Akun'!$C$4,AND(D4659="Pindah",E4659='Buku Akun'!$C$4))),B4659+IF(AND(I4659="Selisih bunga",DAY(B4659)=1),0,0.01)+ROW()/10000000,"")</f>
        <v/>
      </c>
    </row>
    <row r="4660" outlineLevel="1" ht="15" customHeight="1" s="94">
      <c r="A4660" s="123">
        <f>IF(B4660="","",ROW()-15)</f>
        <v/>
      </c>
      <c r="B4660" s="124" t="n"/>
      <c r="C4660" s="123" t="n"/>
      <c r="D4660" s="123" t="n"/>
      <c r="E4660" s="123" t="n"/>
      <c r="F4660" s="125" t="n"/>
      <c r="G4660" s="123" t="n"/>
      <c r="H4660" s="123" t="n"/>
      <c r="I4660" s="123" t="n"/>
      <c r="J4660" s="123" t="n"/>
      <c r="K4660" s="123" t="n"/>
      <c r="L4660" s="123" t="n"/>
      <c r="M4660" s="123">
        <f>IF(AND(B4660&lt;&gt;"",OR($C$4="",ISNUMBER(SEARCH($C$4,C4660&amp;" "&amp;E4660&amp;" "&amp;G4660&amp;" "&amp;H4660&amp;" "&amp;I4660&amp;" "&amp;J4660&amp;" "&amp;K4660&amp;" "&amp;L4660))),OR($C$5="Semua",$C$5="",G4660=$C$5),OR($C$6="Semua",$C$6="",H4660=$C$6,H4660="Pengeluaran "&amp;$C$6,AND($C$6="Uang Kos Mama",H4660="Pengeluaran Uang Kos")),OR($C$7="Semua",$C$7="",I4660=$C$7),OR($C$8="Semua",$C$8="",C4660=$C$8,E4660=$C$8),OR($C$9="Semua",$C$9="",D4660=$C$9),OR($C$10="",B4660&gt;=$C$10),OR($C$11="",B4660&lt;=$C$11),OR($C$12&lt;&gt;"Ya",K4660&lt;&gt;""),OR($C$13="Semua",$C$13="",L4660=$C$13)),"✓","")</f>
        <v/>
      </c>
      <c r="N4660" s="93">
        <f>N(N4659)+IF(M4660="✓",1,0)</f>
        <v/>
      </c>
      <c r="O4660" s="93">
        <f>N(O4659)+IF(AND(B4660&lt;&gt;"",B4660&gt;='Uang Riba'!$H$30,B4660&lt;='Uang Riba'!$I$30,OR(H4660="Dana riba",H4660="Pinjam uang riba",I4660="Pinjam dari uang riba",I4660="Ganti uang riba",I4660="Kelebihan ganti dikembalikan",AND(C4660="Kantong Uang Riba",G4660="Pengeluaran"))),1,0)</f>
        <v/>
      </c>
      <c r="X4660" s="93">
        <f>IF(AND(B4660&lt;&gt;"",B4660&gt;='Buku Akun'!$H$4,B4660&lt;='Buku Akun'!$H$5,OR(C4660='Buku Akun'!$C$4,AND(D4660="Pindah",E4660='Buku Akun'!$C$4))),B4660+IF(AND(I4660="Selisih bunga",DAY(B4660)=1),0,0.01)+ROW()/10000000,"")</f>
        <v/>
      </c>
    </row>
    <row r="4661" outlineLevel="1" ht="15" customHeight="1" s="94">
      <c r="A4661" s="123">
        <f>IF(B4661="","",ROW()-15)</f>
        <v/>
      </c>
      <c r="B4661" s="124" t="n"/>
      <c r="C4661" s="123" t="n"/>
      <c r="D4661" s="123" t="n"/>
      <c r="E4661" s="123" t="n"/>
      <c r="F4661" s="125" t="n"/>
      <c r="G4661" s="123" t="n"/>
      <c r="H4661" s="123" t="n"/>
      <c r="I4661" s="123" t="n"/>
      <c r="J4661" s="123" t="n"/>
      <c r="K4661" s="123" t="n"/>
      <c r="L4661" s="123" t="n"/>
      <c r="M4661" s="123">
        <f>IF(AND(B4661&lt;&gt;"",OR($C$4="",ISNUMBER(SEARCH($C$4,C4661&amp;" "&amp;E4661&amp;" "&amp;G4661&amp;" "&amp;H4661&amp;" "&amp;I4661&amp;" "&amp;J4661&amp;" "&amp;K4661&amp;" "&amp;L4661))),OR($C$5="Semua",$C$5="",G4661=$C$5),OR($C$6="Semua",$C$6="",H4661=$C$6,H4661="Pengeluaran "&amp;$C$6,AND($C$6="Uang Kos Mama",H4661="Pengeluaran Uang Kos")),OR($C$7="Semua",$C$7="",I4661=$C$7),OR($C$8="Semua",$C$8="",C4661=$C$8,E4661=$C$8),OR($C$9="Semua",$C$9="",D4661=$C$9),OR($C$10="",B4661&gt;=$C$10),OR($C$11="",B4661&lt;=$C$11),OR($C$12&lt;&gt;"Ya",K4661&lt;&gt;""),OR($C$13="Semua",$C$13="",L4661=$C$13)),"✓","")</f>
        <v/>
      </c>
      <c r="N4661" s="93">
        <f>N(N4660)+IF(M4661="✓",1,0)</f>
        <v/>
      </c>
      <c r="O4661" s="93">
        <f>N(O4660)+IF(AND(B4661&lt;&gt;"",B4661&gt;='Uang Riba'!$H$30,B4661&lt;='Uang Riba'!$I$30,OR(H4661="Dana riba",H4661="Pinjam uang riba",I4661="Pinjam dari uang riba",I4661="Ganti uang riba",I4661="Kelebihan ganti dikembalikan",AND(C4661="Kantong Uang Riba",G4661="Pengeluaran"))),1,0)</f>
        <v/>
      </c>
      <c r="X4661" s="93">
        <f>IF(AND(B4661&lt;&gt;"",B4661&gt;='Buku Akun'!$H$4,B4661&lt;='Buku Akun'!$H$5,OR(C4661='Buku Akun'!$C$4,AND(D4661="Pindah",E4661='Buku Akun'!$C$4))),B4661+IF(AND(I4661="Selisih bunga",DAY(B4661)=1),0,0.01)+ROW()/10000000,"")</f>
        <v/>
      </c>
    </row>
    <row r="4662" outlineLevel="1" ht="15" customHeight="1" s="94">
      <c r="A4662" s="123">
        <f>IF(B4662="","",ROW()-15)</f>
        <v/>
      </c>
      <c r="B4662" s="124" t="n"/>
      <c r="C4662" s="123" t="n"/>
      <c r="D4662" s="123" t="n"/>
      <c r="E4662" s="123" t="n"/>
      <c r="F4662" s="125" t="n"/>
      <c r="G4662" s="123" t="n"/>
      <c r="H4662" s="123" t="n"/>
      <c r="I4662" s="123" t="n"/>
      <c r="J4662" s="123" t="n"/>
      <c r="K4662" s="123" t="n"/>
      <c r="L4662" s="123" t="n"/>
      <c r="M4662" s="123">
        <f>IF(AND(B4662&lt;&gt;"",OR($C$4="",ISNUMBER(SEARCH($C$4,C4662&amp;" "&amp;E4662&amp;" "&amp;G4662&amp;" "&amp;H4662&amp;" "&amp;I4662&amp;" "&amp;J4662&amp;" "&amp;K4662&amp;" "&amp;L4662))),OR($C$5="Semua",$C$5="",G4662=$C$5),OR($C$6="Semua",$C$6="",H4662=$C$6,H4662="Pengeluaran "&amp;$C$6,AND($C$6="Uang Kos Mama",H4662="Pengeluaran Uang Kos")),OR($C$7="Semua",$C$7="",I4662=$C$7),OR($C$8="Semua",$C$8="",C4662=$C$8,E4662=$C$8),OR($C$9="Semua",$C$9="",D4662=$C$9),OR($C$10="",B4662&gt;=$C$10),OR($C$11="",B4662&lt;=$C$11),OR($C$12&lt;&gt;"Ya",K4662&lt;&gt;""),OR($C$13="Semua",$C$13="",L4662=$C$13)),"✓","")</f>
        <v/>
      </c>
      <c r="N4662" s="93">
        <f>N(N4661)+IF(M4662="✓",1,0)</f>
        <v/>
      </c>
      <c r="O4662" s="93">
        <f>N(O4661)+IF(AND(B4662&lt;&gt;"",B4662&gt;='Uang Riba'!$H$30,B4662&lt;='Uang Riba'!$I$30,OR(H4662="Dana riba",H4662="Pinjam uang riba",I4662="Pinjam dari uang riba",I4662="Ganti uang riba",I4662="Kelebihan ganti dikembalikan",AND(C4662="Kantong Uang Riba",G4662="Pengeluaran"))),1,0)</f>
        <v/>
      </c>
      <c r="X4662" s="93">
        <f>IF(AND(B4662&lt;&gt;"",B4662&gt;='Buku Akun'!$H$4,B4662&lt;='Buku Akun'!$H$5,OR(C4662='Buku Akun'!$C$4,AND(D4662="Pindah",E4662='Buku Akun'!$C$4))),B4662+IF(AND(I4662="Selisih bunga",DAY(B4662)=1),0,0.01)+ROW()/10000000,"")</f>
        <v/>
      </c>
    </row>
    <row r="4663" outlineLevel="1" ht="15" customHeight="1" s="94">
      <c r="A4663" s="123">
        <f>IF(B4663="","",ROW()-15)</f>
        <v/>
      </c>
      <c r="B4663" s="124" t="n"/>
      <c r="C4663" s="123" t="n"/>
      <c r="D4663" s="123" t="n"/>
      <c r="E4663" s="123" t="n"/>
      <c r="F4663" s="125" t="n"/>
      <c r="G4663" s="123" t="n"/>
      <c r="H4663" s="123" t="n"/>
      <c r="I4663" s="123" t="n"/>
      <c r="J4663" s="123" t="n"/>
      <c r="K4663" s="123" t="n"/>
      <c r="L4663" s="123" t="n"/>
      <c r="M4663" s="123">
        <f>IF(AND(B4663&lt;&gt;"",OR($C$4="",ISNUMBER(SEARCH($C$4,C4663&amp;" "&amp;E4663&amp;" "&amp;G4663&amp;" "&amp;H4663&amp;" "&amp;I4663&amp;" "&amp;J4663&amp;" "&amp;K4663&amp;" "&amp;L4663))),OR($C$5="Semua",$C$5="",G4663=$C$5),OR($C$6="Semua",$C$6="",H4663=$C$6,H4663="Pengeluaran "&amp;$C$6,AND($C$6="Uang Kos Mama",H4663="Pengeluaran Uang Kos")),OR($C$7="Semua",$C$7="",I4663=$C$7),OR($C$8="Semua",$C$8="",C4663=$C$8,E4663=$C$8),OR($C$9="Semua",$C$9="",D4663=$C$9),OR($C$10="",B4663&gt;=$C$10),OR($C$11="",B4663&lt;=$C$11),OR($C$12&lt;&gt;"Ya",K4663&lt;&gt;""),OR($C$13="Semua",$C$13="",L4663=$C$13)),"✓","")</f>
        <v/>
      </c>
      <c r="N4663" s="93">
        <f>N(N4662)+IF(M4663="✓",1,0)</f>
        <v/>
      </c>
      <c r="O4663" s="93">
        <f>N(O4662)+IF(AND(B4663&lt;&gt;"",B4663&gt;='Uang Riba'!$H$30,B4663&lt;='Uang Riba'!$I$30,OR(H4663="Dana riba",H4663="Pinjam uang riba",I4663="Pinjam dari uang riba",I4663="Ganti uang riba",I4663="Kelebihan ganti dikembalikan",AND(C4663="Kantong Uang Riba",G4663="Pengeluaran"))),1,0)</f>
        <v/>
      </c>
      <c r="X4663" s="93">
        <f>IF(AND(B4663&lt;&gt;"",B4663&gt;='Buku Akun'!$H$4,B4663&lt;='Buku Akun'!$H$5,OR(C4663='Buku Akun'!$C$4,AND(D4663="Pindah",E4663='Buku Akun'!$C$4))),B4663+IF(AND(I4663="Selisih bunga",DAY(B4663)=1),0,0.01)+ROW()/10000000,"")</f>
        <v/>
      </c>
    </row>
    <row r="4664" outlineLevel="1" ht="15" customHeight="1" s="94">
      <c r="A4664" s="123">
        <f>IF(B4664="","",ROW()-15)</f>
        <v/>
      </c>
      <c r="B4664" s="124" t="n"/>
      <c r="C4664" s="123" t="n"/>
      <c r="D4664" s="123" t="n"/>
      <c r="E4664" s="123" t="n"/>
      <c r="F4664" s="125" t="n"/>
      <c r="G4664" s="123" t="n"/>
      <c r="H4664" s="123" t="n"/>
      <c r="I4664" s="123" t="n"/>
      <c r="J4664" s="123" t="n"/>
      <c r="K4664" s="123" t="n"/>
      <c r="L4664" s="123" t="n"/>
      <c r="M4664" s="123">
        <f>IF(AND(B4664&lt;&gt;"",OR($C$4="",ISNUMBER(SEARCH($C$4,C4664&amp;" "&amp;E4664&amp;" "&amp;G4664&amp;" "&amp;H4664&amp;" "&amp;I4664&amp;" "&amp;J4664&amp;" "&amp;K4664&amp;" "&amp;L4664))),OR($C$5="Semua",$C$5="",G4664=$C$5),OR($C$6="Semua",$C$6="",H4664=$C$6,H4664="Pengeluaran "&amp;$C$6,AND($C$6="Uang Kos Mama",H4664="Pengeluaran Uang Kos")),OR($C$7="Semua",$C$7="",I4664=$C$7),OR($C$8="Semua",$C$8="",C4664=$C$8,E4664=$C$8),OR($C$9="Semua",$C$9="",D4664=$C$9),OR($C$10="",B4664&gt;=$C$10),OR($C$11="",B4664&lt;=$C$11),OR($C$12&lt;&gt;"Ya",K4664&lt;&gt;""),OR($C$13="Semua",$C$13="",L4664=$C$13)),"✓","")</f>
        <v/>
      </c>
      <c r="N4664" s="93">
        <f>N(N4663)+IF(M4664="✓",1,0)</f>
        <v/>
      </c>
      <c r="O4664" s="93">
        <f>N(O4663)+IF(AND(B4664&lt;&gt;"",B4664&gt;='Uang Riba'!$H$30,B4664&lt;='Uang Riba'!$I$30,OR(H4664="Dana riba",H4664="Pinjam uang riba",I4664="Pinjam dari uang riba",I4664="Ganti uang riba",I4664="Kelebihan ganti dikembalikan",AND(C4664="Kantong Uang Riba",G4664="Pengeluaran"))),1,0)</f>
        <v/>
      </c>
      <c r="X4664" s="93">
        <f>IF(AND(B4664&lt;&gt;"",B4664&gt;='Buku Akun'!$H$4,B4664&lt;='Buku Akun'!$H$5,OR(C4664='Buku Akun'!$C$4,AND(D4664="Pindah",E4664='Buku Akun'!$C$4))),B4664+IF(AND(I4664="Selisih bunga",DAY(B4664)=1),0,0.01)+ROW()/10000000,"")</f>
        <v/>
      </c>
    </row>
    <row r="4665" outlineLevel="1" ht="15" customHeight="1" s="94">
      <c r="A4665" s="123">
        <f>IF(B4665="","",ROW()-15)</f>
        <v/>
      </c>
      <c r="B4665" s="124" t="n"/>
      <c r="C4665" s="123" t="n"/>
      <c r="D4665" s="123" t="n"/>
      <c r="E4665" s="123" t="n"/>
      <c r="F4665" s="125" t="n"/>
      <c r="G4665" s="123" t="n"/>
      <c r="H4665" s="123" t="n"/>
      <c r="I4665" s="123" t="n"/>
      <c r="J4665" s="123" t="n"/>
      <c r="K4665" s="123" t="n"/>
      <c r="L4665" s="123" t="n"/>
      <c r="M4665" s="123">
        <f>IF(AND(B4665&lt;&gt;"",OR($C$4="",ISNUMBER(SEARCH($C$4,C4665&amp;" "&amp;E4665&amp;" "&amp;G4665&amp;" "&amp;H4665&amp;" "&amp;I4665&amp;" "&amp;J4665&amp;" "&amp;K4665&amp;" "&amp;L4665))),OR($C$5="Semua",$C$5="",G4665=$C$5),OR($C$6="Semua",$C$6="",H4665=$C$6,H4665="Pengeluaran "&amp;$C$6,AND($C$6="Uang Kos Mama",H4665="Pengeluaran Uang Kos")),OR($C$7="Semua",$C$7="",I4665=$C$7),OR($C$8="Semua",$C$8="",C4665=$C$8,E4665=$C$8),OR($C$9="Semua",$C$9="",D4665=$C$9),OR($C$10="",B4665&gt;=$C$10),OR($C$11="",B4665&lt;=$C$11),OR($C$12&lt;&gt;"Ya",K4665&lt;&gt;""),OR($C$13="Semua",$C$13="",L4665=$C$13)),"✓","")</f>
        <v/>
      </c>
      <c r="N4665" s="93">
        <f>N(N4664)+IF(M4665="✓",1,0)</f>
        <v/>
      </c>
      <c r="O4665" s="93">
        <f>N(O4664)+IF(AND(B4665&lt;&gt;"",B4665&gt;='Uang Riba'!$H$30,B4665&lt;='Uang Riba'!$I$30,OR(H4665="Dana riba",H4665="Pinjam uang riba",I4665="Pinjam dari uang riba",I4665="Ganti uang riba",I4665="Kelebihan ganti dikembalikan",AND(C4665="Kantong Uang Riba",G4665="Pengeluaran"))),1,0)</f>
        <v/>
      </c>
      <c r="X4665" s="93">
        <f>IF(AND(B4665&lt;&gt;"",B4665&gt;='Buku Akun'!$H$4,B4665&lt;='Buku Akun'!$H$5,OR(C4665='Buku Akun'!$C$4,AND(D4665="Pindah",E4665='Buku Akun'!$C$4))),B4665+IF(AND(I4665="Selisih bunga",DAY(B4665)=1),0,0.01)+ROW()/10000000,"")</f>
        <v/>
      </c>
    </row>
    <row r="4666" outlineLevel="1" ht="15" customHeight="1" s="94">
      <c r="A4666" s="123">
        <f>IF(B4666="","",ROW()-15)</f>
        <v/>
      </c>
      <c r="B4666" s="124" t="n"/>
      <c r="C4666" s="123" t="n"/>
      <c r="D4666" s="123" t="n"/>
      <c r="E4666" s="123" t="n"/>
      <c r="F4666" s="125" t="n"/>
      <c r="G4666" s="123" t="n"/>
      <c r="H4666" s="123" t="n"/>
      <c r="I4666" s="123" t="n"/>
      <c r="J4666" s="123" t="n"/>
      <c r="K4666" s="123" t="n"/>
      <c r="L4666" s="123" t="n"/>
      <c r="M4666" s="123">
        <f>IF(AND(B4666&lt;&gt;"",OR($C$4="",ISNUMBER(SEARCH($C$4,C4666&amp;" "&amp;E4666&amp;" "&amp;G4666&amp;" "&amp;H4666&amp;" "&amp;I4666&amp;" "&amp;J4666&amp;" "&amp;K4666&amp;" "&amp;L4666))),OR($C$5="Semua",$C$5="",G4666=$C$5),OR($C$6="Semua",$C$6="",H4666=$C$6,H4666="Pengeluaran "&amp;$C$6,AND($C$6="Uang Kos Mama",H4666="Pengeluaran Uang Kos")),OR($C$7="Semua",$C$7="",I4666=$C$7),OR($C$8="Semua",$C$8="",C4666=$C$8,E4666=$C$8),OR($C$9="Semua",$C$9="",D4666=$C$9),OR($C$10="",B4666&gt;=$C$10),OR($C$11="",B4666&lt;=$C$11),OR($C$12&lt;&gt;"Ya",K4666&lt;&gt;""),OR($C$13="Semua",$C$13="",L4666=$C$13)),"✓","")</f>
        <v/>
      </c>
      <c r="N4666" s="93">
        <f>N(N4665)+IF(M4666="✓",1,0)</f>
        <v/>
      </c>
      <c r="O4666" s="93">
        <f>N(O4665)+IF(AND(B4666&lt;&gt;"",B4666&gt;='Uang Riba'!$H$30,B4666&lt;='Uang Riba'!$I$30,OR(H4666="Dana riba",H4666="Pinjam uang riba",I4666="Pinjam dari uang riba",I4666="Ganti uang riba",I4666="Kelebihan ganti dikembalikan",AND(C4666="Kantong Uang Riba",G4666="Pengeluaran"))),1,0)</f>
        <v/>
      </c>
      <c r="X4666" s="93">
        <f>IF(AND(B4666&lt;&gt;"",B4666&gt;='Buku Akun'!$H$4,B4666&lt;='Buku Akun'!$H$5,OR(C4666='Buku Akun'!$C$4,AND(D4666="Pindah",E4666='Buku Akun'!$C$4))),B4666+IF(AND(I4666="Selisih bunga",DAY(B4666)=1),0,0.01)+ROW()/10000000,"")</f>
        <v/>
      </c>
    </row>
    <row r="4667" outlineLevel="1" ht="15" customHeight="1" s="94">
      <c r="A4667" s="123">
        <f>IF(B4667="","",ROW()-15)</f>
        <v/>
      </c>
      <c r="B4667" s="124" t="n"/>
      <c r="C4667" s="123" t="n"/>
      <c r="D4667" s="123" t="n"/>
      <c r="E4667" s="123" t="n"/>
      <c r="F4667" s="125" t="n"/>
      <c r="G4667" s="123" t="n"/>
      <c r="H4667" s="123" t="n"/>
      <c r="I4667" s="123" t="n"/>
      <c r="J4667" s="123" t="n"/>
      <c r="K4667" s="123" t="n"/>
      <c r="L4667" s="123" t="n"/>
      <c r="M4667" s="123">
        <f>IF(AND(B4667&lt;&gt;"",OR($C$4="",ISNUMBER(SEARCH($C$4,C4667&amp;" "&amp;E4667&amp;" "&amp;G4667&amp;" "&amp;H4667&amp;" "&amp;I4667&amp;" "&amp;J4667&amp;" "&amp;K4667&amp;" "&amp;L4667))),OR($C$5="Semua",$C$5="",G4667=$C$5),OR($C$6="Semua",$C$6="",H4667=$C$6,H4667="Pengeluaran "&amp;$C$6,AND($C$6="Uang Kos Mama",H4667="Pengeluaran Uang Kos")),OR($C$7="Semua",$C$7="",I4667=$C$7),OR($C$8="Semua",$C$8="",C4667=$C$8,E4667=$C$8),OR($C$9="Semua",$C$9="",D4667=$C$9),OR($C$10="",B4667&gt;=$C$10),OR($C$11="",B4667&lt;=$C$11),OR($C$12&lt;&gt;"Ya",K4667&lt;&gt;""),OR($C$13="Semua",$C$13="",L4667=$C$13)),"✓","")</f>
        <v/>
      </c>
      <c r="N4667" s="93">
        <f>N(N4666)+IF(M4667="✓",1,0)</f>
        <v/>
      </c>
      <c r="O4667" s="93">
        <f>N(O4666)+IF(AND(B4667&lt;&gt;"",B4667&gt;='Uang Riba'!$H$30,B4667&lt;='Uang Riba'!$I$30,OR(H4667="Dana riba",H4667="Pinjam uang riba",I4667="Pinjam dari uang riba",I4667="Ganti uang riba",I4667="Kelebihan ganti dikembalikan",AND(C4667="Kantong Uang Riba",G4667="Pengeluaran"))),1,0)</f>
        <v/>
      </c>
      <c r="X4667" s="93">
        <f>IF(AND(B4667&lt;&gt;"",B4667&gt;='Buku Akun'!$H$4,B4667&lt;='Buku Akun'!$H$5,OR(C4667='Buku Akun'!$C$4,AND(D4667="Pindah",E4667='Buku Akun'!$C$4))),B4667+IF(AND(I4667="Selisih bunga",DAY(B4667)=1),0,0.01)+ROW()/10000000,"")</f>
        <v/>
      </c>
    </row>
    <row r="4668" outlineLevel="1" ht="15" customHeight="1" s="94">
      <c r="A4668" s="123">
        <f>IF(B4668="","",ROW()-15)</f>
        <v/>
      </c>
      <c r="B4668" s="124" t="n"/>
      <c r="C4668" s="123" t="n"/>
      <c r="D4668" s="123" t="n"/>
      <c r="E4668" s="123" t="n"/>
      <c r="F4668" s="125" t="n"/>
      <c r="G4668" s="123" t="n"/>
      <c r="H4668" s="123" t="n"/>
      <c r="I4668" s="123" t="n"/>
      <c r="J4668" s="123" t="n"/>
      <c r="K4668" s="123" t="n"/>
      <c r="L4668" s="123" t="n"/>
      <c r="M4668" s="123">
        <f>IF(AND(B4668&lt;&gt;"",OR($C$4="",ISNUMBER(SEARCH($C$4,C4668&amp;" "&amp;E4668&amp;" "&amp;G4668&amp;" "&amp;H4668&amp;" "&amp;I4668&amp;" "&amp;J4668&amp;" "&amp;K4668&amp;" "&amp;L4668))),OR($C$5="Semua",$C$5="",G4668=$C$5),OR($C$6="Semua",$C$6="",H4668=$C$6,H4668="Pengeluaran "&amp;$C$6,AND($C$6="Uang Kos Mama",H4668="Pengeluaran Uang Kos")),OR($C$7="Semua",$C$7="",I4668=$C$7),OR($C$8="Semua",$C$8="",C4668=$C$8,E4668=$C$8),OR($C$9="Semua",$C$9="",D4668=$C$9),OR($C$10="",B4668&gt;=$C$10),OR($C$11="",B4668&lt;=$C$11),OR($C$12&lt;&gt;"Ya",K4668&lt;&gt;""),OR($C$13="Semua",$C$13="",L4668=$C$13)),"✓","")</f>
        <v/>
      </c>
      <c r="N4668" s="93">
        <f>N(N4667)+IF(M4668="✓",1,0)</f>
        <v/>
      </c>
      <c r="O4668" s="93">
        <f>N(O4667)+IF(AND(B4668&lt;&gt;"",B4668&gt;='Uang Riba'!$H$30,B4668&lt;='Uang Riba'!$I$30,OR(H4668="Dana riba",H4668="Pinjam uang riba",I4668="Pinjam dari uang riba",I4668="Ganti uang riba",I4668="Kelebihan ganti dikembalikan",AND(C4668="Kantong Uang Riba",G4668="Pengeluaran"))),1,0)</f>
        <v/>
      </c>
      <c r="X4668" s="93">
        <f>IF(AND(B4668&lt;&gt;"",B4668&gt;='Buku Akun'!$H$4,B4668&lt;='Buku Akun'!$H$5,OR(C4668='Buku Akun'!$C$4,AND(D4668="Pindah",E4668='Buku Akun'!$C$4))),B4668+IF(AND(I4668="Selisih bunga",DAY(B4668)=1),0,0.01)+ROW()/10000000,"")</f>
        <v/>
      </c>
    </row>
    <row r="4669" outlineLevel="1" ht="15" customHeight="1" s="94">
      <c r="A4669" s="123">
        <f>IF(B4669="","",ROW()-15)</f>
        <v/>
      </c>
      <c r="B4669" s="124" t="n"/>
      <c r="C4669" s="123" t="n"/>
      <c r="D4669" s="123" t="n"/>
      <c r="E4669" s="123" t="n"/>
      <c r="F4669" s="125" t="n"/>
      <c r="G4669" s="123" t="n"/>
      <c r="H4669" s="123" t="n"/>
      <c r="I4669" s="123" t="n"/>
      <c r="J4669" s="123" t="n"/>
      <c r="K4669" s="123" t="n"/>
      <c r="L4669" s="123" t="n"/>
      <c r="M4669" s="123">
        <f>IF(AND(B4669&lt;&gt;"",OR($C$4="",ISNUMBER(SEARCH($C$4,C4669&amp;" "&amp;E4669&amp;" "&amp;G4669&amp;" "&amp;H4669&amp;" "&amp;I4669&amp;" "&amp;J4669&amp;" "&amp;K4669&amp;" "&amp;L4669))),OR($C$5="Semua",$C$5="",G4669=$C$5),OR($C$6="Semua",$C$6="",H4669=$C$6,H4669="Pengeluaran "&amp;$C$6,AND($C$6="Uang Kos Mama",H4669="Pengeluaran Uang Kos")),OR($C$7="Semua",$C$7="",I4669=$C$7),OR($C$8="Semua",$C$8="",C4669=$C$8,E4669=$C$8),OR($C$9="Semua",$C$9="",D4669=$C$9),OR($C$10="",B4669&gt;=$C$10),OR($C$11="",B4669&lt;=$C$11),OR($C$12&lt;&gt;"Ya",K4669&lt;&gt;""),OR($C$13="Semua",$C$13="",L4669=$C$13)),"✓","")</f>
        <v/>
      </c>
      <c r="N4669" s="93">
        <f>N(N4668)+IF(M4669="✓",1,0)</f>
        <v/>
      </c>
      <c r="O4669" s="93">
        <f>N(O4668)+IF(AND(B4669&lt;&gt;"",B4669&gt;='Uang Riba'!$H$30,B4669&lt;='Uang Riba'!$I$30,OR(H4669="Dana riba",H4669="Pinjam uang riba",I4669="Pinjam dari uang riba",I4669="Ganti uang riba",I4669="Kelebihan ganti dikembalikan",AND(C4669="Kantong Uang Riba",G4669="Pengeluaran"))),1,0)</f>
        <v/>
      </c>
      <c r="X4669" s="93">
        <f>IF(AND(B4669&lt;&gt;"",B4669&gt;='Buku Akun'!$H$4,B4669&lt;='Buku Akun'!$H$5,OR(C4669='Buku Akun'!$C$4,AND(D4669="Pindah",E4669='Buku Akun'!$C$4))),B4669+IF(AND(I4669="Selisih bunga",DAY(B4669)=1),0,0.01)+ROW()/10000000,"")</f>
        <v/>
      </c>
    </row>
    <row r="4670" outlineLevel="1" ht="15" customHeight="1" s="94">
      <c r="A4670" s="123">
        <f>IF(B4670="","",ROW()-15)</f>
        <v/>
      </c>
      <c r="B4670" s="124" t="n"/>
      <c r="C4670" s="123" t="n"/>
      <c r="D4670" s="123" t="n"/>
      <c r="E4670" s="123" t="n"/>
      <c r="F4670" s="125" t="n"/>
      <c r="G4670" s="123" t="n"/>
      <c r="H4670" s="123" t="n"/>
      <c r="I4670" s="123" t="n"/>
      <c r="J4670" s="123" t="n"/>
      <c r="K4670" s="123" t="n"/>
      <c r="L4670" s="123" t="n"/>
      <c r="M4670" s="123">
        <f>IF(AND(B4670&lt;&gt;"",OR($C$4="",ISNUMBER(SEARCH($C$4,C4670&amp;" "&amp;E4670&amp;" "&amp;G4670&amp;" "&amp;H4670&amp;" "&amp;I4670&amp;" "&amp;J4670&amp;" "&amp;K4670&amp;" "&amp;L4670))),OR($C$5="Semua",$C$5="",G4670=$C$5),OR($C$6="Semua",$C$6="",H4670=$C$6,H4670="Pengeluaran "&amp;$C$6,AND($C$6="Uang Kos Mama",H4670="Pengeluaran Uang Kos")),OR($C$7="Semua",$C$7="",I4670=$C$7),OR($C$8="Semua",$C$8="",C4670=$C$8,E4670=$C$8),OR($C$9="Semua",$C$9="",D4670=$C$9),OR($C$10="",B4670&gt;=$C$10),OR($C$11="",B4670&lt;=$C$11),OR($C$12&lt;&gt;"Ya",K4670&lt;&gt;""),OR($C$13="Semua",$C$13="",L4670=$C$13)),"✓","")</f>
        <v/>
      </c>
      <c r="N4670" s="93">
        <f>N(N4669)+IF(M4670="✓",1,0)</f>
        <v/>
      </c>
      <c r="O4670" s="93">
        <f>N(O4669)+IF(AND(B4670&lt;&gt;"",B4670&gt;='Uang Riba'!$H$30,B4670&lt;='Uang Riba'!$I$30,OR(H4670="Dana riba",H4670="Pinjam uang riba",I4670="Pinjam dari uang riba",I4670="Ganti uang riba",I4670="Kelebihan ganti dikembalikan",AND(C4670="Kantong Uang Riba",G4670="Pengeluaran"))),1,0)</f>
        <v/>
      </c>
      <c r="X4670" s="93">
        <f>IF(AND(B4670&lt;&gt;"",B4670&gt;='Buku Akun'!$H$4,B4670&lt;='Buku Akun'!$H$5,OR(C4670='Buku Akun'!$C$4,AND(D4670="Pindah",E4670='Buku Akun'!$C$4))),B4670+IF(AND(I4670="Selisih bunga",DAY(B4670)=1),0,0.01)+ROW()/10000000,"")</f>
        <v/>
      </c>
    </row>
    <row r="4671" outlineLevel="1" ht="15" customHeight="1" s="94">
      <c r="A4671" s="123">
        <f>IF(B4671="","",ROW()-15)</f>
        <v/>
      </c>
      <c r="B4671" s="124" t="n"/>
      <c r="C4671" s="123" t="n"/>
      <c r="D4671" s="123" t="n"/>
      <c r="E4671" s="123" t="n"/>
      <c r="F4671" s="125" t="n"/>
      <c r="G4671" s="123" t="n"/>
      <c r="H4671" s="123" t="n"/>
      <c r="I4671" s="123" t="n"/>
      <c r="J4671" s="123" t="n"/>
      <c r="K4671" s="123" t="n"/>
      <c r="L4671" s="123" t="n"/>
      <c r="M4671" s="123">
        <f>IF(AND(B4671&lt;&gt;"",OR($C$4="",ISNUMBER(SEARCH($C$4,C4671&amp;" "&amp;E4671&amp;" "&amp;G4671&amp;" "&amp;H4671&amp;" "&amp;I4671&amp;" "&amp;J4671&amp;" "&amp;K4671&amp;" "&amp;L4671))),OR($C$5="Semua",$C$5="",G4671=$C$5),OR($C$6="Semua",$C$6="",H4671=$C$6,H4671="Pengeluaran "&amp;$C$6,AND($C$6="Uang Kos Mama",H4671="Pengeluaran Uang Kos")),OR($C$7="Semua",$C$7="",I4671=$C$7),OR($C$8="Semua",$C$8="",C4671=$C$8,E4671=$C$8),OR($C$9="Semua",$C$9="",D4671=$C$9),OR($C$10="",B4671&gt;=$C$10),OR($C$11="",B4671&lt;=$C$11),OR($C$12&lt;&gt;"Ya",K4671&lt;&gt;""),OR($C$13="Semua",$C$13="",L4671=$C$13)),"✓","")</f>
        <v/>
      </c>
      <c r="N4671" s="93">
        <f>N(N4670)+IF(M4671="✓",1,0)</f>
        <v/>
      </c>
      <c r="O4671" s="93">
        <f>N(O4670)+IF(AND(B4671&lt;&gt;"",B4671&gt;='Uang Riba'!$H$30,B4671&lt;='Uang Riba'!$I$30,OR(H4671="Dana riba",H4671="Pinjam uang riba",I4671="Pinjam dari uang riba",I4671="Ganti uang riba",I4671="Kelebihan ganti dikembalikan",AND(C4671="Kantong Uang Riba",G4671="Pengeluaran"))),1,0)</f>
        <v/>
      </c>
      <c r="X4671" s="93">
        <f>IF(AND(B4671&lt;&gt;"",B4671&gt;='Buku Akun'!$H$4,B4671&lt;='Buku Akun'!$H$5,OR(C4671='Buku Akun'!$C$4,AND(D4671="Pindah",E4671='Buku Akun'!$C$4))),B4671+IF(AND(I4671="Selisih bunga",DAY(B4671)=1),0,0.01)+ROW()/10000000,"")</f>
        <v/>
      </c>
    </row>
    <row r="4672" outlineLevel="1" ht="15" customHeight="1" s="94">
      <c r="A4672" s="123">
        <f>IF(B4672="","",ROW()-15)</f>
        <v/>
      </c>
      <c r="B4672" s="124" t="n"/>
      <c r="C4672" s="123" t="n"/>
      <c r="D4672" s="123" t="n"/>
      <c r="E4672" s="123" t="n"/>
      <c r="F4672" s="125" t="n"/>
      <c r="G4672" s="123" t="n"/>
      <c r="H4672" s="123" t="n"/>
      <c r="I4672" s="123" t="n"/>
      <c r="J4672" s="123" t="n"/>
      <c r="K4672" s="123" t="n"/>
      <c r="L4672" s="123" t="n"/>
      <c r="M4672" s="123">
        <f>IF(AND(B4672&lt;&gt;"",OR($C$4="",ISNUMBER(SEARCH($C$4,C4672&amp;" "&amp;E4672&amp;" "&amp;G4672&amp;" "&amp;H4672&amp;" "&amp;I4672&amp;" "&amp;J4672&amp;" "&amp;K4672&amp;" "&amp;L4672))),OR($C$5="Semua",$C$5="",G4672=$C$5),OR($C$6="Semua",$C$6="",H4672=$C$6,H4672="Pengeluaran "&amp;$C$6,AND($C$6="Uang Kos Mama",H4672="Pengeluaran Uang Kos")),OR($C$7="Semua",$C$7="",I4672=$C$7),OR($C$8="Semua",$C$8="",C4672=$C$8,E4672=$C$8),OR($C$9="Semua",$C$9="",D4672=$C$9),OR($C$10="",B4672&gt;=$C$10),OR($C$11="",B4672&lt;=$C$11),OR($C$12&lt;&gt;"Ya",K4672&lt;&gt;""),OR($C$13="Semua",$C$13="",L4672=$C$13)),"✓","")</f>
        <v/>
      </c>
      <c r="N4672" s="93">
        <f>N(N4671)+IF(M4672="✓",1,0)</f>
        <v/>
      </c>
      <c r="O4672" s="93">
        <f>N(O4671)+IF(AND(B4672&lt;&gt;"",B4672&gt;='Uang Riba'!$H$30,B4672&lt;='Uang Riba'!$I$30,OR(H4672="Dana riba",H4672="Pinjam uang riba",I4672="Pinjam dari uang riba",I4672="Ganti uang riba",I4672="Kelebihan ganti dikembalikan",AND(C4672="Kantong Uang Riba",G4672="Pengeluaran"))),1,0)</f>
        <v/>
      </c>
      <c r="X4672" s="93">
        <f>IF(AND(B4672&lt;&gt;"",B4672&gt;='Buku Akun'!$H$4,B4672&lt;='Buku Akun'!$H$5,OR(C4672='Buku Akun'!$C$4,AND(D4672="Pindah",E4672='Buku Akun'!$C$4))),B4672+IF(AND(I4672="Selisih bunga",DAY(B4672)=1),0,0.01)+ROW()/10000000,"")</f>
        <v/>
      </c>
    </row>
    <row r="4673" outlineLevel="1" ht="15" customHeight="1" s="94">
      <c r="A4673" s="123">
        <f>IF(B4673="","",ROW()-15)</f>
        <v/>
      </c>
      <c r="B4673" s="124" t="n"/>
      <c r="C4673" s="123" t="n"/>
      <c r="D4673" s="123" t="n"/>
      <c r="E4673" s="123" t="n"/>
      <c r="F4673" s="125" t="n"/>
      <c r="G4673" s="123" t="n"/>
      <c r="H4673" s="123" t="n"/>
      <c r="I4673" s="123" t="n"/>
      <c r="J4673" s="123" t="n"/>
      <c r="K4673" s="123" t="n"/>
      <c r="L4673" s="123" t="n"/>
      <c r="M4673" s="123">
        <f>IF(AND(B4673&lt;&gt;"",OR($C$4="",ISNUMBER(SEARCH($C$4,C4673&amp;" "&amp;E4673&amp;" "&amp;G4673&amp;" "&amp;H4673&amp;" "&amp;I4673&amp;" "&amp;J4673&amp;" "&amp;K4673&amp;" "&amp;L4673))),OR($C$5="Semua",$C$5="",G4673=$C$5),OR($C$6="Semua",$C$6="",H4673=$C$6,H4673="Pengeluaran "&amp;$C$6,AND($C$6="Uang Kos Mama",H4673="Pengeluaran Uang Kos")),OR($C$7="Semua",$C$7="",I4673=$C$7),OR($C$8="Semua",$C$8="",C4673=$C$8,E4673=$C$8),OR($C$9="Semua",$C$9="",D4673=$C$9),OR($C$10="",B4673&gt;=$C$10),OR($C$11="",B4673&lt;=$C$11),OR($C$12&lt;&gt;"Ya",K4673&lt;&gt;""),OR($C$13="Semua",$C$13="",L4673=$C$13)),"✓","")</f>
        <v/>
      </c>
      <c r="N4673" s="93">
        <f>N(N4672)+IF(M4673="✓",1,0)</f>
        <v/>
      </c>
      <c r="O4673" s="93">
        <f>N(O4672)+IF(AND(B4673&lt;&gt;"",B4673&gt;='Uang Riba'!$H$30,B4673&lt;='Uang Riba'!$I$30,OR(H4673="Dana riba",H4673="Pinjam uang riba",I4673="Pinjam dari uang riba",I4673="Ganti uang riba",I4673="Kelebihan ganti dikembalikan",AND(C4673="Kantong Uang Riba",G4673="Pengeluaran"))),1,0)</f>
        <v/>
      </c>
      <c r="X4673" s="93">
        <f>IF(AND(B4673&lt;&gt;"",B4673&gt;='Buku Akun'!$H$4,B4673&lt;='Buku Akun'!$H$5,OR(C4673='Buku Akun'!$C$4,AND(D4673="Pindah",E4673='Buku Akun'!$C$4))),B4673+IF(AND(I4673="Selisih bunga",DAY(B4673)=1),0,0.01)+ROW()/10000000,"")</f>
        <v/>
      </c>
    </row>
    <row r="4674" outlineLevel="1" ht="15" customHeight="1" s="94">
      <c r="A4674" s="123">
        <f>IF(B4674="","",ROW()-15)</f>
        <v/>
      </c>
      <c r="B4674" s="124" t="n"/>
      <c r="C4674" s="123" t="n"/>
      <c r="D4674" s="123" t="n"/>
      <c r="E4674" s="123" t="n"/>
      <c r="F4674" s="125" t="n"/>
      <c r="G4674" s="123" t="n"/>
      <c r="H4674" s="123" t="n"/>
      <c r="I4674" s="123" t="n"/>
      <c r="J4674" s="123" t="n"/>
      <c r="K4674" s="123" t="n"/>
      <c r="L4674" s="123" t="n"/>
      <c r="M4674" s="123">
        <f>IF(AND(B4674&lt;&gt;"",OR($C$4="",ISNUMBER(SEARCH($C$4,C4674&amp;" "&amp;E4674&amp;" "&amp;G4674&amp;" "&amp;H4674&amp;" "&amp;I4674&amp;" "&amp;J4674&amp;" "&amp;K4674&amp;" "&amp;L4674))),OR($C$5="Semua",$C$5="",G4674=$C$5),OR($C$6="Semua",$C$6="",H4674=$C$6,H4674="Pengeluaran "&amp;$C$6,AND($C$6="Uang Kos Mama",H4674="Pengeluaran Uang Kos")),OR($C$7="Semua",$C$7="",I4674=$C$7),OR($C$8="Semua",$C$8="",C4674=$C$8,E4674=$C$8),OR($C$9="Semua",$C$9="",D4674=$C$9),OR($C$10="",B4674&gt;=$C$10),OR($C$11="",B4674&lt;=$C$11),OR($C$12&lt;&gt;"Ya",K4674&lt;&gt;""),OR($C$13="Semua",$C$13="",L4674=$C$13)),"✓","")</f>
        <v/>
      </c>
      <c r="N4674" s="93">
        <f>N(N4673)+IF(M4674="✓",1,0)</f>
        <v/>
      </c>
      <c r="O4674" s="93">
        <f>N(O4673)+IF(AND(B4674&lt;&gt;"",B4674&gt;='Uang Riba'!$H$30,B4674&lt;='Uang Riba'!$I$30,OR(H4674="Dana riba",H4674="Pinjam uang riba",I4674="Pinjam dari uang riba",I4674="Ganti uang riba",I4674="Kelebihan ganti dikembalikan",AND(C4674="Kantong Uang Riba",G4674="Pengeluaran"))),1,0)</f>
        <v/>
      </c>
      <c r="X4674" s="93">
        <f>IF(AND(B4674&lt;&gt;"",B4674&gt;='Buku Akun'!$H$4,B4674&lt;='Buku Akun'!$H$5,OR(C4674='Buku Akun'!$C$4,AND(D4674="Pindah",E4674='Buku Akun'!$C$4))),B4674+IF(AND(I4674="Selisih bunga",DAY(B4674)=1),0,0.01)+ROW()/10000000,"")</f>
        <v/>
      </c>
    </row>
    <row r="4675" outlineLevel="1" ht="15" customHeight="1" s="94">
      <c r="A4675" s="123">
        <f>IF(B4675="","",ROW()-15)</f>
        <v/>
      </c>
      <c r="B4675" s="124" t="n"/>
      <c r="C4675" s="123" t="n"/>
      <c r="D4675" s="123" t="n"/>
      <c r="E4675" s="123" t="n"/>
      <c r="F4675" s="125" t="n"/>
      <c r="G4675" s="123" t="n"/>
      <c r="H4675" s="123" t="n"/>
      <c r="I4675" s="123" t="n"/>
      <c r="J4675" s="123" t="n"/>
      <c r="K4675" s="123" t="n"/>
      <c r="L4675" s="123" t="n"/>
      <c r="M4675" s="123">
        <f>IF(AND(B4675&lt;&gt;"",OR($C$4="",ISNUMBER(SEARCH($C$4,C4675&amp;" "&amp;E4675&amp;" "&amp;G4675&amp;" "&amp;H4675&amp;" "&amp;I4675&amp;" "&amp;J4675&amp;" "&amp;K4675&amp;" "&amp;L4675))),OR($C$5="Semua",$C$5="",G4675=$C$5),OR($C$6="Semua",$C$6="",H4675=$C$6,H4675="Pengeluaran "&amp;$C$6,AND($C$6="Uang Kos Mama",H4675="Pengeluaran Uang Kos")),OR($C$7="Semua",$C$7="",I4675=$C$7),OR($C$8="Semua",$C$8="",C4675=$C$8,E4675=$C$8),OR($C$9="Semua",$C$9="",D4675=$C$9),OR($C$10="",B4675&gt;=$C$10),OR($C$11="",B4675&lt;=$C$11),OR($C$12&lt;&gt;"Ya",K4675&lt;&gt;""),OR($C$13="Semua",$C$13="",L4675=$C$13)),"✓","")</f>
        <v/>
      </c>
      <c r="N4675" s="93">
        <f>N(N4674)+IF(M4675="✓",1,0)</f>
        <v/>
      </c>
      <c r="O4675" s="93">
        <f>N(O4674)+IF(AND(B4675&lt;&gt;"",B4675&gt;='Uang Riba'!$H$30,B4675&lt;='Uang Riba'!$I$30,OR(H4675="Dana riba",H4675="Pinjam uang riba",I4675="Pinjam dari uang riba",I4675="Ganti uang riba",I4675="Kelebihan ganti dikembalikan",AND(C4675="Kantong Uang Riba",G4675="Pengeluaran"))),1,0)</f>
        <v/>
      </c>
      <c r="X4675" s="93">
        <f>IF(AND(B4675&lt;&gt;"",B4675&gt;='Buku Akun'!$H$4,B4675&lt;='Buku Akun'!$H$5,OR(C4675='Buku Akun'!$C$4,AND(D4675="Pindah",E4675='Buku Akun'!$C$4))),B4675+IF(AND(I4675="Selisih bunga",DAY(B4675)=1),0,0.01)+ROW()/10000000,"")</f>
        <v/>
      </c>
    </row>
    <row r="4676" outlineLevel="1" ht="15" customHeight="1" s="94">
      <c r="A4676" s="123">
        <f>IF(B4676="","",ROW()-15)</f>
        <v/>
      </c>
      <c r="B4676" s="124" t="n"/>
      <c r="C4676" s="123" t="n"/>
      <c r="D4676" s="123" t="n"/>
      <c r="E4676" s="123" t="n"/>
      <c r="F4676" s="125" t="n"/>
      <c r="G4676" s="123" t="n"/>
      <c r="H4676" s="123" t="n"/>
      <c r="I4676" s="123" t="n"/>
      <c r="J4676" s="123" t="n"/>
      <c r="K4676" s="123" t="n"/>
      <c r="L4676" s="123" t="n"/>
      <c r="M4676" s="123">
        <f>IF(AND(B4676&lt;&gt;"",OR($C$4="",ISNUMBER(SEARCH($C$4,C4676&amp;" "&amp;E4676&amp;" "&amp;G4676&amp;" "&amp;H4676&amp;" "&amp;I4676&amp;" "&amp;J4676&amp;" "&amp;K4676&amp;" "&amp;L4676))),OR($C$5="Semua",$C$5="",G4676=$C$5),OR($C$6="Semua",$C$6="",H4676=$C$6,H4676="Pengeluaran "&amp;$C$6,AND($C$6="Uang Kos Mama",H4676="Pengeluaran Uang Kos")),OR($C$7="Semua",$C$7="",I4676=$C$7),OR($C$8="Semua",$C$8="",C4676=$C$8,E4676=$C$8),OR($C$9="Semua",$C$9="",D4676=$C$9),OR($C$10="",B4676&gt;=$C$10),OR($C$11="",B4676&lt;=$C$11),OR($C$12&lt;&gt;"Ya",K4676&lt;&gt;""),OR($C$13="Semua",$C$13="",L4676=$C$13)),"✓","")</f>
        <v/>
      </c>
      <c r="N4676" s="93">
        <f>N(N4675)+IF(M4676="✓",1,0)</f>
        <v/>
      </c>
      <c r="O4676" s="93">
        <f>N(O4675)+IF(AND(B4676&lt;&gt;"",B4676&gt;='Uang Riba'!$H$30,B4676&lt;='Uang Riba'!$I$30,OR(H4676="Dana riba",H4676="Pinjam uang riba",I4676="Pinjam dari uang riba",I4676="Ganti uang riba",I4676="Kelebihan ganti dikembalikan",AND(C4676="Kantong Uang Riba",G4676="Pengeluaran"))),1,0)</f>
        <v/>
      </c>
      <c r="X4676" s="93">
        <f>IF(AND(B4676&lt;&gt;"",B4676&gt;='Buku Akun'!$H$4,B4676&lt;='Buku Akun'!$H$5,OR(C4676='Buku Akun'!$C$4,AND(D4676="Pindah",E4676='Buku Akun'!$C$4))),B4676+IF(AND(I4676="Selisih bunga",DAY(B4676)=1),0,0.01)+ROW()/10000000,"")</f>
        <v/>
      </c>
    </row>
    <row r="4677" outlineLevel="1" ht="15" customHeight="1" s="94">
      <c r="A4677" s="123">
        <f>IF(B4677="","",ROW()-15)</f>
        <v/>
      </c>
      <c r="B4677" s="124" t="n"/>
      <c r="C4677" s="123" t="n"/>
      <c r="D4677" s="123" t="n"/>
      <c r="E4677" s="123" t="n"/>
      <c r="F4677" s="125" t="n"/>
      <c r="G4677" s="123" t="n"/>
      <c r="H4677" s="123" t="n"/>
      <c r="I4677" s="123" t="n"/>
      <c r="J4677" s="123" t="n"/>
      <c r="K4677" s="123" t="n"/>
      <c r="L4677" s="123" t="n"/>
      <c r="M4677" s="123">
        <f>IF(AND(B4677&lt;&gt;"",OR($C$4="",ISNUMBER(SEARCH($C$4,C4677&amp;" "&amp;E4677&amp;" "&amp;G4677&amp;" "&amp;H4677&amp;" "&amp;I4677&amp;" "&amp;J4677&amp;" "&amp;K4677&amp;" "&amp;L4677))),OR($C$5="Semua",$C$5="",G4677=$C$5),OR($C$6="Semua",$C$6="",H4677=$C$6,H4677="Pengeluaran "&amp;$C$6,AND($C$6="Uang Kos Mama",H4677="Pengeluaran Uang Kos")),OR($C$7="Semua",$C$7="",I4677=$C$7),OR($C$8="Semua",$C$8="",C4677=$C$8,E4677=$C$8),OR($C$9="Semua",$C$9="",D4677=$C$9),OR($C$10="",B4677&gt;=$C$10),OR($C$11="",B4677&lt;=$C$11),OR($C$12&lt;&gt;"Ya",K4677&lt;&gt;""),OR($C$13="Semua",$C$13="",L4677=$C$13)),"✓","")</f>
        <v/>
      </c>
      <c r="N4677" s="93">
        <f>N(N4676)+IF(M4677="✓",1,0)</f>
        <v/>
      </c>
      <c r="O4677" s="93">
        <f>N(O4676)+IF(AND(B4677&lt;&gt;"",B4677&gt;='Uang Riba'!$H$30,B4677&lt;='Uang Riba'!$I$30,OR(H4677="Dana riba",H4677="Pinjam uang riba",I4677="Pinjam dari uang riba",I4677="Ganti uang riba",I4677="Kelebihan ganti dikembalikan",AND(C4677="Kantong Uang Riba",G4677="Pengeluaran"))),1,0)</f>
        <v/>
      </c>
      <c r="X4677" s="93">
        <f>IF(AND(B4677&lt;&gt;"",B4677&gt;='Buku Akun'!$H$4,B4677&lt;='Buku Akun'!$H$5,OR(C4677='Buku Akun'!$C$4,AND(D4677="Pindah",E4677='Buku Akun'!$C$4))),B4677+IF(AND(I4677="Selisih bunga",DAY(B4677)=1),0,0.01)+ROW()/10000000,"")</f>
        <v/>
      </c>
    </row>
    <row r="4678" outlineLevel="1" ht="15" customHeight="1" s="94">
      <c r="A4678" s="123">
        <f>IF(B4678="","",ROW()-15)</f>
        <v/>
      </c>
      <c r="B4678" s="124" t="n"/>
      <c r="C4678" s="123" t="n"/>
      <c r="D4678" s="123" t="n"/>
      <c r="E4678" s="123" t="n"/>
      <c r="F4678" s="125" t="n"/>
      <c r="G4678" s="123" t="n"/>
      <c r="H4678" s="123" t="n"/>
      <c r="I4678" s="123" t="n"/>
      <c r="J4678" s="123" t="n"/>
      <c r="K4678" s="123" t="n"/>
      <c r="L4678" s="123" t="n"/>
      <c r="M4678" s="123">
        <f>IF(AND(B4678&lt;&gt;"",OR($C$4="",ISNUMBER(SEARCH($C$4,C4678&amp;" "&amp;E4678&amp;" "&amp;G4678&amp;" "&amp;H4678&amp;" "&amp;I4678&amp;" "&amp;J4678&amp;" "&amp;K4678&amp;" "&amp;L4678))),OR($C$5="Semua",$C$5="",G4678=$C$5),OR($C$6="Semua",$C$6="",H4678=$C$6,H4678="Pengeluaran "&amp;$C$6,AND($C$6="Uang Kos Mama",H4678="Pengeluaran Uang Kos")),OR($C$7="Semua",$C$7="",I4678=$C$7),OR($C$8="Semua",$C$8="",C4678=$C$8,E4678=$C$8),OR($C$9="Semua",$C$9="",D4678=$C$9),OR($C$10="",B4678&gt;=$C$10),OR($C$11="",B4678&lt;=$C$11),OR($C$12&lt;&gt;"Ya",K4678&lt;&gt;""),OR($C$13="Semua",$C$13="",L4678=$C$13)),"✓","")</f>
        <v/>
      </c>
      <c r="N4678" s="93">
        <f>N(N4677)+IF(M4678="✓",1,0)</f>
        <v/>
      </c>
      <c r="O4678" s="93">
        <f>N(O4677)+IF(AND(B4678&lt;&gt;"",B4678&gt;='Uang Riba'!$H$30,B4678&lt;='Uang Riba'!$I$30,OR(H4678="Dana riba",H4678="Pinjam uang riba",I4678="Pinjam dari uang riba",I4678="Ganti uang riba",I4678="Kelebihan ganti dikembalikan",AND(C4678="Kantong Uang Riba",G4678="Pengeluaran"))),1,0)</f>
        <v/>
      </c>
      <c r="X4678" s="93">
        <f>IF(AND(B4678&lt;&gt;"",B4678&gt;='Buku Akun'!$H$4,B4678&lt;='Buku Akun'!$H$5,OR(C4678='Buku Akun'!$C$4,AND(D4678="Pindah",E4678='Buku Akun'!$C$4))),B4678+IF(AND(I4678="Selisih bunga",DAY(B4678)=1),0,0.01)+ROW()/10000000,"")</f>
        <v/>
      </c>
    </row>
    <row r="4679" outlineLevel="1" ht="15" customHeight="1" s="94">
      <c r="A4679" s="123">
        <f>IF(B4679="","",ROW()-15)</f>
        <v/>
      </c>
      <c r="B4679" s="124" t="n"/>
      <c r="C4679" s="123" t="n"/>
      <c r="D4679" s="123" t="n"/>
      <c r="E4679" s="123" t="n"/>
      <c r="F4679" s="125" t="n"/>
      <c r="G4679" s="123" t="n"/>
      <c r="H4679" s="123" t="n"/>
      <c r="I4679" s="123" t="n"/>
      <c r="J4679" s="123" t="n"/>
      <c r="K4679" s="123" t="n"/>
      <c r="L4679" s="123" t="n"/>
      <c r="M4679" s="123">
        <f>IF(AND(B4679&lt;&gt;"",OR($C$4="",ISNUMBER(SEARCH($C$4,C4679&amp;" "&amp;E4679&amp;" "&amp;G4679&amp;" "&amp;H4679&amp;" "&amp;I4679&amp;" "&amp;J4679&amp;" "&amp;K4679&amp;" "&amp;L4679))),OR($C$5="Semua",$C$5="",G4679=$C$5),OR($C$6="Semua",$C$6="",H4679=$C$6,H4679="Pengeluaran "&amp;$C$6,AND($C$6="Uang Kos Mama",H4679="Pengeluaran Uang Kos")),OR($C$7="Semua",$C$7="",I4679=$C$7),OR($C$8="Semua",$C$8="",C4679=$C$8,E4679=$C$8),OR($C$9="Semua",$C$9="",D4679=$C$9),OR($C$10="",B4679&gt;=$C$10),OR($C$11="",B4679&lt;=$C$11),OR($C$12&lt;&gt;"Ya",K4679&lt;&gt;""),OR($C$13="Semua",$C$13="",L4679=$C$13)),"✓","")</f>
        <v/>
      </c>
      <c r="N4679" s="93">
        <f>N(N4678)+IF(M4679="✓",1,0)</f>
        <v/>
      </c>
      <c r="O4679" s="93">
        <f>N(O4678)+IF(AND(B4679&lt;&gt;"",B4679&gt;='Uang Riba'!$H$30,B4679&lt;='Uang Riba'!$I$30,OR(H4679="Dana riba",H4679="Pinjam uang riba",I4679="Pinjam dari uang riba",I4679="Ganti uang riba",I4679="Kelebihan ganti dikembalikan",AND(C4679="Kantong Uang Riba",G4679="Pengeluaran"))),1,0)</f>
        <v/>
      </c>
      <c r="X4679" s="93">
        <f>IF(AND(B4679&lt;&gt;"",B4679&gt;='Buku Akun'!$H$4,B4679&lt;='Buku Akun'!$H$5,OR(C4679='Buku Akun'!$C$4,AND(D4679="Pindah",E4679='Buku Akun'!$C$4))),B4679+IF(AND(I4679="Selisih bunga",DAY(B4679)=1),0,0.01)+ROW()/10000000,"")</f>
        <v/>
      </c>
    </row>
    <row r="4680" outlineLevel="1" ht="15" customHeight="1" s="94">
      <c r="A4680" s="123">
        <f>IF(B4680="","",ROW()-15)</f>
        <v/>
      </c>
      <c r="B4680" s="124" t="n"/>
      <c r="C4680" s="123" t="n"/>
      <c r="D4680" s="123" t="n"/>
      <c r="E4680" s="123" t="n"/>
      <c r="F4680" s="125" t="n"/>
      <c r="G4680" s="123" t="n"/>
      <c r="H4680" s="123" t="n"/>
      <c r="I4680" s="123" t="n"/>
      <c r="J4680" s="123" t="n"/>
      <c r="K4680" s="123" t="n"/>
      <c r="L4680" s="123" t="n"/>
      <c r="M4680" s="123">
        <f>IF(AND(B4680&lt;&gt;"",OR($C$4="",ISNUMBER(SEARCH($C$4,C4680&amp;" "&amp;E4680&amp;" "&amp;G4680&amp;" "&amp;H4680&amp;" "&amp;I4680&amp;" "&amp;J4680&amp;" "&amp;K4680&amp;" "&amp;L4680))),OR($C$5="Semua",$C$5="",G4680=$C$5),OR($C$6="Semua",$C$6="",H4680=$C$6,H4680="Pengeluaran "&amp;$C$6,AND($C$6="Uang Kos Mama",H4680="Pengeluaran Uang Kos")),OR($C$7="Semua",$C$7="",I4680=$C$7),OR($C$8="Semua",$C$8="",C4680=$C$8,E4680=$C$8),OR($C$9="Semua",$C$9="",D4680=$C$9),OR($C$10="",B4680&gt;=$C$10),OR($C$11="",B4680&lt;=$C$11),OR($C$12&lt;&gt;"Ya",K4680&lt;&gt;""),OR($C$13="Semua",$C$13="",L4680=$C$13)),"✓","")</f>
        <v/>
      </c>
      <c r="N4680" s="93">
        <f>N(N4679)+IF(M4680="✓",1,0)</f>
        <v/>
      </c>
      <c r="O4680" s="93">
        <f>N(O4679)+IF(AND(B4680&lt;&gt;"",B4680&gt;='Uang Riba'!$H$30,B4680&lt;='Uang Riba'!$I$30,OR(H4680="Dana riba",H4680="Pinjam uang riba",I4680="Pinjam dari uang riba",I4680="Ganti uang riba",I4680="Kelebihan ganti dikembalikan",AND(C4680="Kantong Uang Riba",G4680="Pengeluaran"))),1,0)</f>
        <v/>
      </c>
      <c r="X4680" s="93">
        <f>IF(AND(B4680&lt;&gt;"",B4680&gt;='Buku Akun'!$H$4,B4680&lt;='Buku Akun'!$H$5,OR(C4680='Buku Akun'!$C$4,AND(D4680="Pindah",E4680='Buku Akun'!$C$4))),B4680+IF(AND(I4680="Selisih bunga",DAY(B4680)=1),0,0.01)+ROW()/10000000,"")</f>
        <v/>
      </c>
    </row>
    <row r="4681" outlineLevel="1" ht="15" customHeight="1" s="94">
      <c r="A4681" s="123">
        <f>IF(B4681="","",ROW()-15)</f>
        <v/>
      </c>
      <c r="B4681" s="124" t="n"/>
      <c r="C4681" s="123" t="n"/>
      <c r="D4681" s="123" t="n"/>
      <c r="E4681" s="123" t="n"/>
      <c r="F4681" s="125" t="n"/>
      <c r="G4681" s="123" t="n"/>
      <c r="H4681" s="123" t="n"/>
      <c r="I4681" s="123" t="n"/>
      <c r="J4681" s="123" t="n"/>
      <c r="K4681" s="123" t="n"/>
      <c r="L4681" s="123" t="n"/>
      <c r="M4681" s="123">
        <f>IF(AND(B4681&lt;&gt;"",OR($C$4="",ISNUMBER(SEARCH($C$4,C4681&amp;" "&amp;E4681&amp;" "&amp;G4681&amp;" "&amp;H4681&amp;" "&amp;I4681&amp;" "&amp;J4681&amp;" "&amp;K4681&amp;" "&amp;L4681))),OR($C$5="Semua",$C$5="",G4681=$C$5),OR($C$6="Semua",$C$6="",H4681=$C$6,H4681="Pengeluaran "&amp;$C$6,AND($C$6="Uang Kos Mama",H4681="Pengeluaran Uang Kos")),OR($C$7="Semua",$C$7="",I4681=$C$7),OR($C$8="Semua",$C$8="",C4681=$C$8,E4681=$C$8),OR($C$9="Semua",$C$9="",D4681=$C$9),OR($C$10="",B4681&gt;=$C$10),OR($C$11="",B4681&lt;=$C$11),OR($C$12&lt;&gt;"Ya",K4681&lt;&gt;""),OR($C$13="Semua",$C$13="",L4681=$C$13)),"✓","")</f>
        <v/>
      </c>
      <c r="N4681" s="93">
        <f>N(N4680)+IF(M4681="✓",1,0)</f>
        <v/>
      </c>
      <c r="O4681" s="93">
        <f>N(O4680)+IF(AND(B4681&lt;&gt;"",B4681&gt;='Uang Riba'!$H$30,B4681&lt;='Uang Riba'!$I$30,OR(H4681="Dana riba",H4681="Pinjam uang riba",I4681="Pinjam dari uang riba",I4681="Ganti uang riba",I4681="Kelebihan ganti dikembalikan",AND(C4681="Kantong Uang Riba",G4681="Pengeluaran"))),1,0)</f>
        <v/>
      </c>
      <c r="X4681" s="93">
        <f>IF(AND(B4681&lt;&gt;"",B4681&gt;='Buku Akun'!$H$4,B4681&lt;='Buku Akun'!$H$5,OR(C4681='Buku Akun'!$C$4,AND(D4681="Pindah",E4681='Buku Akun'!$C$4))),B4681+IF(AND(I4681="Selisih bunga",DAY(B4681)=1),0,0.01)+ROW()/10000000,"")</f>
        <v/>
      </c>
    </row>
    <row r="4682" outlineLevel="1" ht="15" customHeight="1" s="94">
      <c r="A4682" s="123">
        <f>IF(B4682="","",ROW()-15)</f>
        <v/>
      </c>
      <c r="B4682" s="124" t="n"/>
      <c r="C4682" s="123" t="n"/>
      <c r="D4682" s="123" t="n"/>
      <c r="E4682" s="123" t="n"/>
      <c r="F4682" s="125" t="n"/>
      <c r="G4682" s="123" t="n"/>
      <c r="H4682" s="123" t="n"/>
      <c r="I4682" s="123" t="n"/>
      <c r="J4682" s="123" t="n"/>
      <c r="K4682" s="123" t="n"/>
      <c r="L4682" s="123" t="n"/>
      <c r="M4682" s="123">
        <f>IF(AND(B4682&lt;&gt;"",OR($C$4="",ISNUMBER(SEARCH($C$4,C4682&amp;" "&amp;E4682&amp;" "&amp;G4682&amp;" "&amp;H4682&amp;" "&amp;I4682&amp;" "&amp;J4682&amp;" "&amp;K4682&amp;" "&amp;L4682))),OR($C$5="Semua",$C$5="",G4682=$C$5),OR($C$6="Semua",$C$6="",H4682=$C$6,H4682="Pengeluaran "&amp;$C$6,AND($C$6="Uang Kos Mama",H4682="Pengeluaran Uang Kos")),OR($C$7="Semua",$C$7="",I4682=$C$7),OR($C$8="Semua",$C$8="",C4682=$C$8,E4682=$C$8),OR($C$9="Semua",$C$9="",D4682=$C$9),OR($C$10="",B4682&gt;=$C$10),OR($C$11="",B4682&lt;=$C$11),OR($C$12&lt;&gt;"Ya",K4682&lt;&gt;""),OR($C$13="Semua",$C$13="",L4682=$C$13)),"✓","")</f>
        <v/>
      </c>
      <c r="N4682" s="93">
        <f>N(N4681)+IF(M4682="✓",1,0)</f>
        <v/>
      </c>
      <c r="O4682" s="93">
        <f>N(O4681)+IF(AND(B4682&lt;&gt;"",B4682&gt;='Uang Riba'!$H$30,B4682&lt;='Uang Riba'!$I$30,OR(H4682="Dana riba",H4682="Pinjam uang riba",I4682="Pinjam dari uang riba",I4682="Ganti uang riba",I4682="Kelebihan ganti dikembalikan",AND(C4682="Kantong Uang Riba",G4682="Pengeluaran"))),1,0)</f>
        <v/>
      </c>
      <c r="X4682" s="93">
        <f>IF(AND(B4682&lt;&gt;"",B4682&gt;='Buku Akun'!$H$4,B4682&lt;='Buku Akun'!$H$5,OR(C4682='Buku Akun'!$C$4,AND(D4682="Pindah",E4682='Buku Akun'!$C$4))),B4682+IF(AND(I4682="Selisih bunga",DAY(B4682)=1),0,0.01)+ROW()/10000000,"")</f>
        <v/>
      </c>
    </row>
    <row r="4683" outlineLevel="1" ht="15" customHeight="1" s="94">
      <c r="A4683" s="123">
        <f>IF(B4683="","",ROW()-15)</f>
        <v/>
      </c>
      <c r="B4683" s="124" t="n"/>
      <c r="C4683" s="123" t="n"/>
      <c r="D4683" s="123" t="n"/>
      <c r="E4683" s="123" t="n"/>
      <c r="F4683" s="125" t="n"/>
      <c r="G4683" s="123" t="n"/>
      <c r="H4683" s="123" t="n"/>
      <c r="I4683" s="123" t="n"/>
      <c r="J4683" s="123" t="n"/>
      <c r="K4683" s="123" t="n"/>
      <c r="L4683" s="123" t="n"/>
      <c r="M4683" s="123">
        <f>IF(AND(B4683&lt;&gt;"",OR($C$4="",ISNUMBER(SEARCH($C$4,C4683&amp;" "&amp;E4683&amp;" "&amp;G4683&amp;" "&amp;H4683&amp;" "&amp;I4683&amp;" "&amp;J4683&amp;" "&amp;K4683&amp;" "&amp;L4683))),OR($C$5="Semua",$C$5="",G4683=$C$5),OR($C$6="Semua",$C$6="",H4683=$C$6,H4683="Pengeluaran "&amp;$C$6,AND($C$6="Uang Kos Mama",H4683="Pengeluaran Uang Kos")),OR($C$7="Semua",$C$7="",I4683=$C$7),OR($C$8="Semua",$C$8="",C4683=$C$8,E4683=$C$8),OR($C$9="Semua",$C$9="",D4683=$C$9),OR($C$10="",B4683&gt;=$C$10),OR($C$11="",B4683&lt;=$C$11),OR($C$12&lt;&gt;"Ya",K4683&lt;&gt;""),OR($C$13="Semua",$C$13="",L4683=$C$13)),"✓","")</f>
        <v/>
      </c>
      <c r="N4683" s="93">
        <f>N(N4682)+IF(M4683="✓",1,0)</f>
        <v/>
      </c>
      <c r="O4683" s="93">
        <f>N(O4682)+IF(AND(B4683&lt;&gt;"",B4683&gt;='Uang Riba'!$H$30,B4683&lt;='Uang Riba'!$I$30,OR(H4683="Dana riba",H4683="Pinjam uang riba",I4683="Pinjam dari uang riba",I4683="Ganti uang riba",I4683="Kelebihan ganti dikembalikan",AND(C4683="Kantong Uang Riba",G4683="Pengeluaran"))),1,0)</f>
        <v/>
      </c>
      <c r="X4683" s="93">
        <f>IF(AND(B4683&lt;&gt;"",B4683&gt;='Buku Akun'!$H$4,B4683&lt;='Buku Akun'!$H$5,OR(C4683='Buku Akun'!$C$4,AND(D4683="Pindah",E4683='Buku Akun'!$C$4))),B4683+IF(AND(I4683="Selisih bunga",DAY(B4683)=1),0,0.01)+ROW()/10000000,"")</f>
        <v/>
      </c>
    </row>
    <row r="4684" outlineLevel="1" ht="15" customHeight="1" s="94">
      <c r="A4684" s="123">
        <f>IF(B4684="","",ROW()-15)</f>
        <v/>
      </c>
      <c r="B4684" s="124" t="n"/>
      <c r="C4684" s="123" t="n"/>
      <c r="D4684" s="123" t="n"/>
      <c r="E4684" s="123" t="n"/>
      <c r="F4684" s="125" t="n"/>
      <c r="G4684" s="123" t="n"/>
      <c r="H4684" s="123" t="n"/>
      <c r="I4684" s="123" t="n"/>
      <c r="J4684" s="123" t="n"/>
      <c r="K4684" s="123" t="n"/>
      <c r="L4684" s="123" t="n"/>
      <c r="M4684" s="123">
        <f>IF(AND(B4684&lt;&gt;"",OR($C$4="",ISNUMBER(SEARCH($C$4,C4684&amp;" "&amp;E4684&amp;" "&amp;G4684&amp;" "&amp;H4684&amp;" "&amp;I4684&amp;" "&amp;J4684&amp;" "&amp;K4684&amp;" "&amp;L4684))),OR($C$5="Semua",$C$5="",G4684=$C$5),OR($C$6="Semua",$C$6="",H4684=$C$6,H4684="Pengeluaran "&amp;$C$6,AND($C$6="Uang Kos Mama",H4684="Pengeluaran Uang Kos")),OR($C$7="Semua",$C$7="",I4684=$C$7),OR($C$8="Semua",$C$8="",C4684=$C$8,E4684=$C$8),OR($C$9="Semua",$C$9="",D4684=$C$9),OR($C$10="",B4684&gt;=$C$10),OR($C$11="",B4684&lt;=$C$11),OR($C$12&lt;&gt;"Ya",K4684&lt;&gt;""),OR($C$13="Semua",$C$13="",L4684=$C$13)),"✓","")</f>
        <v/>
      </c>
      <c r="N4684" s="93">
        <f>N(N4683)+IF(M4684="✓",1,0)</f>
        <v/>
      </c>
      <c r="O4684" s="93">
        <f>N(O4683)+IF(AND(B4684&lt;&gt;"",B4684&gt;='Uang Riba'!$H$30,B4684&lt;='Uang Riba'!$I$30,OR(H4684="Dana riba",H4684="Pinjam uang riba",I4684="Pinjam dari uang riba",I4684="Ganti uang riba",I4684="Kelebihan ganti dikembalikan",AND(C4684="Kantong Uang Riba",G4684="Pengeluaran"))),1,0)</f>
        <v/>
      </c>
      <c r="X4684" s="93">
        <f>IF(AND(B4684&lt;&gt;"",B4684&gt;='Buku Akun'!$H$4,B4684&lt;='Buku Akun'!$H$5,OR(C4684='Buku Akun'!$C$4,AND(D4684="Pindah",E4684='Buku Akun'!$C$4))),B4684+IF(AND(I4684="Selisih bunga",DAY(B4684)=1),0,0.01)+ROW()/10000000,"")</f>
        <v/>
      </c>
    </row>
    <row r="4685" outlineLevel="1" ht="15" customHeight="1" s="94">
      <c r="A4685" s="123">
        <f>IF(B4685="","",ROW()-15)</f>
        <v/>
      </c>
      <c r="B4685" s="124" t="n"/>
      <c r="C4685" s="123" t="n"/>
      <c r="D4685" s="123" t="n"/>
      <c r="E4685" s="123" t="n"/>
      <c r="F4685" s="125" t="n"/>
      <c r="G4685" s="123" t="n"/>
      <c r="H4685" s="123" t="n"/>
      <c r="I4685" s="123" t="n"/>
      <c r="J4685" s="123" t="n"/>
      <c r="K4685" s="123" t="n"/>
      <c r="L4685" s="123" t="n"/>
      <c r="M4685" s="123">
        <f>IF(AND(B4685&lt;&gt;"",OR($C$4="",ISNUMBER(SEARCH($C$4,C4685&amp;" "&amp;E4685&amp;" "&amp;G4685&amp;" "&amp;H4685&amp;" "&amp;I4685&amp;" "&amp;J4685&amp;" "&amp;K4685&amp;" "&amp;L4685))),OR($C$5="Semua",$C$5="",G4685=$C$5),OR($C$6="Semua",$C$6="",H4685=$C$6,H4685="Pengeluaran "&amp;$C$6,AND($C$6="Uang Kos Mama",H4685="Pengeluaran Uang Kos")),OR($C$7="Semua",$C$7="",I4685=$C$7),OR($C$8="Semua",$C$8="",C4685=$C$8,E4685=$C$8),OR($C$9="Semua",$C$9="",D4685=$C$9),OR($C$10="",B4685&gt;=$C$10),OR($C$11="",B4685&lt;=$C$11),OR($C$12&lt;&gt;"Ya",K4685&lt;&gt;""),OR($C$13="Semua",$C$13="",L4685=$C$13)),"✓","")</f>
        <v/>
      </c>
      <c r="N4685" s="93">
        <f>N(N4684)+IF(M4685="✓",1,0)</f>
        <v/>
      </c>
      <c r="O4685" s="93">
        <f>N(O4684)+IF(AND(B4685&lt;&gt;"",B4685&gt;='Uang Riba'!$H$30,B4685&lt;='Uang Riba'!$I$30,OR(H4685="Dana riba",H4685="Pinjam uang riba",I4685="Pinjam dari uang riba",I4685="Ganti uang riba",I4685="Kelebihan ganti dikembalikan",AND(C4685="Kantong Uang Riba",G4685="Pengeluaran"))),1,0)</f>
        <v/>
      </c>
      <c r="X4685" s="93">
        <f>IF(AND(B4685&lt;&gt;"",B4685&gt;='Buku Akun'!$H$4,B4685&lt;='Buku Akun'!$H$5,OR(C4685='Buku Akun'!$C$4,AND(D4685="Pindah",E4685='Buku Akun'!$C$4))),B4685+IF(AND(I4685="Selisih bunga",DAY(B4685)=1),0,0.01)+ROW()/10000000,"")</f>
        <v/>
      </c>
    </row>
    <row r="4686" outlineLevel="1" ht="15" customHeight="1" s="94">
      <c r="A4686" s="123">
        <f>IF(B4686="","",ROW()-15)</f>
        <v/>
      </c>
      <c r="B4686" s="124" t="n"/>
      <c r="C4686" s="123" t="n"/>
      <c r="D4686" s="123" t="n"/>
      <c r="E4686" s="123" t="n"/>
      <c r="F4686" s="125" t="n"/>
      <c r="G4686" s="123" t="n"/>
      <c r="H4686" s="123" t="n"/>
      <c r="I4686" s="123" t="n"/>
      <c r="J4686" s="123" t="n"/>
      <c r="K4686" s="123" t="n"/>
      <c r="L4686" s="123" t="n"/>
      <c r="M4686" s="123">
        <f>IF(AND(B4686&lt;&gt;"",OR($C$4="",ISNUMBER(SEARCH($C$4,C4686&amp;" "&amp;E4686&amp;" "&amp;G4686&amp;" "&amp;H4686&amp;" "&amp;I4686&amp;" "&amp;J4686&amp;" "&amp;K4686&amp;" "&amp;L4686))),OR($C$5="Semua",$C$5="",G4686=$C$5),OR($C$6="Semua",$C$6="",H4686=$C$6,H4686="Pengeluaran "&amp;$C$6,AND($C$6="Uang Kos Mama",H4686="Pengeluaran Uang Kos")),OR($C$7="Semua",$C$7="",I4686=$C$7),OR($C$8="Semua",$C$8="",C4686=$C$8,E4686=$C$8),OR($C$9="Semua",$C$9="",D4686=$C$9),OR($C$10="",B4686&gt;=$C$10),OR($C$11="",B4686&lt;=$C$11),OR($C$12&lt;&gt;"Ya",K4686&lt;&gt;""),OR($C$13="Semua",$C$13="",L4686=$C$13)),"✓","")</f>
        <v/>
      </c>
      <c r="N4686" s="93">
        <f>N(N4685)+IF(M4686="✓",1,0)</f>
        <v/>
      </c>
      <c r="O4686" s="93">
        <f>N(O4685)+IF(AND(B4686&lt;&gt;"",B4686&gt;='Uang Riba'!$H$30,B4686&lt;='Uang Riba'!$I$30,OR(H4686="Dana riba",H4686="Pinjam uang riba",I4686="Pinjam dari uang riba",I4686="Ganti uang riba",I4686="Kelebihan ganti dikembalikan",AND(C4686="Kantong Uang Riba",G4686="Pengeluaran"))),1,0)</f>
        <v/>
      </c>
      <c r="X4686" s="93">
        <f>IF(AND(B4686&lt;&gt;"",B4686&gt;='Buku Akun'!$H$4,B4686&lt;='Buku Akun'!$H$5,OR(C4686='Buku Akun'!$C$4,AND(D4686="Pindah",E4686='Buku Akun'!$C$4))),B4686+IF(AND(I4686="Selisih bunga",DAY(B4686)=1),0,0.01)+ROW()/10000000,"")</f>
        <v/>
      </c>
    </row>
    <row r="4687" outlineLevel="1" ht="15" customHeight="1" s="94">
      <c r="A4687" s="123">
        <f>IF(B4687="","",ROW()-15)</f>
        <v/>
      </c>
      <c r="B4687" s="124" t="n"/>
      <c r="C4687" s="123" t="n"/>
      <c r="D4687" s="123" t="n"/>
      <c r="E4687" s="123" t="n"/>
      <c r="F4687" s="125" t="n"/>
      <c r="G4687" s="123" t="n"/>
      <c r="H4687" s="123" t="n"/>
      <c r="I4687" s="123" t="n"/>
      <c r="J4687" s="123" t="n"/>
      <c r="K4687" s="123" t="n"/>
      <c r="L4687" s="123" t="n"/>
      <c r="M4687" s="123">
        <f>IF(AND(B4687&lt;&gt;"",OR($C$4="",ISNUMBER(SEARCH($C$4,C4687&amp;" "&amp;E4687&amp;" "&amp;G4687&amp;" "&amp;H4687&amp;" "&amp;I4687&amp;" "&amp;J4687&amp;" "&amp;K4687&amp;" "&amp;L4687))),OR($C$5="Semua",$C$5="",G4687=$C$5),OR($C$6="Semua",$C$6="",H4687=$C$6,H4687="Pengeluaran "&amp;$C$6,AND($C$6="Uang Kos Mama",H4687="Pengeluaran Uang Kos")),OR($C$7="Semua",$C$7="",I4687=$C$7),OR($C$8="Semua",$C$8="",C4687=$C$8,E4687=$C$8),OR($C$9="Semua",$C$9="",D4687=$C$9),OR($C$10="",B4687&gt;=$C$10),OR($C$11="",B4687&lt;=$C$11),OR($C$12&lt;&gt;"Ya",K4687&lt;&gt;""),OR($C$13="Semua",$C$13="",L4687=$C$13)),"✓","")</f>
        <v/>
      </c>
      <c r="N4687" s="93">
        <f>N(N4686)+IF(M4687="✓",1,0)</f>
        <v/>
      </c>
      <c r="O4687" s="93">
        <f>N(O4686)+IF(AND(B4687&lt;&gt;"",B4687&gt;='Uang Riba'!$H$30,B4687&lt;='Uang Riba'!$I$30,OR(H4687="Dana riba",H4687="Pinjam uang riba",I4687="Pinjam dari uang riba",I4687="Ganti uang riba",I4687="Kelebihan ganti dikembalikan",AND(C4687="Kantong Uang Riba",G4687="Pengeluaran"))),1,0)</f>
        <v/>
      </c>
      <c r="X4687" s="93">
        <f>IF(AND(B4687&lt;&gt;"",B4687&gt;='Buku Akun'!$H$4,B4687&lt;='Buku Akun'!$H$5,OR(C4687='Buku Akun'!$C$4,AND(D4687="Pindah",E4687='Buku Akun'!$C$4))),B4687+IF(AND(I4687="Selisih bunga",DAY(B4687)=1),0,0.01)+ROW()/10000000,"")</f>
        <v/>
      </c>
    </row>
    <row r="4688" outlineLevel="1" ht="15" customHeight="1" s="94">
      <c r="A4688" s="123">
        <f>IF(B4688="","",ROW()-15)</f>
        <v/>
      </c>
      <c r="B4688" s="124" t="n"/>
      <c r="C4688" s="123" t="n"/>
      <c r="D4688" s="123" t="n"/>
      <c r="E4688" s="123" t="n"/>
      <c r="F4688" s="125" t="n"/>
      <c r="G4688" s="123" t="n"/>
      <c r="H4688" s="123" t="n"/>
      <c r="I4688" s="123" t="n"/>
      <c r="J4688" s="123" t="n"/>
      <c r="K4688" s="123" t="n"/>
      <c r="L4688" s="123" t="n"/>
      <c r="M4688" s="123">
        <f>IF(AND(B4688&lt;&gt;"",OR($C$4="",ISNUMBER(SEARCH($C$4,C4688&amp;" "&amp;E4688&amp;" "&amp;G4688&amp;" "&amp;H4688&amp;" "&amp;I4688&amp;" "&amp;J4688&amp;" "&amp;K4688&amp;" "&amp;L4688))),OR($C$5="Semua",$C$5="",G4688=$C$5),OR($C$6="Semua",$C$6="",H4688=$C$6,H4688="Pengeluaran "&amp;$C$6,AND($C$6="Uang Kos Mama",H4688="Pengeluaran Uang Kos")),OR($C$7="Semua",$C$7="",I4688=$C$7),OR($C$8="Semua",$C$8="",C4688=$C$8,E4688=$C$8),OR($C$9="Semua",$C$9="",D4688=$C$9),OR($C$10="",B4688&gt;=$C$10),OR($C$11="",B4688&lt;=$C$11),OR($C$12&lt;&gt;"Ya",K4688&lt;&gt;""),OR($C$13="Semua",$C$13="",L4688=$C$13)),"✓","")</f>
        <v/>
      </c>
      <c r="N4688" s="93">
        <f>N(N4687)+IF(M4688="✓",1,0)</f>
        <v/>
      </c>
      <c r="O4688" s="93">
        <f>N(O4687)+IF(AND(B4688&lt;&gt;"",B4688&gt;='Uang Riba'!$H$30,B4688&lt;='Uang Riba'!$I$30,OR(H4688="Dana riba",H4688="Pinjam uang riba",I4688="Pinjam dari uang riba",I4688="Ganti uang riba",I4688="Kelebihan ganti dikembalikan",AND(C4688="Kantong Uang Riba",G4688="Pengeluaran"))),1,0)</f>
        <v/>
      </c>
      <c r="X4688" s="93">
        <f>IF(AND(B4688&lt;&gt;"",B4688&gt;='Buku Akun'!$H$4,B4688&lt;='Buku Akun'!$H$5,OR(C4688='Buku Akun'!$C$4,AND(D4688="Pindah",E4688='Buku Akun'!$C$4))),B4688+IF(AND(I4688="Selisih bunga",DAY(B4688)=1),0,0.01)+ROW()/10000000,"")</f>
        <v/>
      </c>
    </row>
    <row r="4689" outlineLevel="1" ht="15" customHeight="1" s="94">
      <c r="A4689" s="123">
        <f>IF(B4689="","",ROW()-15)</f>
        <v/>
      </c>
      <c r="B4689" s="124" t="n"/>
      <c r="C4689" s="123" t="n"/>
      <c r="D4689" s="123" t="n"/>
      <c r="E4689" s="123" t="n"/>
      <c r="F4689" s="125" t="n"/>
      <c r="G4689" s="123" t="n"/>
      <c r="H4689" s="123" t="n"/>
      <c r="I4689" s="123" t="n"/>
      <c r="J4689" s="123" t="n"/>
      <c r="K4689" s="123" t="n"/>
      <c r="L4689" s="123" t="n"/>
      <c r="M4689" s="123">
        <f>IF(AND(B4689&lt;&gt;"",OR($C$4="",ISNUMBER(SEARCH($C$4,C4689&amp;" "&amp;E4689&amp;" "&amp;G4689&amp;" "&amp;H4689&amp;" "&amp;I4689&amp;" "&amp;J4689&amp;" "&amp;K4689&amp;" "&amp;L4689))),OR($C$5="Semua",$C$5="",G4689=$C$5),OR($C$6="Semua",$C$6="",H4689=$C$6,H4689="Pengeluaran "&amp;$C$6,AND($C$6="Uang Kos Mama",H4689="Pengeluaran Uang Kos")),OR($C$7="Semua",$C$7="",I4689=$C$7),OR($C$8="Semua",$C$8="",C4689=$C$8,E4689=$C$8),OR($C$9="Semua",$C$9="",D4689=$C$9),OR($C$10="",B4689&gt;=$C$10),OR($C$11="",B4689&lt;=$C$11),OR($C$12&lt;&gt;"Ya",K4689&lt;&gt;""),OR($C$13="Semua",$C$13="",L4689=$C$13)),"✓","")</f>
        <v/>
      </c>
      <c r="N4689" s="93">
        <f>N(N4688)+IF(M4689="✓",1,0)</f>
        <v/>
      </c>
      <c r="O4689" s="93">
        <f>N(O4688)+IF(AND(B4689&lt;&gt;"",B4689&gt;='Uang Riba'!$H$30,B4689&lt;='Uang Riba'!$I$30,OR(H4689="Dana riba",H4689="Pinjam uang riba",I4689="Pinjam dari uang riba",I4689="Ganti uang riba",I4689="Kelebihan ganti dikembalikan",AND(C4689="Kantong Uang Riba",G4689="Pengeluaran"))),1,0)</f>
        <v/>
      </c>
      <c r="X4689" s="93">
        <f>IF(AND(B4689&lt;&gt;"",B4689&gt;='Buku Akun'!$H$4,B4689&lt;='Buku Akun'!$H$5,OR(C4689='Buku Akun'!$C$4,AND(D4689="Pindah",E4689='Buku Akun'!$C$4))),B4689+IF(AND(I4689="Selisih bunga",DAY(B4689)=1),0,0.01)+ROW()/10000000,"")</f>
        <v/>
      </c>
    </row>
    <row r="4690" outlineLevel="1" ht="15" customHeight="1" s="94">
      <c r="A4690" s="123">
        <f>IF(B4690="","",ROW()-15)</f>
        <v/>
      </c>
      <c r="B4690" s="124" t="n"/>
      <c r="C4690" s="123" t="n"/>
      <c r="D4690" s="123" t="n"/>
      <c r="E4690" s="123" t="n"/>
      <c r="F4690" s="125" t="n"/>
      <c r="G4690" s="123" t="n"/>
      <c r="H4690" s="123" t="n"/>
      <c r="I4690" s="123" t="n"/>
      <c r="J4690" s="123" t="n"/>
      <c r="K4690" s="123" t="n"/>
      <c r="L4690" s="123" t="n"/>
      <c r="M4690" s="123">
        <f>IF(AND(B4690&lt;&gt;"",OR($C$4="",ISNUMBER(SEARCH($C$4,C4690&amp;" "&amp;E4690&amp;" "&amp;G4690&amp;" "&amp;H4690&amp;" "&amp;I4690&amp;" "&amp;J4690&amp;" "&amp;K4690&amp;" "&amp;L4690))),OR($C$5="Semua",$C$5="",G4690=$C$5),OR($C$6="Semua",$C$6="",H4690=$C$6,H4690="Pengeluaran "&amp;$C$6,AND($C$6="Uang Kos Mama",H4690="Pengeluaran Uang Kos")),OR($C$7="Semua",$C$7="",I4690=$C$7),OR($C$8="Semua",$C$8="",C4690=$C$8,E4690=$C$8),OR($C$9="Semua",$C$9="",D4690=$C$9),OR($C$10="",B4690&gt;=$C$10),OR($C$11="",B4690&lt;=$C$11),OR($C$12&lt;&gt;"Ya",K4690&lt;&gt;""),OR($C$13="Semua",$C$13="",L4690=$C$13)),"✓","")</f>
        <v/>
      </c>
      <c r="N4690" s="93">
        <f>N(N4689)+IF(M4690="✓",1,0)</f>
        <v/>
      </c>
      <c r="O4690" s="93">
        <f>N(O4689)+IF(AND(B4690&lt;&gt;"",B4690&gt;='Uang Riba'!$H$30,B4690&lt;='Uang Riba'!$I$30,OR(H4690="Dana riba",H4690="Pinjam uang riba",I4690="Pinjam dari uang riba",I4690="Ganti uang riba",I4690="Kelebihan ganti dikembalikan",AND(C4690="Kantong Uang Riba",G4690="Pengeluaran"))),1,0)</f>
        <v/>
      </c>
      <c r="X4690" s="93">
        <f>IF(AND(B4690&lt;&gt;"",B4690&gt;='Buku Akun'!$H$4,B4690&lt;='Buku Akun'!$H$5,OR(C4690='Buku Akun'!$C$4,AND(D4690="Pindah",E4690='Buku Akun'!$C$4))),B4690+IF(AND(I4690="Selisih bunga",DAY(B4690)=1),0,0.01)+ROW()/10000000,"")</f>
        <v/>
      </c>
    </row>
    <row r="4691" outlineLevel="1" ht="15" customHeight="1" s="94">
      <c r="A4691" s="123">
        <f>IF(B4691="","",ROW()-15)</f>
        <v/>
      </c>
      <c r="B4691" s="124" t="n"/>
      <c r="C4691" s="123" t="n"/>
      <c r="D4691" s="123" t="n"/>
      <c r="E4691" s="123" t="n"/>
      <c r="F4691" s="125" t="n"/>
      <c r="G4691" s="123" t="n"/>
      <c r="H4691" s="123" t="n"/>
      <c r="I4691" s="123" t="n"/>
      <c r="J4691" s="123" t="n"/>
      <c r="K4691" s="123" t="n"/>
      <c r="L4691" s="123" t="n"/>
      <c r="M4691" s="123">
        <f>IF(AND(B4691&lt;&gt;"",OR($C$4="",ISNUMBER(SEARCH($C$4,C4691&amp;" "&amp;E4691&amp;" "&amp;G4691&amp;" "&amp;H4691&amp;" "&amp;I4691&amp;" "&amp;J4691&amp;" "&amp;K4691&amp;" "&amp;L4691))),OR($C$5="Semua",$C$5="",G4691=$C$5),OR($C$6="Semua",$C$6="",H4691=$C$6,H4691="Pengeluaran "&amp;$C$6,AND($C$6="Uang Kos Mama",H4691="Pengeluaran Uang Kos")),OR($C$7="Semua",$C$7="",I4691=$C$7),OR($C$8="Semua",$C$8="",C4691=$C$8,E4691=$C$8),OR($C$9="Semua",$C$9="",D4691=$C$9),OR($C$10="",B4691&gt;=$C$10),OR($C$11="",B4691&lt;=$C$11),OR($C$12&lt;&gt;"Ya",K4691&lt;&gt;""),OR($C$13="Semua",$C$13="",L4691=$C$13)),"✓","")</f>
        <v/>
      </c>
      <c r="N4691" s="93">
        <f>N(N4690)+IF(M4691="✓",1,0)</f>
        <v/>
      </c>
      <c r="O4691" s="93">
        <f>N(O4690)+IF(AND(B4691&lt;&gt;"",B4691&gt;='Uang Riba'!$H$30,B4691&lt;='Uang Riba'!$I$30,OR(H4691="Dana riba",H4691="Pinjam uang riba",I4691="Pinjam dari uang riba",I4691="Ganti uang riba",I4691="Kelebihan ganti dikembalikan",AND(C4691="Kantong Uang Riba",G4691="Pengeluaran"))),1,0)</f>
        <v/>
      </c>
      <c r="X4691" s="93">
        <f>IF(AND(B4691&lt;&gt;"",B4691&gt;='Buku Akun'!$H$4,B4691&lt;='Buku Akun'!$H$5,OR(C4691='Buku Akun'!$C$4,AND(D4691="Pindah",E4691='Buku Akun'!$C$4))),B4691+IF(AND(I4691="Selisih bunga",DAY(B4691)=1),0,0.01)+ROW()/10000000,"")</f>
        <v/>
      </c>
    </row>
    <row r="4692" outlineLevel="1" ht="15" customHeight="1" s="94">
      <c r="A4692" s="123">
        <f>IF(B4692="","",ROW()-15)</f>
        <v/>
      </c>
      <c r="B4692" s="124" t="n"/>
      <c r="C4692" s="123" t="n"/>
      <c r="D4692" s="123" t="n"/>
      <c r="E4692" s="123" t="n"/>
      <c r="F4692" s="125" t="n"/>
      <c r="G4692" s="123" t="n"/>
      <c r="H4692" s="123" t="n"/>
      <c r="I4692" s="123" t="n"/>
      <c r="J4692" s="123" t="n"/>
      <c r="K4692" s="123" t="n"/>
      <c r="L4692" s="123" t="n"/>
      <c r="M4692" s="123">
        <f>IF(AND(B4692&lt;&gt;"",OR($C$4="",ISNUMBER(SEARCH($C$4,C4692&amp;" "&amp;E4692&amp;" "&amp;G4692&amp;" "&amp;H4692&amp;" "&amp;I4692&amp;" "&amp;J4692&amp;" "&amp;K4692&amp;" "&amp;L4692))),OR($C$5="Semua",$C$5="",G4692=$C$5),OR($C$6="Semua",$C$6="",H4692=$C$6,H4692="Pengeluaran "&amp;$C$6,AND($C$6="Uang Kos Mama",H4692="Pengeluaran Uang Kos")),OR($C$7="Semua",$C$7="",I4692=$C$7),OR($C$8="Semua",$C$8="",C4692=$C$8,E4692=$C$8),OR($C$9="Semua",$C$9="",D4692=$C$9),OR($C$10="",B4692&gt;=$C$10),OR($C$11="",B4692&lt;=$C$11),OR($C$12&lt;&gt;"Ya",K4692&lt;&gt;""),OR($C$13="Semua",$C$13="",L4692=$C$13)),"✓","")</f>
        <v/>
      </c>
      <c r="N4692" s="93">
        <f>N(N4691)+IF(M4692="✓",1,0)</f>
        <v/>
      </c>
      <c r="O4692" s="93">
        <f>N(O4691)+IF(AND(B4692&lt;&gt;"",B4692&gt;='Uang Riba'!$H$30,B4692&lt;='Uang Riba'!$I$30,OR(H4692="Dana riba",H4692="Pinjam uang riba",I4692="Pinjam dari uang riba",I4692="Ganti uang riba",I4692="Kelebihan ganti dikembalikan",AND(C4692="Kantong Uang Riba",G4692="Pengeluaran"))),1,0)</f>
        <v/>
      </c>
      <c r="X4692" s="93">
        <f>IF(AND(B4692&lt;&gt;"",B4692&gt;='Buku Akun'!$H$4,B4692&lt;='Buku Akun'!$H$5,OR(C4692='Buku Akun'!$C$4,AND(D4692="Pindah",E4692='Buku Akun'!$C$4))),B4692+IF(AND(I4692="Selisih bunga",DAY(B4692)=1),0,0.01)+ROW()/10000000,"")</f>
        <v/>
      </c>
    </row>
    <row r="4693" outlineLevel="1" ht="15" customHeight="1" s="94">
      <c r="A4693" s="123">
        <f>IF(B4693="","",ROW()-15)</f>
        <v/>
      </c>
      <c r="B4693" s="124" t="n"/>
      <c r="C4693" s="123" t="n"/>
      <c r="D4693" s="123" t="n"/>
      <c r="E4693" s="123" t="n"/>
      <c r="F4693" s="125" t="n"/>
      <c r="G4693" s="123" t="n"/>
      <c r="H4693" s="123" t="n"/>
      <c r="I4693" s="123" t="n"/>
      <c r="J4693" s="123" t="n"/>
      <c r="K4693" s="123" t="n"/>
      <c r="L4693" s="123" t="n"/>
      <c r="M4693" s="123">
        <f>IF(AND(B4693&lt;&gt;"",OR($C$4="",ISNUMBER(SEARCH($C$4,C4693&amp;" "&amp;E4693&amp;" "&amp;G4693&amp;" "&amp;H4693&amp;" "&amp;I4693&amp;" "&amp;J4693&amp;" "&amp;K4693&amp;" "&amp;L4693))),OR($C$5="Semua",$C$5="",G4693=$C$5),OR($C$6="Semua",$C$6="",H4693=$C$6,H4693="Pengeluaran "&amp;$C$6,AND($C$6="Uang Kos Mama",H4693="Pengeluaran Uang Kos")),OR($C$7="Semua",$C$7="",I4693=$C$7),OR($C$8="Semua",$C$8="",C4693=$C$8,E4693=$C$8),OR($C$9="Semua",$C$9="",D4693=$C$9),OR($C$10="",B4693&gt;=$C$10),OR($C$11="",B4693&lt;=$C$11),OR($C$12&lt;&gt;"Ya",K4693&lt;&gt;""),OR($C$13="Semua",$C$13="",L4693=$C$13)),"✓","")</f>
        <v/>
      </c>
      <c r="N4693" s="93">
        <f>N(N4692)+IF(M4693="✓",1,0)</f>
        <v/>
      </c>
      <c r="O4693" s="93">
        <f>N(O4692)+IF(AND(B4693&lt;&gt;"",B4693&gt;='Uang Riba'!$H$30,B4693&lt;='Uang Riba'!$I$30,OR(H4693="Dana riba",H4693="Pinjam uang riba",I4693="Pinjam dari uang riba",I4693="Ganti uang riba",I4693="Kelebihan ganti dikembalikan",AND(C4693="Kantong Uang Riba",G4693="Pengeluaran"))),1,0)</f>
        <v/>
      </c>
      <c r="X4693" s="93">
        <f>IF(AND(B4693&lt;&gt;"",B4693&gt;='Buku Akun'!$H$4,B4693&lt;='Buku Akun'!$H$5,OR(C4693='Buku Akun'!$C$4,AND(D4693="Pindah",E4693='Buku Akun'!$C$4))),B4693+IF(AND(I4693="Selisih bunga",DAY(B4693)=1),0,0.01)+ROW()/10000000,"")</f>
        <v/>
      </c>
    </row>
    <row r="4694" outlineLevel="1" ht="15" customHeight="1" s="94">
      <c r="A4694" s="123">
        <f>IF(B4694="","",ROW()-15)</f>
        <v/>
      </c>
      <c r="B4694" s="124" t="n"/>
      <c r="C4694" s="123" t="n"/>
      <c r="D4694" s="123" t="n"/>
      <c r="E4694" s="123" t="n"/>
      <c r="F4694" s="125" t="n"/>
      <c r="G4694" s="123" t="n"/>
      <c r="H4694" s="123" t="n"/>
      <c r="I4694" s="123" t="n"/>
      <c r="J4694" s="123" t="n"/>
      <c r="K4694" s="123" t="n"/>
      <c r="L4694" s="123" t="n"/>
      <c r="M4694" s="123">
        <f>IF(AND(B4694&lt;&gt;"",OR($C$4="",ISNUMBER(SEARCH($C$4,C4694&amp;" "&amp;E4694&amp;" "&amp;G4694&amp;" "&amp;H4694&amp;" "&amp;I4694&amp;" "&amp;J4694&amp;" "&amp;K4694&amp;" "&amp;L4694))),OR($C$5="Semua",$C$5="",G4694=$C$5),OR($C$6="Semua",$C$6="",H4694=$C$6,H4694="Pengeluaran "&amp;$C$6,AND($C$6="Uang Kos Mama",H4694="Pengeluaran Uang Kos")),OR($C$7="Semua",$C$7="",I4694=$C$7),OR($C$8="Semua",$C$8="",C4694=$C$8,E4694=$C$8),OR($C$9="Semua",$C$9="",D4694=$C$9),OR($C$10="",B4694&gt;=$C$10),OR($C$11="",B4694&lt;=$C$11),OR($C$12&lt;&gt;"Ya",K4694&lt;&gt;""),OR($C$13="Semua",$C$13="",L4694=$C$13)),"✓","")</f>
        <v/>
      </c>
      <c r="N4694" s="93">
        <f>N(N4693)+IF(M4694="✓",1,0)</f>
        <v/>
      </c>
      <c r="O4694" s="93">
        <f>N(O4693)+IF(AND(B4694&lt;&gt;"",B4694&gt;='Uang Riba'!$H$30,B4694&lt;='Uang Riba'!$I$30,OR(H4694="Dana riba",H4694="Pinjam uang riba",I4694="Pinjam dari uang riba",I4694="Ganti uang riba",I4694="Kelebihan ganti dikembalikan",AND(C4694="Kantong Uang Riba",G4694="Pengeluaran"))),1,0)</f>
        <v/>
      </c>
      <c r="X4694" s="93">
        <f>IF(AND(B4694&lt;&gt;"",B4694&gt;='Buku Akun'!$H$4,B4694&lt;='Buku Akun'!$H$5,OR(C4694='Buku Akun'!$C$4,AND(D4694="Pindah",E4694='Buku Akun'!$C$4))),B4694+IF(AND(I4694="Selisih bunga",DAY(B4694)=1),0,0.01)+ROW()/10000000,"")</f>
        <v/>
      </c>
    </row>
    <row r="4695" outlineLevel="1" ht="15" customHeight="1" s="94">
      <c r="A4695" s="123">
        <f>IF(B4695="","",ROW()-15)</f>
        <v/>
      </c>
      <c r="B4695" s="124" t="n"/>
      <c r="C4695" s="123" t="n"/>
      <c r="D4695" s="123" t="n"/>
      <c r="E4695" s="123" t="n"/>
      <c r="F4695" s="125" t="n"/>
      <c r="G4695" s="123" t="n"/>
      <c r="H4695" s="123" t="n"/>
      <c r="I4695" s="123" t="n"/>
      <c r="J4695" s="123" t="n"/>
      <c r="K4695" s="123" t="n"/>
      <c r="L4695" s="123" t="n"/>
      <c r="M4695" s="123">
        <f>IF(AND(B4695&lt;&gt;"",OR($C$4="",ISNUMBER(SEARCH($C$4,C4695&amp;" "&amp;E4695&amp;" "&amp;G4695&amp;" "&amp;H4695&amp;" "&amp;I4695&amp;" "&amp;J4695&amp;" "&amp;K4695&amp;" "&amp;L4695))),OR($C$5="Semua",$C$5="",G4695=$C$5),OR($C$6="Semua",$C$6="",H4695=$C$6,H4695="Pengeluaran "&amp;$C$6,AND($C$6="Uang Kos Mama",H4695="Pengeluaran Uang Kos")),OR($C$7="Semua",$C$7="",I4695=$C$7),OR($C$8="Semua",$C$8="",C4695=$C$8,E4695=$C$8),OR($C$9="Semua",$C$9="",D4695=$C$9),OR($C$10="",B4695&gt;=$C$10),OR($C$11="",B4695&lt;=$C$11),OR($C$12&lt;&gt;"Ya",K4695&lt;&gt;""),OR($C$13="Semua",$C$13="",L4695=$C$13)),"✓","")</f>
        <v/>
      </c>
      <c r="N4695" s="93">
        <f>N(N4694)+IF(M4695="✓",1,0)</f>
        <v/>
      </c>
      <c r="O4695" s="93">
        <f>N(O4694)+IF(AND(B4695&lt;&gt;"",B4695&gt;='Uang Riba'!$H$30,B4695&lt;='Uang Riba'!$I$30,OR(H4695="Dana riba",H4695="Pinjam uang riba",I4695="Pinjam dari uang riba",I4695="Ganti uang riba",I4695="Kelebihan ganti dikembalikan",AND(C4695="Kantong Uang Riba",G4695="Pengeluaran"))),1,0)</f>
        <v/>
      </c>
      <c r="X4695" s="93">
        <f>IF(AND(B4695&lt;&gt;"",B4695&gt;='Buku Akun'!$H$4,B4695&lt;='Buku Akun'!$H$5,OR(C4695='Buku Akun'!$C$4,AND(D4695="Pindah",E4695='Buku Akun'!$C$4))),B4695+IF(AND(I4695="Selisih bunga",DAY(B4695)=1),0,0.01)+ROW()/10000000,"")</f>
        <v/>
      </c>
    </row>
    <row r="4696" outlineLevel="1" ht="15" customHeight="1" s="94">
      <c r="A4696" s="123">
        <f>IF(B4696="","",ROW()-15)</f>
        <v/>
      </c>
      <c r="B4696" s="124" t="n"/>
      <c r="C4696" s="123" t="n"/>
      <c r="D4696" s="123" t="n"/>
      <c r="E4696" s="123" t="n"/>
      <c r="F4696" s="125" t="n"/>
      <c r="G4696" s="123" t="n"/>
      <c r="H4696" s="123" t="n"/>
      <c r="I4696" s="123" t="n"/>
      <c r="J4696" s="123" t="n"/>
      <c r="K4696" s="123" t="n"/>
      <c r="L4696" s="123" t="n"/>
      <c r="M4696" s="123">
        <f>IF(AND(B4696&lt;&gt;"",OR($C$4="",ISNUMBER(SEARCH($C$4,C4696&amp;" "&amp;E4696&amp;" "&amp;G4696&amp;" "&amp;H4696&amp;" "&amp;I4696&amp;" "&amp;J4696&amp;" "&amp;K4696&amp;" "&amp;L4696))),OR($C$5="Semua",$C$5="",G4696=$C$5),OR($C$6="Semua",$C$6="",H4696=$C$6,H4696="Pengeluaran "&amp;$C$6,AND($C$6="Uang Kos Mama",H4696="Pengeluaran Uang Kos")),OR($C$7="Semua",$C$7="",I4696=$C$7),OR($C$8="Semua",$C$8="",C4696=$C$8,E4696=$C$8),OR($C$9="Semua",$C$9="",D4696=$C$9),OR($C$10="",B4696&gt;=$C$10),OR($C$11="",B4696&lt;=$C$11),OR($C$12&lt;&gt;"Ya",K4696&lt;&gt;""),OR($C$13="Semua",$C$13="",L4696=$C$13)),"✓","")</f>
        <v/>
      </c>
      <c r="N4696" s="93">
        <f>N(N4695)+IF(M4696="✓",1,0)</f>
        <v/>
      </c>
      <c r="O4696" s="93">
        <f>N(O4695)+IF(AND(B4696&lt;&gt;"",B4696&gt;='Uang Riba'!$H$30,B4696&lt;='Uang Riba'!$I$30,OR(H4696="Dana riba",H4696="Pinjam uang riba",I4696="Pinjam dari uang riba",I4696="Ganti uang riba",I4696="Kelebihan ganti dikembalikan",AND(C4696="Kantong Uang Riba",G4696="Pengeluaran"))),1,0)</f>
        <v/>
      </c>
      <c r="X4696" s="93">
        <f>IF(AND(B4696&lt;&gt;"",B4696&gt;='Buku Akun'!$H$4,B4696&lt;='Buku Akun'!$H$5,OR(C4696='Buku Akun'!$C$4,AND(D4696="Pindah",E4696='Buku Akun'!$C$4))),B4696+IF(AND(I4696="Selisih bunga",DAY(B4696)=1),0,0.01)+ROW()/10000000,"")</f>
        <v/>
      </c>
    </row>
    <row r="4697" outlineLevel="1" ht="15" customHeight="1" s="94">
      <c r="A4697" s="123">
        <f>IF(B4697="","",ROW()-15)</f>
        <v/>
      </c>
      <c r="B4697" s="124" t="n"/>
      <c r="C4697" s="123" t="n"/>
      <c r="D4697" s="123" t="n"/>
      <c r="E4697" s="123" t="n"/>
      <c r="F4697" s="125" t="n"/>
      <c r="G4697" s="123" t="n"/>
      <c r="H4697" s="123" t="n"/>
      <c r="I4697" s="123" t="n"/>
      <c r="J4697" s="123" t="n"/>
      <c r="K4697" s="123" t="n"/>
      <c r="L4697" s="123" t="n"/>
      <c r="M4697" s="123">
        <f>IF(AND(B4697&lt;&gt;"",OR($C$4="",ISNUMBER(SEARCH($C$4,C4697&amp;" "&amp;E4697&amp;" "&amp;G4697&amp;" "&amp;H4697&amp;" "&amp;I4697&amp;" "&amp;J4697&amp;" "&amp;K4697&amp;" "&amp;L4697))),OR($C$5="Semua",$C$5="",G4697=$C$5),OR($C$6="Semua",$C$6="",H4697=$C$6,H4697="Pengeluaran "&amp;$C$6,AND($C$6="Uang Kos Mama",H4697="Pengeluaran Uang Kos")),OR($C$7="Semua",$C$7="",I4697=$C$7),OR($C$8="Semua",$C$8="",C4697=$C$8,E4697=$C$8),OR($C$9="Semua",$C$9="",D4697=$C$9),OR($C$10="",B4697&gt;=$C$10),OR($C$11="",B4697&lt;=$C$11),OR($C$12&lt;&gt;"Ya",K4697&lt;&gt;""),OR($C$13="Semua",$C$13="",L4697=$C$13)),"✓","")</f>
        <v/>
      </c>
      <c r="N4697" s="93">
        <f>N(N4696)+IF(M4697="✓",1,0)</f>
        <v/>
      </c>
      <c r="O4697" s="93">
        <f>N(O4696)+IF(AND(B4697&lt;&gt;"",B4697&gt;='Uang Riba'!$H$30,B4697&lt;='Uang Riba'!$I$30,OR(H4697="Dana riba",H4697="Pinjam uang riba",I4697="Pinjam dari uang riba",I4697="Ganti uang riba",I4697="Kelebihan ganti dikembalikan",AND(C4697="Kantong Uang Riba",G4697="Pengeluaran"))),1,0)</f>
        <v/>
      </c>
      <c r="X4697" s="93">
        <f>IF(AND(B4697&lt;&gt;"",B4697&gt;='Buku Akun'!$H$4,B4697&lt;='Buku Akun'!$H$5,OR(C4697='Buku Akun'!$C$4,AND(D4697="Pindah",E4697='Buku Akun'!$C$4))),B4697+IF(AND(I4697="Selisih bunga",DAY(B4697)=1),0,0.01)+ROW()/10000000,"")</f>
        <v/>
      </c>
    </row>
    <row r="4698" outlineLevel="1" ht="15" customHeight="1" s="94">
      <c r="A4698" s="123">
        <f>IF(B4698="","",ROW()-15)</f>
        <v/>
      </c>
      <c r="B4698" s="124" t="n"/>
      <c r="C4698" s="123" t="n"/>
      <c r="D4698" s="123" t="n"/>
      <c r="E4698" s="123" t="n"/>
      <c r="F4698" s="125" t="n"/>
      <c r="G4698" s="123" t="n"/>
      <c r="H4698" s="123" t="n"/>
      <c r="I4698" s="123" t="n"/>
      <c r="J4698" s="123" t="n"/>
      <c r="K4698" s="123" t="n"/>
      <c r="L4698" s="123" t="n"/>
      <c r="M4698" s="123">
        <f>IF(AND(B4698&lt;&gt;"",OR($C$4="",ISNUMBER(SEARCH($C$4,C4698&amp;" "&amp;E4698&amp;" "&amp;G4698&amp;" "&amp;H4698&amp;" "&amp;I4698&amp;" "&amp;J4698&amp;" "&amp;K4698&amp;" "&amp;L4698))),OR($C$5="Semua",$C$5="",G4698=$C$5),OR($C$6="Semua",$C$6="",H4698=$C$6,H4698="Pengeluaran "&amp;$C$6,AND($C$6="Uang Kos Mama",H4698="Pengeluaran Uang Kos")),OR($C$7="Semua",$C$7="",I4698=$C$7),OR($C$8="Semua",$C$8="",C4698=$C$8,E4698=$C$8),OR($C$9="Semua",$C$9="",D4698=$C$9),OR($C$10="",B4698&gt;=$C$10),OR($C$11="",B4698&lt;=$C$11),OR($C$12&lt;&gt;"Ya",K4698&lt;&gt;""),OR($C$13="Semua",$C$13="",L4698=$C$13)),"✓","")</f>
        <v/>
      </c>
      <c r="N4698" s="93">
        <f>N(N4697)+IF(M4698="✓",1,0)</f>
        <v/>
      </c>
      <c r="O4698" s="93">
        <f>N(O4697)+IF(AND(B4698&lt;&gt;"",B4698&gt;='Uang Riba'!$H$30,B4698&lt;='Uang Riba'!$I$30,OR(H4698="Dana riba",H4698="Pinjam uang riba",I4698="Pinjam dari uang riba",I4698="Ganti uang riba",I4698="Kelebihan ganti dikembalikan",AND(C4698="Kantong Uang Riba",G4698="Pengeluaran"))),1,0)</f>
        <v/>
      </c>
      <c r="X4698" s="93">
        <f>IF(AND(B4698&lt;&gt;"",B4698&gt;='Buku Akun'!$H$4,B4698&lt;='Buku Akun'!$H$5,OR(C4698='Buku Akun'!$C$4,AND(D4698="Pindah",E4698='Buku Akun'!$C$4))),B4698+IF(AND(I4698="Selisih bunga",DAY(B4698)=1),0,0.01)+ROW()/10000000,"")</f>
        <v/>
      </c>
    </row>
    <row r="4699" outlineLevel="1" ht="15" customHeight="1" s="94">
      <c r="A4699" s="123">
        <f>IF(B4699="","",ROW()-15)</f>
        <v/>
      </c>
      <c r="B4699" s="124" t="n"/>
      <c r="C4699" s="123" t="n"/>
      <c r="D4699" s="123" t="n"/>
      <c r="E4699" s="123" t="n"/>
      <c r="F4699" s="125" t="n"/>
      <c r="G4699" s="123" t="n"/>
      <c r="H4699" s="123" t="n"/>
      <c r="I4699" s="123" t="n"/>
      <c r="J4699" s="123" t="n"/>
      <c r="K4699" s="123" t="n"/>
      <c r="L4699" s="123" t="n"/>
      <c r="M4699" s="123">
        <f>IF(AND(B4699&lt;&gt;"",OR($C$4="",ISNUMBER(SEARCH($C$4,C4699&amp;" "&amp;E4699&amp;" "&amp;G4699&amp;" "&amp;H4699&amp;" "&amp;I4699&amp;" "&amp;J4699&amp;" "&amp;K4699&amp;" "&amp;L4699))),OR($C$5="Semua",$C$5="",G4699=$C$5),OR($C$6="Semua",$C$6="",H4699=$C$6,H4699="Pengeluaran "&amp;$C$6,AND($C$6="Uang Kos Mama",H4699="Pengeluaran Uang Kos")),OR($C$7="Semua",$C$7="",I4699=$C$7),OR($C$8="Semua",$C$8="",C4699=$C$8,E4699=$C$8),OR($C$9="Semua",$C$9="",D4699=$C$9),OR($C$10="",B4699&gt;=$C$10),OR($C$11="",B4699&lt;=$C$11),OR($C$12&lt;&gt;"Ya",K4699&lt;&gt;""),OR($C$13="Semua",$C$13="",L4699=$C$13)),"✓","")</f>
        <v/>
      </c>
      <c r="N4699" s="93">
        <f>N(N4698)+IF(M4699="✓",1,0)</f>
        <v/>
      </c>
      <c r="O4699" s="93">
        <f>N(O4698)+IF(AND(B4699&lt;&gt;"",B4699&gt;='Uang Riba'!$H$30,B4699&lt;='Uang Riba'!$I$30,OR(H4699="Dana riba",H4699="Pinjam uang riba",I4699="Pinjam dari uang riba",I4699="Ganti uang riba",I4699="Kelebihan ganti dikembalikan",AND(C4699="Kantong Uang Riba",G4699="Pengeluaran"))),1,0)</f>
        <v/>
      </c>
      <c r="X4699" s="93">
        <f>IF(AND(B4699&lt;&gt;"",B4699&gt;='Buku Akun'!$H$4,B4699&lt;='Buku Akun'!$H$5,OR(C4699='Buku Akun'!$C$4,AND(D4699="Pindah",E4699='Buku Akun'!$C$4))),B4699+IF(AND(I4699="Selisih bunga",DAY(B4699)=1),0,0.01)+ROW()/10000000,"")</f>
        <v/>
      </c>
    </row>
    <row r="4700" outlineLevel="1" ht="15" customHeight="1" s="94">
      <c r="A4700" s="123">
        <f>IF(B4700="","",ROW()-15)</f>
        <v/>
      </c>
      <c r="B4700" s="124" t="n"/>
      <c r="C4700" s="123" t="n"/>
      <c r="D4700" s="123" t="n"/>
      <c r="E4700" s="123" t="n"/>
      <c r="F4700" s="125" t="n"/>
      <c r="G4700" s="123" t="n"/>
      <c r="H4700" s="123" t="n"/>
      <c r="I4700" s="123" t="n"/>
      <c r="J4700" s="123" t="n"/>
      <c r="K4700" s="123" t="n"/>
      <c r="L4700" s="123" t="n"/>
      <c r="M4700" s="123">
        <f>IF(AND(B4700&lt;&gt;"",OR($C$4="",ISNUMBER(SEARCH($C$4,C4700&amp;" "&amp;E4700&amp;" "&amp;G4700&amp;" "&amp;H4700&amp;" "&amp;I4700&amp;" "&amp;J4700&amp;" "&amp;K4700&amp;" "&amp;L4700))),OR($C$5="Semua",$C$5="",G4700=$C$5),OR($C$6="Semua",$C$6="",H4700=$C$6,H4700="Pengeluaran "&amp;$C$6,AND($C$6="Uang Kos Mama",H4700="Pengeluaran Uang Kos")),OR($C$7="Semua",$C$7="",I4700=$C$7),OR($C$8="Semua",$C$8="",C4700=$C$8,E4700=$C$8),OR($C$9="Semua",$C$9="",D4700=$C$9),OR($C$10="",B4700&gt;=$C$10),OR($C$11="",B4700&lt;=$C$11),OR($C$12&lt;&gt;"Ya",K4700&lt;&gt;""),OR($C$13="Semua",$C$13="",L4700=$C$13)),"✓","")</f>
        <v/>
      </c>
      <c r="N4700" s="93">
        <f>N(N4699)+IF(M4700="✓",1,0)</f>
        <v/>
      </c>
      <c r="O4700" s="93">
        <f>N(O4699)+IF(AND(B4700&lt;&gt;"",B4700&gt;='Uang Riba'!$H$30,B4700&lt;='Uang Riba'!$I$30,OR(H4700="Dana riba",H4700="Pinjam uang riba",I4700="Pinjam dari uang riba",I4700="Ganti uang riba",I4700="Kelebihan ganti dikembalikan",AND(C4700="Kantong Uang Riba",G4700="Pengeluaran"))),1,0)</f>
        <v/>
      </c>
      <c r="X4700" s="93">
        <f>IF(AND(B4700&lt;&gt;"",B4700&gt;='Buku Akun'!$H$4,B4700&lt;='Buku Akun'!$H$5,OR(C4700='Buku Akun'!$C$4,AND(D4700="Pindah",E4700='Buku Akun'!$C$4))),B4700+IF(AND(I4700="Selisih bunga",DAY(B4700)=1),0,0.01)+ROW()/10000000,"")</f>
        <v/>
      </c>
    </row>
    <row r="4701" outlineLevel="1" ht="15" customHeight="1" s="94">
      <c r="A4701" s="123">
        <f>IF(B4701="","",ROW()-15)</f>
        <v/>
      </c>
      <c r="B4701" s="124" t="n"/>
      <c r="C4701" s="123" t="n"/>
      <c r="D4701" s="123" t="n"/>
      <c r="E4701" s="123" t="n"/>
      <c r="F4701" s="125" t="n"/>
      <c r="G4701" s="123" t="n"/>
      <c r="H4701" s="123" t="n"/>
      <c r="I4701" s="123" t="n"/>
      <c r="J4701" s="123" t="n"/>
      <c r="K4701" s="123" t="n"/>
      <c r="L4701" s="123" t="n"/>
      <c r="M4701" s="123">
        <f>IF(AND(B4701&lt;&gt;"",OR($C$4="",ISNUMBER(SEARCH($C$4,C4701&amp;" "&amp;E4701&amp;" "&amp;G4701&amp;" "&amp;H4701&amp;" "&amp;I4701&amp;" "&amp;J4701&amp;" "&amp;K4701&amp;" "&amp;L4701))),OR($C$5="Semua",$C$5="",G4701=$C$5),OR($C$6="Semua",$C$6="",H4701=$C$6,H4701="Pengeluaran "&amp;$C$6,AND($C$6="Uang Kos Mama",H4701="Pengeluaran Uang Kos")),OR($C$7="Semua",$C$7="",I4701=$C$7),OR($C$8="Semua",$C$8="",C4701=$C$8,E4701=$C$8),OR($C$9="Semua",$C$9="",D4701=$C$9),OR($C$10="",B4701&gt;=$C$10),OR($C$11="",B4701&lt;=$C$11),OR($C$12&lt;&gt;"Ya",K4701&lt;&gt;""),OR($C$13="Semua",$C$13="",L4701=$C$13)),"✓","")</f>
        <v/>
      </c>
      <c r="N4701" s="93">
        <f>N(N4700)+IF(M4701="✓",1,0)</f>
        <v/>
      </c>
      <c r="O4701" s="93">
        <f>N(O4700)+IF(AND(B4701&lt;&gt;"",B4701&gt;='Uang Riba'!$H$30,B4701&lt;='Uang Riba'!$I$30,OR(H4701="Dana riba",H4701="Pinjam uang riba",I4701="Pinjam dari uang riba",I4701="Ganti uang riba",I4701="Kelebihan ganti dikembalikan",AND(C4701="Kantong Uang Riba",G4701="Pengeluaran"))),1,0)</f>
        <v/>
      </c>
      <c r="X4701" s="93">
        <f>IF(AND(B4701&lt;&gt;"",B4701&gt;='Buku Akun'!$H$4,B4701&lt;='Buku Akun'!$H$5,OR(C4701='Buku Akun'!$C$4,AND(D4701="Pindah",E4701='Buku Akun'!$C$4))),B4701+IF(AND(I4701="Selisih bunga",DAY(B4701)=1),0,0.01)+ROW()/10000000,"")</f>
        <v/>
      </c>
    </row>
    <row r="4702" outlineLevel="1" ht="15" customHeight="1" s="94">
      <c r="A4702" s="123">
        <f>IF(B4702="","",ROW()-15)</f>
        <v/>
      </c>
      <c r="B4702" s="124" t="n"/>
      <c r="C4702" s="123" t="n"/>
      <c r="D4702" s="123" t="n"/>
      <c r="E4702" s="123" t="n"/>
      <c r="F4702" s="125" t="n"/>
      <c r="G4702" s="123" t="n"/>
      <c r="H4702" s="123" t="n"/>
      <c r="I4702" s="123" t="n"/>
      <c r="J4702" s="123" t="n"/>
      <c r="K4702" s="123" t="n"/>
      <c r="L4702" s="123" t="n"/>
      <c r="M4702" s="123">
        <f>IF(AND(B4702&lt;&gt;"",OR($C$4="",ISNUMBER(SEARCH($C$4,C4702&amp;" "&amp;E4702&amp;" "&amp;G4702&amp;" "&amp;H4702&amp;" "&amp;I4702&amp;" "&amp;J4702&amp;" "&amp;K4702&amp;" "&amp;L4702))),OR($C$5="Semua",$C$5="",G4702=$C$5),OR($C$6="Semua",$C$6="",H4702=$C$6,H4702="Pengeluaran "&amp;$C$6,AND($C$6="Uang Kos Mama",H4702="Pengeluaran Uang Kos")),OR($C$7="Semua",$C$7="",I4702=$C$7),OR($C$8="Semua",$C$8="",C4702=$C$8,E4702=$C$8),OR($C$9="Semua",$C$9="",D4702=$C$9),OR($C$10="",B4702&gt;=$C$10),OR($C$11="",B4702&lt;=$C$11),OR($C$12&lt;&gt;"Ya",K4702&lt;&gt;""),OR($C$13="Semua",$C$13="",L4702=$C$13)),"✓","")</f>
        <v/>
      </c>
      <c r="N4702" s="93">
        <f>N(N4701)+IF(M4702="✓",1,0)</f>
        <v/>
      </c>
      <c r="O4702" s="93">
        <f>N(O4701)+IF(AND(B4702&lt;&gt;"",B4702&gt;='Uang Riba'!$H$30,B4702&lt;='Uang Riba'!$I$30,OR(H4702="Dana riba",H4702="Pinjam uang riba",I4702="Pinjam dari uang riba",I4702="Ganti uang riba",I4702="Kelebihan ganti dikembalikan",AND(C4702="Kantong Uang Riba",G4702="Pengeluaran"))),1,0)</f>
        <v/>
      </c>
      <c r="X4702" s="93">
        <f>IF(AND(B4702&lt;&gt;"",B4702&gt;='Buku Akun'!$H$4,B4702&lt;='Buku Akun'!$H$5,OR(C4702='Buku Akun'!$C$4,AND(D4702="Pindah",E4702='Buku Akun'!$C$4))),B4702+IF(AND(I4702="Selisih bunga",DAY(B4702)=1),0,0.01)+ROW()/10000000,"")</f>
        <v/>
      </c>
    </row>
    <row r="4703" outlineLevel="1" ht="15" customHeight="1" s="94">
      <c r="A4703" s="123">
        <f>IF(B4703="","",ROW()-15)</f>
        <v/>
      </c>
      <c r="B4703" s="124" t="n"/>
      <c r="C4703" s="123" t="n"/>
      <c r="D4703" s="123" t="n"/>
      <c r="E4703" s="123" t="n"/>
      <c r="F4703" s="125" t="n"/>
      <c r="G4703" s="123" t="n"/>
      <c r="H4703" s="123" t="n"/>
      <c r="I4703" s="123" t="n"/>
      <c r="J4703" s="123" t="n"/>
      <c r="K4703" s="123" t="n"/>
      <c r="L4703" s="123" t="n"/>
      <c r="M4703" s="123">
        <f>IF(AND(B4703&lt;&gt;"",OR($C$4="",ISNUMBER(SEARCH($C$4,C4703&amp;" "&amp;E4703&amp;" "&amp;G4703&amp;" "&amp;H4703&amp;" "&amp;I4703&amp;" "&amp;J4703&amp;" "&amp;K4703&amp;" "&amp;L4703))),OR($C$5="Semua",$C$5="",G4703=$C$5),OR($C$6="Semua",$C$6="",H4703=$C$6,H4703="Pengeluaran "&amp;$C$6,AND($C$6="Uang Kos Mama",H4703="Pengeluaran Uang Kos")),OR($C$7="Semua",$C$7="",I4703=$C$7),OR($C$8="Semua",$C$8="",C4703=$C$8,E4703=$C$8),OR($C$9="Semua",$C$9="",D4703=$C$9),OR($C$10="",B4703&gt;=$C$10),OR($C$11="",B4703&lt;=$C$11),OR($C$12&lt;&gt;"Ya",K4703&lt;&gt;""),OR($C$13="Semua",$C$13="",L4703=$C$13)),"✓","")</f>
        <v/>
      </c>
      <c r="N4703" s="93">
        <f>N(N4702)+IF(M4703="✓",1,0)</f>
        <v/>
      </c>
      <c r="O4703" s="93">
        <f>N(O4702)+IF(AND(B4703&lt;&gt;"",B4703&gt;='Uang Riba'!$H$30,B4703&lt;='Uang Riba'!$I$30,OR(H4703="Dana riba",H4703="Pinjam uang riba",I4703="Pinjam dari uang riba",I4703="Ganti uang riba",I4703="Kelebihan ganti dikembalikan",AND(C4703="Kantong Uang Riba",G4703="Pengeluaran"))),1,0)</f>
        <v/>
      </c>
      <c r="X4703" s="93">
        <f>IF(AND(B4703&lt;&gt;"",B4703&gt;='Buku Akun'!$H$4,B4703&lt;='Buku Akun'!$H$5,OR(C4703='Buku Akun'!$C$4,AND(D4703="Pindah",E4703='Buku Akun'!$C$4))),B4703+IF(AND(I4703="Selisih bunga",DAY(B4703)=1),0,0.01)+ROW()/10000000,"")</f>
        <v/>
      </c>
    </row>
    <row r="4704" outlineLevel="1" ht="15" customHeight="1" s="94">
      <c r="A4704" s="123">
        <f>IF(B4704="","",ROW()-15)</f>
        <v/>
      </c>
      <c r="B4704" s="124" t="n"/>
      <c r="C4704" s="123" t="n"/>
      <c r="D4704" s="123" t="n"/>
      <c r="E4704" s="123" t="n"/>
      <c r="F4704" s="125" t="n"/>
      <c r="G4704" s="123" t="n"/>
      <c r="H4704" s="123" t="n"/>
      <c r="I4704" s="123" t="n"/>
      <c r="J4704" s="123" t="n"/>
      <c r="K4704" s="123" t="n"/>
      <c r="L4704" s="123" t="n"/>
      <c r="M4704" s="123">
        <f>IF(AND(B4704&lt;&gt;"",OR($C$4="",ISNUMBER(SEARCH($C$4,C4704&amp;" "&amp;E4704&amp;" "&amp;G4704&amp;" "&amp;H4704&amp;" "&amp;I4704&amp;" "&amp;J4704&amp;" "&amp;K4704&amp;" "&amp;L4704))),OR($C$5="Semua",$C$5="",G4704=$C$5),OR($C$6="Semua",$C$6="",H4704=$C$6,H4704="Pengeluaran "&amp;$C$6,AND($C$6="Uang Kos Mama",H4704="Pengeluaran Uang Kos")),OR($C$7="Semua",$C$7="",I4704=$C$7),OR($C$8="Semua",$C$8="",C4704=$C$8,E4704=$C$8),OR($C$9="Semua",$C$9="",D4704=$C$9),OR($C$10="",B4704&gt;=$C$10),OR($C$11="",B4704&lt;=$C$11),OR($C$12&lt;&gt;"Ya",K4704&lt;&gt;""),OR($C$13="Semua",$C$13="",L4704=$C$13)),"✓","")</f>
        <v/>
      </c>
      <c r="N4704" s="93">
        <f>N(N4703)+IF(M4704="✓",1,0)</f>
        <v/>
      </c>
      <c r="O4704" s="93">
        <f>N(O4703)+IF(AND(B4704&lt;&gt;"",B4704&gt;='Uang Riba'!$H$30,B4704&lt;='Uang Riba'!$I$30,OR(H4704="Dana riba",H4704="Pinjam uang riba",I4704="Pinjam dari uang riba",I4704="Ganti uang riba",I4704="Kelebihan ganti dikembalikan",AND(C4704="Kantong Uang Riba",G4704="Pengeluaran"))),1,0)</f>
        <v/>
      </c>
      <c r="X4704" s="93">
        <f>IF(AND(B4704&lt;&gt;"",B4704&gt;='Buku Akun'!$H$4,B4704&lt;='Buku Akun'!$H$5,OR(C4704='Buku Akun'!$C$4,AND(D4704="Pindah",E4704='Buku Akun'!$C$4))),B4704+IF(AND(I4704="Selisih bunga",DAY(B4704)=1),0,0.01)+ROW()/10000000,"")</f>
        <v/>
      </c>
    </row>
    <row r="4705" outlineLevel="1" ht="15" customHeight="1" s="94">
      <c r="A4705" s="123">
        <f>IF(B4705="","",ROW()-15)</f>
        <v/>
      </c>
      <c r="B4705" s="124" t="n"/>
      <c r="C4705" s="123" t="n"/>
      <c r="D4705" s="123" t="n"/>
      <c r="E4705" s="123" t="n"/>
      <c r="F4705" s="125" t="n"/>
      <c r="G4705" s="123" t="n"/>
      <c r="H4705" s="123" t="n"/>
      <c r="I4705" s="123" t="n"/>
      <c r="J4705" s="123" t="n"/>
      <c r="K4705" s="123" t="n"/>
      <c r="L4705" s="123" t="n"/>
      <c r="M4705" s="123">
        <f>IF(AND(B4705&lt;&gt;"",OR($C$4="",ISNUMBER(SEARCH($C$4,C4705&amp;" "&amp;E4705&amp;" "&amp;G4705&amp;" "&amp;H4705&amp;" "&amp;I4705&amp;" "&amp;J4705&amp;" "&amp;K4705&amp;" "&amp;L4705))),OR($C$5="Semua",$C$5="",G4705=$C$5),OR($C$6="Semua",$C$6="",H4705=$C$6,H4705="Pengeluaran "&amp;$C$6,AND($C$6="Uang Kos Mama",H4705="Pengeluaran Uang Kos")),OR($C$7="Semua",$C$7="",I4705=$C$7),OR($C$8="Semua",$C$8="",C4705=$C$8,E4705=$C$8),OR($C$9="Semua",$C$9="",D4705=$C$9),OR($C$10="",B4705&gt;=$C$10),OR($C$11="",B4705&lt;=$C$11),OR($C$12&lt;&gt;"Ya",K4705&lt;&gt;""),OR($C$13="Semua",$C$13="",L4705=$C$13)),"✓","")</f>
        <v/>
      </c>
      <c r="N4705" s="93">
        <f>N(N4704)+IF(M4705="✓",1,0)</f>
        <v/>
      </c>
      <c r="O4705" s="93">
        <f>N(O4704)+IF(AND(B4705&lt;&gt;"",B4705&gt;='Uang Riba'!$H$30,B4705&lt;='Uang Riba'!$I$30,OR(H4705="Dana riba",H4705="Pinjam uang riba",I4705="Pinjam dari uang riba",I4705="Ganti uang riba",I4705="Kelebihan ganti dikembalikan",AND(C4705="Kantong Uang Riba",G4705="Pengeluaran"))),1,0)</f>
        <v/>
      </c>
      <c r="X4705" s="93">
        <f>IF(AND(B4705&lt;&gt;"",B4705&gt;='Buku Akun'!$H$4,B4705&lt;='Buku Akun'!$H$5,OR(C4705='Buku Akun'!$C$4,AND(D4705="Pindah",E4705='Buku Akun'!$C$4))),B4705+IF(AND(I4705="Selisih bunga",DAY(B4705)=1),0,0.01)+ROW()/10000000,"")</f>
        <v/>
      </c>
    </row>
    <row r="4706" outlineLevel="1" ht="15" customHeight="1" s="94">
      <c r="A4706" s="123">
        <f>IF(B4706="","",ROW()-15)</f>
        <v/>
      </c>
      <c r="B4706" s="124" t="n"/>
      <c r="C4706" s="123" t="n"/>
      <c r="D4706" s="123" t="n"/>
      <c r="E4706" s="123" t="n"/>
      <c r="F4706" s="125" t="n"/>
      <c r="G4706" s="123" t="n"/>
      <c r="H4706" s="123" t="n"/>
      <c r="I4706" s="123" t="n"/>
      <c r="J4706" s="123" t="n"/>
      <c r="K4706" s="123" t="n"/>
      <c r="L4706" s="123" t="n"/>
      <c r="M4706" s="123">
        <f>IF(AND(B4706&lt;&gt;"",OR($C$4="",ISNUMBER(SEARCH($C$4,C4706&amp;" "&amp;E4706&amp;" "&amp;G4706&amp;" "&amp;H4706&amp;" "&amp;I4706&amp;" "&amp;J4706&amp;" "&amp;K4706&amp;" "&amp;L4706))),OR($C$5="Semua",$C$5="",G4706=$C$5),OR($C$6="Semua",$C$6="",H4706=$C$6,H4706="Pengeluaran "&amp;$C$6,AND($C$6="Uang Kos Mama",H4706="Pengeluaran Uang Kos")),OR($C$7="Semua",$C$7="",I4706=$C$7),OR($C$8="Semua",$C$8="",C4706=$C$8,E4706=$C$8),OR($C$9="Semua",$C$9="",D4706=$C$9),OR($C$10="",B4706&gt;=$C$10),OR($C$11="",B4706&lt;=$C$11),OR($C$12&lt;&gt;"Ya",K4706&lt;&gt;""),OR($C$13="Semua",$C$13="",L4706=$C$13)),"✓","")</f>
        <v/>
      </c>
      <c r="N4706" s="93">
        <f>N(N4705)+IF(M4706="✓",1,0)</f>
        <v/>
      </c>
      <c r="O4706" s="93">
        <f>N(O4705)+IF(AND(B4706&lt;&gt;"",B4706&gt;='Uang Riba'!$H$30,B4706&lt;='Uang Riba'!$I$30,OR(H4706="Dana riba",H4706="Pinjam uang riba",I4706="Pinjam dari uang riba",I4706="Ganti uang riba",I4706="Kelebihan ganti dikembalikan",AND(C4706="Kantong Uang Riba",G4706="Pengeluaran"))),1,0)</f>
        <v/>
      </c>
      <c r="X4706" s="93">
        <f>IF(AND(B4706&lt;&gt;"",B4706&gt;='Buku Akun'!$H$4,B4706&lt;='Buku Akun'!$H$5,OR(C4706='Buku Akun'!$C$4,AND(D4706="Pindah",E4706='Buku Akun'!$C$4))),B4706+IF(AND(I4706="Selisih bunga",DAY(B4706)=1),0,0.01)+ROW()/10000000,"")</f>
        <v/>
      </c>
    </row>
    <row r="4707" outlineLevel="1" ht="15" customHeight="1" s="94">
      <c r="A4707" s="123">
        <f>IF(B4707="","",ROW()-15)</f>
        <v/>
      </c>
      <c r="B4707" s="124" t="n"/>
      <c r="C4707" s="123" t="n"/>
      <c r="D4707" s="123" t="n"/>
      <c r="E4707" s="123" t="n"/>
      <c r="F4707" s="125" t="n"/>
      <c r="G4707" s="123" t="n"/>
      <c r="H4707" s="123" t="n"/>
      <c r="I4707" s="123" t="n"/>
      <c r="J4707" s="123" t="n"/>
      <c r="K4707" s="123" t="n"/>
      <c r="L4707" s="123" t="n"/>
      <c r="M4707" s="123">
        <f>IF(AND(B4707&lt;&gt;"",OR($C$4="",ISNUMBER(SEARCH($C$4,C4707&amp;" "&amp;E4707&amp;" "&amp;G4707&amp;" "&amp;H4707&amp;" "&amp;I4707&amp;" "&amp;J4707&amp;" "&amp;K4707&amp;" "&amp;L4707))),OR($C$5="Semua",$C$5="",G4707=$C$5),OR($C$6="Semua",$C$6="",H4707=$C$6,H4707="Pengeluaran "&amp;$C$6,AND($C$6="Uang Kos Mama",H4707="Pengeluaran Uang Kos")),OR($C$7="Semua",$C$7="",I4707=$C$7),OR($C$8="Semua",$C$8="",C4707=$C$8,E4707=$C$8),OR($C$9="Semua",$C$9="",D4707=$C$9),OR($C$10="",B4707&gt;=$C$10),OR($C$11="",B4707&lt;=$C$11),OR($C$12&lt;&gt;"Ya",K4707&lt;&gt;""),OR($C$13="Semua",$C$13="",L4707=$C$13)),"✓","")</f>
        <v/>
      </c>
      <c r="N4707" s="93">
        <f>N(N4706)+IF(M4707="✓",1,0)</f>
        <v/>
      </c>
      <c r="O4707" s="93">
        <f>N(O4706)+IF(AND(B4707&lt;&gt;"",B4707&gt;='Uang Riba'!$H$30,B4707&lt;='Uang Riba'!$I$30,OR(H4707="Dana riba",H4707="Pinjam uang riba",I4707="Pinjam dari uang riba",I4707="Ganti uang riba",I4707="Kelebihan ganti dikembalikan",AND(C4707="Kantong Uang Riba",G4707="Pengeluaran"))),1,0)</f>
        <v/>
      </c>
      <c r="X4707" s="93">
        <f>IF(AND(B4707&lt;&gt;"",B4707&gt;='Buku Akun'!$H$4,B4707&lt;='Buku Akun'!$H$5,OR(C4707='Buku Akun'!$C$4,AND(D4707="Pindah",E4707='Buku Akun'!$C$4))),B4707+IF(AND(I4707="Selisih bunga",DAY(B4707)=1),0,0.01)+ROW()/10000000,"")</f>
        <v/>
      </c>
    </row>
    <row r="4708" outlineLevel="1" ht="15" customHeight="1" s="94">
      <c r="A4708" s="123">
        <f>IF(B4708="","",ROW()-15)</f>
        <v/>
      </c>
      <c r="B4708" s="124" t="n"/>
      <c r="C4708" s="123" t="n"/>
      <c r="D4708" s="123" t="n"/>
      <c r="E4708" s="123" t="n"/>
      <c r="F4708" s="125" t="n"/>
      <c r="G4708" s="123" t="n"/>
      <c r="H4708" s="123" t="n"/>
      <c r="I4708" s="123" t="n"/>
      <c r="J4708" s="123" t="n"/>
      <c r="K4708" s="123" t="n"/>
      <c r="L4708" s="123" t="n"/>
      <c r="M4708" s="123">
        <f>IF(AND(B4708&lt;&gt;"",OR($C$4="",ISNUMBER(SEARCH($C$4,C4708&amp;" "&amp;E4708&amp;" "&amp;G4708&amp;" "&amp;H4708&amp;" "&amp;I4708&amp;" "&amp;J4708&amp;" "&amp;K4708&amp;" "&amp;L4708))),OR($C$5="Semua",$C$5="",G4708=$C$5),OR($C$6="Semua",$C$6="",H4708=$C$6,H4708="Pengeluaran "&amp;$C$6,AND($C$6="Uang Kos Mama",H4708="Pengeluaran Uang Kos")),OR($C$7="Semua",$C$7="",I4708=$C$7),OR($C$8="Semua",$C$8="",C4708=$C$8,E4708=$C$8),OR($C$9="Semua",$C$9="",D4708=$C$9),OR($C$10="",B4708&gt;=$C$10),OR($C$11="",B4708&lt;=$C$11),OR($C$12&lt;&gt;"Ya",K4708&lt;&gt;""),OR($C$13="Semua",$C$13="",L4708=$C$13)),"✓","")</f>
        <v/>
      </c>
      <c r="N4708" s="93">
        <f>N(N4707)+IF(M4708="✓",1,0)</f>
        <v/>
      </c>
      <c r="O4708" s="93">
        <f>N(O4707)+IF(AND(B4708&lt;&gt;"",B4708&gt;='Uang Riba'!$H$30,B4708&lt;='Uang Riba'!$I$30,OR(H4708="Dana riba",H4708="Pinjam uang riba",I4708="Pinjam dari uang riba",I4708="Ganti uang riba",I4708="Kelebihan ganti dikembalikan",AND(C4708="Kantong Uang Riba",G4708="Pengeluaran"))),1,0)</f>
        <v/>
      </c>
      <c r="X4708" s="93">
        <f>IF(AND(B4708&lt;&gt;"",B4708&gt;='Buku Akun'!$H$4,B4708&lt;='Buku Akun'!$H$5,OR(C4708='Buku Akun'!$C$4,AND(D4708="Pindah",E4708='Buku Akun'!$C$4))),B4708+IF(AND(I4708="Selisih bunga",DAY(B4708)=1),0,0.01)+ROW()/10000000,"")</f>
        <v/>
      </c>
    </row>
    <row r="4709" outlineLevel="1" ht="15" customHeight="1" s="94">
      <c r="A4709" s="123">
        <f>IF(B4709="","",ROW()-15)</f>
        <v/>
      </c>
      <c r="B4709" s="124" t="n"/>
      <c r="C4709" s="123" t="n"/>
      <c r="D4709" s="123" t="n"/>
      <c r="E4709" s="123" t="n"/>
      <c r="F4709" s="125" t="n"/>
      <c r="G4709" s="123" t="n"/>
      <c r="H4709" s="123" t="n"/>
      <c r="I4709" s="123" t="n"/>
      <c r="J4709" s="123" t="n"/>
      <c r="K4709" s="123" t="n"/>
      <c r="L4709" s="123" t="n"/>
      <c r="M4709" s="123">
        <f>IF(AND(B4709&lt;&gt;"",OR($C$4="",ISNUMBER(SEARCH($C$4,C4709&amp;" "&amp;E4709&amp;" "&amp;G4709&amp;" "&amp;H4709&amp;" "&amp;I4709&amp;" "&amp;J4709&amp;" "&amp;K4709&amp;" "&amp;L4709))),OR($C$5="Semua",$C$5="",G4709=$C$5),OR($C$6="Semua",$C$6="",H4709=$C$6,H4709="Pengeluaran "&amp;$C$6,AND($C$6="Uang Kos Mama",H4709="Pengeluaran Uang Kos")),OR($C$7="Semua",$C$7="",I4709=$C$7),OR($C$8="Semua",$C$8="",C4709=$C$8,E4709=$C$8),OR($C$9="Semua",$C$9="",D4709=$C$9),OR($C$10="",B4709&gt;=$C$10),OR($C$11="",B4709&lt;=$C$11),OR($C$12&lt;&gt;"Ya",K4709&lt;&gt;""),OR($C$13="Semua",$C$13="",L4709=$C$13)),"✓","")</f>
        <v/>
      </c>
      <c r="N4709" s="93">
        <f>N(N4708)+IF(M4709="✓",1,0)</f>
        <v/>
      </c>
      <c r="O4709" s="93">
        <f>N(O4708)+IF(AND(B4709&lt;&gt;"",B4709&gt;='Uang Riba'!$H$30,B4709&lt;='Uang Riba'!$I$30,OR(H4709="Dana riba",H4709="Pinjam uang riba",I4709="Pinjam dari uang riba",I4709="Ganti uang riba",I4709="Kelebihan ganti dikembalikan",AND(C4709="Kantong Uang Riba",G4709="Pengeluaran"))),1,0)</f>
        <v/>
      </c>
      <c r="X4709" s="93">
        <f>IF(AND(B4709&lt;&gt;"",B4709&gt;='Buku Akun'!$H$4,B4709&lt;='Buku Akun'!$H$5,OR(C4709='Buku Akun'!$C$4,AND(D4709="Pindah",E4709='Buku Akun'!$C$4))),B4709+IF(AND(I4709="Selisih bunga",DAY(B4709)=1),0,0.01)+ROW()/10000000,"")</f>
        <v/>
      </c>
    </row>
    <row r="4710" outlineLevel="1" ht="15" customHeight="1" s="94">
      <c r="A4710" s="123">
        <f>IF(B4710="","",ROW()-15)</f>
        <v/>
      </c>
      <c r="B4710" s="124" t="n"/>
      <c r="C4710" s="123" t="n"/>
      <c r="D4710" s="123" t="n"/>
      <c r="E4710" s="123" t="n"/>
      <c r="F4710" s="125" t="n"/>
      <c r="G4710" s="123" t="n"/>
      <c r="H4710" s="123" t="n"/>
      <c r="I4710" s="123" t="n"/>
      <c r="J4710" s="123" t="n"/>
      <c r="K4710" s="123" t="n"/>
      <c r="L4710" s="123" t="n"/>
      <c r="M4710" s="123">
        <f>IF(AND(B4710&lt;&gt;"",OR($C$4="",ISNUMBER(SEARCH($C$4,C4710&amp;" "&amp;E4710&amp;" "&amp;G4710&amp;" "&amp;H4710&amp;" "&amp;I4710&amp;" "&amp;J4710&amp;" "&amp;K4710&amp;" "&amp;L4710))),OR($C$5="Semua",$C$5="",G4710=$C$5),OR($C$6="Semua",$C$6="",H4710=$C$6,H4710="Pengeluaran "&amp;$C$6,AND($C$6="Uang Kos Mama",H4710="Pengeluaran Uang Kos")),OR($C$7="Semua",$C$7="",I4710=$C$7),OR($C$8="Semua",$C$8="",C4710=$C$8,E4710=$C$8),OR($C$9="Semua",$C$9="",D4710=$C$9),OR($C$10="",B4710&gt;=$C$10),OR($C$11="",B4710&lt;=$C$11),OR($C$12&lt;&gt;"Ya",K4710&lt;&gt;""),OR($C$13="Semua",$C$13="",L4710=$C$13)),"✓","")</f>
        <v/>
      </c>
      <c r="N4710" s="93">
        <f>N(N4709)+IF(M4710="✓",1,0)</f>
        <v/>
      </c>
      <c r="O4710" s="93">
        <f>N(O4709)+IF(AND(B4710&lt;&gt;"",B4710&gt;='Uang Riba'!$H$30,B4710&lt;='Uang Riba'!$I$30,OR(H4710="Dana riba",H4710="Pinjam uang riba",I4710="Pinjam dari uang riba",I4710="Ganti uang riba",I4710="Kelebihan ganti dikembalikan",AND(C4710="Kantong Uang Riba",G4710="Pengeluaran"))),1,0)</f>
        <v/>
      </c>
      <c r="X4710" s="93">
        <f>IF(AND(B4710&lt;&gt;"",B4710&gt;='Buku Akun'!$H$4,B4710&lt;='Buku Akun'!$H$5,OR(C4710='Buku Akun'!$C$4,AND(D4710="Pindah",E4710='Buku Akun'!$C$4))),B4710+IF(AND(I4710="Selisih bunga",DAY(B4710)=1),0,0.01)+ROW()/10000000,"")</f>
        <v/>
      </c>
    </row>
    <row r="4711" outlineLevel="1" ht="15" customHeight="1" s="94">
      <c r="A4711" s="123">
        <f>IF(B4711="","",ROW()-15)</f>
        <v/>
      </c>
      <c r="B4711" s="124" t="n"/>
      <c r="C4711" s="123" t="n"/>
      <c r="D4711" s="123" t="n"/>
      <c r="E4711" s="123" t="n"/>
      <c r="F4711" s="125" t="n"/>
      <c r="G4711" s="123" t="n"/>
      <c r="H4711" s="123" t="n"/>
      <c r="I4711" s="123" t="n"/>
      <c r="J4711" s="123" t="n"/>
      <c r="K4711" s="123" t="n"/>
      <c r="L4711" s="123" t="n"/>
      <c r="M4711" s="123">
        <f>IF(AND(B4711&lt;&gt;"",OR($C$4="",ISNUMBER(SEARCH($C$4,C4711&amp;" "&amp;E4711&amp;" "&amp;G4711&amp;" "&amp;H4711&amp;" "&amp;I4711&amp;" "&amp;J4711&amp;" "&amp;K4711&amp;" "&amp;L4711))),OR($C$5="Semua",$C$5="",G4711=$C$5),OR($C$6="Semua",$C$6="",H4711=$C$6,H4711="Pengeluaran "&amp;$C$6,AND($C$6="Uang Kos Mama",H4711="Pengeluaran Uang Kos")),OR($C$7="Semua",$C$7="",I4711=$C$7),OR($C$8="Semua",$C$8="",C4711=$C$8,E4711=$C$8),OR($C$9="Semua",$C$9="",D4711=$C$9),OR($C$10="",B4711&gt;=$C$10),OR($C$11="",B4711&lt;=$C$11),OR($C$12&lt;&gt;"Ya",K4711&lt;&gt;""),OR($C$13="Semua",$C$13="",L4711=$C$13)),"✓","")</f>
        <v/>
      </c>
      <c r="N4711" s="93">
        <f>N(N4710)+IF(M4711="✓",1,0)</f>
        <v/>
      </c>
      <c r="O4711" s="93">
        <f>N(O4710)+IF(AND(B4711&lt;&gt;"",B4711&gt;='Uang Riba'!$H$30,B4711&lt;='Uang Riba'!$I$30,OR(H4711="Dana riba",H4711="Pinjam uang riba",I4711="Pinjam dari uang riba",I4711="Ganti uang riba",I4711="Kelebihan ganti dikembalikan",AND(C4711="Kantong Uang Riba",G4711="Pengeluaran"))),1,0)</f>
        <v/>
      </c>
      <c r="X4711" s="93">
        <f>IF(AND(B4711&lt;&gt;"",B4711&gt;='Buku Akun'!$H$4,B4711&lt;='Buku Akun'!$H$5,OR(C4711='Buku Akun'!$C$4,AND(D4711="Pindah",E4711='Buku Akun'!$C$4))),B4711+IF(AND(I4711="Selisih bunga",DAY(B4711)=1),0,0.01)+ROW()/10000000,"")</f>
        <v/>
      </c>
    </row>
    <row r="4712" outlineLevel="1" ht="15" customHeight="1" s="94">
      <c r="A4712" s="123">
        <f>IF(B4712="","",ROW()-15)</f>
        <v/>
      </c>
      <c r="B4712" s="124" t="n"/>
      <c r="C4712" s="123" t="n"/>
      <c r="D4712" s="123" t="n"/>
      <c r="E4712" s="123" t="n"/>
      <c r="F4712" s="125" t="n"/>
      <c r="G4712" s="123" t="n"/>
      <c r="H4712" s="123" t="n"/>
      <c r="I4712" s="123" t="n"/>
      <c r="J4712" s="123" t="n"/>
      <c r="K4712" s="123" t="n"/>
      <c r="L4712" s="123" t="n"/>
      <c r="M4712" s="123">
        <f>IF(AND(B4712&lt;&gt;"",OR($C$4="",ISNUMBER(SEARCH($C$4,C4712&amp;" "&amp;E4712&amp;" "&amp;G4712&amp;" "&amp;H4712&amp;" "&amp;I4712&amp;" "&amp;J4712&amp;" "&amp;K4712&amp;" "&amp;L4712))),OR($C$5="Semua",$C$5="",G4712=$C$5),OR($C$6="Semua",$C$6="",H4712=$C$6,H4712="Pengeluaran "&amp;$C$6,AND($C$6="Uang Kos Mama",H4712="Pengeluaran Uang Kos")),OR($C$7="Semua",$C$7="",I4712=$C$7),OR($C$8="Semua",$C$8="",C4712=$C$8,E4712=$C$8),OR($C$9="Semua",$C$9="",D4712=$C$9),OR($C$10="",B4712&gt;=$C$10),OR($C$11="",B4712&lt;=$C$11),OR($C$12&lt;&gt;"Ya",K4712&lt;&gt;""),OR($C$13="Semua",$C$13="",L4712=$C$13)),"✓","")</f>
        <v/>
      </c>
      <c r="N4712" s="93">
        <f>N(N4711)+IF(M4712="✓",1,0)</f>
        <v/>
      </c>
      <c r="O4712" s="93">
        <f>N(O4711)+IF(AND(B4712&lt;&gt;"",B4712&gt;='Uang Riba'!$H$30,B4712&lt;='Uang Riba'!$I$30,OR(H4712="Dana riba",H4712="Pinjam uang riba",I4712="Pinjam dari uang riba",I4712="Ganti uang riba",I4712="Kelebihan ganti dikembalikan",AND(C4712="Kantong Uang Riba",G4712="Pengeluaran"))),1,0)</f>
        <v/>
      </c>
      <c r="X4712" s="93">
        <f>IF(AND(B4712&lt;&gt;"",B4712&gt;='Buku Akun'!$H$4,B4712&lt;='Buku Akun'!$H$5,OR(C4712='Buku Akun'!$C$4,AND(D4712="Pindah",E4712='Buku Akun'!$C$4))),B4712+IF(AND(I4712="Selisih bunga",DAY(B4712)=1),0,0.01)+ROW()/10000000,"")</f>
        <v/>
      </c>
    </row>
    <row r="4713" outlineLevel="1" ht="15" customHeight="1" s="94">
      <c r="A4713" s="123">
        <f>IF(B4713="","",ROW()-15)</f>
        <v/>
      </c>
      <c r="B4713" s="124" t="n"/>
      <c r="C4713" s="123" t="n"/>
      <c r="D4713" s="123" t="n"/>
      <c r="E4713" s="123" t="n"/>
      <c r="F4713" s="125" t="n"/>
      <c r="G4713" s="123" t="n"/>
      <c r="H4713" s="123" t="n"/>
      <c r="I4713" s="123" t="n"/>
      <c r="J4713" s="123" t="n"/>
      <c r="K4713" s="123" t="n"/>
      <c r="L4713" s="123" t="n"/>
      <c r="M4713" s="123">
        <f>IF(AND(B4713&lt;&gt;"",OR($C$4="",ISNUMBER(SEARCH($C$4,C4713&amp;" "&amp;E4713&amp;" "&amp;G4713&amp;" "&amp;H4713&amp;" "&amp;I4713&amp;" "&amp;J4713&amp;" "&amp;K4713&amp;" "&amp;L4713))),OR($C$5="Semua",$C$5="",G4713=$C$5),OR($C$6="Semua",$C$6="",H4713=$C$6,H4713="Pengeluaran "&amp;$C$6,AND($C$6="Uang Kos Mama",H4713="Pengeluaran Uang Kos")),OR($C$7="Semua",$C$7="",I4713=$C$7),OR($C$8="Semua",$C$8="",C4713=$C$8,E4713=$C$8),OR($C$9="Semua",$C$9="",D4713=$C$9),OR($C$10="",B4713&gt;=$C$10),OR($C$11="",B4713&lt;=$C$11),OR($C$12&lt;&gt;"Ya",K4713&lt;&gt;""),OR($C$13="Semua",$C$13="",L4713=$C$13)),"✓","")</f>
        <v/>
      </c>
      <c r="N4713" s="93">
        <f>N(N4712)+IF(M4713="✓",1,0)</f>
        <v/>
      </c>
      <c r="O4713" s="93">
        <f>N(O4712)+IF(AND(B4713&lt;&gt;"",B4713&gt;='Uang Riba'!$H$30,B4713&lt;='Uang Riba'!$I$30,OR(H4713="Dana riba",H4713="Pinjam uang riba",I4713="Pinjam dari uang riba",I4713="Ganti uang riba",I4713="Kelebihan ganti dikembalikan",AND(C4713="Kantong Uang Riba",G4713="Pengeluaran"))),1,0)</f>
        <v/>
      </c>
      <c r="X4713" s="93">
        <f>IF(AND(B4713&lt;&gt;"",B4713&gt;='Buku Akun'!$H$4,B4713&lt;='Buku Akun'!$H$5,OR(C4713='Buku Akun'!$C$4,AND(D4713="Pindah",E4713='Buku Akun'!$C$4))),B4713+IF(AND(I4713="Selisih bunga",DAY(B4713)=1),0,0.01)+ROW()/10000000,"")</f>
        <v/>
      </c>
    </row>
    <row r="4714" outlineLevel="1" ht="15" customHeight="1" s="94">
      <c r="A4714" s="123">
        <f>IF(B4714="","",ROW()-15)</f>
        <v/>
      </c>
      <c r="B4714" s="124" t="n"/>
      <c r="C4714" s="123" t="n"/>
      <c r="D4714" s="123" t="n"/>
      <c r="E4714" s="123" t="n"/>
      <c r="F4714" s="125" t="n"/>
      <c r="G4714" s="123" t="n"/>
      <c r="H4714" s="123" t="n"/>
      <c r="I4714" s="123" t="n"/>
      <c r="J4714" s="123" t="n"/>
      <c r="K4714" s="123" t="n"/>
      <c r="L4714" s="123" t="n"/>
      <c r="M4714" s="123">
        <f>IF(AND(B4714&lt;&gt;"",OR($C$4="",ISNUMBER(SEARCH($C$4,C4714&amp;" "&amp;E4714&amp;" "&amp;G4714&amp;" "&amp;H4714&amp;" "&amp;I4714&amp;" "&amp;J4714&amp;" "&amp;K4714&amp;" "&amp;L4714))),OR($C$5="Semua",$C$5="",G4714=$C$5),OR($C$6="Semua",$C$6="",H4714=$C$6,H4714="Pengeluaran "&amp;$C$6,AND($C$6="Uang Kos Mama",H4714="Pengeluaran Uang Kos")),OR($C$7="Semua",$C$7="",I4714=$C$7),OR($C$8="Semua",$C$8="",C4714=$C$8,E4714=$C$8),OR($C$9="Semua",$C$9="",D4714=$C$9),OR($C$10="",B4714&gt;=$C$10),OR($C$11="",B4714&lt;=$C$11),OR($C$12&lt;&gt;"Ya",K4714&lt;&gt;""),OR($C$13="Semua",$C$13="",L4714=$C$13)),"✓","")</f>
        <v/>
      </c>
      <c r="N4714" s="93">
        <f>N(N4713)+IF(M4714="✓",1,0)</f>
        <v/>
      </c>
      <c r="O4714" s="93">
        <f>N(O4713)+IF(AND(B4714&lt;&gt;"",B4714&gt;='Uang Riba'!$H$30,B4714&lt;='Uang Riba'!$I$30,OR(H4714="Dana riba",H4714="Pinjam uang riba",I4714="Pinjam dari uang riba",I4714="Ganti uang riba",I4714="Kelebihan ganti dikembalikan",AND(C4714="Kantong Uang Riba",G4714="Pengeluaran"))),1,0)</f>
        <v/>
      </c>
      <c r="X4714" s="93">
        <f>IF(AND(B4714&lt;&gt;"",B4714&gt;='Buku Akun'!$H$4,B4714&lt;='Buku Akun'!$H$5,OR(C4714='Buku Akun'!$C$4,AND(D4714="Pindah",E4714='Buku Akun'!$C$4))),B4714+IF(AND(I4714="Selisih bunga",DAY(B4714)=1),0,0.01)+ROW()/10000000,"")</f>
        <v/>
      </c>
    </row>
    <row r="4715" outlineLevel="1" ht="15" customHeight="1" s="94">
      <c r="A4715" s="123">
        <f>IF(B4715="","",ROW()-15)</f>
        <v/>
      </c>
      <c r="B4715" s="124" t="n"/>
      <c r="C4715" s="123" t="n"/>
      <c r="D4715" s="123" t="n"/>
      <c r="E4715" s="123" t="n"/>
      <c r="F4715" s="125" t="n"/>
      <c r="G4715" s="123" t="n"/>
      <c r="H4715" s="123" t="n"/>
      <c r="I4715" s="123" t="n"/>
      <c r="J4715" s="123" t="n"/>
      <c r="K4715" s="123" t="n"/>
      <c r="L4715" s="123" t="n"/>
      <c r="M4715" s="123">
        <f>IF(AND(B4715&lt;&gt;"",OR($C$4="",ISNUMBER(SEARCH($C$4,C4715&amp;" "&amp;E4715&amp;" "&amp;G4715&amp;" "&amp;H4715&amp;" "&amp;I4715&amp;" "&amp;J4715&amp;" "&amp;K4715&amp;" "&amp;L4715))),OR($C$5="Semua",$C$5="",G4715=$C$5),OR($C$6="Semua",$C$6="",H4715=$C$6,H4715="Pengeluaran "&amp;$C$6,AND($C$6="Uang Kos Mama",H4715="Pengeluaran Uang Kos")),OR($C$7="Semua",$C$7="",I4715=$C$7),OR($C$8="Semua",$C$8="",C4715=$C$8,E4715=$C$8),OR($C$9="Semua",$C$9="",D4715=$C$9),OR($C$10="",B4715&gt;=$C$10),OR($C$11="",B4715&lt;=$C$11),OR($C$12&lt;&gt;"Ya",K4715&lt;&gt;""),OR($C$13="Semua",$C$13="",L4715=$C$13)),"✓","")</f>
        <v/>
      </c>
      <c r="N4715" s="93">
        <f>N(N4714)+IF(M4715="✓",1,0)</f>
        <v/>
      </c>
      <c r="O4715" s="93">
        <f>N(O4714)+IF(AND(B4715&lt;&gt;"",B4715&gt;='Uang Riba'!$H$30,B4715&lt;='Uang Riba'!$I$30,OR(H4715="Dana riba",H4715="Pinjam uang riba",I4715="Pinjam dari uang riba",I4715="Ganti uang riba",I4715="Kelebihan ganti dikembalikan",AND(C4715="Kantong Uang Riba",G4715="Pengeluaran"))),1,0)</f>
        <v/>
      </c>
      <c r="X4715" s="93">
        <f>IF(AND(B4715&lt;&gt;"",B4715&gt;='Buku Akun'!$H$4,B4715&lt;='Buku Akun'!$H$5,OR(C4715='Buku Akun'!$C$4,AND(D4715="Pindah",E4715='Buku Akun'!$C$4))),B4715+IF(AND(I4715="Selisih bunga",DAY(B4715)=1),0,0.01)+ROW()/10000000,"")</f>
        <v/>
      </c>
    </row>
    <row r="4716" outlineLevel="1" ht="15" customHeight="1" s="94">
      <c r="A4716" s="123">
        <f>IF(B4716="","",ROW()-15)</f>
        <v/>
      </c>
      <c r="B4716" s="124" t="n"/>
      <c r="C4716" s="123" t="n"/>
      <c r="D4716" s="123" t="n"/>
      <c r="E4716" s="123" t="n"/>
      <c r="F4716" s="125" t="n"/>
      <c r="G4716" s="123" t="n"/>
      <c r="H4716" s="123" t="n"/>
      <c r="I4716" s="123" t="n"/>
      <c r="J4716" s="123" t="n"/>
      <c r="K4716" s="123" t="n"/>
      <c r="L4716" s="123" t="n"/>
      <c r="M4716" s="123">
        <f>IF(AND(B4716&lt;&gt;"",OR($C$4="",ISNUMBER(SEARCH($C$4,C4716&amp;" "&amp;E4716&amp;" "&amp;G4716&amp;" "&amp;H4716&amp;" "&amp;I4716&amp;" "&amp;J4716&amp;" "&amp;K4716&amp;" "&amp;L4716))),OR($C$5="Semua",$C$5="",G4716=$C$5),OR($C$6="Semua",$C$6="",H4716=$C$6,H4716="Pengeluaran "&amp;$C$6,AND($C$6="Uang Kos Mama",H4716="Pengeluaran Uang Kos")),OR($C$7="Semua",$C$7="",I4716=$C$7),OR($C$8="Semua",$C$8="",C4716=$C$8,E4716=$C$8),OR($C$9="Semua",$C$9="",D4716=$C$9),OR($C$10="",B4716&gt;=$C$10),OR($C$11="",B4716&lt;=$C$11),OR($C$12&lt;&gt;"Ya",K4716&lt;&gt;""),OR($C$13="Semua",$C$13="",L4716=$C$13)),"✓","")</f>
        <v/>
      </c>
      <c r="N4716" s="93">
        <f>N(N4715)+IF(M4716="✓",1,0)</f>
        <v/>
      </c>
      <c r="O4716" s="93">
        <f>N(O4715)+IF(AND(B4716&lt;&gt;"",B4716&gt;='Uang Riba'!$H$30,B4716&lt;='Uang Riba'!$I$30,OR(H4716="Dana riba",H4716="Pinjam uang riba",I4716="Pinjam dari uang riba",I4716="Ganti uang riba",I4716="Kelebihan ganti dikembalikan",AND(C4716="Kantong Uang Riba",G4716="Pengeluaran"))),1,0)</f>
        <v/>
      </c>
      <c r="X4716" s="93">
        <f>IF(AND(B4716&lt;&gt;"",B4716&gt;='Buku Akun'!$H$4,B4716&lt;='Buku Akun'!$H$5,OR(C4716='Buku Akun'!$C$4,AND(D4716="Pindah",E4716='Buku Akun'!$C$4))),B4716+IF(AND(I4716="Selisih bunga",DAY(B4716)=1),0,0.01)+ROW()/10000000,"")</f>
        <v/>
      </c>
    </row>
    <row r="4717" outlineLevel="1" ht="15" customHeight="1" s="94">
      <c r="A4717" s="123">
        <f>IF(B4717="","",ROW()-15)</f>
        <v/>
      </c>
      <c r="B4717" s="124" t="n"/>
      <c r="C4717" s="123" t="n"/>
      <c r="D4717" s="123" t="n"/>
      <c r="E4717" s="123" t="n"/>
      <c r="F4717" s="125" t="n"/>
      <c r="G4717" s="123" t="n"/>
      <c r="H4717" s="123" t="n"/>
      <c r="I4717" s="123" t="n"/>
      <c r="J4717" s="123" t="n"/>
      <c r="K4717" s="123" t="n"/>
      <c r="L4717" s="123" t="n"/>
      <c r="M4717" s="123">
        <f>IF(AND(B4717&lt;&gt;"",OR($C$4="",ISNUMBER(SEARCH($C$4,C4717&amp;" "&amp;E4717&amp;" "&amp;G4717&amp;" "&amp;H4717&amp;" "&amp;I4717&amp;" "&amp;J4717&amp;" "&amp;K4717&amp;" "&amp;L4717))),OR($C$5="Semua",$C$5="",G4717=$C$5),OR($C$6="Semua",$C$6="",H4717=$C$6,H4717="Pengeluaran "&amp;$C$6,AND($C$6="Uang Kos Mama",H4717="Pengeluaran Uang Kos")),OR($C$7="Semua",$C$7="",I4717=$C$7),OR($C$8="Semua",$C$8="",C4717=$C$8,E4717=$C$8),OR($C$9="Semua",$C$9="",D4717=$C$9),OR($C$10="",B4717&gt;=$C$10),OR($C$11="",B4717&lt;=$C$11),OR($C$12&lt;&gt;"Ya",K4717&lt;&gt;""),OR($C$13="Semua",$C$13="",L4717=$C$13)),"✓","")</f>
        <v/>
      </c>
      <c r="N4717" s="93">
        <f>N(N4716)+IF(M4717="✓",1,0)</f>
        <v/>
      </c>
      <c r="O4717" s="93">
        <f>N(O4716)+IF(AND(B4717&lt;&gt;"",B4717&gt;='Uang Riba'!$H$30,B4717&lt;='Uang Riba'!$I$30,OR(H4717="Dana riba",H4717="Pinjam uang riba",I4717="Pinjam dari uang riba",I4717="Ganti uang riba",I4717="Kelebihan ganti dikembalikan",AND(C4717="Kantong Uang Riba",G4717="Pengeluaran"))),1,0)</f>
        <v/>
      </c>
      <c r="X4717" s="93">
        <f>IF(AND(B4717&lt;&gt;"",B4717&gt;='Buku Akun'!$H$4,B4717&lt;='Buku Akun'!$H$5,OR(C4717='Buku Akun'!$C$4,AND(D4717="Pindah",E4717='Buku Akun'!$C$4))),B4717+IF(AND(I4717="Selisih bunga",DAY(B4717)=1),0,0.01)+ROW()/10000000,"")</f>
        <v/>
      </c>
    </row>
    <row r="4718" outlineLevel="1" ht="15" customHeight="1" s="94">
      <c r="A4718" s="123">
        <f>IF(B4718="","",ROW()-15)</f>
        <v/>
      </c>
      <c r="B4718" s="124" t="n"/>
      <c r="C4718" s="123" t="n"/>
      <c r="D4718" s="123" t="n"/>
      <c r="E4718" s="123" t="n"/>
      <c r="F4718" s="125" t="n"/>
      <c r="G4718" s="123" t="n"/>
      <c r="H4718" s="123" t="n"/>
      <c r="I4718" s="123" t="n"/>
      <c r="J4718" s="123" t="n"/>
      <c r="K4718" s="123" t="n"/>
      <c r="L4718" s="123" t="n"/>
      <c r="M4718" s="123">
        <f>IF(AND(B4718&lt;&gt;"",OR($C$4="",ISNUMBER(SEARCH($C$4,C4718&amp;" "&amp;E4718&amp;" "&amp;G4718&amp;" "&amp;H4718&amp;" "&amp;I4718&amp;" "&amp;J4718&amp;" "&amp;K4718&amp;" "&amp;L4718))),OR($C$5="Semua",$C$5="",G4718=$C$5),OR($C$6="Semua",$C$6="",H4718=$C$6,H4718="Pengeluaran "&amp;$C$6,AND($C$6="Uang Kos Mama",H4718="Pengeluaran Uang Kos")),OR($C$7="Semua",$C$7="",I4718=$C$7),OR($C$8="Semua",$C$8="",C4718=$C$8,E4718=$C$8),OR($C$9="Semua",$C$9="",D4718=$C$9),OR($C$10="",B4718&gt;=$C$10),OR($C$11="",B4718&lt;=$C$11),OR($C$12&lt;&gt;"Ya",K4718&lt;&gt;""),OR($C$13="Semua",$C$13="",L4718=$C$13)),"✓","")</f>
        <v/>
      </c>
      <c r="N4718" s="93">
        <f>N(N4717)+IF(M4718="✓",1,0)</f>
        <v/>
      </c>
      <c r="O4718" s="93">
        <f>N(O4717)+IF(AND(B4718&lt;&gt;"",B4718&gt;='Uang Riba'!$H$30,B4718&lt;='Uang Riba'!$I$30,OR(H4718="Dana riba",H4718="Pinjam uang riba",I4718="Pinjam dari uang riba",I4718="Ganti uang riba",I4718="Kelebihan ganti dikembalikan",AND(C4718="Kantong Uang Riba",G4718="Pengeluaran"))),1,0)</f>
        <v/>
      </c>
      <c r="X4718" s="93">
        <f>IF(AND(B4718&lt;&gt;"",B4718&gt;='Buku Akun'!$H$4,B4718&lt;='Buku Akun'!$H$5,OR(C4718='Buku Akun'!$C$4,AND(D4718="Pindah",E4718='Buku Akun'!$C$4))),B4718+IF(AND(I4718="Selisih bunga",DAY(B4718)=1),0,0.01)+ROW()/10000000,"")</f>
        <v/>
      </c>
    </row>
    <row r="4719" outlineLevel="1" ht="15" customHeight="1" s="94">
      <c r="A4719" s="123">
        <f>IF(B4719="","",ROW()-15)</f>
        <v/>
      </c>
      <c r="B4719" s="124" t="n"/>
      <c r="C4719" s="123" t="n"/>
      <c r="D4719" s="123" t="n"/>
      <c r="E4719" s="123" t="n"/>
      <c r="F4719" s="125" t="n"/>
      <c r="G4719" s="123" t="n"/>
      <c r="H4719" s="123" t="n"/>
      <c r="I4719" s="123" t="n"/>
      <c r="J4719" s="123" t="n"/>
      <c r="K4719" s="123" t="n"/>
      <c r="L4719" s="123" t="n"/>
      <c r="M4719" s="123">
        <f>IF(AND(B4719&lt;&gt;"",OR($C$4="",ISNUMBER(SEARCH($C$4,C4719&amp;" "&amp;E4719&amp;" "&amp;G4719&amp;" "&amp;H4719&amp;" "&amp;I4719&amp;" "&amp;J4719&amp;" "&amp;K4719&amp;" "&amp;L4719))),OR($C$5="Semua",$C$5="",G4719=$C$5),OR($C$6="Semua",$C$6="",H4719=$C$6,H4719="Pengeluaran "&amp;$C$6,AND($C$6="Uang Kos Mama",H4719="Pengeluaran Uang Kos")),OR($C$7="Semua",$C$7="",I4719=$C$7),OR($C$8="Semua",$C$8="",C4719=$C$8,E4719=$C$8),OR($C$9="Semua",$C$9="",D4719=$C$9),OR($C$10="",B4719&gt;=$C$10),OR($C$11="",B4719&lt;=$C$11),OR($C$12&lt;&gt;"Ya",K4719&lt;&gt;""),OR($C$13="Semua",$C$13="",L4719=$C$13)),"✓","")</f>
        <v/>
      </c>
      <c r="N4719" s="93">
        <f>N(N4718)+IF(M4719="✓",1,0)</f>
        <v/>
      </c>
      <c r="O4719" s="93">
        <f>N(O4718)+IF(AND(B4719&lt;&gt;"",B4719&gt;='Uang Riba'!$H$30,B4719&lt;='Uang Riba'!$I$30,OR(H4719="Dana riba",H4719="Pinjam uang riba",I4719="Pinjam dari uang riba",I4719="Ganti uang riba",I4719="Kelebihan ganti dikembalikan",AND(C4719="Kantong Uang Riba",G4719="Pengeluaran"))),1,0)</f>
        <v/>
      </c>
      <c r="X4719" s="93">
        <f>IF(AND(B4719&lt;&gt;"",B4719&gt;='Buku Akun'!$H$4,B4719&lt;='Buku Akun'!$H$5,OR(C4719='Buku Akun'!$C$4,AND(D4719="Pindah",E4719='Buku Akun'!$C$4))),B4719+IF(AND(I4719="Selisih bunga",DAY(B4719)=1),0,0.01)+ROW()/10000000,"")</f>
        <v/>
      </c>
    </row>
    <row r="4720" outlineLevel="1" ht="15" customHeight="1" s="94">
      <c r="A4720" s="123">
        <f>IF(B4720="","",ROW()-15)</f>
        <v/>
      </c>
      <c r="B4720" s="124" t="n"/>
      <c r="C4720" s="123" t="n"/>
      <c r="D4720" s="123" t="n"/>
      <c r="E4720" s="123" t="n"/>
      <c r="F4720" s="125" t="n"/>
      <c r="G4720" s="123" t="n"/>
      <c r="H4720" s="123" t="n"/>
      <c r="I4720" s="123" t="n"/>
      <c r="J4720" s="123" t="n"/>
      <c r="K4720" s="123" t="n"/>
      <c r="L4720" s="123" t="n"/>
      <c r="M4720" s="123">
        <f>IF(AND(B4720&lt;&gt;"",OR($C$4="",ISNUMBER(SEARCH($C$4,C4720&amp;" "&amp;E4720&amp;" "&amp;G4720&amp;" "&amp;H4720&amp;" "&amp;I4720&amp;" "&amp;J4720&amp;" "&amp;K4720&amp;" "&amp;L4720))),OR($C$5="Semua",$C$5="",G4720=$C$5),OR($C$6="Semua",$C$6="",H4720=$C$6,H4720="Pengeluaran "&amp;$C$6,AND($C$6="Uang Kos Mama",H4720="Pengeluaran Uang Kos")),OR($C$7="Semua",$C$7="",I4720=$C$7),OR($C$8="Semua",$C$8="",C4720=$C$8,E4720=$C$8),OR($C$9="Semua",$C$9="",D4720=$C$9),OR($C$10="",B4720&gt;=$C$10),OR($C$11="",B4720&lt;=$C$11),OR($C$12&lt;&gt;"Ya",K4720&lt;&gt;""),OR($C$13="Semua",$C$13="",L4720=$C$13)),"✓","")</f>
        <v/>
      </c>
      <c r="N4720" s="93">
        <f>N(N4719)+IF(M4720="✓",1,0)</f>
        <v/>
      </c>
      <c r="O4720" s="93">
        <f>N(O4719)+IF(AND(B4720&lt;&gt;"",B4720&gt;='Uang Riba'!$H$30,B4720&lt;='Uang Riba'!$I$30,OR(H4720="Dana riba",H4720="Pinjam uang riba",I4720="Pinjam dari uang riba",I4720="Ganti uang riba",I4720="Kelebihan ganti dikembalikan",AND(C4720="Kantong Uang Riba",G4720="Pengeluaran"))),1,0)</f>
        <v/>
      </c>
      <c r="X4720" s="93">
        <f>IF(AND(B4720&lt;&gt;"",B4720&gt;='Buku Akun'!$H$4,B4720&lt;='Buku Akun'!$H$5,OR(C4720='Buku Akun'!$C$4,AND(D4720="Pindah",E4720='Buku Akun'!$C$4))),B4720+IF(AND(I4720="Selisih bunga",DAY(B4720)=1),0,0.01)+ROW()/10000000,"")</f>
        <v/>
      </c>
    </row>
    <row r="4721" outlineLevel="1" ht="15" customHeight="1" s="94">
      <c r="A4721" s="123">
        <f>IF(B4721="","",ROW()-15)</f>
        <v/>
      </c>
      <c r="B4721" s="124" t="n"/>
      <c r="C4721" s="123" t="n"/>
      <c r="D4721" s="123" t="n"/>
      <c r="E4721" s="123" t="n"/>
      <c r="F4721" s="125" t="n"/>
      <c r="G4721" s="123" t="n"/>
      <c r="H4721" s="123" t="n"/>
      <c r="I4721" s="123" t="n"/>
      <c r="J4721" s="123" t="n"/>
      <c r="K4721" s="123" t="n"/>
      <c r="L4721" s="123" t="n"/>
      <c r="M4721" s="123">
        <f>IF(AND(B4721&lt;&gt;"",OR($C$4="",ISNUMBER(SEARCH($C$4,C4721&amp;" "&amp;E4721&amp;" "&amp;G4721&amp;" "&amp;H4721&amp;" "&amp;I4721&amp;" "&amp;J4721&amp;" "&amp;K4721&amp;" "&amp;L4721))),OR($C$5="Semua",$C$5="",G4721=$C$5),OR($C$6="Semua",$C$6="",H4721=$C$6,H4721="Pengeluaran "&amp;$C$6,AND($C$6="Uang Kos Mama",H4721="Pengeluaran Uang Kos")),OR($C$7="Semua",$C$7="",I4721=$C$7),OR($C$8="Semua",$C$8="",C4721=$C$8,E4721=$C$8),OR($C$9="Semua",$C$9="",D4721=$C$9),OR($C$10="",B4721&gt;=$C$10),OR($C$11="",B4721&lt;=$C$11),OR($C$12&lt;&gt;"Ya",K4721&lt;&gt;""),OR($C$13="Semua",$C$13="",L4721=$C$13)),"✓","")</f>
        <v/>
      </c>
      <c r="N4721" s="93">
        <f>N(N4720)+IF(M4721="✓",1,0)</f>
        <v/>
      </c>
      <c r="O4721" s="93">
        <f>N(O4720)+IF(AND(B4721&lt;&gt;"",B4721&gt;='Uang Riba'!$H$30,B4721&lt;='Uang Riba'!$I$30,OR(H4721="Dana riba",H4721="Pinjam uang riba",I4721="Pinjam dari uang riba",I4721="Ganti uang riba",I4721="Kelebihan ganti dikembalikan",AND(C4721="Kantong Uang Riba",G4721="Pengeluaran"))),1,0)</f>
        <v/>
      </c>
      <c r="X4721" s="93">
        <f>IF(AND(B4721&lt;&gt;"",B4721&gt;='Buku Akun'!$H$4,B4721&lt;='Buku Akun'!$H$5,OR(C4721='Buku Akun'!$C$4,AND(D4721="Pindah",E4721='Buku Akun'!$C$4))),B4721+IF(AND(I4721="Selisih bunga",DAY(B4721)=1),0,0.01)+ROW()/10000000,"")</f>
        <v/>
      </c>
    </row>
    <row r="4722" outlineLevel="1" ht="15" customHeight="1" s="94">
      <c r="A4722" s="123">
        <f>IF(B4722="","",ROW()-15)</f>
        <v/>
      </c>
      <c r="B4722" s="124" t="n"/>
      <c r="C4722" s="123" t="n"/>
      <c r="D4722" s="123" t="n"/>
      <c r="E4722" s="123" t="n"/>
      <c r="F4722" s="125" t="n"/>
      <c r="G4722" s="123" t="n"/>
      <c r="H4722" s="123" t="n"/>
      <c r="I4722" s="123" t="n"/>
      <c r="J4722" s="123" t="n"/>
      <c r="K4722" s="123" t="n"/>
      <c r="L4722" s="123" t="n"/>
      <c r="M4722" s="123">
        <f>IF(AND(B4722&lt;&gt;"",OR($C$4="",ISNUMBER(SEARCH($C$4,C4722&amp;" "&amp;E4722&amp;" "&amp;G4722&amp;" "&amp;H4722&amp;" "&amp;I4722&amp;" "&amp;J4722&amp;" "&amp;K4722&amp;" "&amp;L4722))),OR($C$5="Semua",$C$5="",G4722=$C$5),OR($C$6="Semua",$C$6="",H4722=$C$6,H4722="Pengeluaran "&amp;$C$6,AND($C$6="Uang Kos Mama",H4722="Pengeluaran Uang Kos")),OR($C$7="Semua",$C$7="",I4722=$C$7),OR($C$8="Semua",$C$8="",C4722=$C$8,E4722=$C$8),OR($C$9="Semua",$C$9="",D4722=$C$9),OR($C$10="",B4722&gt;=$C$10),OR($C$11="",B4722&lt;=$C$11),OR($C$12&lt;&gt;"Ya",K4722&lt;&gt;""),OR($C$13="Semua",$C$13="",L4722=$C$13)),"✓","")</f>
        <v/>
      </c>
      <c r="N4722" s="93">
        <f>N(N4721)+IF(M4722="✓",1,0)</f>
        <v/>
      </c>
      <c r="O4722" s="93">
        <f>N(O4721)+IF(AND(B4722&lt;&gt;"",B4722&gt;='Uang Riba'!$H$30,B4722&lt;='Uang Riba'!$I$30,OR(H4722="Dana riba",H4722="Pinjam uang riba",I4722="Pinjam dari uang riba",I4722="Ganti uang riba",I4722="Kelebihan ganti dikembalikan",AND(C4722="Kantong Uang Riba",G4722="Pengeluaran"))),1,0)</f>
        <v/>
      </c>
      <c r="X4722" s="93">
        <f>IF(AND(B4722&lt;&gt;"",B4722&gt;='Buku Akun'!$H$4,B4722&lt;='Buku Akun'!$H$5,OR(C4722='Buku Akun'!$C$4,AND(D4722="Pindah",E4722='Buku Akun'!$C$4))),B4722+IF(AND(I4722="Selisih bunga",DAY(B4722)=1),0,0.01)+ROW()/10000000,"")</f>
        <v/>
      </c>
    </row>
    <row r="4723" outlineLevel="1" ht="15" customHeight="1" s="94">
      <c r="A4723" s="123">
        <f>IF(B4723="","",ROW()-15)</f>
        <v/>
      </c>
      <c r="B4723" s="124" t="n"/>
      <c r="C4723" s="123" t="n"/>
      <c r="D4723" s="123" t="n"/>
      <c r="E4723" s="123" t="n"/>
      <c r="F4723" s="125" t="n"/>
      <c r="G4723" s="123" t="n"/>
      <c r="H4723" s="123" t="n"/>
      <c r="I4723" s="123" t="n"/>
      <c r="J4723" s="123" t="n"/>
      <c r="K4723" s="123" t="n"/>
      <c r="L4723" s="123" t="n"/>
      <c r="M4723" s="123">
        <f>IF(AND(B4723&lt;&gt;"",OR($C$4="",ISNUMBER(SEARCH($C$4,C4723&amp;" "&amp;E4723&amp;" "&amp;G4723&amp;" "&amp;H4723&amp;" "&amp;I4723&amp;" "&amp;J4723&amp;" "&amp;K4723&amp;" "&amp;L4723))),OR($C$5="Semua",$C$5="",G4723=$C$5),OR($C$6="Semua",$C$6="",H4723=$C$6,H4723="Pengeluaran "&amp;$C$6,AND($C$6="Uang Kos Mama",H4723="Pengeluaran Uang Kos")),OR($C$7="Semua",$C$7="",I4723=$C$7),OR($C$8="Semua",$C$8="",C4723=$C$8,E4723=$C$8),OR($C$9="Semua",$C$9="",D4723=$C$9),OR($C$10="",B4723&gt;=$C$10),OR($C$11="",B4723&lt;=$C$11),OR($C$12&lt;&gt;"Ya",K4723&lt;&gt;""),OR($C$13="Semua",$C$13="",L4723=$C$13)),"✓","")</f>
        <v/>
      </c>
      <c r="N4723" s="93">
        <f>N(N4722)+IF(M4723="✓",1,0)</f>
        <v/>
      </c>
      <c r="O4723" s="93">
        <f>N(O4722)+IF(AND(B4723&lt;&gt;"",B4723&gt;='Uang Riba'!$H$30,B4723&lt;='Uang Riba'!$I$30,OR(H4723="Dana riba",H4723="Pinjam uang riba",I4723="Pinjam dari uang riba",I4723="Ganti uang riba",I4723="Kelebihan ganti dikembalikan",AND(C4723="Kantong Uang Riba",G4723="Pengeluaran"))),1,0)</f>
        <v/>
      </c>
      <c r="X4723" s="93">
        <f>IF(AND(B4723&lt;&gt;"",B4723&gt;='Buku Akun'!$H$4,B4723&lt;='Buku Akun'!$H$5,OR(C4723='Buku Akun'!$C$4,AND(D4723="Pindah",E4723='Buku Akun'!$C$4))),B4723+IF(AND(I4723="Selisih bunga",DAY(B4723)=1),0,0.01)+ROW()/10000000,"")</f>
        <v/>
      </c>
    </row>
    <row r="4724" outlineLevel="1" ht="15" customHeight="1" s="94">
      <c r="A4724" s="123">
        <f>IF(B4724="","",ROW()-15)</f>
        <v/>
      </c>
      <c r="B4724" s="124" t="n"/>
      <c r="C4724" s="123" t="n"/>
      <c r="D4724" s="123" t="n"/>
      <c r="E4724" s="123" t="n"/>
      <c r="F4724" s="125" t="n"/>
      <c r="G4724" s="123" t="n"/>
      <c r="H4724" s="123" t="n"/>
      <c r="I4724" s="123" t="n"/>
      <c r="J4724" s="123" t="n"/>
      <c r="K4724" s="123" t="n"/>
      <c r="L4724" s="123" t="n"/>
      <c r="M4724" s="123">
        <f>IF(AND(B4724&lt;&gt;"",OR($C$4="",ISNUMBER(SEARCH($C$4,C4724&amp;" "&amp;E4724&amp;" "&amp;G4724&amp;" "&amp;H4724&amp;" "&amp;I4724&amp;" "&amp;J4724&amp;" "&amp;K4724&amp;" "&amp;L4724))),OR($C$5="Semua",$C$5="",G4724=$C$5),OR($C$6="Semua",$C$6="",H4724=$C$6,H4724="Pengeluaran "&amp;$C$6,AND($C$6="Uang Kos Mama",H4724="Pengeluaran Uang Kos")),OR($C$7="Semua",$C$7="",I4724=$C$7),OR($C$8="Semua",$C$8="",C4724=$C$8,E4724=$C$8),OR($C$9="Semua",$C$9="",D4724=$C$9),OR($C$10="",B4724&gt;=$C$10),OR($C$11="",B4724&lt;=$C$11),OR($C$12&lt;&gt;"Ya",K4724&lt;&gt;""),OR($C$13="Semua",$C$13="",L4724=$C$13)),"✓","")</f>
        <v/>
      </c>
      <c r="N4724" s="93">
        <f>N(N4723)+IF(M4724="✓",1,0)</f>
        <v/>
      </c>
      <c r="O4724" s="93">
        <f>N(O4723)+IF(AND(B4724&lt;&gt;"",B4724&gt;='Uang Riba'!$H$30,B4724&lt;='Uang Riba'!$I$30,OR(H4724="Dana riba",H4724="Pinjam uang riba",I4724="Pinjam dari uang riba",I4724="Ganti uang riba",I4724="Kelebihan ganti dikembalikan",AND(C4724="Kantong Uang Riba",G4724="Pengeluaran"))),1,0)</f>
        <v/>
      </c>
      <c r="X4724" s="93">
        <f>IF(AND(B4724&lt;&gt;"",B4724&gt;='Buku Akun'!$H$4,B4724&lt;='Buku Akun'!$H$5,OR(C4724='Buku Akun'!$C$4,AND(D4724="Pindah",E4724='Buku Akun'!$C$4))),B4724+IF(AND(I4724="Selisih bunga",DAY(B4724)=1),0,0.01)+ROW()/10000000,"")</f>
        <v/>
      </c>
    </row>
    <row r="4725" outlineLevel="1" ht="15" customHeight="1" s="94">
      <c r="A4725" s="123">
        <f>IF(B4725="","",ROW()-15)</f>
        <v/>
      </c>
      <c r="B4725" s="124" t="n"/>
      <c r="C4725" s="123" t="n"/>
      <c r="D4725" s="123" t="n"/>
      <c r="E4725" s="123" t="n"/>
      <c r="F4725" s="125" t="n"/>
      <c r="G4725" s="123" t="n"/>
      <c r="H4725" s="123" t="n"/>
      <c r="I4725" s="123" t="n"/>
      <c r="J4725" s="123" t="n"/>
      <c r="K4725" s="123" t="n"/>
      <c r="L4725" s="123" t="n"/>
      <c r="M4725" s="123">
        <f>IF(AND(B4725&lt;&gt;"",OR($C$4="",ISNUMBER(SEARCH($C$4,C4725&amp;" "&amp;E4725&amp;" "&amp;G4725&amp;" "&amp;H4725&amp;" "&amp;I4725&amp;" "&amp;J4725&amp;" "&amp;K4725&amp;" "&amp;L4725))),OR($C$5="Semua",$C$5="",G4725=$C$5),OR($C$6="Semua",$C$6="",H4725=$C$6,H4725="Pengeluaran "&amp;$C$6,AND($C$6="Uang Kos Mama",H4725="Pengeluaran Uang Kos")),OR($C$7="Semua",$C$7="",I4725=$C$7),OR($C$8="Semua",$C$8="",C4725=$C$8,E4725=$C$8),OR($C$9="Semua",$C$9="",D4725=$C$9),OR($C$10="",B4725&gt;=$C$10),OR($C$11="",B4725&lt;=$C$11),OR($C$12&lt;&gt;"Ya",K4725&lt;&gt;""),OR($C$13="Semua",$C$13="",L4725=$C$13)),"✓","")</f>
        <v/>
      </c>
      <c r="N4725" s="93">
        <f>N(N4724)+IF(M4725="✓",1,0)</f>
        <v/>
      </c>
      <c r="O4725" s="93">
        <f>N(O4724)+IF(AND(B4725&lt;&gt;"",B4725&gt;='Uang Riba'!$H$30,B4725&lt;='Uang Riba'!$I$30,OR(H4725="Dana riba",H4725="Pinjam uang riba",I4725="Pinjam dari uang riba",I4725="Ganti uang riba",I4725="Kelebihan ganti dikembalikan",AND(C4725="Kantong Uang Riba",G4725="Pengeluaran"))),1,0)</f>
        <v/>
      </c>
      <c r="X4725" s="93">
        <f>IF(AND(B4725&lt;&gt;"",B4725&gt;='Buku Akun'!$H$4,B4725&lt;='Buku Akun'!$H$5,OR(C4725='Buku Akun'!$C$4,AND(D4725="Pindah",E4725='Buku Akun'!$C$4))),B4725+IF(AND(I4725="Selisih bunga",DAY(B4725)=1),0,0.01)+ROW()/10000000,"")</f>
        <v/>
      </c>
    </row>
    <row r="4726" outlineLevel="1" ht="15" customHeight="1" s="94">
      <c r="A4726" s="123">
        <f>IF(B4726="","",ROW()-15)</f>
        <v/>
      </c>
      <c r="B4726" s="124" t="n"/>
      <c r="C4726" s="123" t="n"/>
      <c r="D4726" s="123" t="n"/>
      <c r="E4726" s="123" t="n"/>
      <c r="F4726" s="125" t="n"/>
      <c r="G4726" s="123" t="n"/>
      <c r="H4726" s="123" t="n"/>
      <c r="I4726" s="123" t="n"/>
      <c r="J4726" s="123" t="n"/>
      <c r="K4726" s="123" t="n"/>
      <c r="L4726" s="123" t="n"/>
      <c r="M4726" s="123">
        <f>IF(AND(B4726&lt;&gt;"",OR($C$4="",ISNUMBER(SEARCH($C$4,C4726&amp;" "&amp;E4726&amp;" "&amp;G4726&amp;" "&amp;H4726&amp;" "&amp;I4726&amp;" "&amp;J4726&amp;" "&amp;K4726&amp;" "&amp;L4726))),OR($C$5="Semua",$C$5="",G4726=$C$5),OR($C$6="Semua",$C$6="",H4726=$C$6,H4726="Pengeluaran "&amp;$C$6,AND($C$6="Uang Kos Mama",H4726="Pengeluaran Uang Kos")),OR($C$7="Semua",$C$7="",I4726=$C$7),OR($C$8="Semua",$C$8="",C4726=$C$8,E4726=$C$8),OR($C$9="Semua",$C$9="",D4726=$C$9),OR($C$10="",B4726&gt;=$C$10),OR($C$11="",B4726&lt;=$C$11),OR($C$12&lt;&gt;"Ya",K4726&lt;&gt;""),OR($C$13="Semua",$C$13="",L4726=$C$13)),"✓","")</f>
        <v/>
      </c>
      <c r="N4726" s="93">
        <f>N(N4725)+IF(M4726="✓",1,0)</f>
        <v/>
      </c>
      <c r="O4726" s="93">
        <f>N(O4725)+IF(AND(B4726&lt;&gt;"",B4726&gt;='Uang Riba'!$H$30,B4726&lt;='Uang Riba'!$I$30,OR(H4726="Dana riba",H4726="Pinjam uang riba",I4726="Pinjam dari uang riba",I4726="Ganti uang riba",I4726="Kelebihan ganti dikembalikan",AND(C4726="Kantong Uang Riba",G4726="Pengeluaran"))),1,0)</f>
        <v/>
      </c>
      <c r="X4726" s="93">
        <f>IF(AND(B4726&lt;&gt;"",B4726&gt;='Buku Akun'!$H$4,B4726&lt;='Buku Akun'!$H$5,OR(C4726='Buku Akun'!$C$4,AND(D4726="Pindah",E4726='Buku Akun'!$C$4))),B4726+IF(AND(I4726="Selisih bunga",DAY(B4726)=1),0,0.01)+ROW()/10000000,"")</f>
        <v/>
      </c>
    </row>
    <row r="4727" outlineLevel="1" ht="15" customHeight="1" s="94">
      <c r="A4727" s="123">
        <f>IF(B4727="","",ROW()-15)</f>
        <v/>
      </c>
      <c r="B4727" s="124" t="n"/>
      <c r="C4727" s="123" t="n"/>
      <c r="D4727" s="123" t="n"/>
      <c r="E4727" s="123" t="n"/>
      <c r="F4727" s="125" t="n"/>
      <c r="G4727" s="123" t="n"/>
      <c r="H4727" s="123" t="n"/>
      <c r="I4727" s="123" t="n"/>
      <c r="J4727" s="123" t="n"/>
      <c r="K4727" s="123" t="n"/>
      <c r="L4727" s="123" t="n"/>
      <c r="M4727" s="123">
        <f>IF(AND(B4727&lt;&gt;"",OR($C$4="",ISNUMBER(SEARCH($C$4,C4727&amp;" "&amp;E4727&amp;" "&amp;G4727&amp;" "&amp;H4727&amp;" "&amp;I4727&amp;" "&amp;J4727&amp;" "&amp;K4727&amp;" "&amp;L4727))),OR($C$5="Semua",$C$5="",G4727=$C$5),OR($C$6="Semua",$C$6="",H4727=$C$6,H4727="Pengeluaran "&amp;$C$6,AND($C$6="Uang Kos Mama",H4727="Pengeluaran Uang Kos")),OR($C$7="Semua",$C$7="",I4727=$C$7),OR($C$8="Semua",$C$8="",C4727=$C$8,E4727=$C$8),OR($C$9="Semua",$C$9="",D4727=$C$9),OR($C$10="",B4727&gt;=$C$10),OR($C$11="",B4727&lt;=$C$11),OR($C$12&lt;&gt;"Ya",K4727&lt;&gt;""),OR($C$13="Semua",$C$13="",L4727=$C$13)),"✓","")</f>
        <v/>
      </c>
      <c r="N4727" s="93">
        <f>N(N4726)+IF(M4727="✓",1,0)</f>
        <v/>
      </c>
      <c r="O4727" s="93">
        <f>N(O4726)+IF(AND(B4727&lt;&gt;"",B4727&gt;='Uang Riba'!$H$30,B4727&lt;='Uang Riba'!$I$30,OR(H4727="Dana riba",H4727="Pinjam uang riba",I4727="Pinjam dari uang riba",I4727="Ganti uang riba",I4727="Kelebihan ganti dikembalikan",AND(C4727="Kantong Uang Riba",G4727="Pengeluaran"))),1,0)</f>
        <v/>
      </c>
      <c r="X4727" s="93">
        <f>IF(AND(B4727&lt;&gt;"",B4727&gt;='Buku Akun'!$H$4,B4727&lt;='Buku Akun'!$H$5,OR(C4727='Buku Akun'!$C$4,AND(D4727="Pindah",E4727='Buku Akun'!$C$4))),B4727+IF(AND(I4727="Selisih bunga",DAY(B4727)=1),0,0.01)+ROW()/10000000,"")</f>
        <v/>
      </c>
    </row>
    <row r="4728" outlineLevel="1" ht="15" customHeight="1" s="94">
      <c r="A4728" s="123">
        <f>IF(B4728="","",ROW()-15)</f>
        <v/>
      </c>
      <c r="B4728" s="124" t="n"/>
      <c r="C4728" s="123" t="n"/>
      <c r="D4728" s="123" t="n"/>
      <c r="E4728" s="123" t="n"/>
      <c r="F4728" s="125" t="n"/>
      <c r="G4728" s="123" t="n"/>
      <c r="H4728" s="123" t="n"/>
      <c r="I4728" s="123" t="n"/>
      <c r="J4728" s="123" t="n"/>
      <c r="K4728" s="123" t="n"/>
      <c r="L4728" s="123" t="n"/>
      <c r="M4728" s="123">
        <f>IF(AND(B4728&lt;&gt;"",OR($C$4="",ISNUMBER(SEARCH($C$4,C4728&amp;" "&amp;E4728&amp;" "&amp;G4728&amp;" "&amp;H4728&amp;" "&amp;I4728&amp;" "&amp;J4728&amp;" "&amp;K4728&amp;" "&amp;L4728))),OR($C$5="Semua",$C$5="",G4728=$C$5),OR($C$6="Semua",$C$6="",H4728=$C$6,H4728="Pengeluaran "&amp;$C$6,AND($C$6="Uang Kos Mama",H4728="Pengeluaran Uang Kos")),OR($C$7="Semua",$C$7="",I4728=$C$7),OR($C$8="Semua",$C$8="",C4728=$C$8,E4728=$C$8),OR($C$9="Semua",$C$9="",D4728=$C$9),OR($C$10="",B4728&gt;=$C$10),OR($C$11="",B4728&lt;=$C$11),OR($C$12&lt;&gt;"Ya",K4728&lt;&gt;""),OR($C$13="Semua",$C$13="",L4728=$C$13)),"✓","")</f>
        <v/>
      </c>
      <c r="N4728" s="93">
        <f>N(N4727)+IF(M4728="✓",1,0)</f>
        <v/>
      </c>
      <c r="O4728" s="93">
        <f>N(O4727)+IF(AND(B4728&lt;&gt;"",B4728&gt;='Uang Riba'!$H$30,B4728&lt;='Uang Riba'!$I$30,OR(H4728="Dana riba",H4728="Pinjam uang riba",I4728="Pinjam dari uang riba",I4728="Ganti uang riba",I4728="Kelebihan ganti dikembalikan",AND(C4728="Kantong Uang Riba",G4728="Pengeluaran"))),1,0)</f>
        <v/>
      </c>
      <c r="X4728" s="93">
        <f>IF(AND(B4728&lt;&gt;"",B4728&gt;='Buku Akun'!$H$4,B4728&lt;='Buku Akun'!$H$5,OR(C4728='Buku Akun'!$C$4,AND(D4728="Pindah",E4728='Buku Akun'!$C$4))),B4728+IF(AND(I4728="Selisih bunga",DAY(B4728)=1),0,0.01)+ROW()/10000000,"")</f>
        <v/>
      </c>
    </row>
    <row r="4729" outlineLevel="1" ht="15" customHeight="1" s="94">
      <c r="A4729" s="123">
        <f>IF(B4729="","",ROW()-15)</f>
        <v/>
      </c>
      <c r="B4729" s="124" t="n"/>
      <c r="C4729" s="123" t="n"/>
      <c r="D4729" s="123" t="n"/>
      <c r="E4729" s="123" t="n"/>
      <c r="F4729" s="125" t="n"/>
      <c r="G4729" s="123" t="n"/>
      <c r="H4729" s="123" t="n"/>
      <c r="I4729" s="123" t="n"/>
      <c r="J4729" s="123" t="n"/>
      <c r="K4729" s="123" t="n"/>
      <c r="L4729" s="123" t="n"/>
      <c r="M4729" s="123">
        <f>IF(AND(B4729&lt;&gt;"",OR($C$4="",ISNUMBER(SEARCH($C$4,C4729&amp;" "&amp;E4729&amp;" "&amp;G4729&amp;" "&amp;H4729&amp;" "&amp;I4729&amp;" "&amp;J4729&amp;" "&amp;K4729&amp;" "&amp;L4729))),OR($C$5="Semua",$C$5="",G4729=$C$5),OR($C$6="Semua",$C$6="",H4729=$C$6,H4729="Pengeluaran "&amp;$C$6,AND($C$6="Uang Kos Mama",H4729="Pengeluaran Uang Kos")),OR($C$7="Semua",$C$7="",I4729=$C$7),OR($C$8="Semua",$C$8="",C4729=$C$8,E4729=$C$8),OR($C$9="Semua",$C$9="",D4729=$C$9),OR($C$10="",B4729&gt;=$C$10),OR($C$11="",B4729&lt;=$C$11),OR($C$12&lt;&gt;"Ya",K4729&lt;&gt;""),OR($C$13="Semua",$C$13="",L4729=$C$13)),"✓","")</f>
        <v/>
      </c>
      <c r="N4729" s="93">
        <f>N(N4728)+IF(M4729="✓",1,0)</f>
        <v/>
      </c>
      <c r="O4729" s="93">
        <f>N(O4728)+IF(AND(B4729&lt;&gt;"",B4729&gt;='Uang Riba'!$H$30,B4729&lt;='Uang Riba'!$I$30,OR(H4729="Dana riba",H4729="Pinjam uang riba",I4729="Pinjam dari uang riba",I4729="Ganti uang riba",I4729="Kelebihan ganti dikembalikan",AND(C4729="Kantong Uang Riba",G4729="Pengeluaran"))),1,0)</f>
        <v/>
      </c>
      <c r="X4729" s="93">
        <f>IF(AND(B4729&lt;&gt;"",B4729&gt;='Buku Akun'!$H$4,B4729&lt;='Buku Akun'!$H$5,OR(C4729='Buku Akun'!$C$4,AND(D4729="Pindah",E4729='Buku Akun'!$C$4))),B4729+IF(AND(I4729="Selisih bunga",DAY(B4729)=1),0,0.01)+ROW()/10000000,"")</f>
        <v/>
      </c>
    </row>
    <row r="4730" outlineLevel="1" ht="15" customHeight="1" s="94">
      <c r="A4730" s="123">
        <f>IF(B4730="","",ROW()-15)</f>
        <v/>
      </c>
      <c r="B4730" s="124" t="n"/>
      <c r="C4730" s="123" t="n"/>
      <c r="D4730" s="123" t="n"/>
      <c r="E4730" s="123" t="n"/>
      <c r="F4730" s="125" t="n"/>
      <c r="G4730" s="123" t="n"/>
      <c r="H4730" s="123" t="n"/>
      <c r="I4730" s="123" t="n"/>
      <c r="J4730" s="123" t="n"/>
      <c r="K4730" s="123" t="n"/>
      <c r="L4730" s="123" t="n"/>
      <c r="M4730" s="123">
        <f>IF(AND(B4730&lt;&gt;"",OR($C$4="",ISNUMBER(SEARCH($C$4,C4730&amp;" "&amp;E4730&amp;" "&amp;G4730&amp;" "&amp;H4730&amp;" "&amp;I4730&amp;" "&amp;J4730&amp;" "&amp;K4730&amp;" "&amp;L4730))),OR($C$5="Semua",$C$5="",G4730=$C$5),OR($C$6="Semua",$C$6="",H4730=$C$6,H4730="Pengeluaran "&amp;$C$6,AND($C$6="Uang Kos Mama",H4730="Pengeluaran Uang Kos")),OR($C$7="Semua",$C$7="",I4730=$C$7),OR($C$8="Semua",$C$8="",C4730=$C$8,E4730=$C$8),OR($C$9="Semua",$C$9="",D4730=$C$9),OR($C$10="",B4730&gt;=$C$10),OR($C$11="",B4730&lt;=$C$11),OR($C$12&lt;&gt;"Ya",K4730&lt;&gt;""),OR($C$13="Semua",$C$13="",L4730=$C$13)),"✓","")</f>
        <v/>
      </c>
      <c r="N4730" s="93">
        <f>N(N4729)+IF(M4730="✓",1,0)</f>
        <v/>
      </c>
      <c r="O4730" s="93">
        <f>N(O4729)+IF(AND(B4730&lt;&gt;"",B4730&gt;='Uang Riba'!$H$30,B4730&lt;='Uang Riba'!$I$30,OR(H4730="Dana riba",H4730="Pinjam uang riba",I4730="Pinjam dari uang riba",I4730="Ganti uang riba",I4730="Kelebihan ganti dikembalikan",AND(C4730="Kantong Uang Riba",G4730="Pengeluaran"))),1,0)</f>
        <v/>
      </c>
      <c r="X4730" s="93">
        <f>IF(AND(B4730&lt;&gt;"",B4730&gt;='Buku Akun'!$H$4,B4730&lt;='Buku Akun'!$H$5,OR(C4730='Buku Akun'!$C$4,AND(D4730="Pindah",E4730='Buku Akun'!$C$4))),B4730+IF(AND(I4730="Selisih bunga",DAY(B4730)=1),0,0.01)+ROW()/10000000,"")</f>
        <v/>
      </c>
    </row>
    <row r="4731" outlineLevel="1" ht="15" customHeight="1" s="94">
      <c r="A4731" s="123">
        <f>IF(B4731="","",ROW()-15)</f>
        <v/>
      </c>
      <c r="B4731" s="124" t="n"/>
      <c r="C4731" s="123" t="n"/>
      <c r="D4731" s="123" t="n"/>
      <c r="E4731" s="123" t="n"/>
      <c r="F4731" s="125" t="n"/>
      <c r="G4731" s="123" t="n"/>
      <c r="H4731" s="123" t="n"/>
      <c r="I4731" s="123" t="n"/>
      <c r="J4731" s="123" t="n"/>
      <c r="K4731" s="123" t="n"/>
      <c r="L4731" s="123" t="n"/>
      <c r="M4731" s="123">
        <f>IF(AND(B4731&lt;&gt;"",OR($C$4="",ISNUMBER(SEARCH($C$4,C4731&amp;" "&amp;E4731&amp;" "&amp;G4731&amp;" "&amp;H4731&amp;" "&amp;I4731&amp;" "&amp;J4731&amp;" "&amp;K4731&amp;" "&amp;L4731))),OR($C$5="Semua",$C$5="",G4731=$C$5),OR($C$6="Semua",$C$6="",H4731=$C$6,H4731="Pengeluaran "&amp;$C$6,AND($C$6="Uang Kos Mama",H4731="Pengeluaran Uang Kos")),OR($C$7="Semua",$C$7="",I4731=$C$7),OR($C$8="Semua",$C$8="",C4731=$C$8,E4731=$C$8),OR($C$9="Semua",$C$9="",D4731=$C$9),OR($C$10="",B4731&gt;=$C$10),OR($C$11="",B4731&lt;=$C$11),OR($C$12&lt;&gt;"Ya",K4731&lt;&gt;""),OR($C$13="Semua",$C$13="",L4731=$C$13)),"✓","")</f>
        <v/>
      </c>
      <c r="N4731" s="93">
        <f>N(N4730)+IF(M4731="✓",1,0)</f>
        <v/>
      </c>
      <c r="O4731" s="93">
        <f>N(O4730)+IF(AND(B4731&lt;&gt;"",B4731&gt;='Uang Riba'!$H$30,B4731&lt;='Uang Riba'!$I$30,OR(H4731="Dana riba",H4731="Pinjam uang riba",I4731="Pinjam dari uang riba",I4731="Ganti uang riba",I4731="Kelebihan ganti dikembalikan",AND(C4731="Kantong Uang Riba",G4731="Pengeluaran"))),1,0)</f>
        <v/>
      </c>
      <c r="X4731" s="93">
        <f>IF(AND(B4731&lt;&gt;"",B4731&gt;='Buku Akun'!$H$4,B4731&lt;='Buku Akun'!$H$5,OR(C4731='Buku Akun'!$C$4,AND(D4731="Pindah",E4731='Buku Akun'!$C$4))),B4731+IF(AND(I4731="Selisih bunga",DAY(B4731)=1),0,0.01)+ROW()/10000000,"")</f>
        <v/>
      </c>
    </row>
    <row r="4732" outlineLevel="1" ht="15" customHeight="1" s="94">
      <c r="A4732" s="123">
        <f>IF(B4732="","",ROW()-15)</f>
        <v/>
      </c>
      <c r="B4732" s="124" t="n"/>
      <c r="C4732" s="123" t="n"/>
      <c r="D4732" s="123" t="n"/>
      <c r="E4732" s="123" t="n"/>
      <c r="F4732" s="125" t="n"/>
      <c r="G4732" s="123" t="n"/>
      <c r="H4732" s="123" t="n"/>
      <c r="I4732" s="123" t="n"/>
      <c r="J4732" s="123" t="n"/>
      <c r="K4732" s="123" t="n"/>
      <c r="L4732" s="123" t="n"/>
      <c r="M4732" s="123">
        <f>IF(AND(B4732&lt;&gt;"",OR($C$4="",ISNUMBER(SEARCH($C$4,C4732&amp;" "&amp;E4732&amp;" "&amp;G4732&amp;" "&amp;H4732&amp;" "&amp;I4732&amp;" "&amp;J4732&amp;" "&amp;K4732&amp;" "&amp;L4732))),OR($C$5="Semua",$C$5="",G4732=$C$5),OR($C$6="Semua",$C$6="",H4732=$C$6,H4732="Pengeluaran "&amp;$C$6,AND($C$6="Uang Kos Mama",H4732="Pengeluaran Uang Kos")),OR($C$7="Semua",$C$7="",I4732=$C$7),OR($C$8="Semua",$C$8="",C4732=$C$8,E4732=$C$8),OR($C$9="Semua",$C$9="",D4732=$C$9),OR($C$10="",B4732&gt;=$C$10),OR($C$11="",B4732&lt;=$C$11),OR($C$12&lt;&gt;"Ya",K4732&lt;&gt;""),OR($C$13="Semua",$C$13="",L4732=$C$13)),"✓","")</f>
        <v/>
      </c>
      <c r="N4732" s="93">
        <f>N(N4731)+IF(M4732="✓",1,0)</f>
        <v/>
      </c>
      <c r="O4732" s="93">
        <f>N(O4731)+IF(AND(B4732&lt;&gt;"",B4732&gt;='Uang Riba'!$H$30,B4732&lt;='Uang Riba'!$I$30,OR(H4732="Dana riba",H4732="Pinjam uang riba",I4732="Pinjam dari uang riba",I4732="Ganti uang riba",I4732="Kelebihan ganti dikembalikan",AND(C4732="Kantong Uang Riba",G4732="Pengeluaran"))),1,0)</f>
        <v/>
      </c>
      <c r="X4732" s="93">
        <f>IF(AND(B4732&lt;&gt;"",B4732&gt;='Buku Akun'!$H$4,B4732&lt;='Buku Akun'!$H$5,OR(C4732='Buku Akun'!$C$4,AND(D4732="Pindah",E4732='Buku Akun'!$C$4))),B4732+IF(AND(I4732="Selisih bunga",DAY(B4732)=1),0,0.01)+ROW()/10000000,"")</f>
        <v/>
      </c>
    </row>
    <row r="4733" outlineLevel="1" ht="15" customHeight="1" s="94">
      <c r="A4733" s="123">
        <f>IF(B4733="","",ROW()-15)</f>
        <v/>
      </c>
      <c r="B4733" s="124" t="n"/>
      <c r="C4733" s="123" t="n"/>
      <c r="D4733" s="123" t="n"/>
      <c r="E4733" s="123" t="n"/>
      <c r="F4733" s="125" t="n"/>
      <c r="G4733" s="123" t="n"/>
      <c r="H4733" s="123" t="n"/>
      <c r="I4733" s="123" t="n"/>
      <c r="J4733" s="123" t="n"/>
      <c r="K4733" s="123" t="n"/>
      <c r="L4733" s="123" t="n"/>
      <c r="M4733" s="123">
        <f>IF(AND(B4733&lt;&gt;"",OR($C$4="",ISNUMBER(SEARCH($C$4,C4733&amp;" "&amp;E4733&amp;" "&amp;G4733&amp;" "&amp;H4733&amp;" "&amp;I4733&amp;" "&amp;J4733&amp;" "&amp;K4733&amp;" "&amp;L4733))),OR($C$5="Semua",$C$5="",G4733=$C$5),OR($C$6="Semua",$C$6="",H4733=$C$6,H4733="Pengeluaran "&amp;$C$6,AND($C$6="Uang Kos Mama",H4733="Pengeluaran Uang Kos")),OR($C$7="Semua",$C$7="",I4733=$C$7),OR($C$8="Semua",$C$8="",C4733=$C$8,E4733=$C$8),OR($C$9="Semua",$C$9="",D4733=$C$9),OR($C$10="",B4733&gt;=$C$10),OR($C$11="",B4733&lt;=$C$11),OR($C$12&lt;&gt;"Ya",K4733&lt;&gt;""),OR($C$13="Semua",$C$13="",L4733=$C$13)),"✓","")</f>
        <v/>
      </c>
      <c r="N4733" s="93">
        <f>N(N4732)+IF(M4733="✓",1,0)</f>
        <v/>
      </c>
      <c r="O4733" s="93">
        <f>N(O4732)+IF(AND(B4733&lt;&gt;"",B4733&gt;='Uang Riba'!$H$30,B4733&lt;='Uang Riba'!$I$30,OR(H4733="Dana riba",H4733="Pinjam uang riba",I4733="Pinjam dari uang riba",I4733="Ganti uang riba",I4733="Kelebihan ganti dikembalikan",AND(C4733="Kantong Uang Riba",G4733="Pengeluaran"))),1,0)</f>
        <v/>
      </c>
      <c r="X4733" s="93">
        <f>IF(AND(B4733&lt;&gt;"",B4733&gt;='Buku Akun'!$H$4,B4733&lt;='Buku Akun'!$H$5,OR(C4733='Buku Akun'!$C$4,AND(D4733="Pindah",E4733='Buku Akun'!$C$4))),B4733+IF(AND(I4733="Selisih bunga",DAY(B4733)=1),0,0.01)+ROW()/10000000,"")</f>
        <v/>
      </c>
    </row>
    <row r="4734" outlineLevel="1" ht="15" customHeight="1" s="94">
      <c r="A4734" s="123">
        <f>IF(B4734="","",ROW()-15)</f>
        <v/>
      </c>
      <c r="B4734" s="124" t="n"/>
      <c r="C4734" s="123" t="n"/>
      <c r="D4734" s="123" t="n"/>
      <c r="E4734" s="123" t="n"/>
      <c r="F4734" s="125" t="n"/>
      <c r="G4734" s="123" t="n"/>
      <c r="H4734" s="123" t="n"/>
      <c r="I4734" s="123" t="n"/>
      <c r="J4734" s="123" t="n"/>
      <c r="K4734" s="123" t="n"/>
      <c r="L4734" s="123" t="n"/>
      <c r="M4734" s="123">
        <f>IF(AND(B4734&lt;&gt;"",OR($C$4="",ISNUMBER(SEARCH($C$4,C4734&amp;" "&amp;E4734&amp;" "&amp;G4734&amp;" "&amp;H4734&amp;" "&amp;I4734&amp;" "&amp;J4734&amp;" "&amp;K4734&amp;" "&amp;L4734))),OR($C$5="Semua",$C$5="",G4734=$C$5),OR($C$6="Semua",$C$6="",H4734=$C$6,H4734="Pengeluaran "&amp;$C$6,AND($C$6="Uang Kos Mama",H4734="Pengeluaran Uang Kos")),OR($C$7="Semua",$C$7="",I4734=$C$7),OR($C$8="Semua",$C$8="",C4734=$C$8,E4734=$C$8),OR($C$9="Semua",$C$9="",D4734=$C$9),OR($C$10="",B4734&gt;=$C$10),OR($C$11="",B4734&lt;=$C$11),OR($C$12&lt;&gt;"Ya",K4734&lt;&gt;""),OR($C$13="Semua",$C$13="",L4734=$C$13)),"✓","")</f>
        <v/>
      </c>
      <c r="N4734" s="93">
        <f>N(N4733)+IF(M4734="✓",1,0)</f>
        <v/>
      </c>
      <c r="O4734" s="93">
        <f>N(O4733)+IF(AND(B4734&lt;&gt;"",B4734&gt;='Uang Riba'!$H$30,B4734&lt;='Uang Riba'!$I$30,OR(H4734="Dana riba",H4734="Pinjam uang riba",I4734="Pinjam dari uang riba",I4734="Ganti uang riba",I4734="Kelebihan ganti dikembalikan",AND(C4734="Kantong Uang Riba",G4734="Pengeluaran"))),1,0)</f>
        <v/>
      </c>
      <c r="X4734" s="93">
        <f>IF(AND(B4734&lt;&gt;"",B4734&gt;='Buku Akun'!$H$4,B4734&lt;='Buku Akun'!$H$5,OR(C4734='Buku Akun'!$C$4,AND(D4734="Pindah",E4734='Buku Akun'!$C$4))),B4734+IF(AND(I4734="Selisih bunga",DAY(B4734)=1),0,0.01)+ROW()/10000000,"")</f>
        <v/>
      </c>
    </row>
    <row r="4735" outlineLevel="1" ht="15" customHeight="1" s="94">
      <c r="A4735" s="123">
        <f>IF(B4735="","",ROW()-15)</f>
        <v/>
      </c>
      <c r="B4735" s="124" t="n"/>
      <c r="C4735" s="123" t="n"/>
      <c r="D4735" s="123" t="n"/>
      <c r="E4735" s="123" t="n"/>
      <c r="F4735" s="125" t="n"/>
      <c r="G4735" s="123" t="n"/>
      <c r="H4735" s="123" t="n"/>
      <c r="I4735" s="123" t="n"/>
      <c r="J4735" s="123" t="n"/>
      <c r="K4735" s="123" t="n"/>
      <c r="L4735" s="123" t="n"/>
      <c r="M4735" s="123">
        <f>IF(AND(B4735&lt;&gt;"",OR($C$4="",ISNUMBER(SEARCH($C$4,C4735&amp;" "&amp;E4735&amp;" "&amp;G4735&amp;" "&amp;H4735&amp;" "&amp;I4735&amp;" "&amp;J4735&amp;" "&amp;K4735&amp;" "&amp;L4735))),OR($C$5="Semua",$C$5="",G4735=$C$5),OR($C$6="Semua",$C$6="",H4735=$C$6,H4735="Pengeluaran "&amp;$C$6,AND($C$6="Uang Kos Mama",H4735="Pengeluaran Uang Kos")),OR($C$7="Semua",$C$7="",I4735=$C$7),OR($C$8="Semua",$C$8="",C4735=$C$8,E4735=$C$8),OR($C$9="Semua",$C$9="",D4735=$C$9),OR($C$10="",B4735&gt;=$C$10),OR($C$11="",B4735&lt;=$C$11),OR($C$12&lt;&gt;"Ya",K4735&lt;&gt;""),OR($C$13="Semua",$C$13="",L4735=$C$13)),"✓","")</f>
        <v/>
      </c>
      <c r="N4735" s="93">
        <f>N(N4734)+IF(M4735="✓",1,0)</f>
        <v/>
      </c>
      <c r="O4735" s="93">
        <f>N(O4734)+IF(AND(B4735&lt;&gt;"",B4735&gt;='Uang Riba'!$H$30,B4735&lt;='Uang Riba'!$I$30,OR(H4735="Dana riba",H4735="Pinjam uang riba",I4735="Pinjam dari uang riba",I4735="Ganti uang riba",I4735="Kelebihan ganti dikembalikan",AND(C4735="Kantong Uang Riba",G4735="Pengeluaran"))),1,0)</f>
        <v/>
      </c>
      <c r="X4735" s="93">
        <f>IF(AND(B4735&lt;&gt;"",B4735&gt;='Buku Akun'!$H$4,B4735&lt;='Buku Akun'!$H$5,OR(C4735='Buku Akun'!$C$4,AND(D4735="Pindah",E4735='Buku Akun'!$C$4))),B4735+IF(AND(I4735="Selisih bunga",DAY(B4735)=1),0,0.01)+ROW()/10000000,"")</f>
        <v/>
      </c>
    </row>
    <row r="4736" outlineLevel="1" ht="15" customHeight="1" s="94">
      <c r="A4736" s="123">
        <f>IF(B4736="","",ROW()-15)</f>
        <v/>
      </c>
      <c r="B4736" s="124" t="n"/>
      <c r="C4736" s="123" t="n"/>
      <c r="D4736" s="123" t="n"/>
      <c r="E4736" s="123" t="n"/>
      <c r="F4736" s="125" t="n"/>
      <c r="G4736" s="123" t="n"/>
      <c r="H4736" s="123" t="n"/>
      <c r="I4736" s="123" t="n"/>
      <c r="J4736" s="123" t="n"/>
      <c r="K4736" s="123" t="n"/>
      <c r="L4736" s="123" t="n"/>
      <c r="M4736" s="123">
        <f>IF(AND(B4736&lt;&gt;"",OR($C$4="",ISNUMBER(SEARCH($C$4,C4736&amp;" "&amp;E4736&amp;" "&amp;G4736&amp;" "&amp;H4736&amp;" "&amp;I4736&amp;" "&amp;J4736&amp;" "&amp;K4736&amp;" "&amp;L4736))),OR($C$5="Semua",$C$5="",G4736=$C$5),OR($C$6="Semua",$C$6="",H4736=$C$6,H4736="Pengeluaran "&amp;$C$6,AND($C$6="Uang Kos Mama",H4736="Pengeluaran Uang Kos")),OR($C$7="Semua",$C$7="",I4736=$C$7),OR($C$8="Semua",$C$8="",C4736=$C$8,E4736=$C$8),OR($C$9="Semua",$C$9="",D4736=$C$9),OR($C$10="",B4736&gt;=$C$10),OR($C$11="",B4736&lt;=$C$11),OR($C$12&lt;&gt;"Ya",K4736&lt;&gt;""),OR($C$13="Semua",$C$13="",L4736=$C$13)),"✓","")</f>
        <v/>
      </c>
      <c r="N4736" s="93">
        <f>N(N4735)+IF(M4736="✓",1,0)</f>
        <v/>
      </c>
      <c r="O4736" s="93">
        <f>N(O4735)+IF(AND(B4736&lt;&gt;"",B4736&gt;='Uang Riba'!$H$30,B4736&lt;='Uang Riba'!$I$30,OR(H4736="Dana riba",H4736="Pinjam uang riba",I4736="Pinjam dari uang riba",I4736="Ganti uang riba",I4736="Kelebihan ganti dikembalikan",AND(C4736="Kantong Uang Riba",G4736="Pengeluaran"))),1,0)</f>
        <v/>
      </c>
      <c r="X4736" s="93">
        <f>IF(AND(B4736&lt;&gt;"",B4736&gt;='Buku Akun'!$H$4,B4736&lt;='Buku Akun'!$H$5,OR(C4736='Buku Akun'!$C$4,AND(D4736="Pindah",E4736='Buku Akun'!$C$4))),B4736+IF(AND(I4736="Selisih bunga",DAY(B4736)=1),0,0.01)+ROW()/10000000,"")</f>
        <v/>
      </c>
    </row>
    <row r="4737" outlineLevel="1" ht="15" customHeight="1" s="94">
      <c r="A4737" s="123">
        <f>IF(B4737="","",ROW()-15)</f>
        <v/>
      </c>
      <c r="B4737" s="124" t="n"/>
      <c r="C4737" s="123" t="n"/>
      <c r="D4737" s="123" t="n"/>
      <c r="E4737" s="123" t="n"/>
      <c r="F4737" s="125" t="n"/>
      <c r="G4737" s="123" t="n"/>
      <c r="H4737" s="123" t="n"/>
      <c r="I4737" s="123" t="n"/>
      <c r="J4737" s="123" t="n"/>
      <c r="K4737" s="123" t="n"/>
      <c r="L4737" s="123" t="n"/>
      <c r="M4737" s="123">
        <f>IF(AND(B4737&lt;&gt;"",OR($C$4="",ISNUMBER(SEARCH($C$4,C4737&amp;" "&amp;E4737&amp;" "&amp;G4737&amp;" "&amp;H4737&amp;" "&amp;I4737&amp;" "&amp;J4737&amp;" "&amp;K4737&amp;" "&amp;L4737))),OR($C$5="Semua",$C$5="",G4737=$C$5),OR($C$6="Semua",$C$6="",H4737=$C$6,H4737="Pengeluaran "&amp;$C$6,AND($C$6="Uang Kos Mama",H4737="Pengeluaran Uang Kos")),OR($C$7="Semua",$C$7="",I4737=$C$7),OR($C$8="Semua",$C$8="",C4737=$C$8,E4737=$C$8),OR($C$9="Semua",$C$9="",D4737=$C$9),OR($C$10="",B4737&gt;=$C$10),OR($C$11="",B4737&lt;=$C$11),OR($C$12&lt;&gt;"Ya",K4737&lt;&gt;""),OR($C$13="Semua",$C$13="",L4737=$C$13)),"✓","")</f>
        <v/>
      </c>
      <c r="N4737" s="93">
        <f>N(N4736)+IF(M4737="✓",1,0)</f>
        <v/>
      </c>
      <c r="O4737" s="93">
        <f>N(O4736)+IF(AND(B4737&lt;&gt;"",B4737&gt;='Uang Riba'!$H$30,B4737&lt;='Uang Riba'!$I$30,OR(H4737="Dana riba",H4737="Pinjam uang riba",I4737="Pinjam dari uang riba",I4737="Ganti uang riba",I4737="Kelebihan ganti dikembalikan",AND(C4737="Kantong Uang Riba",G4737="Pengeluaran"))),1,0)</f>
        <v/>
      </c>
      <c r="X4737" s="93">
        <f>IF(AND(B4737&lt;&gt;"",B4737&gt;='Buku Akun'!$H$4,B4737&lt;='Buku Akun'!$H$5,OR(C4737='Buku Akun'!$C$4,AND(D4737="Pindah",E4737='Buku Akun'!$C$4))),B4737+IF(AND(I4737="Selisih bunga",DAY(B4737)=1),0,0.01)+ROW()/10000000,"")</f>
        <v/>
      </c>
    </row>
    <row r="4738" outlineLevel="1" ht="15" customHeight="1" s="94">
      <c r="A4738" s="123">
        <f>IF(B4738="","",ROW()-15)</f>
        <v/>
      </c>
      <c r="B4738" s="124" t="n"/>
      <c r="C4738" s="123" t="n"/>
      <c r="D4738" s="123" t="n"/>
      <c r="E4738" s="123" t="n"/>
      <c r="F4738" s="125" t="n"/>
      <c r="G4738" s="123" t="n"/>
      <c r="H4738" s="123" t="n"/>
      <c r="I4738" s="123" t="n"/>
      <c r="J4738" s="123" t="n"/>
      <c r="K4738" s="123" t="n"/>
      <c r="L4738" s="123" t="n"/>
      <c r="M4738" s="123">
        <f>IF(AND(B4738&lt;&gt;"",OR($C$4="",ISNUMBER(SEARCH($C$4,C4738&amp;" "&amp;E4738&amp;" "&amp;G4738&amp;" "&amp;H4738&amp;" "&amp;I4738&amp;" "&amp;J4738&amp;" "&amp;K4738&amp;" "&amp;L4738))),OR($C$5="Semua",$C$5="",G4738=$C$5),OR($C$6="Semua",$C$6="",H4738=$C$6,H4738="Pengeluaran "&amp;$C$6,AND($C$6="Uang Kos Mama",H4738="Pengeluaran Uang Kos")),OR($C$7="Semua",$C$7="",I4738=$C$7),OR($C$8="Semua",$C$8="",C4738=$C$8,E4738=$C$8),OR($C$9="Semua",$C$9="",D4738=$C$9),OR($C$10="",B4738&gt;=$C$10),OR($C$11="",B4738&lt;=$C$11),OR($C$12&lt;&gt;"Ya",K4738&lt;&gt;""),OR($C$13="Semua",$C$13="",L4738=$C$13)),"✓","")</f>
        <v/>
      </c>
      <c r="N4738" s="93">
        <f>N(N4737)+IF(M4738="✓",1,0)</f>
        <v/>
      </c>
      <c r="O4738" s="93">
        <f>N(O4737)+IF(AND(B4738&lt;&gt;"",B4738&gt;='Uang Riba'!$H$30,B4738&lt;='Uang Riba'!$I$30,OR(H4738="Dana riba",H4738="Pinjam uang riba",I4738="Pinjam dari uang riba",I4738="Ganti uang riba",I4738="Kelebihan ganti dikembalikan",AND(C4738="Kantong Uang Riba",G4738="Pengeluaran"))),1,0)</f>
        <v/>
      </c>
      <c r="X4738" s="93">
        <f>IF(AND(B4738&lt;&gt;"",B4738&gt;='Buku Akun'!$H$4,B4738&lt;='Buku Akun'!$H$5,OR(C4738='Buku Akun'!$C$4,AND(D4738="Pindah",E4738='Buku Akun'!$C$4))),B4738+IF(AND(I4738="Selisih bunga",DAY(B4738)=1),0,0.01)+ROW()/10000000,"")</f>
        <v/>
      </c>
    </row>
    <row r="4739" outlineLevel="1" ht="15" customHeight="1" s="94">
      <c r="A4739" s="123">
        <f>IF(B4739="","",ROW()-15)</f>
        <v/>
      </c>
      <c r="B4739" s="124" t="n"/>
      <c r="C4739" s="123" t="n"/>
      <c r="D4739" s="123" t="n"/>
      <c r="E4739" s="123" t="n"/>
      <c r="F4739" s="125" t="n"/>
      <c r="G4739" s="123" t="n"/>
      <c r="H4739" s="123" t="n"/>
      <c r="I4739" s="123" t="n"/>
      <c r="J4739" s="123" t="n"/>
      <c r="K4739" s="123" t="n"/>
      <c r="L4739" s="123" t="n"/>
      <c r="M4739" s="123">
        <f>IF(AND(B4739&lt;&gt;"",OR($C$4="",ISNUMBER(SEARCH($C$4,C4739&amp;" "&amp;E4739&amp;" "&amp;G4739&amp;" "&amp;H4739&amp;" "&amp;I4739&amp;" "&amp;J4739&amp;" "&amp;K4739&amp;" "&amp;L4739))),OR($C$5="Semua",$C$5="",G4739=$C$5),OR($C$6="Semua",$C$6="",H4739=$C$6,H4739="Pengeluaran "&amp;$C$6,AND($C$6="Uang Kos Mama",H4739="Pengeluaran Uang Kos")),OR($C$7="Semua",$C$7="",I4739=$C$7),OR($C$8="Semua",$C$8="",C4739=$C$8,E4739=$C$8),OR($C$9="Semua",$C$9="",D4739=$C$9),OR($C$10="",B4739&gt;=$C$10),OR($C$11="",B4739&lt;=$C$11),OR($C$12&lt;&gt;"Ya",K4739&lt;&gt;""),OR($C$13="Semua",$C$13="",L4739=$C$13)),"✓","")</f>
        <v/>
      </c>
      <c r="N4739" s="93">
        <f>N(N4738)+IF(M4739="✓",1,0)</f>
        <v/>
      </c>
      <c r="O4739" s="93">
        <f>N(O4738)+IF(AND(B4739&lt;&gt;"",B4739&gt;='Uang Riba'!$H$30,B4739&lt;='Uang Riba'!$I$30,OR(H4739="Dana riba",H4739="Pinjam uang riba",I4739="Pinjam dari uang riba",I4739="Ganti uang riba",I4739="Kelebihan ganti dikembalikan",AND(C4739="Kantong Uang Riba",G4739="Pengeluaran"))),1,0)</f>
        <v/>
      </c>
      <c r="X4739" s="93">
        <f>IF(AND(B4739&lt;&gt;"",B4739&gt;='Buku Akun'!$H$4,B4739&lt;='Buku Akun'!$H$5,OR(C4739='Buku Akun'!$C$4,AND(D4739="Pindah",E4739='Buku Akun'!$C$4))),B4739+IF(AND(I4739="Selisih bunga",DAY(B4739)=1),0,0.01)+ROW()/10000000,"")</f>
        <v/>
      </c>
    </row>
    <row r="4740" outlineLevel="1" ht="15" customHeight="1" s="94">
      <c r="A4740" s="123">
        <f>IF(B4740="","",ROW()-15)</f>
        <v/>
      </c>
      <c r="B4740" s="124" t="n"/>
      <c r="C4740" s="123" t="n"/>
      <c r="D4740" s="123" t="n"/>
      <c r="E4740" s="123" t="n"/>
      <c r="F4740" s="125" t="n"/>
      <c r="G4740" s="123" t="n"/>
      <c r="H4740" s="123" t="n"/>
      <c r="I4740" s="123" t="n"/>
      <c r="J4740" s="123" t="n"/>
      <c r="K4740" s="123" t="n"/>
      <c r="L4740" s="123" t="n"/>
      <c r="M4740" s="123">
        <f>IF(AND(B4740&lt;&gt;"",OR($C$4="",ISNUMBER(SEARCH($C$4,C4740&amp;" "&amp;E4740&amp;" "&amp;G4740&amp;" "&amp;H4740&amp;" "&amp;I4740&amp;" "&amp;J4740&amp;" "&amp;K4740&amp;" "&amp;L4740))),OR($C$5="Semua",$C$5="",G4740=$C$5),OR($C$6="Semua",$C$6="",H4740=$C$6,H4740="Pengeluaran "&amp;$C$6,AND($C$6="Uang Kos Mama",H4740="Pengeluaran Uang Kos")),OR($C$7="Semua",$C$7="",I4740=$C$7),OR($C$8="Semua",$C$8="",C4740=$C$8,E4740=$C$8),OR($C$9="Semua",$C$9="",D4740=$C$9),OR($C$10="",B4740&gt;=$C$10),OR($C$11="",B4740&lt;=$C$11),OR($C$12&lt;&gt;"Ya",K4740&lt;&gt;""),OR($C$13="Semua",$C$13="",L4740=$C$13)),"✓","")</f>
        <v/>
      </c>
      <c r="N4740" s="93">
        <f>N(N4739)+IF(M4740="✓",1,0)</f>
        <v/>
      </c>
      <c r="O4740" s="93">
        <f>N(O4739)+IF(AND(B4740&lt;&gt;"",B4740&gt;='Uang Riba'!$H$30,B4740&lt;='Uang Riba'!$I$30,OR(H4740="Dana riba",H4740="Pinjam uang riba",I4740="Pinjam dari uang riba",I4740="Ganti uang riba",I4740="Kelebihan ganti dikembalikan",AND(C4740="Kantong Uang Riba",G4740="Pengeluaran"))),1,0)</f>
        <v/>
      </c>
      <c r="X4740" s="93">
        <f>IF(AND(B4740&lt;&gt;"",B4740&gt;='Buku Akun'!$H$4,B4740&lt;='Buku Akun'!$H$5,OR(C4740='Buku Akun'!$C$4,AND(D4740="Pindah",E4740='Buku Akun'!$C$4))),B4740+IF(AND(I4740="Selisih bunga",DAY(B4740)=1),0,0.01)+ROW()/10000000,"")</f>
        <v/>
      </c>
    </row>
    <row r="4741" outlineLevel="1" ht="15" customHeight="1" s="94">
      <c r="A4741" s="123">
        <f>IF(B4741="","",ROW()-15)</f>
        <v/>
      </c>
      <c r="B4741" s="124" t="n"/>
      <c r="C4741" s="123" t="n"/>
      <c r="D4741" s="123" t="n"/>
      <c r="E4741" s="123" t="n"/>
      <c r="F4741" s="125" t="n"/>
      <c r="G4741" s="123" t="n"/>
      <c r="H4741" s="123" t="n"/>
      <c r="I4741" s="123" t="n"/>
      <c r="J4741" s="123" t="n"/>
      <c r="K4741" s="123" t="n"/>
      <c r="L4741" s="123" t="n"/>
      <c r="M4741" s="123">
        <f>IF(AND(B4741&lt;&gt;"",OR($C$4="",ISNUMBER(SEARCH($C$4,C4741&amp;" "&amp;E4741&amp;" "&amp;G4741&amp;" "&amp;H4741&amp;" "&amp;I4741&amp;" "&amp;J4741&amp;" "&amp;K4741&amp;" "&amp;L4741))),OR($C$5="Semua",$C$5="",G4741=$C$5),OR($C$6="Semua",$C$6="",H4741=$C$6,H4741="Pengeluaran "&amp;$C$6,AND($C$6="Uang Kos Mama",H4741="Pengeluaran Uang Kos")),OR($C$7="Semua",$C$7="",I4741=$C$7),OR($C$8="Semua",$C$8="",C4741=$C$8,E4741=$C$8),OR($C$9="Semua",$C$9="",D4741=$C$9),OR($C$10="",B4741&gt;=$C$10),OR($C$11="",B4741&lt;=$C$11),OR($C$12&lt;&gt;"Ya",K4741&lt;&gt;""),OR($C$13="Semua",$C$13="",L4741=$C$13)),"✓","")</f>
        <v/>
      </c>
      <c r="N4741" s="93">
        <f>N(N4740)+IF(M4741="✓",1,0)</f>
        <v/>
      </c>
      <c r="O4741" s="93">
        <f>N(O4740)+IF(AND(B4741&lt;&gt;"",B4741&gt;='Uang Riba'!$H$30,B4741&lt;='Uang Riba'!$I$30,OR(H4741="Dana riba",H4741="Pinjam uang riba",I4741="Pinjam dari uang riba",I4741="Ganti uang riba",I4741="Kelebihan ganti dikembalikan",AND(C4741="Kantong Uang Riba",G4741="Pengeluaran"))),1,0)</f>
        <v/>
      </c>
      <c r="X4741" s="93">
        <f>IF(AND(B4741&lt;&gt;"",B4741&gt;='Buku Akun'!$H$4,B4741&lt;='Buku Akun'!$H$5,OR(C4741='Buku Akun'!$C$4,AND(D4741="Pindah",E4741='Buku Akun'!$C$4))),B4741+IF(AND(I4741="Selisih bunga",DAY(B4741)=1),0,0.01)+ROW()/10000000,"")</f>
        <v/>
      </c>
    </row>
    <row r="4742" outlineLevel="1" ht="15" customHeight="1" s="94">
      <c r="A4742" s="123">
        <f>IF(B4742="","",ROW()-15)</f>
        <v/>
      </c>
      <c r="B4742" s="124" t="n"/>
      <c r="C4742" s="123" t="n"/>
      <c r="D4742" s="123" t="n"/>
      <c r="E4742" s="123" t="n"/>
      <c r="F4742" s="125" t="n"/>
      <c r="G4742" s="123" t="n"/>
      <c r="H4742" s="123" t="n"/>
      <c r="I4742" s="123" t="n"/>
      <c r="J4742" s="123" t="n"/>
      <c r="K4742" s="123" t="n"/>
      <c r="L4742" s="123" t="n"/>
      <c r="M4742" s="123">
        <f>IF(AND(B4742&lt;&gt;"",OR($C$4="",ISNUMBER(SEARCH($C$4,C4742&amp;" "&amp;E4742&amp;" "&amp;G4742&amp;" "&amp;H4742&amp;" "&amp;I4742&amp;" "&amp;J4742&amp;" "&amp;K4742&amp;" "&amp;L4742))),OR($C$5="Semua",$C$5="",G4742=$C$5),OR($C$6="Semua",$C$6="",H4742=$C$6,H4742="Pengeluaran "&amp;$C$6,AND($C$6="Uang Kos Mama",H4742="Pengeluaran Uang Kos")),OR($C$7="Semua",$C$7="",I4742=$C$7),OR($C$8="Semua",$C$8="",C4742=$C$8,E4742=$C$8),OR($C$9="Semua",$C$9="",D4742=$C$9),OR($C$10="",B4742&gt;=$C$10),OR($C$11="",B4742&lt;=$C$11),OR($C$12&lt;&gt;"Ya",K4742&lt;&gt;""),OR($C$13="Semua",$C$13="",L4742=$C$13)),"✓","")</f>
        <v/>
      </c>
      <c r="N4742" s="93">
        <f>N(N4741)+IF(M4742="✓",1,0)</f>
        <v/>
      </c>
      <c r="O4742" s="93">
        <f>N(O4741)+IF(AND(B4742&lt;&gt;"",B4742&gt;='Uang Riba'!$H$30,B4742&lt;='Uang Riba'!$I$30,OR(H4742="Dana riba",H4742="Pinjam uang riba",I4742="Pinjam dari uang riba",I4742="Ganti uang riba",I4742="Kelebihan ganti dikembalikan",AND(C4742="Kantong Uang Riba",G4742="Pengeluaran"))),1,0)</f>
        <v/>
      </c>
      <c r="X4742" s="93">
        <f>IF(AND(B4742&lt;&gt;"",B4742&gt;='Buku Akun'!$H$4,B4742&lt;='Buku Akun'!$H$5,OR(C4742='Buku Akun'!$C$4,AND(D4742="Pindah",E4742='Buku Akun'!$C$4))),B4742+IF(AND(I4742="Selisih bunga",DAY(B4742)=1),0,0.01)+ROW()/10000000,"")</f>
        <v/>
      </c>
    </row>
    <row r="4743" outlineLevel="1" ht="15" customHeight="1" s="94">
      <c r="A4743" s="123">
        <f>IF(B4743="","",ROW()-15)</f>
        <v/>
      </c>
      <c r="B4743" s="124" t="n"/>
      <c r="C4743" s="123" t="n"/>
      <c r="D4743" s="123" t="n"/>
      <c r="E4743" s="123" t="n"/>
      <c r="F4743" s="125" t="n"/>
      <c r="G4743" s="123" t="n"/>
      <c r="H4743" s="123" t="n"/>
      <c r="I4743" s="123" t="n"/>
      <c r="J4743" s="123" t="n"/>
      <c r="K4743" s="123" t="n"/>
      <c r="L4743" s="123" t="n"/>
      <c r="M4743" s="123">
        <f>IF(AND(B4743&lt;&gt;"",OR($C$4="",ISNUMBER(SEARCH($C$4,C4743&amp;" "&amp;E4743&amp;" "&amp;G4743&amp;" "&amp;H4743&amp;" "&amp;I4743&amp;" "&amp;J4743&amp;" "&amp;K4743&amp;" "&amp;L4743))),OR($C$5="Semua",$C$5="",G4743=$C$5),OR($C$6="Semua",$C$6="",H4743=$C$6,H4743="Pengeluaran "&amp;$C$6,AND($C$6="Uang Kos Mama",H4743="Pengeluaran Uang Kos")),OR($C$7="Semua",$C$7="",I4743=$C$7),OR($C$8="Semua",$C$8="",C4743=$C$8,E4743=$C$8),OR($C$9="Semua",$C$9="",D4743=$C$9),OR($C$10="",B4743&gt;=$C$10),OR($C$11="",B4743&lt;=$C$11),OR($C$12&lt;&gt;"Ya",K4743&lt;&gt;""),OR($C$13="Semua",$C$13="",L4743=$C$13)),"✓","")</f>
        <v/>
      </c>
      <c r="N4743" s="93">
        <f>N(N4742)+IF(M4743="✓",1,0)</f>
        <v/>
      </c>
      <c r="O4743" s="93">
        <f>N(O4742)+IF(AND(B4743&lt;&gt;"",B4743&gt;='Uang Riba'!$H$30,B4743&lt;='Uang Riba'!$I$30,OR(H4743="Dana riba",H4743="Pinjam uang riba",I4743="Pinjam dari uang riba",I4743="Ganti uang riba",I4743="Kelebihan ganti dikembalikan",AND(C4743="Kantong Uang Riba",G4743="Pengeluaran"))),1,0)</f>
        <v/>
      </c>
      <c r="X4743" s="93">
        <f>IF(AND(B4743&lt;&gt;"",B4743&gt;='Buku Akun'!$H$4,B4743&lt;='Buku Akun'!$H$5,OR(C4743='Buku Akun'!$C$4,AND(D4743="Pindah",E4743='Buku Akun'!$C$4))),B4743+IF(AND(I4743="Selisih bunga",DAY(B4743)=1),0,0.01)+ROW()/10000000,"")</f>
        <v/>
      </c>
    </row>
    <row r="4744" outlineLevel="1" ht="15" customHeight="1" s="94">
      <c r="A4744" s="123">
        <f>IF(B4744="","",ROW()-15)</f>
        <v/>
      </c>
      <c r="B4744" s="124" t="n"/>
      <c r="C4744" s="123" t="n"/>
      <c r="D4744" s="123" t="n"/>
      <c r="E4744" s="123" t="n"/>
      <c r="F4744" s="125" t="n"/>
      <c r="G4744" s="123" t="n"/>
      <c r="H4744" s="123" t="n"/>
      <c r="I4744" s="123" t="n"/>
      <c r="J4744" s="123" t="n"/>
      <c r="K4744" s="123" t="n"/>
      <c r="L4744" s="123" t="n"/>
      <c r="M4744" s="123">
        <f>IF(AND(B4744&lt;&gt;"",OR($C$4="",ISNUMBER(SEARCH($C$4,C4744&amp;" "&amp;E4744&amp;" "&amp;G4744&amp;" "&amp;H4744&amp;" "&amp;I4744&amp;" "&amp;J4744&amp;" "&amp;K4744&amp;" "&amp;L4744))),OR($C$5="Semua",$C$5="",G4744=$C$5),OR($C$6="Semua",$C$6="",H4744=$C$6,H4744="Pengeluaran "&amp;$C$6,AND($C$6="Uang Kos Mama",H4744="Pengeluaran Uang Kos")),OR($C$7="Semua",$C$7="",I4744=$C$7),OR($C$8="Semua",$C$8="",C4744=$C$8,E4744=$C$8),OR($C$9="Semua",$C$9="",D4744=$C$9),OR($C$10="",B4744&gt;=$C$10),OR($C$11="",B4744&lt;=$C$11),OR($C$12&lt;&gt;"Ya",K4744&lt;&gt;""),OR($C$13="Semua",$C$13="",L4744=$C$13)),"✓","")</f>
        <v/>
      </c>
      <c r="N4744" s="93">
        <f>N(N4743)+IF(M4744="✓",1,0)</f>
        <v/>
      </c>
      <c r="O4744" s="93">
        <f>N(O4743)+IF(AND(B4744&lt;&gt;"",B4744&gt;='Uang Riba'!$H$30,B4744&lt;='Uang Riba'!$I$30,OR(H4744="Dana riba",H4744="Pinjam uang riba",I4744="Pinjam dari uang riba",I4744="Ganti uang riba",I4744="Kelebihan ganti dikembalikan",AND(C4744="Kantong Uang Riba",G4744="Pengeluaran"))),1,0)</f>
        <v/>
      </c>
      <c r="X4744" s="93">
        <f>IF(AND(B4744&lt;&gt;"",B4744&gt;='Buku Akun'!$H$4,B4744&lt;='Buku Akun'!$H$5,OR(C4744='Buku Akun'!$C$4,AND(D4744="Pindah",E4744='Buku Akun'!$C$4))),B4744+IF(AND(I4744="Selisih bunga",DAY(B4744)=1),0,0.01)+ROW()/10000000,"")</f>
        <v/>
      </c>
    </row>
    <row r="4745" outlineLevel="1" ht="15" customHeight="1" s="94">
      <c r="A4745" s="123">
        <f>IF(B4745="","",ROW()-15)</f>
        <v/>
      </c>
      <c r="B4745" s="124" t="n"/>
      <c r="C4745" s="123" t="n"/>
      <c r="D4745" s="123" t="n"/>
      <c r="E4745" s="123" t="n"/>
      <c r="F4745" s="125" t="n"/>
      <c r="G4745" s="123" t="n"/>
      <c r="H4745" s="123" t="n"/>
      <c r="I4745" s="123" t="n"/>
      <c r="J4745" s="123" t="n"/>
      <c r="K4745" s="123" t="n"/>
      <c r="L4745" s="123" t="n"/>
      <c r="M4745" s="123">
        <f>IF(AND(B4745&lt;&gt;"",OR($C$4="",ISNUMBER(SEARCH($C$4,C4745&amp;" "&amp;E4745&amp;" "&amp;G4745&amp;" "&amp;H4745&amp;" "&amp;I4745&amp;" "&amp;J4745&amp;" "&amp;K4745&amp;" "&amp;L4745))),OR($C$5="Semua",$C$5="",G4745=$C$5),OR($C$6="Semua",$C$6="",H4745=$C$6,H4745="Pengeluaran "&amp;$C$6,AND($C$6="Uang Kos Mama",H4745="Pengeluaran Uang Kos")),OR($C$7="Semua",$C$7="",I4745=$C$7),OR($C$8="Semua",$C$8="",C4745=$C$8,E4745=$C$8),OR($C$9="Semua",$C$9="",D4745=$C$9),OR($C$10="",B4745&gt;=$C$10),OR($C$11="",B4745&lt;=$C$11),OR($C$12&lt;&gt;"Ya",K4745&lt;&gt;""),OR($C$13="Semua",$C$13="",L4745=$C$13)),"✓","")</f>
        <v/>
      </c>
      <c r="N4745" s="93">
        <f>N(N4744)+IF(M4745="✓",1,0)</f>
        <v/>
      </c>
      <c r="O4745" s="93">
        <f>N(O4744)+IF(AND(B4745&lt;&gt;"",B4745&gt;='Uang Riba'!$H$30,B4745&lt;='Uang Riba'!$I$30,OR(H4745="Dana riba",H4745="Pinjam uang riba",I4745="Pinjam dari uang riba",I4745="Ganti uang riba",I4745="Kelebihan ganti dikembalikan",AND(C4745="Kantong Uang Riba",G4745="Pengeluaran"))),1,0)</f>
        <v/>
      </c>
      <c r="X4745" s="93">
        <f>IF(AND(B4745&lt;&gt;"",B4745&gt;='Buku Akun'!$H$4,B4745&lt;='Buku Akun'!$H$5,OR(C4745='Buku Akun'!$C$4,AND(D4745="Pindah",E4745='Buku Akun'!$C$4))),B4745+IF(AND(I4745="Selisih bunga",DAY(B4745)=1),0,0.01)+ROW()/10000000,"")</f>
        <v/>
      </c>
    </row>
    <row r="4746" outlineLevel="1" ht="15" customHeight="1" s="94">
      <c r="A4746" s="123">
        <f>IF(B4746="","",ROW()-15)</f>
        <v/>
      </c>
      <c r="B4746" s="124" t="n"/>
      <c r="C4746" s="123" t="n"/>
      <c r="D4746" s="123" t="n"/>
      <c r="E4746" s="123" t="n"/>
      <c r="F4746" s="125" t="n"/>
      <c r="G4746" s="123" t="n"/>
      <c r="H4746" s="123" t="n"/>
      <c r="I4746" s="123" t="n"/>
      <c r="J4746" s="123" t="n"/>
      <c r="K4746" s="123" t="n"/>
      <c r="L4746" s="123" t="n"/>
      <c r="M4746" s="123">
        <f>IF(AND(B4746&lt;&gt;"",OR($C$4="",ISNUMBER(SEARCH($C$4,C4746&amp;" "&amp;E4746&amp;" "&amp;G4746&amp;" "&amp;H4746&amp;" "&amp;I4746&amp;" "&amp;J4746&amp;" "&amp;K4746&amp;" "&amp;L4746))),OR($C$5="Semua",$C$5="",G4746=$C$5),OR($C$6="Semua",$C$6="",H4746=$C$6,H4746="Pengeluaran "&amp;$C$6,AND($C$6="Uang Kos Mama",H4746="Pengeluaran Uang Kos")),OR($C$7="Semua",$C$7="",I4746=$C$7),OR($C$8="Semua",$C$8="",C4746=$C$8,E4746=$C$8),OR($C$9="Semua",$C$9="",D4746=$C$9),OR($C$10="",B4746&gt;=$C$10),OR($C$11="",B4746&lt;=$C$11),OR($C$12&lt;&gt;"Ya",K4746&lt;&gt;""),OR($C$13="Semua",$C$13="",L4746=$C$13)),"✓","")</f>
        <v/>
      </c>
      <c r="N4746" s="93">
        <f>N(N4745)+IF(M4746="✓",1,0)</f>
        <v/>
      </c>
      <c r="O4746" s="93">
        <f>N(O4745)+IF(AND(B4746&lt;&gt;"",B4746&gt;='Uang Riba'!$H$30,B4746&lt;='Uang Riba'!$I$30,OR(H4746="Dana riba",H4746="Pinjam uang riba",I4746="Pinjam dari uang riba",I4746="Ganti uang riba",I4746="Kelebihan ganti dikembalikan",AND(C4746="Kantong Uang Riba",G4746="Pengeluaran"))),1,0)</f>
        <v/>
      </c>
      <c r="X4746" s="93">
        <f>IF(AND(B4746&lt;&gt;"",B4746&gt;='Buku Akun'!$H$4,B4746&lt;='Buku Akun'!$H$5,OR(C4746='Buku Akun'!$C$4,AND(D4746="Pindah",E4746='Buku Akun'!$C$4))),B4746+IF(AND(I4746="Selisih bunga",DAY(B4746)=1),0,0.01)+ROW()/10000000,"")</f>
        <v/>
      </c>
    </row>
    <row r="4747" outlineLevel="1" ht="15" customHeight="1" s="94">
      <c r="A4747" s="123">
        <f>IF(B4747="","",ROW()-15)</f>
        <v/>
      </c>
      <c r="B4747" s="124" t="n"/>
      <c r="C4747" s="123" t="n"/>
      <c r="D4747" s="123" t="n"/>
      <c r="E4747" s="123" t="n"/>
      <c r="F4747" s="125" t="n"/>
      <c r="G4747" s="123" t="n"/>
      <c r="H4747" s="123" t="n"/>
      <c r="I4747" s="123" t="n"/>
      <c r="J4747" s="123" t="n"/>
      <c r="K4747" s="123" t="n"/>
      <c r="L4747" s="123" t="n"/>
      <c r="M4747" s="123">
        <f>IF(AND(B4747&lt;&gt;"",OR($C$4="",ISNUMBER(SEARCH($C$4,C4747&amp;" "&amp;E4747&amp;" "&amp;G4747&amp;" "&amp;H4747&amp;" "&amp;I4747&amp;" "&amp;J4747&amp;" "&amp;K4747&amp;" "&amp;L4747))),OR($C$5="Semua",$C$5="",G4747=$C$5),OR($C$6="Semua",$C$6="",H4747=$C$6,H4747="Pengeluaran "&amp;$C$6,AND($C$6="Uang Kos Mama",H4747="Pengeluaran Uang Kos")),OR($C$7="Semua",$C$7="",I4747=$C$7),OR($C$8="Semua",$C$8="",C4747=$C$8,E4747=$C$8),OR($C$9="Semua",$C$9="",D4747=$C$9),OR($C$10="",B4747&gt;=$C$10),OR($C$11="",B4747&lt;=$C$11),OR($C$12&lt;&gt;"Ya",K4747&lt;&gt;""),OR($C$13="Semua",$C$13="",L4747=$C$13)),"✓","")</f>
        <v/>
      </c>
      <c r="N4747" s="93">
        <f>N(N4746)+IF(M4747="✓",1,0)</f>
        <v/>
      </c>
      <c r="O4747" s="93">
        <f>N(O4746)+IF(AND(B4747&lt;&gt;"",B4747&gt;='Uang Riba'!$H$30,B4747&lt;='Uang Riba'!$I$30,OR(H4747="Dana riba",H4747="Pinjam uang riba",I4747="Pinjam dari uang riba",I4747="Ganti uang riba",I4747="Kelebihan ganti dikembalikan",AND(C4747="Kantong Uang Riba",G4747="Pengeluaran"))),1,0)</f>
        <v/>
      </c>
      <c r="X4747" s="93">
        <f>IF(AND(B4747&lt;&gt;"",B4747&gt;='Buku Akun'!$H$4,B4747&lt;='Buku Akun'!$H$5,OR(C4747='Buku Akun'!$C$4,AND(D4747="Pindah",E4747='Buku Akun'!$C$4))),B4747+IF(AND(I4747="Selisih bunga",DAY(B4747)=1),0,0.01)+ROW()/10000000,"")</f>
        <v/>
      </c>
    </row>
    <row r="4748" outlineLevel="1" ht="15" customHeight="1" s="94">
      <c r="A4748" s="123">
        <f>IF(B4748="","",ROW()-15)</f>
        <v/>
      </c>
      <c r="B4748" s="124" t="n"/>
      <c r="C4748" s="123" t="n"/>
      <c r="D4748" s="123" t="n"/>
      <c r="E4748" s="123" t="n"/>
      <c r="F4748" s="125" t="n"/>
      <c r="G4748" s="123" t="n"/>
      <c r="H4748" s="123" t="n"/>
      <c r="I4748" s="123" t="n"/>
      <c r="J4748" s="123" t="n"/>
      <c r="K4748" s="123" t="n"/>
      <c r="L4748" s="123" t="n"/>
      <c r="M4748" s="123">
        <f>IF(AND(B4748&lt;&gt;"",OR($C$4="",ISNUMBER(SEARCH($C$4,C4748&amp;" "&amp;E4748&amp;" "&amp;G4748&amp;" "&amp;H4748&amp;" "&amp;I4748&amp;" "&amp;J4748&amp;" "&amp;K4748&amp;" "&amp;L4748))),OR($C$5="Semua",$C$5="",G4748=$C$5),OR($C$6="Semua",$C$6="",H4748=$C$6,H4748="Pengeluaran "&amp;$C$6,AND($C$6="Uang Kos Mama",H4748="Pengeluaran Uang Kos")),OR($C$7="Semua",$C$7="",I4748=$C$7),OR($C$8="Semua",$C$8="",C4748=$C$8,E4748=$C$8),OR($C$9="Semua",$C$9="",D4748=$C$9),OR($C$10="",B4748&gt;=$C$10),OR($C$11="",B4748&lt;=$C$11),OR($C$12&lt;&gt;"Ya",K4748&lt;&gt;""),OR($C$13="Semua",$C$13="",L4748=$C$13)),"✓","")</f>
        <v/>
      </c>
      <c r="N4748" s="93">
        <f>N(N4747)+IF(M4748="✓",1,0)</f>
        <v/>
      </c>
      <c r="O4748" s="93">
        <f>N(O4747)+IF(AND(B4748&lt;&gt;"",B4748&gt;='Uang Riba'!$H$30,B4748&lt;='Uang Riba'!$I$30,OR(H4748="Dana riba",H4748="Pinjam uang riba",I4748="Pinjam dari uang riba",I4748="Ganti uang riba",I4748="Kelebihan ganti dikembalikan",AND(C4748="Kantong Uang Riba",G4748="Pengeluaran"))),1,0)</f>
        <v/>
      </c>
      <c r="X4748" s="93">
        <f>IF(AND(B4748&lt;&gt;"",B4748&gt;='Buku Akun'!$H$4,B4748&lt;='Buku Akun'!$H$5,OR(C4748='Buku Akun'!$C$4,AND(D4748="Pindah",E4748='Buku Akun'!$C$4))),B4748+IF(AND(I4748="Selisih bunga",DAY(B4748)=1),0,0.01)+ROW()/10000000,"")</f>
        <v/>
      </c>
    </row>
    <row r="4749" outlineLevel="1" ht="15" customHeight="1" s="94">
      <c r="A4749" s="123">
        <f>IF(B4749="","",ROW()-15)</f>
        <v/>
      </c>
      <c r="B4749" s="124" t="n"/>
      <c r="C4749" s="123" t="n"/>
      <c r="D4749" s="123" t="n"/>
      <c r="E4749" s="123" t="n"/>
      <c r="F4749" s="125" t="n"/>
      <c r="G4749" s="123" t="n"/>
      <c r="H4749" s="123" t="n"/>
      <c r="I4749" s="123" t="n"/>
      <c r="J4749" s="123" t="n"/>
      <c r="K4749" s="123" t="n"/>
      <c r="L4749" s="123" t="n"/>
      <c r="M4749" s="123">
        <f>IF(AND(B4749&lt;&gt;"",OR($C$4="",ISNUMBER(SEARCH($C$4,C4749&amp;" "&amp;E4749&amp;" "&amp;G4749&amp;" "&amp;H4749&amp;" "&amp;I4749&amp;" "&amp;J4749&amp;" "&amp;K4749&amp;" "&amp;L4749))),OR($C$5="Semua",$C$5="",G4749=$C$5),OR($C$6="Semua",$C$6="",H4749=$C$6,H4749="Pengeluaran "&amp;$C$6,AND($C$6="Uang Kos Mama",H4749="Pengeluaran Uang Kos")),OR($C$7="Semua",$C$7="",I4749=$C$7),OR($C$8="Semua",$C$8="",C4749=$C$8,E4749=$C$8),OR($C$9="Semua",$C$9="",D4749=$C$9),OR($C$10="",B4749&gt;=$C$10),OR($C$11="",B4749&lt;=$C$11),OR($C$12&lt;&gt;"Ya",K4749&lt;&gt;""),OR($C$13="Semua",$C$13="",L4749=$C$13)),"✓","")</f>
        <v/>
      </c>
      <c r="N4749" s="93">
        <f>N(N4748)+IF(M4749="✓",1,0)</f>
        <v/>
      </c>
      <c r="O4749" s="93">
        <f>N(O4748)+IF(AND(B4749&lt;&gt;"",B4749&gt;='Uang Riba'!$H$30,B4749&lt;='Uang Riba'!$I$30,OR(H4749="Dana riba",H4749="Pinjam uang riba",I4749="Pinjam dari uang riba",I4749="Ganti uang riba",I4749="Kelebihan ganti dikembalikan",AND(C4749="Kantong Uang Riba",G4749="Pengeluaran"))),1,0)</f>
        <v/>
      </c>
      <c r="X4749" s="93">
        <f>IF(AND(B4749&lt;&gt;"",B4749&gt;='Buku Akun'!$H$4,B4749&lt;='Buku Akun'!$H$5,OR(C4749='Buku Akun'!$C$4,AND(D4749="Pindah",E4749='Buku Akun'!$C$4))),B4749+IF(AND(I4749="Selisih bunga",DAY(B4749)=1),0,0.01)+ROW()/10000000,"")</f>
        <v/>
      </c>
    </row>
    <row r="4750" outlineLevel="1" ht="15" customHeight="1" s="94">
      <c r="A4750" s="123">
        <f>IF(B4750="","",ROW()-15)</f>
        <v/>
      </c>
      <c r="B4750" s="124" t="n"/>
      <c r="C4750" s="123" t="n"/>
      <c r="D4750" s="123" t="n"/>
      <c r="E4750" s="123" t="n"/>
      <c r="F4750" s="125" t="n"/>
      <c r="G4750" s="123" t="n"/>
      <c r="H4750" s="123" t="n"/>
      <c r="I4750" s="123" t="n"/>
      <c r="J4750" s="123" t="n"/>
      <c r="K4750" s="123" t="n"/>
      <c r="L4750" s="123" t="n"/>
      <c r="M4750" s="123">
        <f>IF(AND(B4750&lt;&gt;"",OR($C$4="",ISNUMBER(SEARCH($C$4,C4750&amp;" "&amp;E4750&amp;" "&amp;G4750&amp;" "&amp;H4750&amp;" "&amp;I4750&amp;" "&amp;J4750&amp;" "&amp;K4750&amp;" "&amp;L4750))),OR($C$5="Semua",$C$5="",G4750=$C$5),OR($C$6="Semua",$C$6="",H4750=$C$6,H4750="Pengeluaran "&amp;$C$6,AND($C$6="Uang Kos Mama",H4750="Pengeluaran Uang Kos")),OR($C$7="Semua",$C$7="",I4750=$C$7),OR($C$8="Semua",$C$8="",C4750=$C$8,E4750=$C$8),OR($C$9="Semua",$C$9="",D4750=$C$9),OR($C$10="",B4750&gt;=$C$10),OR($C$11="",B4750&lt;=$C$11),OR($C$12&lt;&gt;"Ya",K4750&lt;&gt;""),OR($C$13="Semua",$C$13="",L4750=$C$13)),"✓","")</f>
        <v/>
      </c>
      <c r="N4750" s="93">
        <f>N(N4749)+IF(M4750="✓",1,0)</f>
        <v/>
      </c>
      <c r="O4750" s="93">
        <f>N(O4749)+IF(AND(B4750&lt;&gt;"",B4750&gt;='Uang Riba'!$H$30,B4750&lt;='Uang Riba'!$I$30,OR(H4750="Dana riba",H4750="Pinjam uang riba",I4750="Pinjam dari uang riba",I4750="Ganti uang riba",I4750="Kelebihan ganti dikembalikan",AND(C4750="Kantong Uang Riba",G4750="Pengeluaran"))),1,0)</f>
        <v/>
      </c>
      <c r="X4750" s="93">
        <f>IF(AND(B4750&lt;&gt;"",B4750&gt;='Buku Akun'!$H$4,B4750&lt;='Buku Akun'!$H$5,OR(C4750='Buku Akun'!$C$4,AND(D4750="Pindah",E4750='Buku Akun'!$C$4))),B4750+IF(AND(I4750="Selisih bunga",DAY(B4750)=1),0,0.01)+ROW()/10000000,"")</f>
        <v/>
      </c>
    </row>
    <row r="4751" outlineLevel="1" ht="15" customHeight="1" s="94">
      <c r="A4751" s="123">
        <f>IF(B4751="","",ROW()-15)</f>
        <v/>
      </c>
      <c r="B4751" s="124" t="n"/>
      <c r="C4751" s="123" t="n"/>
      <c r="D4751" s="123" t="n"/>
      <c r="E4751" s="123" t="n"/>
      <c r="F4751" s="125" t="n"/>
      <c r="G4751" s="123" t="n"/>
      <c r="H4751" s="123" t="n"/>
      <c r="I4751" s="123" t="n"/>
      <c r="J4751" s="123" t="n"/>
      <c r="K4751" s="123" t="n"/>
      <c r="L4751" s="123" t="n"/>
      <c r="M4751" s="123">
        <f>IF(AND(B4751&lt;&gt;"",OR($C$4="",ISNUMBER(SEARCH($C$4,C4751&amp;" "&amp;E4751&amp;" "&amp;G4751&amp;" "&amp;H4751&amp;" "&amp;I4751&amp;" "&amp;J4751&amp;" "&amp;K4751&amp;" "&amp;L4751))),OR($C$5="Semua",$C$5="",G4751=$C$5),OR($C$6="Semua",$C$6="",H4751=$C$6,H4751="Pengeluaran "&amp;$C$6,AND($C$6="Uang Kos Mama",H4751="Pengeluaran Uang Kos")),OR($C$7="Semua",$C$7="",I4751=$C$7),OR($C$8="Semua",$C$8="",C4751=$C$8,E4751=$C$8),OR($C$9="Semua",$C$9="",D4751=$C$9),OR($C$10="",B4751&gt;=$C$10),OR($C$11="",B4751&lt;=$C$11),OR($C$12&lt;&gt;"Ya",K4751&lt;&gt;""),OR($C$13="Semua",$C$13="",L4751=$C$13)),"✓","")</f>
        <v/>
      </c>
      <c r="N4751" s="93">
        <f>N(N4750)+IF(M4751="✓",1,0)</f>
        <v/>
      </c>
      <c r="O4751" s="93">
        <f>N(O4750)+IF(AND(B4751&lt;&gt;"",B4751&gt;='Uang Riba'!$H$30,B4751&lt;='Uang Riba'!$I$30,OR(H4751="Dana riba",H4751="Pinjam uang riba",I4751="Pinjam dari uang riba",I4751="Ganti uang riba",I4751="Kelebihan ganti dikembalikan",AND(C4751="Kantong Uang Riba",G4751="Pengeluaran"))),1,0)</f>
        <v/>
      </c>
      <c r="X4751" s="93">
        <f>IF(AND(B4751&lt;&gt;"",B4751&gt;='Buku Akun'!$H$4,B4751&lt;='Buku Akun'!$H$5,OR(C4751='Buku Akun'!$C$4,AND(D4751="Pindah",E4751='Buku Akun'!$C$4))),B4751+IF(AND(I4751="Selisih bunga",DAY(B4751)=1),0,0.01)+ROW()/10000000,"")</f>
        <v/>
      </c>
    </row>
    <row r="4752" outlineLevel="1" ht="15" customHeight="1" s="94">
      <c r="A4752" s="123">
        <f>IF(B4752="","",ROW()-15)</f>
        <v/>
      </c>
      <c r="B4752" s="124" t="n"/>
      <c r="C4752" s="123" t="n"/>
      <c r="D4752" s="123" t="n"/>
      <c r="E4752" s="123" t="n"/>
      <c r="F4752" s="125" t="n"/>
      <c r="G4752" s="123" t="n"/>
      <c r="H4752" s="123" t="n"/>
      <c r="I4752" s="123" t="n"/>
      <c r="J4752" s="123" t="n"/>
      <c r="K4752" s="123" t="n"/>
      <c r="L4752" s="123" t="n"/>
      <c r="M4752" s="123">
        <f>IF(AND(B4752&lt;&gt;"",OR($C$4="",ISNUMBER(SEARCH($C$4,C4752&amp;" "&amp;E4752&amp;" "&amp;G4752&amp;" "&amp;H4752&amp;" "&amp;I4752&amp;" "&amp;J4752&amp;" "&amp;K4752&amp;" "&amp;L4752))),OR($C$5="Semua",$C$5="",G4752=$C$5),OR($C$6="Semua",$C$6="",H4752=$C$6,H4752="Pengeluaran "&amp;$C$6,AND($C$6="Uang Kos Mama",H4752="Pengeluaran Uang Kos")),OR($C$7="Semua",$C$7="",I4752=$C$7),OR($C$8="Semua",$C$8="",C4752=$C$8,E4752=$C$8),OR($C$9="Semua",$C$9="",D4752=$C$9),OR($C$10="",B4752&gt;=$C$10),OR($C$11="",B4752&lt;=$C$11),OR($C$12&lt;&gt;"Ya",K4752&lt;&gt;""),OR($C$13="Semua",$C$13="",L4752=$C$13)),"✓","")</f>
        <v/>
      </c>
      <c r="N4752" s="93">
        <f>N(N4751)+IF(M4752="✓",1,0)</f>
        <v/>
      </c>
      <c r="O4752" s="93">
        <f>N(O4751)+IF(AND(B4752&lt;&gt;"",B4752&gt;='Uang Riba'!$H$30,B4752&lt;='Uang Riba'!$I$30,OR(H4752="Dana riba",H4752="Pinjam uang riba",I4752="Pinjam dari uang riba",I4752="Ganti uang riba",I4752="Kelebihan ganti dikembalikan",AND(C4752="Kantong Uang Riba",G4752="Pengeluaran"))),1,0)</f>
        <v/>
      </c>
      <c r="X4752" s="93">
        <f>IF(AND(B4752&lt;&gt;"",B4752&gt;='Buku Akun'!$H$4,B4752&lt;='Buku Akun'!$H$5,OR(C4752='Buku Akun'!$C$4,AND(D4752="Pindah",E4752='Buku Akun'!$C$4))),B4752+IF(AND(I4752="Selisih bunga",DAY(B4752)=1),0,0.01)+ROW()/10000000,"")</f>
        <v/>
      </c>
    </row>
    <row r="4753" outlineLevel="1" ht="15" customHeight="1" s="94">
      <c r="A4753" s="123">
        <f>IF(B4753="","",ROW()-15)</f>
        <v/>
      </c>
      <c r="B4753" s="124" t="n"/>
      <c r="C4753" s="123" t="n"/>
      <c r="D4753" s="123" t="n"/>
      <c r="E4753" s="123" t="n"/>
      <c r="F4753" s="125" t="n"/>
      <c r="G4753" s="123" t="n"/>
      <c r="H4753" s="123" t="n"/>
      <c r="I4753" s="123" t="n"/>
      <c r="J4753" s="123" t="n"/>
      <c r="K4753" s="123" t="n"/>
      <c r="L4753" s="123" t="n"/>
      <c r="M4753" s="123">
        <f>IF(AND(B4753&lt;&gt;"",OR($C$4="",ISNUMBER(SEARCH($C$4,C4753&amp;" "&amp;E4753&amp;" "&amp;G4753&amp;" "&amp;H4753&amp;" "&amp;I4753&amp;" "&amp;J4753&amp;" "&amp;K4753&amp;" "&amp;L4753))),OR($C$5="Semua",$C$5="",G4753=$C$5),OR($C$6="Semua",$C$6="",H4753=$C$6,H4753="Pengeluaran "&amp;$C$6,AND($C$6="Uang Kos Mama",H4753="Pengeluaran Uang Kos")),OR($C$7="Semua",$C$7="",I4753=$C$7),OR($C$8="Semua",$C$8="",C4753=$C$8,E4753=$C$8),OR($C$9="Semua",$C$9="",D4753=$C$9),OR($C$10="",B4753&gt;=$C$10),OR($C$11="",B4753&lt;=$C$11),OR($C$12&lt;&gt;"Ya",K4753&lt;&gt;""),OR($C$13="Semua",$C$13="",L4753=$C$13)),"✓","")</f>
        <v/>
      </c>
      <c r="N4753" s="93">
        <f>N(N4752)+IF(M4753="✓",1,0)</f>
        <v/>
      </c>
      <c r="O4753" s="93">
        <f>N(O4752)+IF(AND(B4753&lt;&gt;"",B4753&gt;='Uang Riba'!$H$30,B4753&lt;='Uang Riba'!$I$30,OR(H4753="Dana riba",H4753="Pinjam uang riba",I4753="Pinjam dari uang riba",I4753="Ganti uang riba",I4753="Kelebihan ganti dikembalikan",AND(C4753="Kantong Uang Riba",G4753="Pengeluaran"))),1,0)</f>
        <v/>
      </c>
      <c r="X4753" s="93">
        <f>IF(AND(B4753&lt;&gt;"",B4753&gt;='Buku Akun'!$H$4,B4753&lt;='Buku Akun'!$H$5,OR(C4753='Buku Akun'!$C$4,AND(D4753="Pindah",E4753='Buku Akun'!$C$4))),B4753+IF(AND(I4753="Selisih bunga",DAY(B4753)=1),0,0.01)+ROW()/10000000,"")</f>
        <v/>
      </c>
    </row>
    <row r="4754" outlineLevel="1" ht="15" customHeight="1" s="94">
      <c r="A4754" s="123">
        <f>IF(B4754="","",ROW()-15)</f>
        <v/>
      </c>
      <c r="B4754" s="124" t="n"/>
      <c r="C4754" s="123" t="n"/>
      <c r="D4754" s="123" t="n"/>
      <c r="E4754" s="123" t="n"/>
      <c r="F4754" s="125" t="n"/>
      <c r="G4754" s="123" t="n"/>
      <c r="H4754" s="123" t="n"/>
      <c r="I4754" s="123" t="n"/>
      <c r="J4754" s="123" t="n"/>
      <c r="K4754" s="123" t="n"/>
      <c r="L4754" s="123" t="n"/>
      <c r="M4754" s="123">
        <f>IF(AND(B4754&lt;&gt;"",OR($C$4="",ISNUMBER(SEARCH($C$4,C4754&amp;" "&amp;E4754&amp;" "&amp;G4754&amp;" "&amp;H4754&amp;" "&amp;I4754&amp;" "&amp;J4754&amp;" "&amp;K4754&amp;" "&amp;L4754))),OR($C$5="Semua",$C$5="",G4754=$C$5),OR($C$6="Semua",$C$6="",H4754=$C$6,H4754="Pengeluaran "&amp;$C$6,AND($C$6="Uang Kos Mama",H4754="Pengeluaran Uang Kos")),OR($C$7="Semua",$C$7="",I4754=$C$7),OR($C$8="Semua",$C$8="",C4754=$C$8,E4754=$C$8),OR($C$9="Semua",$C$9="",D4754=$C$9),OR($C$10="",B4754&gt;=$C$10),OR($C$11="",B4754&lt;=$C$11),OR($C$12&lt;&gt;"Ya",K4754&lt;&gt;""),OR($C$13="Semua",$C$13="",L4754=$C$13)),"✓","")</f>
        <v/>
      </c>
      <c r="N4754" s="93">
        <f>N(N4753)+IF(M4754="✓",1,0)</f>
        <v/>
      </c>
      <c r="O4754" s="93">
        <f>N(O4753)+IF(AND(B4754&lt;&gt;"",B4754&gt;='Uang Riba'!$H$30,B4754&lt;='Uang Riba'!$I$30,OR(H4754="Dana riba",H4754="Pinjam uang riba",I4754="Pinjam dari uang riba",I4754="Ganti uang riba",I4754="Kelebihan ganti dikembalikan",AND(C4754="Kantong Uang Riba",G4754="Pengeluaran"))),1,0)</f>
        <v/>
      </c>
      <c r="X4754" s="93">
        <f>IF(AND(B4754&lt;&gt;"",B4754&gt;='Buku Akun'!$H$4,B4754&lt;='Buku Akun'!$H$5,OR(C4754='Buku Akun'!$C$4,AND(D4754="Pindah",E4754='Buku Akun'!$C$4))),B4754+IF(AND(I4754="Selisih bunga",DAY(B4754)=1),0,0.01)+ROW()/10000000,"")</f>
        <v/>
      </c>
    </row>
    <row r="4755" outlineLevel="1" ht="15" customHeight="1" s="94">
      <c r="A4755" s="123">
        <f>IF(B4755="","",ROW()-15)</f>
        <v/>
      </c>
      <c r="B4755" s="124" t="n"/>
      <c r="C4755" s="123" t="n"/>
      <c r="D4755" s="123" t="n"/>
      <c r="E4755" s="123" t="n"/>
      <c r="F4755" s="125" t="n"/>
      <c r="G4755" s="123" t="n"/>
      <c r="H4755" s="123" t="n"/>
      <c r="I4755" s="123" t="n"/>
      <c r="J4755" s="123" t="n"/>
      <c r="K4755" s="123" t="n"/>
      <c r="L4755" s="123" t="n"/>
      <c r="M4755" s="123">
        <f>IF(AND(B4755&lt;&gt;"",OR($C$4="",ISNUMBER(SEARCH($C$4,C4755&amp;" "&amp;E4755&amp;" "&amp;G4755&amp;" "&amp;H4755&amp;" "&amp;I4755&amp;" "&amp;J4755&amp;" "&amp;K4755&amp;" "&amp;L4755))),OR($C$5="Semua",$C$5="",G4755=$C$5),OR($C$6="Semua",$C$6="",H4755=$C$6,H4755="Pengeluaran "&amp;$C$6,AND($C$6="Uang Kos Mama",H4755="Pengeluaran Uang Kos")),OR($C$7="Semua",$C$7="",I4755=$C$7),OR($C$8="Semua",$C$8="",C4755=$C$8,E4755=$C$8),OR($C$9="Semua",$C$9="",D4755=$C$9),OR($C$10="",B4755&gt;=$C$10),OR($C$11="",B4755&lt;=$C$11),OR($C$12&lt;&gt;"Ya",K4755&lt;&gt;""),OR($C$13="Semua",$C$13="",L4755=$C$13)),"✓","")</f>
        <v/>
      </c>
      <c r="N4755" s="93">
        <f>N(N4754)+IF(M4755="✓",1,0)</f>
        <v/>
      </c>
      <c r="O4755" s="93">
        <f>N(O4754)+IF(AND(B4755&lt;&gt;"",B4755&gt;='Uang Riba'!$H$30,B4755&lt;='Uang Riba'!$I$30,OR(H4755="Dana riba",H4755="Pinjam uang riba",I4755="Pinjam dari uang riba",I4755="Ganti uang riba",I4755="Kelebihan ganti dikembalikan",AND(C4755="Kantong Uang Riba",G4755="Pengeluaran"))),1,0)</f>
        <v/>
      </c>
      <c r="X4755" s="93">
        <f>IF(AND(B4755&lt;&gt;"",B4755&gt;='Buku Akun'!$H$4,B4755&lt;='Buku Akun'!$H$5,OR(C4755='Buku Akun'!$C$4,AND(D4755="Pindah",E4755='Buku Akun'!$C$4))),B4755+IF(AND(I4755="Selisih bunga",DAY(B4755)=1),0,0.01)+ROW()/10000000,"")</f>
        <v/>
      </c>
    </row>
    <row r="4756" outlineLevel="1" ht="15" customHeight="1" s="94">
      <c r="A4756" s="123">
        <f>IF(B4756="","",ROW()-15)</f>
        <v/>
      </c>
      <c r="B4756" s="124" t="n"/>
      <c r="C4756" s="123" t="n"/>
      <c r="D4756" s="123" t="n"/>
      <c r="E4756" s="123" t="n"/>
      <c r="F4756" s="125" t="n"/>
      <c r="G4756" s="123" t="n"/>
      <c r="H4756" s="123" t="n"/>
      <c r="I4756" s="123" t="n"/>
      <c r="J4756" s="123" t="n"/>
      <c r="K4756" s="123" t="n"/>
      <c r="L4756" s="123" t="n"/>
      <c r="M4756" s="123">
        <f>IF(AND(B4756&lt;&gt;"",OR($C$4="",ISNUMBER(SEARCH($C$4,C4756&amp;" "&amp;E4756&amp;" "&amp;G4756&amp;" "&amp;H4756&amp;" "&amp;I4756&amp;" "&amp;J4756&amp;" "&amp;K4756&amp;" "&amp;L4756))),OR($C$5="Semua",$C$5="",G4756=$C$5),OR($C$6="Semua",$C$6="",H4756=$C$6,H4756="Pengeluaran "&amp;$C$6,AND($C$6="Uang Kos Mama",H4756="Pengeluaran Uang Kos")),OR($C$7="Semua",$C$7="",I4756=$C$7),OR($C$8="Semua",$C$8="",C4756=$C$8,E4756=$C$8),OR($C$9="Semua",$C$9="",D4756=$C$9),OR($C$10="",B4756&gt;=$C$10),OR($C$11="",B4756&lt;=$C$11),OR($C$12&lt;&gt;"Ya",K4756&lt;&gt;""),OR($C$13="Semua",$C$13="",L4756=$C$13)),"✓","")</f>
        <v/>
      </c>
      <c r="N4756" s="93">
        <f>N(N4755)+IF(M4756="✓",1,0)</f>
        <v/>
      </c>
      <c r="O4756" s="93">
        <f>N(O4755)+IF(AND(B4756&lt;&gt;"",B4756&gt;='Uang Riba'!$H$30,B4756&lt;='Uang Riba'!$I$30,OR(H4756="Dana riba",H4756="Pinjam uang riba",I4756="Pinjam dari uang riba",I4756="Ganti uang riba",I4756="Kelebihan ganti dikembalikan",AND(C4756="Kantong Uang Riba",G4756="Pengeluaran"))),1,0)</f>
        <v/>
      </c>
      <c r="X4756" s="93">
        <f>IF(AND(B4756&lt;&gt;"",B4756&gt;='Buku Akun'!$H$4,B4756&lt;='Buku Akun'!$H$5,OR(C4756='Buku Akun'!$C$4,AND(D4756="Pindah",E4756='Buku Akun'!$C$4))),B4756+IF(AND(I4756="Selisih bunga",DAY(B4756)=1),0,0.01)+ROW()/10000000,"")</f>
        <v/>
      </c>
    </row>
    <row r="4757" outlineLevel="1" ht="15" customHeight="1" s="94">
      <c r="A4757" s="123">
        <f>IF(B4757="","",ROW()-15)</f>
        <v/>
      </c>
      <c r="B4757" s="124" t="n"/>
      <c r="C4757" s="123" t="n"/>
      <c r="D4757" s="123" t="n"/>
      <c r="E4757" s="123" t="n"/>
      <c r="F4757" s="125" t="n"/>
      <c r="G4757" s="123" t="n"/>
      <c r="H4757" s="123" t="n"/>
      <c r="I4757" s="123" t="n"/>
      <c r="J4757" s="123" t="n"/>
      <c r="K4757" s="123" t="n"/>
      <c r="L4757" s="123" t="n"/>
      <c r="M4757" s="123">
        <f>IF(AND(B4757&lt;&gt;"",OR($C$4="",ISNUMBER(SEARCH($C$4,C4757&amp;" "&amp;E4757&amp;" "&amp;G4757&amp;" "&amp;H4757&amp;" "&amp;I4757&amp;" "&amp;J4757&amp;" "&amp;K4757&amp;" "&amp;L4757))),OR($C$5="Semua",$C$5="",G4757=$C$5),OR($C$6="Semua",$C$6="",H4757=$C$6,H4757="Pengeluaran "&amp;$C$6,AND($C$6="Uang Kos Mama",H4757="Pengeluaran Uang Kos")),OR($C$7="Semua",$C$7="",I4757=$C$7),OR($C$8="Semua",$C$8="",C4757=$C$8,E4757=$C$8),OR($C$9="Semua",$C$9="",D4757=$C$9),OR($C$10="",B4757&gt;=$C$10),OR($C$11="",B4757&lt;=$C$11),OR($C$12&lt;&gt;"Ya",K4757&lt;&gt;""),OR($C$13="Semua",$C$13="",L4757=$C$13)),"✓","")</f>
        <v/>
      </c>
      <c r="N4757" s="93">
        <f>N(N4756)+IF(M4757="✓",1,0)</f>
        <v/>
      </c>
      <c r="O4757" s="93">
        <f>N(O4756)+IF(AND(B4757&lt;&gt;"",B4757&gt;='Uang Riba'!$H$30,B4757&lt;='Uang Riba'!$I$30,OR(H4757="Dana riba",H4757="Pinjam uang riba",I4757="Pinjam dari uang riba",I4757="Ganti uang riba",I4757="Kelebihan ganti dikembalikan",AND(C4757="Kantong Uang Riba",G4757="Pengeluaran"))),1,0)</f>
        <v/>
      </c>
      <c r="X4757" s="93">
        <f>IF(AND(B4757&lt;&gt;"",B4757&gt;='Buku Akun'!$H$4,B4757&lt;='Buku Akun'!$H$5,OR(C4757='Buku Akun'!$C$4,AND(D4757="Pindah",E4757='Buku Akun'!$C$4))),B4757+IF(AND(I4757="Selisih bunga",DAY(B4757)=1),0,0.01)+ROW()/10000000,"")</f>
        <v/>
      </c>
    </row>
    <row r="4758" outlineLevel="1" ht="15" customHeight="1" s="94">
      <c r="A4758" s="123">
        <f>IF(B4758="","",ROW()-15)</f>
        <v/>
      </c>
      <c r="B4758" s="124" t="n"/>
      <c r="C4758" s="123" t="n"/>
      <c r="D4758" s="123" t="n"/>
      <c r="E4758" s="123" t="n"/>
      <c r="F4758" s="125" t="n"/>
      <c r="G4758" s="123" t="n"/>
      <c r="H4758" s="123" t="n"/>
      <c r="I4758" s="123" t="n"/>
      <c r="J4758" s="123" t="n"/>
      <c r="K4758" s="123" t="n"/>
      <c r="L4758" s="123" t="n"/>
      <c r="M4758" s="123">
        <f>IF(AND(B4758&lt;&gt;"",OR($C$4="",ISNUMBER(SEARCH($C$4,C4758&amp;" "&amp;E4758&amp;" "&amp;G4758&amp;" "&amp;H4758&amp;" "&amp;I4758&amp;" "&amp;J4758&amp;" "&amp;K4758&amp;" "&amp;L4758))),OR($C$5="Semua",$C$5="",G4758=$C$5),OR($C$6="Semua",$C$6="",H4758=$C$6,H4758="Pengeluaran "&amp;$C$6,AND($C$6="Uang Kos Mama",H4758="Pengeluaran Uang Kos")),OR($C$7="Semua",$C$7="",I4758=$C$7),OR($C$8="Semua",$C$8="",C4758=$C$8,E4758=$C$8),OR($C$9="Semua",$C$9="",D4758=$C$9),OR($C$10="",B4758&gt;=$C$10),OR($C$11="",B4758&lt;=$C$11),OR($C$12&lt;&gt;"Ya",K4758&lt;&gt;""),OR($C$13="Semua",$C$13="",L4758=$C$13)),"✓","")</f>
        <v/>
      </c>
      <c r="N4758" s="93">
        <f>N(N4757)+IF(M4758="✓",1,0)</f>
        <v/>
      </c>
      <c r="O4758" s="93">
        <f>N(O4757)+IF(AND(B4758&lt;&gt;"",B4758&gt;='Uang Riba'!$H$30,B4758&lt;='Uang Riba'!$I$30,OR(H4758="Dana riba",H4758="Pinjam uang riba",I4758="Pinjam dari uang riba",I4758="Ganti uang riba",I4758="Kelebihan ganti dikembalikan",AND(C4758="Kantong Uang Riba",G4758="Pengeluaran"))),1,0)</f>
        <v/>
      </c>
      <c r="X4758" s="93">
        <f>IF(AND(B4758&lt;&gt;"",B4758&gt;='Buku Akun'!$H$4,B4758&lt;='Buku Akun'!$H$5,OR(C4758='Buku Akun'!$C$4,AND(D4758="Pindah",E4758='Buku Akun'!$C$4))),B4758+IF(AND(I4758="Selisih bunga",DAY(B4758)=1),0,0.01)+ROW()/10000000,"")</f>
        <v/>
      </c>
    </row>
    <row r="4759" outlineLevel="1" ht="15" customHeight="1" s="94">
      <c r="A4759" s="123">
        <f>IF(B4759="","",ROW()-15)</f>
        <v/>
      </c>
      <c r="B4759" s="124" t="n"/>
      <c r="C4759" s="123" t="n"/>
      <c r="D4759" s="123" t="n"/>
      <c r="E4759" s="123" t="n"/>
      <c r="F4759" s="125" t="n"/>
      <c r="G4759" s="123" t="n"/>
      <c r="H4759" s="123" t="n"/>
      <c r="I4759" s="123" t="n"/>
      <c r="J4759" s="123" t="n"/>
      <c r="K4759" s="123" t="n"/>
      <c r="L4759" s="123" t="n"/>
      <c r="M4759" s="123">
        <f>IF(AND(B4759&lt;&gt;"",OR($C$4="",ISNUMBER(SEARCH($C$4,C4759&amp;" "&amp;E4759&amp;" "&amp;G4759&amp;" "&amp;H4759&amp;" "&amp;I4759&amp;" "&amp;J4759&amp;" "&amp;K4759&amp;" "&amp;L4759))),OR($C$5="Semua",$C$5="",G4759=$C$5),OR($C$6="Semua",$C$6="",H4759=$C$6,H4759="Pengeluaran "&amp;$C$6,AND($C$6="Uang Kos Mama",H4759="Pengeluaran Uang Kos")),OR($C$7="Semua",$C$7="",I4759=$C$7),OR($C$8="Semua",$C$8="",C4759=$C$8,E4759=$C$8),OR($C$9="Semua",$C$9="",D4759=$C$9),OR($C$10="",B4759&gt;=$C$10),OR($C$11="",B4759&lt;=$C$11),OR($C$12&lt;&gt;"Ya",K4759&lt;&gt;""),OR($C$13="Semua",$C$13="",L4759=$C$13)),"✓","")</f>
        <v/>
      </c>
      <c r="N4759" s="93">
        <f>N(N4758)+IF(M4759="✓",1,0)</f>
        <v/>
      </c>
      <c r="O4759" s="93">
        <f>N(O4758)+IF(AND(B4759&lt;&gt;"",B4759&gt;='Uang Riba'!$H$30,B4759&lt;='Uang Riba'!$I$30,OR(H4759="Dana riba",H4759="Pinjam uang riba",I4759="Pinjam dari uang riba",I4759="Ganti uang riba",I4759="Kelebihan ganti dikembalikan",AND(C4759="Kantong Uang Riba",G4759="Pengeluaran"))),1,0)</f>
        <v/>
      </c>
      <c r="X4759" s="93">
        <f>IF(AND(B4759&lt;&gt;"",B4759&gt;='Buku Akun'!$H$4,B4759&lt;='Buku Akun'!$H$5,OR(C4759='Buku Akun'!$C$4,AND(D4759="Pindah",E4759='Buku Akun'!$C$4))),B4759+IF(AND(I4759="Selisih bunga",DAY(B4759)=1),0,0.01)+ROW()/10000000,"")</f>
        <v/>
      </c>
    </row>
    <row r="4760" outlineLevel="1" ht="15" customHeight="1" s="94">
      <c r="A4760" s="123">
        <f>IF(B4760="","",ROW()-15)</f>
        <v/>
      </c>
      <c r="B4760" s="124" t="n"/>
      <c r="C4760" s="123" t="n"/>
      <c r="D4760" s="123" t="n"/>
      <c r="E4760" s="123" t="n"/>
      <c r="F4760" s="125" t="n"/>
      <c r="G4760" s="123" t="n"/>
      <c r="H4760" s="123" t="n"/>
      <c r="I4760" s="123" t="n"/>
      <c r="J4760" s="123" t="n"/>
      <c r="K4760" s="123" t="n"/>
      <c r="L4760" s="123" t="n"/>
      <c r="M4760" s="123">
        <f>IF(AND(B4760&lt;&gt;"",OR($C$4="",ISNUMBER(SEARCH($C$4,C4760&amp;" "&amp;E4760&amp;" "&amp;G4760&amp;" "&amp;H4760&amp;" "&amp;I4760&amp;" "&amp;J4760&amp;" "&amp;K4760&amp;" "&amp;L4760))),OR($C$5="Semua",$C$5="",G4760=$C$5),OR($C$6="Semua",$C$6="",H4760=$C$6,H4760="Pengeluaran "&amp;$C$6,AND($C$6="Uang Kos Mama",H4760="Pengeluaran Uang Kos")),OR($C$7="Semua",$C$7="",I4760=$C$7),OR($C$8="Semua",$C$8="",C4760=$C$8,E4760=$C$8),OR($C$9="Semua",$C$9="",D4760=$C$9),OR($C$10="",B4760&gt;=$C$10),OR($C$11="",B4760&lt;=$C$11),OR($C$12&lt;&gt;"Ya",K4760&lt;&gt;""),OR($C$13="Semua",$C$13="",L4760=$C$13)),"✓","")</f>
        <v/>
      </c>
      <c r="N4760" s="93">
        <f>N(N4759)+IF(M4760="✓",1,0)</f>
        <v/>
      </c>
      <c r="O4760" s="93">
        <f>N(O4759)+IF(AND(B4760&lt;&gt;"",B4760&gt;='Uang Riba'!$H$30,B4760&lt;='Uang Riba'!$I$30,OR(H4760="Dana riba",H4760="Pinjam uang riba",I4760="Pinjam dari uang riba",I4760="Ganti uang riba",I4760="Kelebihan ganti dikembalikan",AND(C4760="Kantong Uang Riba",G4760="Pengeluaran"))),1,0)</f>
        <v/>
      </c>
      <c r="X4760" s="93">
        <f>IF(AND(B4760&lt;&gt;"",B4760&gt;='Buku Akun'!$H$4,B4760&lt;='Buku Akun'!$H$5,OR(C4760='Buku Akun'!$C$4,AND(D4760="Pindah",E4760='Buku Akun'!$C$4))),B4760+IF(AND(I4760="Selisih bunga",DAY(B4760)=1),0,0.01)+ROW()/10000000,"")</f>
        <v/>
      </c>
    </row>
    <row r="4761" outlineLevel="1" ht="15" customHeight="1" s="94">
      <c r="A4761" s="123">
        <f>IF(B4761="","",ROW()-15)</f>
        <v/>
      </c>
      <c r="B4761" s="124" t="n"/>
      <c r="C4761" s="123" t="n"/>
      <c r="D4761" s="123" t="n"/>
      <c r="E4761" s="123" t="n"/>
      <c r="F4761" s="125" t="n"/>
      <c r="G4761" s="123" t="n"/>
      <c r="H4761" s="123" t="n"/>
      <c r="I4761" s="123" t="n"/>
      <c r="J4761" s="123" t="n"/>
      <c r="K4761" s="123" t="n"/>
      <c r="L4761" s="123" t="n"/>
      <c r="M4761" s="123">
        <f>IF(AND(B4761&lt;&gt;"",OR($C$4="",ISNUMBER(SEARCH($C$4,C4761&amp;" "&amp;E4761&amp;" "&amp;G4761&amp;" "&amp;H4761&amp;" "&amp;I4761&amp;" "&amp;J4761&amp;" "&amp;K4761&amp;" "&amp;L4761))),OR($C$5="Semua",$C$5="",G4761=$C$5),OR($C$6="Semua",$C$6="",H4761=$C$6,H4761="Pengeluaran "&amp;$C$6,AND($C$6="Uang Kos Mama",H4761="Pengeluaran Uang Kos")),OR($C$7="Semua",$C$7="",I4761=$C$7),OR($C$8="Semua",$C$8="",C4761=$C$8,E4761=$C$8),OR($C$9="Semua",$C$9="",D4761=$C$9),OR($C$10="",B4761&gt;=$C$10),OR($C$11="",B4761&lt;=$C$11),OR($C$12&lt;&gt;"Ya",K4761&lt;&gt;""),OR($C$13="Semua",$C$13="",L4761=$C$13)),"✓","")</f>
        <v/>
      </c>
      <c r="N4761" s="93">
        <f>N(N4760)+IF(M4761="✓",1,0)</f>
        <v/>
      </c>
      <c r="O4761" s="93">
        <f>N(O4760)+IF(AND(B4761&lt;&gt;"",B4761&gt;='Uang Riba'!$H$30,B4761&lt;='Uang Riba'!$I$30,OR(H4761="Dana riba",H4761="Pinjam uang riba",I4761="Pinjam dari uang riba",I4761="Ganti uang riba",I4761="Kelebihan ganti dikembalikan",AND(C4761="Kantong Uang Riba",G4761="Pengeluaran"))),1,0)</f>
        <v/>
      </c>
      <c r="X4761" s="93">
        <f>IF(AND(B4761&lt;&gt;"",B4761&gt;='Buku Akun'!$H$4,B4761&lt;='Buku Akun'!$H$5,OR(C4761='Buku Akun'!$C$4,AND(D4761="Pindah",E4761='Buku Akun'!$C$4))),B4761+IF(AND(I4761="Selisih bunga",DAY(B4761)=1),0,0.01)+ROW()/10000000,"")</f>
        <v/>
      </c>
    </row>
    <row r="4762" outlineLevel="1" ht="15" customHeight="1" s="94">
      <c r="A4762" s="123">
        <f>IF(B4762="","",ROW()-15)</f>
        <v/>
      </c>
      <c r="B4762" s="124" t="n"/>
      <c r="C4762" s="123" t="n"/>
      <c r="D4762" s="123" t="n"/>
      <c r="E4762" s="123" t="n"/>
      <c r="F4762" s="125" t="n"/>
      <c r="G4762" s="123" t="n"/>
      <c r="H4762" s="123" t="n"/>
      <c r="I4762" s="123" t="n"/>
      <c r="J4762" s="123" t="n"/>
      <c r="K4762" s="123" t="n"/>
      <c r="L4762" s="123" t="n"/>
      <c r="M4762" s="123">
        <f>IF(AND(B4762&lt;&gt;"",OR($C$4="",ISNUMBER(SEARCH($C$4,C4762&amp;" "&amp;E4762&amp;" "&amp;G4762&amp;" "&amp;H4762&amp;" "&amp;I4762&amp;" "&amp;J4762&amp;" "&amp;K4762&amp;" "&amp;L4762))),OR($C$5="Semua",$C$5="",G4762=$C$5),OR($C$6="Semua",$C$6="",H4762=$C$6,H4762="Pengeluaran "&amp;$C$6,AND($C$6="Uang Kos Mama",H4762="Pengeluaran Uang Kos")),OR($C$7="Semua",$C$7="",I4762=$C$7),OR($C$8="Semua",$C$8="",C4762=$C$8,E4762=$C$8),OR($C$9="Semua",$C$9="",D4762=$C$9),OR($C$10="",B4762&gt;=$C$10),OR($C$11="",B4762&lt;=$C$11),OR($C$12&lt;&gt;"Ya",K4762&lt;&gt;""),OR($C$13="Semua",$C$13="",L4762=$C$13)),"✓","")</f>
        <v/>
      </c>
      <c r="N4762" s="93">
        <f>N(N4761)+IF(M4762="✓",1,0)</f>
        <v/>
      </c>
      <c r="O4762" s="93">
        <f>N(O4761)+IF(AND(B4762&lt;&gt;"",B4762&gt;='Uang Riba'!$H$30,B4762&lt;='Uang Riba'!$I$30,OR(H4762="Dana riba",H4762="Pinjam uang riba",I4762="Pinjam dari uang riba",I4762="Ganti uang riba",I4762="Kelebihan ganti dikembalikan",AND(C4762="Kantong Uang Riba",G4762="Pengeluaran"))),1,0)</f>
        <v/>
      </c>
      <c r="X4762" s="93">
        <f>IF(AND(B4762&lt;&gt;"",B4762&gt;='Buku Akun'!$H$4,B4762&lt;='Buku Akun'!$H$5,OR(C4762='Buku Akun'!$C$4,AND(D4762="Pindah",E4762='Buku Akun'!$C$4))),B4762+IF(AND(I4762="Selisih bunga",DAY(B4762)=1),0,0.01)+ROW()/10000000,"")</f>
        <v/>
      </c>
    </row>
    <row r="4763" outlineLevel="1" ht="15" customHeight="1" s="94">
      <c r="A4763" s="123">
        <f>IF(B4763="","",ROW()-15)</f>
        <v/>
      </c>
      <c r="B4763" s="124" t="n"/>
      <c r="C4763" s="123" t="n"/>
      <c r="D4763" s="123" t="n"/>
      <c r="E4763" s="123" t="n"/>
      <c r="F4763" s="125" t="n"/>
      <c r="G4763" s="123" t="n"/>
      <c r="H4763" s="123" t="n"/>
      <c r="I4763" s="123" t="n"/>
      <c r="J4763" s="123" t="n"/>
      <c r="K4763" s="123" t="n"/>
      <c r="L4763" s="123" t="n"/>
      <c r="M4763" s="123">
        <f>IF(AND(B4763&lt;&gt;"",OR($C$4="",ISNUMBER(SEARCH($C$4,C4763&amp;" "&amp;E4763&amp;" "&amp;G4763&amp;" "&amp;H4763&amp;" "&amp;I4763&amp;" "&amp;J4763&amp;" "&amp;K4763&amp;" "&amp;L4763))),OR($C$5="Semua",$C$5="",G4763=$C$5),OR($C$6="Semua",$C$6="",H4763=$C$6,H4763="Pengeluaran "&amp;$C$6,AND($C$6="Uang Kos Mama",H4763="Pengeluaran Uang Kos")),OR($C$7="Semua",$C$7="",I4763=$C$7),OR($C$8="Semua",$C$8="",C4763=$C$8,E4763=$C$8),OR($C$9="Semua",$C$9="",D4763=$C$9),OR($C$10="",B4763&gt;=$C$10),OR($C$11="",B4763&lt;=$C$11),OR($C$12&lt;&gt;"Ya",K4763&lt;&gt;""),OR($C$13="Semua",$C$13="",L4763=$C$13)),"✓","")</f>
        <v/>
      </c>
      <c r="N4763" s="93">
        <f>N(N4762)+IF(M4763="✓",1,0)</f>
        <v/>
      </c>
      <c r="O4763" s="93">
        <f>N(O4762)+IF(AND(B4763&lt;&gt;"",B4763&gt;='Uang Riba'!$H$30,B4763&lt;='Uang Riba'!$I$30,OR(H4763="Dana riba",H4763="Pinjam uang riba",I4763="Pinjam dari uang riba",I4763="Ganti uang riba",I4763="Kelebihan ganti dikembalikan",AND(C4763="Kantong Uang Riba",G4763="Pengeluaran"))),1,0)</f>
        <v/>
      </c>
      <c r="X4763" s="93">
        <f>IF(AND(B4763&lt;&gt;"",B4763&gt;='Buku Akun'!$H$4,B4763&lt;='Buku Akun'!$H$5,OR(C4763='Buku Akun'!$C$4,AND(D4763="Pindah",E4763='Buku Akun'!$C$4))),B4763+IF(AND(I4763="Selisih bunga",DAY(B4763)=1),0,0.01)+ROW()/10000000,"")</f>
        <v/>
      </c>
    </row>
    <row r="4764" outlineLevel="1" ht="15" customHeight="1" s="94">
      <c r="A4764" s="123">
        <f>IF(B4764="","",ROW()-15)</f>
        <v/>
      </c>
      <c r="B4764" s="124" t="n"/>
      <c r="C4764" s="123" t="n"/>
      <c r="D4764" s="123" t="n"/>
      <c r="E4764" s="123" t="n"/>
      <c r="F4764" s="125" t="n"/>
      <c r="G4764" s="123" t="n"/>
      <c r="H4764" s="123" t="n"/>
      <c r="I4764" s="123" t="n"/>
      <c r="J4764" s="123" t="n"/>
      <c r="K4764" s="123" t="n"/>
      <c r="L4764" s="123" t="n"/>
      <c r="M4764" s="123">
        <f>IF(AND(B4764&lt;&gt;"",OR($C$4="",ISNUMBER(SEARCH($C$4,C4764&amp;" "&amp;E4764&amp;" "&amp;G4764&amp;" "&amp;H4764&amp;" "&amp;I4764&amp;" "&amp;J4764&amp;" "&amp;K4764&amp;" "&amp;L4764))),OR($C$5="Semua",$C$5="",G4764=$C$5),OR($C$6="Semua",$C$6="",H4764=$C$6,H4764="Pengeluaran "&amp;$C$6,AND($C$6="Uang Kos Mama",H4764="Pengeluaran Uang Kos")),OR($C$7="Semua",$C$7="",I4764=$C$7),OR($C$8="Semua",$C$8="",C4764=$C$8,E4764=$C$8),OR($C$9="Semua",$C$9="",D4764=$C$9),OR($C$10="",B4764&gt;=$C$10),OR($C$11="",B4764&lt;=$C$11),OR($C$12&lt;&gt;"Ya",K4764&lt;&gt;""),OR($C$13="Semua",$C$13="",L4764=$C$13)),"✓","")</f>
        <v/>
      </c>
      <c r="N4764" s="93">
        <f>N(N4763)+IF(M4764="✓",1,0)</f>
        <v/>
      </c>
      <c r="O4764" s="93">
        <f>N(O4763)+IF(AND(B4764&lt;&gt;"",B4764&gt;='Uang Riba'!$H$30,B4764&lt;='Uang Riba'!$I$30,OR(H4764="Dana riba",H4764="Pinjam uang riba",I4764="Pinjam dari uang riba",I4764="Ganti uang riba",I4764="Kelebihan ganti dikembalikan",AND(C4764="Kantong Uang Riba",G4764="Pengeluaran"))),1,0)</f>
        <v/>
      </c>
      <c r="X4764" s="93">
        <f>IF(AND(B4764&lt;&gt;"",B4764&gt;='Buku Akun'!$H$4,B4764&lt;='Buku Akun'!$H$5,OR(C4764='Buku Akun'!$C$4,AND(D4764="Pindah",E4764='Buku Akun'!$C$4))),B4764+IF(AND(I4764="Selisih bunga",DAY(B4764)=1),0,0.01)+ROW()/10000000,"")</f>
        <v/>
      </c>
    </row>
    <row r="4765" outlineLevel="1" ht="15" customHeight="1" s="94">
      <c r="A4765" s="123">
        <f>IF(B4765="","",ROW()-15)</f>
        <v/>
      </c>
      <c r="B4765" s="124" t="n"/>
      <c r="C4765" s="123" t="n"/>
      <c r="D4765" s="123" t="n"/>
      <c r="E4765" s="123" t="n"/>
      <c r="F4765" s="125" t="n"/>
      <c r="G4765" s="123" t="n"/>
      <c r="H4765" s="123" t="n"/>
      <c r="I4765" s="123" t="n"/>
      <c r="J4765" s="123" t="n"/>
      <c r="K4765" s="123" t="n"/>
      <c r="L4765" s="123" t="n"/>
      <c r="M4765" s="123">
        <f>IF(AND(B4765&lt;&gt;"",OR($C$4="",ISNUMBER(SEARCH($C$4,C4765&amp;" "&amp;E4765&amp;" "&amp;G4765&amp;" "&amp;H4765&amp;" "&amp;I4765&amp;" "&amp;J4765&amp;" "&amp;K4765&amp;" "&amp;L4765))),OR($C$5="Semua",$C$5="",G4765=$C$5),OR($C$6="Semua",$C$6="",H4765=$C$6,H4765="Pengeluaran "&amp;$C$6,AND($C$6="Uang Kos Mama",H4765="Pengeluaran Uang Kos")),OR($C$7="Semua",$C$7="",I4765=$C$7),OR($C$8="Semua",$C$8="",C4765=$C$8,E4765=$C$8),OR($C$9="Semua",$C$9="",D4765=$C$9),OR($C$10="",B4765&gt;=$C$10),OR($C$11="",B4765&lt;=$C$11),OR($C$12&lt;&gt;"Ya",K4765&lt;&gt;""),OR($C$13="Semua",$C$13="",L4765=$C$13)),"✓","")</f>
        <v/>
      </c>
      <c r="N4765" s="93">
        <f>N(N4764)+IF(M4765="✓",1,0)</f>
        <v/>
      </c>
      <c r="O4765" s="93">
        <f>N(O4764)+IF(AND(B4765&lt;&gt;"",B4765&gt;='Uang Riba'!$H$30,B4765&lt;='Uang Riba'!$I$30,OR(H4765="Dana riba",H4765="Pinjam uang riba",I4765="Pinjam dari uang riba",I4765="Ganti uang riba",I4765="Kelebihan ganti dikembalikan",AND(C4765="Kantong Uang Riba",G4765="Pengeluaran"))),1,0)</f>
        <v/>
      </c>
      <c r="X4765" s="93">
        <f>IF(AND(B4765&lt;&gt;"",B4765&gt;='Buku Akun'!$H$4,B4765&lt;='Buku Akun'!$H$5,OR(C4765='Buku Akun'!$C$4,AND(D4765="Pindah",E4765='Buku Akun'!$C$4))),B4765+IF(AND(I4765="Selisih bunga",DAY(B4765)=1),0,0.01)+ROW()/10000000,"")</f>
        <v/>
      </c>
    </row>
    <row r="4766" outlineLevel="1" ht="15" customHeight="1" s="94">
      <c r="A4766" s="123">
        <f>IF(B4766="","",ROW()-15)</f>
        <v/>
      </c>
      <c r="B4766" s="124" t="n"/>
      <c r="C4766" s="123" t="n"/>
      <c r="D4766" s="123" t="n"/>
      <c r="E4766" s="123" t="n"/>
      <c r="F4766" s="125" t="n"/>
      <c r="G4766" s="123" t="n"/>
      <c r="H4766" s="123" t="n"/>
      <c r="I4766" s="123" t="n"/>
      <c r="J4766" s="123" t="n"/>
      <c r="K4766" s="123" t="n"/>
      <c r="L4766" s="123" t="n"/>
      <c r="M4766" s="123">
        <f>IF(AND(B4766&lt;&gt;"",OR($C$4="",ISNUMBER(SEARCH($C$4,C4766&amp;" "&amp;E4766&amp;" "&amp;G4766&amp;" "&amp;H4766&amp;" "&amp;I4766&amp;" "&amp;J4766&amp;" "&amp;K4766&amp;" "&amp;L4766))),OR($C$5="Semua",$C$5="",G4766=$C$5),OR($C$6="Semua",$C$6="",H4766=$C$6,H4766="Pengeluaran "&amp;$C$6,AND($C$6="Uang Kos Mama",H4766="Pengeluaran Uang Kos")),OR($C$7="Semua",$C$7="",I4766=$C$7),OR($C$8="Semua",$C$8="",C4766=$C$8,E4766=$C$8),OR($C$9="Semua",$C$9="",D4766=$C$9),OR($C$10="",B4766&gt;=$C$10),OR($C$11="",B4766&lt;=$C$11),OR($C$12&lt;&gt;"Ya",K4766&lt;&gt;""),OR($C$13="Semua",$C$13="",L4766=$C$13)),"✓","")</f>
        <v/>
      </c>
      <c r="N4766" s="93">
        <f>N(N4765)+IF(M4766="✓",1,0)</f>
        <v/>
      </c>
      <c r="O4766" s="93">
        <f>N(O4765)+IF(AND(B4766&lt;&gt;"",B4766&gt;='Uang Riba'!$H$30,B4766&lt;='Uang Riba'!$I$30,OR(H4766="Dana riba",H4766="Pinjam uang riba",I4766="Pinjam dari uang riba",I4766="Ganti uang riba",I4766="Kelebihan ganti dikembalikan",AND(C4766="Kantong Uang Riba",G4766="Pengeluaran"))),1,0)</f>
        <v/>
      </c>
      <c r="X4766" s="93">
        <f>IF(AND(B4766&lt;&gt;"",B4766&gt;='Buku Akun'!$H$4,B4766&lt;='Buku Akun'!$H$5,OR(C4766='Buku Akun'!$C$4,AND(D4766="Pindah",E4766='Buku Akun'!$C$4))),B4766+IF(AND(I4766="Selisih bunga",DAY(B4766)=1),0,0.01)+ROW()/10000000,"")</f>
        <v/>
      </c>
    </row>
    <row r="4767" outlineLevel="1" ht="15" customHeight="1" s="94">
      <c r="A4767" s="123">
        <f>IF(B4767="","",ROW()-15)</f>
        <v/>
      </c>
      <c r="B4767" s="124" t="n"/>
      <c r="C4767" s="123" t="n"/>
      <c r="D4767" s="123" t="n"/>
      <c r="E4767" s="123" t="n"/>
      <c r="F4767" s="125" t="n"/>
      <c r="G4767" s="123" t="n"/>
      <c r="H4767" s="123" t="n"/>
      <c r="I4767" s="123" t="n"/>
      <c r="J4767" s="123" t="n"/>
      <c r="K4767" s="123" t="n"/>
      <c r="L4767" s="123" t="n"/>
      <c r="M4767" s="123">
        <f>IF(AND(B4767&lt;&gt;"",OR($C$4="",ISNUMBER(SEARCH($C$4,C4767&amp;" "&amp;E4767&amp;" "&amp;G4767&amp;" "&amp;H4767&amp;" "&amp;I4767&amp;" "&amp;J4767&amp;" "&amp;K4767&amp;" "&amp;L4767))),OR($C$5="Semua",$C$5="",G4767=$C$5),OR($C$6="Semua",$C$6="",H4767=$C$6,H4767="Pengeluaran "&amp;$C$6,AND($C$6="Uang Kos Mama",H4767="Pengeluaran Uang Kos")),OR($C$7="Semua",$C$7="",I4767=$C$7),OR($C$8="Semua",$C$8="",C4767=$C$8,E4767=$C$8),OR($C$9="Semua",$C$9="",D4767=$C$9),OR($C$10="",B4767&gt;=$C$10),OR($C$11="",B4767&lt;=$C$11),OR($C$12&lt;&gt;"Ya",K4767&lt;&gt;""),OR($C$13="Semua",$C$13="",L4767=$C$13)),"✓","")</f>
        <v/>
      </c>
      <c r="N4767" s="93">
        <f>N(N4766)+IF(M4767="✓",1,0)</f>
        <v/>
      </c>
      <c r="O4767" s="93">
        <f>N(O4766)+IF(AND(B4767&lt;&gt;"",B4767&gt;='Uang Riba'!$H$30,B4767&lt;='Uang Riba'!$I$30,OR(H4767="Dana riba",H4767="Pinjam uang riba",I4767="Pinjam dari uang riba",I4767="Ganti uang riba",I4767="Kelebihan ganti dikembalikan",AND(C4767="Kantong Uang Riba",G4767="Pengeluaran"))),1,0)</f>
        <v/>
      </c>
      <c r="X4767" s="93">
        <f>IF(AND(B4767&lt;&gt;"",B4767&gt;='Buku Akun'!$H$4,B4767&lt;='Buku Akun'!$H$5,OR(C4767='Buku Akun'!$C$4,AND(D4767="Pindah",E4767='Buku Akun'!$C$4))),B4767+IF(AND(I4767="Selisih bunga",DAY(B4767)=1),0,0.01)+ROW()/10000000,"")</f>
        <v/>
      </c>
    </row>
    <row r="4768" outlineLevel="1" ht="15" customHeight="1" s="94">
      <c r="A4768" s="123">
        <f>IF(B4768="","",ROW()-15)</f>
        <v/>
      </c>
      <c r="B4768" s="124" t="n"/>
      <c r="C4768" s="123" t="n"/>
      <c r="D4768" s="123" t="n"/>
      <c r="E4768" s="123" t="n"/>
      <c r="F4768" s="125" t="n"/>
      <c r="G4768" s="123" t="n"/>
      <c r="H4768" s="123" t="n"/>
      <c r="I4768" s="123" t="n"/>
      <c r="J4768" s="123" t="n"/>
      <c r="K4768" s="123" t="n"/>
      <c r="L4768" s="123" t="n"/>
      <c r="M4768" s="123">
        <f>IF(AND(B4768&lt;&gt;"",OR($C$4="",ISNUMBER(SEARCH($C$4,C4768&amp;" "&amp;E4768&amp;" "&amp;G4768&amp;" "&amp;H4768&amp;" "&amp;I4768&amp;" "&amp;J4768&amp;" "&amp;K4768&amp;" "&amp;L4768))),OR($C$5="Semua",$C$5="",G4768=$C$5),OR($C$6="Semua",$C$6="",H4768=$C$6,H4768="Pengeluaran "&amp;$C$6,AND($C$6="Uang Kos Mama",H4768="Pengeluaran Uang Kos")),OR($C$7="Semua",$C$7="",I4768=$C$7),OR($C$8="Semua",$C$8="",C4768=$C$8,E4768=$C$8),OR($C$9="Semua",$C$9="",D4768=$C$9),OR($C$10="",B4768&gt;=$C$10),OR($C$11="",B4768&lt;=$C$11),OR($C$12&lt;&gt;"Ya",K4768&lt;&gt;""),OR($C$13="Semua",$C$13="",L4768=$C$13)),"✓","")</f>
        <v/>
      </c>
      <c r="N4768" s="93">
        <f>N(N4767)+IF(M4768="✓",1,0)</f>
        <v/>
      </c>
      <c r="O4768" s="93">
        <f>N(O4767)+IF(AND(B4768&lt;&gt;"",B4768&gt;='Uang Riba'!$H$30,B4768&lt;='Uang Riba'!$I$30,OR(H4768="Dana riba",H4768="Pinjam uang riba",I4768="Pinjam dari uang riba",I4768="Ganti uang riba",I4768="Kelebihan ganti dikembalikan",AND(C4768="Kantong Uang Riba",G4768="Pengeluaran"))),1,0)</f>
        <v/>
      </c>
      <c r="X4768" s="93">
        <f>IF(AND(B4768&lt;&gt;"",B4768&gt;='Buku Akun'!$H$4,B4768&lt;='Buku Akun'!$H$5,OR(C4768='Buku Akun'!$C$4,AND(D4768="Pindah",E4768='Buku Akun'!$C$4))),B4768+IF(AND(I4768="Selisih bunga",DAY(B4768)=1),0,0.01)+ROW()/10000000,"")</f>
        <v/>
      </c>
    </row>
    <row r="4769" outlineLevel="1" ht="15" customHeight="1" s="94">
      <c r="A4769" s="123">
        <f>IF(B4769="","",ROW()-15)</f>
        <v/>
      </c>
      <c r="B4769" s="124" t="n"/>
      <c r="C4769" s="123" t="n"/>
      <c r="D4769" s="123" t="n"/>
      <c r="E4769" s="123" t="n"/>
      <c r="F4769" s="125" t="n"/>
      <c r="G4769" s="123" t="n"/>
      <c r="H4769" s="123" t="n"/>
      <c r="I4769" s="123" t="n"/>
      <c r="J4769" s="123" t="n"/>
      <c r="K4769" s="123" t="n"/>
      <c r="L4769" s="123" t="n"/>
      <c r="M4769" s="123">
        <f>IF(AND(B4769&lt;&gt;"",OR($C$4="",ISNUMBER(SEARCH($C$4,C4769&amp;" "&amp;E4769&amp;" "&amp;G4769&amp;" "&amp;H4769&amp;" "&amp;I4769&amp;" "&amp;J4769&amp;" "&amp;K4769&amp;" "&amp;L4769))),OR($C$5="Semua",$C$5="",G4769=$C$5),OR($C$6="Semua",$C$6="",H4769=$C$6,H4769="Pengeluaran "&amp;$C$6,AND($C$6="Uang Kos Mama",H4769="Pengeluaran Uang Kos")),OR($C$7="Semua",$C$7="",I4769=$C$7),OR($C$8="Semua",$C$8="",C4769=$C$8,E4769=$C$8),OR($C$9="Semua",$C$9="",D4769=$C$9),OR($C$10="",B4769&gt;=$C$10),OR($C$11="",B4769&lt;=$C$11),OR($C$12&lt;&gt;"Ya",K4769&lt;&gt;""),OR($C$13="Semua",$C$13="",L4769=$C$13)),"✓","")</f>
        <v/>
      </c>
      <c r="N4769" s="93">
        <f>N(N4768)+IF(M4769="✓",1,0)</f>
        <v/>
      </c>
      <c r="O4769" s="93">
        <f>N(O4768)+IF(AND(B4769&lt;&gt;"",B4769&gt;='Uang Riba'!$H$30,B4769&lt;='Uang Riba'!$I$30,OR(H4769="Dana riba",H4769="Pinjam uang riba",I4769="Pinjam dari uang riba",I4769="Ganti uang riba",I4769="Kelebihan ganti dikembalikan",AND(C4769="Kantong Uang Riba",G4769="Pengeluaran"))),1,0)</f>
        <v/>
      </c>
      <c r="X4769" s="93">
        <f>IF(AND(B4769&lt;&gt;"",B4769&gt;='Buku Akun'!$H$4,B4769&lt;='Buku Akun'!$H$5,OR(C4769='Buku Akun'!$C$4,AND(D4769="Pindah",E4769='Buku Akun'!$C$4))),B4769+IF(AND(I4769="Selisih bunga",DAY(B4769)=1),0,0.01)+ROW()/10000000,"")</f>
        <v/>
      </c>
    </row>
    <row r="4770" outlineLevel="1" ht="15" customHeight="1" s="94">
      <c r="A4770" s="123">
        <f>IF(B4770="","",ROW()-15)</f>
        <v/>
      </c>
      <c r="B4770" s="124" t="n"/>
      <c r="C4770" s="123" t="n"/>
      <c r="D4770" s="123" t="n"/>
      <c r="E4770" s="123" t="n"/>
      <c r="F4770" s="125" t="n"/>
      <c r="G4770" s="123" t="n"/>
      <c r="H4770" s="123" t="n"/>
      <c r="I4770" s="123" t="n"/>
      <c r="J4770" s="123" t="n"/>
      <c r="K4770" s="123" t="n"/>
      <c r="L4770" s="123" t="n"/>
      <c r="M4770" s="123">
        <f>IF(AND(B4770&lt;&gt;"",OR($C$4="",ISNUMBER(SEARCH($C$4,C4770&amp;" "&amp;E4770&amp;" "&amp;G4770&amp;" "&amp;H4770&amp;" "&amp;I4770&amp;" "&amp;J4770&amp;" "&amp;K4770&amp;" "&amp;L4770))),OR($C$5="Semua",$C$5="",G4770=$C$5),OR($C$6="Semua",$C$6="",H4770=$C$6,H4770="Pengeluaran "&amp;$C$6,AND($C$6="Uang Kos Mama",H4770="Pengeluaran Uang Kos")),OR($C$7="Semua",$C$7="",I4770=$C$7),OR($C$8="Semua",$C$8="",C4770=$C$8,E4770=$C$8),OR($C$9="Semua",$C$9="",D4770=$C$9),OR($C$10="",B4770&gt;=$C$10),OR($C$11="",B4770&lt;=$C$11),OR($C$12&lt;&gt;"Ya",K4770&lt;&gt;""),OR($C$13="Semua",$C$13="",L4770=$C$13)),"✓","")</f>
        <v/>
      </c>
      <c r="N4770" s="93">
        <f>N(N4769)+IF(M4770="✓",1,0)</f>
        <v/>
      </c>
      <c r="O4770" s="93">
        <f>N(O4769)+IF(AND(B4770&lt;&gt;"",B4770&gt;='Uang Riba'!$H$30,B4770&lt;='Uang Riba'!$I$30,OR(H4770="Dana riba",H4770="Pinjam uang riba",I4770="Pinjam dari uang riba",I4770="Ganti uang riba",I4770="Kelebihan ganti dikembalikan",AND(C4770="Kantong Uang Riba",G4770="Pengeluaran"))),1,0)</f>
        <v/>
      </c>
      <c r="X4770" s="93">
        <f>IF(AND(B4770&lt;&gt;"",B4770&gt;='Buku Akun'!$H$4,B4770&lt;='Buku Akun'!$H$5,OR(C4770='Buku Akun'!$C$4,AND(D4770="Pindah",E4770='Buku Akun'!$C$4))),B4770+IF(AND(I4770="Selisih bunga",DAY(B4770)=1),0,0.01)+ROW()/10000000,"")</f>
        <v/>
      </c>
    </row>
    <row r="4771" outlineLevel="1" ht="15" customHeight="1" s="94">
      <c r="A4771" s="123">
        <f>IF(B4771="","",ROW()-15)</f>
        <v/>
      </c>
      <c r="B4771" s="124" t="n"/>
      <c r="C4771" s="123" t="n"/>
      <c r="D4771" s="123" t="n"/>
      <c r="E4771" s="123" t="n"/>
      <c r="F4771" s="125" t="n"/>
      <c r="G4771" s="123" t="n"/>
      <c r="H4771" s="123" t="n"/>
      <c r="I4771" s="123" t="n"/>
      <c r="J4771" s="123" t="n"/>
      <c r="K4771" s="123" t="n"/>
      <c r="L4771" s="123" t="n"/>
      <c r="M4771" s="123">
        <f>IF(AND(B4771&lt;&gt;"",OR($C$4="",ISNUMBER(SEARCH($C$4,C4771&amp;" "&amp;E4771&amp;" "&amp;G4771&amp;" "&amp;H4771&amp;" "&amp;I4771&amp;" "&amp;J4771&amp;" "&amp;K4771&amp;" "&amp;L4771))),OR($C$5="Semua",$C$5="",G4771=$C$5),OR($C$6="Semua",$C$6="",H4771=$C$6,H4771="Pengeluaran "&amp;$C$6,AND($C$6="Uang Kos Mama",H4771="Pengeluaran Uang Kos")),OR($C$7="Semua",$C$7="",I4771=$C$7),OR($C$8="Semua",$C$8="",C4771=$C$8,E4771=$C$8),OR($C$9="Semua",$C$9="",D4771=$C$9),OR($C$10="",B4771&gt;=$C$10),OR($C$11="",B4771&lt;=$C$11),OR($C$12&lt;&gt;"Ya",K4771&lt;&gt;""),OR($C$13="Semua",$C$13="",L4771=$C$13)),"✓","")</f>
        <v/>
      </c>
      <c r="N4771" s="93">
        <f>N(N4770)+IF(M4771="✓",1,0)</f>
        <v/>
      </c>
      <c r="O4771" s="93">
        <f>N(O4770)+IF(AND(B4771&lt;&gt;"",B4771&gt;='Uang Riba'!$H$30,B4771&lt;='Uang Riba'!$I$30,OR(H4771="Dana riba",H4771="Pinjam uang riba",I4771="Pinjam dari uang riba",I4771="Ganti uang riba",I4771="Kelebihan ganti dikembalikan",AND(C4771="Kantong Uang Riba",G4771="Pengeluaran"))),1,0)</f>
        <v/>
      </c>
      <c r="X4771" s="93">
        <f>IF(AND(B4771&lt;&gt;"",B4771&gt;='Buku Akun'!$H$4,B4771&lt;='Buku Akun'!$H$5,OR(C4771='Buku Akun'!$C$4,AND(D4771="Pindah",E4771='Buku Akun'!$C$4))),B4771+IF(AND(I4771="Selisih bunga",DAY(B4771)=1),0,0.01)+ROW()/10000000,"")</f>
        <v/>
      </c>
    </row>
    <row r="4772" outlineLevel="1" ht="15" customHeight="1" s="94">
      <c r="A4772" s="123">
        <f>IF(B4772="","",ROW()-15)</f>
        <v/>
      </c>
      <c r="B4772" s="124" t="n"/>
      <c r="C4772" s="123" t="n"/>
      <c r="D4772" s="123" t="n"/>
      <c r="E4772" s="123" t="n"/>
      <c r="F4772" s="125" t="n"/>
      <c r="G4772" s="123" t="n"/>
      <c r="H4772" s="123" t="n"/>
      <c r="I4772" s="123" t="n"/>
      <c r="J4772" s="123" t="n"/>
      <c r="K4772" s="123" t="n"/>
      <c r="L4772" s="123" t="n"/>
      <c r="M4772" s="123">
        <f>IF(AND(B4772&lt;&gt;"",OR($C$4="",ISNUMBER(SEARCH($C$4,C4772&amp;" "&amp;E4772&amp;" "&amp;G4772&amp;" "&amp;H4772&amp;" "&amp;I4772&amp;" "&amp;J4772&amp;" "&amp;K4772&amp;" "&amp;L4772))),OR($C$5="Semua",$C$5="",G4772=$C$5),OR($C$6="Semua",$C$6="",H4772=$C$6,H4772="Pengeluaran "&amp;$C$6,AND($C$6="Uang Kos Mama",H4772="Pengeluaran Uang Kos")),OR($C$7="Semua",$C$7="",I4772=$C$7),OR($C$8="Semua",$C$8="",C4772=$C$8,E4772=$C$8),OR($C$9="Semua",$C$9="",D4772=$C$9),OR($C$10="",B4772&gt;=$C$10),OR($C$11="",B4772&lt;=$C$11),OR($C$12&lt;&gt;"Ya",K4772&lt;&gt;""),OR($C$13="Semua",$C$13="",L4772=$C$13)),"✓","")</f>
        <v/>
      </c>
      <c r="N4772" s="93">
        <f>N(N4771)+IF(M4772="✓",1,0)</f>
        <v/>
      </c>
      <c r="O4772" s="93">
        <f>N(O4771)+IF(AND(B4772&lt;&gt;"",B4772&gt;='Uang Riba'!$H$30,B4772&lt;='Uang Riba'!$I$30,OR(H4772="Dana riba",H4772="Pinjam uang riba",I4772="Pinjam dari uang riba",I4772="Ganti uang riba",I4772="Kelebihan ganti dikembalikan",AND(C4772="Kantong Uang Riba",G4772="Pengeluaran"))),1,0)</f>
        <v/>
      </c>
      <c r="X4772" s="93">
        <f>IF(AND(B4772&lt;&gt;"",B4772&gt;='Buku Akun'!$H$4,B4772&lt;='Buku Akun'!$H$5,OR(C4772='Buku Akun'!$C$4,AND(D4772="Pindah",E4772='Buku Akun'!$C$4))),B4772+IF(AND(I4772="Selisih bunga",DAY(B4772)=1),0,0.01)+ROW()/10000000,"")</f>
        <v/>
      </c>
    </row>
    <row r="4773" outlineLevel="1" ht="15" customHeight="1" s="94">
      <c r="A4773" s="123">
        <f>IF(B4773="","",ROW()-15)</f>
        <v/>
      </c>
      <c r="B4773" s="124" t="n"/>
      <c r="C4773" s="123" t="n"/>
      <c r="D4773" s="123" t="n"/>
      <c r="E4773" s="123" t="n"/>
      <c r="F4773" s="125" t="n"/>
      <c r="G4773" s="123" t="n"/>
      <c r="H4773" s="123" t="n"/>
      <c r="I4773" s="123" t="n"/>
      <c r="J4773" s="123" t="n"/>
      <c r="K4773" s="123" t="n"/>
      <c r="L4773" s="123" t="n"/>
      <c r="M4773" s="123">
        <f>IF(AND(B4773&lt;&gt;"",OR($C$4="",ISNUMBER(SEARCH($C$4,C4773&amp;" "&amp;E4773&amp;" "&amp;G4773&amp;" "&amp;H4773&amp;" "&amp;I4773&amp;" "&amp;J4773&amp;" "&amp;K4773&amp;" "&amp;L4773))),OR($C$5="Semua",$C$5="",G4773=$C$5),OR($C$6="Semua",$C$6="",H4773=$C$6,H4773="Pengeluaran "&amp;$C$6,AND($C$6="Uang Kos Mama",H4773="Pengeluaran Uang Kos")),OR($C$7="Semua",$C$7="",I4773=$C$7),OR($C$8="Semua",$C$8="",C4773=$C$8,E4773=$C$8),OR($C$9="Semua",$C$9="",D4773=$C$9),OR($C$10="",B4773&gt;=$C$10),OR($C$11="",B4773&lt;=$C$11),OR($C$12&lt;&gt;"Ya",K4773&lt;&gt;""),OR($C$13="Semua",$C$13="",L4773=$C$13)),"✓","")</f>
        <v/>
      </c>
      <c r="N4773" s="93">
        <f>N(N4772)+IF(M4773="✓",1,0)</f>
        <v/>
      </c>
      <c r="O4773" s="93">
        <f>N(O4772)+IF(AND(B4773&lt;&gt;"",B4773&gt;='Uang Riba'!$H$30,B4773&lt;='Uang Riba'!$I$30,OR(H4773="Dana riba",H4773="Pinjam uang riba",I4773="Pinjam dari uang riba",I4773="Ganti uang riba",I4773="Kelebihan ganti dikembalikan",AND(C4773="Kantong Uang Riba",G4773="Pengeluaran"))),1,0)</f>
        <v/>
      </c>
      <c r="X4773" s="93">
        <f>IF(AND(B4773&lt;&gt;"",B4773&gt;='Buku Akun'!$H$4,B4773&lt;='Buku Akun'!$H$5,OR(C4773='Buku Akun'!$C$4,AND(D4773="Pindah",E4773='Buku Akun'!$C$4))),B4773+IF(AND(I4773="Selisih bunga",DAY(B4773)=1),0,0.01)+ROW()/10000000,"")</f>
        <v/>
      </c>
    </row>
    <row r="4774" outlineLevel="1" ht="15" customHeight="1" s="94">
      <c r="A4774" s="123">
        <f>IF(B4774="","",ROW()-15)</f>
        <v/>
      </c>
      <c r="B4774" s="124" t="n"/>
      <c r="C4774" s="123" t="n"/>
      <c r="D4774" s="123" t="n"/>
      <c r="E4774" s="123" t="n"/>
      <c r="F4774" s="125" t="n"/>
      <c r="G4774" s="123" t="n"/>
      <c r="H4774" s="123" t="n"/>
      <c r="I4774" s="123" t="n"/>
      <c r="J4774" s="123" t="n"/>
      <c r="K4774" s="123" t="n"/>
      <c r="L4774" s="123" t="n"/>
      <c r="M4774" s="123">
        <f>IF(AND(B4774&lt;&gt;"",OR($C$4="",ISNUMBER(SEARCH($C$4,C4774&amp;" "&amp;E4774&amp;" "&amp;G4774&amp;" "&amp;H4774&amp;" "&amp;I4774&amp;" "&amp;J4774&amp;" "&amp;K4774&amp;" "&amp;L4774))),OR($C$5="Semua",$C$5="",G4774=$C$5),OR($C$6="Semua",$C$6="",H4774=$C$6,H4774="Pengeluaran "&amp;$C$6,AND($C$6="Uang Kos Mama",H4774="Pengeluaran Uang Kos")),OR($C$7="Semua",$C$7="",I4774=$C$7),OR($C$8="Semua",$C$8="",C4774=$C$8,E4774=$C$8),OR($C$9="Semua",$C$9="",D4774=$C$9),OR($C$10="",B4774&gt;=$C$10),OR($C$11="",B4774&lt;=$C$11),OR($C$12&lt;&gt;"Ya",K4774&lt;&gt;""),OR($C$13="Semua",$C$13="",L4774=$C$13)),"✓","")</f>
        <v/>
      </c>
      <c r="N4774" s="93">
        <f>N(N4773)+IF(M4774="✓",1,0)</f>
        <v/>
      </c>
      <c r="O4774" s="93">
        <f>N(O4773)+IF(AND(B4774&lt;&gt;"",B4774&gt;='Uang Riba'!$H$30,B4774&lt;='Uang Riba'!$I$30,OR(H4774="Dana riba",H4774="Pinjam uang riba",I4774="Pinjam dari uang riba",I4774="Ganti uang riba",I4774="Kelebihan ganti dikembalikan",AND(C4774="Kantong Uang Riba",G4774="Pengeluaran"))),1,0)</f>
        <v/>
      </c>
      <c r="X4774" s="93">
        <f>IF(AND(B4774&lt;&gt;"",B4774&gt;='Buku Akun'!$H$4,B4774&lt;='Buku Akun'!$H$5,OR(C4774='Buku Akun'!$C$4,AND(D4774="Pindah",E4774='Buku Akun'!$C$4))),B4774+IF(AND(I4774="Selisih bunga",DAY(B4774)=1),0,0.01)+ROW()/10000000,"")</f>
        <v/>
      </c>
    </row>
    <row r="4775" outlineLevel="1" ht="15" customHeight="1" s="94">
      <c r="A4775" s="123">
        <f>IF(B4775="","",ROW()-15)</f>
        <v/>
      </c>
      <c r="B4775" s="124" t="n"/>
      <c r="C4775" s="123" t="n"/>
      <c r="D4775" s="123" t="n"/>
      <c r="E4775" s="123" t="n"/>
      <c r="F4775" s="125" t="n"/>
      <c r="G4775" s="123" t="n"/>
      <c r="H4775" s="123" t="n"/>
      <c r="I4775" s="123" t="n"/>
      <c r="J4775" s="123" t="n"/>
      <c r="K4775" s="123" t="n"/>
      <c r="L4775" s="123" t="n"/>
      <c r="M4775" s="123">
        <f>IF(AND(B4775&lt;&gt;"",OR($C$4="",ISNUMBER(SEARCH($C$4,C4775&amp;" "&amp;E4775&amp;" "&amp;G4775&amp;" "&amp;H4775&amp;" "&amp;I4775&amp;" "&amp;J4775&amp;" "&amp;K4775&amp;" "&amp;L4775))),OR($C$5="Semua",$C$5="",G4775=$C$5),OR($C$6="Semua",$C$6="",H4775=$C$6,H4775="Pengeluaran "&amp;$C$6,AND($C$6="Uang Kos Mama",H4775="Pengeluaran Uang Kos")),OR($C$7="Semua",$C$7="",I4775=$C$7),OR($C$8="Semua",$C$8="",C4775=$C$8,E4775=$C$8),OR($C$9="Semua",$C$9="",D4775=$C$9),OR($C$10="",B4775&gt;=$C$10),OR($C$11="",B4775&lt;=$C$11),OR($C$12&lt;&gt;"Ya",K4775&lt;&gt;""),OR($C$13="Semua",$C$13="",L4775=$C$13)),"✓","")</f>
        <v/>
      </c>
      <c r="N4775" s="93">
        <f>N(N4774)+IF(M4775="✓",1,0)</f>
        <v/>
      </c>
      <c r="O4775" s="93">
        <f>N(O4774)+IF(AND(B4775&lt;&gt;"",B4775&gt;='Uang Riba'!$H$30,B4775&lt;='Uang Riba'!$I$30,OR(H4775="Dana riba",H4775="Pinjam uang riba",I4775="Pinjam dari uang riba",I4775="Ganti uang riba",I4775="Kelebihan ganti dikembalikan",AND(C4775="Kantong Uang Riba",G4775="Pengeluaran"))),1,0)</f>
        <v/>
      </c>
      <c r="X4775" s="93">
        <f>IF(AND(B4775&lt;&gt;"",B4775&gt;='Buku Akun'!$H$4,B4775&lt;='Buku Akun'!$H$5,OR(C4775='Buku Akun'!$C$4,AND(D4775="Pindah",E4775='Buku Akun'!$C$4))),B4775+IF(AND(I4775="Selisih bunga",DAY(B4775)=1),0,0.01)+ROW()/10000000,"")</f>
        <v/>
      </c>
    </row>
    <row r="4776" outlineLevel="1" ht="15" customHeight="1" s="94">
      <c r="A4776" s="123">
        <f>IF(B4776="","",ROW()-15)</f>
        <v/>
      </c>
      <c r="B4776" s="124" t="n"/>
      <c r="C4776" s="123" t="n"/>
      <c r="D4776" s="123" t="n"/>
      <c r="E4776" s="123" t="n"/>
      <c r="F4776" s="125" t="n"/>
      <c r="G4776" s="123" t="n"/>
      <c r="H4776" s="123" t="n"/>
      <c r="I4776" s="123" t="n"/>
      <c r="J4776" s="123" t="n"/>
      <c r="K4776" s="123" t="n"/>
      <c r="L4776" s="123" t="n"/>
      <c r="M4776" s="123">
        <f>IF(AND(B4776&lt;&gt;"",OR($C$4="",ISNUMBER(SEARCH($C$4,C4776&amp;" "&amp;E4776&amp;" "&amp;G4776&amp;" "&amp;H4776&amp;" "&amp;I4776&amp;" "&amp;J4776&amp;" "&amp;K4776&amp;" "&amp;L4776))),OR($C$5="Semua",$C$5="",G4776=$C$5),OR($C$6="Semua",$C$6="",H4776=$C$6,H4776="Pengeluaran "&amp;$C$6,AND($C$6="Uang Kos Mama",H4776="Pengeluaran Uang Kos")),OR($C$7="Semua",$C$7="",I4776=$C$7),OR($C$8="Semua",$C$8="",C4776=$C$8,E4776=$C$8),OR($C$9="Semua",$C$9="",D4776=$C$9),OR($C$10="",B4776&gt;=$C$10),OR($C$11="",B4776&lt;=$C$11),OR($C$12&lt;&gt;"Ya",K4776&lt;&gt;""),OR($C$13="Semua",$C$13="",L4776=$C$13)),"✓","")</f>
        <v/>
      </c>
      <c r="N4776" s="93">
        <f>N(N4775)+IF(M4776="✓",1,0)</f>
        <v/>
      </c>
      <c r="O4776" s="93">
        <f>N(O4775)+IF(AND(B4776&lt;&gt;"",B4776&gt;='Uang Riba'!$H$30,B4776&lt;='Uang Riba'!$I$30,OR(H4776="Dana riba",H4776="Pinjam uang riba",I4776="Pinjam dari uang riba",I4776="Ganti uang riba",I4776="Kelebihan ganti dikembalikan",AND(C4776="Kantong Uang Riba",G4776="Pengeluaran"))),1,0)</f>
        <v/>
      </c>
      <c r="X4776" s="93">
        <f>IF(AND(B4776&lt;&gt;"",B4776&gt;='Buku Akun'!$H$4,B4776&lt;='Buku Akun'!$H$5,OR(C4776='Buku Akun'!$C$4,AND(D4776="Pindah",E4776='Buku Akun'!$C$4))),B4776+IF(AND(I4776="Selisih bunga",DAY(B4776)=1),0,0.01)+ROW()/10000000,"")</f>
        <v/>
      </c>
    </row>
    <row r="4777" outlineLevel="1" ht="15" customHeight="1" s="94">
      <c r="A4777" s="123">
        <f>IF(B4777="","",ROW()-15)</f>
        <v/>
      </c>
      <c r="B4777" s="124" t="n"/>
      <c r="C4777" s="123" t="n"/>
      <c r="D4777" s="123" t="n"/>
      <c r="E4777" s="123" t="n"/>
      <c r="F4777" s="125" t="n"/>
      <c r="G4777" s="123" t="n"/>
      <c r="H4777" s="123" t="n"/>
      <c r="I4777" s="123" t="n"/>
      <c r="J4777" s="123" t="n"/>
      <c r="K4777" s="123" t="n"/>
      <c r="L4777" s="123" t="n"/>
      <c r="M4777" s="123">
        <f>IF(AND(B4777&lt;&gt;"",OR($C$4="",ISNUMBER(SEARCH($C$4,C4777&amp;" "&amp;E4777&amp;" "&amp;G4777&amp;" "&amp;H4777&amp;" "&amp;I4777&amp;" "&amp;J4777&amp;" "&amp;K4777&amp;" "&amp;L4777))),OR($C$5="Semua",$C$5="",G4777=$C$5),OR($C$6="Semua",$C$6="",H4777=$C$6,H4777="Pengeluaran "&amp;$C$6,AND($C$6="Uang Kos Mama",H4777="Pengeluaran Uang Kos")),OR($C$7="Semua",$C$7="",I4777=$C$7),OR($C$8="Semua",$C$8="",C4777=$C$8,E4777=$C$8),OR($C$9="Semua",$C$9="",D4777=$C$9),OR($C$10="",B4777&gt;=$C$10),OR($C$11="",B4777&lt;=$C$11),OR($C$12&lt;&gt;"Ya",K4777&lt;&gt;""),OR($C$13="Semua",$C$13="",L4777=$C$13)),"✓","")</f>
        <v/>
      </c>
      <c r="N4777" s="93">
        <f>N(N4776)+IF(M4777="✓",1,0)</f>
        <v/>
      </c>
      <c r="O4777" s="93">
        <f>N(O4776)+IF(AND(B4777&lt;&gt;"",B4777&gt;='Uang Riba'!$H$30,B4777&lt;='Uang Riba'!$I$30,OR(H4777="Dana riba",H4777="Pinjam uang riba",I4777="Pinjam dari uang riba",I4777="Ganti uang riba",I4777="Kelebihan ganti dikembalikan",AND(C4777="Kantong Uang Riba",G4777="Pengeluaran"))),1,0)</f>
        <v/>
      </c>
      <c r="X4777" s="93">
        <f>IF(AND(B4777&lt;&gt;"",B4777&gt;='Buku Akun'!$H$4,B4777&lt;='Buku Akun'!$H$5,OR(C4777='Buku Akun'!$C$4,AND(D4777="Pindah",E4777='Buku Akun'!$C$4))),B4777+IF(AND(I4777="Selisih bunga",DAY(B4777)=1),0,0.01)+ROW()/10000000,"")</f>
        <v/>
      </c>
    </row>
    <row r="4778" outlineLevel="1" ht="15" customHeight="1" s="94">
      <c r="A4778" s="123">
        <f>IF(B4778="","",ROW()-15)</f>
        <v/>
      </c>
      <c r="B4778" s="124" t="n"/>
      <c r="C4778" s="123" t="n"/>
      <c r="D4778" s="123" t="n"/>
      <c r="E4778" s="123" t="n"/>
      <c r="F4778" s="125" t="n"/>
      <c r="G4778" s="123" t="n"/>
      <c r="H4778" s="123" t="n"/>
      <c r="I4778" s="123" t="n"/>
      <c r="J4778" s="123" t="n"/>
      <c r="K4778" s="123" t="n"/>
      <c r="L4778" s="123" t="n"/>
      <c r="M4778" s="123">
        <f>IF(AND(B4778&lt;&gt;"",OR($C$4="",ISNUMBER(SEARCH($C$4,C4778&amp;" "&amp;E4778&amp;" "&amp;G4778&amp;" "&amp;H4778&amp;" "&amp;I4778&amp;" "&amp;J4778&amp;" "&amp;K4778&amp;" "&amp;L4778))),OR($C$5="Semua",$C$5="",G4778=$C$5),OR($C$6="Semua",$C$6="",H4778=$C$6,H4778="Pengeluaran "&amp;$C$6,AND($C$6="Uang Kos Mama",H4778="Pengeluaran Uang Kos")),OR($C$7="Semua",$C$7="",I4778=$C$7),OR($C$8="Semua",$C$8="",C4778=$C$8,E4778=$C$8),OR($C$9="Semua",$C$9="",D4778=$C$9),OR($C$10="",B4778&gt;=$C$10),OR($C$11="",B4778&lt;=$C$11),OR($C$12&lt;&gt;"Ya",K4778&lt;&gt;""),OR($C$13="Semua",$C$13="",L4778=$C$13)),"✓","")</f>
        <v/>
      </c>
      <c r="N4778" s="93">
        <f>N(N4777)+IF(M4778="✓",1,0)</f>
        <v/>
      </c>
      <c r="O4778" s="93">
        <f>N(O4777)+IF(AND(B4778&lt;&gt;"",B4778&gt;='Uang Riba'!$H$30,B4778&lt;='Uang Riba'!$I$30,OR(H4778="Dana riba",H4778="Pinjam uang riba",I4778="Pinjam dari uang riba",I4778="Ganti uang riba",I4778="Kelebihan ganti dikembalikan",AND(C4778="Kantong Uang Riba",G4778="Pengeluaran"))),1,0)</f>
        <v/>
      </c>
      <c r="X4778" s="93">
        <f>IF(AND(B4778&lt;&gt;"",B4778&gt;='Buku Akun'!$H$4,B4778&lt;='Buku Akun'!$H$5,OR(C4778='Buku Akun'!$C$4,AND(D4778="Pindah",E4778='Buku Akun'!$C$4))),B4778+IF(AND(I4778="Selisih bunga",DAY(B4778)=1),0,0.01)+ROW()/10000000,"")</f>
        <v/>
      </c>
    </row>
    <row r="4779" outlineLevel="1" ht="15" customHeight="1" s="94">
      <c r="A4779" s="123">
        <f>IF(B4779="","",ROW()-15)</f>
        <v/>
      </c>
      <c r="B4779" s="124" t="n"/>
      <c r="C4779" s="123" t="n"/>
      <c r="D4779" s="123" t="n"/>
      <c r="E4779" s="123" t="n"/>
      <c r="F4779" s="125" t="n"/>
      <c r="G4779" s="123" t="n"/>
      <c r="H4779" s="123" t="n"/>
      <c r="I4779" s="123" t="n"/>
      <c r="J4779" s="123" t="n"/>
      <c r="K4779" s="123" t="n"/>
      <c r="L4779" s="123" t="n"/>
      <c r="M4779" s="123">
        <f>IF(AND(B4779&lt;&gt;"",OR($C$4="",ISNUMBER(SEARCH($C$4,C4779&amp;" "&amp;E4779&amp;" "&amp;G4779&amp;" "&amp;H4779&amp;" "&amp;I4779&amp;" "&amp;J4779&amp;" "&amp;K4779&amp;" "&amp;L4779))),OR($C$5="Semua",$C$5="",G4779=$C$5),OR($C$6="Semua",$C$6="",H4779=$C$6,H4779="Pengeluaran "&amp;$C$6,AND($C$6="Uang Kos Mama",H4779="Pengeluaran Uang Kos")),OR($C$7="Semua",$C$7="",I4779=$C$7),OR($C$8="Semua",$C$8="",C4779=$C$8,E4779=$C$8),OR($C$9="Semua",$C$9="",D4779=$C$9),OR($C$10="",B4779&gt;=$C$10),OR($C$11="",B4779&lt;=$C$11),OR($C$12&lt;&gt;"Ya",K4779&lt;&gt;""),OR($C$13="Semua",$C$13="",L4779=$C$13)),"✓","")</f>
        <v/>
      </c>
      <c r="N4779" s="93">
        <f>N(N4778)+IF(M4779="✓",1,0)</f>
        <v/>
      </c>
      <c r="O4779" s="93">
        <f>N(O4778)+IF(AND(B4779&lt;&gt;"",B4779&gt;='Uang Riba'!$H$30,B4779&lt;='Uang Riba'!$I$30,OR(H4779="Dana riba",H4779="Pinjam uang riba",I4779="Pinjam dari uang riba",I4779="Ganti uang riba",I4779="Kelebihan ganti dikembalikan",AND(C4779="Kantong Uang Riba",G4779="Pengeluaran"))),1,0)</f>
        <v/>
      </c>
      <c r="X4779" s="93">
        <f>IF(AND(B4779&lt;&gt;"",B4779&gt;='Buku Akun'!$H$4,B4779&lt;='Buku Akun'!$H$5,OR(C4779='Buku Akun'!$C$4,AND(D4779="Pindah",E4779='Buku Akun'!$C$4))),B4779+IF(AND(I4779="Selisih bunga",DAY(B4779)=1),0,0.01)+ROW()/10000000,"")</f>
        <v/>
      </c>
    </row>
    <row r="4780" outlineLevel="1" ht="15" customHeight="1" s="94">
      <c r="A4780" s="123">
        <f>IF(B4780="","",ROW()-15)</f>
        <v/>
      </c>
      <c r="B4780" s="124" t="n"/>
      <c r="C4780" s="123" t="n"/>
      <c r="D4780" s="123" t="n"/>
      <c r="E4780" s="123" t="n"/>
      <c r="F4780" s="125" t="n"/>
      <c r="G4780" s="123" t="n"/>
      <c r="H4780" s="123" t="n"/>
      <c r="I4780" s="123" t="n"/>
      <c r="J4780" s="123" t="n"/>
      <c r="K4780" s="123" t="n"/>
      <c r="L4780" s="123" t="n"/>
      <c r="M4780" s="123">
        <f>IF(AND(B4780&lt;&gt;"",OR($C$4="",ISNUMBER(SEARCH($C$4,C4780&amp;" "&amp;E4780&amp;" "&amp;G4780&amp;" "&amp;H4780&amp;" "&amp;I4780&amp;" "&amp;J4780&amp;" "&amp;K4780&amp;" "&amp;L4780))),OR($C$5="Semua",$C$5="",G4780=$C$5),OR($C$6="Semua",$C$6="",H4780=$C$6,H4780="Pengeluaran "&amp;$C$6,AND($C$6="Uang Kos Mama",H4780="Pengeluaran Uang Kos")),OR($C$7="Semua",$C$7="",I4780=$C$7),OR($C$8="Semua",$C$8="",C4780=$C$8,E4780=$C$8),OR($C$9="Semua",$C$9="",D4780=$C$9),OR($C$10="",B4780&gt;=$C$10),OR($C$11="",B4780&lt;=$C$11),OR($C$12&lt;&gt;"Ya",K4780&lt;&gt;""),OR($C$13="Semua",$C$13="",L4780=$C$13)),"✓","")</f>
        <v/>
      </c>
      <c r="N4780" s="93">
        <f>N(N4779)+IF(M4780="✓",1,0)</f>
        <v/>
      </c>
      <c r="O4780" s="93">
        <f>N(O4779)+IF(AND(B4780&lt;&gt;"",B4780&gt;='Uang Riba'!$H$30,B4780&lt;='Uang Riba'!$I$30,OR(H4780="Dana riba",H4780="Pinjam uang riba",I4780="Pinjam dari uang riba",I4780="Ganti uang riba",I4780="Kelebihan ganti dikembalikan",AND(C4780="Kantong Uang Riba",G4780="Pengeluaran"))),1,0)</f>
        <v/>
      </c>
      <c r="X4780" s="93">
        <f>IF(AND(B4780&lt;&gt;"",B4780&gt;='Buku Akun'!$H$4,B4780&lt;='Buku Akun'!$H$5,OR(C4780='Buku Akun'!$C$4,AND(D4780="Pindah",E4780='Buku Akun'!$C$4))),B4780+IF(AND(I4780="Selisih bunga",DAY(B4780)=1),0,0.01)+ROW()/10000000,"")</f>
        <v/>
      </c>
    </row>
    <row r="4781" outlineLevel="1" ht="15" customHeight="1" s="94">
      <c r="A4781" s="123">
        <f>IF(B4781="","",ROW()-15)</f>
        <v/>
      </c>
      <c r="B4781" s="124" t="n"/>
      <c r="C4781" s="123" t="n"/>
      <c r="D4781" s="123" t="n"/>
      <c r="E4781" s="123" t="n"/>
      <c r="F4781" s="125" t="n"/>
      <c r="G4781" s="123" t="n"/>
      <c r="H4781" s="123" t="n"/>
      <c r="I4781" s="123" t="n"/>
      <c r="J4781" s="123" t="n"/>
      <c r="K4781" s="123" t="n"/>
      <c r="L4781" s="123" t="n"/>
      <c r="M4781" s="123">
        <f>IF(AND(B4781&lt;&gt;"",OR($C$4="",ISNUMBER(SEARCH($C$4,C4781&amp;" "&amp;E4781&amp;" "&amp;G4781&amp;" "&amp;H4781&amp;" "&amp;I4781&amp;" "&amp;J4781&amp;" "&amp;K4781&amp;" "&amp;L4781))),OR($C$5="Semua",$C$5="",G4781=$C$5),OR($C$6="Semua",$C$6="",H4781=$C$6,H4781="Pengeluaran "&amp;$C$6,AND($C$6="Uang Kos Mama",H4781="Pengeluaran Uang Kos")),OR($C$7="Semua",$C$7="",I4781=$C$7),OR($C$8="Semua",$C$8="",C4781=$C$8,E4781=$C$8),OR($C$9="Semua",$C$9="",D4781=$C$9),OR($C$10="",B4781&gt;=$C$10),OR($C$11="",B4781&lt;=$C$11),OR($C$12&lt;&gt;"Ya",K4781&lt;&gt;""),OR($C$13="Semua",$C$13="",L4781=$C$13)),"✓","")</f>
        <v/>
      </c>
      <c r="N4781" s="93">
        <f>N(N4780)+IF(M4781="✓",1,0)</f>
        <v/>
      </c>
      <c r="O4781" s="93">
        <f>N(O4780)+IF(AND(B4781&lt;&gt;"",B4781&gt;='Uang Riba'!$H$30,B4781&lt;='Uang Riba'!$I$30,OR(H4781="Dana riba",H4781="Pinjam uang riba",I4781="Pinjam dari uang riba",I4781="Ganti uang riba",I4781="Kelebihan ganti dikembalikan",AND(C4781="Kantong Uang Riba",G4781="Pengeluaran"))),1,0)</f>
        <v/>
      </c>
      <c r="X4781" s="93">
        <f>IF(AND(B4781&lt;&gt;"",B4781&gt;='Buku Akun'!$H$4,B4781&lt;='Buku Akun'!$H$5,OR(C4781='Buku Akun'!$C$4,AND(D4781="Pindah",E4781='Buku Akun'!$C$4))),B4781+IF(AND(I4781="Selisih bunga",DAY(B4781)=1),0,0.01)+ROW()/10000000,"")</f>
        <v/>
      </c>
    </row>
    <row r="4782" outlineLevel="1" ht="15" customHeight="1" s="94">
      <c r="A4782" s="123">
        <f>IF(B4782="","",ROW()-15)</f>
        <v/>
      </c>
      <c r="B4782" s="124" t="n"/>
      <c r="C4782" s="123" t="n"/>
      <c r="D4782" s="123" t="n"/>
      <c r="E4782" s="123" t="n"/>
      <c r="F4782" s="125" t="n"/>
      <c r="G4782" s="123" t="n"/>
      <c r="H4782" s="123" t="n"/>
      <c r="I4782" s="123" t="n"/>
      <c r="J4782" s="123" t="n"/>
      <c r="K4782" s="123" t="n"/>
      <c r="L4782" s="123" t="n"/>
      <c r="M4782" s="123">
        <f>IF(AND(B4782&lt;&gt;"",OR($C$4="",ISNUMBER(SEARCH($C$4,C4782&amp;" "&amp;E4782&amp;" "&amp;G4782&amp;" "&amp;H4782&amp;" "&amp;I4782&amp;" "&amp;J4782&amp;" "&amp;K4782&amp;" "&amp;L4782))),OR($C$5="Semua",$C$5="",G4782=$C$5),OR($C$6="Semua",$C$6="",H4782=$C$6,H4782="Pengeluaran "&amp;$C$6,AND($C$6="Uang Kos Mama",H4782="Pengeluaran Uang Kos")),OR($C$7="Semua",$C$7="",I4782=$C$7),OR($C$8="Semua",$C$8="",C4782=$C$8,E4782=$C$8),OR($C$9="Semua",$C$9="",D4782=$C$9),OR($C$10="",B4782&gt;=$C$10),OR($C$11="",B4782&lt;=$C$11),OR($C$12&lt;&gt;"Ya",K4782&lt;&gt;""),OR($C$13="Semua",$C$13="",L4782=$C$13)),"✓","")</f>
        <v/>
      </c>
      <c r="N4782" s="93">
        <f>N(N4781)+IF(M4782="✓",1,0)</f>
        <v/>
      </c>
      <c r="O4782" s="93">
        <f>N(O4781)+IF(AND(B4782&lt;&gt;"",B4782&gt;='Uang Riba'!$H$30,B4782&lt;='Uang Riba'!$I$30,OR(H4782="Dana riba",H4782="Pinjam uang riba",I4782="Pinjam dari uang riba",I4782="Ganti uang riba",I4782="Kelebihan ganti dikembalikan",AND(C4782="Kantong Uang Riba",G4782="Pengeluaran"))),1,0)</f>
        <v/>
      </c>
      <c r="X4782" s="93">
        <f>IF(AND(B4782&lt;&gt;"",B4782&gt;='Buku Akun'!$H$4,B4782&lt;='Buku Akun'!$H$5,OR(C4782='Buku Akun'!$C$4,AND(D4782="Pindah",E4782='Buku Akun'!$C$4))),B4782+IF(AND(I4782="Selisih bunga",DAY(B4782)=1),0,0.01)+ROW()/10000000,"")</f>
        <v/>
      </c>
    </row>
    <row r="4783" outlineLevel="1" ht="15" customHeight="1" s="94">
      <c r="A4783" s="123">
        <f>IF(B4783="","",ROW()-15)</f>
        <v/>
      </c>
      <c r="B4783" s="124" t="n"/>
      <c r="C4783" s="123" t="n"/>
      <c r="D4783" s="123" t="n"/>
      <c r="E4783" s="123" t="n"/>
      <c r="F4783" s="125" t="n"/>
      <c r="G4783" s="123" t="n"/>
      <c r="H4783" s="123" t="n"/>
      <c r="I4783" s="123" t="n"/>
      <c r="J4783" s="123" t="n"/>
      <c r="K4783" s="123" t="n"/>
      <c r="L4783" s="123" t="n"/>
      <c r="M4783" s="123">
        <f>IF(AND(B4783&lt;&gt;"",OR($C$4="",ISNUMBER(SEARCH($C$4,C4783&amp;" "&amp;E4783&amp;" "&amp;G4783&amp;" "&amp;H4783&amp;" "&amp;I4783&amp;" "&amp;J4783&amp;" "&amp;K4783&amp;" "&amp;L4783))),OR($C$5="Semua",$C$5="",G4783=$C$5),OR($C$6="Semua",$C$6="",H4783=$C$6,H4783="Pengeluaran "&amp;$C$6,AND($C$6="Uang Kos Mama",H4783="Pengeluaran Uang Kos")),OR($C$7="Semua",$C$7="",I4783=$C$7),OR($C$8="Semua",$C$8="",C4783=$C$8,E4783=$C$8),OR($C$9="Semua",$C$9="",D4783=$C$9),OR($C$10="",B4783&gt;=$C$10),OR($C$11="",B4783&lt;=$C$11),OR($C$12&lt;&gt;"Ya",K4783&lt;&gt;""),OR($C$13="Semua",$C$13="",L4783=$C$13)),"✓","")</f>
        <v/>
      </c>
      <c r="N4783" s="93">
        <f>N(N4782)+IF(M4783="✓",1,0)</f>
        <v/>
      </c>
      <c r="O4783" s="93">
        <f>N(O4782)+IF(AND(B4783&lt;&gt;"",B4783&gt;='Uang Riba'!$H$30,B4783&lt;='Uang Riba'!$I$30,OR(H4783="Dana riba",H4783="Pinjam uang riba",I4783="Pinjam dari uang riba",I4783="Ganti uang riba",I4783="Kelebihan ganti dikembalikan",AND(C4783="Kantong Uang Riba",G4783="Pengeluaran"))),1,0)</f>
        <v/>
      </c>
      <c r="X4783" s="93">
        <f>IF(AND(B4783&lt;&gt;"",B4783&gt;='Buku Akun'!$H$4,B4783&lt;='Buku Akun'!$H$5,OR(C4783='Buku Akun'!$C$4,AND(D4783="Pindah",E4783='Buku Akun'!$C$4))),B4783+IF(AND(I4783="Selisih bunga",DAY(B4783)=1),0,0.01)+ROW()/10000000,"")</f>
        <v/>
      </c>
    </row>
    <row r="4784" outlineLevel="1" ht="15" customHeight="1" s="94">
      <c r="A4784" s="123">
        <f>IF(B4784="","",ROW()-15)</f>
        <v/>
      </c>
      <c r="B4784" s="124" t="n"/>
      <c r="C4784" s="123" t="n"/>
      <c r="D4784" s="123" t="n"/>
      <c r="E4784" s="123" t="n"/>
      <c r="F4784" s="125" t="n"/>
      <c r="G4784" s="123" t="n"/>
      <c r="H4784" s="123" t="n"/>
      <c r="I4784" s="123" t="n"/>
      <c r="J4784" s="123" t="n"/>
      <c r="K4784" s="123" t="n"/>
      <c r="L4784" s="123" t="n"/>
      <c r="M4784" s="123">
        <f>IF(AND(B4784&lt;&gt;"",OR($C$4="",ISNUMBER(SEARCH($C$4,C4784&amp;" "&amp;E4784&amp;" "&amp;G4784&amp;" "&amp;H4784&amp;" "&amp;I4784&amp;" "&amp;J4784&amp;" "&amp;K4784&amp;" "&amp;L4784))),OR($C$5="Semua",$C$5="",G4784=$C$5),OR($C$6="Semua",$C$6="",H4784=$C$6,H4784="Pengeluaran "&amp;$C$6,AND($C$6="Uang Kos Mama",H4784="Pengeluaran Uang Kos")),OR($C$7="Semua",$C$7="",I4784=$C$7),OR($C$8="Semua",$C$8="",C4784=$C$8,E4784=$C$8),OR($C$9="Semua",$C$9="",D4784=$C$9),OR($C$10="",B4784&gt;=$C$10),OR($C$11="",B4784&lt;=$C$11),OR($C$12&lt;&gt;"Ya",K4784&lt;&gt;""),OR($C$13="Semua",$C$13="",L4784=$C$13)),"✓","")</f>
        <v/>
      </c>
      <c r="N4784" s="93">
        <f>N(N4783)+IF(M4784="✓",1,0)</f>
        <v/>
      </c>
      <c r="O4784" s="93">
        <f>N(O4783)+IF(AND(B4784&lt;&gt;"",B4784&gt;='Uang Riba'!$H$30,B4784&lt;='Uang Riba'!$I$30,OR(H4784="Dana riba",H4784="Pinjam uang riba",I4784="Pinjam dari uang riba",I4784="Ganti uang riba",I4784="Kelebihan ganti dikembalikan",AND(C4784="Kantong Uang Riba",G4784="Pengeluaran"))),1,0)</f>
        <v/>
      </c>
      <c r="X4784" s="93">
        <f>IF(AND(B4784&lt;&gt;"",B4784&gt;='Buku Akun'!$H$4,B4784&lt;='Buku Akun'!$H$5,OR(C4784='Buku Akun'!$C$4,AND(D4784="Pindah",E4784='Buku Akun'!$C$4))),B4784+IF(AND(I4784="Selisih bunga",DAY(B4784)=1),0,0.01)+ROW()/10000000,"")</f>
        <v/>
      </c>
    </row>
    <row r="4785" outlineLevel="1" ht="15" customHeight="1" s="94">
      <c r="A4785" s="123">
        <f>IF(B4785="","",ROW()-15)</f>
        <v/>
      </c>
      <c r="B4785" s="124" t="n"/>
      <c r="C4785" s="123" t="n"/>
      <c r="D4785" s="123" t="n"/>
      <c r="E4785" s="123" t="n"/>
      <c r="F4785" s="125" t="n"/>
      <c r="G4785" s="123" t="n"/>
      <c r="H4785" s="123" t="n"/>
      <c r="I4785" s="123" t="n"/>
      <c r="J4785" s="123" t="n"/>
      <c r="K4785" s="123" t="n"/>
      <c r="L4785" s="123" t="n"/>
      <c r="M4785" s="123">
        <f>IF(AND(B4785&lt;&gt;"",OR($C$4="",ISNUMBER(SEARCH($C$4,C4785&amp;" "&amp;E4785&amp;" "&amp;G4785&amp;" "&amp;H4785&amp;" "&amp;I4785&amp;" "&amp;J4785&amp;" "&amp;K4785&amp;" "&amp;L4785))),OR($C$5="Semua",$C$5="",G4785=$C$5),OR($C$6="Semua",$C$6="",H4785=$C$6,H4785="Pengeluaran "&amp;$C$6,AND($C$6="Uang Kos Mama",H4785="Pengeluaran Uang Kos")),OR($C$7="Semua",$C$7="",I4785=$C$7),OR($C$8="Semua",$C$8="",C4785=$C$8,E4785=$C$8),OR($C$9="Semua",$C$9="",D4785=$C$9),OR($C$10="",B4785&gt;=$C$10),OR($C$11="",B4785&lt;=$C$11),OR($C$12&lt;&gt;"Ya",K4785&lt;&gt;""),OR($C$13="Semua",$C$13="",L4785=$C$13)),"✓","")</f>
        <v/>
      </c>
      <c r="N4785" s="93">
        <f>N(N4784)+IF(M4785="✓",1,0)</f>
        <v/>
      </c>
      <c r="O4785" s="93">
        <f>N(O4784)+IF(AND(B4785&lt;&gt;"",B4785&gt;='Uang Riba'!$H$30,B4785&lt;='Uang Riba'!$I$30,OR(H4785="Dana riba",H4785="Pinjam uang riba",I4785="Pinjam dari uang riba",I4785="Ganti uang riba",I4785="Kelebihan ganti dikembalikan",AND(C4785="Kantong Uang Riba",G4785="Pengeluaran"))),1,0)</f>
        <v/>
      </c>
      <c r="X4785" s="93">
        <f>IF(AND(B4785&lt;&gt;"",B4785&gt;='Buku Akun'!$H$4,B4785&lt;='Buku Akun'!$H$5,OR(C4785='Buku Akun'!$C$4,AND(D4785="Pindah",E4785='Buku Akun'!$C$4))),B4785+IF(AND(I4785="Selisih bunga",DAY(B4785)=1),0,0.01)+ROW()/10000000,"")</f>
        <v/>
      </c>
    </row>
    <row r="4786" outlineLevel="1" ht="15" customHeight="1" s="94">
      <c r="A4786" s="123">
        <f>IF(B4786="","",ROW()-15)</f>
        <v/>
      </c>
      <c r="B4786" s="124" t="n"/>
      <c r="C4786" s="123" t="n"/>
      <c r="D4786" s="123" t="n"/>
      <c r="E4786" s="123" t="n"/>
      <c r="F4786" s="125" t="n"/>
      <c r="G4786" s="123" t="n"/>
      <c r="H4786" s="123" t="n"/>
      <c r="I4786" s="123" t="n"/>
      <c r="J4786" s="123" t="n"/>
      <c r="K4786" s="123" t="n"/>
      <c r="L4786" s="123" t="n"/>
      <c r="M4786" s="123">
        <f>IF(AND(B4786&lt;&gt;"",OR($C$4="",ISNUMBER(SEARCH($C$4,C4786&amp;" "&amp;E4786&amp;" "&amp;G4786&amp;" "&amp;H4786&amp;" "&amp;I4786&amp;" "&amp;J4786&amp;" "&amp;K4786&amp;" "&amp;L4786))),OR($C$5="Semua",$C$5="",G4786=$C$5),OR($C$6="Semua",$C$6="",H4786=$C$6,H4786="Pengeluaran "&amp;$C$6,AND($C$6="Uang Kos Mama",H4786="Pengeluaran Uang Kos")),OR($C$7="Semua",$C$7="",I4786=$C$7),OR($C$8="Semua",$C$8="",C4786=$C$8,E4786=$C$8),OR($C$9="Semua",$C$9="",D4786=$C$9),OR($C$10="",B4786&gt;=$C$10),OR($C$11="",B4786&lt;=$C$11),OR($C$12&lt;&gt;"Ya",K4786&lt;&gt;""),OR($C$13="Semua",$C$13="",L4786=$C$13)),"✓","")</f>
        <v/>
      </c>
      <c r="N4786" s="93">
        <f>N(N4785)+IF(M4786="✓",1,0)</f>
        <v/>
      </c>
      <c r="O4786" s="93">
        <f>N(O4785)+IF(AND(B4786&lt;&gt;"",B4786&gt;='Uang Riba'!$H$30,B4786&lt;='Uang Riba'!$I$30,OR(H4786="Dana riba",H4786="Pinjam uang riba",I4786="Pinjam dari uang riba",I4786="Ganti uang riba",I4786="Kelebihan ganti dikembalikan",AND(C4786="Kantong Uang Riba",G4786="Pengeluaran"))),1,0)</f>
        <v/>
      </c>
      <c r="X4786" s="93">
        <f>IF(AND(B4786&lt;&gt;"",B4786&gt;='Buku Akun'!$H$4,B4786&lt;='Buku Akun'!$H$5,OR(C4786='Buku Akun'!$C$4,AND(D4786="Pindah",E4786='Buku Akun'!$C$4))),B4786+IF(AND(I4786="Selisih bunga",DAY(B4786)=1),0,0.01)+ROW()/10000000,"")</f>
        <v/>
      </c>
    </row>
    <row r="4787" outlineLevel="1" ht="15" customHeight="1" s="94">
      <c r="A4787" s="123">
        <f>IF(B4787="","",ROW()-15)</f>
        <v/>
      </c>
      <c r="B4787" s="124" t="n"/>
      <c r="C4787" s="123" t="n"/>
      <c r="D4787" s="123" t="n"/>
      <c r="E4787" s="123" t="n"/>
      <c r="F4787" s="125" t="n"/>
      <c r="G4787" s="123" t="n"/>
      <c r="H4787" s="123" t="n"/>
      <c r="I4787" s="123" t="n"/>
      <c r="J4787" s="123" t="n"/>
      <c r="K4787" s="123" t="n"/>
      <c r="L4787" s="123" t="n"/>
      <c r="M4787" s="123">
        <f>IF(AND(B4787&lt;&gt;"",OR($C$4="",ISNUMBER(SEARCH($C$4,C4787&amp;" "&amp;E4787&amp;" "&amp;G4787&amp;" "&amp;H4787&amp;" "&amp;I4787&amp;" "&amp;J4787&amp;" "&amp;K4787&amp;" "&amp;L4787))),OR($C$5="Semua",$C$5="",G4787=$C$5),OR($C$6="Semua",$C$6="",H4787=$C$6,H4787="Pengeluaran "&amp;$C$6,AND($C$6="Uang Kos Mama",H4787="Pengeluaran Uang Kos")),OR($C$7="Semua",$C$7="",I4787=$C$7),OR($C$8="Semua",$C$8="",C4787=$C$8,E4787=$C$8),OR($C$9="Semua",$C$9="",D4787=$C$9),OR($C$10="",B4787&gt;=$C$10),OR($C$11="",B4787&lt;=$C$11),OR($C$12&lt;&gt;"Ya",K4787&lt;&gt;""),OR($C$13="Semua",$C$13="",L4787=$C$13)),"✓","")</f>
        <v/>
      </c>
      <c r="N4787" s="93">
        <f>N(N4786)+IF(M4787="✓",1,0)</f>
        <v/>
      </c>
      <c r="O4787" s="93">
        <f>N(O4786)+IF(AND(B4787&lt;&gt;"",B4787&gt;='Uang Riba'!$H$30,B4787&lt;='Uang Riba'!$I$30,OR(H4787="Dana riba",H4787="Pinjam uang riba",I4787="Pinjam dari uang riba",I4787="Ganti uang riba",I4787="Kelebihan ganti dikembalikan",AND(C4787="Kantong Uang Riba",G4787="Pengeluaran"))),1,0)</f>
        <v/>
      </c>
      <c r="X4787" s="93">
        <f>IF(AND(B4787&lt;&gt;"",B4787&gt;='Buku Akun'!$H$4,B4787&lt;='Buku Akun'!$H$5,OR(C4787='Buku Akun'!$C$4,AND(D4787="Pindah",E4787='Buku Akun'!$C$4))),B4787+IF(AND(I4787="Selisih bunga",DAY(B4787)=1),0,0.01)+ROW()/10000000,"")</f>
        <v/>
      </c>
    </row>
    <row r="4788" outlineLevel="1" ht="15" customHeight="1" s="94">
      <c r="A4788" s="123">
        <f>IF(B4788="","",ROW()-15)</f>
        <v/>
      </c>
      <c r="B4788" s="124" t="n"/>
      <c r="C4788" s="123" t="n"/>
      <c r="D4788" s="123" t="n"/>
      <c r="E4788" s="123" t="n"/>
      <c r="F4788" s="125" t="n"/>
      <c r="G4788" s="123" t="n"/>
      <c r="H4788" s="123" t="n"/>
      <c r="I4788" s="123" t="n"/>
      <c r="J4788" s="123" t="n"/>
      <c r="K4788" s="123" t="n"/>
      <c r="L4788" s="123" t="n"/>
      <c r="M4788" s="123">
        <f>IF(AND(B4788&lt;&gt;"",OR($C$4="",ISNUMBER(SEARCH($C$4,C4788&amp;" "&amp;E4788&amp;" "&amp;G4788&amp;" "&amp;H4788&amp;" "&amp;I4788&amp;" "&amp;J4788&amp;" "&amp;K4788&amp;" "&amp;L4788))),OR($C$5="Semua",$C$5="",G4788=$C$5),OR($C$6="Semua",$C$6="",H4788=$C$6,H4788="Pengeluaran "&amp;$C$6,AND($C$6="Uang Kos Mama",H4788="Pengeluaran Uang Kos")),OR($C$7="Semua",$C$7="",I4788=$C$7),OR($C$8="Semua",$C$8="",C4788=$C$8,E4788=$C$8),OR($C$9="Semua",$C$9="",D4788=$C$9),OR($C$10="",B4788&gt;=$C$10),OR($C$11="",B4788&lt;=$C$11),OR($C$12&lt;&gt;"Ya",K4788&lt;&gt;""),OR($C$13="Semua",$C$13="",L4788=$C$13)),"✓","")</f>
        <v/>
      </c>
      <c r="N4788" s="93">
        <f>N(N4787)+IF(M4788="✓",1,0)</f>
        <v/>
      </c>
      <c r="O4788" s="93">
        <f>N(O4787)+IF(AND(B4788&lt;&gt;"",B4788&gt;='Uang Riba'!$H$30,B4788&lt;='Uang Riba'!$I$30,OR(H4788="Dana riba",H4788="Pinjam uang riba",I4788="Pinjam dari uang riba",I4788="Ganti uang riba",I4788="Kelebihan ganti dikembalikan",AND(C4788="Kantong Uang Riba",G4788="Pengeluaran"))),1,0)</f>
        <v/>
      </c>
      <c r="X4788" s="93">
        <f>IF(AND(B4788&lt;&gt;"",B4788&gt;='Buku Akun'!$H$4,B4788&lt;='Buku Akun'!$H$5,OR(C4788='Buku Akun'!$C$4,AND(D4788="Pindah",E4788='Buku Akun'!$C$4))),B4788+IF(AND(I4788="Selisih bunga",DAY(B4788)=1),0,0.01)+ROW()/10000000,"")</f>
        <v/>
      </c>
    </row>
    <row r="4789" outlineLevel="1" ht="15" customHeight="1" s="94">
      <c r="A4789" s="123">
        <f>IF(B4789="","",ROW()-15)</f>
        <v/>
      </c>
      <c r="B4789" s="124" t="n"/>
      <c r="C4789" s="123" t="n"/>
      <c r="D4789" s="123" t="n"/>
      <c r="E4789" s="123" t="n"/>
      <c r="F4789" s="125" t="n"/>
      <c r="G4789" s="123" t="n"/>
      <c r="H4789" s="123" t="n"/>
      <c r="I4789" s="123" t="n"/>
      <c r="J4789" s="123" t="n"/>
      <c r="K4789" s="123" t="n"/>
      <c r="L4789" s="123" t="n"/>
      <c r="M4789" s="123">
        <f>IF(AND(B4789&lt;&gt;"",OR($C$4="",ISNUMBER(SEARCH($C$4,C4789&amp;" "&amp;E4789&amp;" "&amp;G4789&amp;" "&amp;H4789&amp;" "&amp;I4789&amp;" "&amp;J4789&amp;" "&amp;K4789&amp;" "&amp;L4789))),OR($C$5="Semua",$C$5="",G4789=$C$5),OR($C$6="Semua",$C$6="",H4789=$C$6,H4789="Pengeluaran "&amp;$C$6,AND($C$6="Uang Kos Mama",H4789="Pengeluaran Uang Kos")),OR($C$7="Semua",$C$7="",I4789=$C$7),OR($C$8="Semua",$C$8="",C4789=$C$8,E4789=$C$8),OR($C$9="Semua",$C$9="",D4789=$C$9),OR($C$10="",B4789&gt;=$C$10),OR($C$11="",B4789&lt;=$C$11),OR($C$12&lt;&gt;"Ya",K4789&lt;&gt;""),OR($C$13="Semua",$C$13="",L4789=$C$13)),"✓","")</f>
        <v/>
      </c>
      <c r="N4789" s="93">
        <f>N(N4788)+IF(M4789="✓",1,0)</f>
        <v/>
      </c>
      <c r="O4789" s="93">
        <f>N(O4788)+IF(AND(B4789&lt;&gt;"",B4789&gt;='Uang Riba'!$H$30,B4789&lt;='Uang Riba'!$I$30,OR(H4789="Dana riba",H4789="Pinjam uang riba",I4789="Pinjam dari uang riba",I4789="Ganti uang riba",I4789="Kelebihan ganti dikembalikan",AND(C4789="Kantong Uang Riba",G4789="Pengeluaran"))),1,0)</f>
        <v/>
      </c>
      <c r="X4789" s="93">
        <f>IF(AND(B4789&lt;&gt;"",B4789&gt;='Buku Akun'!$H$4,B4789&lt;='Buku Akun'!$H$5,OR(C4789='Buku Akun'!$C$4,AND(D4789="Pindah",E4789='Buku Akun'!$C$4))),B4789+IF(AND(I4789="Selisih bunga",DAY(B4789)=1),0,0.01)+ROW()/10000000,"")</f>
        <v/>
      </c>
    </row>
    <row r="4790" outlineLevel="1" ht="15" customHeight="1" s="94">
      <c r="A4790" s="123">
        <f>IF(B4790="","",ROW()-15)</f>
        <v/>
      </c>
      <c r="B4790" s="124" t="n"/>
      <c r="C4790" s="123" t="n"/>
      <c r="D4790" s="123" t="n"/>
      <c r="E4790" s="123" t="n"/>
      <c r="F4790" s="125" t="n"/>
      <c r="G4790" s="123" t="n"/>
      <c r="H4790" s="123" t="n"/>
      <c r="I4790" s="123" t="n"/>
      <c r="J4790" s="123" t="n"/>
      <c r="K4790" s="123" t="n"/>
      <c r="L4790" s="123" t="n"/>
      <c r="M4790" s="123">
        <f>IF(AND(B4790&lt;&gt;"",OR($C$4="",ISNUMBER(SEARCH($C$4,C4790&amp;" "&amp;E4790&amp;" "&amp;G4790&amp;" "&amp;H4790&amp;" "&amp;I4790&amp;" "&amp;J4790&amp;" "&amp;K4790&amp;" "&amp;L4790))),OR($C$5="Semua",$C$5="",G4790=$C$5),OR($C$6="Semua",$C$6="",H4790=$C$6,H4790="Pengeluaran "&amp;$C$6,AND($C$6="Uang Kos Mama",H4790="Pengeluaran Uang Kos")),OR($C$7="Semua",$C$7="",I4790=$C$7),OR($C$8="Semua",$C$8="",C4790=$C$8,E4790=$C$8),OR($C$9="Semua",$C$9="",D4790=$C$9),OR($C$10="",B4790&gt;=$C$10),OR($C$11="",B4790&lt;=$C$11),OR($C$12&lt;&gt;"Ya",K4790&lt;&gt;""),OR($C$13="Semua",$C$13="",L4790=$C$13)),"✓","")</f>
        <v/>
      </c>
      <c r="N4790" s="93">
        <f>N(N4789)+IF(M4790="✓",1,0)</f>
        <v/>
      </c>
      <c r="O4790" s="93">
        <f>N(O4789)+IF(AND(B4790&lt;&gt;"",B4790&gt;='Uang Riba'!$H$30,B4790&lt;='Uang Riba'!$I$30,OR(H4790="Dana riba",H4790="Pinjam uang riba",I4790="Pinjam dari uang riba",I4790="Ganti uang riba",I4790="Kelebihan ganti dikembalikan",AND(C4790="Kantong Uang Riba",G4790="Pengeluaran"))),1,0)</f>
        <v/>
      </c>
      <c r="X4790" s="93">
        <f>IF(AND(B4790&lt;&gt;"",B4790&gt;='Buku Akun'!$H$4,B4790&lt;='Buku Akun'!$H$5,OR(C4790='Buku Akun'!$C$4,AND(D4790="Pindah",E4790='Buku Akun'!$C$4))),B4790+IF(AND(I4790="Selisih bunga",DAY(B4790)=1),0,0.01)+ROW()/10000000,"")</f>
        <v/>
      </c>
    </row>
    <row r="4791" outlineLevel="1" ht="15" customHeight="1" s="94">
      <c r="A4791" s="123">
        <f>IF(B4791="","",ROW()-15)</f>
        <v/>
      </c>
      <c r="B4791" s="124" t="n"/>
      <c r="C4791" s="123" t="n"/>
      <c r="D4791" s="123" t="n"/>
      <c r="E4791" s="123" t="n"/>
      <c r="F4791" s="125" t="n"/>
      <c r="G4791" s="123" t="n"/>
      <c r="H4791" s="123" t="n"/>
      <c r="I4791" s="123" t="n"/>
      <c r="J4791" s="123" t="n"/>
      <c r="K4791" s="123" t="n"/>
      <c r="L4791" s="123" t="n"/>
      <c r="M4791" s="123">
        <f>IF(AND(B4791&lt;&gt;"",OR($C$4="",ISNUMBER(SEARCH($C$4,C4791&amp;" "&amp;E4791&amp;" "&amp;G4791&amp;" "&amp;H4791&amp;" "&amp;I4791&amp;" "&amp;J4791&amp;" "&amp;K4791&amp;" "&amp;L4791))),OR($C$5="Semua",$C$5="",G4791=$C$5),OR($C$6="Semua",$C$6="",H4791=$C$6,H4791="Pengeluaran "&amp;$C$6,AND($C$6="Uang Kos Mama",H4791="Pengeluaran Uang Kos")),OR($C$7="Semua",$C$7="",I4791=$C$7),OR($C$8="Semua",$C$8="",C4791=$C$8,E4791=$C$8),OR($C$9="Semua",$C$9="",D4791=$C$9),OR($C$10="",B4791&gt;=$C$10),OR($C$11="",B4791&lt;=$C$11),OR($C$12&lt;&gt;"Ya",K4791&lt;&gt;""),OR($C$13="Semua",$C$13="",L4791=$C$13)),"✓","")</f>
        <v/>
      </c>
      <c r="N4791" s="93">
        <f>N(N4790)+IF(M4791="✓",1,0)</f>
        <v/>
      </c>
      <c r="O4791" s="93">
        <f>N(O4790)+IF(AND(B4791&lt;&gt;"",B4791&gt;='Uang Riba'!$H$30,B4791&lt;='Uang Riba'!$I$30,OR(H4791="Dana riba",H4791="Pinjam uang riba",I4791="Pinjam dari uang riba",I4791="Ganti uang riba",I4791="Kelebihan ganti dikembalikan",AND(C4791="Kantong Uang Riba",G4791="Pengeluaran"))),1,0)</f>
        <v/>
      </c>
      <c r="X4791" s="93">
        <f>IF(AND(B4791&lt;&gt;"",B4791&gt;='Buku Akun'!$H$4,B4791&lt;='Buku Akun'!$H$5,OR(C4791='Buku Akun'!$C$4,AND(D4791="Pindah",E4791='Buku Akun'!$C$4))),B4791+IF(AND(I4791="Selisih bunga",DAY(B4791)=1),0,0.01)+ROW()/10000000,"")</f>
        <v/>
      </c>
    </row>
    <row r="4792" outlineLevel="1" ht="15" customHeight="1" s="94">
      <c r="A4792" s="123">
        <f>IF(B4792="","",ROW()-15)</f>
        <v/>
      </c>
      <c r="B4792" s="124" t="n"/>
      <c r="C4792" s="123" t="n"/>
      <c r="D4792" s="123" t="n"/>
      <c r="E4792" s="123" t="n"/>
      <c r="F4792" s="125" t="n"/>
      <c r="G4792" s="123" t="n"/>
      <c r="H4792" s="123" t="n"/>
      <c r="I4792" s="123" t="n"/>
      <c r="J4792" s="123" t="n"/>
      <c r="K4792" s="123" t="n"/>
      <c r="L4792" s="123" t="n"/>
      <c r="M4792" s="123">
        <f>IF(AND(B4792&lt;&gt;"",OR($C$4="",ISNUMBER(SEARCH($C$4,C4792&amp;" "&amp;E4792&amp;" "&amp;G4792&amp;" "&amp;H4792&amp;" "&amp;I4792&amp;" "&amp;J4792&amp;" "&amp;K4792&amp;" "&amp;L4792))),OR($C$5="Semua",$C$5="",G4792=$C$5),OR($C$6="Semua",$C$6="",H4792=$C$6,H4792="Pengeluaran "&amp;$C$6,AND($C$6="Uang Kos Mama",H4792="Pengeluaran Uang Kos")),OR($C$7="Semua",$C$7="",I4792=$C$7),OR($C$8="Semua",$C$8="",C4792=$C$8,E4792=$C$8),OR($C$9="Semua",$C$9="",D4792=$C$9),OR($C$10="",B4792&gt;=$C$10),OR($C$11="",B4792&lt;=$C$11),OR($C$12&lt;&gt;"Ya",K4792&lt;&gt;""),OR($C$13="Semua",$C$13="",L4792=$C$13)),"✓","")</f>
        <v/>
      </c>
      <c r="N4792" s="93">
        <f>N(N4791)+IF(M4792="✓",1,0)</f>
        <v/>
      </c>
      <c r="O4792" s="93">
        <f>N(O4791)+IF(AND(B4792&lt;&gt;"",B4792&gt;='Uang Riba'!$H$30,B4792&lt;='Uang Riba'!$I$30,OR(H4792="Dana riba",H4792="Pinjam uang riba",I4792="Pinjam dari uang riba",I4792="Ganti uang riba",I4792="Kelebihan ganti dikembalikan",AND(C4792="Kantong Uang Riba",G4792="Pengeluaran"))),1,0)</f>
        <v/>
      </c>
      <c r="X4792" s="93">
        <f>IF(AND(B4792&lt;&gt;"",B4792&gt;='Buku Akun'!$H$4,B4792&lt;='Buku Akun'!$H$5,OR(C4792='Buku Akun'!$C$4,AND(D4792="Pindah",E4792='Buku Akun'!$C$4))),B4792+IF(AND(I4792="Selisih bunga",DAY(B4792)=1),0,0.01)+ROW()/10000000,"")</f>
        <v/>
      </c>
    </row>
    <row r="4793" outlineLevel="1" ht="15" customHeight="1" s="94">
      <c r="A4793" s="123">
        <f>IF(B4793="","",ROW()-15)</f>
        <v/>
      </c>
      <c r="B4793" s="124" t="n"/>
      <c r="C4793" s="123" t="n"/>
      <c r="D4793" s="123" t="n"/>
      <c r="E4793" s="123" t="n"/>
      <c r="F4793" s="125" t="n"/>
      <c r="G4793" s="123" t="n"/>
      <c r="H4793" s="123" t="n"/>
      <c r="I4793" s="123" t="n"/>
      <c r="J4793" s="123" t="n"/>
      <c r="K4793" s="123" t="n"/>
      <c r="L4793" s="123" t="n"/>
      <c r="M4793" s="123">
        <f>IF(AND(B4793&lt;&gt;"",OR($C$4="",ISNUMBER(SEARCH($C$4,C4793&amp;" "&amp;E4793&amp;" "&amp;G4793&amp;" "&amp;H4793&amp;" "&amp;I4793&amp;" "&amp;J4793&amp;" "&amp;K4793&amp;" "&amp;L4793))),OR($C$5="Semua",$C$5="",G4793=$C$5),OR($C$6="Semua",$C$6="",H4793=$C$6,H4793="Pengeluaran "&amp;$C$6,AND($C$6="Uang Kos Mama",H4793="Pengeluaran Uang Kos")),OR($C$7="Semua",$C$7="",I4793=$C$7),OR($C$8="Semua",$C$8="",C4793=$C$8,E4793=$C$8),OR($C$9="Semua",$C$9="",D4793=$C$9),OR($C$10="",B4793&gt;=$C$10),OR($C$11="",B4793&lt;=$C$11),OR($C$12&lt;&gt;"Ya",K4793&lt;&gt;""),OR($C$13="Semua",$C$13="",L4793=$C$13)),"✓","")</f>
        <v/>
      </c>
      <c r="N4793" s="93">
        <f>N(N4792)+IF(M4793="✓",1,0)</f>
        <v/>
      </c>
      <c r="O4793" s="93">
        <f>N(O4792)+IF(AND(B4793&lt;&gt;"",B4793&gt;='Uang Riba'!$H$30,B4793&lt;='Uang Riba'!$I$30,OR(H4793="Dana riba",H4793="Pinjam uang riba",I4793="Pinjam dari uang riba",I4793="Ganti uang riba",I4793="Kelebihan ganti dikembalikan",AND(C4793="Kantong Uang Riba",G4793="Pengeluaran"))),1,0)</f>
        <v/>
      </c>
      <c r="X4793" s="93">
        <f>IF(AND(B4793&lt;&gt;"",B4793&gt;='Buku Akun'!$H$4,B4793&lt;='Buku Akun'!$H$5,OR(C4793='Buku Akun'!$C$4,AND(D4793="Pindah",E4793='Buku Akun'!$C$4))),B4793+IF(AND(I4793="Selisih bunga",DAY(B4793)=1),0,0.01)+ROW()/10000000,"")</f>
        <v/>
      </c>
    </row>
    <row r="4794" outlineLevel="1" ht="15" customHeight="1" s="94">
      <c r="A4794" s="123">
        <f>IF(B4794="","",ROW()-15)</f>
        <v/>
      </c>
      <c r="B4794" s="124" t="n"/>
      <c r="C4794" s="123" t="n"/>
      <c r="D4794" s="123" t="n"/>
      <c r="E4794" s="123" t="n"/>
      <c r="F4794" s="125" t="n"/>
      <c r="G4794" s="123" t="n"/>
      <c r="H4794" s="123" t="n"/>
      <c r="I4794" s="123" t="n"/>
      <c r="J4794" s="123" t="n"/>
      <c r="K4794" s="123" t="n"/>
      <c r="L4794" s="123" t="n"/>
      <c r="M4794" s="123">
        <f>IF(AND(B4794&lt;&gt;"",OR($C$4="",ISNUMBER(SEARCH($C$4,C4794&amp;" "&amp;E4794&amp;" "&amp;G4794&amp;" "&amp;H4794&amp;" "&amp;I4794&amp;" "&amp;J4794&amp;" "&amp;K4794&amp;" "&amp;L4794))),OR($C$5="Semua",$C$5="",G4794=$C$5),OR($C$6="Semua",$C$6="",H4794=$C$6,H4794="Pengeluaran "&amp;$C$6,AND($C$6="Uang Kos Mama",H4794="Pengeluaran Uang Kos")),OR($C$7="Semua",$C$7="",I4794=$C$7),OR($C$8="Semua",$C$8="",C4794=$C$8,E4794=$C$8),OR($C$9="Semua",$C$9="",D4794=$C$9),OR($C$10="",B4794&gt;=$C$10),OR($C$11="",B4794&lt;=$C$11),OR($C$12&lt;&gt;"Ya",K4794&lt;&gt;""),OR($C$13="Semua",$C$13="",L4794=$C$13)),"✓","")</f>
        <v/>
      </c>
      <c r="N4794" s="93">
        <f>N(N4793)+IF(M4794="✓",1,0)</f>
        <v/>
      </c>
      <c r="O4794" s="93">
        <f>N(O4793)+IF(AND(B4794&lt;&gt;"",B4794&gt;='Uang Riba'!$H$30,B4794&lt;='Uang Riba'!$I$30,OR(H4794="Dana riba",H4794="Pinjam uang riba",I4794="Pinjam dari uang riba",I4794="Ganti uang riba",I4794="Kelebihan ganti dikembalikan",AND(C4794="Kantong Uang Riba",G4794="Pengeluaran"))),1,0)</f>
        <v/>
      </c>
      <c r="X4794" s="93">
        <f>IF(AND(B4794&lt;&gt;"",B4794&gt;='Buku Akun'!$H$4,B4794&lt;='Buku Akun'!$H$5,OR(C4794='Buku Akun'!$C$4,AND(D4794="Pindah",E4794='Buku Akun'!$C$4))),B4794+IF(AND(I4794="Selisih bunga",DAY(B4794)=1),0,0.01)+ROW()/10000000,"")</f>
        <v/>
      </c>
    </row>
    <row r="4795" outlineLevel="1" ht="15" customHeight="1" s="94">
      <c r="A4795" s="123">
        <f>IF(B4795="","",ROW()-15)</f>
        <v/>
      </c>
      <c r="B4795" s="124" t="n"/>
      <c r="C4795" s="123" t="n"/>
      <c r="D4795" s="123" t="n"/>
      <c r="E4795" s="123" t="n"/>
      <c r="F4795" s="125" t="n"/>
      <c r="G4795" s="123" t="n"/>
      <c r="H4795" s="123" t="n"/>
      <c r="I4795" s="123" t="n"/>
      <c r="J4795" s="123" t="n"/>
      <c r="K4795" s="123" t="n"/>
      <c r="L4795" s="123" t="n"/>
      <c r="M4795" s="123">
        <f>IF(AND(B4795&lt;&gt;"",OR($C$4="",ISNUMBER(SEARCH($C$4,C4795&amp;" "&amp;E4795&amp;" "&amp;G4795&amp;" "&amp;H4795&amp;" "&amp;I4795&amp;" "&amp;J4795&amp;" "&amp;K4795&amp;" "&amp;L4795))),OR($C$5="Semua",$C$5="",G4795=$C$5),OR($C$6="Semua",$C$6="",H4795=$C$6,H4795="Pengeluaran "&amp;$C$6,AND($C$6="Uang Kos Mama",H4795="Pengeluaran Uang Kos")),OR($C$7="Semua",$C$7="",I4795=$C$7),OR($C$8="Semua",$C$8="",C4795=$C$8,E4795=$C$8),OR($C$9="Semua",$C$9="",D4795=$C$9),OR($C$10="",B4795&gt;=$C$10),OR($C$11="",B4795&lt;=$C$11),OR($C$12&lt;&gt;"Ya",K4795&lt;&gt;""),OR($C$13="Semua",$C$13="",L4795=$C$13)),"✓","")</f>
        <v/>
      </c>
      <c r="N4795" s="93">
        <f>N(N4794)+IF(M4795="✓",1,0)</f>
        <v/>
      </c>
      <c r="O4795" s="93">
        <f>N(O4794)+IF(AND(B4795&lt;&gt;"",B4795&gt;='Uang Riba'!$H$30,B4795&lt;='Uang Riba'!$I$30,OR(H4795="Dana riba",H4795="Pinjam uang riba",I4795="Pinjam dari uang riba",I4795="Ganti uang riba",I4795="Kelebihan ganti dikembalikan",AND(C4795="Kantong Uang Riba",G4795="Pengeluaran"))),1,0)</f>
        <v/>
      </c>
      <c r="X4795" s="93">
        <f>IF(AND(B4795&lt;&gt;"",B4795&gt;='Buku Akun'!$H$4,B4795&lt;='Buku Akun'!$H$5,OR(C4795='Buku Akun'!$C$4,AND(D4795="Pindah",E4795='Buku Akun'!$C$4))),B4795+IF(AND(I4795="Selisih bunga",DAY(B4795)=1),0,0.01)+ROW()/10000000,"")</f>
        <v/>
      </c>
    </row>
    <row r="4796" outlineLevel="1" ht="15" customHeight="1" s="94">
      <c r="A4796" s="123">
        <f>IF(B4796="","",ROW()-15)</f>
        <v/>
      </c>
      <c r="B4796" s="124" t="n"/>
      <c r="C4796" s="123" t="n"/>
      <c r="D4796" s="123" t="n"/>
      <c r="E4796" s="123" t="n"/>
      <c r="F4796" s="125" t="n"/>
      <c r="G4796" s="123" t="n"/>
      <c r="H4796" s="123" t="n"/>
      <c r="I4796" s="123" t="n"/>
      <c r="J4796" s="123" t="n"/>
      <c r="K4796" s="123" t="n"/>
      <c r="L4796" s="123" t="n"/>
      <c r="M4796" s="123">
        <f>IF(AND(B4796&lt;&gt;"",OR($C$4="",ISNUMBER(SEARCH($C$4,C4796&amp;" "&amp;E4796&amp;" "&amp;G4796&amp;" "&amp;H4796&amp;" "&amp;I4796&amp;" "&amp;J4796&amp;" "&amp;K4796&amp;" "&amp;L4796))),OR($C$5="Semua",$C$5="",G4796=$C$5),OR($C$6="Semua",$C$6="",H4796=$C$6,H4796="Pengeluaran "&amp;$C$6,AND($C$6="Uang Kos Mama",H4796="Pengeluaran Uang Kos")),OR($C$7="Semua",$C$7="",I4796=$C$7),OR($C$8="Semua",$C$8="",C4796=$C$8,E4796=$C$8),OR($C$9="Semua",$C$9="",D4796=$C$9),OR($C$10="",B4796&gt;=$C$10),OR($C$11="",B4796&lt;=$C$11),OR($C$12&lt;&gt;"Ya",K4796&lt;&gt;""),OR($C$13="Semua",$C$13="",L4796=$C$13)),"✓","")</f>
        <v/>
      </c>
      <c r="N4796" s="93">
        <f>N(N4795)+IF(M4796="✓",1,0)</f>
        <v/>
      </c>
      <c r="O4796" s="93">
        <f>N(O4795)+IF(AND(B4796&lt;&gt;"",B4796&gt;='Uang Riba'!$H$30,B4796&lt;='Uang Riba'!$I$30,OR(H4796="Dana riba",H4796="Pinjam uang riba",I4796="Pinjam dari uang riba",I4796="Ganti uang riba",I4796="Kelebihan ganti dikembalikan",AND(C4796="Kantong Uang Riba",G4796="Pengeluaran"))),1,0)</f>
        <v/>
      </c>
      <c r="X4796" s="93">
        <f>IF(AND(B4796&lt;&gt;"",B4796&gt;='Buku Akun'!$H$4,B4796&lt;='Buku Akun'!$H$5,OR(C4796='Buku Akun'!$C$4,AND(D4796="Pindah",E4796='Buku Akun'!$C$4))),B4796+IF(AND(I4796="Selisih bunga",DAY(B4796)=1),0,0.01)+ROW()/10000000,"")</f>
        <v/>
      </c>
    </row>
    <row r="4797" outlineLevel="1" ht="15" customHeight="1" s="94">
      <c r="A4797" s="123">
        <f>IF(B4797="","",ROW()-15)</f>
        <v/>
      </c>
      <c r="B4797" s="124" t="n"/>
      <c r="C4797" s="123" t="n"/>
      <c r="D4797" s="123" t="n"/>
      <c r="E4797" s="123" t="n"/>
      <c r="F4797" s="125" t="n"/>
      <c r="G4797" s="123" t="n"/>
      <c r="H4797" s="123" t="n"/>
      <c r="I4797" s="123" t="n"/>
      <c r="J4797" s="123" t="n"/>
      <c r="K4797" s="123" t="n"/>
      <c r="L4797" s="123" t="n"/>
      <c r="M4797" s="123">
        <f>IF(AND(B4797&lt;&gt;"",OR($C$4="",ISNUMBER(SEARCH($C$4,C4797&amp;" "&amp;E4797&amp;" "&amp;G4797&amp;" "&amp;H4797&amp;" "&amp;I4797&amp;" "&amp;J4797&amp;" "&amp;K4797&amp;" "&amp;L4797))),OR($C$5="Semua",$C$5="",G4797=$C$5),OR($C$6="Semua",$C$6="",H4797=$C$6,H4797="Pengeluaran "&amp;$C$6,AND($C$6="Uang Kos Mama",H4797="Pengeluaran Uang Kos")),OR($C$7="Semua",$C$7="",I4797=$C$7),OR($C$8="Semua",$C$8="",C4797=$C$8,E4797=$C$8),OR($C$9="Semua",$C$9="",D4797=$C$9),OR($C$10="",B4797&gt;=$C$10),OR($C$11="",B4797&lt;=$C$11),OR($C$12&lt;&gt;"Ya",K4797&lt;&gt;""),OR($C$13="Semua",$C$13="",L4797=$C$13)),"✓","")</f>
        <v/>
      </c>
      <c r="N4797" s="93">
        <f>N(N4796)+IF(M4797="✓",1,0)</f>
        <v/>
      </c>
      <c r="O4797" s="93">
        <f>N(O4796)+IF(AND(B4797&lt;&gt;"",B4797&gt;='Uang Riba'!$H$30,B4797&lt;='Uang Riba'!$I$30,OR(H4797="Dana riba",H4797="Pinjam uang riba",I4797="Pinjam dari uang riba",I4797="Ganti uang riba",I4797="Kelebihan ganti dikembalikan",AND(C4797="Kantong Uang Riba",G4797="Pengeluaran"))),1,0)</f>
        <v/>
      </c>
      <c r="X4797" s="93">
        <f>IF(AND(B4797&lt;&gt;"",B4797&gt;='Buku Akun'!$H$4,B4797&lt;='Buku Akun'!$H$5,OR(C4797='Buku Akun'!$C$4,AND(D4797="Pindah",E4797='Buku Akun'!$C$4))),B4797+IF(AND(I4797="Selisih bunga",DAY(B4797)=1),0,0.01)+ROW()/10000000,"")</f>
        <v/>
      </c>
    </row>
    <row r="4798" outlineLevel="1" ht="15" customHeight="1" s="94">
      <c r="A4798" s="123">
        <f>IF(B4798="","",ROW()-15)</f>
        <v/>
      </c>
      <c r="B4798" s="124" t="n"/>
      <c r="C4798" s="123" t="n"/>
      <c r="D4798" s="123" t="n"/>
      <c r="E4798" s="123" t="n"/>
      <c r="F4798" s="125" t="n"/>
      <c r="G4798" s="123" t="n"/>
      <c r="H4798" s="123" t="n"/>
      <c r="I4798" s="123" t="n"/>
      <c r="J4798" s="123" t="n"/>
      <c r="K4798" s="123" t="n"/>
      <c r="L4798" s="123" t="n"/>
      <c r="M4798" s="123">
        <f>IF(AND(B4798&lt;&gt;"",OR($C$4="",ISNUMBER(SEARCH($C$4,C4798&amp;" "&amp;E4798&amp;" "&amp;G4798&amp;" "&amp;H4798&amp;" "&amp;I4798&amp;" "&amp;J4798&amp;" "&amp;K4798&amp;" "&amp;L4798))),OR($C$5="Semua",$C$5="",G4798=$C$5),OR($C$6="Semua",$C$6="",H4798=$C$6,H4798="Pengeluaran "&amp;$C$6,AND($C$6="Uang Kos Mama",H4798="Pengeluaran Uang Kos")),OR($C$7="Semua",$C$7="",I4798=$C$7),OR($C$8="Semua",$C$8="",C4798=$C$8,E4798=$C$8),OR($C$9="Semua",$C$9="",D4798=$C$9),OR($C$10="",B4798&gt;=$C$10),OR($C$11="",B4798&lt;=$C$11),OR($C$12&lt;&gt;"Ya",K4798&lt;&gt;""),OR($C$13="Semua",$C$13="",L4798=$C$13)),"✓","")</f>
        <v/>
      </c>
      <c r="N4798" s="93">
        <f>N(N4797)+IF(M4798="✓",1,0)</f>
        <v/>
      </c>
      <c r="O4798" s="93">
        <f>N(O4797)+IF(AND(B4798&lt;&gt;"",B4798&gt;='Uang Riba'!$H$30,B4798&lt;='Uang Riba'!$I$30,OR(H4798="Dana riba",H4798="Pinjam uang riba",I4798="Pinjam dari uang riba",I4798="Ganti uang riba",I4798="Kelebihan ganti dikembalikan",AND(C4798="Kantong Uang Riba",G4798="Pengeluaran"))),1,0)</f>
        <v/>
      </c>
      <c r="X4798" s="93">
        <f>IF(AND(B4798&lt;&gt;"",B4798&gt;='Buku Akun'!$H$4,B4798&lt;='Buku Akun'!$H$5,OR(C4798='Buku Akun'!$C$4,AND(D4798="Pindah",E4798='Buku Akun'!$C$4))),B4798+IF(AND(I4798="Selisih bunga",DAY(B4798)=1),0,0.01)+ROW()/10000000,"")</f>
        <v/>
      </c>
    </row>
    <row r="4799" outlineLevel="1" ht="15" customHeight="1" s="94">
      <c r="A4799" s="123">
        <f>IF(B4799="","",ROW()-15)</f>
        <v/>
      </c>
      <c r="B4799" s="124" t="n"/>
      <c r="C4799" s="123" t="n"/>
      <c r="D4799" s="123" t="n"/>
      <c r="E4799" s="123" t="n"/>
      <c r="F4799" s="125" t="n"/>
      <c r="G4799" s="123" t="n"/>
      <c r="H4799" s="123" t="n"/>
      <c r="I4799" s="123" t="n"/>
      <c r="J4799" s="123" t="n"/>
      <c r="K4799" s="123" t="n"/>
      <c r="L4799" s="123" t="n"/>
      <c r="M4799" s="123">
        <f>IF(AND(B4799&lt;&gt;"",OR($C$4="",ISNUMBER(SEARCH($C$4,C4799&amp;" "&amp;E4799&amp;" "&amp;G4799&amp;" "&amp;H4799&amp;" "&amp;I4799&amp;" "&amp;J4799&amp;" "&amp;K4799&amp;" "&amp;L4799))),OR($C$5="Semua",$C$5="",G4799=$C$5),OR($C$6="Semua",$C$6="",H4799=$C$6,H4799="Pengeluaran "&amp;$C$6,AND($C$6="Uang Kos Mama",H4799="Pengeluaran Uang Kos")),OR($C$7="Semua",$C$7="",I4799=$C$7),OR($C$8="Semua",$C$8="",C4799=$C$8,E4799=$C$8),OR($C$9="Semua",$C$9="",D4799=$C$9),OR($C$10="",B4799&gt;=$C$10),OR($C$11="",B4799&lt;=$C$11),OR($C$12&lt;&gt;"Ya",K4799&lt;&gt;""),OR($C$13="Semua",$C$13="",L4799=$C$13)),"✓","")</f>
        <v/>
      </c>
      <c r="N4799" s="93">
        <f>N(N4798)+IF(M4799="✓",1,0)</f>
        <v/>
      </c>
      <c r="O4799" s="93">
        <f>N(O4798)+IF(AND(B4799&lt;&gt;"",B4799&gt;='Uang Riba'!$H$30,B4799&lt;='Uang Riba'!$I$30,OR(H4799="Dana riba",H4799="Pinjam uang riba",I4799="Pinjam dari uang riba",I4799="Ganti uang riba",I4799="Kelebihan ganti dikembalikan",AND(C4799="Kantong Uang Riba",G4799="Pengeluaran"))),1,0)</f>
        <v/>
      </c>
      <c r="X4799" s="93">
        <f>IF(AND(B4799&lt;&gt;"",B4799&gt;='Buku Akun'!$H$4,B4799&lt;='Buku Akun'!$H$5,OR(C4799='Buku Akun'!$C$4,AND(D4799="Pindah",E4799='Buku Akun'!$C$4))),B4799+IF(AND(I4799="Selisih bunga",DAY(B4799)=1),0,0.01)+ROW()/10000000,"")</f>
        <v/>
      </c>
    </row>
    <row r="4800" outlineLevel="1" ht="15" customHeight="1" s="94">
      <c r="A4800" s="123">
        <f>IF(B4800="","",ROW()-15)</f>
        <v/>
      </c>
      <c r="B4800" s="124" t="n"/>
      <c r="C4800" s="123" t="n"/>
      <c r="D4800" s="123" t="n"/>
      <c r="E4800" s="123" t="n"/>
      <c r="F4800" s="125" t="n"/>
      <c r="G4800" s="123" t="n"/>
      <c r="H4800" s="123" t="n"/>
      <c r="I4800" s="123" t="n"/>
      <c r="J4800" s="123" t="n"/>
      <c r="K4800" s="123" t="n"/>
      <c r="L4800" s="123" t="n"/>
      <c r="M4800" s="123">
        <f>IF(AND(B4800&lt;&gt;"",OR($C$4="",ISNUMBER(SEARCH($C$4,C4800&amp;" "&amp;E4800&amp;" "&amp;G4800&amp;" "&amp;H4800&amp;" "&amp;I4800&amp;" "&amp;J4800&amp;" "&amp;K4800&amp;" "&amp;L4800))),OR($C$5="Semua",$C$5="",G4800=$C$5),OR($C$6="Semua",$C$6="",H4800=$C$6,H4800="Pengeluaran "&amp;$C$6,AND($C$6="Uang Kos Mama",H4800="Pengeluaran Uang Kos")),OR($C$7="Semua",$C$7="",I4800=$C$7),OR($C$8="Semua",$C$8="",C4800=$C$8,E4800=$C$8),OR($C$9="Semua",$C$9="",D4800=$C$9),OR($C$10="",B4800&gt;=$C$10),OR($C$11="",B4800&lt;=$C$11),OR($C$12&lt;&gt;"Ya",K4800&lt;&gt;""),OR($C$13="Semua",$C$13="",L4800=$C$13)),"✓","")</f>
        <v/>
      </c>
      <c r="N4800" s="93">
        <f>N(N4799)+IF(M4800="✓",1,0)</f>
        <v/>
      </c>
      <c r="O4800" s="93">
        <f>N(O4799)+IF(AND(B4800&lt;&gt;"",B4800&gt;='Uang Riba'!$H$30,B4800&lt;='Uang Riba'!$I$30,OR(H4800="Dana riba",H4800="Pinjam uang riba",I4800="Pinjam dari uang riba",I4800="Ganti uang riba",I4800="Kelebihan ganti dikembalikan",AND(C4800="Kantong Uang Riba",G4800="Pengeluaran"))),1,0)</f>
        <v/>
      </c>
      <c r="X4800" s="93">
        <f>IF(AND(B4800&lt;&gt;"",B4800&gt;='Buku Akun'!$H$4,B4800&lt;='Buku Akun'!$H$5,OR(C4800='Buku Akun'!$C$4,AND(D4800="Pindah",E4800='Buku Akun'!$C$4))),B4800+IF(AND(I4800="Selisih bunga",DAY(B4800)=1),0,0.01)+ROW()/10000000,"")</f>
        <v/>
      </c>
    </row>
    <row r="4801" outlineLevel="1" ht="15" customHeight="1" s="94">
      <c r="A4801" s="123">
        <f>IF(B4801="","",ROW()-15)</f>
        <v/>
      </c>
      <c r="B4801" s="124" t="n"/>
      <c r="C4801" s="123" t="n"/>
      <c r="D4801" s="123" t="n"/>
      <c r="E4801" s="123" t="n"/>
      <c r="F4801" s="125" t="n"/>
      <c r="G4801" s="123" t="n"/>
      <c r="H4801" s="123" t="n"/>
      <c r="I4801" s="123" t="n"/>
      <c r="J4801" s="123" t="n"/>
      <c r="K4801" s="123" t="n"/>
      <c r="L4801" s="123" t="n"/>
      <c r="M4801" s="123">
        <f>IF(AND(B4801&lt;&gt;"",OR($C$4="",ISNUMBER(SEARCH($C$4,C4801&amp;" "&amp;E4801&amp;" "&amp;G4801&amp;" "&amp;H4801&amp;" "&amp;I4801&amp;" "&amp;J4801&amp;" "&amp;K4801&amp;" "&amp;L4801))),OR($C$5="Semua",$C$5="",G4801=$C$5),OR($C$6="Semua",$C$6="",H4801=$C$6,H4801="Pengeluaran "&amp;$C$6,AND($C$6="Uang Kos Mama",H4801="Pengeluaran Uang Kos")),OR($C$7="Semua",$C$7="",I4801=$C$7),OR($C$8="Semua",$C$8="",C4801=$C$8,E4801=$C$8),OR($C$9="Semua",$C$9="",D4801=$C$9),OR($C$10="",B4801&gt;=$C$10),OR($C$11="",B4801&lt;=$C$11),OR($C$12&lt;&gt;"Ya",K4801&lt;&gt;""),OR($C$13="Semua",$C$13="",L4801=$C$13)),"✓","")</f>
        <v/>
      </c>
      <c r="N4801" s="93">
        <f>N(N4800)+IF(M4801="✓",1,0)</f>
        <v/>
      </c>
      <c r="O4801" s="93">
        <f>N(O4800)+IF(AND(B4801&lt;&gt;"",B4801&gt;='Uang Riba'!$H$30,B4801&lt;='Uang Riba'!$I$30,OR(H4801="Dana riba",H4801="Pinjam uang riba",I4801="Pinjam dari uang riba",I4801="Ganti uang riba",I4801="Kelebihan ganti dikembalikan",AND(C4801="Kantong Uang Riba",G4801="Pengeluaran"))),1,0)</f>
        <v/>
      </c>
      <c r="X4801" s="93">
        <f>IF(AND(B4801&lt;&gt;"",B4801&gt;='Buku Akun'!$H$4,B4801&lt;='Buku Akun'!$H$5,OR(C4801='Buku Akun'!$C$4,AND(D4801="Pindah",E4801='Buku Akun'!$C$4))),B4801+IF(AND(I4801="Selisih bunga",DAY(B4801)=1),0,0.01)+ROW()/10000000,"")</f>
        <v/>
      </c>
    </row>
    <row r="4802" outlineLevel="1" ht="15" customHeight="1" s="94">
      <c r="A4802" s="123">
        <f>IF(B4802="","",ROW()-15)</f>
        <v/>
      </c>
      <c r="B4802" s="124" t="n"/>
      <c r="C4802" s="123" t="n"/>
      <c r="D4802" s="123" t="n"/>
      <c r="E4802" s="123" t="n"/>
      <c r="F4802" s="125" t="n"/>
      <c r="G4802" s="123" t="n"/>
      <c r="H4802" s="123" t="n"/>
      <c r="I4802" s="123" t="n"/>
      <c r="J4802" s="123" t="n"/>
      <c r="K4802" s="123" t="n"/>
      <c r="L4802" s="123" t="n"/>
      <c r="M4802" s="123">
        <f>IF(AND(B4802&lt;&gt;"",OR($C$4="",ISNUMBER(SEARCH($C$4,C4802&amp;" "&amp;E4802&amp;" "&amp;G4802&amp;" "&amp;H4802&amp;" "&amp;I4802&amp;" "&amp;J4802&amp;" "&amp;K4802&amp;" "&amp;L4802))),OR($C$5="Semua",$C$5="",G4802=$C$5),OR($C$6="Semua",$C$6="",H4802=$C$6,H4802="Pengeluaran "&amp;$C$6,AND($C$6="Uang Kos Mama",H4802="Pengeluaran Uang Kos")),OR($C$7="Semua",$C$7="",I4802=$C$7),OR($C$8="Semua",$C$8="",C4802=$C$8,E4802=$C$8),OR($C$9="Semua",$C$9="",D4802=$C$9),OR($C$10="",B4802&gt;=$C$10),OR($C$11="",B4802&lt;=$C$11),OR($C$12&lt;&gt;"Ya",K4802&lt;&gt;""),OR($C$13="Semua",$C$13="",L4802=$C$13)),"✓","")</f>
        <v/>
      </c>
      <c r="N4802" s="93">
        <f>N(N4801)+IF(M4802="✓",1,0)</f>
        <v/>
      </c>
      <c r="O4802" s="93">
        <f>N(O4801)+IF(AND(B4802&lt;&gt;"",B4802&gt;='Uang Riba'!$H$30,B4802&lt;='Uang Riba'!$I$30,OR(H4802="Dana riba",H4802="Pinjam uang riba",I4802="Pinjam dari uang riba",I4802="Ganti uang riba",I4802="Kelebihan ganti dikembalikan",AND(C4802="Kantong Uang Riba",G4802="Pengeluaran"))),1,0)</f>
        <v/>
      </c>
      <c r="X4802" s="93">
        <f>IF(AND(B4802&lt;&gt;"",B4802&gt;='Buku Akun'!$H$4,B4802&lt;='Buku Akun'!$H$5,OR(C4802='Buku Akun'!$C$4,AND(D4802="Pindah",E4802='Buku Akun'!$C$4))),B4802+IF(AND(I4802="Selisih bunga",DAY(B4802)=1),0,0.01)+ROW()/10000000,"")</f>
        <v/>
      </c>
    </row>
    <row r="4803" outlineLevel="1" ht="15" customHeight="1" s="94">
      <c r="A4803" s="123">
        <f>IF(B4803="","",ROW()-15)</f>
        <v/>
      </c>
      <c r="B4803" s="124" t="n"/>
      <c r="C4803" s="123" t="n"/>
      <c r="D4803" s="123" t="n"/>
      <c r="E4803" s="123" t="n"/>
      <c r="F4803" s="125" t="n"/>
      <c r="G4803" s="123" t="n"/>
      <c r="H4803" s="123" t="n"/>
      <c r="I4803" s="123" t="n"/>
      <c r="J4803" s="123" t="n"/>
      <c r="K4803" s="123" t="n"/>
      <c r="L4803" s="123" t="n"/>
      <c r="M4803" s="123">
        <f>IF(AND(B4803&lt;&gt;"",OR($C$4="",ISNUMBER(SEARCH($C$4,C4803&amp;" "&amp;E4803&amp;" "&amp;G4803&amp;" "&amp;H4803&amp;" "&amp;I4803&amp;" "&amp;J4803&amp;" "&amp;K4803&amp;" "&amp;L4803))),OR($C$5="Semua",$C$5="",G4803=$C$5),OR($C$6="Semua",$C$6="",H4803=$C$6,H4803="Pengeluaran "&amp;$C$6,AND($C$6="Uang Kos Mama",H4803="Pengeluaran Uang Kos")),OR($C$7="Semua",$C$7="",I4803=$C$7),OR($C$8="Semua",$C$8="",C4803=$C$8,E4803=$C$8),OR($C$9="Semua",$C$9="",D4803=$C$9),OR($C$10="",B4803&gt;=$C$10),OR($C$11="",B4803&lt;=$C$11),OR($C$12&lt;&gt;"Ya",K4803&lt;&gt;""),OR($C$13="Semua",$C$13="",L4803=$C$13)),"✓","")</f>
        <v/>
      </c>
      <c r="N4803" s="93">
        <f>N(N4802)+IF(M4803="✓",1,0)</f>
        <v/>
      </c>
      <c r="O4803" s="93">
        <f>N(O4802)+IF(AND(B4803&lt;&gt;"",B4803&gt;='Uang Riba'!$H$30,B4803&lt;='Uang Riba'!$I$30,OR(H4803="Dana riba",H4803="Pinjam uang riba",I4803="Pinjam dari uang riba",I4803="Ganti uang riba",I4803="Kelebihan ganti dikembalikan",AND(C4803="Kantong Uang Riba",G4803="Pengeluaran"))),1,0)</f>
        <v/>
      </c>
      <c r="X4803" s="93">
        <f>IF(AND(B4803&lt;&gt;"",B4803&gt;='Buku Akun'!$H$4,B4803&lt;='Buku Akun'!$H$5,OR(C4803='Buku Akun'!$C$4,AND(D4803="Pindah",E4803='Buku Akun'!$C$4))),B4803+IF(AND(I4803="Selisih bunga",DAY(B4803)=1),0,0.01)+ROW()/10000000,"")</f>
        <v/>
      </c>
    </row>
    <row r="4804" outlineLevel="1" ht="15" customHeight="1" s="94">
      <c r="A4804" s="123">
        <f>IF(B4804="","",ROW()-15)</f>
        <v/>
      </c>
      <c r="B4804" s="124" t="n"/>
      <c r="C4804" s="123" t="n"/>
      <c r="D4804" s="123" t="n"/>
      <c r="E4804" s="123" t="n"/>
      <c r="F4804" s="125" t="n"/>
      <c r="G4804" s="123" t="n"/>
      <c r="H4804" s="123" t="n"/>
      <c r="I4804" s="123" t="n"/>
      <c r="J4804" s="123" t="n"/>
      <c r="K4804" s="123" t="n"/>
      <c r="L4804" s="123" t="n"/>
      <c r="M4804" s="123">
        <f>IF(AND(B4804&lt;&gt;"",OR($C$4="",ISNUMBER(SEARCH($C$4,C4804&amp;" "&amp;E4804&amp;" "&amp;G4804&amp;" "&amp;H4804&amp;" "&amp;I4804&amp;" "&amp;J4804&amp;" "&amp;K4804&amp;" "&amp;L4804))),OR($C$5="Semua",$C$5="",G4804=$C$5),OR($C$6="Semua",$C$6="",H4804=$C$6,H4804="Pengeluaran "&amp;$C$6,AND($C$6="Uang Kos Mama",H4804="Pengeluaran Uang Kos")),OR($C$7="Semua",$C$7="",I4804=$C$7),OR($C$8="Semua",$C$8="",C4804=$C$8,E4804=$C$8),OR($C$9="Semua",$C$9="",D4804=$C$9),OR($C$10="",B4804&gt;=$C$10),OR($C$11="",B4804&lt;=$C$11),OR($C$12&lt;&gt;"Ya",K4804&lt;&gt;""),OR($C$13="Semua",$C$13="",L4804=$C$13)),"✓","")</f>
        <v/>
      </c>
      <c r="N4804" s="93">
        <f>N(N4803)+IF(M4804="✓",1,0)</f>
        <v/>
      </c>
      <c r="O4804" s="93">
        <f>N(O4803)+IF(AND(B4804&lt;&gt;"",B4804&gt;='Uang Riba'!$H$30,B4804&lt;='Uang Riba'!$I$30,OR(H4804="Dana riba",H4804="Pinjam uang riba",I4804="Pinjam dari uang riba",I4804="Ganti uang riba",I4804="Kelebihan ganti dikembalikan",AND(C4804="Kantong Uang Riba",G4804="Pengeluaran"))),1,0)</f>
        <v/>
      </c>
      <c r="X4804" s="93">
        <f>IF(AND(B4804&lt;&gt;"",B4804&gt;='Buku Akun'!$H$4,B4804&lt;='Buku Akun'!$H$5,OR(C4804='Buku Akun'!$C$4,AND(D4804="Pindah",E4804='Buku Akun'!$C$4))),B4804+IF(AND(I4804="Selisih bunga",DAY(B4804)=1),0,0.01)+ROW()/10000000,"")</f>
        <v/>
      </c>
    </row>
    <row r="4805" outlineLevel="1" ht="15" customHeight="1" s="94">
      <c r="A4805" s="123">
        <f>IF(B4805="","",ROW()-15)</f>
        <v/>
      </c>
      <c r="B4805" s="124" t="n"/>
      <c r="C4805" s="123" t="n"/>
      <c r="D4805" s="123" t="n"/>
      <c r="E4805" s="123" t="n"/>
      <c r="F4805" s="125" t="n"/>
      <c r="G4805" s="123" t="n"/>
      <c r="H4805" s="123" t="n"/>
      <c r="I4805" s="123" t="n"/>
      <c r="J4805" s="123" t="n"/>
      <c r="K4805" s="123" t="n"/>
      <c r="L4805" s="123" t="n"/>
      <c r="M4805" s="123">
        <f>IF(AND(B4805&lt;&gt;"",OR($C$4="",ISNUMBER(SEARCH($C$4,C4805&amp;" "&amp;E4805&amp;" "&amp;G4805&amp;" "&amp;H4805&amp;" "&amp;I4805&amp;" "&amp;J4805&amp;" "&amp;K4805&amp;" "&amp;L4805))),OR($C$5="Semua",$C$5="",G4805=$C$5),OR($C$6="Semua",$C$6="",H4805=$C$6,H4805="Pengeluaran "&amp;$C$6,AND($C$6="Uang Kos Mama",H4805="Pengeluaran Uang Kos")),OR($C$7="Semua",$C$7="",I4805=$C$7),OR($C$8="Semua",$C$8="",C4805=$C$8,E4805=$C$8),OR($C$9="Semua",$C$9="",D4805=$C$9),OR($C$10="",B4805&gt;=$C$10),OR($C$11="",B4805&lt;=$C$11),OR($C$12&lt;&gt;"Ya",K4805&lt;&gt;""),OR($C$13="Semua",$C$13="",L4805=$C$13)),"✓","")</f>
        <v/>
      </c>
      <c r="N4805" s="93">
        <f>N(N4804)+IF(M4805="✓",1,0)</f>
        <v/>
      </c>
      <c r="O4805" s="93">
        <f>N(O4804)+IF(AND(B4805&lt;&gt;"",B4805&gt;='Uang Riba'!$H$30,B4805&lt;='Uang Riba'!$I$30,OR(H4805="Dana riba",H4805="Pinjam uang riba",I4805="Pinjam dari uang riba",I4805="Ganti uang riba",I4805="Kelebihan ganti dikembalikan",AND(C4805="Kantong Uang Riba",G4805="Pengeluaran"))),1,0)</f>
        <v/>
      </c>
      <c r="X4805" s="93">
        <f>IF(AND(B4805&lt;&gt;"",B4805&gt;='Buku Akun'!$H$4,B4805&lt;='Buku Akun'!$H$5,OR(C4805='Buku Akun'!$C$4,AND(D4805="Pindah",E4805='Buku Akun'!$C$4))),B4805+IF(AND(I4805="Selisih bunga",DAY(B4805)=1),0,0.01)+ROW()/10000000,"")</f>
        <v/>
      </c>
    </row>
    <row r="4806" outlineLevel="1" ht="15" customHeight="1" s="94">
      <c r="A4806" s="123">
        <f>IF(B4806="","",ROW()-15)</f>
        <v/>
      </c>
      <c r="B4806" s="124" t="n"/>
      <c r="C4806" s="123" t="n"/>
      <c r="D4806" s="123" t="n"/>
      <c r="E4806" s="123" t="n"/>
      <c r="F4806" s="125" t="n"/>
      <c r="G4806" s="123" t="n"/>
      <c r="H4806" s="123" t="n"/>
      <c r="I4806" s="123" t="n"/>
      <c r="J4806" s="123" t="n"/>
      <c r="K4806" s="123" t="n"/>
      <c r="L4806" s="123" t="n"/>
      <c r="M4806" s="123">
        <f>IF(AND(B4806&lt;&gt;"",OR($C$4="",ISNUMBER(SEARCH($C$4,C4806&amp;" "&amp;E4806&amp;" "&amp;G4806&amp;" "&amp;H4806&amp;" "&amp;I4806&amp;" "&amp;J4806&amp;" "&amp;K4806&amp;" "&amp;L4806))),OR($C$5="Semua",$C$5="",G4806=$C$5),OR($C$6="Semua",$C$6="",H4806=$C$6,H4806="Pengeluaran "&amp;$C$6,AND($C$6="Uang Kos Mama",H4806="Pengeluaran Uang Kos")),OR($C$7="Semua",$C$7="",I4806=$C$7),OR($C$8="Semua",$C$8="",C4806=$C$8,E4806=$C$8),OR($C$9="Semua",$C$9="",D4806=$C$9),OR($C$10="",B4806&gt;=$C$10),OR($C$11="",B4806&lt;=$C$11),OR($C$12&lt;&gt;"Ya",K4806&lt;&gt;""),OR($C$13="Semua",$C$13="",L4806=$C$13)),"✓","")</f>
        <v/>
      </c>
      <c r="N4806" s="93">
        <f>N(N4805)+IF(M4806="✓",1,0)</f>
        <v/>
      </c>
      <c r="O4806" s="93">
        <f>N(O4805)+IF(AND(B4806&lt;&gt;"",B4806&gt;='Uang Riba'!$H$30,B4806&lt;='Uang Riba'!$I$30,OR(H4806="Dana riba",H4806="Pinjam uang riba",I4806="Pinjam dari uang riba",I4806="Ganti uang riba",I4806="Kelebihan ganti dikembalikan",AND(C4806="Kantong Uang Riba",G4806="Pengeluaran"))),1,0)</f>
        <v/>
      </c>
      <c r="X4806" s="93">
        <f>IF(AND(B4806&lt;&gt;"",B4806&gt;='Buku Akun'!$H$4,B4806&lt;='Buku Akun'!$H$5,OR(C4806='Buku Akun'!$C$4,AND(D4806="Pindah",E4806='Buku Akun'!$C$4))),B4806+IF(AND(I4806="Selisih bunga",DAY(B4806)=1),0,0.01)+ROW()/10000000,"")</f>
        <v/>
      </c>
    </row>
    <row r="4807" outlineLevel="1" ht="15" customHeight="1" s="94">
      <c r="A4807" s="123">
        <f>IF(B4807="","",ROW()-15)</f>
        <v/>
      </c>
      <c r="B4807" s="124" t="n"/>
      <c r="C4807" s="123" t="n"/>
      <c r="D4807" s="123" t="n"/>
      <c r="E4807" s="123" t="n"/>
      <c r="F4807" s="125" t="n"/>
      <c r="G4807" s="123" t="n"/>
      <c r="H4807" s="123" t="n"/>
      <c r="I4807" s="123" t="n"/>
      <c r="J4807" s="123" t="n"/>
      <c r="K4807" s="123" t="n"/>
      <c r="L4807" s="123" t="n"/>
      <c r="M4807" s="123">
        <f>IF(AND(B4807&lt;&gt;"",OR($C$4="",ISNUMBER(SEARCH($C$4,C4807&amp;" "&amp;E4807&amp;" "&amp;G4807&amp;" "&amp;H4807&amp;" "&amp;I4807&amp;" "&amp;J4807&amp;" "&amp;K4807&amp;" "&amp;L4807))),OR($C$5="Semua",$C$5="",G4807=$C$5),OR($C$6="Semua",$C$6="",H4807=$C$6,H4807="Pengeluaran "&amp;$C$6,AND($C$6="Uang Kos Mama",H4807="Pengeluaran Uang Kos")),OR($C$7="Semua",$C$7="",I4807=$C$7),OR($C$8="Semua",$C$8="",C4807=$C$8,E4807=$C$8),OR($C$9="Semua",$C$9="",D4807=$C$9),OR($C$10="",B4807&gt;=$C$10),OR($C$11="",B4807&lt;=$C$11),OR($C$12&lt;&gt;"Ya",K4807&lt;&gt;""),OR($C$13="Semua",$C$13="",L4807=$C$13)),"✓","")</f>
        <v/>
      </c>
      <c r="N4807" s="93">
        <f>N(N4806)+IF(M4807="✓",1,0)</f>
        <v/>
      </c>
      <c r="O4807" s="93">
        <f>N(O4806)+IF(AND(B4807&lt;&gt;"",B4807&gt;='Uang Riba'!$H$30,B4807&lt;='Uang Riba'!$I$30,OR(H4807="Dana riba",H4807="Pinjam uang riba",I4807="Pinjam dari uang riba",I4807="Ganti uang riba",I4807="Kelebihan ganti dikembalikan",AND(C4807="Kantong Uang Riba",G4807="Pengeluaran"))),1,0)</f>
        <v/>
      </c>
      <c r="X4807" s="93">
        <f>IF(AND(B4807&lt;&gt;"",B4807&gt;='Buku Akun'!$H$4,B4807&lt;='Buku Akun'!$H$5,OR(C4807='Buku Akun'!$C$4,AND(D4807="Pindah",E4807='Buku Akun'!$C$4))),B4807+IF(AND(I4807="Selisih bunga",DAY(B4807)=1),0,0.01)+ROW()/10000000,"")</f>
        <v/>
      </c>
    </row>
    <row r="4808" outlineLevel="1" ht="15" customHeight="1" s="94">
      <c r="A4808" s="123">
        <f>IF(B4808="","",ROW()-15)</f>
        <v/>
      </c>
      <c r="B4808" s="124" t="n"/>
      <c r="C4808" s="123" t="n"/>
      <c r="D4808" s="123" t="n"/>
      <c r="E4808" s="123" t="n"/>
      <c r="F4808" s="125" t="n"/>
      <c r="G4808" s="123" t="n"/>
      <c r="H4808" s="123" t="n"/>
      <c r="I4808" s="123" t="n"/>
      <c r="J4808" s="123" t="n"/>
      <c r="K4808" s="123" t="n"/>
      <c r="L4808" s="123" t="n"/>
      <c r="M4808" s="123">
        <f>IF(AND(B4808&lt;&gt;"",OR($C$4="",ISNUMBER(SEARCH($C$4,C4808&amp;" "&amp;E4808&amp;" "&amp;G4808&amp;" "&amp;H4808&amp;" "&amp;I4808&amp;" "&amp;J4808&amp;" "&amp;K4808&amp;" "&amp;L4808))),OR($C$5="Semua",$C$5="",G4808=$C$5),OR($C$6="Semua",$C$6="",H4808=$C$6,H4808="Pengeluaran "&amp;$C$6,AND($C$6="Uang Kos Mama",H4808="Pengeluaran Uang Kos")),OR($C$7="Semua",$C$7="",I4808=$C$7),OR($C$8="Semua",$C$8="",C4808=$C$8,E4808=$C$8),OR($C$9="Semua",$C$9="",D4808=$C$9),OR($C$10="",B4808&gt;=$C$10),OR($C$11="",B4808&lt;=$C$11),OR($C$12&lt;&gt;"Ya",K4808&lt;&gt;""),OR($C$13="Semua",$C$13="",L4808=$C$13)),"✓","")</f>
        <v/>
      </c>
      <c r="N4808" s="93">
        <f>N(N4807)+IF(M4808="✓",1,0)</f>
        <v/>
      </c>
      <c r="O4808" s="93">
        <f>N(O4807)+IF(AND(B4808&lt;&gt;"",B4808&gt;='Uang Riba'!$H$30,B4808&lt;='Uang Riba'!$I$30,OR(H4808="Dana riba",H4808="Pinjam uang riba",I4808="Pinjam dari uang riba",I4808="Ganti uang riba",I4808="Kelebihan ganti dikembalikan",AND(C4808="Kantong Uang Riba",G4808="Pengeluaran"))),1,0)</f>
        <v/>
      </c>
      <c r="X4808" s="93">
        <f>IF(AND(B4808&lt;&gt;"",B4808&gt;='Buku Akun'!$H$4,B4808&lt;='Buku Akun'!$H$5,OR(C4808='Buku Akun'!$C$4,AND(D4808="Pindah",E4808='Buku Akun'!$C$4))),B4808+IF(AND(I4808="Selisih bunga",DAY(B4808)=1),0,0.01)+ROW()/10000000,"")</f>
        <v/>
      </c>
    </row>
    <row r="4809" outlineLevel="1" ht="15" customHeight="1" s="94">
      <c r="A4809" s="123">
        <f>IF(B4809="","",ROW()-15)</f>
        <v/>
      </c>
      <c r="B4809" s="124" t="n"/>
      <c r="C4809" s="123" t="n"/>
      <c r="D4809" s="123" t="n"/>
      <c r="E4809" s="123" t="n"/>
      <c r="F4809" s="125" t="n"/>
      <c r="G4809" s="123" t="n"/>
      <c r="H4809" s="123" t="n"/>
      <c r="I4809" s="123" t="n"/>
      <c r="J4809" s="123" t="n"/>
      <c r="K4809" s="123" t="n"/>
      <c r="L4809" s="123" t="n"/>
      <c r="M4809" s="123">
        <f>IF(AND(B4809&lt;&gt;"",OR($C$4="",ISNUMBER(SEARCH($C$4,C4809&amp;" "&amp;E4809&amp;" "&amp;G4809&amp;" "&amp;H4809&amp;" "&amp;I4809&amp;" "&amp;J4809&amp;" "&amp;K4809&amp;" "&amp;L4809))),OR($C$5="Semua",$C$5="",G4809=$C$5),OR($C$6="Semua",$C$6="",H4809=$C$6,H4809="Pengeluaran "&amp;$C$6,AND($C$6="Uang Kos Mama",H4809="Pengeluaran Uang Kos")),OR($C$7="Semua",$C$7="",I4809=$C$7),OR($C$8="Semua",$C$8="",C4809=$C$8,E4809=$C$8),OR($C$9="Semua",$C$9="",D4809=$C$9),OR($C$10="",B4809&gt;=$C$10),OR($C$11="",B4809&lt;=$C$11),OR($C$12&lt;&gt;"Ya",K4809&lt;&gt;""),OR($C$13="Semua",$C$13="",L4809=$C$13)),"✓","")</f>
        <v/>
      </c>
      <c r="N4809" s="93">
        <f>N(N4808)+IF(M4809="✓",1,0)</f>
        <v/>
      </c>
      <c r="O4809" s="93">
        <f>N(O4808)+IF(AND(B4809&lt;&gt;"",B4809&gt;='Uang Riba'!$H$30,B4809&lt;='Uang Riba'!$I$30,OR(H4809="Dana riba",H4809="Pinjam uang riba",I4809="Pinjam dari uang riba",I4809="Ganti uang riba",I4809="Kelebihan ganti dikembalikan",AND(C4809="Kantong Uang Riba",G4809="Pengeluaran"))),1,0)</f>
        <v/>
      </c>
      <c r="X4809" s="93">
        <f>IF(AND(B4809&lt;&gt;"",B4809&gt;='Buku Akun'!$H$4,B4809&lt;='Buku Akun'!$H$5,OR(C4809='Buku Akun'!$C$4,AND(D4809="Pindah",E4809='Buku Akun'!$C$4))),B4809+IF(AND(I4809="Selisih bunga",DAY(B4809)=1),0,0.01)+ROW()/10000000,"")</f>
        <v/>
      </c>
    </row>
    <row r="4810" outlineLevel="1" ht="15" customHeight="1" s="94">
      <c r="A4810" s="123">
        <f>IF(B4810="","",ROW()-15)</f>
        <v/>
      </c>
      <c r="B4810" s="124" t="n"/>
      <c r="C4810" s="123" t="n"/>
      <c r="D4810" s="123" t="n"/>
      <c r="E4810" s="123" t="n"/>
      <c r="F4810" s="125" t="n"/>
      <c r="G4810" s="123" t="n"/>
      <c r="H4810" s="123" t="n"/>
      <c r="I4810" s="123" t="n"/>
      <c r="J4810" s="123" t="n"/>
      <c r="K4810" s="123" t="n"/>
      <c r="L4810" s="123" t="n"/>
      <c r="M4810" s="123">
        <f>IF(AND(B4810&lt;&gt;"",OR($C$4="",ISNUMBER(SEARCH($C$4,C4810&amp;" "&amp;E4810&amp;" "&amp;G4810&amp;" "&amp;H4810&amp;" "&amp;I4810&amp;" "&amp;J4810&amp;" "&amp;K4810&amp;" "&amp;L4810))),OR($C$5="Semua",$C$5="",G4810=$C$5),OR($C$6="Semua",$C$6="",H4810=$C$6,H4810="Pengeluaran "&amp;$C$6,AND($C$6="Uang Kos Mama",H4810="Pengeluaran Uang Kos")),OR($C$7="Semua",$C$7="",I4810=$C$7),OR($C$8="Semua",$C$8="",C4810=$C$8,E4810=$C$8),OR($C$9="Semua",$C$9="",D4810=$C$9),OR($C$10="",B4810&gt;=$C$10),OR($C$11="",B4810&lt;=$C$11),OR($C$12&lt;&gt;"Ya",K4810&lt;&gt;""),OR($C$13="Semua",$C$13="",L4810=$C$13)),"✓","")</f>
        <v/>
      </c>
      <c r="N4810" s="93">
        <f>N(N4809)+IF(M4810="✓",1,0)</f>
        <v/>
      </c>
      <c r="O4810" s="93">
        <f>N(O4809)+IF(AND(B4810&lt;&gt;"",B4810&gt;='Uang Riba'!$H$30,B4810&lt;='Uang Riba'!$I$30,OR(H4810="Dana riba",H4810="Pinjam uang riba",I4810="Pinjam dari uang riba",I4810="Ganti uang riba",I4810="Kelebihan ganti dikembalikan",AND(C4810="Kantong Uang Riba",G4810="Pengeluaran"))),1,0)</f>
        <v/>
      </c>
      <c r="X4810" s="93">
        <f>IF(AND(B4810&lt;&gt;"",B4810&gt;='Buku Akun'!$H$4,B4810&lt;='Buku Akun'!$H$5,OR(C4810='Buku Akun'!$C$4,AND(D4810="Pindah",E4810='Buku Akun'!$C$4))),B4810+IF(AND(I4810="Selisih bunga",DAY(B4810)=1),0,0.01)+ROW()/10000000,"")</f>
        <v/>
      </c>
    </row>
    <row r="4811" outlineLevel="1" ht="15" customHeight="1" s="94">
      <c r="A4811" s="123">
        <f>IF(B4811="","",ROW()-15)</f>
        <v/>
      </c>
      <c r="B4811" s="124" t="n"/>
      <c r="C4811" s="123" t="n"/>
      <c r="D4811" s="123" t="n"/>
      <c r="E4811" s="123" t="n"/>
      <c r="F4811" s="125" t="n"/>
      <c r="G4811" s="123" t="n"/>
      <c r="H4811" s="123" t="n"/>
      <c r="I4811" s="123" t="n"/>
      <c r="J4811" s="123" t="n"/>
      <c r="K4811" s="123" t="n"/>
      <c r="L4811" s="123" t="n"/>
      <c r="M4811" s="123">
        <f>IF(AND(B4811&lt;&gt;"",OR($C$4="",ISNUMBER(SEARCH($C$4,C4811&amp;" "&amp;E4811&amp;" "&amp;G4811&amp;" "&amp;H4811&amp;" "&amp;I4811&amp;" "&amp;J4811&amp;" "&amp;K4811&amp;" "&amp;L4811))),OR($C$5="Semua",$C$5="",G4811=$C$5),OR($C$6="Semua",$C$6="",H4811=$C$6,H4811="Pengeluaran "&amp;$C$6,AND($C$6="Uang Kos Mama",H4811="Pengeluaran Uang Kos")),OR($C$7="Semua",$C$7="",I4811=$C$7),OR($C$8="Semua",$C$8="",C4811=$C$8,E4811=$C$8),OR($C$9="Semua",$C$9="",D4811=$C$9),OR($C$10="",B4811&gt;=$C$10),OR($C$11="",B4811&lt;=$C$11),OR($C$12&lt;&gt;"Ya",K4811&lt;&gt;""),OR($C$13="Semua",$C$13="",L4811=$C$13)),"✓","")</f>
        <v/>
      </c>
      <c r="N4811" s="93">
        <f>N(N4810)+IF(M4811="✓",1,0)</f>
        <v/>
      </c>
      <c r="O4811" s="93">
        <f>N(O4810)+IF(AND(B4811&lt;&gt;"",B4811&gt;='Uang Riba'!$H$30,B4811&lt;='Uang Riba'!$I$30,OR(H4811="Dana riba",H4811="Pinjam uang riba",I4811="Pinjam dari uang riba",I4811="Ganti uang riba",I4811="Kelebihan ganti dikembalikan",AND(C4811="Kantong Uang Riba",G4811="Pengeluaran"))),1,0)</f>
        <v/>
      </c>
      <c r="X4811" s="93">
        <f>IF(AND(B4811&lt;&gt;"",B4811&gt;='Buku Akun'!$H$4,B4811&lt;='Buku Akun'!$H$5,OR(C4811='Buku Akun'!$C$4,AND(D4811="Pindah",E4811='Buku Akun'!$C$4))),B4811+IF(AND(I4811="Selisih bunga",DAY(B4811)=1),0,0.01)+ROW()/10000000,"")</f>
        <v/>
      </c>
    </row>
    <row r="4812" outlineLevel="1" ht="15" customHeight="1" s="94">
      <c r="A4812" s="123">
        <f>IF(B4812="","",ROW()-15)</f>
        <v/>
      </c>
      <c r="B4812" s="124" t="n"/>
      <c r="C4812" s="123" t="n"/>
      <c r="D4812" s="123" t="n"/>
      <c r="E4812" s="123" t="n"/>
      <c r="F4812" s="125" t="n"/>
      <c r="G4812" s="123" t="n"/>
      <c r="H4812" s="123" t="n"/>
      <c r="I4812" s="123" t="n"/>
      <c r="J4812" s="123" t="n"/>
      <c r="K4812" s="123" t="n"/>
      <c r="L4812" s="123" t="n"/>
      <c r="M4812" s="123">
        <f>IF(AND(B4812&lt;&gt;"",OR($C$4="",ISNUMBER(SEARCH($C$4,C4812&amp;" "&amp;E4812&amp;" "&amp;G4812&amp;" "&amp;H4812&amp;" "&amp;I4812&amp;" "&amp;J4812&amp;" "&amp;K4812&amp;" "&amp;L4812))),OR($C$5="Semua",$C$5="",G4812=$C$5),OR($C$6="Semua",$C$6="",H4812=$C$6,H4812="Pengeluaran "&amp;$C$6,AND($C$6="Uang Kos Mama",H4812="Pengeluaran Uang Kos")),OR($C$7="Semua",$C$7="",I4812=$C$7),OR($C$8="Semua",$C$8="",C4812=$C$8,E4812=$C$8),OR($C$9="Semua",$C$9="",D4812=$C$9),OR($C$10="",B4812&gt;=$C$10),OR($C$11="",B4812&lt;=$C$11),OR($C$12&lt;&gt;"Ya",K4812&lt;&gt;""),OR($C$13="Semua",$C$13="",L4812=$C$13)),"✓","")</f>
        <v/>
      </c>
      <c r="N4812" s="93">
        <f>N(N4811)+IF(M4812="✓",1,0)</f>
        <v/>
      </c>
      <c r="O4812" s="93">
        <f>N(O4811)+IF(AND(B4812&lt;&gt;"",B4812&gt;='Uang Riba'!$H$30,B4812&lt;='Uang Riba'!$I$30,OR(H4812="Dana riba",H4812="Pinjam uang riba",I4812="Pinjam dari uang riba",I4812="Ganti uang riba",I4812="Kelebihan ganti dikembalikan",AND(C4812="Kantong Uang Riba",G4812="Pengeluaran"))),1,0)</f>
        <v/>
      </c>
      <c r="X4812" s="93">
        <f>IF(AND(B4812&lt;&gt;"",B4812&gt;='Buku Akun'!$H$4,B4812&lt;='Buku Akun'!$H$5,OR(C4812='Buku Akun'!$C$4,AND(D4812="Pindah",E4812='Buku Akun'!$C$4))),B4812+IF(AND(I4812="Selisih bunga",DAY(B4812)=1),0,0.01)+ROW()/10000000,"")</f>
        <v/>
      </c>
    </row>
    <row r="4813" outlineLevel="1" ht="15" customHeight="1" s="94">
      <c r="A4813" s="123">
        <f>IF(B4813="","",ROW()-15)</f>
        <v/>
      </c>
      <c r="B4813" s="124" t="n"/>
      <c r="C4813" s="123" t="n"/>
      <c r="D4813" s="123" t="n"/>
      <c r="E4813" s="123" t="n"/>
      <c r="F4813" s="125" t="n"/>
      <c r="G4813" s="123" t="n"/>
      <c r="H4813" s="123" t="n"/>
      <c r="I4813" s="123" t="n"/>
      <c r="J4813" s="123" t="n"/>
      <c r="K4813" s="123" t="n"/>
      <c r="L4813" s="123" t="n"/>
      <c r="M4813" s="123">
        <f>IF(AND(B4813&lt;&gt;"",OR($C$4="",ISNUMBER(SEARCH($C$4,C4813&amp;" "&amp;E4813&amp;" "&amp;G4813&amp;" "&amp;H4813&amp;" "&amp;I4813&amp;" "&amp;J4813&amp;" "&amp;K4813&amp;" "&amp;L4813))),OR($C$5="Semua",$C$5="",G4813=$C$5),OR($C$6="Semua",$C$6="",H4813=$C$6,H4813="Pengeluaran "&amp;$C$6,AND($C$6="Uang Kos Mama",H4813="Pengeluaran Uang Kos")),OR($C$7="Semua",$C$7="",I4813=$C$7),OR($C$8="Semua",$C$8="",C4813=$C$8,E4813=$C$8),OR($C$9="Semua",$C$9="",D4813=$C$9),OR($C$10="",B4813&gt;=$C$10),OR($C$11="",B4813&lt;=$C$11),OR($C$12&lt;&gt;"Ya",K4813&lt;&gt;""),OR($C$13="Semua",$C$13="",L4813=$C$13)),"✓","")</f>
        <v/>
      </c>
      <c r="N4813" s="93">
        <f>N(N4812)+IF(M4813="✓",1,0)</f>
        <v/>
      </c>
      <c r="O4813" s="93">
        <f>N(O4812)+IF(AND(B4813&lt;&gt;"",B4813&gt;='Uang Riba'!$H$30,B4813&lt;='Uang Riba'!$I$30,OR(H4813="Dana riba",H4813="Pinjam uang riba",I4813="Pinjam dari uang riba",I4813="Ganti uang riba",I4813="Kelebihan ganti dikembalikan",AND(C4813="Kantong Uang Riba",G4813="Pengeluaran"))),1,0)</f>
        <v/>
      </c>
      <c r="X4813" s="93">
        <f>IF(AND(B4813&lt;&gt;"",B4813&gt;='Buku Akun'!$H$4,B4813&lt;='Buku Akun'!$H$5,OR(C4813='Buku Akun'!$C$4,AND(D4813="Pindah",E4813='Buku Akun'!$C$4))),B4813+IF(AND(I4813="Selisih bunga",DAY(B4813)=1),0,0.01)+ROW()/10000000,"")</f>
        <v/>
      </c>
    </row>
    <row r="4814" outlineLevel="1" ht="15" customHeight="1" s="94">
      <c r="A4814" s="123">
        <f>IF(B4814="","",ROW()-15)</f>
        <v/>
      </c>
      <c r="B4814" s="124" t="n"/>
      <c r="C4814" s="123" t="n"/>
      <c r="D4814" s="123" t="n"/>
      <c r="E4814" s="123" t="n"/>
      <c r="F4814" s="125" t="n"/>
      <c r="G4814" s="123" t="n"/>
      <c r="H4814" s="123" t="n"/>
      <c r="I4814" s="123" t="n"/>
      <c r="J4814" s="123" t="n"/>
      <c r="K4814" s="123" t="n"/>
      <c r="L4814" s="123" t="n"/>
      <c r="M4814" s="123">
        <f>IF(AND(B4814&lt;&gt;"",OR($C$4="",ISNUMBER(SEARCH($C$4,C4814&amp;" "&amp;E4814&amp;" "&amp;G4814&amp;" "&amp;H4814&amp;" "&amp;I4814&amp;" "&amp;J4814&amp;" "&amp;K4814&amp;" "&amp;L4814))),OR($C$5="Semua",$C$5="",G4814=$C$5),OR($C$6="Semua",$C$6="",H4814=$C$6,H4814="Pengeluaran "&amp;$C$6,AND($C$6="Uang Kos Mama",H4814="Pengeluaran Uang Kos")),OR($C$7="Semua",$C$7="",I4814=$C$7),OR($C$8="Semua",$C$8="",C4814=$C$8,E4814=$C$8),OR($C$9="Semua",$C$9="",D4814=$C$9),OR($C$10="",B4814&gt;=$C$10),OR($C$11="",B4814&lt;=$C$11),OR($C$12&lt;&gt;"Ya",K4814&lt;&gt;""),OR($C$13="Semua",$C$13="",L4814=$C$13)),"✓","")</f>
        <v/>
      </c>
      <c r="N4814" s="93">
        <f>N(N4813)+IF(M4814="✓",1,0)</f>
        <v/>
      </c>
      <c r="O4814" s="93">
        <f>N(O4813)+IF(AND(B4814&lt;&gt;"",B4814&gt;='Uang Riba'!$H$30,B4814&lt;='Uang Riba'!$I$30,OR(H4814="Dana riba",H4814="Pinjam uang riba",I4814="Pinjam dari uang riba",I4814="Ganti uang riba",I4814="Kelebihan ganti dikembalikan",AND(C4814="Kantong Uang Riba",G4814="Pengeluaran"))),1,0)</f>
        <v/>
      </c>
      <c r="X4814" s="93">
        <f>IF(AND(B4814&lt;&gt;"",B4814&gt;='Buku Akun'!$H$4,B4814&lt;='Buku Akun'!$H$5,OR(C4814='Buku Akun'!$C$4,AND(D4814="Pindah",E4814='Buku Akun'!$C$4))),B4814+IF(AND(I4814="Selisih bunga",DAY(B4814)=1),0,0.01)+ROW()/10000000,"")</f>
        <v/>
      </c>
    </row>
    <row r="4815" outlineLevel="1" ht="15" customHeight="1" s="94">
      <c r="A4815" s="123">
        <f>IF(B4815="","",ROW()-15)</f>
        <v/>
      </c>
      <c r="B4815" s="124" t="n"/>
      <c r="C4815" s="123" t="n"/>
      <c r="D4815" s="123" t="n"/>
      <c r="E4815" s="123" t="n"/>
      <c r="F4815" s="125" t="n"/>
      <c r="G4815" s="123" t="n"/>
      <c r="H4815" s="123" t="n"/>
      <c r="I4815" s="123" t="n"/>
      <c r="J4815" s="123" t="n"/>
      <c r="K4815" s="123" t="n"/>
      <c r="L4815" s="123" t="n"/>
      <c r="M4815" s="123">
        <f>IF(AND(B4815&lt;&gt;"",OR($C$4="",ISNUMBER(SEARCH($C$4,C4815&amp;" "&amp;E4815&amp;" "&amp;G4815&amp;" "&amp;H4815&amp;" "&amp;I4815&amp;" "&amp;J4815&amp;" "&amp;K4815&amp;" "&amp;L4815))),OR($C$5="Semua",$C$5="",G4815=$C$5),OR($C$6="Semua",$C$6="",H4815=$C$6,H4815="Pengeluaran "&amp;$C$6,AND($C$6="Uang Kos Mama",H4815="Pengeluaran Uang Kos")),OR($C$7="Semua",$C$7="",I4815=$C$7),OR($C$8="Semua",$C$8="",C4815=$C$8,E4815=$C$8),OR($C$9="Semua",$C$9="",D4815=$C$9),OR($C$10="",B4815&gt;=$C$10),OR($C$11="",B4815&lt;=$C$11),OR($C$12&lt;&gt;"Ya",K4815&lt;&gt;""),OR($C$13="Semua",$C$13="",L4815=$C$13)),"✓","")</f>
        <v/>
      </c>
      <c r="N4815" s="93">
        <f>N(N4814)+IF(M4815="✓",1,0)</f>
        <v/>
      </c>
      <c r="O4815" s="93">
        <f>N(O4814)+IF(AND(B4815&lt;&gt;"",B4815&gt;='Uang Riba'!$H$30,B4815&lt;='Uang Riba'!$I$30,OR(H4815="Dana riba",H4815="Pinjam uang riba",I4815="Pinjam dari uang riba",I4815="Ganti uang riba",I4815="Kelebihan ganti dikembalikan",AND(C4815="Kantong Uang Riba",G4815="Pengeluaran"))),1,0)</f>
        <v/>
      </c>
      <c r="X4815" s="93">
        <f>IF(AND(B4815&lt;&gt;"",B4815&gt;='Buku Akun'!$H$4,B4815&lt;='Buku Akun'!$H$5,OR(C4815='Buku Akun'!$C$4,AND(D4815="Pindah",E4815='Buku Akun'!$C$4))),B4815+IF(AND(I4815="Selisih bunga",DAY(B4815)=1),0,0.01)+ROW()/10000000,"")</f>
        <v/>
      </c>
    </row>
    <row r="4816" outlineLevel="1" ht="15" customHeight="1" s="94">
      <c r="A4816" s="123">
        <f>IF(B4816="","",ROW()-15)</f>
        <v/>
      </c>
      <c r="B4816" s="124" t="n"/>
      <c r="C4816" s="123" t="n"/>
      <c r="D4816" s="123" t="n"/>
      <c r="E4816" s="123" t="n"/>
      <c r="F4816" s="125" t="n"/>
      <c r="G4816" s="123" t="n"/>
      <c r="H4816" s="123" t="n"/>
      <c r="I4816" s="123" t="n"/>
      <c r="J4816" s="123" t="n"/>
      <c r="K4816" s="123" t="n"/>
      <c r="L4816" s="123" t="n"/>
      <c r="M4816" s="123">
        <f>IF(AND(B4816&lt;&gt;"",OR($C$4="",ISNUMBER(SEARCH($C$4,C4816&amp;" "&amp;E4816&amp;" "&amp;G4816&amp;" "&amp;H4816&amp;" "&amp;I4816&amp;" "&amp;J4816&amp;" "&amp;K4816&amp;" "&amp;L4816))),OR($C$5="Semua",$C$5="",G4816=$C$5),OR($C$6="Semua",$C$6="",H4816=$C$6,H4816="Pengeluaran "&amp;$C$6,AND($C$6="Uang Kos Mama",H4816="Pengeluaran Uang Kos")),OR($C$7="Semua",$C$7="",I4816=$C$7),OR($C$8="Semua",$C$8="",C4816=$C$8,E4816=$C$8),OR($C$9="Semua",$C$9="",D4816=$C$9),OR($C$10="",B4816&gt;=$C$10),OR($C$11="",B4816&lt;=$C$11),OR($C$12&lt;&gt;"Ya",K4816&lt;&gt;""),OR($C$13="Semua",$C$13="",L4816=$C$13)),"✓","")</f>
        <v/>
      </c>
      <c r="N4816" s="93">
        <f>N(N4815)+IF(M4816="✓",1,0)</f>
        <v/>
      </c>
      <c r="O4816" s="93">
        <f>N(O4815)+IF(AND(B4816&lt;&gt;"",B4816&gt;='Uang Riba'!$H$30,B4816&lt;='Uang Riba'!$I$30,OR(H4816="Dana riba",H4816="Pinjam uang riba",I4816="Pinjam dari uang riba",I4816="Ganti uang riba",I4816="Kelebihan ganti dikembalikan",AND(C4816="Kantong Uang Riba",G4816="Pengeluaran"))),1,0)</f>
        <v/>
      </c>
      <c r="X4816" s="93">
        <f>IF(AND(B4816&lt;&gt;"",B4816&gt;='Buku Akun'!$H$4,B4816&lt;='Buku Akun'!$H$5,OR(C4816='Buku Akun'!$C$4,AND(D4816="Pindah",E4816='Buku Akun'!$C$4))),B4816+IF(AND(I4816="Selisih bunga",DAY(B4816)=1),0,0.01)+ROW()/10000000,"")</f>
        <v/>
      </c>
    </row>
    <row r="4817" outlineLevel="1" ht="15" customHeight="1" s="94">
      <c r="A4817" s="123">
        <f>IF(B4817="","",ROW()-15)</f>
        <v/>
      </c>
      <c r="B4817" s="124" t="n"/>
      <c r="C4817" s="123" t="n"/>
      <c r="D4817" s="123" t="n"/>
      <c r="E4817" s="123" t="n"/>
      <c r="F4817" s="125" t="n"/>
      <c r="G4817" s="123" t="n"/>
      <c r="H4817" s="123" t="n"/>
      <c r="I4817" s="123" t="n"/>
      <c r="J4817" s="123" t="n"/>
      <c r="K4817" s="123" t="n"/>
      <c r="L4817" s="123" t="n"/>
      <c r="M4817" s="123">
        <f>IF(AND(B4817&lt;&gt;"",OR($C$4="",ISNUMBER(SEARCH($C$4,C4817&amp;" "&amp;E4817&amp;" "&amp;G4817&amp;" "&amp;H4817&amp;" "&amp;I4817&amp;" "&amp;J4817&amp;" "&amp;K4817&amp;" "&amp;L4817))),OR($C$5="Semua",$C$5="",G4817=$C$5),OR($C$6="Semua",$C$6="",H4817=$C$6,H4817="Pengeluaran "&amp;$C$6,AND($C$6="Uang Kos Mama",H4817="Pengeluaran Uang Kos")),OR($C$7="Semua",$C$7="",I4817=$C$7),OR($C$8="Semua",$C$8="",C4817=$C$8,E4817=$C$8),OR($C$9="Semua",$C$9="",D4817=$C$9),OR($C$10="",B4817&gt;=$C$10),OR($C$11="",B4817&lt;=$C$11),OR($C$12&lt;&gt;"Ya",K4817&lt;&gt;""),OR($C$13="Semua",$C$13="",L4817=$C$13)),"✓","")</f>
        <v/>
      </c>
      <c r="N4817" s="93">
        <f>N(N4816)+IF(M4817="✓",1,0)</f>
        <v/>
      </c>
      <c r="O4817" s="93">
        <f>N(O4816)+IF(AND(B4817&lt;&gt;"",B4817&gt;='Uang Riba'!$H$30,B4817&lt;='Uang Riba'!$I$30,OR(H4817="Dana riba",H4817="Pinjam uang riba",I4817="Pinjam dari uang riba",I4817="Ganti uang riba",I4817="Kelebihan ganti dikembalikan",AND(C4817="Kantong Uang Riba",G4817="Pengeluaran"))),1,0)</f>
        <v/>
      </c>
      <c r="X4817" s="93">
        <f>IF(AND(B4817&lt;&gt;"",B4817&gt;='Buku Akun'!$H$4,B4817&lt;='Buku Akun'!$H$5,OR(C4817='Buku Akun'!$C$4,AND(D4817="Pindah",E4817='Buku Akun'!$C$4))),B4817+IF(AND(I4817="Selisih bunga",DAY(B4817)=1),0,0.01)+ROW()/10000000,"")</f>
        <v/>
      </c>
    </row>
    <row r="4818" outlineLevel="1" ht="15" customHeight="1" s="94">
      <c r="A4818" s="123">
        <f>IF(B4818="","",ROW()-15)</f>
        <v/>
      </c>
      <c r="B4818" s="124" t="n"/>
      <c r="C4818" s="123" t="n"/>
      <c r="D4818" s="123" t="n"/>
      <c r="E4818" s="123" t="n"/>
      <c r="F4818" s="125" t="n"/>
      <c r="G4818" s="123" t="n"/>
      <c r="H4818" s="123" t="n"/>
      <c r="I4818" s="123" t="n"/>
      <c r="J4818" s="123" t="n"/>
      <c r="K4818" s="123" t="n"/>
      <c r="L4818" s="123" t="n"/>
      <c r="M4818" s="123">
        <f>IF(AND(B4818&lt;&gt;"",OR($C$4="",ISNUMBER(SEARCH($C$4,C4818&amp;" "&amp;E4818&amp;" "&amp;G4818&amp;" "&amp;H4818&amp;" "&amp;I4818&amp;" "&amp;J4818&amp;" "&amp;K4818&amp;" "&amp;L4818))),OR($C$5="Semua",$C$5="",G4818=$C$5),OR($C$6="Semua",$C$6="",H4818=$C$6,H4818="Pengeluaran "&amp;$C$6,AND($C$6="Uang Kos Mama",H4818="Pengeluaran Uang Kos")),OR($C$7="Semua",$C$7="",I4818=$C$7),OR($C$8="Semua",$C$8="",C4818=$C$8,E4818=$C$8),OR($C$9="Semua",$C$9="",D4818=$C$9),OR($C$10="",B4818&gt;=$C$10),OR($C$11="",B4818&lt;=$C$11),OR($C$12&lt;&gt;"Ya",K4818&lt;&gt;""),OR($C$13="Semua",$C$13="",L4818=$C$13)),"✓","")</f>
        <v/>
      </c>
      <c r="N4818" s="93">
        <f>N(N4817)+IF(M4818="✓",1,0)</f>
        <v/>
      </c>
      <c r="O4818" s="93">
        <f>N(O4817)+IF(AND(B4818&lt;&gt;"",B4818&gt;='Uang Riba'!$H$30,B4818&lt;='Uang Riba'!$I$30,OR(H4818="Dana riba",H4818="Pinjam uang riba",I4818="Pinjam dari uang riba",I4818="Ganti uang riba",I4818="Kelebihan ganti dikembalikan",AND(C4818="Kantong Uang Riba",G4818="Pengeluaran"))),1,0)</f>
        <v/>
      </c>
      <c r="X4818" s="93">
        <f>IF(AND(B4818&lt;&gt;"",B4818&gt;='Buku Akun'!$H$4,B4818&lt;='Buku Akun'!$H$5,OR(C4818='Buku Akun'!$C$4,AND(D4818="Pindah",E4818='Buku Akun'!$C$4))),B4818+IF(AND(I4818="Selisih bunga",DAY(B4818)=1),0,0.01)+ROW()/10000000,"")</f>
        <v/>
      </c>
    </row>
    <row r="4819" outlineLevel="1" ht="15" customHeight="1" s="94">
      <c r="A4819" s="123">
        <f>IF(B4819="","",ROW()-15)</f>
        <v/>
      </c>
      <c r="B4819" s="124" t="n"/>
      <c r="C4819" s="123" t="n"/>
      <c r="D4819" s="123" t="n"/>
      <c r="E4819" s="123" t="n"/>
      <c r="F4819" s="125" t="n"/>
      <c r="G4819" s="123" t="n"/>
      <c r="H4819" s="123" t="n"/>
      <c r="I4819" s="123" t="n"/>
      <c r="J4819" s="123" t="n"/>
      <c r="K4819" s="123" t="n"/>
      <c r="L4819" s="123" t="n"/>
      <c r="M4819" s="123">
        <f>IF(AND(B4819&lt;&gt;"",OR($C$4="",ISNUMBER(SEARCH($C$4,C4819&amp;" "&amp;E4819&amp;" "&amp;G4819&amp;" "&amp;H4819&amp;" "&amp;I4819&amp;" "&amp;J4819&amp;" "&amp;K4819&amp;" "&amp;L4819))),OR($C$5="Semua",$C$5="",G4819=$C$5),OR($C$6="Semua",$C$6="",H4819=$C$6,H4819="Pengeluaran "&amp;$C$6,AND($C$6="Uang Kos Mama",H4819="Pengeluaran Uang Kos")),OR($C$7="Semua",$C$7="",I4819=$C$7),OR($C$8="Semua",$C$8="",C4819=$C$8,E4819=$C$8),OR($C$9="Semua",$C$9="",D4819=$C$9),OR($C$10="",B4819&gt;=$C$10),OR($C$11="",B4819&lt;=$C$11),OR($C$12&lt;&gt;"Ya",K4819&lt;&gt;""),OR($C$13="Semua",$C$13="",L4819=$C$13)),"✓","")</f>
        <v/>
      </c>
      <c r="N4819" s="93">
        <f>N(N4818)+IF(M4819="✓",1,0)</f>
        <v/>
      </c>
      <c r="O4819" s="93">
        <f>N(O4818)+IF(AND(B4819&lt;&gt;"",B4819&gt;='Uang Riba'!$H$30,B4819&lt;='Uang Riba'!$I$30,OR(H4819="Dana riba",H4819="Pinjam uang riba",I4819="Pinjam dari uang riba",I4819="Ganti uang riba",I4819="Kelebihan ganti dikembalikan",AND(C4819="Kantong Uang Riba",G4819="Pengeluaran"))),1,0)</f>
        <v/>
      </c>
      <c r="X4819" s="93">
        <f>IF(AND(B4819&lt;&gt;"",B4819&gt;='Buku Akun'!$H$4,B4819&lt;='Buku Akun'!$H$5,OR(C4819='Buku Akun'!$C$4,AND(D4819="Pindah",E4819='Buku Akun'!$C$4))),B4819+IF(AND(I4819="Selisih bunga",DAY(B4819)=1),0,0.01)+ROW()/10000000,"")</f>
        <v/>
      </c>
    </row>
    <row r="4820" outlineLevel="1" ht="15" customHeight="1" s="94">
      <c r="A4820" s="123">
        <f>IF(B4820="","",ROW()-15)</f>
        <v/>
      </c>
      <c r="B4820" s="124" t="n"/>
      <c r="C4820" s="123" t="n"/>
      <c r="D4820" s="123" t="n"/>
      <c r="E4820" s="123" t="n"/>
      <c r="F4820" s="125" t="n"/>
      <c r="G4820" s="123" t="n"/>
      <c r="H4820" s="123" t="n"/>
      <c r="I4820" s="123" t="n"/>
      <c r="J4820" s="123" t="n"/>
      <c r="K4820" s="123" t="n"/>
      <c r="L4820" s="123" t="n"/>
      <c r="M4820" s="123">
        <f>IF(AND(B4820&lt;&gt;"",OR($C$4="",ISNUMBER(SEARCH($C$4,C4820&amp;" "&amp;E4820&amp;" "&amp;G4820&amp;" "&amp;H4820&amp;" "&amp;I4820&amp;" "&amp;J4820&amp;" "&amp;K4820&amp;" "&amp;L4820))),OR($C$5="Semua",$C$5="",G4820=$C$5),OR($C$6="Semua",$C$6="",H4820=$C$6,H4820="Pengeluaran "&amp;$C$6,AND($C$6="Uang Kos Mama",H4820="Pengeluaran Uang Kos")),OR($C$7="Semua",$C$7="",I4820=$C$7),OR($C$8="Semua",$C$8="",C4820=$C$8,E4820=$C$8),OR($C$9="Semua",$C$9="",D4820=$C$9),OR($C$10="",B4820&gt;=$C$10),OR($C$11="",B4820&lt;=$C$11),OR($C$12&lt;&gt;"Ya",K4820&lt;&gt;""),OR($C$13="Semua",$C$13="",L4820=$C$13)),"✓","")</f>
        <v/>
      </c>
      <c r="N4820" s="93">
        <f>N(N4819)+IF(M4820="✓",1,0)</f>
        <v/>
      </c>
      <c r="O4820" s="93">
        <f>N(O4819)+IF(AND(B4820&lt;&gt;"",B4820&gt;='Uang Riba'!$H$30,B4820&lt;='Uang Riba'!$I$30,OR(H4820="Dana riba",H4820="Pinjam uang riba",I4820="Pinjam dari uang riba",I4820="Ganti uang riba",I4820="Kelebihan ganti dikembalikan",AND(C4820="Kantong Uang Riba",G4820="Pengeluaran"))),1,0)</f>
        <v/>
      </c>
      <c r="X4820" s="93">
        <f>IF(AND(B4820&lt;&gt;"",B4820&gt;='Buku Akun'!$H$4,B4820&lt;='Buku Akun'!$H$5,OR(C4820='Buku Akun'!$C$4,AND(D4820="Pindah",E4820='Buku Akun'!$C$4))),B4820+IF(AND(I4820="Selisih bunga",DAY(B4820)=1),0,0.01)+ROW()/10000000,"")</f>
        <v/>
      </c>
    </row>
    <row r="4821" outlineLevel="1" ht="15" customHeight="1" s="94">
      <c r="A4821" s="123">
        <f>IF(B4821="","",ROW()-15)</f>
        <v/>
      </c>
      <c r="B4821" s="124" t="n"/>
      <c r="C4821" s="123" t="n"/>
      <c r="D4821" s="123" t="n"/>
      <c r="E4821" s="123" t="n"/>
      <c r="F4821" s="125" t="n"/>
      <c r="G4821" s="123" t="n"/>
      <c r="H4821" s="123" t="n"/>
      <c r="I4821" s="123" t="n"/>
      <c r="J4821" s="123" t="n"/>
      <c r="K4821" s="123" t="n"/>
      <c r="L4821" s="123" t="n"/>
      <c r="M4821" s="123">
        <f>IF(AND(B4821&lt;&gt;"",OR($C$4="",ISNUMBER(SEARCH($C$4,C4821&amp;" "&amp;E4821&amp;" "&amp;G4821&amp;" "&amp;H4821&amp;" "&amp;I4821&amp;" "&amp;J4821&amp;" "&amp;K4821&amp;" "&amp;L4821))),OR($C$5="Semua",$C$5="",G4821=$C$5),OR($C$6="Semua",$C$6="",H4821=$C$6,H4821="Pengeluaran "&amp;$C$6,AND($C$6="Uang Kos Mama",H4821="Pengeluaran Uang Kos")),OR($C$7="Semua",$C$7="",I4821=$C$7),OR($C$8="Semua",$C$8="",C4821=$C$8,E4821=$C$8),OR($C$9="Semua",$C$9="",D4821=$C$9),OR($C$10="",B4821&gt;=$C$10),OR($C$11="",B4821&lt;=$C$11),OR($C$12&lt;&gt;"Ya",K4821&lt;&gt;""),OR($C$13="Semua",$C$13="",L4821=$C$13)),"✓","")</f>
        <v/>
      </c>
      <c r="N4821" s="93">
        <f>N(N4820)+IF(M4821="✓",1,0)</f>
        <v/>
      </c>
      <c r="O4821" s="93">
        <f>N(O4820)+IF(AND(B4821&lt;&gt;"",B4821&gt;='Uang Riba'!$H$30,B4821&lt;='Uang Riba'!$I$30,OR(H4821="Dana riba",H4821="Pinjam uang riba",I4821="Pinjam dari uang riba",I4821="Ganti uang riba",I4821="Kelebihan ganti dikembalikan",AND(C4821="Kantong Uang Riba",G4821="Pengeluaran"))),1,0)</f>
        <v/>
      </c>
      <c r="X4821" s="93">
        <f>IF(AND(B4821&lt;&gt;"",B4821&gt;='Buku Akun'!$H$4,B4821&lt;='Buku Akun'!$H$5,OR(C4821='Buku Akun'!$C$4,AND(D4821="Pindah",E4821='Buku Akun'!$C$4))),B4821+IF(AND(I4821="Selisih bunga",DAY(B4821)=1),0,0.01)+ROW()/10000000,"")</f>
        <v/>
      </c>
    </row>
    <row r="4822" outlineLevel="1" ht="15" customHeight="1" s="94">
      <c r="A4822" s="123">
        <f>IF(B4822="","",ROW()-15)</f>
        <v/>
      </c>
      <c r="B4822" s="124" t="n"/>
      <c r="C4822" s="123" t="n"/>
      <c r="D4822" s="123" t="n"/>
      <c r="E4822" s="123" t="n"/>
      <c r="F4822" s="125" t="n"/>
      <c r="G4822" s="123" t="n"/>
      <c r="H4822" s="123" t="n"/>
      <c r="I4822" s="123" t="n"/>
      <c r="J4822" s="123" t="n"/>
      <c r="K4822" s="123" t="n"/>
      <c r="L4822" s="123" t="n"/>
      <c r="M4822" s="123">
        <f>IF(AND(B4822&lt;&gt;"",OR($C$4="",ISNUMBER(SEARCH($C$4,C4822&amp;" "&amp;E4822&amp;" "&amp;G4822&amp;" "&amp;H4822&amp;" "&amp;I4822&amp;" "&amp;J4822&amp;" "&amp;K4822&amp;" "&amp;L4822))),OR($C$5="Semua",$C$5="",G4822=$C$5),OR($C$6="Semua",$C$6="",H4822=$C$6,H4822="Pengeluaran "&amp;$C$6,AND($C$6="Uang Kos Mama",H4822="Pengeluaran Uang Kos")),OR($C$7="Semua",$C$7="",I4822=$C$7),OR($C$8="Semua",$C$8="",C4822=$C$8,E4822=$C$8),OR($C$9="Semua",$C$9="",D4822=$C$9),OR($C$10="",B4822&gt;=$C$10),OR($C$11="",B4822&lt;=$C$11),OR($C$12&lt;&gt;"Ya",K4822&lt;&gt;""),OR($C$13="Semua",$C$13="",L4822=$C$13)),"✓","")</f>
        <v/>
      </c>
      <c r="N4822" s="93">
        <f>N(N4821)+IF(M4822="✓",1,0)</f>
        <v/>
      </c>
      <c r="O4822" s="93">
        <f>N(O4821)+IF(AND(B4822&lt;&gt;"",B4822&gt;='Uang Riba'!$H$30,B4822&lt;='Uang Riba'!$I$30,OR(H4822="Dana riba",H4822="Pinjam uang riba",I4822="Pinjam dari uang riba",I4822="Ganti uang riba",I4822="Kelebihan ganti dikembalikan",AND(C4822="Kantong Uang Riba",G4822="Pengeluaran"))),1,0)</f>
        <v/>
      </c>
      <c r="X4822" s="93">
        <f>IF(AND(B4822&lt;&gt;"",B4822&gt;='Buku Akun'!$H$4,B4822&lt;='Buku Akun'!$H$5,OR(C4822='Buku Akun'!$C$4,AND(D4822="Pindah",E4822='Buku Akun'!$C$4))),B4822+IF(AND(I4822="Selisih bunga",DAY(B4822)=1),0,0.01)+ROW()/10000000,"")</f>
        <v/>
      </c>
    </row>
    <row r="4823" outlineLevel="1" ht="15" customHeight="1" s="94">
      <c r="A4823" s="123">
        <f>IF(B4823="","",ROW()-15)</f>
        <v/>
      </c>
      <c r="B4823" s="124" t="n"/>
      <c r="C4823" s="123" t="n"/>
      <c r="D4823" s="123" t="n"/>
      <c r="E4823" s="123" t="n"/>
      <c r="F4823" s="125" t="n"/>
      <c r="G4823" s="123" t="n"/>
      <c r="H4823" s="123" t="n"/>
      <c r="I4823" s="123" t="n"/>
      <c r="J4823" s="123" t="n"/>
      <c r="K4823" s="123" t="n"/>
      <c r="L4823" s="123" t="n"/>
      <c r="M4823" s="123">
        <f>IF(AND(B4823&lt;&gt;"",OR($C$4="",ISNUMBER(SEARCH($C$4,C4823&amp;" "&amp;E4823&amp;" "&amp;G4823&amp;" "&amp;H4823&amp;" "&amp;I4823&amp;" "&amp;J4823&amp;" "&amp;K4823&amp;" "&amp;L4823))),OR($C$5="Semua",$C$5="",G4823=$C$5),OR($C$6="Semua",$C$6="",H4823=$C$6,H4823="Pengeluaran "&amp;$C$6,AND($C$6="Uang Kos Mama",H4823="Pengeluaran Uang Kos")),OR($C$7="Semua",$C$7="",I4823=$C$7),OR($C$8="Semua",$C$8="",C4823=$C$8,E4823=$C$8),OR($C$9="Semua",$C$9="",D4823=$C$9),OR($C$10="",B4823&gt;=$C$10),OR($C$11="",B4823&lt;=$C$11),OR($C$12&lt;&gt;"Ya",K4823&lt;&gt;""),OR($C$13="Semua",$C$13="",L4823=$C$13)),"✓","")</f>
        <v/>
      </c>
      <c r="N4823" s="93">
        <f>N(N4822)+IF(M4823="✓",1,0)</f>
        <v/>
      </c>
      <c r="O4823" s="93">
        <f>N(O4822)+IF(AND(B4823&lt;&gt;"",B4823&gt;='Uang Riba'!$H$30,B4823&lt;='Uang Riba'!$I$30,OR(H4823="Dana riba",H4823="Pinjam uang riba",I4823="Pinjam dari uang riba",I4823="Ganti uang riba",I4823="Kelebihan ganti dikembalikan",AND(C4823="Kantong Uang Riba",G4823="Pengeluaran"))),1,0)</f>
        <v/>
      </c>
      <c r="X4823" s="93">
        <f>IF(AND(B4823&lt;&gt;"",B4823&gt;='Buku Akun'!$H$4,B4823&lt;='Buku Akun'!$H$5,OR(C4823='Buku Akun'!$C$4,AND(D4823="Pindah",E4823='Buku Akun'!$C$4))),B4823+IF(AND(I4823="Selisih bunga",DAY(B4823)=1),0,0.01)+ROW()/10000000,"")</f>
        <v/>
      </c>
    </row>
    <row r="4824" outlineLevel="1" ht="15" customHeight="1" s="94">
      <c r="A4824" s="123">
        <f>IF(B4824="","",ROW()-15)</f>
        <v/>
      </c>
      <c r="B4824" s="124" t="n"/>
      <c r="C4824" s="123" t="n"/>
      <c r="D4824" s="123" t="n"/>
      <c r="E4824" s="123" t="n"/>
      <c r="F4824" s="125" t="n"/>
      <c r="G4824" s="123" t="n"/>
      <c r="H4824" s="123" t="n"/>
      <c r="I4824" s="123" t="n"/>
      <c r="J4824" s="123" t="n"/>
      <c r="K4824" s="123" t="n"/>
      <c r="L4824" s="123" t="n"/>
      <c r="M4824" s="123">
        <f>IF(AND(B4824&lt;&gt;"",OR($C$4="",ISNUMBER(SEARCH($C$4,C4824&amp;" "&amp;E4824&amp;" "&amp;G4824&amp;" "&amp;H4824&amp;" "&amp;I4824&amp;" "&amp;J4824&amp;" "&amp;K4824&amp;" "&amp;L4824))),OR($C$5="Semua",$C$5="",G4824=$C$5),OR($C$6="Semua",$C$6="",H4824=$C$6,H4824="Pengeluaran "&amp;$C$6,AND($C$6="Uang Kos Mama",H4824="Pengeluaran Uang Kos")),OR($C$7="Semua",$C$7="",I4824=$C$7),OR($C$8="Semua",$C$8="",C4824=$C$8,E4824=$C$8),OR($C$9="Semua",$C$9="",D4824=$C$9),OR($C$10="",B4824&gt;=$C$10),OR($C$11="",B4824&lt;=$C$11),OR($C$12&lt;&gt;"Ya",K4824&lt;&gt;""),OR($C$13="Semua",$C$13="",L4824=$C$13)),"✓","")</f>
        <v/>
      </c>
      <c r="N4824" s="93">
        <f>N(N4823)+IF(M4824="✓",1,0)</f>
        <v/>
      </c>
      <c r="O4824" s="93">
        <f>N(O4823)+IF(AND(B4824&lt;&gt;"",B4824&gt;='Uang Riba'!$H$30,B4824&lt;='Uang Riba'!$I$30,OR(H4824="Dana riba",H4824="Pinjam uang riba",I4824="Pinjam dari uang riba",I4824="Ganti uang riba",I4824="Kelebihan ganti dikembalikan",AND(C4824="Kantong Uang Riba",G4824="Pengeluaran"))),1,0)</f>
        <v/>
      </c>
      <c r="X4824" s="93">
        <f>IF(AND(B4824&lt;&gt;"",B4824&gt;='Buku Akun'!$H$4,B4824&lt;='Buku Akun'!$H$5,OR(C4824='Buku Akun'!$C$4,AND(D4824="Pindah",E4824='Buku Akun'!$C$4))),B4824+IF(AND(I4824="Selisih bunga",DAY(B4824)=1),0,0.01)+ROW()/10000000,"")</f>
        <v/>
      </c>
    </row>
    <row r="4825" outlineLevel="1" ht="15" customHeight="1" s="94">
      <c r="A4825" s="123">
        <f>IF(B4825="","",ROW()-15)</f>
        <v/>
      </c>
      <c r="B4825" s="124" t="n"/>
      <c r="C4825" s="123" t="n"/>
      <c r="D4825" s="123" t="n"/>
      <c r="E4825" s="123" t="n"/>
      <c r="F4825" s="125" t="n"/>
      <c r="G4825" s="123" t="n"/>
      <c r="H4825" s="123" t="n"/>
      <c r="I4825" s="123" t="n"/>
      <c r="J4825" s="123" t="n"/>
      <c r="K4825" s="123" t="n"/>
      <c r="L4825" s="123" t="n"/>
      <c r="M4825" s="123">
        <f>IF(AND(B4825&lt;&gt;"",OR($C$4="",ISNUMBER(SEARCH($C$4,C4825&amp;" "&amp;E4825&amp;" "&amp;G4825&amp;" "&amp;H4825&amp;" "&amp;I4825&amp;" "&amp;J4825&amp;" "&amp;K4825&amp;" "&amp;L4825))),OR($C$5="Semua",$C$5="",G4825=$C$5),OR($C$6="Semua",$C$6="",H4825=$C$6,H4825="Pengeluaran "&amp;$C$6,AND($C$6="Uang Kos Mama",H4825="Pengeluaran Uang Kos")),OR($C$7="Semua",$C$7="",I4825=$C$7),OR($C$8="Semua",$C$8="",C4825=$C$8,E4825=$C$8),OR($C$9="Semua",$C$9="",D4825=$C$9),OR($C$10="",B4825&gt;=$C$10),OR($C$11="",B4825&lt;=$C$11),OR($C$12&lt;&gt;"Ya",K4825&lt;&gt;""),OR($C$13="Semua",$C$13="",L4825=$C$13)),"✓","")</f>
        <v/>
      </c>
      <c r="N4825" s="93">
        <f>N(N4824)+IF(M4825="✓",1,0)</f>
        <v/>
      </c>
      <c r="O4825" s="93">
        <f>N(O4824)+IF(AND(B4825&lt;&gt;"",B4825&gt;='Uang Riba'!$H$30,B4825&lt;='Uang Riba'!$I$30,OR(H4825="Dana riba",H4825="Pinjam uang riba",I4825="Pinjam dari uang riba",I4825="Ganti uang riba",I4825="Kelebihan ganti dikembalikan",AND(C4825="Kantong Uang Riba",G4825="Pengeluaran"))),1,0)</f>
        <v/>
      </c>
      <c r="X4825" s="93">
        <f>IF(AND(B4825&lt;&gt;"",B4825&gt;='Buku Akun'!$H$4,B4825&lt;='Buku Akun'!$H$5,OR(C4825='Buku Akun'!$C$4,AND(D4825="Pindah",E4825='Buku Akun'!$C$4))),B4825+IF(AND(I4825="Selisih bunga",DAY(B4825)=1),0,0.01)+ROW()/10000000,"")</f>
        <v/>
      </c>
    </row>
    <row r="4826" outlineLevel="1" ht="15" customHeight="1" s="94">
      <c r="A4826" s="123">
        <f>IF(B4826="","",ROW()-15)</f>
        <v/>
      </c>
      <c r="B4826" s="124" t="n"/>
      <c r="C4826" s="123" t="n"/>
      <c r="D4826" s="123" t="n"/>
      <c r="E4826" s="123" t="n"/>
      <c r="F4826" s="125" t="n"/>
      <c r="G4826" s="123" t="n"/>
      <c r="H4826" s="123" t="n"/>
      <c r="I4826" s="123" t="n"/>
      <c r="J4826" s="123" t="n"/>
      <c r="K4826" s="123" t="n"/>
      <c r="L4826" s="123" t="n"/>
      <c r="M4826" s="123">
        <f>IF(AND(B4826&lt;&gt;"",OR($C$4="",ISNUMBER(SEARCH($C$4,C4826&amp;" "&amp;E4826&amp;" "&amp;G4826&amp;" "&amp;H4826&amp;" "&amp;I4826&amp;" "&amp;J4826&amp;" "&amp;K4826&amp;" "&amp;L4826))),OR($C$5="Semua",$C$5="",G4826=$C$5),OR($C$6="Semua",$C$6="",H4826=$C$6,H4826="Pengeluaran "&amp;$C$6,AND($C$6="Uang Kos Mama",H4826="Pengeluaran Uang Kos")),OR($C$7="Semua",$C$7="",I4826=$C$7),OR($C$8="Semua",$C$8="",C4826=$C$8,E4826=$C$8),OR($C$9="Semua",$C$9="",D4826=$C$9),OR($C$10="",B4826&gt;=$C$10),OR($C$11="",B4826&lt;=$C$11),OR($C$12&lt;&gt;"Ya",K4826&lt;&gt;""),OR($C$13="Semua",$C$13="",L4826=$C$13)),"✓","")</f>
        <v/>
      </c>
      <c r="N4826" s="93">
        <f>N(N4825)+IF(M4826="✓",1,0)</f>
        <v/>
      </c>
      <c r="O4826" s="93">
        <f>N(O4825)+IF(AND(B4826&lt;&gt;"",B4826&gt;='Uang Riba'!$H$30,B4826&lt;='Uang Riba'!$I$30,OR(H4826="Dana riba",H4826="Pinjam uang riba",I4826="Pinjam dari uang riba",I4826="Ganti uang riba",I4826="Kelebihan ganti dikembalikan",AND(C4826="Kantong Uang Riba",G4826="Pengeluaran"))),1,0)</f>
        <v/>
      </c>
      <c r="X4826" s="93">
        <f>IF(AND(B4826&lt;&gt;"",B4826&gt;='Buku Akun'!$H$4,B4826&lt;='Buku Akun'!$H$5,OR(C4826='Buku Akun'!$C$4,AND(D4826="Pindah",E4826='Buku Akun'!$C$4))),B4826+IF(AND(I4826="Selisih bunga",DAY(B4826)=1),0,0.01)+ROW()/10000000,"")</f>
        <v/>
      </c>
    </row>
    <row r="4827" outlineLevel="1" ht="15" customHeight="1" s="94">
      <c r="A4827" s="123">
        <f>IF(B4827="","",ROW()-15)</f>
        <v/>
      </c>
      <c r="B4827" s="124" t="n"/>
      <c r="C4827" s="123" t="n"/>
      <c r="D4827" s="123" t="n"/>
      <c r="E4827" s="123" t="n"/>
      <c r="F4827" s="125" t="n"/>
      <c r="G4827" s="123" t="n"/>
      <c r="H4827" s="123" t="n"/>
      <c r="I4827" s="123" t="n"/>
      <c r="J4827" s="123" t="n"/>
      <c r="K4827" s="123" t="n"/>
      <c r="L4827" s="123" t="n"/>
      <c r="M4827" s="123">
        <f>IF(AND(B4827&lt;&gt;"",OR($C$4="",ISNUMBER(SEARCH($C$4,C4827&amp;" "&amp;E4827&amp;" "&amp;G4827&amp;" "&amp;H4827&amp;" "&amp;I4827&amp;" "&amp;J4827&amp;" "&amp;K4827&amp;" "&amp;L4827))),OR($C$5="Semua",$C$5="",G4827=$C$5),OR($C$6="Semua",$C$6="",H4827=$C$6,H4827="Pengeluaran "&amp;$C$6,AND($C$6="Uang Kos Mama",H4827="Pengeluaran Uang Kos")),OR($C$7="Semua",$C$7="",I4827=$C$7),OR($C$8="Semua",$C$8="",C4827=$C$8,E4827=$C$8),OR($C$9="Semua",$C$9="",D4827=$C$9),OR($C$10="",B4827&gt;=$C$10),OR($C$11="",B4827&lt;=$C$11),OR($C$12&lt;&gt;"Ya",K4827&lt;&gt;""),OR($C$13="Semua",$C$13="",L4827=$C$13)),"✓","")</f>
        <v/>
      </c>
      <c r="N4827" s="93">
        <f>N(N4826)+IF(M4827="✓",1,0)</f>
        <v/>
      </c>
      <c r="O4827" s="93">
        <f>N(O4826)+IF(AND(B4827&lt;&gt;"",B4827&gt;='Uang Riba'!$H$30,B4827&lt;='Uang Riba'!$I$30,OR(H4827="Dana riba",H4827="Pinjam uang riba",I4827="Pinjam dari uang riba",I4827="Ganti uang riba",I4827="Kelebihan ganti dikembalikan",AND(C4827="Kantong Uang Riba",G4827="Pengeluaran"))),1,0)</f>
        <v/>
      </c>
      <c r="X4827" s="93">
        <f>IF(AND(B4827&lt;&gt;"",B4827&gt;='Buku Akun'!$H$4,B4827&lt;='Buku Akun'!$H$5,OR(C4827='Buku Akun'!$C$4,AND(D4827="Pindah",E4827='Buku Akun'!$C$4))),B4827+IF(AND(I4827="Selisih bunga",DAY(B4827)=1),0,0.01)+ROW()/10000000,"")</f>
        <v/>
      </c>
    </row>
    <row r="4828" outlineLevel="1" ht="15" customHeight="1" s="94">
      <c r="A4828" s="123">
        <f>IF(B4828="","",ROW()-15)</f>
        <v/>
      </c>
      <c r="B4828" s="124" t="n"/>
      <c r="C4828" s="123" t="n"/>
      <c r="D4828" s="123" t="n"/>
      <c r="E4828" s="123" t="n"/>
      <c r="F4828" s="125" t="n"/>
      <c r="G4828" s="123" t="n"/>
      <c r="H4828" s="123" t="n"/>
      <c r="I4828" s="123" t="n"/>
      <c r="J4828" s="123" t="n"/>
      <c r="K4828" s="123" t="n"/>
      <c r="L4828" s="123" t="n"/>
      <c r="M4828" s="123">
        <f>IF(AND(B4828&lt;&gt;"",OR($C$4="",ISNUMBER(SEARCH($C$4,C4828&amp;" "&amp;E4828&amp;" "&amp;G4828&amp;" "&amp;H4828&amp;" "&amp;I4828&amp;" "&amp;J4828&amp;" "&amp;K4828&amp;" "&amp;L4828))),OR($C$5="Semua",$C$5="",G4828=$C$5),OR($C$6="Semua",$C$6="",H4828=$C$6,H4828="Pengeluaran "&amp;$C$6,AND($C$6="Uang Kos Mama",H4828="Pengeluaran Uang Kos")),OR($C$7="Semua",$C$7="",I4828=$C$7),OR($C$8="Semua",$C$8="",C4828=$C$8,E4828=$C$8),OR($C$9="Semua",$C$9="",D4828=$C$9),OR($C$10="",B4828&gt;=$C$10),OR($C$11="",B4828&lt;=$C$11),OR($C$12&lt;&gt;"Ya",K4828&lt;&gt;""),OR($C$13="Semua",$C$13="",L4828=$C$13)),"✓","")</f>
        <v/>
      </c>
      <c r="N4828" s="93">
        <f>N(N4827)+IF(M4828="✓",1,0)</f>
        <v/>
      </c>
      <c r="O4828" s="93">
        <f>N(O4827)+IF(AND(B4828&lt;&gt;"",B4828&gt;='Uang Riba'!$H$30,B4828&lt;='Uang Riba'!$I$30,OR(H4828="Dana riba",H4828="Pinjam uang riba",I4828="Pinjam dari uang riba",I4828="Ganti uang riba",I4828="Kelebihan ganti dikembalikan",AND(C4828="Kantong Uang Riba",G4828="Pengeluaran"))),1,0)</f>
        <v/>
      </c>
      <c r="X4828" s="93">
        <f>IF(AND(B4828&lt;&gt;"",B4828&gt;='Buku Akun'!$H$4,B4828&lt;='Buku Akun'!$H$5,OR(C4828='Buku Akun'!$C$4,AND(D4828="Pindah",E4828='Buku Akun'!$C$4))),B4828+IF(AND(I4828="Selisih bunga",DAY(B4828)=1),0,0.01)+ROW()/10000000,"")</f>
        <v/>
      </c>
    </row>
    <row r="4829" outlineLevel="1" ht="15" customHeight="1" s="94">
      <c r="A4829" s="123">
        <f>IF(B4829="","",ROW()-15)</f>
        <v/>
      </c>
      <c r="B4829" s="124" t="n"/>
      <c r="C4829" s="123" t="n"/>
      <c r="D4829" s="123" t="n"/>
      <c r="E4829" s="123" t="n"/>
      <c r="F4829" s="125" t="n"/>
      <c r="G4829" s="123" t="n"/>
      <c r="H4829" s="123" t="n"/>
      <c r="I4829" s="123" t="n"/>
      <c r="J4829" s="123" t="n"/>
      <c r="K4829" s="123" t="n"/>
      <c r="L4829" s="123" t="n"/>
      <c r="M4829" s="123">
        <f>IF(AND(B4829&lt;&gt;"",OR($C$4="",ISNUMBER(SEARCH($C$4,C4829&amp;" "&amp;E4829&amp;" "&amp;G4829&amp;" "&amp;H4829&amp;" "&amp;I4829&amp;" "&amp;J4829&amp;" "&amp;K4829&amp;" "&amp;L4829))),OR($C$5="Semua",$C$5="",G4829=$C$5),OR($C$6="Semua",$C$6="",H4829=$C$6,H4829="Pengeluaran "&amp;$C$6,AND($C$6="Uang Kos Mama",H4829="Pengeluaran Uang Kos")),OR($C$7="Semua",$C$7="",I4829=$C$7),OR($C$8="Semua",$C$8="",C4829=$C$8,E4829=$C$8),OR($C$9="Semua",$C$9="",D4829=$C$9),OR($C$10="",B4829&gt;=$C$10),OR($C$11="",B4829&lt;=$C$11),OR($C$12&lt;&gt;"Ya",K4829&lt;&gt;""),OR($C$13="Semua",$C$13="",L4829=$C$13)),"✓","")</f>
        <v/>
      </c>
      <c r="N4829" s="93">
        <f>N(N4828)+IF(M4829="✓",1,0)</f>
        <v/>
      </c>
      <c r="O4829" s="93">
        <f>N(O4828)+IF(AND(B4829&lt;&gt;"",B4829&gt;='Uang Riba'!$H$30,B4829&lt;='Uang Riba'!$I$30,OR(H4829="Dana riba",H4829="Pinjam uang riba",I4829="Pinjam dari uang riba",I4829="Ganti uang riba",I4829="Kelebihan ganti dikembalikan",AND(C4829="Kantong Uang Riba",G4829="Pengeluaran"))),1,0)</f>
        <v/>
      </c>
      <c r="X4829" s="93">
        <f>IF(AND(B4829&lt;&gt;"",B4829&gt;='Buku Akun'!$H$4,B4829&lt;='Buku Akun'!$H$5,OR(C4829='Buku Akun'!$C$4,AND(D4829="Pindah",E4829='Buku Akun'!$C$4))),B4829+IF(AND(I4829="Selisih bunga",DAY(B4829)=1),0,0.01)+ROW()/10000000,"")</f>
        <v/>
      </c>
    </row>
    <row r="4830" outlineLevel="1" ht="15" customHeight="1" s="94">
      <c r="A4830" s="123">
        <f>IF(B4830="","",ROW()-15)</f>
        <v/>
      </c>
      <c r="B4830" s="124" t="n"/>
      <c r="C4830" s="123" t="n"/>
      <c r="D4830" s="123" t="n"/>
      <c r="E4830" s="123" t="n"/>
      <c r="F4830" s="125" t="n"/>
      <c r="G4830" s="123" t="n"/>
      <c r="H4830" s="123" t="n"/>
      <c r="I4830" s="123" t="n"/>
      <c r="J4830" s="123" t="n"/>
      <c r="K4830" s="123" t="n"/>
      <c r="L4830" s="123" t="n"/>
      <c r="M4830" s="123">
        <f>IF(AND(B4830&lt;&gt;"",OR($C$4="",ISNUMBER(SEARCH($C$4,C4830&amp;" "&amp;E4830&amp;" "&amp;G4830&amp;" "&amp;H4830&amp;" "&amp;I4830&amp;" "&amp;J4830&amp;" "&amp;K4830&amp;" "&amp;L4830))),OR($C$5="Semua",$C$5="",G4830=$C$5),OR($C$6="Semua",$C$6="",H4830=$C$6,H4830="Pengeluaran "&amp;$C$6,AND($C$6="Uang Kos Mama",H4830="Pengeluaran Uang Kos")),OR($C$7="Semua",$C$7="",I4830=$C$7),OR($C$8="Semua",$C$8="",C4830=$C$8,E4830=$C$8),OR($C$9="Semua",$C$9="",D4830=$C$9),OR($C$10="",B4830&gt;=$C$10),OR($C$11="",B4830&lt;=$C$11),OR($C$12&lt;&gt;"Ya",K4830&lt;&gt;""),OR($C$13="Semua",$C$13="",L4830=$C$13)),"✓","")</f>
        <v/>
      </c>
      <c r="N4830" s="93">
        <f>N(N4829)+IF(M4830="✓",1,0)</f>
        <v/>
      </c>
      <c r="O4830" s="93">
        <f>N(O4829)+IF(AND(B4830&lt;&gt;"",B4830&gt;='Uang Riba'!$H$30,B4830&lt;='Uang Riba'!$I$30,OR(H4830="Dana riba",H4830="Pinjam uang riba",I4830="Pinjam dari uang riba",I4830="Ganti uang riba",I4830="Kelebihan ganti dikembalikan",AND(C4830="Kantong Uang Riba",G4830="Pengeluaran"))),1,0)</f>
        <v/>
      </c>
      <c r="X4830" s="93">
        <f>IF(AND(B4830&lt;&gt;"",B4830&gt;='Buku Akun'!$H$4,B4830&lt;='Buku Akun'!$H$5,OR(C4830='Buku Akun'!$C$4,AND(D4830="Pindah",E4830='Buku Akun'!$C$4))),B4830+IF(AND(I4830="Selisih bunga",DAY(B4830)=1),0,0.01)+ROW()/10000000,"")</f>
        <v/>
      </c>
    </row>
    <row r="4831" outlineLevel="1" ht="15" customHeight="1" s="94">
      <c r="A4831" s="123">
        <f>IF(B4831="","",ROW()-15)</f>
        <v/>
      </c>
      <c r="B4831" s="124" t="n"/>
      <c r="C4831" s="123" t="n"/>
      <c r="D4831" s="123" t="n"/>
      <c r="E4831" s="123" t="n"/>
      <c r="F4831" s="125" t="n"/>
      <c r="G4831" s="123" t="n"/>
      <c r="H4831" s="123" t="n"/>
      <c r="I4831" s="123" t="n"/>
      <c r="J4831" s="123" t="n"/>
      <c r="K4831" s="123" t="n"/>
      <c r="L4831" s="123" t="n"/>
      <c r="M4831" s="123">
        <f>IF(AND(B4831&lt;&gt;"",OR($C$4="",ISNUMBER(SEARCH($C$4,C4831&amp;" "&amp;E4831&amp;" "&amp;G4831&amp;" "&amp;H4831&amp;" "&amp;I4831&amp;" "&amp;J4831&amp;" "&amp;K4831&amp;" "&amp;L4831))),OR($C$5="Semua",$C$5="",G4831=$C$5),OR($C$6="Semua",$C$6="",H4831=$C$6,H4831="Pengeluaran "&amp;$C$6,AND($C$6="Uang Kos Mama",H4831="Pengeluaran Uang Kos")),OR($C$7="Semua",$C$7="",I4831=$C$7),OR($C$8="Semua",$C$8="",C4831=$C$8,E4831=$C$8),OR($C$9="Semua",$C$9="",D4831=$C$9),OR($C$10="",B4831&gt;=$C$10),OR($C$11="",B4831&lt;=$C$11),OR($C$12&lt;&gt;"Ya",K4831&lt;&gt;""),OR($C$13="Semua",$C$13="",L4831=$C$13)),"✓","")</f>
        <v/>
      </c>
      <c r="N4831" s="93">
        <f>N(N4830)+IF(M4831="✓",1,0)</f>
        <v/>
      </c>
      <c r="O4831" s="93">
        <f>N(O4830)+IF(AND(B4831&lt;&gt;"",B4831&gt;='Uang Riba'!$H$30,B4831&lt;='Uang Riba'!$I$30,OR(H4831="Dana riba",H4831="Pinjam uang riba",I4831="Pinjam dari uang riba",I4831="Ganti uang riba",I4831="Kelebihan ganti dikembalikan",AND(C4831="Kantong Uang Riba",G4831="Pengeluaran"))),1,0)</f>
        <v/>
      </c>
      <c r="X4831" s="93">
        <f>IF(AND(B4831&lt;&gt;"",B4831&gt;='Buku Akun'!$H$4,B4831&lt;='Buku Akun'!$H$5,OR(C4831='Buku Akun'!$C$4,AND(D4831="Pindah",E4831='Buku Akun'!$C$4))),B4831+IF(AND(I4831="Selisih bunga",DAY(B4831)=1),0,0.01)+ROW()/10000000,"")</f>
        <v/>
      </c>
    </row>
    <row r="4832" outlineLevel="1" ht="15" customHeight="1" s="94">
      <c r="A4832" s="123">
        <f>IF(B4832="","",ROW()-15)</f>
        <v/>
      </c>
      <c r="B4832" s="124" t="n"/>
      <c r="C4832" s="123" t="n"/>
      <c r="D4832" s="123" t="n"/>
      <c r="E4832" s="123" t="n"/>
      <c r="F4832" s="125" t="n"/>
      <c r="G4832" s="123" t="n"/>
      <c r="H4832" s="123" t="n"/>
      <c r="I4832" s="123" t="n"/>
      <c r="J4832" s="123" t="n"/>
      <c r="K4832" s="123" t="n"/>
      <c r="L4832" s="123" t="n"/>
      <c r="M4832" s="123">
        <f>IF(AND(B4832&lt;&gt;"",OR($C$4="",ISNUMBER(SEARCH($C$4,C4832&amp;" "&amp;E4832&amp;" "&amp;G4832&amp;" "&amp;H4832&amp;" "&amp;I4832&amp;" "&amp;J4832&amp;" "&amp;K4832&amp;" "&amp;L4832))),OR($C$5="Semua",$C$5="",G4832=$C$5),OR($C$6="Semua",$C$6="",H4832=$C$6,H4832="Pengeluaran "&amp;$C$6,AND($C$6="Uang Kos Mama",H4832="Pengeluaran Uang Kos")),OR($C$7="Semua",$C$7="",I4832=$C$7),OR($C$8="Semua",$C$8="",C4832=$C$8,E4832=$C$8),OR($C$9="Semua",$C$9="",D4832=$C$9),OR($C$10="",B4832&gt;=$C$10),OR($C$11="",B4832&lt;=$C$11),OR($C$12&lt;&gt;"Ya",K4832&lt;&gt;""),OR($C$13="Semua",$C$13="",L4832=$C$13)),"✓","")</f>
        <v/>
      </c>
      <c r="N4832" s="93">
        <f>N(N4831)+IF(M4832="✓",1,0)</f>
        <v/>
      </c>
      <c r="O4832" s="93">
        <f>N(O4831)+IF(AND(B4832&lt;&gt;"",B4832&gt;='Uang Riba'!$H$30,B4832&lt;='Uang Riba'!$I$30,OR(H4832="Dana riba",H4832="Pinjam uang riba",I4832="Pinjam dari uang riba",I4832="Ganti uang riba",I4832="Kelebihan ganti dikembalikan",AND(C4832="Kantong Uang Riba",G4832="Pengeluaran"))),1,0)</f>
        <v/>
      </c>
      <c r="X4832" s="93">
        <f>IF(AND(B4832&lt;&gt;"",B4832&gt;='Buku Akun'!$H$4,B4832&lt;='Buku Akun'!$H$5,OR(C4832='Buku Akun'!$C$4,AND(D4832="Pindah",E4832='Buku Akun'!$C$4))),B4832+IF(AND(I4832="Selisih bunga",DAY(B4832)=1),0,0.01)+ROW()/10000000,"")</f>
        <v/>
      </c>
    </row>
    <row r="4833" outlineLevel="1" ht="15" customHeight="1" s="94">
      <c r="A4833" s="123">
        <f>IF(B4833="","",ROW()-15)</f>
        <v/>
      </c>
      <c r="B4833" s="124" t="n"/>
      <c r="C4833" s="123" t="n"/>
      <c r="D4833" s="123" t="n"/>
      <c r="E4833" s="123" t="n"/>
      <c r="F4833" s="125" t="n"/>
      <c r="G4833" s="123" t="n"/>
      <c r="H4833" s="123" t="n"/>
      <c r="I4833" s="123" t="n"/>
      <c r="J4833" s="123" t="n"/>
      <c r="K4833" s="123" t="n"/>
      <c r="L4833" s="123" t="n"/>
      <c r="M4833" s="123">
        <f>IF(AND(B4833&lt;&gt;"",OR($C$4="",ISNUMBER(SEARCH($C$4,C4833&amp;" "&amp;E4833&amp;" "&amp;G4833&amp;" "&amp;H4833&amp;" "&amp;I4833&amp;" "&amp;J4833&amp;" "&amp;K4833&amp;" "&amp;L4833))),OR($C$5="Semua",$C$5="",G4833=$C$5),OR($C$6="Semua",$C$6="",H4833=$C$6,H4833="Pengeluaran "&amp;$C$6,AND($C$6="Uang Kos Mama",H4833="Pengeluaran Uang Kos")),OR($C$7="Semua",$C$7="",I4833=$C$7),OR($C$8="Semua",$C$8="",C4833=$C$8,E4833=$C$8),OR($C$9="Semua",$C$9="",D4833=$C$9),OR($C$10="",B4833&gt;=$C$10),OR($C$11="",B4833&lt;=$C$11),OR($C$12&lt;&gt;"Ya",K4833&lt;&gt;""),OR($C$13="Semua",$C$13="",L4833=$C$13)),"✓","")</f>
        <v/>
      </c>
      <c r="N4833" s="93">
        <f>N(N4832)+IF(M4833="✓",1,0)</f>
        <v/>
      </c>
      <c r="O4833" s="93">
        <f>N(O4832)+IF(AND(B4833&lt;&gt;"",B4833&gt;='Uang Riba'!$H$30,B4833&lt;='Uang Riba'!$I$30,OR(H4833="Dana riba",H4833="Pinjam uang riba",I4833="Pinjam dari uang riba",I4833="Ganti uang riba",I4833="Kelebihan ganti dikembalikan",AND(C4833="Kantong Uang Riba",G4833="Pengeluaran"))),1,0)</f>
        <v/>
      </c>
      <c r="X4833" s="93">
        <f>IF(AND(B4833&lt;&gt;"",B4833&gt;='Buku Akun'!$H$4,B4833&lt;='Buku Akun'!$H$5,OR(C4833='Buku Akun'!$C$4,AND(D4833="Pindah",E4833='Buku Akun'!$C$4))),B4833+IF(AND(I4833="Selisih bunga",DAY(B4833)=1),0,0.01)+ROW()/10000000,"")</f>
        <v/>
      </c>
    </row>
    <row r="4834" outlineLevel="1" ht="15" customHeight="1" s="94">
      <c r="A4834" s="123">
        <f>IF(B4834="","",ROW()-15)</f>
        <v/>
      </c>
      <c r="B4834" s="124" t="n"/>
      <c r="C4834" s="123" t="n"/>
      <c r="D4834" s="123" t="n"/>
      <c r="E4834" s="123" t="n"/>
      <c r="F4834" s="125" t="n"/>
      <c r="G4834" s="123" t="n"/>
      <c r="H4834" s="123" t="n"/>
      <c r="I4834" s="123" t="n"/>
      <c r="J4834" s="123" t="n"/>
      <c r="K4834" s="123" t="n"/>
      <c r="L4834" s="123" t="n"/>
      <c r="M4834" s="123">
        <f>IF(AND(B4834&lt;&gt;"",OR($C$4="",ISNUMBER(SEARCH($C$4,C4834&amp;" "&amp;E4834&amp;" "&amp;G4834&amp;" "&amp;H4834&amp;" "&amp;I4834&amp;" "&amp;J4834&amp;" "&amp;K4834&amp;" "&amp;L4834))),OR($C$5="Semua",$C$5="",G4834=$C$5),OR($C$6="Semua",$C$6="",H4834=$C$6,H4834="Pengeluaran "&amp;$C$6,AND($C$6="Uang Kos Mama",H4834="Pengeluaran Uang Kos")),OR($C$7="Semua",$C$7="",I4834=$C$7),OR($C$8="Semua",$C$8="",C4834=$C$8,E4834=$C$8),OR($C$9="Semua",$C$9="",D4834=$C$9),OR($C$10="",B4834&gt;=$C$10),OR($C$11="",B4834&lt;=$C$11),OR($C$12&lt;&gt;"Ya",K4834&lt;&gt;""),OR($C$13="Semua",$C$13="",L4834=$C$13)),"✓","")</f>
        <v/>
      </c>
      <c r="N4834" s="93">
        <f>N(N4833)+IF(M4834="✓",1,0)</f>
        <v/>
      </c>
      <c r="O4834" s="93">
        <f>N(O4833)+IF(AND(B4834&lt;&gt;"",B4834&gt;='Uang Riba'!$H$30,B4834&lt;='Uang Riba'!$I$30,OR(H4834="Dana riba",H4834="Pinjam uang riba",I4834="Pinjam dari uang riba",I4834="Ganti uang riba",I4834="Kelebihan ganti dikembalikan",AND(C4834="Kantong Uang Riba",G4834="Pengeluaran"))),1,0)</f>
        <v/>
      </c>
      <c r="X4834" s="93">
        <f>IF(AND(B4834&lt;&gt;"",B4834&gt;='Buku Akun'!$H$4,B4834&lt;='Buku Akun'!$H$5,OR(C4834='Buku Akun'!$C$4,AND(D4834="Pindah",E4834='Buku Akun'!$C$4))),B4834+IF(AND(I4834="Selisih bunga",DAY(B4834)=1),0,0.01)+ROW()/10000000,"")</f>
        <v/>
      </c>
    </row>
    <row r="4835" outlineLevel="1" ht="15" customHeight="1" s="94">
      <c r="A4835" s="123">
        <f>IF(B4835="","",ROW()-15)</f>
        <v/>
      </c>
      <c r="B4835" s="124" t="n"/>
      <c r="C4835" s="123" t="n"/>
      <c r="D4835" s="123" t="n"/>
      <c r="E4835" s="123" t="n"/>
      <c r="F4835" s="125" t="n"/>
      <c r="G4835" s="123" t="n"/>
      <c r="H4835" s="123" t="n"/>
      <c r="I4835" s="123" t="n"/>
      <c r="J4835" s="123" t="n"/>
      <c r="K4835" s="123" t="n"/>
      <c r="L4835" s="123" t="n"/>
      <c r="M4835" s="123">
        <f>IF(AND(B4835&lt;&gt;"",OR($C$4="",ISNUMBER(SEARCH($C$4,C4835&amp;" "&amp;E4835&amp;" "&amp;G4835&amp;" "&amp;H4835&amp;" "&amp;I4835&amp;" "&amp;J4835&amp;" "&amp;K4835&amp;" "&amp;L4835))),OR($C$5="Semua",$C$5="",G4835=$C$5),OR($C$6="Semua",$C$6="",H4835=$C$6,H4835="Pengeluaran "&amp;$C$6,AND($C$6="Uang Kos Mama",H4835="Pengeluaran Uang Kos")),OR($C$7="Semua",$C$7="",I4835=$C$7),OR($C$8="Semua",$C$8="",C4835=$C$8,E4835=$C$8),OR($C$9="Semua",$C$9="",D4835=$C$9),OR($C$10="",B4835&gt;=$C$10),OR($C$11="",B4835&lt;=$C$11),OR($C$12&lt;&gt;"Ya",K4835&lt;&gt;""),OR($C$13="Semua",$C$13="",L4835=$C$13)),"✓","")</f>
        <v/>
      </c>
      <c r="N4835" s="93">
        <f>N(N4834)+IF(M4835="✓",1,0)</f>
        <v/>
      </c>
      <c r="O4835" s="93">
        <f>N(O4834)+IF(AND(B4835&lt;&gt;"",B4835&gt;='Uang Riba'!$H$30,B4835&lt;='Uang Riba'!$I$30,OR(H4835="Dana riba",H4835="Pinjam uang riba",I4835="Pinjam dari uang riba",I4835="Ganti uang riba",I4835="Kelebihan ganti dikembalikan",AND(C4835="Kantong Uang Riba",G4835="Pengeluaran"))),1,0)</f>
        <v/>
      </c>
      <c r="X4835" s="93">
        <f>IF(AND(B4835&lt;&gt;"",B4835&gt;='Buku Akun'!$H$4,B4835&lt;='Buku Akun'!$H$5,OR(C4835='Buku Akun'!$C$4,AND(D4835="Pindah",E4835='Buku Akun'!$C$4))),B4835+IF(AND(I4835="Selisih bunga",DAY(B4835)=1),0,0.01)+ROW()/10000000,"")</f>
        <v/>
      </c>
    </row>
    <row r="4836" outlineLevel="1" ht="15" customHeight="1" s="94">
      <c r="A4836" s="123">
        <f>IF(B4836="","",ROW()-15)</f>
        <v/>
      </c>
      <c r="B4836" s="124" t="n"/>
      <c r="C4836" s="123" t="n"/>
      <c r="D4836" s="123" t="n"/>
      <c r="E4836" s="123" t="n"/>
      <c r="F4836" s="125" t="n"/>
      <c r="G4836" s="123" t="n"/>
      <c r="H4836" s="123" t="n"/>
      <c r="I4836" s="123" t="n"/>
      <c r="J4836" s="123" t="n"/>
      <c r="K4836" s="123" t="n"/>
      <c r="L4836" s="123" t="n"/>
      <c r="M4836" s="123">
        <f>IF(AND(B4836&lt;&gt;"",OR($C$4="",ISNUMBER(SEARCH($C$4,C4836&amp;" "&amp;E4836&amp;" "&amp;G4836&amp;" "&amp;H4836&amp;" "&amp;I4836&amp;" "&amp;J4836&amp;" "&amp;K4836&amp;" "&amp;L4836))),OR($C$5="Semua",$C$5="",G4836=$C$5),OR($C$6="Semua",$C$6="",H4836=$C$6,H4836="Pengeluaran "&amp;$C$6,AND($C$6="Uang Kos Mama",H4836="Pengeluaran Uang Kos")),OR($C$7="Semua",$C$7="",I4836=$C$7),OR($C$8="Semua",$C$8="",C4836=$C$8,E4836=$C$8),OR($C$9="Semua",$C$9="",D4836=$C$9),OR($C$10="",B4836&gt;=$C$10),OR($C$11="",B4836&lt;=$C$11),OR($C$12&lt;&gt;"Ya",K4836&lt;&gt;""),OR($C$13="Semua",$C$13="",L4836=$C$13)),"✓","")</f>
        <v/>
      </c>
      <c r="N4836" s="93">
        <f>N(N4835)+IF(M4836="✓",1,0)</f>
        <v/>
      </c>
      <c r="O4836" s="93">
        <f>N(O4835)+IF(AND(B4836&lt;&gt;"",B4836&gt;='Uang Riba'!$H$30,B4836&lt;='Uang Riba'!$I$30,OR(H4836="Dana riba",H4836="Pinjam uang riba",I4836="Pinjam dari uang riba",I4836="Ganti uang riba",I4836="Kelebihan ganti dikembalikan",AND(C4836="Kantong Uang Riba",G4836="Pengeluaran"))),1,0)</f>
        <v/>
      </c>
      <c r="X4836" s="93">
        <f>IF(AND(B4836&lt;&gt;"",B4836&gt;='Buku Akun'!$H$4,B4836&lt;='Buku Akun'!$H$5,OR(C4836='Buku Akun'!$C$4,AND(D4836="Pindah",E4836='Buku Akun'!$C$4))),B4836+IF(AND(I4836="Selisih bunga",DAY(B4836)=1),0,0.01)+ROW()/10000000,"")</f>
        <v/>
      </c>
    </row>
    <row r="4837" outlineLevel="1" ht="15" customHeight="1" s="94">
      <c r="A4837" s="123">
        <f>IF(B4837="","",ROW()-15)</f>
        <v/>
      </c>
      <c r="B4837" s="124" t="n"/>
      <c r="C4837" s="123" t="n"/>
      <c r="D4837" s="123" t="n"/>
      <c r="E4837" s="123" t="n"/>
      <c r="F4837" s="125" t="n"/>
      <c r="G4837" s="123" t="n"/>
      <c r="H4837" s="123" t="n"/>
      <c r="I4837" s="123" t="n"/>
      <c r="J4837" s="123" t="n"/>
      <c r="K4837" s="123" t="n"/>
      <c r="L4837" s="123" t="n"/>
      <c r="M4837" s="123">
        <f>IF(AND(B4837&lt;&gt;"",OR($C$4="",ISNUMBER(SEARCH($C$4,C4837&amp;" "&amp;E4837&amp;" "&amp;G4837&amp;" "&amp;H4837&amp;" "&amp;I4837&amp;" "&amp;J4837&amp;" "&amp;K4837&amp;" "&amp;L4837))),OR($C$5="Semua",$C$5="",G4837=$C$5),OR($C$6="Semua",$C$6="",H4837=$C$6,H4837="Pengeluaran "&amp;$C$6,AND($C$6="Uang Kos Mama",H4837="Pengeluaran Uang Kos")),OR($C$7="Semua",$C$7="",I4837=$C$7),OR($C$8="Semua",$C$8="",C4837=$C$8,E4837=$C$8),OR($C$9="Semua",$C$9="",D4837=$C$9),OR($C$10="",B4837&gt;=$C$10),OR($C$11="",B4837&lt;=$C$11),OR($C$12&lt;&gt;"Ya",K4837&lt;&gt;""),OR($C$13="Semua",$C$13="",L4837=$C$13)),"✓","")</f>
        <v/>
      </c>
      <c r="N4837" s="93">
        <f>N(N4836)+IF(M4837="✓",1,0)</f>
        <v/>
      </c>
      <c r="O4837" s="93">
        <f>N(O4836)+IF(AND(B4837&lt;&gt;"",B4837&gt;='Uang Riba'!$H$30,B4837&lt;='Uang Riba'!$I$30,OR(H4837="Dana riba",H4837="Pinjam uang riba",I4837="Pinjam dari uang riba",I4837="Ganti uang riba",I4837="Kelebihan ganti dikembalikan",AND(C4837="Kantong Uang Riba",G4837="Pengeluaran"))),1,0)</f>
        <v/>
      </c>
      <c r="X4837" s="93">
        <f>IF(AND(B4837&lt;&gt;"",B4837&gt;='Buku Akun'!$H$4,B4837&lt;='Buku Akun'!$H$5,OR(C4837='Buku Akun'!$C$4,AND(D4837="Pindah",E4837='Buku Akun'!$C$4))),B4837+IF(AND(I4837="Selisih bunga",DAY(B4837)=1),0,0.01)+ROW()/10000000,"")</f>
        <v/>
      </c>
    </row>
    <row r="4838" outlineLevel="1" ht="15" customHeight="1" s="94">
      <c r="A4838" s="123">
        <f>IF(B4838="","",ROW()-15)</f>
        <v/>
      </c>
      <c r="B4838" s="124" t="n"/>
      <c r="C4838" s="123" t="n"/>
      <c r="D4838" s="123" t="n"/>
      <c r="E4838" s="123" t="n"/>
      <c r="F4838" s="125" t="n"/>
      <c r="G4838" s="123" t="n"/>
      <c r="H4838" s="123" t="n"/>
      <c r="I4838" s="123" t="n"/>
      <c r="J4838" s="123" t="n"/>
      <c r="K4838" s="123" t="n"/>
      <c r="L4838" s="123" t="n"/>
      <c r="M4838" s="123">
        <f>IF(AND(B4838&lt;&gt;"",OR($C$4="",ISNUMBER(SEARCH($C$4,C4838&amp;" "&amp;E4838&amp;" "&amp;G4838&amp;" "&amp;H4838&amp;" "&amp;I4838&amp;" "&amp;J4838&amp;" "&amp;K4838&amp;" "&amp;L4838))),OR($C$5="Semua",$C$5="",G4838=$C$5),OR($C$6="Semua",$C$6="",H4838=$C$6,H4838="Pengeluaran "&amp;$C$6,AND($C$6="Uang Kos Mama",H4838="Pengeluaran Uang Kos")),OR($C$7="Semua",$C$7="",I4838=$C$7),OR($C$8="Semua",$C$8="",C4838=$C$8,E4838=$C$8),OR($C$9="Semua",$C$9="",D4838=$C$9),OR($C$10="",B4838&gt;=$C$10),OR($C$11="",B4838&lt;=$C$11),OR($C$12&lt;&gt;"Ya",K4838&lt;&gt;""),OR($C$13="Semua",$C$13="",L4838=$C$13)),"✓","")</f>
        <v/>
      </c>
      <c r="N4838" s="93">
        <f>N(N4837)+IF(M4838="✓",1,0)</f>
        <v/>
      </c>
      <c r="O4838" s="93">
        <f>N(O4837)+IF(AND(B4838&lt;&gt;"",B4838&gt;='Uang Riba'!$H$30,B4838&lt;='Uang Riba'!$I$30,OR(H4838="Dana riba",H4838="Pinjam uang riba",I4838="Pinjam dari uang riba",I4838="Ganti uang riba",I4838="Kelebihan ganti dikembalikan",AND(C4838="Kantong Uang Riba",G4838="Pengeluaran"))),1,0)</f>
        <v/>
      </c>
      <c r="X4838" s="93">
        <f>IF(AND(B4838&lt;&gt;"",B4838&gt;='Buku Akun'!$H$4,B4838&lt;='Buku Akun'!$H$5,OR(C4838='Buku Akun'!$C$4,AND(D4838="Pindah",E4838='Buku Akun'!$C$4))),B4838+IF(AND(I4838="Selisih bunga",DAY(B4838)=1),0,0.01)+ROW()/10000000,"")</f>
        <v/>
      </c>
    </row>
    <row r="4839" outlineLevel="1" ht="15" customHeight="1" s="94">
      <c r="A4839" s="123">
        <f>IF(B4839="","",ROW()-15)</f>
        <v/>
      </c>
      <c r="B4839" s="124" t="n"/>
      <c r="C4839" s="123" t="n"/>
      <c r="D4839" s="123" t="n"/>
      <c r="E4839" s="123" t="n"/>
      <c r="F4839" s="125" t="n"/>
      <c r="G4839" s="123" t="n"/>
      <c r="H4839" s="123" t="n"/>
      <c r="I4839" s="123" t="n"/>
      <c r="J4839" s="123" t="n"/>
      <c r="K4839" s="123" t="n"/>
      <c r="L4839" s="123" t="n"/>
      <c r="M4839" s="123">
        <f>IF(AND(B4839&lt;&gt;"",OR($C$4="",ISNUMBER(SEARCH($C$4,C4839&amp;" "&amp;E4839&amp;" "&amp;G4839&amp;" "&amp;H4839&amp;" "&amp;I4839&amp;" "&amp;J4839&amp;" "&amp;K4839&amp;" "&amp;L4839))),OR($C$5="Semua",$C$5="",G4839=$C$5),OR($C$6="Semua",$C$6="",H4839=$C$6,H4839="Pengeluaran "&amp;$C$6,AND($C$6="Uang Kos Mama",H4839="Pengeluaran Uang Kos")),OR($C$7="Semua",$C$7="",I4839=$C$7),OR($C$8="Semua",$C$8="",C4839=$C$8,E4839=$C$8),OR($C$9="Semua",$C$9="",D4839=$C$9),OR($C$10="",B4839&gt;=$C$10),OR($C$11="",B4839&lt;=$C$11),OR($C$12&lt;&gt;"Ya",K4839&lt;&gt;""),OR($C$13="Semua",$C$13="",L4839=$C$13)),"✓","")</f>
        <v/>
      </c>
      <c r="N4839" s="93">
        <f>N(N4838)+IF(M4839="✓",1,0)</f>
        <v/>
      </c>
      <c r="O4839" s="93">
        <f>N(O4838)+IF(AND(B4839&lt;&gt;"",B4839&gt;='Uang Riba'!$H$30,B4839&lt;='Uang Riba'!$I$30,OR(H4839="Dana riba",H4839="Pinjam uang riba",I4839="Pinjam dari uang riba",I4839="Ganti uang riba",I4839="Kelebihan ganti dikembalikan",AND(C4839="Kantong Uang Riba",G4839="Pengeluaran"))),1,0)</f>
        <v/>
      </c>
      <c r="X4839" s="93">
        <f>IF(AND(B4839&lt;&gt;"",B4839&gt;='Buku Akun'!$H$4,B4839&lt;='Buku Akun'!$H$5,OR(C4839='Buku Akun'!$C$4,AND(D4839="Pindah",E4839='Buku Akun'!$C$4))),B4839+IF(AND(I4839="Selisih bunga",DAY(B4839)=1),0,0.01)+ROW()/10000000,"")</f>
        <v/>
      </c>
    </row>
    <row r="4840" outlineLevel="1" ht="15" customHeight="1" s="94">
      <c r="A4840" s="123">
        <f>IF(B4840="","",ROW()-15)</f>
        <v/>
      </c>
      <c r="B4840" s="124" t="n"/>
      <c r="C4840" s="123" t="n"/>
      <c r="D4840" s="123" t="n"/>
      <c r="E4840" s="123" t="n"/>
      <c r="F4840" s="125" t="n"/>
      <c r="G4840" s="123" t="n"/>
      <c r="H4840" s="123" t="n"/>
      <c r="I4840" s="123" t="n"/>
      <c r="J4840" s="123" t="n"/>
      <c r="K4840" s="123" t="n"/>
      <c r="L4840" s="123" t="n"/>
      <c r="M4840" s="123">
        <f>IF(AND(B4840&lt;&gt;"",OR($C$4="",ISNUMBER(SEARCH($C$4,C4840&amp;" "&amp;E4840&amp;" "&amp;G4840&amp;" "&amp;H4840&amp;" "&amp;I4840&amp;" "&amp;J4840&amp;" "&amp;K4840&amp;" "&amp;L4840))),OR($C$5="Semua",$C$5="",G4840=$C$5),OR($C$6="Semua",$C$6="",H4840=$C$6,H4840="Pengeluaran "&amp;$C$6,AND($C$6="Uang Kos Mama",H4840="Pengeluaran Uang Kos")),OR($C$7="Semua",$C$7="",I4840=$C$7),OR($C$8="Semua",$C$8="",C4840=$C$8,E4840=$C$8),OR($C$9="Semua",$C$9="",D4840=$C$9),OR($C$10="",B4840&gt;=$C$10),OR($C$11="",B4840&lt;=$C$11),OR($C$12&lt;&gt;"Ya",K4840&lt;&gt;""),OR($C$13="Semua",$C$13="",L4840=$C$13)),"✓","")</f>
        <v/>
      </c>
      <c r="N4840" s="93">
        <f>N(N4839)+IF(M4840="✓",1,0)</f>
        <v/>
      </c>
      <c r="O4840" s="93">
        <f>N(O4839)+IF(AND(B4840&lt;&gt;"",B4840&gt;='Uang Riba'!$H$30,B4840&lt;='Uang Riba'!$I$30,OR(H4840="Dana riba",H4840="Pinjam uang riba",I4840="Pinjam dari uang riba",I4840="Ganti uang riba",I4840="Kelebihan ganti dikembalikan",AND(C4840="Kantong Uang Riba",G4840="Pengeluaran"))),1,0)</f>
        <v/>
      </c>
      <c r="X4840" s="93">
        <f>IF(AND(B4840&lt;&gt;"",B4840&gt;='Buku Akun'!$H$4,B4840&lt;='Buku Akun'!$H$5,OR(C4840='Buku Akun'!$C$4,AND(D4840="Pindah",E4840='Buku Akun'!$C$4))),B4840+IF(AND(I4840="Selisih bunga",DAY(B4840)=1),0,0.01)+ROW()/10000000,"")</f>
        <v/>
      </c>
    </row>
    <row r="4841" outlineLevel="1" ht="15" customHeight="1" s="94">
      <c r="A4841" s="123">
        <f>IF(B4841="","",ROW()-15)</f>
        <v/>
      </c>
      <c r="B4841" s="124" t="n"/>
      <c r="C4841" s="123" t="n"/>
      <c r="D4841" s="123" t="n"/>
      <c r="E4841" s="123" t="n"/>
      <c r="F4841" s="125" t="n"/>
      <c r="G4841" s="123" t="n"/>
      <c r="H4841" s="123" t="n"/>
      <c r="I4841" s="123" t="n"/>
      <c r="J4841" s="123" t="n"/>
      <c r="K4841" s="123" t="n"/>
      <c r="L4841" s="123" t="n"/>
      <c r="M4841" s="123">
        <f>IF(AND(B4841&lt;&gt;"",OR($C$4="",ISNUMBER(SEARCH($C$4,C4841&amp;" "&amp;E4841&amp;" "&amp;G4841&amp;" "&amp;H4841&amp;" "&amp;I4841&amp;" "&amp;J4841&amp;" "&amp;K4841&amp;" "&amp;L4841))),OR($C$5="Semua",$C$5="",G4841=$C$5),OR($C$6="Semua",$C$6="",H4841=$C$6,H4841="Pengeluaran "&amp;$C$6,AND($C$6="Uang Kos Mama",H4841="Pengeluaran Uang Kos")),OR($C$7="Semua",$C$7="",I4841=$C$7),OR($C$8="Semua",$C$8="",C4841=$C$8,E4841=$C$8),OR($C$9="Semua",$C$9="",D4841=$C$9),OR($C$10="",B4841&gt;=$C$10),OR($C$11="",B4841&lt;=$C$11),OR($C$12&lt;&gt;"Ya",K4841&lt;&gt;""),OR($C$13="Semua",$C$13="",L4841=$C$13)),"✓","")</f>
        <v/>
      </c>
      <c r="N4841" s="93">
        <f>N(N4840)+IF(M4841="✓",1,0)</f>
        <v/>
      </c>
      <c r="O4841" s="93">
        <f>N(O4840)+IF(AND(B4841&lt;&gt;"",B4841&gt;='Uang Riba'!$H$30,B4841&lt;='Uang Riba'!$I$30,OR(H4841="Dana riba",H4841="Pinjam uang riba",I4841="Pinjam dari uang riba",I4841="Ganti uang riba",I4841="Kelebihan ganti dikembalikan",AND(C4841="Kantong Uang Riba",G4841="Pengeluaran"))),1,0)</f>
        <v/>
      </c>
      <c r="X4841" s="93">
        <f>IF(AND(B4841&lt;&gt;"",B4841&gt;='Buku Akun'!$H$4,B4841&lt;='Buku Akun'!$H$5,OR(C4841='Buku Akun'!$C$4,AND(D4841="Pindah",E4841='Buku Akun'!$C$4))),B4841+IF(AND(I4841="Selisih bunga",DAY(B4841)=1),0,0.01)+ROW()/10000000,"")</f>
        <v/>
      </c>
    </row>
    <row r="4842" outlineLevel="1" ht="15" customHeight="1" s="94">
      <c r="A4842" s="123">
        <f>IF(B4842="","",ROW()-15)</f>
        <v/>
      </c>
      <c r="B4842" s="124" t="n"/>
      <c r="C4842" s="123" t="n"/>
      <c r="D4842" s="123" t="n"/>
      <c r="E4842" s="123" t="n"/>
      <c r="F4842" s="125" t="n"/>
      <c r="G4842" s="123" t="n"/>
      <c r="H4842" s="123" t="n"/>
      <c r="I4842" s="123" t="n"/>
      <c r="J4842" s="123" t="n"/>
      <c r="K4842" s="123" t="n"/>
      <c r="L4842" s="123" t="n"/>
      <c r="M4842" s="123">
        <f>IF(AND(B4842&lt;&gt;"",OR($C$4="",ISNUMBER(SEARCH($C$4,C4842&amp;" "&amp;E4842&amp;" "&amp;G4842&amp;" "&amp;H4842&amp;" "&amp;I4842&amp;" "&amp;J4842&amp;" "&amp;K4842&amp;" "&amp;L4842))),OR($C$5="Semua",$C$5="",G4842=$C$5),OR($C$6="Semua",$C$6="",H4842=$C$6,H4842="Pengeluaran "&amp;$C$6,AND($C$6="Uang Kos Mama",H4842="Pengeluaran Uang Kos")),OR($C$7="Semua",$C$7="",I4842=$C$7),OR($C$8="Semua",$C$8="",C4842=$C$8,E4842=$C$8),OR($C$9="Semua",$C$9="",D4842=$C$9),OR($C$10="",B4842&gt;=$C$10),OR($C$11="",B4842&lt;=$C$11),OR($C$12&lt;&gt;"Ya",K4842&lt;&gt;""),OR($C$13="Semua",$C$13="",L4842=$C$13)),"✓","")</f>
        <v/>
      </c>
      <c r="N4842" s="93">
        <f>N(N4841)+IF(M4842="✓",1,0)</f>
        <v/>
      </c>
      <c r="O4842" s="93">
        <f>N(O4841)+IF(AND(B4842&lt;&gt;"",B4842&gt;='Uang Riba'!$H$30,B4842&lt;='Uang Riba'!$I$30,OR(H4842="Dana riba",H4842="Pinjam uang riba",I4842="Pinjam dari uang riba",I4842="Ganti uang riba",I4842="Kelebihan ganti dikembalikan",AND(C4842="Kantong Uang Riba",G4842="Pengeluaran"))),1,0)</f>
        <v/>
      </c>
      <c r="X4842" s="93">
        <f>IF(AND(B4842&lt;&gt;"",B4842&gt;='Buku Akun'!$H$4,B4842&lt;='Buku Akun'!$H$5,OR(C4842='Buku Akun'!$C$4,AND(D4842="Pindah",E4842='Buku Akun'!$C$4))),B4842+IF(AND(I4842="Selisih bunga",DAY(B4842)=1),0,0.01)+ROW()/10000000,"")</f>
        <v/>
      </c>
    </row>
    <row r="4843" outlineLevel="1" ht="15" customHeight="1" s="94">
      <c r="A4843" s="123">
        <f>IF(B4843="","",ROW()-15)</f>
        <v/>
      </c>
      <c r="B4843" s="124" t="n"/>
      <c r="C4843" s="123" t="n"/>
      <c r="D4843" s="123" t="n"/>
      <c r="E4843" s="123" t="n"/>
      <c r="F4843" s="125" t="n"/>
      <c r="G4843" s="123" t="n"/>
      <c r="H4843" s="123" t="n"/>
      <c r="I4843" s="123" t="n"/>
      <c r="J4843" s="123" t="n"/>
      <c r="K4843" s="123" t="n"/>
      <c r="L4843" s="123" t="n"/>
      <c r="M4843" s="123">
        <f>IF(AND(B4843&lt;&gt;"",OR($C$4="",ISNUMBER(SEARCH($C$4,C4843&amp;" "&amp;E4843&amp;" "&amp;G4843&amp;" "&amp;H4843&amp;" "&amp;I4843&amp;" "&amp;J4843&amp;" "&amp;K4843&amp;" "&amp;L4843))),OR($C$5="Semua",$C$5="",G4843=$C$5),OR($C$6="Semua",$C$6="",H4843=$C$6,H4843="Pengeluaran "&amp;$C$6,AND($C$6="Uang Kos Mama",H4843="Pengeluaran Uang Kos")),OR($C$7="Semua",$C$7="",I4843=$C$7),OR($C$8="Semua",$C$8="",C4843=$C$8,E4843=$C$8),OR($C$9="Semua",$C$9="",D4843=$C$9),OR($C$10="",B4843&gt;=$C$10),OR($C$11="",B4843&lt;=$C$11),OR($C$12&lt;&gt;"Ya",K4843&lt;&gt;""),OR($C$13="Semua",$C$13="",L4843=$C$13)),"✓","")</f>
        <v/>
      </c>
      <c r="N4843" s="93">
        <f>N(N4842)+IF(M4843="✓",1,0)</f>
        <v/>
      </c>
      <c r="O4843" s="93">
        <f>N(O4842)+IF(AND(B4843&lt;&gt;"",B4843&gt;='Uang Riba'!$H$30,B4843&lt;='Uang Riba'!$I$30,OR(H4843="Dana riba",H4843="Pinjam uang riba",I4843="Pinjam dari uang riba",I4843="Ganti uang riba",I4843="Kelebihan ganti dikembalikan",AND(C4843="Kantong Uang Riba",G4843="Pengeluaran"))),1,0)</f>
        <v/>
      </c>
      <c r="X4843" s="93">
        <f>IF(AND(B4843&lt;&gt;"",B4843&gt;='Buku Akun'!$H$4,B4843&lt;='Buku Akun'!$H$5,OR(C4843='Buku Akun'!$C$4,AND(D4843="Pindah",E4843='Buku Akun'!$C$4))),B4843+IF(AND(I4843="Selisih bunga",DAY(B4843)=1),0,0.01)+ROW()/10000000,"")</f>
        <v/>
      </c>
    </row>
    <row r="4844" outlineLevel="1" ht="15" customHeight="1" s="94">
      <c r="A4844" s="123">
        <f>IF(B4844="","",ROW()-15)</f>
        <v/>
      </c>
      <c r="B4844" s="124" t="n"/>
      <c r="C4844" s="123" t="n"/>
      <c r="D4844" s="123" t="n"/>
      <c r="E4844" s="123" t="n"/>
      <c r="F4844" s="125" t="n"/>
      <c r="G4844" s="123" t="n"/>
      <c r="H4844" s="123" t="n"/>
      <c r="I4844" s="123" t="n"/>
      <c r="J4844" s="123" t="n"/>
      <c r="K4844" s="123" t="n"/>
      <c r="L4844" s="123" t="n"/>
      <c r="M4844" s="123">
        <f>IF(AND(B4844&lt;&gt;"",OR($C$4="",ISNUMBER(SEARCH($C$4,C4844&amp;" "&amp;E4844&amp;" "&amp;G4844&amp;" "&amp;H4844&amp;" "&amp;I4844&amp;" "&amp;J4844&amp;" "&amp;K4844&amp;" "&amp;L4844))),OR($C$5="Semua",$C$5="",G4844=$C$5),OR($C$6="Semua",$C$6="",H4844=$C$6,H4844="Pengeluaran "&amp;$C$6,AND($C$6="Uang Kos Mama",H4844="Pengeluaran Uang Kos")),OR($C$7="Semua",$C$7="",I4844=$C$7),OR($C$8="Semua",$C$8="",C4844=$C$8,E4844=$C$8),OR($C$9="Semua",$C$9="",D4844=$C$9),OR($C$10="",B4844&gt;=$C$10),OR($C$11="",B4844&lt;=$C$11),OR($C$12&lt;&gt;"Ya",K4844&lt;&gt;""),OR($C$13="Semua",$C$13="",L4844=$C$13)),"✓","")</f>
        <v/>
      </c>
      <c r="N4844" s="93">
        <f>N(N4843)+IF(M4844="✓",1,0)</f>
        <v/>
      </c>
      <c r="O4844" s="93">
        <f>N(O4843)+IF(AND(B4844&lt;&gt;"",B4844&gt;='Uang Riba'!$H$30,B4844&lt;='Uang Riba'!$I$30,OR(H4844="Dana riba",H4844="Pinjam uang riba",I4844="Pinjam dari uang riba",I4844="Ganti uang riba",I4844="Kelebihan ganti dikembalikan",AND(C4844="Kantong Uang Riba",G4844="Pengeluaran"))),1,0)</f>
        <v/>
      </c>
      <c r="X4844" s="93">
        <f>IF(AND(B4844&lt;&gt;"",B4844&gt;='Buku Akun'!$H$4,B4844&lt;='Buku Akun'!$H$5,OR(C4844='Buku Akun'!$C$4,AND(D4844="Pindah",E4844='Buku Akun'!$C$4))),B4844+IF(AND(I4844="Selisih bunga",DAY(B4844)=1),0,0.01)+ROW()/10000000,"")</f>
        <v/>
      </c>
    </row>
    <row r="4845" outlineLevel="1" ht="15" customHeight="1" s="94">
      <c r="A4845" s="123">
        <f>IF(B4845="","",ROW()-15)</f>
        <v/>
      </c>
      <c r="B4845" s="124" t="n"/>
      <c r="C4845" s="123" t="n"/>
      <c r="D4845" s="123" t="n"/>
      <c r="E4845" s="123" t="n"/>
      <c r="F4845" s="125" t="n"/>
      <c r="G4845" s="123" t="n"/>
      <c r="H4845" s="123" t="n"/>
      <c r="I4845" s="123" t="n"/>
      <c r="J4845" s="123" t="n"/>
      <c r="K4845" s="123" t="n"/>
      <c r="L4845" s="123" t="n"/>
      <c r="M4845" s="123">
        <f>IF(AND(B4845&lt;&gt;"",OR($C$4="",ISNUMBER(SEARCH($C$4,C4845&amp;" "&amp;E4845&amp;" "&amp;G4845&amp;" "&amp;H4845&amp;" "&amp;I4845&amp;" "&amp;J4845&amp;" "&amp;K4845&amp;" "&amp;L4845))),OR($C$5="Semua",$C$5="",G4845=$C$5),OR($C$6="Semua",$C$6="",H4845=$C$6,H4845="Pengeluaran "&amp;$C$6,AND($C$6="Uang Kos Mama",H4845="Pengeluaran Uang Kos")),OR($C$7="Semua",$C$7="",I4845=$C$7),OR($C$8="Semua",$C$8="",C4845=$C$8,E4845=$C$8),OR($C$9="Semua",$C$9="",D4845=$C$9),OR($C$10="",B4845&gt;=$C$10),OR($C$11="",B4845&lt;=$C$11),OR($C$12&lt;&gt;"Ya",K4845&lt;&gt;""),OR($C$13="Semua",$C$13="",L4845=$C$13)),"✓","")</f>
        <v/>
      </c>
      <c r="N4845" s="93">
        <f>N(N4844)+IF(M4845="✓",1,0)</f>
        <v/>
      </c>
      <c r="O4845" s="93">
        <f>N(O4844)+IF(AND(B4845&lt;&gt;"",B4845&gt;='Uang Riba'!$H$30,B4845&lt;='Uang Riba'!$I$30,OR(H4845="Dana riba",H4845="Pinjam uang riba",I4845="Pinjam dari uang riba",I4845="Ganti uang riba",I4845="Kelebihan ganti dikembalikan",AND(C4845="Kantong Uang Riba",G4845="Pengeluaran"))),1,0)</f>
        <v/>
      </c>
      <c r="X4845" s="93">
        <f>IF(AND(B4845&lt;&gt;"",B4845&gt;='Buku Akun'!$H$4,B4845&lt;='Buku Akun'!$H$5,OR(C4845='Buku Akun'!$C$4,AND(D4845="Pindah",E4845='Buku Akun'!$C$4))),B4845+IF(AND(I4845="Selisih bunga",DAY(B4845)=1),0,0.01)+ROW()/10000000,"")</f>
        <v/>
      </c>
    </row>
    <row r="4846" outlineLevel="1" ht="15" customHeight="1" s="94">
      <c r="A4846" s="123">
        <f>IF(B4846="","",ROW()-15)</f>
        <v/>
      </c>
      <c r="B4846" s="124" t="n"/>
      <c r="C4846" s="123" t="n"/>
      <c r="D4846" s="123" t="n"/>
      <c r="E4846" s="123" t="n"/>
      <c r="F4846" s="125" t="n"/>
      <c r="G4846" s="123" t="n"/>
      <c r="H4846" s="123" t="n"/>
      <c r="I4846" s="123" t="n"/>
      <c r="J4846" s="123" t="n"/>
      <c r="K4846" s="123" t="n"/>
      <c r="L4846" s="123" t="n"/>
      <c r="M4846" s="123">
        <f>IF(AND(B4846&lt;&gt;"",OR($C$4="",ISNUMBER(SEARCH($C$4,C4846&amp;" "&amp;E4846&amp;" "&amp;G4846&amp;" "&amp;H4846&amp;" "&amp;I4846&amp;" "&amp;J4846&amp;" "&amp;K4846&amp;" "&amp;L4846))),OR($C$5="Semua",$C$5="",G4846=$C$5),OR($C$6="Semua",$C$6="",H4846=$C$6,H4846="Pengeluaran "&amp;$C$6,AND($C$6="Uang Kos Mama",H4846="Pengeluaran Uang Kos")),OR($C$7="Semua",$C$7="",I4846=$C$7),OR($C$8="Semua",$C$8="",C4846=$C$8,E4846=$C$8),OR($C$9="Semua",$C$9="",D4846=$C$9),OR($C$10="",B4846&gt;=$C$10),OR($C$11="",B4846&lt;=$C$11),OR($C$12&lt;&gt;"Ya",K4846&lt;&gt;""),OR($C$13="Semua",$C$13="",L4846=$C$13)),"✓","")</f>
        <v/>
      </c>
      <c r="N4846" s="93">
        <f>N(N4845)+IF(M4846="✓",1,0)</f>
        <v/>
      </c>
      <c r="O4846" s="93">
        <f>N(O4845)+IF(AND(B4846&lt;&gt;"",B4846&gt;='Uang Riba'!$H$30,B4846&lt;='Uang Riba'!$I$30,OR(H4846="Dana riba",H4846="Pinjam uang riba",I4846="Pinjam dari uang riba",I4846="Ganti uang riba",I4846="Kelebihan ganti dikembalikan",AND(C4846="Kantong Uang Riba",G4846="Pengeluaran"))),1,0)</f>
        <v/>
      </c>
      <c r="X4846" s="93">
        <f>IF(AND(B4846&lt;&gt;"",B4846&gt;='Buku Akun'!$H$4,B4846&lt;='Buku Akun'!$H$5,OR(C4846='Buku Akun'!$C$4,AND(D4846="Pindah",E4846='Buku Akun'!$C$4))),B4846+IF(AND(I4846="Selisih bunga",DAY(B4846)=1),0,0.01)+ROW()/10000000,"")</f>
        <v/>
      </c>
    </row>
    <row r="4847" outlineLevel="1" ht="15" customHeight="1" s="94">
      <c r="A4847" s="123">
        <f>IF(B4847="","",ROW()-15)</f>
        <v/>
      </c>
      <c r="B4847" s="124" t="n"/>
      <c r="C4847" s="123" t="n"/>
      <c r="D4847" s="123" t="n"/>
      <c r="E4847" s="123" t="n"/>
      <c r="F4847" s="125" t="n"/>
      <c r="G4847" s="123" t="n"/>
      <c r="H4847" s="123" t="n"/>
      <c r="I4847" s="123" t="n"/>
      <c r="J4847" s="123" t="n"/>
      <c r="K4847" s="123" t="n"/>
      <c r="L4847" s="123" t="n"/>
      <c r="M4847" s="123">
        <f>IF(AND(B4847&lt;&gt;"",OR($C$4="",ISNUMBER(SEARCH($C$4,C4847&amp;" "&amp;E4847&amp;" "&amp;G4847&amp;" "&amp;H4847&amp;" "&amp;I4847&amp;" "&amp;J4847&amp;" "&amp;K4847&amp;" "&amp;L4847))),OR($C$5="Semua",$C$5="",G4847=$C$5),OR($C$6="Semua",$C$6="",H4847=$C$6,H4847="Pengeluaran "&amp;$C$6,AND($C$6="Uang Kos Mama",H4847="Pengeluaran Uang Kos")),OR($C$7="Semua",$C$7="",I4847=$C$7),OR($C$8="Semua",$C$8="",C4847=$C$8,E4847=$C$8),OR($C$9="Semua",$C$9="",D4847=$C$9),OR($C$10="",B4847&gt;=$C$10),OR($C$11="",B4847&lt;=$C$11),OR($C$12&lt;&gt;"Ya",K4847&lt;&gt;""),OR($C$13="Semua",$C$13="",L4847=$C$13)),"✓","")</f>
        <v/>
      </c>
      <c r="N4847" s="93">
        <f>N(N4846)+IF(M4847="✓",1,0)</f>
        <v/>
      </c>
      <c r="O4847" s="93">
        <f>N(O4846)+IF(AND(B4847&lt;&gt;"",B4847&gt;='Uang Riba'!$H$30,B4847&lt;='Uang Riba'!$I$30,OR(H4847="Dana riba",H4847="Pinjam uang riba",I4847="Pinjam dari uang riba",I4847="Ganti uang riba",I4847="Kelebihan ganti dikembalikan",AND(C4847="Kantong Uang Riba",G4847="Pengeluaran"))),1,0)</f>
        <v/>
      </c>
      <c r="X4847" s="93">
        <f>IF(AND(B4847&lt;&gt;"",B4847&gt;='Buku Akun'!$H$4,B4847&lt;='Buku Akun'!$H$5,OR(C4847='Buku Akun'!$C$4,AND(D4847="Pindah",E4847='Buku Akun'!$C$4))),B4847+IF(AND(I4847="Selisih bunga",DAY(B4847)=1),0,0.01)+ROW()/10000000,"")</f>
        <v/>
      </c>
    </row>
    <row r="4848" outlineLevel="1" ht="15" customHeight="1" s="94">
      <c r="A4848" s="123">
        <f>IF(B4848="","",ROW()-15)</f>
        <v/>
      </c>
      <c r="B4848" s="124" t="n"/>
      <c r="C4848" s="123" t="n"/>
      <c r="D4848" s="123" t="n"/>
      <c r="E4848" s="123" t="n"/>
      <c r="F4848" s="125" t="n"/>
      <c r="G4848" s="123" t="n"/>
      <c r="H4848" s="123" t="n"/>
      <c r="I4848" s="123" t="n"/>
      <c r="J4848" s="123" t="n"/>
      <c r="K4848" s="123" t="n"/>
      <c r="L4848" s="123" t="n"/>
      <c r="M4848" s="123">
        <f>IF(AND(B4848&lt;&gt;"",OR($C$4="",ISNUMBER(SEARCH($C$4,C4848&amp;" "&amp;E4848&amp;" "&amp;G4848&amp;" "&amp;H4848&amp;" "&amp;I4848&amp;" "&amp;J4848&amp;" "&amp;K4848&amp;" "&amp;L4848))),OR($C$5="Semua",$C$5="",G4848=$C$5),OR($C$6="Semua",$C$6="",H4848=$C$6,H4848="Pengeluaran "&amp;$C$6,AND($C$6="Uang Kos Mama",H4848="Pengeluaran Uang Kos")),OR($C$7="Semua",$C$7="",I4848=$C$7),OR($C$8="Semua",$C$8="",C4848=$C$8,E4848=$C$8),OR($C$9="Semua",$C$9="",D4848=$C$9),OR($C$10="",B4848&gt;=$C$10),OR($C$11="",B4848&lt;=$C$11),OR($C$12&lt;&gt;"Ya",K4848&lt;&gt;""),OR($C$13="Semua",$C$13="",L4848=$C$13)),"✓","")</f>
        <v/>
      </c>
      <c r="N4848" s="93">
        <f>N(N4847)+IF(M4848="✓",1,0)</f>
        <v/>
      </c>
      <c r="O4848" s="93">
        <f>N(O4847)+IF(AND(B4848&lt;&gt;"",B4848&gt;='Uang Riba'!$H$30,B4848&lt;='Uang Riba'!$I$30,OR(H4848="Dana riba",H4848="Pinjam uang riba",I4848="Pinjam dari uang riba",I4848="Ganti uang riba",I4848="Kelebihan ganti dikembalikan",AND(C4848="Kantong Uang Riba",G4848="Pengeluaran"))),1,0)</f>
        <v/>
      </c>
      <c r="X4848" s="93">
        <f>IF(AND(B4848&lt;&gt;"",B4848&gt;='Buku Akun'!$H$4,B4848&lt;='Buku Akun'!$H$5,OR(C4848='Buku Akun'!$C$4,AND(D4848="Pindah",E4848='Buku Akun'!$C$4))),B4848+IF(AND(I4848="Selisih bunga",DAY(B4848)=1),0,0.01)+ROW()/10000000,"")</f>
        <v/>
      </c>
    </row>
    <row r="4849" outlineLevel="1" ht="15" customHeight="1" s="94">
      <c r="A4849" s="123">
        <f>IF(B4849="","",ROW()-15)</f>
        <v/>
      </c>
      <c r="B4849" s="124" t="n"/>
      <c r="C4849" s="123" t="n"/>
      <c r="D4849" s="123" t="n"/>
      <c r="E4849" s="123" t="n"/>
      <c r="F4849" s="125" t="n"/>
      <c r="G4849" s="123" t="n"/>
      <c r="H4849" s="123" t="n"/>
      <c r="I4849" s="123" t="n"/>
      <c r="J4849" s="123" t="n"/>
      <c r="K4849" s="123" t="n"/>
      <c r="L4849" s="123" t="n"/>
      <c r="M4849" s="123">
        <f>IF(AND(B4849&lt;&gt;"",OR($C$4="",ISNUMBER(SEARCH($C$4,C4849&amp;" "&amp;E4849&amp;" "&amp;G4849&amp;" "&amp;H4849&amp;" "&amp;I4849&amp;" "&amp;J4849&amp;" "&amp;K4849&amp;" "&amp;L4849))),OR($C$5="Semua",$C$5="",G4849=$C$5),OR($C$6="Semua",$C$6="",H4849=$C$6,H4849="Pengeluaran "&amp;$C$6,AND($C$6="Uang Kos Mama",H4849="Pengeluaran Uang Kos")),OR($C$7="Semua",$C$7="",I4849=$C$7),OR($C$8="Semua",$C$8="",C4849=$C$8,E4849=$C$8),OR($C$9="Semua",$C$9="",D4849=$C$9),OR($C$10="",B4849&gt;=$C$10),OR($C$11="",B4849&lt;=$C$11),OR($C$12&lt;&gt;"Ya",K4849&lt;&gt;""),OR($C$13="Semua",$C$13="",L4849=$C$13)),"✓","")</f>
        <v/>
      </c>
      <c r="N4849" s="93">
        <f>N(N4848)+IF(M4849="✓",1,0)</f>
        <v/>
      </c>
      <c r="O4849" s="93">
        <f>N(O4848)+IF(AND(B4849&lt;&gt;"",B4849&gt;='Uang Riba'!$H$30,B4849&lt;='Uang Riba'!$I$30,OR(H4849="Dana riba",H4849="Pinjam uang riba",I4849="Pinjam dari uang riba",I4849="Ganti uang riba",I4849="Kelebihan ganti dikembalikan",AND(C4849="Kantong Uang Riba",G4849="Pengeluaran"))),1,0)</f>
        <v/>
      </c>
      <c r="X4849" s="93">
        <f>IF(AND(B4849&lt;&gt;"",B4849&gt;='Buku Akun'!$H$4,B4849&lt;='Buku Akun'!$H$5,OR(C4849='Buku Akun'!$C$4,AND(D4849="Pindah",E4849='Buku Akun'!$C$4))),B4849+IF(AND(I4849="Selisih bunga",DAY(B4849)=1),0,0.01)+ROW()/10000000,"")</f>
        <v/>
      </c>
    </row>
    <row r="4850" outlineLevel="1" ht="15" customHeight="1" s="94">
      <c r="A4850" s="123">
        <f>IF(B4850="","",ROW()-15)</f>
        <v/>
      </c>
      <c r="B4850" s="124" t="n"/>
      <c r="C4850" s="123" t="n"/>
      <c r="D4850" s="123" t="n"/>
      <c r="E4850" s="123" t="n"/>
      <c r="F4850" s="125" t="n"/>
      <c r="G4850" s="123" t="n"/>
      <c r="H4850" s="123" t="n"/>
      <c r="I4850" s="123" t="n"/>
      <c r="J4850" s="123" t="n"/>
      <c r="K4850" s="123" t="n"/>
      <c r="L4850" s="123" t="n"/>
      <c r="M4850" s="123">
        <f>IF(AND(B4850&lt;&gt;"",OR($C$4="",ISNUMBER(SEARCH($C$4,C4850&amp;" "&amp;E4850&amp;" "&amp;G4850&amp;" "&amp;H4850&amp;" "&amp;I4850&amp;" "&amp;J4850&amp;" "&amp;K4850&amp;" "&amp;L4850))),OR($C$5="Semua",$C$5="",G4850=$C$5),OR($C$6="Semua",$C$6="",H4850=$C$6,H4850="Pengeluaran "&amp;$C$6,AND($C$6="Uang Kos Mama",H4850="Pengeluaran Uang Kos")),OR($C$7="Semua",$C$7="",I4850=$C$7),OR($C$8="Semua",$C$8="",C4850=$C$8,E4850=$C$8),OR($C$9="Semua",$C$9="",D4850=$C$9),OR($C$10="",B4850&gt;=$C$10),OR($C$11="",B4850&lt;=$C$11),OR($C$12&lt;&gt;"Ya",K4850&lt;&gt;""),OR($C$13="Semua",$C$13="",L4850=$C$13)),"✓","")</f>
        <v/>
      </c>
      <c r="N4850" s="93">
        <f>N(N4849)+IF(M4850="✓",1,0)</f>
        <v/>
      </c>
      <c r="O4850" s="93">
        <f>N(O4849)+IF(AND(B4850&lt;&gt;"",B4850&gt;='Uang Riba'!$H$30,B4850&lt;='Uang Riba'!$I$30,OR(H4850="Dana riba",H4850="Pinjam uang riba",I4850="Pinjam dari uang riba",I4850="Ganti uang riba",I4850="Kelebihan ganti dikembalikan",AND(C4850="Kantong Uang Riba",G4850="Pengeluaran"))),1,0)</f>
        <v/>
      </c>
      <c r="X4850" s="93">
        <f>IF(AND(B4850&lt;&gt;"",B4850&gt;='Buku Akun'!$H$4,B4850&lt;='Buku Akun'!$H$5,OR(C4850='Buku Akun'!$C$4,AND(D4850="Pindah",E4850='Buku Akun'!$C$4))),B4850+IF(AND(I4850="Selisih bunga",DAY(B4850)=1),0,0.01)+ROW()/10000000,"")</f>
        <v/>
      </c>
    </row>
    <row r="4851" outlineLevel="1" ht="15" customHeight="1" s="94">
      <c r="A4851" s="123">
        <f>IF(B4851="","",ROW()-15)</f>
        <v/>
      </c>
      <c r="B4851" s="124" t="n"/>
      <c r="C4851" s="123" t="n"/>
      <c r="D4851" s="123" t="n"/>
      <c r="E4851" s="123" t="n"/>
      <c r="F4851" s="125" t="n"/>
      <c r="G4851" s="123" t="n"/>
      <c r="H4851" s="123" t="n"/>
      <c r="I4851" s="123" t="n"/>
      <c r="J4851" s="123" t="n"/>
      <c r="K4851" s="123" t="n"/>
      <c r="L4851" s="123" t="n"/>
      <c r="M4851" s="123">
        <f>IF(AND(B4851&lt;&gt;"",OR($C$4="",ISNUMBER(SEARCH($C$4,C4851&amp;" "&amp;E4851&amp;" "&amp;G4851&amp;" "&amp;H4851&amp;" "&amp;I4851&amp;" "&amp;J4851&amp;" "&amp;K4851&amp;" "&amp;L4851))),OR($C$5="Semua",$C$5="",G4851=$C$5),OR($C$6="Semua",$C$6="",H4851=$C$6,H4851="Pengeluaran "&amp;$C$6,AND($C$6="Uang Kos Mama",H4851="Pengeluaran Uang Kos")),OR($C$7="Semua",$C$7="",I4851=$C$7),OR($C$8="Semua",$C$8="",C4851=$C$8,E4851=$C$8),OR($C$9="Semua",$C$9="",D4851=$C$9),OR($C$10="",B4851&gt;=$C$10),OR($C$11="",B4851&lt;=$C$11),OR($C$12&lt;&gt;"Ya",K4851&lt;&gt;""),OR($C$13="Semua",$C$13="",L4851=$C$13)),"✓","")</f>
        <v/>
      </c>
      <c r="N4851" s="93">
        <f>N(N4850)+IF(M4851="✓",1,0)</f>
        <v/>
      </c>
      <c r="O4851" s="93">
        <f>N(O4850)+IF(AND(B4851&lt;&gt;"",B4851&gt;='Uang Riba'!$H$30,B4851&lt;='Uang Riba'!$I$30,OR(H4851="Dana riba",H4851="Pinjam uang riba",I4851="Pinjam dari uang riba",I4851="Ganti uang riba",I4851="Kelebihan ganti dikembalikan",AND(C4851="Kantong Uang Riba",G4851="Pengeluaran"))),1,0)</f>
        <v/>
      </c>
      <c r="X4851" s="93">
        <f>IF(AND(B4851&lt;&gt;"",B4851&gt;='Buku Akun'!$H$4,B4851&lt;='Buku Akun'!$H$5,OR(C4851='Buku Akun'!$C$4,AND(D4851="Pindah",E4851='Buku Akun'!$C$4))),B4851+IF(AND(I4851="Selisih bunga",DAY(B4851)=1),0,0.01)+ROW()/10000000,"")</f>
        <v/>
      </c>
    </row>
    <row r="4852" outlineLevel="1" ht="15" customHeight="1" s="94">
      <c r="A4852" s="123">
        <f>IF(B4852="","",ROW()-15)</f>
        <v/>
      </c>
      <c r="B4852" s="124" t="n"/>
      <c r="C4852" s="123" t="n"/>
      <c r="D4852" s="123" t="n"/>
      <c r="E4852" s="123" t="n"/>
      <c r="F4852" s="125" t="n"/>
      <c r="G4852" s="123" t="n"/>
      <c r="H4852" s="123" t="n"/>
      <c r="I4852" s="123" t="n"/>
      <c r="J4852" s="123" t="n"/>
      <c r="K4852" s="123" t="n"/>
      <c r="L4852" s="123" t="n"/>
      <c r="M4852" s="123">
        <f>IF(AND(B4852&lt;&gt;"",OR($C$4="",ISNUMBER(SEARCH($C$4,C4852&amp;" "&amp;E4852&amp;" "&amp;G4852&amp;" "&amp;H4852&amp;" "&amp;I4852&amp;" "&amp;J4852&amp;" "&amp;K4852&amp;" "&amp;L4852))),OR($C$5="Semua",$C$5="",G4852=$C$5),OR($C$6="Semua",$C$6="",H4852=$C$6,H4852="Pengeluaran "&amp;$C$6,AND($C$6="Uang Kos Mama",H4852="Pengeluaran Uang Kos")),OR($C$7="Semua",$C$7="",I4852=$C$7),OR($C$8="Semua",$C$8="",C4852=$C$8,E4852=$C$8),OR($C$9="Semua",$C$9="",D4852=$C$9),OR($C$10="",B4852&gt;=$C$10),OR($C$11="",B4852&lt;=$C$11),OR($C$12&lt;&gt;"Ya",K4852&lt;&gt;""),OR($C$13="Semua",$C$13="",L4852=$C$13)),"✓","")</f>
        <v/>
      </c>
      <c r="N4852" s="93">
        <f>N(N4851)+IF(M4852="✓",1,0)</f>
        <v/>
      </c>
      <c r="O4852" s="93">
        <f>N(O4851)+IF(AND(B4852&lt;&gt;"",B4852&gt;='Uang Riba'!$H$30,B4852&lt;='Uang Riba'!$I$30,OR(H4852="Dana riba",H4852="Pinjam uang riba",I4852="Pinjam dari uang riba",I4852="Ganti uang riba",I4852="Kelebihan ganti dikembalikan",AND(C4852="Kantong Uang Riba",G4852="Pengeluaran"))),1,0)</f>
        <v/>
      </c>
      <c r="X4852" s="93">
        <f>IF(AND(B4852&lt;&gt;"",B4852&gt;='Buku Akun'!$H$4,B4852&lt;='Buku Akun'!$H$5,OR(C4852='Buku Akun'!$C$4,AND(D4852="Pindah",E4852='Buku Akun'!$C$4))),B4852+IF(AND(I4852="Selisih bunga",DAY(B4852)=1),0,0.01)+ROW()/10000000,"")</f>
        <v/>
      </c>
    </row>
    <row r="4853" outlineLevel="1" ht="15" customHeight="1" s="94">
      <c r="A4853" s="123">
        <f>IF(B4853="","",ROW()-15)</f>
        <v/>
      </c>
      <c r="B4853" s="124" t="n"/>
      <c r="C4853" s="123" t="n"/>
      <c r="D4853" s="123" t="n"/>
      <c r="E4853" s="123" t="n"/>
      <c r="F4853" s="125" t="n"/>
      <c r="G4853" s="123" t="n"/>
      <c r="H4853" s="123" t="n"/>
      <c r="I4853" s="123" t="n"/>
      <c r="J4853" s="123" t="n"/>
      <c r="K4853" s="123" t="n"/>
      <c r="L4853" s="123" t="n"/>
      <c r="M4853" s="123">
        <f>IF(AND(B4853&lt;&gt;"",OR($C$4="",ISNUMBER(SEARCH($C$4,C4853&amp;" "&amp;E4853&amp;" "&amp;G4853&amp;" "&amp;H4853&amp;" "&amp;I4853&amp;" "&amp;J4853&amp;" "&amp;K4853&amp;" "&amp;L4853))),OR($C$5="Semua",$C$5="",G4853=$C$5),OR($C$6="Semua",$C$6="",H4853=$C$6,H4853="Pengeluaran "&amp;$C$6,AND($C$6="Uang Kos Mama",H4853="Pengeluaran Uang Kos")),OR($C$7="Semua",$C$7="",I4853=$C$7),OR($C$8="Semua",$C$8="",C4853=$C$8,E4853=$C$8),OR($C$9="Semua",$C$9="",D4853=$C$9),OR($C$10="",B4853&gt;=$C$10),OR($C$11="",B4853&lt;=$C$11),OR($C$12&lt;&gt;"Ya",K4853&lt;&gt;""),OR($C$13="Semua",$C$13="",L4853=$C$13)),"✓","")</f>
        <v/>
      </c>
      <c r="N4853" s="93">
        <f>N(N4852)+IF(M4853="✓",1,0)</f>
        <v/>
      </c>
      <c r="O4853" s="93">
        <f>N(O4852)+IF(AND(B4853&lt;&gt;"",B4853&gt;='Uang Riba'!$H$30,B4853&lt;='Uang Riba'!$I$30,OR(H4853="Dana riba",H4853="Pinjam uang riba",I4853="Pinjam dari uang riba",I4853="Ganti uang riba",I4853="Kelebihan ganti dikembalikan",AND(C4853="Kantong Uang Riba",G4853="Pengeluaran"))),1,0)</f>
        <v/>
      </c>
      <c r="X4853" s="93">
        <f>IF(AND(B4853&lt;&gt;"",B4853&gt;='Buku Akun'!$H$4,B4853&lt;='Buku Akun'!$H$5,OR(C4853='Buku Akun'!$C$4,AND(D4853="Pindah",E4853='Buku Akun'!$C$4))),B4853+IF(AND(I4853="Selisih bunga",DAY(B4853)=1),0,0.01)+ROW()/10000000,"")</f>
        <v/>
      </c>
    </row>
    <row r="4854" outlineLevel="1" ht="15" customHeight="1" s="94">
      <c r="A4854" s="123">
        <f>IF(B4854="","",ROW()-15)</f>
        <v/>
      </c>
      <c r="B4854" s="124" t="n"/>
      <c r="C4854" s="123" t="n"/>
      <c r="D4854" s="123" t="n"/>
      <c r="E4854" s="123" t="n"/>
      <c r="F4854" s="125" t="n"/>
      <c r="G4854" s="123" t="n"/>
      <c r="H4854" s="123" t="n"/>
      <c r="I4854" s="123" t="n"/>
      <c r="J4854" s="123" t="n"/>
      <c r="K4854" s="123" t="n"/>
      <c r="L4854" s="123" t="n"/>
      <c r="M4854" s="123">
        <f>IF(AND(B4854&lt;&gt;"",OR($C$4="",ISNUMBER(SEARCH($C$4,C4854&amp;" "&amp;E4854&amp;" "&amp;G4854&amp;" "&amp;H4854&amp;" "&amp;I4854&amp;" "&amp;J4854&amp;" "&amp;K4854&amp;" "&amp;L4854))),OR($C$5="Semua",$C$5="",G4854=$C$5),OR($C$6="Semua",$C$6="",H4854=$C$6,H4854="Pengeluaran "&amp;$C$6,AND($C$6="Uang Kos Mama",H4854="Pengeluaran Uang Kos")),OR($C$7="Semua",$C$7="",I4854=$C$7),OR($C$8="Semua",$C$8="",C4854=$C$8,E4854=$C$8),OR($C$9="Semua",$C$9="",D4854=$C$9),OR($C$10="",B4854&gt;=$C$10),OR($C$11="",B4854&lt;=$C$11),OR($C$12&lt;&gt;"Ya",K4854&lt;&gt;""),OR($C$13="Semua",$C$13="",L4854=$C$13)),"✓","")</f>
        <v/>
      </c>
      <c r="N4854" s="93">
        <f>N(N4853)+IF(M4854="✓",1,0)</f>
        <v/>
      </c>
      <c r="O4854" s="93">
        <f>N(O4853)+IF(AND(B4854&lt;&gt;"",B4854&gt;='Uang Riba'!$H$30,B4854&lt;='Uang Riba'!$I$30,OR(H4854="Dana riba",H4854="Pinjam uang riba",I4854="Pinjam dari uang riba",I4854="Ganti uang riba",I4854="Kelebihan ganti dikembalikan",AND(C4854="Kantong Uang Riba",G4854="Pengeluaran"))),1,0)</f>
        <v/>
      </c>
      <c r="X4854" s="93">
        <f>IF(AND(B4854&lt;&gt;"",B4854&gt;='Buku Akun'!$H$4,B4854&lt;='Buku Akun'!$H$5,OR(C4854='Buku Akun'!$C$4,AND(D4854="Pindah",E4854='Buku Akun'!$C$4))),B4854+IF(AND(I4854="Selisih bunga",DAY(B4854)=1),0,0.01)+ROW()/10000000,"")</f>
        <v/>
      </c>
    </row>
    <row r="4855" outlineLevel="1" ht="15" customHeight="1" s="94">
      <c r="A4855" s="123">
        <f>IF(B4855="","",ROW()-15)</f>
        <v/>
      </c>
      <c r="B4855" s="124" t="n"/>
      <c r="C4855" s="123" t="n"/>
      <c r="D4855" s="123" t="n"/>
      <c r="E4855" s="123" t="n"/>
      <c r="F4855" s="125" t="n"/>
      <c r="G4855" s="123" t="n"/>
      <c r="H4855" s="123" t="n"/>
      <c r="I4855" s="123" t="n"/>
      <c r="J4855" s="123" t="n"/>
      <c r="K4855" s="123" t="n"/>
      <c r="L4855" s="123" t="n"/>
      <c r="M4855" s="123">
        <f>IF(AND(B4855&lt;&gt;"",OR($C$4="",ISNUMBER(SEARCH($C$4,C4855&amp;" "&amp;E4855&amp;" "&amp;G4855&amp;" "&amp;H4855&amp;" "&amp;I4855&amp;" "&amp;J4855&amp;" "&amp;K4855&amp;" "&amp;L4855))),OR($C$5="Semua",$C$5="",G4855=$C$5),OR($C$6="Semua",$C$6="",H4855=$C$6,H4855="Pengeluaran "&amp;$C$6,AND($C$6="Uang Kos Mama",H4855="Pengeluaran Uang Kos")),OR($C$7="Semua",$C$7="",I4855=$C$7),OR($C$8="Semua",$C$8="",C4855=$C$8,E4855=$C$8),OR($C$9="Semua",$C$9="",D4855=$C$9),OR($C$10="",B4855&gt;=$C$10),OR($C$11="",B4855&lt;=$C$11),OR($C$12&lt;&gt;"Ya",K4855&lt;&gt;""),OR($C$13="Semua",$C$13="",L4855=$C$13)),"✓","")</f>
        <v/>
      </c>
      <c r="N4855" s="93">
        <f>N(N4854)+IF(M4855="✓",1,0)</f>
        <v/>
      </c>
      <c r="O4855" s="93">
        <f>N(O4854)+IF(AND(B4855&lt;&gt;"",B4855&gt;='Uang Riba'!$H$30,B4855&lt;='Uang Riba'!$I$30,OR(H4855="Dana riba",H4855="Pinjam uang riba",I4855="Pinjam dari uang riba",I4855="Ganti uang riba",I4855="Kelebihan ganti dikembalikan",AND(C4855="Kantong Uang Riba",G4855="Pengeluaran"))),1,0)</f>
        <v/>
      </c>
      <c r="X4855" s="93">
        <f>IF(AND(B4855&lt;&gt;"",B4855&gt;='Buku Akun'!$H$4,B4855&lt;='Buku Akun'!$H$5,OR(C4855='Buku Akun'!$C$4,AND(D4855="Pindah",E4855='Buku Akun'!$C$4))),B4855+IF(AND(I4855="Selisih bunga",DAY(B4855)=1),0,0.01)+ROW()/10000000,"")</f>
        <v/>
      </c>
    </row>
    <row r="4856" outlineLevel="1" ht="15" customHeight="1" s="94">
      <c r="A4856" s="123">
        <f>IF(B4856="","",ROW()-15)</f>
        <v/>
      </c>
      <c r="B4856" s="124" t="n"/>
      <c r="C4856" s="123" t="n"/>
      <c r="D4856" s="123" t="n"/>
      <c r="E4856" s="123" t="n"/>
      <c r="F4856" s="125" t="n"/>
      <c r="G4856" s="123" t="n"/>
      <c r="H4856" s="123" t="n"/>
      <c r="I4856" s="123" t="n"/>
      <c r="J4856" s="123" t="n"/>
      <c r="K4856" s="123" t="n"/>
      <c r="L4856" s="123" t="n"/>
      <c r="M4856" s="123">
        <f>IF(AND(B4856&lt;&gt;"",OR($C$4="",ISNUMBER(SEARCH($C$4,C4856&amp;" "&amp;E4856&amp;" "&amp;G4856&amp;" "&amp;H4856&amp;" "&amp;I4856&amp;" "&amp;J4856&amp;" "&amp;K4856&amp;" "&amp;L4856))),OR($C$5="Semua",$C$5="",G4856=$C$5),OR($C$6="Semua",$C$6="",H4856=$C$6,H4856="Pengeluaran "&amp;$C$6,AND($C$6="Uang Kos Mama",H4856="Pengeluaran Uang Kos")),OR($C$7="Semua",$C$7="",I4856=$C$7),OR($C$8="Semua",$C$8="",C4856=$C$8,E4856=$C$8),OR($C$9="Semua",$C$9="",D4856=$C$9),OR($C$10="",B4856&gt;=$C$10),OR($C$11="",B4856&lt;=$C$11),OR($C$12&lt;&gt;"Ya",K4856&lt;&gt;""),OR($C$13="Semua",$C$13="",L4856=$C$13)),"✓","")</f>
        <v/>
      </c>
      <c r="N4856" s="93">
        <f>N(N4855)+IF(M4856="✓",1,0)</f>
        <v/>
      </c>
      <c r="O4856" s="93">
        <f>N(O4855)+IF(AND(B4856&lt;&gt;"",B4856&gt;='Uang Riba'!$H$30,B4856&lt;='Uang Riba'!$I$30,OR(H4856="Dana riba",H4856="Pinjam uang riba",I4856="Pinjam dari uang riba",I4856="Ganti uang riba",I4856="Kelebihan ganti dikembalikan",AND(C4856="Kantong Uang Riba",G4856="Pengeluaran"))),1,0)</f>
        <v/>
      </c>
      <c r="X4856" s="93">
        <f>IF(AND(B4856&lt;&gt;"",B4856&gt;='Buku Akun'!$H$4,B4856&lt;='Buku Akun'!$H$5,OR(C4856='Buku Akun'!$C$4,AND(D4856="Pindah",E4856='Buku Akun'!$C$4))),B4856+IF(AND(I4856="Selisih bunga",DAY(B4856)=1),0,0.01)+ROW()/10000000,"")</f>
        <v/>
      </c>
    </row>
    <row r="4857" outlineLevel="1" ht="15" customHeight="1" s="94">
      <c r="A4857" s="123">
        <f>IF(B4857="","",ROW()-15)</f>
        <v/>
      </c>
      <c r="B4857" s="124" t="n"/>
      <c r="C4857" s="123" t="n"/>
      <c r="D4857" s="123" t="n"/>
      <c r="E4857" s="123" t="n"/>
      <c r="F4857" s="125" t="n"/>
      <c r="G4857" s="123" t="n"/>
      <c r="H4857" s="123" t="n"/>
      <c r="I4857" s="123" t="n"/>
      <c r="J4857" s="123" t="n"/>
      <c r="K4857" s="123" t="n"/>
      <c r="L4857" s="123" t="n"/>
      <c r="M4857" s="123">
        <f>IF(AND(B4857&lt;&gt;"",OR($C$4="",ISNUMBER(SEARCH($C$4,C4857&amp;" "&amp;E4857&amp;" "&amp;G4857&amp;" "&amp;H4857&amp;" "&amp;I4857&amp;" "&amp;J4857&amp;" "&amp;K4857&amp;" "&amp;L4857))),OR($C$5="Semua",$C$5="",G4857=$C$5),OR($C$6="Semua",$C$6="",H4857=$C$6,H4857="Pengeluaran "&amp;$C$6,AND($C$6="Uang Kos Mama",H4857="Pengeluaran Uang Kos")),OR($C$7="Semua",$C$7="",I4857=$C$7),OR($C$8="Semua",$C$8="",C4857=$C$8,E4857=$C$8),OR($C$9="Semua",$C$9="",D4857=$C$9),OR($C$10="",B4857&gt;=$C$10),OR($C$11="",B4857&lt;=$C$11),OR($C$12&lt;&gt;"Ya",K4857&lt;&gt;""),OR($C$13="Semua",$C$13="",L4857=$C$13)),"✓","")</f>
        <v/>
      </c>
      <c r="N4857" s="93">
        <f>N(N4856)+IF(M4857="✓",1,0)</f>
        <v/>
      </c>
      <c r="O4857" s="93">
        <f>N(O4856)+IF(AND(B4857&lt;&gt;"",B4857&gt;='Uang Riba'!$H$30,B4857&lt;='Uang Riba'!$I$30,OR(H4857="Dana riba",H4857="Pinjam uang riba",I4857="Pinjam dari uang riba",I4857="Ganti uang riba",I4857="Kelebihan ganti dikembalikan",AND(C4857="Kantong Uang Riba",G4857="Pengeluaran"))),1,0)</f>
        <v/>
      </c>
      <c r="X4857" s="93">
        <f>IF(AND(B4857&lt;&gt;"",B4857&gt;='Buku Akun'!$H$4,B4857&lt;='Buku Akun'!$H$5,OR(C4857='Buku Akun'!$C$4,AND(D4857="Pindah",E4857='Buku Akun'!$C$4))),B4857+IF(AND(I4857="Selisih bunga",DAY(B4857)=1),0,0.01)+ROW()/10000000,"")</f>
        <v/>
      </c>
    </row>
    <row r="4858" outlineLevel="1" ht="15" customHeight="1" s="94">
      <c r="A4858" s="123">
        <f>IF(B4858="","",ROW()-15)</f>
        <v/>
      </c>
      <c r="B4858" s="124" t="n"/>
      <c r="C4858" s="123" t="n"/>
      <c r="D4858" s="123" t="n"/>
      <c r="E4858" s="123" t="n"/>
      <c r="F4858" s="125" t="n"/>
      <c r="G4858" s="123" t="n"/>
      <c r="H4858" s="123" t="n"/>
      <c r="I4858" s="123" t="n"/>
      <c r="J4858" s="123" t="n"/>
      <c r="K4858" s="123" t="n"/>
      <c r="L4858" s="123" t="n"/>
      <c r="M4858" s="123">
        <f>IF(AND(B4858&lt;&gt;"",OR($C$4="",ISNUMBER(SEARCH($C$4,C4858&amp;" "&amp;E4858&amp;" "&amp;G4858&amp;" "&amp;H4858&amp;" "&amp;I4858&amp;" "&amp;J4858&amp;" "&amp;K4858&amp;" "&amp;L4858))),OR($C$5="Semua",$C$5="",G4858=$C$5),OR($C$6="Semua",$C$6="",H4858=$C$6,H4858="Pengeluaran "&amp;$C$6,AND($C$6="Uang Kos Mama",H4858="Pengeluaran Uang Kos")),OR($C$7="Semua",$C$7="",I4858=$C$7),OR($C$8="Semua",$C$8="",C4858=$C$8,E4858=$C$8),OR($C$9="Semua",$C$9="",D4858=$C$9),OR($C$10="",B4858&gt;=$C$10),OR($C$11="",B4858&lt;=$C$11),OR($C$12&lt;&gt;"Ya",K4858&lt;&gt;""),OR($C$13="Semua",$C$13="",L4858=$C$13)),"✓","")</f>
        <v/>
      </c>
      <c r="N4858" s="93">
        <f>N(N4857)+IF(M4858="✓",1,0)</f>
        <v/>
      </c>
      <c r="O4858" s="93">
        <f>N(O4857)+IF(AND(B4858&lt;&gt;"",B4858&gt;='Uang Riba'!$H$30,B4858&lt;='Uang Riba'!$I$30,OR(H4858="Dana riba",H4858="Pinjam uang riba",I4858="Pinjam dari uang riba",I4858="Ganti uang riba",I4858="Kelebihan ganti dikembalikan",AND(C4858="Kantong Uang Riba",G4858="Pengeluaran"))),1,0)</f>
        <v/>
      </c>
      <c r="X4858" s="93">
        <f>IF(AND(B4858&lt;&gt;"",B4858&gt;='Buku Akun'!$H$4,B4858&lt;='Buku Akun'!$H$5,OR(C4858='Buku Akun'!$C$4,AND(D4858="Pindah",E4858='Buku Akun'!$C$4))),B4858+IF(AND(I4858="Selisih bunga",DAY(B4858)=1),0,0.01)+ROW()/10000000,"")</f>
        <v/>
      </c>
    </row>
    <row r="4859" outlineLevel="1" ht="15" customHeight="1" s="94">
      <c r="A4859" s="123">
        <f>IF(B4859="","",ROW()-15)</f>
        <v/>
      </c>
      <c r="B4859" s="124" t="n"/>
      <c r="C4859" s="123" t="n"/>
      <c r="D4859" s="123" t="n"/>
      <c r="E4859" s="123" t="n"/>
      <c r="F4859" s="125" t="n"/>
      <c r="G4859" s="123" t="n"/>
      <c r="H4859" s="123" t="n"/>
      <c r="I4859" s="123" t="n"/>
      <c r="J4859" s="123" t="n"/>
      <c r="K4859" s="123" t="n"/>
      <c r="L4859" s="123" t="n"/>
      <c r="M4859" s="123">
        <f>IF(AND(B4859&lt;&gt;"",OR($C$4="",ISNUMBER(SEARCH($C$4,C4859&amp;" "&amp;E4859&amp;" "&amp;G4859&amp;" "&amp;H4859&amp;" "&amp;I4859&amp;" "&amp;J4859&amp;" "&amp;K4859&amp;" "&amp;L4859))),OR($C$5="Semua",$C$5="",G4859=$C$5),OR($C$6="Semua",$C$6="",H4859=$C$6,H4859="Pengeluaran "&amp;$C$6,AND($C$6="Uang Kos Mama",H4859="Pengeluaran Uang Kos")),OR($C$7="Semua",$C$7="",I4859=$C$7),OR($C$8="Semua",$C$8="",C4859=$C$8,E4859=$C$8),OR($C$9="Semua",$C$9="",D4859=$C$9),OR($C$10="",B4859&gt;=$C$10),OR($C$11="",B4859&lt;=$C$11),OR($C$12&lt;&gt;"Ya",K4859&lt;&gt;""),OR($C$13="Semua",$C$13="",L4859=$C$13)),"✓","")</f>
        <v/>
      </c>
      <c r="N4859" s="93">
        <f>N(N4858)+IF(M4859="✓",1,0)</f>
        <v/>
      </c>
      <c r="O4859" s="93">
        <f>N(O4858)+IF(AND(B4859&lt;&gt;"",B4859&gt;='Uang Riba'!$H$30,B4859&lt;='Uang Riba'!$I$30,OR(H4859="Dana riba",H4859="Pinjam uang riba",I4859="Pinjam dari uang riba",I4859="Ganti uang riba",I4859="Kelebihan ganti dikembalikan",AND(C4859="Kantong Uang Riba",G4859="Pengeluaran"))),1,0)</f>
        <v/>
      </c>
      <c r="X4859" s="93">
        <f>IF(AND(B4859&lt;&gt;"",B4859&gt;='Buku Akun'!$H$4,B4859&lt;='Buku Akun'!$H$5,OR(C4859='Buku Akun'!$C$4,AND(D4859="Pindah",E4859='Buku Akun'!$C$4))),B4859+IF(AND(I4859="Selisih bunga",DAY(B4859)=1),0,0.01)+ROW()/10000000,"")</f>
        <v/>
      </c>
    </row>
    <row r="4860" outlineLevel="1" ht="15" customHeight="1" s="94">
      <c r="A4860" s="123">
        <f>IF(B4860="","",ROW()-15)</f>
        <v/>
      </c>
      <c r="B4860" s="124" t="n"/>
      <c r="C4860" s="123" t="n"/>
      <c r="D4860" s="123" t="n"/>
      <c r="E4860" s="123" t="n"/>
      <c r="F4860" s="125" t="n"/>
      <c r="G4860" s="123" t="n"/>
      <c r="H4860" s="123" t="n"/>
      <c r="I4860" s="123" t="n"/>
      <c r="J4860" s="123" t="n"/>
      <c r="K4860" s="123" t="n"/>
      <c r="L4860" s="123" t="n"/>
      <c r="M4860" s="123">
        <f>IF(AND(B4860&lt;&gt;"",OR($C$4="",ISNUMBER(SEARCH($C$4,C4860&amp;" "&amp;E4860&amp;" "&amp;G4860&amp;" "&amp;H4860&amp;" "&amp;I4860&amp;" "&amp;J4860&amp;" "&amp;K4860&amp;" "&amp;L4860))),OR($C$5="Semua",$C$5="",G4860=$C$5),OR($C$6="Semua",$C$6="",H4860=$C$6,H4860="Pengeluaran "&amp;$C$6,AND($C$6="Uang Kos Mama",H4860="Pengeluaran Uang Kos")),OR($C$7="Semua",$C$7="",I4860=$C$7),OR($C$8="Semua",$C$8="",C4860=$C$8,E4860=$C$8),OR($C$9="Semua",$C$9="",D4860=$C$9),OR($C$10="",B4860&gt;=$C$10),OR($C$11="",B4860&lt;=$C$11),OR($C$12&lt;&gt;"Ya",K4860&lt;&gt;""),OR($C$13="Semua",$C$13="",L4860=$C$13)),"✓","")</f>
        <v/>
      </c>
      <c r="N4860" s="93">
        <f>N(N4859)+IF(M4860="✓",1,0)</f>
        <v/>
      </c>
      <c r="O4860" s="93">
        <f>N(O4859)+IF(AND(B4860&lt;&gt;"",B4860&gt;='Uang Riba'!$H$30,B4860&lt;='Uang Riba'!$I$30,OR(H4860="Dana riba",H4860="Pinjam uang riba",I4860="Pinjam dari uang riba",I4860="Ganti uang riba",I4860="Kelebihan ganti dikembalikan",AND(C4860="Kantong Uang Riba",G4860="Pengeluaran"))),1,0)</f>
        <v/>
      </c>
      <c r="X4860" s="93">
        <f>IF(AND(B4860&lt;&gt;"",B4860&gt;='Buku Akun'!$H$4,B4860&lt;='Buku Akun'!$H$5,OR(C4860='Buku Akun'!$C$4,AND(D4860="Pindah",E4860='Buku Akun'!$C$4))),B4860+IF(AND(I4860="Selisih bunga",DAY(B4860)=1),0,0.01)+ROW()/10000000,"")</f>
        <v/>
      </c>
    </row>
    <row r="4861" outlineLevel="1" ht="15" customHeight="1" s="94">
      <c r="A4861" s="123">
        <f>IF(B4861="","",ROW()-15)</f>
        <v/>
      </c>
      <c r="B4861" s="124" t="n"/>
      <c r="C4861" s="123" t="n"/>
      <c r="D4861" s="123" t="n"/>
      <c r="E4861" s="123" t="n"/>
      <c r="F4861" s="125" t="n"/>
      <c r="G4861" s="123" t="n"/>
      <c r="H4861" s="123" t="n"/>
      <c r="I4861" s="123" t="n"/>
      <c r="J4861" s="123" t="n"/>
      <c r="K4861" s="123" t="n"/>
      <c r="L4861" s="123" t="n"/>
      <c r="M4861" s="123">
        <f>IF(AND(B4861&lt;&gt;"",OR($C$4="",ISNUMBER(SEARCH($C$4,C4861&amp;" "&amp;E4861&amp;" "&amp;G4861&amp;" "&amp;H4861&amp;" "&amp;I4861&amp;" "&amp;J4861&amp;" "&amp;K4861&amp;" "&amp;L4861))),OR($C$5="Semua",$C$5="",G4861=$C$5),OR($C$6="Semua",$C$6="",H4861=$C$6,H4861="Pengeluaran "&amp;$C$6,AND($C$6="Uang Kos Mama",H4861="Pengeluaran Uang Kos")),OR($C$7="Semua",$C$7="",I4861=$C$7),OR($C$8="Semua",$C$8="",C4861=$C$8,E4861=$C$8),OR($C$9="Semua",$C$9="",D4861=$C$9),OR($C$10="",B4861&gt;=$C$10),OR($C$11="",B4861&lt;=$C$11),OR($C$12&lt;&gt;"Ya",K4861&lt;&gt;""),OR($C$13="Semua",$C$13="",L4861=$C$13)),"✓","")</f>
        <v/>
      </c>
      <c r="N4861" s="93">
        <f>N(N4860)+IF(M4861="✓",1,0)</f>
        <v/>
      </c>
      <c r="O4861" s="93">
        <f>N(O4860)+IF(AND(B4861&lt;&gt;"",B4861&gt;='Uang Riba'!$H$30,B4861&lt;='Uang Riba'!$I$30,OR(H4861="Dana riba",H4861="Pinjam uang riba",I4861="Pinjam dari uang riba",I4861="Ganti uang riba",I4861="Kelebihan ganti dikembalikan",AND(C4861="Kantong Uang Riba",G4861="Pengeluaran"))),1,0)</f>
        <v/>
      </c>
      <c r="X4861" s="93">
        <f>IF(AND(B4861&lt;&gt;"",B4861&gt;='Buku Akun'!$H$4,B4861&lt;='Buku Akun'!$H$5,OR(C4861='Buku Akun'!$C$4,AND(D4861="Pindah",E4861='Buku Akun'!$C$4))),B4861+IF(AND(I4861="Selisih bunga",DAY(B4861)=1),0,0.01)+ROW()/10000000,"")</f>
        <v/>
      </c>
    </row>
    <row r="4862" outlineLevel="1" ht="15" customHeight="1" s="94">
      <c r="A4862" s="123">
        <f>IF(B4862="","",ROW()-15)</f>
        <v/>
      </c>
      <c r="B4862" s="124" t="n"/>
      <c r="C4862" s="123" t="n"/>
      <c r="D4862" s="123" t="n"/>
      <c r="E4862" s="123" t="n"/>
      <c r="F4862" s="125" t="n"/>
      <c r="G4862" s="123" t="n"/>
      <c r="H4862" s="123" t="n"/>
      <c r="I4862" s="123" t="n"/>
      <c r="J4862" s="123" t="n"/>
      <c r="K4862" s="123" t="n"/>
      <c r="L4862" s="123" t="n"/>
      <c r="M4862" s="123">
        <f>IF(AND(B4862&lt;&gt;"",OR($C$4="",ISNUMBER(SEARCH($C$4,C4862&amp;" "&amp;E4862&amp;" "&amp;G4862&amp;" "&amp;H4862&amp;" "&amp;I4862&amp;" "&amp;J4862&amp;" "&amp;K4862&amp;" "&amp;L4862))),OR($C$5="Semua",$C$5="",G4862=$C$5),OR($C$6="Semua",$C$6="",H4862=$C$6,H4862="Pengeluaran "&amp;$C$6,AND($C$6="Uang Kos Mama",H4862="Pengeluaran Uang Kos")),OR($C$7="Semua",$C$7="",I4862=$C$7),OR($C$8="Semua",$C$8="",C4862=$C$8,E4862=$C$8),OR($C$9="Semua",$C$9="",D4862=$C$9),OR($C$10="",B4862&gt;=$C$10),OR($C$11="",B4862&lt;=$C$11),OR($C$12&lt;&gt;"Ya",K4862&lt;&gt;""),OR($C$13="Semua",$C$13="",L4862=$C$13)),"✓","")</f>
        <v/>
      </c>
      <c r="N4862" s="93">
        <f>N(N4861)+IF(M4862="✓",1,0)</f>
        <v/>
      </c>
      <c r="O4862" s="93">
        <f>N(O4861)+IF(AND(B4862&lt;&gt;"",B4862&gt;='Uang Riba'!$H$30,B4862&lt;='Uang Riba'!$I$30,OR(H4862="Dana riba",H4862="Pinjam uang riba",I4862="Pinjam dari uang riba",I4862="Ganti uang riba",I4862="Kelebihan ganti dikembalikan",AND(C4862="Kantong Uang Riba",G4862="Pengeluaran"))),1,0)</f>
        <v/>
      </c>
      <c r="X4862" s="93">
        <f>IF(AND(B4862&lt;&gt;"",B4862&gt;='Buku Akun'!$H$4,B4862&lt;='Buku Akun'!$H$5,OR(C4862='Buku Akun'!$C$4,AND(D4862="Pindah",E4862='Buku Akun'!$C$4))),B4862+IF(AND(I4862="Selisih bunga",DAY(B4862)=1),0,0.01)+ROW()/10000000,"")</f>
        <v/>
      </c>
    </row>
    <row r="4863" outlineLevel="1" ht="15" customHeight="1" s="94">
      <c r="A4863" s="123">
        <f>IF(B4863="","",ROW()-15)</f>
        <v/>
      </c>
      <c r="B4863" s="124" t="n"/>
      <c r="C4863" s="123" t="n"/>
      <c r="D4863" s="123" t="n"/>
      <c r="E4863" s="123" t="n"/>
      <c r="F4863" s="125" t="n"/>
      <c r="G4863" s="123" t="n"/>
      <c r="H4863" s="123" t="n"/>
      <c r="I4863" s="123" t="n"/>
      <c r="J4863" s="123" t="n"/>
      <c r="K4863" s="123" t="n"/>
      <c r="L4863" s="123" t="n"/>
      <c r="M4863" s="123">
        <f>IF(AND(B4863&lt;&gt;"",OR($C$4="",ISNUMBER(SEARCH($C$4,C4863&amp;" "&amp;E4863&amp;" "&amp;G4863&amp;" "&amp;H4863&amp;" "&amp;I4863&amp;" "&amp;J4863&amp;" "&amp;K4863&amp;" "&amp;L4863))),OR($C$5="Semua",$C$5="",G4863=$C$5),OR($C$6="Semua",$C$6="",H4863=$C$6,H4863="Pengeluaran "&amp;$C$6,AND($C$6="Uang Kos Mama",H4863="Pengeluaran Uang Kos")),OR($C$7="Semua",$C$7="",I4863=$C$7),OR($C$8="Semua",$C$8="",C4863=$C$8,E4863=$C$8),OR($C$9="Semua",$C$9="",D4863=$C$9),OR($C$10="",B4863&gt;=$C$10),OR($C$11="",B4863&lt;=$C$11),OR($C$12&lt;&gt;"Ya",K4863&lt;&gt;""),OR($C$13="Semua",$C$13="",L4863=$C$13)),"✓","")</f>
        <v/>
      </c>
      <c r="N4863" s="93">
        <f>N(N4862)+IF(M4863="✓",1,0)</f>
        <v/>
      </c>
      <c r="O4863" s="93">
        <f>N(O4862)+IF(AND(B4863&lt;&gt;"",B4863&gt;='Uang Riba'!$H$30,B4863&lt;='Uang Riba'!$I$30,OR(H4863="Dana riba",H4863="Pinjam uang riba",I4863="Pinjam dari uang riba",I4863="Ganti uang riba",I4863="Kelebihan ganti dikembalikan",AND(C4863="Kantong Uang Riba",G4863="Pengeluaran"))),1,0)</f>
        <v/>
      </c>
      <c r="X4863" s="93">
        <f>IF(AND(B4863&lt;&gt;"",B4863&gt;='Buku Akun'!$H$4,B4863&lt;='Buku Akun'!$H$5,OR(C4863='Buku Akun'!$C$4,AND(D4863="Pindah",E4863='Buku Akun'!$C$4))),B4863+IF(AND(I4863="Selisih bunga",DAY(B4863)=1),0,0.01)+ROW()/10000000,"")</f>
        <v/>
      </c>
    </row>
    <row r="4864" outlineLevel="1" ht="15" customHeight="1" s="94">
      <c r="A4864" s="123">
        <f>IF(B4864="","",ROW()-15)</f>
        <v/>
      </c>
      <c r="B4864" s="124" t="n"/>
      <c r="C4864" s="123" t="n"/>
      <c r="D4864" s="123" t="n"/>
      <c r="E4864" s="123" t="n"/>
      <c r="F4864" s="125" t="n"/>
      <c r="G4864" s="123" t="n"/>
      <c r="H4864" s="123" t="n"/>
      <c r="I4864" s="123" t="n"/>
      <c r="J4864" s="123" t="n"/>
      <c r="K4864" s="123" t="n"/>
      <c r="L4864" s="123" t="n"/>
      <c r="M4864" s="123">
        <f>IF(AND(B4864&lt;&gt;"",OR($C$4="",ISNUMBER(SEARCH($C$4,C4864&amp;" "&amp;E4864&amp;" "&amp;G4864&amp;" "&amp;H4864&amp;" "&amp;I4864&amp;" "&amp;J4864&amp;" "&amp;K4864&amp;" "&amp;L4864))),OR($C$5="Semua",$C$5="",G4864=$C$5),OR($C$6="Semua",$C$6="",H4864=$C$6,H4864="Pengeluaran "&amp;$C$6,AND($C$6="Uang Kos Mama",H4864="Pengeluaran Uang Kos")),OR($C$7="Semua",$C$7="",I4864=$C$7),OR($C$8="Semua",$C$8="",C4864=$C$8,E4864=$C$8),OR($C$9="Semua",$C$9="",D4864=$C$9),OR($C$10="",B4864&gt;=$C$10),OR($C$11="",B4864&lt;=$C$11),OR($C$12&lt;&gt;"Ya",K4864&lt;&gt;""),OR($C$13="Semua",$C$13="",L4864=$C$13)),"✓","")</f>
        <v/>
      </c>
      <c r="N4864" s="93">
        <f>N(N4863)+IF(M4864="✓",1,0)</f>
        <v/>
      </c>
      <c r="O4864" s="93">
        <f>N(O4863)+IF(AND(B4864&lt;&gt;"",B4864&gt;='Uang Riba'!$H$30,B4864&lt;='Uang Riba'!$I$30,OR(H4864="Dana riba",H4864="Pinjam uang riba",I4864="Pinjam dari uang riba",I4864="Ganti uang riba",I4864="Kelebihan ganti dikembalikan",AND(C4864="Kantong Uang Riba",G4864="Pengeluaran"))),1,0)</f>
        <v/>
      </c>
      <c r="X4864" s="93">
        <f>IF(AND(B4864&lt;&gt;"",B4864&gt;='Buku Akun'!$H$4,B4864&lt;='Buku Akun'!$H$5,OR(C4864='Buku Akun'!$C$4,AND(D4864="Pindah",E4864='Buku Akun'!$C$4))),B4864+IF(AND(I4864="Selisih bunga",DAY(B4864)=1),0,0.01)+ROW()/10000000,"")</f>
        <v/>
      </c>
    </row>
    <row r="4865" outlineLevel="1" ht="15" customHeight="1" s="94">
      <c r="A4865" s="123">
        <f>IF(B4865="","",ROW()-15)</f>
        <v/>
      </c>
      <c r="B4865" s="124" t="n"/>
      <c r="C4865" s="123" t="n"/>
      <c r="D4865" s="123" t="n"/>
      <c r="E4865" s="123" t="n"/>
      <c r="F4865" s="125" t="n"/>
      <c r="G4865" s="123" t="n"/>
      <c r="H4865" s="123" t="n"/>
      <c r="I4865" s="123" t="n"/>
      <c r="J4865" s="123" t="n"/>
      <c r="K4865" s="123" t="n"/>
      <c r="L4865" s="123" t="n"/>
      <c r="M4865" s="123">
        <f>IF(AND(B4865&lt;&gt;"",OR($C$4="",ISNUMBER(SEARCH($C$4,C4865&amp;" "&amp;E4865&amp;" "&amp;G4865&amp;" "&amp;H4865&amp;" "&amp;I4865&amp;" "&amp;J4865&amp;" "&amp;K4865&amp;" "&amp;L4865))),OR($C$5="Semua",$C$5="",G4865=$C$5),OR($C$6="Semua",$C$6="",H4865=$C$6,H4865="Pengeluaran "&amp;$C$6,AND($C$6="Uang Kos Mama",H4865="Pengeluaran Uang Kos")),OR($C$7="Semua",$C$7="",I4865=$C$7),OR($C$8="Semua",$C$8="",C4865=$C$8,E4865=$C$8),OR($C$9="Semua",$C$9="",D4865=$C$9),OR($C$10="",B4865&gt;=$C$10),OR($C$11="",B4865&lt;=$C$11),OR($C$12&lt;&gt;"Ya",K4865&lt;&gt;""),OR($C$13="Semua",$C$13="",L4865=$C$13)),"✓","")</f>
        <v/>
      </c>
      <c r="N4865" s="93">
        <f>N(N4864)+IF(M4865="✓",1,0)</f>
        <v/>
      </c>
      <c r="O4865" s="93">
        <f>N(O4864)+IF(AND(B4865&lt;&gt;"",B4865&gt;='Uang Riba'!$H$30,B4865&lt;='Uang Riba'!$I$30,OR(H4865="Dana riba",H4865="Pinjam uang riba",I4865="Pinjam dari uang riba",I4865="Ganti uang riba",I4865="Kelebihan ganti dikembalikan",AND(C4865="Kantong Uang Riba",G4865="Pengeluaran"))),1,0)</f>
        <v/>
      </c>
      <c r="X4865" s="93">
        <f>IF(AND(B4865&lt;&gt;"",B4865&gt;='Buku Akun'!$H$4,B4865&lt;='Buku Akun'!$H$5,OR(C4865='Buku Akun'!$C$4,AND(D4865="Pindah",E4865='Buku Akun'!$C$4))),B4865+IF(AND(I4865="Selisih bunga",DAY(B4865)=1),0,0.01)+ROW()/10000000,"")</f>
        <v/>
      </c>
    </row>
    <row r="4866" outlineLevel="1" ht="15" customHeight="1" s="94">
      <c r="A4866" s="123">
        <f>IF(B4866="","",ROW()-15)</f>
        <v/>
      </c>
      <c r="B4866" s="124" t="n"/>
      <c r="C4866" s="123" t="n"/>
      <c r="D4866" s="123" t="n"/>
      <c r="E4866" s="123" t="n"/>
      <c r="F4866" s="125" t="n"/>
      <c r="G4866" s="123" t="n"/>
      <c r="H4866" s="123" t="n"/>
      <c r="I4866" s="123" t="n"/>
      <c r="J4866" s="123" t="n"/>
      <c r="K4866" s="123" t="n"/>
      <c r="L4866" s="123" t="n"/>
      <c r="M4866" s="123">
        <f>IF(AND(B4866&lt;&gt;"",OR($C$4="",ISNUMBER(SEARCH($C$4,C4866&amp;" "&amp;E4866&amp;" "&amp;G4866&amp;" "&amp;H4866&amp;" "&amp;I4866&amp;" "&amp;J4866&amp;" "&amp;K4866&amp;" "&amp;L4866))),OR($C$5="Semua",$C$5="",G4866=$C$5),OR($C$6="Semua",$C$6="",H4866=$C$6,H4866="Pengeluaran "&amp;$C$6,AND($C$6="Uang Kos Mama",H4866="Pengeluaran Uang Kos")),OR($C$7="Semua",$C$7="",I4866=$C$7),OR($C$8="Semua",$C$8="",C4866=$C$8,E4866=$C$8),OR($C$9="Semua",$C$9="",D4866=$C$9),OR($C$10="",B4866&gt;=$C$10),OR($C$11="",B4866&lt;=$C$11),OR($C$12&lt;&gt;"Ya",K4866&lt;&gt;""),OR($C$13="Semua",$C$13="",L4866=$C$13)),"✓","")</f>
        <v/>
      </c>
      <c r="N4866" s="93">
        <f>N(N4865)+IF(M4866="✓",1,0)</f>
        <v/>
      </c>
      <c r="O4866" s="93">
        <f>N(O4865)+IF(AND(B4866&lt;&gt;"",B4866&gt;='Uang Riba'!$H$30,B4866&lt;='Uang Riba'!$I$30,OR(H4866="Dana riba",H4866="Pinjam uang riba",I4866="Pinjam dari uang riba",I4866="Ganti uang riba",I4866="Kelebihan ganti dikembalikan",AND(C4866="Kantong Uang Riba",G4866="Pengeluaran"))),1,0)</f>
        <v/>
      </c>
      <c r="X4866" s="93">
        <f>IF(AND(B4866&lt;&gt;"",B4866&gt;='Buku Akun'!$H$4,B4866&lt;='Buku Akun'!$H$5,OR(C4866='Buku Akun'!$C$4,AND(D4866="Pindah",E4866='Buku Akun'!$C$4))),B4866+IF(AND(I4866="Selisih bunga",DAY(B4866)=1),0,0.01)+ROW()/10000000,"")</f>
        <v/>
      </c>
    </row>
    <row r="4867" outlineLevel="1" ht="15" customHeight="1" s="94">
      <c r="A4867" s="123">
        <f>IF(B4867="","",ROW()-15)</f>
        <v/>
      </c>
      <c r="B4867" s="124" t="n"/>
      <c r="C4867" s="123" t="n"/>
      <c r="D4867" s="123" t="n"/>
      <c r="E4867" s="123" t="n"/>
      <c r="F4867" s="125" t="n"/>
      <c r="G4867" s="123" t="n"/>
      <c r="H4867" s="123" t="n"/>
      <c r="I4867" s="123" t="n"/>
      <c r="J4867" s="123" t="n"/>
      <c r="K4867" s="123" t="n"/>
      <c r="L4867" s="123" t="n"/>
      <c r="M4867" s="123">
        <f>IF(AND(B4867&lt;&gt;"",OR($C$4="",ISNUMBER(SEARCH($C$4,C4867&amp;" "&amp;E4867&amp;" "&amp;G4867&amp;" "&amp;H4867&amp;" "&amp;I4867&amp;" "&amp;J4867&amp;" "&amp;K4867&amp;" "&amp;L4867))),OR($C$5="Semua",$C$5="",G4867=$C$5),OR($C$6="Semua",$C$6="",H4867=$C$6,H4867="Pengeluaran "&amp;$C$6,AND($C$6="Uang Kos Mama",H4867="Pengeluaran Uang Kos")),OR($C$7="Semua",$C$7="",I4867=$C$7),OR($C$8="Semua",$C$8="",C4867=$C$8,E4867=$C$8),OR($C$9="Semua",$C$9="",D4867=$C$9),OR($C$10="",B4867&gt;=$C$10),OR($C$11="",B4867&lt;=$C$11),OR($C$12&lt;&gt;"Ya",K4867&lt;&gt;""),OR($C$13="Semua",$C$13="",L4867=$C$13)),"✓","")</f>
        <v/>
      </c>
      <c r="N4867" s="93">
        <f>N(N4866)+IF(M4867="✓",1,0)</f>
        <v/>
      </c>
      <c r="O4867" s="93">
        <f>N(O4866)+IF(AND(B4867&lt;&gt;"",B4867&gt;='Uang Riba'!$H$30,B4867&lt;='Uang Riba'!$I$30,OR(H4867="Dana riba",H4867="Pinjam uang riba",I4867="Pinjam dari uang riba",I4867="Ganti uang riba",I4867="Kelebihan ganti dikembalikan",AND(C4867="Kantong Uang Riba",G4867="Pengeluaran"))),1,0)</f>
        <v/>
      </c>
      <c r="X4867" s="93">
        <f>IF(AND(B4867&lt;&gt;"",B4867&gt;='Buku Akun'!$H$4,B4867&lt;='Buku Akun'!$H$5,OR(C4867='Buku Akun'!$C$4,AND(D4867="Pindah",E4867='Buku Akun'!$C$4))),B4867+IF(AND(I4867="Selisih bunga",DAY(B4867)=1),0,0.01)+ROW()/10000000,"")</f>
        <v/>
      </c>
    </row>
    <row r="4868" outlineLevel="1" ht="15" customHeight="1" s="94">
      <c r="A4868" s="123">
        <f>IF(B4868="","",ROW()-15)</f>
        <v/>
      </c>
      <c r="B4868" s="124" t="n"/>
      <c r="C4868" s="123" t="n"/>
      <c r="D4868" s="123" t="n"/>
      <c r="E4868" s="123" t="n"/>
      <c r="F4868" s="125" t="n"/>
      <c r="G4868" s="123" t="n"/>
      <c r="H4868" s="123" t="n"/>
      <c r="I4868" s="123" t="n"/>
      <c r="J4868" s="123" t="n"/>
      <c r="K4868" s="123" t="n"/>
      <c r="L4868" s="123" t="n"/>
      <c r="M4868" s="123">
        <f>IF(AND(B4868&lt;&gt;"",OR($C$4="",ISNUMBER(SEARCH($C$4,C4868&amp;" "&amp;E4868&amp;" "&amp;G4868&amp;" "&amp;H4868&amp;" "&amp;I4868&amp;" "&amp;J4868&amp;" "&amp;K4868&amp;" "&amp;L4868))),OR($C$5="Semua",$C$5="",G4868=$C$5),OR($C$6="Semua",$C$6="",H4868=$C$6,H4868="Pengeluaran "&amp;$C$6,AND($C$6="Uang Kos Mama",H4868="Pengeluaran Uang Kos")),OR($C$7="Semua",$C$7="",I4868=$C$7),OR($C$8="Semua",$C$8="",C4868=$C$8,E4868=$C$8),OR($C$9="Semua",$C$9="",D4868=$C$9),OR($C$10="",B4868&gt;=$C$10),OR($C$11="",B4868&lt;=$C$11),OR($C$12&lt;&gt;"Ya",K4868&lt;&gt;""),OR($C$13="Semua",$C$13="",L4868=$C$13)),"✓","")</f>
        <v/>
      </c>
      <c r="N4868" s="93">
        <f>N(N4867)+IF(M4868="✓",1,0)</f>
        <v/>
      </c>
      <c r="O4868" s="93">
        <f>N(O4867)+IF(AND(B4868&lt;&gt;"",B4868&gt;='Uang Riba'!$H$30,B4868&lt;='Uang Riba'!$I$30,OR(H4868="Dana riba",H4868="Pinjam uang riba",I4868="Pinjam dari uang riba",I4868="Ganti uang riba",I4868="Kelebihan ganti dikembalikan",AND(C4868="Kantong Uang Riba",G4868="Pengeluaran"))),1,0)</f>
        <v/>
      </c>
      <c r="X4868" s="93">
        <f>IF(AND(B4868&lt;&gt;"",B4868&gt;='Buku Akun'!$H$4,B4868&lt;='Buku Akun'!$H$5,OR(C4868='Buku Akun'!$C$4,AND(D4868="Pindah",E4868='Buku Akun'!$C$4))),B4868+IF(AND(I4868="Selisih bunga",DAY(B4868)=1),0,0.01)+ROW()/10000000,"")</f>
        <v/>
      </c>
    </row>
    <row r="4869" outlineLevel="1" ht="15" customHeight="1" s="94">
      <c r="A4869" s="123">
        <f>IF(B4869="","",ROW()-15)</f>
        <v/>
      </c>
      <c r="B4869" s="124" t="n"/>
      <c r="C4869" s="123" t="n"/>
      <c r="D4869" s="123" t="n"/>
      <c r="E4869" s="123" t="n"/>
      <c r="F4869" s="125" t="n"/>
      <c r="G4869" s="123" t="n"/>
      <c r="H4869" s="123" t="n"/>
      <c r="I4869" s="123" t="n"/>
      <c r="J4869" s="123" t="n"/>
      <c r="K4869" s="123" t="n"/>
      <c r="L4869" s="123" t="n"/>
      <c r="M4869" s="123">
        <f>IF(AND(B4869&lt;&gt;"",OR($C$4="",ISNUMBER(SEARCH($C$4,C4869&amp;" "&amp;E4869&amp;" "&amp;G4869&amp;" "&amp;H4869&amp;" "&amp;I4869&amp;" "&amp;J4869&amp;" "&amp;K4869&amp;" "&amp;L4869))),OR($C$5="Semua",$C$5="",G4869=$C$5),OR($C$6="Semua",$C$6="",H4869=$C$6,H4869="Pengeluaran "&amp;$C$6,AND($C$6="Uang Kos Mama",H4869="Pengeluaran Uang Kos")),OR($C$7="Semua",$C$7="",I4869=$C$7),OR($C$8="Semua",$C$8="",C4869=$C$8,E4869=$C$8),OR($C$9="Semua",$C$9="",D4869=$C$9),OR($C$10="",B4869&gt;=$C$10),OR($C$11="",B4869&lt;=$C$11),OR($C$12&lt;&gt;"Ya",K4869&lt;&gt;""),OR($C$13="Semua",$C$13="",L4869=$C$13)),"✓","")</f>
        <v/>
      </c>
      <c r="N4869" s="93">
        <f>N(N4868)+IF(M4869="✓",1,0)</f>
        <v/>
      </c>
      <c r="O4869" s="93">
        <f>N(O4868)+IF(AND(B4869&lt;&gt;"",B4869&gt;='Uang Riba'!$H$30,B4869&lt;='Uang Riba'!$I$30,OR(H4869="Dana riba",H4869="Pinjam uang riba",I4869="Pinjam dari uang riba",I4869="Ganti uang riba",I4869="Kelebihan ganti dikembalikan",AND(C4869="Kantong Uang Riba",G4869="Pengeluaran"))),1,0)</f>
        <v/>
      </c>
      <c r="X4869" s="93">
        <f>IF(AND(B4869&lt;&gt;"",B4869&gt;='Buku Akun'!$H$4,B4869&lt;='Buku Akun'!$H$5,OR(C4869='Buku Akun'!$C$4,AND(D4869="Pindah",E4869='Buku Akun'!$C$4))),B4869+IF(AND(I4869="Selisih bunga",DAY(B4869)=1),0,0.01)+ROW()/10000000,"")</f>
        <v/>
      </c>
    </row>
    <row r="4870" outlineLevel="1" ht="15" customHeight="1" s="94">
      <c r="A4870" s="123">
        <f>IF(B4870="","",ROW()-15)</f>
        <v/>
      </c>
      <c r="B4870" s="124" t="n"/>
      <c r="C4870" s="123" t="n"/>
      <c r="D4870" s="123" t="n"/>
      <c r="E4870" s="123" t="n"/>
      <c r="F4870" s="125" t="n"/>
      <c r="G4870" s="123" t="n"/>
      <c r="H4870" s="123" t="n"/>
      <c r="I4870" s="123" t="n"/>
      <c r="J4870" s="123" t="n"/>
      <c r="K4870" s="123" t="n"/>
      <c r="L4870" s="123" t="n"/>
      <c r="M4870" s="123">
        <f>IF(AND(B4870&lt;&gt;"",OR($C$4="",ISNUMBER(SEARCH($C$4,C4870&amp;" "&amp;E4870&amp;" "&amp;G4870&amp;" "&amp;H4870&amp;" "&amp;I4870&amp;" "&amp;J4870&amp;" "&amp;K4870&amp;" "&amp;L4870))),OR($C$5="Semua",$C$5="",G4870=$C$5),OR($C$6="Semua",$C$6="",H4870=$C$6,H4870="Pengeluaran "&amp;$C$6,AND($C$6="Uang Kos Mama",H4870="Pengeluaran Uang Kos")),OR($C$7="Semua",$C$7="",I4870=$C$7),OR($C$8="Semua",$C$8="",C4870=$C$8,E4870=$C$8),OR($C$9="Semua",$C$9="",D4870=$C$9),OR($C$10="",B4870&gt;=$C$10),OR($C$11="",B4870&lt;=$C$11),OR($C$12&lt;&gt;"Ya",K4870&lt;&gt;""),OR($C$13="Semua",$C$13="",L4870=$C$13)),"✓","")</f>
        <v/>
      </c>
      <c r="N4870" s="93">
        <f>N(N4869)+IF(M4870="✓",1,0)</f>
        <v/>
      </c>
      <c r="O4870" s="93">
        <f>N(O4869)+IF(AND(B4870&lt;&gt;"",B4870&gt;='Uang Riba'!$H$30,B4870&lt;='Uang Riba'!$I$30,OR(H4870="Dana riba",H4870="Pinjam uang riba",I4870="Pinjam dari uang riba",I4870="Ganti uang riba",I4870="Kelebihan ganti dikembalikan",AND(C4870="Kantong Uang Riba",G4870="Pengeluaran"))),1,0)</f>
        <v/>
      </c>
      <c r="X4870" s="93">
        <f>IF(AND(B4870&lt;&gt;"",B4870&gt;='Buku Akun'!$H$4,B4870&lt;='Buku Akun'!$H$5,OR(C4870='Buku Akun'!$C$4,AND(D4870="Pindah",E4870='Buku Akun'!$C$4))),B4870+IF(AND(I4870="Selisih bunga",DAY(B4870)=1),0,0.01)+ROW()/10000000,"")</f>
        <v/>
      </c>
    </row>
    <row r="4871" outlineLevel="1" ht="15" customHeight="1" s="94">
      <c r="A4871" s="123">
        <f>IF(B4871="","",ROW()-15)</f>
        <v/>
      </c>
      <c r="B4871" s="124" t="n"/>
      <c r="C4871" s="123" t="n"/>
      <c r="D4871" s="123" t="n"/>
      <c r="E4871" s="123" t="n"/>
      <c r="F4871" s="125" t="n"/>
      <c r="G4871" s="123" t="n"/>
      <c r="H4871" s="123" t="n"/>
      <c r="I4871" s="123" t="n"/>
      <c r="J4871" s="123" t="n"/>
      <c r="K4871" s="123" t="n"/>
      <c r="L4871" s="123" t="n"/>
      <c r="M4871" s="123">
        <f>IF(AND(B4871&lt;&gt;"",OR($C$4="",ISNUMBER(SEARCH($C$4,C4871&amp;" "&amp;E4871&amp;" "&amp;G4871&amp;" "&amp;H4871&amp;" "&amp;I4871&amp;" "&amp;J4871&amp;" "&amp;K4871&amp;" "&amp;L4871))),OR($C$5="Semua",$C$5="",G4871=$C$5),OR($C$6="Semua",$C$6="",H4871=$C$6,H4871="Pengeluaran "&amp;$C$6,AND($C$6="Uang Kos Mama",H4871="Pengeluaran Uang Kos")),OR($C$7="Semua",$C$7="",I4871=$C$7),OR($C$8="Semua",$C$8="",C4871=$C$8,E4871=$C$8),OR($C$9="Semua",$C$9="",D4871=$C$9),OR($C$10="",B4871&gt;=$C$10),OR($C$11="",B4871&lt;=$C$11),OR($C$12&lt;&gt;"Ya",K4871&lt;&gt;""),OR($C$13="Semua",$C$13="",L4871=$C$13)),"✓","")</f>
        <v/>
      </c>
      <c r="N4871" s="93">
        <f>N(N4870)+IF(M4871="✓",1,0)</f>
        <v/>
      </c>
      <c r="O4871" s="93">
        <f>N(O4870)+IF(AND(B4871&lt;&gt;"",B4871&gt;='Uang Riba'!$H$30,B4871&lt;='Uang Riba'!$I$30,OR(H4871="Dana riba",H4871="Pinjam uang riba",I4871="Pinjam dari uang riba",I4871="Ganti uang riba",I4871="Kelebihan ganti dikembalikan",AND(C4871="Kantong Uang Riba",G4871="Pengeluaran"))),1,0)</f>
        <v/>
      </c>
      <c r="X4871" s="93">
        <f>IF(AND(B4871&lt;&gt;"",B4871&gt;='Buku Akun'!$H$4,B4871&lt;='Buku Akun'!$H$5,OR(C4871='Buku Akun'!$C$4,AND(D4871="Pindah",E4871='Buku Akun'!$C$4))),B4871+IF(AND(I4871="Selisih bunga",DAY(B4871)=1),0,0.01)+ROW()/10000000,"")</f>
        <v/>
      </c>
    </row>
    <row r="4872" outlineLevel="1" ht="15" customHeight="1" s="94">
      <c r="A4872" s="123">
        <f>IF(B4872="","",ROW()-15)</f>
        <v/>
      </c>
      <c r="B4872" s="124" t="n"/>
      <c r="C4872" s="123" t="n"/>
      <c r="D4872" s="123" t="n"/>
      <c r="E4872" s="123" t="n"/>
      <c r="F4872" s="125" t="n"/>
      <c r="G4872" s="123" t="n"/>
      <c r="H4872" s="123" t="n"/>
      <c r="I4872" s="123" t="n"/>
      <c r="J4872" s="123" t="n"/>
      <c r="K4872" s="123" t="n"/>
      <c r="L4872" s="123" t="n"/>
      <c r="M4872" s="123">
        <f>IF(AND(B4872&lt;&gt;"",OR($C$4="",ISNUMBER(SEARCH($C$4,C4872&amp;" "&amp;E4872&amp;" "&amp;G4872&amp;" "&amp;H4872&amp;" "&amp;I4872&amp;" "&amp;J4872&amp;" "&amp;K4872&amp;" "&amp;L4872))),OR($C$5="Semua",$C$5="",G4872=$C$5),OR($C$6="Semua",$C$6="",H4872=$C$6,H4872="Pengeluaran "&amp;$C$6,AND($C$6="Uang Kos Mama",H4872="Pengeluaran Uang Kos")),OR($C$7="Semua",$C$7="",I4872=$C$7),OR($C$8="Semua",$C$8="",C4872=$C$8,E4872=$C$8),OR($C$9="Semua",$C$9="",D4872=$C$9),OR($C$10="",B4872&gt;=$C$10),OR($C$11="",B4872&lt;=$C$11),OR($C$12&lt;&gt;"Ya",K4872&lt;&gt;""),OR($C$13="Semua",$C$13="",L4872=$C$13)),"✓","")</f>
        <v/>
      </c>
      <c r="N4872" s="93">
        <f>N(N4871)+IF(M4872="✓",1,0)</f>
        <v/>
      </c>
      <c r="O4872" s="93">
        <f>N(O4871)+IF(AND(B4872&lt;&gt;"",B4872&gt;='Uang Riba'!$H$30,B4872&lt;='Uang Riba'!$I$30,OR(H4872="Dana riba",H4872="Pinjam uang riba",I4872="Pinjam dari uang riba",I4872="Ganti uang riba",I4872="Kelebihan ganti dikembalikan",AND(C4872="Kantong Uang Riba",G4872="Pengeluaran"))),1,0)</f>
        <v/>
      </c>
      <c r="X4872" s="93">
        <f>IF(AND(B4872&lt;&gt;"",B4872&gt;='Buku Akun'!$H$4,B4872&lt;='Buku Akun'!$H$5,OR(C4872='Buku Akun'!$C$4,AND(D4872="Pindah",E4872='Buku Akun'!$C$4))),B4872+IF(AND(I4872="Selisih bunga",DAY(B4872)=1),0,0.01)+ROW()/10000000,"")</f>
        <v/>
      </c>
    </row>
    <row r="4873" outlineLevel="1" ht="15" customHeight="1" s="94">
      <c r="A4873" s="123">
        <f>IF(B4873="","",ROW()-15)</f>
        <v/>
      </c>
      <c r="B4873" s="124" t="n"/>
      <c r="C4873" s="123" t="n"/>
      <c r="D4873" s="123" t="n"/>
      <c r="E4873" s="123" t="n"/>
      <c r="F4873" s="125" t="n"/>
      <c r="G4873" s="123" t="n"/>
      <c r="H4873" s="123" t="n"/>
      <c r="I4873" s="123" t="n"/>
      <c r="J4873" s="123" t="n"/>
      <c r="K4873" s="123" t="n"/>
      <c r="L4873" s="123" t="n"/>
      <c r="M4873" s="123">
        <f>IF(AND(B4873&lt;&gt;"",OR($C$4="",ISNUMBER(SEARCH($C$4,C4873&amp;" "&amp;E4873&amp;" "&amp;G4873&amp;" "&amp;H4873&amp;" "&amp;I4873&amp;" "&amp;J4873&amp;" "&amp;K4873&amp;" "&amp;L4873))),OR($C$5="Semua",$C$5="",G4873=$C$5),OR($C$6="Semua",$C$6="",H4873=$C$6,H4873="Pengeluaran "&amp;$C$6,AND($C$6="Uang Kos Mama",H4873="Pengeluaran Uang Kos")),OR($C$7="Semua",$C$7="",I4873=$C$7),OR($C$8="Semua",$C$8="",C4873=$C$8,E4873=$C$8),OR($C$9="Semua",$C$9="",D4873=$C$9),OR($C$10="",B4873&gt;=$C$10),OR($C$11="",B4873&lt;=$C$11),OR($C$12&lt;&gt;"Ya",K4873&lt;&gt;""),OR($C$13="Semua",$C$13="",L4873=$C$13)),"✓","")</f>
        <v/>
      </c>
      <c r="N4873" s="93">
        <f>N(N4872)+IF(M4873="✓",1,0)</f>
        <v/>
      </c>
      <c r="O4873" s="93">
        <f>N(O4872)+IF(AND(B4873&lt;&gt;"",B4873&gt;='Uang Riba'!$H$30,B4873&lt;='Uang Riba'!$I$30,OR(H4873="Dana riba",H4873="Pinjam uang riba",I4873="Pinjam dari uang riba",I4873="Ganti uang riba",I4873="Kelebihan ganti dikembalikan",AND(C4873="Kantong Uang Riba",G4873="Pengeluaran"))),1,0)</f>
        <v/>
      </c>
      <c r="X4873" s="93">
        <f>IF(AND(B4873&lt;&gt;"",B4873&gt;='Buku Akun'!$H$4,B4873&lt;='Buku Akun'!$H$5,OR(C4873='Buku Akun'!$C$4,AND(D4873="Pindah",E4873='Buku Akun'!$C$4))),B4873+IF(AND(I4873="Selisih bunga",DAY(B4873)=1),0,0.01)+ROW()/10000000,"")</f>
        <v/>
      </c>
    </row>
    <row r="4874" outlineLevel="1" ht="15" customHeight="1" s="94">
      <c r="A4874" s="123">
        <f>IF(B4874="","",ROW()-15)</f>
        <v/>
      </c>
      <c r="B4874" s="124" t="n"/>
      <c r="C4874" s="123" t="n"/>
      <c r="D4874" s="123" t="n"/>
      <c r="E4874" s="123" t="n"/>
      <c r="F4874" s="125" t="n"/>
      <c r="G4874" s="123" t="n"/>
      <c r="H4874" s="123" t="n"/>
      <c r="I4874" s="123" t="n"/>
      <c r="J4874" s="123" t="n"/>
      <c r="K4874" s="123" t="n"/>
      <c r="L4874" s="123" t="n"/>
      <c r="M4874" s="123">
        <f>IF(AND(B4874&lt;&gt;"",OR($C$4="",ISNUMBER(SEARCH($C$4,C4874&amp;" "&amp;E4874&amp;" "&amp;G4874&amp;" "&amp;H4874&amp;" "&amp;I4874&amp;" "&amp;J4874&amp;" "&amp;K4874&amp;" "&amp;L4874))),OR($C$5="Semua",$C$5="",G4874=$C$5),OR($C$6="Semua",$C$6="",H4874=$C$6,H4874="Pengeluaran "&amp;$C$6,AND($C$6="Uang Kos Mama",H4874="Pengeluaran Uang Kos")),OR($C$7="Semua",$C$7="",I4874=$C$7),OR($C$8="Semua",$C$8="",C4874=$C$8,E4874=$C$8),OR($C$9="Semua",$C$9="",D4874=$C$9),OR($C$10="",B4874&gt;=$C$10),OR($C$11="",B4874&lt;=$C$11),OR($C$12&lt;&gt;"Ya",K4874&lt;&gt;""),OR($C$13="Semua",$C$13="",L4874=$C$13)),"✓","")</f>
        <v/>
      </c>
      <c r="N4874" s="93">
        <f>N(N4873)+IF(M4874="✓",1,0)</f>
        <v/>
      </c>
      <c r="O4874" s="93">
        <f>N(O4873)+IF(AND(B4874&lt;&gt;"",B4874&gt;='Uang Riba'!$H$30,B4874&lt;='Uang Riba'!$I$30,OR(H4874="Dana riba",H4874="Pinjam uang riba",I4874="Pinjam dari uang riba",I4874="Ganti uang riba",I4874="Kelebihan ganti dikembalikan",AND(C4874="Kantong Uang Riba",G4874="Pengeluaran"))),1,0)</f>
        <v/>
      </c>
      <c r="X4874" s="93">
        <f>IF(AND(B4874&lt;&gt;"",B4874&gt;='Buku Akun'!$H$4,B4874&lt;='Buku Akun'!$H$5,OR(C4874='Buku Akun'!$C$4,AND(D4874="Pindah",E4874='Buku Akun'!$C$4))),B4874+IF(AND(I4874="Selisih bunga",DAY(B4874)=1),0,0.01)+ROW()/10000000,"")</f>
        <v/>
      </c>
    </row>
    <row r="4875" outlineLevel="1" ht="15" customHeight="1" s="94">
      <c r="A4875" s="123">
        <f>IF(B4875="","",ROW()-15)</f>
        <v/>
      </c>
      <c r="B4875" s="124" t="n"/>
      <c r="C4875" s="123" t="n"/>
      <c r="D4875" s="123" t="n"/>
      <c r="E4875" s="123" t="n"/>
      <c r="F4875" s="125" t="n"/>
      <c r="G4875" s="123" t="n"/>
      <c r="H4875" s="123" t="n"/>
      <c r="I4875" s="123" t="n"/>
      <c r="J4875" s="123" t="n"/>
      <c r="K4875" s="123" t="n"/>
      <c r="L4875" s="123" t="n"/>
      <c r="M4875" s="123">
        <f>IF(AND(B4875&lt;&gt;"",OR($C$4="",ISNUMBER(SEARCH($C$4,C4875&amp;" "&amp;E4875&amp;" "&amp;G4875&amp;" "&amp;H4875&amp;" "&amp;I4875&amp;" "&amp;J4875&amp;" "&amp;K4875&amp;" "&amp;L4875))),OR($C$5="Semua",$C$5="",G4875=$C$5),OR($C$6="Semua",$C$6="",H4875=$C$6,H4875="Pengeluaran "&amp;$C$6,AND($C$6="Uang Kos Mama",H4875="Pengeluaran Uang Kos")),OR($C$7="Semua",$C$7="",I4875=$C$7),OR($C$8="Semua",$C$8="",C4875=$C$8,E4875=$C$8),OR($C$9="Semua",$C$9="",D4875=$C$9),OR($C$10="",B4875&gt;=$C$10),OR($C$11="",B4875&lt;=$C$11),OR($C$12&lt;&gt;"Ya",K4875&lt;&gt;""),OR($C$13="Semua",$C$13="",L4875=$C$13)),"✓","")</f>
        <v/>
      </c>
      <c r="N4875" s="93">
        <f>N(N4874)+IF(M4875="✓",1,0)</f>
        <v/>
      </c>
      <c r="O4875" s="93">
        <f>N(O4874)+IF(AND(B4875&lt;&gt;"",B4875&gt;='Uang Riba'!$H$30,B4875&lt;='Uang Riba'!$I$30,OR(H4875="Dana riba",H4875="Pinjam uang riba",I4875="Pinjam dari uang riba",I4875="Ganti uang riba",I4875="Kelebihan ganti dikembalikan",AND(C4875="Kantong Uang Riba",G4875="Pengeluaran"))),1,0)</f>
        <v/>
      </c>
      <c r="X4875" s="93">
        <f>IF(AND(B4875&lt;&gt;"",B4875&gt;='Buku Akun'!$H$4,B4875&lt;='Buku Akun'!$H$5,OR(C4875='Buku Akun'!$C$4,AND(D4875="Pindah",E4875='Buku Akun'!$C$4))),B4875+IF(AND(I4875="Selisih bunga",DAY(B4875)=1),0,0.01)+ROW()/10000000,"")</f>
        <v/>
      </c>
    </row>
    <row r="4876" outlineLevel="1" ht="15" customHeight="1" s="94">
      <c r="A4876" s="123">
        <f>IF(B4876="","",ROW()-15)</f>
        <v/>
      </c>
      <c r="B4876" s="124" t="n"/>
      <c r="C4876" s="123" t="n"/>
      <c r="D4876" s="123" t="n"/>
      <c r="E4876" s="123" t="n"/>
      <c r="F4876" s="125" t="n"/>
      <c r="G4876" s="123" t="n"/>
      <c r="H4876" s="123" t="n"/>
      <c r="I4876" s="123" t="n"/>
      <c r="J4876" s="123" t="n"/>
      <c r="K4876" s="123" t="n"/>
      <c r="L4876" s="123" t="n"/>
      <c r="M4876" s="123">
        <f>IF(AND(B4876&lt;&gt;"",OR($C$4="",ISNUMBER(SEARCH($C$4,C4876&amp;" "&amp;E4876&amp;" "&amp;G4876&amp;" "&amp;H4876&amp;" "&amp;I4876&amp;" "&amp;J4876&amp;" "&amp;K4876&amp;" "&amp;L4876))),OR($C$5="Semua",$C$5="",G4876=$C$5),OR($C$6="Semua",$C$6="",H4876=$C$6,H4876="Pengeluaran "&amp;$C$6,AND($C$6="Uang Kos Mama",H4876="Pengeluaran Uang Kos")),OR($C$7="Semua",$C$7="",I4876=$C$7),OR($C$8="Semua",$C$8="",C4876=$C$8,E4876=$C$8),OR($C$9="Semua",$C$9="",D4876=$C$9),OR($C$10="",B4876&gt;=$C$10),OR($C$11="",B4876&lt;=$C$11),OR($C$12&lt;&gt;"Ya",K4876&lt;&gt;""),OR($C$13="Semua",$C$13="",L4876=$C$13)),"✓","")</f>
        <v/>
      </c>
      <c r="N4876" s="93">
        <f>N(N4875)+IF(M4876="✓",1,0)</f>
        <v/>
      </c>
      <c r="O4876" s="93">
        <f>N(O4875)+IF(AND(B4876&lt;&gt;"",B4876&gt;='Uang Riba'!$H$30,B4876&lt;='Uang Riba'!$I$30,OR(H4876="Dana riba",H4876="Pinjam uang riba",I4876="Pinjam dari uang riba",I4876="Ganti uang riba",I4876="Kelebihan ganti dikembalikan",AND(C4876="Kantong Uang Riba",G4876="Pengeluaran"))),1,0)</f>
        <v/>
      </c>
      <c r="X4876" s="93">
        <f>IF(AND(B4876&lt;&gt;"",B4876&gt;='Buku Akun'!$H$4,B4876&lt;='Buku Akun'!$H$5,OR(C4876='Buku Akun'!$C$4,AND(D4876="Pindah",E4876='Buku Akun'!$C$4))),B4876+IF(AND(I4876="Selisih bunga",DAY(B4876)=1),0,0.01)+ROW()/10000000,"")</f>
        <v/>
      </c>
    </row>
    <row r="4877" outlineLevel="1" ht="15" customHeight="1" s="94">
      <c r="A4877" s="123">
        <f>IF(B4877="","",ROW()-15)</f>
        <v/>
      </c>
      <c r="B4877" s="124" t="n"/>
      <c r="C4877" s="123" t="n"/>
      <c r="D4877" s="123" t="n"/>
      <c r="E4877" s="123" t="n"/>
      <c r="F4877" s="125" t="n"/>
      <c r="G4877" s="123" t="n"/>
      <c r="H4877" s="123" t="n"/>
      <c r="I4877" s="123" t="n"/>
      <c r="J4877" s="123" t="n"/>
      <c r="K4877" s="123" t="n"/>
      <c r="L4877" s="123" t="n"/>
      <c r="M4877" s="123">
        <f>IF(AND(B4877&lt;&gt;"",OR($C$4="",ISNUMBER(SEARCH($C$4,C4877&amp;" "&amp;E4877&amp;" "&amp;G4877&amp;" "&amp;H4877&amp;" "&amp;I4877&amp;" "&amp;J4877&amp;" "&amp;K4877&amp;" "&amp;L4877))),OR($C$5="Semua",$C$5="",G4877=$C$5),OR($C$6="Semua",$C$6="",H4877=$C$6,H4877="Pengeluaran "&amp;$C$6,AND($C$6="Uang Kos Mama",H4877="Pengeluaran Uang Kos")),OR($C$7="Semua",$C$7="",I4877=$C$7),OR($C$8="Semua",$C$8="",C4877=$C$8,E4877=$C$8),OR($C$9="Semua",$C$9="",D4877=$C$9),OR($C$10="",B4877&gt;=$C$10),OR($C$11="",B4877&lt;=$C$11),OR($C$12&lt;&gt;"Ya",K4877&lt;&gt;""),OR($C$13="Semua",$C$13="",L4877=$C$13)),"✓","")</f>
        <v/>
      </c>
      <c r="N4877" s="93">
        <f>N(N4876)+IF(M4877="✓",1,0)</f>
        <v/>
      </c>
      <c r="O4877" s="93">
        <f>N(O4876)+IF(AND(B4877&lt;&gt;"",B4877&gt;='Uang Riba'!$H$30,B4877&lt;='Uang Riba'!$I$30,OR(H4877="Dana riba",H4877="Pinjam uang riba",I4877="Pinjam dari uang riba",I4877="Ganti uang riba",I4877="Kelebihan ganti dikembalikan",AND(C4877="Kantong Uang Riba",G4877="Pengeluaran"))),1,0)</f>
        <v/>
      </c>
      <c r="X4877" s="93">
        <f>IF(AND(B4877&lt;&gt;"",B4877&gt;='Buku Akun'!$H$4,B4877&lt;='Buku Akun'!$H$5,OR(C4877='Buku Akun'!$C$4,AND(D4877="Pindah",E4877='Buku Akun'!$C$4))),B4877+IF(AND(I4877="Selisih bunga",DAY(B4877)=1),0,0.01)+ROW()/10000000,"")</f>
        <v/>
      </c>
    </row>
    <row r="4878" outlineLevel="1" ht="15" customHeight="1" s="94">
      <c r="A4878" s="123">
        <f>IF(B4878="","",ROW()-15)</f>
        <v/>
      </c>
      <c r="B4878" s="124" t="n"/>
      <c r="C4878" s="123" t="n"/>
      <c r="D4878" s="123" t="n"/>
      <c r="E4878" s="123" t="n"/>
      <c r="F4878" s="125" t="n"/>
      <c r="G4878" s="123" t="n"/>
      <c r="H4878" s="123" t="n"/>
      <c r="I4878" s="123" t="n"/>
      <c r="J4878" s="123" t="n"/>
      <c r="K4878" s="123" t="n"/>
      <c r="L4878" s="123" t="n"/>
      <c r="M4878" s="123">
        <f>IF(AND(B4878&lt;&gt;"",OR($C$4="",ISNUMBER(SEARCH($C$4,C4878&amp;" "&amp;E4878&amp;" "&amp;G4878&amp;" "&amp;H4878&amp;" "&amp;I4878&amp;" "&amp;J4878&amp;" "&amp;K4878&amp;" "&amp;L4878))),OR($C$5="Semua",$C$5="",G4878=$C$5),OR($C$6="Semua",$C$6="",H4878=$C$6,H4878="Pengeluaran "&amp;$C$6,AND($C$6="Uang Kos Mama",H4878="Pengeluaran Uang Kos")),OR($C$7="Semua",$C$7="",I4878=$C$7),OR($C$8="Semua",$C$8="",C4878=$C$8,E4878=$C$8),OR($C$9="Semua",$C$9="",D4878=$C$9),OR($C$10="",B4878&gt;=$C$10),OR($C$11="",B4878&lt;=$C$11),OR($C$12&lt;&gt;"Ya",K4878&lt;&gt;""),OR($C$13="Semua",$C$13="",L4878=$C$13)),"✓","")</f>
        <v/>
      </c>
      <c r="N4878" s="93">
        <f>N(N4877)+IF(M4878="✓",1,0)</f>
        <v/>
      </c>
      <c r="O4878" s="93">
        <f>N(O4877)+IF(AND(B4878&lt;&gt;"",B4878&gt;='Uang Riba'!$H$30,B4878&lt;='Uang Riba'!$I$30,OR(H4878="Dana riba",H4878="Pinjam uang riba",I4878="Pinjam dari uang riba",I4878="Ganti uang riba",I4878="Kelebihan ganti dikembalikan",AND(C4878="Kantong Uang Riba",G4878="Pengeluaran"))),1,0)</f>
        <v/>
      </c>
      <c r="X4878" s="93">
        <f>IF(AND(B4878&lt;&gt;"",B4878&gt;='Buku Akun'!$H$4,B4878&lt;='Buku Akun'!$H$5,OR(C4878='Buku Akun'!$C$4,AND(D4878="Pindah",E4878='Buku Akun'!$C$4))),B4878+IF(AND(I4878="Selisih bunga",DAY(B4878)=1),0,0.01)+ROW()/10000000,"")</f>
        <v/>
      </c>
    </row>
    <row r="4879" outlineLevel="1" ht="15" customHeight="1" s="94">
      <c r="A4879" s="123">
        <f>IF(B4879="","",ROW()-15)</f>
        <v/>
      </c>
      <c r="B4879" s="124" t="n"/>
      <c r="C4879" s="123" t="n"/>
      <c r="D4879" s="123" t="n"/>
      <c r="E4879" s="123" t="n"/>
      <c r="F4879" s="125" t="n"/>
      <c r="G4879" s="123" t="n"/>
      <c r="H4879" s="123" t="n"/>
      <c r="I4879" s="123" t="n"/>
      <c r="J4879" s="123" t="n"/>
      <c r="K4879" s="123" t="n"/>
      <c r="L4879" s="123" t="n"/>
      <c r="M4879" s="123">
        <f>IF(AND(B4879&lt;&gt;"",OR($C$4="",ISNUMBER(SEARCH($C$4,C4879&amp;" "&amp;E4879&amp;" "&amp;G4879&amp;" "&amp;H4879&amp;" "&amp;I4879&amp;" "&amp;J4879&amp;" "&amp;K4879&amp;" "&amp;L4879))),OR($C$5="Semua",$C$5="",G4879=$C$5),OR($C$6="Semua",$C$6="",H4879=$C$6,H4879="Pengeluaran "&amp;$C$6,AND($C$6="Uang Kos Mama",H4879="Pengeluaran Uang Kos")),OR($C$7="Semua",$C$7="",I4879=$C$7),OR($C$8="Semua",$C$8="",C4879=$C$8,E4879=$C$8),OR($C$9="Semua",$C$9="",D4879=$C$9),OR($C$10="",B4879&gt;=$C$10),OR($C$11="",B4879&lt;=$C$11),OR($C$12&lt;&gt;"Ya",K4879&lt;&gt;""),OR($C$13="Semua",$C$13="",L4879=$C$13)),"✓","")</f>
        <v/>
      </c>
      <c r="N4879" s="93">
        <f>N(N4878)+IF(M4879="✓",1,0)</f>
        <v/>
      </c>
      <c r="O4879" s="93">
        <f>N(O4878)+IF(AND(B4879&lt;&gt;"",B4879&gt;='Uang Riba'!$H$30,B4879&lt;='Uang Riba'!$I$30,OR(H4879="Dana riba",H4879="Pinjam uang riba",I4879="Pinjam dari uang riba",I4879="Ganti uang riba",I4879="Kelebihan ganti dikembalikan",AND(C4879="Kantong Uang Riba",G4879="Pengeluaran"))),1,0)</f>
        <v/>
      </c>
      <c r="X4879" s="93">
        <f>IF(AND(B4879&lt;&gt;"",B4879&gt;='Buku Akun'!$H$4,B4879&lt;='Buku Akun'!$H$5,OR(C4879='Buku Akun'!$C$4,AND(D4879="Pindah",E4879='Buku Akun'!$C$4))),B4879+IF(AND(I4879="Selisih bunga",DAY(B4879)=1),0,0.01)+ROW()/10000000,"")</f>
        <v/>
      </c>
    </row>
    <row r="4880" outlineLevel="1" ht="15" customHeight="1" s="94">
      <c r="A4880" s="123">
        <f>IF(B4880="","",ROW()-15)</f>
        <v/>
      </c>
      <c r="B4880" s="124" t="n"/>
      <c r="C4880" s="123" t="n"/>
      <c r="D4880" s="123" t="n"/>
      <c r="E4880" s="123" t="n"/>
      <c r="F4880" s="125" t="n"/>
      <c r="G4880" s="123" t="n"/>
      <c r="H4880" s="123" t="n"/>
      <c r="I4880" s="123" t="n"/>
      <c r="J4880" s="123" t="n"/>
      <c r="K4880" s="123" t="n"/>
      <c r="L4880" s="123" t="n"/>
      <c r="M4880" s="123">
        <f>IF(AND(B4880&lt;&gt;"",OR($C$4="",ISNUMBER(SEARCH($C$4,C4880&amp;" "&amp;E4880&amp;" "&amp;G4880&amp;" "&amp;H4880&amp;" "&amp;I4880&amp;" "&amp;J4880&amp;" "&amp;K4880&amp;" "&amp;L4880))),OR($C$5="Semua",$C$5="",G4880=$C$5),OR($C$6="Semua",$C$6="",H4880=$C$6,H4880="Pengeluaran "&amp;$C$6,AND($C$6="Uang Kos Mama",H4880="Pengeluaran Uang Kos")),OR($C$7="Semua",$C$7="",I4880=$C$7),OR($C$8="Semua",$C$8="",C4880=$C$8,E4880=$C$8),OR($C$9="Semua",$C$9="",D4880=$C$9),OR($C$10="",B4880&gt;=$C$10),OR($C$11="",B4880&lt;=$C$11),OR($C$12&lt;&gt;"Ya",K4880&lt;&gt;""),OR($C$13="Semua",$C$13="",L4880=$C$13)),"✓","")</f>
        <v/>
      </c>
      <c r="N4880" s="93">
        <f>N(N4879)+IF(M4880="✓",1,0)</f>
        <v/>
      </c>
      <c r="O4880" s="93">
        <f>N(O4879)+IF(AND(B4880&lt;&gt;"",B4880&gt;='Uang Riba'!$H$30,B4880&lt;='Uang Riba'!$I$30,OR(H4880="Dana riba",H4880="Pinjam uang riba",I4880="Pinjam dari uang riba",I4880="Ganti uang riba",I4880="Kelebihan ganti dikembalikan",AND(C4880="Kantong Uang Riba",G4880="Pengeluaran"))),1,0)</f>
        <v/>
      </c>
      <c r="X4880" s="93">
        <f>IF(AND(B4880&lt;&gt;"",B4880&gt;='Buku Akun'!$H$4,B4880&lt;='Buku Akun'!$H$5,OR(C4880='Buku Akun'!$C$4,AND(D4880="Pindah",E4880='Buku Akun'!$C$4))),B4880+IF(AND(I4880="Selisih bunga",DAY(B4880)=1),0,0.01)+ROW()/10000000,"")</f>
        <v/>
      </c>
    </row>
    <row r="4881" outlineLevel="1" ht="15" customHeight="1" s="94">
      <c r="A4881" s="123">
        <f>IF(B4881="","",ROW()-15)</f>
        <v/>
      </c>
      <c r="B4881" s="124" t="n"/>
      <c r="C4881" s="123" t="n"/>
      <c r="D4881" s="123" t="n"/>
      <c r="E4881" s="123" t="n"/>
      <c r="F4881" s="125" t="n"/>
      <c r="G4881" s="123" t="n"/>
      <c r="H4881" s="123" t="n"/>
      <c r="I4881" s="123" t="n"/>
      <c r="J4881" s="123" t="n"/>
      <c r="K4881" s="123" t="n"/>
      <c r="L4881" s="123" t="n"/>
      <c r="M4881" s="123">
        <f>IF(AND(B4881&lt;&gt;"",OR($C$4="",ISNUMBER(SEARCH($C$4,C4881&amp;" "&amp;E4881&amp;" "&amp;G4881&amp;" "&amp;H4881&amp;" "&amp;I4881&amp;" "&amp;J4881&amp;" "&amp;K4881&amp;" "&amp;L4881))),OR($C$5="Semua",$C$5="",G4881=$C$5),OR($C$6="Semua",$C$6="",H4881=$C$6,H4881="Pengeluaran "&amp;$C$6,AND($C$6="Uang Kos Mama",H4881="Pengeluaran Uang Kos")),OR($C$7="Semua",$C$7="",I4881=$C$7),OR($C$8="Semua",$C$8="",C4881=$C$8,E4881=$C$8),OR($C$9="Semua",$C$9="",D4881=$C$9),OR($C$10="",B4881&gt;=$C$10),OR($C$11="",B4881&lt;=$C$11),OR($C$12&lt;&gt;"Ya",K4881&lt;&gt;""),OR($C$13="Semua",$C$13="",L4881=$C$13)),"✓","")</f>
        <v/>
      </c>
      <c r="N4881" s="93">
        <f>N(N4880)+IF(M4881="✓",1,0)</f>
        <v/>
      </c>
      <c r="O4881" s="93">
        <f>N(O4880)+IF(AND(B4881&lt;&gt;"",B4881&gt;='Uang Riba'!$H$30,B4881&lt;='Uang Riba'!$I$30,OR(H4881="Dana riba",H4881="Pinjam uang riba",I4881="Pinjam dari uang riba",I4881="Ganti uang riba",I4881="Kelebihan ganti dikembalikan",AND(C4881="Kantong Uang Riba",G4881="Pengeluaran"))),1,0)</f>
        <v/>
      </c>
      <c r="X4881" s="93">
        <f>IF(AND(B4881&lt;&gt;"",B4881&gt;='Buku Akun'!$H$4,B4881&lt;='Buku Akun'!$H$5,OR(C4881='Buku Akun'!$C$4,AND(D4881="Pindah",E4881='Buku Akun'!$C$4))),B4881+IF(AND(I4881="Selisih bunga",DAY(B4881)=1),0,0.01)+ROW()/10000000,"")</f>
        <v/>
      </c>
    </row>
    <row r="4882" outlineLevel="1" ht="15" customHeight="1" s="94">
      <c r="A4882" s="123">
        <f>IF(B4882="","",ROW()-15)</f>
        <v/>
      </c>
      <c r="B4882" s="124" t="n"/>
      <c r="C4882" s="123" t="n"/>
      <c r="D4882" s="123" t="n"/>
      <c r="E4882" s="123" t="n"/>
      <c r="F4882" s="125" t="n"/>
      <c r="G4882" s="123" t="n"/>
      <c r="H4882" s="123" t="n"/>
      <c r="I4882" s="123" t="n"/>
      <c r="J4882" s="123" t="n"/>
      <c r="K4882" s="123" t="n"/>
      <c r="L4882" s="123" t="n"/>
      <c r="M4882" s="123">
        <f>IF(AND(B4882&lt;&gt;"",OR($C$4="",ISNUMBER(SEARCH($C$4,C4882&amp;" "&amp;E4882&amp;" "&amp;G4882&amp;" "&amp;H4882&amp;" "&amp;I4882&amp;" "&amp;J4882&amp;" "&amp;K4882&amp;" "&amp;L4882))),OR($C$5="Semua",$C$5="",G4882=$C$5),OR($C$6="Semua",$C$6="",H4882=$C$6,H4882="Pengeluaran "&amp;$C$6,AND($C$6="Uang Kos Mama",H4882="Pengeluaran Uang Kos")),OR($C$7="Semua",$C$7="",I4882=$C$7),OR($C$8="Semua",$C$8="",C4882=$C$8,E4882=$C$8),OR($C$9="Semua",$C$9="",D4882=$C$9),OR($C$10="",B4882&gt;=$C$10),OR($C$11="",B4882&lt;=$C$11),OR($C$12&lt;&gt;"Ya",K4882&lt;&gt;""),OR($C$13="Semua",$C$13="",L4882=$C$13)),"✓","")</f>
        <v/>
      </c>
      <c r="N4882" s="93">
        <f>N(N4881)+IF(M4882="✓",1,0)</f>
        <v/>
      </c>
      <c r="O4882" s="93">
        <f>N(O4881)+IF(AND(B4882&lt;&gt;"",B4882&gt;='Uang Riba'!$H$30,B4882&lt;='Uang Riba'!$I$30,OR(H4882="Dana riba",H4882="Pinjam uang riba",I4882="Pinjam dari uang riba",I4882="Ganti uang riba",I4882="Kelebihan ganti dikembalikan",AND(C4882="Kantong Uang Riba",G4882="Pengeluaran"))),1,0)</f>
        <v/>
      </c>
      <c r="X4882" s="93">
        <f>IF(AND(B4882&lt;&gt;"",B4882&gt;='Buku Akun'!$H$4,B4882&lt;='Buku Akun'!$H$5,OR(C4882='Buku Akun'!$C$4,AND(D4882="Pindah",E4882='Buku Akun'!$C$4))),B4882+IF(AND(I4882="Selisih bunga",DAY(B4882)=1),0,0.01)+ROW()/10000000,"")</f>
        <v/>
      </c>
    </row>
    <row r="4883" outlineLevel="1" ht="15" customHeight="1" s="94">
      <c r="A4883" s="123">
        <f>IF(B4883="","",ROW()-15)</f>
        <v/>
      </c>
      <c r="B4883" s="124" t="n"/>
      <c r="C4883" s="123" t="n"/>
      <c r="D4883" s="123" t="n"/>
      <c r="E4883" s="123" t="n"/>
      <c r="F4883" s="125" t="n"/>
      <c r="G4883" s="123" t="n"/>
      <c r="H4883" s="123" t="n"/>
      <c r="I4883" s="123" t="n"/>
      <c r="J4883" s="123" t="n"/>
      <c r="K4883" s="123" t="n"/>
      <c r="L4883" s="123" t="n"/>
      <c r="M4883" s="123">
        <f>IF(AND(B4883&lt;&gt;"",OR($C$4="",ISNUMBER(SEARCH($C$4,C4883&amp;" "&amp;E4883&amp;" "&amp;G4883&amp;" "&amp;H4883&amp;" "&amp;I4883&amp;" "&amp;J4883&amp;" "&amp;K4883&amp;" "&amp;L4883))),OR($C$5="Semua",$C$5="",G4883=$C$5),OR($C$6="Semua",$C$6="",H4883=$C$6,H4883="Pengeluaran "&amp;$C$6,AND($C$6="Uang Kos Mama",H4883="Pengeluaran Uang Kos")),OR($C$7="Semua",$C$7="",I4883=$C$7),OR($C$8="Semua",$C$8="",C4883=$C$8,E4883=$C$8),OR($C$9="Semua",$C$9="",D4883=$C$9),OR($C$10="",B4883&gt;=$C$10),OR($C$11="",B4883&lt;=$C$11),OR($C$12&lt;&gt;"Ya",K4883&lt;&gt;""),OR($C$13="Semua",$C$13="",L4883=$C$13)),"✓","")</f>
        <v/>
      </c>
      <c r="N4883" s="93">
        <f>N(N4882)+IF(M4883="✓",1,0)</f>
        <v/>
      </c>
      <c r="O4883" s="93">
        <f>N(O4882)+IF(AND(B4883&lt;&gt;"",B4883&gt;='Uang Riba'!$H$30,B4883&lt;='Uang Riba'!$I$30,OR(H4883="Dana riba",H4883="Pinjam uang riba",I4883="Pinjam dari uang riba",I4883="Ganti uang riba",I4883="Kelebihan ganti dikembalikan",AND(C4883="Kantong Uang Riba",G4883="Pengeluaran"))),1,0)</f>
        <v/>
      </c>
      <c r="X4883" s="93">
        <f>IF(AND(B4883&lt;&gt;"",B4883&gt;='Buku Akun'!$H$4,B4883&lt;='Buku Akun'!$H$5,OR(C4883='Buku Akun'!$C$4,AND(D4883="Pindah",E4883='Buku Akun'!$C$4))),B4883+IF(AND(I4883="Selisih bunga",DAY(B4883)=1),0,0.01)+ROW()/10000000,"")</f>
        <v/>
      </c>
    </row>
    <row r="4884" outlineLevel="1" ht="15" customHeight="1" s="94">
      <c r="A4884" s="123">
        <f>IF(B4884="","",ROW()-15)</f>
        <v/>
      </c>
      <c r="B4884" s="124" t="n"/>
      <c r="C4884" s="123" t="n"/>
      <c r="D4884" s="123" t="n"/>
      <c r="E4884" s="123" t="n"/>
      <c r="F4884" s="125" t="n"/>
      <c r="G4884" s="123" t="n"/>
      <c r="H4884" s="123" t="n"/>
      <c r="I4884" s="123" t="n"/>
      <c r="J4884" s="123" t="n"/>
      <c r="K4884" s="123" t="n"/>
      <c r="L4884" s="123" t="n"/>
      <c r="M4884" s="123">
        <f>IF(AND(B4884&lt;&gt;"",OR($C$4="",ISNUMBER(SEARCH($C$4,C4884&amp;" "&amp;E4884&amp;" "&amp;G4884&amp;" "&amp;H4884&amp;" "&amp;I4884&amp;" "&amp;J4884&amp;" "&amp;K4884&amp;" "&amp;L4884))),OR($C$5="Semua",$C$5="",G4884=$C$5),OR($C$6="Semua",$C$6="",H4884=$C$6,H4884="Pengeluaran "&amp;$C$6,AND($C$6="Uang Kos Mama",H4884="Pengeluaran Uang Kos")),OR($C$7="Semua",$C$7="",I4884=$C$7),OR($C$8="Semua",$C$8="",C4884=$C$8,E4884=$C$8),OR($C$9="Semua",$C$9="",D4884=$C$9),OR($C$10="",B4884&gt;=$C$10),OR($C$11="",B4884&lt;=$C$11),OR($C$12&lt;&gt;"Ya",K4884&lt;&gt;""),OR($C$13="Semua",$C$13="",L4884=$C$13)),"✓","")</f>
        <v/>
      </c>
      <c r="N4884" s="93">
        <f>N(N4883)+IF(M4884="✓",1,0)</f>
        <v/>
      </c>
      <c r="O4884" s="93">
        <f>N(O4883)+IF(AND(B4884&lt;&gt;"",B4884&gt;='Uang Riba'!$H$30,B4884&lt;='Uang Riba'!$I$30,OR(H4884="Dana riba",H4884="Pinjam uang riba",I4884="Pinjam dari uang riba",I4884="Ganti uang riba",I4884="Kelebihan ganti dikembalikan",AND(C4884="Kantong Uang Riba",G4884="Pengeluaran"))),1,0)</f>
        <v/>
      </c>
      <c r="X4884" s="93">
        <f>IF(AND(B4884&lt;&gt;"",B4884&gt;='Buku Akun'!$H$4,B4884&lt;='Buku Akun'!$H$5,OR(C4884='Buku Akun'!$C$4,AND(D4884="Pindah",E4884='Buku Akun'!$C$4))),B4884+IF(AND(I4884="Selisih bunga",DAY(B4884)=1),0,0.01)+ROW()/10000000,"")</f>
        <v/>
      </c>
    </row>
    <row r="4885" outlineLevel="1" ht="15" customHeight="1" s="94">
      <c r="A4885" s="123">
        <f>IF(B4885="","",ROW()-15)</f>
        <v/>
      </c>
      <c r="B4885" s="124" t="n"/>
      <c r="C4885" s="123" t="n"/>
      <c r="D4885" s="123" t="n"/>
      <c r="E4885" s="123" t="n"/>
      <c r="F4885" s="125" t="n"/>
      <c r="G4885" s="123" t="n"/>
      <c r="H4885" s="123" t="n"/>
      <c r="I4885" s="123" t="n"/>
      <c r="J4885" s="123" t="n"/>
      <c r="K4885" s="123" t="n"/>
      <c r="L4885" s="123" t="n"/>
      <c r="M4885" s="123">
        <f>IF(AND(B4885&lt;&gt;"",OR($C$4="",ISNUMBER(SEARCH($C$4,C4885&amp;" "&amp;E4885&amp;" "&amp;G4885&amp;" "&amp;H4885&amp;" "&amp;I4885&amp;" "&amp;J4885&amp;" "&amp;K4885&amp;" "&amp;L4885))),OR($C$5="Semua",$C$5="",G4885=$C$5),OR($C$6="Semua",$C$6="",H4885=$C$6,H4885="Pengeluaran "&amp;$C$6,AND($C$6="Uang Kos Mama",H4885="Pengeluaran Uang Kos")),OR($C$7="Semua",$C$7="",I4885=$C$7),OR($C$8="Semua",$C$8="",C4885=$C$8,E4885=$C$8),OR($C$9="Semua",$C$9="",D4885=$C$9),OR($C$10="",B4885&gt;=$C$10),OR($C$11="",B4885&lt;=$C$11),OR($C$12&lt;&gt;"Ya",K4885&lt;&gt;""),OR($C$13="Semua",$C$13="",L4885=$C$13)),"✓","")</f>
        <v/>
      </c>
      <c r="N4885" s="93">
        <f>N(N4884)+IF(M4885="✓",1,0)</f>
        <v/>
      </c>
      <c r="O4885" s="93">
        <f>N(O4884)+IF(AND(B4885&lt;&gt;"",B4885&gt;='Uang Riba'!$H$30,B4885&lt;='Uang Riba'!$I$30,OR(H4885="Dana riba",H4885="Pinjam uang riba",I4885="Pinjam dari uang riba",I4885="Ganti uang riba",I4885="Kelebihan ganti dikembalikan",AND(C4885="Kantong Uang Riba",G4885="Pengeluaran"))),1,0)</f>
        <v/>
      </c>
      <c r="X4885" s="93">
        <f>IF(AND(B4885&lt;&gt;"",B4885&gt;='Buku Akun'!$H$4,B4885&lt;='Buku Akun'!$H$5,OR(C4885='Buku Akun'!$C$4,AND(D4885="Pindah",E4885='Buku Akun'!$C$4))),B4885+IF(AND(I4885="Selisih bunga",DAY(B4885)=1),0,0.01)+ROW()/10000000,"")</f>
        <v/>
      </c>
    </row>
    <row r="4886" outlineLevel="1" ht="15" customHeight="1" s="94">
      <c r="A4886" s="123">
        <f>IF(B4886="","",ROW()-15)</f>
        <v/>
      </c>
      <c r="B4886" s="124" t="n"/>
      <c r="C4886" s="123" t="n"/>
      <c r="D4886" s="123" t="n"/>
      <c r="E4886" s="123" t="n"/>
      <c r="F4886" s="125" t="n"/>
      <c r="G4886" s="123" t="n"/>
      <c r="H4886" s="123" t="n"/>
      <c r="I4886" s="123" t="n"/>
      <c r="J4886" s="123" t="n"/>
      <c r="K4886" s="123" t="n"/>
      <c r="L4886" s="123" t="n"/>
      <c r="M4886" s="123">
        <f>IF(AND(B4886&lt;&gt;"",OR($C$4="",ISNUMBER(SEARCH($C$4,C4886&amp;" "&amp;E4886&amp;" "&amp;G4886&amp;" "&amp;H4886&amp;" "&amp;I4886&amp;" "&amp;J4886&amp;" "&amp;K4886&amp;" "&amp;L4886))),OR($C$5="Semua",$C$5="",G4886=$C$5),OR($C$6="Semua",$C$6="",H4886=$C$6,H4886="Pengeluaran "&amp;$C$6,AND($C$6="Uang Kos Mama",H4886="Pengeluaran Uang Kos")),OR($C$7="Semua",$C$7="",I4886=$C$7),OR($C$8="Semua",$C$8="",C4886=$C$8,E4886=$C$8),OR($C$9="Semua",$C$9="",D4886=$C$9),OR($C$10="",B4886&gt;=$C$10),OR($C$11="",B4886&lt;=$C$11),OR($C$12&lt;&gt;"Ya",K4886&lt;&gt;""),OR($C$13="Semua",$C$13="",L4886=$C$13)),"✓","")</f>
        <v/>
      </c>
      <c r="N4886" s="93">
        <f>N(N4885)+IF(M4886="✓",1,0)</f>
        <v/>
      </c>
      <c r="O4886" s="93">
        <f>N(O4885)+IF(AND(B4886&lt;&gt;"",B4886&gt;='Uang Riba'!$H$30,B4886&lt;='Uang Riba'!$I$30,OR(H4886="Dana riba",H4886="Pinjam uang riba",I4886="Pinjam dari uang riba",I4886="Ganti uang riba",I4886="Kelebihan ganti dikembalikan",AND(C4886="Kantong Uang Riba",G4886="Pengeluaran"))),1,0)</f>
        <v/>
      </c>
      <c r="X4886" s="93">
        <f>IF(AND(B4886&lt;&gt;"",B4886&gt;='Buku Akun'!$H$4,B4886&lt;='Buku Akun'!$H$5,OR(C4886='Buku Akun'!$C$4,AND(D4886="Pindah",E4886='Buku Akun'!$C$4))),B4886+IF(AND(I4886="Selisih bunga",DAY(B4886)=1),0,0.01)+ROW()/10000000,"")</f>
        <v/>
      </c>
    </row>
    <row r="4887" outlineLevel="1" ht="15" customHeight="1" s="94">
      <c r="A4887" s="123">
        <f>IF(B4887="","",ROW()-15)</f>
        <v/>
      </c>
      <c r="B4887" s="124" t="n"/>
      <c r="C4887" s="123" t="n"/>
      <c r="D4887" s="123" t="n"/>
      <c r="E4887" s="123" t="n"/>
      <c r="F4887" s="125" t="n"/>
      <c r="G4887" s="123" t="n"/>
      <c r="H4887" s="123" t="n"/>
      <c r="I4887" s="123" t="n"/>
      <c r="J4887" s="123" t="n"/>
      <c r="K4887" s="123" t="n"/>
      <c r="L4887" s="123" t="n"/>
      <c r="M4887" s="123">
        <f>IF(AND(B4887&lt;&gt;"",OR($C$4="",ISNUMBER(SEARCH($C$4,C4887&amp;" "&amp;E4887&amp;" "&amp;G4887&amp;" "&amp;H4887&amp;" "&amp;I4887&amp;" "&amp;J4887&amp;" "&amp;K4887&amp;" "&amp;L4887))),OR($C$5="Semua",$C$5="",G4887=$C$5),OR($C$6="Semua",$C$6="",H4887=$C$6,H4887="Pengeluaran "&amp;$C$6,AND($C$6="Uang Kos Mama",H4887="Pengeluaran Uang Kos")),OR($C$7="Semua",$C$7="",I4887=$C$7),OR($C$8="Semua",$C$8="",C4887=$C$8,E4887=$C$8),OR($C$9="Semua",$C$9="",D4887=$C$9),OR($C$10="",B4887&gt;=$C$10),OR($C$11="",B4887&lt;=$C$11),OR($C$12&lt;&gt;"Ya",K4887&lt;&gt;""),OR($C$13="Semua",$C$13="",L4887=$C$13)),"✓","")</f>
        <v/>
      </c>
      <c r="N4887" s="93">
        <f>N(N4886)+IF(M4887="✓",1,0)</f>
        <v/>
      </c>
      <c r="O4887" s="93">
        <f>N(O4886)+IF(AND(B4887&lt;&gt;"",B4887&gt;='Uang Riba'!$H$30,B4887&lt;='Uang Riba'!$I$30,OR(H4887="Dana riba",H4887="Pinjam uang riba",I4887="Pinjam dari uang riba",I4887="Ganti uang riba",I4887="Kelebihan ganti dikembalikan",AND(C4887="Kantong Uang Riba",G4887="Pengeluaran"))),1,0)</f>
        <v/>
      </c>
      <c r="X4887" s="93">
        <f>IF(AND(B4887&lt;&gt;"",B4887&gt;='Buku Akun'!$H$4,B4887&lt;='Buku Akun'!$H$5,OR(C4887='Buku Akun'!$C$4,AND(D4887="Pindah",E4887='Buku Akun'!$C$4))),B4887+IF(AND(I4887="Selisih bunga",DAY(B4887)=1),0,0.01)+ROW()/10000000,"")</f>
        <v/>
      </c>
    </row>
    <row r="4888" outlineLevel="1" ht="15" customHeight="1" s="94">
      <c r="A4888" s="123">
        <f>IF(B4888="","",ROW()-15)</f>
        <v/>
      </c>
      <c r="B4888" s="124" t="n"/>
      <c r="C4888" s="123" t="n"/>
      <c r="D4888" s="123" t="n"/>
      <c r="E4888" s="123" t="n"/>
      <c r="F4888" s="125" t="n"/>
      <c r="G4888" s="123" t="n"/>
      <c r="H4888" s="123" t="n"/>
      <c r="I4888" s="123" t="n"/>
      <c r="J4888" s="123" t="n"/>
      <c r="K4888" s="123" t="n"/>
      <c r="L4888" s="123" t="n"/>
      <c r="M4888" s="123">
        <f>IF(AND(B4888&lt;&gt;"",OR($C$4="",ISNUMBER(SEARCH($C$4,C4888&amp;" "&amp;E4888&amp;" "&amp;G4888&amp;" "&amp;H4888&amp;" "&amp;I4888&amp;" "&amp;J4888&amp;" "&amp;K4888&amp;" "&amp;L4888))),OR($C$5="Semua",$C$5="",G4888=$C$5),OR($C$6="Semua",$C$6="",H4888=$C$6,H4888="Pengeluaran "&amp;$C$6,AND($C$6="Uang Kos Mama",H4888="Pengeluaran Uang Kos")),OR($C$7="Semua",$C$7="",I4888=$C$7),OR($C$8="Semua",$C$8="",C4888=$C$8,E4888=$C$8),OR($C$9="Semua",$C$9="",D4888=$C$9),OR($C$10="",B4888&gt;=$C$10),OR($C$11="",B4888&lt;=$C$11),OR($C$12&lt;&gt;"Ya",K4888&lt;&gt;""),OR($C$13="Semua",$C$13="",L4888=$C$13)),"✓","")</f>
        <v/>
      </c>
      <c r="N4888" s="93">
        <f>N(N4887)+IF(M4888="✓",1,0)</f>
        <v/>
      </c>
      <c r="O4888" s="93">
        <f>N(O4887)+IF(AND(B4888&lt;&gt;"",B4888&gt;='Uang Riba'!$H$30,B4888&lt;='Uang Riba'!$I$30,OR(H4888="Dana riba",H4888="Pinjam uang riba",I4888="Pinjam dari uang riba",I4888="Ganti uang riba",I4888="Kelebihan ganti dikembalikan",AND(C4888="Kantong Uang Riba",G4888="Pengeluaran"))),1,0)</f>
        <v/>
      </c>
      <c r="X4888" s="93">
        <f>IF(AND(B4888&lt;&gt;"",B4888&gt;='Buku Akun'!$H$4,B4888&lt;='Buku Akun'!$H$5,OR(C4888='Buku Akun'!$C$4,AND(D4888="Pindah",E4888='Buku Akun'!$C$4))),B4888+IF(AND(I4888="Selisih bunga",DAY(B4888)=1),0,0.01)+ROW()/10000000,"")</f>
        <v/>
      </c>
    </row>
    <row r="4889" outlineLevel="1" ht="15" customHeight="1" s="94">
      <c r="A4889" s="123">
        <f>IF(B4889="","",ROW()-15)</f>
        <v/>
      </c>
      <c r="B4889" s="124" t="n"/>
      <c r="C4889" s="123" t="n"/>
      <c r="D4889" s="123" t="n"/>
      <c r="E4889" s="123" t="n"/>
      <c r="F4889" s="125" t="n"/>
      <c r="G4889" s="123" t="n"/>
      <c r="H4889" s="123" t="n"/>
      <c r="I4889" s="123" t="n"/>
      <c r="J4889" s="123" t="n"/>
      <c r="K4889" s="123" t="n"/>
      <c r="L4889" s="123" t="n"/>
      <c r="M4889" s="123">
        <f>IF(AND(B4889&lt;&gt;"",OR($C$4="",ISNUMBER(SEARCH($C$4,C4889&amp;" "&amp;E4889&amp;" "&amp;G4889&amp;" "&amp;H4889&amp;" "&amp;I4889&amp;" "&amp;J4889&amp;" "&amp;K4889&amp;" "&amp;L4889))),OR($C$5="Semua",$C$5="",G4889=$C$5),OR($C$6="Semua",$C$6="",H4889=$C$6,H4889="Pengeluaran "&amp;$C$6,AND($C$6="Uang Kos Mama",H4889="Pengeluaran Uang Kos")),OR($C$7="Semua",$C$7="",I4889=$C$7),OR($C$8="Semua",$C$8="",C4889=$C$8,E4889=$C$8),OR($C$9="Semua",$C$9="",D4889=$C$9),OR($C$10="",B4889&gt;=$C$10),OR($C$11="",B4889&lt;=$C$11),OR($C$12&lt;&gt;"Ya",K4889&lt;&gt;""),OR($C$13="Semua",$C$13="",L4889=$C$13)),"✓","")</f>
        <v/>
      </c>
      <c r="N4889" s="93">
        <f>N(N4888)+IF(M4889="✓",1,0)</f>
        <v/>
      </c>
      <c r="O4889" s="93">
        <f>N(O4888)+IF(AND(B4889&lt;&gt;"",B4889&gt;='Uang Riba'!$H$30,B4889&lt;='Uang Riba'!$I$30,OR(H4889="Dana riba",H4889="Pinjam uang riba",I4889="Pinjam dari uang riba",I4889="Ganti uang riba",I4889="Kelebihan ganti dikembalikan",AND(C4889="Kantong Uang Riba",G4889="Pengeluaran"))),1,0)</f>
        <v/>
      </c>
      <c r="X4889" s="93">
        <f>IF(AND(B4889&lt;&gt;"",B4889&gt;='Buku Akun'!$H$4,B4889&lt;='Buku Akun'!$H$5,OR(C4889='Buku Akun'!$C$4,AND(D4889="Pindah",E4889='Buku Akun'!$C$4))),B4889+IF(AND(I4889="Selisih bunga",DAY(B4889)=1),0,0.01)+ROW()/10000000,"")</f>
        <v/>
      </c>
    </row>
    <row r="4890" outlineLevel="1" ht="15" customHeight="1" s="94">
      <c r="A4890" s="123">
        <f>IF(B4890="","",ROW()-15)</f>
        <v/>
      </c>
      <c r="B4890" s="124" t="n"/>
      <c r="C4890" s="123" t="n"/>
      <c r="D4890" s="123" t="n"/>
      <c r="E4890" s="123" t="n"/>
      <c r="F4890" s="125" t="n"/>
      <c r="G4890" s="123" t="n"/>
      <c r="H4890" s="123" t="n"/>
      <c r="I4890" s="123" t="n"/>
      <c r="J4890" s="123" t="n"/>
      <c r="K4890" s="123" t="n"/>
      <c r="L4890" s="123" t="n"/>
      <c r="M4890" s="123">
        <f>IF(AND(B4890&lt;&gt;"",OR($C$4="",ISNUMBER(SEARCH($C$4,C4890&amp;" "&amp;E4890&amp;" "&amp;G4890&amp;" "&amp;H4890&amp;" "&amp;I4890&amp;" "&amp;J4890&amp;" "&amp;K4890&amp;" "&amp;L4890))),OR($C$5="Semua",$C$5="",G4890=$C$5),OR($C$6="Semua",$C$6="",H4890=$C$6,H4890="Pengeluaran "&amp;$C$6,AND($C$6="Uang Kos Mama",H4890="Pengeluaran Uang Kos")),OR($C$7="Semua",$C$7="",I4890=$C$7),OR($C$8="Semua",$C$8="",C4890=$C$8,E4890=$C$8),OR($C$9="Semua",$C$9="",D4890=$C$9),OR($C$10="",B4890&gt;=$C$10),OR($C$11="",B4890&lt;=$C$11),OR($C$12&lt;&gt;"Ya",K4890&lt;&gt;""),OR($C$13="Semua",$C$13="",L4890=$C$13)),"✓","")</f>
        <v/>
      </c>
      <c r="N4890" s="93">
        <f>N(N4889)+IF(M4890="✓",1,0)</f>
        <v/>
      </c>
      <c r="O4890" s="93">
        <f>N(O4889)+IF(AND(B4890&lt;&gt;"",B4890&gt;='Uang Riba'!$H$30,B4890&lt;='Uang Riba'!$I$30,OR(H4890="Dana riba",H4890="Pinjam uang riba",I4890="Pinjam dari uang riba",I4890="Ganti uang riba",I4890="Kelebihan ganti dikembalikan",AND(C4890="Kantong Uang Riba",G4890="Pengeluaran"))),1,0)</f>
        <v/>
      </c>
      <c r="X4890" s="93">
        <f>IF(AND(B4890&lt;&gt;"",B4890&gt;='Buku Akun'!$H$4,B4890&lt;='Buku Akun'!$H$5,OR(C4890='Buku Akun'!$C$4,AND(D4890="Pindah",E4890='Buku Akun'!$C$4))),B4890+IF(AND(I4890="Selisih bunga",DAY(B4890)=1),0,0.01)+ROW()/10000000,"")</f>
        <v/>
      </c>
    </row>
    <row r="4891" outlineLevel="1" ht="15" customHeight="1" s="94">
      <c r="A4891" s="123">
        <f>IF(B4891="","",ROW()-15)</f>
        <v/>
      </c>
      <c r="B4891" s="124" t="n"/>
      <c r="C4891" s="123" t="n"/>
      <c r="D4891" s="123" t="n"/>
      <c r="E4891" s="123" t="n"/>
      <c r="F4891" s="125" t="n"/>
      <c r="G4891" s="123" t="n"/>
      <c r="H4891" s="123" t="n"/>
      <c r="I4891" s="123" t="n"/>
      <c r="J4891" s="123" t="n"/>
      <c r="K4891" s="123" t="n"/>
      <c r="L4891" s="123" t="n"/>
      <c r="M4891" s="123">
        <f>IF(AND(B4891&lt;&gt;"",OR($C$4="",ISNUMBER(SEARCH($C$4,C4891&amp;" "&amp;E4891&amp;" "&amp;G4891&amp;" "&amp;H4891&amp;" "&amp;I4891&amp;" "&amp;J4891&amp;" "&amp;K4891&amp;" "&amp;L4891))),OR($C$5="Semua",$C$5="",G4891=$C$5),OR($C$6="Semua",$C$6="",H4891=$C$6,H4891="Pengeluaran "&amp;$C$6,AND($C$6="Uang Kos Mama",H4891="Pengeluaran Uang Kos")),OR($C$7="Semua",$C$7="",I4891=$C$7),OR($C$8="Semua",$C$8="",C4891=$C$8,E4891=$C$8),OR($C$9="Semua",$C$9="",D4891=$C$9),OR($C$10="",B4891&gt;=$C$10),OR($C$11="",B4891&lt;=$C$11),OR($C$12&lt;&gt;"Ya",K4891&lt;&gt;""),OR($C$13="Semua",$C$13="",L4891=$C$13)),"✓","")</f>
        <v/>
      </c>
      <c r="N4891" s="93">
        <f>N(N4890)+IF(M4891="✓",1,0)</f>
        <v/>
      </c>
      <c r="O4891" s="93">
        <f>N(O4890)+IF(AND(B4891&lt;&gt;"",B4891&gt;='Uang Riba'!$H$30,B4891&lt;='Uang Riba'!$I$30,OR(H4891="Dana riba",H4891="Pinjam uang riba",I4891="Pinjam dari uang riba",I4891="Ganti uang riba",I4891="Kelebihan ganti dikembalikan",AND(C4891="Kantong Uang Riba",G4891="Pengeluaran"))),1,0)</f>
        <v/>
      </c>
      <c r="X4891" s="93">
        <f>IF(AND(B4891&lt;&gt;"",B4891&gt;='Buku Akun'!$H$4,B4891&lt;='Buku Akun'!$H$5,OR(C4891='Buku Akun'!$C$4,AND(D4891="Pindah",E4891='Buku Akun'!$C$4))),B4891+IF(AND(I4891="Selisih bunga",DAY(B4891)=1),0,0.01)+ROW()/10000000,"")</f>
        <v/>
      </c>
    </row>
    <row r="4892" outlineLevel="1" ht="15" customHeight="1" s="94">
      <c r="A4892" s="123">
        <f>IF(B4892="","",ROW()-15)</f>
        <v/>
      </c>
      <c r="B4892" s="124" t="n"/>
      <c r="C4892" s="123" t="n"/>
      <c r="D4892" s="123" t="n"/>
      <c r="E4892" s="123" t="n"/>
      <c r="F4892" s="125" t="n"/>
      <c r="G4892" s="123" t="n"/>
      <c r="H4892" s="123" t="n"/>
      <c r="I4892" s="123" t="n"/>
      <c r="J4892" s="123" t="n"/>
      <c r="K4892" s="123" t="n"/>
      <c r="L4892" s="123" t="n"/>
      <c r="M4892" s="123">
        <f>IF(AND(B4892&lt;&gt;"",OR($C$4="",ISNUMBER(SEARCH($C$4,C4892&amp;" "&amp;E4892&amp;" "&amp;G4892&amp;" "&amp;H4892&amp;" "&amp;I4892&amp;" "&amp;J4892&amp;" "&amp;K4892&amp;" "&amp;L4892))),OR($C$5="Semua",$C$5="",G4892=$C$5),OR($C$6="Semua",$C$6="",H4892=$C$6,H4892="Pengeluaran "&amp;$C$6,AND($C$6="Uang Kos Mama",H4892="Pengeluaran Uang Kos")),OR($C$7="Semua",$C$7="",I4892=$C$7),OR($C$8="Semua",$C$8="",C4892=$C$8,E4892=$C$8),OR($C$9="Semua",$C$9="",D4892=$C$9),OR($C$10="",B4892&gt;=$C$10),OR($C$11="",B4892&lt;=$C$11),OR($C$12&lt;&gt;"Ya",K4892&lt;&gt;""),OR($C$13="Semua",$C$13="",L4892=$C$13)),"✓","")</f>
        <v/>
      </c>
      <c r="N4892" s="93">
        <f>N(N4891)+IF(M4892="✓",1,0)</f>
        <v/>
      </c>
      <c r="O4892" s="93">
        <f>N(O4891)+IF(AND(B4892&lt;&gt;"",B4892&gt;='Uang Riba'!$H$30,B4892&lt;='Uang Riba'!$I$30,OR(H4892="Dana riba",H4892="Pinjam uang riba",I4892="Pinjam dari uang riba",I4892="Ganti uang riba",I4892="Kelebihan ganti dikembalikan",AND(C4892="Kantong Uang Riba",G4892="Pengeluaran"))),1,0)</f>
        <v/>
      </c>
      <c r="X4892" s="93">
        <f>IF(AND(B4892&lt;&gt;"",B4892&gt;='Buku Akun'!$H$4,B4892&lt;='Buku Akun'!$H$5,OR(C4892='Buku Akun'!$C$4,AND(D4892="Pindah",E4892='Buku Akun'!$C$4))),B4892+IF(AND(I4892="Selisih bunga",DAY(B4892)=1),0,0.01)+ROW()/10000000,"")</f>
        <v/>
      </c>
    </row>
    <row r="4893" outlineLevel="1" ht="15" customHeight="1" s="94">
      <c r="A4893" s="123">
        <f>IF(B4893="","",ROW()-15)</f>
        <v/>
      </c>
      <c r="B4893" s="124" t="n"/>
      <c r="C4893" s="123" t="n"/>
      <c r="D4893" s="123" t="n"/>
      <c r="E4893" s="123" t="n"/>
      <c r="F4893" s="125" t="n"/>
      <c r="G4893" s="123" t="n"/>
      <c r="H4893" s="123" t="n"/>
      <c r="I4893" s="123" t="n"/>
      <c r="J4893" s="123" t="n"/>
      <c r="K4893" s="123" t="n"/>
      <c r="L4893" s="123" t="n"/>
      <c r="M4893" s="123">
        <f>IF(AND(B4893&lt;&gt;"",OR($C$4="",ISNUMBER(SEARCH($C$4,C4893&amp;" "&amp;E4893&amp;" "&amp;G4893&amp;" "&amp;H4893&amp;" "&amp;I4893&amp;" "&amp;J4893&amp;" "&amp;K4893&amp;" "&amp;L4893))),OR($C$5="Semua",$C$5="",G4893=$C$5),OR($C$6="Semua",$C$6="",H4893=$C$6,H4893="Pengeluaran "&amp;$C$6,AND($C$6="Uang Kos Mama",H4893="Pengeluaran Uang Kos")),OR($C$7="Semua",$C$7="",I4893=$C$7),OR($C$8="Semua",$C$8="",C4893=$C$8,E4893=$C$8),OR($C$9="Semua",$C$9="",D4893=$C$9),OR($C$10="",B4893&gt;=$C$10),OR($C$11="",B4893&lt;=$C$11),OR($C$12&lt;&gt;"Ya",K4893&lt;&gt;""),OR($C$13="Semua",$C$13="",L4893=$C$13)),"✓","")</f>
        <v/>
      </c>
      <c r="N4893" s="93">
        <f>N(N4892)+IF(M4893="✓",1,0)</f>
        <v/>
      </c>
      <c r="O4893" s="93">
        <f>N(O4892)+IF(AND(B4893&lt;&gt;"",B4893&gt;='Uang Riba'!$H$30,B4893&lt;='Uang Riba'!$I$30,OR(H4893="Dana riba",H4893="Pinjam uang riba",I4893="Pinjam dari uang riba",I4893="Ganti uang riba",I4893="Kelebihan ganti dikembalikan",AND(C4893="Kantong Uang Riba",G4893="Pengeluaran"))),1,0)</f>
        <v/>
      </c>
      <c r="X4893" s="93">
        <f>IF(AND(B4893&lt;&gt;"",B4893&gt;='Buku Akun'!$H$4,B4893&lt;='Buku Akun'!$H$5,OR(C4893='Buku Akun'!$C$4,AND(D4893="Pindah",E4893='Buku Akun'!$C$4))),B4893+IF(AND(I4893="Selisih bunga",DAY(B4893)=1),0,0.01)+ROW()/10000000,"")</f>
        <v/>
      </c>
    </row>
    <row r="4894" outlineLevel="1" ht="15" customHeight="1" s="94">
      <c r="A4894" s="123">
        <f>IF(B4894="","",ROW()-15)</f>
        <v/>
      </c>
      <c r="B4894" s="124" t="n"/>
      <c r="C4894" s="123" t="n"/>
      <c r="D4894" s="123" t="n"/>
      <c r="E4894" s="123" t="n"/>
      <c r="F4894" s="125" t="n"/>
      <c r="G4894" s="123" t="n"/>
      <c r="H4894" s="123" t="n"/>
      <c r="I4894" s="123" t="n"/>
      <c r="J4894" s="123" t="n"/>
      <c r="K4894" s="123" t="n"/>
      <c r="L4894" s="123" t="n"/>
      <c r="M4894" s="123">
        <f>IF(AND(B4894&lt;&gt;"",OR($C$4="",ISNUMBER(SEARCH($C$4,C4894&amp;" "&amp;E4894&amp;" "&amp;G4894&amp;" "&amp;H4894&amp;" "&amp;I4894&amp;" "&amp;J4894&amp;" "&amp;K4894&amp;" "&amp;L4894))),OR($C$5="Semua",$C$5="",G4894=$C$5),OR($C$6="Semua",$C$6="",H4894=$C$6,H4894="Pengeluaran "&amp;$C$6,AND($C$6="Uang Kos Mama",H4894="Pengeluaran Uang Kos")),OR($C$7="Semua",$C$7="",I4894=$C$7),OR($C$8="Semua",$C$8="",C4894=$C$8,E4894=$C$8),OR($C$9="Semua",$C$9="",D4894=$C$9),OR($C$10="",B4894&gt;=$C$10),OR($C$11="",B4894&lt;=$C$11),OR($C$12&lt;&gt;"Ya",K4894&lt;&gt;""),OR($C$13="Semua",$C$13="",L4894=$C$13)),"✓","")</f>
        <v/>
      </c>
      <c r="N4894" s="93">
        <f>N(N4893)+IF(M4894="✓",1,0)</f>
        <v/>
      </c>
      <c r="O4894" s="93">
        <f>N(O4893)+IF(AND(B4894&lt;&gt;"",B4894&gt;='Uang Riba'!$H$30,B4894&lt;='Uang Riba'!$I$30,OR(H4894="Dana riba",H4894="Pinjam uang riba",I4894="Pinjam dari uang riba",I4894="Ganti uang riba",I4894="Kelebihan ganti dikembalikan",AND(C4894="Kantong Uang Riba",G4894="Pengeluaran"))),1,0)</f>
        <v/>
      </c>
      <c r="X4894" s="93">
        <f>IF(AND(B4894&lt;&gt;"",B4894&gt;='Buku Akun'!$H$4,B4894&lt;='Buku Akun'!$H$5,OR(C4894='Buku Akun'!$C$4,AND(D4894="Pindah",E4894='Buku Akun'!$C$4))),B4894+IF(AND(I4894="Selisih bunga",DAY(B4894)=1),0,0.01)+ROW()/10000000,"")</f>
        <v/>
      </c>
    </row>
    <row r="4895" outlineLevel="1" ht="15" customHeight="1" s="94">
      <c r="A4895" s="123">
        <f>IF(B4895="","",ROW()-15)</f>
        <v/>
      </c>
      <c r="B4895" s="124" t="n"/>
      <c r="C4895" s="123" t="n"/>
      <c r="D4895" s="123" t="n"/>
      <c r="E4895" s="123" t="n"/>
      <c r="F4895" s="125" t="n"/>
      <c r="G4895" s="123" t="n"/>
      <c r="H4895" s="123" t="n"/>
      <c r="I4895" s="123" t="n"/>
      <c r="J4895" s="123" t="n"/>
      <c r="K4895" s="123" t="n"/>
      <c r="L4895" s="123" t="n"/>
      <c r="M4895" s="123">
        <f>IF(AND(B4895&lt;&gt;"",OR($C$4="",ISNUMBER(SEARCH($C$4,C4895&amp;" "&amp;E4895&amp;" "&amp;G4895&amp;" "&amp;H4895&amp;" "&amp;I4895&amp;" "&amp;J4895&amp;" "&amp;K4895&amp;" "&amp;L4895))),OR($C$5="Semua",$C$5="",G4895=$C$5),OR($C$6="Semua",$C$6="",H4895=$C$6,H4895="Pengeluaran "&amp;$C$6,AND($C$6="Uang Kos Mama",H4895="Pengeluaran Uang Kos")),OR($C$7="Semua",$C$7="",I4895=$C$7),OR($C$8="Semua",$C$8="",C4895=$C$8,E4895=$C$8),OR($C$9="Semua",$C$9="",D4895=$C$9),OR($C$10="",B4895&gt;=$C$10),OR($C$11="",B4895&lt;=$C$11),OR($C$12&lt;&gt;"Ya",K4895&lt;&gt;""),OR($C$13="Semua",$C$13="",L4895=$C$13)),"✓","")</f>
        <v/>
      </c>
      <c r="N4895" s="93">
        <f>N(N4894)+IF(M4895="✓",1,0)</f>
        <v/>
      </c>
      <c r="O4895" s="93">
        <f>N(O4894)+IF(AND(B4895&lt;&gt;"",B4895&gt;='Uang Riba'!$H$30,B4895&lt;='Uang Riba'!$I$30,OR(H4895="Dana riba",H4895="Pinjam uang riba",I4895="Pinjam dari uang riba",I4895="Ganti uang riba",I4895="Kelebihan ganti dikembalikan",AND(C4895="Kantong Uang Riba",G4895="Pengeluaran"))),1,0)</f>
        <v/>
      </c>
      <c r="X4895" s="93">
        <f>IF(AND(B4895&lt;&gt;"",B4895&gt;='Buku Akun'!$H$4,B4895&lt;='Buku Akun'!$H$5,OR(C4895='Buku Akun'!$C$4,AND(D4895="Pindah",E4895='Buku Akun'!$C$4))),B4895+IF(AND(I4895="Selisih bunga",DAY(B4895)=1),0,0.01)+ROW()/10000000,"")</f>
        <v/>
      </c>
    </row>
    <row r="4896" outlineLevel="1" ht="15" customHeight="1" s="94">
      <c r="A4896" s="123">
        <f>IF(B4896="","",ROW()-15)</f>
        <v/>
      </c>
      <c r="B4896" s="124" t="n"/>
      <c r="C4896" s="123" t="n"/>
      <c r="D4896" s="123" t="n"/>
      <c r="E4896" s="123" t="n"/>
      <c r="F4896" s="125" t="n"/>
      <c r="G4896" s="123" t="n"/>
      <c r="H4896" s="123" t="n"/>
      <c r="I4896" s="123" t="n"/>
      <c r="J4896" s="123" t="n"/>
      <c r="K4896" s="123" t="n"/>
      <c r="L4896" s="123" t="n"/>
      <c r="M4896" s="123">
        <f>IF(AND(B4896&lt;&gt;"",OR($C$4="",ISNUMBER(SEARCH($C$4,C4896&amp;" "&amp;E4896&amp;" "&amp;G4896&amp;" "&amp;H4896&amp;" "&amp;I4896&amp;" "&amp;J4896&amp;" "&amp;K4896&amp;" "&amp;L4896))),OR($C$5="Semua",$C$5="",G4896=$C$5),OR($C$6="Semua",$C$6="",H4896=$C$6,H4896="Pengeluaran "&amp;$C$6,AND($C$6="Uang Kos Mama",H4896="Pengeluaran Uang Kos")),OR($C$7="Semua",$C$7="",I4896=$C$7),OR($C$8="Semua",$C$8="",C4896=$C$8,E4896=$C$8),OR($C$9="Semua",$C$9="",D4896=$C$9),OR($C$10="",B4896&gt;=$C$10),OR($C$11="",B4896&lt;=$C$11),OR($C$12&lt;&gt;"Ya",K4896&lt;&gt;""),OR($C$13="Semua",$C$13="",L4896=$C$13)),"✓","")</f>
        <v/>
      </c>
      <c r="N4896" s="93">
        <f>N(N4895)+IF(M4896="✓",1,0)</f>
        <v/>
      </c>
      <c r="O4896" s="93">
        <f>N(O4895)+IF(AND(B4896&lt;&gt;"",B4896&gt;='Uang Riba'!$H$30,B4896&lt;='Uang Riba'!$I$30,OR(H4896="Dana riba",H4896="Pinjam uang riba",I4896="Pinjam dari uang riba",I4896="Ganti uang riba",I4896="Kelebihan ganti dikembalikan",AND(C4896="Kantong Uang Riba",G4896="Pengeluaran"))),1,0)</f>
        <v/>
      </c>
      <c r="X4896" s="93">
        <f>IF(AND(B4896&lt;&gt;"",B4896&gt;='Buku Akun'!$H$4,B4896&lt;='Buku Akun'!$H$5,OR(C4896='Buku Akun'!$C$4,AND(D4896="Pindah",E4896='Buku Akun'!$C$4))),B4896+IF(AND(I4896="Selisih bunga",DAY(B4896)=1),0,0.01)+ROW()/10000000,"")</f>
        <v/>
      </c>
    </row>
    <row r="4897" outlineLevel="1" ht="15" customHeight="1" s="94">
      <c r="A4897" s="123">
        <f>IF(B4897="","",ROW()-15)</f>
        <v/>
      </c>
      <c r="B4897" s="124" t="n"/>
      <c r="C4897" s="123" t="n"/>
      <c r="D4897" s="123" t="n"/>
      <c r="E4897" s="123" t="n"/>
      <c r="F4897" s="125" t="n"/>
      <c r="G4897" s="123" t="n"/>
      <c r="H4897" s="123" t="n"/>
      <c r="I4897" s="123" t="n"/>
      <c r="J4897" s="123" t="n"/>
      <c r="K4897" s="123" t="n"/>
      <c r="L4897" s="123" t="n"/>
      <c r="M4897" s="123">
        <f>IF(AND(B4897&lt;&gt;"",OR($C$4="",ISNUMBER(SEARCH($C$4,C4897&amp;" "&amp;E4897&amp;" "&amp;G4897&amp;" "&amp;H4897&amp;" "&amp;I4897&amp;" "&amp;J4897&amp;" "&amp;K4897&amp;" "&amp;L4897))),OR($C$5="Semua",$C$5="",G4897=$C$5),OR($C$6="Semua",$C$6="",H4897=$C$6,H4897="Pengeluaran "&amp;$C$6,AND($C$6="Uang Kos Mama",H4897="Pengeluaran Uang Kos")),OR($C$7="Semua",$C$7="",I4897=$C$7),OR($C$8="Semua",$C$8="",C4897=$C$8,E4897=$C$8),OR($C$9="Semua",$C$9="",D4897=$C$9),OR($C$10="",B4897&gt;=$C$10),OR($C$11="",B4897&lt;=$C$11),OR($C$12&lt;&gt;"Ya",K4897&lt;&gt;""),OR($C$13="Semua",$C$13="",L4897=$C$13)),"✓","")</f>
        <v/>
      </c>
      <c r="N4897" s="93">
        <f>N(N4896)+IF(M4897="✓",1,0)</f>
        <v/>
      </c>
      <c r="O4897" s="93">
        <f>N(O4896)+IF(AND(B4897&lt;&gt;"",B4897&gt;='Uang Riba'!$H$30,B4897&lt;='Uang Riba'!$I$30,OR(H4897="Dana riba",H4897="Pinjam uang riba",I4897="Pinjam dari uang riba",I4897="Ganti uang riba",I4897="Kelebihan ganti dikembalikan",AND(C4897="Kantong Uang Riba",G4897="Pengeluaran"))),1,0)</f>
        <v/>
      </c>
      <c r="X4897" s="93">
        <f>IF(AND(B4897&lt;&gt;"",B4897&gt;='Buku Akun'!$H$4,B4897&lt;='Buku Akun'!$H$5,OR(C4897='Buku Akun'!$C$4,AND(D4897="Pindah",E4897='Buku Akun'!$C$4))),B4897+IF(AND(I4897="Selisih bunga",DAY(B4897)=1),0,0.01)+ROW()/10000000,"")</f>
        <v/>
      </c>
    </row>
    <row r="4898" outlineLevel="1" ht="15" customHeight="1" s="94">
      <c r="A4898" s="123">
        <f>IF(B4898="","",ROW()-15)</f>
        <v/>
      </c>
      <c r="B4898" s="124" t="n"/>
      <c r="C4898" s="123" t="n"/>
      <c r="D4898" s="123" t="n"/>
      <c r="E4898" s="123" t="n"/>
      <c r="F4898" s="125" t="n"/>
      <c r="G4898" s="123" t="n"/>
      <c r="H4898" s="123" t="n"/>
      <c r="I4898" s="123" t="n"/>
      <c r="J4898" s="123" t="n"/>
      <c r="K4898" s="123" t="n"/>
      <c r="L4898" s="123" t="n"/>
      <c r="M4898" s="123">
        <f>IF(AND(B4898&lt;&gt;"",OR($C$4="",ISNUMBER(SEARCH($C$4,C4898&amp;" "&amp;E4898&amp;" "&amp;G4898&amp;" "&amp;H4898&amp;" "&amp;I4898&amp;" "&amp;J4898&amp;" "&amp;K4898&amp;" "&amp;L4898))),OR($C$5="Semua",$C$5="",G4898=$C$5),OR($C$6="Semua",$C$6="",H4898=$C$6,H4898="Pengeluaran "&amp;$C$6,AND($C$6="Uang Kos Mama",H4898="Pengeluaran Uang Kos")),OR($C$7="Semua",$C$7="",I4898=$C$7),OR($C$8="Semua",$C$8="",C4898=$C$8,E4898=$C$8),OR($C$9="Semua",$C$9="",D4898=$C$9),OR($C$10="",B4898&gt;=$C$10),OR($C$11="",B4898&lt;=$C$11),OR($C$12&lt;&gt;"Ya",K4898&lt;&gt;""),OR($C$13="Semua",$C$13="",L4898=$C$13)),"✓","")</f>
        <v/>
      </c>
      <c r="N4898" s="93">
        <f>N(N4897)+IF(M4898="✓",1,0)</f>
        <v/>
      </c>
      <c r="O4898" s="93">
        <f>N(O4897)+IF(AND(B4898&lt;&gt;"",B4898&gt;='Uang Riba'!$H$30,B4898&lt;='Uang Riba'!$I$30,OR(H4898="Dana riba",H4898="Pinjam uang riba",I4898="Pinjam dari uang riba",I4898="Ganti uang riba",I4898="Kelebihan ganti dikembalikan",AND(C4898="Kantong Uang Riba",G4898="Pengeluaran"))),1,0)</f>
        <v/>
      </c>
      <c r="X4898" s="93">
        <f>IF(AND(B4898&lt;&gt;"",B4898&gt;='Buku Akun'!$H$4,B4898&lt;='Buku Akun'!$H$5,OR(C4898='Buku Akun'!$C$4,AND(D4898="Pindah",E4898='Buku Akun'!$C$4))),B4898+IF(AND(I4898="Selisih bunga",DAY(B4898)=1),0,0.01)+ROW()/10000000,"")</f>
        <v/>
      </c>
    </row>
    <row r="4899" outlineLevel="1" ht="15" customHeight="1" s="94">
      <c r="A4899" s="123">
        <f>IF(B4899="","",ROW()-15)</f>
        <v/>
      </c>
      <c r="B4899" s="124" t="n"/>
      <c r="C4899" s="123" t="n"/>
      <c r="D4899" s="123" t="n"/>
      <c r="E4899" s="123" t="n"/>
      <c r="F4899" s="125" t="n"/>
      <c r="G4899" s="123" t="n"/>
      <c r="H4899" s="123" t="n"/>
      <c r="I4899" s="123" t="n"/>
      <c r="J4899" s="123" t="n"/>
      <c r="K4899" s="123" t="n"/>
      <c r="L4899" s="123" t="n"/>
      <c r="M4899" s="123">
        <f>IF(AND(B4899&lt;&gt;"",OR($C$4="",ISNUMBER(SEARCH($C$4,C4899&amp;" "&amp;E4899&amp;" "&amp;G4899&amp;" "&amp;H4899&amp;" "&amp;I4899&amp;" "&amp;J4899&amp;" "&amp;K4899&amp;" "&amp;L4899))),OR($C$5="Semua",$C$5="",G4899=$C$5),OR($C$6="Semua",$C$6="",H4899=$C$6,H4899="Pengeluaran "&amp;$C$6,AND($C$6="Uang Kos Mama",H4899="Pengeluaran Uang Kos")),OR($C$7="Semua",$C$7="",I4899=$C$7),OR($C$8="Semua",$C$8="",C4899=$C$8,E4899=$C$8),OR($C$9="Semua",$C$9="",D4899=$C$9),OR($C$10="",B4899&gt;=$C$10),OR($C$11="",B4899&lt;=$C$11),OR($C$12&lt;&gt;"Ya",K4899&lt;&gt;""),OR($C$13="Semua",$C$13="",L4899=$C$13)),"✓","")</f>
        <v/>
      </c>
      <c r="N4899" s="93">
        <f>N(N4898)+IF(M4899="✓",1,0)</f>
        <v/>
      </c>
      <c r="O4899" s="93">
        <f>N(O4898)+IF(AND(B4899&lt;&gt;"",B4899&gt;='Uang Riba'!$H$30,B4899&lt;='Uang Riba'!$I$30,OR(H4899="Dana riba",H4899="Pinjam uang riba",I4899="Pinjam dari uang riba",I4899="Ganti uang riba",I4899="Kelebihan ganti dikembalikan",AND(C4899="Kantong Uang Riba",G4899="Pengeluaran"))),1,0)</f>
        <v/>
      </c>
      <c r="X4899" s="93">
        <f>IF(AND(B4899&lt;&gt;"",B4899&gt;='Buku Akun'!$H$4,B4899&lt;='Buku Akun'!$H$5,OR(C4899='Buku Akun'!$C$4,AND(D4899="Pindah",E4899='Buku Akun'!$C$4))),B4899+IF(AND(I4899="Selisih bunga",DAY(B4899)=1),0,0.01)+ROW()/10000000,"")</f>
        <v/>
      </c>
    </row>
    <row r="4900" outlineLevel="1" ht="15" customHeight="1" s="94">
      <c r="A4900" s="123">
        <f>IF(B4900="","",ROW()-15)</f>
        <v/>
      </c>
      <c r="B4900" s="124" t="n"/>
      <c r="C4900" s="123" t="n"/>
      <c r="D4900" s="123" t="n"/>
      <c r="E4900" s="123" t="n"/>
      <c r="F4900" s="125" t="n"/>
      <c r="G4900" s="123" t="n"/>
      <c r="H4900" s="123" t="n"/>
      <c r="I4900" s="123" t="n"/>
      <c r="J4900" s="123" t="n"/>
      <c r="K4900" s="123" t="n"/>
      <c r="L4900" s="123" t="n"/>
      <c r="M4900" s="123">
        <f>IF(AND(B4900&lt;&gt;"",OR($C$4="",ISNUMBER(SEARCH($C$4,C4900&amp;" "&amp;E4900&amp;" "&amp;G4900&amp;" "&amp;H4900&amp;" "&amp;I4900&amp;" "&amp;J4900&amp;" "&amp;K4900&amp;" "&amp;L4900))),OR($C$5="Semua",$C$5="",G4900=$C$5),OR($C$6="Semua",$C$6="",H4900=$C$6,H4900="Pengeluaran "&amp;$C$6,AND($C$6="Uang Kos Mama",H4900="Pengeluaran Uang Kos")),OR($C$7="Semua",$C$7="",I4900=$C$7),OR($C$8="Semua",$C$8="",C4900=$C$8,E4900=$C$8),OR($C$9="Semua",$C$9="",D4900=$C$9),OR($C$10="",B4900&gt;=$C$10),OR($C$11="",B4900&lt;=$C$11),OR($C$12&lt;&gt;"Ya",K4900&lt;&gt;""),OR($C$13="Semua",$C$13="",L4900=$C$13)),"✓","")</f>
        <v/>
      </c>
      <c r="N4900" s="93">
        <f>N(N4899)+IF(M4900="✓",1,0)</f>
        <v/>
      </c>
      <c r="O4900" s="93">
        <f>N(O4899)+IF(AND(B4900&lt;&gt;"",B4900&gt;='Uang Riba'!$H$30,B4900&lt;='Uang Riba'!$I$30,OR(H4900="Dana riba",H4900="Pinjam uang riba",I4900="Pinjam dari uang riba",I4900="Ganti uang riba",I4900="Kelebihan ganti dikembalikan",AND(C4900="Kantong Uang Riba",G4900="Pengeluaran"))),1,0)</f>
        <v/>
      </c>
      <c r="X4900" s="93">
        <f>IF(AND(B4900&lt;&gt;"",B4900&gt;='Buku Akun'!$H$4,B4900&lt;='Buku Akun'!$H$5,OR(C4900='Buku Akun'!$C$4,AND(D4900="Pindah",E4900='Buku Akun'!$C$4))),B4900+IF(AND(I4900="Selisih bunga",DAY(B4900)=1),0,0.01)+ROW()/10000000,"")</f>
        <v/>
      </c>
    </row>
    <row r="4901" outlineLevel="1" ht="15" customHeight="1" s="94">
      <c r="A4901" s="123">
        <f>IF(B4901="","",ROW()-15)</f>
        <v/>
      </c>
      <c r="B4901" s="124" t="n"/>
      <c r="C4901" s="123" t="n"/>
      <c r="D4901" s="123" t="n"/>
      <c r="E4901" s="123" t="n"/>
      <c r="F4901" s="125" t="n"/>
      <c r="G4901" s="123" t="n"/>
      <c r="H4901" s="123" t="n"/>
      <c r="I4901" s="123" t="n"/>
      <c r="J4901" s="123" t="n"/>
      <c r="K4901" s="123" t="n"/>
      <c r="L4901" s="123" t="n"/>
      <c r="M4901" s="123">
        <f>IF(AND(B4901&lt;&gt;"",OR($C$4="",ISNUMBER(SEARCH($C$4,C4901&amp;" "&amp;E4901&amp;" "&amp;G4901&amp;" "&amp;H4901&amp;" "&amp;I4901&amp;" "&amp;J4901&amp;" "&amp;K4901&amp;" "&amp;L4901))),OR($C$5="Semua",$C$5="",G4901=$C$5),OR($C$6="Semua",$C$6="",H4901=$C$6,H4901="Pengeluaran "&amp;$C$6,AND($C$6="Uang Kos Mama",H4901="Pengeluaran Uang Kos")),OR($C$7="Semua",$C$7="",I4901=$C$7),OR($C$8="Semua",$C$8="",C4901=$C$8,E4901=$C$8),OR($C$9="Semua",$C$9="",D4901=$C$9),OR($C$10="",B4901&gt;=$C$10),OR($C$11="",B4901&lt;=$C$11),OR($C$12&lt;&gt;"Ya",K4901&lt;&gt;""),OR($C$13="Semua",$C$13="",L4901=$C$13)),"✓","")</f>
        <v/>
      </c>
      <c r="N4901" s="93">
        <f>N(N4900)+IF(M4901="✓",1,0)</f>
        <v/>
      </c>
      <c r="O4901" s="93">
        <f>N(O4900)+IF(AND(B4901&lt;&gt;"",B4901&gt;='Uang Riba'!$H$30,B4901&lt;='Uang Riba'!$I$30,OR(H4901="Dana riba",H4901="Pinjam uang riba",I4901="Pinjam dari uang riba",I4901="Ganti uang riba",I4901="Kelebihan ganti dikembalikan",AND(C4901="Kantong Uang Riba",G4901="Pengeluaran"))),1,0)</f>
        <v/>
      </c>
      <c r="X4901" s="93">
        <f>IF(AND(B4901&lt;&gt;"",B4901&gt;='Buku Akun'!$H$4,B4901&lt;='Buku Akun'!$H$5,OR(C4901='Buku Akun'!$C$4,AND(D4901="Pindah",E4901='Buku Akun'!$C$4))),B4901+IF(AND(I4901="Selisih bunga",DAY(B4901)=1),0,0.01)+ROW()/10000000,"")</f>
        <v/>
      </c>
    </row>
    <row r="4902" outlineLevel="1" ht="15" customHeight="1" s="94">
      <c r="A4902" s="123">
        <f>IF(B4902="","",ROW()-15)</f>
        <v/>
      </c>
      <c r="B4902" s="124" t="n"/>
      <c r="C4902" s="123" t="n"/>
      <c r="D4902" s="123" t="n"/>
      <c r="E4902" s="123" t="n"/>
      <c r="F4902" s="125" t="n"/>
      <c r="G4902" s="123" t="n"/>
      <c r="H4902" s="123" t="n"/>
      <c r="I4902" s="123" t="n"/>
      <c r="J4902" s="123" t="n"/>
      <c r="K4902" s="123" t="n"/>
      <c r="L4902" s="123" t="n"/>
      <c r="M4902" s="123">
        <f>IF(AND(B4902&lt;&gt;"",OR($C$4="",ISNUMBER(SEARCH($C$4,C4902&amp;" "&amp;E4902&amp;" "&amp;G4902&amp;" "&amp;H4902&amp;" "&amp;I4902&amp;" "&amp;J4902&amp;" "&amp;K4902&amp;" "&amp;L4902))),OR($C$5="Semua",$C$5="",G4902=$C$5),OR($C$6="Semua",$C$6="",H4902=$C$6,H4902="Pengeluaran "&amp;$C$6,AND($C$6="Uang Kos Mama",H4902="Pengeluaran Uang Kos")),OR($C$7="Semua",$C$7="",I4902=$C$7),OR($C$8="Semua",$C$8="",C4902=$C$8,E4902=$C$8),OR($C$9="Semua",$C$9="",D4902=$C$9),OR($C$10="",B4902&gt;=$C$10),OR($C$11="",B4902&lt;=$C$11),OR($C$12&lt;&gt;"Ya",K4902&lt;&gt;""),OR($C$13="Semua",$C$13="",L4902=$C$13)),"✓","")</f>
        <v/>
      </c>
      <c r="N4902" s="93">
        <f>N(N4901)+IF(M4902="✓",1,0)</f>
        <v/>
      </c>
      <c r="O4902" s="93">
        <f>N(O4901)+IF(AND(B4902&lt;&gt;"",B4902&gt;='Uang Riba'!$H$30,B4902&lt;='Uang Riba'!$I$30,OR(H4902="Dana riba",H4902="Pinjam uang riba",I4902="Pinjam dari uang riba",I4902="Ganti uang riba",I4902="Kelebihan ganti dikembalikan",AND(C4902="Kantong Uang Riba",G4902="Pengeluaran"))),1,0)</f>
        <v/>
      </c>
      <c r="X4902" s="93">
        <f>IF(AND(B4902&lt;&gt;"",B4902&gt;='Buku Akun'!$H$4,B4902&lt;='Buku Akun'!$H$5,OR(C4902='Buku Akun'!$C$4,AND(D4902="Pindah",E4902='Buku Akun'!$C$4))),B4902+IF(AND(I4902="Selisih bunga",DAY(B4902)=1),0,0.01)+ROW()/10000000,"")</f>
        <v/>
      </c>
    </row>
    <row r="4903" outlineLevel="1" ht="15" customHeight="1" s="94">
      <c r="A4903" s="123">
        <f>IF(B4903="","",ROW()-15)</f>
        <v/>
      </c>
      <c r="B4903" s="124" t="n"/>
      <c r="C4903" s="123" t="n"/>
      <c r="D4903" s="123" t="n"/>
      <c r="E4903" s="123" t="n"/>
      <c r="F4903" s="125" t="n"/>
      <c r="G4903" s="123" t="n"/>
      <c r="H4903" s="123" t="n"/>
      <c r="I4903" s="123" t="n"/>
      <c r="J4903" s="123" t="n"/>
      <c r="K4903" s="123" t="n"/>
      <c r="L4903" s="123" t="n"/>
      <c r="M4903" s="123">
        <f>IF(AND(B4903&lt;&gt;"",OR($C$4="",ISNUMBER(SEARCH($C$4,C4903&amp;" "&amp;E4903&amp;" "&amp;G4903&amp;" "&amp;H4903&amp;" "&amp;I4903&amp;" "&amp;J4903&amp;" "&amp;K4903&amp;" "&amp;L4903))),OR($C$5="Semua",$C$5="",G4903=$C$5),OR($C$6="Semua",$C$6="",H4903=$C$6,H4903="Pengeluaran "&amp;$C$6,AND($C$6="Uang Kos Mama",H4903="Pengeluaran Uang Kos")),OR($C$7="Semua",$C$7="",I4903=$C$7),OR($C$8="Semua",$C$8="",C4903=$C$8,E4903=$C$8),OR($C$9="Semua",$C$9="",D4903=$C$9),OR($C$10="",B4903&gt;=$C$10),OR($C$11="",B4903&lt;=$C$11),OR($C$12&lt;&gt;"Ya",K4903&lt;&gt;""),OR($C$13="Semua",$C$13="",L4903=$C$13)),"✓","")</f>
        <v/>
      </c>
      <c r="N4903" s="93">
        <f>N(N4902)+IF(M4903="✓",1,0)</f>
        <v/>
      </c>
      <c r="O4903" s="93">
        <f>N(O4902)+IF(AND(B4903&lt;&gt;"",B4903&gt;='Uang Riba'!$H$30,B4903&lt;='Uang Riba'!$I$30,OR(H4903="Dana riba",H4903="Pinjam uang riba",I4903="Pinjam dari uang riba",I4903="Ganti uang riba",I4903="Kelebihan ganti dikembalikan",AND(C4903="Kantong Uang Riba",G4903="Pengeluaran"))),1,0)</f>
        <v/>
      </c>
      <c r="X4903" s="93">
        <f>IF(AND(B4903&lt;&gt;"",B4903&gt;='Buku Akun'!$H$4,B4903&lt;='Buku Akun'!$H$5,OR(C4903='Buku Akun'!$C$4,AND(D4903="Pindah",E4903='Buku Akun'!$C$4))),B4903+IF(AND(I4903="Selisih bunga",DAY(B4903)=1),0,0.01)+ROW()/10000000,"")</f>
        <v/>
      </c>
    </row>
    <row r="4904" outlineLevel="1" ht="15" customHeight="1" s="94">
      <c r="A4904" s="123">
        <f>IF(B4904="","",ROW()-15)</f>
        <v/>
      </c>
      <c r="B4904" s="124" t="n"/>
      <c r="C4904" s="123" t="n"/>
      <c r="D4904" s="123" t="n"/>
      <c r="E4904" s="123" t="n"/>
      <c r="F4904" s="125" t="n"/>
      <c r="G4904" s="123" t="n"/>
      <c r="H4904" s="123" t="n"/>
      <c r="I4904" s="123" t="n"/>
      <c r="J4904" s="123" t="n"/>
      <c r="K4904" s="123" t="n"/>
      <c r="L4904" s="123" t="n"/>
      <c r="M4904" s="123">
        <f>IF(AND(B4904&lt;&gt;"",OR($C$4="",ISNUMBER(SEARCH($C$4,C4904&amp;" "&amp;E4904&amp;" "&amp;G4904&amp;" "&amp;H4904&amp;" "&amp;I4904&amp;" "&amp;J4904&amp;" "&amp;K4904&amp;" "&amp;L4904))),OR($C$5="Semua",$C$5="",G4904=$C$5),OR($C$6="Semua",$C$6="",H4904=$C$6,H4904="Pengeluaran "&amp;$C$6,AND($C$6="Uang Kos Mama",H4904="Pengeluaran Uang Kos")),OR($C$7="Semua",$C$7="",I4904=$C$7),OR($C$8="Semua",$C$8="",C4904=$C$8,E4904=$C$8),OR($C$9="Semua",$C$9="",D4904=$C$9),OR($C$10="",B4904&gt;=$C$10),OR($C$11="",B4904&lt;=$C$11),OR($C$12&lt;&gt;"Ya",K4904&lt;&gt;""),OR($C$13="Semua",$C$13="",L4904=$C$13)),"✓","")</f>
        <v/>
      </c>
      <c r="N4904" s="93">
        <f>N(N4903)+IF(M4904="✓",1,0)</f>
        <v/>
      </c>
      <c r="O4904" s="93">
        <f>N(O4903)+IF(AND(B4904&lt;&gt;"",B4904&gt;='Uang Riba'!$H$30,B4904&lt;='Uang Riba'!$I$30,OR(H4904="Dana riba",H4904="Pinjam uang riba",I4904="Pinjam dari uang riba",I4904="Ganti uang riba",I4904="Kelebihan ganti dikembalikan",AND(C4904="Kantong Uang Riba",G4904="Pengeluaran"))),1,0)</f>
        <v/>
      </c>
      <c r="X4904" s="93">
        <f>IF(AND(B4904&lt;&gt;"",B4904&gt;='Buku Akun'!$H$4,B4904&lt;='Buku Akun'!$H$5,OR(C4904='Buku Akun'!$C$4,AND(D4904="Pindah",E4904='Buku Akun'!$C$4))),B4904+IF(AND(I4904="Selisih bunga",DAY(B4904)=1),0,0.01)+ROW()/10000000,"")</f>
        <v/>
      </c>
    </row>
    <row r="4905" outlineLevel="1" ht="15" customHeight="1" s="94">
      <c r="A4905" s="123">
        <f>IF(B4905="","",ROW()-15)</f>
        <v/>
      </c>
      <c r="B4905" s="124" t="n"/>
      <c r="C4905" s="123" t="n"/>
      <c r="D4905" s="123" t="n"/>
      <c r="E4905" s="123" t="n"/>
      <c r="F4905" s="125" t="n"/>
      <c r="G4905" s="123" t="n"/>
      <c r="H4905" s="123" t="n"/>
      <c r="I4905" s="123" t="n"/>
      <c r="J4905" s="123" t="n"/>
      <c r="K4905" s="123" t="n"/>
      <c r="L4905" s="123" t="n"/>
      <c r="M4905" s="123">
        <f>IF(AND(B4905&lt;&gt;"",OR($C$4="",ISNUMBER(SEARCH($C$4,C4905&amp;" "&amp;E4905&amp;" "&amp;G4905&amp;" "&amp;H4905&amp;" "&amp;I4905&amp;" "&amp;J4905&amp;" "&amp;K4905&amp;" "&amp;L4905))),OR($C$5="Semua",$C$5="",G4905=$C$5),OR($C$6="Semua",$C$6="",H4905=$C$6,H4905="Pengeluaran "&amp;$C$6,AND($C$6="Uang Kos Mama",H4905="Pengeluaran Uang Kos")),OR($C$7="Semua",$C$7="",I4905=$C$7),OR($C$8="Semua",$C$8="",C4905=$C$8,E4905=$C$8),OR($C$9="Semua",$C$9="",D4905=$C$9),OR($C$10="",B4905&gt;=$C$10),OR($C$11="",B4905&lt;=$C$11),OR($C$12&lt;&gt;"Ya",K4905&lt;&gt;""),OR($C$13="Semua",$C$13="",L4905=$C$13)),"✓","")</f>
        <v/>
      </c>
      <c r="N4905" s="93">
        <f>N(N4904)+IF(M4905="✓",1,0)</f>
        <v/>
      </c>
      <c r="O4905" s="93">
        <f>N(O4904)+IF(AND(B4905&lt;&gt;"",B4905&gt;='Uang Riba'!$H$30,B4905&lt;='Uang Riba'!$I$30,OR(H4905="Dana riba",H4905="Pinjam uang riba",I4905="Pinjam dari uang riba",I4905="Ganti uang riba",I4905="Kelebihan ganti dikembalikan",AND(C4905="Kantong Uang Riba",G4905="Pengeluaran"))),1,0)</f>
        <v/>
      </c>
      <c r="X4905" s="93">
        <f>IF(AND(B4905&lt;&gt;"",B4905&gt;='Buku Akun'!$H$4,B4905&lt;='Buku Akun'!$H$5,OR(C4905='Buku Akun'!$C$4,AND(D4905="Pindah",E4905='Buku Akun'!$C$4))),B4905+IF(AND(I4905="Selisih bunga",DAY(B4905)=1),0,0.01)+ROW()/10000000,"")</f>
        <v/>
      </c>
    </row>
    <row r="4906" outlineLevel="1" ht="15" customHeight="1" s="94">
      <c r="A4906" s="123">
        <f>IF(B4906="","",ROW()-15)</f>
        <v/>
      </c>
      <c r="B4906" s="124" t="n"/>
      <c r="C4906" s="123" t="n"/>
      <c r="D4906" s="123" t="n"/>
      <c r="E4906" s="123" t="n"/>
      <c r="F4906" s="125" t="n"/>
      <c r="G4906" s="123" t="n"/>
      <c r="H4906" s="123" t="n"/>
      <c r="I4906" s="123" t="n"/>
      <c r="J4906" s="123" t="n"/>
      <c r="K4906" s="123" t="n"/>
      <c r="L4906" s="123" t="n"/>
      <c r="M4906" s="123">
        <f>IF(AND(B4906&lt;&gt;"",OR($C$4="",ISNUMBER(SEARCH($C$4,C4906&amp;" "&amp;E4906&amp;" "&amp;G4906&amp;" "&amp;H4906&amp;" "&amp;I4906&amp;" "&amp;J4906&amp;" "&amp;K4906&amp;" "&amp;L4906))),OR($C$5="Semua",$C$5="",G4906=$C$5),OR($C$6="Semua",$C$6="",H4906=$C$6,H4906="Pengeluaran "&amp;$C$6,AND($C$6="Uang Kos Mama",H4906="Pengeluaran Uang Kos")),OR($C$7="Semua",$C$7="",I4906=$C$7),OR($C$8="Semua",$C$8="",C4906=$C$8,E4906=$C$8),OR($C$9="Semua",$C$9="",D4906=$C$9),OR($C$10="",B4906&gt;=$C$10),OR($C$11="",B4906&lt;=$C$11),OR($C$12&lt;&gt;"Ya",K4906&lt;&gt;""),OR($C$13="Semua",$C$13="",L4906=$C$13)),"✓","")</f>
        <v/>
      </c>
      <c r="N4906" s="93">
        <f>N(N4905)+IF(M4906="✓",1,0)</f>
        <v/>
      </c>
      <c r="O4906" s="93">
        <f>N(O4905)+IF(AND(B4906&lt;&gt;"",B4906&gt;='Uang Riba'!$H$30,B4906&lt;='Uang Riba'!$I$30,OR(H4906="Dana riba",H4906="Pinjam uang riba",I4906="Pinjam dari uang riba",I4906="Ganti uang riba",I4906="Kelebihan ganti dikembalikan",AND(C4906="Kantong Uang Riba",G4906="Pengeluaran"))),1,0)</f>
        <v/>
      </c>
      <c r="X4906" s="93">
        <f>IF(AND(B4906&lt;&gt;"",B4906&gt;='Buku Akun'!$H$4,B4906&lt;='Buku Akun'!$H$5,OR(C4906='Buku Akun'!$C$4,AND(D4906="Pindah",E4906='Buku Akun'!$C$4))),B4906+IF(AND(I4906="Selisih bunga",DAY(B4906)=1),0,0.01)+ROW()/10000000,"")</f>
        <v/>
      </c>
    </row>
    <row r="4907" outlineLevel="1" ht="15" customHeight="1" s="94">
      <c r="A4907" s="123">
        <f>IF(B4907="","",ROW()-15)</f>
        <v/>
      </c>
      <c r="B4907" s="124" t="n"/>
      <c r="C4907" s="123" t="n"/>
      <c r="D4907" s="123" t="n"/>
      <c r="E4907" s="123" t="n"/>
      <c r="F4907" s="125" t="n"/>
      <c r="G4907" s="123" t="n"/>
      <c r="H4907" s="123" t="n"/>
      <c r="I4907" s="123" t="n"/>
      <c r="J4907" s="123" t="n"/>
      <c r="K4907" s="123" t="n"/>
      <c r="L4907" s="123" t="n"/>
      <c r="M4907" s="123">
        <f>IF(AND(B4907&lt;&gt;"",OR($C$4="",ISNUMBER(SEARCH($C$4,C4907&amp;" "&amp;E4907&amp;" "&amp;G4907&amp;" "&amp;H4907&amp;" "&amp;I4907&amp;" "&amp;J4907&amp;" "&amp;K4907&amp;" "&amp;L4907))),OR($C$5="Semua",$C$5="",G4907=$C$5),OR($C$6="Semua",$C$6="",H4907=$C$6,H4907="Pengeluaran "&amp;$C$6,AND($C$6="Uang Kos Mama",H4907="Pengeluaran Uang Kos")),OR($C$7="Semua",$C$7="",I4907=$C$7),OR($C$8="Semua",$C$8="",C4907=$C$8,E4907=$C$8),OR($C$9="Semua",$C$9="",D4907=$C$9),OR($C$10="",B4907&gt;=$C$10),OR($C$11="",B4907&lt;=$C$11),OR($C$12&lt;&gt;"Ya",K4907&lt;&gt;""),OR($C$13="Semua",$C$13="",L4907=$C$13)),"✓","")</f>
        <v/>
      </c>
      <c r="N4907" s="93">
        <f>N(N4906)+IF(M4907="✓",1,0)</f>
        <v/>
      </c>
      <c r="O4907" s="93">
        <f>N(O4906)+IF(AND(B4907&lt;&gt;"",B4907&gt;='Uang Riba'!$H$30,B4907&lt;='Uang Riba'!$I$30,OR(H4907="Dana riba",H4907="Pinjam uang riba",I4907="Pinjam dari uang riba",I4907="Ganti uang riba",I4907="Kelebihan ganti dikembalikan",AND(C4907="Kantong Uang Riba",G4907="Pengeluaran"))),1,0)</f>
        <v/>
      </c>
      <c r="X4907" s="93">
        <f>IF(AND(B4907&lt;&gt;"",B4907&gt;='Buku Akun'!$H$4,B4907&lt;='Buku Akun'!$H$5,OR(C4907='Buku Akun'!$C$4,AND(D4907="Pindah",E4907='Buku Akun'!$C$4))),B4907+IF(AND(I4907="Selisih bunga",DAY(B4907)=1),0,0.01)+ROW()/10000000,"")</f>
        <v/>
      </c>
    </row>
    <row r="4908" outlineLevel="1" ht="15" customHeight="1" s="94">
      <c r="A4908" s="123">
        <f>IF(B4908="","",ROW()-15)</f>
        <v/>
      </c>
      <c r="B4908" s="124" t="n"/>
      <c r="C4908" s="123" t="n"/>
      <c r="D4908" s="123" t="n"/>
      <c r="E4908" s="123" t="n"/>
      <c r="F4908" s="125" t="n"/>
      <c r="G4908" s="123" t="n"/>
      <c r="H4908" s="123" t="n"/>
      <c r="I4908" s="123" t="n"/>
      <c r="J4908" s="123" t="n"/>
      <c r="K4908" s="123" t="n"/>
      <c r="L4908" s="123" t="n"/>
      <c r="M4908" s="123">
        <f>IF(AND(B4908&lt;&gt;"",OR($C$4="",ISNUMBER(SEARCH($C$4,C4908&amp;" "&amp;E4908&amp;" "&amp;G4908&amp;" "&amp;H4908&amp;" "&amp;I4908&amp;" "&amp;J4908&amp;" "&amp;K4908&amp;" "&amp;L4908))),OR($C$5="Semua",$C$5="",G4908=$C$5),OR($C$6="Semua",$C$6="",H4908=$C$6,H4908="Pengeluaran "&amp;$C$6,AND($C$6="Uang Kos Mama",H4908="Pengeluaran Uang Kos")),OR($C$7="Semua",$C$7="",I4908=$C$7),OR($C$8="Semua",$C$8="",C4908=$C$8,E4908=$C$8),OR($C$9="Semua",$C$9="",D4908=$C$9),OR($C$10="",B4908&gt;=$C$10),OR($C$11="",B4908&lt;=$C$11),OR($C$12&lt;&gt;"Ya",K4908&lt;&gt;""),OR($C$13="Semua",$C$13="",L4908=$C$13)),"✓","")</f>
        <v/>
      </c>
      <c r="N4908" s="93">
        <f>N(N4907)+IF(M4908="✓",1,0)</f>
        <v/>
      </c>
      <c r="O4908" s="93">
        <f>N(O4907)+IF(AND(B4908&lt;&gt;"",B4908&gt;='Uang Riba'!$H$30,B4908&lt;='Uang Riba'!$I$30,OR(H4908="Dana riba",H4908="Pinjam uang riba",I4908="Pinjam dari uang riba",I4908="Ganti uang riba",I4908="Kelebihan ganti dikembalikan",AND(C4908="Kantong Uang Riba",G4908="Pengeluaran"))),1,0)</f>
        <v/>
      </c>
      <c r="X4908" s="93">
        <f>IF(AND(B4908&lt;&gt;"",B4908&gt;='Buku Akun'!$H$4,B4908&lt;='Buku Akun'!$H$5,OR(C4908='Buku Akun'!$C$4,AND(D4908="Pindah",E4908='Buku Akun'!$C$4))),B4908+IF(AND(I4908="Selisih bunga",DAY(B4908)=1),0,0.01)+ROW()/10000000,"")</f>
        <v/>
      </c>
    </row>
    <row r="4909" outlineLevel="1" ht="15" customHeight="1" s="94">
      <c r="A4909" s="123">
        <f>IF(B4909="","",ROW()-15)</f>
        <v/>
      </c>
      <c r="B4909" s="124" t="n"/>
      <c r="C4909" s="123" t="n"/>
      <c r="D4909" s="123" t="n"/>
      <c r="E4909" s="123" t="n"/>
      <c r="F4909" s="125" t="n"/>
      <c r="G4909" s="123" t="n"/>
      <c r="H4909" s="123" t="n"/>
      <c r="I4909" s="123" t="n"/>
      <c r="J4909" s="123" t="n"/>
      <c r="K4909" s="123" t="n"/>
      <c r="L4909" s="123" t="n"/>
      <c r="M4909" s="123">
        <f>IF(AND(B4909&lt;&gt;"",OR($C$4="",ISNUMBER(SEARCH($C$4,C4909&amp;" "&amp;E4909&amp;" "&amp;G4909&amp;" "&amp;H4909&amp;" "&amp;I4909&amp;" "&amp;J4909&amp;" "&amp;K4909&amp;" "&amp;L4909))),OR($C$5="Semua",$C$5="",G4909=$C$5),OR($C$6="Semua",$C$6="",H4909=$C$6,H4909="Pengeluaran "&amp;$C$6,AND($C$6="Uang Kos Mama",H4909="Pengeluaran Uang Kos")),OR($C$7="Semua",$C$7="",I4909=$C$7),OR($C$8="Semua",$C$8="",C4909=$C$8,E4909=$C$8),OR($C$9="Semua",$C$9="",D4909=$C$9),OR($C$10="",B4909&gt;=$C$10),OR($C$11="",B4909&lt;=$C$11),OR($C$12&lt;&gt;"Ya",K4909&lt;&gt;""),OR($C$13="Semua",$C$13="",L4909=$C$13)),"✓","")</f>
        <v/>
      </c>
      <c r="N4909" s="93">
        <f>N(N4908)+IF(M4909="✓",1,0)</f>
        <v/>
      </c>
      <c r="O4909" s="93">
        <f>N(O4908)+IF(AND(B4909&lt;&gt;"",B4909&gt;='Uang Riba'!$H$30,B4909&lt;='Uang Riba'!$I$30,OR(H4909="Dana riba",H4909="Pinjam uang riba",I4909="Pinjam dari uang riba",I4909="Ganti uang riba",I4909="Kelebihan ganti dikembalikan",AND(C4909="Kantong Uang Riba",G4909="Pengeluaran"))),1,0)</f>
        <v/>
      </c>
      <c r="X4909" s="93">
        <f>IF(AND(B4909&lt;&gt;"",B4909&gt;='Buku Akun'!$H$4,B4909&lt;='Buku Akun'!$H$5,OR(C4909='Buku Akun'!$C$4,AND(D4909="Pindah",E4909='Buku Akun'!$C$4))),B4909+IF(AND(I4909="Selisih bunga",DAY(B4909)=1),0,0.01)+ROW()/10000000,"")</f>
        <v/>
      </c>
    </row>
    <row r="4910" outlineLevel="1" ht="15" customHeight="1" s="94">
      <c r="A4910" s="123">
        <f>IF(B4910="","",ROW()-15)</f>
        <v/>
      </c>
      <c r="B4910" s="124" t="n"/>
      <c r="C4910" s="123" t="n"/>
      <c r="D4910" s="123" t="n"/>
      <c r="E4910" s="123" t="n"/>
      <c r="F4910" s="125" t="n"/>
      <c r="G4910" s="123" t="n"/>
      <c r="H4910" s="123" t="n"/>
      <c r="I4910" s="123" t="n"/>
      <c r="J4910" s="123" t="n"/>
      <c r="K4910" s="123" t="n"/>
      <c r="L4910" s="123" t="n"/>
      <c r="M4910" s="123">
        <f>IF(AND(B4910&lt;&gt;"",OR($C$4="",ISNUMBER(SEARCH($C$4,C4910&amp;" "&amp;E4910&amp;" "&amp;G4910&amp;" "&amp;H4910&amp;" "&amp;I4910&amp;" "&amp;J4910&amp;" "&amp;K4910&amp;" "&amp;L4910))),OR($C$5="Semua",$C$5="",G4910=$C$5),OR($C$6="Semua",$C$6="",H4910=$C$6,H4910="Pengeluaran "&amp;$C$6,AND($C$6="Uang Kos Mama",H4910="Pengeluaran Uang Kos")),OR($C$7="Semua",$C$7="",I4910=$C$7),OR($C$8="Semua",$C$8="",C4910=$C$8,E4910=$C$8),OR($C$9="Semua",$C$9="",D4910=$C$9),OR($C$10="",B4910&gt;=$C$10),OR($C$11="",B4910&lt;=$C$11),OR($C$12&lt;&gt;"Ya",K4910&lt;&gt;""),OR($C$13="Semua",$C$13="",L4910=$C$13)),"✓","")</f>
        <v/>
      </c>
      <c r="N4910" s="93">
        <f>N(N4909)+IF(M4910="✓",1,0)</f>
        <v/>
      </c>
      <c r="O4910" s="93">
        <f>N(O4909)+IF(AND(B4910&lt;&gt;"",B4910&gt;='Uang Riba'!$H$30,B4910&lt;='Uang Riba'!$I$30,OR(H4910="Dana riba",H4910="Pinjam uang riba",I4910="Pinjam dari uang riba",I4910="Ganti uang riba",I4910="Kelebihan ganti dikembalikan",AND(C4910="Kantong Uang Riba",G4910="Pengeluaran"))),1,0)</f>
        <v/>
      </c>
      <c r="X4910" s="93">
        <f>IF(AND(B4910&lt;&gt;"",B4910&gt;='Buku Akun'!$H$4,B4910&lt;='Buku Akun'!$H$5,OR(C4910='Buku Akun'!$C$4,AND(D4910="Pindah",E4910='Buku Akun'!$C$4))),B4910+IF(AND(I4910="Selisih bunga",DAY(B4910)=1),0,0.01)+ROW()/10000000,"")</f>
        <v/>
      </c>
    </row>
    <row r="4911" outlineLevel="1" ht="15" customHeight="1" s="94">
      <c r="A4911" s="123">
        <f>IF(B4911="","",ROW()-15)</f>
        <v/>
      </c>
      <c r="B4911" s="124" t="n"/>
      <c r="C4911" s="123" t="n"/>
      <c r="D4911" s="123" t="n"/>
      <c r="E4911" s="123" t="n"/>
      <c r="F4911" s="125" t="n"/>
      <c r="G4911" s="123" t="n"/>
      <c r="H4911" s="123" t="n"/>
      <c r="I4911" s="123" t="n"/>
      <c r="J4911" s="123" t="n"/>
      <c r="K4911" s="123" t="n"/>
      <c r="L4911" s="123" t="n"/>
      <c r="M4911" s="123">
        <f>IF(AND(B4911&lt;&gt;"",OR($C$4="",ISNUMBER(SEARCH($C$4,C4911&amp;" "&amp;E4911&amp;" "&amp;G4911&amp;" "&amp;H4911&amp;" "&amp;I4911&amp;" "&amp;J4911&amp;" "&amp;K4911&amp;" "&amp;L4911))),OR($C$5="Semua",$C$5="",G4911=$C$5),OR($C$6="Semua",$C$6="",H4911=$C$6,H4911="Pengeluaran "&amp;$C$6,AND($C$6="Uang Kos Mama",H4911="Pengeluaran Uang Kos")),OR($C$7="Semua",$C$7="",I4911=$C$7),OR($C$8="Semua",$C$8="",C4911=$C$8,E4911=$C$8),OR($C$9="Semua",$C$9="",D4911=$C$9),OR($C$10="",B4911&gt;=$C$10),OR($C$11="",B4911&lt;=$C$11),OR($C$12&lt;&gt;"Ya",K4911&lt;&gt;""),OR($C$13="Semua",$C$13="",L4911=$C$13)),"✓","")</f>
        <v/>
      </c>
      <c r="N4911" s="93">
        <f>N(N4910)+IF(M4911="✓",1,0)</f>
        <v/>
      </c>
      <c r="O4911" s="93">
        <f>N(O4910)+IF(AND(B4911&lt;&gt;"",B4911&gt;='Uang Riba'!$H$30,B4911&lt;='Uang Riba'!$I$30,OR(H4911="Dana riba",H4911="Pinjam uang riba",I4911="Pinjam dari uang riba",I4911="Ganti uang riba",I4911="Kelebihan ganti dikembalikan",AND(C4911="Kantong Uang Riba",G4911="Pengeluaran"))),1,0)</f>
        <v/>
      </c>
      <c r="X4911" s="93">
        <f>IF(AND(B4911&lt;&gt;"",B4911&gt;='Buku Akun'!$H$4,B4911&lt;='Buku Akun'!$H$5,OR(C4911='Buku Akun'!$C$4,AND(D4911="Pindah",E4911='Buku Akun'!$C$4))),B4911+IF(AND(I4911="Selisih bunga",DAY(B4911)=1),0,0.01)+ROW()/10000000,"")</f>
        <v/>
      </c>
    </row>
    <row r="4912" outlineLevel="1" ht="15" customHeight="1" s="94">
      <c r="A4912" s="123">
        <f>IF(B4912="","",ROW()-15)</f>
        <v/>
      </c>
      <c r="B4912" s="124" t="n"/>
      <c r="C4912" s="123" t="n"/>
      <c r="D4912" s="123" t="n"/>
      <c r="E4912" s="123" t="n"/>
      <c r="F4912" s="125" t="n"/>
      <c r="G4912" s="123" t="n"/>
      <c r="H4912" s="123" t="n"/>
      <c r="I4912" s="123" t="n"/>
      <c r="J4912" s="123" t="n"/>
      <c r="K4912" s="123" t="n"/>
      <c r="L4912" s="123" t="n"/>
      <c r="M4912" s="123">
        <f>IF(AND(B4912&lt;&gt;"",OR($C$4="",ISNUMBER(SEARCH($C$4,C4912&amp;" "&amp;E4912&amp;" "&amp;G4912&amp;" "&amp;H4912&amp;" "&amp;I4912&amp;" "&amp;J4912&amp;" "&amp;K4912&amp;" "&amp;L4912))),OR($C$5="Semua",$C$5="",G4912=$C$5),OR($C$6="Semua",$C$6="",H4912=$C$6,H4912="Pengeluaran "&amp;$C$6,AND($C$6="Uang Kos Mama",H4912="Pengeluaran Uang Kos")),OR($C$7="Semua",$C$7="",I4912=$C$7),OR($C$8="Semua",$C$8="",C4912=$C$8,E4912=$C$8),OR($C$9="Semua",$C$9="",D4912=$C$9),OR($C$10="",B4912&gt;=$C$10),OR($C$11="",B4912&lt;=$C$11),OR($C$12&lt;&gt;"Ya",K4912&lt;&gt;""),OR($C$13="Semua",$C$13="",L4912=$C$13)),"✓","")</f>
        <v/>
      </c>
      <c r="N4912" s="93">
        <f>N(N4911)+IF(M4912="✓",1,0)</f>
        <v/>
      </c>
      <c r="O4912" s="93">
        <f>N(O4911)+IF(AND(B4912&lt;&gt;"",B4912&gt;='Uang Riba'!$H$30,B4912&lt;='Uang Riba'!$I$30,OR(H4912="Dana riba",H4912="Pinjam uang riba",I4912="Pinjam dari uang riba",I4912="Ganti uang riba",I4912="Kelebihan ganti dikembalikan",AND(C4912="Kantong Uang Riba",G4912="Pengeluaran"))),1,0)</f>
        <v/>
      </c>
      <c r="X4912" s="93">
        <f>IF(AND(B4912&lt;&gt;"",B4912&gt;='Buku Akun'!$H$4,B4912&lt;='Buku Akun'!$H$5,OR(C4912='Buku Akun'!$C$4,AND(D4912="Pindah",E4912='Buku Akun'!$C$4))),B4912+IF(AND(I4912="Selisih bunga",DAY(B4912)=1),0,0.01)+ROW()/10000000,"")</f>
        <v/>
      </c>
    </row>
    <row r="4913" outlineLevel="1" ht="15" customHeight="1" s="94">
      <c r="A4913" s="123">
        <f>IF(B4913="","",ROW()-15)</f>
        <v/>
      </c>
      <c r="B4913" s="124" t="n"/>
      <c r="C4913" s="123" t="n"/>
      <c r="D4913" s="123" t="n"/>
      <c r="E4913" s="123" t="n"/>
      <c r="F4913" s="125" t="n"/>
      <c r="G4913" s="123" t="n"/>
      <c r="H4913" s="123" t="n"/>
      <c r="I4913" s="123" t="n"/>
      <c r="J4913" s="123" t="n"/>
      <c r="K4913" s="123" t="n"/>
      <c r="L4913" s="123" t="n"/>
      <c r="M4913" s="123">
        <f>IF(AND(B4913&lt;&gt;"",OR($C$4="",ISNUMBER(SEARCH($C$4,C4913&amp;" "&amp;E4913&amp;" "&amp;G4913&amp;" "&amp;H4913&amp;" "&amp;I4913&amp;" "&amp;J4913&amp;" "&amp;K4913&amp;" "&amp;L4913))),OR($C$5="Semua",$C$5="",G4913=$C$5),OR($C$6="Semua",$C$6="",H4913=$C$6,H4913="Pengeluaran "&amp;$C$6,AND($C$6="Uang Kos Mama",H4913="Pengeluaran Uang Kos")),OR($C$7="Semua",$C$7="",I4913=$C$7),OR($C$8="Semua",$C$8="",C4913=$C$8,E4913=$C$8),OR($C$9="Semua",$C$9="",D4913=$C$9),OR($C$10="",B4913&gt;=$C$10),OR($C$11="",B4913&lt;=$C$11),OR($C$12&lt;&gt;"Ya",K4913&lt;&gt;""),OR($C$13="Semua",$C$13="",L4913=$C$13)),"✓","")</f>
        <v/>
      </c>
      <c r="N4913" s="93">
        <f>N(N4912)+IF(M4913="✓",1,0)</f>
        <v/>
      </c>
      <c r="O4913" s="93">
        <f>N(O4912)+IF(AND(B4913&lt;&gt;"",B4913&gt;='Uang Riba'!$H$30,B4913&lt;='Uang Riba'!$I$30,OR(H4913="Dana riba",H4913="Pinjam uang riba",I4913="Pinjam dari uang riba",I4913="Ganti uang riba",I4913="Kelebihan ganti dikembalikan",AND(C4913="Kantong Uang Riba",G4913="Pengeluaran"))),1,0)</f>
        <v/>
      </c>
      <c r="X4913" s="93">
        <f>IF(AND(B4913&lt;&gt;"",B4913&gt;='Buku Akun'!$H$4,B4913&lt;='Buku Akun'!$H$5,OR(C4913='Buku Akun'!$C$4,AND(D4913="Pindah",E4913='Buku Akun'!$C$4))),B4913+IF(AND(I4913="Selisih bunga",DAY(B4913)=1),0,0.01)+ROW()/10000000,"")</f>
        <v/>
      </c>
    </row>
    <row r="4914" outlineLevel="1" ht="15" customHeight="1" s="94">
      <c r="A4914" s="123">
        <f>IF(B4914="","",ROW()-15)</f>
        <v/>
      </c>
      <c r="B4914" s="124" t="n"/>
      <c r="C4914" s="123" t="n"/>
      <c r="D4914" s="123" t="n"/>
      <c r="E4914" s="123" t="n"/>
      <c r="F4914" s="125" t="n"/>
      <c r="G4914" s="123" t="n"/>
      <c r="H4914" s="123" t="n"/>
      <c r="I4914" s="123" t="n"/>
      <c r="J4914" s="123" t="n"/>
      <c r="K4914" s="123" t="n"/>
      <c r="L4914" s="123" t="n"/>
      <c r="M4914" s="123">
        <f>IF(AND(B4914&lt;&gt;"",OR($C$4="",ISNUMBER(SEARCH($C$4,C4914&amp;" "&amp;E4914&amp;" "&amp;G4914&amp;" "&amp;H4914&amp;" "&amp;I4914&amp;" "&amp;J4914&amp;" "&amp;K4914&amp;" "&amp;L4914))),OR($C$5="Semua",$C$5="",G4914=$C$5),OR($C$6="Semua",$C$6="",H4914=$C$6,H4914="Pengeluaran "&amp;$C$6,AND($C$6="Uang Kos Mama",H4914="Pengeluaran Uang Kos")),OR($C$7="Semua",$C$7="",I4914=$C$7),OR($C$8="Semua",$C$8="",C4914=$C$8,E4914=$C$8),OR($C$9="Semua",$C$9="",D4914=$C$9),OR($C$10="",B4914&gt;=$C$10),OR($C$11="",B4914&lt;=$C$11),OR($C$12&lt;&gt;"Ya",K4914&lt;&gt;""),OR($C$13="Semua",$C$13="",L4914=$C$13)),"✓","")</f>
        <v/>
      </c>
      <c r="N4914" s="93">
        <f>N(N4913)+IF(M4914="✓",1,0)</f>
        <v/>
      </c>
      <c r="O4914" s="93">
        <f>N(O4913)+IF(AND(B4914&lt;&gt;"",B4914&gt;='Uang Riba'!$H$30,B4914&lt;='Uang Riba'!$I$30,OR(H4914="Dana riba",H4914="Pinjam uang riba",I4914="Pinjam dari uang riba",I4914="Ganti uang riba",I4914="Kelebihan ganti dikembalikan",AND(C4914="Kantong Uang Riba",G4914="Pengeluaran"))),1,0)</f>
        <v/>
      </c>
      <c r="X4914" s="93">
        <f>IF(AND(B4914&lt;&gt;"",B4914&gt;='Buku Akun'!$H$4,B4914&lt;='Buku Akun'!$H$5,OR(C4914='Buku Akun'!$C$4,AND(D4914="Pindah",E4914='Buku Akun'!$C$4))),B4914+IF(AND(I4914="Selisih bunga",DAY(B4914)=1),0,0.01)+ROW()/10000000,"")</f>
        <v/>
      </c>
    </row>
    <row r="4915" outlineLevel="1" ht="15" customHeight="1" s="94">
      <c r="A4915" s="123">
        <f>IF(B4915="","",ROW()-15)</f>
        <v/>
      </c>
      <c r="B4915" s="124" t="n"/>
      <c r="C4915" s="123" t="n"/>
      <c r="D4915" s="123" t="n"/>
      <c r="E4915" s="123" t="n"/>
      <c r="F4915" s="125" t="n"/>
      <c r="G4915" s="123" t="n"/>
      <c r="H4915" s="123" t="n"/>
      <c r="I4915" s="123" t="n"/>
      <c r="J4915" s="123" t="n"/>
      <c r="K4915" s="123" t="n"/>
      <c r="L4915" s="123" t="n"/>
      <c r="M4915" s="123">
        <f>IF(AND(B4915&lt;&gt;"",OR($C$4="",ISNUMBER(SEARCH($C$4,C4915&amp;" "&amp;E4915&amp;" "&amp;G4915&amp;" "&amp;H4915&amp;" "&amp;I4915&amp;" "&amp;J4915&amp;" "&amp;K4915&amp;" "&amp;L4915))),OR($C$5="Semua",$C$5="",G4915=$C$5),OR($C$6="Semua",$C$6="",H4915=$C$6,H4915="Pengeluaran "&amp;$C$6,AND($C$6="Uang Kos Mama",H4915="Pengeluaran Uang Kos")),OR($C$7="Semua",$C$7="",I4915=$C$7),OR($C$8="Semua",$C$8="",C4915=$C$8,E4915=$C$8),OR($C$9="Semua",$C$9="",D4915=$C$9),OR($C$10="",B4915&gt;=$C$10),OR($C$11="",B4915&lt;=$C$11),OR($C$12&lt;&gt;"Ya",K4915&lt;&gt;""),OR($C$13="Semua",$C$13="",L4915=$C$13)),"✓","")</f>
        <v/>
      </c>
      <c r="N4915" s="93">
        <f>N(N4914)+IF(M4915="✓",1,0)</f>
        <v/>
      </c>
      <c r="O4915" s="93">
        <f>N(O4914)+IF(AND(B4915&lt;&gt;"",B4915&gt;='Uang Riba'!$H$30,B4915&lt;='Uang Riba'!$I$30,OR(H4915="Dana riba",H4915="Pinjam uang riba",I4915="Pinjam dari uang riba",I4915="Ganti uang riba",I4915="Kelebihan ganti dikembalikan",AND(C4915="Kantong Uang Riba",G4915="Pengeluaran"))),1,0)</f>
        <v/>
      </c>
      <c r="X4915" s="93">
        <f>IF(AND(B4915&lt;&gt;"",B4915&gt;='Buku Akun'!$H$4,B4915&lt;='Buku Akun'!$H$5,OR(C4915='Buku Akun'!$C$4,AND(D4915="Pindah",E4915='Buku Akun'!$C$4))),B4915+IF(AND(I4915="Selisih bunga",DAY(B4915)=1),0,0.01)+ROW()/10000000,"")</f>
        <v/>
      </c>
    </row>
    <row r="4916" outlineLevel="1" ht="15" customHeight="1" s="94">
      <c r="A4916" s="123">
        <f>IF(B4916="","",ROW()-15)</f>
        <v/>
      </c>
      <c r="B4916" s="124" t="n"/>
      <c r="C4916" s="123" t="n"/>
      <c r="D4916" s="123" t="n"/>
      <c r="E4916" s="123" t="n"/>
      <c r="F4916" s="125" t="n"/>
      <c r="G4916" s="123" t="n"/>
      <c r="H4916" s="123" t="n"/>
      <c r="I4916" s="123" t="n"/>
      <c r="J4916" s="123" t="n"/>
      <c r="K4916" s="123" t="n"/>
      <c r="L4916" s="123" t="n"/>
      <c r="M4916" s="123">
        <f>IF(AND(B4916&lt;&gt;"",OR($C$4="",ISNUMBER(SEARCH($C$4,C4916&amp;" "&amp;E4916&amp;" "&amp;G4916&amp;" "&amp;H4916&amp;" "&amp;I4916&amp;" "&amp;J4916&amp;" "&amp;K4916&amp;" "&amp;L4916))),OR($C$5="Semua",$C$5="",G4916=$C$5),OR($C$6="Semua",$C$6="",H4916=$C$6,H4916="Pengeluaran "&amp;$C$6,AND($C$6="Uang Kos Mama",H4916="Pengeluaran Uang Kos")),OR($C$7="Semua",$C$7="",I4916=$C$7),OR($C$8="Semua",$C$8="",C4916=$C$8,E4916=$C$8),OR($C$9="Semua",$C$9="",D4916=$C$9),OR($C$10="",B4916&gt;=$C$10),OR($C$11="",B4916&lt;=$C$11),OR($C$12&lt;&gt;"Ya",K4916&lt;&gt;""),OR($C$13="Semua",$C$13="",L4916=$C$13)),"✓","")</f>
        <v/>
      </c>
      <c r="N4916" s="93">
        <f>N(N4915)+IF(M4916="✓",1,0)</f>
        <v/>
      </c>
      <c r="O4916" s="93">
        <f>N(O4915)+IF(AND(B4916&lt;&gt;"",B4916&gt;='Uang Riba'!$H$30,B4916&lt;='Uang Riba'!$I$30,OR(H4916="Dana riba",H4916="Pinjam uang riba",I4916="Pinjam dari uang riba",I4916="Ganti uang riba",I4916="Kelebihan ganti dikembalikan",AND(C4916="Kantong Uang Riba",G4916="Pengeluaran"))),1,0)</f>
        <v/>
      </c>
      <c r="X4916" s="93">
        <f>IF(AND(B4916&lt;&gt;"",B4916&gt;='Buku Akun'!$H$4,B4916&lt;='Buku Akun'!$H$5,OR(C4916='Buku Akun'!$C$4,AND(D4916="Pindah",E4916='Buku Akun'!$C$4))),B4916+IF(AND(I4916="Selisih bunga",DAY(B4916)=1),0,0.01)+ROW()/10000000,"")</f>
        <v/>
      </c>
    </row>
    <row r="4917" outlineLevel="1" ht="15" customHeight="1" s="94">
      <c r="A4917" s="123">
        <f>IF(B4917="","",ROW()-15)</f>
        <v/>
      </c>
      <c r="B4917" s="124" t="n"/>
      <c r="C4917" s="123" t="n"/>
      <c r="D4917" s="123" t="n"/>
      <c r="E4917" s="123" t="n"/>
      <c r="F4917" s="125" t="n"/>
      <c r="G4917" s="123" t="n"/>
      <c r="H4917" s="123" t="n"/>
      <c r="I4917" s="123" t="n"/>
      <c r="J4917" s="123" t="n"/>
      <c r="K4917" s="123" t="n"/>
      <c r="L4917" s="123" t="n"/>
      <c r="M4917" s="123">
        <f>IF(AND(B4917&lt;&gt;"",OR($C$4="",ISNUMBER(SEARCH($C$4,C4917&amp;" "&amp;E4917&amp;" "&amp;G4917&amp;" "&amp;H4917&amp;" "&amp;I4917&amp;" "&amp;J4917&amp;" "&amp;K4917&amp;" "&amp;L4917))),OR($C$5="Semua",$C$5="",G4917=$C$5),OR($C$6="Semua",$C$6="",H4917=$C$6,H4917="Pengeluaran "&amp;$C$6,AND($C$6="Uang Kos Mama",H4917="Pengeluaran Uang Kos")),OR($C$7="Semua",$C$7="",I4917=$C$7),OR($C$8="Semua",$C$8="",C4917=$C$8,E4917=$C$8),OR($C$9="Semua",$C$9="",D4917=$C$9),OR($C$10="",B4917&gt;=$C$10),OR($C$11="",B4917&lt;=$C$11),OR($C$12&lt;&gt;"Ya",K4917&lt;&gt;""),OR($C$13="Semua",$C$13="",L4917=$C$13)),"✓","")</f>
        <v/>
      </c>
      <c r="N4917" s="93">
        <f>N(N4916)+IF(M4917="✓",1,0)</f>
        <v/>
      </c>
      <c r="O4917" s="93">
        <f>N(O4916)+IF(AND(B4917&lt;&gt;"",B4917&gt;='Uang Riba'!$H$30,B4917&lt;='Uang Riba'!$I$30,OR(H4917="Dana riba",H4917="Pinjam uang riba",I4917="Pinjam dari uang riba",I4917="Ganti uang riba",I4917="Kelebihan ganti dikembalikan",AND(C4917="Kantong Uang Riba",G4917="Pengeluaran"))),1,0)</f>
        <v/>
      </c>
      <c r="X4917" s="93">
        <f>IF(AND(B4917&lt;&gt;"",B4917&gt;='Buku Akun'!$H$4,B4917&lt;='Buku Akun'!$H$5,OR(C4917='Buku Akun'!$C$4,AND(D4917="Pindah",E4917='Buku Akun'!$C$4))),B4917+IF(AND(I4917="Selisih bunga",DAY(B4917)=1),0,0.01)+ROW()/10000000,"")</f>
        <v/>
      </c>
    </row>
    <row r="4918" outlineLevel="1" ht="15" customHeight="1" s="94">
      <c r="A4918" s="123">
        <f>IF(B4918="","",ROW()-15)</f>
        <v/>
      </c>
      <c r="B4918" s="124" t="n"/>
      <c r="C4918" s="123" t="n"/>
      <c r="D4918" s="123" t="n"/>
      <c r="E4918" s="123" t="n"/>
      <c r="F4918" s="125" t="n"/>
      <c r="G4918" s="123" t="n"/>
      <c r="H4918" s="123" t="n"/>
      <c r="I4918" s="123" t="n"/>
      <c r="J4918" s="123" t="n"/>
      <c r="K4918" s="123" t="n"/>
      <c r="L4918" s="123" t="n"/>
      <c r="M4918" s="123">
        <f>IF(AND(B4918&lt;&gt;"",OR($C$4="",ISNUMBER(SEARCH($C$4,C4918&amp;" "&amp;E4918&amp;" "&amp;G4918&amp;" "&amp;H4918&amp;" "&amp;I4918&amp;" "&amp;J4918&amp;" "&amp;K4918&amp;" "&amp;L4918))),OR($C$5="Semua",$C$5="",G4918=$C$5),OR($C$6="Semua",$C$6="",H4918=$C$6,H4918="Pengeluaran "&amp;$C$6,AND($C$6="Uang Kos Mama",H4918="Pengeluaran Uang Kos")),OR($C$7="Semua",$C$7="",I4918=$C$7),OR($C$8="Semua",$C$8="",C4918=$C$8,E4918=$C$8),OR($C$9="Semua",$C$9="",D4918=$C$9),OR($C$10="",B4918&gt;=$C$10),OR($C$11="",B4918&lt;=$C$11),OR($C$12&lt;&gt;"Ya",K4918&lt;&gt;""),OR($C$13="Semua",$C$13="",L4918=$C$13)),"✓","")</f>
        <v/>
      </c>
      <c r="N4918" s="93">
        <f>N(N4917)+IF(M4918="✓",1,0)</f>
        <v/>
      </c>
      <c r="O4918" s="93">
        <f>N(O4917)+IF(AND(B4918&lt;&gt;"",B4918&gt;='Uang Riba'!$H$30,B4918&lt;='Uang Riba'!$I$30,OR(H4918="Dana riba",H4918="Pinjam uang riba",I4918="Pinjam dari uang riba",I4918="Ganti uang riba",I4918="Kelebihan ganti dikembalikan",AND(C4918="Kantong Uang Riba",G4918="Pengeluaran"))),1,0)</f>
        <v/>
      </c>
      <c r="X4918" s="93">
        <f>IF(AND(B4918&lt;&gt;"",B4918&gt;='Buku Akun'!$H$4,B4918&lt;='Buku Akun'!$H$5,OR(C4918='Buku Akun'!$C$4,AND(D4918="Pindah",E4918='Buku Akun'!$C$4))),B4918+IF(AND(I4918="Selisih bunga",DAY(B4918)=1),0,0.01)+ROW()/10000000,"")</f>
        <v/>
      </c>
    </row>
    <row r="4919" outlineLevel="1" ht="15" customHeight="1" s="94">
      <c r="A4919" s="123">
        <f>IF(B4919="","",ROW()-15)</f>
        <v/>
      </c>
      <c r="B4919" s="124" t="n"/>
      <c r="C4919" s="123" t="n"/>
      <c r="D4919" s="123" t="n"/>
      <c r="E4919" s="123" t="n"/>
      <c r="F4919" s="125" t="n"/>
      <c r="G4919" s="123" t="n"/>
      <c r="H4919" s="123" t="n"/>
      <c r="I4919" s="123" t="n"/>
      <c r="J4919" s="123" t="n"/>
      <c r="K4919" s="123" t="n"/>
      <c r="L4919" s="123" t="n"/>
      <c r="M4919" s="123">
        <f>IF(AND(B4919&lt;&gt;"",OR($C$4="",ISNUMBER(SEARCH($C$4,C4919&amp;" "&amp;E4919&amp;" "&amp;G4919&amp;" "&amp;H4919&amp;" "&amp;I4919&amp;" "&amp;J4919&amp;" "&amp;K4919&amp;" "&amp;L4919))),OR($C$5="Semua",$C$5="",G4919=$C$5),OR($C$6="Semua",$C$6="",H4919=$C$6,H4919="Pengeluaran "&amp;$C$6,AND($C$6="Uang Kos Mama",H4919="Pengeluaran Uang Kos")),OR($C$7="Semua",$C$7="",I4919=$C$7),OR($C$8="Semua",$C$8="",C4919=$C$8,E4919=$C$8),OR($C$9="Semua",$C$9="",D4919=$C$9),OR($C$10="",B4919&gt;=$C$10),OR($C$11="",B4919&lt;=$C$11),OR($C$12&lt;&gt;"Ya",K4919&lt;&gt;""),OR($C$13="Semua",$C$13="",L4919=$C$13)),"✓","")</f>
        <v/>
      </c>
      <c r="N4919" s="93">
        <f>N(N4918)+IF(M4919="✓",1,0)</f>
        <v/>
      </c>
      <c r="O4919" s="93">
        <f>N(O4918)+IF(AND(B4919&lt;&gt;"",B4919&gt;='Uang Riba'!$H$30,B4919&lt;='Uang Riba'!$I$30,OR(H4919="Dana riba",H4919="Pinjam uang riba",I4919="Pinjam dari uang riba",I4919="Ganti uang riba",I4919="Kelebihan ganti dikembalikan",AND(C4919="Kantong Uang Riba",G4919="Pengeluaran"))),1,0)</f>
        <v/>
      </c>
      <c r="X4919" s="93">
        <f>IF(AND(B4919&lt;&gt;"",B4919&gt;='Buku Akun'!$H$4,B4919&lt;='Buku Akun'!$H$5,OR(C4919='Buku Akun'!$C$4,AND(D4919="Pindah",E4919='Buku Akun'!$C$4))),B4919+IF(AND(I4919="Selisih bunga",DAY(B4919)=1),0,0.01)+ROW()/10000000,"")</f>
        <v/>
      </c>
    </row>
    <row r="4920" outlineLevel="1" ht="15" customHeight="1" s="94">
      <c r="A4920" s="123">
        <f>IF(B4920="","",ROW()-15)</f>
        <v/>
      </c>
      <c r="B4920" s="124" t="n"/>
      <c r="C4920" s="123" t="n"/>
      <c r="D4920" s="123" t="n"/>
      <c r="E4920" s="123" t="n"/>
      <c r="F4920" s="125" t="n"/>
      <c r="G4920" s="123" t="n"/>
      <c r="H4920" s="123" t="n"/>
      <c r="I4920" s="123" t="n"/>
      <c r="J4920" s="123" t="n"/>
      <c r="K4920" s="123" t="n"/>
      <c r="L4920" s="123" t="n"/>
      <c r="M4920" s="123">
        <f>IF(AND(B4920&lt;&gt;"",OR($C$4="",ISNUMBER(SEARCH($C$4,C4920&amp;" "&amp;E4920&amp;" "&amp;G4920&amp;" "&amp;H4920&amp;" "&amp;I4920&amp;" "&amp;J4920&amp;" "&amp;K4920&amp;" "&amp;L4920))),OR($C$5="Semua",$C$5="",G4920=$C$5),OR($C$6="Semua",$C$6="",H4920=$C$6,H4920="Pengeluaran "&amp;$C$6,AND($C$6="Uang Kos Mama",H4920="Pengeluaran Uang Kos")),OR($C$7="Semua",$C$7="",I4920=$C$7),OR($C$8="Semua",$C$8="",C4920=$C$8,E4920=$C$8),OR($C$9="Semua",$C$9="",D4920=$C$9),OR($C$10="",B4920&gt;=$C$10),OR($C$11="",B4920&lt;=$C$11),OR($C$12&lt;&gt;"Ya",K4920&lt;&gt;""),OR($C$13="Semua",$C$13="",L4920=$C$13)),"✓","")</f>
        <v/>
      </c>
      <c r="N4920" s="93">
        <f>N(N4919)+IF(M4920="✓",1,0)</f>
        <v/>
      </c>
      <c r="O4920" s="93">
        <f>N(O4919)+IF(AND(B4920&lt;&gt;"",B4920&gt;='Uang Riba'!$H$30,B4920&lt;='Uang Riba'!$I$30,OR(H4920="Dana riba",H4920="Pinjam uang riba",I4920="Pinjam dari uang riba",I4920="Ganti uang riba",I4920="Kelebihan ganti dikembalikan",AND(C4920="Kantong Uang Riba",G4920="Pengeluaran"))),1,0)</f>
        <v/>
      </c>
      <c r="X4920" s="93">
        <f>IF(AND(B4920&lt;&gt;"",B4920&gt;='Buku Akun'!$H$4,B4920&lt;='Buku Akun'!$H$5,OR(C4920='Buku Akun'!$C$4,AND(D4920="Pindah",E4920='Buku Akun'!$C$4))),B4920+IF(AND(I4920="Selisih bunga",DAY(B4920)=1),0,0.01)+ROW()/10000000,"")</f>
        <v/>
      </c>
    </row>
    <row r="4921" outlineLevel="1" ht="15" customHeight="1" s="94">
      <c r="A4921" s="123">
        <f>IF(B4921="","",ROW()-15)</f>
        <v/>
      </c>
      <c r="B4921" s="124" t="n"/>
      <c r="C4921" s="123" t="n"/>
      <c r="D4921" s="123" t="n"/>
      <c r="E4921" s="123" t="n"/>
      <c r="F4921" s="125" t="n"/>
      <c r="G4921" s="123" t="n"/>
      <c r="H4921" s="123" t="n"/>
      <c r="I4921" s="123" t="n"/>
      <c r="J4921" s="123" t="n"/>
      <c r="K4921" s="123" t="n"/>
      <c r="L4921" s="123" t="n"/>
      <c r="M4921" s="123">
        <f>IF(AND(B4921&lt;&gt;"",OR($C$4="",ISNUMBER(SEARCH($C$4,C4921&amp;" "&amp;E4921&amp;" "&amp;G4921&amp;" "&amp;H4921&amp;" "&amp;I4921&amp;" "&amp;J4921&amp;" "&amp;K4921&amp;" "&amp;L4921))),OR($C$5="Semua",$C$5="",G4921=$C$5),OR($C$6="Semua",$C$6="",H4921=$C$6,H4921="Pengeluaran "&amp;$C$6,AND($C$6="Uang Kos Mama",H4921="Pengeluaran Uang Kos")),OR($C$7="Semua",$C$7="",I4921=$C$7),OR($C$8="Semua",$C$8="",C4921=$C$8,E4921=$C$8),OR($C$9="Semua",$C$9="",D4921=$C$9),OR($C$10="",B4921&gt;=$C$10),OR($C$11="",B4921&lt;=$C$11),OR($C$12&lt;&gt;"Ya",K4921&lt;&gt;""),OR($C$13="Semua",$C$13="",L4921=$C$13)),"✓","")</f>
        <v/>
      </c>
      <c r="N4921" s="93">
        <f>N(N4920)+IF(M4921="✓",1,0)</f>
        <v/>
      </c>
      <c r="O4921" s="93">
        <f>N(O4920)+IF(AND(B4921&lt;&gt;"",B4921&gt;='Uang Riba'!$H$30,B4921&lt;='Uang Riba'!$I$30,OR(H4921="Dana riba",H4921="Pinjam uang riba",I4921="Pinjam dari uang riba",I4921="Ganti uang riba",I4921="Kelebihan ganti dikembalikan",AND(C4921="Kantong Uang Riba",G4921="Pengeluaran"))),1,0)</f>
        <v/>
      </c>
      <c r="X4921" s="93">
        <f>IF(AND(B4921&lt;&gt;"",B4921&gt;='Buku Akun'!$H$4,B4921&lt;='Buku Akun'!$H$5,OR(C4921='Buku Akun'!$C$4,AND(D4921="Pindah",E4921='Buku Akun'!$C$4))),B4921+IF(AND(I4921="Selisih bunga",DAY(B4921)=1),0,0.01)+ROW()/10000000,"")</f>
        <v/>
      </c>
    </row>
    <row r="4922" outlineLevel="1" ht="15" customHeight="1" s="94">
      <c r="A4922" s="123">
        <f>IF(B4922="","",ROW()-15)</f>
        <v/>
      </c>
      <c r="B4922" s="124" t="n"/>
      <c r="C4922" s="123" t="n"/>
      <c r="D4922" s="123" t="n"/>
      <c r="E4922" s="123" t="n"/>
      <c r="F4922" s="125" t="n"/>
      <c r="G4922" s="123" t="n"/>
      <c r="H4922" s="123" t="n"/>
      <c r="I4922" s="123" t="n"/>
      <c r="J4922" s="123" t="n"/>
      <c r="K4922" s="123" t="n"/>
      <c r="L4922" s="123" t="n"/>
      <c r="M4922" s="123">
        <f>IF(AND(B4922&lt;&gt;"",OR($C$4="",ISNUMBER(SEARCH($C$4,C4922&amp;" "&amp;E4922&amp;" "&amp;G4922&amp;" "&amp;H4922&amp;" "&amp;I4922&amp;" "&amp;J4922&amp;" "&amp;K4922&amp;" "&amp;L4922))),OR($C$5="Semua",$C$5="",G4922=$C$5),OR($C$6="Semua",$C$6="",H4922=$C$6,H4922="Pengeluaran "&amp;$C$6,AND($C$6="Uang Kos Mama",H4922="Pengeluaran Uang Kos")),OR($C$7="Semua",$C$7="",I4922=$C$7),OR($C$8="Semua",$C$8="",C4922=$C$8,E4922=$C$8),OR($C$9="Semua",$C$9="",D4922=$C$9),OR($C$10="",B4922&gt;=$C$10),OR($C$11="",B4922&lt;=$C$11),OR($C$12&lt;&gt;"Ya",K4922&lt;&gt;""),OR($C$13="Semua",$C$13="",L4922=$C$13)),"✓","")</f>
        <v/>
      </c>
      <c r="N4922" s="93">
        <f>N(N4921)+IF(M4922="✓",1,0)</f>
        <v/>
      </c>
      <c r="O4922" s="93">
        <f>N(O4921)+IF(AND(B4922&lt;&gt;"",B4922&gt;='Uang Riba'!$H$30,B4922&lt;='Uang Riba'!$I$30,OR(H4922="Dana riba",H4922="Pinjam uang riba",I4922="Pinjam dari uang riba",I4922="Ganti uang riba",I4922="Kelebihan ganti dikembalikan",AND(C4922="Kantong Uang Riba",G4922="Pengeluaran"))),1,0)</f>
        <v/>
      </c>
      <c r="X4922" s="93">
        <f>IF(AND(B4922&lt;&gt;"",B4922&gt;='Buku Akun'!$H$4,B4922&lt;='Buku Akun'!$H$5,OR(C4922='Buku Akun'!$C$4,AND(D4922="Pindah",E4922='Buku Akun'!$C$4))),B4922+IF(AND(I4922="Selisih bunga",DAY(B4922)=1),0,0.01)+ROW()/10000000,"")</f>
        <v/>
      </c>
    </row>
    <row r="4923" outlineLevel="1" ht="15" customHeight="1" s="94">
      <c r="A4923" s="123">
        <f>IF(B4923="","",ROW()-15)</f>
        <v/>
      </c>
      <c r="B4923" s="124" t="n"/>
      <c r="C4923" s="123" t="n"/>
      <c r="D4923" s="123" t="n"/>
      <c r="E4923" s="123" t="n"/>
      <c r="F4923" s="125" t="n"/>
      <c r="G4923" s="123" t="n"/>
      <c r="H4923" s="123" t="n"/>
      <c r="I4923" s="123" t="n"/>
      <c r="J4923" s="123" t="n"/>
      <c r="K4923" s="123" t="n"/>
      <c r="L4923" s="123" t="n"/>
      <c r="M4923" s="123">
        <f>IF(AND(B4923&lt;&gt;"",OR($C$4="",ISNUMBER(SEARCH($C$4,C4923&amp;" "&amp;E4923&amp;" "&amp;G4923&amp;" "&amp;H4923&amp;" "&amp;I4923&amp;" "&amp;J4923&amp;" "&amp;K4923&amp;" "&amp;L4923))),OR($C$5="Semua",$C$5="",G4923=$C$5),OR($C$6="Semua",$C$6="",H4923=$C$6,H4923="Pengeluaran "&amp;$C$6,AND($C$6="Uang Kos Mama",H4923="Pengeluaran Uang Kos")),OR($C$7="Semua",$C$7="",I4923=$C$7),OR($C$8="Semua",$C$8="",C4923=$C$8,E4923=$C$8),OR($C$9="Semua",$C$9="",D4923=$C$9),OR($C$10="",B4923&gt;=$C$10),OR($C$11="",B4923&lt;=$C$11),OR($C$12&lt;&gt;"Ya",K4923&lt;&gt;""),OR($C$13="Semua",$C$13="",L4923=$C$13)),"✓","")</f>
        <v/>
      </c>
      <c r="N4923" s="93">
        <f>N(N4922)+IF(M4923="✓",1,0)</f>
        <v/>
      </c>
      <c r="O4923" s="93">
        <f>N(O4922)+IF(AND(B4923&lt;&gt;"",B4923&gt;='Uang Riba'!$H$30,B4923&lt;='Uang Riba'!$I$30,OR(H4923="Dana riba",H4923="Pinjam uang riba",I4923="Pinjam dari uang riba",I4923="Ganti uang riba",I4923="Kelebihan ganti dikembalikan",AND(C4923="Kantong Uang Riba",G4923="Pengeluaran"))),1,0)</f>
        <v/>
      </c>
      <c r="X4923" s="93">
        <f>IF(AND(B4923&lt;&gt;"",B4923&gt;='Buku Akun'!$H$4,B4923&lt;='Buku Akun'!$H$5,OR(C4923='Buku Akun'!$C$4,AND(D4923="Pindah",E4923='Buku Akun'!$C$4))),B4923+IF(AND(I4923="Selisih bunga",DAY(B4923)=1),0,0.01)+ROW()/10000000,"")</f>
        <v/>
      </c>
    </row>
    <row r="4924" outlineLevel="1" ht="15" customHeight="1" s="94">
      <c r="A4924" s="123">
        <f>IF(B4924="","",ROW()-15)</f>
        <v/>
      </c>
      <c r="B4924" s="124" t="n"/>
      <c r="C4924" s="123" t="n"/>
      <c r="D4924" s="123" t="n"/>
      <c r="E4924" s="123" t="n"/>
      <c r="F4924" s="125" t="n"/>
      <c r="G4924" s="123" t="n"/>
      <c r="H4924" s="123" t="n"/>
      <c r="I4924" s="123" t="n"/>
      <c r="J4924" s="123" t="n"/>
      <c r="K4924" s="123" t="n"/>
      <c r="L4924" s="123" t="n"/>
      <c r="M4924" s="123">
        <f>IF(AND(B4924&lt;&gt;"",OR($C$4="",ISNUMBER(SEARCH($C$4,C4924&amp;" "&amp;E4924&amp;" "&amp;G4924&amp;" "&amp;H4924&amp;" "&amp;I4924&amp;" "&amp;J4924&amp;" "&amp;K4924&amp;" "&amp;L4924))),OR($C$5="Semua",$C$5="",G4924=$C$5),OR($C$6="Semua",$C$6="",H4924=$C$6,H4924="Pengeluaran "&amp;$C$6,AND($C$6="Uang Kos Mama",H4924="Pengeluaran Uang Kos")),OR($C$7="Semua",$C$7="",I4924=$C$7),OR($C$8="Semua",$C$8="",C4924=$C$8,E4924=$C$8),OR($C$9="Semua",$C$9="",D4924=$C$9),OR($C$10="",B4924&gt;=$C$10),OR($C$11="",B4924&lt;=$C$11),OR($C$12&lt;&gt;"Ya",K4924&lt;&gt;""),OR($C$13="Semua",$C$13="",L4924=$C$13)),"✓","")</f>
        <v/>
      </c>
      <c r="N4924" s="93">
        <f>N(N4923)+IF(M4924="✓",1,0)</f>
        <v/>
      </c>
      <c r="O4924" s="93">
        <f>N(O4923)+IF(AND(B4924&lt;&gt;"",B4924&gt;='Uang Riba'!$H$30,B4924&lt;='Uang Riba'!$I$30,OR(H4924="Dana riba",H4924="Pinjam uang riba",I4924="Pinjam dari uang riba",I4924="Ganti uang riba",I4924="Kelebihan ganti dikembalikan",AND(C4924="Kantong Uang Riba",G4924="Pengeluaran"))),1,0)</f>
        <v/>
      </c>
      <c r="X4924" s="93">
        <f>IF(AND(B4924&lt;&gt;"",B4924&gt;='Buku Akun'!$H$4,B4924&lt;='Buku Akun'!$H$5,OR(C4924='Buku Akun'!$C$4,AND(D4924="Pindah",E4924='Buku Akun'!$C$4))),B4924+IF(AND(I4924="Selisih bunga",DAY(B4924)=1),0,0.01)+ROW()/10000000,"")</f>
        <v/>
      </c>
    </row>
    <row r="4925" outlineLevel="1" ht="15" customHeight="1" s="94">
      <c r="A4925" s="123">
        <f>IF(B4925="","",ROW()-15)</f>
        <v/>
      </c>
      <c r="B4925" s="124" t="n"/>
      <c r="C4925" s="123" t="n"/>
      <c r="D4925" s="123" t="n"/>
      <c r="E4925" s="123" t="n"/>
      <c r="F4925" s="125" t="n"/>
      <c r="G4925" s="123" t="n"/>
      <c r="H4925" s="123" t="n"/>
      <c r="I4925" s="123" t="n"/>
      <c r="J4925" s="123" t="n"/>
      <c r="K4925" s="123" t="n"/>
      <c r="L4925" s="123" t="n"/>
      <c r="M4925" s="123">
        <f>IF(AND(B4925&lt;&gt;"",OR($C$4="",ISNUMBER(SEARCH($C$4,C4925&amp;" "&amp;E4925&amp;" "&amp;G4925&amp;" "&amp;H4925&amp;" "&amp;I4925&amp;" "&amp;J4925&amp;" "&amp;K4925&amp;" "&amp;L4925))),OR($C$5="Semua",$C$5="",G4925=$C$5),OR($C$6="Semua",$C$6="",H4925=$C$6,H4925="Pengeluaran "&amp;$C$6,AND($C$6="Uang Kos Mama",H4925="Pengeluaran Uang Kos")),OR($C$7="Semua",$C$7="",I4925=$C$7),OR($C$8="Semua",$C$8="",C4925=$C$8,E4925=$C$8),OR($C$9="Semua",$C$9="",D4925=$C$9),OR($C$10="",B4925&gt;=$C$10),OR($C$11="",B4925&lt;=$C$11),OR($C$12&lt;&gt;"Ya",K4925&lt;&gt;""),OR($C$13="Semua",$C$13="",L4925=$C$13)),"✓","")</f>
        <v/>
      </c>
      <c r="N4925" s="93">
        <f>N(N4924)+IF(M4925="✓",1,0)</f>
        <v/>
      </c>
      <c r="O4925" s="93">
        <f>N(O4924)+IF(AND(B4925&lt;&gt;"",B4925&gt;='Uang Riba'!$H$30,B4925&lt;='Uang Riba'!$I$30,OR(H4925="Dana riba",H4925="Pinjam uang riba",I4925="Pinjam dari uang riba",I4925="Ganti uang riba",I4925="Kelebihan ganti dikembalikan",AND(C4925="Kantong Uang Riba",G4925="Pengeluaran"))),1,0)</f>
        <v/>
      </c>
      <c r="X4925" s="93">
        <f>IF(AND(B4925&lt;&gt;"",B4925&gt;='Buku Akun'!$H$4,B4925&lt;='Buku Akun'!$H$5,OR(C4925='Buku Akun'!$C$4,AND(D4925="Pindah",E4925='Buku Akun'!$C$4))),B4925+IF(AND(I4925="Selisih bunga",DAY(B4925)=1),0,0.01)+ROW()/10000000,"")</f>
        <v/>
      </c>
    </row>
    <row r="4926" outlineLevel="1" ht="15" customHeight="1" s="94">
      <c r="A4926" s="123">
        <f>IF(B4926="","",ROW()-15)</f>
        <v/>
      </c>
      <c r="B4926" s="124" t="n"/>
      <c r="C4926" s="123" t="n"/>
      <c r="D4926" s="123" t="n"/>
      <c r="E4926" s="123" t="n"/>
      <c r="F4926" s="125" t="n"/>
      <c r="G4926" s="123" t="n"/>
      <c r="H4926" s="123" t="n"/>
      <c r="I4926" s="123" t="n"/>
      <c r="J4926" s="123" t="n"/>
      <c r="K4926" s="123" t="n"/>
      <c r="L4926" s="123" t="n"/>
      <c r="M4926" s="123">
        <f>IF(AND(B4926&lt;&gt;"",OR($C$4="",ISNUMBER(SEARCH($C$4,C4926&amp;" "&amp;E4926&amp;" "&amp;G4926&amp;" "&amp;H4926&amp;" "&amp;I4926&amp;" "&amp;J4926&amp;" "&amp;K4926&amp;" "&amp;L4926))),OR($C$5="Semua",$C$5="",G4926=$C$5),OR($C$6="Semua",$C$6="",H4926=$C$6,H4926="Pengeluaran "&amp;$C$6,AND($C$6="Uang Kos Mama",H4926="Pengeluaran Uang Kos")),OR($C$7="Semua",$C$7="",I4926=$C$7),OR($C$8="Semua",$C$8="",C4926=$C$8,E4926=$C$8),OR($C$9="Semua",$C$9="",D4926=$C$9),OR($C$10="",B4926&gt;=$C$10),OR($C$11="",B4926&lt;=$C$11),OR($C$12&lt;&gt;"Ya",K4926&lt;&gt;""),OR($C$13="Semua",$C$13="",L4926=$C$13)),"✓","")</f>
        <v/>
      </c>
      <c r="N4926" s="93">
        <f>N(N4925)+IF(M4926="✓",1,0)</f>
        <v/>
      </c>
      <c r="O4926" s="93">
        <f>N(O4925)+IF(AND(B4926&lt;&gt;"",B4926&gt;='Uang Riba'!$H$30,B4926&lt;='Uang Riba'!$I$30,OR(H4926="Dana riba",H4926="Pinjam uang riba",I4926="Pinjam dari uang riba",I4926="Ganti uang riba",I4926="Kelebihan ganti dikembalikan",AND(C4926="Kantong Uang Riba",G4926="Pengeluaran"))),1,0)</f>
        <v/>
      </c>
      <c r="X4926" s="93">
        <f>IF(AND(B4926&lt;&gt;"",B4926&gt;='Buku Akun'!$H$4,B4926&lt;='Buku Akun'!$H$5,OR(C4926='Buku Akun'!$C$4,AND(D4926="Pindah",E4926='Buku Akun'!$C$4))),B4926+IF(AND(I4926="Selisih bunga",DAY(B4926)=1),0,0.01)+ROW()/10000000,"")</f>
        <v/>
      </c>
    </row>
    <row r="4927" outlineLevel="1" ht="15" customHeight="1" s="94">
      <c r="A4927" s="123">
        <f>IF(B4927="","",ROW()-15)</f>
        <v/>
      </c>
      <c r="B4927" s="124" t="n"/>
      <c r="C4927" s="123" t="n"/>
      <c r="D4927" s="123" t="n"/>
      <c r="E4927" s="123" t="n"/>
      <c r="F4927" s="125" t="n"/>
      <c r="G4927" s="123" t="n"/>
      <c r="H4927" s="123" t="n"/>
      <c r="I4927" s="123" t="n"/>
      <c r="J4927" s="123" t="n"/>
      <c r="K4927" s="123" t="n"/>
      <c r="L4927" s="123" t="n"/>
      <c r="M4927" s="123">
        <f>IF(AND(B4927&lt;&gt;"",OR($C$4="",ISNUMBER(SEARCH($C$4,C4927&amp;" "&amp;E4927&amp;" "&amp;G4927&amp;" "&amp;H4927&amp;" "&amp;I4927&amp;" "&amp;J4927&amp;" "&amp;K4927&amp;" "&amp;L4927))),OR($C$5="Semua",$C$5="",G4927=$C$5),OR($C$6="Semua",$C$6="",H4927=$C$6,H4927="Pengeluaran "&amp;$C$6,AND($C$6="Uang Kos Mama",H4927="Pengeluaran Uang Kos")),OR($C$7="Semua",$C$7="",I4927=$C$7),OR($C$8="Semua",$C$8="",C4927=$C$8,E4927=$C$8),OR($C$9="Semua",$C$9="",D4927=$C$9),OR($C$10="",B4927&gt;=$C$10),OR($C$11="",B4927&lt;=$C$11),OR($C$12&lt;&gt;"Ya",K4927&lt;&gt;""),OR($C$13="Semua",$C$13="",L4927=$C$13)),"✓","")</f>
        <v/>
      </c>
      <c r="N4927" s="93">
        <f>N(N4926)+IF(M4927="✓",1,0)</f>
        <v/>
      </c>
      <c r="O4927" s="93">
        <f>N(O4926)+IF(AND(B4927&lt;&gt;"",B4927&gt;='Uang Riba'!$H$30,B4927&lt;='Uang Riba'!$I$30,OR(H4927="Dana riba",H4927="Pinjam uang riba",I4927="Pinjam dari uang riba",I4927="Ganti uang riba",I4927="Kelebihan ganti dikembalikan",AND(C4927="Kantong Uang Riba",G4927="Pengeluaran"))),1,0)</f>
        <v/>
      </c>
      <c r="X4927" s="93">
        <f>IF(AND(B4927&lt;&gt;"",B4927&gt;='Buku Akun'!$H$4,B4927&lt;='Buku Akun'!$H$5,OR(C4927='Buku Akun'!$C$4,AND(D4927="Pindah",E4927='Buku Akun'!$C$4))),B4927+IF(AND(I4927="Selisih bunga",DAY(B4927)=1),0,0.01)+ROW()/10000000,"")</f>
        <v/>
      </c>
    </row>
    <row r="4928" outlineLevel="1" ht="15" customHeight="1" s="94">
      <c r="A4928" s="123">
        <f>IF(B4928="","",ROW()-15)</f>
        <v/>
      </c>
      <c r="B4928" s="124" t="n"/>
      <c r="C4928" s="123" t="n"/>
      <c r="D4928" s="123" t="n"/>
      <c r="E4928" s="123" t="n"/>
      <c r="F4928" s="125" t="n"/>
      <c r="G4928" s="123" t="n"/>
      <c r="H4928" s="123" t="n"/>
      <c r="I4928" s="123" t="n"/>
      <c r="J4928" s="123" t="n"/>
      <c r="K4928" s="123" t="n"/>
      <c r="L4928" s="123" t="n"/>
      <c r="M4928" s="123">
        <f>IF(AND(B4928&lt;&gt;"",OR($C$4="",ISNUMBER(SEARCH($C$4,C4928&amp;" "&amp;E4928&amp;" "&amp;G4928&amp;" "&amp;H4928&amp;" "&amp;I4928&amp;" "&amp;J4928&amp;" "&amp;K4928&amp;" "&amp;L4928))),OR($C$5="Semua",$C$5="",G4928=$C$5),OR($C$6="Semua",$C$6="",H4928=$C$6,H4928="Pengeluaran "&amp;$C$6,AND($C$6="Uang Kos Mama",H4928="Pengeluaran Uang Kos")),OR($C$7="Semua",$C$7="",I4928=$C$7),OR($C$8="Semua",$C$8="",C4928=$C$8,E4928=$C$8),OR($C$9="Semua",$C$9="",D4928=$C$9),OR($C$10="",B4928&gt;=$C$10),OR($C$11="",B4928&lt;=$C$11),OR($C$12&lt;&gt;"Ya",K4928&lt;&gt;""),OR($C$13="Semua",$C$13="",L4928=$C$13)),"✓","")</f>
        <v/>
      </c>
      <c r="N4928" s="93">
        <f>N(N4927)+IF(M4928="✓",1,0)</f>
        <v/>
      </c>
      <c r="O4928" s="93">
        <f>N(O4927)+IF(AND(B4928&lt;&gt;"",B4928&gt;='Uang Riba'!$H$30,B4928&lt;='Uang Riba'!$I$30,OR(H4928="Dana riba",H4928="Pinjam uang riba",I4928="Pinjam dari uang riba",I4928="Ganti uang riba",I4928="Kelebihan ganti dikembalikan",AND(C4928="Kantong Uang Riba",G4928="Pengeluaran"))),1,0)</f>
        <v/>
      </c>
      <c r="X4928" s="93">
        <f>IF(AND(B4928&lt;&gt;"",B4928&gt;='Buku Akun'!$H$4,B4928&lt;='Buku Akun'!$H$5,OR(C4928='Buku Akun'!$C$4,AND(D4928="Pindah",E4928='Buku Akun'!$C$4))),B4928+IF(AND(I4928="Selisih bunga",DAY(B4928)=1),0,0.01)+ROW()/10000000,"")</f>
        <v/>
      </c>
    </row>
    <row r="4929" outlineLevel="1" ht="15" customHeight="1" s="94">
      <c r="A4929" s="123">
        <f>IF(B4929="","",ROW()-15)</f>
        <v/>
      </c>
      <c r="B4929" s="124" t="n"/>
      <c r="C4929" s="123" t="n"/>
      <c r="D4929" s="123" t="n"/>
      <c r="E4929" s="123" t="n"/>
      <c r="F4929" s="125" t="n"/>
      <c r="G4929" s="123" t="n"/>
      <c r="H4929" s="123" t="n"/>
      <c r="I4929" s="123" t="n"/>
      <c r="J4929" s="123" t="n"/>
      <c r="K4929" s="123" t="n"/>
      <c r="L4929" s="123" t="n"/>
      <c r="M4929" s="123">
        <f>IF(AND(B4929&lt;&gt;"",OR($C$4="",ISNUMBER(SEARCH($C$4,C4929&amp;" "&amp;E4929&amp;" "&amp;G4929&amp;" "&amp;H4929&amp;" "&amp;I4929&amp;" "&amp;J4929&amp;" "&amp;K4929&amp;" "&amp;L4929))),OR($C$5="Semua",$C$5="",G4929=$C$5),OR($C$6="Semua",$C$6="",H4929=$C$6,H4929="Pengeluaran "&amp;$C$6,AND($C$6="Uang Kos Mama",H4929="Pengeluaran Uang Kos")),OR($C$7="Semua",$C$7="",I4929=$C$7),OR($C$8="Semua",$C$8="",C4929=$C$8,E4929=$C$8),OR($C$9="Semua",$C$9="",D4929=$C$9),OR($C$10="",B4929&gt;=$C$10),OR($C$11="",B4929&lt;=$C$11),OR($C$12&lt;&gt;"Ya",K4929&lt;&gt;""),OR($C$13="Semua",$C$13="",L4929=$C$13)),"✓","")</f>
        <v/>
      </c>
      <c r="N4929" s="93">
        <f>N(N4928)+IF(M4929="✓",1,0)</f>
        <v/>
      </c>
      <c r="O4929" s="93">
        <f>N(O4928)+IF(AND(B4929&lt;&gt;"",B4929&gt;='Uang Riba'!$H$30,B4929&lt;='Uang Riba'!$I$30,OR(H4929="Dana riba",H4929="Pinjam uang riba",I4929="Pinjam dari uang riba",I4929="Ganti uang riba",I4929="Kelebihan ganti dikembalikan",AND(C4929="Kantong Uang Riba",G4929="Pengeluaran"))),1,0)</f>
        <v/>
      </c>
      <c r="X4929" s="93">
        <f>IF(AND(B4929&lt;&gt;"",B4929&gt;='Buku Akun'!$H$4,B4929&lt;='Buku Akun'!$H$5,OR(C4929='Buku Akun'!$C$4,AND(D4929="Pindah",E4929='Buku Akun'!$C$4))),B4929+IF(AND(I4929="Selisih bunga",DAY(B4929)=1),0,0.01)+ROW()/10000000,"")</f>
        <v/>
      </c>
    </row>
    <row r="4930" outlineLevel="1" ht="15" customHeight="1" s="94">
      <c r="A4930" s="123">
        <f>IF(B4930="","",ROW()-15)</f>
        <v/>
      </c>
      <c r="B4930" s="124" t="n"/>
      <c r="C4930" s="123" t="n"/>
      <c r="D4930" s="123" t="n"/>
      <c r="E4930" s="123" t="n"/>
      <c r="F4930" s="125" t="n"/>
      <c r="G4930" s="123" t="n"/>
      <c r="H4930" s="123" t="n"/>
      <c r="I4930" s="123" t="n"/>
      <c r="J4930" s="123" t="n"/>
      <c r="K4930" s="123" t="n"/>
      <c r="L4930" s="123" t="n"/>
      <c r="M4930" s="123">
        <f>IF(AND(B4930&lt;&gt;"",OR($C$4="",ISNUMBER(SEARCH($C$4,C4930&amp;" "&amp;E4930&amp;" "&amp;G4930&amp;" "&amp;H4930&amp;" "&amp;I4930&amp;" "&amp;J4930&amp;" "&amp;K4930&amp;" "&amp;L4930))),OR($C$5="Semua",$C$5="",G4930=$C$5),OR($C$6="Semua",$C$6="",H4930=$C$6,H4930="Pengeluaran "&amp;$C$6,AND($C$6="Uang Kos Mama",H4930="Pengeluaran Uang Kos")),OR($C$7="Semua",$C$7="",I4930=$C$7),OR($C$8="Semua",$C$8="",C4930=$C$8,E4930=$C$8),OR($C$9="Semua",$C$9="",D4930=$C$9),OR($C$10="",B4930&gt;=$C$10),OR($C$11="",B4930&lt;=$C$11),OR($C$12&lt;&gt;"Ya",K4930&lt;&gt;""),OR($C$13="Semua",$C$13="",L4930=$C$13)),"✓","")</f>
        <v/>
      </c>
      <c r="N4930" s="93">
        <f>N(N4929)+IF(M4930="✓",1,0)</f>
        <v/>
      </c>
      <c r="O4930" s="93">
        <f>N(O4929)+IF(AND(B4930&lt;&gt;"",B4930&gt;='Uang Riba'!$H$30,B4930&lt;='Uang Riba'!$I$30,OR(H4930="Dana riba",H4930="Pinjam uang riba",I4930="Pinjam dari uang riba",I4930="Ganti uang riba",I4930="Kelebihan ganti dikembalikan",AND(C4930="Kantong Uang Riba",G4930="Pengeluaran"))),1,0)</f>
        <v/>
      </c>
      <c r="X4930" s="93">
        <f>IF(AND(B4930&lt;&gt;"",B4930&gt;='Buku Akun'!$H$4,B4930&lt;='Buku Akun'!$H$5,OR(C4930='Buku Akun'!$C$4,AND(D4930="Pindah",E4930='Buku Akun'!$C$4))),B4930+IF(AND(I4930="Selisih bunga",DAY(B4930)=1),0,0.01)+ROW()/10000000,"")</f>
        <v/>
      </c>
    </row>
    <row r="4931" outlineLevel="1" ht="15" customHeight="1" s="94">
      <c r="A4931" s="123">
        <f>IF(B4931="","",ROW()-15)</f>
        <v/>
      </c>
      <c r="B4931" s="124" t="n"/>
      <c r="C4931" s="123" t="n"/>
      <c r="D4931" s="123" t="n"/>
      <c r="E4931" s="123" t="n"/>
      <c r="F4931" s="125" t="n"/>
      <c r="G4931" s="123" t="n"/>
      <c r="H4931" s="123" t="n"/>
      <c r="I4931" s="123" t="n"/>
      <c r="J4931" s="123" t="n"/>
      <c r="K4931" s="123" t="n"/>
      <c r="L4931" s="123" t="n"/>
      <c r="M4931" s="123">
        <f>IF(AND(B4931&lt;&gt;"",OR($C$4="",ISNUMBER(SEARCH($C$4,C4931&amp;" "&amp;E4931&amp;" "&amp;G4931&amp;" "&amp;H4931&amp;" "&amp;I4931&amp;" "&amp;J4931&amp;" "&amp;K4931&amp;" "&amp;L4931))),OR($C$5="Semua",$C$5="",G4931=$C$5),OR($C$6="Semua",$C$6="",H4931=$C$6,H4931="Pengeluaran "&amp;$C$6,AND($C$6="Uang Kos Mama",H4931="Pengeluaran Uang Kos")),OR($C$7="Semua",$C$7="",I4931=$C$7),OR($C$8="Semua",$C$8="",C4931=$C$8,E4931=$C$8),OR($C$9="Semua",$C$9="",D4931=$C$9),OR($C$10="",B4931&gt;=$C$10),OR($C$11="",B4931&lt;=$C$11),OR($C$12&lt;&gt;"Ya",K4931&lt;&gt;""),OR($C$13="Semua",$C$13="",L4931=$C$13)),"✓","")</f>
        <v/>
      </c>
      <c r="N4931" s="93">
        <f>N(N4930)+IF(M4931="✓",1,0)</f>
        <v/>
      </c>
      <c r="O4931" s="93">
        <f>N(O4930)+IF(AND(B4931&lt;&gt;"",B4931&gt;='Uang Riba'!$H$30,B4931&lt;='Uang Riba'!$I$30,OR(H4931="Dana riba",H4931="Pinjam uang riba",I4931="Pinjam dari uang riba",I4931="Ganti uang riba",I4931="Kelebihan ganti dikembalikan",AND(C4931="Kantong Uang Riba",G4931="Pengeluaran"))),1,0)</f>
        <v/>
      </c>
      <c r="X4931" s="93">
        <f>IF(AND(B4931&lt;&gt;"",B4931&gt;='Buku Akun'!$H$4,B4931&lt;='Buku Akun'!$H$5,OR(C4931='Buku Akun'!$C$4,AND(D4931="Pindah",E4931='Buku Akun'!$C$4))),B4931+IF(AND(I4931="Selisih bunga",DAY(B4931)=1),0,0.01)+ROW()/10000000,"")</f>
        <v/>
      </c>
    </row>
    <row r="4932" outlineLevel="1" ht="15" customHeight="1" s="94">
      <c r="A4932" s="123">
        <f>IF(B4932="","",ROW()-15)</f>
        <v/>
      </c>
      <c r="B4932" s="124" t="n"/>
      <c r="C4932" s="123" t="n"/>
      <c r="D4932" s="123" t="n"/>
      <c r="E4932" s="123" t="n"/>
      <c r="F4932" s="125" t="n"/>
      <c r="G4932" s="123" t="n"/>
      <c r="H4932" s="123" t="n"/>
      <c r="I4932" s="123" t="n"/>
      <c r="J4932" s="123" t="n"/>
      <c r="K4932" s="123" t="n"/>
      <c r="L4932" s="123" t="n"/>
      <c r="M4932" s="123">
        <f>IF(AND(B4932&lt;&gt;"",OR($C$4="",ISNUMBER(SEARCH($C$4,C4932&amp;" "&amp;E4932&amp;" "&amp;G4932&amp;" "&amp;H4932&amp;" "&amp;I4932&amp;" "&amp;J4932&amp;" "&amp;K4932&amp;" "&amp;L4932))),OR($C$5="Semua",$C$5="",G4932=$C$5),OR($C$6="Semua",$C$6="",H4932=$C$6,H4932="Pengeluaran "&amp;$C$6,AND($C$6="Uang Kos Mama",H4932="Pengeluaran Uang Kos")),OR($C$7="Semua",$C$7="",I4932=$C$7),OR($C$8="Semua",$C$8="",C4932=$C$8,E4932=$C$8),OR($C$9="Semua",$C$9="",D4932=$C$9),OR($C$10="",B4932&gt;=$C$10),OR($C$11="",B4932&lt;=$C$11),OR($C$12&lt;&gt;"Ya",K4932&lt;&gt;""),OR($C$13="Semua",$C$13="",L4932=$C$13)),"✓","")</f>
        <v/>
      </c>
      <c r="N4932" s="93">
        <f>N(N4931)+IF(M4932="✓",1,0)</f>
        <v/>
      </c>
      <c r="O4932" s="93">
        <f>N(O4931)+IF(AND(B4932&lt;&gt;"",B4932&gt;='Uang Riba'!$H$30,B4932&lt;='Uang Riba'!$I$30,OR(H4932="Dana riba",H4932="Pinjam uang riba",I4932="Pinjam dari uang riba",I4932="Ganti uang riba",I4932="Kelebihan ganti dikembalikan",AND(C4932="Kantong Uang Riba",G4932="Pengeluaran"))),1,0)</f>
        <v/>
      </c>
      <c r="X4932" s="93">
        <f>IF(AND(B4932&lt;&gt;"",B4932&gt;='Buku Akun'!$H$4,B4932&lt;='Buku Akun'!$H$5,OR(C4932='Buku Akun'!$C$4,AND(D4932="Pindah",E4932='Buku Akun'!$C$4))),B4932+IF(AND(I4932="Selisih bunga",DAY(B4932)=1),0,0.01)+ROW()/10000000,"")</f>
        <v/>
      </c>
    </row>
    <row r="4933" outlineLevel="1" ht="15" customHeight="1" s="94">
      <c r="A4933" s="123">
        <f>IF(B4933="","",ROW()-15)</f>
        <v/>
      </c>
      <c r="B4933" s="124" t="n"/>
      <c r="C4933" s="123" t="n"/>
      <c r="D4933" s="123" t="n"/>
      <c r="E4933" s="123" t="n"/>
      <c r="F4933" s="125" t="n"/>
      <c r="G4933" s="123" t="n"/>
      <c r="H4933" s="123" t="n"/>
      <c r="I4933" s="123" t="n"/>
      <c r="J4933" s="123" t="n"/>
      <c r="K4933" s="123" t="n"/>
      <c r="L4933" s="123" t="n"/>
      <c r="M4933" s="123">
        <f>IF(AND(B4933&lt;&gt;"",OR($C$4="",ISNUMBER(SEARCH($C$4,C4933&amp;" "&amp;E4933&amp;" "&amp;G4933&amp;" "&amp;H4933&amp;" "&amp;I4933&amp;" "&amp;J4933&amp;" "&amp;K4933&amp;" "&amp;L4933))),OR($C$5="Semua",$C$5="",G4933=$C$5),OR($C$6="Semua",$C$6="",H4933=$C$6,H4933="Pengeluaran "&amp;$C$6,AND($C$6="Uang Kos Mama",H4933="Pengeluaran Uang Kos")),OR($C$7="Semua",$C$7="",I4933=$C$7),OR($C$8="Semua",$C$8="",C4933=$C$8,E4933=$C$8),OR($C$9="Semua",$C$9="",D4933=$C$9),OR($C$10="",B4933&gt;=$C$10),OR($C$11="",B4933&lt;=$C$11),OR($C$12&lt;&gt;"Ya",K4933&lt;&gt;""),OR($C$13="Semua",$C$13="",L4933=$C$13)),"✓","")</f>
        <v/>
      </c>
      <c r="N4933" s="93">
        <f>N(N4932)+IF(M4933="✓",1,0)</f>
        <v/>
      </c>
      <c r="O4933" s="93">
        <f>N(O4932)+IF(AND(B4933&lt;&gt;"",B4933&gt;='Uang Riba'!$H$30,B4933&lt;='Uang Riba'!$I$30,OR(H4933="Dana riba",H4933="Pinjam uang riba",I4933="Pinjam dari uang riba",I4933="Ganti uang riba",I4933="Kelebihan ganti dikembalikan",AND(C4933="Kantong Uang Riba",G4933="Pengeluaran"))),1,0)</f>
        <v/>
      </c>
      <c r="X4933" s="93">
        <f>IF(AND(B4933&lt;&gt;"",B4933&gt;='Buku Akun'!$H$4,B4933&lt;='Buku Akun'!$H$5,OR(C4933='Buku Akun'!$C$4,AND(D4933="Pindah",E4933='Buku Akun'!$C$4))),B4933+IF(AND(I4933="Selisih bunga",DAY(B4933)=1),0,0.01)+ROW()/10000000,"")</f>
        <v/>
      </c>
    </row>
    <row r="4934" outlineLevel="1" ht="15" customHeight="1" s="94">
      <c r="A4934" s="123">
        <f>IF(B4934="","",ROW()-15)</f>
        <v/>
      </c>
      <c r="B4934" s="124" t="n"/>
      <c r="C4934" s="123" t="n"/>
      <c r="D4934" s="123" t="n"/>
      <c r="E4934" s="123" t="n"/>
      <c r="F4934" s="125" t="n"/>
      <c r="G4934" s="123" t="n"/>
      <c r="H4934" s="123" t="n"/>
      <c r="I4934" s="123" t="n"/>
      <c r="J4934" s="123" t="n"/>
      <c r="K4934" s="123" t="n"/>
      <c r="L4934" s="123" t="n"/>
      <c r="M4934" s="123">
        <f>IF(AND(B4934&lt;&gt;"",OR($C$4="",ISNUMBER(SEARCH($C$4,C4934&amp;" "&amp;E4934&amp;" "&amp;G4934&amp;" "&amp;H4934&amp;" "&amp;I4934&amp;" "&amp;J4934&amp;" "&amp;K4934&amp;" "&amp;L4934))),OR($C$5="Semua",$C$5="",G4934=$C$5),OR($C$6="Semua",$C$6="",H4934=$C$6,H4934="Pengeluaran "&amp;$C$6,AND($C$6="Uang Kos Mama",H4934="Pengeluaran Uang Kos")),OR($C$7="Semua",$C$7="",I4934=$C$7),OR($C$8="Semua",$C$8="",C4934=$C$8,E4934=$C$8),OR($C$9="Semua",$C$9="",D4934=$C$9),OR($C$10="",B4934&gt;=$C$10),OR($C$11="",B4934&lt;=$C$11),OR($C$12&lt;&gt;"Ya",K4934&lt;&gt;""),OR($C$13="Semua",$C$13="",L4934=$C$13)),"✓","")</f>
        <v/>
      </c>
      <c r="N4934" s="93">
        <f>N(N4933)+IF(M4934="✓",1,0)</f>
        <v/>
      </c>
      <c r="O4934" s="93">
        <f>N(O4933)+IF(AND(B4934&lt;&gt;"",B4934&gt;='Uang Riba'!$H$30,B4934&lt;='Uang Riba'!$I$30,OR(H4934="Dana riba",H4934="Pinjam uang riba",I4934="Pinjam dari uang riba",I4934="Ganti uang riba",I4934="Kelebihan ganti dikembalikan",AND(C4934="Kantong Uang Riba",G4934="Pengeluaran"))),1,0)</f>
        <v/>
      </c>
      <c r="X4934" s="93">
        <f>IF(AND(B4934&lt;&gt;"",B4934&gt;='Buku Akun'!$H$4,B4934&lt;='Buku Akun'!$H$5,OR(C4934='Buku Akun'!$C$4,AND(D4934="Pindah",E4934='Buku Akun'!$C$4))),B4934+IF(AND(I4934="Selisih bunga",DAY(B4934)=1),0,0.01)+ROW()/10000000,"")</f>
        <v/>
      </c>
    </row>
    <row r="4935" outlineLevel="1" ht="15" customHeight="1" s="94">
      <c r="A4935" s="123">
        <f>IF(B4935="","",ROW()-15)</f>
        <v/>
      </c>
      <c r="B4935" s="124" t="n"/>
      <c r="C4935" s="123" t="n"/>
      <c r="D4935" s="123" t="n"/>
      <c r="E4935" s="123" t="n"/>
      <c r="F4935" s="125" t="n"/>
      <c r="G4935" s="123" t="n"/>
      <c r="H4935" s="123" t="n"/>
      <c r="I4935" s="123" t="n"/>
      <c r="J4935" s="123" t="n"/>
      <c r="K4935" s="123" t="n"/>
      <c r="L4935" s="123" t="n"/>
      <c r="M4935" s="123">
        <f>IF(AND(B4935&lt;&gt;"",OR($C$4="",ISNUMBER(SEARCH($C$4,C4935&amp;" "&amp;E4935&amp;" "&amp;G4935&amp;" "&amp;H4935&amp;" "&amp;I4935&amp;" "&amp;J4935&amp;" "&amp;K4935&amp;" "&amp;L4935))),OR($C$5="Semua",$C$5="",G4935=$C$5),OR($C$6="Semua",$C$6="",H4935=$C$6,H4935="Pengeluaran "&amp;$C$6,AND($C$6="Uang Kos Mama",H4935="Pengeluaran Uang Kos")),OR($C$7="Semua",$C$7="",I4935=$C$7),OR($C$8="Semua",$C$8="",C4935=$C$8,E4935=$C$8),OR($C$9="Semua",$C$9="",D4935=$C$9),OR($C$10="",B4935&gt;=$C$10),OR($C$11="",B4935&lt;=$C$11),OR($C$12&lt;&gt;"Ya",K4935&lt;&gt;""),OR($C$13="Semua",$C$13="",L4935=$C$13)),"✓","")</f>
        <v/>
      </c>
      <c r="N4935" s="93">
        <f>N(N4934)+IF(M4935="✓",1,0)</f>
        <v/>
      </c>
      <c r="O4935" s="93">
        <f>N(O4934)+IF(AND(B4935&lt;&gt;"",B4935&gt;='Uang Riba'!$H$30,B4935&lt;='Uang Riba'!$I$30,OR(H4935="Dana riba",H4935="Pinjam uang riba",I4935="Pinjam dari uang riba",I4935="Ganti uang riba",I4935="Kelebihan ganti dikembalikan",AND(C4935="Kantong Uang Riba",G4935="Pengeluaran"))),1,0)</f>
        <v/>
      </c>
      <c r="X4935" s="93">
        <f>IF(AND(B4935&lt;&gt;"",B4935&gt;='Buku Akun'!$H$4,B4935&lt;='Buku Akun'!$H$5,OR(C4935='Buku Akun'!$C$4,AND(D4935="Pindah",E4935='Buku Akun'!$C$4))),B4935+IF(AND(I4935="Selisih bunga",DAY(B4935)=1),0,0.01)+ROW()/10000000,"")</f>
        <v/>
      </c>
    </row>
    <row r="4936" outlineLevel="1" ht="15" customHeight="1" s="94">
      <c r="A4936" s="123">
        <f>IF(B4936="","",ROW()-15)</f>
        <v/>
      </c>
      <c r="B4936" s="124" t="n"/>
      <c r="C4936" s="123" t="n"/>
      <c r="D4936" s="123" t="n"/>
      <c r="E4936" s="123" t="n"/>
      <c r="F4936" s="125" t="n"/>
      <c r="G4936" s="123" t="n"/>
      <c r="H4936" s="123" t="n"/>
      <c r="I4936" s="123" t="n"/>
      <c r="J4936" s="123" t="n"/>
      <c r="K4936" s="123" t="n"/>
      <c r="L4936" s="123" t="n"/>
      <c r="M4936" s="123">
        <f>IF(AND(B4936&lt;&gt;"",OR($C$4="",ISNUMBER(SEARCH($C$4,C4936&amp;" "&amp;E4936&amp;" "&amp;G4936&amp;" "&amp;H4936&amp;" "&amp;I4936&amp;" "&amp;J4936&amp;" "&amp;K4936&amp;" "&amp;L4936))),OR($C$5="Semua",$C$5="",G4936=$C$5),OR($C$6="Semua",$C$6="",H4936=$C$6,H4936="Pengeluaran "&amp;$C$6,AND($C$6="Uang Kos Mama",H4936="Pengeluaran Uang Kos")),OR($C$7="Semua",$C$7="",I4936=$C$7),OR($C$8="Semua",$C$8="",C4936=$C$8,E4936=$C$8),OR($C$9="Semua",$C$9="",D4936=$C$9),OR($C$10="",B4936&gt;=$C$10),OR($C$11="",B4936&lt;=$C$11),OR($C$12&lt;&gt;"Ya",K4936&lt;&gt;""),OR($C$13="Semua",$C$13="",L4936=$C$13)),"✓","")</f>
        <v/>
      </c>
      <c r="N4936" s="93">
        <f>N(N4935)+IF(M4936="✓",1,0)</f>
        <v/>
      </c>
      <c r="O4936" s="93">
        <f>N(O4935)+IF(AND(B4936&lt;&gt;"",B4936&gt;='Uang Riba'!$H$30,B4936&lt;='Uang Riba'!$I$30,OR(H4936="Dana riba",H4936="Pinjam uang riba",I4936="Pinjam dari uang riba",I4936="Ganti uang riba",I4936="Kelebihan ganti dikembalikan",AND(C4936="Kantong Uang Riba",G4936="Pengeluaran"))),1,0)</f>
        <v/>
      </c>
      <c r="X4936" s="93">
        <f>IF(AND(B4936&lt;&gt;"",B4936&gt;='Buku Akun'!$H$4,B4936&lt;='Buku Akun'!$H$5,OR(C4936='Buku Akun'!$C$4,AND(D4936="Pindah",E4936='Buku Akun'!$C$4))),B4936+IF(AND(I4936="Selisih bunga",DAY(B4936)=1),0,0.01)+ROW()/10000000,"")</f>
        <v/>
      </c>
    </row>
    <row r="4937" outlineLevel="1" ht="15" customHeight="1" s="94">
      <c r="A4937" s="123">
        <f>IF(B4937="","",ROW()-15)</f>
        <v/>
      </c>
      <c r="B4937" s="124" t="n"/>
      <c r="C4937" s="123" t="n"/>
      <c r="D4937" s="123" t="n"/>
      <c r="E4937" s="123" t="n"/>
      <c r="F4937" s="125" t="n"/>
      <c r="G4937" s="123" t="n"/>
      <c r="H4937" s="123" t="n"/>
      <c r="I4937" s="123" t="n"/>
      <c r="J4937" s="123" t="n"/>
      <c r="K4937" s="123" t="n"/>
      <c r="L4937" s="123" t="n"/>
      <c r="M4937" s="123">
        <f>IF(AND(B4937&lt;&gt;"",OR($C$4="",ISNUMBER(SEARCH($C$4,C4937&amp;" "&amp;E4937&amp;" "&amp;G4937&amp;" "&amp;H4937&amp;" "&amp;I4937&amp;" "&amp;J4937&amp;" "&amp;K4937&amp;" "&amp;L4937))),OR($C$5="Semua",$C$5="",G4937=$C$5),OR($C$6="Semua",$C$6="",H4937=$C$6,H4937="Pengeluaran "&amp;$C$6,AND($C$6="Uang Kos Mama",H4937="Pengeluaran Uang Kos")),OR($C$7="Semua",$C$7="",I4937=$C$7),OR($C$8="Semua",$C$8="",C4937=$C$8,E4937=$C$8),OR($C$9="Semua",$C$9="",D4937=$C$9),OR($C$10="",B4937&gt;=$C$10),OR($C$11="",B4937&lt;=$C$11),OR($C$12&lt;&gt;"Ya",K4937&lt;&gt;""),OR($C$13="Semua",$C$13="",L4937=$C$13)),"✓","")</f>
        <v/>
      </c>
      <c r="N4937" s="93">
        <f>N(N4936)+IF(M4937="✓",1,0)</f>
        <v/>
      </c>
      <c r="O4937" s="93">
        <f>N(O4936)+IF(AND(B4937&lt;&gt;"",B4937&gt;='Uang Riba'!$H$30,B4937&lt;='Uang Riba'!$I$30,OR(H4937="Dana riba",H4937="Pinjam uang riba",I4937="Pinjam dari uang riba",I4937="Ganti uang riba",I4937="Kelebihan ganti dikembalikan",AND(C4937="Kantong Uang Riba",G4937="Pengeluaran"))),1,0)</f>
        <v/>
      </c>
      <c r="X4937" s="93">
        <f>IF(AND(B4937&lt;&gt;"",B4937&gt;='Buku Akun'!$H$4,B4937&lt;='Buku Akun'!$H$5,OR(C4937='Buku Akun'!$C$4,AND(D4937="Pindah",E4937='Buku Akun'!$C$4))),B4937+IF(AND(I4937="Selisih bunga",DAY(B4937)=1),0,0.01)+ROW()/10000000,"")</f>
        <v/>
      </c>
    </row>
    <row r="4938" outlineLevel="1" ht="15" customHeight="1" s="94">
      <c r="A4938" s="123">
        <f>IF(B4938="","",ROW()-15)</f>
        <v/>
      </c>
      <c r="B4938" s="124" t="n"/>
      <c r="C4938" s="123" t="n"/>
      <c r="D4938" s="123" t="n"/>
      <c r="E4938" s="123" t="n"/>
      <c r="F4938" s="125" t="n"/>
      <c r="G4938" s="123" t="n"/>
      <c r="H4938" s="123" t="n"/>
      <c r="I4938" s="123" t="n"/>
      <c r="J4938" s="123" t="n"/>
      <c r="K4938" s="123" t="n"/>
      <c r="L4938" s="123" t="n"/>
      <c r="M4938" s="123">
        <f>IF(AND(B4938&lt;&gt;"",OR($C$4="",ISNUMBER(SEARCH($C$4,C4938&amp;" "&amp;E4938&amp;" "&amp;G4938&amp;" "&amp;H4938&amp;" "&amp;I4938&amp;" "&amp;J4938&amp;" "&amp;K4938&amp;" "&amp;L4938))),OR($C$5="Semua",$C$5="",G4938=$C$5),OR($C$6="Semua",$C$6="",H4938=$C$6,H4938="Pengeluaran "&amp;$C$6,AND($C$6="Uang Kos Mama",H4938="Pengeluaran Uang Kos")),OR($C$7="Semua",$C$7="",I4938=$C$7),OR($C$8="Semua",$C$8="",C4938=$C$8,E4938=$C$8),OR($C$9="Semua",$C$9="",D4938=$C$9),OR($C$10="",B4938&gt;=$C$10),OR($C$11="",B4938&lt;=$C$11),OR($C$12&lt;&gt;"Ya",K4938&lt;&gt;""),OR($C$13="Semua",$C$13="",L4938=$C$13)),"✓","")</f>
        <v/>
      </c>
      <c r="N4938" s="93">
        <f>N(N4937)+IF(M4938="✓",1,0)</f>
        <v/>
      </c>
      <c r="O4938" s="93">
        <f>N(O4937)+IF(AND(B4938&lt;&gt;"",B4938&gt;='Uang Riba'!$H$30,B4938&lt;='Uang Riba'!$I$30,OR(H4938="Dana riba",H4938="Pinjam uang riba",I4938="Pinjam dari uang riba",I4938="Ganti uang riba",I4938="Kelebihan ganti dikembalikan",AND(C4938="Kantong Uang Riba",G4938="Pengeluaran"))),1,0)</f>
        <v/>
      </c>
      <c r="X4938" s="93">
        <f>IF(AND(B4938&lt;&gt;"",B4938&gt;='Buku Akun'!$H$4,B4938&lt;='Buku Akun'!$H$5,OR(C4938='Buku Akun'!$C$4,AND(D4938="Pindah",E4938='Buku Akun'!$C$4))),B4938+IF(AND(I4938="Selisih bunga",DAY(B4938)=1),0,0.01)+ROW()/10000000,"")</f>
        <v/>
      </c>
    </row>
    <row r="4939" outlineLevel="1" ht="15" customHeight="1" s="94">
      <c r="A4939" s="123">
        <f>IF(B4939="","",ROW()-15)</f>
        <v/>
      </c>
      <c r="B4939" s="124" t="n"/>
      <c r="C4939" s="123" t="n"/>
      <c r="D4939" s="123" t="n"/>
      <c r="E4939" s="123" t="n"/>
      <c r="F4939" s="125" t="n"/>
      <c r="G4939" s="123" t="n"/>
      <c r="H4939" s="123" t="n"/>
      <c r="I4939" s="123" t="n"/>
      <c r="J4939" s="123" t="n"/>
      <c r="K4939" s="123" t="n"/>
      <c r="L4939" s="123" t="n"/>
      <c r="M4939" s="123">
        <f>IF(AND(B4939&lt;&gt;"",OR($C$4="",ISNUMBER(SEARCH($C$4,C4939&amp;" "&amp;E4939&amp;" "&amp;G4939&amp;" "&amp;H4939&amp;" "&amp;I4939&amp;" "&amp;J4939&amp;" "&amp;K4939&amp;" "&amp;L4939))),OR($C$5="Semua",$C$5="",G4939=$C$5),OR($C$6="Semua",$C$6="",H4939=$C$6,H4939="Pengeluaran "&amp;$C$6,AND($C$6="Uang Kos Mama",H4939="Pengeluaran Uang Kos")),OR($C$7="Semua",$C$7="",I4939=$C$7),OR($C$8="Semua",$C$8="",C4939=$C$8,E4939=$C$8),OR($C$9="Semua",$C$9="",D4939=$C$9),OR($C$10="",B4939&gt;=$C$10),OR($C$11="",B4939&lt;=$C$11),OR($C$12&lt;&gt;"Ya",K4939&lt;&gt;""),OR($C$13="Semua",$C$13="",L4939=$C$13)),"✓","")</f>
        <v/>
      </c>
      <c r="N4939" s="93">
        <f>N(N4938)+IF(M4939="✓",1,0)</f>
        <v/>
      </c>
      <c r="O4939" s="93">
        <f>N(O4938)+IF(AND(B4939&lt;&gt;"",B4939&gt;='Uang Riba'!$H$30,B4939&lt;='Uang Riba'!$I$30,OR(H4939="Dana riba",H4939="Pinjam uang riba",I4939="Pinjam dari uang riba",I4939="Ganti uang riba",I4939="Kelebihan ganti dikembalikan",AND(C4939="Kantong Uang Riba",G4939="Pengeluaran"))),1,0)</f>
        <v/>
      </c>
      <c r="X4939" s="93">
        <f>IF(AND(B4939&lt;&gt;"",B4939&gt;='Buku Akun'!$H$4,B4939&lt;='Buku Akun'!$H$5,OR(C4939='Buku Akun'!$C$4,AND(D4939="Pindah",E4939='Buku Akun'!$C$4))),B4939+IF(AND(I4939="Selisih bunga",DAY(B4939)=1),0,0.01)+ROW()/10000000,"")</f>
        <v/>
      </c>
    </row>
    <row r="4940" outlineLevel="1" ht="15" customHeight="1" s="94">
      <c r="A4940" s="123">
        <f>IF(B4940="","",ROW()-15)</f>
        <v/>
      </c>
      <c r="B4940" s="124" t="n"/>
      <c r="C4940" s="123" t="n"/>
      <c r="D4940" s="123" t="n"/>
      <c r="E4940" s="123" t="n"/>
      <c r="F4940" s="125" t="n"/>
      <c r="G4940" s="123" t="n"/>
      <c r="H4940" s="123" t="n"/>
      <c r="I4940" s="123" t="n"/>
      <c r="J4940" s="123" t="n"/>
      <c r="K4940" s="123" t="n"/>
      <c r="L4940" s="123" t="n"/>
      <c r="M4940" s="123">
        <f>IF(AND(B4940&lt;&gt;"",OR($C$4="",ISNUMBER(SEARCH($C$4,C4940&amp;" "&amp;E4940&amp;" "&amp;G4940&amp;" "&amp;H4940&amp;" "&amp;I4940&amp;" "&amp;J4940&amp;" "&amp;K4940&amp;" "&amp;L4940))),OR($C$5="Semua",$C$5="",G4940=$C$5),OR($C$6="Semua",$C$6="",H4940=$C$6,H4940="Pengeluaran "&amp;$C$6,AND($C$6="Uang Kos Mama",H4940="Pengeluaran Uang Kos")),OR($C$7="Semua",$C$7="",I4940=$C$7),OR($C$8="Semua",$C$8="",C4940=$C$8,E4940=$C$8),OR($C$9="Semua",$C$9="",D4940=$C$9),OR($C$10="",B4940&gt;=$C$10),OR($C$11="",B4940&lt;=$C$11),OR($C$12&lt;&gt;"Ya",K4940&lt;&gt;""),OR($C$13="Semua",$C$13="",L4940=$C$13)),"✓","")</f>
        <v/>
      </c>
      <c r="N4940" s="93">
        <f>N(N4939)+IF(M4940="✓",1,0)</f>
        <v/>
      </c>
      <c r="O4940" s="93">
        <f>N(O4939)+IF(AND(B4940&lt;&gt;"",B4940&gt;='Uang Riba'!$H$30,B4940&lt;='Uang Riba'!$I$30,OR(H4940="Dana riba",H4940="Pinjam uang riba",I4940="Pinjam dari uang riba",I4940="Ganti uang riba",I4940="Kelebihan ganti dikembalikan",AND(C4940="Kantong Uang Riba",G4940="Pengeluaran"))),1,0)</f>
        <v/>
      </c>
      <c r="X4940" s="93">
        <f>IF(AND(B4940&lt;&gt;"",B4940&gt;='Buku Akun'!$H$4,B4940&lt;='Buku Akun'!$H$5,OR(C4940='Buku Akun'!$C$4,AND(D4940="Pindah",E4940='Buku Akun'!$C$4))),B4940+IF(AND(I4940="Selisih bunga",DAY(B4940)=1),0,0.01)+ROW()/10000000,"")</f>
        <v/>
      </c>
    </row>
    <row r="4941" outlineLevel="1" ht="15" customHeight="1" s="94">
      <c r="A4941" s="123">
        <f>IF(B4941="","",ROW()-15)</f>
        <v/>
      </c>
      <c r="B4941" s="124" t="n"/>
      <c r="C4941" s="123" t="n"/>
      <c r="D4941" s="123" t="n"/>
      <c r="E4941" s="123" t="n"/>
      <c r="F4941" s="125" t="n"/>
      <c r="G4941" s="123" t="n"/>
      <c r="H4941" s="123" t="n"/>
      <c r="I4941" s="123" t="n"/>
      <c r="J4941" s="123" t="n"/>
      <c r="K4941" s="123" t="n"/>
      <c r="L4941" s="123" t="n"/>
      <c r="M4941" s="123">
        <f>IF(AND(B4941&lt;&gt;"",OR($C$4="",ISNUMBER(SEARCH($C$4,C4941&amp;" "&amp;E4941&amp;" "&amp;G4941&amp;" "&amp;H4941&amp;" "&amp;I4941&amp;" "&amp;J4941&amp;" "&amp;K4941&amp;" "&amp;L4941))),OR($C$5="Semua",$C$5="",G4941=$C$5),OR($C$6="Semua",$C$6="",H4941=$C$6,H4941="Pengeluaran "&amp;$C$6,AND($C$6="Uang Kos Mama",H4941="Pengeluaran Uang Kos")),OR($C$7="Semua",$C$7="",I4941=$C$7),OR($C$8="Semua",$C$8="",C4941=$C$8,E4941=$C$8),OR($C$9="Semua",$C$9="",D4941=$C$9),OR($C$10="",B4941&gt;=$C$10),OR($C$11="",B4941&lt;=$C$11),OR($C$12&lt;&gt;"Ya",K4941&lt;&gt;""),OR($C$13="Semua",$C$13="",L4941=$C$13)),"✓","")</f>
        <v/>
      </c>
      <c r="N4941" s="93">
        <f>N(N4940)+IF(M4941="✓",1,0)</f>
        <v/>
      </c>
      <c r="O4941" s="93">
        <f>N(O4940)+IF(AND(B4941&lt;&gt;"",B4941&gt;='Uang Riba'!$H$30,B4941&lt;='Uang Riba'!$I$30,OR(H4941="Dana riba",H4941="Pinjam uang riba",I4941="Pinjam dari uang riba",I4941="Ganti uang riba",I4941="Kelebihan ganti dikembalikan",AND(C4941="Kantong Uang Riba",G4941="Pengeluaran"))),1,0)</f>
        <v/>
      </c>
      <c r="X4941" s="93">
        <f>IF(AND(B4941&lt;&gt;"",B4941&gt;='Buku Akun'!$H$4,B4941&lt;='Buku Akun'!$H$5,OR(C4941='Buku Akun'!$C$4,AND(D4941="Pindah",E4941='Buku Akun'!$C$4))),B4941+IF(AND(I4941="Selisih bunga",DAY(B4941)=1),0,0.01)+ROW()/10000000,"")</f>
        <v/>
      </c>
    </row>
    <row r="4942" outlineLevel="1" ht="15" customHeight="1" s="94">
      <c r="A4942" s="123">
        <f>IF(B4942="","",ROW()-15)</f>
        <v/>
      </c>
      <c r="B4942" s="124" t="n"/>
      <c r="C4942" s="123" t="n"/>
      <c r="D4942" s="123" t="n"/>
      <c r="E4942" s="123" t="n"/>
      <c r="F4942" s="125" t="n"/>
      <c r="G4942" s="123" t="n"/>
      <c r="H4942" s="123" t="n"/>
      <c r="I4942" s="123" t="n"/>
      <c r="J4942" s="123" t="n"/>
      <c r="K4942" s="123" t="n"/>
      <c r="L4942" s="123" t="n"/>
      <c r="M4942" s="123">
        <f>IF(AND(B4942&lt;&gt;"",OR($C$4="",ISNUMBER(SEARCH($C$4,C4942&amp;" "&amp;E4942&amp;" "&amp;G4942&amp;" "&amp;H4942&amp;" "&amp;I4942&amp;" "&amp;J4942&amp;" "&amp;K4942&amp;" "&amp;L4942))),OR($C$5="Semua",$C$5="",G4942=$C$5),OR($C$6="Semua",$C$6="",H4942=$C$6,H4942="Pengeluaran "&amp;$C$6,AND($C$6="Uang Kos Mama",H4942="Pengeluaran Uang Kos")),OR($C$7="Semua",$C$7="",I4942=$C$7),OR($C$8="Semua",$C$8="",C4942=$C$8,E4942=$C$8),OR($C$9="Semua",$C$9="",D4942=$C$9),OR($C$10="",B4942&gt;=$C$10),OR($C$11="",B4942&lt;=$C$11),OR($C$12&lt;&gt;"Ya",K4942&lt;&gt;""),OR($C$13="Semua",$C$13="",L4942=$C$13)),"✓","")</f>
        <v/>
      </c>
      <c r="N4942" s="93">
        <f>N(N4941)+IF(M4942="✓",1,0)</f>
        <v/>
      </c>
      <c r="O4942" s="93">
        <f>N(O4941)+IF(AND(B4942&lt;&gt;"",B4942&gt;='Uang Riba'!$H$30,B4942&lt;='Uang Riba'!$I$30,OR(H4942="Dana riba",H4942="Pinjam uang riba",I4942="Pinjam dari uang riba",I4942="Ganti uang riba",I4942="Kelebihan ganti dikembalikan",AND(C4942="Kantong Uang Riba",G4942="Pengeluaran"))),1,0)</f>
        <v/>
      </c>
      <c r="X4942" s="93">
        <f>IF(AND(B4942&lt;&gt;"",B4942&gt;='Buku Akun'!$H$4,B4942&lt;='Buku Akun'!$H$5,OR(C4942='Buku Akun'!$C$4,AND(D4942="Pindah",E4942='Buku Akun'!$C$4))),B4942+IF(AND(I4942="Selisih bunga",DAY(B4942)=1),0,0.01)+ROW()/10000000,"")</f>
        <v/>
      </c>
    </row>
    <row r="4943" outlineLevel="1" ht="15" customHeight="1" s="94">
      <c r="A4943" s="123">
        <f>IF(B4943="","",ROW()-15)</f>
        <v/>
      </c>
      <c r="B4943" s="124" t="n"/>
      <c r="C4943" s="123" t="n"/>
      <c r="D4943" s="123" t="n"/>
      <c r="E4943" s="123" t="n"/>
      <c r="F4943" s="125" t="n"/>
      <c r="G4943" s="123" t="n"/>
      <c r="H4943" s="123" t="n"/>
      <c r="I4943" s="123" t="n"/>
      <c r="J4943" s="123" t="n"/>
      <c r="K4943" s="123" t="n"/>
      <c r="L4943" s="123" t="n"/>
      <c r="M4943" s="123">
        <f>IF(AND(B4943&lt;&gt;"",OR($C$4="",ISNUMBER(SEARCH($C$4,C4943&amp;" "&amp;E4943&amp;" "&amp;G4943&amp;" "&amp;H4943&amp;" "&amp;I4943&amp;" "&amp;J4943&amp;" "&amp;K4943&amp;" "&amp;L4943))),OR($C$5="Semua",$C$5="",G4943=$C$5),OR($C$6="Semua",$C$6="",H4943=$C$6,H4943="Pengeluaran "&amp;$C$6,AND($C$6="Uang Kos Mama",H4943="Pengeluaran Uang Kos")),OR($C$7="Semua",$C$7="",I4943=$C$7),OR($C$8="Semua",$C$8="",C4943=$C$8,E4943=$C$8),OR($C$9="Semua",$C$9="",D4943=$C$9),OR($C$10="",B4943&gt;=$C$10),OR($C$11="",B4943&lt;=$C$11),OR($C$12&lt;&gt;"Ya",K4943&lt;&gt;""),OR($C$13="Semua",$C$13="",L4943=$C$13)),"✓","")</f>
        <v/>
      </c>
      <c r="N4943" s="93">
        <f>N(N4942)+IF(M4943="✓",1,0)</f>
        <v/>
      </c>
      <c r="O4943" s="93">
        <f>N(O4942)+IF(AND(B4943&lt;&gt;"",B4943&gt;='Uang Riba'!$H$30,B4943&lt;='Uang Riba'!$I$30,OR(H4943="Dana riba",H4943="Pinjam uang riba",I4943="Pinjam dari uang riba",I4943="Ganti uang riba",I4943="Kelebihan ganti dikembalikan",AND(C4943="Kantong Uang Riba",G4943="Pengeluaran"))),1,0)</f>
        <v/>
      </c>
      <c r="X4943" s="93">
        <f>IF(AND(B4943&lt;&gt;"",B4943&gt;='Buku Akun'!$H$4,B4943&lt;='Buku Akun'!$H$5,OR(C4943='Buku Akun'!$C$4,AND(D4943="Pindah",E4943='Buku Akun'!$C$4))),B4943+IF(AND(I4943="Selisih bunga",DAY(B4943)=1),0,0.01)+ROW()/10000000,"")</f>
        <v/>
      </c>
    </row>
    <row r="4944" outlineLevel="1" ht="15" customHeight="1" s="94">
      <c r="A4944" s="123">
        <f>IF(B4944="","",ROW()-15)</f>
        <v/>
      </c>
      <c r="B4944" s="124" t="n"/>
      <c r="C4944" s="123" t="n"/>
      <c r="D4944" s="123" t="n"/>
      <c r="E4944" s="123" t="n"/>
      <c r="F4944" s="125" t="n"/>
      <c r="G4944" s="123" t="n"/>
      <c r="H4944" s="123" t="n"/>
      <c r="I4944" s="123" t="n"/>
      <c r="J4944" s="123" t="n"/>
      <c r="K4944" s="123" t="n"/>
      <c r="L4944" s="123" t="n"/>
      <c r="M4944" s="123">
        <f>IF(AND(B4944&lt;&gt;"",OR($C$4="",ISNUMBER(SEARCH($C$4,C4944&amp;" "&amp;E4944&amp;" "&amp;G4944&amp;" "&amp;H4944&amp;" "&amp;I4944&amp;" "&amp;J4944&amp;" "&amp;K4944&amp;" "&amp;L4944))),OR($C$5="Semua",$C$5="",G4944=$C$5),OR($C$6="Semua",$C$6="",H4944=$C$6,H4944="Pengeluaran "&amp;$C$6,AND($C$6="Uang Kos Mama",H4944="Pengeluaran Uang Kos")),OR($C$7="Semua",$C$7="",I4944=$C$7),OR($C$8="Semua",$C$8="",C4944=$C$8,E4944=$C$8),OR($C$9="Semua",$C$9="",D4944=$C$9),OR($C$10="",B4944&gt;=$C$10),OR($C$11="",B4944&lt;=$C$11),OR($C$12&lt;&gt;"Ya",K4944&lt;&gt;""),OR($C$13="Semua",$C$13="",L4944=$C$13)),"✓","")</f>
        <v/>
      </c>
      <c r="N4944" s="93">
        <f>N(N4943)+IF(M4944="✓",1,0)</f>
        <v/>
      </c>
      <c r="O4944" s="93">
        <f>N(O4943)+IF(AND(B4944&lt;&gt;"",B4944&gt;='Uang Riba'!$H$30,B4944&lt;='Uang Riba'!$I$30,OR(H4944="Dana riba",H4944="Pinjam uang riba",I4944="Pinjam dari uang riba",I4944="Ganti uang riba",I4944="Kelebihan ganti dikembalikan",AND(C4944="Kantong Uang Riba",G4944="Pengeluaran"))),1,0)</f>
        <v/>
      </c>
      <c r="X4944" s="93">
        <f>IF(AND(B4944&lt;&gt;"",B4944&gt;='Buku Akun'!$H$4,B4944&lt;='Buku Akun'!$H$5,OR(C4944='Buku Akun'!$C$4,AND(D4944="Pindah",E4944='Buku Akun'!$C$4))),B4944+IF(AND(I4944="Selisih bunga",DAY(B4944)=1),0,0.01)+ROW()/10000000,"")</f>
        <v/>
      </c>
    </row>
    <row r="4945" outlineLevel="1" ht="15" customHeight="1" s="94">
      <c r="A4945" s="123">
        <f>IF(B4945="","",ROW()-15)</f>
        <v/>
      </c>
      <c r="B4945" s="124" t="n"/>
      <c r="C4945" s="123" t="n"/>
      <c r="D4945" s="123" t="n"/>
      <c r="E4945" s="123" t="n"/>
      <c r="F4945" s="125" t="n"/>
      <c r="G4945" s="123" t="n"/>
      <c r="H4945" s="123" t="n"/>
      <c r="I4945" s="123" t="n"/>
      <c r="J4945" s="123" t="n"/>
      <c r="K4945" s="123" t="n"/>
      <c r="L4945" s="123" t="n"/>
      <c r="M4945" s="123">
        <f>IF(AND(B4945&lt;&gt;"",OR($C$4="",ISNUMBER(SEARCH($C$4,C4945&amp;" "&amp;E4945&amp;" "&amp;G4945&amp;" "&amp;H4945&amp;" "&amp;I4945&amp;" "&amp;J4945&amp;" "&amp;K4945&amp;" "&amp;L4945))),OR($C$5="Semua",$C$5="",G4945=$C$5),OR($C$6="Semua",$C$6="",H4945=$C$6,H4945="Pengeluaran "&amp;$C$6,AND($C$6="Uang Kos Mama",H4945="Pengeluaran Uang Kos")),OR($C$7="Semua",$C$7="",I4945=$C$7),OR($C$8="Semua",$C$8="",C4945=$C$8,E4945=$C$8),OR($C$9="Semua",$C$9="",D4945=$C$9),OR($C$10="",B4945&gt;=$C$10),OR($C$11="",B4945&lt;=$C$11),OR($C$12&lt;&gt;"Ya",K4945&lt;&gt;""),OR($C$13="Semua",$C$13="",L4945=$C$13)),"✓","")</f>
        <v/>
      </c>
      <c r="N4945" s="93">
        <f>N(N4944)+IF(M4945="✓",1,0)</f>
        <v/>
      </c>
      <c r="O4945" s="93">
        <f>N(O4944)+IF(AND(B4945&lt;&gt;"",B4945&gt;='Uang Riba'!$H$30,B4945&lt;='Uang Riba'!$I$30,OR(H4945="Dana riba",H4945="Pinjam uang riba",I4945="Pinjam dari uang riba",I4945="Ganti uang riba",I4945="Kelebihan ganti dikembalikan",AND(C4945="Kantong Uang Riba",G4945="Pengeluaran"))),1,0)</f>
        <v/>
      </c>
      <c r="X4945" s="93">
        <f>IF(AND(B4945&lt;&gt;"",B4945&gt;='Buku Akun'!$H$4,B4945&lt;='Buku Akun'!$H$5,OR(C4945='Buku Akun'!$C$4,AND(D4945="Pindah",E4945='Buku Akun'!$C$4))),B4945+IF(AND(I4945="Selisih bunga",DAY(B4945)=1),0,0.01)+ROW()/10000000,"")</f>
        <v/>
      </c>
    </row>
    <row r="4946" outlineLevel="1" ht="15" customHeight="1" s="94">
      <c r="A4946" s="123">
        <f>IF(B4946="","",ROW()-15)</f>
        <v/>
      </c>
      <c r="B4946" s="124" t="n"/>
      <c r="C4946" s="123" t="n"/>
      <c r="D4946" s="123" t="n"/>
      <c r="E4946" s="123" t="n"/>
      <c r="F4946" s="125" t="n"/>
      <c r="G4946" s="123" t="n"/>
      <c r="H4946" s="123" t="n"/>
      <c r="I4946" s="123" t="n"/>
      <c r="J4946" s="123" t="n"/>
      <c r="K4946" s="123" t="n"/>
      <c r="L4946" s="123" t="n"/>
      <c r="M4946" s="123">
        <f>IF(AND(B4946&lt;&gt;"",OR($C$4="",ISNUMBER(SEARCH($C$4,C4946&amp;" "&amp;E4946&amp;" "&amp;G4946&amp;" "&amp;H4946&amp;" "&amp;I4946&amp;" "&amp;J4946&amp;" "&amp;K4946&amp;" "&amp;L4946))),OR($C$5="Semua",$C$5="",G4946=$C$5),OR($C$6="Semua",$C$6="",H4946=$C$6,H4946="Pengeluaran "&amp;$C$6,AND($C$6="Uang Kos Mama",H4946="Pengeluaran Uang Kos")),OR($C$7="Semua",$C$7="",I4946=$C$7),OR($C$8="Semua",$C$8="",C4946=$C$8,E4946=$C$8),OR($C$9="Semua",$C$9="",D4946=$C$9),OR($C$10="",B4946&gt;=$C$10),OR($C$11="",B4946&lt;=$C$11),OR($C$12&lt;&gt;"Ya",K4946&lt;&gt;""),OR($C$13="Semua",$C$13="",L4946=$C$13)),"✓","")</f>
        <v/>
      </c>
      <c r="N4946" s="93">
        <f>N(N4945)+IF(M4946="✓",1,0)</f>
        <v/>
      </c>
      <c r="O4946" s="93">
        <f>N(O4945)+IF(AND(B4946&lt;&gt;"",B4946&gt;='Uang Riba'!$H$30,B4946&lt;='Uang Riba'!$I$30,OR(H4946="Dana riba",H4946="Pinjam uang riba",I4946="Pinjam dari uang riba",I4946="Ganti uang riba",I4946="Kelebihan ganti dikembalikan",AND(C4946="Kantong Uang Riba",G4946="Pengeluaran"))),1,0)</f>
        <v/>
      </c>
      <c r="X4946" s="93">
        <f>IF(AND(B4946&lt;&gt;"",B4946&gt;='Buku Akun'!$H$4,B4946&lt;='Buku Akun'!$H$5,OR(C4946='Buku Akun'!$C$4,AND(D4946="Pindah",E4946='Buku Akun'!$C$4))),B4946+IF(AND(I4946="Selisih bunga",DAY(B4946)=1),0,0.01)+ROW()/10000000,"")</f>
        <v/>
      </c>
    </row>
    <row r="4947" outlineLevel="1" ht="15" customHeight="1" s="94">
      <c r="A4947" s="123">
        <f>IF(B4947="","",ROW()-15)</f>
        <v/>
      </c>
      <c r="B4947" s="124" t="n"/>
      <c r="C4947" s="123" t="n"/>
      <c r="D4947" s="123" t="n"/>
      <c r="E4947" s="123" t="n"/>
      <c r="F4947" s="125" t="n"/>
      <c r="G4947" s="123" t="n"/>
      <c r="H4947" s="123" t="n"/>
      <c r="I4947" s="123" t="n"/>
      <c r="J4947" s="123" t="n"/>
      <c r="K4947" s="123" t="n"/>
      <c r="L4947" s="123" t="n"/>
      <c r="M4947" s="123">
        <f>IF(AND(B4947&lt;&gt;"",OR($C$4="",ISNUMBER(SEARCH($C$4,C4947&amp;" "&amp;E4947&amp;" "&amp;G4947&amp;" "&amp;H4947&amp;" "&amp;I4947&amp;" "&amp;J4947&amp;" "&amp;K4947&amp;" "&amp;L4947))),OR($C$5="Semua",$C$5="",G4947=$C$5),OR($C$6="Semua",$C$6="",H4947=$C$6,H4947="Pengeluaran "&amp;$C$6,AND($C$6="Uang Kos Mama",H4947="Pengeluaran Uang Kos")),OR($C$7="Semua",$C$7="",I4947=$C$7),OR($C$8="Semua",$C$8="",C4947=$C$8,E4947=$C$8),OR($C$9="Semua",$C$9="",D4947=$C$9),OR($C$10="",B4947&gt;=$C$10),OR($C$11="",B4947&lt;=$C$11),OR($C$12&lt;&gt;"Ya",K4947&lt;&gt;""),OR($C$13="Semua",$C$13="",L4947=$C$13)),"✓","")</f>
        <v/>
      </c>
      <c r="N4947" s="93">
        <f>N(N4946)+IF(M4947="✓",1,0)</f>
        <v/>
      </c>
      <c r="O4947" s="93">
        <f>N(O4946)+IF(AND(B4947&lt;&gt;"",B4947&gt;='Uang Riba'!$H$30,B4947&lt;='Uang Riba'!$I$30,OR(H4947="Dana riba",H4947="Pinjam uang riba",I4947="Pinjam dari uang riba",I4947="Ganti uang riba",I4947="Kelebihan ganti dikembalikan",AND(C4947="Kantong Uang Riba",G4947="Pengeluaran"))),1,0)</f>
        <v/>
      </c>
      <c r="X4947" s="93">
        <f>IF(AND(B4947&lt;&gt;"",B4947&gt;='Buku Akun'!$H$4,B4947&lt;='Buku Akun'!$H$5,OR(C4947='Buku Akun'!$C$4,AND(D4947="Pindah",E4947='Buku Akun'!$C$4))),B4947+IF(AND(I4947="Selisih bunga",DAY(B4947)=1),0,0.01)+ROW()/10000000,"")</f>
        <v/>
      </c>
    </row>
    <row r="4948" outlineLevel="1" ht="15" customHeight="1" s="94">
      <c r="A4948" s="123">
        <f>IF(B4948="","",ROW()-15)</f>
        <v/>
      </c>
      <c r="B4948" s="124" t="n"/>
      <c r="C4948" s="123" t="n"/>
      <c r="D4948" s="123" t="n"/>
      <c r="E4948" s="123" t="n"/>
      <c r="F4948" s="125" t="n"/>
      <c r="G4948" s="123" t="n"/>
      <c r="H4948" s="123" t="n"/>
      <c r="I4948" s="123" t="n"/>
      <c r="J4948" s="123" t="n"/>
      <c r="K4948" s="123" t="n"/>
      <c r="L4948" s="123" t="n"/>
      <c r="M4948" s="123">
        <f>IF(AND(B4948&lt;&gt;"",OR($C$4="",ISNUMBER(SEARCH($C$4,C4948&amp;" "&amp;E4948&amp;" "&amp;G4948&amp;" "&amp;H4948&amp;" "&amp;I4948&amp;" "&amp;J4948&amp;" "&amp;K4948&amp;" "&amp;L4948))),OR($C$5="Semua",$C$5="",G4948=$C$5),OR($C$6="Semua",$C$6="",H4948=$C$6,H4948="Pengeluaran "&amp;$C$6,AND($C$6="Uang Kos Mama",H4948="Pengeluaran Uang Kos")),OR($C$7="Semua",$C$7="",I4948=$C$7),OR($C$8="Semua",$C$8="",C4948=$C$8,E4948=$C$8),OR($C$9="Semua",$C$9="",D4948=$C$9),OR($C$10="",B4948&gt;=$C$10),OR($C$11="",B4948&lt;=$C$11),OR($C$12&lt;&gt;"Ya",K4948&lt;&gt;""),OR($C$13="Semua",$C$13="",L4948=$C$13)),"✓","")</f>
        <v/>
      </c>
      <c r="N4948" s="93">
        <f>N(N4947)+IF(M4948="✓",1,0)</f>
        <v/>
      </c>
      <c r="O4948" s="93">
        <f>N(O4947)+IF(AND(B4948&lt;&gt;"",B4948&gt;='Uang Riba'!$H$30,B4948&lt;='Uang Riba'!$I$30,OR(H4948="Dana riba",H4948="Pinjam uang riba",I4948="Pinjam dari uang riba",I4948="Ganti uang riba",I4948="Kelebihan ganti dikembalikan",AND(C4948="Kantong Uang Riba",G4948="Pengeluaran"))),1,0)</f>
        <v/>
      </c>
      <c r="X4948" s="93">
        <f>IF(AND(B4948&lt;&gt;"",B4948&gt;='Buku Akun'!$H$4,B4948&lt;='Buku Akun'!$H$5,OR(C4948='Buku Akun'!$C$4,AND(D4948="Pindah",E4948='Buku Akun'!$C$4))),B4948+IF(AND(I4948="Selisih bunga",DAY(B4948)=1),0,0.01)+ROW()/10000000,"")</f>
        <v/>
      </c>
    </row>
    <row r="4949" outlineLevel="1" ht="15" customHeight="1" s="94">
      <c r="A4949" s="123">
        <f>IF(B4949="","",ROW()-15)</f>
        <v/>
      </c>
      <c r="B4949" s="124" t="n"/>
      <c r="C4949" s="123" t="n"/>
      <c r="D4949" s="123" t="n"/>
      <c r="E4949" s="123" t="n"/>
      <c r="F4949" s="125" t="n"/>
      <c r="G4949" s="123" t="n"/>
      <c r="H4949" s="123" t="n"/>
      <c r="I4949" s="123" t="n"/>
      <c r="J4949" s="123" t="n"/>
      <c r="K4949" s="123" t="n"/>
      <c r="L4949" s="123" t="n"/>
      <c r="M4949" s="123">
        <f>IF(AND(B4949&lt;&gt;"",OR($C$4="",ISNUMBER(SEARCH($C$4,C4949&amp;" "&amp;E4949&amp;" "&amp;G4949&amp;" "&amp;H4949&amp;" "&amp;I4949&amp;" "&amp;J4949&amp;" "&amp;K4949&amp;" "&amp;L4949))),OR($C$5="Semua",$C$5="",G4949=$C$5),OR($C$6="Semua",$C$6="",H4949=$C$6,H4949="Pengeluaran "&amp;$C$6,AND($C$6="Uang Kos Mama",H4949="Pengeluaran Uang Kos")),OR($C$7="Semua",$C$7="",I4949=$C$7),OR($C$8="Semua",$C$8="",C4949=$C$8,E4949=$C$8),OR($C$9="Semua",$C$9="",D4949=$C$9),OR($C$10="",B4949&gt;=$C$10),OR($C$11="",B4949&lt;=$C$11),OR($C$12&lt;&gt;"Ya",K4949&lt;&gt;""),OR($C$13="Semua",$C$13="",L4949=$C$13)),"✓","")</f>
        <v/>
      </c>
      <c r="N4949" s="93">
        <f>N(N4948)+IF(M4949="✓",1,0)</f>
        <v/>
      </c>
      <c r="O4949" s="93">
        <f>N(O4948)+IF(AND(B4949&lt;&gt;"",B4949&gt;='Uang Riba'!$H$30,B4949&lt;='Uang Riba'!$I$30,OR(H4949="Dana riba",H4949="Pinjam uang riba",I4949="Pinjam dari uang riba",I4949="Ganti uang riba",I4949="Kelebihan ganti dikembalikan",AND(C4949="Kantong Uang Riba",G4949="Pengeluaran"))),1,0)</f>
        <v/>
      </c>
      <c r="X4949" s="93">
        <f>IF(AND(B4949&lt;&gt;"",B4949&gt;='Buku Akun'!$H$4,B4949&lt;='Buku Akun'!$H$5,OR(C4949='Buku Akun'!$C$4,AND(D4949="Pindah",E4949='Buku Akun'!$C$4))),B4949+IF(AND(I4949="Selisih bunga",DAY(B4949)=1),0,0.01)+ROW()/10000000,"")</f>
        <v/>
      </c>
    </row>
    <row r="4950" outlineLevel="1" ht="15" customHeight="1" s="94">
      <c r="A4950" s="123">
        <f>IF(B4950="","",ROW()-15)</f>
        <v/>
      </c>
      <c r="B4950" s="124" t="n"/>
      <c r="C4950" s="123" t="n"/>
      <c r="D4950" s="123" t="n"/>
      <c r="E4950" s="123" t="n"/>
      <c r="F4950" s="125" t="n"/>
      <c r="G4950" s="123" t="n"/>
      <c r="H4950" s="123" t="n"/>
      <c r="I4950" s="123" t="n"/>
      <c r="J4950" s="123" t="n"/>
      <c r="K4950" s="123" t="n"/>
      <c r="L4950" s="123" t="n"/>
      <c r="M4950" s="123">
        <f>IF(AND(B4950&lt;&gt;"",OR($C$4="",ISNUMBER(SEARCH($C$4,C4950&amp;" "&amp;E4950&amp;" "&amp;G4950&amp;" "&amp;H4950&amp;" "&amp;I4950&amp;" "&amp;J4950&amp;" "&amp;K4950&amp;" "&amp;L4950))),OR($C$5="Semua",$C$5="",G4950=$C$5),OR($C$6="Semua",$C$6="",H4950=$C$6,H4950="Pengeluaran "&amp;$C$6,AND($C$6="Uang Kos Mama",H4950="Pengeluaran Uang Kos")),OR($C$7="Semua",$C$7="",I4950=$C$7),OR($C$8="Semua",$C$8="",C4950=$C$8,E4950=$C$8),OR($C$9="Semua",$C$9="",D4950=$C$9),OR($C$10="",B4950&gt;=$C$10),OR($C$11="",B4950&lt;=$C$11),OR($C$12&lt;&gt;"Ya",K4950&lt;&gt;""),OR($C$13="Semua",$C$13="",L4950=$C$13)),"✓","")</f>
        <v/>
      </c>
      <c r="N4950" s="93">
        <f>N(N4949)+IF(M4950="✓",1,0)</f>
        <v/>
      </c>
      <c r="O4950" s="93">
        <f>N(O4949)+IF(AND(B4950&lt;&gt;"",B4950&gt;='Uang Riba'!$H$30,B4950&lt;='Uang Riba'!$I$30,OR(H4950="Dana riba",H4950="Pinjam uang riba",I4950="Pinjam dari uang riba",I4950="Ganti uang riba",I4950="Kelebihan ganti dikembalikan",AND(C4950="Kantong Uang Riba",G4950="Pengeluaran"))),1,0)</f>
        <v/>
      </c>
      <c r="X4950" s="93">
        <f>IF(AND(B4950&lt;&gt;"",B4950&gt;='Buku Akun'!$H$4,B4950&lt;='Buku Akun'!$H$5,OR(C4950='Buku Akun'!$C$4,AND(D4950="Pindah",E4950='Buku Akun'!$C$4))),B4950+IF(AND(I4950="Selisih bunga",DAY(B4950)=1),0,0.01)+ROW()/10000000,"")</f>
        <v/>
      </c>
    </row>
    <row r="4951" outlineLevel="1" ht="15" customHeight="1" s="94">
      <c r="A4951" s="123">
        <f>IF(B4951="","",ROW()-15)</f>
        <v/>
      </c>
      <c r="B4951" s="124" t="n"/>
      <c r="C4951" s="123" t="n"/>
      <c r="D4951" s="123" t="n"/>
      <c r="E4951" s="123" t="n"/>
      <c r="F4951" s="125" t="n"/>
      <c r="G4951" s="123" t="n"/>
      <c r="H4951" s="123" t="n"/>
      <c r="I4951" s="123" t="n"/>
      <c r="J4951" s="123" t="n"/>
      <c r="K4951" s="123" t="n"/>
      <c r="L4951" s="123" t="n"/>
      <c r="M4951" s="123">
        <f>IF(AND(B4951&lt;&gt;"",OR($C$4="",ISNUMBER(SEARCH($C$4,C4951&amp;" "&amp;E4951&amp;" "&amp;G4951&amp;" "&amp;H4951&amp;" "&amp;I4951&amp;" "&amp;J4951&amp;" "&amp;K4951&amp;" "&amp;L4951))),OR($C$5="Semua",$C$5="",G4951=$C$5),OR($C$6="Semua",$C$6="",H4951=$C$6,H4951="Pengeluaran "&amp;$C$6,AND($C$6="Uang Kos Mama",H4951="Pengeluaran Uang Kos")),OR($C$7="Semua",$C$7="",I4951=$C$7),OR($C$8="Semua",$C$8="",C4951=$C$8,E4951=$C$8),OR($C$9="Semua",$C$9="",D4951=$C$9),OR($C$10="",B4951&gt;=$C$10),OR($C$11="",B4951&lt;=$C$11),OR($C$12&lt;&gt;"Ya",K4951&lt;&gt;""),OR($C$13="Semua",$C$13="",L4951=$C$13)),"✓","")</f>
        <v/>
      </c>
      <c r="N4951" s="93">
        <f>N(N4950)+IF(M4951="✓",1,0)</f>
        <v/>
      </c>
      <c r="O4951" s="93">
        <f>N(O4950)+IF(AND(B4951&lt;&gt;"",B4951&gt;='Uang Riba'!$H$30,B4951&lt;='Uang Riba'!$I$30,OR(H4951="Dana riba",H4951="Pinjam uang riba",I4951="Pinjam dari uang riba",I4951="Ganti uang riba",I4951="Kelebihan ganti dikembalikan",AND(C4951="Kantong Uang Riba",G4951="Pengeluaran"))),1,0)</f>
        <v/>
      </c>
      <c r="X4951" s="93">
        <f>IF(AND(B4951&lt;&gt;"",B4951&gt;='Buku Akun'!$H$4,B4951&lt;='Buku Akun'!$H$5,OR(C4951='Buku Akun'!$C$4,AND(D4951="Pindah",E4951='Buku Akun'!$C$4))),B4951+IF(AND(I4951="Selisih bunga",DAY(B4951)=1),0,0.01)+ROW()/10000000,"")</f>
        <v/>
      </c>
    </row>
    <row r="4952" outlineLevel="1" ht="15" customHeight="1" s="94">
      <c r="A4952" s="123">
        <f>IF(B4952="","",ROW()-15)</f>
        <v/>
      </c>
      <c r="B4952" s="124" t="n"/>
      <c r="C4952" s="123" t="n"/>
      <c r="D4952" s="123" t="n"/>
      <c r="E4952" s="123" t="n"/>
      <c r="F4952" s="125" t="n"/>
      <c r="G4952" s="123" t="n"/>
      <c r="H4952" s="123" t="n"/>
      <c r="I4952" s="123" t="n"/>
      <c r="J4952" s="123" t="n"/>
      <c r="K4952" s="123" t="n"/>
      <c r="L4952" s="123" t="n"/>
      <c r="M4952" s="123">
        <f>IF(AND(B4952&lt;&gt;"",OR($C$4="",ISNUMBER(SEARCH($C$4,C4952&amp;" "&amp;E4952&amp;" "&amp;G4952&amp;" "&amp;H4952&amp;" "&amp;I4952&amp;" "&amp;J4952&amp;" "&amp;K4952&amp;" "&amp;L4952))),OR($C$5="Semua",$C$5="",G4952=$C$5),OR($C$6="Semua",$C$6="",H4952=$C$6,H4952="Pengeluaran "&amp;$C$6,AND($C$6="Uang Kos Mama",H4952="Pengeluaran Uang Kos")),OR($C$7="Semua",$C$7="",I4952=$C$7),OR($C$8="Semua",$C$8="",C4952=$C$8,E4952=$C$8),OR($C$9="Semua",$C$9="",D4952=$C$9),OR($C$10="",B4952&gt;=$C$10),OR($C$11="",B4952&lt;=$C$11),OR($C$12&lt;&gt;"Ya",K4952&lt;&gt;""),OR($C$13="Semua",$C$13="",L4952=$C$13)),"✓","")</f>
        <v/>
      </c>
      <c r="N4952" s="93">
        <f>N(N4951)+IF(M4952="✓",1,0)</f>
        <v/>
      </c>
      <c r="O4952" s="93">
        <f>N(O4951)+IF(AND(B4952&lt;&gt;"",B4952&gt;='Uang Riba'!$H$30,B4952&lt;='Uang Riba'!$I$30,OR(H4952="Dana riba",H4952="Pinjam uang riba",I4952="Pinjam dari uang riba",I4952="Ganti uang riba",I4952="Kelebihan ganti dikembalikan",AND(C4952="Kantong Uang Riba",G4952="Pengeluaran"))),1,0)</f>
        <v/>
      </c>
      <c r="X4952" s="93">
        <f>IF(AND(B4952&lt;&gt;"",B4952&gt;='Buku Akun'!$H$4,B4952&lt;='Buku Akun'!$H$5,OR(C4952='Buku Akun'!$C$4,AND(D4952="Pindah",E4952='Buku Akun'!$C$4))),B4952+IF(AND(I4952="Selisih bunga",DAY(B4952)=1),0,0.01)+ROW()/10000000,"")</f>
        <v/>
      </c>
    </row>
    <row r="4953" outlineLevel="1" ht="15" customHeight="1" s="94">
      <c r="A4953" s="123">
        <f>IF(B4953="","",ROW()-15)</f>
        <v/>
      </c>
      <c r="B4953" s="124" t="n"/>
      <c r="C4953" s="123" t="n"/>
      <c r="D4953" s="123" t="n"/>
      <c r="E4953" s="123" t="n"/>
      <c r="F4953" s="125" t="n"/>
      <c r="G4953" s="123" t="n"/>
      <c r="H4953" s="123" t="n"/>
      <c r="I4953" s="123" t="n"/>
      <c r="J4953" s="123" t="n"/>
      <c r="K4953" s="123" t="n"/>
      <c r="L4953" s="123" t="n"/>
      <c r="M4953" s="123">
        <f>IF(AND(B4953&lt;&gt;"",OR($C$4="",ISNUMBER(SEARCH($C$4,C4953&amp;" "&amp;E4953&amp;" "&amp;G4953&amp;" "&amp;H4953&amp;" "&amp;I4953&amp;" "&amp;J4953&amp;" "&amp;K4953&amp;" "&amp;L4953))),OR($C$5="Semua",$C$5="",G4953=$C$5),OR($C$6="Semua",$C$6="",H4953=$C$6,H4953="Pengeluaran "&amp;$C$6,AND($C$6="Uang Kos Mama",H4953="Pengeluaran Uang Kos")),OR($C$7="Semua",$C$7="",I4953=$C$7),OR($C$8="Semua",$C$8="",C4953=$C$8,E4953=$C$8),OR($C$9="Semua",$C$9="",D4953=$C$9),OR($C$10="",B4953&gt;=$C$10),OR($C$11="",B4953&lt;=$C$11),OR($C$12&lt;&gt;"Ya",K4953&lt;&gt;""),OR($C$13="Semua",$C$13="",L4953=$C$13)),"✓","")</f>
        <v/>
      </c>
      <c r="N4953" s="93">
        <f>N(N4952)+IF(M4953="✓",1,0)</f>
        <v/>
      </c>
      <c r="O4953" s="93">
        <f>N(O4952)+IF(AND(B4953&lt;&gt;"",B4953&gt;='Uang Riba'!$H$30,B4953&lt;='Uang Riba'!$I$30,OR(H4953="Dana riba",H4953="Pinjam uang riba",I4953="Pinjam dari uang riba",I4953="Ganti uang riba",I4953="Kelebihan ganti dikembalikan",AND(C4953="Kantong Uang Riba",G4953="Pengeluaran"))),1,0)</f>
        <v/>
      </c>
      <c r="X4953" s="93">
        <f>IF(AND(B4953&lt;&gt;"",B4953&gt;='Buku Akun'!$H$4,B4953&lt;='Buku Akun'!$H$5,OR(C4953='Buku Akun'!$C$4,AND(D4953="Pindah",E4953='Buku Akun'!$C$4))),B4953+IF(AND(I4953="Selisih bunga",DAY(B4953)=1),0,0.01)+ROW()/10000000,"")</f>
        <v/>
      </c>
    </row>
    <row r="4954" outlineLevel="1" ht="15" customHeight="1" s="94">
      <c r="A4954" s="123">
        <f>IF(B4954="","",ROW()-15)</f>
        <v/>
      </c>
      <c r="B4954" s="124" t="n"/>
      <c r="C4954" s="123" t="n"/>
      <c r="D4954" s="123" t="n"/>
      <c r="E4954" s="123" t="n"/>
      <c r="F4954" s="125" t="n"/>
      <c r="G4954" s="123" t="n"/>
      <c r="H4954" s="123" t="n"/>
      <c r="I4954" s="123" t="n"/>
      <c r="J4954" s="123" t="n"/>
      <c r="K4954" s="123" t="n"/>
      <c r="L4954" s="123" t="n"/>
      <c r="M4954" s="123">
        <f>IF(AND(B4954&lt;&gt;"",OR($C$4="",ISNUMBER(SEARCH($C$4,C4954&amp;" "&amp;E4954&amp;" "&amp;G4954&amp;" "&amp;H4954&amp;" "&amp;I4954&amp;" "&amp;J4954&amp;" "&amp;K4954&amp;" "&amp;L4954))),OR($C$5="Semua",$C$5="",G4954=$C$5),OR($C$6="Semua",$C$6="",H4954=$C$6,H4954="Pengeluaran "&amp;$C$6,AND($C$6="Uang Kos Mama",H4954="Pengeluaran Uang Kos")),OR($C$7="Semua",$C$7="",I4954=$C$7),OR($C$8="Semua",$C$8="",C4954=$C$8,E4954=$C$8),OR($C$9="Semua",$C$9="",D4954=$C$9),OR($C$10="",B4954&gt;=$C$10),OR($C$11="",B4954&lt;=$C$11),OR($C$12&lt;&gt;"Ya",K4954&lt;&gt;""),OR($C$13="Semua",$C$13="",L4954=$C$13)),"✓","")</f>
        <v/>
      </c>
      <c r="N4954" s="93">
        <f>N(N4953)+IF(M4954="✓",1,0)</f>
        <v/>
      </c>
      <c r="O4954" s="93">
        <f>N(O4953)+IF(AND(B4954&lt;&gt;"",B4954&gt;='Uang Riba'!$H$30,B4954&lt;='Uang Riba'!$I$30,OR(H4954="Dana riba",H4954="Pinjam uang riba",I4954="Pinjam dari uang riba",I4954="Ganti uang riba",I4954="Kelebihan ganti dikembalikan",AND(C4954="Kantong Uang Riba",G4954="Pengeluaran"))),1,0)</f>
        <v/>
      </c>
      <c r="X4954" s="93">
        <f>IF(AND(B4954&lt;&gt;"",B4954&gt;='Buku Akun'!$H$4,B4954&lt;='Buku Akun'!$H$5,OR(C4954='Buku Akun'!$C$4,AND(D4954="Pindah",E4954='Buku Akun'!$C$4))),B4954+IF(AND(I4954="Selisih bunga",DAY(B4954)=1),0,0.01)+ROW()/10000000,"")</f>
        <v/>
      </c>
    </row>
    <row r="4955" outlineLevel="1" ht="15" customHeight="1" s="94">
      <c r="A4955" s="123">
        <f>IF(B4955="","",ROW()-15)</f>
        <v/>
      </c>
      <c r="B4955" s="124" t="n"/>
      <c r="C4955" s="123" t="n"/>
      <c r="D4955" s="123" t="n"/>
      <c r="E4955" s="123" t="n"/>
      <c r="F4955" s="125" t="n"/>
      <c r="G4955" s="123" t="n"/>
      <c r="H4955" s="123" t="n"/>
      <c r="I4955" s="123" t="n"/>
      <c r="J4955" s="123" t="n"/>
      <c r="K4955" s="123" t="n"/>
      <c r="L4955" s="123" t="n"/>
      <c r="M4955" s="123">
        <f>IF(AND(B4955&lt;&gt;"",OR($C$4="",ISNUMBER(SEARCH($C$4,C4955&amp;" "&amp;E4955&amp;" "&amp;G4955&amp;" "&amp;H4955&amp;" "&amp;I4955&amp;" "&amp;J4955&amp;" "&amp;K4955&amp;" "&amp;L4955))),OR($C$5="Semua",$C$5="",G4955=$C$5),OR($C$6="Semua",$C$6="",H4955=$C$6,H4955="Pengeluaran "&amp;$C$6,AND($C$6="Uang Kos Mama",H4955="Pengeluaran Uang Kos")),OR($C$7="Semua",$C$7="",I4955=$C$7),OR($C$8="Semua",$C$8="",C4955=$C$8,E4955=$C$8),OR($C$9="Semua",$C$9="",D4955=$C$9),OR($C$10="",B4955&gt;=$C$10),OR($C$11="",B4955&lt;=$C$11),OR($C$12&lt;&gt;"Ya",K4955&lt;&gt;""),OR($C$13="Semua",$C$13="",L4955=$C$13)),"✓","")</f>
        <v/>
      </c>
      <c r="N4955" s="93">
        <f>N(N4954)+IF(M4955="✓",1,0)</f>
        <v/>
      </c>
      <c r="O4955" s="93">
        <f>N(O4954)+IF(AND(B4955&lt;&gt;"",B4955&gt;='Uang Riba'!$H$30,B4955&lt;='Uang Riba'!$I$30,OR(H4955="Dana riba",H4955="Pinjam uang riba",I4955="Pinjam dari uang riba",I4955="Ganti uang riba",I4955="Kelebihan ganti dikembalikan",AND(C4955="Kantong Uang Riba",G4955="Pengeluaran"))),1,0)</f>
        <v/>
      </c>
      <c r="X4955" s="93">
        <f>IF(AND(B4955&lt;&gt;"",B4955&gt;='Buku Akun'!$H$4,B4955&lt;='Buku Akun'!$H$5,OR(C4955='Buku Akun'!$C$4,AND(D4955="Pindah",E4955='Buku Akun'!$C$4))),B4955+IF(AND(I4955="Selisih bunga",DAY(B4955)=1),0,0.01)+ROW()/10000000,"")</f>
        <v/>
      </c>
    </row>
    <row r="4956" outlineLevel="1" ht="15" customHeight="1" s="94">
      <c r="A4956" s="123">
        <f>IF(B4956="","",ROW()-15)</f>
        <v/>
      </c>
      <c r="B4956" s="124" t="n"/>
      <c r="C4956" s="123" t="n"/>
      <c r="D4956" s="123" t="n"/>
      <c r="E4956" s="123" t="n"/>
      <c r="F4956" s="125" t="n"/>
      <c r="G4956" s="123" t="n"/>
      <c r="H4956" s="123" t="n"/>
      <c r="I4956" s="123" t="n"/>
      <c r="J4956" s="123" t="n"/>
      <c r="K4956" s="123" t="n"/>
      <c r="L4956" s="123" t="n"/>
      <c r="M4956" s="123">
        <f>IF(AND(B4956&lt;&gt;"",OR($C$4="",ISNUMBER(SEARCH($C$4,C4956&amp;" "&amp;E4956&amp;" "&amp;G4956&amp;" "&amp;H4956&amp;" "&amp;I4956&amp;" "&amp;J4956&amp;" "&amp;K4956&amp;" "&amp;L4956))),OR($C$5="Semua",$C$5="",G4956=$C$5),OR($C$6="Semua",$C$6="",H4956=$C$6,H4956="Pengeluaran "&amp;$C$6,AND($C$6="Uang Kos Mama",H4956="Pengeluaran Uang Kos")),OR($C$7="Semua",$C$7="",I4956=$C$7),OR($C$8="Semua",$C$8="",C4956=$C$8,E4956=$C$8),OR($C$9="Semua",$C$9="",D4956=$C$9),OR($C$10="",B4956&gt;=$C$10),OR($C$11="",B4956&lt;=$C$11),OR($C$12&lt;&gt;"Ya",K4956&lt;&gt;""),OR($C$13="Semua",$C$13="",L4956=$C$13)),"✓","")</f>
        <v/>
      </c>
      <c r="N4956" s="93">
        <f>N(N4955)+IF(M4956="✓",1,0)</f>
        <v/>
      </c>
      <c r="O4956" s="93">
        <f>N(O4955)+IF(AND(B4956&lt;&gt;"",B4956&gt;='Uang Riba'!$H$30,B4956&lt;='Uang Riba'!$I$30,OR(H4956="Dana riba",H4956="Pinjam uang riba",I4956="Pinjam dari uang riba",I4956="Ganti uang riba",I4956="Kelebihan ganti dikembalikan",AND(C4956="Kantong Uang Riba",G4956="Pengeluaran"))),1,0)</f>
        <v/>
      </c>
      <c r="X4956" s="93">
        <f>IF(AND(B4956&lt;&gt;"",B4956&gt;='Buku Akun'!$H$4,B4956&lt;='Buku Akun'!$H$5,OR(C4956='Buku Akun'!$C$4,AND(D4956="Pindah",E4956='Buku Akun'!$C$4))),B4956+IF(AND(I4956="Selisih bunga",DAY(B4956)=1),0,0.01)+ROW()/10000000,"")</f>
        <v/>
      </c>
    </row>
    <row r="4957" outlineLevel="1" ht="15" customHeight="1" s="94">
      <c r="A4957" s="123">
        <f>IF(B4957="","",ROW()-15)</f>
        <v/>
      </c>
      <c r="B4957" s="124" t="n"/>
      <c r="C4957" s="123" t="n"/>
      <c r="D4957" s="123" t="n"/>
      <c r="E4957" s="123" t="n"/>
      <c r="F4957" s="125" t="n"/>
      <c r="G4957" s="123" t="n"/>
      <c r="H4957" s="123" t="n"/>
      <c r="I4957" s="123" t="n"/>
      <c r="J4957" s="123" t="n"/>
      <c r="K4957" s="123" t="n"/>
      <c r="L4957" s="123" t="n"/>
      <c r="M4957" s="123">
        <f>IF(AND(B4957&lt;&gt;"",OR($C$4="",ISNUMBER(SEARCH($C$4,C4957&amp;" "&amp;E4957&amp;" "&amp;G4957&amp;" "&amp;H4957&amp;" "&amp;I4957&amp;" "&amp;J4957&amp;" "&amp;K4957&amp;" "&amp;L4957))),OR($C$5="Semua",$C$5="",G4957=$C$5),OR($C$6="Semua",$C$6="",H4957=$C$6,H4957="Pengeluaran "&amp;$C$6,AND($C$6="Uang Kos Mama",H4957="Pengeluaran Uang Kos")),OR($C$7="Semua",$C$7="",I4957=$C$7),OR($C$8="Semua",$C$8="",C4957=$C$8,E4957=$C$8),OR($C$9="Semua",$C$9="",D4957=$C$9),OR($C$10="",B4957&gt;=$C$10),OR($C$11="",B4957&lt;=$C$11),OR($C$12&lt;&gt;"Ya",K4957&lt;&gt;""),OR($C$13="Semua",$C$13="",L4957=$C$13)),"✓","")</f>
        <v/>
      </c>
      <c r="N4957" s="93">
        <f>N(N4956)+IF(M4957="✓",1,0)</f>
        <v/>
      </c>
      <c r="O4957" s="93">
        <f>N(O4956)+IF(AND(B4957&lt;&gt;"",B4957&gt;='Uang Riba'!$H$30,B4957&lt;='Uang Riba'!$I$30,OR(H4957="Dana riba",H4957="Pinjam uang riba",I4957="Pinjam dari uang riba",I4957="Ganti uang riba",I4957="Kelebihan ganti dikembalikan",AND(C4957="Kantong Uang Riba",G4957="Pengeluaran"))),1,0)</f>
        <v/>
      </c>
      <c r="X4957" s="93">
        <f>IF(AND(B4957&lt;&gt;"",B4957&gt;='Buku Akun'!$H$4,B4957&lt;='Buku Akun'!$H$5,OR(C4957='Buku Akun'!$C$4,AND(D4957="Pindah",E4957='Buku Akun'!$C$4))),B4957+IF(AND(I4957="Selisih bunga",DAY(B4957)=1),0,0.01)+ROW()/10000000,"")</f>
        <v/>
      </c>
    </row>
    <row r="4958" outlineLevel="1" ht="15" customHeight="1" s="94">
      <c r="A4958" s="123">
        <f>IF(B4958="","",ROW()-15)</f>
        <v/>
      </c>
      <c r="B4958" s="124" t="n"/>
      <c r="C4958" s="123" t="n"/>
      <c r="D4958" s="123" t="n"/>
      <c r="E4958" s="123" t="n"/>
      <c r="F4958" s="125" t="n"/>
      <c r="G4958" s="123" t="n"/>
      <c r="H4958" s="123" t="n"/>
      <c r="I4958" s="123" t="n"/>
      <c r="J4958" s="123" t="n"/>
      <c r="K4958" s="123" t="n"/>
      <c r="L4958" s="123" t="n"/>
      <c r="M4958" s="123">
        <f>IF(AND(B4958&lt;&gt;"",OR($C$4="",ISNUMBER(SEARCH($C$4,C4958&amp;" "&amp;E4958&amp;" "&amp;G4958&amp;" "&amp;H4958&amp;" "&amp;I4958&amp;" "&amp;J4958&amp;" "&amp;K4958&amp;" "&amp;L4958))),OR($C$5="Semua",$C$5="",G4958=$C$5),OR($C$6="Semua",$C$6="",H4958=$C$6,H4958="Pengeluaran "&amp;$C$6,AND($C$6="Uang Kos Mama",H4958="Pengeluaran Uang Kos")),OR($C$7="Semua",$C$7="",I4958=$C$7),OR($C$8="Semua",$C$8="",C4958=$C$8,E4958=$C$8),OR($C$9="Semua",$C$9="",D4958=$C$9),OR($C$10="",B4958&gt;=$C$10),OR($C$11="",B4958&lt;=$C$11),OR($C$12&lt;&gt;"Ya",K4958&lt;&gt;""),OR($C$13="Semua",$C$13="",L4958=$C$13)),"✓","")</f>
        <v/>
      </c>
      <c r="N4958" s="93">
        <f>N(N4957)+IF(M4958="✓",1,0)</f>
        <v/>
      </c>
      <c r="O4958" s="93">
        <f>N(O4957)+IF(AND(B4958&lt;&gt;"",B4958&gt;='Uang Riba'!$H$30,B4958&lt;='Uang Riba'!$I$30,OR(H4958="Dana riba",H4958="Pinjam uang riba",I4958="Pinjam dari uang riba",I4958="Ganti uang riba",I4958="Kelebihan ganti dikembalikan",AND(C4958="Kantong Uang Riba",G4958="Pengeluaran"))),1,0)</f>
        <v/>
      </c>
      <c r="X4958" s="93">
        <f>IF(AND(B4958&lt;&gt;"",B4958&gt;='Buku Akun'!$H$4,B4958&lt;='Buku Akun'!$H$5,OR(C4958='Buku Akun'!$C$4,AND(D4958="Pindah",E4958='Buku Akun'!$C$4))),B4958+IF(AND(I4958="Selisih bunga",DAY(B4958)=1),0,0.01)+ROW()/10000000,"")</f>
        <v/>
      </c>
    </row>
    <row r="4959" outlineLevel="1" ht="15" customHeight="1" s="94">
      <c r="A4959" s="123">
        <f>IF(B4959="","",ROW()-15)</f>
        <v/>
      </c>
      <c r="B4959" s="124" t="n"/>
      <c r="C4959" s="123" t="n"/>
      <c r="D4959" s="123" t="n"/>
      <c r="E4959" s="123" t="n"/>
      <c r="F4959" s="125" t="n"/>
      <c r="G4959" s="123" t="n"/>
      <c r="H4959" s="123" t="n"/>
      <c r="I4959" s="123" t="n"/>
      <c r="J4959" s="123" t="n"/>
      <c r="K4959" s="123" t="n"/>
      <c r="L4959" s="123" t="n"/>
      <c r="M4959" s="123">
        <f>IF(AND(B4959&lt;&gt;"",OR($C$4="",ISNUMBER(SEARCH($C$4,C4959&amp;" "&amp;E4959&amp;" "&amp;G4959&amp;" "&amp;H4959&amp;" "&amp;I4959&amp;" "&amp;J4959&amp;" "&amp;K4959&amp;" "&amp;L4959))),OR($C$5="Semua",$C$5="",G4959=$C$5),OR($C$6="Semua",$C$6="",H4959=$C$6,H4959="Pengeluaran "&amp;$C$6,AND($C$6="Uang Kos Mama",H4959="Pengeluaran Uang Kos")),OR($C$7="Semua",$C$7="",I4959=$C$7),OR($C$8="Semua",$C$8="",C4959=$C$8,E4959=$C$8),OR($C$9="Semua",$C$9="",D4959=$C$9),OR($C$10="",B4959&gt;=$C$10),OR($C$11="",B4959&lt;=$C$11),OR($C$12&lt;&gt;"Ya",K4959&lt;&gt;""),OR($C$13="Semua",$C$13="",L4959=$C$13)),"✓","")</f>
        <v/>
      </c>
      <c r="N4959" s="93">
        <f>N(N4958)+IF(M4959="✓",1,0)</f>
        <v/>
      </c>
      <c r="O4959" s="93">
        <f>N(O4958)+IF(AND(B4959&lt;&gt;"",B4959&gt;='Uang Riba'!$H$30,B4959&lt;='Uang Riba'!$I$30,OR(H4959="Dana riba",H4959="Pinjam uang riba",I4959="Pinjam dari uang riba",I4959="Ganti uang riba",I4959="Kelebihan ganti dikembalikan",AND(C4959="Kantong Uang Riba",G4959="Pengeluaran"))),1,0)</f>
        <v/>
      </c>
      <c r="X4959" s="93">
        <f>IF(AND(B4959&lt;&gt;"",B4959&gt;='Buku Akun'!$H$4,B4959&lt;='Buku Akun'!$H$5,OR(C4959='Buku Akun'!$C$4,AND(D4959="Pindah",E4959='Buku Akun'!$C$4))),B4959+IF(AND(I4959="Selisih bunga",DAY(B4959)=1),0,0.01)+ROW()/10000000,"")</f>
        <v/>
      </c>
    </row>
    <row r="4960" outlineLevel="1" ht="15" customHeight="1" s="94">
      <c r="A4960" s="123">
        <f>IF(B4960="","",ROW()-15)</f>
        <v/>
      </c>
      <c r="B4960" s="124" t="n"/>
      <c r="C4960" s="123" t="n"/>
      <c r="D4960" s="123" t="n"/>
      <c r="E4960" s="123" t="n"/>
      <c r="F4960" s="125" t="n"/>
      <c r="G4960" s="123" t="n"/>
      <c r="H4960" s="123" t="n"/>
      <c r="I4960" s="123" t="n"/>
      <c r="J4960" s="123" t="n"/>
      <c r="K4960" s="123" t="n"/>
      <c r="L4960" s="123" t="n"/>
      <c r="M4960" s="123">
        <f>IF(AND(B4960&lt;&gt;"",OR($C$4="",ISNUMBER(SEARCH($C$4,C4960&amp;" "&amp;E4960&amp;" "&amp;G4960&amp;" "&amp;H4960&amp;" "&amp;I4960&amp;" "&amp;J4960&amp;" "&amp;K4960&amp;" "&amp;L4960))),OR($C$5="Semua",$C$5="",G4960=$C$5),OR($C$6="Semua",$C$6="",H4960=$C$6,H4960="Pengeluaran "&amp;$C$6,AND($C$6="Uang Kos Mama",H4960="Pengeluaran Uang Kos")),OR($C$7="Semua",$C$7="",I4960=$C$7),OR($C$8="Semua",$C$8="",C4960=$C$8,E4960=$C$8),OR($C$9="Semua",$C$9="",D4960=$C$9),OR($C$10="",B4960&gt;=$C$10),OR($C$11="",B4960&lt;=$C$11),OR($C$12&lt;&gt;"Ya",K4960&lt;&gt;""),OR($C$13="Semua",$C$13="",L4960=$C$13)),"✓","")</f>
        <v/>
      </c>
      <c r="N4960" s="93">
        <f>N(N4959)+IF(M4960="✓",1,0)</f>
        <v/>
      </c>
      <c r="O4960" s="93">
        <f>N(O4959)+IF(AND(B4960&lt;&gt;"",B4960&gt;='Uang Riba'!$H$30,B4960&lt;='Uang Riba'!$I$30,OR(H4960="Dana riba",H4960="Pinjam uang riba",I4960="Pinjam dari uang riba",I4960="Ganti uang riba",I4960="Kelebihan ganti dikembalikan",AND(C4960="Kantong Uang Riba",G4960="Pengeluaran"))),1,0)</f>
        <v/>
      </c>
      <c r="X4960" s="93">
        <f>IF(AND(B4960&lt;&gt;"",B4960&gt;='Buku Akun'!$H$4,B4960&lt;='Buku Akun'!$H$5,OR(C4960='Buku Akun'!$C$4,AND(D4960="Pindah",E4960='Buku Akun'!$C$4))),B4960+IF(AND(I4960="Selisih bunga",DAY(B4960)=1),0,0.01)+ROW()/10000000,"")</f>
        <v/>
      </c>
    </row>
    <row r="4961" outlineLevel="1" ht="15" customHeight="1" s="94">
      <c r="A4961" s="123">
        <f>IF(B4961="","",ROW()-15)</f>
        <v/>
      </c>
      <c r="B4961" s="124" t="n"/>
      <c r="C4961" s="123" t="n"/>
      <c r="D4961" s="123" t="n"/>
      <c r="E4961" s="123" t="n"/>
      <c r="F4961" s="125" t="n"/>
      <c r="G4961" s="123" t="n"/>
      <c r="H4961" s="123" t="n"/>
      <c r="I4961" s="123" t="n"/>
      <c r="J4961" s="123" t="n"/>
      <c r="K4961" s="123" t="n"/>
      <c r="L4961" s="123" t="n"/>
      <c r="M4961" s="123">
        <f>IF(AND(B4961&lt;&gt;"",OR($C$4="",ISNUMBER(SEARCH($C$4,C4961&amp;" "&amp;E4961&amp;" "&amp;G4961&amp;" "&amp;H4961&amp;" "&amp;I4961&amp;" "&amp;J4961&amp;" "&amp;K4961&amp;" "&amp;L4961))),OR($C$5="Semua",$C$5="",G4961=$C$5),OR($C$6="Semua",$C$6="",H4961=$C$6,H4961="Pengeluaran "&amp;$C$6,AND($C$6="Uang Kos Mama",H4961="Pengeluaran Uang Kos")),OR($C$7="Semua",$C$7="",I4961=$C$7),OR($C$8="Semua",$C$8="",C4961=$C$8,E4961=$C$8),OR($C$9="Semua",$C$9="",D4961=$C$9),OR($C$10="",B4961&gt;=$C$10),OR($C$11="",B4961&lt;=$C$11),OR($C$12&lt;&gt;"Ya",K4961&lt;&gt;""),OR($C$13="Semua",$C$13="",L4961=$C$13)),"✓","")</f>
        <v/>
      </c>
      <c r="N4961" s="93">
        <f>N(N4960)+IF(M4961="✓",1,0)</f>
        <v/>
      </c>
      <c r="O4961" s="93">
        <f>N(O4960)+IF(AND(B4961&lt;&gt;"",B4961&gt;='Uang Riba'!$H$30,B4961&lt;='Uang Riba'!$I$30,OR(H4961="Dana riba",H4961="Pinjam uang riba",I4961="Pinjam dari uang riba",I4961="Ganti uang riba",I4961="Kelebihan ganti dikembalikan",AND(C4961="Kantong Uang Riba",G4961="Pengeluaran"))),1,0)</f>
        <v/>
      </c>
      <c r="X4961" s="93">
        <f>IF(AND(B4961&lt;&gt;"",B4961&gt;='Buku Akun'!$H$4,B4961&lt;='Buku Akun'!$H$5,OR(C4961='Buku Akun'!$C$4,AND(D4961="Pindah",E4961='Buku Akun'!$C$4))),B4961+IF(AND(I4961="Selisih bunga",DAY(B4961)=1),0,0.01)+ROW()/10000000,"")</f>
        <v/>
      </c>
    </row>
    <row r="4962" outlineLevel="1" ht="15" customHeight="1" s="94">
      <c r="A4962" s="123">
        <f>IF(B4962="","",ROW()-15)</f>
        <v/>
      </c>
      <c r="B4962" s="124" t="n"/>
      <c r="C4962" s="123" t="n"/>
      <c r="D4962" s="123" t="n"/>
      <c r="E4962" s="123" t="n"/>
      <c r="F4962" s="125" t="n"/>
      <c r="G4962" s="123" t="n"/>
      <c r="H4962" s="123" t="n"/>
      <c r="I4962" s="123" t="n"/>
      <c r="J4962" s="123" t="n"/>
      <c r="K4962" s="123" t="n"/>
      <c r="L4962" s="123" t="n"/>
      <c r="M4962" s="123">
        <f>IF(AND(B4962&lt;&gt;"",OR($C$4="",ISNUMBER(SEARCH($C$4,C4962&amp;" "&amp;E4962&amp;" "&amp;G4962&amp;" "&amp;H4962&amp;" "&amp;I4962&amp;" "&amp;J4962&amp;" "&amp;K4962&amp;" "&amp;L4962))),OR($C$5="Semua",$C$5="",G4962=$C$5),OR($C$6="Semua",$C$6="",H4962=$C$6,H4962="Pengeluaran "&amp;$C$6,AND($C$6="Uang Kos Mama",H4962="Pengeluaran Uang Kos")),OR($C$7="Semua",$C$7="",I4962=$C$7),OR($C$8="Semua",$C$8="",C4962=$C$8,E4962=$C$8),OR($C$9="Semua",$C$9="",D4962=$C$9),OR($C$10="",B4962&gt;=$C$10),OR($C$11="",B4962&lt;=$C$11),OR($C$12&lt;&gt;"Ya",K4962&lt;&gt;""),OR($C$13="Semua",$C$13="",L4962=$C$13)),"✓","")</f>
        <v/>
      </c>
      <c r="N4962" s="93">
        <f>N(N4961)+IF(M4962="✓",1,0)</f>
        <v/>
      </c>
      <c r="O4962" s="93">
        <f>N(O4961)+IF(AND(B4962&lt;&gt;"",B4962&gt;='Uang Riba'!$H$30,B4962&lt;='Uang Riba'!$I$30,OR(H4962="Dana riba",H4962="Pinjam uang riba",I4962="Pinjam dari uang riba",I4962="Ganti uang riba",I4962="Kelebihan ganti dikembalikan",AND(C4962="Kantong Uang Riba",G4962="Pengeluaran"))),1,0)</f>
        <v/>
      </c>
      <c r="X4962" s="93">
        <f>IF(AND(B4962&lt;&gt;"",B4962&gt;='Buku Akun'!$H$4,B4962&lt;='Buku Akun'!$H$5,OR(C4962='Buku Akun'!$C$4,AND(D4962="Pindah",E4962='Buku Akun'!$C$4))),B4962+IF(AND(I4962="Selisih bunga",DAY(B4962)=1),0,0.01)+ROW()/10000000,"")</f>
        <v/>
      </c>
    </row>
    <row r="4963" outlineLevel="1" ht="15" customHeight="1" s="94">
      <c r="A4963" s="123">
        <f>IF(B4963="","",ROW()-15)</f>
        <v/>
      </c>
      <c r="B4963" s="124" t="n"/>
      <c r="C4963" s="123" t="n"/>
      <c r="D4963" s="123" t="n"/>
      <c r="E4963" s="123" t="n"/>
      <c r="F4963" s="125" t="n"/>
      <c r="G4963" s="123" t="n"/>
      <c r="H4963" s="123" t="n"/>
      <c r="I4963" s="123" t="n"/>
      <c r="J4963" s="123" t="n"/>
      <c r="K4963" s="123" t="n"/>
      <c r="L4963" s="123" t="n"/>
      <c r="M4963" s="123">
        <f>IF(AND(B4963&lt;&gt;"",OR($C$4="",ISNUMBER(SEARCH($C$4,C4963&amp;" "&amp;E4963&amp;" "&amp;G4963&amp;" "&amp;H4963&amp;" "&amp;I4963&amp;" "&amp;J4963&amp;" "&amp;K4963&amp;" "&amp;L4963))),OR($C$5="Semua",$C$5="",G4963=$C$5),OR($C$6="Semua",$C$6="",H4963=$C$6,H4963="Pengeluaran "&amp;$C$6,AND($C$6="Uang Kos Mama",H4963="Pengeluaran Uang Kos")),OR($C$7="Semua",$C$7="",I4963=$C$7),OR($C$8="Semua",$C$8="",C4963=$C$8,E4963=$C$8),OR($C$9="Semua",$C$9="",D4963=$C$9),OR($C$10="",B4963&gt;=$C$10),OR($C$11="",B4963&lt;=$C$11),OR($C$12&lt;&gt;"Ya",K4963&lt;&gt;""),OR($C$13="Semua",$C$13="",L4963=$C$13)),"✓","")</f>
        <v/>
      </c>
      <c r="N4963" s="93">
        <f>N(N4962)+IF(M4963="✓",1,0)</f>
        <v/>
      </c>
      <c r="O4963" s="93">
        <f>N(O4962)+IF(AND(B4963&lt;&gt;"",B4963&gt;='Uang Riba'!$H$30,B4963&lt;='Uang Riba'!$I$30,OR(H4963="Dana riba",H4963="Pinjam uang riba",I4963="Pinjam dari uang riba",I4963="Ganti uang riba",I4963="Kelebihan ganti dikembalikan",AND(C4963="Kantong Uang Riba",G4963="Pengeluaran"))),1,0)</f>
        <v/>
      </c>
      <c r="X4963" s="93">
        <f>IF(AND(B4963&lt;&gt;"",B4963&gt;='Buku Akun'!$H$4,B4963&lt;='Buku Akun'!$H$5,OR(C4963='Buku Akun'!$C$4,AND(D4963="Pindah",E4963='Buku Akun'!$C$4))),B4963+IF(AND(I4963="Selisih bunga",DAY(B4963)=1),0,0.01)+ROW()/10000000,"")</f>
        <v/>
      </c>
    </row>
    <row r="4964" outlineLevel="1" ht="15" customHeight="1" s="94">
      <c r="A4964" s="123">
        <f>IF(B4964="","",ROW()-15)</f>
        <v/>
      </c>
      <c r="B4964" s="124" t="n"/>
      <c r="C4964" s="123" t="n"/>
      <c r="D4964" s="123" t="n"/>
      <c r="E4964" s="123" t="n"/>
      <c r="F4964" s="125" t="n"/>
      <c r="G4964" s="123" t="n"/>
      <c r="H4964" s="123" t="n"/>
      <c r="I4964" s="123" t="n"/>
      <c r="J4964" s="123" t="n"/>
      <c r="K4964" s="123" t="n"/>
      <c r="L4964" s="123" t="n"/>
      <c r="M4964" s="123">
        <f>IF(AND(B4964&lt;&gt;"",OR($C$4="",ISNUMBER(SEARCH($C$4,C4964&amp;" "&amp;E4964&amp;" "&amp;G4964&amp;" "&amp;H4964&amp;" "&amp;I4964&amp;" "&amp;J4964&amp;" "&amp;K4964&amp;" "&amp;L4964))),OR($C$5="Semua",$C$5="",G4964=$C$5),OR($C$6="Semua",$C$6="",H4964=$C$6,H4964="Pengeluaran "&amp;$C$6,AND($C$6="Uang Kos Mama",H4964="Pengeluaran Uang Kos")),OR($C$7="Semua",$C$7="",I4964=$C$7),OR($C$8="Semua",$C$8="",C4964=$C$8,E4964=$C$8),OR($C$9="Semua",$C$9="",D4964=$C$9),OR($C$10="",B4964&gt;=$C$10),OR($C$11="",B4964&lt;=$C$11),OR($C$12&lt;&gt;"Ya",K4964&lt;&gt;""),OR($C$13="Semua",$C$13="",L4964=$C$13)),"✓","")</f>
        <v/>
      </c>
      <c r="N4964" s="93">
        <f>N(N4963)+IF(M4964="✓",1,0)</f>
        <v/>
      </c>
      <c r="O4964" s="93">
        <f>N(O4963)+IF(AND(B4964&lt;&gt;"",B4964&gt;='Uang Riba'!$H$30,B4964&lt;='Uang Riba'!$I$30,OR(H4964="Dana riba",H4964="Pinjam uang riba",I4964="Pinjam dari uang riba",I4964="Ganti uang riba",I4964="Kelebihan ganti dikembalikan",AND(C4964="Kantong Uang Riba",G4964="Pengeluaran"))),1,0)</f>
        <v/>
      </c>
      <c r="X4964" s="93">
        <f>IF(AND(B4964&lt;&gt;"",B4964&gt;='Buku Akun'!$H$4,B4964&lt;='Buku Akun'!$H$5,OR(C4964='Buku Akun'!$C$4,AND(D4964="Pindah",E4964='Buku Akun'!$C$4))),B4964+IF(AND(I4964="Selisih bunga",DAY(B4964)=1),0,0.01)+ROW()/10000000,"")</f>
        <v/>
      </c>
    </row>
    <row r="4965" outlineLevel="1" ht="15" customHeight="1" s="94">
      <c r="A4965" s="123">
        <f>IF(B4965="","",ROW()-15)</f>
        <v/>
      </c>
      <c r="B4965" s="124" t="n"/>
      <c r="C4965" s="123" t="n"/>
      <c r="D4965" s="123" t="n"/>
      <c r="E4965" s="123" t="n"/>
      <c r="F4965" s="125" t="n"/>
      <c r="G4965" s="123" t="n"/>
      <c r="H4965" s="123" t="n"/>
      <c r="I4965" s="123" t="n"/>
      <c r="J4965" s="123" t="n"/>
      <c r="K4965" s="123" t="n"/>
      <c r="L4965" s="123" t="n"/>
      <c r="M4965" s="123">
        <f>IF(AND(B4965&lt;&gt;"",OR($C$4="",ISNUMBER(SEARCH($C$4,C4965&amp;" "&amp;E4965&amp;" "&amp;G4965&amp;" "&amp;H4965&amp;" "&amp;I4965&amp;" "&amp;J4965&amp;" "&amp;K4965&amp;" "&amp;L4965))),OR($C$5="Semua",$C$5="",G4965=$C$5),OR($C$6="Semua",$C$6="",H4965=$C$6,H4965="Pengeluaran "&amp;$C$6,AND($C$6="Uang Kos Mama",H4965="Pengeluaran Uang Kos")),OR($C$7="Semua",$C$7="",I4965=$C$7),OR($C$8="Semua",$C$8="",C4965=$C$8,E4965=$C$8),OR($C$9="Semua",$C$9="",D4965=$C$9),OR($C$10="",B4965&gt;=$C$10),OR($C$11="",B4965&lt;=$C$11),OR($C$12&lt;&gt;"Ya",K4965&lt;&gt;""),OR($C$13="Semua",$C$13="",L4965=$C$13)),"✓","")</f>
        <v/>
      </c>
      <c r="N4965" s="93">
        <f>N(N4964)+IF(M4965="✓",1,0)</f>
        <v/>
      </c>
      <c r="O4965" s="93">
        <f>N(O4964)+IF(AND(B4965&lt;&gt;"",B4965&gt;='Uang Riba'!$H$30,B4965&lt;='Uang Riba'!$I$30,OR(H4965="Dana riba",H4965="Pinjam uang riba",I4965="Pinjam dari uang riba",I4965="Ganti uang riba",I4965="Kelebihan ganti dikembalikan",AND(C4965="Kantong Uang Riba",G4965="Pengeluaran"))),1,0)</f>
        <v/>
      </c>
      <c r="X4965" s="93">
        <f>IF(AND(B4965&lt;&gt;"",B4965&gt;='Buku Akun'!$H$4,B4965&lt;='Buku Akun'!$H$5,OR(C4965='Buku Akun'!$C$4,AND(D4965="Pindah",E4965='Buku Akun'!$C$4))),B4965+IF(AND(I4965="Selisih bunga",DAY(B4965)=1),0,0.01)+ROW()/10000000,"")</f>
        <v/>
      </c>
    </row>
    <row r="4966" outlineLevel="1" ht="15" customHeight="1" s="94">
      <c r="A4966" s="123">
        <f>IF(B4966="","",ROW()-15)</f>
        <v/>
      </c>
      <c r="B4966" s="124" t="n"/>
      <c r="C4966" s="123" t="n"/>
      <c r="D4966" s="123" t="n"/>
      <c r="E4966" s="123" t="n"/>
      <c r="F4966" s="125" t="n"/>
      <c r="G4966" s="123" t="n"/>
      <c r="H4966" s="123" t="n"/>
      <c r="I4966" s="123" t="n"/>
      <c r="J4966" s="123" t="n"/>
      <c r="K4966" s="123" t="n"/>
      <c r="L4966" s="123" t="n"/>
      <c r="M4966" s="123">
        <f>IF(AND(B4966&lt;&gt;"",OR($C$4="",ISNUMBER(SEARCH($C$4,C4966&amp;" "&amp;E4966&amp;" "&amp;G4966&amp;" "&amp;H4966&amp;" "&amp;I4966&amp;" "&amp;J4966&amp;" "&amp;K4966&amp;" "&amp;L4966))),OR($C$5="Semua",$C$5="",G4966=$C$5),OR($C$6="Semua",$C$6="",H4966=$C$6,H4966="Pengeluaran "&amp;$C$6,AND($C$6="Uang Kos Mama",H4966="Pengeluaran Uang Kos")),OR($C$7="Semua",$C$7="",I4966=$C$7),OR($C$8="Semua",$C$8="",C4966=$C$8,E4966=$C$8),OR($C$9="Semua",$C$9="",D4966=$C$9),OR($C$10="",B4966&gt;=$C$10),OR($C$11="",B4966&lt;=$C$11),OR($C$12&lt;&gt;"Ya",K4966&lt;&gt;""),OR($C$13="Semua",$C$13="",L4966=$C$13)),"✓","")</f>
        <v/>
      </c>
      <c r="N4966" s="93">
        <f>N(N4965)+IF(M4966="✓",1,0)</f>
        <v/>
      </c>
      <c r="O4966" s="93">
        <f>N(O4965)+IF(AND(B4966&lt;&gt;"",B4966&gt;='Uang Riba'!$H$30,B4966&lt;='Uang Riba'!$I$30,OR(H4966="Dana riba",H4966="Pinjam uang riba",I4966="Pinjam dari uang riba",I4966="Ganti uang riba",I4966="Kelebihan ganti dikembalikan",AND(C4966="Kantong Uang Riba",G4966="Pengeluaran"))),1,0)</f>
        <v/>
      </c>
      <c r="X4966" s="93">
        <f>IF(AND(B4966&lt;&gt;"",B4966&gt;='Buku Akun'!$H$4,B4966&lt;='Buku Akun'!$H$5,OR(C4966='Buku Akun'!$C$4,AND(D4966="Pindah",E4966='Buku Akun'!$C$4))),B4966+IF(AND(I4966="Selisih bunga",DAY(B4966)=1),0,0.01)+ROW()/10000000,"")</f>
        <v/>
      </c>
    </row>
    <row r="4967" outlineLevel="1" ht="15" customHeight="1" s="94">
      <c r="A4967" s="123">
        <f>IF(B4967="","",ROW()-15)</f>
        <v/>
      </c>
      <c r="B4967" s="124" t="n"/>
      <c r="C4967" s="123" t="n"/>
      <c r="D4967" s="123" t="n"/>
      <c r="E4967" s="123" t="n"/>
      <c r="F4967" s="125" t="n"/>
      <c r="G4967" s="123" t="n"/>
      <c r="H4967" s="123" t="n"/>
      <c r="I4967" s="123" t="n"/>
      <c r="J4967" s="123" t="n"/>
      <c r="K4967" s="123" t="n"/>
      <c r="L4967" s="123" t="n"/>
      <c r="M4967" s="123">
        <f>IF(AND(B4967&lt;&gt;"",OR($C$4="",ISNUMBER(SEARCH($C$4,C4967&amp;" "&amp;E4967&amp;" "&amp;G4967&amp;" "&amp;H4967&amp;" "&amp;I4967&amp;" "&amp;J4967&amp;" "&amp;K4967&amp;" "&amp;L4967))),OR($C$5="Semua",$C$5="",G4967=$C$5),OR($C$6="Semua",$C$6="",H4967=$C$6,H4967="Pengeluaran "&amp;$C$6,AND($C$6="Uang Kos Mama",H4967="Pengeluaran Uang Kos")),OR($C$7="Semua",$C$7="",I4967=$C$7),OR($C$8="Semua",$C$8="",C4967=$C$8,E4967=$C$8),OR($C$9="Semua",$C$9="",D4967=$C$9),OR($C$10="",B4967&gt;=$C$10),OR($C$11="",B4967&lt;=$C$11),OR($C$12&lt;&gt;"Ya",K4967&lt;&gt;""),OR($C$13="Semua",$C$13="",L4967=$C$13)),"✓","")</f>
        <v/>
      </c>
      <c r="N4967" s="93">
        <f>N(N4966)+IF(M4967="✓",1,0)</f>
        <v/>
      </c>
      <c r="O4967" s="93">
        <f>N(O4966)+IF(AND(B4967&lt;&gt;"",B4967&gt;='Uang Riba'!$H$30,B4967&lt;='Uang Riba'!$I$30,OR(H4967="Dana riba",H4967="Pinjam uang riba",I4967="Pinjam dari uang riba",I4967="Ganti uang riba",I4967="Kelebihan ganti dikembalikan",AND(C4967="Kantong Uang Riba",G4967="Pengeluaran"))),1,0)</f>
        <v/>
      </c>
      <c r="X4967" s="93">
        <f>IF(AND(B4967&lt;&gt;"",B4967&gt;='Buku Akun'!$H$4,B4967&lt;='Buku Akun'!$H$5,OR(C4967='Buku Akun'!$C$4,AND(D4967="Pindah",E4967='Buku Akun'!$C$4))),B4967+IF(AND(I4967="Selisih bunga",DAY(B4967)=1),0,0.01)+ROW()/10000000,"")</f>
        <v/>
      </c>
    </row>
    <row r="4968" outlineLevel="1" ht="15" customHeight="1" s="94">
      <c r="A4968" s="123">
        <f>IF(B4968="","",ROW()-15)</f>
        <v/>
      </c>
      <c r="B4968" s="124" t="n"/>
      <c r="C4968" s="123" t="n"/>
      <c r="D4968" s="123" t="n"/>
      <c r="E4968" s="123" t="n"/>
      <c r="F4968" s="125" t="n"/>
      <c r="G4968" s="123" t="n"/>
      <c r="H4968" s="123" t="n"/>
      <c r="I4968" s="123" t="n"/>
      <c r="J4968" s="123" t="n"/>
      <c r="K4968" s="123" t="n"/>
      <c r="L4968" s="123" t="n"/>
      <c r="M4968" s="123">
        <f>IF(AND(B4968&lt;&gt;"",OR($C$4="",ISNUMBER(SEARCH($C$4,C4968&amp;" "&amp;E4968&amp;" "&amp;G4968&amp;" "&amp;H4968&amp;" "&amp;I4968&amp;" "&amp;J4968&amp;" "&amp;K4968&amp;" "&amp;L4968))),OR($C$5="Semua",$C$5="",G4968=$C$5),OR($C$6="Semua",$C$6="",H4968=$C$6,H4968="Pengeluaran "&amp;$C$6,AND($C$6="Uang Kos Mama",H4968="Pengeluaran Uang Kos")),OR($C$7="Semua",$C$7="",I4968=$C$7),OR($C$8="Semua",$C$8="",C4968=$C$8,E4968=$C$8),OR($C$9="Semua",$C$9="",D4968=$C$9),OR($C$10="",B4968&gt;=$C$10),OR($C$11="",B4968&lt;=$C$11),OR($C$12&lt;&gt;"Ya",K4968&lt;&gt;""),OR($C$13="Semua",$C$13="",L4968=$C$13)),"✓","")</f>
        <v/>
      </c>
      <c r="N4968" s="93">
        <f>N(N4967)+IF(M4968="✓",1,0)</f>
        <v/>
      </c>
      <c r="O4968" s="93">
        <f>N(O4967)+IF(AND(B4968&lt;&gt;"",B4968&gt;='Uang Riba'!$H$30,B4968&lt;='Uang Riba'!$I$30,OR(H4968="Dana riba",H4968="Pinjam uang riba",I4968="Pinjam dari uang riba",I4968="Ganti uang riba",I4968="Kelebihan ganti dikembalikan",AND(C4968="Kantong Uang Riba",G4968="Pengeluaran"))),1,0)</f>
        <v/>
      </c>
      <c r="X4968" s="93">
        <f>IF(AND(B4968&lt;&gt;"",B4968&gt;='Buku Akun'!$H$4,B4968&lt;='Buku Akun'!$H$5,OR(C4968='Buku Akun'!$C$4,AND(D4968="Pindah",E4968='Buku Akun'!$C$4))),B4968+IF(AND(I4968="Selisih bunga",DAY(B4968)=1),0,0.01)+ROW()/10000000,"")</f>
        <v/>
      </c>
    </row>
    <row r="4969" outlineLevel="1" ht="15" customHeight="1" s="94">
      <c r="A4969" s="123">
        <f>IF(B4969="","",ROW()-15)</f>
        <v/>
      </c>
      <c r="B4969" s="124" t="n"/>
      <c r="C4969" s="123" t="n"/>
      <c r="D4969" s="123" t="n"/>
      <c r="E4969" s="123" t="n"/>
      <c r="F4969" s="125" t="n"/>
      <c r="G4969" s="123" t="n"/>
      <c r="H4969" s="123" t="n"/>
      <c r="I4969" s="123" t="n"/>
      <c r="J4969" s="123" t="n"/>
      <c r="K4969" s="123" t="n"/>
      <c r="L4969" s="123" t="n"/>
      <c r="M4969" s="123">
        <f>IF(AND(B4969&lt;&gt;"",OR($C$4="",ISNUMBER(SEARCH($C$4,C4969&amp;" "&amp;E4969&amp;" "&amp;G4969&amp;" "&amp;H4969&amp;" "&amp;I4969&amp;" "&amp;J4969&amp;" "&amp;K4969&amp;" "&amp;L4969))),OR($C$5="Semua",$C$5="",G4969=$C$5),OR($C$6="Semua",$C$6="",H4969=$C$6,H4969="Pengeluaran "&amp;$C$6,AND($C$6="Uang Kos Mama",H4969="Pengeluaran Uang Kos")),OR($C$7="Semua",$C$7="",I4969=$C$7),OR($C$8="Semua",$C$8="",C4969=$C$8,E4969=$C$8),OR($C$9="Semua",$C$9="",D4969=$C$9),OR($C$10="",B4969&gt;=$C$10),OR($C$11="",B4969&lt;=$C$11),OR($C$12&lt;&gt;"Ya",K4969&lt;&gt;""),OR($C$13="Semua",$C$13="",L4969=$C$13)),"✓","")</f>
        <v/>
      </c>
      <c r="N4969" s="93">
        <f>N(N4968)+IF(M4969="✓",1,0)</f>
        <v/>
      </c>
      <c r="O4969" s="93">
        <f>N(O4968)+IF(AND(B4969&lt;&gt;"",B4969&gt;='Uang Riba'!$H$30,B4969&lt;='Uang Riba'!$I$30,OR(H4969="Dana riba",H4969="Pinjam uang riba",I4969="Pinjam dari uang riba",I4969="Ganti uang riba",I4969="Kelebihan ganti dikembalikan",AND(C4969="Kantong Uang Riba",G4969="Pengeluaran"))),1,0)</f>
        <v/>
      </c>
      <c r="X4969" s="93">
        <f>IF(AND(B4969&lt;&gt;"",B4969&gt;='Buku Akun'!$H$4,B4969&lt;='Buku Akun'!$H$5,OR(C4969='Buku Akun'!$C$4,AND(D4969="Pindah",E4969='Buku Akun'!$C$4))),B4969+IF(AND(I4969="Selisih bunga",DAY(B4969)=1),0,0.01)+ROW()/10000000,"")</f>
        <v/>
      </c>
    </row>
    <row r="4970" outlineLevel="1" ht="15" customHeight="1" s="94">
      <c r="A4970" s="123">
        <f>IF(B4970="","",ROW()-15)</f>
        <v/>
      </c>
      <c r="B4970" s="124" t="n"/>
      <c r="C4970" s="123" t="n"/>
      <c r="D4970" s="123" t="n"/>
      <c r="E4970" s="123" t="n"/>
      <c r="F4970" s="125" t="n"/>
      <c r="G4970" s="123" t="n"/>
      <c r="H4970" s="123" t="n"/>
      <c r="I4970" s="123" t="n"/>
      <c r="J4970" s="123" t="n"/>
      <c r="K4970" s="123" t="n"/>
      <c r="L4970" s="123" t="n"/>
      <c r="M4970" s="123">
        <f>IF(AND(B4970&lt;&gt;"",OR($C$4="",ISNUMBER(SEARCH($C$4,C4970&amp;" "&amp;E4970&amp;" "&amp;G4970&amp;" "&amp;H4970&amp;" "&amp;I4970&amp;" "&amp;J4970&amp;" "&amp;K4970&amp;" "&amp;L4970))),OR($C$5="Semua",$C$5="",G4970=$C$5),OR($C$6="Semua",$C$6="",H4970=$C$6,H4970="Pengeluaran "&amp;$C$6,AND($C$6="Uang Kos Mama",H4970="Pengeluaran Uang Kos")),OR($C$7="Semua",$C$7="",I4970=$C$7),OR($C$8="Semua",$C$8="",C4970=$C$8,E4970=$C$8),OR($C$9="Semua",$C$9="",D4970=$C$9),OR($C$10="",B4970&gt;=$C$10),OR($C$11="",B4970&lt;=$C$11),OR($C$12&lt;&gt;"Ya",K4970&lt;&gt;""),OR($C$13="Semua",$C$13="",L4970=$C$13)),"✓","")</f>
        <v/>
      </c>
      <c r="N4970" s="93">
        <f>N(N4969)+IF(M4970="✓",1,0)</f>
        <v/>
      </c>
      <c r="O4970" s="93">
        <f>N(O4969)+IF(AND(B4970&lt;&gt;"",B4970&gt;='Uang Riba'!$H$30,B4970&lt;='Uang Riba'!$I$30,OR(H4970="Dana riba",H4970="Pinjam uang riba",I4970="Pinjam dari uang riba",I4970="Ganti uang riba",I4970="Kelebihan ganti dikembalikan",AND(C4970="Kantong Uang Riba",G4970="Pengeluaran"))),1,0)</f>
        <v/>
      </c>
      <c r="X4970" s="93">
        <f>IF(AND(B4970&lt;&gt;"",B4970&gt;='Buku Akun'!$H$4,B4970&lt;='Buku Akun'!$H$5,OR(C4970='Buku Akun'!$C$4,AND(D4970="Pindah",E4970='Buku Akun'!$C$4))),B4970+IF(AND(I4970="Selisih bunga",DAY(B4970)=1),0,0.01)+ROW()/10000000,"")</f>
        <v/>
      </c>
    </row>
    <row r="4971" outlineLevel="1" ht="15" customHeight="1" s="94">
      <c r="A4971" s="123">
        <f>IF(B4971="","",ROW()-15)</f>
        <v/>
      </c>
      <c r="B4971" s="124" t="n"/>
      <c r="C4971" s="123" t="n"/>
      <c r="D4971" s="123" t="n"/>
      <c r="E4971" s="123" t="n"/>
      <c r="F4971" s="125" t="n"/>
      <c r="G4971" s="123" t="n"/>
      <c r="H4971" s="123" t="n"/>
      <c r="I4971" s="123" t="n"/>
      <c r="J4971" s="123" t="n"/>
      <c r="K4971" s="123" t="n"/>
      <c r="L4971" s="123" t="n"/>
      <c r="M4971" s="123">
        <f>IF(AND(B4971&lt;&gt;"",OR($C$4="",ISNUMBER(SEARCH($C$4,C4971&amp;" "&amp;E4971&amp;" "&amp;G4971&amp;" "&amp;H4971&amp;" "&amp;I4971&amp;" "&amp;J4971&amp;" "&amp;K4971&amp;" "&amp;L4971))),OR($C$5="Semua",$C$5="",G4971=$C$5),OR($C$6="Semua",$C$6="",H4971=$C$6,H4971="Pengeluaran "&amp;$C$6,AND($C$6="Uang Kos Mama",H4971="Pengeluaran Uang Kos")),OR($C$7="Semua",$C$7="",I4971=$C$7),OR($C$8="Semua",$C$8="",C4971=$C$8,E4971=$C$8),OR($C$9="Semua",$C$9="",D4971=$C$9),OR($C$10="",B4971&gt;=$C$10),OR($C$11="",B4971&lt;=$C$11),OR($C$12&lt;&gt;"Ya",K4971&lt;&gt;""),OR($C$13="Semua",$C$13="",L4971=$C$13)),"✓","")</f>
        <v/>
      </c>
      <c r="N4971" s="93">
        <f>N(N4970)+IF(M4971="✓",1,0)</f>
        <v/>
      </c>
      <c r="O4971" s="93">
        <f>N(O4970)+IF(AND(B4971&lt;&gt;"",B4971&gt;='Uang Riba'!$H$30,B4971&lt;='Uang Riba'!$I$30,OR(H4971="Dana riba",H4971="Pinjam uang riba",I4971="Pinjam dari uang riba",I4971="Ganti uang riba",I4971="Kelebihan ganti dikembalikan",AND(C4971="Kantong Uang Riba",G4971="Pengeluaran"))),1,0)</f>
        <v/>
      </c>
      <c r="X4971" s="93">
        <f>IF(AND(B4971&lt;&gt;"",B4971&gt;='Buku Akun'!$H$4,B4971&lt;='Buku Akun'!$H$5,OR(C4971='Buku Akun'!$C$4,AND(D4971="Pindah",E4971='Buku Akun'!$C$4))),B4971+IF(AND(I4971="Selisih bunga",DAY(B4971)=1),0,0.01)+ROW()/10000000,"")</f>
        <v/>
      </c>
    </row>
    <row r="4972" outlineLevel="1" ht="15" customHeight="1" s="94">
      <c r="A4972" s="123">
        <f>IF(B4972="","",ROW()-15)</f>
        <v/>
      </c>
      <c r="B4972" s="124" t="n"/>
      <c r="C4972" s="123" t="n"/>
      <c r="D4972" s="123" t="n"/>
      <c r="E4972" s="123" t="n"/>
      <c r="F4972" s="125" t="n"/>
      <c r="G4972" s="123" t="n"/>
      <c r="H4972" s="123" t="n"/>
      <c r="I4972" s="123" t="n"/>
      <c r="J4972" s="123" t="n"/>
      <c r="K4972" s="123" t="n"/>
      <c r="L4972" s="123" t="n"/>
      <c r="M4972" s="123">
        <f>IF(AND(B4972&lt;&gt;"",OR($C$4="",ISNUMBER(SEARCH($C$4,C4972&amp;" "&amp;E4972&amp;" "&amp;G4972&amp;" "&amp;H4972&amp;" "&amp;I4972&amp;" "&amp;J4972&amp;" "&amp;K4972&amp;" "&amp;L4972))),OR($C$5="Semua",$C$5="",G4972=$C$5),OR($C$6="Semua",$C$6="",H4972=$C$6,H4972="Pengeluaran "&amp;$C$6,AND($C$6="Uang Kos Mama",H4972="Pengeluaran Uang Kos")),OR($C$7="Semua",$C$7="",I4972=$C$7),OR($C$8="Semua",$C$8="",C4972=$C$8,E4972=$C$8),OR($C$9="Semua",$C$9="",D4972=$C$9),OR($C$10="",B4972&gt;=$C$10),OR($C$11="",B4972&lt;=$C$11),OR($C$12&lt;&gt;"Ya",K4972&lt;&gt;""),OR($C$13="Semua",$C$13="",L4972=$C$13)),"✓","")</f>
        <v/>
      </c>
      <c r="N4972" s="93">
        <f>N(N4971)+IF(M4972="✓",1,0)</f>
        <v/>
      </c>
      <c r="O4972" s="93">
        <f>N(O4971)+IF(AND(B4972&lt;&gt;"",B4972&gt;='Uang Riba'!$H$30,B4972&lt;='Uang Riba'!$I$30,OR(H4972="Dana riba",H4972="Pinjam uang riba",I4972="Pinjam dari uang riba",I4972="Ganti uang riba",I4972="Kelebihan ganti dikembalikan",AND(C4972="Kantong Uang Riba",G4972="Pengeluaran"))),1,0)</f>
        <v/>
      </c>
      <c r="X4972" s="93">
        <f>IF(AND(B4972&lt;&gt;"",B4972&gt;='Buku Akun'!$H$4,B4972&lt;='Buku Akun'!$H$5,OR(C4972='Buku Akun'!$C$4,AND(D4972="Pindah",E4972='Buku Akun'!$C$4))),B4972+IF(AND(I4972="Selisih bunga",DAY(B4972)=1),0,0.01)+ROW()/10000000,"")</f>
        <v/>
      </c>
    </row>
    <row r="4973" outlineLevel="1" ht="15" customHeight="1" s="94">
      <c r="A4973" s="123">
        <f>IF(B4973="","",ROW()-15)</f>
        <v/>
      </c>
      <c r="B4973" s="124" t="n"/>
      <c r="C4973" s="123" t="n"/>
      <c r="D4973" s="123" t="n"/>
      <c r="E4973" s="123" t="n"/>
      <c r="F4973" s="125" t="n"/>
      <c r="G4973" s="123" t="n"/>
      <c r="H4973" s="123" t="n"/>
      <c r="I4973" s="123" t="n"/>
      <c r="J4973" s="123" t="n"/>
      <c r="K4973" s="123" t="n"/>
      <c r="L4973" s="123" t="n"/>
      <c r="M4973" s="123">
        <f>IF(AND(B4973&lt;&gt;"",OR($C$4="",ISNUMBER(SEARCH($C$4,C4973&amp;" "&amp;E4973&amp;" "&amp;G4973&amp;" "&amp;H4973&amp;" "&amp;I4973&amp;" "&amp;J4973&amp;" "&amp;K4973&amp;" "&amp;L4973))),OR($C$5="Semua",$C$5="",G4973=$C$5),OR($C$6="Semua",$C$6="",H4973=$C$6,H4973="Pengeluaran "&amp;$C$6,AND($C$6="Uang Kos Mama",H4973="Pengeluaran Uang Kos")),OR($C$7="Semua",$C$7="",I4973=$C$7),OR($C$8="Semua",$C$8="",C4973=$C$8,E4973=$C$8),OR($C$9="Semua",$C$9="",D4973=$C$9),OR($C$10="",B4973&gt;=$C$10),OR($C$11="",B4973&lt;=$C$11),OR($C$12&lt;&gt;"Ya",K4973&lt;&gt;""),OR($C$13="Semua",$C$13="",L4973=$C$13)),"✓","")</f>
        <v/>
      </c>
      <c r="N4973" s="93">
        <f>N(N4972)+IF(M4973="✓",1,0)</f>
        <v/>
      </c>
      <c r="O4973" s="93">
        <f>N(O4972)+IF(AND(B4973&lt;&gt;"",B4973&gt;='Uang Riba'!$H$30,B4973&lt;='Uang Riba'!$I$30,OR(H4973="Dana riba",H4973="Pinjam uang riba",I4973="Pinjam dari uang riba",I4973="Ganti uang riba",I4973="Kelebihan ganti dikembalikan",AND(C4973="Kantong Uang Riba",G4973="Pengeluaran"))),1,0)</f>
        <v/>
      </c>
      <c r="X4973" s="93">
        <f>IF(AND(B4973&lt;&gt;"",B4973&gt;='Buku Akun'!$H$4,B4973&lt;='Buku Akun'!$H$5,OR(C4973='Buku Akun'!$C$4,AND(D4973="Pindah",E4973='Buku Akun'!$C$4))),B4973+IF(AND(I4973="Selisih bunga",DAY(B4973)=1),0,0.01)+ROW()/10000000,"")</f>
        <v/>
      </c>
    </row>
    <row r="4974" outlineLevel="1" ht="15" customHeight="1" s="94">
      <c r="A4974" s="123">
        <f>IF(B4974="","",ROW()-15)</f>
        <v/>
      </c>
      <c r="B4974" s="124" t="n"/>
      <c r="C4974" s="123" t="n"/>
      <c r="D4974" s="123" t="n"/>
      <c r="E4974" s="123" t="n"/>
      <c r="F4974" s="125" t="n"/>
      <c r="G4974" s="123" t="n"/>
      <c r="H4974" s="123" t="n"/>
      <c r="I4974" s="123" t="n"/>
      <c r="J4974" s="123" t="n"/>
      <c r="K4974" s="123" t="n"/>
      <c r="L4974" s="123" t="n"/>
      <c r="M4974" s="123">
        <f>IF(AND(B4974&lt;&gt;"",OR($C$4="",ISNUMBER(SEARCH($C$4,C4974&amp;" "&amp;E4974&amp;" "&amp;G4974&amp;" "&amp;H4974&amp;" "&amp;I4974&amp;" "&amp;J4974&amp;" "&amp;K4974&amp;" "&amp;L4974))),OR($C$5="Semua",$C$5="",G4974=$C$5),OR($C$6="Semua",$C$6="",H4974=$C$6,H4974="Pengeluaran "&amp;$C$6,AND($C$6="Uang Kos Mama",H4974="Pengeluaran Uang Kos")),OR($C$7="Semua",$C$7="",I4974=$C$7),OR($C$8="Semua",$C$8="",C4974=$C$8,E4974=$C$8),OR($C$9="Semua",$C$9="",D4974=$C$9),OR($C$10="",B4974&gt;=$C$10),OR($C$11="",B4974&lt;=$C$11),OR($C$12&lt;&gt;"Ya",K4974&lt;&gt;""),OR($C$13="Semua",$C$13="",L4974=$C$13)),"✓","")</f>
        <v/>
      </c>
      <c r="N4974" s="93">
        <f>N(N4973)+IF(M4974="✓",1,0)</f>
        <v/>
      </c>
      <c r="O4974" s="93">
        <f>N(O4973)+IF(AND(B4974&lt;&gt;"",B4974&gt;='Uang Riba'!$H$30,B4974&lt;='Uang Riba'!$I$30,OR(H4974="Dana riba",H4974="Pinjam uang riba",I4974="Pinjam dari uang riba",I4974="Ganti uang riba",I4974="Kelebihan ganti dikembalikan",AND(C4974="Kantong Uang Riba",G4974="Pengeluaran"))),1,0)</f>
        <v/>
      </c>
      <c r="X4974" s="93">
        <f>IF(AND(B4974&lt;&gt;"",B4974&gt;='Buku Akun'!$H$4,B4974&lt;='Buku Akun'!$H$5,OR(C4974='Buku Akun'!$C$4,AND(D4974="Pindah",E4974='Buku Akun'!$C$4))),B4974+IF(AND(I4974="Selisih bunga",DAY(B4974)=1),0,0.01)+ROW()/10000000,"")</f>
        <v/>
      </c>
    </row>
    <row r="4975" outlineLevel="1" ht="15" customHeight="1" s="94">
      <c r="A4975" s="123">
        <f>IF(B4975="","",ROW()-15)</f>
        <v/>
      </c>
      <c r="B4975" s="124" t="n"/>
      <c r="C4975" s="123" t="n"/>
      <c r="D4975" s="123" t="n"/>
      <c r="E4975" s="123" t="n"/>
      <c r="F4975" s="125" t="n"/>
      <c r="G4975" s="123" t="n"/>
      <c r="H4975" s="123" t="n"/>
      <c r="I4975" s="123" t="n"/>
      <c r="J4975" s="123" t="n"/>
      <c r="K4975" s="123" t="n"/>
      <c r="L4975" s="123" t="n"/>
      <c r="M4975" s="123">
        <f>IF(AND(B4975&lt;&gt;"",OR($C$4="",ISNUMBER(SEARCH($C$4,C4975&amp;" "&amp;E4975&amp;" "&amp;G4975&amp;" "&amp;H4975&amp;" "&amp;I4975&amp;" "&amp;J4975&amp;" "&amp;K4975&amp;" "&amp;L4975))),OR($C$5="Semua",$C$5="",G4975=$C$5),OR($C$6="Semua",$C$6="",H4975=$C$6,H4975="Pengeluaran "&amp;$C$6,AND($C$6="Uang Kos Mama",H4975="Pengeluaran Uang Kos")),OR($C$7="Semua",$C$7="",I4975=$C$7),OR($C$8="Semua",$C$8="",C4975=$C$8,E4975=$C$8),OR($C$9="Semua",$C$9="",D4975=$C$9),OR($C$10="",B4975&gt;=$C$10),OR($C$11="",B4975&lt;=$C$11),OR($C$12&lt;&gt;"Ya",K4975&lt;&gt;""),OR($C$13="Semua",$C$13="",L4975=$C$13)),"✓","")</f>
        <v/>
      </c>
      <c r="N4975" s="93">
        <f>N(N4974)+IF(M4975="✓",1,0)</f>
        <v/>
      </c>
      <c r="O4975" s="93">
        <f>N(O4974)+IF(AND(B4975&lt;&gt;"",B4975&gt;='Uang Riba'!$H$30,B4975&lt;='Uang Riba'!$I$30,OR(H4975="Dana riba",H4975="Pinjam uang riba",I4975="Pinjam dari uang riba",I4975="Ganti uang riba",I4975="Kelebihan ganti dikembalikan",AND(C4975="Kantong Uang Riba",G4975="Pengeluaran"))),1,0)</f>
        <v/>
      </c>
      <c r="X4975" s="93">
        <f>IF(AND(B4975&lt;&gt;"",B4975&gt;='Buku Akun'!$H$4,B4975&lt;='Buku Akun'!$H$5,OR(C4975='Buku Akun'!$C$4,AND(D4975="Pindah",E4975='Buku Akun'!$C$4))),B4975+IF(AND(I4975="Selisih bunga",DAY(B4975)=1),0,0.01)+ROW()/10000000,"")</f>
        <v/>
      </c>
    </row>
    <row r="4976" outlineLevel="1" ht="15" customHeight="1" s="94">
      <c r="A4976" s="123">
        <f>IF(B4976="","",ROW()-15)</f>
        <v/>
      </c>
      <c r="B4976" s="124" t="n"/>
      <c r="C4976" s="123" t="n"/>
      <c r="D4976" s="123" t="n"/>
      <c r="E4976" s="123" t="n"/>
      <c r="F4976" s="125" t="n"/>
      <c r="G4976" s="123" t="n"/>
      <c r="H4976" s="123" t="n"/>
      <c r="I4976" s="123" t="n"/>
      <c r="J4976" s="123" t="n"/>
      <c r="K4976" s="123" t="n"/>
      <c r="L4976" s="123" t="n"/>
      <c r="M4976" s="123">
        <f>IF(AND(B4976&lt;&gt;"",OR($C$4="",ISNUMBER(SEARCH($C$4,C4976&amp;" "&amp;E4976&amp;" "&amp;G4976&amp;" "&amp;H4976&amp;" "&amp;I4976&amp;" "&amp;J4976&amp;" "&amp;K4976&amp;" "&amp;L4976))),OR($C$5="Semua",$C$5="",G4976=$C$5),OR($C$6="Semua",$C$6="",H4976=$C$6,H4976="Pengeluaran "&amp;$C$6,AND($C$6="Uang Kos Mama",H4976="Pengeluaran Uang Kos")),OR($C$7="Semua",$C$7="",I4976=$C$7),OR($C$8="Semua",$C$8="",C4976=$C$8,E4976=$C$8),OR($C$9="Semua",$C$9="",D4976=$C$9),OR($C$10="",B4976&gt;=$C$10),OR($C$11="",B4976&lt;=$C$11),OR($C$12&lt;&gt;"Ya",K4976&lt;&gt;""),OR($C$13="Semua",$C$13="",L4976=$C$13)),"✓","")</f>
        <v/>
      </c>
      <c r="N4976" s="93">
        <f>N(N4975)+IF(M4976="✓",1,0)</f>
        <v/>
      </c>
      <c r="O4976" s="93">
        <f>N(O4975)+IF(AND(B4976&lt;&gt;"",B4976&gt;='Uang Riba'!$H$30,B4976&lt;='Uang Riba'!$I$30,OR(H4976="Dana riba",H4976="Pinjam uang riba",I4976="Pinjam dari uang riba",I4976="Ganti uang riba",I4976="Kelebihan ganti dikembalikan",AND(C4976="Kantong Uang Riba",G4976="Pengeluaran"))),1,0)</f>
        <v/>
      </c>
      <c r="X4976" s="93">
        <f>IF(AND(B4976&lt;&gt;"",B4976&gt;='Buku Akun'!$H$4,B4976&lt;='Buku Akun'!$H$5,OR(C4976='Buku Akun'!$C$4,AND(D4976="Pindah",E4976='Buku Akun'!$C$4))),B4976+IF(AND(I4976="Selisih bunga",DAY(B4976)=1),0,0.01)+ROW()/10000000,"")</f>
        <v/>
      </c>
    </row>
    <row r="4977" outlineLevel="1" ht="15" customHeight="1" s="94">
      <c r="A4977" s="123">
        <f>IF(B4977="","",ROW()-15)</f>
        <v/>
      </c>
      <c r="B4977" s="124" t="n"/>
      <c r="C4977" s="123" t="n"/>
      <c r="D4977" s="123" t="n"/>
      <c r="E4977" s="123" t="n"/>
      <c r="F4977" s="125" t="n"/>
      <c r="G4977" s="123" t="n"/>
      <c r="H4977" s="123" t="n"/>
      <c r="I4977" s="123" t="n"/>
      <c r="J4977" s="123" t="n"/>
      <c r="K4977" s="123" t="n"/>
      <c r="L4977" s="123" t="n"/>
      <c r="M4977" s="123">
        <f>IF(AND(B4977&lt;&gt;"",OR($C$4="",ISNUMBER(SEARCH($C$4,C4977&amp;" "&amp;E4977&amp;" "&amp;G4977&amp;" "&amp;H4977&amp;" "&amp;I4977&amp;" "&amp;J4977&amp;" "&amp;K4977&amp;" "&amp;L4977))),OR($C$5="Semua",$C$5="",G4977=$C$5),OR($C$6="Semua",$C$6="",H4977=$C$6,H4977="Pengeluaran "&amp;$C$6,AND($C$6="Uang Kos Mama",H4977="Pengeluaran Uang Kos")),OR($C$7="Semua",$C$7="",I4977=$C$7),OR($C$8="Semua",$C$8="",C4977=$C$8,E4977=$C$8),OR($C$9="Semua",$C$9="",D4977=$C$9),OR($C$10="",B4977&gt;=$C$10),OR($C$11="",B4977&lt;=$C$11),OR($C$12&lt;&gt;"Ya",K4977&lt;&gt;""),OR($C$13="Semua",$C$13="",L4977=$C$13)),"✓","")</f>
        <v/>
      </c>
      <c r="N4977" s="93">
        <f>N(N4976)+IF(M4977="✓",1,0)</f>
        <v/>
      </c>
      <c r="O4977" s="93">
        <f>N(O4976)+IF(AND(B4977&lt;&gt;"",B4977&gt;='Uang Riba'!$H$30,B4977&lt;='Uang Riba'!$I$30,OR(H4977="Dana riba",H4977="Pinjam uang riba",I4977="Pinjam dari uang riba",I4977="Ganti uang riba",I4977="Kelebihan ganti dikembalikan",AND(C4977="Kantong Uang Riba",G4977="Pengeluaran"))),1,0)</f>
        <v/>
      </c>
      <c r="X4977" s="93">
        <f>IF(AND(B4977&lt;&gt;"",B4977&gt;='Buku Akun'!$H$4,B4977&lt;='Buku Akun'!$H$5,OR(C4977='Buku Akun'!$C$4,AND(D4977="Pindah",E4977='Buku Akun'!$C$4))),B4977+IF(AND(I4977="Selisih bunga",DAY(B4977)=1),0,0.01)+ROW()/10000000,"")</f>
        <v/>
      </c>
    </row>
    <row r="4978" outlineLevel="1" ht="15" customHeight="1" s="94">
      <c r="A4978" s="123">
        <f>IF(B4978="","",ROW()-15)</f>
        <v/>
      </c>
      <c r="B4978" s="124" t="n"/>
      <c r="C4978" s="123" t="n"/>
      <c r="D4978" s="123" t="n"/>
      <c r="E4978" s="123" t="n"/>
      <c r="F4978" s="125" t="n"/>
      <c r="G4978" s="123" t="n"/>
      <c r="H4978" s="123" t="n"/>
      <c r="I4978" s="123" t="n"/>
      <c r="J4978" s="123" t="n"/>
      <c r="K4978" s="123" t="n"/>
      <c r="L4978" s="123" t="n"/>
      <c r="M4978" s="123">
        <f>IF(AND(B4978&lt;&gt;"",OR($C$4="",ISNUMBER(SEARCH($C$4,C4978&amp;" "&amp;E4978&amp;" "&amp;G4978&amp;" "&amp;H4978&amp;" "&amp;I4978&amp;" "&amp;J4978&amp;" "&amp;K4978&amp;" "&amp;L4978))),OR($C$5="Semua",$C$5="",G4978=$C$5),OR($C$6="Semua",$C$6="",H4978=$C$6,H4978="Pengeluaran "&amp;$C$6,AND($C$6="Uang Kos Mama",H4978="Pengeluaran Uang Kos")),OR($C$7="Semua",$C$7="",I4978=$C$7),OR($C$8="Semua",$C$8="",C4978=$C$8,E4978=$C$8),OR($C$9="Semua",$C$9="",D4978=$C$9),OR($C$10="",B4978&gt;=$C$10),OR($C$11="",B4978&lt;=$C$11),OR($C$12&lt;&gt;"Ya",K4978&lt;&gt;""),OR($C$13="Semua",$C$13="",L4978=$C$13)),"✓","")</f>
        <v/>
      </c>
      <c r="N4978" s="93">
        <f>N(N4977)+IF(M4978="✓",1,0)</f>
        <v/>
      </c>
      <c r="O4978" s="93">
        <f>N(O4977)+IF(AND(B4978&lt;&gt;"",B4978&gt;='Uang Riba'!$H$30,B4978&lt;='Uang Riba'!$I$30,OR(H4978="Dana riba",H4978="Pinjam uang riba",I4978="Pinjam dari uang riba",I4978="Ganti uang riba",I4978="Kelebihan ganti dikembalikan",AND(C4978="Kantong Uang Riba",G4978="Pengeluaran"))),1,0)</f>
        <v/>
      </c>
      <c r="X4978" s="93">
        <f>IF(AND(B4978&lt;&gt;"",B4978&gt;='Buku Akun'!$H$4,B4978&lt;='Buku Akun'!$H$5,OR(C4978='Buku Akun'!$C$4,AND(D4978="Pindah",E4978='Buku Akun'!$C$4))),B4978+IF(AND(I4978="Selisih bunga",DAY(B4978)=1),0,0.01)+ROW()/10000000,"")</f>
        <v/>
      </c>
    </row>
    <row r="4979" outlineLevel="1" ht="15" customHeight="1" s="94">
      <c r="A4979" s="123">
        <f>IF(B4979="","",ROW()-15)</f>
        <v/>
      </c>
      <c r="B4979" s="124" t="n"/>
      <c r="C4979" s="123" t="n"/>
      <c r="D4979" s="123" t="n"/>
      <c r="E4979" s="123" t="n"/>
      <c r="F4979" s="125" t="n"/>
      <c r="G4979" s="123" t="n"/>
      <c r="H4979" s="123" t="n"/>
      <c r="I4979" s="123" t="n"/>
      <c r="J4979" s="123" t="n"/>
      <c r="K4979" s="123" t="n"/>
      <c r="L4979" s="123" t="n"/>
      <c r="M4979" s="123">
        <f>IF(AND(B4979&lt;&gt;"",OR($C$4="",ISNUMBER(SEARCH($C$4,C4979&amp;" "&amp;E4979&amp;" "&amp;G4979&amp;" "&amp;H4979&amp;" "&amp;I4979&amp;" "&amp;J4979&amp;" "&amp;K4979&amp;" "&amp;L4979))),OR($C$5="Semua",$C$5="",G4979=$C$5),OR($C$6="Semua",$C$6="",H4979=$C$6,H4979="Pengeluaran "&amp;$C$6,AND($C$6="Uang Kos Mama",H4979="Pengeluaran Uang Kos")),OR($C$7="Semua",$C$7="",I4979=$C$7),OR($C$8="Semua",$C$8="",C4979=$C$8,E4979=$C$8),OR($C$9="Semua",$C$9="",D4979=$C$9),OR($C$10="",B4979&gt;=$C$10),OR($C$11="",B4979&lt;=$C$11),OR($C$12&lt;&gt;"Ya",K4979&lt;&gt;""),OR($C$13="Semua",$C$13="",L4979=$C$13)),"✓","")</f>
        <v/>
      </c>
      <c r="N4979" s="93">
        <f>N(N4978)+IF(M4979="✓",1,0)</f>
        <v/>
      </c>
      <c r="O4979" s="93">
        <f>N(O4978)+IF(AND(B4979&lt;&gt;"",B4979&gt;='Uang Riba'!$H$30,B4979&lt;='Uang Riba'!$I$30,OR(H4979="Dana riba",H4979="Pinjam uang riba",I4979="Pinjam dari uang riba",I4979="Ganti uang riba",I4979="Kelebihan ganti dikembalikan",AND(C4979="Kantong Uang Riba",G4979="Pengeluaran"))),1,0)</f>
        <v/>
      </c>
      <c r="X4979" s="93">
        <f>IF(AND(B4979&lt;&gt;"",B4979&gt;='Buku Akun'!$H$4,B4979&lt;='Buku Akun'!$H$5,OR(C4979='Buku Akun'!$C$4,AND(D4979="Pindah",E4979='Buku Akun'!$C$4))),B4979+IF(AND(I4979="Selisih bunga",DAY(B4979)=1),0,0.01)+ROW()/10000000,"")</f>
        <v/>
      </c>
    </row>
    <row r="4980" outlineLevel="1" ht="15" customHeight="1" s="94">
      <c r="A4980" s="123">
        <f>IF(B4980="","",ROW()-15)</f>
        <v/>
      </c>
      <c r="B4980" s="124" t="n"/>
      <c r="C4980" s="123" t="n"/>
      <c r="D4980" s="123" t="n"/>
      <c r="E4980" s="123" t="n"/>
      <c r="F4980" s="125" t="n"/>
      <c r="G4980" s="123" t="n"/>
      <c r="H4980" s="123" t="n"/>
      <c r="I4980" s="123" t="n"/>
      <c r="J4980" s="123" t="n"/>
      <c r="K4980" s="123" t="n"/>
      <c r="L4980" s="123" t="n"/>
      <c r="M4980" s="123">
        <f>IF(AND(B4980&lt;&gt;"",OR($C$4="",ISNUMBER(SEARCH($C$4,C4980&amp;" "&amp;E4980&amp;" "&amp;G4980&amp;" "&amp;H4980&amp;" "&amp;I4980&amp;" "&amp;J4980&amp;" "&amp;K4980&amp;" "&amp;L4980))),OR($C$5="Semua",$C$5="",G4980=$C$5),OR($C$6="Semua",$C$6="",H4980=$C$6,H4980="Pengeluaran "&amp;$C$6,AND($C$6="Uang Kos Mama",H4980="Pengeluaran Uang Kos")),OR($C$7="Semua",$C$7="",I4980=$C$7),OR($C$8="Semua",$C$8="",C4980=$C$8,E4980=$C$8),OR($C$9="Semua",$C$9="",D4980=$C$9),OR($C$10="",B4980&gt;=$C$10),OR($C$11="",B4980&lt;=$C$11),OR($C$12&lt;&gt;"Ya",K4980&lt;&gt;""),OR($C$13="Semua",$C$13="",L4980=$C$13)),"✓","")</f>
        <v/>
      </c>
      <c r="N4980" s="93">
        <f>N(N4979)+IF(M4980="✓",1,0)</f>
        <v/>
      </c>
      <c r="O4980" s="93">
        <f>N(O4979)+IF(AND(B4980&lt;&gt;"",B4980&gt;='Uang Riba'!$H$30,B4980&lt;='Uang Riba'!$I$30,OR(H4980="Dana riba",H4980="Pinjam uang riba",I4980="Pinjam dari uang riba",I4980="Ganti uang riba",I4980="Kelebihan ganti dikembalikan",AND(C4980="Kantong Uang Riba",G4980="Pengeluaran"))),1,0)</f>
        <v/>
      </c>
      <c r="X4980" s="93">
        <f>IF(AND(B4980&lt;&gt;"",B4980&gt;='Buku Akun'!$H$4,B4980&lt;='Buku Akun'!$H$5,OR(C4980='Buku Akun'!$C$4,AND(D4980="Pindah",E4980='Buku Akun'!$C$4))),B4980+IF(AND(I4980="Selisih bunga",DAY(B4980)=1),0,0.01)+ROW()/10000000,"")</f>
        <v/>
      </c>
    </row>
    <row r="4981" outlineLevel="1" ht="15" customHeight="1" s="94">
      <c r="A4981" s="123">
        <f>IF(B4981="","",ROW()-15)</f>
        <v/>
      </c>
      <c r="B4981" s="124" t="n"/>
      <c r="C4981" s="123" t="n"/>
      <c r="D4981" s="123" t="n"/>
      <c r="E4981" s="123" t="n"/>
      <c r="F4981" s="125" t="n"/>
      <c r="G4981" s="123" t="n"/>
      <c r="H4981" s="123" t="n"/>
      <c r="I4981" s="123" t="n"/>
      <c r="J4981" s="123" t="n"/>
      <c r="K4981" s="123" t="n"/>
      <c r="L4981" s="123" t="n"/>
      <c r="M4981" s="123">
        <f>IF(AND(B4981&lt;&gt;"",OR($C$4="",ISNUMBER(SEARCH($C$4,C4981&amp;" "&amp;E4981&amp;" "&amp;G4981&amp;" "&amp;H4981&amp;" "&amp;I4981&amp;" "&amp;J4981&amp;" "&amp;K4981&amp;" "&amp;L4981))),OR($C$5="Semua",$C$5="",G4981=$C$5),OR($C$6="Semua",$C$6="",H4981=$C$6,H4981="Pengeluaran "&amp;$C$6,AND($C$6="Uang Kos Mama",H4981="Pengeluaran Uang Kos")),OR($C$7="Semua",$C$7="",I4981=$C$7),OR($C$8="Semua",$C$8="",C4981=$C$8,E4981=$C$8),OR($C$9="Semua",$C$9="",D4981=$C$9),OR($C$10="",B4981&gt;=$C$10),OR($C$11="",B4981&lt;=$C$11),OR($C$12&lt;&gt;"Ya",K4981&lt;&gt;""),OR($C$13="Semua",$C$13="",L4981=$C$13)),"✓","")</f>
        <v/>
      </c>
      <c r="N4981" s="93">
        <f>N(N4980)+IF(M4981="✓",1,0)</f>
        <v/>
      </c>
      <c r="O4981" s="93">
        <f>N(O4980)+IF(AND(B4981&lt;&gt;"",B4981&gt;='Uang Riba'!$H$30,B4981&lt;='Uang Riba'!$I$30,OR(H4981="Dana riba",H4981="Pinjam uang riba",I4981="Pinjam dari uang riba",I4981="Ganti uang riba",I4981="Kelebihan ganti dikembalikan",AND(C4981="Kantong Uang Riba",G4981="Pengeluaran"))),1,0)</f>
        <v/>
      </c>
      <c r="X4981" s="93">
        <f>IF(AND(B4981&lt;&gt;"",B4981&gt;='Buku Akun'!$H$4,B4981&lt;='Buku Akun'!$H$5,OR(C4981='Buku Akun'!$C$4,AND(D4981="Pindah",E4981='Buku Akun'!$C$4))),B4981+IF(AND(I4981="Selisih bunga",DAY(B4981)=1),0,0.01)+ROW()/10000000,"")</f>
        <v/>
      </c>
    </row>
    <row r="4982" outlineLevel="1" ht="15" customHeight="1" s="94">
      <c r="A4982" s="123">
        <f>IF(B4982="","",ROW()-15)</f>
        <v/>
      </c>
      <c r="B4982" s="124" t="n"/>
      <c r="C4982" s="123" t="n"/>
      <c r="D4982" s="123" t="n"/>
      <c r="E4982" s="123" t="n"/>
      <c r="F4982" s="125" t="n"/>
      <c r="G4982" s="123" t="n"/>
      <c r="H4982" s="123" t="n"/>
      <c r="I4982" s="123" t="n"/>
      <c r="J4982" s="123" t="n"/>
      <c r="K4982" s="123" t="n"/>
      <c r="L4982" s="123" t="n"/>
      <c r="M4982" s="123">
        <f>IF(AND(B4982&lt;&gt;"",OR($C$4="",ISNUMBER(SEARCH($C$4,C4982&amp;" "&amp;E4982&amp;" "&amp;G4982&amp;" "&amp;H4982&amp;" "&amp;I4982&amp;" "&amp;J4982&amp;" "&amp;K4982&amp;" "&amp;L4982))),OR($C$5="Semua",$C$5="",G4982=$C$5),OR($C$6="Semua",$C$6="",H4982=$C$6,H4982="Pengeluaran "&amp;$C$6,AND($C$6="Uang Kos Mama",H4982="Pengeluaran Uang Kos")),OR($C$7="Semua",$C$7="",I4982=$C$7),OR($C$8="Semua",$C$8="",C4982=$C$8,E4982=$C$8),OR($C$9="Semua",$C$9="",D4982=$C$9),OR($C$10="",B4982&gt;=$C$10),OR($C$11="",B4982&lt;=$C$11),OR($C$12&lt;&gt;"Ya",K4982&lt;&gt;""),OR($C$13="Semua",$C$13="",L4982=$C$13)),"✓","")</f>
        <v/>
      </c>
      <c r="N4982" s="93">
        <f>N(N4981)+IF(M4982="✓",1,0)</f>
        <v/>
      </c>
      <c r="O4982" s="93">
        <f>N(O4981)+IF(AND(B4982&lt;&gt;"",B4982&gt;='Uang Riba'!$H$30,B4982&lt;='Uang Riba'!$I$30,OR(H4982="Dana riba",H4982="Pinjam uang riba",I4982="Pinjam dari uang riba",I4982="Ganti uang riba",I4982="Kelebihan ganti dikembalikan",AND(C4982="Kantong Uang Riba",G4982="Pengeluaran"))),1,0)</f>
        <v/>
      </c>
      <c r="X4982" s="93">
        <f>IF(AND(B4982&lt;&gt;"",B4982&gt;='Buku Akun'!$H$4,B4982&lt;='Buku Akun'!$H$5,OR(C4982='Buku Akun'!$C$4,AND(D4982="Pindah",E4982='Buku Akun'!$C$4))),B4982+IF(AND(I4982="Selisih bunga",DAY(B4982)=1),0,0.01)+ROW()/10000000,"")</f>
        <v/>
      </c>
    </row>
    <row r="4983" outlineLevel="1" ht="15" customHeight="1" s="94">
      <c r="A4983" s="123">
        <f>IF(B4983="","",ROW()-15)</f>
        <v/>
      </c>
      <c r="B4983" s="124" t="n"/>
      <c r="C4983" s="123" t="n"/>
      <c r="D4983" s="123" t="n"/>
      <c r="E4983" s="123" t="n"/>
      <c r="F4983" s="125" t="n"/>
      <c r="G4983" s="123" t="n"/>
      <c r="H4983" s="123" t="n"/>
      <c r="I4983" s="123" t="n"/>
      <c r="J4983" s="123" t="n"/>
      <c r="K4983" s="123" t="n"/>
      <c r="L4983" s="123" t="n"/>
      <c r="M4983" s="123">
        <f>IF(AND(B4983&lt;&gt;"",OR($C$4="",ISNUMBER(SEARCH($C$4,C4983&amp;" "&amp;E4983&amp;" "&amp;G4983&amp;" "&amp;H4983&amp;" "&amp;I4983&amp;" "&amp;J4983&amp;" "&amp;K4983&amp;" "&amp;L4983))),OR($C$5="Semua",$C$5="",G4983=$C$5),OR($C$6="Semua",$C$6="",H4983=$C$6,H4983="Pengeluaran "&amp;$C$6,AND($C$6="Uang Kos Mama",H4983="Pengeluaran Uang Kos")),OR($C$7="Semua",$C$7="",I4983=$C$7),OR($C$8="Semua",$C$8="",C4983=$C$8,E4983=$C$8),OR($C$9="Semua",$C$9="",D4983=$C$9),OR($C$10="",B4983&gt;=$C$10),OR($C$11="",B4983&lt;=$C$11),OR($C$12&lt;&gt;"Ya",K4983&lt;&gt;""),OR($C$13="Semua",$C$13="",L4983=$C$13)),"✓","")</f>
        <v/>
      </c>
      <c r="N4983" s="93">
        <f>N(N4982)+IF(M4983="✓",1,0)</f>
        <v/>
      </c>
      <c r="O4983" s="93">
        <f>N(O4982)+IF(AND(B4983&lt;&gt;"",B4983&gt;='Uang Riba'!$H$30,B4983&lt;='Uang Riba'!$I$30,OR(H4983="Dana riba",H4983="Pinjam uang riba",I4983="Pinjam dari uang riba",I4983="Ganti uang riba",I4983="Kelebihan ganti dikembalikan",AND(C4983="Kantong Uang Riba",G4983="Pengeluaran"))),1,0)</f>
        <v/>
      </c>
      <c r="X4983" s="93">
        <f>IF(AND(B4983&lt;&gt;"",B4983&gt;='Buku Akun'!$H$4,B4983&lt;='Buku Akun'!$H$5,OR(C4983='Buku Akun'!$C$4,AND(D4983="Pindah",E4983='Buku Akun'!$C$4))),B4983+IF(AND(I4983="Selisih bunga",DAY(B4983)=1),0,0.01)+ROW()/10000000,"")</f>
        <v/>
      </c>
    </row>
    <row r="4984" outlineLevel="1" ht="15" customHeight="1" s="94">
      <c r="A4984" s="123">
        <f>IF(B4984="","",ROW()-15)</f>
        <v/>
      </c>
      <c r="B4984" s="124" t="n"/>
      <c r="C4984" s="123" t="n"/>
      <c r="D4984" s="123" t="n"/>
      <c r="E4984" s="123" t="n"/>
      <c r="F4984" s="125" t="n"/>
      <c r="G4984" s="123" t="n"/>
      <c r="H4984" s="123" t="n"/>
      <c r="I4984" s="123" t="n"/>
      <c r="J4984" s="123" t="n"/>
      <c r="K4984" s="123" t="n"/>
      <c r="L4984" s="123" t="n"/>
      <c r="M4984" s="123">
        <f>IF(AND(B4984&lt;&gt;"",OR($C$4="",ISNUMBER(SEARCH($C$4,C4984&amp;" "&amp;E4984&amp;" "&amp;G4984&amp;" "&amp;H4984&amp;" "&amp;I4984&amp;" "&amp;J4984&amp;" "&amp;K4984&amp;" "&amp;L4984))),OR($C$5="Semua",$C$5="",G4984=$C$5),OR($C$6="Semua",$C$6="",H4984=$C$6,H4984="Pengeluaran "&amp;$C$6,AND($C$6="Uang Kos Mama",H4984="Pengeluaran Uang Kos")),OR($C$7="Semua",$C$7="",I4984=$C$7),OR($C$8="Semua",$C$8="",C4984=$C$8,E4984=$C$8),OR($C$9="Semua",$C$9="",D4984=$C$9),OR($C$10="",B4984&gt;=$C$10),OR($C$11="",B4984&lt;=$C$11),OR($C$12&lt;&gt;"Ya",K4984&lt;&gt;""),OR($C$13="Semua",$C$13="",L4984=$C$13)),"✓","")</f>
        <v/>
      </c>
      <c r="N4984" s="93">
        <f>N(N4983)+IF(M4984="✓",1,0)</f>
        <v/>
      </c>
      <c r="O4984" s="93">
        <f>N(O4983)+IF(AND(B4984&lt;&gt;"",B4984&gt;='Uang Riba'!$H$30,B4984&lt;='Uang Riba'!$I$30,OR(H4984="Dana riba",H4984="Pinjam uang riba",I4984="Pinjam dari uang riba",I4984="Ganti uang riba",I4984="Kelebihan ganti dikembalikan",AND(C4984="Kantong Uang Riba",G4984="Pengeluaran"))),1,0)</f>
        <v/>
      </c>
      <c r="X4984" s="93">
        <f>IF(AND(B4984&lt;&gt;"",B4984&gt;='Buku Akun'!$H$4,B4984&lt;='Buku Akun'!$H$5,OR(C4984='Buku Akun'!$C$4,AND(D4984="Pindah",E4984='Buku Akun'!$C$4))),B4984+IF(AND(I4984="Selisih bunga",DAY(B4984)=1),0,0.01)+ROW()/10000000,"")</f>
        <v/>
      </c>
    </row>
    <row r="4985" outlineLevel="1" ht="15" customHeight="1" s="94">
      <c r="A4985" s="123">
        <f>IF(B4985="","",ROW()-15)</f>
        <v/>
      </c>
      <c r="B4985" s="124" t="n"/>
      <c r="C4985" s="123" t="n"/>
      <c r="D4985" s="123" t="n"/>
      <c r="E4985" s="123" t="n"/>
      <c r="F4985" s="125" t="n"/>
      <c r="G4985" s="123" t="n"/>
      <c r="H4985" s="123" t="n"/>
      <c r="I4985" s="123" t="n"/>
      <c r="J4985" s="123" t="n"/>
      <c r="K4985" s="123" t="n"/>
      <c r="L4985" s="123" t="n"/>
      <c r="M4985" s="123">
        <f>IF(AND(B4985&lt;&gt;"",OR($C$4="",ISNUMBER(SEARCH($C$4,C4985&amp;" "&amp;E4985&amp;" "&amp;G4985&amp;" "&amp;H4985&amp;" "&amp;I4985&amp;" "&amp;J4985&amp;" "&amp;K4985&amp;" "&amp;L4985))),OR($C$5="Semua",$C$5="",G4985=$C$5),OR($C$6="Semua",$C$6="",H4985=$C$6,H4985="Pengeluaran "&amp;$C$6,AND($C$6="Uang Kos Mama",H4985="Pengeluaran Uang Kos")),OR($C$7="Semua",$C$7="",I4985=$C$7),OR($C$8="Semua",$C$8="",C4985=$C$8,E4985=$C$8),OR($C$9="Semua",$C$9="",D4985=$C$9),OR($C$10="",B4985&gt;=$C$10),OR($C$11="",B4985&lt;=$C$11),OR($C$12&lt;&gt;"Ya",K4985&lt;&gt;""),OR($C$13="Semua",$C$13="",L4985=$C$13)),"✓","")</f>
        <v/>
      </c>
      <c r="N4985" s="93">
        <f>N(N4984)+IF(M4985="✓",1,0)</f>
        <v/>
      </c>
      <c r="O4985" s="93">
        <f>N(O4984)+IF(AND(B4985&lt;&gt;"",B4985&gt;='Uang Riba'!$H$30,B4985&lt;='Uang Riba'!$I$30,OR(H4985="Dana riba",H4985="Pinjam uang riba",I4985="Pinjam dari uang riba",I4985="Ganti uang riba",I4985="Kelebihan ganti dikembalikan",AND(C4985="Kantong Uang Riba",G4985="Pengeluaran"))),1,0)</f>
        <v/>
      </c>
      <c r="X4985" s="93">
        <f>IF(AND(B4985&lt;&gt;"",B4985&gt;='Buku Akun'!$H$4,B4985&lt;='Buku Akun'!$H$5,OR(C4985='Buku Akun'!$C$4,AND(D4985="Pindah",E4985='Buku Akun'!$C$4))),B4985+IF(AND(I4985="Selisih bunga",DAY(B4985)=1),0,0.01)+ROW()/10000000,"")</f>
        <v/>
      </c>
    </row>
    <row r="4986" outlineLevel="1" ht="15" customHeight="1" s="94">
      <c r="A4986" s="123">
        <f>IF(B4986="","",ROW()-15)</f>
        <v/>
      </c>
      <c r="B4986" s="124" t="n"/>
      <c r="C4986" s="123" t="n"/>
      <c r="D4986" s="123" t="n"/>
      <c r="E4986" s="123" t="n"/>
      <c r="F4986" s="125" t="n"/>
      <c r="G4986" s="123" t="n"/>
      <c r="H4986" s="123" t="n"/>
      <c r="I4986" s="123" t="n"/>
      <c r="J4986" s="123" t="n"/>
      <c r="K4986" s="123" t="n"/>
      <c r="L4986" s="123" t="n"/>
      <c r="M4986" s="123">
        <f>IF(AND(B4986&lt;&gt;"",OR($C$4="",ISNUMBER(SEARCH($C$4,C4986&amp;" "&amp;E4986&amp;" "&amp;G4986&amp;" "&amp;H4986&amp;" "&amp;I4986&amp;" "&amp;J4986&amp;" "&amp;K4986&amp;" "&amp;L4986))),OR($C$5="Semua",$C$5="",G4986=$C$5),OR($C$6="Semua",$C$6="",H4986=$C$6,H4986="Pengeluaran "&amp;$C$6,AND($C$6="Uang Kos Mama",H4986="Pengeluaran Uang Kos")),OR($C$7="Semua",$C$7="",I4986=$C$7),OR($C$8="Semua",$C$8="",C4986=$C$8,E4986=$C$8),OR($C$9="Semua",$C$9="",D4986=$C$9),OR($C$10="",B4986&gt;=$C$10),OR($C$11="",B4986&lt;=$C$11),OR($C$12&lt;&gt;"Ya",K4986&lt;&gt;""),OR($C$13="Semua",$C$13="",L4986=$C$13)),"✓","")</f>
        <v/>
      </c>
      <c r="N4986" s="93">
        <f>N(N4985)+IF(M4986="✓",1,0)</f>
        <v/>
      </c>
      <c r="O4986" s="93">
        <f>N(O4985)+IF(AND(B4986&lt;&gt;"",B4986&gt;='Uang Riba'!$H$30,B4986&lt;='Uang Riba'!$I$30,OR(H4986="Dana riba",H4986="Pinjam uang riba",I4986="Pinjam dari uang riba",I4986="Ganti uang riba",I4986="Kelebihan ganti dikembalikan",AND(C4986="Kantong Uang Riba",G4986="Pengeluaran"))),1,0)</f>
        <v/>
      </c>
      <c r="X4986" s="93">
        <f>IF(AND(B4986&lt;&gt;"",B4986&gt;='Buku Akun'!$H$4,B4986&lt;='Buku Akun'!$H$5,OR(C4986='Buku Akun'!$C$4,AND(D4986="Pindah",E4986='Buku Akun'!$C$4))),B4986+IF(AND(I4986="Selisih bunga",DAY(B4986)=1),0,0.01)+ROW()/10000000,"")</f>
        <v/>
      </c>
    </row>
    <row r="4987" outlineLevel="1" ht="15" customHeight="1" s="94">
      <c r="A4987" s="123">
        <f>IF(B4987="","",ROW()-15)</f>
        <v/>
      </c>
      <c r="B4987" s="124" t="n"/>
      <c r="C4987" s="123" t="n"/>
      <c r="D4987" s="123" t="n"/>
      <c r="E4987" s="123" t="n"/>
      <c r="F4987" s="125" t="n"/>
      <c r="G4987" s="123" t="n"/>
      <c r="H4987" s="123" t="n"/>
      <c r="I4987" s="123" t="n"/>
      <c r="J4987" s="123" t="n"/>
      <c r="K4987" s="123" t="n"/>
      <c r="L4987" s="123" t="n"/>
      <c r="M4987" s="123">
        <f>IF(AND(B4987&lt;&gt;"",OR($C$4="",ISNUMBER(SEARCH($C$4,C4987&amp;" "&amp;E4987&amp;" "&amp;G4987&amp;" "&amp;H4987&amp;" "&amp;I4987&amp;" "&amp;J4987&amp;" "&amp;K4987&amp;" "&amp;L4987))),OR($C$5="Semua",$C$5="",G4987=$C$5),OR($C$6="Semua",$C$6="",H4987=$C$6,H4987="Pengeluaran "&amp;$C$6,AND($C$6="Uang Kos Mama",H4987="Pengeluaran Uang Kos")),OR($C$7="Semua",$C$7="",I4987=$C$7),OR($C$8="Semua",$C$8="",C4987=$C$8,E4987=$C$8),OR($C$9="Semua",$C$9="",D4987=$C$9),OR($C$10="",B4987&gt;=$C$10),OR($C$11="",B4987&lt;=$C$11),OR($C$12&lt;&gt;"Ya",K4987&lt;&gt;""),OR($C$13="Semua",$C$13="",L4987=$C$13)),"✓","")</f>
        <v/>
      </c>
      <c r="N4987" s="93">
        <f>N(N4986)+IF(M4987="✓",1,0)</f>
        <v/>
      </c>
      <c r="O4987" s="93">
        <f>N(O4986)+IF(AND(B4987&lt;&gt;"",B4987&gt;='Uang Riba'!$H$30,B4987&lt;='Uang Riba'!$I$30,OR(H4987="Dana riba",H4987="Pinjam uang riba",I4987="Pinjam dari uang riba",I4987="Ganti uang riba",I4987="Kelebihan ganti dikembalikan",AND(C4987="Kantong Uang Riba",G4987="Pengeluaran"))),1,0)</f>
        <v/>
      </c>
      <c r="X4987" s="93">
        <f>IF(AND(B4987&lt;&gt;"",B4987&gt;='Buku Akun'!$H$4,B4987&lt;='Buku Akun'!$H$5,OR(C4987='Buku Akun'!$C$4,AND(D4987="Pindah",E4987='Buku Akun'!$C$4))),B4987+IF(AND(I4987="Selisih bunga",DAY(B4987)=1),0,0.01)+ROW()/10000000,"")</f>
        <v/>
      </c>
    </row>
    <row r="4988" outlineLevel="1" ht="15" customHeight="1" s="94">
      <c r="A4988" s="123">
        <f>IF(B4988="","",ROW()-15)</f>
        <v/>
      </c>
      <c r="B4988" s="124" t="n"/>
      <c r="C4988" s="123" t="n"/>
      <c r="D4988" s="123" t="n"/>
      <c r="E4988" s="123" t="n"/>
      <c r="F4988" s="125" t="n"/>
      <c r="G4988" s="123" t="n"/>
      <c r="H4988" s="123" t="n"/>
      <c r="I4988" s="123" t="n"/>
      <c r="J4988" s="123" t="n"/>
      <c r="K4988" s="123" t="n"/>
      <c r="L4988" s="123" t="n"/>
      <c r="M4988" s="123">
        <f>IF(AND(B4988&lt;&gt;"",OR($C$4="",ISNUMBER(SEARCH($C$4,C4988&amp;" "&amp;E4988&amp;" "&amp;G4988&amp;" "&amp;H4988&amp;" "&amp;I4988&amp;" "&amp;J4988&amp;" "&amp;K4988&amp;" "&amp;L4988))),OR($C$5="Semua",$C$5="",G4988=$C$5),OR($C$6="Semua",$C$6="",H4988=$C$6,H4988="Pengeluaran "&amp;$C$6,AND($C$6="Uang Kos Mama",H4988="Pengeluaran Uang Kos")),OR($C$7="Semua",$C$7="",I4988=$C$7),OR($C$8="Semua",$C$8="",C4988=$C$8,E4988=$C$8),OR($C$9="Semua",$C$9="",D4988=$C$9),OR($C$10="",B4988&gt;=$C$10),OR($C$11="",B4988&lt;=$C$11),OR($C$12&lt;&gt;"Ya",K4988&lt;&gt;""),OR($C$13="Semua",$C$13="",L4988=$C$13)),"✓","")</f>
        <v/>
      </c>
      <c r="N4988" s="93">
        <f>N(N4987)+IF(M4988="✓",1,0)</f>
        <v/>
      </c>
      <c r="O4988" s="93">
        <f>N(O4987)+IF(AND(B4988&lt;&gt;"",B4988&gt;='Uang Riba'!$H$30,B4988&lt;='Uang Riba'!$I$30,OR(H4988="Dana riba",H4988="Pinjam uang riba",I4988="Pinjam dari uang riba",I4988="Ganti uang riba",I4988="Kelebihan ganti dikembalikan",AND(C4988="Kantong Uang Riba",G4988="Pengeluaran"))),1,0)</f>
        <v/>
      </c>
      <c r="X4988" s="93">
        <f>IF(AND(B4988&lt;&gt;"",B4988&gt;='Buku Akun'!$H$4,B4988&lt;='Buku Akun'!$H$5,OR(C4988='Buku Akun'!$C$4,AND(D4988="Pindah",E4988='Buku Akun'!$C$4))),B4988+IF(AND(I4988="Selisih bunga",DAY(B4988)=1),0,0.01)+ROW()/10000000,"")</f>
        <v/>
      </c>
    </row>
    <row r="4989" outlineLevel="1" ht="15" customHeight="1" s="94">
      <c r="A4989" s="123">
        <f>IF(B4989="","",ROW()-15)</f>
        <v/>
      </c>
      <c r="B4989" s="124" t="n"/>
      <c r="C4989" s="123" t="n"/>
      <c r="D4989" s="123" t="n"/>
      <c r="E4989" s="123" t="n"/>
      <c r="F4989" s="125" t="n"/>
      <c r="G4989" s="123" t="n"/>
      <c r="H4989" s="123" t="n"/>
      <c r="I4989" s="123" t="n"/>
      <c r="J4989" s="123" t="n"/>
      <c r="K4989" s="123" t="n"/>
      <c r="L4989" s="123" t="n"/>
      <c r="M4989" s="123">
        <f>IF(AND(B4989&lt;&gt;"",OR($C$4="",ISNUMBER(SEARCH($C$4,C4989&amp;" "&amp;E4989&amp;" "&amp;G4989&amp;" "&amp;H4989&amp;" "&amp;I4989&amp;" "&amp;J4989&amp;" "&amp;K4989&amp;" "&amp;L4989))),OR($C$5="Semua",$C$5="",G4989=$C$5),OR($C$6="Semua",$C$6="",H4989=$C$6,H4989="Pengeluaran "&amp;$C$6,AND($C$6="Uang Kos Mama",H4989="Pengeluaran Uang Kos")),OR($C$7="Semua",$C$7="",I4989=$C$7),OR($C$8="Semua",$C$8="",C4989=$C$8,E4989=$C$8),OR($C$9="Semua",$C$9="",D4989=$C$9),OR($C$10="",B4989&gt;=$C$10),OR($C$11="",B4989&lt;=$C$11),OR($C$12&lt;&gt;"Ya",K4989&lt;&gt;""),OR($C$13="Semua",$C$13="",L4989=$C$13)),"✓","")</f>
        <v/>
      </c>
      <c r="N4989" s="93">
        <f>N(N4988)+IF(M4989="✓",1,0)</f>
        <v/>
      </c>
      <c r="O4989" s="93">
        <f>N(O4988)+IF(AND(B4989&lt;&gt;"",B4989&gt;='Uang Riba'!$H$30,B4989&lt;='Uang Riba'!$I$30,OR(H4989="Dana riba",H4989="Pinjam uang riba",I4989="Pinjam dari uang riba",I4989="Ganti uang riba",I4989="Kelebihan ganti dikembalikan",AND(C4989="Kantong Uang Riba",G4989="Pengeluaran"))),1,0)</f>
        <v/>
      </c>
      <c r="X4989" s="93">
        <f>IF(AND(B4989&lt;&gt;"",B4989&gt;='Buku Akun'!$H$4,B4989&lt;='Buku Akun'!$H$5,OR(C4989='Buku Akun'!$C$4,AND(D4989="Pindah",E4989='Buku Akun'!$C$4))),B4989+IF(AND(I4989="Selisih bunga",DAY(B4989)=1),0,0.01)+ROW()/10000000,"")</f>
        <v/>
      </c>
    </row>
    <row r="4990" outlineLevel="1" ht="15" customHeight="1" s="94">
      <c r="A4990" s="123">
        <f>IF(B4990="","",ROW()-15)</f>
        <v/>
      </c>
      <c r="B4990" s="124" t="n"/>
      <c r="C4990" s="123" t="n"/>
      <c r="D4990" s="123" t="n"/>
      <c r="E4990" s="123" t="n"/>
      <c r="F4990" s="125" t="n"/>
      <c r="G4990" s="123" t="n"/>
      <c r="H4990" s="123" t="n"/>
      <c r="I4990" s="123" t="n"/>
      <c r="J4990" s="123" t="n"/>
      <c r="K4990" s="123" t="n"/>
      <c r="L4990" s="123" t="n"/>
      <c r="M4990" s="123">
        <f>IF(AND(B4990&lt;&gt;"",OR($C$4="",ISNUMBER(SEARCH($C$4,C4990&amp;" "&amp;E4990&amp;" "&amp;G4990&amp;" "&amp;H4990&amp;" "&amp;I4990&amp;" "&amp;J4990&amp;" "&amp;K4990&amp;" "&amp;L4990))),OR($C$5="Semua",$C$5="",G4990=$C$5),OR($C$6="Semua",$C$6="",H4990=$C$6,H4990="Pengeluaran "&amp;$C$6,AND($C$6="Uang Kos Mama",H4990="Pengeluaran Uang Kos")),OR($C$7="Semua",$C$7="",I4990=$C$7),OR($C$8="Semua",$C$8="",C4990=$C$8,E4990=$C$8),OR($C$9="Semua",$C$9="",D4990=$C$9),OR($C$10="",B4990&gt;=$C$10),OR($C$11="",B4990&lt;=$C$11),OR($C$12&lt;&gt;"Ya",K4990&lt;&gt;""),OR($C$13="Semua",$C$13="",L4990=$C$13)),"✓","")</f>
        <v/>
      </c>
      <c r="N4990" s="93">
        <f>N(N4989)+IF(M4990="✓",1,0)</f>
        <v/>
      </c>
      <c r="O4990" s="93">
        <f>N(O4989)+IF(AND(B4990&lt;&gt;"",B4990&gt;='Uang Riba'!$H$30,B4990&lt;='Uang Riba'!$I$30,OR(H4990="Dana riba",H4990="Pinjam uang riba",I4990="Pinjam dari uang riba",I4990="Ganti uang riba",I4990="Kelebihan ganti dikembalikan",AND(C4990="Kantong Uang Riba",G4990="Pengeluaran"))),1,0)</f>
        <v/>
      </c>
      <c r="X4990" s="93">
        <f>IF(AND(B4990&lt;&gt;"",B4990&gt;='Buku Akun'!$H$4,B4990&lt;='Buku Akun'!$H$5,OR(C4990='Buku Akun'!$C$4,AND(D4990="Pindah",E4990='Buku Akun'!$C$4))),B4990+IF(AND(I4990="Selisih bunga",DAY(B4990)=1),0,0.01)+ROW()/10000000,"")</f>
        <v/>
      </c>
    </row>
    <row r="4991" outlineLevel="1" ht="15" customHeight="1" s="94">
      <c r="A4991" s="123">
        <f>IF(B4991="","",ROW()-15)</f>
        <v/>
      </c>
      <c r="B4991" s="124" t="n"/>
      <c r="C4991" s="123" t="n"/>
      <c r="D4991" s="123" t="n"/>
      <c r="E4991" s="123" t="n"/>
      <c r="F4991" s="125" t="n"/>
      <c r="G4991" s="123" t="n"/>
      <c r="H4991" s="123" t="n"/>
      <c r="I4991" s="123" t="n"/>
      <c r="J4991" s="123" t="n"/>
      <c r="K4991" s="123" t="n"/>
      <c r="L4991" s="123" t="n"/>
      <c r="M4991" s="123">
        <f>IF(AND(B4991&lt;&gt;"",OR($C$4="",ISNUMBER(SEARCH($C$4,C4991&amp;" "&amp;E4991&amp;" "&amp;G4991&amp;" "&amp;H4991&amp;" "&amp;I4991&amp;" "&amp;J4991&amp;" "&amp;K4991&amp;" "&amp;L4991))),OR($C$5="Semua",$C$5="",G4991=$C$5),OR($C$6="Semua",$C$6="",H4991=$C$6,H4991="Pengeluaran "&amp;$C$6,AND($C$6="Uang Kos Mama",H4991="Pengeluaran Uang Kos")),OR($C$7="Semua",$C$7="",I4991=$C$7),OR($C$8="Semua",$C$8="",C4991=$C$8,E4991=$C$8),OR($C$9="Semua",$C$9="",D4991=$C$9),OR($C$10="",B4991&gt;=$C$10),OR($C$11="",B4991&lt;=$C$11),OR($C$12&lt;&gt;"Ya",K4991&lt;&gt;""),OR($C$13="Semua",$C$13="",L4991=$C$13)),"✓","")</f>
        <v/>
      </c>
      <c r="N4991" s="93">
        <f>N(N4990)+IF(M4991="✓",1,0)</f>
        <v/>
      </c>
      <c r="O4991" s="93">
        <f>N(O4990)+IF(AND(B4991&lt;&gt;"",B4991&gt;='Uang Riba'!$H$30,B4991&lt;='Uang Riba'!$I$30,OR(H4991="Dana riba",H4991="Pinjam uang riba",I4991="Pinjam dari uang riba",I4991="Ganti uang riba",I4991="Kelebihan ganti dikembalikan",AND(C4991="Kantong Uang Riba",G4991="Pengeluaran"))),1,0)</f>
        <v/>
      </c>
      <c r="X4991" s="93">
        <f>IF(AND(B4991&lt;&gt;"",B4991&gt;='Buku Akun'!$H$4,B4991&lt;='Buku Akun'!$H$5,OR(C4991='Buku Akun'!$C$4,AND(D4991="Pindah",E4991='Buku Akun'!$C$4))),B4991+IF(AND(I4991="Selisih bunga",DAY(B4991)=1),0,0.01)+ROW()/10000000,"")</f>
        <v/>
      </c>
    </row>
    <row r="4992" outlineLevel="1" ht="15" customHeight="1" s="94">
      <c r="A4992" s="123">
        <f>IF(B4992="","",ROW()-15)</f>
        <v/>
      </c>
      <c r="B4992" s="124" t="n"/>
      <c r="C4992" s="123" t="n"/>
      <c r="D4992" s="123" t="n"/>
      <c r="E4992" s="123" t="n"/>
      <c r="F4992" s="125" t="n"/>
      <c r="G4992" s="123" t="n"/>
      <c r="H4992" s="123" t="n"/>
      <c r="I4992" s="123" t="n"/>
      <c r="J4992" s="123" t="n"/>
      <c r="K4992" s="123" t="n"/>
      <c r="L4992" s="123" t="n"/>
      <c r="M4992" s="123">
        <f>IF(AND(B4992&lt;&gt;"",OR($C$4="",ISNUMBER(SEARCH($C$4,C4992&amp;" "&amp;E4992&amp;" "&amp;G4992&amp;" "&amp;H4992&amp;" "&amp;I4992&amp;" "&amp;J4992&amp;" "&amp;K4992&amp;" "&amp;L4992))),OR($C$5="Semua",$C$5="",G4992=$C$5),OR($C$6="Semua",$C$6="",H4992=$C$6,H4992="Pengeluaran "&amp;$C$6,AND($C$6="Uang Kos Mama",H4992="Pengeluaran Uang Kos")),OR($C$7="Semua",$C$7="",I4992=$C$7),OR($C$8="Semua",$C$8="",C4992=$C$8,E4992=$C$8),OR($C$9="Semua",$C$9="",D4992=$C$9),OR($C$10="",B4992&gt;=$C$10),OR($C$11="",B4992&lt;=$C$11),OR($C$12&lt;&gt;"Ya",K4992&lt;&gt;""),OR($C$13="Semua",$C$13="",L4992=$C$13)),"✓","")</f>
        <v/>
      </c>
      <c r="N4992" s="93">
        <f>N(N4991)+IF(M4992="✓",1,0)</f>
        <v/>
      </c>
      <c r="O4992" s="93">
        <f>N(O4991)+IF(AND(B4992&lt;&gt;"",B4992&gt;='Uang Riba'!$H$30,B4992&lt;='Uang Riba'!$I$30,OR(H4992="Dana riba",H4992="Pinjam uang riba",I4992="Pinjam dari uang riba",I4992="Ganti uang riba",I4992="Kelebihan ganti dikembalikan",AND(C4992="Kantong Uang Riba",G4992="Pengeluaran"))),1,0)</f>
        <v/>
      </c>
      <c r="X4992" s="93">
        <f>IF(AND(B4992&lt;&gt;"",B4992&gt;='Buku Akun'!$H$4,B4992&lt;='Buku Akun'!$H$5,OR(C4992='Buku Akun'!$C$4,AND(D4992="Pindah",E4992='Buku Akun'!$C$4))),B4992+IF(AND(I4992="Selisih bunga",DAY(B4992)=1),0,0.01)+ROW()/10000000,"")</f>
        <v/>
      </c>
    </row>
    <row r="4993" outlineLevel="1" ht="15" customHeight="1" s="94">
      <c r="A4993" s="123">
        <f>IF(B4993="","",ROW()-15)</f>
        <v/>
      </c>
      <c r="B4993" s="124" t="n"/>
      <c r="C4993" s="123" t="n"/>
      <c r="D4993" s="123" t="n"/>
      <c r="E4993" s="123" t="n"/>
      <c r="F4993" s="125" t="n"/>
      <c r="G4993" s="123" t="n"/>
      <c r="H4993" s="123" t="n"/>
      <c r="I4993" s="123" t="n"/>
      <c r="J4993" s="123" t="n"/>
      <c r="K4993" s="123" t="n"/>
      <c r="L4993" s="123" t="n"/>
      <c r="M4993" s="123">
        <f>IF(AND(B4993&lt;&gt;"",OR($C$4="",ISNUMBER(SEARCH($C$4,C4993&amp;" "&amp;E4993&amp;" "&amp;G4993&amp;" "&amp;H4993&amp;" "&amp;I4993&amp;" "&amp;J4993&amp;" "&amp;K4993&amp;" "&amp;L4993))),OR($C$5="Semua",$C$5="",G4993=$C$5),OR($C$6="Semua",$C$6="",H4993=$C$6,H4993="Pengeluaran "&amp;$C$6,AND($C$6="Uang Kos Mama",H4993="Pengeluaran Uang Kos")),OR($C$7="Semua",$C$7="",I4993=$C$7),OR($C$8="Semua",$C$8="",C4993=$C$8,E4993=$C$8),OR($C$9="Semua",$C$9="",D4993=$C$9),OR($C$10="",B4993&gt;=$C$10),OR($C$11="",B4993&lt;=$C$11),OR($C$12&lt;&gt;"Ya",K4993&lt;&gt;""),OR($C$13="Semua",$C$13="",L4993=$C$13)),"✓","")</f>
        <v/>
      </c>
      <c r="N4993" s="93">
        <f>N(N4992)+IF(M4993="✓",1,0)</f>
        <v/>
      </c>
      <c r="O4993" s="93">
        <f>N(O4992)+IF(AND(B4993&lt;&gt;"",B4993&gt;='Uang Riba'!$H$30,B4993&lt;='Uang Riba'!$I$30,OR(H4993="Dana riba",H4993="Pinjam uang riba",I4993="Pinjam dari uang riba",I4993="Ganti uang riba",I4993="Kelebihan ganti dikembalikan",AND(C4993="Kantong Uang Riba",G4993="Pengeluaran"))),1,0)</f>
        <v/>
      </c>
      <c r="X4993" s="93">
        <f>IF(AND(B4993&lt;&gt;"",B4993&gt;='Buku Akun'!$H$4,B4993&lt;='Buku Akun'!$H$5,OR(C4993='Buku Akun'!$C$4,AND(D4993="Pindah",E4993='Buku Akun'!$C$4))),B4993+IF(AND(I4993="Selisih bunga",DAY(B4993)=1),0,0.01)+ROW()/10000000,"")</f>
        <v/>
      </c>
    </row>
    <row r="4994" outlineLevel="1" ht="15" customHeight="1" s="94">
      <c r="A4994" s="123">
        <f>IF(B4994="","",ROW()-15)</f>
        <v/>
      </c>
      <c r="B4994" s="124" t="n"/>
      <c r="C4994" s="123" t="n"/>
      <c r="D4994" s="123" t="n"/>
      <c r="E4994" s="123" t="n"/>
      <c r="F4994" s="125" t="n"/>
      <c r="G4994" s="123" t="n"/>
      <c r="H4994" s="123" t="n"/>
      <c r="I4994" s="123" t="n"/>
      <c r="J4994" s="123" t="n"/>
      <c r="K4994" s="123" t="n"/>
      <c r="L4994" s="123" t="n"/>
      <c r="M4994" s="123">
        <f>IF(AND(B4994&lt;&gt;"",OR($C$4="",ISNUMBER(SEARCH($C$4,C4994&amp;" "&amp;E4994&amp;" "&amp;G4994&amp;" "&amp;H4994&amp;" "&amp;I4994&amp;" "&amp;J4994&amp;" "&amp;K4994&amp;" "&amp;L4994))),OR($C$5="Semua",$C$5="",G4994=$C$5),OR($C$6="Semua",$C$6="",H4994=$C$6,H4994="Pengeluaran "&amp;$C$6,AND($C$6="Uang Kos Mama",H4994="Pengeluaran Uang Kos")),OR($C$7="Semua",$C$7="",I4994=$C$7),OR($C$8="Semua",$C$8="",C4994=$C$8,E4994=$C$8),OR($C$9="Semua",$C$9="",D4994=$C$9),OR($C$10="",B4994&gt;=$C$10),OR($C$11="",B4994&lt;=$C$11),OR($C$12&lt;&gt;"Ya",K4994&lt;&gt;""),OR($C$13="Semua",$C$13="",L4994=$C$13)),"✓","")</f>
        <v/>
      </c>
      <c r="N4994" s="93">
        <f>N(N4993)+IF(M4994="✓",1,0)</f>
        <v/>
      </c>
      <c r="O4994" s="93">
        <f>N(O4993)+IF(AND(B4994&lt;&gt;"",B4994&gt;='Uang Riba'!$H$30,B4994&lt;='Uang Riba'!$I$30,OR(H4994="Dana riba",H4994="Pinjam uang riba",I4994="Pinjam dari uang riba",I4994="Ganti uang riba",I4994="Kelebihan ganti dikembalikan",AND(C4994="Kantong Uang Riba",G4994="Pengeluaran"))),1,0)</f>
        <v/>
      </c>
      <c r="X4994" s="93">
        <f>IF(AND(B4994&lt;&gt;"",B4994&gt;='Buku Akun'!$H$4,B4994&lt;='Buku Akun'!$H$5,OR(C4994='Buku Akun'!$C$4,AND(D4994="Pindah",E4994='Buku Akun'!$C$4))),B4994+IF(AND(I4994="Selisih bunga",DAY(B4994)=1),0,0.01)+ROW()/10000000,"")</f>
        <v/>
      </c>
    </row>
    <row r="4995" outlineLevel="1" ht="15" customHeight="1" s="94">
      <c r="A4995" s="123">
        <f>IF(B4995="","",ROW()-15)</f>
        <v/>
      </c>
      <c r="B4995" s="124" t="n"/>
      <c r="C4995" s="123" t="n"/>
      <c r="D4995" s="123" t="n"/>
      <c r="E4995" s="123" t="n"/>
      <c r="F4995" s="125" t="n"/>
      <c r="G4995" s="123" t="n"/>
      <c r="H4995" s="123" t="n"/>
      <c r="I4995" s="123" t="n"/>
      <c r="J4995" s="123" t="n"/>
      <c r="K4995" s="123" t="n"/>
      <c r="L4995" s="123" t="n"/>
      <c r="M4995" s="123">
        <f>IF(AND(B4995&lt;&gt;"",OR($C$4="",ISNUMBER(SEARCH($C$4,C4995&amp;" "&amp;E4995&amp;" "&amp;G4995&amp;" "&amp;H4995&amp;" "&amp;I4995&amp;" "&amp;J4995&amp;" "&amp;K4995&amp;" "&amp;L4995))),OR($C$5="Semua",$C$5="",G4995=$C$5),OR($C$6="Semua",$C$6="",H4995=$C$6,H4995="Pengeluaran "&amp;$C$6,AND($C$6="Uang Kos Mama",H4995="Pengeluaran Uang Kos")),OR($C$7="Semua",$C$7="",I4995=$C$7),OR($C$8="Semua",$C$8="",C4995=$C$8,E4995=$C$8),OR($C$9="Semua",$C$9="",D4995=$C$9),OR($C$10="",B4995&gt;=$C$10),OR($C$11="",B4995&lt;=$C$11),OR($C$12&lt;&gt;"Ya",K4995&lt;&gt;""),OR($C$13="Semua",$C$13="",L4995=$C$13)),"✓","")</f>
        <v/>
      </c>
      <c r="N4995" s="93">
        <f>N(N4994)+IF(M4995="✓",1,0)</f>
        <v/>
      </c>
      <c r="O4995" s="93">
        <f>N(O4994)+IF(AND(B4995&lt;&gt;"",B4995&gt;='Uang Riba'!$H$30,B4995&lt;='Uang Riba'!$I$30,OR(H4995="Dana riba",H4995="Pinjam uang riba",I4995="Pinjam dari uang riba",I4995="Ganti uang riba",I4995="Kelebihan ganti dikembalikan",AND(C4995="Kantong Uang Riba",G4995="Pengeluaran"))),1,0)</f>
        <v/>
      </c>
      <c r="X4995" s="93">
        <f>IF(AND(B4995&lt;&gt;"",B4995&gt;='Buku Akun'!$H$4,B4995&lt;='Buku Akun'!$H$5,OR(C4995='Buku Akun'!$C$4,AND(D4995="Pindah",E4995='Buku Akun'!$C$4))),B4995+IF(AND(I4995="Selisih bunga",DAY(B4995)=1),0,0.01)+ROW()/10000000,"")</f>
        <v/>
      </c>
    </row>
    <row r="4996" outlineLevel="1" ht="15" customHeight="1" s="94">
      <c r="A4996" s="123">
        <f>IF(B4996="","",ROW()-15)</f>
        <v/>
      </c>
      <c r="B4996" s="124" t="n"/>
      <c r="C4996" s="123" t="n"/>
      <c r="D4996" s="123" t="n"/>
      <c r="E4996" s="123" t="n"/>
      <c r="F4996" s="125" t="n"/>
      <c r="G4996" s="123" t="n"/>
      <c r="H4996" s="123" t="n"/>
      <c r="I4996" s="123" t="n"/>
      <c r="J4996" s="123" t="n"/>
      <c r="K4996" s="123" t="n"/>
      <c r="L4996" s="123" t="n"/>
      <c r="M4996" s="123">
        <f>IF(AND(B4996&lt;&gt;"",OR($C$4="",ISNUMBER(SEARCH($C$4,C4996&amp;" "&amp;E4996&amp;" "&amp;G4996&amp;" "&amp;H4996&amp;" "&amp;I4996&amp;" "&amp;J4996&amp;" "&amp;K4996&amp;" "&amp;L4996))),OR($C$5="Semua",$C$5="",G4996=$C$5),OR($C$6="Semua",$C$6="",H4996=$C$6,H4996="Pengeluaran "&amp;$C$6,AND($C$6="Uang Kos Mama",H4996="Pengeluaran Uang Kos")),OR($C$7="Semua",$C$7="",I4996=$C$7),OR($C$8="Semua",$C$8="",C4996=$C$8,E4996=$C$8),OR($C$9="Semua",$C$9="",D4996=$C$9),OR($C$10="",B4996&gt;=$C$10),OR($C$11="",B4996&lt;=$C$11),OR($C$12&lt;&gt;"Ya",K4996&lt;&gt;""),OR($C$13="Semua",$C$13="",L4996=$C$13)),"✓","")</f>
        <v/>
      </c>
      <c r="N4996" s="93">
        <f>N(N4995)+IF(M4996="✓",1,0)</f>
        <v/>
      </c>
      <c r="O4996" s="93">
        <f>N(O4995)+IF(AND(B4996&lt;&gt;"",B4996&gt;='Uang Riba'!$H$30,B4996&lt;='Uang Riba'!$I$30,OR(H4996="Dana riba",H4996="Pinjam uang riba",I4996="Pinjam dari uang riba",I4996="Ganti uang riba",I4996="Kelebihan ganti dikembalikan",AND(C4996="Kantong Uang Riba",G4996="Pengeluaran"))),1,0)</f>
        <v/>
      </c>
      <c r="X4996" s="93">
        <f>IF(AND(B4996&lt;&gt;"",B4996&gt;='Buku Akun'!$H$4,B4996&lt;='Buku Akun'!$H$5,OR(C4996='Buku Akun'!$C$4,AND(D4996="Pindah",E4996='Buku Akun'!$C$4))),B4996+IF(AND(I4996="Selisih bunga",DAY(B4996)=1),0,0.01)+ROW()/10000000,"")</f>
        <v/>
      </c>
    </row>
    <row r="4997" outlineLevel="1" ht="15" customHeight="1" s="94">
      <c r="A4997" s="123">
        <f>IF(B4997="","",ROW()-15)</f>
        <v/>
      </c>
      <c r="B4997" s="124" t="n"/>
      <c r="C4997" s="123" t="n"/>
      <c r="D4997" s="123" t="n"/>
      <c r="E4997" s="123" t="n"/>
      <c r="F4997" s="125" t="n"/>
      <c r="G4997" s="123" t="n"/>
      <c r="H4997" s="123" t="n"/>
      <c r="I4997" s="123" t="n"/>
      <c r="J4997" s="123" t="n"/>
      <c r="K4997" s="123" t="n"/>
      <c r="L4997" s="123" t="n"/>
      <c r="M4997" s="123">
        <f>IF(AND(B4997&lt;&gt;"",OR($C$4="",ISNUMBER(SEARCH($C$4,C4997&amp;" "&amp;E4997&amp;" "&amp;G4997&amp;" "&amp;H4997&amp;" "&amp;I4997&amp;" "&amp;J4997&amp;" "&amp;K4997&amp;" "&amp;L4997))),OR($C$5="Semua",$C$5="",G4997=$C$5),OR($C$6="Semua",$C$6="",H4997=$C$6,H4997="Pengeluaran "&amp;$C$6,AND($C$6="Uang Kos Mama",H4997="Pengeluaran Uang Kos")),OR($C$7="Semua",$C$7="",I4997=$C$7),OR($C$8="Semua",$C$8="",C4997=$C$8,E4997=$C$8),OR($C$9="Semua",$C$9="",D4997=$C$9),OR($C$10="",B4997&gt;=$C$10),OR($C$11="",B4997&lt;=$C$11),OR($C$12&lt;&gt;"Ya",K4997&lt;&gt;""),OR($C$13="Semua",$C$13="",L4997=$C$13)),"✓","")</f>
        <v/>
      </c>
      <c r="N4997" s="93">
        <f>N(N4996)+IF(M4997="✓",1,0)</f>
        <v/>
      </c>
      <c r="O4997" s="93">
        <f>N(O4996)+IF(AND(B4997&lt;&gt;"",B4997&gt;='Uang Riba'!$H$30,B4997&lt;='Uang Riba'!$I$30,OR(H4997="Dana riba",H4997="Pinjam uang riba",I4997="Pinjam dari uang riba",I4997="Ganti uang riba",I4997="Kelebihan ganti dikembalikan",AND(C4997="Kantong Uang Riba",G4997="Pengeluaran"))),1,0)</f>
        <v/>
      </c>
      <c r="X4997" s="93">
        <f>IF(AND(B4997&lt;&gt;"",B4997&gt;='Buku Akun'!$H$4,B4997&lt;='Buku Akun'!$H$5,OR(C4997='Buku Akun'!$C$4,AND(D4997="Pindah",E4997='Buku Akun'!$C$4))),B4997+IF(AND(I4997="Selisih bunga",DAY(B4997)=1),0,0.01)+ROW()/10000000,"")</f>
        <v/>
      </c>
    </row>
    <row r="4998" outlineLevel="1" ht="15" customHeight="1" s="94">
      <c r="A4998" s="123">
        <f>IF(B4998="","",ROW()-15)</f>
        <v/>
      </c>
      <c r="B4998" s="124" t="n"/>
      <c r="C4998" s="123" t="n"/>
      <c r="D4998" s="123" t="n"/>
      <c r="E4998" s="123" t="n"/>
      <c r="F4998" s="125" t="n"/>
      <c r="G4998" s="123" t="n"/>
      <c r="H4998" s="123" t="n"/>
      <c r="I4998" s="123" t="n"/>
      <c r="J4998" s="123" t="n"/>
      <c r="K4998" s="123" t="n"/>
      <c r="L4998" s="123" t="n"/>
      <c r="M4998" s="123">
        <f>IF(AND(B4998&lt;&gt;"",OR($C$4="",ISNUMBER(SEARCH($C$4,C4998&amp;" "&amp;E4998&amp;" "&amp;G4998&amp;" "&amp;H4998&amp;" "&amp;I4998&amp;" "&amp;J4998&amp;" "&amp;K4998&amp;" "&amp;L4998))),OR($C$5="Semua",$C$5="",G4998=$C$5),OR($C$6="Semua",$C$6="",H4998=$C$6,H4998="Pengeluaran "&amp;$C$6,AND($C$6="Uang Kos Mama",H4998="Pengeluaran Uang Kos")),OR($C$7="Semua",$C$7="",I4998=$C$7),OR($C$8="Semua",$C$8="",C4998=$C$8,E4998=$C$8),OR($C$9="Semua",$C$9="",D4998=$C$9),OR($C$10="",B4998&gt;=$C$10),OR($C$11="",B4998&lt;=$C$11),OR($C$12&lt;&gt;"Ya",K4998&lt;&gt;""),OR($C$13="Semua",$C$13="",L4998=$C$13)),"✓","")</f>
        <v/>
      </c>
      <c r="N4998" s="93">
        <f>N(N4997)+IF(M4998="✓",1,0)</f>
        <v/>
      </c>
      <c r="O4998" s="93">
        <f>N(O4997)+IF(AND(B4998&lt;&gt;"",B4998&gt;='Uang Riba'!$H$30,B4998&lt;='Uang Riba'!$I$30,OR(H4998="Dana riba",H4998="Pinjam uang riba",I4998="Pinjam dari uang riba",I4998="Ganti uang riba",I4998="Kelebihan ganti dikembalikan",AND(C4998="Kantong Uang Riba",G4998="Pengeluaran"))),1,0)</f>
        <v/>
      </c>
      <c r="X4998" s="93">
        <f>IF(AND(B4998&lt;&gt;"",B4998&gt;='Buku Akun'!$H$4,B4998&lt;='Buku Akun'!$H$5,OR(C4998='Buku Akun'!$C$4,AND(D4998="Pindah",E4998='Buku Akun'!$C$4))),B4998+IF(AND(I4998="Selisih bunga",DAY(B4998)=1),0,0.01)+ROW()/10000000,"")</f>
        <v/>
      </c>
    </row>
    <row r="4999" outlineLevel="1" ht="15" customHeight="1" s="94">
      <c r="A4999" s="123">
        <f>IF(B4999="","",ROW()-15)</f>
        <v/>
      </c>
      <c r="B4999" s="124" t="n"/>
      <c r="C4999" s="123" t="n"/>
      <c r="D4999" s="123" t="n"/>
      <c r="E4999" s="123" t="n"/>
      <c r="F4999" s="125" t="n"/>
      <c r="G4999" s="123" t="n"/>
      <c r="H4999" s="123" t="n"/>
      <c r="I4999" s="123" t="n"/>
      <c r="J4999" s="123" t="n"/>
      <c r="K4999" s="123" t="n"/>
      <c r="L4999" s="123" t="n"/>
      <c r="M4999" s="123">
        <f>IF(AND(B4999&lt;&gt;"",OR($C$4="",ISNUMBER(SEARCH($C$4,C4999&amp;" "&amp;E4999&amp;" "&amp;G4999&amp;" "&amp;H4999&amp;" "&amp;I4999&amp;" "&amp;J4999&amp;" "&amp;K4999&amp;" "&amp;L4999))),OR($C$5="Semua",$C$5="",G4999=$C$5),OR($C$6="Semua",$C$6="",H4999=$C$6,H4999="Pengeluaran "&amp;$C$6,AND($C$6="Uang Kos Mama",H4999="Pengeluaran Uang Kos")),OR($C$7="Semua",$C$7="",I4999=$C$7),OR($C$8="Semua",$C$8="",C4999=$C$8,E4999=$C$8),OR($C$9="Semua",$C$9="",D4999=$C$9),OR($C$10="",B4999&gt;=$C$10),OR($C$11="",B4999&lt;=$C$11),OR($C$12&lt;&gt;"Ya",K4999&lt;&gt;""),OR($C$13="Semua",$C$13="",L4999=$C$13)),"✓","")</f>
        <v/>
      </c>
      <c r="N4999" s="93">
        <f>N(N4998)+IF(M4999="✓",1,0)</f>
        <v/>
      </c>
      <c r="O4999" s="93">
        <f>N(O4998)+IF(AND(B4999&lt;&gt;"",B4999&gt;='Uang Riba'!$H$30,B4999&lt;='Uang Riba'!$I$30,OR(H4999="Dana riba",H4999="Pinjam uang riba",I4999="Pinjam dari uang riba",I4999="Ganti uang riba",I4999="Kelebihan ganti dikembalikan",AND(C4999="Kantong Uang Riba",G4999="Pengeluaran"))),1,0)</f>
        <v/>
      </c>
      <c r="X4999" s="93">
        <f>IF(AND(B4999&lt;&gt;"",B4999&gt;='Buku Akun'!$H$4,B4999&lt;='Buku Akun'!$H$5,OR(C4999='Buku Akun'!$C$4,AND(D4999="Pindah",E4999='Buku Akun'!$C$4))),B4999+IF(AND(I4999="Selisih bunga",DAY(B4999)=1),0,0.01)+ROW()/10000000,"")</f>
        <v/>
      </c>
    </row>
    <row r="5000" outlineLevel="1" ht="15" customHeight="1" s="94">
      <c r="A5000" s="123">
        <f>IF(B5000="","",ROW()-15)</f>
        <v/>
      </c>
      <c r="B5000" s="124" t="n"/>
      <c r="C5000" s="123" t="n"/>
      <c r="D5000" s="123" t="n"/>
      <c r="E5000" s="123" t="n"/>
      <c r="F5000" s="125" t="n"/>
      <c r="G5000" s="123" t="n"/>
      <c r="H5000" s="123" t="n"/>
      <c r="I5000" s="123" t="n"/>
      <c r="J5000" s="123" t="n"/>
      <c r="K5000" s="123" t="n"/>
      <c r="L5000" s="123" t="n"/>
      <c r="M5000" s="123">
        <f>IF(AND(B5000&lt;&gt;"",OR($C$4="",ISNUMBER(SEARCH($C$4,C5000&amp;" "&amp;E5000&amp;" "&amp;G5000&amp;" "&amp;H5000&amp;" "&amp;I5000&amp;" "&amp;J5000&amp;" "&amp;K5000&amp;" "&amp;L5000))),OR($C$5="Semua",$C$5="",G5000=$C$5),OR($C$6="Semua",$C$6="",H5000=$C$6,H5000="Pengeluaran "&amp;$C$6,AND($C$6="Uang Kos Mama",H5000="Pengeluaran Uang Kos")),OR($C$7="Semua",$C$7="",I5000=$C$7),OR($C$8="Semua",$C$8="",C5000=$C$8,E5000=$C$8),OR($C$9="Semua",$C$9="",D5000=$C$9),OR($C$10="",B5000&gt;=$C$10),OR($C$11="",B5000&lt;=$C$11),OR($C$12&lt;&gt;"Ya",K5000&lt;&gt;""),OR($C$13="Semua",$C$13="",L5000=$C$13)),"✓","")</f>
        <v/>
      </c>
      <c r="N5000" s="93">
        <f>N(N4999)+IF(M5000="✓",1,0)</f>
        <v/>
      </c>
      <c r="O5000" s="93">
        <f>N(O4999)+IF(AND(B5000&lt;&gt;"",B5000&gt;='Uang Riba'!$H$30,B5000&lt;='Uang Riba'!$I$30,OR(H5000="Dana riba",H5000="Pinjam uang riba",I5000="Pinjam dari uang riba",I5000="Ganti uang riba",I5000="Kelebihan ganti dikembalikan",AND(C5000="Kantong Uang Riba",G5000="Pengeluaran"))),1,0)</f>
        <v/>
      </c>
      <c r="X5000" s="93">
        <f>IF(AND(B5000&lt;&gt;"",B5000&gt;='Buku Akun'!$H$4,B5000&lt;='Buku Akun'!$H$5,OR(C5000='Buku Akun'!$C$4,AND(D5000="Pindah",E5000='Buku Akun'!$C$4))),B5000+IF(AND(I5000="Selisih bunga",DAY(B5000)=1),0,0.01)+ROW()/10000000,"")</f>
        <v/>
      </c>
    </row>
    <row r="5001" outlineLevel="1" ht="15" customHeight="1" s="94">
      <c r="A5001" s="123">
        <f>IF(B5001="","",ROW()-15)</f>
        <v/>
      </c>
      <c r="B5001" s="124" t="n"/>
      <c r="C5001" s="123" t="n"/>
      <c r="D5001" s="123" t="n"/>
      <c r="E5001" s="123" t="n"/>
      <c r="F5001" s="125" t="n"/>
      <c r="G5001" s="123" t="n"/>
      <c r="H5001" s="123" t="n"/>
      <c r="I5001" s="123" t="n"/>
      <c r="J5001" s="123" t="n"/>
      <c r="K5001" s="123" t="n"/>
      <c r="L5001" s="123" t="n"/>
      <c r="M5001" s="123">
        <f>IF(AND(B5001&lt;&gt;"",OR($C$4="",ISNUMBER(SEARCH($C$4,C5001&amp;" "&amp;E5001&amp;" "&amp;G5001&amp;" "&amp;H5001&amp;" "&amp;I5001&amp;" "&amp;J5001&amp;" "&amp;K5001&amp;" "&amp;L5001))),OR($C$5="Semua",$C$5="",G5001=$C$5),OR($C$6="Semua",$C$6="",H5001=$C$6,H5001="Pengeluaran "&amp;$C$6,AND($C$6="Uang Kos Mama",H5001="Pengeluaran Uang Kos")),OR($C$7="Semua",$C$7="",I5001=$C$7),OR($C$8="Semua",$C$8="",C5001=$C$8,E5001=$C$8),OR($C$9="Semua",$C$9="",D5001=$C$9),OR($C$10="",B5001&gt;=$C$10),OR($C$11="",B5001&lt;=$C$11),OR($C$12&lt;&gt;"Ya",K5001&lt;&gt;""),OR($C$13="Semua",$C$13="",L5001=$C$13)),"✓","")</f>
        <v/>
      </c>
      <c r="N5001" s="93">
        <f>N(N5000)+IF(M5001="✓",1,0)</f>
        <v/>
      </c>
      <c r="O5001" s="93">
        <f>N(O5000)+IF(AND(B5001&lt;&gt;"",B5001&gt;='Uang Riba'!$H$30,B5001&lt;='Uang Riba'!$I$30,OR(H5001="Dana riba",H5001="Pinjam uang riba",I5001="Pinjam dari uang riba",I5001="Ganti uang riba",I5001="Kelebihan ganti dikembalikan",AND(C5001="Kantong Uang Riba",G5001="Pengeluaran"))),1,0)</f>
        <v/>
      </c>
      <c r="X5001" s="93">
        <f>IF(AND(B5001&lt;&gt;"",B5001&gt;='Buku Akun'!$H$4,B5001&lt;='Buku Akun'!$H$5,OR(C5001='Buku Akun'!$C$4,AND(D5001="Pindah",E5001='Buku Akun'!$C$4))),B5001+IF(AND(I5001="Selisih bunga",DAY(B5001)=1),0,0.01)+ROW()/10000000,"")</f>
        <v/>
      </c>
    </row>
    <row r="5002" outlineLevel="1" ht="15" customHeight="1" s="94">
      <c r="A5002" s="123">
        <f>IF(B5002="","",ROW()-15)</f>
        <v/>
      </c>
      <c r="B5002" s="124" t="n"/>
      <c r="C5002" s="123" t="n"/>
      <c r="D5002" s="123" t="n"/>
      <c r="E5002" s="123" t="n"/>
      <c r="F5002" s="125" t="n"/>
      <c r="G5002" s="123" t="n"/>
      <c r="H5002" s="123" t="n"/>
      <c r="I5002" s="123" t="n"/>
      <c r="J5002" s="123" t="n"/>
      <c r="K5002" s="123" t="n"/>
      <c r="L5002" s="123" t="n"/>
      <c r="M5002" s="123">
        <f>IF(AND(B5002&lt;&gt;"",OR($C$4="",ISNUMBER(SEARCH($C$4,C5002&amp;" "&amp;E5002&amp;" "&amp;G5002&amp;" "&amp;H5002&amp;" "&amp;I5002&amp;" "&amp;J5002&amp;" "&amp;K5002&amp;" "&amp;L5002))),OR($C$5="Semua",$C$5="",G5002=$C$5),OR($C$6="Semua",$C$6="",H5002=$C$6,H5002="Pengeluaran "&amp;$C$6,AND($C$6="Uang Kos Mama",H5002="Pengeluaran Uang Kos")),OR($C$7="Semua",$C$7="",I5002=$C$7),OR($C$8="Semua",$C$8="",C5002=$C$8,E5002=$C$8),OR($C$9="Semua",$C$9="",D5002=$C$9),OR($C$10="",B5002&gt;=$C$10),OR($C$11="",B5002&lt;=$C$11),OR($C$12&lt;&gt;"Ya",K5002&lt;&gt;""),OR($C$13="Semua",$C$13="",L5002=$C$13)),"✓","")</f>
        <v/>
      </c>
      <c r="N5002" s="93">
        <f>N(N5001)+IF(M5002="✓",1,0)</f>
        <v/>
      </c>
      <c r="O5002" s="93">
        <f>N(O5001)+IF(AND(B5002&lt;&gt;"",B5002&gt;='Uang Riba'!$H$30,B5002&lt;='Uang Riba'!$I$30,OR(H5002="Dana riba",H5002="Pinjam uang riba",I5002="Pinjam dari uang riba",I5002="Ganti uang riba",I5002="Kelebihan ganti dikembalikan",AND(C5002="Kantong Uang Riba",G5002="Pengeluaran"))),1,0)</f>
        <v/>
      </c>
      <c r="X5002" s="93">
        <f>IF(AND(B5002&lt;&gt;"",B5002&gt;='Buku Akun'!$H$4,B5002&lt;='Buku Akun'!$H$5,OR(C5002='Buku Akun'!$C$4,AND(D5002="Pindah",E5002='Buku Akun'!$C$4))),B5002+IF(AND(I5002="Selisih bunga",DAY(B5002)=1),0,0.01)+ROW()/10000000,"")</f>
        <v/>
      </c>
    </row>
    <row r="5003" outlineLevel="1" ht="15" customHeight="1" s="94">
      <c r="A5003" s="123">
        <f>IF(B5003="","",ROW()-15)</f>
        <v/>
      </c>
      <c r="B5003" s="124" t="n"/>
      <c r="C5003" s="123" t="n"/>
      <c r="D5003" s="123" t="n"/>
      <c r="E5003" s="123" t="n"/>
      <c r="F5003" s="125" t="n"/>
      <c r="G5003" s="123" t="n"/>
      <c r="H5003" s="123" t="n"/>
      <c r="I5003" s="123" t="n"/>
      <c r="J5003" s="123" t="n"/>
      <c r="K5003" s="123" t="n"/>
      <c r="L5003" s="123" t="n"/>
      <c r="M5003" s="123">
        <f>IF(AND(B5003&lt;&gt;"",OR($C$4="",ISNUMBER(SEARCH($C$4,C5003&amp;" "&amp;E5003&amp;" "&amp;G5003&amp;" "&amp;H5003&amp;" "&amp;I5003&amp;" "&amp;J5003&amp;" "&amp;K5003&amp;" "&amp;L5003))),OR($C$5="Semua",$C$5="",G5003=$C$5),OR($C$6="Semua",$C$6="",H5003=$C$6,H5003="Pengeluaran "&amp;$C$6,AND($C$6="Uang Kos Mama",H5003="Pengeluaran Uang Kos")),OR($C$7="Semua",$C$7="",I5003=$C$7),OR($C$8="Semua",$C$8="",C5003=$C$8,E5003=$C$8),OR($C$9="Semua",$C$9="",D5003=$C$9),OR($C$10="",B5003&gt;=$C$10),OR($C$11="",B5003&lt;=$C$11),OR($C$12&lt;&gt;"Ya",K5003&lt;&gt;""),OR($C$13="Semua",$C$13="",L5003=$C$13)),"✓","")</f>
        <v/>
      </c>
      <c r="N5003" s="93">
        <f>N(N5002)+IF(M5003="✓",1,0)</f>
        <v/>
      </c>
      <c r="O5003" s="93">
        <f>N(O5002)+IF(AND(B5003&lt;&gt;"",B5003&gt;='Uang Riba'!$H$30,B5003&lt;='Uang Riba'!$I$30,OR(H5003="Dana riba",H5003="Pinjam uang riba",I5003="Pinjam dari uang riba",I5003="Ganti uang riba",I5003="Kelebihan ganti dikembalikan",AND(C5003="Kantong Uang Riba",G5003="Pengeluaran"))),1,0)</f>
        <v/>
      </c>
      <c r="X5003" s="93">
        <f>IF(AND(B5003&lt;&gt;"",B5003&gt;='Buku Akun'!$H$4,B5003&lt;='Buku Akun'!$H$5,OR(C5003='Buku Akun'!$C$4,AND(D5003="Pindah",E5003='Buku Akun'!$C$4))),B5003+IF(AND(I5003="Selisih bunga",DAY(B5003)=1),0,0.01)+ROW()/10000000,"")</f>
        <v/>
      </c>
    </row>
    <row r="5004" outlineLevel="1" ht="15" customHeight="1" s="94">
      <c r="A5004" s="123">
        <f>IF(B5004="","",ROW()-15)</f>
        <v/>
      </c>
      <c r="B5004" s="124" t="n"/>
      <c r="C5004" s="123" t="n"/>
      <c r="D5004" s="123" t="n"/>
      <c r="E5004" s="123" t="n"/>
      <c r="F5004" s="125" t="n"/>
      <c r="G5004" s="123" t="n"/>
      <c r="H5004" s="123" t="n"/>
      <c r="I5004" s="123" t="n"/>
      <c r="J5004" s="123" t="n"/>
      <c r="K5004" s="123" t="n"/>
      <c r="L5004" s="123" t="n"/>
      <c r="M5004" s="123">
        <f>IF(AND(B5004&lt;&gt;"",OR($C$4="",ISNUMBER(SEARCH($C$4,C5004&amp;" "&amp;E5004&amp;" "&amp;G5004&amp;" "&amp;H5004&amp;" "&amp;I5004&amp;" "&amp;J5004&amp;" "&amp;K5004&amp;" "&amp;L5004))),OR($C$5="Semua",$C$5="",G5004=$C$5),OR($C$6="Semua",$C$6="",H5004=$C$6,H5004="Pengeluaran "&amp;$C$6,AND($C$6="Uang Kos Mama",H5004="Pengeluaran Uang Kos")),OR($C$7="Semua",$C$7="",I5004=$C$7),OR($C$8="Semua",$C$8="",C5004=$C$8,E5004=$C$8),OR($C$9="Semua",$C$9="",D5004=$C$9),OR($C$10="",B5004&gt;=$C$10),OR($C$11="",B5004&lt;=$C$11),OR($C$12&lt;&gt;"Ya",K5004&lt;&gt;""),OR($C$13="Semua",$C$13="",L5004=$C$13)),"✓","")</f>
        <v/>
      </c>
      <c r="N5004" s="93">
        <f>N(N5003)+IF(M5004="✓",1,0)</f>
        <v/>
      </c>
      <c r="O5004" s="93">
        <f>N(O5003)+IF(AND(B5004&lt;&gt;"",B5004&gt;='Uang Riba'!$H$30,B5004&lt;='Uang Riba'!$I$30,OR(H5004="Dana riba",H5004="Pinjam uang riba",I5004="Pinjam dari uang riba",I5004="Ganti uang riba",I5004="Kelebihan ganti dikembalikan",AND(C5004="Kantong Uang Riba",G5004="Pengeluaran"))),1,0)</f>
        <v/>
      </c>
      <c r="X5004" s="93">
        <f>IF(AND(B5004&lt;&gt;"",B5004&gt;='Buku Akun'!$H$4,B5004&lt;='Buku Akun'!$H$5,OR(C5004='Buku Akun'!$C$4,AND(D5004="Pindah",E5004='Buku Akun'!$C$4))),B5004+IF(AND(I5004="Selisih bunga",DAY(B5004)=1),0,0.01)+ROW()/10000000,"")</f>
        <v/>
      </c>
    </row>
    <row r="5005" outlineLevel="1" ht="15" customHeight="1" s="94">
      <c r="A5005" s="123">
        <f>IF(B5005="","",ROW()-15)</f>
        <v/>
      </c>
      <c r="B5005" s="124" t="n"/>
      <c r="C5005" s="123" t="n"/>
      <c r="D5005" s="123" t="n"/>
      <c r="E5005" s="123" t="n"/>
      <c r="F5005" s="125" t="n"/>
      <c r="G5005" s="123" t="n"/>
      <c r="H5005" s="123" t="n"/>
      <c r="I5005" s="123" t="n"/>
      <c r="J5005" s="123" t="n"/>
      <c r="K5005" s="123" t="n"/>
      <c r="L5005" s="123" t="n"/>
      <c r="M5005" s="123">
        <f>IF(AND(B5005&lt;&gt;"",OR($C$4="",ISNUMBER(SEARCH($C$4,C5005&amp;" "&amp;E5005&amp;" "&amp;G5005&amp;" "&amp;H5005&amp;" "&amp;I5005&amp;" "&amp;J5005&amp;" "&amp;K5005&amp;" "&amp;L5005))),OR($C$5="Semua",$C$5="",G5005=$C$5),OR($C$6="Semua",$C$6="",H5005=$C$6,H5005="Pengeluaran "&amp;$C$6,AND($C$6="Uang Kos Mama",H5005="Pengeluaran Uang Kos")),OR($C$7="Semua",$C$7="",I5005=$C$7),OR($C$8="Semua",$C$8="",C5005=$C$8,E5005=$C$8),OR($C$9="Semua",$C$9="",D5005=$C$9),OR($C$10="",B5005&gt;=$C$10),OR($C$11="",B5005&lt;=$C$11),OR($C$12&lt;&gt;"Ya",K5005&lt;&gt;""),OR($C$13="Semua",$C$13="",L5005=$C$13)),"✓","")</f>
        <v/>
      </c>
      <c r="N5005" s="93">
        <f>N(N5004)+IF(M5005="✓",1,0)</f>
        <v/>
      </c>
      <c r="O5005" s="93">
        <f>N(O5004)+IF(AND(B5005&lt;&gt;"",B5005&gt;='Uang Riba'!$H$30,B5005&lt;='Uang Riba'!$I$30,OR(H5005="Dana riba",H5005="Pinjam uang riba",I5005="Pinjam dari uang riba",I5005="Ganti uang riba",I5005="Kelebihan ganti dikembalikan",AND(C5005="Kantong Uang Riba",G5005="Pengeluaran"))),1,0)</f>
        <v/>
      </c>
      <c r="X5005" s="93">
        <f>IF(AND(B5005&lt;&gt;"",B5005&gt;='Buku Akun'!$H$4,B5005&lt;='Buku Akun'!$H$5,OR(C5005='Buku Akun'!$C$4,AND(D5005="Pindah",E5005='Buku Akun'!$C$4))),B5005+IF(AND(I5005="Selisih bunga",DAY(B5005)=1),0,0.01)+ROW()/10000000,"")</f>
        <v/>
      </c>
    </row>
    <row r="5006" outlineLevel="1" ht="15" customHeight="1" s="94">
      <c r="A5006" s="123">
        <f>IF(B5006="","",ROW()-15)</f>
        <v/>
      </c>
      <c r="B5006" s="124" t="n"/>
      <c r="C5006" s="123" t="n"/>
      <c r="D5006" s="123" t="n"/>
      <c r="E5006" s="123" t="n"/>
      <c r="F5006" s="125" t="n"/>
      <c r="G5006" s="123" t="n"/>
      <c r="H5006" s="123" t="n"/>
      <c r="I5006" s="123" t="n"/>
      <c r="J5006" s="123" t="n"/>
      <c r="K5006" s="123" t="n"/>
      <c r="L5006" s="123" t="n"/>
      <c r="M5006" s="123">
        <f>IF(AND(B5006&lt;&gt;"",OR($C$4="",ISNUMBER(SEARCH($C$4,C5006&amp;" "&amp;E5006&amp;" "&amp;G5006&amp;" "&amp;H5006&amp;" "&amp;I5006&amp;" "&amp;J5006&amp;" "&amp;K5006&amp;" "&amp;L5006))),OR($C$5="Semua",$C$5="",G5006=$C$5),OR($C$6="Semua",$C$6="",H5006=$C$6,H5006="Pengeluaran "&amp;$C$6,AND($C$6="Uang Kos Mama",H5006="Pengeluaran Uang Kos")),OR($C$7="Semua",$C$7="",I5006=$C$7),OR($C$8="Semua",$C$8="",C5006=$C$8,E5006=$C$8),OR($C$9="Semua",$C$9="",D5006=$C$9),OR($C$10="",B5006&gt;=$C$10),OR($C$11="",B5006&lt;=$C$11),OR($C$12&lt;&gt;"Ya",K5006&lt;&gt;""),OR($C$13="Semua",$C$13="",L5006=$C$13)),"✓","")</f>
        <v/>
      </c>
      <c r="N5006" s="93">
        <f>N(N5005)+IF(M5006="✓",1,0)</f>
        <v/>
      </c>
      <c r="O5006" s="93">
        <f>N(O5005)+IF(AND(B5006&lt;&gt;"",B5006&gt;='Uang Riba'!$H$30,B5006&lt;='Uang Riba'!$I$30,OR(H5006="Dana riba",H5006="Pinjam uang riba",I5006="Pinjam dari uang riba",I5006="Ganti uang riba",I5006="Kelebihan ganti dikembalikan",AND(C5006="Kantong Uang Riba",G5006="Pengeluaran"))),1,0)</f>
        <v/>
      </c>
      <c r="X5006" s="93">
        <f>IF(AND(B5006&lt;&gt;"",B5006&gt;='Buku Akun'!$H$4,B5006&lt;='Buku Akun'!$H$5,OR(C5006='Buku Akun'!$C$4,AND(D5006="Pindah",E5006='Buku Akun'!$C$4))),B5006+IF(AND(I5006="Selisih bunga",DAY(B5006)=1),0,0.01)+ROW()/10000000,"")</f>
        <v/>
      </c>
    </row>
    <row r="5007" outlineLevel="1" ht="15" customHeight="1" s="94">
      <c r="A5007" s="123">
        <f>IF(B5007="","",ROW()-15)</f>
        <v/>
      </c>
      <c r="B5007" s="124" t="n"/>
      <c r="C5007" s="123" t="n"/>
      <c r="D5007" s="123" t="n"/>
      <c r="E5007" s="123" t="n"/>
      <c r="F5007" s="125" t="n"/>
      <c r="G5007" s="123" t="n"/>
      <c r="H5007" s="123" t="n"/>
      <c r="I5007" s="123" t="n"/>
      <c r="J5007" s="123" t="n"/>
      <c r="K5007" s="123" t="n"/>
      <c r="L5007" s="123" t="n"/>
      <c r="M5007" s="123">
        <f>IF(AND(B5007&lt;&gt;"",OR($C$4="",ISNUMBER(SEARCH($C$4,C5007&amp;" "&amp;E5007&amp;" "&amp;G5007&amp;" "&amp;H5007&amp;" "&amp;I5007&amp;" "&amp;J5007&amp;" "&amp;K5007&amp;" "&amp;L5007))),OR($C$5="Semua",$C$5="",G5007=$C$5),OR($C$6="Semua",$C$6="",H5007=$C$6,H5007="Pengeluaran "&amp;$C$6,AND($C$6="Uang Kos Mama",H5007="Pengeluaran Uang Kos")),OR($C$7="Semua",$C$7="",I5007=$C$7),OR($C$8="Semua",$C$8="",C5007=$C$8,E5007=$C$8),OR($C$9="Semua",$C$9="",D5007=$C$9),OR($C$10="",B5007&gt;=$C$10),OR($C$11="",B5007&lt;=$C$11),OR($C$12&lt;&gt;"Ya",K5007&lt;&gt;""),OR($C$13="Semua",$C$13="",L5007=$C$13)),"✓","")</f>
        <v/>
      </c>
      <c r="N5007" s="93">
        <f>N(N5006)+IF(M5007="✓",1,0)</f>
        <v/>
      </c>
      <c r="O5007" s="93">
        <f>N(O5006)+IF(AND(B5007&lt;&gt;"",B5007&gt;='Uang Riba'!$H$30,B5007&lt;='Uang Riba'!$I$30,OR(H5007="Dana riba",H5007="Pinjam uang riba",I5007="Pinjam dari uang riba",I5007="Ganti uang riba",I5007="Kelebihan ganti dikembalikan",AND(C5007="Kantong Uang Riba",G5007="Pengeluaran"))),1,0)</f>
        <v/>
      </c>
      <c r="X5007" s="93">
        <f>IF(AND(B5007&lt;&gt;"",B5007&gt;='Buku Akun'!$H$4,B5007&lt;='Buku Akun'!$H$5,OR(C5007='Buku Akun'!$C$4,AND(D5007="Pindah",E5007='Buku Akun'!$C$4))),B5007+IF(AND(I5007="Selisih bunga",DAY(B5007)=1),0,0.01)+ROW()/10000000,"")</f>
        <v/>
      </c>
    </row>
    <row r="5008" outlineLevel="1" ht="15" customHeight="1" s="94">
      <c r="A5008" s="123">
        <f>IF(B5008="","",ROW()-15)</f>
        <v/>
      </c>
      <c r="B5008" s="124" t="n"/>
      <c r="C5008" s="123" t="n"/>
      <c r="D5008" s="123" t="n"/>
      <c r="E5008" s="123" t="n"/>
      <c r="F5008" s="125" t="n"/>
      <c r="G5008" s="123" t="n"/>
      <c r="H5008" s="123" t="n"/>
      <c r="I5008" s="123" t="n"/>
      <c r="J5008" s="123" t="n"/>
      <c r="K5008" s="123" t="n"/>
      <c r="L5008" s="123" t="n"/>
      <c r="M5008" s="123">
        <f>IF(AND(B5008&lt;&gt;"",OR($C$4="",ISNUMBER(SEARCH($C$4,C5008&amp;" "&amp;E5008&amp;" "&amp;G5008&amp;" "&amp;H5008&amp;" "&amp;I5008&amp;" "&amp;J5008&amp;" "&amp;K5008&amp;" "&amp;L5008))),OR($C$5="Semua",$C$5="",G5008=$C$5),OR($C$6="Semua",$C$6="",H5008=$C$6,H5008="Pengeluaran "&amp;$C$6,AND($C$6="Uang Kos Mama",H5008="Pengeluaran Uang Kos")),OR($C$7="Semua",$C$7="",I5008=$C$7),OR($C$8="Semua",$C$8="",C5008=$C$8,E5008=$C$8),OR($C$9="Semua",$C$9="",D5008=$C$9),OR($C$10="",B5008&gt;=$C$10),OR($C$11="",B5008&lt;=$C$11),OR($C$12&lt;&gt;"Ya",K5008&lt;&gt;""),OR($C$13="Semua",$C$13="",L5008=$C$13)),"✓","")</f>
        <v/>
      </c>
      <c r="N5008" s="93">
        <f>N(N5007)+IF(M5008="✓",1,0)</f>
        <v/>
      </c>
      <c r="O5008" s="93">
        <f>N(O5007)+IF(AND(B5008&lt;&gt;"",B5008&gt;='Uang Riba'!$H$30,B5008&lt;='Uang Riba'!$I$30,OR(H5008="Dana riba",H5008="Pinjam uang riba",I5008="Pinjam dari uang riba",I5008="Ganti uang riba",I5008="Kelebihan ganti dikembalikan",AND(C5008="Kantong Uang Riba",G5008="Pengeluaran"))),1,0)</f>
        <v/>
      </c>
      <c r="X5008" s="93">
        <f>IF(AND(B5008&lt;&gt;"",B5008&gt;='Buku Akun'!$H$4,B5008&lt;='Buku Akun'!$H$5,OR(C5008='Buku Akun'!$C$4,AND(D5008="Pindah",E5008='Buku Akun'!$C$4))),B5008+IF(AND(I5008="Selisih bunga",DAY(B5008)=1),0,0.01)+ROW()/10000000,"")</f>
        <v/>
      </c>
    </row>
    <row r="5009" outlineLevel="1" ht="15" customHeight="1" s="94">
      <c r="A5009" s="123">
        <f>IF(B5009="","",ROW()-15)</f>
        <v/>
      </c>
      <c r="B5009" s="124" t="n"/>
      <c r="C5009" s="123" t="n"/>
      <c r="D5009" s="123" t="n"/>
      <c r="E5009" s="123" t="n"/>
      <c r="F5009" s="125" t="n"/>
      <c r="G5009" s="123" t="n"/>
      <c r="H5009" s="123" t="n"/>
      <c r="I5009" s="123" t="n"/>
      <c r="J5009" s="123" t="n"/>
      <c r="K5009" s="123" t="n"/>
      <c r="L5009" s="123" t="n"/>
      <c r="M5009" s="123">
        <f>IF(AND(B5009&lt;&gt;"",OR($C$4="",ISNUMBER(SEARCH($C$4,C5009&amp;" "&amp;E5009&amp;" "&amp;G5009&amp;" "&amp;H5009&amp;" "&amp;I5009&amp;" "&amp;J5009&amp;" "&amp;K5009&amp;" "&amp;L5009))),OR($C$5="Semua",$C$5="",G5009=$C$5),OR($C$6="Semua",$C$6="",H5009=$C$6,H5009="Pengeluaran "&amp;$C$6,AND($C$6="Uang Kos Mama",H5009="Pengeluaran Uang Kos")),OR($C$7="Semua",$C$7="",I5009=$C$7),OR($C$8="Semua",$C$8="",C5009=$C$8,E5009=$C$8),OR($C$9="Semua",$C$9="",D5009=$C$9),OR($C$10="",B5009&gt;=$C$10),OR($C$11="",B5009&lt;=$C$11),OR($C$12&lt;&gt;"Ya",K5009&lt;&gt;""),OR($C$13="Semua",$C$13="",L5009=$C$13)),"✓","")</f>
        <v/>
      </c>
      <c r="N5009" s="93">
        <f>N(N5008)+IF(M5009="✓",1,0)</f>
        <v/>
      </c>
      <c r="O5009" s="93">
        <f>N(O5008)+IF(AND(B5009&lt;&gt;"",B5009&gt;='Uang Riba'!$H$30,B5009&lt;='Uang Riba'!$I$30,OR(H5009="Dana riba",H5009="Pinjam uang riba",I5009="Pinjam dari uang riba",I5009="Ganti uang riba",I5009="Kelebihan ganti dikembalikan",AND(C5009="Kantong Uang Riba",G5009="Pengeluaran"))),1,0)</f>
        <v/>
      </c>
      <c r="X5009" s="93">
        <f>IF(AND(B5009&lt;&gt;"",B5009&gt;='Buku Akun'!$H$4,B5009&lt;='Buku Akun'!$H$5,OR(C5009='Buku Akun'!$C$4,AND(D5009="Pindah",E5009='Buku Akun'!$C$4))),B5009+IF(AND(I5009="Selisih bunga",DAY(B5009)=1),0,0.01)+ROW()/10000000,"")</f>
        <v/>
      </c>
    </row>
    <row r="5010" outlineLevel="1" ht="15" customHeight="1" s="94">
      <c r="A5010" s="123">
        <f>IF(B5010="","",ROW()-15)</f>
        <v/>
      </c>
      <c r="B5010" s="124" t="n"/>
      <c r="C5010" s="123" t="n"/>
      <c r="D5010" s="123" t="n"/>
      <c r="E5010" s="123" t="n"/>
      <c r="F5010" s="125" t="n"/>
      <c r="G5010" s="123" t="n"/>
      <c r="H5010" s="123" t="n"/>
      <c r="I5010" s="123" t="n"/>
      <c r="J5010" s="123" t="n"/>
      <c r="K5010" s="123" t="n"/>
      <c r="L5010" s="123" t="n"/>
      <c r="M5010" s="123">
        <f>IF(AND(B5010&lt;&gt;"",OR($C$4="",ISNUMBER(SEARCH($C$4,C5010&amp;" "&amp;E5010&amp;" "&amp;G5010&amp;" "&amp;H5010&amp;" "&amp;I5010&amp;" "&amp;J5010&amp;" "&amp;K5010&amp;" "&amp;L5010))),OR($C$5="Semua",$C$5="",G5010=$C$5),OR($C$6="Semua",$C$6="",H5010=$C$6,H5010="Pengeluaran "&amp;$C$6,AND($C$6="Uang Kos Mama",H5010="Pengeluaran Uang Kos")),OR($C$7="Semua",$C$7="",I5010=$C$7),OR($C$8="Semua",$C$8="",C5010=$C$8,E5010=$C$8),OR($C$9="Semua",$C$9="",D5010=$C$9),OR($C$10="",B5010&gt;=$C$10),OR($C$11="",B5010&lt;=$C$11),OR($C$12&lt;&gt;"Ya",K5010&lt;&gt;""),OR($C$13="Semua",$C$13="",L5010=$C$13)),"✓","")</f>
        <v/>
      </c>
      <c r="N5010" s="93">
        <f>N(N5009)+IF(M5010="✓",1,0)</f>
        <v/>
      </c>
      <c r="O5010" s="93">
        <f>N(O5009)+IF(AND(B5010&lt;&gt;"",B5010&gt;='Uang Riba'!$H$30,B5010&lt;='Uang Riba'!$I$30,OR(H5010="Dana riba",H5010="Pinjam uang riba",I5010="Pinjam dari uang riba",I5010="Ganti uang riba",I5010="Kelebihan ganti dikembalikan",AND(C5010="Kantong Uang Riba",G5010="Pengeluaran"))),1,0)</f>
        <v/>
      </c>
      <c r="X5010" s="93">
        <f>IF(AND(B5010&lt;&gt;"",B5010&gt;='Buku Akun'!$H$4,B5010&lt;='Buku Akun'!$H$5,OR(C5010='Buku Akun'!$C$4,AND(D5010="Pindah",E5010='Buku Akun'!$C$4))),B5010+IF(AND(I5010="Selisih bunga",DAY(B5010)=1),0,0.01)+ROW()/10000000,"")</f>
        <v/>
      </c>
    </row>
    <row r="5011" outlineLevel="1" ht="15" customHeight="1" s="94">
      <c r="A5011" s="123">
        <f>IF(B5011="","",ROW()-15)</f>
        <v/>
      </c>
      <c r="B5011" s="124" t="n"/>
      <c r="C5011" s="123" t="n"/>
      <c r="D5011" s="123" t="n"/>
      <c r="E5011" s="123" t="n"/>
      <c r="F5011" s="125" t="n"/>
      <c r="G5011" s="123" t="n"/>
      <c r="H5011" s="123" t="n"/>
      <c r="I5011" s="123" t="n"/>
      <c r="J5011" s="123" t="n"/>
      <c r="K5011" s="123" t="n"/>
      <c r="L5011" s="123" t="n"/>
      <c r="M5011" s="123">
        <f>IF(AND(B5011&lt;&gt;"",OR($C$4="",ISNUMBER(SEARCH($C$4,C5011&amp;" "&amp;E5011&amp;" "&amp;G5011&amp;" "&amp;H5011&amp;" "&amp;I5011&amp;" "&amp;J5011&amp;" "&amp;K5011&amp;" "&amp;L5011))),OR($C$5="Semua",$C$5="",G5011=$C$5),OR($C$6="Semua",$C$6="",H5011=$C$6,H5011="Pengeluaran "&amp;$C$6,AND($C$6="Uang Kos Mama",H5011="Pengeluaran Uang Kos")),OR($C$7="Semua",$C$7="",I5011=$C$7),OR($C$8="Semua",$C$8="",C5011=$C$8,E5011=$C$8),OR($C$9="Semua",$C$9="",D5011=$C$9),OR($C$10="",B5011&gt;=$C$10),OR($C$11="",B5011&lt;=$C$11),OR($C$12&lt;&gt;"Ya",K5011&lt;&gt;""),OR($C$13="Semua",$C$13="",L5011=$C$13)),"✓","")</f>
        <v/>
      </c>
      <c r="N5011" s="93">
        <f>N(N5010)+IF(M5011="✓",1,0)</f>
        <v/>
      </c>
      <c r="O5011" s="93">
        <f>N(O5010)+IF(AND(B5011&lt;&gt;"",B5011&gt;='Uang Riba'!$H$30,B5011&lt;='Uang Riba'!$I$30,OR(H5011="Dana riba",H5011="Pinjam uang riba",I5011="Pinjam dari uang riba",I5011="Ganti uang riba",I5011="Kelebihan ganti dikembalikan",AND(C5011="Kantong Uang Riba",G5011="Pengeluaran"))),1,0)</f>
        <v/>
      </c>
      <c r="X5011" s="93">
        <f>IF(AND(B5011&lt;&gt;"",B5011&gt;='Buku Akun'!$H$4,B5011&lt;='Buku Akun'!$H$5,OR(C5011='Buku Akun'!$C$4,AND(D5011="Pindah",E5011='Buku Akun'!$C$4))),B5011+IF(AND(I5011="Selisih bunga",DAY(B5011)=1),0,0.01)+ROW()/10000000,"")</f>
        <v/>
      </c>
    </row>
    <row r="5012" outlineLevel="1" ht="15" customHeight="1" s="94">
      <c r="A5012" s="123">
        <f>IF(B5012="","",ROW()-15)</f>
        <v/>
      </c>
      <c r="B5012" s="124" t="n"/>
      <c r="C5012" s="123" t="n"/>
      <c r="D5012" s="123" t="n"/>
      <c r="E5012" s="123" t="n"/>
      <c r="F5012" s="125" t="n"/>
      <c r="G5012" s="123" t="n"/>
      <c r="H5012" s="123" t="n"/>
      <c r="I5012" s="123" t="n"/>
      <c r="J5012" s="123" t="n"/>
      <c r="K5012" s="123" t="n"/>
      <c r="L5012" s="123" t="n"/>
      <c r="M5012" s="123">
        <f>IF(AND(B5012&lt;&gt;"",OR($C$4="",ISNUMBER(SEARCH($C$4,C5012&amp;" "&amp;E5012&amp;" "&amp;G5012&amp;" "&amp;H5012&amp;" "&amp;I5012&amp;" "&amp;J5012&amp;" "&amp;K5012&amp;" "&amp;L5012))),OR($C$5="Semua",$C$5="",G5012=$C$5),OR($C$6="Semua",$C$6="",H5012=$C$6,H5012="Pengeluaran "&amp;$C$6,AND($C$6="Uang Kos Mama",H5012="Pengeluaran Uang Kos")),OR($C$7="Semua",$C$7="",I5012=$C$7),OR($C$8="Semua",$C$8="",C5012=$C$8,E5012=$C$8),OR($C$9="Semua",$C$9="",D5012=$C$9),OR($C$10="",B5012&gt;=$C$10),OR($C$11="",B5012&lt;=$C$11),OR($C$12&lt;&gt;"Ya",K5012&lt;&gt;""),OR($C$13="Semua",$C$13="",L5012=$C$13)),"✓","")</f>
        <v/>
      </c>
      <c r="N5012" s="93">
        <f>N(N5011)+IF(M5012="✓",1,0)</f>
        <v/>
      </c>
      <c r="O5012" s="93">
        <f>N(O5011)+IF(AND(B5012&lt;&gt;"",B5012&gt;='Uang Riba'!$H$30,B5012&lt;='Uang Riba'!$I$30,OR(H5012="Dana riba",H5012="Pinjam uang riba",I5012="Pinjam dari uang riba",I5012="Ganti uang riba",I5012="Kelebihan ganti dikembalikan",AND(C5012="Kantong Uang Riba",G5012="Pengeluaran"))),1,0)</f>
        <v/>
      </c>
      <c r="X5012" s="93">
        <f>IF(AND(B5012&lt;&gt;"",B5012&gt;='Buku Akun'!$H$4,B5012&lt;='Buku Akun'!$H$5,OR(C5012='Buku Akun'!$C$4,AND(D5012="Pindah",E5012='Buku Akun'!$C$4))),B5012+IF(AND(I5012="Selisih bunga",DAY(B5012)=1),0,0.01)+ROW()/10000000,"")</f>
        <v/>
      </c>
    </row>
    <row r="5013" outlineLevel="1" ht="15" customHeight="1" s="94">
      <c r="A5013" s="123">
        <f>IF(B5013="","",ROW()-15)</f>
        <v/>
      </c>
      <c r="B5013" s="124" t="n"/>
      <c r="C5013" s="123" t="n"/>
      <c r="D5013" s="123" t="n"/>
      <c r="E5013" s="123" t="n"/>
      <c r="F5013" s="125" t="n"/>
      <c r="G5013" s="123" t="n"/>
      <c r="H5013" s="123" t="n"/>
      <c r="I5013" s="123" t="n"/>
      <c r="J5013" s="123" t="n"/>
      <c r="K5013" s="123" t="n"/>
      <c r="L5013" s="123" t="n"/>
      <c r="M5013" s="123">
        <f>IF(AND(B5013&lt;&gt;"",OR($C$4="",ISNUMBER(SEARCH($C$4,C5013&amp;" "&amp;E5013&amp;" "&amp;G5013&amp;" "&amp;H5013&amp;" "&amp;I5013&amp;" "&amp;J5013&amp;" "&amp;K5013&amp;" "&amp;L5013))),OR($C$5="Semua",$C$5="",G5013=$C$5),OR($C$6="Semua",$C$6="",H5013=$C$6,H5013="Pengeluaran "&amp;$C$6,AND($C$6="Uang Kos Mama",H5013="Pengeluaran Uang Kos")),OR($C$7="Semua",$C$7="",I5013=$C$7),OR($C$8="Semua",$C$8="",C5013=$C$8,E5013=$C$8),OR($C$9="Semua",$C$9="",D5013=$C$9),OR($C$10="",B5013&gt;=$C$10),OR($C$11="",B5013&lt;=$C$11),OR($C$12&lt;&gt;"Ya",K5013&lt;&gt;""),OR($C$13="Semua",$C$13="",L5013=$C$13)),"✓","")</f>
        <v/>
      </c>
      <c r="N5013" s="93">
        <f>N(N5012)+IF(M5013="✓",1,0)</f>
        <v/>
      </c>
      <c r="O5013" s="93">
        <f>N(O5012)+IF(AND(B5013&lt;&gt;"",B5013&gt;='Uang Riba'!$H$30,B5013&lt;='Uang Riba'!$I$30,OR(H5013="Dana riba",H5013="Pinjam uang riba",I5013="Pinjam dari uang riba",I5013="Ganti uang riba",I5013="Kelebihan ganti dikembalikan",AND(C5013="Kantong Uang Riba",G5013="Pengeluaran"))),1,0)</f>
        <v/>
      </c>
      <c r="X5013" s="93">
        <f>IF(AND(B5013&lt;&gt;"",B5013&gt;='Buku Akun'!$H$4,B5013&lt;='Buku Akun'!$H$5,OR(C5013='Buku Akun'!$C$4,AND(D5013="Pindah",E5013='Buku Akun'!$C$4))),B5013+IF(AND(I5013="Selisih bunga",DAY(B5013)=1),0,0.01)+ROW()/10000000,"")</f>
        <v/>
      </c>
    </row>
    <row r="5014" outlineLevel="1" ht="15" customHeight="1" s="94">
      <c r="A5014" s="123">
        <f>IF(B5014="","",ROW()-15)</f>
        <v/>
      </c>
      <c r="B5014" s="124" t="n"/>
      <c r="C5014" s="123" t="n"/>
      <c r="D5014" s="123" t="n"/>
      <c r="E5014" s="123" t="n"/>
      <c r="F5014" s="125" t="n"/>
      <c r="G5014" s="123" t="n"/>
      <c r="H5014" s="123" t="n"/>
      <c r="I5014" s="123" t="n"/>
      <c r="J5014" s="123" t="n"/>
      <c r="K5014" s="123" t="n"/>
      <c r="L5014" s="123" t="n"/>
      <c r="M5014" s="123">
        <f>IF(AND(B5014&lt;&gt;"",OR($C$4="",ISNUMBER(SEARCH($C$4,C5014&amp;" "&amp;E5014&amp;" "&amp;G5014&amp;" "&amp;H5014&amp;" "&amp;I5014&amp;" "&amp;J5014&amp;" "&amp;K5014&amp;" "&amp;L5014))),OR($C$5="Semua",$C$5="",G5014=$C$5),OR($C$6="Semua",$C$6="",H5014=$C$6,H5014="Pengeluaran "&amp;$C$6,AND($C$6="Uang Kos Mama",H5014="Pengeluaran Uang Kos")),OR($C$7="Semua",$C$7="",I5014=$C$7),OR($C$8="Semua",$C$8="",C5014=$C$8,E5014=$C$8),OR($C$9="Semua",$C$9="",D5014=$C$9),OR($C$10="",B5014&gt;=$C$10),OR($C$11="",B5014&lt;=$C$11),OR($C$12&lt;&gt;"Ya",K5014&lt;&gt;""),OR($C$13="Semua",$C$13="",L5014=$C$13)),"✓","")</f>
        <v/>
      </c>
      <c r="N5014" s="93">
        <f>N(N5013)+IF(M5014="✓",1,0)</f>
        <v/>
      </c>
      <c r="O5014" s="93">
        <f>N(O5013)+IF(AND(B5014&lt;&gt;"",B5014&gt;='Uang Riba'!$H$30,B5014&lt;='Uang Riba'!$I$30,OR(H5014="Dana riba",H5014="Pinjam uang riba",I5014="Pinjam dari uang riba",I5014="Ganti uang riba",I5014="Kelebihan ganti dikembalikan",AND(C5014="Kantong Uang Riba",G5014="Pengeluaran"))),1,0)</f>
        <v/>
      </c>
      <c r="X5014" s="93">
        <f>IF(AND(B5014&lt;&gt;"",B5014&gt;='Buku Akun'!$H$4,B5014&lt;='Buku Akun'!$H$5,OR(C5014='Buku Akun'!$C$4,AND(D5014="Pindah",E5014='Buku Akun'!$C$4))),B5014+IF(AND(I5014="Selisih bunga",DAY(B5014)=1),0,0.01)+ROW()/10000000,"")</f>
        <v/>
      </c>
    </row>
    <row r="5015" outlineLevel="1" ht="15" customHeight="1" s="94">
      <c r="A5015" s="123">
        <f>IF(B5015="","",ROW()-15)</f>
        <v/>
      </c>
      <c r="B5015" s="124" t="n"/>
      <c r="C5015" s="123" t="n"/>
      <c r="D5015" s="123" t="n"/>
      <c r="E5015" s="123" t="n"/>
      <c r="F5015" s="125" t="n"/>
      <c r="G5015" s="123" t="n"/>
      <c r="H5015" s="123" t="n"/>
      <c r="I5015" s="123" t="n"/>
      <c r="J5015" s="123" t="n"/>
      <c r="K5015" s="123" t="n"/>
      <c r="L5015" s="123" t="n"/>
      <c r="M5015" s="123">
        <f>IF(AND(B5015&lt;&gt;"",OR($C$4="",ISNUMBER(SEARCH($C$4,C5015&amp;" "&amp;E5015&amp;" "&amp;G5015&amp;" "&amp;H5015&amp;" "&amp;I5015&amp;" "&amp;J5015&amp;" "&amp;K5015&amp;" "&amp;L5015))),OR($C$5="Semua",$C$5="",G5015=$C$5),OR($C$6="Semua",$C$6="",H5015=$C$6,H5015="Pengeluaran "&amp;$C$6,AND($C$6="Uang Kos Mama",H5015="Pengeluaran Uang Kos")),OR($C$7="Semua",$C$7="",I5015=$C$7),OR($C$8="Semua",$C$8="",C5015=$C$8,E5015=$C$8),OR($C$9="Semua",$C$9="",D5015=$C$9),OR($C$10="",B5015&gt;=$C$10),OR($C$11="",B5015&lt;=$C$11),OR($C$12&lt;&gt;"Ya",K5015&lt;&gt;""),OR($C$13="Semua",$C$13="",L5015=$C$13)),"✓","")</f>
        <v/>
      </c>
      <c r="N5015" s="93">
        <f>N(N5014)+IF(M5015="✓",1,0)</f>
        <v/>
      </c>
      <c r="O5015" s="93">
        <f>N(O5014)+IF(AND(B5015&lt;&gt;"",B5015&gt;='Uang Riba'!$H$30,B5015&lt;='Uang Riba'!$I$30,OR(H5015="Dana riba",H5015="Pinjam uang riba",I5015="Pinjam dari uang riba",I5015="Ganti uang riba",I5015="Kelebihan ganti dikembalikan",AND(C5015="Kantong Uang Riba",G5015="Pengeluaran"))),1,0)</f>
        <v/>
      </c>
      <c r="X5015" s="93">
        <f>IF(AND(B5015&lt;&gt;"",B5015&gt;='Buku Akun'!$H$4,B5015&lt;='Buku Akun'!$H$5,OR(C5015='Buku Akun'!$C$4,AND(D5015="Pindah",E5015='Buku Akun'!$C$4))),B5015+IF(AND(I5015="Selisih bunga",DAY(B5015)=1),0,0.01)+ROW()/10000000,"")</f>
        <v/>
      </c>
    </row>
  </sheetData>
  <autoFilter ref="A15:M5015"/>
  <mergeCells count="23">
    <mergeCell ref="A2:V2"/>
    <mergeCell ref="C6:D6"/>
    <mergeCell ref="A11:B11"/>
    <mergeCell ref="C5:D5"/>
    <mergeCell ref="A6:B6"/>
    <mergeCell ref="C4:D4"/>
    <mergeCell ref="C10:D10"/>
    <mergeCell ref="A7:B7"/>
    <mergeCell ref="F13:H13"/>
    <mergeCell ref="C9:D9"/>
    <mergeCell ref="A12:B12"/>
    <mergeCell ref="C12:D12"/>
    <mergeCell ref="A1:V1"/>
    <mergeCell ref="C11:D11"/>
    <mergeCell ref="A5:B5"/>
    <mergeCell ref="A8:B8"/>
    <mergeCell ref="C8:D8"/>
    <mergeCell ref="A4:B4"/>
    <mergeCell ref="C7:D7"/>
    <mergeCell ref="A10:B10"/>
    <mergeCell ref="A13:B13"/>
    <mergeCell ref="C13:D13"/>
    <mergeCell ref="A9:B9"/>
  </mergeCells>
  <conditionalFormatting sqref="P5:V304">
    <cfRule type="expression" rank="0" priority="2" equalAverage="0" aboveAverage="0" dxfId="14" text="" percent="0" bottom="0">
      <formula>$R5="Masuk"</formula>
    </cfRule>
    <cfRule type="expression" rank="0" priority="3" equalAverage="0" aboveAverage="0" dxfId="15" text="" percent="0" bottom="0">
      <formula>$R5="Keluar"</formula>
    </cfRule>
    <cfRule type="expression" rank="0" priority="4" equalAverage="0" aboveAverage="0" dxfId="16" text="" percent="0" bottom="0">
      <formula>$R5="Pindah"</formula>
    </cfRule>
  </conditionalFormatting>
  <conditionalFormatting sqref="D16:D5015">
    <cfRule type="expression" rank="0" priority="5" equalAverage="0" aboveAverage="0" dxfId="17" text="" percent="0" bottom="0">
      <formula>$D16="Masuk"</formula>
    </cfRule>
    <cfRule type="expression" rank="0" priority="6" equalAverage="0" aboveAverage="0" dxfId="18" text="" percent="0" bottom="0">
      <formula>$D16="Keluar"</formula>
    </cfRule>
    <cfRule type="expression" rank="0" priority="7" equalAverage="0" aboveAverage="0" dxfId="19" text="" percent="0" bottom="0">
      <formula>$D16="Pindah"</formula>
    </cfRule>
  </conditionalFormatting>
  <conditionalFormatting sqref="K16:K5015">
    <cfRule type="expression" rank="0" priority="8" equalAverage="0" aboveAverage="0" dxfId="20" text="" percent="0" bottom="0">
      <formula>$K16&lt;&gt;""</formula>
    </cfRule>
  </conditionalFormatting>
  <conditionalFormatting sqref="M16:M5015">
    <cfRule type="expression" rank="0" priority="9" equalAverage="0" aboveAverage="0" dxfId="21" text="" percent="0" bottom="0">
      <formula>$M16="✓"</formula>
    </cfRule>
  </conditionalFormatting>
  <dataValidations count="13">
    <dataValidation sqref="H16:H5015" showDropDown="0" showInputMessage="0" showErrorMessage="0" allowBlank="1" type="list" errorStyle="stop" operator="between">
      <formula1>INDIRECT(IF($G16="Pendapatan","Ref!$G$1:$G$5",IF($G16="Pengeluaran","Ref!$H$1:$H$5",IF($G16="Tabungan","Ref!$I$1:$I$5","Ref!$J$1:$J$6"))))</formula1>
      <formula2>0</formula2>
    </dataValidation>
    <dataValidation sqref="C5" showDropDown="0" showInputMessage="0" showErrorMessage="0" allowBlank="1" type="list" errorStyle="stop" operator="between">
      <formula1>Ref!$K$1:$K$5</formula1>
      <formula2>0</formula2>
    </dataValidation>
    <dataValidation sqref="C6" showDropDown="0" showInputMessage="0" showErrorMessage="0" allowBlank="1" type="list" errorStyle="stop" operator="between">
      <formula1>Ref!$L$1:$L$22</formula1>
      <formula2>0</formula2>
    </dataValidation>
    <dataValidation sqref="C7" showDropDown="0" showInputMessage="0" showErrorMessage="0" allowBlank="1" type="list" errorStyle="stop" operator="between">
      <formula1>Ref!$P$1:$P$301</formula1>
      <formula2>0</formula2>
    </dataValidation>
    <dataValidation sqref="C8" showDropDown="0" showInputMessage="0" showErrorMessage="0" allowBlank="1" type="list" errorStyle="stop" operator="between">
      <formula1>Ref!$O$1:$O$101</formula1>
      <formula2>0</formula2>
    </dataValidation>
    <dataValidation sqref="C9" showDropDown="0" showInputMessage="0" showErrorMessage="0" allowBlank="1" type="list" errorStyle="stop" operator="between">
      <formula1>Ref!$M$1:$M$4</formula1>
      <formula2>0</formula2>
    </dataValidation>
    <dataValidation sqref="C12" showDropDown="0" showInputMessage="0" showErrorMessage="0" allowBlank="1" type="list" errorStyle="stop" operator="between">
      <formula1>Ref!$N$1:$N$2</formula1>
      <formula2>0</formula2>
    </dataValidation>
    <dataValidation sqref="C13" showDropDown="0" showInputMessage="0" showErrorMessage="0" allowBlank="1" type="list" errorStyle="stop" operator="between">
      <formula1>Ref!$Q$1:$Q$40</formula1>
      <formula2>0</formula2>
    </dataValidation>
    <dataValidation sqref="C16:C5015 E16:E5015" showDropDown="0" showInputMessage="0" showErrorMessage="0" allowBlank="1" type="list" errorStyle="stop" operator="between">
      <formula1>Ref!$O$2:$O$101</formula1>
      <formula2>0</formula2>
    </dataValidation>
    <dataValidation sqref="D16:D5015" showDropDown="0" showInputMessage="0" showErrorMessage="0" allowBlank="1" type="list" errorStyle="stop" operator="between">
      <formula1>Ref!$C$1:$C$3</formula1>
      <formula2>0</formula2>
    </dataValidation>
    <dataValidation sqref="G16:G5015" showDropDown="0" showInputMessage="0" showErrorMessage="0" allowBlank="1" type="list" errorStyle="stop" operator="between">
      <formula1>Ref!$D$1:$D$4</formula1>
      <formula2>0</formula2>
    </dataValidation>
    <dataValidation sqref="I16:I5015" showDropDown="0" showInputMessage="0" showErrorMessage="0" allowBlank="1" type="list" errorStyle="stop" operator="between">
      <formula1>Ref!$P$2:$P$301</formula1>
      <formula2>0</formula2>
    </dataValidation>
    <dataValidation sqref="L16:L5015" showDropDown="0" showInputMessage="0" showErrorMessage="0" allowBlank="1" type="list" errorStyle="stop" operator="between">
      <formula1>Ref!$Q$2:$Q$40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0F7A55"/>
    <outlinePr summaryBelow="1" summaryRight="1"/>
    <pageSetUpPr fitToPage="0"/>
  </sheetPr>
  <dimension ref="A1:I309"/>
  <sheetViews>
    <sheetView showFormulas="0" showGridLines="1" showRowColHeaders="1" showZeros="1" rightToLeft="0" tabSelected="0" showOutlineSymbols="1" defaultGridColor="1"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baseColWidth="8" defaultColWidth="8.6796875" defaultRowHeight="15" zeroHeight="0" outlineLevelRow="0"/>
  <cols>
    <col hidden="1" width="13" customWidth="1" style="93" min="1" max="1"/>
    <col width="12" customWidth="1" style="93" min="2" max="2"/>
    <col width="48" customWidth="1" style="93" min="3" max="3"/>
    <col width="24" customWidth="1" style="93" min="4" max="4"/>
    <col width="14" customWidth="1" style="93" min="5" max="6"/>
    <col width="15" customWidth="1" style="93" min="7" max="7"/>
    <col width="7" customWidth="1" style="93" min="8" max="8"/>
    <col width="26" customWidth="1" style="93" min="9" max="9"/>
  </cols>
  <sheetData>
    <row r="1" ht="18" customHeight="1" s="94">
      <c r="A1" s="95" t="inlineStr">
        <is>
          <t>BUKU AKUN — TRANSAKSI PER AKUN PER BULAN (SALDO BERJALAN)</t>
        </is>
      </c>
    </row>
    <row r="2" ht="43.5" customHeight="1" s="94">
      <c r="A2" s="98" t="inlineStr">
        <is>
          <t>Pilih akun, bulan, dan tahun di sel kuning. Tampilannya seperti buku bank: saldo awal bulan, transaksi urut per tanggal dengan saldo setelah tiap transaksi, lalu total &amp; saldo akhir. Sama dengan menu Buku Akun di aplikasi. Selisih bunga awal bulan selalu ditaruh paling atas supaya saldo awal bulan sama dengan saldo di aplikasi bank. Ketuk "Buka" untuk melompat ke transaksinya.</t>
        </is>
      </c>
    </row>
    <row r="3"/>
    <row r="4" ht="15" customHeight="1" s="94">
      <c r="B4" s="127" t="inlineStr">
        <is>
          <t>Akun</t>
        </is>
      </c>
      <c r="C4" s="128" t="inlineStr">
        <is>
          <t>Jago - Kantong Utama</t>
        </is>
      </c>
      <c r="E4" s="127" t="inlineStr">
        <is>
          <t>Total masuk</t>
        </is>
      </c>
      <c r="F4" s="113">
        <f>SUM(E10:E309)</f>
        <v/>
      </c>
      <c r="G4" s="93" t="inlineStr">
        <is>
          <t>Awal bulan</t>
        </is>
      </c>
      <c r="H4" s="129">
        <f>DATE($C$6,MATCH($C$5,Ref!$A$1:$A$12,0),1)</f>
        <v/>
      </c>
      <c r="I4" s="130">
        <f>IF(ABS(F6-(SUMIFS(Akun!$C$5:$C$104,Akun!$A$5:$A$104,$C$4,Akun!$D$5:$D$104,"&lt;="&amp;H5)+SUMIFS(Transaksi!$F$16:$F$5015,Transaksi!$C$16:$C$5015,$C$4,Transaksi!$D$16:$D$5015,"Masuk",Transaksi!$B$16:$B$5015,"&lt;="&amp;H5)-SUMIFS(Transaksi!$F$16:$F$5015,Transaksi!$C$16:$C$5015,$C$4,Transaksi!$D$16:$D$5015,"Keluar",Transaksi!$B$16:$B$5015,"&lt;="&amp;H5)-SUMIFS(Transaksi!$F$16:$F$5015,Transaksi!$C$16:$C$5015,$C$4,Transaksi!$D$16:$D$5015,"Pindah",Transaksi!$B$16:$B$5015,"&lt;="&amp;H5)+SUMIFS(Transaksi!$F$16:$F$5015,Transaksi!$E$16:$E$5015,$C$4,Transaksi!$D$16:$D$5015,"Pindah",Transaksi!$B$16:$B$5015,"&lt;="&amp;H5)))&lt;1,"✓ cocok dengan saldo akun","cek")</f>
        <v/>
      </c>
    </row>
    <row r="5" ht="15" customHeight="1" s="94">
      <c r="B5" s="127" t="inlineStr">
        <is>
          <t>Bulan</t>
        </is>
      </c>
      <c r="C5" s="128" t="inlineStr">
        <is>
          <t>September</t>
        </is>
      </c>
      <c r="E5" s="127" t="inlineStr">
        <is>
          <t>Total keluar</t>
        </is>
      </c>
      <c r="F5" s="113">
        <f>SUM(F10:F309)</f>
        <v/>
      </c>
      <c r="G5" s="93" t="inlineStr">
        <is>
          <t>Akhir bulan</t>
        </is>
      </c>
      <c r="H5" s="129">
        <f>EOMONTH(H4,0)</f>
        <v/>
      </c>
    </row>
    <row r="6" ht="15" customHeight="1" s="94">
      <c r="B6" s="127" t="inlineStr">
        <is>
          <t>Tahun</t>
        </is>
      </c>
      <c r="C6" s="128" t="n">
        <v>2026</v>
      </c>
      <c r="E6" s="127" t="inlineStr">
        <is>
          <t>Saldo akhir bulan</t>
        </is>
      </c>
      <c r="F6" s="113">
        <f>G9+F4-F5</f>
        <v/>
      </c>
    </row>
    <row r="7" ht="23.25" customHeight="1" s="94">
      <c r="B7" s="98">
        <f>"Jumlah transaksi: "&amp;COUNT(Transaksi!$X$16:$X$5015)&amp;IF(COUNT(Transaksi!$X$16:$X$5015)&gt;300," (ditampilkan 300 pertama)","")</f>
        <v/>
      </c>
    </row>
    <row r="8" ht="15" customHeight="1" s="94">
      <c r="B8" s="131" t="inlineStr">
        <is>
          <t>Tanggal</t>
        </is>
      </c>
      <c r="C8" s="131" t="inlineStr">
        <is>
          <t>Keterangan</t>
        </is>
      </c>
      <c r="D8" s="131" t="inlineStr">
        <is>
          <t>Kategori</t>
        </is>
      </c>
      <c r="E8" s="131" t="inlineStr">
        <is>
          <t>Masuk</t>
        </is>
      </c>
      <c r="F8" s="131" t="inlineStr">
        <is>
          <t>Keluar</t>
        </is>
      </c>
      <c r="G8" s="131" t="inlineStr">
        <is>
          <t>Saldo</t>
        </is>
      </c>
      <c r="H8" s="131" t="inlineStr">
        <is>
          <t>Buka</t>
        </is>
      </c>
    </row>
    <row r="9" ht="15" customHeight="1" s="94">
      <c r="B9" s="132" t="inlineStr">
        <is>
          <t>Saldo awal</t>
        </is>
      </c>
      <c r="C9" s="132">
        <f>"akhir bulan sebelumnya ("&amp;TEXT(H4-1,"dd/mm/yyyy")&amp;")"</f>
        <v/>
      </c>
      <c r="D9" s="133" t="n"/>
      <c r="E9" s="133" t="n"/>
      <c r="F9" s="133" t="n"/>
      <c r="G9" s="134">
        <f>SUMIFS(Akun!$C$5:$C$104,Akun!$A$5:$A$104,$C$4,Akun!$D$5:$D$104,"&lt;="&amp;H4-1)+SUMIFS(Transaksi!$F$16:$F$5015,Transaksi!$C$16:$C$5015,$C$4,Transaksi!$D$16:$D$5015,"Masuk",Transaksi!$B$16:$B$5015,"&lt;="&amp;H4-1)-SUMIFS(Transaksi!$F$16:$F$5015,Transaksi!$C$16:$C$5015,$C$4,Transaksi!$D$16:$D$5015,"Keluar",Transaksi!$B$16:$B$5015,"&lt;="&amp;H4-1)-SUMIFS(Transaksi!$F$16:$F$5015,Transaksi!$C$16:$C$5015,$C$4,Transaksi!$D$16:$D$5015,"Pindah",Transaksi!$B$16:$B$5015,"&lt;="&amp;H4-1)+SUMIFS(Transaksi!$F$16:$F$5015,Transaksi!$E$16:$E$5015,$C$4,Transaksi!$D$16:$D$5015,"Pindah",Transaksi!$B$16:$B$5015,"&lt;="&amp;H4-1)</f>
        <v/>
      </c>
    </row>
    <row r="10" ht="23.25" customHeight="1" s="94">
      <c r="A10" s="93">
        <f>IF(1&gt;COUNT(Transaksi!$X$16:$X$5015),"",ROUND(MOD(MOD(SMALL(Transaksi!$X$16:$X$5015,1),1),0.01)*10000000,0))</f>
        <v/>
      </c>
      <c r="B10" s="135">
        <f>IF(1&gt;COUNT(Transaksi!$X$16:$X$5015),"",IF(1=1,INDEX(Transaksi!$B$1:$B$5015,ROUND(MOD(MOD(SMALL(Transaksi!$X$16:$X$5015,1),1),0.01)*10000000,0)),IF(INDEX(Transaksi!$B$1:$B$5015,ROUND(MOD(MOD(SMALL(Transaksi!$X$16:$X$5015,1),1),0.01)*10000000,0))=INDEX(Transaksi!$B$1:$B$5015,A9),"",INDEX(Transaksi!$B$1:$B$5015,ROUND(MOD(MOD(SMALL(Transaksi!$X$16:$X$5015,1),1),0.01)*10000000,0)))))</f>
        <v/>
      </c>
      <c r="C10" s="136">
        <f>IF(1&gt;COUNT(Transaksi!$X$16:$X$5015),"",INDEX(Transaksi!$J$1:$J$5015,ROUND(MOD(MOD(SMALL(Transaksi!$X$16:$X$5015,1),1),0.01)*10000000,0))&amp;IF(INDEX(Transaksi!$D$1:$D$5015,ROUND(MOD(MOD(SMALL(Transaksi!$X$16:$X$5015,1),1),0.01)*10000000,0))="Pindah",IF(INDEX(Transaksi!$C$1:$C$5015,ROUND(MOD(MOD(SMALL(Transaksi!$X$16:$X$5015,1),1),0.01)*10000000,0))=$C$4," (ke "&amp;INDEX(Transaksi!$E$1:$E$5015,ROUND(MOD(MOD(SMALL(Transaksi!$X$16:$X$5015,1),1),0.01)*10000000,0))&amp;")"," (dari "&amp;INDEX(Transaksi!$C$1:$C$5015,ROUND(MOD(MOD(SMALL(Transaksi!$X$16:$X$5015,1),1),0.01)*10000000,0))&amp;")"),""))</f>
        <v/>
      </c>
      <c r="D10" s="137">
        <f>IF(1&gt;COUNT(Transaksi!$X$16:$X$5015),"",INDEX(Transaksi!$I$1:$I$5015,ROUND(MOD(MOD(SMALL(Transaksi!$X$16:$X$5015,1),1),0.01)*10000000,0)))</f>
        <v/>
      </c>
      <c r="E10" s="138">
        <f>IF(1&gt;COUNT(Transaksi!$X$16:$X$5015),"",IF(IF(INDEX(Transaksi!$C$1:$C$5015,ROUND(MOD(MOD(SMALL(Transaksi!$X$16:$X$5015,1),1),0.01)*10000000,0))=$C$4,IF(INDEX(Transaksi!$D$1:$D$5015,ROUND(MOD(MOD(SMALL(Transaksi!$X$16:$X$5015,1),1),0.01)*10000000,0))="Masuk",1,-1),1)&gt;0,INDEX(Transaksi!$F$1:$F$5015,ROUND(MOD(MOD(SMALL(Transaksi!$X$16:$X$5015,1),1),0.01)*10000000,0)),""))</f>
        <v/>
      </c>
      <c r="F10" s="139">
        <f>IF(1&gt;COUNT(Transaksi!$X$16:$X$5015),"",IF(IF(INDEX(Transaksi!$C$1:$C$5015,ROUND(MOD(MOD(SMALL(Transaksi!$X$16:$X$5015,1),1),0.01)*10000000,0))=$C$4,IF(INDEX(Transaksi!$D$1:$D$5015,ROUND(MOD(MOD(SMALL(Transaksi!$X$16:$X$5015,1),1),0.01)*10000000,0))="Masuk",1,-1),1)&lt;0,INDEX(Transaksi!$F$1:$F$5015,ROUND(MOD(MOD(SMALL(Transaksi!$X$16:$X$5015,1),1),0.01)*10000000,0)),""))</f>
        <v/>
      </c>
      <c r="G10" s="106">
        <f>IF(1&gt;COUNT(Transaksi!$X$16:$X$5015),"",N(G9)+N(E10)-N(F10))</f>
        <v/>
      </c>
      <c r="H10" s="137">
        <f>IF(1&gt;COUNT(Transaksi!$X$16:$X$5015),"",HYPERLINK("#Transaksi!B"&amp;A10,"Buka"))</f>
        <v/>
      </c>
    </row>
    <row r="11" ht="23.25" customHeight="1" s="94">
      <c r="A11" s="93">
        <f>IF(2&gt;COUNT(Transaksi!$X$16:$X$5015),"",ROUND(MOD(MOD(SMALL(Transaksi!$X$16:$X$5015,2),1),0.01)*10000000,0))</f>
        <v/>
      </c>
      <c r="B11" s="135">
        <f>IF(2&gt;COUNT(Transaksi!$X$16:$X$5015),"",IF(2=1,INDEX(Transaksi!$B$1:$B$5015,ROUND(MOD(MOD(SMALL(Transaksi!$X$16:$X$5015,2),1),0.01)*10000000,0)),IF(INDEX(Transaksi!$B$1:$B$5015,ROUND(MOD(MOD(SMALL(Transaksi!$X$16:$X$5015,2),1),0.01)*10000000,0))=INDEX(Transaksi!$B$1:$B$5015,A10),"",INDEX(Transaksi!$B$1:$B$5015,ROUND(MOD(MOD(SMALL(Transaksi!$X$16:$X$5015,2),1),0.01)*10000000,0)))))</f>
        <v/>
      </c>
      <c r="C11" s="136">
        <f>IF(2&gt;COUNT(Transaksi!$X$16:$X$5015),"",INDEX(Transaksi!$J$1:$J$5015,ROUND(MOD(MOD(SMALL(Transaksi!$X$16:$X$5015,2),1),0.01)*10000000,0))&amp;IF(INDEX(Transaksi!$D$1:$D$5015,ROUND(MOD(MOD(SMALL(Transaksi!$X$16:$X$5015,2),1),0.01)*10000000,0))="Pindah",IF(INDEX(Transaksi!$C$1:$C$5015,ROUND(MOD(MOD(SMALL(Transaksi!$X$16:$X$5015,2),1),0.01)*10000000,0))=$C$4," (ke "&amp;INDEX(Transaksi!$E$1:$E$5015,ROUND(MOD(MOD(SMALL(Transaksi!$X$16:$X$5015,2),1),0.01)*10000000,0))&amp;")"," (dari "&amp;INDEX(Transaksi!$C$1:$C$5015,ROUND(MOD(MOD(SMALL(Transaksi!$X$16:$X$5015,2),1),0.01)*10000000,0))&amp;")"),""))</f>
        <v/>
      </c>
      <c r="D11" s="137">
        <f>IF(2&gt;COUNT(Transaksi!$X$16:$X$5015),"",INDEX(Transaksi!$I$1:$I$5015,ROUND(MOD(MOD(SMALL(Transaksi!$X$16:$X$5015,2),1),0.01)*10000000,0)))</f>
        <v/>
      </c>
      <c r="E11" s="138">
        <f>IF(2&gt;COUNT(Transaksi!$X$16:$X$5015),"",IF(IF(INDEX(Transaksi!$C$1:$C$5015,ROUND(MOD(MOD(SMALL(Transaksi!$X$16:$X$5015,2),1),0.01)*10000000,0))=$C$4,IF(INDEX(Transaksi!$D$1:$D$5015,ROUND(MOD(MOD(SMALL(Transaksi!$X$16:$X$5015,2),1),0.01)*10000000,0))="Masuk",1,-1),1)&gt;0,INDEX(Transaksi!$F$1:$F$5015,ROUND(MOD(MOD(SMALL(Transaksi!$X$16:$X$5015,2),1),0.01)*10000000,0)),""))</f>
        <v/>
      </c>
      <c r="F11" s="139">
        <f>IF(2&gt;COUNT(Transaksi!$X$16:$X$5015),"",IF(IF(INDEX(Transaksi!$C$1:$C$5015,ROUND(MOD(MOD(SMALL(Transaksi!$X$16:$X$5015,2),1),0.01)*10000000,0))=$C$4,IF(INDEX(Transaksi!$D$1:$D$5015,ROUND(MOD(MOD(SMALL(Transaksi!$X$16:$X$5015,2),1),0.01)*10000000,0))="Masuk",1,-1),1)&lt;0,INDEX(Transaksi!$F$1:$F$5015,ROUND(MOD(MOD(SMALL(Transaksi!$X$16:$X$5015,2),1),0.01)*10000000,0)),""))</f>
        <v/>
      </c>
      <c r="G11" s="106">
        <f>IF(2&gt;COUNT(Transaksi!$X$16:$X$5015),"",N(G10)+N(E11)-N(F11))</f>
        <v/>
      </c>
      <c r="H11" s="137">
        <f>IF(2&gt;COUNT(Transaksi!$X$16:$X$5015),"",HYPERLINK("#Transaksi!B"&amp;A11,"Buka"))</f>
        <v/>
      </c>
    </row>
    <row r="12" ht="23.25" customHeight="1" s="94">
      <c r="A12" s="93">
        <f>IF(3&gt;COUNT(Transaksi!$X$16:$X$5015),"",ROUND(MOD(MOD(SMALL(Transaksi!$X$16:$X$5015,3),1),0.01)*10000000,0))</f>
        <v/>
      </c>
      <c r="B12" s="135">
        <f>IF(3&gt;COUNT(Transaksi!$X$16:$X$5015),"",IF(3=1,INDEX(Transaksi!$B$1:$B$5015,ROUND(MOD(MOD(SMALL(Transaksi!$X$16:$X$5015,3),1),0.01)*10000000,0)),IF(INDEX(Transaksi!$B$1:$B$5015,ROUND(MOD(MOD(SMALL(Transaksi!$X$16:$X$5015,3),1),0.01)*10000000,0))=INDEX(Transaksi!$B$1:$B$5015,A11),"",INDEX(Transaksi!$B$1:$B$5015,ROUND(MOD(MOD(SMALL(Transaksi!$X$16:$X$5015,3),1),0.01)*10000000,0)))))</f>
        <v/>
      </c>
      <c r="C12" s="136">
        <f>IF(3&gt;COUNT(Transaksi!$X$16:$X$5015),"",INDEX(Transaksi!$J$1:$J$5015,ROUND(MOD(MOD(SMALL(Transaksi!$X$16:$X$5015,3),1),0.01)*10000000,0))&amp;IF(INDEX(Transaksi!$D$1:$D$5015,ROUND(MOD(MOD(SMALL(Transaksi!$X$16:$X$5015,3),1),0.01)*10000000,0))="Pindah",IF(INDEX(Transaksi!$C$1:$C$5015,ROUND(MOD(MOD(SMALL(Transaksi!$X$16:$X$5015,3),1),0.01)*10000000,0))=$C$4," (ke "&amp;INDEX(Transaksi!$E$1:$E$5015,ROUND(MOD(MOD(SMALL(Transaksi!$X$16:$X$5015,3),1),0.01)*10000000,0))&amp;")"," (dari "&amp;INDEX(Transaksi!$C$1:$C$5015,ROUND(MOD(MOD(SMALL(Transaksi!$X$16:$X$5015,3),1),0.01)*10000000,0))&amp;")"),""))</f>
        <v/>
      </c>
      <c r="D12" s="137">
        <f>IF(3&gt;COUNT(Transaksi!$X$16:$X$5015),"",INDEX(Transaksi!$I$1:$I$5015,ROUND(MOD(MOD(SMALL(Transaksi!$X$16:$X$5015,3),1),0.01)*10000000,0)))</f>
        <v/>
      </c>
      <c r="E12" s="138">
        <f>IF(3&gt;COUNT(Transaksi!$X$16:$X$5015),"",IF(IF(INDEX(Transaksi!$C$1:$C$5015,ROUND(MOD(MOD(SMALL(Transaksi!$X$16:$X$5015,3),1),0.01)*10000000,0))=$C$4,IF(INDEX(Transaksi!$D$1:$D$5015,ROUND(MOD(MOD(SMALL(Transaksi!$X$16:$X$5015,3),1),0.01)*10000000,0))="Masuk",1,-1),1)&gt;0,INDEX(Transaksi!$F$1:$F$5015,ROUND(MOD(MOD(SMALL(Transaksi!$X$16:$X$5015,3),1),0.01)*10000000,0)),""))</f>
        <v/>
      </c>
      <c r="F12" s="139">
        <f>IF(3&gt;COUNT(Transaksi!$X$16:$X$5015),"",IF(IF(INDEX(Transaksi!$C$1:$C$5015,ROUND(MOD(MOD(SMALL(Transaksi!$X$16:$X$5015,3),1),0.01)*10000000,0))=$C$4,IF(INDEX(Transaksi!$D$1:$D$5015,ROUND(MOD(MOD(SMALL(Transaksi!$X$16:$X$5015,3),1),0.01)*10000000,0))="Masuk",1,-1),1)&lt;0,INDEX(Transaksi!$F$1:$F$5015,ROUND(MOD(MOD(SMALL(Transaksi!$X$16:$X$5015,3),1),0.01)*10000000,0)),""))</f>
        <v/>
      </c>
      <c r="G12" s="106">
        <f>IF(3&gt;COUNT(Transaksi!$X$16:$X$5015),"",N(G11)+N(E12)-N(F12))</f>
        <v/>
      </c>
      <c r="H12" s="137">
        <f>IF(3&gt;COUNT(Transaksi!$X$16:$X$5015),"",HYPERLINK("#Transaksi!B"&amp;A12,"Buka"))</f>
        <v/>
      </c>
    </row>
    <row r="13" ht="23.25" customHeight="1" s="94">
      <c r="A13" s="93">
        <f>IF(4&gt;COUNT(Transaksi!$X$16:$X$5015),"",ROUND(MOD(MOD(SMALL(Transaksi!$X$16:$X$5015,4),1),0.01)*10000000,0))</f>
        <v/>
      </c>
      <c r="B13" s="135">
        <f>IF(4&gt;COUNT(Transaksi!$X$16:$X$5015),"",IF(4=1,INDEX(Transaksi!$B$1:$B$5015,ROUND(MOD(MOD(SMALL(Transaksi!$X$16:$X$5015,4),1),0.01)*10000000,0)),IF(INDEX(Transaksi!$B$1:$B$5015,ROUND(MOD(MOD(SMALL(Transaksi!$X$16:$X$5015,4),1),0.01)*10000000,0))=INDEX(Transaksi!$B$1:$B$5015,A12),"",INDEX(Transaksi!$B$1:$B$5015,ROUND(MOD(MOD(SMALL(Transaksi!$X$16:$X$5015,4),1),0.01)*10000000,0)))))</f>
        <v/>
      </c>
      <c r="C13" s="136">
        <f>IF(4&gt;COUNT(Transaksi!$X$16:$X$5015),"",INDEX(Transaksi!$J$1:$J$5015,ROUND(MOD(MOD(SMALL(Transaksi!$X$16:$X$5015,4),1),0.01)*10000000,0))&amp;IF(INDEX(Transaksi!$D$1:$D$5015,ROUND(MOD(MOD(SMALL(Transaksi!$X$16:$X$5015,4),1),0.01)*10000000,0))="Pindah",IF(INDEX(Transaksi!$C$1:$C$5015,ROUND(MOD(MOD(SMALL(Transaksi!$X$16:$X$5015,4),1),0.01)*10000000,0))=$C$4," (ke "&amp;INDEX(Transaksi!$E$1:$E$5015,ROUND(MOD(MOD(SMALL(Transaksi!$X$16:$X$5015,4),1),0.01)*10000000,0))&amp;")"," (dari "&amp;INDEX(Transaksi!$C$1:$C$5015,ROUND(MOD(MOD(SMALL(Transaksi!$X$16:$X$5015,4),1),0.01)*10000000,0))&amp;")"),""))</f>
        <v/>
      </c>
      <c r="D13" s="137">
        <f>IF(4&gt;COUNT(Transaksi!$X$16:$X$5015),"",INDEX(Transaksi!$I$1:$I$5015,ROUND(MOD(MOD(SMALL(Transaksi!$X$16:$X$5015,4),1),0.01)*10000000,0)))</f>
        <v/>
      </c>
      <c r="E13" s="138">
        <f>IF(4&gt;COUNT(Transaksi!$X$16:$X$5015),"",IF(IF(INDEX(Transaksi!$C$1:$C$5015,ROUND(MOD(MOD(SMALL(Transaksi!$X$16:$X$5015,4),1),0.01)*10000000,0))=$C$4,IF(INDEX(Transaksi!$D$1:$D$5015,ROUND(MOD(MOD(SMALL(Transaksi!$X$16:$X$5015,4),1),0.01)*10000000,0))="Masuk",1,-1),1)&gt;0,INDEX(Transaksi!$F$1:$F$5015,ROUND(MOD(MOD(SMALL(Transaksi!$X$16:$X$5015,4),1),0.01)*10000000,0)),""))</f>
        <v/>
      </c>
      <c r="F13" s="139">
        <f>IF(4&gt;COUNT(Transaksi!$X$16:$X$5015),"",IF(IF(INDEX(Transaksi!$C$1:$C$5015,ROUND(MOD(MOD(SMALL(Transaksi!$X$16:$X$5015,4),1),0.01)*10000000,0))=$C$4,IF(INDEX(Transaksi!$D$1:$D$5015,ROUND(MOD(MOD(SMALL(Transaksi!$X$16:$X$5015,4),1),0.01)*10000000,0))="Masuk",1,-1),1)&lt;0,INDEX(Transaksi!$F$1:$F$5015,ROUND(MOD(MOD(SMALL(Transaksi!$X$16:$X$5015,4),1),0.01)*10000000,0)),""))</f>
        <v/>
      </c>
      <c r="G13" s="106">
        <f>IF(4&gt;COUNT(Transaksi!$X$16:$X$5015),"",N(G12)+N(E13)-N(F13))</f>
        <v/>
      </c>
      <c r="H13" s="137">
        <f>IF(4&gt;COUNT(Transaksi!$X$16:$X$5015),"",HYPERLINK("#Transaksi!B"&amp;A13,"Buka"))</f>
        <v/>
      </c>
    </row>
    <row r="14" ht="23.25" customHeight="1" s="94">
      <c r="A14" s="93">
        <f>IF(5&gt;COUNT(Transaksi!$X$16:$X$5015),"",ROUND(MOD(MOD(SMALL(Transaksi!$X$16:$X$5015,5),1),0.01)*10000000,0))</f>
        <v/>
      </c>
      <c r="B14" s="135">
        <f>IF(5&gt;COUNT(Transaksi!$X$16:$X$5015),"",IF(5=1,INDEX(Transaksi!$B$1:$B$5015,ROUND(MOD(MOD(SMALL(Transaksi!$X$16:$X$5015,5),1),0.01)*10000000,0)),IF(INDEX(Transaksi!$B$1:$B$5015,ROUND(MOD(MOD(SMALL(Transaksi!$X$16:$X$5015,5),1),0.01)*10000000,0))=INDEX(Transaksi!$B$1:$B$5015,A13),"",INDEX(Transaksi!$B$1:$B$5015,ROUND(MOD(MOD(SMALL(Transaksi!$X$16:$X$5015,5),1),0.01)*10000000,0)))))</f>
        <v/>
      </c>
      <c r="C14" s="136">
        <f>IF(5&gt;COUNT(Transaksi!$X$16:$X$5015),"",INDEX(Transaksi!$J$1:$J$5015,ROUND(MOD(MOD(SMALL(Transaksi!$X$16:$X$5015,5),1),0.01)*10000000,0))&amp;IF(INDEX(Transaksi!$D$1:$D$5015,ROUND(MOD(MOD(SMALL(Transaksi!$X$16:$X$5015,5),1),0.01)*10000000,0))="Pindah",IF(INDEX(Transaksi!$C$1:$C$5015,ROUND(MOD(MOD(SMALL(Transaksi!$X$16:$X$5015,5),1),0.01)*10000000,0))=$C$4," (ke "&amp;INDEX(Transaksi!$E$1:$E$5015,ROUND(MOD(MOD(SMALL(Transaksi!$X$16:$X$5015,5),1),0.01)*10000000,0))&amp;")"," (dari "&amp;INDEX(Transaksi!$C$1:$C$5015,ROUND(MOD(MOD(SMALL(Transaksi!$X$16:$X$5015,5),1),0.01)*10000000,0))&amp;")"),""))</f>
        <v/>
      </c>
      <c r="D14" s="137">
        <f>IF(5&gt;COUNT(Transaksi!$X$16:$X$5015),"",INDEX(Transaksi!$I$1:$I$5015,ROUND(MOD(MOD(SMALL(Transaksi!$X$16:$X$5015,5),1),0.01)*10000000,0)))</f>
        <v/>
      </c>
      <c r="E14" s="138">
        <f>IF(5&gt;COUNT(Transaksi!$X$16:$X$5015),"",IF(IF(INDEX(Transaksi!$C$1:$C$5015,ROUND(MOD(MOD(SMALL(Transaksi!$X$16:$X$5015,5),1),0.01)*10000000,0))=$C$4,IF(INDEX(Transaksi!$D$1:$D$5015,ROUND(MOD(MOD(SMALL(Transaksi!$X$16:$X$5015,5),1),0.01)*10000000,0))="Masuk",1,-1),1)&gt;0,INDEX(Transaksi!$F$1:$F$5015,ROUND(MOD(MOD(SMALL(Transaksi!$X$16:$X$5015,5),1),0.01)*10000000,0)),""))</f>
        <v/>
      </c>
      <c r="F14" s="139">
        <f>IF(5&gt;COUNT(Transaksi!$X$16:$X$5015),"",IF(IF(INDEX(Transaksi!$C$1:$C$5015,ROUND(MOD(MOD(SMALL(Transaksi!$X$16:$X$5015,5),1),0.01)*10000000,0))=$C$4,IF(INDEX(Transaksi!$D$1:$D$5015,ROUND(MOD(MOD(SMALL(Transaksi!$X$16:$X$5015,5),1),0.01)*10000000,0))="Masuk",1,-1),1)&lt;0,INDEX(Transaksi!$F$1:$F$5015,ROUND(MOD(MOD(SMALL(Transaksi!$X$16:$X$5015,5),1),0.01)*10000000,0)),""))</f>
        <v/>
      </c>
      <c r="G14" s="106">
        <f>IF(5&gt;COUNT(Transaksi!$X$16:$X$5015),"",N(G13)+N(E14)-N(F14))</f>
        <v/>
      </c>
      <c r="H14" s="137">
        <f>IF(5&gt;COUNT(Transaksi!$X$16:$X$5015),"",HYPERLINK("#Transaksi!B"&amp;A14,"Buka"))</f>
        <v/>
      </c>
    </row>
    <row r="15" ht="23.25" customHeight="1" s="94">
      <c r="A15" s="93">
        <f>IF(6&gt;COUNT(Transaksi!$X$16:$X$5015),"",ROUND(MOD(MOD(SMALL(Transaksi!$X$16:$X$5015,6),1),0.01)*10000000,0))</f>
        <v/>
      </c>
      <c r="B15" s="135">
        <f>IF(6&gt;COUNT(Transaksi!$X$16:$X$5015),"",IF(6=1,INDEX(Transaksi!$B$1:$B$5015,ROUND(MOD(MOD(SMALL(Transaksi!$X$16:$X$5015,6),1),0.01)*10000000,0)),IF(INDEX(Transaksi!$B$1:$B$5015,ROUND(MOD(MOD(SMALL(Transaksi!$X$16:$X$5015,6),1),0.01)*10000000,0))=INDEX(Transaksi!$B$1:$B$5015,A14),"",INDEX(Transaksi!$B$1:$B$5015,ROUND(MOD(MOD(SMALL(Transaksi!$X$16:$X$5015,6),1),0.01)*10000000,0)))))</f>
        <v/>
      </c>
      <c r="C15" s="136">
        <f>IF(6&gt;COUNT(Transaksi!$X$16:$X$5015),"",INDEX(Transaksi!$J$1:$J$5015,ROUND(MOD(MOD(SMALL(Transaksi!$X$16:$X$5015,6),1),0.01)*10000000,0))&amp;IF(INDEX(Transaksi!$D$1:$D$5015,ROUND(MOD(MOD(SMALL(Transaksi!$X$16:$X$5015,6),1),0.01)*10000000,0))="Pindah",IF(INDEX(Transaksi!$C$1:$C$5015,ROUND(MOD(MOD(SMALL(Transaksi!$X$16:$X$5015,6),1),0.01)*10000000,0))=$C$4," (ke "&amp;INDEX(Transaksi!$E$1:$E$5015,ROUND(MOD(MOD(SMALL(Transaksi!$X$16:$X$5015,6),1),0.01)*10000000,0))&amp;")"," (dari "&amp;INDEX(Transaksi!$C$1:$C$5015,ROUND(MOD(MOD(SMALL(Transaksi!$X$16:$X$5015,6),1),0.01)*10000000,0))&amp;")"),""))</f>
        <v/>
      </c>
      <c r="D15" s="137">
        <f>IF(6&gt;COUNT(Transaksi!$X$16:$X$5015),"",INDEX(Transaksi!$I$1:$I$5015,ROUND(MOD(MOD(SMALL(Transaksi!$X$16:$X$5015,6),1),0.01)*10000000,0)))</f>
        <v/>
      </c>
      <c r="E15" s="138">
        <f>IF(6&gt;COUNT(Transaksi!$X$16:$X$5015),"",IF(IF(INDEX(Transaksi!$C$1:$C$5015,ROUND(MOD(MOD(SMALL(Transaksi!$X$16:$X$5015,6),1),0.01)*10000000,0))=$C$4,IF(INDEX(Transaksi!$D$1:$D$5015,ROUND(MOD(MOD(SMALL(Transaksi!$X$16:$X$5015,6),1),0.01)*10000000,0))="Masuk",1,-1),1)&gt;0,INDEX(Transaksi!$F$1:$F$5015,ROUND(MOD(MOD(SMALL(Transaksi!$X$16:$X$5015,6),1),0.01)*10000000,0)),""))</f>
        <v/>
      </c>
      <c r="F15" s="139">
        <f>IF(6&gt;COUNT(Transaksi!$X$16:$X$5015),"",IF(IF(INDEX(Transaksi!$C$1:$C$5015,ROUND(MOD(MOD(SMALL(Transaksi!$X$16:$X$5015,6),1),0.01)*10000000,0))=$C$4,IF(INDEX(Transaksi!$D$1:$D$5015,ROUND(MOD(MOD(SMALL(Transaksi!$X$16:$X$5015,6),1),0.01)*10000000,0))="Masuk",1,-1),1)&lt;0,INDEX(Transaksi!$F$1:$F$5015,ROUND(MOD(MOD(SMALL(Transaksi!$X$16:$X$5015,6),1),0.01)*10000000,0)),""))</f>
        <v/>
      </c>
      <c r="G15" s="106">
        <f>IF(6&gt;COUNT(Transaksi!$X$16:$X$5015),"",N(G14)+N(E15)-N(F15))</f>
        <v/>
      </c>
      <c r="H15" s="137">
        <f>IF(6&gt;COUNT(Transaksi!$X$16:$X$5015),"",HYPERLINK("#Transaksi!B"&amp;A15,"Buka"))</f>
        <v/>
      </c>
    </row>
    <row r="16" ht="23.25" customHeight="1" s="94">
      <c r="A16" s="93">
        <f>IF(7&gt;COUNT(Transaksi!$X$16:$X$5015),"",ROUND(MOD(MOD(SMALL(Transaksi!$X$16:$X$5015,7),1),0.01)*10000000,0))</f>
        <v/>
      </c>
      <c r="B16" s="135">
        <f>IF(7&gt;COUNT(Transaksi!$X$16:$X$5015),"",IF(7=1,INDEX(Transaksi!$B$1:$B$5015,ROUND(MOD(MOD(SMALL(Transaksi!$X$16:$X$5015,7),1),0.01)*10000000,0)),IF(INDEX(Transaksi!$B$1:$B$5015,ROUND(MOD(MOD(SMALL(Transaksi!$X$16:$X$5015,7),1),0.01)*10000000,0))=INDEX(Transaksi!$B$1:$B$5015,A15),"",INDEX(Transaksi!$B$1:$B$5015,ROUND(MOD(MOD(SMALL(Transaksi!$X$16:$X$5015,7),1),0.01)*10000000,0)))))</f>
        <v/>
      </c>
      <c r="C16" s="136">
        <f>IF(7&gt;COUNT(Transaksi!$X$16:$X$5015),"",INDEX(Transaksi!$J$1:$J$5015,ROUND(MOD(MOD(SMALL(Transaksi!$X$16:$X$5015,7),1),0.01)*10000000,0))&amp;IF(INDEX(Transaksi!$D$1:$D$5015,ROUND(MOD(MOD(SMALL(Transaksi!$X$16:$X$5015,7),1),0.01)*10000000,0))="Pindah",IF(INDEX(Transaksi!$C$1:$C$5015,ROUND(MOD(MOD(SMALL(Transaksi!$X$16:$X$5015,7),1),0.01)*10000000,0))=$C$4," (ke "&amp;INDEX(Transaksi!$E$1:$E$5015,ROUND(MOD(MOD(SMALL(Transaksi!$X$16:$X$5015,7),1),0.01)*10000000,0))&amp;")"," (dari "&amp;INDEX(Transaksi!$C$1:$C$5015,ROUND(MOD(MOD(SMALL(Transaksi!$X$16:$X$5015,7),1),0.01)*10000000,0))&amp;")"),""))</f>
        <v/>
      </c>
      <c r="D16" s="137">
        <f>IF(7&gt;COUNT(Transaksi!$X$16:$X$5015),"",INDEX(Transaksi!$I$1:$I$5015,ROUND(MOD(MOD(SMALL(Transaksi!$X$16:$X$5015,7),1),0.01)*10000000,0)))</f>
        <v/>
      </c>
      <c r="E16" s="138">
        <f>IF(7&gt;COUNT(Transaksi!$X$16:$X$5015),"",IF(IF(INDEX(Transaksi!$C$1:$C$5015,ROUND(MOD(MOD(SMALL(Transaksi!$X$16:$X$5015,7),1),0.01)*10000000,0))=$C$4,IF(INDEX(Transaksi!$D$1:$D$5015,ROUND(MOD(MOD(SMALL(Transaksi!$X$16:$X$5015,7),1),0.01)*10000000,0))="Masuk",1,-1),1)&gt;0,INDEX(Transaksi!$F$1:$F$5015,ROUND(MOD(MOD(SMALL(Transaksi!$X$16:$X$5015,7),1),0.01)*10000000,0)),""))</f>
        <v/>
      </c>
      <c r="F16" s="139">
        <f>IF(7&gt;COUNT(Transaksi!$X$16:$X$5015),"",IF(IF(INDEX(Transaksi!$C$1:$C$5015,ROUND(MOD(MOD(SMALL(Transaksi!$X$16:$X$5015,7),1),0.01)*10000000,0))=$C$4,IF(INDEX(Transaksi!$D$1:$D$5015,ROUND(MOD(MOD(SMALL(Transaksi!$X$16:$X$5015,7),1),0.01)*10000000,0))="Masuk",1,-1),1)&lt;0,INDEX(Transaksi!$F$1:$F$5015,ROUND(MOD(MOD(SMALL(Transaksi!$X$16:$X$5015,7),1),0.01)*10000000,0)),""))</f>
        <v/>
      </c>
      <c r="G16" s="106">
        <f>IF(7&gt;COUNT(Transaksi!$X$16:$X$5015),"",N(G15)+N(E16)-N(F16))</f>
        <v/>
      </c>
      <c r="H16" s="137">
        <f>IF(7&gt;COUNT(Transaksi!$X$16:$X$5015),"",HYPERLINK("#Transaksi!B"&amp;A16,"Buka"))</f>
        <v/>
      </c>
    </row>
    <row r="17" ht="23.25" customHeight="1" s="94">
      <c r="A17" s="93">
        <f>IF(8&gt;COUNT(Transaksi!$X$16:$X$5015),"",ROUND(MOD(MOD(SMALL(Transaksi!$X$16:$X$5015,8),1),0.01)*10000000,0))</f>
        <v/>
      </c>
      <c r="B17" s="135">
        <f>IF(8&gt;COUNT(Transaksi!$X$16:$X$5015),"",IF(8=1,INDEX(Transaksi!$B$1:$B$5015,ROUND(MOD(MOD(SMALL(Transaksi!$X$16:$X$5015,8),1),0.01)*10000000,0)),IF(INDEX(Transaksi!$B$1:$B$5015,ROUND(MOD(MOD(SMALL(Transaksi!$X$16:$X$5015,8),1),0.01)*10000000,0))=INDEX(Transaksi!$B$1:$B$5015,A16),"",INDEX(Transaksi!$B$1:$B$5015,ROUND(MOD(MOD(SMALL(Transaksi!$X$16:$X$5015,8),1),0.01)*10000000,0)))))</f>
        <v/>
      </c>
      <c r="C17" s="136">
        <f>IF(8&gt;COUNT(Transaksi!$X$16:$X$5015),"",INDEX(Transaksi!$J$1:$J$5015,ROUND(MOD(MOD(SMALL(Transaksi!$X$16:$X$5015,8),1),0.01)*10000000,0))&amp;IF(INDEX(Transaksi!$D$1:$D$5015,ROUND(MOD(MOD(SMALL(Transaksi!$X$16:$X$5015,8),1),0.01)*10000000,0))="Pindah",IF(INDEX(Transaksi!$C$1:$C$5015,ROUND(MOD(MOD(SMALL(Transaksi!$X$16:$X$5015,8),1),0.01)*10000000,0))=$C$4," (ke "&amp;INDEX(Transaksi!$E$1:$E$5015,ROUND(MOD(MOD(SMALL(Transaksi!$X$16:$X$5015,8),1),0.01)*10000000,0))&amp;")"," (dari "&amp;INDEX(Transaksi!$C$1:$C$5015,ROUND(MOD(MOD(SMALL(Transaksi!$X$16:$X$5015,8),1),0.01)*10000000,0))&amp;")"),""))</f>
        <v/>
      </c>
      <c r="D17" s="137">
        <f>IF(8&gt;COUNT(Transaksi!$X$16:$X$5015),"",INDEX(Transaksi!$I$1:$I$5015,ROUND(MOD(MOD(SMALL(Transaksi!$X$16:$X$5015,8),1),0.01)*10000000,0)))</f>
        <v/>
      </c>
      <c r="E17" s="138">
        <f>IF(8&gt;COUNT(Transaksi!$X$16:$X$5015),"",IF(IF(INDEX(Transaksi!$C$1:$C$5015,ROUND(MOD(MOD(SMALL(Transaksi!$X$16:$X$5015,8),1),0.01)*10000000,0))=$C$4,IF(INDEX(Transaksi!$D$1:$D$5015,ROUND(MOD(MOD(SMALL(Transaksi!$X$16:$X$5015,8),1),0.01)*10000000,0))="Masuk",1,-1),1)&gt;0,INDEX(Transaksi!$F$1:$F$5015,ROUND(MOD(MOD(SMALL(Transaksi!$X$16:$X$5015,8),1),0.01)*10000000,0)),""))</f>
        <v/>
      </c>
      <c r="F17" s="139">
        <f>IF(8&gt;COUNT(Transaksi!$X$16:$X$5015),"",IF(IF(INDEX(Transaksi!$C$1:$C$5015,ROUND(MOD(MOD(SMALL(Transaksi!$X$16:$X$5015,8),1),0.01)*10000000,0))=$C$4,IF(INDEX(Transaksi!$D$1:$D$5015,ROUND(MOD(MOD(SMALL(Transaksi!$X$16:$X$5015,8),1),0.01)*10000000,0))="Masuk",1,-1),1)&lt;0,INDEX(Transaksi!$F$1:$F$5015,ROUND(MOD(MOD(SMALL(Transaksi!$X$16:$X$5015,8),1),0.01)*10000000,0)),""))</f>
        <v/>
      </c>
      <c r="G17" s="106">
        <f>IF(8&gt;COUNT(Transaksi!$X$16:$X$5015),"",N(G16)+N(E17)-N(F17))</f>
        <v/>
      </c>
      <c r="H17" s="137">
        <f>IF(8&gt;COUNT(Transaksi!$X$16:$X$5015),"",HYPERLINK("#Transaksi!B"&amp;A17,"Buka"))</f>
        <v/>
      </c>
    </row>
    <row r="18" ht="15" customHeight="1" s="94">
      <c r="A18" s="93">
        <f>IF(9&gt;COUNT(Transaksi!$X$16:$X$5015),"",ROUND(MOD(MOD(SMALL(Transaksi!$X$16:$X$5015,9),1),0.01)*10000000,0))</f>
        <v/>
      </c>
      <c r="B18" s="135">
        <f>IF(9&gt;COUNT(Transaksi!$X$16:$X$5015),"",IF(9=1,INDEX(Transaksi!$B$1:$B$5015,ROUND(MOD(MOD(SMALL(Transaksi!$X$16:$X$5015,9),1),0.01)*10000000,0)),IF(INDEX(Transaksi!$B$1:$B$5015,ROUND(MOD(MOD(SMALL(Transaksi!$X$16:$X$5015,9),1),0.01)*10000000,0))=INDEX(Transaksi!$B$1:$B$5015,A17),"",INDEX(Transaksi!$B$1:$B$5015,ROUND(MOD(MOD(SMALL(Transaksi!$X$16:$X$5015,9),1),0.01)*10000000,0)))))</f>
        <v/>
      </c>
      <c r="C18" s="136">
        <f>IF(9&gt;COUNT(Transaksi!$X$16:$X$5015),"",INDEX(Transaksi!$J$1:$J$5015,ROUND(MOD(MOD(SMALL(Transaksi!$X$16:$X$5015,9),1),0.01)*10000000,0))&amp;IF(INDEX(Transaksi!$D$1:$D$5015,ROUND(MOD(MOD(SMALL(Transaksi!$X$16:$X$5015,9),1),0.01)*10000000,0))="Pindah",IF(INDEX(Transaksi!$C$1:$C$5015,ROUND(MOD(MOD(SMALL(Transaksi!$X$16:$X$5015,9),1),0.01)*10000000,0))=$C$4," (ke "&amp;INDEX(Transaksi!$E$1:$E$5015,ROUND(MOD(MOD(SMALL(Transaksi!$X$16:$X$5015,9),1),0.01)*10000000,0))&amp;")"," (dari "&amp;INDEX(Transaksi!$C$1:$C$5015,ROUND(MOD(MOD(SMALL(Transaksi!$X$16:$X$5015,9),1),0.01)*10000000,0))&amp;")"),""))</f>
        <v/>
      </c>
      <c r="D18" s="137">
        <f>IF(9&gt;COUNT(Transaksi!$X$16:$X$5015),"",INDEX(Transaksi!$I$1:$I$5015,ROUND(MOD(MOD(SMALL(Transaksi!$X$16:$X$5015,9),1),0.01)*10000000,0)))</f>
        <v/>
      </c>
      <c r="E18" s="138">
        <f>IF(9&gt;COUNT(Transaksi!$X$16:$X$5015),"",IF(IF(INDEX(Transaksi!$C$1:$C$5015,ROUND(MOD(MOD(SMALL(Transaksi!$X$16:$X$5015,9),1),0.01)*10000000,0))=$C$4,IF(INDEX(Transaksi!$D$1:$D$5015,ROUND(MOD(MOD(SMALL(Transaksi!$X$16:$X$5015,9),1),0.01)*10000000,0))="Masuk",1,-1),1)&gt;0,INDEX(Transaksi!$F$1:$F$5015,ROUND(MOD(MOD(SMALL(Transaksi!$X$16:$X$5015,9),1),0.01)*10000000,0)),""))</f>
        <v/>
      </c>
      <c r="F18" s="139">
        <f>IF(9&gt;COUNT(Transaksi!$X$16:$X$5015),"",IF(IF(INDEX(Transaksi!$C$1:$C$5015,ROUND(MOD(MOD(SMALL(Transaksi!$X$16:$X$5015,9),1),0.01)*10000000,0))=$C$4,IF(INDEX(Transaksi!$D$1:$D$5015,ROUND(MOD(MOD(SMALL(Transaksi!$X$16:$X$5015,9),1),0.01)*10000000,0))="Masuk",1,-1),1)&lt;0,INDEX(Transaksi!$F$1:$F$5015,ROUND(MOD(MOD(SMALL(Transaksi!$X$16:$X$5015,9),1),0.01)*10000000,0)),""))</f>
        <v/>
      </c>
      <c r="G18" s="106">
        <f>IF(9&gt;COUNT(Transaksi!$X$16:$X$5015),"",N(G17)+N(E18)-N(F18))</f>
        <v/>
      </c>
      <c r="H18" s="137">
        <f>IF(9&gt;COUNT(Transaksi!$X$16:$X$5015),"",HYPERLINK("#Transaksi!B"&amp;A18,"Buka"))</f>
        <v/>
      </c>
    </row>
    <row r="19" ht="23.25" customHeight="1" s="94">
      <c r="A19" s="93">
        <f>IF(10&gt;COUNT(Transaksi!$X$16:$X$5015),"",ROUND(MOD(MOD(SMALL(Transaksi!$X$16:$X$5015,10),1),0.01)*10000000,0))</f>
        <v/>
      </c>
      <c r="B19" s="135">
        <f>IF(10&gt;COUNT(Transaksi!$X$16:$X$5015),"",IF(10=1,INDEX(Transaksi!$B$1:$B$5015,ROUND(MOD(MOD(SMALL(Transaksi!$X$16:$X$5015,10),1),0.01)*10000000,0)),IF(INDEX(Transaksi!$B$1:$B$5015,ROUND(MOD(MOD(SMALL(Transaksi!$X$16:$X$5015,10),1),0.01)*10000000,0))=INDEX(Transaksi!$B$1:$B$5015,A18),"",INDEX(Transaksi!$B$1:$B$5015,ROUND(MOD(MOD(SMALL(Transaksi!$X$16:$X$5015,10),1),0.01)*10000000,0)))))</f>
        <v/>
      </c>
      <c r="C19" s="136">
        <f>IF(10&gt;COUNT(Transaksi!$X$16:$X$5015),"",INDEX(Transaksi!$J$1:$J$5015,ROUND(MOD(MOD(SMALL(Transaksi!$X$16:$X$5015,10),1),0.01)*10000000,0))&amp;IF(INDEX(Transaksi!$D$1:$D$5015,ROUND(MOD(MOD(SMALL(Transaksi!$X$16:$X$5015,10),1),0.01)*10000000,0))="Pindah",IF(INDEX(Transaksi!$C$1:$C$5015,ROUND(MOD(MOD(SMALL(Transaksi!$X$16:$X$5015,10),1),0.01)*10000000,0))=$C$4," (ke "&amp;INDEX(Transaksi!$E$1:$E$5015,ROUND(MOD(MOD(SMALL(Transaksi!$X$16:$X$5015,10),1),0.01)*10000000,0))&amp;")"," (dari "&amp;INDEX(Transaksi!$C$1:$C$5015,ROUND(MOD(MOD(SMALL(Transaksi!$X$16:$X$5015,10),1),0.01)*10000000,0))&amp;")"),""))</f>
        <v/>
      </c>
      <c r="D19" s="137">
        <f>IF(10&gt;COUNT(Transaksi!$X$16:$X$5015),"",INDEX(Transaksi!$I$1:$I$5015,ROUND(MOD(MOD(SMALL(Transaksi!$X$16:$X$5015,10),1),0.01)*10000000,0)))</f>
        <v/>
      </c>
      <c r="E19" s="138">
        <f>IF(10&gt;COUNT(Transaksi!$X$16:$X$5015),"",IF(IF(INDEX(Transaksi!$C$1:$C$5015,ROUND(MOD(MOD(SMALL(Transaksi!$X$16:$X$5015,10),1),0.01)*10000000,0))=$C$4,IF(INDEX(Transaksi!$D$1:$D$5015,ROUND(MOD(MOD(SMALL(Transaksi!$X$16:$X$5015,10),1),0.01)*10000000,0))="Masuk",1,-1),1)&gt;0,INDEX(Transaksi!$F$1:$F$5015,ROUND(MOD(MOD(SMALL(Transaksi!$X$16:$X$5015,10),1),0.01)*10000000,0)),""))</f>
        <v/>
      </c>
      <c r="F19" s="139">
        <f>IF(10&gt;COUNT(Transaksi!$X$16:$X$5015),"",IF(IF(INDEX(Transaksi!$C$1:$C$5015,ROUND(MOD(MOD(SMALL(Transaksi!$X$16:$X$5015,10),1),0.01)*10000000,0))=$C$4,IF(INDEX(Transaksi!$D$1:$D$5015,ROUND(MOD(MOD(SMALL(Transaksi!$X$16:$X$5015,10),1),0.01)*10000000,0))="Masuk",1,-1),1)&lt;0,INDEX(Transaksi!$F$1:$F$5015,ROUND(MOD(MOD(SMALL(Transaksi!$X$16:$X$5015,10),1),0.01)*10000000,0)),""))</f>
        <v/>
      </c>
      <c r="G19" s="106">
        <f>IF(10&gt;COUNT(Transaksi!$X$16:$X$5015),"",N(G18)+N(E19)-N(F19))</f>
        <v/>
      </c>
      <c r="H19" s="137">
        <f>IF(10&gt;COUNT(Transaksi!$X$16:$X$5015),"",HYPERLINK("#Transaksi!B"&amp;A19,"Buka"))</f>
        <v/>
      </c>
    </row>
    <row r="20" ht="23.25" customHeight="1" s="94">
      <c r="A20" s="93">
        <f>IF(11&gt;COUNT(Transaksi!$X$16:$X$5015),"",ROUND(MOD(MOD(SMALL(Transaksi!$X$16:$X$5015,11),1),0.01)*10000000,0))</f>
        <v/>
      </c>
      <c r="B20" s="135">
        <f>IF(11&gt;COUNT(Transaksi!$X$16:$X$5015),"",IF(11=1,INDEX(Transaksi!$B$1:$B$5015,ROUND(MOD(MOD(SMALL(Transaksi!$X$16:$X$5015,11),1),0.01)*10000000,0)),IF(INDEX(Transaksi!$B$1:$B$5015,ROUND(MOD(MOD(SMALL(Transaksi!$X$16:$X$5015,11),1),0.01)*10000000,0))=INDEX(Transaksi!$B$1:$B$5015,A19),"",INDEX(Transaksi!$B$1:$B$5015,ROUND(MOD(MOD(SMALL(Transaksi!$X$16:$X$5015,11),1),0.01)*10000000,0)))))</f>
        <v/>
      </c>
      <c r="C20" s="136">
        <f>IF(11&gt;COUNT(Transaksi!$X$16:$X$5015),"",INDEX(Transaksi!$J$1:$J$5015,ROUND(MOD(MOD(SMALL(Transaksi!$X$16:$X$5015,11),1),0.01)*10000000,0))&amp;IF(INDEX(Transaksi!$D$1:$D$5015,ROUND(MOD(MOD(SMALL(Transaksi!$X$16:$X$5015,11),1),0.01)*10000000,0))="Pindah",IF(INDEX(Transaksi!$C$1:$C$5015,ROUND(MOD(MOD(SMALL(Transaksi!$X$16:$X$5015,11),1),0.01)*10000000,0))=$C$4," (ke "&amp;INDEX(Transaksi!$E$1:$E$5015,ROUND(MOD(MOD(SMALL(Transaksi!$X$16:$X$5015,11),1),0.01)*10000000,0))&amp;")"," (dari "&amp;INDEX(Transaksi!$C$1:$C$5015,ROUND(MOD(MOD(SMALL(Transaksi!$X$16:$X$5015,11),1),0.01)*10000000,0))&amp;")"),""))</f>
        <v/>
      </c>
      <c r="D20" s="137">
        <f>IF(11&gt;COUNT(Transaksi!$X$16:$X$5015),"",INDEX(Transaksi!$I$1:$I$5015,ROUND(MOD(MOD(SMALL(Transaksi!$X$16:$X$5015,11),1),0.01)*10000000,0)))</f>
        <v/>
      </c>
      <c r="E20" s="138">
        <f>IF(11&gt;COUNT(Transaksi!$X$16:$X$5015),"",IF(IF(INDEX(Transaksi!$C$1:$C$5015,ROUND(MOD(MOD(SMALL(Transaksi!$X$16:$X$5015,11),1),0.01)*10000000,0))=$C$4,IF(INDEX(Transaksi!$D$1:$D$5015,ROUND(MOD(MOD(SMALL(Transaksi!$X$16:$X$5015,11),1),0.01)*10000000,0))="Masuk",1,-1),1)&gt;0,INDEX(Transaksi!$F$1:$F$5015,ROUND(MOD(MOD(SMALL(Transaksi!$X$16:$X$5015,11),1),0.01)*10000000,0)),""))</f>
        <v/>
      </c>
      <c r="F20" s="139">
        <f>IF(11&gt;COUNT(Transaksi!$X$16:$X$5015),"",IF(IF(INDEX(Transaksi!$C$1:$C$5015,ROUND(MOD(MOD(SMALL(Transaksi!$X$16:$X$5015,11),1),0.01)*10000000,0))=$C$4,IF(INDEX(Transaksi!$D$1:$D$5015,ROUND(MOD(MOD(SMALL(Transaksi!$X$16:$X$5015,11),1),0.01)*10000000,0))="Masuk",1,-1),1)&lt;0,INDEX(Transaksi!$F$1:$F$5015,ROUND(MOD(MOD(SMALL(Transaksi!$X$16:$X$5015,11),1),0.01)*10000000,0)),""))</f>
        <v/>
      </c>
      <c r="G20" s="106">
        <f>IF(11&gt;COUNT(Transaksi!$X$16:$X$5015),"",N(G19)+N(E20)-N(F20))</f>
        <v/>
      </c>
      <c r="H20" s="137">
        <f>IF(11&gt;COUNT(Transaksi!$X$16:$X$5015),"",HYPERLINK("#Transaksi!B"&amp;A20,"Buka"))</f>
        <v/>
      </c>
    </row>
    <row r="21" ht="34.5" customHeight="1" s="94">
      <c r="A21" s="93">
        <f>IF(12&gt;COUNT(Transaksi!$X$16:$X$5015),"",ROUND(MOD(MOD(SMALL(Transaksi!$X$16:$X$5015,12),1),0.01)*10000000,0))</f>
        <v/>
      </c>
      <c r="B21" s="135">
        <f>IF(12&gt;COUNT(Transaksi!$X$16:$X$5015),"",IF(12=1,INDEX(Transaksi!$B$1:$B$5015,ROUND(MOD(MOD(SMALL(Transaksi!$X$16:$X$5015,12),1),0.01)*10000000,0)),IF(INDEX(Transaksi!$B$1:$B$5015,ROUND(MOD(MOD(SMALL(Transaksi!$X$16:$X$5015,12),1),0.01)*10000000,0))=INDEX(Transaksi!$B$1:$B$5015,A20),"",INDEX(Transaksi!$B$1:$B$5015,ROUND(MOD(MOD(SMALL(Transaksi!$X$16:$X$5015,12),1),0.01)*10000000,0)))))</f>
        <v/>
      </c>
      <c r="C21" s="136">
        <f>IF(12&gt;COUNT(Transaksi!$X$16:$X$5015),"",INDEX(Transaksi!$J$1:$J$5015,ROUND(MOD(MOD(SMALL(Transaksi!$X$16:$X$5015,12),1),0.01)*10000000,0))&amp;IF(INDEX(Transaksi!$D$1:$D$5015,ROUND(MOD(MOD(SMALL(Transaksi!$X$16:$X$5015,12),1),0.01)*10000000,0))="Pindah",IF(INDEX(Transaksi!$C$1:$C$5015,ROUND(MOD(MOD(SMALL(Transaksi!$X$16:$X$5015,12),1),0.01)*10000000,0))=$C$4," (ke "&amp;INDEX(Transaksi!$E$1:$E$5015,ROUND(MOD(MOD(SMALL(Transaksi!$X$16:$X$5015,12),1),0.01)*10000000,0))&amp;")"," (dari "&amp;INDEX(Transaksi!$C$1:$C$5015,ROUND(MOD(MOD(SMALL(Transaksi!$X$16:$X$5015,12),1),0.01)*10000000,0))&amp;")"),""))</f>
        <v/>
      </c>
      <c r="D21" s="137">
        <f>IF(12&gt;COUNT(Transaksi!$X$16:$X$5015),"",INDEX(Transaksi!$I$1:$I$5015,ROUND(MOD(MOD(SMALL(Transaksi!$X$16:$X$5015,12),1),0.01)*10000000,0)))</f>
        <v/>
      </c>
      <c r="E21" s="138">
        <f>IF(12&gt;COUNT(Transaksi!$X$16:$X$5015),"",IF(IF(INDEX(Transaksi!$C$1:$C$5015,ROUND(MOD(MOD(SMALL(Transaksi!$X$16:$X$5015,12),1),0.01)*10000000,0))=$C$4,IF(INDEX(Transaksi!$D$1:$D$5015,ROUND(MOD(MOD(SMALL(Transaksi!$X$16:$X$5015,12),1),0.01)*10000000,0))="Masuk",1,-1),1)&gt;0,INDEX(Transaksi!$F$1:$F$5015,ROUND(MOD(MOD(SMALL(Transaksi!$X$16:$X$5015,12),1),0.01)*10000000,0)),""))</f>
        <v/>
      </c>
      <c r="F21" s="139">
        <f>IF(12&gt;COUNT(Transaksi!$X$16:$X$5015),"",IF(IF(INDEX(Transaksi!$C$1:$C$5015,ROUND(MOD(MOD(SMALL(Transaksi!$X$16:$X$5015,12),1),0.01)*10000000,0))=$C$4,IF(INDEX(Transaksi!$D$1:$D$5015,ROUND(MOD(MOD(SMALL(Transaksi!$X$16:$X$5015,12),1),0.01)*10000000,0))="Masuk",1,-1),1)&lt;0,INDEX(Transaksi!$F$1:$F$5015,ROUND(MOD(MOD(SMALL(Transaksi!$X$16:$X$5015,12),1),0.01)*10000000,0)),""))</f>
        <v/>
      </c>
      <c r="G21" s="106">
        <f>IF(12&gt;COUNT(Transaksi!$X$16:$X$5015),"",N(G20)+N(E21)-N(F21))</f>
        <v/>
      </c>
      <c r="H21" s="137">
        <f>IF(12&gt;COUNT(Transaksi!$X$16:$X$5015),"",HYPERLINK("#Transaksi!B"&amp;A21,"Buka"))</f>
        <v/>
      </c>
    </row>
    <row r="22" ht="23.25" customHeight="1" s="94">
      <c r="A22" s="93">
        <f>IF(13&gt;COUNT(Transaksi!$X$16:$X$5015),"",ROUND(MOD(MOD(SMALL(Transaksi!$X$16:$X$5015,13),1),0.01)*10000000,0))</f>
        <v/>
      </c>
      <c r="B22" s="135">
        <f>IF(13&gt;COUNT(Transaksi!$X$16:$X$5015),"",IF(13=1,INDEX(Transaksi!$B$1:$B$5015,ROUND(MOD(MOD(SMALL(Transaksi!$X$16:$X$5015,13),1),0.01)*10000000,0)),IF(INDEX(Transaksi!$B$1:$B$5015,ROUND(MOD(MOD(SMALL(Transaksi!$X$16:$X$5015,13),1),0.01)*10000000,0))=INDEX(Transaksi!$B$1:$B$5015,A21),"",INDEX(Transaksi!$B$1:$B$5015,ROUND(MOD(MOD(SMALL(Transaksi!$X$16:$X$5015,13),1),0.01)*10000000,0)))))</f>
        <v/>
      </c>
      <c r="C22" s="136">
        <f>IF(13&gt;COUNT(Transaksi!$X$16:$X$5015),"",INDEX(Transaksi!$J$1:$J$5015,ROUND(MOD(MOD(SMALL(Transaksi!$X$16:$X$5015,13),1),0.01)*10000000,0))&amp;IF(INDEX(Transaksi!$D$1:$D$5015,ROUND(MOD(MOD(SMALL(Transaksi!$X$16:$X$5015,13),1),0.01)*10000000,0))="Pindah",IF(INDEX(Transaksi!$C$1:$C$5015,ROUND(MOD(MOD(SMALL(Transaksi!$X$16:$X$5015,13),1),0.01)*10000000,0))=$C$4," (ke "&amp;INDEX(Transaksi!$E$1:$E$5015,ROUND(MOD(MOD(SMALL(Transaksi!$X$16:$X$5015,13),1),0.01)*10000000,0))&amp;")"," (dari "&amp;INDEX(Transaksi!$C$1:$C$5015,ROUND(MOD(MOD(SMALL(Transaksi!$X$16:$X$5015,13),1),0.01)*10000000,0))&amp;")"),""))</f>
        <v/>
      </c>
      <c r="D22" s="137">
        <f>IF(13&gt;COUNT(Transaksi!$X$16:$X$5015),"",INDEX(Transaksi!$I$1:$I$5015,ROUND(MOD(MOD(SMALL(Transaksi!$X$16:$X$5015,13),1),0.01)*10000000,0)))</f>
        <v/>
      </c>
      <c r="E22" s="138">
        <f>IF(13&gt;COUNT(Transaksi!$X$16:$X$5015),"",IF(IF(INDEX(Transaksi!$C$1:$C$5015,ROUND(MOD(MOD(SMALL(Transaksi!$X$16:$X$5015,13),1),0.01)*10000000,0))=$C$4,IF(INDEX(Transaksi!$D$1:$D$5015,ROUND(MOD(MOD(SMALL(Transaksi!$X$16:$X$5015,13),1),0.01)*10000000,0))="Masuk",1,-1),1)&gt;0,INDEX(Transaksi!$F$1:$F$5015,ROUND(MOD(MOD(SMALL(Transaksi!$X$16:$X$5015,13),1),0.01)*10000000,0)),""))</f>
        <v/>
      </c>
      <c r="F22" s="139">
        <f>IF(13&gt;COUNT(Transaksi!$X$16:$X$5015),"",IF(IF(INDEX(Transaksi!$C$1:$C$5015,ROUND(MOD(MOD(SMALL(Transaksi!$X$16:$X$5015,13),1),0.01)*10000000,0))=$C$4,IF(INDEX(Transaksi!$D$1:$D$5015,ROUND(MOD(MOD(SMALL(Transaksi!$X$16:$X$5015,13),1),0.01)*10000000,0))="Masuk",1,-1),1)&lt;0,INDEX(Transaksi!$F$1:$F$5015,ROUND(MOD(MOD(SMALL(Transaksi!$X$16:$X$5015,13),1),0.01)*10000000,0)),""))</f>
        <v/>
      </c>
      <c r="G22" s="106">
        <f>IF(13&gt;COUNT(Transaksi!$X$16:$X$5015),"",N(G21)+N(E22)-N(F22))</f>
        <v/>
      </c>
      <c r="H22" s="137">
        <f>IF(13&gt;COUNT(Transaksi!$X$16:$X$5015),"",HYPERLINK("#Transaksi!B"&amp;A22,"Buka"))</f>
        <v/>
      </c>
    </row>
    <row r="23" ht="23.25" customHeight="1" s="94">
      <c r="A23" s="93">
        <f>IF(14&gt;COUNT(Transaksi!$X$16:$X$5015),"",ROUND(MOD(MOD(SMALL(Transaksi!$X$16:$X$5015,14),1),0.01)*10000000,0))</f>
        <v/>
      </c>
      <c r="B23" s="135">
        <f>IF(14&gt;COUNT(Transaksi!$X$16:$X$5015),"",IF(14=1,INDEX(Transaksi!$B$1:$B$5015,ROUND(MOD(MOD(SMALL(Transaksi!$X$16:$X$5015,14),1),0.01)*10000000,0)),IF(INDEX(Transaksi!$B$1:$B$5015,ROUND(MOD(MOD(SMALL(Transaksi!$X$16:$X$5015,14),1),0.01)*10000000,0))=INDEX(Transaksi!$B$1:$B$5015,A22),"",INDEX(Transaksi!$B$1:$B$5015,ROUND(MOD(MOD(SMALL(Transaksi!$X$16:$X$5015,14),1),0.01)*10000000,0)))))</f>
        <v/>
      </c>
      <c r="C23" s="136">
        <f>IF(14&gt;COUNT(Transaksi!$X$16:$X$5015),"",INDEX(Transaksi!$J$1:$J$5015,ROUND(MOD(MOD(SMALL(Transaksi!$X$16:$X$5015,14),1),0.01)*10000000,0))&amp;IF(INDEX(Transaksi!$D$1:$D$5015,ROUND(MOD(MOD(SMALL(Transaksi!$X$16:$X$5015,14),1),0.01)*10000000,0))="Pindah",IF(INDEX(Transaksi!$C$1:$C$5015,ROUND(MOD(MOD(SMALL(Transaksi!$X$16:$X$5015,14),1),0.01)*10000000,0))=$C$4," (ke "&amp;INDEX(Transaksi!$E$1:$E$5015,ROUND(MOD(MOD(SMALL(Transaksi!$X$16:$X$5015,14),1),0.01)*10000000,0))&amp;")"," (dari "&amp;INDEX(Transaksi!$C$1:$C$5015,ROUND(MOD(MOD(SMALL(Transaksi!$X$16:$X$5015,14),1),0.01)*10000000,0))&amp;")"),""))</f>
        <v/>
      </c>
      <c r="D23" s="137">
        <f>IF(14&gt;COUNT(Transaksi!$X$16:$X$5015),"",INDEX(Transaksi!$I$1:$I$5015,ROUND(MOD(MOD(SMALL(Transaksi!$X$16:$X$5015,14),1),0.01)*10000000,0)))</f>
        <v/>
      </c>
      <c r="E23" s="138">
        <f>IF(14&gt;COUNT(Transaksi!$X$16:$X$5015),"",IF(IF(INDEX(Transaksi!$C$1:$C$5015,ROUND(MOD(MOD(SMALL(Transaksi!$X$16:$X$5015,14),1),0.01)*10000000,0))=$C$4,IF(INDEX(Transaksi!$D$1:$D$5015,ROUND(MOD(MOD(SMALL(Transaksi!$X$16:$X$5015,14),1),0.01)*10000000,0))="Masuk",1,-1),1)&gt;0,INDEX(Transaksi!$F$1:$F$5015,ROUND(MOD(MOD(SMALL(Transaksi!$X$16:$X$5015,14),1),0.01)*10000000,0)),""))</f>
        <v/>
      </c>
      <c r="F23" s="139">
        <f>IF(14&gt;COUNT(Transaksi!$X$16:$X$5015),"",IF(IF(INDEX(Transaksi!$C$1:$C$5015,ROUND(MOD(MOD(SMALL(Transaksi!$X$16:$X$5015,14),1),0.01)*10000000,0))=$C$4,IF(INDEX(Transaksi!$D$1:$D$5015,ROUND(MOD(MOD(SMALL(Transaksi!$X$16:$X$5015,14),1),0.01)*10000000,0))="Masuk",1,-1),1)&lt;0,INDEX(Transaksi!$F$1:$F$5015,ROUND(MOD(MOD(SMALL(Transaksi!$X$16:$X$5015,14),1),0.01)*10000000,0)),""))</f>
        <v/>
      </c>
      <c r="G23" s="106">
        <f>IF(14&gt;COUNT(Transaksi!$X$16:$X$5015),"",N(G22)+N(E23)-N(F23))</f>
        <v/>
      </c>
      <c r="H23" s="137">
        <f>IF(14&gt;COUNT(Transaksi!$X$16:$X$5015),"",HYPERLINK("#Transaksi!B"&amp;A23,"Buka"))</f>
        <v/>
      </c>
    </row>
    <row r="24" ht="23.25" customHeight="1" s="94">
      <c r="A24" s="93">
        <f>IF(15&gt;COUNT(Transaksi!$X$16:$X$5015),"",ROUND(MOD(MOD(SMALL(Transaksi!$X$16:$X$5015,15),1),0.01)*10000000,0))</f>
        <v/>
      </c>
      <c r="B24" s="135">
        <f>IF(15&gt;COUNT(Transaksi!$X$16:$X$5015),"",IF(15=1,INDEX(Transaksi!$B$1:$B$5015,ROUND(MOD(MOD(SMALL(Transaksi!$X$16:$X$5015,15),1),0.01)*10000000,0)),IF(INDEX(Transaksi!$B$1:$B$5015,ROUND(MOD(MOD(SMALL(Transaksi!$X$16:$X$5015,15),1),0.01)*10000000,0))=INDEX(Transaksi!$B$1:$B$5015,A23),"",INDEX(Transaksi!$B$1:$B$5015,ROUND(MOD(MOD(SMALL(Transaksi!$X$16:$X$5015,15),1),0.01)*10000000,0)))))</f>
        <v/>
      </c>
      <c r="C24" s="136">
        <f>IF(15&gt;COUNT(Transaksi!$X$16:$X$5015),"",INDEX(Transaksi!$J$1:$J$5015,ROUND(MOD(MOD(SMALL(Transaksi!$X$16:$X$5015,15),1),0.01)*10000000,0))&amp;IF(INDEX(Transaksi!$D$1:$D$5015,ROUND(MOD(MOD(SMALL(Transaksi!$X$16:$X$5015,15),1),0.01)*10000000,0))="Pindah",IF(INDEX(Transaksi!$C$1:$C$5015,ROUND(MOD(MOD(SMALL(Transaksi!$X$16:$X$5015,15),1),0.01)*10000000,0))=$C$4," (ke "&amp;INDEX(Transaksi!$E$1:$E$5015,ROUND(MOD(MOD(SMALL(Transaksi!$X$16:$X$5015,15),1),0.01)*10000000,0))&amp;")"," (dari "&amp;INDEX(Transaksi!$C$1:$C$5015,ROUND(MOD(MOD(SMALL(Transaksi!$X$16:$X$5015,15),1),0.01)*10000000,0))&amp;")"),""))</f>
        <v/>
      </c>
      <c r="D24" s="137">
        <f>IF(15&gt;COUNT(Transaksi!$X$16:$X$5015),"",INDEX(Transaksi!$I$1:$I$5015,ROUND(MOD(MOD(SMALL(Transaksi!$X$16:$X$5015,15),1),0.01)*10000000,0)))</f>
        <v/>
      </c>
      <c r="E24" s="138">
        <f>IF(15&gt;COUNT(Transaksi!$X$16:$X$5015),"",IF(IF(INDEX(Transaksi!$C$1:$C$5015,ROUND(MOD(MOD(SMALL(Transaksi!$X$16:$X$5015,15),1),0.01)*10000000,0))=$C$4,IF(INDEX(Transaksi!$D$1:$D$5015,ROUND(MOD(MOD(SMALL(Transaksi!$X$16:$X$5015,15),1),0.01)*10000000,0))="Masuk",1,-1),1)&gt;0,INDEX(Transaksi!$F$1:$F$5015,ROUND(MOD(MOD(SMALL(Transaksi!$X$16:$X$5015,15),1),0.01)*10000000,0)),""))</f>
        <v/>
      </c>
      <c r="F24" s="139">
        <f>IF(15&gt;COUNT(Transaksi!$X$16:$X$5015),"",IF(IF(INDEX(Transaksi!$C$1:$C$5015,ROUND(MOD(MOD(SMALL(Transaksi!$X$16:$X$5015,15),1),0.01)*10000000,0))=$C$4,IF(INDEX(Transaksi!$D$1:$D$5015,ROUND(MOD(MOD(SMALL(Transaksi!$X$16:$X$5015,15),1),0.01)*10000000,0))="Masuk",1,-1),1)&lt;0,INDEX(Transaksi!$F$1:$F$5015,ROUND(MOD(MOD(SMALL(Transaksi!$X$16:$X$5015,15),1),0.01)*10000000,0)),""))</f>
        <v/>
      </c>
      <c r="G24" s="106">
        <f>IF(15&gt;COUNT(Transaksi!$X$16:$X$5015),"",N(G23)+N(E24)-N(F24))</f>
        <v/>
      </c>
      <c r="H24" s="137">
        <f>IF(15&gt;COUNT(Transaksi!$X$16:$X$5015),"",HYPERLINK("#Transaksi!B"&amp;A24,"Buka"))</f>
        <v/>
      </c>
    </row>
    <row r="25" ht="15" customHeight="1" s="94">
      <c r="A25" s="93">
        <f>IF(16&gt;COUNT(Transaksi!$X$16:$X$5015),"",ROUND(MOD(MOD(SMALL(Transaksi!$X$16:$X$5015,16),1),0.01)*10000000,0))</f>
        <v/>
      </c>
      <c r="B25" s="135">
        <f>IF(16&gt;COUNT(Transaksi!$X$16:$X$5015),"",IF(16=1,INDEX(Transaksi!$B$1:$B$5015,ROUND(MOD(MOD(SMALL(Transaksi!$X$16:$X$5015,16),1),0.01)*10000000,0)),IF(INDEX(Transaksi!$B$1:$B$5015,ROUND(MOD(MOD(SMALL(Transaksi!$X$16:$X$5015,16),1),0.01)*10000000,0))=INDEX(Transaksi!$B$1:$B$5015,A24),"",INDEX(Transaksi!$B$1:$B$5015,ROUND(MOD(MOD(SMALL(Transaksi!$X$16:$X$5015,16),1),0.01)*10000000,0)))))</f>
        <v/>
      </c>
      <c r="C25" s="136">
        <f>IF(16&gt;COUNT(Transaksi!$X$16:$X$5015),"",INDEX(Transaksi!$J$1:$J$5015,ROUND(MOD(MOD(SMALL(Transaksi!$X$16:$X$5015,16),1),0.01)*10000000,0))&amp;IF(INDEX(Transaksi!$D$1:$D$5015,ROUND(MOD(MOD(SMALL(Transaksi!$X$16:$X$5015,16),1),0.01)*10000000,0))="Pindah",IF(INDEX(Transaksi!$C$1:$C$5015,ROUND(MOD(MOD(SMALL(Transaksi!$X$16:$X$5015,16),1),0.01)*10000000,0))=$C$4," (ke "&amp;INDEX(Transaksi!$E$1:$E$5015,ROUND(MOD(MOD(SMALL(Transaksi!$X$16:$X$5015,16),1),0.01)*10000000,0))&amp;")"," (dari "&amp;INDEX(Transaksi!$C$1:$C$5015,ROUND(MOD(MOD(SMALL(Transaksi!$X$16:$X$5015,16),1),0.01)*10000000,0))&amp;")"),""))</f>
        <v/>
      </c>
      <c r="D25" s="137">
        <f>IF(16&gt;COUNT(Transaksi!$X$16:$X$5015),"",INDEX(Transaksi!$I$1:$I$5015,ROUND(MOD(MOD(SMALL(Transaksi!$X$16:$X$5015,16),1),0.01)*10000000,0)))</f>
        <v/>
      </c>
      <c r="E25" s="138">
        <f>IF(16&gt;COUNT(Transaksi!$X$16:$X$5015),"",IF(IF(INDEX(Transaksi!$C$1:$C$5015,ROUND(MOD(MOD(SMALL(Transaksi!$X$16:$X$5015,16),1),0.01)*10000000,0))=$C$4,IF(INDEX(Transaksi!$D$1:$D$5015,ROUND(MOD(MOD(SMALL(Transaksi!$X$16:$X$5015,16),1),0.01)*10000000,0))="Masuk",1,-1),1)&gt;0,INDEX(Transaksi!$F$1:$F$5015,ROUND(MOD(MOD(SMALL(Transaksi!$X$16:$X$5015,16),1),0.01)*10000000,0)),""))</f>
        <v/>
      </c>
      <c r="F25" s="139">
        <f>IF(16&gt;COUNT(Transaksi!$X$16:$X$5015),"",IF(IF(INDEX(Transaksi!$C$1:$C$5015,ROUND(MOD(MOD(SMALL(Transaksi!$X$16:$X$5015,16),1),0.01)*10000000,0))=$C$4,IF(INDEX(Transaksi!$D$1:$D$5015,ROUND(MOD(MOD(SMALL(Transaksi!$X$16:$X$5015,16),1),0.01)*10000000,0))="Masuk",1,-1),1)&lt;0,INDEX(Transaksi!$F$1:$F$5015,ROUND(MOD(MOD(SMALL(Transaksi!$X$16:$X$5015,16),1),0.01)*10000000,0)),""))</f>
        <v/>
      </c>
      <c r="G25" s="106">
        <f>IF(16&gt;COUNT(Transaksi!$X$16:$X$5015),"",N(G24)+N(E25)-N(F25))</f>
        <v/>
      </c>
      <c r="H25" s="137">
        <f>IF(16&gt;COUNT(Transaksi!$X$16:$X$5015),"",HYPERLINK("#Transaksi!B"&amp;A25,"Buka"))</f>
        <v/>
      </c>
    </row>
    <row r="26" ht="15" customHeight="1" s="94">
      <c r="A26" s="93">
        <f>IF(17&gt;COUNT(Transaksi!$X$16:$X$5015),"",ROUND(MOD(MOD(SMALL(Transaksi!$X$16:$X$5015,17),1),0.01)*10000000,0))</f>
        <v/>
      </c>
      <c r="B26" s="135">
        <f>IF(17&gt;COUNT(Transaksi!$X$16:$X$5015),"",IF(17=1,INDEX(Transaksi!$B$1:$B$5015,ROUND(MOD(MOD(SMALL(Transaksi!$X$16:$X$5015,17),1),0.01)*10000000,0)),IF(INDEX(Transaksi!$B$1:$B$5015,ROUND(MOD(MOD(SMALL(Transaksi!$X$16:$X$5015,17),1),0.01)*10000000,0))=INDEX(Transaksi!$B$1:$B$5015,A25),"",INDEX(Transaksi!$B$1:$B$5015,ROUND(MOD(MOD(SMALL(Transaksi!$X$16:$X$5015,17),1),0.01)*10000000,0)))))</f>
        <v/>
      </c>
      <c r="C26" s="136">
        <f>IF(17&gt;COUNT(Transaksi!$X$16:$X$5015),"",INDEX(Transaksi!$J$1:$J$5015,ROUND(MOD(MOD(SMALL(Transaksi!$X$16:$X$5015,17),1),0.01)*10000000,0))&amp;IF(INDEX(Transaksi!$D$1:$D$5015,ROUND(MOD(MOD(SMALL(Transaksi!$X$16:$X$5015,17),1),0.01)*10000000,0))="Pindah",IF(INDEX(Transaksi!$C$1:$C$5015,ROUND(MOD(MOD(SMALL(Transaksi!$X$16:$X$5015,17),1),0.01)*10000000,0))=$C$4," (ke "&amp;INDEX(Transaksi!$E$1:$E$5015,ROUND(MOD(MOD(SMALL(Transaksi!$X$16:$X$5015,17),1),0.01)*10000000,0))&amp;")"," (dari "&amp;INDEX(Transaksi!$C$1:$C$5015,ROUND(MOD(MOD(SMALL(Transaksi!$X$16:$X$5015,17),1),0.01)*10000000,0))&amp;")"),""))</f>
        <v/>
      </c>
      <c r="D26" s="137">
        <f>IF(17&gt;COUNT(Transaksi!$X$16:$X$5015),"",INDEX(Transaksi!$I$1:$I$5015,ROUND(MOD(MOD(SMALL(Transaksi!$X$16:$X$5015,17),1),0.01)*10000000,0)))</f>
        <v/>
      </c>
      <c r="E26" s="138">
        <f>IF(17&gt;COUNT(Transaksi!$X$16:$X$5015),"",IF(IF(INDEX(Transaksi!$C$1:$C$5015,ROUND(MOD(MOD(SMALL(Transaksi!$X$16:$X$5015,17),1),0.01)*10000000,0))=$C$4,IF(INDEX(Transaksi!$D$1:$D$5015,ROUND(MOD(MOD(SMALL(Transaksi!$X$16:$X$5015,17),1),0.01)*10000000,0))="Masuk",1,-1),1)&gt;0,INDEX(Transaksi!$F$1:$F$5015,ROUND(MOD(MOD(SMALL(Transaksi!$X$16:$X$5015,17),1),0.01)*10000000,0)),""))</f>
        <v/>
      </c>
      <c r="F26" s="139">
        <f>IF(17&gt;COUNT(Transaksi!$X$16:$X$5015),"",IF(IF(INDEX(Transaksi!$C$1:$C$5015,ROUND(MOD(MOD(SMALL(Transaksi!$X$16:$X$5015,17),1),0.01)*10000000,0))=$C$4,IF(INDEX(Transaksi!$D$1:$D$5015,ROUND(MOD(MOD(SMALL(Transaksi!$X$16:$X$5015,17),1),0.01)*10000000,0))="Masuk",1,-1),1)&lt;0,INDEX(Transaksi!$F$1:$F$5015,ROUND(MOD(MOD(SMALL(Transaksi!$X$16:$X$5015,17),1),0.01)*10000000,0)),""))</f>
        <v/>
      </c>
      <c r="G26" s="106">
        <f>IF(17&gt;COUNT(Transaksi!$X$16:$X$5015),"",N(G25)+N(E26)-N(F26))</f>
        <v/>
      </c>
      <c r="H26" s="137">
        <f>IF(17&gt;COUNT(Transaksi!$X$16:$X$5015),"",HYPERLINK("#Transaksi!B"&amp;A26,"Buka"))</f>
        <v/>
      </c>
    </row>
    <row r="27" ht="15" customHeight="1" s="94">
      <c r="A27" s="93">
        <f>IF(18&gt;COUNT(Transaksi!$X$16:$X$5015),"",ROUND(MOD(MOD(SMALL(Transaksi!$X$16:$X$5015,18),1),0.01)*10000000,0))</f>
        <v/>
      </c>
      <c r="B27" s="135">
        <f>IF(18&gt;COUNT(Transaksi!$X$16:$X$5015),"",IF(18=1,INDEX(Transaksi!$B$1:$B$5015,ROUND(MOD(MOD(SMALL(Transaksi!$X$16:$X$5015,18),1),0.01)*10000000,0)),IF(INDEX(Transaksi!$B$1:$B$5015,ROUND(MOD(MOD(SMALL(Transaksi!$X$16:$X$5015,18),1),0.01)*10000000,0))=INDEX(Transaksi!$B$1:$B$5015,A26),"",INDEX(Transaksi!$B$1:$B$5015,ROUND(MOD(MOD(SMALL(Transaksi!$X$16:$X$5015,18),1),0.01)*10000000,0)))))</f>
        <v/>
      </c>
      <c r="C27" s="136">
        <f>IF(18&gt;COUNT(Transaksi!$X$16:$X$5015),"",INDEX(Transaksi!$J$1:$J$5015,ROUND(MOD(MOD(SMALL(Transaksi!$X$16:$X$5015,18),1),0.01)*10000000,0))&amp;IF(INDEX(Transaksi!$D$1:$D$5015,ROUND(MOD(MOD(SMALL(Transaksi!$X$16:$X$5015,18),1),0.01)*10000000,0))="Pindah",IF(INDEX(Transaksi!$C$1:$C$5015,ROUND(MOD(MOD(SMALL(Transaksi!$X$16:$X$5015,18),1),0.01)*10000000,0))=$C$4," (ke "&amp;INDEX(Transaksi!$E$1:$E$5015,ROUND(MOD(MOD(SMALL(Transaksi!$X$16:$X$5015,18),1),0.01)*10000000,0))&amp;")"," (dari "&amp;INDEX(Transaksi!$C$1:$C$5015,ROUND(MOD(MOD(SMALL(Transaksi!$X$16:$X$5015,18),1),0.01)*10000000,0))&amp;")"),""))</f>
        <v/>
      </c>
      <c r="D27" s="137">
        <f>IF(18&gt;COUNT(Transaksi!$X$16:$X$5015),"",INDEX(Transaksi!$I$1:$I$5015,ROUND(MOD(MOD(SMALL(Transaksi!$X$16:$X$5015,18),1),0.01)*10000000,0)))</f>
        <v/>
      </c>
      <c r="E27" s="138">
        <f>IF(18&gt;COUNT(Transaksi!$X$16:$X$5015),"",IF(IF(INDEX(Transaksi!$C$1:$C$5015,ROUND(MOD(MOD(SMALL(Transaksi!$X$16:$X$5015,18),1),0.01)*10000000,0))=$C$4,IF(INDEX(Transaksi!$D$1:$D$5015,ROUND(MOD(MOD(SMALL(Transaksi!$X$16:$X$5015,18),1),0.01)*10000000,0))="Masuk",1,-1),1)&gt;0,INDEX(Transaksi!$F$1:$F$5015,ROUND(MOD(MOD(SMALL(Transaksi!$X$16:$X$5015,18),1),0.01)*10000000,0)),""))</f>
        <v/>
      </c>
      <c r="F27" s="139">
        <f>IF(18&gt;COUNT(Transaksi!$X$16:$X$5015),"",IF(IF(INDEX(Transaksi!$C$1:$C$5015,ROUND(MOD(MOD(SMALL(Transaksi!$X$16:$X$5015,18),1),0.01)*10000000,0))=$C$4,IF(INDEX(Transaksi!$D$1:$D$5015,ROUND(MOD(MOD(SMALL(Transaksi!$X$16:$X$5015,18),1),0.01)*10000000,0))="Masuk",1,-1),1)&lt;0,INDEX(Transaksi!$F$1:$F$5015,ROUND(MOD(MOD(SMALL(Transaksi!$X$16:$X$5015,18),1),0.01)*10000000,0)),""))</f>
        <v/>
      </c>
      <c r="G27" s="106">
        <f>IF(18&gt;COUNT(Transaksi!$X$16:$X$5015),"",N(G26)+N(E27)-N(F27))</f>
        <v/>
      </c>
      <c r="H27" s="137">
        <f>IF(18&gt;COUNT(Transaksi!$X$16:$X$5015),"",HYPERLINK("#Transaksi!B"&amp;A27,"Buka"))</f>
        <v/>
      </c>
    </row>
    <row r="28" ht="15" customHeight="1" s="94">
      <c r="A28" s="93">
        <f>IF(19&gt;COUNT(Transaksi!$X$16:$X$5015),"",ROUND(MOD(MOD(SMALL(Transaksi!$X$16:$X$5015,19),1),0.01)*10000000,0))</f>
        <v/>
      </c>
      <c r="B28" s="135">
        <f>IF(19&gt;COUNT(Transaksi!$X$16:$X$5015),"",IF(19=1,INDEX(Transaksi!$B$1:$B$5015,ROUND(MOD(MOD(SMALL(Transaksi!$X$16:$X$5015,19),1),0.01)*10000000,0)),IF(INDEX(Transaksi!$B$1:$B$5015,ROUND(MOD(MOD(SMALL(Transaksi!$X$16:$X$5015,19),1),0.01)*10000000,0))=INDEX(Transaksi!$B$1:$B$5015,A27),"",INDEX(Transaksi!$B$1:$B$5015,ROUND(MOD(MOD(SMALL(Transaksi!$X$16:$X$5015,19),1),0.01)*10000000,0)))))</f>
        <v/>
      </c>
      <c r="C28" s="136">
        <f>IF(19&gt;COUNT(Transaksi!$X$16:$X$5015),"",INDEX(Transaksi!$J$1:$J$5015,ROUND(MOD(MOD(SMALL(Transaksi!$X$16:$X$5015,19),1),0.01)*10000000,0))&amp;IF(INDEX(Transaksi!$D$1:$D$5015,ROUND(MOD(MOD(SMALL(Transaksi!$X$16:$X$5015,19),1),0.01)*10000000,0))="Pindah",IF(INDEX(Transaksi!$C$1:$C$5015,ROUND(MOD(MOD(SMALL(Transaksi!$X$16:$X$5015,19),1),0.01)*10000000,0))=$C$4," (ke "&amp;INDEX(Transaksi!$E$1:$E$5015,ROUND(MOD(MOD(SMALL(Transaksi!$X$16:$X$5015,19),1),0.01)*10000000,0))&amp;")"," (dari "&amp;INDEX(Transaksi!$C$1:$C$5015,ROUND(MOD(MOD(SMALL(Transaksi!$X$16:$X$5015,19),1),0.01)*10000000,0))&amp;")"),""))</f>
        <v/>
      </c>
      <c r="D28" s="137">
        <f>IF(19&gt;COUNT(Transaksi!$X$16:$X$5015),"",INDEX(Transaksi!$I$1:$I$5015,ROUND(MOD(MOD(SMALL(Transaksi!$X$16:$X$5015,19),1),0.01)*10000000,0)))</f>
        <v/>
      </c>
      <c r="E28" s="138">
        <f>IF(19&gt;COUNT(Transaksi!$X$16:$X$5015),"",IF(IF(INDEX(Transaksi!$C$1:$C$5015,ROUND(MOD(MOD(SMALL(Transaksi!$X$16:$X$5015,19),1),0.01)*10000000,0))=$C$4,IF(INDEX(Transaksi!$D$1:$D$5015,ROUND(MOD(MOD(SMALL(Transaksi!$X$16:$X$5015,19),1),0.01)*10000000,0))="Masuk",1,-1),1)&gt;0,INDEX(Transaksi!$F$1:$F$5015,ROUND(MOD(MOD(SMALL(Transaksi!$X$16:$X$5015,19),1),0.01)*10000000,0)),""))</f>
        <v/>
      </c>
      <c r="F28" s="139">
        <f>IF(19&gt;COUNT(Transaksi!$X$16:$X$5015),"",IF(IF(INDEX(Transaksi!$C$1:$C$5015,ROUND(MOD(MOD(SMALL(Transaksi!$X$16:$X$5015,19),1),0.01)*10000000,0))=$C$4,IF(INDEX(Transaksi!$D$1:$D$5015,ROUND(MOD(MOD(SMALL(Transaksi!$X$16:$X$5015,19),1),0.01)*10000000,0))="Masuk",1,-1),1)&lt;0,INDEX(Transaksi!$F$1:$F$5015,ROUND(MOD(MOD(SMALL(Transaksi!$X$16:$X$5015,19),1),0.01)*10000000,0)),""))</f>
        <v/>
      </c>
      <c r="G28" s="106">
        <f>IF(19&gt;COUNT(Transaksi!$X$16:$X$5015),"",N(G27)+N(E28)-N(F28))</f>
        <v/>
      </c>
      <c r="H28" s="137">
        <f>IF(19&gt;COUNT(Transaksi!$X$16:$X$5015),"",HYPERLINK("#Transaksi!B"&amp;A28,"Buka"))</f>
        <v/>
      </c>
    </row>
    <row r="29" ht="15" customHeight="1" s="94">
      <c r="A29" s="93">
        <f>IF(20&gt;COUNT(Transaksi!$X$16:$X$5015),"",ROUND(MOD(MOD(SMALL(Transaksi!$X$16:$X$5015,20),1),0.01)*10000000,0))</f>
        <v/>
      </c>
      <c r="B29" s="135">
        <f>IF(20&gt;COUNT(Transaksi!$X$16:$X$5015),"",IF(20=1,INDEX(Transaksi!$B$1:$B$5015,ROUND(MOD(MOD(SMALL(Transaksi!$X$16:$X$5015,20),1),0.01)*10000000,0)),IF(INDEX(Transaksi!$B$1:$B$5015,ROUND(MOD(MOD(SMALL(Transaksi!$X$16:$X$5015,20),1),0.01)*10000000,0))=INDEX(Transaksi!$B$1:$B$5015,A28),"",INDEX(Transaksi!$B$1:$B$5015,ROUND(MOD(MOD(SMALL(Transaksi!$X$16:$X$5015,20),1),0.01)*10000000,0)))))</f>
        <v/>
      </c>
      <c r="C29" s="136">
        <f>IF(20&gt;COUNT(Transaksi!$X$16:$X$5015),"",INDEX(Transaksi!$J$1:$J$5015,ROUND(MOD(MOD(SMALL(Transaksi!$X$16:$X$5015,20),1),0.01)*10000000,0))&amp;IF(INDEX(Transaksi!$D$1:$D$5015,ROUND(MOD(MOD(SMALL(Transaksi!$X$16:$X$5015,20),1),0.01)*10000000,0))="Pindah",IF(INDEX(Transaksi!$C$1:$C$5015,ROUND(MOD(MOD(SMALL(Transaksi!$X$16:$X$5015,20),1),0.01)*10000000,0))=$C$4," (ke "&amp;INDEX(Transaksi!$E$1:$E$5015,ROUND(MOD(MOD(SMALL(Transaksi!$X$16:$X$5015,20),1),0.01)*10000000,0))&amp;")"," (dari "&amp;INDEX(Transaksi!$C$1:$C$5015,ROUND(MOD(MOD(SMALL(Transaksi!$X$16:$X$5015,20),1),0.01)*10000000,0))&amp;")"),""))</f>
        <v/>
      </c>
      <c r="D29" s="137">
        <f>IF(20&gt;COUNT(Transaksi!$X$16:$X$5015),"",INDEX(Transaksi!$I$1:$I$5015,ROUND(MOD(MOD(SMALL(Transaksi!$X$16:$X$5015,20),1),0.01)*10000000,0)))</f>
        <v/>
      </c>
      <c r="E29" s="138">
        <f>IF(20&gt;COUNT(Transaksi!$X$16:$X$5015),"",IF(IF(INDEX(Transaksi!$C$1:$C$5015,ROUND(MOD(MOD(SMALL(Transaksi!$X$16:$X$5015,20),1),0.01)*10000000,0))=$C$4,IF(INDEX(Transaksi!$D$1:$D$5015,ROUND(MOD(MOD(SMALL(Transaksi!$X$16:$X$5015,20),1),0.01)*10000000,0))="Masuk",1,-1),1)&gt;0,INDEX(Transaksi!$F$1:$F$5015,ROUND(MOD(MOD(SMALL(Transaksi!$X$16:$X$5015,20),1),0.01)*10000000,0)),""))</f>
        <v/>
      </c>
      <c r="F29" s="139">
        <f>IF(20&gt;COUNT(Transaksi!$X$16:$X$5015),"",IF(IF(INDEX(Transaksi!$C$1:$C$5015,ROUND(MOD(MOD(SMALL(Transaksi!$X$16:$X$5015,20),1),0.01)*10000000,0))=$C$4,IF(INDEX(Transaksi!$D$1:$D$5015,ROUND(MOD(MOD(SMALL(Transaksi!$X$16:$X$5015,20),1),0.01)*10000000,0))="Masuk",1,-1),1)&lt;0,INDEX(Transaksi!$F$1:$F$5015,ROUND(MOD(MOD(SMALL(Transaksi!$X$16:$X$5015,20),1),0.01)*10000000,0)),""))</f>
        <v/>
      </c>
      <c r="G29" s="106">
        <f>IF(20&gt;COUNT(Transaksi!$X$16:$X$5015),"",N(G28)+N(E29)-N(F29))</f>
        <v/>
      </c>
      <c r="H29" s="137">
        <f>IF(20&gt;COUNT(Transaksi!$X$16:$X$5015),"",HYPERLINK("#Transaksi!B"&amp;A29,"Buka"))</f>
        <v/>
      </c>
    </row>
    <row r="30" ht="15" customHeight="1" s="94">
      <c r="A30" s="93">
        <f>IF(21&gt;COUNT(Transaksi!$X$16:$X$5015),"",ROUND(MOD(MOD(SMALL(Transaksi!$X$16:$X$5015,21),1),0.01)*10000000,0))</f>
        <v/>
      </c>
      <c r="B30" s="135">
        <f>IF(21&gt;COUNT(Transaksi!$X$16:$X$5015),"",IF(21=1,INDEX(Transaksi!$B$1:$B$5015,ROUND(MOD(MOD(SMALL(Transaksi!$X$16:$X$5015,21),1),0.01)*10000000,0)),IF(INDEX(Transaksi!$B$1:$B$5015,ROUND(MOD(MOD(SMALL(Transaksi!$X$16:$X$5015,21),1),0.01)*10000000,0))=INDEX(Transaksi!$B$1:$B$5015,A29),"",INDEX(Transaksi!$B$1:$B$5015,ROUND(MOD(MOD(SMALL(Transaksi!$X$16:$X$5015,21),1),0.01)*10000000,0)))))</f>
        <v/>
      </c>
      <c r="C30" s="136">
        <f>IF(21&gt;COUNT(Transaksi!$X$16:$X$5015),"",INDEX(Transaksi!$J$1:$J$5015,ROUND(MOD(MOD(SMALL(Transaksi!$X$16:$X$5015,21),1),0.01)*10000000,0))&amp;IF(INDEX(Transaksi!$D$1:$D$5015,ROUND(MOD(MOD(SMALL(Transaksi!$X$16:$X$5015,21),1),0.01)*10000000,0))="Pindah",IF(INDEX(Transaksi!$C$1:$C$5015,ROUND(MOD(MOD(SMALL(Transaksi!$X$16:$X$5015,21),1),0.01)*10000000,0))=$C$4," (ke "&amp;INDEX(Transaksi!$E$1:$E$5015,ROUND(MOD(MOD(SMALL(Transaksi!$X$16:$X$5015,21),1),0.01)*10000000,0))&amp;")"," (dari "&amp;INDEX(Transaksi!$C$1:$C$5015,ROUND(MOD(MOD(SMALL(Transaksi!$X$16:$X$5015,21),1),0.01)*10000000,0))&amp;")"),""))</f>
        <v/>
      </c>
      <c r="D30" s="137">
        <f>IF(21&gt;COUNT(Transaksi!$X$16:$X$5015),"",INDEX(Transaksi!$I$1:$I$5015,ROUND(MOD(MOD(SMALL(Transaksi!$X$16:$X$5015,21),1),0.01)*10000000,0)))</f>
        <v/>
      </c>
      <c r="E30" s="138">
        <f>IF(21&gt;COUNT(Transaksi!$X$16:$X$5015),"",IF(IF(INDEX(Transaksi!$C$1:$C$5015,ROUND(MOD(MOD(SMALL(Transaksi!$X$16:$X$5015,21),1),0.01)*10000000,0))=$C$4,IF(INDEX(Transaksi!$D$1:$D$5015,ROUND(MOD(MOD(SMALL(Transaksi!$X$16:$X$5015,21),1),0.01)*10000000,0))="Masuk",1,-1),1)&gt;0,INDEX(Transaksi!$F$1:$F$5015,ROUND(MOD(MOD(SMALL(Transaksi!$X$16:$X$5015,21),1),0.01)*10000000,0)),""))</f>
        <v/>
      </c>
      <c r="F30" s="139">
        <f>IF(21&gt;COUNT(Transaksi!$X$16:$X$5015),"",IF(IF(INDEX(Transaksi!$C$1:$C$5015,ROUND(MOD(MOD(SMALL(Transaksi!$X$16:$X$5015,21),1),0.01)*10000000,0))=$C$4,IF(INDEX(Transaksi!$D$1:$D$5015,ROUND(MOD(MOD(SMALL(Transaksi!$X$16:$X$5015,21),1),0.01)*10000000,0))="Masuk",1,-1),1)&lt;0,INDEX(Transaksi!$F$1:$F$5015,ROUND(MOD(MOD(SMALL(Transaksi!$X$16:$X$5015,21),1),0.01)*10000000,0)),""))</f>
        <v/>
      </c>
      <c r="G30" s="106">
        <f>IF(21&gt;COUNT(Transaksi!$X$16:$X$5015),"",N(G29)+N(E30)-N(F30))</f>
        <v/>
      </c>
      <c r="H30" s="137">
        <f>IF(21&gt;COUNT(Transaksi!$X$16:$X$5015),"",HYPERLINK("#Transaksi!B"&amp;A30,"Buka"))</f>
        <v/>
      </c>
    </row>
    <row r="31" ht="15" customHeight="1" s="94">
      <c r="A31" s="93">
        <f>IF(22&gt;COUNT(Transaksi!$X$16:$X$5015),"",ROUND(MOD(MOD(SMALL(Transaksi!$X$16:$X$5015,22),1),0.01)*10000000,0))</f>
        <v/>
      </c>
      <c r="B31" s="135">
        <f>IF(22&gt;COUNT(Transaksi!$X$16:$X$5015),"",IF(22=1,INDEX(Transaksi!$B$1:$B$5015,ROUND(MOD(MOD(SMALL(Transaksi!$X$16:$X$5015,22),1),0.01)*10000000,0)),IF(INDEX(Transaksi!$B$1:$B$5015,ROUND(MOD(MOD(SMALL(Transaksi!$X$16:$X$5015,22),1),0.01)*10000000,0))=INDEX(Transaksi!$B$1:$B$5015,A30),"",INDEX(Transaksi!$B$1:$B$5015,ROUND(MOD(MOD(SMALL(Transaksi!$X$16:$X$5015,22),1),0.01)*10000000,0)))))</f>
        <v/>
      </c>
      <c r="C31" s="136">
        <f>IF(22&gt;COUNT(Transaksi!$X$16:$X$5015),"",INDEX(Transaksi!$J$1:$J$5015,ROUND(MOD(MOD(SMALL(Transaksi!$X$16:$X$5015,22),1),0.01)*10000000,0))&amp;IF(INDEX(Transaksi!$D$1:$D$5015,ROUND(MOD(MOD(SMALL(Transaksi!$X$16:$X$5015,22),1),0.01)*10000000,0))="Pindah",IF(INDEX(Transaksi!$C$1:$C$5015,ROUND(MOD(MOD(SMALL(Transaksi!$X$16:$X$5015,22),1),0.01)*10000000,0))=$C$4," (ke "&amp;INDEX(Transaksi!$E$1:$E$5015,ROUND(MOD(MOD(SMALL(Transaksi!$X$16:$X$5015,22),1),0.01)*10000000,0))&amp;")"," (dari "&amp;INDEX(Transaksi!$C$1:$C$5015,ROUND(MOD(MOD(SMALL(Transaksi!$X$16:$X$5015,22),1),0.01)*10000000,0))&amp;")"),""))</f>
        <v/>
      </c>
      <c r="D31" s="137">
        <f>IF(22&gt;COUNT(Transaksi!$X$16:$X$5015),"",INDEX(Transaksi!$I$1:$I$5015,ROUND(MOD(MOD(SMALL(Transaksi!$X$16:$X$5015,22),1),0.01)*10000000,0)))</f>
        <v/>
      </c>
      <c r="E31" s="138">
        <f>IF(22&gt;COUNT(Transaksi!$X$16:$X$5015),"",IF(IF(INDEX(Transaksi!$C$1:$C$5015,ROUND(MOD(MOD(SMALL(Transaksi!$X$16:$X$5015,22),1),0.01)*10000000,0))=$C$4,IF(INDEX(Transaksi!$D$1:$D$5015,ROUND(MOD(MOD(SMALL(Transaksi!$X$16:$X$5015,22),1),0.01)*10000000,0))="Masuk",1,-1),1)&gt;0,INDEX(Transaksi!$F$1:$F$5015,ROUND(MOD(MOD(SMALL(Transaksi!$X$16:$X$5015,22),1),0.01)*10000000,0)),""))</f>
        <v/>
      </c>
      <c r="F31" s="139">
        <f>IF(22&gt;COUNT(Transaksi!$X$16:$X$5015),"",IF(IF(INDEX(Transaksi!$C$1:$C$5015,ROUND(MOD(MOD(SMALL(Transaksi!$X$16:$X$5015,22),1),0.01)*10000000,0))=$C$4,IF(INDEX(Transaksi!$D$1:$D$5015,ROUND(MOD(MOD(SMALL(Transaksi!$X$16:$X$5015,22),1),0.01)*10000000,0))="Masuk",1,-1),1)&lt;0,INDEX(Transaksi!$F$1:$F$5015,ROUND(MOD(MOD(SMALL(Transaksi!$X$16:$X$5015,22),1),0.01)*10000000,0)),""))</f>
        <v/>
      </c>
      <c r="G31" s="106">
        <f>IF(22&gt;COUNT(Transaksi!$X$16:$X$5015),"",N(G30)+N(E31)-N(F31))</f>
        <v/>
      </c>
      <c r="H31" s="137">
        <f>IF(22&gt;COUNT(Transaksi!$X$16:$X$5015),"",HYPERLINK("#Transaksi!B"&amp;A31,"Buka"))</f>
        <v/>
      </c>
    </row>
    <row r="32" ht="15" customHeight="1" s="94">
      <c r="A32" s="93">
        <f>IF(23&gt;COUNT(Transaksi!$X$16:$X$5015),"",ROUND(MOD(MOD(SMALL(Transaksi!$X$16:$X$5015,23),1),0.01)*10000000,0))</f>
        <v/>
      </c>
      <c r="B32" s="135">
        <f>IF(23&gt;COUNT(Transaksi!$X$16:$X$5015),"",IF(23=1,INDEX(Transaksi!$B$1:$B$5015,ROUND(MOD(MOD(SMALL(Transaksi!$X$16:$X$5015,23),1),0.01)*10000000,0)),IF(INDEX(Transaksi!$B$1:$B$5015,ROUND(MOD(MOD(SMALL(Transaksi!$X$16:$X$5015,23),1),0.01)*10000000,0))=INDEX(Transaksi!$B$1:$B$5015,A31),"",INDEX(Transaksi!$B$1:$B$5015,ROUND(MOD(MOD(SMALL(Transaksi!$X$16:$X$5015,23),1),0.01)*10000000,0)))))</f>
        <v/>
      </c>
      <c r="C32" s="136">
        <f>IF(23&gt;COUNT(Transaksi!$X$16:$X$5015),"",INDEX(Transaksi!$J$1:$J$5015,ROUND(MOD(MOD(SMALL(Transaksi!$X$16:$X$5015,23),1),0.01)*10000000,0))&amp;IF(INDEX(Transaksi!$D$1:$D$5015,ROUND(MOD(MOD(SMALL(Transaksi!$X$16:$X$5015,23),1),0.01)*10000000,0))="Pindah",IF(INDEX(Transaksi!$C$1:$C$5015,ROUND(MOD(MOD(SMALL(Transaksi!$X$16:$X$5015,23),1),0.01)*10000000,0))=$C$4," (ke "&amp;INDEX(Transaksi!$E$1:$E$5015,ROUND(MOD(MOD(SMALL(Transaksi!$X$16:$X$5015,23),1),0.01)*10000000,0))&amp;")"," (dari "&amp;INDEX(Transaksi!$C$1:$C$5015,ROUND(MOD(MOD(SMALL(Transaksi!$X$16:$X$5015,23),1),0.01)*10000000,0))&amp;")"),""))</f>
        <v/>
      </c>
      <c r="D32" s="137">
        <f>IF(23&gt;COUNT(Transaksi!$X$16:$X$5015),"",INDEX(Transaksi!$I$1:$I$5015,ROUND(MOD(MOD(SMALL(Transaksi!$X$16:$X$5015,23),1),0.01)*10000000,0)))</f>
        <v/>
      </c>
      <c r="E32" s="138">
        <f>IF(23&gt;COUNT(Transaksi!$X$16:$X$5015),"",IF(IF(INDEX(Transaksi!$C$1:$C$5015,ROUND(MOD(MOD(SMALL(Transaksi!$X$16:$X$5015,23),1),0.01)*10000000,0))=$C$4,IF(INDEX(Transaksi!$D$1:$D$5015,ROUND(MOD(MOD(SMALL(Transaksi!$X$16:$X$5015,23),1),0.01)*10000000,0))="Masuk",1,-1),1)&gt;0,INDEX(Transaksi!$F$1:$F$5015,ROUND(MOD(MOD(SMALL(Transaksi!$X$16:$X$5015,23),1),0.01)*10000000,0)),""))</f>
        <v/>
      </c>
      <c r="F32" s="139">
        <f>IF(23&gt;COUNT(Transaksi!$X$16:$X$5015),"",IF(IF(INDEX(Transaksi!$C$1:$C$5015,ROUND(MOD(MOD(SMALL(Transaksi!$X$16:$X$5015,23),1),0.01)*10000000,0))=$C$4,IF(INDEX(Transaksi!$D$1:$D$5015,ROUND(MOD(MOD(SMALL(Transaksi!$X$16:$X$5015,23),1),0.01)*10000000,0))="Masuk",1,-1),1)&lt;0,INDEX(Transaksi!$F$1:$F$5015,ROUND(MOD(MOD(SMALL(Transaksi!$X$16:$X$5015,23),1),0.01)*10000000,0)),""))</f>
        <v/>
      </c>
      <c r="G32" s="106">
        <f>IF(23&gt;COUNT(Transaksi!$X$16:$X$5015),"",N(G31)+N(E32)-N(F32))</f>
        <v/>
      </c>
      <c r="H32" s="137">
        <f>IF(23&gt;COUNT(Transaksi!$X$16:$X$5015),"",HYPERLINK("#Transaksi!B"&amp;A32,"Buka"))</f>
        <v/>
      </c>
    </row>
    <row r="33" ht="15" customHeight="1" s="94">
      <c r="A33" s="93">
        <f>IF(24&gt;COUNT(Transaksi!$X$16:$X$5015),"",ROUND(MOD(MOD(SMALL(Transaksi!$X$16:$X$5015,24),1),0.01)*10000000,0))</f>
        <v/>
      </c>
      <c r="B33" s="135">
        <f>IF(24&gt;COUNT(Transaksi!$X$16:$X$5015),"",IF(24=1,INDEX(Transaksi!$B$1:$B$5015,ROUND(MOD(MOD(SMALL(Transaksi!$X$16:$X$5015,24),1),0.01)*10000000,0)),IF(INDEX(Transaksi!$B$1:$B$5015,ROUND(MOD(MOD(SMALL(Transaksi!$X$16:$X$5015,24),1),0.01)*10000000,0))=INDEX(Transaksi!$B$1:$B$5015,A32),"",INDEX(Transaksi!$B$1:$B$5015,ROUND(MOD(MOD(SMALL(Transaksi!$X$16:$X$5015,24),1),0.01)*10000000,0)))))</f>
        <v/>
      </c>
      <c r="C33" s="136">
        <f>IF(24&gt;COUNT(Transaksi!$X$16:$X$5015),"",INDEX(Transaksi!$J$1:$J$5015,ROUND(MOD(MOD(SMALL(Transaksi!$X$16:$X$5015,24),1),0.01)*10000000,0))&amp;IF(INDEX(Transaksi!$D$1:$D$5015,ROUND(MOD(MOD(SMALL(Transaksi!$X$16:$X$5015,24),1),0.01)*10000000,0))="Pindah",IF(INDEX(Transaksi!$C$1:$C$5015,ROUND(MOD(MOD(SMALL(Transaksi!$X$16:$X$5015,24),1),0.01)*10000000,0))=$C$4," (ke "&amp;INDEX(Transaksi!$E$1:$E$5015,ROUND(MOD(MOD(SMALL(Transaksi!$X$16:$X$5015,24),1),0.01)*10000000,0))&amp;")"," (dari "&amp;INDEX(Transaksi!$C$1:$C$5015,ROUND(MOD(MOD(SMALL(Transaksi!$X$16:$X$5015,24),1),0.01)*10000000,0))&amp;")"),""))</f>
        <v/>
      </c>
      <c r="D33" s="137">
        <f>IF(24&gt;COUNT(Transaksi!$X$16:$X$5015),"",INDEX(Transaksi!$I$1:$I$5015,ROUND(MOD(MOD(SMALL(Transaksi!$X$16:$X$5015,24),1),0.01)*10000000,0)))</f>
        <v/>
      </c>
      <c r="E33" s="138">
        <f>IF(24&gt;COUNT(Transaksi!$X$16:$X$5015),"",IF(IF(INDEX(Transaksi!$C$1:$C$5015,ROUND(MOD(MOD(SMALL(Transaksi!$X$16:$X$5015,24),1),0.01)*10000000,0))=$C$4,IF(INDEX(Transaksi!$D$1:$D$5015,ROUND(MOD(MOD(SMALL(Transaksi!$X$16:$X$5015,24),1),0.01)*10000000,0))="Masuk",1,-1),1)&gt;0,INDEX(Transaksi!$F$1:$F$5015,ROUND(MOD(MOD(SMALL(Transaksi!$X$16:$X$5015,24),1),0.01)*10000000,0)),""))</f>
        <v/>
      </c>
      <c r="F33" s="139">
        <f>IF(24&gt;COUNT(Transaksi!$X$16:$X$5015),"",IF(IF(INDEX(Transaksi!$C$1:$C$5015,ROUND(MOD(MOD(SMALL(Transaksi!$X$16:$X$5015,24),1),0.01)*10000000,0))=$C$4,IF(INDEX(Transaksi!$D$1:$D$5015,ROUND(MOD(MOD(SMALL(Transaksi!$X$16:$X$5015,24),1),0.01)*10000000,0))="Masuk",1,-1),1)&lt;0,INDEX(Transaksi!$F$1:$F$5015,ROUND(MOD(MOD(SMALL(Transaksi!$X$16:$X$5015,24),1),0.01)*10000000,0)),""))</f>
        <v/>
      </c>
      <c r="G33" s="106">
        <f>IF(24&gt;COUNT(Transaksi!$X$16:$X$5015),"",N(G32)+N(E33)-N(F33))</f>
        <v/>
      </c>
      <c r="H33" s="137">
        <f>IF(24&gt;COUNT(Transaksi!$X$16:$X$5015),"",HYPERLINK("#Transaksi!B"&amp;A33,"Buka"))</f>
        <v/>
      </c>
    </row>
    <row r="34" ht="15" customHeight="1" s="94">
      <c r="A34" s="93">
        <f>IF(25&gt;COUNT(Transaksi!$X$16:$X$5015),"",ROUND(MOD(MOD(SMALL(Transaksi!$X$16:$X$5015,25),1),0.01)*10000000,0))</f>
        <v/>
      </c>
      <c r="B34" s="135">
        <f>IF(25&gt;COUNT(Transaksi!$X$16:$X$5015),"",IF(25=1,INDEX(Transaksi!$B$1:$B$5015,ROUND(MOD(MOD(SMALL(Transaksi!$X$16:$X$5015,25),1),0.01)*10000000,0)),IF(INDEX(Transaksi!$B$1:$B$5015,ROUND(MOD(MOD(SMALL(Transaksi!$X$16:$X$5015,25),1),0.01)*10000000,0))=INDEX(Transaksi!$B$1:$B$5015,A33),"",INDEX(Transaksi!$B$1:$B$5015,ROUND(MOD(MOD(SMALL(Transaksi!$X$16:$X$5015,25),1),0.01)*10000000,0)))))</f>
        <v/>
      </c>
      <c r="C34" s="136">
        <f>IF(25&gt;COUNT(Transaksi!$X$16:$X$5015),"",INDEX(Transaksi!$J$1:$J$5015,ROUND(MOD(MOD(SMALL(Transaksi!$X$16:$X$5015,25),1),0.01)*10000000,0))&amp;IF(INDEX(Transaksi!$D$1:$D$5015,ROUND(MOD(MOD(SMALL(Transaksi!$X$16:$X$5015,25),1),0.01)*10000000,0))="Pindah",IF(INDEX(Transaksi!$C$1:$C$5015,ROUND(MOD(MOD(SMALL(Transaksi!$X$16:$X$5015,25),1),0.01)*10000000,0))=$C$4," (ke "&amp;INDEX(Transaksi!$E$1:$E$5015,ROUND(MOD(MOD(SMALL(Transaksi!$X$16:$X$5015,25),1),0.01)*10000000,0))&amp;")"," (dari "&amp;INDEX(Transaksi!$C$1:$C$5015,ROUND(MOD(MOD(SMALL(Transaksi!$X$16:$X$5015,25),1),0.01)*10000000,0))&amp;")"),""))</f>
        <v/>
      </c>
      <c r="D34" s="137">
        <f>IF(25&gt;COUNT(Transaksi!$X$16:$X$5015),"",INDEX(Transaksi!$I$1:$I$5015,ROUND(MOD(MOD(SMALL(Transaksi!$X$16:$X$5015,25),1),0.01)*10000000,0)))</f>
        <v/>
      </c>
      <c r="E34" s="138">
        <f>IF(25&gt;COUNT(Transaksi!$X$16:$X$5015),"",IF(IF(INDEX(Transaksi!$C$1:$C$5015,ROUND(MOD(MOD(SMALL(Transaksi!$X$16:$X$5015,25),1),0.01)*10000000,0))=$C$4,IF(INDEX(Transaksi!$D$1:$D$5015,ROUND(MOD(MOD(SMALL(Transaksi!$X$16:$X$5015,25),1),0.01)*10000000,0))="Masuk",1,-1),1)&gt;0,INDEX(Transaksi!$F$1:$F$5015,ROUND(MOD(MOD(SMALL(Transaksi!$X$16:$X$5015,25),1),0.01)*10000000,0)),""))</f>
        <v/>
      </c>
      <c r="F34" s="139">
        <f>IF(25&gt;COUNT(Transaksi!$X$16:$X$5015),"",IF(IF(INDEX(Transaksi!$C$1:$C$5015,ROUND(MOD(MOD(SMALL(Transaksi!$X$16:$X$5015,25),1),0.01)*10000000,0))=$C$4,IF(INDEX(Transaksi!$D$1:$D$5015,ROUND(MOD(MOD(SMALL(Transaksi!$X$16:$X$5015,25),1),0.01)*10000000,0))="Masuk",1,-1),1)&lt;0,INDEX(Transaksi!$F$1:$F$5015,ROUND(MOD(MOD(SMALL(Transaksi!$X$16:$X$5015,25),1),0.01)*10000000,0)),""))</f>
        <v/>
      </c>
      <c r="G34" s="106">
        <f>IF(25&gt;COUNT(Transaksi!$X$16:$X$5015),"",N(G33)+N(E34)-N(F34))</f>
        <v/>
      </c>
      <c r="H34" s="137">
        <f>IF(25&gt;COUNT(Transaksi!$X$16:$X$5015),"",HYPERLINK("#Transaksi!B"&amp;A34,"Buka"))</f>
        <v/>
      </c>
    </row>
    <row r="35" ht="15" customHeight="1" s="94">
      <c r="A35" s="93">
        <f>IF(26&gt;COUNT(Transaksi!$X$16:$X$5015),"",ROUND(MOD(MOD(SMALL(Transaksi!$X$16:$X$5015,26),1),0.01)*10000000,0))</f>
        <v/>
      </c>
      <c r="B35" s="135">
        <f>IF(26&gt;COUNT(Transaksi!$X$16:$X$5015),"",IF(26=1,INDEX(Transaksi!$B$1:$B$5015,ROUND(MOD(MOD(SMALL(Transaksi!$X$16:$X$5015,26),1),0.01)*10000000,0)),IF(INDEX(Transaksi!$B$1:$B$5015,ROUND(MOD(MOD(SMALL(Transaksi!$X$16:$X$5015,26),1),0.01)*10000000,0))=INDEX(Transaksi!$B$1:$B$5015,A34),"",INDEX(Transaksi!$B$1:$B$5015,ROUND(MOD(MOD(SMALL(Transaksi!$X$16:$X$5015,26),1),0.01)*10000000,0)))))</f>
        <v/>
      </c>
      <c r="C35" s="136">
        <f>IF(26&gt;COUNT(Transaksi!$X$16:$X$5015),"",INDEX(Transaksi!$J$1:$J$5015,ROUND(MOD(MOD(SMALL(Transaksi!$X$16:$X$5015,26),1),0.01)*10000000,0))&amp;IF(INDEX(Transaksi!$D$1:$D$5015,ROUND(MOD(MOD(SMALL(Transaksi!$X$16:$X$5015,26),1),0.01)*10000000,0))="Pindah",IF(INDEX(Transaksi!$C$1:$C$5015,ROUND(MOD(MOD(SMALL(Transaksi!$X$16:$X$5015,26),1),0.01)*10000000,0))=$C$4," (ke "&amp;INDEX(Transaksi!$E$1:$E$5015,ROUND(MOD(MOD(SMALL(Transaksi!$X$16:$X$5015,26),1),0.01)*10000000,0))&amp;")"," (dari "&amp;INDEX(Transaksi!$C$1:$C$5015,ROUND(MOD(MOD(SMALL(Transaksi!$X$16:$X$5015,26),1),0.01)*10000000,0))&amp;")"),""))</f>
        <v/>
      </c>
      <c r="D35" s="137">
        <f>IF(26&gt;COUNT(Transaksi!$X$16:$X$5015),"",INDEX(Transaksi!$I$1:$I$5015,ROUND(MOD(MOD(SMALL(Transaksi!$X$16:$X$5015,26),1),0.01)*10000000,0)))</f>
        <v/>
      </c>
      <c r="E35" s="138">
        <f>IF(26&gt;COUNT(Transaksi!$X$16:$X$5015),"",IF(IF(INDEX(Transaksi!$C$1:$C$5015,ROUND(MOD(MOD(SMALL(Transaksi!$X$16:$X$5015,26),1),0.01)*10000000,0))=$C$4,IF(INDEX(Transaksi!$D$1:$D$5015,ROUND(MOD(MOD(SMALL(Transaksi!$X$16:$X$5015,26),1),0.01)*10000000,0))="Masuk",1,-1),1)&gt;0,INDEX(Transaksi!$F$1:$F$5015,ROUND(MOD(MOD(SMALL(Transaksi!$X$16:$X$5015,26),1),0.01)*10000000,0)),""))</f>
        <v/>
      </c>
      <c r="F35" s="139">
        <f>IF(26&gt;COUNT(Transaksi!$X$16:$X$5015),"",IF(IF(INDEX(Transaksi!$C$1:$C$5015,ROUND(MOD(MOD(SMALL(Transaksi!$X$16:$X$5015,26),1),0.01)*10000000,0))=$C$4,IF(INDEX(Transaksi!$D$1:$D$5015,ROUND(MOD(MOD(SMALL(Transaksi!$X$16:$X$5015,26),1),0.01)*10000000,0))="Masuk",1,-1),1)&lt;0,INDEX(Transaksi!$F$1:$F$5015,ROUND(MOD(MOD(SMALL(Transaksi!$X$16:$X$5015,26),1),0.01)*10000000,0)),""))</f>
        <v/>
      </c>
      <c r="G35" s="106">
        <f>IF(26&gt;COUNT(Transaksi!$X$16:$X$5015),"",N(G34)+N(E35)-N(F35))</f>
        <v/>
      </c>
      <c r="H35" s="137">
        <f>IF(26&gt;COUNT(Transaksi!$X$16:$X$5015),"",HYPERLINK("#Transaksi!B"&amp;A35,"Buka"))</f>
        <v/>
      </c>
    </row>
    <row r="36" ht="15" customHeight="1" s="94">
      <c r="A36" s="93">
        <f>IF(27&gt;COUNT(Transaksi!$X$16:$X$5015),"",ROUND(MOD(MOD(SMALL(Transaksi!$X$16:$X$5015,27),1),0.01)*10000000,0))</f>
        <v/>
      </c>
      <c r="B36" s="135">
        <f>IF(27&gt;COUNT(Transaksi!$X$16:$X$5015),"",IF(27=1,INDEX(Transaksi!$B$1:$B$5015,ROUND(MOD(MOD(SMALL(Transaksi!$X$16:$X$5015,27),1),0.01)*10000000,0)),IF(INDEX(Transaksi!$B$1:$B$5015,ROUND(MOD(MOD(SMALL(Transaksi!$X$16:$X$5015,27),1),0.01)*10000000,0))=INDEX(Transaksi!$B$1:$B$5015,A35),"",INDEX(Transaksi!$B$1:$B$5015,ROUND(MOD(MOD(SMALL(Transaksi!$X$16:$X$5015,27),1),0.01)*10000000,0)))))</f>
        <v/>
      </c>
      <c r="C36" s="136">
        <f>IF(27&gt;COUNT(Transaksi!$X$16:$X$5015),"",INDEX(Transaksi!$J$1:$J$5015,ROUND(MOD(MOD(SMALL(Transaksi!$X$16:$X$5015,27),1),0.01)*10000000,0))&amp;IF(INDEX(Transaksi!$D$1:$D$5015,ROUND(MOD(MOD(SMALL(Transaksi!$X$16:$X$5015,27),1),0.01)*10000000,0))="Pindah",IF(INDEX(Transaksi!$C$1:$C$5015,ROUND(MOD(MOD(SMALL(Transaksi!$X$16:$X$5015,27),1),0.01)*10000000,0))=$C$4," (ke "&amp;INDEX(Transaksi!$E$1:$E$5015,ROUND(MOD(MOD(SMALL(Transaksi!$X$16:$X$5015,27),1),0.01)*10000000,0))&amp;")"," (dari "&amp;INDEX(Transaksi!$C$1:$C$5015,ROUND(MOD(MOD(SMALL(Transaksi!$X$16:$X$5015,27),1),0.01)*10000000,0))&amp;")"),""))</f>
        <v/>
      </c>
      <c r="D36" s="137">
        <f>IF(27&gt;COUNT(Transaksi!$X$16:$X$5015),"",INDEX(Transaksi!$I$1:$I$5015,ROUND(MOD(MOD(SMALL(Transaksi!$X$16:$X$5015,27),1),0.01)*10000000,0)))</f>
        <v/>
      </c>
      <c r="E36" s="138">
        <f>IF(27&gt;COUNT(Transaksi!$X$16:$X$5015),"",IF(IF(INDEX(Transaksi!$C$1:$C$5015,ROUND(MOD(MOD(SMALL(Transaksi!$X$16:$X$5015,27),1),0.01)*10000000,0))=$C$4,IF(INDEX(Transaksi!$D$1:$D$5015,ROUND(MOD(MOD(SMALL(Transaksi!$X$16:$X$5015,27),1),0.01)*10000000,0))="Masuk",1,-1),1)&gt;0,INDEX(Transaksi!$F$1:$F$5015,ROUND(MOD(MOD(SMALL(Transaksi!$X$16:$X$5015,27),1),0.01)*10000000,0)),""))</f>
        <v/>
      </c>
      <c r="F36" s="139">
        <f>IF(27&gt;COUNT(Transaksi!$X$16:$X$5015),"",IF(IF(INDEX(Transaksi!$C$1:$C$5015,ROUND(MOD(MOD(SMALL(Transaksi!$X$16:$X$5015,27),1),0.01)*10000000,0))=$C$4,IF(INDEX(Transaksi!$D$1:$D$5015,ROUND(MOD(MOD(SMALL(Transaksi!$X$16:$X$5015,27),1),0.01)*10000000,0))="Masuk",1,-1),1)&lt;0,INDEX(Transaksi!$F$1:$F$5015,ROUND(MOD(MOD(SMALL(Transaksi!$X$16:$X$5015,27),1),0.01)*10000000,0)),""))</f>
        <v/>
      </c>
      <c r="G36" s="106">
        <f>IF(27&gt;COUNT(Transaksi!$X$16:$X$5015),"",N(G35)+N(E36)-N(F36))</f>
        <v/>
      </c>
      <c r="H36" s="137">
        <f>IF(27&gt;COUNT(Transaksi!$X$16:$X$5015),"",HYPERLINK("#Transaksi!B"&amp;A36,"Buka"))</f>
        <v/>
      </c>
    </row>
    <row r="37" ht="15" customHeight="1" s="94">
      <c r="A37" s="93">
        <f>IF(28&gt;COUNT(Transaksi!$X$16:$X$5015),"",ROUND(MOD(MOD(SMALL(Transaksi!$X$16:$X$5015,28),1),0.01)*10000000,0))</f>
        <v/>
      </c>
      <c r="B37" s="135">
        <f>IF(28&gt;COUNT(Transaksi!$X$16:$X$5015),"",IF(28=1,INDEX(Transaksi!$B$1:$B$5015,ROUND(MOD(MOD(SMALL(Transaksi!$X$16:$X$5015,28),1),0.01)*10000000,0)),IF(INDEX(Transaksi!$B$1:$B$5015,ROUND(MOD(MOD(SMALL(Transaksi!$X$16:$X$5015,28),1),0.01)*10000000,0))=INDEX(Transaksi!$B$1:$B$5015,A36),"",INDEX(Transaksi!$B$1:$B$5015,ROUND(MOD(MOD(SMALL(Transaksi!$X$16:$X$5015,28),1),0.01)*10000000,0)))))</f>
        <v/>
      </c>
      <c r="C37" s="136">
        <f>IF(28&gt;COUNT(Transaksi!$X$16:$X$5015),"",INDEX(Transaksi!$J$1:$J$5015,ROUND(MOD(MOD(SMALL(Transaksi!$X$16:$X$5015,28),1),0.01)*10000000,0))&amp;IF(INDEX(Transaksi!$D$1:$D$5015,ROUND(MOD(MOD(SMALL(Transaksi!$X$16:$X$5015,28),1),0.01)*10000000,0))="Pindah",IF(INDEX(Transaksi!$C$1:$C$5015,ROUND(MOD(MOD(SMALL(Transaksi!$X$16:$X$5015,28),1),0.01)*10000000,0))=$C$4," (ke "&amp;INDEX(Transaksi!$E$1:$E$5015,ROUND(MOD(MOD(SMALL(Transaksi!$X$16:$X$5015,28),1),0.01)*10000000,0))&amp;")"," (dari "&amp;INDEX(Transaksi!$C$1:$C$5015,ROUND(MOD(MOD(SMALL(Transaksi!$X$16:$X$5015,28),1),0.01)*10000000,0))&amp;")"),""))</f>
        <v/>
      </c>
      <c r="D37" s="137">
        <f>IF(28&gt;COUNT(Transaksi!$X$16:$X$5015),"",INDEX(Transaksi!$I$1:$I$5015,ROUND(MOD(MOD(SMALL(Transaksi!$X$16:$X$5015,28),1),0.01)*10000000,0)))</f>
        <v/>
      </c>
      <c r="E37" s="138">
        <f>IF(28&gt;COUNT(Transaksi!$X$16:$X$5015),"",IF(IF(INDEX(Transaksi!$C$1:$C$5015,ROUND(MOD(MOD(SMALL(Transaksi!$X$16:$X$5015,28),1),0.01)*10000000,0))=$C$4,IF(INDEX(Transaksi!$D$1:$D$5015,ROUND(MOD(MOD(SMALL(Transaksi!$X$16:$X$5015,28),1),0.01)*10000000,0))="Masuk",1,-1),1)&gt;0,INDEX(Transaksi!$F$1:$F$5015,ROUND(MOD(MOD(SMALL(Transaksi!$X$16:$X$5015,28),1),0.01)*10000000,0)),""))</f>
        <v/>
      </c>
      <c r="F37" s="139">
        <f>IF(28&gt;COUNT(Transaksi!$X$16:$X$5015),"",IF(IF(INDEX(Transaksi!$C$1:$C$5015,ROUND(MOD(MOD(SMALL(Transaksi!$X$16:$X$5015,28),1),0.01)*10000000,0))=$C$4,IF(INDEX(Transaksi!$D$1:$D$5015,ROUND(MOD(MOD(SMALL(Transaksi!$X$16:$X$5015,28),1),0.01)*10000000,0))="Masuk",1,-1),1)&lt;0,INDEX(Transaksi!$F$1:$F$5015,ROUND(MOD(MOD(SMALL(Transaksi!$X$16:$X$5015,28),1),0.01)*10000000,0)),""))</f>
        <v/>
      </c>
      <c r="G37" s="106">
        <f>IF(28&gt;COUNT(Transaksi!$X$16:$X$5015),"",N(G36)+N(E37)-N(F37))</f>
        <v/>
      </c>
      <c r="H37" s="137">
        <f>IF(28&gt;COUNT(Transaksi!$X$16:$X$5015),"",HYPERLINK("#Transaksi!B"&amp;A37,"Buka"))</f>
        <v/>
      </c>
    </row>
    <row r="38" ht="15" customHeight="1" s="94">
      <c r="A38" s="93">
        <f>IF(29&gt;COUNT(Transaksi!$X$16:$X$5015),"",ROUND(MOD(MOD(SMALL(Transaksi!$X$16:$X$5015,29),1),0.01)*10000000,0))</f>
        <v/>
      </c>
      <c r="B38" s="135">
        <f>IF(29&gt;COUNT(Transaksi!$X$16:$X$5015),"",IF(29=1,INDEX(Transaksi!$B$1:$B$5015,ROUND(MOD(MOD(SMALL(Transaksi!$X$16:$X$5015,29),1),0.01)*10000000,0)),IF(INDEX(Transaksi!$B$1:$B$5015,ROUND(MOD(MOD(SMALL(Transaksi!$X$16:$X$5015,29),1),0.01)*10000000,0))=INDEX(Transaksi!$B$1:$B$5015,A37),"",INDEX(Transaksi!$B$1:$B$5015,ROUND(MOD(MOD(SMALL(Transaksi!$X$16:$X$5015,29),1),0.01)*10000000,0)))))</f>
        <v/>
      </c>
      <c r="C38" s="136">
        <f>IF(29&gt;COUNT(Transaksi!$X$16:$X$5015),"",INDEX(Transaksi!$J$1:$J$5015,ROUND(MOD(MOD(SMALL(Transaksi!$X$16:$X$5015,29),1),0.01)*10000000,0))&amp;IF(INDEX(Transaksi!$D$1:$D$5015,ROUND(MOD(MOD(SMALL(Transaksi!$X$16:$X$5015,29),1),0.01)*10000000,0))="Pindah",IF(INDEX(Transaksi!$C$1:$C$5015,ROUND(MOD(MOD(SMALL(Transaksi!$X$16:$X$5015,29),1),0.01)*10000000,0))=$C$4," (ke "&amp;INDEX(Transaksi!$E$1:$E$5015,ROUND(MOD(MOD(SMALL(Transaksi!$X$16:$X$5015,29),1),0.01)*10000000,0))&amp;")"," (dari "&amp;INDEX(Transaksi!$C$1:$C$5015,ROUND(MOD(MOD(SMALL(Transaksi!$X$16:$X$5015,29),1),0.01)*10000000,0))&amp;")"),""))</f>
        <v/>
      </c>
      <c r="D38" s="137">
        <f>IF(29&gt;COUNT(Transaksi!$X$16:$X$5015),"",INDEX(Transaksi!$I$1:$I$5015,ROUND(MOD(MOD(SMALL(Transaksi!$X$16:$X$5015,29),1),0.01)*10000000,0)))</f>
        <v/>
      </c>
      <c r="E38" s="138">
        <f>IF(29&gt;COUNT(Transaksi!$X$16:$X$5015),"",IF(IF(INDEX(Transaksi!$C$1:$C$5015,ROUND(MOD(MOD(SMALL(Transaksi!$X$16:$X$5015,29),1),0.01)*10000000,0))=$C$4,IF(INDEX(Transaksi!$D$1:$D$5015,ROUND(MOD(MOD(SMALL(Transaksi!$X$16:$X$5015,29),1),0.01)*10000000,0))="Masuk",1,-1),1)&gt;0,INDEX(Transaksi!$F$1:$F$5015,ROUND(MOD(MOD(SMALL(Transaksi!$X$16:$X$5015,29),1),0.01)*10000000,0)),""))</f>
        <v/>
      </c>
      <c r="F38" s="139">
        <f>IF(29&gt;COUNT(Transaksi!$X$16:$X$5015),"",IF(IF(INDEX(Transaksi!$C$1:$C$5015,ROUND(MOD(MOD(SMALL(Transaksi!$X$16:$X$5015,29),1),0.01)*10000000,0))=$C$4,IF(INDEX(Transaksi!$D$1:$D$5015,ROUND(MOD(MOD(SMALL(Transaksi!$X$16:$X$5015,29),1),0.01)*10000000,0))="Masuk",1,-1),1)&lt;0,INDEX(Transaksi!$F$1:$F$5015,ROUND(MOD(MOD(SMALL(Transaksi!$X$16:$X$5015,29),1),0.01)*10000000,0)),""))</f>
        <v/>
      </c>
      <c r="G38" s="106">
        <f>IF(29&gt;COUNT(Transaksi!$X$16:$X$5015),"",N(G37)+N(E38)-N(F38))</f>
        <v/>
      </c>
      <c r="H38" s="137">
        <f>IF(29&gt;COUNT(Transaksi!$X$16:$X$5015),"",HYPERLINK("#Transaksi!B"&amp;A38,"Buka"))</f>
        <v/>
      </c>
    </row>
    <row r="39" ht="15" customHeight="1" s="94">
      <c r="A39" s="93">
        <f>IF(30&gt;COUNT(Transaksi!$X$16:$X$5015),"",ROUND(MOD(MOD(SMALL(Transaksi!$X$16:$X$5015,30),1),0.01)*10000000,0))</f>
        <v/>
      </c>
      <c r="B39" s="135">
        <f>IF(30&gt;COUNT(Transaksi!$X$16:$X$5015),"",IF(30=1,INDEX(Transaksi!$B$1:$B$5015,ROUND(MOD(MOD(SMALL(Transaksi!$X$16:$X$5015,30),1),0.01)*10000000,0)),IF(INDEX(Transaksi!$B$1:$B$5015,ROUND(MOD(MOD(SMALL(Transaksi!$X$16:$X$5015,30),1),0.01)*10000000,0))=INDEX(Transaksi!$B$1:$B$5015,A38),"",INDEX(Transaksi!$B$1:$B$5015,ROUND(MOD(MOD(SMALL(Transaksi!$X$16:$X$5015,30),1),0.01)*10000000,0)))))</f>
        <v/>
      </c>
      <c r="C39" s="136">
        <f>IF(30&gt;COUNT(Transaksi!$X$16:$X$5015),"",INDEX(Transaksi!$J$1:$J$5015,ROUND(MOD(MOD(SMALL(Transaksi!$X$16:$X$5015,30),1),0.01)*10000000,0))&amp;IF(INDEX(Transaksi!$D$1:$D$5015,ROUND(MOD(MOD(SMALL(Transaksi!$X$16:$X$5015,30),1),0.01)*10000000,0))="Pindah",IF(INDEX(Transaksi!$C$1:$C$5015,ROUND(MOD(MOD(SMALL(Transaksi!$X$16:$X$5015,30),1),0.01)*10000000,0))=$C$4," (ke "&amp;INDEX(Transaksi!$E$1:$E$5015,ROUND(MOD(MOD(SMALL(Transaksi!$X$16:$X$5015,30),1),0.01)*10000000,0))&amp;")"," (dari "&amp;INDEX(Transaksi!$C$1:$C$5015,ROUND(MOD(MOD(SMALL(Transaksi!$X$16:$X$5015,30),1),0.01)*10000000,0))&amp;")"),""))</f>
        <v/>
      </c>
      <c r="D39" s="137">
        <f>IF(30&gt;COUNT(Transaksi!$X$16:$X$5015),"",INDEX(Transaksi!$I$1:$I$5015,ROUND(MOD(MOD(SMALL(Transaksi!$X$16:$X$5015,30),1),0.01)*10000000,0)))</f>
        <v/>
      </c>
      <c r="E39" s="138">
        <f>IF(30&gt;COUNT(Transaksi!$X$16:$X$5015),"",IF(IF(INDEX(Transaksi!$C$1:$C$5015,ROUND(MOD(MOD(SMALL(Transaksi!$X$16:$X$5015,30),1),0.01)*10000000,0))=$C$4,IF(INDEX(Transaksi!$D$1:$D$5015,ROUND(MOD(MOD(SMALL(Transaksi!$X$16:$X$5015,30),1),0.01)*10000000,0))="Masuk",1,-1),1)&gt;0,INDEX(Transaksi!$F$1:$F$5015,ROUND(MOD(MOD(SMALL(Transaksi!$X$16:$X$5015,30),1),0.01)*10000000,0)),""))</f>
        <v/>
      </c>
      <c r="F39" s="139">
        <f>IF(30&gt;COUNT(Transaksi!$X$16:$X$5015),"",IF(IF(INDEX(Transaksi!$C$1:$C$5015,ROUND(MOD(MOD(SMALL(Transaksi!$X$16:$X$5015,30),1),0.01)*10000000,0))=$C$4,IF(INDEX(Transaksi!$D$1:$D$5015,ROUND(MOD(MOD(SMALL(Transaksi!$X$16:$X$5015,30),1),0.01)*10000000,0))="Masuk",1,-1),1)&lt;0,INDEX(Transaksi!$F$1:$F$5015,ROUND(MOD(MOD(SMALL(Transaksi!$X$16:$X$5015,30),1),0.01)*10000000,0)),""))</f>
        <v/>
      </c>
      <c r="G39" s="106">
        <f>IF(30&gt;COUNT(Transaksi!$X$16:$X$5015),"",N(G38)+N(E39)-N(F39))</f>
        <v/>
      </c>
      <c r="H39" s="137">
        <f>IF(30&gt;COUNT(Transaksi!$X$16:$X$5015),"",HYPERLINK("#Transaksi!B"&amp;A39,"Buka"))</f>
        <v/>
      </c>
    </row>
    <row r="40" ht="15" customHeight="1" s="94">
      <c r="A40" s="93">
        <f>IF(31&gt;COUNT(Transaksi!$X$16:$X$5015),"",ROUND(MOD(MOD(SMALL(Transaksi!$X$16:$X$5015,31),1),0.01)*10000000,0))</f>
        <v/>
      </c>
      <c r="B40" s="135">
        <f>IF(31&gt;COUNT(Transaksi!$X$16:$X$5015),"",IF(31=1,INDEX(Transaksi!$B$1:$B$5015,ROUND(MOD(MOD(SMALL(Transaksi!$X$16:$X$5015,31),1),0.01)*10000000,0)),IF(INDEX(Transaksi!$B$1:$B$5015,ROUND(MOD(MOD(SMALL(Transaksi!$X$16:$X$5015,31),1),0.01)*10000000,0))=INDEX(Transaksi!$B$1:$B$5015,A39),"",INDEX(Transaksi!$B$1:$B$5015,ROUND(MOD(MOD(SMALL(Transaksi!$X$16:$X$5015,31),1),0.01)*10000000,0)))))</f>
        <v/>
      </c>
      <c r="C40" s="136">
        <f>IF(31&gt;COUNT(Transaksi!$X$16:$X$5015),"",INDEX(Transaksi!$J$1:$J$5015,ROUND(MOD(MOD(SMALL(Transaksi!$X$16:$X$5015,31),1),0.01)*10000000,0))&amp;IF(INDEX(Transaksi!$D$1:$D$5015,ROUND(MOD(MOD(SMALL(Transaksi!$X$16:$X$5015,31),1),0.01)*10000000,0))="Pindah",IF(INDEX(Transaksi!$C$1:$C$5015,ROUND(MOD(MOD(SMALL(Transaksi!$X$16:$X$5015,31),1),0.01)*10000000,0))=$C$4," (ke "&amp;INDEX(Transaksi!$E$1:$E$5015,ROUND(MOD(MOD(SMALL(Transaksi!$X$16:$X$5015,31),1),0.01)*10000000,0))&amp;")"," (dari "&amp;INDEX(Transaksi!$C$1:$C$5015,ROUND(MOD(MOD(SMALL(Transaksi!$X$16:$X$5015,31),1),0.01)*10000000,0))&amp;")"),""))</f>
        <v/>
      </c>
      <c r="D40" s="137">
        <f>IF(31&gt;COUNT(Transaksi!$X$16:$X$5015),"",INDEX(Transaksi!$I$1:$I$5015,ROUND(MOD(MOD(SMALL(Transaksi!$X$16:$X$5015,31),1),0.01)*10000000,0)))</f>
        <v/>
      </c>
      <c r="E40" s="138">
        <f>IF(31&gt;COUNT(Transaksi!$X$16:$X$5015),"",IF(IF(INDEX(Transaksi!$C$1:$C$5015,ROUND(MOD(MOD(SMALL(Transaksi!$X$16:$X$5015,31),1),0.01)*10000000,0))=$C$4,IF(INDEX(Transaksi!$D$1:$D$5015,ROUND(MOD(MOD(SMALL(Transaksi!$X$16:$X$5015,31),1),0.01)*10000000,0))="Masuk",1,-1),1)&gt;0,INDEX(Transaksi!$F$1:$F$5015,ROUND(MOD(MOD(SMALL(Transaksi!$X$16:$X$5015,31),1),0.01)*10000000,0)),""))</f>
        <v/>
      </c>
      <c r="F40" s="139">
        <f>IF(31&gt;COUNT(Transaksi!$X$16:$X$5015),"",IF(IF(INDEX(Transaksi!$C$1:$C$5015,ROUND(MOD(MOD(SMALL(Transaksi!$X$16:$X$5015,31),1),0.01)*10000000,0))=$C$4,IF(INDEX(Transaksi!$D$1:$D$5015,ROUND(MOD(MOD(SMALL(Transaksi!$X$16:$X$5015,31),1),0.01)*10000000,0))="Masuk",1,-1),1)&lt;0,INDEX(Transaksi!$F$1:$F$5015,ROUND(MOD(MOD(SMALL(Transaksi!$X$16:$X$5015,31),1),0.01)*10000000,0)),""))</f>
        <v/>
      </c>
      <c r="G40" s="106">
        <f>IF(31&gt;COUNT(Transaksi!$X$16:$X$5015),"",N(G39)+N(E40)-N(F40))</f>
        <v/>
      </c>
      <c r="H40" s="137">
        <f>IF(31&gt;COUNT(Transaksi!$X$16:$X$5015),"",HYPERLINK("#Transaksi!B"&amp;A40,"Buka"))</f>
        <v/>
      </c>
    </row>
    <row r="41" ht="15" customHeight="1" s="94">
      <c r="A41" s="93">
        <f>IF(32&gt;COUNT(Transaksi!$X$16:$X$5015),"",ROUND(MOD(MOD(SMALL(Transaksi!$X$16:$X$5015,32),1),0.01)*10000000,0))</f>
        <v/>
      </c>
      <c r="B41" s="135">
        <f>IF(32&gt;COUNT(Transaksi!$X$16:$X$5015),"",IF(32=1,INDEX(Transaksi!$B$1:$B$5015,ROUND(MOD(MOD(SMALL(Transaksi!$X$16:$X$5015,32),1),0.01)*10000000,0)),IF(INDEX(Transaksi!$B$1:$B$5015,ROUND(MOD(MOD(SMALL(Transaksi!$X$16:$X$5015,32),1),0.01)*10000000,0))=INDEX(Transaksi!$B$1:$B$5015,A40),"",INDEX(Transaksi!$B$1:$B$5015,ROUND(MOD(MOD(SMALL(Transaksi!$X$16:$X$5015,32),1),0.01)*10000000,0)))))</f>
        <v/>
      </c>
      <c r="C41" s="136">
        <f>IF(32&gt;COUNT(Transaksi!$X$16:$X$5015),"",INDEX(Transaksi!$J$1:$J$5015,ROUND(MOD(MOD(SMALL(Transaksi!$X$16:$X$5015,32),1),0.01)*10000000,0))&amp;IF(INDEX(Transaksi!$D$1:$D$5015,ROUND(MOD(MOD(SMALL(Transaksi!$X$16:$X$5015,32),1),0.01)*10000000,0))="Pindah",IF(INDEX(Transaksi!$C$1:$C$5015,ROUND(MOD(MOD(SMALL(Transaksi!$X$16:$X$5015,32),1),0.01)*10000000,0))=$C$4," (ke "&amp;INDEX(Transaksi!$E$1:$E$5015,ROUND(MOD(MOD(SMALL(Transaksi!$X$16:$X$5015,32),1),0.01)*10000000,0))&amp;")"," (dari "&amp;INDEX(Transaksi!$C$1:$C$5015,ROUND(MOD(MOD(SMALL(Transaksi!$X$16:$X$5015,32),1),0.01)*10000000,0))&amp;")"),""))</f>
        <v/>
      </c>
      <c r="D41" s="137">
        <f>IF(32&gt;COUNT(Transaksi!$X$16:$X$5015),"",INDEX(Transaksi!$I$1:$I$5015,ROUND(MOD(MOD(SMALL(Transaksi!$X$16:$X$5015,32),1),0.01)*10000000,0)))</f>
        <v/>
      </c>
      <c r="E41" s="138">
        <f>IF(32&gt;COUNT(Transaksi!$X$16:$X$5015),"",IF(IF(INDEX(Transaksi!$C$1:$C$5015,ROUND(MOD(MOD(SMALL(Transaksi!$X$16:$X$5015,32),1),0.01)*10000000,0))=$C$4,IF(INDEX(Transaksi!$D$1:$D$5015,ROUND(MOD(MOD(SMALL(Transaksi!$X$16:$X$5015,32),1),0.01)*10000000,0))="Masuk",1,-1),1)&gt;0,INDEX(Transaksi!$F$1:$F$5015,ROUND(MOD(MOD(SMALL(Transaksi!$X$16:$X$5015,32),1),0.01)*10000000,0)),""))</f>
        <v/>
      </c>
      <c r="F41" s="139">
        <f>IF(32&gt;COUNT(Transaksi!$X$16:$X$5015),"",IF(IF(INDEX(Transaksi!$C$1:$C$5015,ROUND(MOD(MOD(SMALL(Transaksi!$X$16:$X$5015,32),1),0.01)*10000000,0))=$C$4,IF(INDEX(Transaksi!$D$1:$D$5015,ROUND(MOD(MOD(SMALL(Transaksi!$X$16:$X$5015,32),1),0.01)*10000000,0))="Masuk",1,-1),1)&lt;0,INDEX(Transaksi!$F$1:$F$5015,ROUND(MOD(MOD(SMALL(Transaksi!$X$16:$X$5015,32),1),0.01)*10000000,0)),""))</f>
        <v/>
      </c>
      <c r="G41" s="106">
        <f>IF(32&gt;COUNT(Transaksi!$X$16:$X$5015),"",N(G40)+N(E41)-N(F41))</f>
        <v/>
      </c>
      <c r="H41" s="137">
        <f>IF(32&gt;COUNT(Transaksi!$X$16:$X$5015),"",HYPERLINK("#Transaksi!B"&amp;A41,"Buka"))</f>
        <v/>
      </c>
    </row>
    <row r="42" ht="15" customHeight="1" s="94">
      <c r="A42" s="93">
        <f>IF(33&gt;COUNT(Transaksi!$X$16:$X$5015),"",ROUND(MOD(MOD(SMALL(Transaksi!$X$16:$X$5015,33),1),0.01)*10000000,0))</f>
        <v/>
      </c>
      <c r="B42" s="135">
        <f>IF(33&gt;COUNT(Transaksi!$X$16:$X$5015),"",IF(33=1,INDEX(Transaksi!$B$1:$B$5015,ROUND(MOD(MOD(SMALL(Transaksi!$X$16:$X$5015,33),1),0.01)*10000000,0)),IF(INDEX(Transaksi!$B$1:$B$5015,ROUND(MOD(MOD(SMALL(Transaksi!$X$16:$X$5015,33),1),0.01)*10000000,0))=INDEX(Transaksi!$B$1:$B$5015,A41),"",INDEX(Transaksi!$B$1:$B$5015,ROUND(MOD(MOD(SMALL(Transaksi!$X$16:$X$5015,33),1),0.01)*10000000,0)))))</f>
        <v/>
      </c>
      <c r="C42" s="136">
        <f>IF(33&gt;COUNT(Transaksi!$X$16:$X$5015),"",INDEX(Transaksi!$J$1:$J$5015,ROUND(MOD(MOD(SMALL(Transaksi!$X$16:$X$5015,33),1),0.01)*10000000,0))&amp;IF(INDEX(Transaksi!$D$1:$D$5015,ROUND(MOD(MOD(SMALL(Transaksi!$X$16:$X$5015,33),1),0.01)*10000000,0))="Pindah",IF(INDEX(Transaksi!$C$1:$C$5015,ROUND(MOD(MOD(SMALL(Transaksi!$X$16:$X$5015,33),1),0.01)*10000000,0))=$C$4," (ke "&amp;INDEX(Transaksi!$E$1:$E$5015,ROUND(MOD(MOD(SMALL(Transaksi!$X$16:$X$5015,33),1),0.01)*10000000,0))&amp;")"," (dari "&amp;INDEX(Transaksi!$C$1:$C$5015,ROUND(MOD(MOD(SMALL(Transaksi!$X$16:$X$5015,33),1),0.01)*10000000,0))&amp;")"),""))</f>
        <v/>
      </c>
      <c r="D42" s="137">
        <f>IF(33&gt;COUNT(Transaksi!$X$16:$X$5015),"",INDEX(Transaksi!$I$1:$I$5015,ROUND(MOD(MOD(SMALL(Transaksi!$X$16:$X$5015,33),1),0.01)*10000000,0)))</f>
        <v/>
      </c>
      <c r="E42" s="138">
        <f>IF(33&gt;COUNT(Transaksi!$X$16:$X$5015),"",IF(IF(INDEX(Transaksi!$C$1:$C$5015,ROUND(MOD(MOD(SMALL(Transaksi!$X$16:$X$5015,33),1),0.01)*10000000,0))=$C$4,IF(INDEX(Transaksi!$D$1:$D$5015,ROUND(MOD(MOD(SMALL(Transaksi!$X$16:$X$5015,33),1),0.01)*10000000,0))="Masuk",1,-1),1)&gt;0,INDEX(Transaksi!$F$1:$F$5015,ROUND(MOD(MOD(SMALL(Transaksi!$X$16:$X$5015,33),1),0.01)*10000000,0)),""))</f>
        <v/>
      </c>
      <c r="F42" s="139">
        <f>IF(33&gt;COUNT(Transaksi!$X$16:$X$5015),"",IF(IF(INDEX(Transaksi!$C$1:$C$5015,ROUND(MOD(MOD(SMALL(Transaksi!$X$16:$X$5015,33),1),0.01)*10000000,0))=$C$4,IF(INDEX(Transaksi!$D$1:$D$5015,ROUND(MOD(MOD(SMALL(Transaksi!$X$16:$X$5015,33),1),0.01)*10000000,0))="Masuk",1,-1),1)&lt;0,INDEX(Transaksi!$F$1:$F$5015,ROUND(MOD(MOD(SMALL(Transaksi!$X$16:$X$5015,33),1),0.01)*10000000,0)),""))</f>
        <v/>
      </c>
      <c r="G42" s="106">
        <f>IF(33&gt;COUNT(Transaksi!$X$16:$X$5015),"",N(G41)+N(E42)-N(F42))</f>
        <v/>
      </c>
      <c r="H42" s="137">
        <f>IF(33&gt;COUNT(Transaksi!$X$16:$X$5015),"",HYPERLINK("#Transaksi!B"&amp;A42,"Buka"))</f>
        <v/>
      </c>
    </row>
    <row r="43" ht="15" customHeight="1" s="94">
      <c r="A43" s="93">
        <f>IF(34&gt;COUNT(Transaksi!$X$16:$X$5015),"",ROUND(MOD(MOD(SMALL(Transaksi!$X$16:$X$5015,34),1),0.01)*10000000,0))</f>
        <v/>
      </c>
      <c r="B43" s="135">
        <f>IF(34&gt;COUNT(Transaksi!$X$16:$X$5015),"",IF(34=1,INDEX(Transaksi!$B$1:$B$5015,ROUND(MOD(MOD(SMALL(Transaksi!$X$16:$X$5015,34),1),0.01)*10000000,0)),IF(INDEX(Transaksi!$B$1:$B$5015,ROUND(MOD(MOD(SMALL(Transaksi!$X$16:$X$5015,34),1),0.01)*10000000,0))=INDEX(Transaksi!$B$1:$B$5015,A42),"",INDEX(Transaksi!$B$1:$B$5015,ROUND(MOD(MOD(SMALL(Transaksi!$X$16:$X$5015,34),1),0.01)*10000000,0)))))</f>
        <v/>
      </c>
      <c r="C43" s="136">
        <f>IF(34&gt;COUNT(Transaksi!$X$16:$X$5015),"",INDEX(Transaksi!$J$1:$J$5015,ROUND(MOD(MOD(SMALL(Transaksi!$X$16:$X$5015,34),1),0.01)*10000000,0))&amp;IF(INDEX(Transaksi!$D$1:$D$5015,ROUND(MOD(MOD(SMALL(Transaksi!$X$16:$X$5015,34),1),0.01)*10000000,0))="Pindah",IF(INDEX(Transaksi!$C$1:$C$5015,ROUND(MOD(MOD(SMALL(Transaksi!$X$16:$X$5015,34),1),0.01)*10000000,0))=$C$4," (ke "&amp;INDEX(Transaksi!$E$1:$E$5015,ROUND(MOD(MOD(SMALL(Transaksi!$X$16:$X$5015,34),1),0.01)*10000000,0))&amp;")"," (dari "&amp;INDEX(Transaksi!$C$1:$C$5015,ROUND(MOD(MOD(SMALL(Transaksi!$X$16:$X$5015,34),1),0.01)*10000000,0))&amp;")"),""))</f>
        <v/>
      </c>
      <c r="D43" s="137">
        <f>IF(34&gt;COUNT(Transaksi!$X$16:$X$5015),"",INDEX(Transaksi!$I$1:$I$5015,ROUND(MOD(MOD(SMALL(Transaksi!$X$16:$X$5015,34),1),0.01)*10000000,0)))</f>
        <v/>
      </c>
      <c r="E43" s="138">
        <f>IF(34&gt;COUNT(Transaksi!$X$16:$X$5015),"",IF(IF(INDEX(Transaksi!$C$1:$C$5015,ROUND(MOD(MOD(SMALL(Transaksi!$X$16:$X$5015,34),1),0.01)*10000000,0))=$C$4,IF(INDEX(Transaksi!$D$1:$D$5015,ROUND(MOD(MOD(SMALL(Transaksi!$X$16:$X$5015,34),1),0.01)*10000000,0))="Masuk",1,-1),1)&gt;0,INDEX(Transaksi!$F$1:$F$5015,ROUND(MOD(MOD(SMALL(Transaksi!$X$16:$X$5015,34),1),0.01)*10000000,0)),""))</f>
        <v/>
      </c>
      <c r="F43" s="139">
        <f>IF(34&gt;COUNT(Transaksi!$X$16:$X$5015),"",IF(IF(INDEX(Transaksi!$C$1:$C$5015,ROUND(MOD(MOD(SMALL(Transaksi!$X$16:$X$5015,34),1),0.01)*10000000,0))=$C$4,IF(INDEX(Transaksi!$D$1:$D$5015,ROUND(MOD(MOD(SMALL(Transaksi!$X$16:$X$5015,34),1),0.01)*10000000,0))="Masuk",1,-1),1)&lt;0,INDEX(Transaksi!$F$1:$F$5015,ROUND(MOD(MOD(SMALL(Transaksi!$X$16:$X$5015,34),1),0.01)*10000000,0)),""))</f>
        <v/>
      </c>
      <c r="G43" s="106">
        <f>IF(34&gt;COUNT(Transaksi!$X$16:$X$5015),"",N(G42)+N(E43)-N(F43))</f>
        <v/>
      </c>
      <c r="H43" s="137">
        <f>IF(34&gt;COUNT(Transaksi!$X$16:$X$5015),"",HYPERLINK("#Transaksi!B"&amp;A43,"Buka"))</f>
        <v/>
      </c>
    </row>
    <row r="44" ht="15" customHeight="1" s="94">
      <c r="A44" s="93">
        <f>IF(35&gt;COUNT(Transaksi!$X$16:$X$5015),"",ROUND(MOD(MOD(SMALL(Transaksi!$X$16:$X$5015,35),1),0.01)*10000000,0))</f>
        <v/>
      </c>
      <c r="B44" s="135">
        <f>IF(35&gt;COUNT(Transaksi!$X$16:$X$5015),"",IF(35=1,INDEX(Transaksi!$B$1:$B$5015,ROUND(MOD(MOD(SMALL(Transaksi!$X$16:$X$5015,35),1),0.01)*10000000,0)),IF(INDEX(Transaksi!$B$1:$B$5015,ROUND(MOD(MOD(SMALL(Transaksi!$X$16:$X$5015,35),1),0.01)*10000000,0))=INDEX(Transaksi!$B$1:$B$5015,A43),"",INDEX(Transaksi!$B$1:$B$5015,ROUND(MOD(MOD(SMALL(Transaksi!$X$16:$X$5015,35),1),0.01)*10000000,0)))))</f>
        <v/>
      </c>
      <c r="C44" s="136">
        <f>IF(35&gt;COUNT(Transaksi!$X$16:$X$5015),"",INDEX(Transaksi!$J$1:$J$5015,ROUND(MOD(MOD(SMALL(Transaksi!$X$16:$X$5015,35),1),0.01)*10000000,0))&amp;IF(INDEX(Transaksi!$D$1:$D$5015,ROUND(MOD(MOD(SMALL(Transaksi!$X$16:$X$5015,35),1),0.01)*10000000,0))="Pindah",IF(INDEX(Transaksi!$C$1:$C$5015,ROUND(MOD(MOD(SMALL(Transaksi!$X$16:$X$5015,35),1),0.01)*10000000,0))=$C$4," (ke "&amp;INDEX(Transaksi!$E$1:$E$5015,ROUND(MOD(MOD(SMALL(Transaksi!$X$16:$X$5015,35),1),0.01)*10000000,0))&amp;")"," (dari "&amp;INDEX(Transaksi!$C$1:$C$5015,ROUND(MOD(MOD(SMALL(Transaksi!$X$16:$X$5015,35),1),0.01)*10000000,0))&amp;")"),""))</f>
        <v/>
      </c>
      <c r="D44" s="137">
        <f>IF(35&gt;COUNT(Transaksi!$X$16:$X$5015),"",INDEX(Transaksi!$I$1:$I$5015,ROUND(MOD(MOD(SMALL(Transaksi!$X$16:$X$5015,35),1),0.01)*10000000,0)))</f>
        <v/>
      </c>
      <c r="E44" s="138">
        <f>IF(35&gt;COUNT(Transaksi!$X$16:$X$5015),"",IF(IF(INDEX(Transaksi!$C$1:$C$5015,ROUND(MOD(MOD(SMALL(Transaksi!$X$16:$X$5015,35),1),0.01)*10000000,0))=$C$4,IF(INDEX(Transaksi!$D$1:$D$5015,ROUND(MOD(MOD(SMALL(Transaksi!$X$16:$X$5015,35),1),0.01)*10000000,0))="Masuk",1,-1),1)&gt;0,INDEX(Transaksi!$F$1:$F$5015,ROUND(MOD(MOD(SMALL(Transaksi!$X$16:$X$5015,35),1),0.01)*10000000,0)),""))</f>
        <v/>
      </c>
      <c r="F44" s="139">
        <f>IF(35&gt;COUNT(Transaksi!$X$16:$X$5015),"",IF(IF(INDEX(Transaksi!$C$1:$C$5015,ROUND(MOD(MOD(SMALL(Transaksi!$X$16:$X$5015,35),1),0.01)*10000000,0))=$C$4,IF(INDEX(Transaksi!$D$1:$D$5015,ROUND(MOD(MOD(SMALL(Transaksi!$X$16:$X$5015,35),1),0.01)*10000000,0))="Masuk",1,-1),1)&lt;0,INDEX(Transaksi!$F$1:$F$5015,ROUND(MOD(MOD(SMALL(Transaksi!$X$16:$X$5015,35),1),0.01)*10000000,0)),""))</f>
        <v/>
      </c>
      <c r="G44" s="106">
        <f>IF(35&gt;COUNT(Transaksi!$X$16:$X$5015),"",N(G43)+N(E44)-N(F44))</f>
        <v/>
      </c>
      <c r="H44" s="137">
        <f>IF(35&gt;COUNT(Transaksi!$X$16:$X$5015),"",HYPERLINK("#Transaksi!B"&amp;A44,"Buka"))</f>
        <v/>
      </c>
    </row>
    <row r="45" ht="15" customHeight="1" s="94">
      <c r="A45" s="93">
        <f>IF(36&gt;COUNT(Transaksi!$X$16:$X$5015),"",ROUND(MOD(MOD(SMALL(Transaksi!$X$16:$X$5015,36),1),0.01)*10000000,0))</f>
        <v/>
      </c>
      <c r="B45" s="135">
        <f>IF(36&gt;COUNT(Transaksi!$X$16:$X$5015),"",IF(36=1,INDEX(Transaksi!$B$1:$B$5015,ROUND(MOD(MOD(SMALL(Transaksi!$X$16:$X$5015,36),1),0.01)*10000000,0)),IF(INDEX(Transaksi!$B$1:$B$5015,ROUND(MOD(MOD(SMALL(Transaksi!$X$16:$X$5015,36),1),0.01)*10000000,0))=INDEX(Transaksi!$B$1:$B$5015,A44),"",INDEX(Transaksi!$B$1:$B$5015,ROUND(MOD(MOD(SMALL(Transaksi!$X$16:$X$5015,36),1),0.01)*10000000,0)))))</f>
        <v/>
      </c>
      <c r="C45" s="136">
        <f>IF(36&gt;COUNT(Transaksi!$X$16:$X$5015),"",INDEX(Transaksi!$J$1:$J$5015,ROUND(MOD(MOD(SMALL(Transaksi!$X$16:$X$5015,36),1),0.01)*10000000,0))&amp;IF(INDEX(Transaksi!$D$1:$D$5015,ROUND(MOD(MOD(SMALL(Transaksi!$X$16:$X$5015,36),1),0.01)*10000000,0))="Pindah",IF(INDEX(Transaksi!$C$1:$C$5015,ROUND(MOD(MOD(SMALL(Transaksi!$X$16:$X$5015,36),1),0.01)*10000000,0))=$C$4," (ke "&amp;INDEX(Transaksi!$E$1:$E$5015,ROUND(MOD(MOD(SMALL(Transaksi!$X$16:$X$5015,36),1),0.01)*10000000,0))&amp;")"," (dari "&amp;INDEX(Transaksi!$C$1:$C$5015,ROUND(MOD(MOD(SMALL(Transaksi!$X$16:$X$5015,36),1),0.01)*10000000,0))&amp;")"),""))</f>
        <v/>
      </c>
      <c r="D45" s="137">
        <f>IF(36&gt;COUNT(Transaksi!$X$16:$X$5015),"",INDEX(Transaksi!$I$1:$I$5015,ROUND(MOD(MOD(SMALL(Transaksi!$X$16:$X$5015,36),1),0.01)*10000000,0)))</f>
        <v/>
      </c>
      <c r="E45" s="138">
        <f>IF(36&gt;COUNT(Transaksi!$X$16:$X$5015),"",IF(IF(INDEX(Transaksi!$C$1:$C$5015,ROUND(MOD(MOD(SMALL(Transaksi!$X$16:$X$5015,36),1),0.01)*10000000,0))=$C$4,IF(INDEX(Transaksi!$D$1:$D$5015,ROUND(MOD(MOD(SMALL(Transaksi!$X$16:$X$5015,36),1),0.01)*10000000,0))="Masuk",1,-1),1)&gt;0,INDEX(Transaksi!$F$1:$F$5015,ROUND(MOD(MOD(SMALL(Transaksi!$X$16:$X$5015,36),1),0.01)*10000000,0)),""))</f>
        <v/>
      </c>
      <c r="F45" s="139">
        <f>IF(36&gt;COUNT(Transaksi!$X$16:$X$5015),"",IF(IF(INDEX(Transaksi!$C$1:$C$5015,ROUND(MOD(MOD(SMALL(Transaksi!$X$16:$X$5015,36),1),0.01)*10000000,0))=$C$4,IF(INDEX(Transaksi!$D$1:$D$5015,ROUND(MOD(MOD(SMALL(Transaksi!$X$16:$X$5015,36),1),0.01)*10000000,0))="Masuk",1,-1),1)&lt;0,INDEX(Transaksi!$F$1:$F$5015,ROUND(MOD(MOD(SMALL(Transaksi!$X$16:$X$5015,36),1),0.01)*10000000,0)),""))</f>
        <v/>
      </c>
      <c r="G45" s="106">
        <f>IF(36&gt;COUNT(Transaksi!$X$16:$X$5015),"",N(G44)+N(E45)-N(F45))</f>
        <v/>
      </c>
      <c r="H45" s="137">
        <f>IF(36&gt;COUNT(Transaksi!$X$16:$X$5015),"",HYPERLINK("#Transaksi!B"&amp;A45,"Buka"))</f>
        <v/>
      </c>
    </row>
    <row r="46" ht="15" customHeight="1" s="94">
      <c r="A46" s="93">
        <f>IF(37&gt;COUNT(Transaksi!$X$16:$X$5015),"",ROUND(MOD(MOD(SMALL(Transaksi!$X$16:$X$5015,37),1),0.01)*10000000,0))</f>
        <v/>
      </c>
      <c r="B46" s="135">
        <f>IF(37&gt;COUNT(Transaksi!$X$16:$X$5015),"",IF(37=1,INDEX(Transaksi!$B$1:$B$5015,ROUND(MOD(MOD(SMALL(Transaksi!$X$16:$X$5015,37),1),0.01)*10000000,0)),IF(INDEX(Transaksi!$B$1:$B$5015,ROUND(MOD(MOD(SMALL(Transaksi!$X$16:$X$5015,37),1),0.01)*10000000,0))=INDEX(Transaksi!$B$1:$B$5015,A45),"",INDEX(Transaksi!$B$1:$B$5015,ROUND(MOD(MOD(SMALL(Transaksi!$X$16:$X$5015,37),1),0.01)*10000000,0)))))</f>
        <v/>
      </c>
      <c r="C46" s="136">
        <f>IF(37&gt;COUNT(Transaksi!$X$16:$X$5015),"",INDEX(Transaksi!$J$1:$J$5015,ROUND(MOD(MOD(SMALL(Transaksi!$X$16:$X$5015,37),1),0.01)*10000000,0))&amp;IF(INDEX(Transaksi!$D$1:$D$5015,ROUND(MOD(MOD(SMALL(Transaksi!$X$16:$X$5015,37),1),0.01)*10000000,0))="Pindah",IF(INDEX(Transaksi!$C$1:$C$5015,ROUND(MOD(MOD(SMALL(Transaksi!$X$16:$X$5015,37),1),0.01)*10000000,0))=$C$4," (ke "&amp;INDEX(Transaksi!$E$1:$E$5015,ROUND(MOD(MOD(SMALL(Transaksi!$X$16:$X$5015,37),1),0.01)*10000000,0))&amp;")"," (dari "&amp;INDEX(Transaksi!$C$1:$C$5015,ROUND(MOD(MOD(SMALL(Transaksi!$X$16:$X$5015,37),1),0.01)*10000000,0))&amp;")"),""))</f>
        <v/>
      </c>
      <c r="D46" s="137">
        <f>IF(37&gt;COUNT(Transaksi!$X$16:$X$5015),"",INDEX(Transaksi!$I$1:$I$5015,ROUND(MOD(MOD(SMALL(Transaksi!$X$16:$X$5015,37),1),0.01)*10000000,0)))</f>
        <v/>
      </c>
      <c r="E46" s="138">
        <f>IF(37&gt;COUNT(Transaksi!$X$16:$X$5015),"",IF(IF(INDEX(Transaksi!$C$1:$C$5015,ROUND(MOD(MOD(SMALL(Transaksi!$X$16:$X$5015,37),1),0.01)*10000000,0))=$C$4,IF(INDEX(Transaksi!$D$1:$D$5015,ROUND(MOD(MOD(SMALL(Transaksi!$X$16:$X$5015,37),1),0.01)*10000000,0))="Masuk",1,-1),1)&gt;0,INDEX(Transaksi!$F$1:$F$5015,ROUND(MOD(MOD(SMALL(Transaksi!$X$16:$X$5015,37),1),0.01)*10000000,0)),""))</f>
        <v/>
      </c>
      <c r="F46" s="139">
        <f>IF(37&gt;COUNT(Transaksi!$X$16:$X$5015),"",IF(IF(INDEX(Transaksi!$C$1:$C$5015,ROUND(MOD(MOD(SMALL(Transaksi!$X$16:$X$5015,37),1),0.01)*10000000,0))=$C$4,IF(INDEX(Transaksi!$D$1:$D$5015,ROUND(MOD(MOD(SMALL(Transaksi!$X$16:$X$5015,37),1),0.01)*10000000,0))="Masuk",1,-1),1)&lt;0,INDEX(Transaksi!$F$1:$F$5015,ROUND(MOD(MOD(SMALL(Transaksi!$X$16:$X$5015,37),1),0.01)*10000000,0)),""))</f>
        <v/>
      </c>
      <c r="G46" s="106">
        <f>IF(37&gt;COUNT(Transaksi!$X$16:$X$5015),"",N(G45)+N(E46)-N(F46))</f>
        <v/>
      </c>
      <c r="H46" s="137">
        <f>IF(37&gt;COUNT(Transaksi!$X$16:$X$5015),"",HYPERLINK("#Transaksi!B"&amp;A46,"Buka"))</f>
        <v/>
      </c>
    </row>
    <row r="47" ht="15" customHeight="1" s="94">
      <c r="A47" s="93">
        <f>IF(38&gt;COUNT(Transaksi!$X$16:$X$5015),"",ROUND(MOD(MOD(SMALL(Transaksi!$X$16:$X$5015,38),1),0.01)*10000000,0))</f>
        <v/>
      </c>
      <c r="B47" s="135">
        <f>IF(38&gt;COUNT(Transaksi!$X$16:$X$5015),"",IF(38=1,INDEX(Transaksi!$B$1:$B$5015,ROUND(MOD(MOD(SMALL(Transaksi!$X$16:$X$5015,38),1),0.01)*10000000,0)),IF(INDEX(Transaksi!$B$1:$B$5015,ROUND(MOD(MOD(SMALL(Transaksi!$X$16:$X$5015,38),1),0.01)*10000000,0))=INDEX(Transaksi!$B$1:$B$5015,A46),"",INDEX(Transaksi!$B$1:$B$5015,ROUND(MOD(MOD(SMALL(Transaksi!$X$16:$X$5015,38),1),0.01)*10000000,0)))))</f>
        <v/>
      </c>
      <c r="C47" s="136">
        <f>IF(38&gt;COUNT(Transaksi!$X$16:$X$5015),"",INDEX(Transaksi!$J$1:$J$5015,ROUND(MOD(MOD(SMALL(Transaksi!$X$16:$X$5015,38),1),0.01)*10000000,0))&amp;IF(INDEX(Transaksi!$D$1:$D$5015,ROUND(MOD(MOD(SMALL(Transaksi!$X$16:$X$5015,38),1),0.01)*10000000,0))="Pindah",IF(INDEX(Transaksi!$C$1:$C$5015,ROUND(MOD(MOD(SMALL(Transaksi!$X$16:$X$5015,38),1),0.01)*10000000,0))=$C$4," (ke "&amp;INDEX(Transaksi!$E$1:$E$5015,ROUND(MOD(MOD(SMALL(Transaksi!$X$16:$X$5015,38),1),0.01)*10000000,0))&amp;")"," (dari "&amp;INDEX(Transaksi!$C$1:$C$5015,ROUND(MOD(MOD(SMALL(Transaksi!$X$16:$X$5015,38),1),0.01)*10000000,0))&amp;")"),""))</f>
        <v/>
      </c>
      <c r="D47" s="137">
        <f>IF(38&gt;COUNT(Transaksi!$X$16:$X$5015),"",INDEX(Transaksi!$I$1:$I$5015,ROUND(MOD(MOD(SMALL(Transaksi!$X$16:$X$5015,38),1),0.01)*10000000,0)))</f>
        <v/>
      </c>
      <c r="E47" s="138">
        <f>IF(38&gt;COUNT(Transaksi!$X$16:$X$5015),"",IF(IF(INDEX(Transaksi!$C$1:$C$5015,ROUND(MOD(MOD(SMALL(Transaksi!$X$16:$X$5015,38),1),0.01)*10000000,0))=$C$4,IF(INDEX(Transaksi!$D$1:$D$5015,ROUND(MOD(MOD(SMALL(Transaksi!$X$16:$X$5015,38),1),0.01)*10000000,0))="Masuk",1,-1),1)&gt;0,INDEX(Transaksi!$F$1:$F$5015,ROUND(MOD(MOD(SMALL(Transaksi!$X$16:$X$5015,38),1),0.01)*10000000,0)),""))</f>
        <v/>
      </c>
      <c r="F47" s="139">
        <f>IF(38&gt;COUNT(Transaksi!$X$16:$X$5015),"",IF(IF(INDEX(Transaksi!$C$1:$C$5015,ROUND(MOD(MOD(SMALL(Transaksi!$X$16:$X$5015,38),1),0.01)*10000000,0))=$C$4,IF(INDEX(Transaksi!$D$1:$D$5015,ROUND(MOD(MOD(SMALL(Transaksi!$X$16:$X$5015,38),1),0.01)*10000000,0))="Masuk",1,-1),1)&lt;0,INDEX(Transaksi!$F$1:$F$5015,ROUND(MOD(MOD(SMALL(Transaksi!$X$16:$X$5015,38),1),0.01)*10000000,0)),""))</f>
        <v/>
      </c>
      <c r="G47" s="106">
        <f>IF(38&gt;COUNT(Transaksi!$X$16:$X$5015),"",N(G46)+N(E47)-N(F47))</f>
        <v/>
      </c>
      <c r="H47" s="137">
        <f>IF(38&gt;COUNT(Transaksi!$X$16:$X$5015),"",HYPERLINK("#Transaksi!B"&amp;A47,"Buka"))</f>
        <v/>
      </c>
    </row>
    <row r="48" ht="15" customHeight="1" s="94">
      <c r="A48" s="93">
        <f>IF(39&gt;COUNT(Transaksi!$X$16:$X$5015),"",ROUND(MOD(MOD(SMALL(Transaksi!$X$16:$X$5015,39),1),0.01)*10000000,0))</f>
        <v/>
      </c>
      <c r="B48" s="135">
        <f>IF(39&gt;COUNT(Transaksi!$X$16:$X$5015),"",IF(39=1,INDEX(Transaksi!$B$1:$B$5015,ROUND(MOD(MOD(SMALL(Transaksi!$X$16:$X$5015,39),1),0.01)*10000000,0)),IF(INDEX(Transaksi!$B$1:$B$5015,ROUND(MOD(MOD(SMALL(Transaksi!$X$16:$X$5015,39),1),0.01)*10000000,0))=INDEX(Transaksi!$B$1:$B$5015,A47),"",INDEX(Transaksi!$B$1:$B$5015,ROUND(MOD(MOD(SMALL(Transaksi!$X$16:$X$5015,39),1),0.01)*10000000,0)))))</f>
        <v/>
      </c>
      <c r="C48" s="136">
        <f>IF(39&gt;COUNT(Transaksi!$X$16:$X$5015),"",INDEX(Transaksi!$J$1:$J$5015,ROUND(MOD(MOD(SMALL(Transaksi!$X$16:$X$5015,39),1),0.01)*10000000,0))&amp;IF(INDEX(Transaksi!$D$1:$D$5015,ROUND(MOD(MOD(SMALL(Transaksi!$X$16:$X$5015,39),1),0.01)*10000000,0))="Pindah",IF(INDEX(Transaksi!$C$1:$C$5015,ROUND(MOD(MOD(SMALL(Transaksi!$X$16:$X$5015,39),1),0.01)*10000000,0))=$C$4," (ke "&amp;INDEX(Transaksi!$E$1:$E$5015,ROUND(MOD(MOD(SMALL(Transaksi!$X$16:$X$5015,39),1),0.01)*10000000,0))&amp;")"," (dari "&amp;INDEX(Transaksi!$C$1:$C$5015,ROUND(MOD(MOD(SMALL(Transaksi!$X$16:$X$5015,39),1),0.01)*10000000,0))&amp;")"),""))</f>
        <v/>
      </c>
      <c r="D48" s="137">
        <f>IF(39&gt;COUNT(Transaksi!$X$16:$X$5015),"",INDEX(Transaksi!$I$1:$I$5015,ROUND(MOD(MOD(SMALL(Transaksi!$X$16:$X$5015,39),1),0.01)*10000000,0)))</f>
        <v/>
      </c>
      <c r="E48" s="138">
        <f>IF(39&gt;COUNT(Transaksi!$X$16:$X$5015),"",IF(IF(INDEX(Transaksi!$C$1:$C$5015,ROUND(MOD(MOD(SMALL(Transaksi!$X$16:$X$5015,39),1),0.01)*10000000,0))=$C$4,IF(INDEX(Transaksi!$D$1:$D$5015,ROUND(MOD(MOD(SMALL(Transaksi!$X$16:$X$5015,39),1),0.01)*10000000,0))="Masuk",1,-1),1)&gt;0,INDEX(Transaksi!$F$1:$F$5015,ROUND(MOD(MOD(SMALL(Transaksi!$X$16:$X$5015,39),1),0.01)*10000000,0)),""))</f>
        <v/>
      </c>
      <c r="F48" s="139">
        <f>IF(39&gt;COUNT(Transaksi!$X$16:$X$5015),"",IF(IF(INDEX(Transaksi!$C$1:$C$5015,ROUND(MOD(MOD(SMALL(Transaksi!$X$16:$X$5015,39),1),0.01)*10000000,0))=$C$4,IF(INDEX(Transaksi!$D$1:$D$5015,ROUND(MOD(MOD(SMALL(Transaksi!$X$16:$X$5015,39),1),0.01)*10000000,0))="Masuk",1,-1),1)&lt;0,INDEX(Transaksi!$F$1:$F$5015,ROUND(MOD(MOD(SMALL(Transaksi!$X$16:$X$5015,39),1),0.01)*10000000,0)),""))</f>
        <v/>
      </c>
      <c r="G48" s="106">
        <f>IF(39&gt;COUNT(Transaksi!$X$16:$X$5015),"",N(G47)+N(E48)-N(F48))</f>
        <v/>
      </c>
      <c r="H48" s="137">
        <f>IF(39&gt;COUNT(Transaksi!$X$16:$X$5015),"",HYPERLINK("#Transaksi!B"&amp;A48,"Buka"))</f>
        <v/>
      </c>
    </row>
    <row r="49" ht="15" customHeight="1" s="94">
      <c r="A49" s="93">
        <f>IF(40&gt;COUNT(Transaksi!$X$16:$X$5015),"",ROUND(MOD(MOD(SMALL(Transaksi!$X$16:$X$5015,40),1),0.01)*10000000,0))</f>
        <v/>
      </c>
      <c r="B49" s="135">
        <f>IF(40&gt;COUNT(Transaksi!$X$16:$X$5015),"",IF(40=1,INDEX(Transaksi!$B$1:$B$5015,ROUND(MOD(MOD(SMALL(Transaksi!$X$16:$X$5015,40),1),0.01)*10000000,0)),IF(INDEX(Transaksi!$B$1:$B$5015,ROUND(MOD(MOD(SMALL(Transaksi!$X$16:$X$5015,40),1),0.01)*10000000,0))=INDEX(Transaksi!$B$1:$B$5015,A48),"",INDEX(Transaksi!$B$1:$B$5015,ROUND(MOD(MOD(SMALL(Transaksi!$X$16:$X$5015,40),1),0.01)*10000000,0)))))</f>
        <v/>
      </c>
      <c r="C49" s="136">
        <f>IF(40&gt;COUNT(Transaksi!$X$16:$X$5015),"",INDEX(Transaksi!$J$1:$J$5015,ROUND(MOD(MOD(SMALL(Transaksi!$X$16:$X$5015,40),1),0.01)*10000000,0))&amp;IF(INDEX(Transaksi!$D$1:$D$5015,ROUND(MOD(MOD(SMALL(Transaksi!$X$16:$X$5015,40),1),0.01)*10000000,0))="Pindah",IF(INDEX(Transaksi!$C$1:$C$5015,ROUND(MOD(MOD(SMALL(Transaksi!$X$16:$X$5015,40),1),0.01)*10000000,0))=$C$4," (ke "&amp;INDEX(Transaksi!$E$1:$E$5015,ROUND(MOD(MOD(SMALL(Transaksi!$X$16:$X$5015,40),1),0.01)*10000000,0))&amp;")"," (dari "&amp;INDEX(Transaksi!$C$1:$C$5015,ROUND(MOD(MOD(SMALL(Transaksi!$X$16:$X$5015,40),1),0.01)*10000000,0))&amp;")"),""))</f>
        <v/>
      </c>
      <c r="D49" s="137">
        <f>IF(40&gt;COUNT(Transaksi!$X$16:$X$5015),"",INDEX(Transaksi!$I$1:$I$5015,ROUND(MOD(MOD(SMALL(Transaksi!$X$16:$X$5015,40),1),0.01)*10000000,0)))</f>
        <v/>
      </c>
      <c r="E49" s="138">
        <f>IF(40&gt;COUNT(Transaksi!$X$16:$X$5015),"",IF(IF(INDEX(Transaksi!$C$1:$C$5015,ROUND(MOD(MOD(SMALL(Transaksi!$X$16:$X$5015,40),1),0.01)*10000000,0))=$C$4,IF(INDEX(Transaksi!$D$1:$D$5015,ROUND(MOD(MOD(SMALL(Transaksi!$X$16:$X$5015,40),1),0.01)*10000000,0))="Masuk",1,-1),1)&gt;0,INDEX(Transaksi!$F$1:$F$5015,ROUND(MOD(MOD(SMALL(Transaksi!$X$16:$X$5015,40),1),0.01)*10000000,0)),""))</f>
        <v/>
      </c>
      <c r="F49" s="139">
        <f>IF(40&gt;COUNT(Transaksi!$X$16:$X$5015),"",IF(IF(INDEX(Transaksi!$C$1:$C$5015,ROUND(MOD(MOD(SMALL(Transaksi!$X$16:$X$5015,40),1),0.01)*10000000,0))=$C$4,IF(INDEX(Transaksi!$D$1:$D$5015,ROUND(MOD(MOD(SMALL(Transaksi!$X$16:$X$5015,40),1),0.01)*10000000,0))="Masuk",1,-1),1)&lt;0,INDEX(Transaksi!$F$1:$F$5015,ROUND(MOD(MOD(SMALL(Transaksi!$X$16:$X$5015,40),1),0.01)*10000000,0)),""))</f>
        <v/>
      </c>
      <c r="G49" s="106">
        <f>IF(40&gt;COUNT(Transaksi!$X$16:$X$5015),"",N(G48)+N(E49)-N(F49))</f>
        <v/>
      </c>
      <c r="H49" s="137">
        <f>IF(40&gt;COUNT(Transaksi!$X$16:$X$5015),"",HYPERLINK("#Transaksi!B"&amp;A49,"Buka"))</f>
        <v/>
      </c>
    </row>
    <row r="50" ht="15" customHeight="1" s="94">
      <c r="A50" s="93">
        <f>IF(41&gt;COUNT(Transaksi!$X$16:$X$5015),"",ROUND(MOD(MOD(SMALL(Transaksi!$X$16:$X$5015,41),1),0.01)*10000000,0))</f>
        <v/>
      </c>
      <c r="B50" s="135">
        <f>IF(41&gt;COUNT(Transaksi!$X$16:$X$5015),"",IF(41=1,INDEX(Transaksi!$B$1:$B$5015,ROUND(MOD(MOD(SMALL(Transaksi!$X$16:$X$5015,41),1),0.01)*10000000,0)),IF(INDEX(Transaksi!$B$1:$B$5015,ROUND(MOD(MOD(SMALL(Transaksi!$X$16:$X$5015,41),1),0.01)*10000000,0))=INDEX(Transaksi!$B$1:$B$5015,A49),"",INDEX(Transaksi!$B$1:$B$5015,ROUND(MOD(MOD(SMALL(Transaksi!$X$16:$X$5015,41),1),0.01)*10000000,0)))))</f>
        <v/>
      </c>
      <c r="C50" s="136">
        <f>IF(41&gt;COUNT(Transaksi!$X$16:$X$5015),"",INDEX(Transaksi!$J$1:$J$5015,ROUND(MOD(MOD(SMALL(Transaksi!$X$16:$X$5015,41),1),0.01)*10000000,0))&amp;IF(INDEX(Transaksi!$D$1:$D$5015,ROUND(MOD(MOD(SMALL(Transaksi!$X$16:$X$5015,41),1),0.01)*10000000,0))="Pindah",IF(INDEX(Transaksi!$C$1:$C$5015,ROUND(MOD(MOD(SMALL(Transaksi!$X$16:$X$5015,41),1),0.01)*10000000,0))=$C$4," (ke "&amp;INDEX(Transaksi!$E$1:$E$5015,ROUND(MOD(MOD(SMALL(Transaksi!$X$16:$X$5015,41),1),0.01)*10000000,0))&amp;")"," (dari "&amp;INDEX(Transaksi!$C$1:$C$5015,ROUND(MOD(MOD(SMALL(Transaksi!$X$16:$X$5015,41),1),0.01)*10000000,0))&amp;")"),""))</f>
        <v/>
      </c>
      <c r="D50" s="137">
        <f>IF(41&gt;COUNT(Transaksi!$X$16:$X$5015),"",INDEX(Transaksi!$I$1:$I$5015,ROUND(MOD(MOD(SMALL(Transaksi!$X$16:$X$5015,41),1),0.01)*10000000,0)))</f>
        <v/>
      </c>
      <c r="E50" s="138">
        <f>IF(41&gt;COUNT(Transaksi!$X$16:$X$5015),"",IF(IF(INDEX(Transaksi!$C$1:$C$5015,ROUND(MOD(MOD(SMALL(Transaksi!$X$16:$X$5015,41),1),0.01)*10000000,0))=$C$4,IF(INDEX(Transaksi!$D$1:$D$5015,ROUND(MOD(MOD(SMALL(Transaksi!$X$16:$X$5015,41),1),0.01)*10000000,0))="Masuk",1,-1),1)&gt;0,INDEX(Transaksi!$F$1:$F$5015,ROUND(MOD(MOD(SMALL(Transaksi!$X$16:$X$5015,41),1),0.01)*10000000,0)),""))</f>
        <v/>
      </c>
      <c r="F50" s="139">
        <f>IF(41&gt;COUNT(Transaksi!$X$16:$X$5015),"",IF(IF(INDEX(Transaksi!$C$1:$C$5015,ROUND(MOD(MOD(SMALL(Transaksi!$X$16:$X$5015,41),1),0.01)*10000000,0))=$C$4,IF(INDEX(Transaksi!$D$1:$D$5015,ROUND(MOD(MOD(SMALL(Transaksi!$X$16:$X$5015,41),1),0.01)*10000000,0))="Masuk",1,-1),1)&lt;0,INDEX(Transaksi!$F$1:$F$5015,ROUND(MOD(MOD(SMALL(Transaksi!$X$16:$X$5015,41),1),0.01)*10000000,0)),""))</f>
        <v/>
      </c>
      <c r="G50" s="106">
        <f>IF(41&gt;COUNT(Transaksi!$X$16:$X$5015),"",N(G49)+N(E50)-N(F50))</f>
        <v/>
      </c>
      <c r="H50" s="137">
        <f>IF(41&gt;COUNT(Transaksi!$X$16:$X$5015),"",HYPERLINK("#Transaksi!B"&amp;A50,"Buka"))</f>
        <v/>
      </c>
    </row>
    <row r="51" ht="15" customHeight="1" s="94">
      <c r="A51" s="93">
        <f>IF(42&gt;COUNT(Transaksi!$X$16:$X$5015),"",ROUND(MOD(MOD(SMALL(Transaksi!$X$16:$X$5015,42),1),0.01)*10000000,0))</f>
        <v/>
      </c>
      <c r="B51" s="135">
        <f>IF(42&gt;COUNT(Transaksi!$X$16:$X$5015),"",IF(42=1,INDEX(Transaksi!$B$1:$B$5015,ROUND(MOD(MOD(SMALL(Transaksi!$X$16:$X$5015,42),1),0.01)*10000000,0)),IF(INDEX(Transaksi!$B$1:$B$5015,ROUND(MOD(MOD(SMALL(Transaksi!$X$16:$X$5015,42),1),0.01)*10000000,0))=INDEX(Transaksi!$B$1:$B$5015,A50),"",INDEX(Transaksi!$B$1:$B$5015,ROUND(MOD(MOD(SMALL(Transaksi!$X$16:$X$5015,42),1),0.01)*10000000,0)))))</f>
        <v/>
      </c>
      <c r="C51" s="136">
        <f>IF(42&gt;COUNT(Transaksi!$X$16:$X$5015),"",INDEX(Transaksi!$J$1:$J$5015,ROUND(MOD(MOD(SMALL(Transaksi!$X$16:$X$5015,42),1),0.01)*10000000,0))&amp;IF(INDEX(Transaksi!$D$1:$D$5015,ROUND(MOD(MOD(SMALL(Transaksi!$X$16:$X$5015,42),1),0.01)*10000000,0))="Pindah",IF(INDEX(Transaksi!$C$1:$C$5015,ROUND(MOD(MOD(SMALL(Transaksi!$X$16:$X$5015,42),1),0.01)*10000000,0))=$C$4," (ke "&amp;INDEX(Transaksi!$E$1:$E$5015,ROUND(MOD(MOD(SMALL(Transaksi!$X$16:$X$5015,42),1),0.01)*10000000,0))&amp;")"," (dari "&amp;INDEX(Transaksi!$C$1:$C$5015,ROUND(MOD(MOD(SMALL(Transaksi!$X$16:$X$5015,42),1),0.01)*10000000,0))&amp;")"),""))</f>
        <v/>
      </c>
      <c r="D51" s="137">
        <f>IF(42&gt;COUNT(Transaksi!$X$16:$X$5015),"",INDEX(Transaksi!$I$1:$I$5015,ROUND(MOD(MOD(SMALL(Transaksi!$X$16:$X$5015,42),1),0.01)*10000000,0)))</f>
        <v/>
      </c>
      <c r="E51" s="138">
        <f>IF(42&gt;COUNT(Transaksi!$X$16:$X$5015),"",IF(IF(INDEX(Transaksi!$C$1:$C$5015,ROUND(MOD(MOD(SMALL(Transaksi!$X$16:$X$5015,42),1),0.01)*10000000,0))=$C$4,IF(INDEX(Transaksi!$D$1:$D$5015,ROUND(MOD(MOD(SMALL(Transaksi!$X$16:$X$5015,42),1),0.01)*10000000,0))="Masuk",1,-1),1)&gt;0,INDEX(Transaksi!$F$1:$F$5015,ROUND(MOD(MOD(SMALL(Transaksi!$X$16:$X$5015,42),1),0.01)*10000000,0)),""))</f>
        <v/>
      </c>
      <c r="F51" s="139">
        <f>IF(42&gt;COUNT(Transaksi!$X$16:$X$5015),"",IF(IF(INDEX(Transaksi!$C$1:$C$5015,ROUND(MOD(MOD(SMALL(Transaksi!$X$16:$X$5015,42),1),0.01)*10000000,0))=$C$4,IF(INDEX(Transaksi!$D$1:$D$5015,ROUND(MOD(MOD(SMALL(Transaksi!$X$16:$X$5015,42),1),0.01)*10000000,0))="Masuk",1,-1),1)&lt;0,INDEX(Transaksi!$F$1:$F$5015,ROUND(MOD(MOD(SMALL(Transaksi!$X$16:$X$5015,42),1),0.01)*10000000,0)),""))</f>
        <v/>
      </c>
      <c r="G51" s="106">
        <f>IF(42&gt;COUNT(Transaksi!$X$16:$X$5015),"",N(G50)+N(E51)-N(F51))</f>
        <v/>
      </c>
      <c r="H51" s="137">
        <f>IF(42&gt;COUNT(Transaksi!$X$16:$X$5015),"",HYPERLINK("#Transaksi!B"&amp;A51,"Buka"))</f>
        <v/>
      </c>
    </row>
    <row r="52" ht="15" customHeight="1" s="94">
      <c r="A52" s="93">
        <f>IF(43&gt;COUNT(Transaksi!$X$16:$X$5015),"",ROUND(MOD(MOD(SMALL(Transaksi!$X$16:$X$5015,43),1),0.01)*10000000,0))</f>
        <v/>
      </c>
      <c r="B52" s="135">
        <f>IF(43&gt;COUNT(Transaksi!$X$16:$X$5015),"",IF(43=1,INDEX(Transaksi!$B$1:$B$5015,ROUND(MOD(MOD(SMALL(Transaksi!$X$16:$X$5015,43),1),0.01)*10000000,0)),IF(INDEX(Transaksi!$B$1:$B$5015,ROUND(MOD(MOD(SMALL(Transaksi!$X$16:$X$5015,43),1),0.01)*10000000,0))=INDEX(Transaksi!$B$1:$B$5015,A51),"",INDEX(Transaksi!$B$1:$B$5015,ROUND(MOD(MOD(SMALL(Transaksi!$X$16:$X$5015,43),1),0.01)*10000000,0)))))</f>
        <v/>
      </c>
      <c r="C52" s="136">
        <f>IF(43&gt;COUNT(Transaksi!$X$16:$X$5015),"",INDEX(Transaksi!$J$1:$J$5015,ROUND(MOD(MOD(SMALL(Transaksi!$X$16:$X$5015,43),1),0.01)*10000000,0))&amp;IF(INDEX(Transaksi!$D$1:$D$5015,ROUND(MOD(MOD(SMALL(Transaksi!$X$16:$X$5015,43),1),0.01)*10000000,0))="Pindah",IF(INDEX(Transaksi!$C$1:$C$5015,ROUND(MOD(MOD(SMALL(Transaksi!$X$16:$X$5015,43),1),0.01)*10000000,0))=$C$4," (ke "&amp;INDEX(Transaksi!$E$1:$E$5015,ROUND(MOD(MOD(SMALL(Transaksi!$X$16:$X$5015,43),1),0.01)*10000000,0))&amp;")"," (dari "&amp;INDEX(Transaksi!$C$1:$C$5015,ROUND(MOD(MOD(SMALL(Transaksi!$X$16:$X$5015,43),1),0.01)*10000000,0))&amp;")"),""))</f>
        <v/>
      </c>
      <c r="D52" s="137">
        <f>IF(43&gt;COUNT(Transaksi!$X$16:$X$5015),"",INDEX(Transaksi!$I$1:$I$5015,ROUND(MOD(MOD(SMALL(Transaksi!$X$16:$X$5015,43),1),0.01)*10000000,0)))</f>
        <v/>
      </c>
      <c r="E52" s="138">
        <f>IF(43&gt;COUNT(Transaksi!$X$16:$X$5015),"",IF(IF(INDEX(Transaksi!$C$1:$C$5015,ROUND(MOD(MOD(SMALL(Transaksi!$X$16:$X$5015,43),1),0.01)*10000000,0))=$C$4,IF(INDEX(Transaksi!$D$1:$D$5015,ROUND(MOD(MOD(SMALL(Transaksi!$X$16:$X$5015,43),1),0.01)*10000000,0))="Masuk",1,-1),1)&gt;0,INDEX(Transaksi!$F$1:$F$5015,ROUND(MOD(MOD(SMALL(Transaksi!$X$16:$X$5015,43),1),0.01)*10000000,0)),""))</f>
        <v/>
      </c>
      <c r="F52" s="139">
        <f>IF(43&gt;COUNT(Transaksi!$X$16:$X$5015),"",IF(IF(INDEX(Transaksi!$C$1:$C$5015,ROUND(MOD(MOD(SMALL(Transaksi!$X$16:$X$5015,43),1),0.01)*10000000,0))=$C$4,IF(INDEX(Transaksi!$D$1:$D$5015,ROUND(MOD(MOD(SMALL(Transaksi!$X$16:$X$5015,43),1),0.01)*10000000,0))="Masuk",1,-1),1)&lt;0,INDEX(Transaksi!$F$1:$F$5015,ROUND(MOD(MOD(SMALL(Transaksi!$X$16:$X$5015,43),1),0.01)*10000000,0)),""))</f>
        <v/>
      </c>
      <c r="G52" s="106">
        <f>IF(43&gt;COUNT(Transaksi!$X$16:$X$5015),"",N(G51)+N(E52)-N(F52))</f>
        <v/>
      </c>
      <c r="H52" s="137">
        <f>IF(43&gt;COUNT(Transaksi!$X$16:$X$5015),"",HYPERLINK("#Transaksi!B"&amp;A52,"Buka"))</f>
        <v/>
      </c>
    </row>
    <row r="53" ht="15" customHeight="1" s="94">
      <c r="A53" s="93">
        <f>IF(44&gt;COUNT(Transaksi!$X$16:$X$5015),"",ROUND(MOD(MOD(SMALL(Transaksi!$X$16:$X$5015,44),1),0.01)*10000000,0))</f>
        <v/>
      </c>
      <c r="B53" s="135">
        <f>IF(44&gt;COUNT(Transaksi!$X$16:$X$5015),"",IF(44=1,INDEX(Transaksi!$B$1:$B$5015,ROUND(MOD(MOD(SMALL(Transaksi!$X$16:$X$5015,44),1),0.01)*10000000,0)),IF(INDEX(Transaksi!$B$1:$B$5015,ROUND(MOD(MOD(SMALL(Transaksi!$X$16:$X$5015,44),1),0.01)*10000000,0))=INDEX(Transaksi!$B$1:$B$5015,A52),"",INDEX(Transaksi!$B$1:$B$5015,ROUND(MOD(MOD(SMALL(Transaksi!$X$16:$X$5015,44),1),0.01)*10000000,0)))))</f>
        <v/>
      </c>
      <c r="C53" s="136">
        <f>IF(44&gt;COUNT(Transaksi!$X$16:$X$5015),"",INDEX(Transaksi!$J$1:$J$5015,ROUND(MOD(MOD(SMALL(Transaksi!$X$16:$X$5015,44),1),0.01)*10000000,0))&amp;IF(INDEX(Transaksi!$D$1:$D$5015,ROUND(MOD(MOD(SMALL(Transaksi!$X$16:$X$5015,44),1),0.01)*10000000,0))="Pindah",IF(INDEX(Transaksi!$C$1:$C$5015,ROUND(MOD(MOD(SMALL(Transaksi!$X$16:$X$5015,44),1),0.01)*10000000,0))=$C$4," (ke "&amp;INDEX(Transaksi!$E$1:$E$5015,ROUND(MOD(MOD(SMALL(Transaksi!$X$16:$X$5015,44),1),0.01)*10000000,0))&amp;")"," (dari "&amp;INDEX(Transaksi!$C$1:$C$5015,ROUND(MOD(MOD(SMALL(Transaksi!$X$16:$X$5015,44),1),0.01)*10000000,0))&amp;")"),""))</f>
        <v/>
      </c>
      <c r="D53" s="137">
        <f>IF(44&gt;COUNT(Transaksi!$X$16:$X$5015),"",INDEX(Transaksi!$I$1:$I$5015,ROUND(MOD(MOD(SMALL(Transaksi!$X$16:$X$5015,44),1),0.01)*10000000,0)))</f>
        <v/>
      </c>
      <c r="E53" s="138">
        <f>IF(44&gt;COUNT(Transaksi!$X$16:$X$5015),"",IF(IF(INDEX(Transaksi!$C$1:$C$5015,ROUND(MOD(MOD(SMALL(Transaksi!$X$16:$X$5015,44),1),0.01)*10000000,0))=$C$4,IF(INDEX(Transaksi!$D$1:$D$5015,ROUND(MOD(MOD(SMALL(Transaksi!$X$16:$X$5015,44),1),0.01)*10000000,0))="Masuk",1,-1),1)&gt;0,INDEX(Transaksi!$F$1:$F$5015,ROUND(MOD(MOD(SMALL(Transaksi!$X$16:$X$5015,44),1),0.01)*10000000,0)),""))</f>
        <v/>
      </c>
      <c r="F53" s="139">
        <f>IF(44&gt;COUNT(Transaksi!$X$16:$X$5015),"",IF(IF(INDEX(Transaksi!$C$1:$C$5015,ROUND(MOD(MOD(SMALL(Transaksi!$X$16:$X$5015,44),1),0.01)*10000000,0))=$C$4,IF(INDEX(Transaksi!$D$1:$D$5015,ROUND(MOD(MOD(SMALL(Transaksi!$X$16:$X$5015,44),1),0.01)*10000000,0))="Masuk",1,-1),1)&lt;0,INDEX(Transaksi!$F$1:$F$5015,ROUND(MOD(MOD(SMALL(Transaksi!$X$16:$X$5015,44),1),0.01)*10000000,0)),""))</f>
        <v/>
      </c>
      <c r="G53" s="106">
        <f>IF(44&gt;COUNT(Transaksi!$X$16:$X$5015),"",N(G52)+N(E53)-N(F53))</f>
        <v/>
      </c>
      <c r="H53" s="137">
        <f>IF(44&gt;COUNT(Transaksi!$X$16:$X$5015),"",HYPERLINK("#Transaksi!B"&amp;A53,"Buka"))</f>
        <v/>
      </c>
    </row>
    <row r="54" ht="15" customHeight="1" s="94">
      <c r="A54" s="93">
        <f>IF(45&gt;COUNT(Transaksi!$X$16:$X$5015),"",ROUND(MOD(MOD(SMALL(Transaksi!$X$16:$X$5015,45),1),0.01)*10000000,0))</f>
        <v/>
      </c>
      <c r="B54" s="135">
        <f>IF(45&gt;COUNT(Transaksi!$X$16:$X$5015),"",IF(45=1,INDEX(Transaksi!$B$1:$B$5015,ROUND(MOD(MOD(SMALL(Transaksi!$X$16:$X$5015,45),1),0.01)*10000000,0)),IF(INDEX(Transaksi!$B$1:$B$5015,ROUND(MOD(MOD(SMALL(Transaksi!$X$16:$X$5015,45),1),0.01)*10000000,0))=INDEX(Transaksi!$B$1:$B$5015,A53),"",INDEX(Transaksi!$B$1:$B$5015,ROUND(MOD(MOD(SMALL(Transaksi!$X$16:$X$5015,45),1),0.01)*10000000,0)))))</f>
        <v/>
      </c>
      <c r="C54" s="136">
        <f>IF(45&gt;COUNT(Transaksi!$X$16:$X$5015),"",INDEX(Transaksi!$J$1:$J$5015,ROUND(MOD(MOD(SMALL(Transaksi!$X$16:$X$5015,45),1),0.01)*10000000,0))&amp;IF(INDEX(Transaksi!$D$1:$D$5015,ROUND(MOD(MOD(SMALL(Transaksi!$X$16:$X$5015,45),1),0.01)*10000000,0))="Pindah",IF(INDEX(Transaksi!$C$1:$C$5015,ROUND(MOD(MOD(SMALL(Transaksi!$X$16:$X$5015,45),1),0.01)*10000000,0))=$C$4," (ke "&amp;INDEX(Transaksi!$E$1:$E$5015,ROUND(MOD(MOD(SMALL(Transaksi!$X$16:$X$5015,45),1),0.01)*10000000,0))&amp;")"," (dari "&amp;INDEX(Transaksi!$C$1:$C$5015,ROUND(MOD(MOD(SMALL(Transaksi!$X$16:$X$5015,45),1),0.01)*10000000,0))&amp;")"),""))</f>
        <v/>
      </c>
      <c r="D54" s="137">
        <f>IF(45&gt;COUNT(Transaksi!$X$16:$X$5015),"",INDEX(Transaksi!$I$1:$I$5015,ROUND(MOD(MOD(SMALL(Transaksi!$X$16:$X$5015,45),1),0.01)*10000000,0)))</f>
        <v/>
      </c>
      <c r="E54" s="138">
        <f>IF(45&gt;COUNT(Transaksi!$X$16:$X$5015),"",IF(IF(INDEX(Transaksi!$C$1:$C$5015,ROUND(MOD(MOD(SMALL(Transaksi!$X$16:$X$5015,45),1),0.01)*10000000,0))=$C$4,IF(INDEX(Transaksi!$D$1:$D$5015,ROUND(MOD(MOD(SMALL(Transaksi!$X$16:$X$5015,45),1),0.01)*10000000,0))="Masuk",1,-1),1)&gt;0,INDEX(Transaksi!$F$1:$F$5015,ROUND(MOD(MOD(SMALL(Transaksi!$X$16:$X$5015,45),1),0.01)*10000000,0)),""))</f>
        <v/>
      </c>
      <c r="F54" s="139">
        <f>IF(45&gt;COUNT(Transaksi!$X$16:$X$5015),"",IF(IF(INDEX(Transaksi!$C$1:$C$5015,ROUND(MOD(MOD(SMALL(Transaksi!$X$16:$X$5015,45),1),0.01)*10000000,0))=$C$4,IF(INDEX(Transaksi!$D$1:$D$5015,ROUND(MOD(MOD(SMALL(Transaksi!$X$16:$X$5015,45),1),0.01)*10000000,0))="Masuk",1,-1),1)&lt;0,INDEX(Transaksi!$F$1:$F$5015,ROUND(MOD(MOD(SMALL(Transaksi!$X$16:$X$5015,45),1),0.01)*10000000,0)),""))</f>
        <v/>
      </c>
      <c r="G54" s="106">
        <f>IF(45&gt;COUNT(Transaksi!$X$16:$X$5015),"",N(G53)+N(E54)-N(F54))</f>
        <v/>
      </c>
      <c r="H54" s="137">
        <f>IF(45&gt;COUNT(Transaksi!$X$16:$X$5015),"",HYPERLINK("#Transaksi!B"&amp;A54,"Buka"))</f>
        <v/>
      </c>
    </row>
    <row r="55" ht="15" customHeight="1" s="94">
      <c r="A55" s="93">
        <f>IF(46&gt;COUNT(Transaksi!$X$16:$X$5015),"",ROUND(MOD(MOD(SMALL(Transaksi!$X$16:$X$5015,46),1),0.01)*10000000,0))</f>
        <v/>
      </c>
      <c r="B55" s="135">
        <f>IF(46&gt;COUNT(Transaksi!$X$16:$X$5015),"",IF(46=1,INDEX(Transaksi!$B$1:$B$5015,ROUND(MOD(MOD(SMALL(Transaksi!$X$16:$X$5015,46),1),0.01)*10000000,0)),IF(INDEX(Transaksi!$B$1:$B$5015,ROUND(MOD(MOD(SMALL(Transaksi!$X$16:$X$5015,46),1),0.01)*10000000,0))=INDEX(Transaksi!$B$1:$B$5015,A54),"",INDEX(Transaksi!$B$1:$B$5015,ROUND(MOD(MOD(SMALL(Transaksi!$X$16:$X$5015,46),1),0.01)*10000000,0)))))</f>
        <v/>
      </c>
      <c r="C55" s="136">
        <f>IF(46&gt;COUNT(Transaksi!$X$16:$X$5015),"",INDEX(Transaksi!$J$1:$J$5015,ROUND(MOD(MOD(SMALL(Transaksi!$X$16:$X$5015,46),1),0.01)*10000000,0))&amp;IF(INDEX(Transaksi!$D$1:$D$5015,ROUND(MOD(MOD(SMALL(Transaksi!$X$16:$X$5015,46),1),0.01)*10000000,0))="Pindah",IF(INDEX(Transaksi!$C$1:$C$5015,ROUND(MOD(MOD(SMALL(Transaksi!$X$16:$X$5015,46),1),0.01)*10000000,0))=$C$4," (ke "&amp;INDEX(Transaksi!$E$1:$E$5015,ROUND(MOD(MOD(SMALL(Transaksi!$X$16:$X$5015,46),1),0.01)*10000000,0))&amp;")"," (dari "&amp;INDEX(Transaksi!$C$1:$C$5015,ROUND(MOD(MOD(SMALL(Transaksi!$X$16:$X$5015,46),1),0.01)*10000000,0))&amp;")"),""))</f>
        <v/>
      </c>
      <c r="D55" s="137">
        <f>IF(46&gt;COUNT(Transaksi!$X$16:$X$5015),"",INDEX(Transaksi!$I$1:$I$5015,ROUND(MOD(MOD(SMALL(Transaksi!$X$16:$X$5015,46),1),0.01)*10000000,0)))</f>
        <v/>
      </c>
      <c r="E55" s="138">
        <f>IF(46&gt;COUNT(Transaksi!$X$16:$X$5015),"",IF(IF(INDEX(Transaksi!$C$1:$C$5015,ROUND(MOD(MOD(SMALL(Transaksi!$X$16:$X$5015,46),1),0.01)*10000000,0))=$C$4,IF(INDEX(Transaksi!$D$1:$D$5015,ROUND(MOD(MOD(SMALL(Transaksi!$X$16:$X$5015,46),1),0.01)*10000000,0))="Masuk",1,-1),1)&gt;0,INDEX(Transaksi!$F$1:$F$5015,ROUND(MOD(MOD(SMALL(Transaksi!$X$16:$X$5015,46),1),0.01)*10000000,0)),""))</f>
        <v/>
      </c>
      <c r="F55" s="139">
        <f>IF(46&gt;COUNT(Transaksi!$X$16:$X$5015),"",IF(IF(INDEX(Transaksi!$C$1:$C$5015,ROUND(MOD(MOD(SMALL(Transaksi!$X$16:$X$5015,46),1),0.01)*10000000,0))=$C$4,IF(INDEX(Transaksi!$D$1:$D$5015,ROUND(MOD(MOD(SMALL(Transaksi!$X$16:$X$5015,46),1),0.01)*10000000,0))="Masuk",1,-1),1)&lt;0,INDEX(Transaksi!$F$1:$F$5015,ROUND(MOD(MOD(SMALL(Transaksi!$X$16:$X$5015,46),1),0.01)*10000000,0)),""))</f>
        <v/>
      </c>
      <c r="G55" s="106">
        <f>IF(46&gt;COUNT(Transaksi!$X$16:$X$5015),"",N(G54)+N(E55)-N(F55))</f>
        <v/>
      </c>
      <c r="H55" s="137">
        <f>IF(46&gt;COUNT(Transaksi!$X$16:$X$5015),"",HYPERLINK("#Transaksi!B"&amp;A55,"Buka"))</f>
        <v/>
      </c>
    </row>
    <row r="56" ht="15" customHeight="1" s="94">
      <c r="A56" s="93">
        <f>IF(47&gt;COUNT(Transaksi!$X$16:$X$5015),"",ROUND(MOD(MOD(SMALL(Transaksi!$X$16:$X$5015,47),1),0.01)*10000000,0))</f>
        <v/>
      </c>
      <c r="B56" s="135">
        <f>IF(47&gt;COUNT(Transaksi!$X$16:$X$5015),"",IF(47=1,INDEX(Transaksi!$B$1:$B$5015,ROUND(MOD(MOD(SMALL(Transaksi!$X$16:$X$5015,47),1),0.01)*10000000,0)),IF(INDEX(Transaksi!$B$1:$B$5015,ROUND(MOD(MOD(SMALL(Transaksi!$X$16:$X$5015,47),1),0.01)*10000000,0))=INDEX(Transaksi!$B$1:$B$5015,A55),"",INDEX(Transaksi!$B$1:$B$5015,ROUND(MOD(MOD(SMALL(Transaksi!$X$16:$X$5015,47),1),0.01)*10000000,0)))))</f>
        <v/>
      </c>
      <c r="C56" s="136">
        <f>IF(47&gt;COUNT(Transaksi!$X$16:$X$5015),"",INDEX(Transaksi!$J$1:$J$5015,ROUND(MOD(MOD(SMALL(Transaksi!$X$16:$X$5015,47),1),0.01)*10000000,0))&amp;IF(INDEX(Transaksi!$D$1:$D$5015,ROUND(MOD(MOD(SMALL(Transaksi!$X$16:$X$5015,47),1),0.01)*10000000,0))="Pindah",IF(INDEX(Transaksi!$C$1:$C$5015,ROUND(MOD(MOD(SMALL(Transaksi!$X$16:$X$5015,47),1),0.01)*10000000,0))=$C$4," (ke "&amp;INDEX(Transaksi!$E$1:$E$5015,ROUND(MOD(MOD(SMALL(Transaksi!$X$16:$X$5015,47),1),0.01)*10000000,0))&amp;")"," (dari "&amp;INDEX(Transaksi!$C$1:$C$5015,ROUND(MOD(MOD(SMALL(Transaksi!$X$16:$X$5015,47),1),0.01)*10000000,0))&amp;")"),""))</f>
        <v/>
      </c>
      <c r="D56" s="137">
        <f>IF(47&gt;COUNT(Transaksi!$X$16:$X$5015),"",INDEX(Transaksi!$I$1:$I$5015,ROUND(MOD(MOD(SMALL(Transaksi!$X$16:$X$5015,47),1),0.01)*10000000,0)))</f>
        <v/>
      </c>
      <c r="E56" s="138">
        <f>IF(47&gt;COUNT(Transaksi!$X$16:$X$5015),"",IF(IF(INDEX(Transaksi!$C$1:$C$5015,ROUND(MOD(MOD(SMALL(Transaksi!$X$16:$X$5015,47),1),0.01)*10000000,0))=$C$4,IF(INDEX(Transaksi!$D$1:$D$5015,ROUND(MOD(MOD(SMALL(Transaksi!$X$16:$X$5015,47),1),0.01)*10000000,0))="Masuk",1,-1),1)&gt;0,INDEX(Transaksi!$F$1:$F$5015,ROUND(MOD(MOD(SMALL(Transaksi!$X$16:$X$5015,47),1),0.01)*10000000,0)),""))</f>
        <v/>
      </c>
      <c r="F56" s="139">
        <f>IF(47&gt;COUNT(Transaksi!$X$16:$X$5015),"",IF(IF(INDEX(Transaksi!$C$1:$C$5015,ROUND(MOD(MOD(SMALL(Transaksi!$X$16:$X$5015,47),1),0.01)*10000000,0))=$C$4,IF(INDEX(Transaksi!$D$1:$D$5015,ROUND(MOD(MOD(SMALL(Transaksi!$X$16:$X$5015,47),1),0.01)*10000000,0))="Masuk",1,-1),1)&lt;0,INDEX(Transaksi!$F$1:$F$5015,ROUND(MOD(MOD(SMALL(Transaksi!$X$16:$X$5015,47),1),0.01)*10000000,0)),""))</f>
        <v/>
      </c>
      <c r="G56" s="106">
        <f>IF(47&gt;COUNT(Transaksi!$X$16:$X$5015),"",N(G55)+N(E56)-N(F56))</f>
        <v/>
      </c>
      <c r="H56" s="137">
        <f>IF(47&gt;COUNT(Transaksi!$X$16:$X$5015),"",HYPERLINK("#Transaksi!B"&amp;A56,"Buka"))</f>
        <v/>
      </c>
    </row>
    <row r="57" ht="15" customHeight="1" s="94">
      <c r="A57" s="93">
        <f>IF(48&gt;COUNT(Transaksi!$X$16:$X$5015),"",ROUND(MOD(MOD(SMALL(Transaksi!$X$16:$X$5015,48),1),0.01)*10000000,0))</f>
        <v/>
      </c>
      <c r="B57" s="135">
        <f>IF(48&gt;COUNT(Transaksi!$X$16:$X$5015),"",IF(48=1,INDEX(Transaksi!$B$1:$B$5015,ROUND(MOD(MOD(SMALL(Transaksi!$X$16:$X$5015,48),1),0.01)*10000000,0)),IF(INDEX(Transaksi!$B$1:$B$5015,ROUND(MOD(MOD(SMALL(Transaksi!$X$16:$X$5015,48),1),0.01)*10000000,0))=INDEX(Transaksi!$B$1:$B$5015,A56),"",INDEX(Transaksi!$B$1:$B$5015,ROUND(MOD(MOD(SMALL(Transaksi!$X$16:$X$5015,48),1),0.01)*10000000,0)))))</f>
        <v/>
      </c>
      <c r="C57" s="136">
        <f>IF(48&gt;COUNT(Transaksi!$X$16:$X$5015),"",INDEX(Transaksi!$J$1:$J$5015,ROUND(MOD(MOD(SMALL(Transaksi!$X$16:$X$5015,48),1),0.01)*10000000,0))&amp;IF(INDEX(Transaksi!$D$1:$D$5015,ROUND(MOD(MOD(SMALL(Transaksi!$X$16:$X$5015,48),1),0.01)*10000000,0))="Pindah",IF(INDEX(Transaksi!$C$1:$C$5015,ROUND(MOD(MOD(SMALL(Transaksi!$X$16:$X$5015,48),1),0.01)*10000000,0))=$C$4," (ke "&amp;INDEX(Transaksi!$E$1:$E$5015,ROUND(MOD(MOD(SMALL(Transaksi!$X$16:$X$5015,48),1),0.01)*10000000,0))&amp;")"," (dari "&amp;INDEX(Transaksi!$C$1:$C$5015,ROUND(MOD(MOD(SMALL(Transaksi!$X$16:$X$5015,48),1),0.01)*10000000,0))&amp;")"),""))</f>
        <v/>
      </c>
      <c r="D57" s="137">
        <f>IF(48&gt;COUNT(Transaksi!$X$16:$X$5015),"",INDEX(Transaksi!$I$1:$I$5015,ROUND(MOD(MOD(SMALL(Transaksi!$X$16:$X$5015,48),1),0.01)*10000000,0)))</f>
        <v/>
      </c>
      <c r="E57" s="138">
        <f>IF(48&gt;COUNT(Transaksi!$X$16:$X$5015),"",IF(IF(INDEX(Transaksi!$C$1:$C$5015,ROUND(MOD(MOD(SMALL(Transaksi!$X$16:$X$5015,48),1),0.01)*10000000,0))=$C$4,IF(INDEX(Transaksi!$D$1:$D$5015,ROUND(MOD(MOD(SMALL(Transaksi!$X$16:$X$5015,48),1),0.01)*10000000,0))="Masuk",1,-1),1)&gt;0,INDEX(Transaksi!$F$1:$F$5015,ROUND(MOD(MOD(SMALL(Transaksi!$X$16:$X$5015,48),1),0.01)*10000000,0)),""))</f>
        <v/>
      </c>
      <c r="F57" s="139">
        <f>IF(48&gt;COUNT(Transaksi!$X$16:$X$5015),"",IF(IF(INDEX(Transaksi!$C$1:$C$5015,ROUND(MOD(MOD(SMALL(Transaksi!$X$16:$X$5015,48),1),0.01)*10000000,0))=$C$4,IF(INDEX(Transaksi!$D$1:$D$5015,ROUND(MOD(MOD(SMALL(Transaksi!$X$16:$X$5015,48),1),0.01)*10000000,0))="Masuk",1,-1),1)&lt;0,INDEX(Transaksi!$F$1:$F$5015,ROUND(MOD(MOD(SMALL(Transaksi!$X$16:$X$5015,48),1),0.01)*10000000,0)),""))</f>
        <v/>
      </c>
      <c r="G57" s="106">
        <f>IF(48&gt;COUNT(Transaksi!$X$16:$X$5015),"",N(G56)+N(E57)-N(F57))</f>
        <v/>
      </c>
      <c r="H57" s="137">
        <f>IF(48&gt;COUNT(Transaksi!$X$16:$X$5015),"",HYPERLINK("#Transaksi!B"&amp;A57,"Buka"))</f>
        <v/>
      </c>
    </row>
    <row r="58" ht="15" customHeight="1" s="94">
      <c r="A58" s="93">
        <f>IF(49&gt;COUNT(Transaksi!$X$16:$X$5015),"",ROUND(MOD(MOD(SMALL(Transaksi!$X$16:$X$5015,49),1),0.01)*10000000,0))</f>
        <v/>
      </c>
      <c r="B58" s="135">
        <f>IF(49&gt;COUNT(Transaksi!$X$16:$X$5015),"",IF(49=1,INDEX(Transaksi!$B$1:$B$5015,ROUND(MOD(MOD(SMALL(Transaksi!$X$16:$X$5015,49),1),0.01)*10000000,0)),IF(INDEX(Transaksi!$B$1:$B$5015,ROUND(MOD(MOD(SMALL(Transaksi!$X$16:$X$5015,49),1),0.01)*10000000,0))=INDEX(Transaksi!$B$1:$B$5015,A57),"",INDEX(Transaksi!$B$1:$B$5015,ROUND(MOD(MOD(SMALL(Transaksi!$X$16:$X$5015,49),1),0.01)*10000000,0)))))</f>
        <v/>
      </c>
      <c r="C58" s="136">
        <f>IF(49&gt;COUNT(Transaksi!$X$16:$X$5015),"",INDEX(Transaksi!$J$1:$J$5015,ROUND(MOD(MOD(SMALL(Transaksi!$X$16:$X$5015,49),1),0.01)*10000000,0))&amp;IF(INDEX(Transaksi!$D$1:$D$5015,ROUND(MOD(MOD(SMALL(Transaksi!$X$16:$X$5015,49),1),0.01)*10000000,0))="Pindah",IF(INDEX(Transaksi!$C$1:$C$5015,ROUND(MOD(MOD(SMALL(Transaksi!$X$16:$X$5015,49),1),0.01)*10000000,0))=$C$4," (ke "&amp;INDEX(Transaksi!$E$1:$E$5015,ROUND(MOD(MOD(SMALL(Transaksi!$X$16:$X$5015,49),1),0.01)*10000000,0))&amp;")"," (dari "&amp;INDEX(Transaksi!$C$1:$C$5015,ROUND(MOD(MOD(SMALL(Transaksi!$X$16:$X$5015,49),1),0.01)*10000000,0))&amp;")"),""))</f>
        <v/>
      </c>
      <c r="D58" s="137">
        <f>IF(49&gt;COUNT(Transaksi!$X$16:$X$5015),"",INDEX(Transaksi!$I$1:$I$5015,ROUND(MOD(MOD(SMALL(Transaksi!$X$16:$X$5015,49),1),0.01)*10000000,0)))</f>
        <v/>
      </c>
      <c r="E58" s="138">
        <f>IF(49&gt;COUNT(Transaksi!$X$16:$X$5015),"",IF(IF(INDEX(Transaksi!$C$1:$C$5015,ROUND(MOD(MOD(SMALL(Transaksi!$X$16:$X$5015,49),1),0.01)*10000000,0))=$C$4,IF(INDEX(Transaksi!$D$1:$D$5015,ROUND(MOD(MOD(SMALL(Transaksi!$X$16:$X$5015,49),1),0.01)*10000000,0))="Masuk",1,-1),1)&gt;0,INDEX(Transaksi!$F$1:$F$5015,ROUND(MOD(MOD(SMALL(Transaksi!$X$16:$X$5015,49),1),0.01)*10000000,0)),""))</f>
        <v/>
      </c>
      <c r="F58" s="139">
        <f>IF(49&gt;COUNT(Transaksi!$X$16:$X$5015),"",IF(IF(INDEX(Transaksi!$C$1:$C$5015,ROUND(MOD(MOD(SMALL(Transaksi!$X$16:$X$5015,49),1),0.01)*10000000,0))=$C$4,IF(INDEX(Transaksi!$D$1:$D$5015,ROUND(MOD(MOD(SMALL(Transaksi!$X$16:$X$5015,49),1),0.01)*10000000,0))="Masuk",1,-1),1)&lt;0,INDEX(Transaksi!$F$1:$F$5015,ROUND(MOD(MOD(SMALL(Transaksi!$X$16:$X$5015,49),1),0.01)*10000000,0)),""))</f>
        <v/>
      </c>
      <c r="G58" s="106">
        <f>IF(49&gt;COUNT(Transaksi!$X$16:$X$5015),"",N(G57)+N(E58)-N(F58))</f>
        <v/>
      </c>
      <c r="H58" s="137">
        <f>IF(49&gt;COUNT(Transaksi!$X$16:$X$5015),"",HYPERLINK("#Transaksi!B"&amp;A58,"Buka"))</f>
        <v/>
      </c>
    </row>
    <row r="59" ht="15" customHeight="1" s="94">
      <c r="A59" s="93">
        <f>IF(50&gt;COUNT(Transaksi!$X$16:$X$5015),"",ROUND(MOD(MOD(SMALL(Transaksi!$X$16:$X$5015,50),1),0.01)*10000000,0))</f>
        <v/>
      </c>
      <c r="B59" s="135">
        <f>IF(50&gt;COUNT(Transaksi!$X$16:$X$5015),"",IF(50=1,INDEX(Transaksi!$B$1:$B$5015,ROUND(MOD(MOD(SMALL(Transaksi!$X$16:$X$5015,50),1),0.01)*10000000,0)),IF(INDEX(Transaksi!$B$1:$B$5015,ROUND(MOD(MOD(SMALL(Transaksi!$X$16:$X$5015,50),1),0.01)*10000000,0))=INDEX(Transaksi!$B$1:$B$5015,A58),"",INDEX(Transaksi!$B$1:$B$5015,ROUND(MOD(MOD(SMALL(Transaksi!$X$16:$X$5015,50),1),0.01)*10000000,0)))))</f>
        <v/>
      </c>
      <c r="C59" s="136">
        <f>IF(50&gt;COUNT(Transaksi!$X$16:$X$5015),"",INDEX(Transaksi!$J$1:$J$5015,ROUND(MOD(MOD(SMALL(Transaksi!$X$16:$X$5015,50),1),0.01)*10000000,0))&amp;IF(INDEX(Transaksi!$D$1:$D$5015,ROUND(MOD(MOD(SMALL(Transaksi!$X$16:$X$5015,50),1),0.01)*10000000,0))="Pindah",IF(INDEX(Transaksi!$C$1:$C$5015,ROUND(MOD(MOD(SMALL(Transaksi!$X$16:$X$5015,50),1),0.01)*10000000,0))=$C$4," (ke "&amp;INDEX(Transaksi!$E$1:$E$5015,ROUND(MOD(MOD(SMALL(Transaksi!$X$16:$X$5015,50),1),0.01)*10000000,0))&amp;")"," (dari "&amp;INDEX(Transaksi!$C$1:$C$5015,ROUND(MOD(MOD(SMALL(Transaksi!$X$16:$X$5015,50),1),0.01)*10000000,0))&amp;")"),""))</f>
        <v/>
      </c>
      <c r="D59" s="137">
        <f>IF(50&gt;COUNT(Transaksi!$X$16:$X$5015),"",INDEX(Transaksi!$I$1:$I$5015,ROUND(MOD(MOD(SMALL(Transaksi!$X$16:$X$5015,50),1),0.01)*10000000,0)))</f>
        <v/>
      </c>
      <c r="E59" s="138">
        <f>IF(50&gt;COUNT(Transaksi!$X$16:$X$5015),"",IF(IF(INDEX(Transaksi!$C$1:$C$5015,ROUND(MOD(MOD(SMALL(Transaksi!$X$16:$X$5015,50),1),0.01)*10000000,0))=$C$4,IF(INDEX(Transaksi!$D$1:$D$5015,ROUND(MOD(MOD(SMALL(Transaksi!$X$16:$X$5015,50),1),0.01)*10000000,0))="Masuk",1,-1),1)&gt;0,INDEX(Transaksi!$F$1:$F$5015,ROUND(MOD(MOD(SMALL(Transaksi!$X$16:$X$5015,50),1),0.01)*10000000,0)),""))</f>
        <v/>
      </c>
      <c r="F59" s="139">
        <f>IF(50&gt;COUNT(Transaksi!$X$16:$X$5015),"",IF(IF(INDEX(Transaksi!$C$1:$C$5015,ROUND(MOD(MOD(SMALL(Transaksi!$X$16:$X$5015,50),1),0.01)*10000000,0))=$C$4,IF(INDEX(Transaksi!$D$1:$D$5015,ROUND(MOD(MOD(SMALL(Transaksi!$X$16:$X$5015,50),1),0.01)*10000000,0))="Masuk",1,-1),1)&lt;0,INDEX(Transaksi!$F$1:$F$5015,ROUND(MOD(MOD(SMALL(Transaksi!$X$16:$X$5015,50),1),0.01)*10000000,0)),""))</f>
        <v/>
      </c>
      <c r="G59" s="106">
        <f>IF(50&gt;COUNT(Transaksi!$X$16:$X$5015),"",N(G58)+N(E59)-N(F59))</f>
        <v/>
      </c>
      <c r="H59" s="137">
        <f>IF(50&gt;COUNT(Transaksi!$X$16:$X$5015),"",HYPERLINK("#Transaksi!B"&amp;A59,"Buka"))</f>
        <v/>
      </c>
    </row>
    <row r="60" ht="15" customHeight="1" s="94">
      <c r="A60" s="93">
        <f>IF(51&gt;COUNT(Transaksi!$X$16:$X$5015),"",ROUND(MOD(MOD(SMALL(Transaksi!$X$16:$X$5015,51),1),0.01)*10000000,0))</f>
        <v/>
      </c>
      <c r="B60" s="135">
        <f>IF(51&gt;COUNT(Transaksi!$X$16:$X$5015),"",IF(51=1,INDEX(Transaksi!$B$1:$B$5015,ROUND(MOD(MOD(SMALL(Transaksi!$X$16:$X$5015,51),1),0.01)*10000000,0)),IF(INDEX(Transaksi!$B$1:$B$5015,ROUND(MOD(MOD(SMALL(Transaksi!$X$16:$X$5015,51),1),0.01)*10000000,0))=INDEX(Transaksi!$B$1:$B$5015,A59),"",INDEX(Transaksi!$B$1:$B$5015,ROUND(MOD(MOD(SMALL(Transaksi!$X$16:$X$5015,51),1),0.01)*10000000,0)))))</f>
        <v/>
      </c>
      <c r="C60" s="136">
        <f>IF(51&gt;COUNT(Transaksi!$X$16:$X$5015),"",INDEX(Transaksi!$J$1:$J$5015,ROUND(MOD(MOD(SMALL(Transaksi!$X$16:$X$5015,51),1),0.01)*10000000,0))&amp;IF(INDEX(Transaksi!$D$1:$D$5015,ROUND(MOD(MOD(SMALL(Transaksi!$X$16:$X$5015,51),1),0.01)*10000000,0))="Pindah",IF(INDEX(Transaksi!$C$1:$C$5015,ROUND(MOD(MOD(SMALL(Transaksi!$X$16:$X$5015,51),1),0.01)*10000000,0))=$C$4," (ke "&amp;INDEX(Transaksi!$E$1:$E$5015,ROUND(MOD(MOD(SMALL(Transaksi!$X$16:$X$5015,51),1),0.01)*10000000,0))&amp;")"," (dari "&amp;INDEX(Transaksi!$C$1:$C$5015,ROUND(MOD(MOD(SMALL(Transaksi!$X$16:$X$5015,51),1),0.01)*10000000,0))&amp;")"),""))</f>
        <v/>
      </c>
      <c r="D60" s="137">
        <f>IF(51&gt;COUNT(Transaksi!$X$16:$X$5015),"",INDEX(Transaksi!$I$1:$I$5015,ROUND(MOD(MOD(SMALL(Transaksi!$X$16:$X$5015,51),1),0.01)*10000000,0)))</f>
        <v/>
      </c>
      <c r="E60" s="138">
        <f>IF(51&gt;COUNT(Transaksi!$X$16:$X$5015),"",IF(IF(INDEX(Transaksi!$C$1:$C$5015,ROUND(MOD(MOD(SMALL(Transaksi!$X$16:$X$5015,51),1),0.01)*10000000,0))=$C$4,IF(INDEX(Transaksi!$D$1:$D$5015,ROUND(MOD(MOD(SMALL(Transaksi!$X$16:$X$5015,51),1),0.01)*10000000,0))="Masuk",1,-1),1)&gt;0,INDEX(Transaksi!$F$1:$F$5015,ROUND(MOD(MOD(SMALL(Transaksi!$X$16:$X$5015,51),1),0.01)*10000000,0)),""))</f>
        <v/>
      </c>
      <c r="F60" s="139">
        <f>IF(51&gt;COUNT(Transaksi!$X$16:$X$5015),"",IF(IF(INDEX(Transaksi!$C$1:$C$5015,ROUND(MOD(MOD(SMALL(Transaksi!$X$16:$X$5015,51),1),0.01)*10000000,0))=$C$4,IF(INDEX(Transaksi!$D$1:$D$5015,ROUND(MOD(MOD(SMALL(Transaksi!$X$16:$X$5015,51),1),0.01)*10000000,0))="Masuk",1,-1),1)&lt;0,INDEX(Transaksi!$F$1:$F$5015,ROUND(MOD(MOD(SMALL(Transaksi!$X$16:$X$5015,51),1),0.01)*10000000,0)),""))</f>
        <v/>
      </c>
      <c r="G60" s="106">
        <f>IF(51&gt;COUNT(Transaksi!$X$16:$X$5015),"",N(G59)+N(E60)-N(F60))</f>
        <v/>
      </c>
      <c r="H60" s="137">
        <f>IF(51&gt;COUNT(Transaksi!$X$16:$X$5015),"",HYPERLINK("#Transaksi!B"&amp;A60,"Buka"))</f>
        <v/>
      </c>
    </row>
    <row r="61" ht="15" customHeight="1" s="94">
      <c r="A61" s="93">
        <f>IF(52&gt;COUNT(Transaksi!$X$16:$X$5015),"",ROUND(MOD(MOD(SMALL(Transaksi!$X$16:$X$5015,52),1),0.01)*10000000,0))</f>
        <v/>
      </c>
      <c r="B61" s="135">
        <f>IF(52&gt;COUNT(Transaksi!$X$16:$X$5015),"",IF(52=1,INDEX(Transaksi!$B$1:$B$5015,ROUND(MOD(MOD(SMALL(Transaksi!$X$16:$X$5015,52),1),0.01)*10000000,0)),IF(INDEX(Transaksi!$B$1:$B$5015,ROUND(MOD(MOD(SMALL(Transaksi!$X$16:$X$5015,52),1),0.01)*10000000,0))=INDEX(Transaksi!$B$1:$B$5015,A60),"",INDEX(Transaksi!$B$1:$B$5015,ROUND(MOD(MOD(SMALL(Transaksi!$X$16:$X$5015,52),1),0.01)*10000000,0)))))</f>
        <v/>
      </c>
      <c r="C61" s="136">
        <f>IF(52&gt;COUNT(Transaksi!$X$16:$X$5015),"",INDEX(Transaksi!$J$1:$J$5015,ROUND(MOD(MOD(SMALL(Transaksi!$X$16:$X$5015,52),1),0.01)*10000000,0))&amp;IF(INDEX(Transaksi!$D$1:$D$5015,ROUND(MOD(MOD(SMALL(Transaksi!$X$16:$X$5015,52),1),0.01)*10000000,0))="Pindah",IF(INDEX(Transaksi!$C$1:$C$5015,ROUND(MOD(MOD(SMALL(Transaksi!$X$16:$X$5015,52),1),0.01)*10000000,0))=$C$4," (ke "&amp;INDEX(Transaksi!$E$1:$E$5015,ROUND(MOD(MOD(SMALL(Transaksi!$X$16:$X$5015,52),1),0.01)*10000000,0))&amp;")"," (dari "&amp;INDEX(Transaksi!$C$1:$C$5015,ROUND(MOD(MOD(SMALL(Transaksi!$X$16:$X$5015,52),1),0.01)*10000000,0))&amp;")"),""))</f>
        <v/>
      </c>
      <c r="D61" s="137">
        <f>IF(52&gt;COUNT(Transaksi!$X$16:$X$5015),"",INDEX(Transaksi!$I$1:$I$5015,ROUND(MOD(MOD(SMALL(Transaksi!$X$16:$X$5015,52),1),0.01)*10000000,0)))</f>
        <v/>
      </c>
      <c r="E61" s="138">
        <f>IF(52&gt;COUNT(Transaksi!$X$16:$X$5015),"",IF(IF(INDEX(Transaksi!$C$1:$C$5015,ROUND(MOD(MOD(SMALL(Transaksi!$X$16:$X$5015,52),1),0.01)*10000000,0))=$C$4,IF(INDEX(Transaksi!$D$1:$D$5015,ROUND(MOD(MOD(SMALL(Transaksi!$X$16:$X$5015,52),1),0.01)*10000000,0))="Masuk",1,-1),1)&gt;0,INDEX(Transaksi!$F$1:$F$5015,ROUND(MOD(MOD(SMALL(Transaksi!$X$16:$X$5015,52),1),0.01)*10000000,0)),""))</f>
        <v/>
      </c>
      <c r="F61" s="139">
        <f>IF(52&gt;COUNT(Transaksi!$X$16:$X$5015),"",IF(IF(INDEX(Transaksi!$C$1:$C$5015,ROUND(MOD(MOD(SMALL(Transaksi!$X$16:$X$5015,52),1),0.01)*10000000,0))=$C$4,IF(INDEX(Transaksi!$D$1:$D$5015,ROUND(MOD(MOD(SMALL(Transaksi!$X$16:$X$5015,52),1),0.01)*10000000,0))="Masuk",1,-1),1)&lt;0,INDEX(Transaksi!$F$1:$F$5015,ROUND(MOD(MOD(SMALL(Transaksi!$X$16:$X$5015,52),1),0.01)*10000000,0)),""))</f>
        <v/>
      </c>
      <c r="G61" s="106">
        <f>IF(52&gt;COUNT(Transaksi!$X$16:$X$5015),"",N(G60)+N(E61)-N(F61))</f>
        <v/>
      </c>
      <c r="H61" s="137">
        <f>IF(52&gt;COUNT(Transaksi!$X$16:$X$5015),"",HYPERLINK("#Transaksi!B"&amp;A61,"Buka"))</f>
        <v/>
      </c>
    </row>
    <row r="62" ht="15" customHeight="1" s="94">
      <c r="A62" s="93">
        <f>IF(53&gt;COUNT(Transaksi!$X$16:$X$5015),"",ROUND(MOD(MOD(SMALL(Transaksi!$X$16:$X$5015,53),1),0.01)*10000000,0))</f>
        <v/>
      </c>
      <c r="B62" s="135">
        <f>IF(53&gt;COUNT(Transaksi!$X$16:$X$5015),"",IF(53=1,INDEX(Transaksi!$B$1:$B$5015,ROUND(MOD(MOD(SMALL(Transaksi!$X$16:$X$5015,53),1),0.01)*10000000,0)),IF(INDEX(Transaksi!$B$1:$B$5015,ROUND(MOD(MOD(SMALL(Transaksi!$X$16:$X$5015,53),1),0.01)*10000000,0))=INDEX(Transaksi!$B$1:$B$5015,A61),"",INDEX(Transaksi!$B$1:$B$5015,ROUND(MOD(MOD(SMALL(Transaksi!$X$16:$X$5015,53),1),0.01)*10000000,0)))))</f>
        <v/>
      </c>
      <c r="C62" s="136">
        <f>IF(53&gt;COUNT(Transaksi!$X$16:$X$5015),"",INDEX(Transaksi!$J$1:$J$5015,ROUND(MOD(MOD(SMALL(Transaksi!$X$16:$X$5015,53),1),0.01)*10000000,0))&amp;IF(INDEX(Transaksi!$D$1:$D$5015,ROUND(MOD(MOD(SMALL(Transaksi!$X$16:$X$5015,53),1),0.01)*10000000,0))="Pindah",IF(INDEX(Transaksi!$C$1:$C$5015,ROUND(MOD(MOD(SMALL(Transaksi!$X$16:$X$5015,53),1),0.01)*10000000,0))=$C$4," (ke "&amp;INDEX(Transaksi!$E$1:$E$5015,ROUND(MOD(MOD(SMALL(Transaksi!$X$16:$X$5015,53),1),0.01)*10000000,0))&amp;")"," (dari "&amp;INDEX(Transaksi!$C$1:$C$5015,ROUND(MOD(MOD(SMALL(Transaksi!$X$16:$X$5015,53),1),0.01)*10000000,0))&amp;")"),""))</f>
        <v/>
      </c>
      <c r="D62" s="137">
        <f>IF(53&gt;COUNT(Transaksi!$X$16:$X$5015),"",INDEX(Transaksi!$I$1:$I$5015,ROUND(MOD(MOD(SMALL(Transaksi!$X$16:$X$5015,53),1),0.01)*10000000,0)))</f>
        <v/>
      </c>
      <c r="E62" s="138">
        <f>IF(53&gt;COUNT(Transaksi!$X$16:$X$5015),"",IF(IF(INDEX(Transaksi!$C$1:$C$5015,ROUND(MOD(MOD(SMALL(Transaksi!$X$16:$X$5015,53),1),0.01)*10000000,0))=$C$4,IF(INDEX(Transaksi!$D$1:$D$5015,ROUND(MOD(MOD(SMALL(Transaksi!$X$16:$X$5015,53),1),0.01)*10000000,0))="Masuk",1,-1),1)&gt;0,INDEX(Transaksi!$F$1:$F$5015,ROUND(MOD(MOD(SMALL(Transaksi!$X$16:$X$5015,53),1),0.01)*10000000,0)),""))</f>
        <v/>
      </c>
      <c r="F62" s="139">
        <f>IF(53&gt;COUNT(Transaksi!$X$16:$X$5015),"",IF(IF(INDEX(Transaksi!$C$1:$C$5015,ROUND(MOD(MOD(SMALL(Transaksi!$X$16:$X$5015,53),1),0.01)*10000000,0))=$C$4,IF(INDEX(Transaksi!$D$1:$D$5015,ROUND(MOD(MOD(SMALL(Transaksi!$X$16:$X$5015,53),1),0.01)*10000000,0))="Masuk",1,-1),1)&lt;0,INDEX(Transaksi!$F$1:$F$5015,ROUND(MOD(MOD(SMALL(Transaksi!$X$16:$X$5015,53),1),0.01)*10000000,0)),""))</f>
        <v/>
      </c>
      <c r="G62" s="106">
        <f>IF(53&gt;COUNT(Transaksi!$X$16:$X$5015),"",N(G61)+N(E62)-N(F62))</f>
        <v/>
      </c>
      <c r="H62" s="137">
        <f>IF(53&gt;COUNT(Transaksi!$X$16:$X$5015),"",HYPERLINK("#Transaksi!B"&amp;A62,"Buka"))</f>
        <v/>
      </c>
    </row>
    <row r="63" ht="15" customHeight="1" s="94">
      <c r="A63" s="93">
        <f>IF(54&gt;COUNT(Transaksi!$X$16:$X$5015),"",ROUND(MOD(MOD(SMALL(Transaksi!$X$16:$X$5015,54),1),0.01)*10000000,0))</f>
        <v/>
      </c>
      <c r="B63" s="135">
        <f>IF(54&gt;COUNT(Transaksi!$X$16:$X$5015),"",IF(54=1,INDEX(Transaksi!$B$1:$B$5015,ROUND(MOD(MOD(SMALL(Transaksi!$X$16:$X$5015,54),1),0.01)*10000000,0)),IF(INDEX(Transaksi!$B$1:$B$5015,ROUND(MOD(MOD(SMALL(Transaksi!$X$16:$X$5015,54),1),0.01)*10000000,0))=INDEX(Transaksi!$B$1:$B$5015,A62),"",INDEX(Transaksi!$B$1:$B$5015,ROUND(MOD(MOD(SMALL(Transaksi!$X$16:$X$5015,54),1),0.01)*10000000,0)))))</f>
        <v/>
      </c>
      <c r="C63" s="136">
        <f>IF(54&gt;COUNT(Transaksi!$X$16:$X$5015),"",INDEX(Transaksi!$J$1:$J$5015,ROUND(MOD(MOD(SMALL(Transaksi!$X$16:$X$5015,54),1),0.01)*10000000,0))&amp;IF(INDEX(Transaksi!$D$1:$D$5015,ROUND(MOD(MOD(SMALL(Transaksi!$X$16:$X$5015,54),1),0.01)*10000000,0))="Pindah",IF(INDEX(Transaksi!$C$1:$C$5015,ROUND(MOD(MOD(SMALL(Transaksi!$X$16:$X$5015,54),1),0.01)*10000000,0))=$C$4," (ke "&amp;INDEX(Transaksi!$E$1:$E$5015,ROUND(MOD(MOD(SMALL(Transaksi!$X$16:$X$5015,54),1),0.01)*10000000,0))&amp;")"," (dari "&amp;INDEX(Transaksi!$C$1:$C$5015,ROUND(MOD(MOD(SMALL(Transaksi!$X$16:$X$5015,54),1),0.01)*10000000,0))&amp;")"),""))</f>
        <v/>
      </c>
      <c r="D63" s="137">
        <f>IF(54&gt;COUNT(Transaksi!$X$16:$X$5015),"",INDEX(Transaksi!$I$1:$I$5015,ROUND(MOD(MOD(SMALL(Transaksi!$X$16:$X$5015,54),1),0.01)*10000000,0)))</f>
        <v/>
      </c>
      <c r="E63" s="138">
        <f>IF(54&gt;COUNT(Transaksi!$X$16:$X$5015),"",IF(IF(INDEX(Transaksi!$C$1:$C$5015,ROUND(MOD(MOD(SMALL(Transaksi!$X$16:$X$5015,54),1),0.01)*10000000,0))=$C$4,IF(INDEX(Transaksi!$D$1:$D$5015,ROUND(MOD(MOD(SMALL(Transaksi!$X$16:$X$5015,54),1),0.01)*10000000,0))="Masuk",1,-1),1)&gt;0,INDEX(Transaksi!$F$1:$F$5015,ROUND(MOD(MOD(SMALL(Transaksi!$X$16:$X$5015,54),1),0.01)*10000000,0)),""))</f>
        <v/>
      </c>
      <c r="F63" s="139">
        <f>IF(54&gt;COUNT(Transaksi!$X$16:$X$5015),"",IF(IF(INDEX(Transaksi!$C$1:$C$5015,ROUND(MOD(MOD(SMALL(Transaksi!$X$16:$X$5015,54),1),0.01)*10000000,0))=$C$4,IF(INDEX(Transaksi!$D$1:$D$5015,ROUND(MOD(MOD(SMALL(Transaksi!$X$16:$X$5015,54),1),0.01)*10000000,0))="Masuk",1,-1),1)&lt;0,INDEX(Transaksi!$F$1:$F$5015,ROUND(MOD(MOD(SMALL(Transaksi!$X$16:$X$5015,54),1),0.01)*10000000,0)),""))</f>
        <v/>
      </c>
      <c r="G63" s="106">
        <f>IF(54&gt;COUNT(Transaksi!$X$16:$X$5015),"",N(G62)+N(E63)-N(F63))</f>
        <v/>
      </c>
      <c r="H63" s="137">
        <f>IF(54&gt;COUNT(Transaksi!$X$16:$X$5015),"",HYPERLINK("#Transaksi!B"&amp;A63,"Buka"))</f>
        <v/>
      </c>
    </row>
    <row r="64" ht="15" customHeight="1" s="94">
      <c r="A64" s="93">
        <f>IF(55&gt;COUNT(Transaksi!$X$16:$X$5015),"",ROUND(MOD(MOD(SMALL(Transaksi!$X$16:$X$5015,55),1),0.01)*10000000,0))</f>
        <v/>
      </c>
      <c r="B64" s="135">
        <f>IF(55&gt;COUNT(Transaksi!$X$16:$X$5015),"",IF(55=1,INDEX(Transaksi!$B$1:$B$5015,ROUND(MOD(MOD(SMALL(Transaksi!$X$16:$X$5015,55),1),0.01)*10000000,0)),IF(INDEX(Transaksi!$B$1:$B$5015,ROUND(MOD(MOD(SMALL(Transaksi!$X$16:$X$5015,55),1),0.01)*10000000,0))=INDEX(Transaksi!$B$1:$B$5015,A63),"",INDEX(Transaksi!$B$1:$B$5015,ROUND(MOD(MOD(SMALL(Transaksi!$X$16:$X$5015,55),1),0.01)*10000000,0)))))</f>
        <v/>
      </c>
      <c r="C64" s="136">
        <f>IF(55&gt;COUNT(Transaksi!$X$16:$X$5015),"",INDEX(Transaksi!$J$1:$J$5015,ROUND(MOD(MOD(SMALL(Transaksi!$X$16:$X$5015,55),1),0.01)*10000000,0))&amp;IF(INDEX(Transaksi!$D$1:$D$5015,ROUND(MOD(MOD(SMALL(Transaksi!$X$16:$X$5015,55),1),0.01)*10000000,0))="Pindah",IF(INDEX(Transaksi!$C$1:$C$5015,ROUND(MOD(MOD(SMALL(Transaksi!$X$16:$X$5015,55),1),0.01)*10000000,0))=$C$4," (ke "&amp;INDEX(Transaksi!$E$1:$E$5015,ROUND(MOD(MOD(SMALL(Transaksi!$X$16:$X$5015,55),1),0.01)*10000000,0))&amp;")"," (dari "&amp;INDEX(Transaksi!$C$1:$C$5015,ROUND(MOD(MOD(SMALL(Transaksi!$X$16:$X$5015,55),1),0.01)*10000000,0))&amp;")"),""))</f>
        <v/>
      </c>
      <c r="D64" s="137">
        <f>IF(55&gt;COUNT(Transaksi!$X$16:$X$5015),"",INDEX(Transaksi!$I$1:$I$5015,ROUND(MOD(MOD(SMALL(Transaksi!$X$16:$X$5015,55),1),0.01)*10000000,0)))</f>
        <v/>
      </c>
      <c r="E64" s="138">
        <f>IF(55&gt;COUNT(Transaksi!$X$16:$X$5015),"",IF(IF(INDEX(Transaksi!$C$1:$C$5015,ROUND(MOD(MOD(SMALL(Transaksi!$X$16:$X$5015,55),1),0.01)*10000000,0))=$C$4,IF(INDEX(Transaksi!$D$1:$D$5015,ROUND(MOD(MOD(SMALL(Transaksi!$X$16:$X$5015,55),1),0.01)*10000000,0))="Masuk",1,-1),1)&gt;0,INDEX(Transaksi!$F$1:$F$5015,ROUND(MOD(MOD(SMALL(Transaksi!$X$16:$X$5015,55),1),0.01)*10000000,0)),""))</f>
        <v/>
      </c>
      <c r="F64" s="139">
        <f>IF(55&gt;COUNT(Transaksi!$X$16:$X$5015),"",IF(IF(INDEX(Transaksi!$C$1:$C$5015,ROUND(MOD(MOD(SMALL(Transaksi!$X$16:$X$5015,55),1),0.01)*10000000,0))=$C$4,IF(INDEX(Transaksi!$D$1:$D$5015,ROUND(MOD(MOD(SMALL(Transaksi!$X$16:$X$5015,55),1),0.01)*10000000,0))="Masuk",1,-1),1)&lt;0,INDEX(Transaksi!$F$1:$F$5015,ROUND(MOD(MOD(SMALL(Transaksi!$X$16:$X$5015,55),1),0.01)*10000000,0)),""))</f>
        <v/>
      </c>
      <c r="G64" s="106">
        <f>IF(55&gt;COUNT(Transaksi!$X$16:$X$5015),"",N(G63)+N(E64)-N(F64))</f>
        <v/>
      </c>
      <c r="H64" s="137">
        <f>IF(55&gt;COUNT(Transaksi!$X$16:$X$5015),"",HYPERLINK("#Transaksi!B"&amp;A64,"Buka"))</f>
        <v/>
      </c>
    </row>
    <row r="65" ht="15" customHeight="1" s="94">
      <c r="A65" s="93">
        <f>IF(56&gt;COUNT(Transaksi!$X$16:$X$5015),"",ROUND(MOD(MOD(SMALL(Transaksi!$X$16:$X$5015,56),1),0.01)*10000000,0))</f>
        <v/>
      </c>
      <c r="B65" s="135">
        <f>IF(56&gt;COUNT(Transaksi!$X$16:$X$5015),"",IF(56=1,INDEX(Transaksi!$B$1:$B$5015,ROUND(MOD(MOD(SMALL(Transaksi!$X$16:$X$5015,56),1),0.01)*10000000,0)),IF(INDEX(Transaksi!$B$1:$B$5015,ROUND(MOD(MOD(SMALL(Transaksi!$X$16:$X$5015,56),1),0.01)*10000000,0))=INDEX(Transaksi!$B$1:$B$5015,A64),"",INDEX(Transaksi!$B$1:$B$5015,ROUND(MOD(MOD(SMALL(Transaksi!$X$16:$X$5015,56),1),0.01)*10000000,0)))))</f>
        <v/>
      </c>
      <c r="C65" s="136">
        <f>IF(56&gt;COUNT(Transaksi!$X$16:$X$5015),"",INDEX(Transaksi!$J$1:$J$5015,ROUND(MOD(MOD(SMALL(Transaksi!$X$16:$X$5015,56),1),0.01)*10000000,0))&amp;IF(INDEX(Transaksi!$D$1:$D$5015,ROUND(MOD(MOD(SMALL(Transaksi!$X$16:$X$5015,56),1),0.01)*10000000,0))="Pindah",IF(INDEX(Transaksi!$C$1:$C$5015,ROUND(MOD(MOD(SMALL(Transaksi!$X$16:$X$5015,56),1),0.01)*10000000,0))=$C$4," (ke "&amp;INDEX(Transaksi!$E$1:$E$5015,ROUND(MOD(MOD(SMALL(Transaksi!$X$16:$X$5015,56),1),0.01)*10000000,0))&amp;")"," (dari "&amp;INDEX(Transaksi!$C$1:$C$5015,ROUND(MOD(MOD(SMALL(Transaksi!$X$16:$X$5015,56),1),0.01)*10000000,0))&amp;")"),""))</f>
        <v/>
      </c>
      <c r="D65" s="137">
        <f>IF(56&gt;COUNT(Transaksi!$X$16:$X$5015),"",INDEX(Transaksi!$I$1:$I$5015,ROUND(MOD(MOD(SMALL(Transaksi!$X$16:$X$5015,56),1),0.01)*10000000,0)))</f>
        <v/>
      </c>
      <c r="E65" s="138">
        <f>IF(56&gt;COUNT(Transaksi!$X$16:$X$5015),"",IF(IF(INDEX(Transaksi!$C$1:$C$5015,ROUND(MOD(MOD(SMALL(Transaksi!$X$16:$X$5015,56),1),0.01)*10000000,0))=$C$4,IF(INDEX(Transaksi!$D$1:$D$5015,ROUND(MOD(MOD(SMALL(Transaksi!$X$16:$X$5015,56),1),0.01)*10000000,0))="Masuk",1,-1),1)&gt;0,INDEX(Transaksi!$F$1:$F$5015,ROUND(MOD(MOD(SMALL(Transaksi!$X$16:$X$5015,56),1),0.01)*10000000,0)),""))</f>
        <v/>
      </c>
      <c r="F65" s="139">
        <f>IF(56&gt;COUNT(Transaksi!$X$16:$X$5015),"",IF(IF(INDEX(Transaksi!$C$1:$C$5015,ROUND(MOD(MOD(SMALL(Transaksi!$X$16:$X$5015,56),1),0.01)*10000000,0))=$C$4,IF(INDEX(Transaksi!$D$1:$D$5015,ROUND(MOD(MOD(SMALL(Transaksi!$X$16:$X$5015,56),1),0.01)*10000000,0))="Masuk",1,-1),1)&lt;0,INDEX(Transaksi!$F$1:$F$5015,ROUND(MOD(MOD(SMALL(Transaksi!$X$16:$X$5015,56),1),0.01)*10000000,0)),""))</f>
        <v/>
      </c>
      <c r="G65" s="106">
        <f>IF(56&gt;COUNT(Transaksi!$X$16:$X$5015),"",N(G64)+N(E65)-N(F65))</f>
        <v/>
      </c>
      <c r="H65" s="137">
        <f>IF(56&gt;COUNT(Transaksi!$X$16:$X$5015),"",HYPERLINK("#Transaksi!B"&amp;A65,"Buka"))</f>
        <v/>
      </c>
    </row>
    <row r="66" ht="15" customHeight="1" s="94">
      <c r="A66" s="93">
        <f>IF(57&gt;COUNT(Transaksi!$X$16:$X$5015),"",ROUND(MOD(MOD(SMALL(Transaksi!$X$16:$X$5015,57),1),0.01)*10000000,0))</f>
        <v/>
      </c>
      <c r="B66" s="135">
        <f>IF(57&gt;COUNT(Transaksi!$X$16:$X$5015),"",IF(57=1,INDEX(Transaksi!$B$1:$B$5015,ROUND(MOD(MOD(SMALL(Transaksi!$X$16:$X$5015,57),1),0.01)*10000000,0)),IF(INDEX(Transaksi!$B$1:$B$5015,ROUND(MOD(MOD(SMALL(Transaksi!$X$16:$X$5015,57),1),0.01)*10000000,0))=INDEX(Transaksi!$B$1:$B$5015,A65),"",INDEX(Transaksi!$B$1:$B$5015,ROUND(MOD(MOD(SMALL(Transaksi!$X$16:$X$5015,57),1),0.01)*10000000,0)))))</f>
        <v/>
      </c>
      <c r="C66" s="136">
        <f>IF(57&gt;COUNT(Transaksi!$X$16:$X$5015),"",INDEX(Transaksi!$J$1:$J$5015,ROUND(MOD(MOD(SMALL(Transaksi!$X$16:$X$5015,57),1),0.01)*10000000,0))&amp;IF(INDEX(Transaksi!$D$1:$D$5015,ROUND(MOD(MOD(SMALL(Transaksi!$X$16:$X$5015,57),1),0.01)*10000000,0))="Pindah",IF(INDEX(Transaksi!$C$1:$C$5015,ROUND(MOD(MOD(SMALL(Transaksi!$X$16:$X$5015,57),1),0.01)*10000000,0))=$C$4," (ke "&amp;INDEX(Transaksi!$E$1:$E$5015,ROUND(MOD(MOD(SMALL(Transaksi!$X$16:$X$5015,57),1),0.01)*10000000,0))&amp;")"," (dari "&amp;INDEX(Transaksi!$C$1:$C$5015,ROUND(MOD(MOD(SMALL(Transaksi!$X$16:$X$5015,57),1),0.01)*10000000,0))&amp;")"),""))</f>
        <v/>
      </c>
      <c r="D66" s="137">
        <f>IF(57&gt;COUNT(Transaksi!$X$16:$X$5015),"",INDEX(Transaksi!$I$1:$I$5015,ROUND(MOD(MOD(SMALL(Transaksi!$X$16:$X$5015,57),1),0.01)*10000000,0)))</f>
        <v/>
      </c>
      <c r="E66" s="138">
        <f>IF(57&gt;COUNT(Transaksi!$X$16:$X$5015),"",IF(IF(INDEX(Transaksi!$C$1:$C$5015,ROUND(MOD(MOD(SMALL(Transaksi!$X$16:$X$5015,57),1),0.01)*10000000,0))=$C$4,IF(INDEX(Transaksi!$D$1:$D$5015,ROUND(MOD(MOD(SMALL(Transaksi!$X$16:$X$5015,57),1),0.01)*10000000,0))="Masuk",1,-1),1)&gt;0,INDEX(Transaksi!$F$1:$F$5015,ROUND(MOD(MOD(SMALL(Transaksi!$X$16:$X$5015,57),1),0.01)*10000000,0)),""))</f>
        <v/>
      </c>
      <c r="F66" s="139">
        <f>IF(57&gt;COUNT(Transaksi!$X$16:$X$5015),"",IF(IF(INDEX(Transaksi!$C$1:$C$5015,ROUND(MOD(MOD(SMALL(Transaksi!$X$16:$X$5015,57),1),0.01)*10000000,0))=$C$4,IF(INDEX(Transaksi!$D$1:$D$5015,ROUND(MOD(MOD(SMALL(Transaksi!$X$16:$X$5015,57),1),0.01)*10000000,0))="Masuk",1,-1),1)&lt;0,INDEX(Transaksi!$F$1:$F$5015,ROUND(MOD(MOD(SMALL(Transaksi!$X$16:$X$5015,57),1),0.01)*10000000,0)),""))</f>
        <v/>
      </c>
      <c r="G66" s="106">
        <f>IF(57&gt;COUNT(Transaksi!$X$16:$X$5015),"",N(G65)+N(E66)-N(F66))</f>
        <v/>
      </c>
      <c r="H66" s="137">
        <f>IF(57&gt;COUNT(Transaksi!$X$16:$X$5015),"",HYPERLINK("#Transaksi!B"&amp;A66,"Buka"))</f>
        <v/>
      </c>
    </row>
    <row r="67" ht="15" customHeight="1" s="94">
      <c r="A67" s="93">
        <f>IF(58&gt;COUNT(Transaksi!$X$16:$X$5015),"",ROUND(MOD(MOD(SMALL(Transaksi!$X$16:$X$5015,58),1),0.01)*10000000,0))</f>
        <v/>
      </c>
      <c r="B67" s="135">
        <f>IF(58&gt;COUNT(Transaksi!$X$16:$X$5015),"",IF(58=1,INDEX(Transaksi!$B$1:$B$5015,ROUND(MOD(MOD(SMALL(Transaksi!$X$16:$X$5015,58),1),0.01)*10000000,0)),IF(INDEX(Transaksi!$B$1:$B$5015,ROUND(MOD(MOD(SMALL(Transaksi!$X$16:$X$5015,58),1),0.01)*10000000,0))=INDEX(Transaksi!$B$1:$B$5015,A66),"",INDEX(Transaksi!$B$1:$B$5015,ROUND(MOD(MOD(SMALL(Transaksi!$X$16:$X$5015,58),1),0.01)*10000000,0)))))</f>
        <v/>
      </c>
      <c r="C67" s="136">
        <f>IF(58&gt;COUNT(Transaksi!$X$16:$X$5015),"",INDEX(Transaksi!$J$1:$J$5015,ROUND(MOD(MOD(SMALL(Transaksi!$X$16:$X$5015,58),1),0.01)*10000000,0))&amp;IF(INDEX(Transaksi!$D$1:$D$5015,ROUND(MOD(MOD(SMALL(Transaksi!$X$16:$X$5015,58),1),0.01)*10000000,0))="Pindah",IF(INDEX(Transaksi!$C$1:$C$5015,ROUND(MOD(MOD(SMALL(Transaksi!$X$16:$X$5015,58),1),0.01)*10000000,0))=$C$4," (ke "&amp;INDEX(Transaksi!$E$1:$E$5015,ROUND(MOD(MOD(SMALL(Transaksi!$X$16:$X$5015,58),1),0.01)*10000000,0))&amp;")"," (dari "&amp;INDEX(Transaksi!$C$1:$C$5015,ROUND(MOD(MOD(SMALL(Transaksi!$X$16:$X$5015,58),1),0.01)*10000000,0))&amp;")"),""))</f>
        <v/>
      </c>
      <c r="D67" s="137">
        <f>IF(58&gt;COUNT(Transaksi!$X$16:$X$5015),"",INDEX(Transaksi!$I$1:$I$5015,ROUND(MOD(MOD(SMALL(Transaksi!$X$16:$X$5015,58),1),0.01)*10000000,0)))</f>
        <v/>
      </c>
      <c r="E67" s="138">
        <f>IF(58&gt;COUNT(Transaksi!$X$16:$X$5015),"",IF(IF(INDEX(Transaksi!$C$1:$C$5015,ROUND(MOD(MOD(SMALL(Transaksi!$X$16:$X$5015,58),1),0.01)*10000000,0))=$C$4,IF(INDEX(Transaksi!$D$1:$D$5015,ROUND(MOD(MOD(SMALL(Transaksi!$X$16:$X$5015,58),1),0.01)*10000000,0))="Masuk",1,-1),1)&gt;0,INDEX(Transaksi!$F$1:$F$5015,ROUND(MOD(MOD(SMALL(Transaksi!$X$16:$X$5015,58),1),0.01)*10000000,0)),""))</f>
        <v/>
      </c>
      <c r="F67" s="139">
        <f>IF(58&gt;COUNT(Transaksi!$X$16:$X$5015),"",IF(IF(INDEX(Transaksi!$C$1:$C$5015,ROUND(MOD(MOD(SMALL(Transaksi!$X$16:$X$5015,58),1),0.01)*10000000,0))=$C$4,IF(INDEX(Transaksi!$D$1:$D$5015,ROUND(MOD(MOD(SMALL(Transaksi!$X$16:$X$5015,58),1),0.01)*10000000,0))="Masuk",1,-1),1)&lt;0,INDEX(Transaksi!$F$1:$F$5015,ROUND(MOD(MOD(SMALL(Transaksi!$X$16:$X$5015,58),1),0.01)*10000000,0)),""))</f>
        <v/>
      </c>
      <c r="G67" s="106">
        <f>IF(58&gt;COUNT(Transaksi!$X$16:$X$5015),"",N(G66)+N(E67)-N(F67))</f>
        <v/>
      </c>
      <c r="H67" s="137">
        <f>IF(58&gt;COUNT(Transaksi!$X$16:$X$5015),"",HYPERLINK("#Transaksi!B"&amp;A67,"Buka"))</f>
        <v/>
      </c>
    </row>
    <row r="68" ht="15" customHeight="1" s="94">
      <c r="A68" s="93">
        <f>IF(59&gt;COUNT(Transaksi!$X$16:$X$5015),"",ROUND(MOD(MOD(SMALL(Transaksi!$X$16:$X$5015,59),1),0.01)*10000000,0))</f>
        <v/>
      </c>
      <c r="B68" s="135">
        <f>IF(59&gt;COUNT(Transaksi!$X$16:$X$5015),"",IF(59=1,INDEX(Transaksi!$B$1:$B$5015,ROUND(MOD(MOD(SMALL(Transaksi!$X$16:$X$5015,59),1),0.01)*10000000,0)),IF(INDEX(Transaksi!$B$1:$B$5015,ROUND(MOD(MOD(SMALL(Transaksi!$X$16:$X$5015,59),1),0.01)*10000000,0))=INDEX(Transaksi!$B$1:$B$5015,A67),"",INDEX(Transaksi!$B$1:$B$5015,ROUND(MOD(MOD(SMALL(Transaksi!$X$16:$X$5015,59),1),0.01)*10000000,0)))))</f>
        <v/>
      </c>
      <c r="C68" s="136">
        <f>IF(59&gt;COUNT(Transaksi!$X$16:$X$5015),"",INDEX(Transaksi!$J$1:$J$5015,ROUND(MOD(MOD(SMALL(Transaksi!$X$16:$X$5015,59),1),0.01)*10000000,0))&amp;IF(INDEX(Transaksi!$D$1:$D$5015,ROUND(MOD(MOD(SMALL(Transaksi!$X$16:$X$5015,59),1),0.01)*10000000,0))="Pindah",IF(INDEX(Transaksi!$C$1:$C$5015,ROUND(MOD(MOD(SMALL(Transaksi!$X$16:$X$5015,59),1),0.01)*10000000,0))=$C$4," (ke "&amp;INDEX(Transaksi!$E$1:$E$5015,ROUND(MOD(MOD(SMALL(Transaksi!$X$16:$X$5015,59),1),0.01)*10000000,0))&amp;")"," (dari "&amp;INDEX(Transaksi!$C$1:$C$5015,ROUND(MOD(MOD(SMALL(Transaksi!$X$16:$X$5015,59),1),0.01)*10000000,0))&amp;")"),""))</f>
        <v/>
      </c>
      <c r="D68" s="137">
        <f>IF(59&gt;COUNT(Transaksi!$X$16:$X$5015),"",INDEX(Transaksi!$I$1:$I$5015,ROUND(MOD(MOD(SMALL(Transaksi!$X$16:$X$5015,59),1),0.01)*10000000,0)))</f>
        <v/>
      </c>
      <c r="E68" s="138">
        <f>IF(59&gt;COUNT(Transaksi!$X$16:$X$5015),"",IF(IF(INDEX(Transaksi!$C$1:$C$5015,ROUND(MOD(MOD(SMALL(Transaksi!$X$16:$X$5015,59),1),0.01)*10000000,0))=$C$4,IF(INDEX(Transaksi!$D$1:$D$5015,ROUND(MOD(MOD(SMALL(Transaksi!$X$16:$X$5015,59),1),0.01)*10000000,0))="Masuk",1,-1),1)&gt;0,INDEX(Transaksi!$F$1:$F$5015,ROUND(MOD(MOD(SMALL(Transaksi!$X$16:$X$5015,59),1),0.01)*10000000,0)),""))</f>
        <v/>
      </c>
      <c r="F68" s="139">
        <f>IF(59&gt;COUNT(Transaksi!$X$16:$X$5015),"",IF(IF(INDEX(Transaksi!$C$1:$C$5015,ROUND(MOD(MOD(SMALL(Transaksi!$X$16:$X$5015,59),1),0.01)*10000000,0))=$C$4,IF(INDEX(Transaksi!$D$1:$D$5015,ROUND(MOD(MOD(SMALL(Transaksi!$X$16:$X$5015,59),1),0.01)*10000000,0))="Masuk",1,-1),1)&lt;0,INDEX(Transaksi!$F$1:$F$5015,ROUND(MOD(MOD(SMALL(Transaksi!$X$16:$X$5015,59),1),0.01)*10000000,0)),""))</f>
        <v/>
      </c>
      <c r="G68" s="106">
        <f>IF(59&gt;COUNT(Transaksi!$X$16:$X$5015),"",N(G67)+N(E68)-N(F68))</f>
        <v/>
      </c>
      <c r="H68" s="137">
        <f>IF(59&gt;COUNT(Transaksi!$X$16:$X$5015),"",HYPERLINK("#Transaksi!B"&amp;A68,"Buka"))</f>
        <v/>
      </c>
    </row>
    <row r="69" ht="15" customHeight="1" s="94">
      <c r="A69" s="93">
        <f>IF(60&gt;COUNT(Transaksi!$X$16:$X$5015),"",ROUND(MOD(MOD(SMALL(Transaksi!$X$16:$X$5015,60),1),0.01)*10000000,0))</f>
        <v/>
      </c>
      <c r="B69" s="135">
        <f>IF(60&gt;COUNT(Transaksi!$X$16:$X$5015),"",IF(60=1,INDEX(Transaksi!$B$1:$B$5015,ROUND(MOD(MOD(SMALL(Transaksi!$X$16:$X$5015,60),1),0.01)*10000000,0)),IF(INDEX(Transaksi!$B$1:$B$5015,ROUND(MOD(MOD(SMALL(Transaksi!$X$16:$X$5015,60),1),0.01)*10000000,0))=INDEX(Transaksi!$B$1:$B$5015,A68),"",INDEX(Transaksi!$B$1:$B$5015,ROUND(MOD(MOD(SMALL(Transaksi!$X$16:$X$5015,60),1),0.01)*10000000,0)))))</f>
        <v/>
      </c>
      <c r="C69" s="136">
        <f>IF(60&gt;COUNT(Transaksi!$X$16:$X$5015),"",INDEX(Transaksi!$J$1:$J$5015,ROUND(MOD(MOD(SMALL(Transaksi!$X$16:$X$5015,60),1),0.01)*10000000,0))&amp;IF(INDEX(Transaksi!$D$1:$D$5015,ROUND(MOD(MOD(SMALL(Transaksi!$X$16:$X$5015,60),1),0.01)*10000000,0))="Pindah",IF(INDEX(Transaksi!$C$1:$C$5015,ROUND(MOD(MOD(SMALL(Transaksi!$X$16:$X$5015,60),1),0.01)*10000000,0))=$C$4," (ke "&amp;INDEX(Transaksi!$E$1:$E$5015,ROUND(MOD(MOD(SMALL(Transaksi!$X$16:$X$5015,60),1),0.01)*10000000,0))&amp;")"," (dari "&amp;INDEX(Transaksi!$C$1:$C$5015,ROUND(MOD(MOD(SMALL(Transaksi!$X$16:$X$5015,60),1),0.01)*10000000,0))&amp;")"),""))</f>
        <v/>
      </c>
      <c r="D69" s="137">
        <f>IF(60&gt;COUNT(Transaksi!$X$16:$X$5015),"",INDEX(Transaksi!$I$1:$I$5015,ROUND(MOD(MOD(SMALL(Transaksi!$X$16:$X$5015,60),1),0.01)*10000000,0)))</f>
        <v/>
      </c>
      <c r="E69" s="138">
        <f>IF(60&gt;COUNT(Transaksi!$X$16:$X$5015),"",IF(IF(INDEX(Transaksi!$C$1:$C$5015,ROUND(MOD(MOD(SMALL(Transaksi!$X$16:$X$5015,60),1),0.01)*10000000,0))=$C$4,IF(INDEX(Transaksi!$D$1:$D$5015,ROUND(MOD(MOD(SMALL(Transaksi!$X$16:$X$5015,60),1),0.01)*10000000,0))="Masuk",1,-1),1)&gt;0,INDEX(Transaksi!$F$1:$F$5015,ROUND(MOD(MOD(SMALL(Transaksi!$X$16:$X$5015,60),1),0.01)*10000000,0)),""))</f>
        <v/>
      </c>
      <c r="F69" s="139">
        <f>IF(60&gt;COUNT(Transaksi!$X$16:$X$5015),"",IF(IF(INDEX(Transaksi!$C$1:$C$5015,ROUND(MOD(MOD(SMALL(Transaksi!$X$16:$X$5015,60),1),0.01)*10000000,0))=$C$4,IF(INDEX(Transaksi!$D$1:$D$5015,ROUND(MOD(MOD(SMALL(Transaksi!$X$16:$X$5015,60),1),0.01)*10000000,0))="Masuk",1,-1),1)&lt;0,INDEX(Transaksi!$F$1:$F$5015,ROUND(MOD(MOD(SMALL(Transaksi!$X$16:$X$5015,60),1),0.01)*10000000,0)),""))</f>
        <v/>
      </c>
      <c r="G69" s="106">
        <f>IF(60&gt;COUNT(Transaksi!$X$16:$X$5015),"",N(G68)+N(E69)-N(F69))</f>
        <v/>
      </c>
      <c r="H69" s="137">
        <f>IF(60&gt;COUNT(Transaksi!$X$16:$X$5015),"",HYPERLINK("#Transaksi!B"&amp;A69,"Buka"))</f>
        <v/>
      </c>
    </row>
    <row r="70" ht="15" customHeight="1" s="94">
      <c r="A70" s="93">
        <f>IF(61&gt;COUNT(Transaksi!$X$16:$X$5015),"",ROUND(MOD(MOD(SMALL(Transaksi!$X$16:$X$5015,61),1),0.01)*10000000,0))</f>
        <v/>
      </c>
      <c r="B70" s="135">
        <f>IF(61&gt;COUNT(Transaksi!$X$16:$X$5015),"",IF(61=1,INDEX(Transaksi!$B$1:$B$5015,ROUND(MOD(MOD(SMALL(Transaksi!$X$16:$X$5015,61),1),0.01)*10000000,0)),IF(INDEX(Transaksi!$B$1:$B$5015,ROUND(MOD(MOD(SMALL(Transaksi!$X$16:$X$5015,61),1),0.01)*10000000,0))=INDEX(Transaksi!$B$1:$B$5015,A69),"",INDEX(Transaksi!$B$1:$B$5015,ROUND(MOD(MOD(SMALL(Transaksi!$X$16:$X$5015,61),1),0.01)*10000000,0)))))</f>
        <v/>
      </c>
      <c r="C70" s="136">
        <f>IF(61&gt;COUNT(Transaksi!$X$16:$X$5015),"",INDEX(Transaksi!$J$1:$J$5015,ROUND(MOD(MOD(SMALL(Transaksi!$X$16:$X$5015,61),1),0.01)*10000000,0))&amp;IF(INDEX(Transaksi!$D$1:$D$5015,ROUND(MOD(MOD(SMALL(Transaksi!$X$16:$X$5015,61),1),0.01)*10000000,0))="Pindah",IF(INDEX(Transaksi!$C$1:$C$5015,ROUND(MOD(MOD(SMALL(Transaksi!$X$16:$X$5015,61),1),0.01)*10000000,0))=$C$4," (ke "&amp;INDEX(Transaksi!$E$1:$E$5015,ROUND(MOD(MOD(SMALL(Transaksi!$X$16:$X$5015,61),1),0.01)*10000000,0))&amp;")"," (dari "&amp;INDEX(Transaksi!$C$1:$C$5015,ROUND(MOD(MOD(SMALL(Transaksi!$X$16:$X$5015,61),1),0.01)*10000000,0))&amp;")"),""))</f>
        <v/>
      </c>
      <c r="D70" s="137">
        <f>IF(61&gt;COUNT(Transaksi!$X$16:$X$5015),"",INDEX(Transaksi!$I$1:$I$5015,ROUND(MOD(MOD(SMALL(Transaksi!$X$16:$X$5015,61),1),0.01)*10000000,0)))</f>
        <v/>
      </c>
      <c r="E70" s="138">
        <f>IF(61&gt;COUNT(Transaksi!$X$16:$X$5015),"",IF(IF(INDEX(Transaksi!$C$1:$C$5015,ROUND(MOD(MOD(SMALL(Transaksi!$X$16:$X$5015,61),1),0.01)*10000000,0))=$C$4,IF(INDEX(Transaksi!$D$1:$D$5015,ROUND(MOD(MOD(SMALL(Transaksi!$X$16:$X$5015,61),1),0.01)*10000000,0))="Masuk",1,-1),1)&gt;0,INDEX(Transaksi!$F$1:$F$5015,ROUND(MOD(MOD(SMALL(Transaksi!$X$16:$X$5015,61),1),0.01)*10000000,0)),""))</f>
        <v/>
      </c>
      <c r="F70" s="139">
        <f>IF(61&gt;COUNT(Transaksi!$X$16:$X$5015),"",IF(IF(INDEX(Transaksi!$C$1:$C$5015,ROUND(MOD(MOD(SMALL(Transaksi!$X$16:$X$5015,61),1),0.01)*10000000,0))=$C$4,IF(INDEX(Transaksi!$D$1:$D$5015,ROUND(MOD(MOD(SMALL(Transaksi!$X$16:$X$5015,61),1),0.01)*10000000,0))="Masuk",1,-1),1)&lt;0,INDEX(Transaksi!$F$1:$F$5015,ROUND(MOD(MOD(SMALL(Transaksi!$X$16:$X$5015,61),1),0.01)*10000000,0)),""))</f>
        <v/>
      </c>
      <c r="G70" s="106">
        <f>IF(61&gt;COUNT(Transaksi!$X$16:$X$5015),"",N(G69)+N(E70)-N(F70))</f>
        <v/>
      </c>
      <c r="H70" s="137">
        <f>IF(61&gt;COUNT(Transaksi!$X$16:$X$5015),"",HYPERLINK("#Transaksi!B"&amp;A70,"Buka"))</f>
        <v/>
      </c>
    </row>
    <row r="71" ht="15" customHeight="1" s="94">
      <c r="A71" s="93">
        <f>IF(62&gt;COUNT(Transaksi!$X$16:$X$5015),"",ROUND(MOD(MOD(SMALL(Transaksi!$X$16:$X$5015,62),1),0.01)*10000000,0))</f>
        <v/>
      </c>
      <c r="B71" s="135">
        <f>IF(62&gt;COUNT(Transaksi!$X$16:$X$5015),"",IF(62=1,INDEX(Transaksi!$B$1:$B$5015,ROUND(MOD(MOD(SMALL(Transaksi!$X$16:$X$5015,62),1),0.01)*10000000,0)),IF(INDEX(Transaksi!$B$1:$B$5015,ROUND(MOD(MOD(SMALL(Transaksi!$X$16:$X$5015,62),1),0.01)*10000000,0))=INDEX(Transaksi!$B$1:$B$5015,A70),"",INDEX(Transaksi!$B$1:$B$5015,ROUND(MOD(MOD(SMALL(Transaksi!$X$16:$X$5015,62),1),0.01)*10000000,0)))))</f>
        <v/>
      </c>
      <c r="C71" s="136">
        <f>IF(62&gt;COUNT(Transaksi!$X$16:$X$5015),"",INDEX(Transaksi!$J$1:$J$5015,ROUND(MOD(MOD(SMALL(Transaksi!$X$16:$X$5015,62),1),0.01)*10000000,0))&amp;IF(INDEX(Transaksi!$D$1:$D$5015,ROUND(MOD(MOD(SMALL(Transaksi!$X$16:$X$5015,62),1),0.01)*10000000,0))="Pindah",IF(INDEX(Transaksi!$C$1:$C$5015,ROUND(MOD(MOD(SMALL(Transaksi!$X$16:$X$5015,62),1),0.01)*10000000,0))=$C$4," (ke "&amp;INDEX(Transaksi!$E$1:$E$5015,ROUND(MOD(MOD(SMALL(Transaksi!$X$16:$X$5015,62),1),0.01)*10000000,0))&amp;")"," (dari "&amp;INDEX(Transaksi!$C$1:$C$5015,ROUND(MOD(MOD(SMALL(Transaksi!$X$16:$X$5015,62),1),0.01)*10000000,0))&amp;")"),""))</f>
        <v/>
      </c>
      <c r="D71" s="137">
        <f>IF(62&gt;COUNT(Transaksi!$X$16:$X$5015),"",INDEX(Transaksi!$I$1:$I$5015,ROUND(MOD(MOD(SMALL(Transaksi!$X$16:$X$5015,62),1),0.01)*10000000,0)))</f>
        <v/>
      </c>
      <c r="E71" s="138">
        <f>IF(62&gt;COUNT(Transaksi!$X$16:$X$5015),"",IF(IF(INDEX(Transaksi!$C$1:$C$5015,ROUND(MOD(MOD(SMALL(Transaksi!$X$16:$X$5015,62),1),0.01)*10000000,0))=$C$4,IF(INDEX(Transaksi!$D$1:$D$5015,ROUND(MOD(MOD(SMALL(Transaksi!$X$16:$X$5015,62),1),0.01)*10000000,0))="Masuk",1,-1),1)&gt;0,INDEX(Transaksi!$F$1:$F$5015,ROUND(MOD(MOD(SMALL(Transaksi!$X$16:$X$5015,62),1),0.01)*10000000,0)),""))</f>
        <v/>
      </c>
      <c r="F71" s="139">
        <f>IF(62&gt;COUNT(Transaksi!$X$16:$X$5015),"",IF(IF(INDEX(Transaksi!$C$1:$C$5015,ROUND(MOD(MOD(SMALL(Transaksi!$X$16:$X$5015,62),1),0.01)*10000000,0))=$C$4,IF(INDEX(Transaksi!$D$1:$D$5015,ROUND(MOD(MOD(SMALL(Transaksi!$X$16:$X$5015,62),1),0.01)*10000000,0))="Masuk",1,-1),1)&lt;0,INDEX(Transaksi!$F$1:$F$5015,ROUND(MOD(MOD(SMALL(Transaksi!$X$16:$X$5015,62),1),0.01)*10000000,0)),""))</f>
        <v/>
      </c>
      <c r="G71" s="106">
        <f>IF(62&gt;COUNT(Transaksi!$X$16:$X$5015),"",N(G70)+N(E71)-N(F71))</f>
        <v/>
      </c>
      <c r="H71" s="137">
        <f>IF(62&gt;COUNT(Transaksi!$X$16:$X$5015),"",HYPERLINK("#Transaksi!B"&amp;A71,"Buka"))</f>
        <v/>
      </c>
    </row>
    <row r="72" ht="15" customHeight="1" s="94">
      <c r="A72" s="93">
        <f>IF(63&gt;COUNT(Transaksi!$X$16:$X$5015),"",ROUND(MOD(MOD(SMALL(Transaksi!$X$16:$X$5015,63),1),0.01)*10000000,0))</f>
        <v/>
      </c>
      <c r="B72" s="135">
        <f>IF(63&gt;COUNT(Transaksi!$X$16:$X$5015),"",IF(63=1,INDEX(Transaksi!$B$1:$B$5015,ROUND(MOD(MOD(SMALL(Transaksi!$X$16:$X$5015,63),1),0.01)*10000000,0)),IF(INDEX(Transaksi!$B$1:$B$5015,ROUND(MOD(MOD(SMALL(Transaksi!$X$16:$X$5015,63),1),0.01)*10000000,0))=INDEX(Transaksi!$B$1:$B$5015,A71),"",INDEX(Transaksi!$B$1:$B$5015,ROUND(MOD(MOD(SMALL(Transaksi!$X$16:$X$5015,63),1),0.01)*10000000,0)))))</f>
        <v/>
      </c>
      <c r="C72" s="136">
        <f>IF(63&gt;COUNT(Transaksi!$X$16:$X$5015),"",INDEX(Transaksi!$J$1:$J$5015,ROUND(MOD(MOD(SMALL(Transaksi!$X$16:$X$5015,63),1),0.01)*10000000,0))&amp;IF(INDEX(Transaksi!$D$1:$D$5015,ROUND(MOD(MOD(SMALL(Transaksi!$X$16:$X$5015,63),1),0.01)*10000000,0))="Pindah",IF(INDEX(Transaksi!$C$1:$C$5015,ROUND(MOD(MOD(SMALL(Transaksi!$X$16:$X$5015,63),1),0.01)*10000000,0))=$C$4," (ke "&amp;INDEX(Transaksi!$E$1:$E$5015,ROUND(MOD(MOD(SMALL(Transaksi!$X$16:$X$5015,63),1),0.01)*10000000,0))&amp;")"," (dari "&amp;INDEX(Transaksi!$C$1:$C$5015,ROUND(MOD(MOD(SMALL(Transaksi!$X$16:$X$5015,63),1),0.01)*10000000,0))&amp;")"),""))</f>
        <v/>
      </c>
      <c r="D72" s="137">
        <f>IF(63&gt;COUNT(Transaksi!$X$16:$X$5015),"",INDEX(Transaksi!$I$1:$I$5015,ROUND(MOD(MOD(SMALL(Transaksi!$X$16:$X$5015,63),1),0.01)*10000000,0)))</f>
        <v/>
      </c>
      <c r="E72" s="138">
        <f>IF(63&gt;COUNT(Transaksi!$X$16:$X$5015),"",IF(IF(INDEX(Transaksi!$C$1:$C$5015,ROUND(MOD(MOD(SMALL(Transaksi!$X$16:$X$5015,63),1),0.01)*10000000,0))=$C$4,IF(INDEX(Transaksi!$D$1:$D$5015,ROUND(MOD(MOD(SMALL(Transaksi!$X$16:$X$5015,63),1),0.01)*10000000,0))="Masuk",1,-1),1)&gt;0,INDEX(Transaksi!$F$1:$F$5015,ROUND(MOD(MOD(SMALL(Transaksi!$X$16:$X$5015,63),1),0.01)*10000000,0)),""))</f>
        <v/>
      </c>
      <c r="F72" s="139">
        <f>IF(63&gt;COUNT(Transaksi!$X$16:$X$5015),"",IF(IF(INDEX(Transaksi!$C$1:$C$5015,ROUND(MOD(MOD(SMALL(Transaksi!$X$16:$X$5015,63),1),0.01)*10000000,0))=$C$4,IF(INDEX(Transaksi!$D$1:$D$5015,ROUND(MOD(MOD(SMALL(Transaksi!$X$16:$X$5015,63),1),0.01)*10000000,0))="Masuk",1,-1),1)&lt;0,INDEX(Transaksi!$F$1:$F$5015,ROUND(MOD(MOD(SMALL(Transaksi!$X$16:$X$5015,63),1),0.01)*10000000,0)),""))</f>
        <v/>
      </c>
      <c r="G72" s="106">
        <f>IF(63&gt;COUNT(Transaksi!$X$16:$X$5015),"",N(G71)+N(E72)-N(F72))</f>
        <v/>
      </c>
      <c r="H72" s="137">
        <f>IF(63&gt;COUNT(Transaksi!$X$16:$X$5015),"",HYPERLINK("#Transaksi!B"&amp;A72,"Buka"))</f>
        <v/>
      </c>
    </row>
    <row r="73" ht="15" customHeight="1" s="94">
      <c r="A73" s="93">
        <f>IF(64&gt;COUNT(Transaksi!$X$16:$X$5015),"",ROUND(MOD(MOD(SMALL(Transaksi!$X$16:$X$5015,64),1),0.01)*10000000,0))</f>
        <v/>
      </c>
      <c r="B73" s="135">
        <f>IF(64&gt;COUNT(Transaksi!$X$16:$X$5015),"",IF(64=1,INDEX(Transaksi!$B$1:$B$5015,ROUND(MOD(MOD(SMALL(Transaksi!$X$16:$X$5015,64),1),0.01)*10000000,0)),IF(INDEX(Transaksi!$B$1:$B$5015,ROUND(MOD(MOD(SMALL(Transaksi!$X$16:$X$5015,64),1),0.01)*10000000,0))=INDEX(Transaksi!$B$1:$B$5015,A72),"",INDEX(Transaksi!$B$1:$B$5015,ROUND(MOD(MOD(SMALL(Transaksi!$X$16:$X$5015,64),1),0.01)*10000000,0)))))</f>
        <v/>
      </c>
      <c r="C73" s="136">
        <f>IF(64&gt;COUNT(Transaksi!$X$16:$X$5015),"",INDEX(Transaksi!$J$1:$J$5015,ROUND(MOD(MOD(SMALL(Transaksi!$X$16:$X$5015,64),1),0.01)*10000000,0))&amp;IF(INDEX(Transaksi!$D$1:$D$5015,ROUND(MOD(MOD(SMALL(Transaksi!$X$16:$X$5015,64),1),0.01)*10000000,0))="Pindah",IF(INDEX(Transaksi!$C$1:$C$5015,ROUND(MOD(MOD(SMALL(Transaksi!$X$16:$X$5015,64),1),0.01)*10000000,0))=$C$4," (ke "&amp;INDEX(Transaksi!$E$1:$E$5015,ROUND(MOD(MOD(SMALL(Transaksi!$X$16:$X$5015,64),1),0.01)*10000000,0))&amp;")"," (dari "&amp;INDEX(Transaksi!$C$1:$C$5015,ROUND(MOD(MOD(SMALL(Transaksi!$X$16:$X$5015,64),1),0.01)*10000000,0))&amp;")"),""))</f>
        <v/>
      </c>
      <c r="D73" s="137">
        <f>IF(64&gt;COUNT(Transaksi!$X$16:$X$5015),"",INDEX(Transaksi!$I$1:$I$5015,ROUND(MOD(MOD(SMALL(Transaksi!$X$16:$X$5015,64),1),0.01)*10000000,0)))</f>
        <v/>
      </c>
      <c r="E73" s="138">
        <f>IF(64&gt;COUNT(Transaksi!$X$16:$X$5015),"",IF(IF(INDEX(Transaksi!$C$1:$C$5015,ROUND(MOD(MOD(SMALL(Transaksi!$X$16:$X$5015,64),1),0.01)*10000000,0))=$C$4,IF(INDEX(Transaksi!$D$1:$D$5015,ROUND(MOD(MOD(SMALL(Transaksi!$X$16:$X$5015,64),1),0.01)*10000000,0))="Masuk",1,-1),1)&gt;0,INDEX(Transaksi!$F$1:$F$5015,ROUND(MOD(MOD(SMALL(Transaksi!$X$16:$X$5015,64),1),0.01)*10000000,0)),""))</f>
        <v/>
      </c>
      <c r="F73" s="139">
        <f>IF(64&gt;COUNT(Transaksi!$X$16:$X$5015),"",IF(IF(INDEX(Transaksi!$C$1:$C$5015,ROUND(MOD(MOD(SMALL(Transaksi!$X$16:$X$5015,64),1),0.01)*10000000,0))=$C$4,IF(INDEX(Transaksi!$D$1:$D$5015,ROUND(MOD(MOD(SMALL(Transaksi!$X$16:$X$5015,64),1),0.01)*10000000,0))="Masuk",1,-1),1)&lt;0,INDEX(Transaksi!$F$1:$F$5015,ROUND(MOD(MOD(SMALL(Transaksi!$X$16:$X$5015,64),1),0.01)*10000000,0)),""))</f>
        <v/>
      </c>
      <c r="G73" s="106">
        <f>IF(64&gt;COUNT(Transaksi!$X$16:$X$5015),"",N(G72)+N(E73)-N(F73))</f>
        <v/>
      </c>
      <c r="H73" s="137">
        <f>IF(64&gt;COUNT(Transaksi!$X$16:$X$5015),"",HYPERLINK("#Transaksi!B"&amp;A73,"Buka"))</f>
        <v/>
      </c>
    </row>
    <row r="74" ht="15" customHeight="1" s="94">
      <c r="A74" s="93">
        <f>IF(65&gt;COUNT(Transaksi!$X$16:$X$5015),"",ROUND(MOD(MOD(SMALL(Transaksi!$X$16:$X$5015,65),1),0.01)*10000000,0))</f>
        <v/>
      </c>
      <c r="B74" s="135">
        <f>IF(65&gt;COUNT(Transaksi!$X$16:$X$5015),"",IF(65=1,INDEX(Transaksi!$B$1:$B$5015,ROUND(MOD(MOD(SMALL(Transaksi!$X$16:$X$5015,65),1),0.01)*10000000,0)),IF(INDEX(Transaksi!$B$1:$B$5015,ROUND(MOD(MOD(SMALL(Transaksi!$X$16:$X$5015,65),1),0.01)*10000000,0))=INDEX(Transaksi!$B$1:$B$5015,A73),"",INDEX(Transaksi!$B$1:$B$5015,ROUND(MOD(MOD(SMALL(Transaksi!$X$16:$X$5015,65),1),0.01)*10000000,0)))))</f>
        <v/>
      </c>
      <c r="C74" s="136">
        <f>IF(65&gt;COUNT(Transaksi!$X$16:$X$5015),"",INDEX(Transaksi!$J$1:$J$5015,ROUND(MOD(MOD(SMALL(Transaksi!$X$16:$X$5015,65),1),0.01)*10000000,0))&amp;IF(INDEX(Transaksi!$D$1:$D$5015,ROUND(MOD(MOD(SMALL(Transaksi!$X$16:$X$5015,65),1),0.01)*10000000,0))="Pindah",IF(INDEX(Transaksi!$C$1:$C$5015,ROUND(MOD(MOD(SMALL(Transaksi!$X$16:$X$5015,65),1),0.01)*10000000,0))=$C$4," (ke "&amp;INDEX(Transaksi!$E$1:$E$5015,ROUND(MOD(MOD(SMALL(Transaksi!$X$16:$X$5015,65),1),0.01)*10000000,0))&amp;")"," (dari "&amp;INDEX(Transaksi!$C$1:$C$5015,ROUND(MOD(MOD(SMALL(Transaksi!$X$16:$X$5015,65),1),0.01)*10000000,0))&amp;")"),""))</f>
        <v/>
      </c>
      <c r="D74" s="137">
        <f>IF(65&gt;COUNT(Transaksi!$X$16:$X$5015),"",INDEX(Transaksi!$I$1:$I$5015,ROUND(MOD(MOD(SMALL(Transaksi!$X$16:$X$5015,65),1),0.01)*10000000,0)))</f>
        <v/>
      </c>
      <c r="E74" s="138">
        <f>IF(65&gt;COUNT(Transaksi!$X$16:$X$5015),"",IF(IF(INDEX(Transaksi!$C$1:$C$5015,ROUND(MOD(MOD(SMALL(Transaksi!$X$16:$X$5015,65),1),0.01)*10000000,0))=$C$4,IF(INDEX(Transaksi!$D$1:$D$5015,ROUND(MOD(MOD(SMALL(Transaksi!$X$16:$X$5015,65),1),0.01)*10000000,0))="Masuk",1,-1),1)&gt;0,INDEX(Transaksi!$F$1:$F$5015,ROUND(MOD(MOD(SMALL(Transaksi!$X$16:$X$5015,65),1),0.01)*10000000,0)),""))</f>
        <v/>
      </c>
      <c r="F74" s="139">
        <f>IF(65&gt;COUNT(Transaksi!$X$16:$X$5015),"",IF(IF(INDEX(Transaksi!$C$1:$C$5015,ROUND(MOD(MOD(SMALL(Transaksi!$X$16:$X$5015,65),1),0.01)*10000000,0))=$C$4,IF(INDEX(Transaksi!$D$1:$D$5015,ROUND(MOD(MOD(SMALL(Transaksi!$X$16:$X$5015,65),1),0.01)*10000000,0))="Masuk",1,-1),1)&lt;0,INDEX(Transaksi!$F$1:$F$5015,ROUND(MOD(MOD(SMALL(Transaksi!$X$16:$X$5015,65),1),0.01)*10000000,0)),""))</f>
        <v/>
      </c>
      <c r="G74" s="106">
        <f>IF(65&gt;COUNT(Transaksi!$X$16:$X$5015),"",N(G73)+N(E74)-N(F74))</f>
        <v/>
      </c>
      <c r="H74" s="137">
        <f>IF(65&gt;COUNT(Transaksi!$X$16:$X$5015),"",HYPERLINK("#Transaksi!B"&amp;A74,"Buka"))</f>
        <v/>
      </c>
    </row>
    <row r="75" ht="15" customHeight="1" s="94">
      <c r="A75" s="93">
        <f>IF(66&gt;COUNT(Transaksi!$X$16:$X$5015),"",ROUND(MOD(MOD(SMALL(Transaksi!$X$16:$X$5015,66),1),0.01)*10000000,0))</f>
        <v/>
      </c>
      <c r="B75" s="135">
        <f>IF(66&gt;COUNT(Transaksi!$X$16:$X$5015),"",IF(66=1,INDEX(Transaksi!$B$1:$B$5015,ROUND(MOD(MOD(SMALL(Transaksi!$X$16:$X$5015,66),1),0.01)*10000000,0)),IF(INDEX(Transaksi!$B$1:$B$5015,ROUND(MOD(MOD(SMALL(Transaksi!$X$16:$X$5015,66),1),0.01)*10000000,0))=INDEX(Transaksi!$B$1:$B$5015,A74),"",INDEX(Transaksi!$B$1:$B$5015,ROUND(MOD(MOD(SMALL(Transaksi!$X$16:$X$5015,66),1),0.01)*10000000,0)))))</f>
        <v/>
      </c>
      <c r="C75" s="136">
        <f>IF(66&gt;COUNT(Transaksi!$X$16:$X$5015),"",INDEX(Transaksi!$J$1:$J$5015,ROUND(MOD(MOD(SMALL(Transaksi!$X$16:$X$5015,66),1),0.01)*10000000,0))&amp;IF(INDEX(Transaksi!$D$1:$D$5015,ROUND(MOD(MOD(SMALL(Transaksi!$X$16:$X$5015,66),1),0.01)*10000000,0))="Pindah",IF(INDEX(Transaksi!$C$1:$C$5015,ROUND(MOD(MOD(SMALL(Transaksi!$X$16:$X$5015,66),1),0.01)*10000000,0))=$C$4," (ke "&amp;INDEX(Transaksi!$E$1:$E$5015,ROUND(MOD(MOD(SMALL(Transaksi!$X$16:$X$5015,66),1),0.01)*10000000,0))&amp;")"," (dari "&amp;INDEX(Transaksi!$C$1:$C$5015,ROUND(MOD(MOD(SMALL(Transaksi!$X$16:$X$5015,66),1),0.01)*10000000,0))&amp;")"),""))</f>
        <v/>
      </c>
      <c r="D75" s="137">
        <f>IF(66&gt;COUNT(Transaksi!$X$16:$X$5015),"",INDEX(Transaksi!$I$1:$I$5015,ROUND(MOD(MOD(SMALL(Transaksi!$X$16:$X$5015,66),1),0.01)*10000000,0)))</f>
        <v/>
      </c>
      <c r="E75" s="138">
        <f>IF(66&gt;COUNT(Transaksi!$X$16:$X$5015),"",IF(IF(INDEX(Transaksi!$C$1:$C$5015,ROUND(MOD(MOD(SMALL(Transaksi!$X$16:$X$5015,66),1),0.01)*10000000,0))=$C$4,IF(INDEX(Transaksi!$D$1:$D$5015,ROUND(MOD(MOD(SMALL(Transaksi!$X$16:$X$5015,66),1),0.01)*10000000,0))="Masuk",1,-1),1)&gt;0,INDEX(Transaksi!$F$1:$F$5015,ROUND(MOD(MOD(SMALL(Transaksi!$X$16:$X$5015,66),1),0.01)*10000000,0)),""))</f>
        <v/>
      </c>
      <c r="F75" s="139">
        <f>IF(66&gt;COUNT(Transaksi!$X$16:$X$5015),"",IF(IF(INDEX(Transaksi!$C$1:$C$5015,ROUND(MOD(MOD(SMALL(Transaksi!$X$16:$X$5015,66),1),0.01)*10000000,0))=$C$4,IF(INDEX(Transaksi!$D$1:$D$5015,ROUND(MOD(MOD(SMALL(Transaksi!$X$16:$X$5015,66),1),0.01)*10000000,0))="Masuk",1,-1),1)&lt;0,INDEX(Transaksi!$F$1:$F$5015,ROUND(MOD(MOD(SMALL(Transaksi!$X$16:$X$5015,66),1),0.01)*10000000,0)),""))</f>
        <v/>
      </c>
      <c r="G75" s="106">
        <f>IF(66&gt;COUNT(Transaksi!$X$16:$X$5015),"",N(G74)+N(E75)-N(F75))</f>
        <v/>
      </c>
      <c r="H75" s="137">
        <f>IF(66&gt;COUNT(Transaksi!$X$16:$X$5015),"",HYPERLINK("#Transaksi!B"&amp;A75,"Buka"))</f>
        <v/>
      </c>
    </row>
    <row r="76" ht="15" customHeight="1" s="94">
      <c r="A76" s="93">
        <f>IF(67&gt;COUNT(Transaksi!$X$16:$X$5015),"",ROUND(MOD(MOD(SMALL(Transaksi!$X$16:$X$5015,67),1),0.01)*10000000,0))</f>
        <v/>
      </c>
      <c r="B76" s="135">
        <f>IF(67&gt;COUNT(Transaksi!$X$16:$X$5015),"",IF(67=1,INDEX(Transaksi!$B$1:$B$5015,ROUND(MOD(MOD(SMALL(Transaksi!$X$16:$X$5015,67),1),0.01)*10000000,0)),IF(INDEX(Transaksi!$B$1:$B$5015,ROUND(MOD(MOD(SMALL(Transaksi!$X$16:$X$5015,67),1),0.01)*10000000,0))=INDEX(Transaksi!$B$1:$B$5015,A75),"",INDEX(Transaksi!$B$1:$B$5015,ROUND(MOD(MOD(SMALL(Transaksi!$X$16:$X$5015,67),1),0.01)*10000000,0)))))</f>
        <v/>
      </c>
      <c r="C76" s="136">
        <f>IF(67&gt;COUNT(Transaksi!$X$16:$X$5015),"",INDEX(Transaksi!$J$1:$J$5015,ROUND(MOD(MOD(SMALL(Transaksi!$X$16:$X$5015,67),1),0.01)*10000000,0))&amp;IF(INDEX(Transaksi!$D$1:$D$5015,ROUND(MOD(MOD(SMALL(Transaksi!$X$16:$X$5015,67),1),0.01)*10000000,0))="Pindah",IF(INDEX(Transaksi!$C$1:$C$5015,ROUND(MOD(MOD(SMALL(Transaksi!$X$16:$X$5015,67),1),0.01)*10000000,0))=$C$4," (ke "&amp;INDEX(Transaksi!$E$1:$E$5015,ROUND(MOD(MOD(SMALL(Transaksi!$X$16:$X$5015,67),1),0.01)*10000000,0))&amp;")"," (dari "&amp;INDEX(Transaksi!$C$1:$C$5015,ROUND(MOD(MOD(SMALL(Transaksi!$X$16:$X$5015,67),1),0.01)*10000000,0))&amp;")"),""))</f>
        <v/>
      </c>
      <c r="D76" s="137">
        <f>IF(67&gt;COUNT(Transaksi!$X$16:$X$5015),"",INDEX(Transaksi!$I$1:$I$5015,ROUND(MOD(MOD(SMALL(Transaksi!$X$16:$X$5015,67),1),0.01)*10000000,0)))</f>
        <v/>
      </c>
      <c r="E76" s="138">
        <f>IF(67&gt;COUNT(Transaksi!$X$16:$X$5015),"",IF(IF(INDEX(Transaksi!$C$1:$C$5015,ROUND(MOD(MOD(SMALL(Transaksi!$X$16:$X$5015,67),1),0.01)*10000000,0))=$C$4,IF(INDEX(Transaksi!$D$1:$D$5015,ROUND(MOD(MOD(SMALL(Transaksi!$X$16:$X$5015,67),1),0.01)*10000000,0))="Masuk",1,-1),1)&gt;0,INDEX(Transaksi!$F$1:$F$5015,ROUND(MOD(MOD(SMALL(Transaksi!$X$16:$X$5015,67),1),0.01)*10000000,0)),""))</f>
        <v/>
      </c>
      <c r="F76" s="139">
        <f>IF(67&gt;COUNT(Transaksi!$X$16:$X$5015),"",IF(IF(INDEX(Transaksi!$C$1:$C$5015,ROUND(MOD(MOD(SMALL(Transaksi!$X$16:$X$5015,67),1),0.01)*10000000,0))=$C$4,IF(INDEX(Transaksi!$D$1:$D$5015,ROUND(MOD(MOD(SMALL(Transaksi!$X$16:$X$5015,67),1),0.01)*10000000,0))="Masuk",1,-1),1)&lt;0,INDEX(Transaksi!$F$1:$F$5015,ROUND(MOD(MOD(SMALL(Transaksi!$X$16:$X$5015,67),1),0.01)*10000000,0)),""))</f>
        <v/>
      </c>
      <c r="G76" s="106">
        <f>IF(67&gt;COUNT(Transaksi!$X$16:$X$5015),"",N(G75)+N(E76)-N(F76))</f>
        <v/>
      </c>
      <c r="H76" s="137">
        <f>IF(67&gt;COUNT(Transaksi!$X$16:$X$5015),"",HYPERLINK("#Transaksi!B"&amp;A76,"Buka"))</f>
        <v/>
      </c>
    </row>
    <row r="77" ht="15" customHeight="1" s="94">
      <c r="A77" s="93">
        <f>IF(68&gt;COUNT(Transaksi!$X$16:$X$5015),"",ROUND(MOD(MOD(SMALL(Transaksi!$X$16:$X$5015,68),1),0.01)*10000000,0))</f>
        <v/>
      </c>
      <c r="B77" s="135">
        <f>IF(68&gt;COUNT(Transaksi!$X$16:$X$5015),"",IF(68=1,INDEX(Transaksi!$B$1:$B$5015,ROUND(MOD(MOD(SMALL(Transaksi!$X$16:$X$5015,68),1),0.01)*10000000,0)),IF(INDEX(Transaksi!$B$1:$B$5015,ROUND(MOD(MOD(SMALL(Transaksi!$X$16:$X$5015,68),1),0.01)*10000000,0))=INDEX(Transaksi!$B$1:$B$5015,A76),"",INDEX(Transaksi!$B$1:$B$5015,ROUND(MOD(MOD(SMALL(Transaksi!$X$16:$X$5015,68),1),0.01)*10000000,0)))))</f>
        <v/>
      </c>
      <c r="C77" s="136">
        <f>IF(68&gt;COUNT(Transaksi!$X$16:$X$5015),"",INDEX(Transaksi!$J$1:$J$5015,ROUND(MOD(MOD(SMALL(Transaksi!$X$16:$X$5015,68),1),0.01)*10000000,0))&amp;IF(INDEX(Transaksi!$D$1:$D$5015,ROUND(MOD(MOD(SMALL(Transaksi!$X$16:$X$5015,68),1),0.01)*10000000,0))="Pindah",IF(INDEX(Transaksi!$C$1:$C$5015,ROUND(MOD(MOD(SMALL(Transaksi!$X$16:$X$5015,68),1),0.01)*10000000,0))=$C$4," (ke "&amp;INDEX(Transaksi!$E$1:$E$5015,ROUND(MOD(MOD(SMALL(Transaksi!$X$16:$X$5015,68),1),0.01)*10000000,0))&amp;")"," (dari "&amp;INDEX(Transaksi!$C$1:$C$5015,ROUND(MOD(MOD(SMALL(Transaksi!$X$16:$X$5015,68),1),0.01)*10000000,0))&amp;")"),""))</f>
        <v/>
      </c>
      <c r="D77" s="137">
        <f>IF(68&gt;COUNT(Transaksi!$X$16:$X$5015),"",INDEX(Transaksi!$I$1:$I$5015,ROUND(MOD(MOD(SMALL(Transaksi!$X$16:$X$5015,68),1),0.01)*10000000,0)))</f>
        <v/>
      </c>
      <c r="E77" s="138">
        <f>IF(68&gt;COUNT(Transaksi!$X$16:$X$5015),"",IF(IF(INDEX(Transaksi!$C$1:$C$5015,ROUND(MOD(MOD(SMALL(Transaksi!$X$16:$X$5015,68),1),0.01)*10000000,0))=$C$4,IF(INDEX(Transaksi!$D$1:$D$5015,ROUND(MOD(MOD(SMALL(Transaksi!$X$16:$X$5015,68),1),0.01)*10000000,0))="Masuk",1,-1),1)&gt;0,INDEX(Transaksi!$F$1:$F$5015,ROUND(MOD(MOD(SMALL(Transaksi!$X$16:$X$5015,68),1),0.01)*10000000,0)),""))</f>
        <v/>
      </c>
      <c r="F77" s="139">
        <f>IF(68&gt;COUNT(Transaksi!$X$16:$X$5015),"",IF(IF(INDEX(Transaksi!$C$1:$C$5015,ROUND(MOD(MOD(SMALL(Transaksi!$X$16:$X$5015,68),1),0.01)*10000000,0))=$C$4,IF(INDEX(Transaksi!$D$1:$D$5015,ROUND(MOD(MOD(SMALL(Transaksi!$X$16:$X$5015,68),1),0.01)*10000000,0))="Masuk",1,-1),1)&lt;0,INDEX(Transaksi!$F$1:$F$5015,ROUND(MOD(MOD(SMALL(Transaksi!$X$16:$X$5015,68),1),0.01)*10000000,0)),""))</f>
        <v/>
      </c>
      <c r="G77" s="106">
        <f>IF(68&gt;COUNT(Transaksi!$X$16:$X$5015),"",N(G76)+N(E77)-N(F77))</f>
        <v/>
      </c>
      <c r="H77" s="137">
        <f>IF(68&gt;COUNT(Transaksi!$X$16:$X$5015),"",HYPERLINK("#Transaksi!B"&amp;A77,"Buka"))</f>
        <v/>
      </c>
    </row>
    <row r="78" ht="15" customHeight="1" s="94">
      <c r="A78" s="93">
        <f>IF(69&gt;COUNT(Transaksi!$X$16:$X$5015),"",ROUND(MOD(MOD(SMALL(Transaksi!$X$16:$X$5015,69),1),0.01)*10000000,0))</f>
        <v/>
      </c>
      <c r="B78" s="135">
        <f>IF(69&gt;COUNT(Transaksi!$X$16:$X$5015),"",IF(69=1,INDEX(Transaksi!$B$1:$B$5015,ROUND(MOD(MOD(SMALL(Transaksi!$X$16:$X$5015,69),1),0.01)*10000000,0)),IF(INDEX(Transaksi!$B$1:$B$5015,ROUND(MOD(MOD(SMALL(Transaksi!$X$16:$X$5015,69),1),0.01)*10000000,0))=INDEX(Transaksi!$B$1:$B$5015,A77),"",INDEX(Transaksi!$B$1:$B$5015,ROUND(MOD(MOD(SMALL(Transaksi!$X$16:$X$5015,69),1),0.01)*10000000,0)))))</f>
        <v/>
      </c>
      <c r="C78" s="136">
        <f>IF(69&gt;COUNT(Transaksi!$X$16:$X$5015),"",INDEX(Transaksi!$J$1:$J$5015,ROUND(MOD(MOD(SMALL(Transaksi!$X$16:$X$5015,69),1),0.01)*10000000,0))&amp;IF(INDEX(Transaksi!$D$1:$D$5015,ROUND(MOD(MOD(SMALL(Transaksi!$X$16:$X$5015,69),1),0.01)*10000000,0))="Pindah",IF(INDEX(Transaksi!$C$1:$C$5015,ROUND(MOD(MOD(SMALL(Transaksi!$X$16:$X$5015,69),1),0.01)*10000000,0))=$C$4," (ke "&amp;INDEX(Transaksi!$E$1:$E$5015,ROUND(MOD(MOD(SMALL(Transaksi!$X$16:$X$5015,69),1),0.01)*10000000,0))&amp;")"," (dari "&amp;INDEX(Transaksi!$C$1:$C$5015,ROUND(MOD(MOD(SMALL(Transaksi!$X$16:$X$5015,69),1),0.01)*10000000,0))&amp;")"),""))</f>
        <v/>
      </c>
      <c r="D78" s="137">
        <f>IF(69&gt;COUNT(Transaksi!$X$16:$X$5015),"",INDEX(Transaksi!$I$1:$I$5015,ROUND(MOD(MOD(SMALL(Transaksi!$X$16:$X$5015,69),1),0.01)*10000000,0)))</f>
        <v/>
      </c>
      <c r="E78" s="138">
        <f>IF(69&gt;COUNT(Transaksi!$X$16:$X$5015),"",IF(IF(INDEX(Transaksi!$C$1:$C$5015,ROUND(MOD(MOD(SMALL(Transaksi!$X$16:$X$5015,69),1),0.01)*10000000,0))=$C$4,IF(INDEX(Transaksi!$D$1:$D$5015,ROUND(MOD(MOD(SMALL(Transaksi!$X$16:$X$5015,69),1),0.01)*10000000,0))="Masuk",1,-1),1)&gt;0,INDEX(Transaksi!$F$1:$F$5015,ROUND(MOD(MOD(SMALL(Transaksi!$X$16:$X$5015,69),1),0.01)*10000000,0)),""))</f>
        <v/>
      </c>
      <c r="F78" s="139">
        <f>IF(69&gt;COUNT(Transaksi!$X$16:$X$5015),"",IF(IF(INDEX(Transaksi!$C$1:$C$5015,ROUND(MOD(MOD(SMALL(Transaksi!$X$16:$X$5015,69),1),0.01)*10000000,0))=$C$4,IF(INDEX(Transaksi!$D$1:$D$5015,ROUND(MOD(MOD(SMALL(Transaksi!$X$16:$X$5015,69),1),0.01)*10000000,0))="Masuk",1,-1),1)&lt;0,INDEX(Transaksi!$F$1:$F$5015,ROUND(MOD(MOD(SMALL(Transaksi!$X$16:$X$5015,69),1),0.01)*10000000,0)),""))</f>
        <v/>
      </c>
      <c r="G78" s="106">
        <f>IF(69&gt;COUNT(Transaksi!$X$16:$X$5015),"",N(G77)+N(E78)-N(F78))</f>
        <v/>
      </c>
      <c r="H78" s="137">
        <f>IF(69&gt;COUNT(Transaksi!$X$16:$X$5015),"",HYPERLINK("#Transaksi!B"&amp;A78,"Buka"))</f>
        <v/>
      </c>
    </row>
    <row r="79" ht="15" customHeight="1" s="94">
      <c r="A79" s="93">
        <f>IF(70&gt;COUNT(Transaksi!$X$16:$X$5015),"",ROUND(MOD(MOD(SMALL(Transaksi!$X$16:$X$5015,70),1),0.01)*10000000,0))</f>
        <v/>
      </c>
      <c r="B79" s="135">
        <f>IF(70&gt;COUNT(Transaksi!$X$16:$X$5015),"",IF(70=1,INDEX(Transaksi!$B$1:$B$5015,ROUND(MOD(MOD(SMALL(Transaksi!$X$16:$X$5015,70),1),0.01)*10000000,0)),IF(INDEX(Transaksi!$B$1:$B$5015,ROUND(MOD(MOD(SMALL(Transaksi!$X$16:$X$5015,70),1),0.01)*10000000,0))=INDEX(Transaksi!$B$1:$B$5015,A78),"",INDEX(Transaksi!$B$1:$B$5015,ROUND(MOD(MOD(SMALL(Transaksi!$X$16:$X$5015,70),1),0.01)*10000000,0)))))</f>
        <v/>
      </c>
      <c r="C79" s="136">
        <f>IF(70&gt;COUNT(Transaksi!$X$16:$X$5015),"",INDEX(Transaksi!$J$1:$J$5015,ROUND(MOD(MOD(SMALL(Transaksi!$X$16:$X$5015,70),1),0.01)*10000000,0))&amp;IF(INDEX(Transaksi!$D$1:$D$5015,ROUND(MOD(MOD(SMALL(Transaksi!$X$16:$X$5015,70),1),0.01)*10000000,0))="Pindah",IF(INDEX(Transaksi!$C$1:$C$5015,ROUND(MOD(MOD(SMALL(Transaksi!$X$16:$X$5015,70),1),0.01)*10000000,0))=$C$4," (ke "&amp;INDEX(Transaksi!$E$1:$E$5015,ROUND(MOD(MOD(SMALL(Transaksi!$X$16:$X$5015,70),1),0.01)*10000000,0))&amp;")"," (dari "&amp;INDEX(Transaksi!$C$1:$C$5015,ROUND(MOD(MOD(SMALL(Transaksi!$X$16:$X$5015,70),1),0.01)*10000000,0))&amp;")"),""))</f>
        <v/>
      </c>
      <c r="D79" s="137">
        <f>IF(70&gt;COUNT(Transaksi!$X$16:$X$5015),"",INDEX(Transaksi!$I$1:$I$5015,ROUND(MOD(MOD(SMALL(Transaksi!$X$16:$X$5015,70),1),0.01)*10000000,0)))</f>
        <v/>
      </c>
      <c r="E79" s="138">
        <f>IF(70&gt;COUNT(Transaksi!$X$16:$X$5015),"",IF(IF(INDEX(Transaksi!$C$1:$C$5015,ROUND(MOD(MOD(SMALL(Transaksi!$X$16:$X$5015,70),1),0.01)*10000000,0))=$C$4,IF(INDEX(Transaksi!$D$1:$D$5015,ROUND(MOD(MOD(SMALL(Transaksi!$X$16:$X$5015,70),1),0.01)*10000000,0))="Masuk",1,-1),1)&gt;0,INDEX(Transaksi!$F$1:$F$5015,ROUND(MOD(MOD(SMALL(Transaksi!$X$16:$X$5015,70),1),0.01)*10000000,0)),""))</f>
        <v/>
      </c>
      <c r="F79" s="139">
        <f>IF(70&gt;COUNT(Transaksi!$X$16:$X$5015),"",IF(IF(INDEX(Transaksi!$C$1:$C$5015,ROUND(MOD(MOD(SMALL(Transaksi!$X$16:$X$5015,70),1),0.01)*10000000,0))=$C$4,IF(INDEX(Transaksi!$D$1:$D$5015,ROUND(MOD(MOD(SMALL(Transaksi!$X$16:$X$5015,70),1),0.01)*10000000,0))="Masuk",1,-1),1)&lt;0,INDEX(Transaksi!$F$1:$F$5015,ROUND(MOD(MOD(SMALL(Transaksi!$X$16:$X$5015,70),1),0.01)*10000000,0)),""))</f>
        <v/>
      </c>
      <c r="G79" s="106">
        <f>IF(70&gt;COUNT(Transaksi!$X$16:$X$5015),"",N(G78)+N(E79)-N(F79))</f>
        <v/>
      </c>
      <c r="H79" s="137">
        <f>IF(70&gt;COUNT(Transaksi!$X$16:$X$5015),"",HYPERLINK("#Transaksi!B"&amp;A79,"Buka"))</f>
        <v/>
      </c>
    </row>
    <row r="80" ht="15" customHeight="1" s="94">
      <c r="A80" s="93">
        <f>IF(71&gt;COUNT(Transaksi!$X$16:$X$5015),"",ROUND(MOD(MOD(SMALL(Transaksi!$X$16:$X$5015,71),1),0.01)*10000000,0))</f>
        <v/>
      </c>
      <c r="B80" s="135">
        <f>IF(71&gt;COUNT(Transaksi!$X$16:$X$5015),"",IF(71=1,INDEX(Transaksi!$B$1:$B$5015,ROUND(MOD(MOD(SMALL(Transaksi!$X$16:$X$5015,71),1),0.01)*10000000,0)),IF(INDEX(Transaksi!$B$1:$B$5015,ROUND(MOD(MOD(SMALL(Transaksi!$X$16:$X$5015,71),1),0.01)*10000000,0))=INDEX(Transaksi!$B$1:$B$5015,A79),"",INDEX(Transaksi!$B$1:$B$5015,ROUND(MOD(MOD(SMALL(Transaksi!$X$16:$X$5015,71),1),0.01)*10000000,0)))))</f>
        <v/>
      </c>
      <c r="C80" s="136">
        <f>IF(71&gt;COUNT(Transaksi!$X$16:$X$5015),"",INDEX(Transaksi!$J$1:$J$5015,ROUND(MOD(MOD(SMALL(Transaksi!$X$16:$X$5015,71),1),0.01)*10000000,0))&amp;IF(INDEX(Transaksi!$D$1:$D$5015,ROUND(MOD(MOD(SMALL(Transaksi!$X$16:$X$5015,71),1),0.01)*10000000,0))="Pindah",IF(INDEX(Transaksi!$C$1:$C$5015,ROUND(MOD(MOD(SMALL(Transaksi!$X$16:$X$5015,71),1),0.01)*10000000,0))=$C$4," (ke "&amp;INDEX(Transaksi!$E$1:$E$5015,ROUND(MOD(MOD(SMALL(Transaksi!$X$16:$X$5015,71),1),0.01)*10000000,0))&amp;")"," (dari "&amp;INDEX(Transaksi!$C$1:$C$5015,ROUND(MOD(MOD(SMALL(Transaksi!$X$16:$X$5015,71),1),0.01)*10000000,0))&amp;")"),""))</f>
        <v/>
      </c>
      <c r="D80" s="137">
        <f>IF(71&gt;COUNT(Transaksi!$X$16:$X$5015),"",INDEX(Transaksi!$I$1:$I$5015,ROUND(MOD(MOD(SMALL(Transaksi!$X$16:$X$5015,71),1),0.01)*10000000,0)))</f>
        <v/>
      </c>
      <c r="E80" s="138">
        <f>IF(71&gt;COUNT(Transaksi!$X$16:$X$5015),"",IF(IF(INDEX(Transaksi!$C$1:$C$5015,ROUND(MOD(MOD(SMALL(Transaksi!$X$16:$X$5015,71),1),0.01)*10000000,0))=$C$4,IF(INDEX(Transaksi!$D$1:$D$5015,ROUND(MOD(MOD(SMALL(Transaksi!$X$16:$X$5015,71),1),0.01)*10000000,0))="Masuk",1,-1),1)&gt;0,INDEX(Transaksi!$F$1:$F$5015,ROUND(MOD(MOD(SMALL(Transaksi!$X$16:$X$5015,71),1),0.01)*10000000,0)),""))</f>
        <v/>
      </c>
      <c r="F80" s="139">
        <f>IF(71&gt;COUNT(Transaksi!$X$16:$X$5015),"",IF(IF(INDEX(Transaksi!$C$1:$C$5015,ROUND(MOD(MOD(SMALL(Transaksi!$X$16:$X$5015,71),1),0.01)*10000000,0))=$C$4,IF(INDEX(Transaksi!$D$1:$D$5015,ROUND(MOD(MOD(SMALL(Transaksi!$X$16:$X$5015,71),1),0.01)*10000000,0))="Masuk",1,-1),1)&lt;0,INDEX(Transaksi!$F$1:$F$5015,ROUND(MOD(MOD(SMALL(Transaksi!$X$16:$X$5015,71),1),0.01)*10000000,0)),""))</f>
        <v/>
      </c>
      <c r="G80" s="106">
        <f>IF(71&gt;COUNT(Transaksi!$X$16:$X$5015),"",N(G79)+N(E80)-N(F80))</f>
        <v/>
      </c>
      <c r="H80" s="137">
        <f>IF(71&gt;COUNT(Transaksi!$X$16:$X$5015),"",HYPERLINK("#Transaksi!B"&amp;A80,"Buka"))</f>
        <v/>
      </c>
    </row>
    <row r="81" ht="15" customHeight="1" s="94">
      <c r="A81" s="93">
        <f>IF(72&gt;COUNT(Transaksi!$X$16:$X$5015),"",ROUND(MOD(MOD(SMALL(Transaksi!$X$16:$X$5015,72),1),0.01)*10000000,0))</f>
        <v/>
      </c>
      <c r="B81" s="135">
        <f>IF(72&gt;COUNT(Transaksi!$X$16:$X$5015),"",IF(72=1,INDEX(Transaksi!$B$1:$B$5015,ROUND(MOD(MOD(SMALL(Transaksi!$X$16:$X$5015,72),1),0.01)*10000000,0)),IF(INDEX(Transaksi!$B$1:$B$5015,ROUND(MOD(MOD(SMALL(Transaksi!$X$16:$X$5015,72),1),0.01)*10000000,0))=INDEX(Transaksi!$B$1:$B$5015,A80),"",INDEX(Transaksi!$B$1:$B$5015,ROUND(MOD(MOD(SMALL(Transaksi!$X$16:$X$5015,72),1),0.01)*10000000,0)))))</f>
        <v/>
      </c>
      <c r="C81" s="136">
        <f>IF(72&gt;COUNT(Transaksi!$X$16:$X$5015),"",INDEX(Transaksi!$J$1:$J$5015,ROUND(MOD(MOD(SMALL(Transaksi!$X$16:$X$5015,72),1),0.01)*10000000,0))&amp;IF(INDEX(Transaksi!$D$1:$D$5015,ROUND(MOD(MOD(SMALL(Transaksi!$X$16:$X$5015,72),1),0.01)*10000000,0))="Pindah",IF(INDEX(Transaksi!$C$1:$C$5015,ROUND(MOD(MOD(SMALL(Transaksi!$X$16:$X$5015,72),1),0.01)*10000000,0))=$C$4," (ke "&amp;INDEX(Transaksi!$E$1:$E$5015,ROUND(MOD(MOD(SMALL(Transaksi!$X$16:$X$5015,72),1),0.01)*10000000,0))&amp;")"," (dari "&amp;INDEX(Transaksi!$C$1:$C$5015,ROUND(MOD(MOD(SMALL(Transaksi!$X$16:$X$5015,72),1),0.01)*10000000,0))&amp;")"),""))</f>
        <v/>
      </c>
      <c r="D81" s="137">
        <f>IF(72&gt;COUNT(Transaksi!$X$16:$X$5015),"",INDEX(Transaksi!$I$1:$I$5015,ROUND(MOD(MOD(SMALL(Transaksi!$X$16:$X$5015,72),1),0.01)*10000000,0)))</f>
        <v/>
      </c>
      <c r="E81" s="138">
        <f>IF(72&gt;COUNT(Transaksi!$X$16:$X$5015),"",IF(IF(INDEX(Transaksi!$C$1:$C$5015,ROUND(MOD(MOD(SMALL(Transaksi!$X$16:$X$5015,72),1),0.01)*10000000,0))=$C$4,IF(INDEX(Transaksi!$D$1:$D$5015,ROUND(MOD(MOD(SMALL(Transaksi!$X$16:$X$5015,72),1),0.01)*10000000,0))="Masuk",1,-1),1)&gt;0,INDEX(Transaksi!$F$1:$F$5015,ROUND(MOD(MOD(SMALL(Transaksi!$X$16:$X$5015,72),1),0.01)*10000000,0)),""))</f>
        <v/>
      </c>
      <c r="F81" s="139">
        <f>IF(72&gt;COUNT(Transaksi!$X$16:$X$5015),"",IF(IF(INDEX(Transaksi!$C$1:$C$5015,ROUND(MOD(MOD(SMALL(Transaksi!$X$16:$X$5015,72),1),0.01)*10000000,0))=$C$4,IF(INDEX(Transaksi!$D$1:$D$5015,ROUND(MOD(MOD(SMALL(Transaksi!$X$16:$X$5015,72),1),0.01)*10000000,0))="Masuk",1,-1),1)&lt;0,INDEX(Transaksi!$F$1:$F$5015,ROUND(MOD(MOD(SMALL(Transaksi!$X$16:$X$5015,72),1),0.01)*10000000,0)),""))</f>
        <v/>
      </c>
      <c r="G81" s="106">
        <f>IF(72&gt;COUNT(Transaksi!$X$16:$X$5015),"",N(G80)+N(E81)-N(F81))</f>
        <v/>
      </c>
      <c r="H81" s="137">
        <f>IF(72&gt;COUNT(Transaksi!$X$16:$X$5015),"",HYPERLINK("#Transaksi!B"&amp;A81,"Buka"))</f>
        <v/>
      </c>
    </row>
    <row r="82" ht="15" customHeight="1" s="94">
      <c r="A82" s="93">
        <f>IF(73&gt;COUNT(Transaksi!$X$16:$X$5015),"",ROUND(MOD(MOD(SMALL(Transaksi!$X$16:$X$5015,73),1),0.01)*10000000,0))</f>
        <v/>
      </c>
      <c r="B82" s="135">
        <f>IF(73&gt;COUNT(Transaksi!$X$16:$X$5015),"",IF(73=1,INDEX(Transaksi!$B$1:$B$5015,ROUND(MOD(MOD(SMALL(Transaksi!$X$16:$X$5015,73),1),0.01)*10000000,0)),IF(INDEX(Transaksi!$B$1:$B$5015,ROUND(MOD(MOD(SMALL(Transaksi!$X$16:$X$5015,73),1),0.01)*10000000,0))=INDEX(Transaksi!$B$1:$B$5015,A81),"",INDEX(Transaksi!$B$1:$B$5015,ROUND(MOD(MOD(SMALL(Transaksi!$X$16:$X$5015,73),1),0.01)*10000000,0)))))</f>
        <v/>
      </c>
      <c r="C82" s="136">
        <f>IF(73&gt;COUNT(Transaksi!$X$16:$X$5015),"",INDEX(Transaksi!$J$1:$J$5015,ROUND(MOD(MOD(SMALL(Transaksi!$X$16:$X$5015,73),1),0.01)*10000000,0))&amp;IF(INDEX(Transaksi!$D$1:$D$5015,ROUND(MOD(MOD(SMALL(Transaksi!$X$16:$X$5015,73),1),0.01)*10000000,0))="Pindah",IF(INDEX(Transaksi!$C$1:$C$5015,ROUND(MOD(MOD(SMALL(Transaksi!$X$16:$X$5015,73),1),0.01)*10000000,0))=$C$4," (ke "&amp;INDEX(Transaksi!$E$1:$E$5015,ROUND(MOD(MOD(SMALL(Transaksi!$X$16:$X$5015,73),1),0.01)*10000000,0))&amp;")"," (dari "&amp;INDEX(Transaksi!$C$1:$C$5015,ROUND(MOD(MOD(SMALL(Transaksi!$X$16:$X$5015,73),1),0.01)*10000000,0))&amp;")"),""))</f>
        <v/>
      </c>
      <c r="D82" s="137">
        <f>IF(73&gt;COUNT(Transaksi!$X$16:$X$5015),"",INDEX(Transaksi!$I$1:$I$5015,ROUND(MOD(MOD(SMALL(Transaksi!$X$16:$X$5015,73),1),0.01)*10000000,0)))</f>
        <v/>
      </c>
      <c r="E82" s="138">
        <f>IF(73&gt;COUNT(Transaksi!$X$16:$X$5015),"",IF(IF(INDEX(Transaksi!$C$1:$C$5015,ROUND(MOD(MOD(SMALL(Transaksi!$X$16:$X$5015,73),1),0.01)*10000000,0))=$C$4,IF(INDEX(Transaksi!$D$1:$D$5015,ROUND(MOD(MOD(SMALL(Transaksi!$X$16:$X$5015,73),1),0.01)*10000000,0))="Masuk",1,-1),1)&gt;0,INDEX(Transaksi!$F$1:$F$5015,ROUND(MOD(MOD(SMALL(Transaksi!$X$16:$X$5015,73),1),0.01)*10000000,0)),""))</f>
        <v/>
      </c>
      <c r="F82" s="139">
        <f>IF(73&gt;COUNT(Transaksi!$X$16:$X$5015),"",IF(IF(INDEX(Transaksi!$C$1:$C$5015,ROUND(MOD(MOD(SMALL(Transaksi!$X$16:$X$5015,73),1),0.01)*10000000,0))=$C$4,IF(INDEX(Transaksi!$D$1:$D$5015,ROUND(MOD(MOD(SMALL(Transaksi!$X$16:$X$5015,73),1),0.01)*10000000,0))="Masuk",1,-1),1)&lt;0,INDEX(Transaksi!$F$1:$F$5015,ROUND(MOD(MOD(SMALL(Transaksi!$X$16:$X$5015,73),1),0.01)*10000000,0)),""))</f>
        <v/>
      </c>
      <c r="G82" s="106">
        <f>IF(73&gt;COUNT(Transaksi!$X$16:$X$5015),"",N(G81)+N(E82)-N(F82))</f>
        <v/>
      </c>
      <c r="H82" s="137">
        <f>IF(73&gt;COUNT(Transaksi!$X$16:$X$5015),"",HYPERLINK("#Transaksi!B"&amp;A82,"Buka"))</f>
        <v/>
      </c>
    </row>
    <row r="83" ht="15" customHeight="1" s="94">
      <c r="A83" s="93">
        <f>IF(74&gt;COUNT(Transaksi!$X$16:$X$5015),"",ROUND(MOD(MOD(SMALL(Transaksi!$X$16:$X$5015,74),1),0.01)*10000000,0))</f>
        <v/>
      </c>
      <c r="B83" s="135">
        <f>IF(74&gt;COUNT(Transaksi!$X$16:$X$5015),"",IF(74=1,INDEX(Transaksi!$B$1:$B$5015,ROUND(MOD(MOD(SMALL(Transaksi!$X$16:$X$5015,74),1),0.01)*10000000,0)),IF(INDEX(Transaksi!$B$1:$B$5015,ROUND(MOD(MOD(SMALL(Transaksi!$X$16:$X$5015,74),1),0.01)*10000000,0))=INDEX(Transaksi!$B$1:$B$5015,A82),"",INDEX(Transaksi!$B$1:$B$5015,ROUND(MOD(MOD(SMALL(Transaksi!$X$16:$X$5015,74),1),0.01)*10000000,0)))))</f>
        <v/>
      </c>
      <c r="C83" s="136">
        <f>IF(74&gt;COUNT(Transaksi!$X$16:$X$5015),"",INDEX(Transaksi!$J$1:$J$5015,ROUND(MOD(MOD(SMALL(Transaksi!$X$16:$X$5015,74),1),0.01)*10000000,0))&amp;IF(INDEX(Transaksi!$D$1:$D$5015,ROUND(MOD(MOD(SMALL(Transaksi!$X$16:$X$5015,74),1),0.01)*10000000,0))="Pindah",IF(INDEX(Transaksi!$C$1:$C$5015,ROUND(MOD(MOD(SMALL(Transaksi!$X$16:$X$5015,74),1),0.01)*10000000,0))=$C$4," (ke "&amp;INDEX(Transaksi!$E$1:$E$5015,ROUND(MOD(MOD(SMALL(Transaksi!$X$16:$X$5015,74),1),0.01)*10000000,0))&amp;")"," (dari "&amp;INDEX(Transaksi!$C$1:$C$5015,ROUND(MOD(MOD(SMALL(Transaksi!$X$16:$X$5015,74),1),0.01)*10000000,0))&amp;")"),""))</f>
        <v/>
      </c>
      <c r="D83" s="137">
        <f>IF(74&gt;COUNT(Transaksi!$X$16:$X$5015),"",INDEX(Transaksi!$I$1:$I$5015,ROUND(MOD(MOD(SMALL(Transaksi!$X$16:$X$5015,74),1),0.01)*10000000,0)))</f>
        <v/>
      </c>
      <c r="E83" s="138">
        <f>IF(74&gt;COUNT(Transaksi!$X$16:$X$5015),"",IF(IF(INDEX(Transaksi!$C$1:$C$5015,ROUND(MOD(MOD(SMALL(Transaksi!$X$16:$X$5015,74),1),0.01)*10000000,0))=$C$4,IF(INDEX(Transaksi!$D$1:$D$5015,ROUND(MOD(MOD(SMALL(Transaksi!$X$16:$X$5015,74),1),0.01)*10000000,0))="Masuk",1,-1),1)&gt;0,INDEX(Transaksi!$F$1:$F$5015,ROUND(MOD(MOD(SMALL(Transaksi!$X$16:$X$5015,74),1),0.01)*10000000,0)),""))</f>
        <v/>
      </c>
      <c r="F83" s="139">
        <f>IF(74&gt;COUNT(Transaksi!$X$16:$X$5015),"",IF(IF(INDEX(Transaksi!$C$1:$C$5015,ROUND(MOD(MOD(SMALL(Transaksi!$X$16:$X$5015,74),1),0.01)*10000000,0))=$C$4,IF(INDEX(Transaksi!$D$1:$D$5015,ROUND(MOD(MOD(SMALL(Transaksi!$X$16:$X$5015,74),1),0.01)*10000000,0))="Masuk",1,-1),1)&lt;0,INDEX(Transaksi!$F$1:$F$5015,ROUND(MOD(MOD(SMALL(Transaksi!$X$16:$X$5015,74),1),0.01)*10000000,0)),""))</f>
        <v/>
      </c>
      <c r="G83" s="106">
        <f>IF(74&gt;COUNT(Transaksi!$X$16:$X$5015),"",N(G82)+N(E83)-N(F83))</f>
        <v/>
      </c>
      <c r="H83" s="137">
        <f>IF(74&gt;COUNT(Transaksi!$X$16:$X$5015),"",HYPERLINK("#Transaksi!B"&amp;A83,"Buka"))</f>
        <v/>
      </c>
    </row>
    <row r="84" ht="15" customHeight="1" s="94">
      <c r="A84" s="93">
        <f>IF(75&gt;COUNT(Transaksi!$X$16:$X$5015),"",ROUND(MOD(MOD(SMALL(Transaksi!$X$16:$X$5015,75),1),0.01)*10000000,0))</f>
        <v/>
      </c>
      <c r="B84" s="135">
        <f>IF(75&gt;COUNT(Transaksi!$X$16:$X$5015),"",IF(75=1,INDEX(Transaksi!$B$1:$B$5015,ROUND(MOD(MOD(SMALL(Transaksi!$X$16:$X$5015,75),1),0.01)*10000000,0)),IF(INDEX(Transaksi!$B$1:$B$5015,ROUND(MOD(MOD(SMALL(Transaksi!$X$16:$X$5015,75),1),0.01)*10000000,0))=INDEX(Transaksi!$B$1:$B$5015,A83),"",INDEX(Transaksi!$B$1:$B$5015,ROUND(MOD(MOD(SMALL(Transaksi!$X$16:$X$5015,75),1),0.01)*10000000,0)))))</f>
        <v/>
      </c>
      <c r="C84" s="136">
        <f>IF(75&gt;COUNT(Transaksi!$X$16:$X$5015),"",INDEX(Transaksi!$J$1:$J$5015,ROUND(MOD(MOD(SMALL(Transaksi!$X$16:$X$5015,75),1),0.01)*10000000,0))&amp;IF(INDEX(Transaksi!$D$1:$D$5015,ROUND(MOD(MOD(SMALL(Transaksi!$X$16:$X$5015,75),1),0.01)*10000000,0))="Pindah",IF(INDEX(Transaksi!$C$1:$C$5015,ROUND(MOD(MOD(SMALL(Transaksi!$X$16:$X$5015,75),1),0.01)*10000000,0))=$C$4," (ke "&amp;INDEX(Transaksi!$E$1:$E$5015,ROUND(MOD(MOD(SMALL(Transaksi!$X$16:$X$5015,75),1),0.01)*10000000,0))&amp;")"," (dari "&amp;INDEX(Transaksi!$C$1:$C$5015,ROUND(MOD(MOD(SMALL(Transaksi!$X$16:$X$5015,75),1),0.01)*10000000,0))&amp;")"),""))</f>
        <v/>
      </c>
      <c r="D84" s="137">
        <f>IF(75&gt;COUNT(Transaksi!$X$16:$X$5015),"",INDEX(Transaksi!$I$1:$I$5015,ROUND(MOD(MOD(SMALL(Transaksi!$X$16:$X$5015,75),1),0.01)*10000000,0)))</f>
        <v/>
      </c>
      <c r="E84" s="138">
        <f>IF(75&gt;COUNT(Transaksi!$X$16:$X$5015),"",IF(IF(INDEX(Transaksi!$C$1:$C$5015,ROUND(MOD(MOD(SMALL(Transaksi!$X$16:$X$5015,75),1),0.01)*10000000,0))=$C$4,IF(INDEX(Transaksi!$D$1:$D$5015,ROUND(MOD(MOD(SMALL(Transaksi!$X$16:$X$5015,75),1),0.01)*10000000,0))="Masuk",1,-1),1)&gt;0,INDEX(Transaksi!$F$1:$F$5015,ROUND(MOD(MOD(SMALL(Transaksi!$X$16:$X$5015,75),1),0.01)*10000000,0)),""))</f>
        <v/>
      </c>
      <c r="F84" s="139">
        <f>IF(75&gt;COUNT(Transaksi!$X$16:$X$5015),"",IF(IF(INDEX(Transaksi!$C$1:$C$5015,ROUND(MOD(MOD(SMALL(Transaksi!$X$16:$X$5015,75),1),0.01)*10000000,0))=$C$4,IF(INDEX(Transaksi!$D$1:$D$5015,ROUND(MOD(MOD(SMALL(Transaksi!$X$16:$X$5015,75),1),0.01)*10000000,0))="Masuk",1,-1),1)&lt;0,INDEX(Transaksi!$F$1:$F$5015,ROUND(MOD(MOD(SMALL(Transaksi!$X$16:$X$5015,75),1),0.01)*10000000,0)),""))</f>
        <v/>
      </c>
      <c r="G84" s="106">
        <f>IF(75&gt;COUNT(Transaksi!$X$16:$X$5015),"",N(G83)+N(E84)-N(F84))</f>
        <v/>
      </c>
      <c r="H84" s="137">
        <f>IF(75&gt;COUNT(Transaksi!$X$16:$X$5015),"",HYPERLINK("#Transaksi!B"&amp;A84,"Buka"))</f>
        <v/>
      </c>
    </row>
    <row r="85" ht="15" customHeight="1" s="94">
      <c r="A85" s="93">
        <f>IF(76&gt;COUNT(Transaksi!$X$16:$X$5015),"",ROUND(MOD(MOD(SMALL(Transaksi!$X$16:$X$5015,76),1),0.01)*10000000,0))</f>
        <v/>
      </c>
      <c r="B85" s="135">
        <f>IF(76&gt;COUNT(Transaksi!$X$16:$X$5015),"",IF(76=1,INDEX(Transaksi!$B$1:$B$5015,ROUND(MOD(MOD(SMALL(Transaksi!$X$16:$X$5015,76),1),0.01)*10000000,0)),IF(INDEX(Transaksi!$B$1:$B$5015,ROUND(MOD(MOD(SMALL(Transaksi!$X$16:$X$5015,76),1),0.01)*10000000,0))=INDEX(Transaksi!$B$1:$B$5015,A84),"",INDEX(Transaksi!$B$1:$B$5015,ROUND(MOD(MOD(SMALL(Transaksi!$X$16:$X$5015,76),1),0.01)*10000000,0)))))</f>
        <v/>
      </c>
      <c r="C85" s="136">
        <f>IF(76&gt;COUNT(Transaksi!$X$16:$X$5015),"",INDEX(Transaksi!$J$1:$J$5015,ROUND(MOD(MOD(SMALL(Transaksi!$X$16:$X$5015,76),1),0.01)*10000000,0))&amp;IF(INDEX(Transaksi!$D$1:$D$5015,ROUND(MOD(MOD(SMALL(Transaksi!$X$16:$X$5015,76),1),0.01)*10000000,0))="Pindah",IF(INDEX(Transaksi!$C$1:$C$5015,ROUND(MOD(MOD(SMALL(Transaksi!$X$16:$X$5015,76),1),0.01)*10000000,0))=$C$4," (ke "&amp;INDEX(Transaksi!$E$1:$E$5015,ROUND(MOD(MOD(SMALL(Transaksi!$X$16:$X$5015,76),1),0.01)*10000000,0))&amp;")"," (dari "&amp;INDEX(Transaksi!$C$1:$C$5015,ROUND(MOD(MOD(SMALL(Transaksi!$X$16:$X$5015,76),1),0.01)*10000000,0))&amp;")"),""))</f>
        <v/>
      </c>
      <c r="D85" s="137">
        <f>IF(76&gt;COUNT(Transaksi!$X$16:$X$5015),"",INDEX(Transaksi!$I$1:$I$5015,ROUND(MOD(MOD(SMALL(Transaksi!$X$16:$X$5015,76),1),0.01)*10000000,0)))</f>
        <v/>
      </c>
      <c r="E85" s="138">
        <f>IF(76&gt;COUNT(Transaksi!$X$16:$X$5015),"",IF(IF(INDEX(Transaksi!$C$1:$C$5015,ROUND(MOD(MOD(SMALL(Transaksi!$X$16:$X$5015,76),1),0.01)*10000000,0))=$C$4,IF(INDEX(Transaksi!$D$1:$D$5015,ROUND(MOD(MOD(SMALL(Transaksi!$X$16:$X$5015,76),1),0.01)*10000000,0))="Masuk",1,-1),1)&gt;0,INDEX(Transaksi!$F$1:$F$5015,ROUND(MOD(MOD(SMALL(Transaksi!$X$16:$X$5015,76),1),0.01)*10000000,0)),""))</f>
        <v/>
      </c>
      <c r="F85" s="139">
        <f>IF(76&gt;COUNT(Transaksi!$X$16:$X$5015),"",IF(IF(INDEX(Transaksi!$C$1:$C$5015,ROUND(MOD(MOD(SMALL(Transaksi!$X$16:$X$5015,76),1),0.01)*10000000,0))=$C$4,IF(INDEX(Transaksi!$D$1:$D$5015,ROUND(MOD(MOD(SMALL(Transaksi!$X$16:$X$5015,76),1),0.01)*10000000,0))="Masuk",1,-1),1)&lt;0,INDEX(Transaksi!$F$1:$F$5015,ROUND(MOD(MOD(SMALL(Transaksi!$X$16:$X$5015,76),1),0.01)*10000000,0)),""))</f>
        <v/>
      </c>
      <c r="G85" s="106">
        <f>IF(76&gt;COUNT(Transaksi!$X$16:$X$5015),"",N(G84)+N(E85)-N(F85))</f>
        <v/>
      </c>
      <c r="H85" s="137">
        <f>IF(76&gt;COUNT(Transaksi!$X$16:$X$5015),"",HYPERLINK("#Transaksi!B"&amp;A85,"Buka"))</f>
        <v/>
      </c>
    </row>
    <row r="86" ht="15" customHeight="1" s="94">
      <c r="A86" s="93">
        <f>IF(77&gt;COUNT(Transaksi!$X$16:$X$5015),"",ROUND(MOD(MOD(SMALL(Transaksi!$X$16:$X$5015,77),1),0.01)*10000000,0))</f>
        <v/>
      </c>
      <c r="B86" s="135">
        <f>IF(77&gt;COUNT(Transaksi!$X$16:$X$5015),"",IF(77=1,INDEX(Transaksi!$B$1:$B$5015,ROUND(MOD(MOD(SMALL(Transaksi!$X$16:$X$5015,77),1),0.01)*10000000,0)),IF(INDEX(Transaksi!$B$1:$B$5015,ROUND(MOD(MOD(SMALL(Transaksi!$X$16:$X$5015,77),1),0.01)*10000000,0))=INDEX(Transaksi!$B$1:$B$5015,A85),"",INDEX(Transaksi!$B$1:$B$5015,ROUND(MOD(MOD(SMALL(Transaksi!$X$16:$X$5015,77),1),0.01)*10000000,0)))))</f>
        <v/>
      </c>
      <c r="C86" s="136">
        <f>IF(77&gt;COUNT(Transaksi!$X$16:$X$5015),"",INDEX(Transaksi!$J$1:$J$5015,ROUND(MOD(MOD(SMALL(Transaksi!$X$16:$X$5015,77),1),0.01)*10000000,0))&amp;IF(INDEX(Transaksi!$D$1:$D$5015,ROUND(MOD(MOD(SMALL(Transaksi!$X$16:$X$5015,77),1),0.01)*10000000,0))="Pindah",IF(INDEX(Transaksi!$C$1:$C$5015,ROUND(MOD(MOD(SMALL(Transaksi!$X$16:$X$5015,77),1),0.01)*10000000,0))=$C$4," (ke "&amp;INDEX(Transaksi!$E$1:$E$5015,ROUND(MOD(MOD(SMALL(Transaksi!$X$16:$X$5015,77),1),0.01)*10000000,0))&amp;")"," (dari "&amp;INDEX(Transaksi!$C$1:$C$5015,ROUND(MOD(MOD(SMALL(Transaksi!$X$16:$X$5015,77),1),0.01)*10000000,0))&amp;")"),""))</f>
        <v/>
      </c>
      <c r="D86" s="137">
        <f>IF(77&gt;COUNT(Transaksi!$X$16:$X$5015),"",INDEX(Transaksi!$I$1:$I$5015,ROUND(MOD(MOD(SMALL(Transaksi!$X$16:$X$5015,77),1),0.01)*10000000,0)))</f>
        <v/>
      </c>
      <c r="E86" s="138">
        <f>IF(77&gt;COUNT(Transaksi!$X$16:$X$5015),"",IF(IF(INDEX(Transaksi!$C$1:$C$5015,ROUND(MOD(MOD(SMALL(Transaksi!$X$16:$X$5015,77),1),0.01)*10000000,0))=$C$4,IF(INDEX(Transaksi!$D$1:$D$5015,ROUND(MOD(MOD(SMALL(Transaksi!$X$16:$X$5015,77),1),0.01)*10000000,0))="Masuk",1,-1),1)&gt;0,INDEX(Transaksi!$F$1:$F$5015,ROUND(MOD(MOD(SMALL(Transaksi!$X$16:$X$5015,77),1),0.01)*10000000,0)),""))</f>
        <v/>
      </c>
      <c r="F86" s="139">
        <f>IF(77&gt;COUNT(Transaksi!$X$16:$X$5015),"",IF(IF(INDEX(Transaksi!$C$1:$C$5015,ROUND(MOD(MOD(SMALL(Transaksi!$X$16:$X$5015,77),1),0.01)*10000000,0))=$C$4,IF(INDEX(Transaksi!$D$1:$D$5015,ROUND(MOD(MOD(SMALL(Transaksi!$X$16:$X$5015,77),1),0.01)*10000000,0))="Masuk",1,-1),1)&lt;0,INDEX(Transaksi!$F$1:$F$5015,ROUND(MOD(MOD(SMALL(Transaksi!$X$16:$X$5015,77),1),0.01)*10000000,0)),""))</f>
        <v/>
      </c>
      <c r="G86" s="106">
        <f>IF(77&gt;COUNT(Transaksi!$X$16:$X$5015),"",N(G85)+N(E86)-N(F86))</f>
        <v/>
      </c>
      <c r="H86" s="137">
        <f>IF(77&gt;COUNT(Transaksi!$X$16:$X$5015),"",HYPERLINK("#Transaksi!B"&amp;A86,"Buka"))</f>
        <v/>
      </c>
    </row>
    <row r="87" ht="15" customHeight="1" s="94">
      <c r="A87" s="93">
        <f>IF(78&gt;COUNT(Transaksi!$X$16:$X$5015),"",ROUND(MOD(MOD(SMALL(Transaksi!$X$16:$X$5015,78),1),0.01)*10000000,0))</f>
        <v/>
      </c>
      <c r="B87" s="135">
        <f>IF(78&gt;COUNT(Transaksi!$X$16:$X$5015),"",IF(78=1,INDEX(Transaksi!$B$1:$B$5015,ROUND(MOD(MOD(SMALL(Transaksi!$X$16:$X$5015,78),1),0.01)*10000000,0)),IF(INDEX(Transaksi!$B$1:$B$5015,ROUND(MOD(MOD(SMALL(Transaksi!$X$16:$X$5015,78),1),0.01)*10000000,0))=INDEX(Transaksi!$B$1:$B$5015,A86),"",INDEX(Transaksi!$B$1:$B$5015,ROUND(MOD(MOD(SMALL(Transaksi!$X$16:$X$5015,78),1),0.01)*10000000,0)))))</f>
        <v/>
      </c>
      <c r="C87" s="136">
        <f>IF(78&gt;COUNT(Transaksi!$X$16:$X$5015),"",INDEX(Transaksi!$J$1:$J$5015,ROUND(MOD(MOD(SMALL(Transaksi!$X$16:$X$5015,78),1),0.01)*10000000,0))&amp;IF(INDEX(Transaksi!$D$1:$D$5015,ROUND(MOD(MOD(SMALL(Transaksi!$X$16:$X$5015,78),1),0.01)*10000000,0))="Pindah",IF(INDEX(Transaksi!$C$1:$C$5015,ROUND(MOD(MOD(SMALL(Transaksi!$X$16:$X$5015,78),1),0.01)*10000000,0))=$C$4," (ke "&amp;INDEX(Transaksi!$E$1:$E$5015,ROUND(MOD(MOD(SMALL(Transaksi!$X$16:$X$5015,78),1),0.01)*10000000,0))&amp;")"," (dari "&amp;INDEX(Transaksi!$C$1:$C$5015,ROUND(MOD(MOD(SMALL(Transaksi!$X$16:$X$5015,78),1),0.01)*10000000,0))&amp;")"),""))</f>
        <v/>
      </c>
      <c r="D87" s="137">
        <f>IF(78&gt;COUNT(Transaksi!$X$16:$X$5015),"",INDEX(Transaksi!$I$1:$I$5015,ROUND(MOD(MOD(SMALL(Transaksi!$X$16:$X$5015,78),1),0.01)*10000000,0)))</f>
        <v/>
      </c>
      <c r="E87" s="138">
        <f>IF(78&gt;COUNT(Transaksi!$X$16:$X$5015),"",IF(IF(INDEX(Transaksi!$C$1:$C$5015,ROUND(MOD(MOD(SMALL(Transaksi!$X$16:$X$5015,78),1),0.01)*10000000,0))=$C$4,IF(INDEX(Transaksi!$D$1:$D$5015,ROUND(MOD(MOD(SMALL(Transaksi!$X$16:$X$5015,78),1),0.01)*10000000,0))="Masuk",1,-1),1)&gt;0,INDEX(Transaksi!$F$1:$F$5015,ROUND(MOD(MOD(SMALL(Transaksi!$X$16:$X$5015,78),1),0.01)*10000000,0)),""))</f>
        <v/>
      </c>
      <c r="F87" s="139">
        <f>IF(78&gt;COUNT(Transaksi!$X$16:$X$5015),"",IF(IF(INDEX(Transaksi!$C$1:$C$5015,ROUND(MOD(MOD(SMALL(Transaksi!$X$16:$X$5015,78),1),0.01)*10000000,0))=$C$4,IF(INDEX(Transaksi!$D$1:$D$5015,ROUND(MOD(MOD(SMALL(Transaksi!$X$16:$X$5015,78),1),0.01)*10000000,0))="Masuk",1,-1),1)&lt;0,INDEX(Transaksi!$F$1:$F$5015,ROUND(MOD(MOD(SMALL(Transaksi!$X$16:$X$5015,78),1),0.01)*10000000,0)),""))</f>
        <v/>
      </c>
      <c r="G87" s="106">
        <f>IF(78&gt;COUNT(Transaksi!$X$16:$X$5015),"",N(G86)+N(E87)-N(F87))</f>
        <v/>
      </c>
      <c r="H87" s="137">
        <f>IF(78&gt;COUNT(Transaksi!$X$16:$X$5015),"",HYPERLINK("#Transaksi!B"&amp;A87,"Buka"))</f>
        <v/>
      </c>
    </row>
    <row r="88" ht="15" customHeight="1" s="94">
      <c r="A88" s="93">
        <f>IF(79&gt;COUNT(Transaksi!$X$16:$X$5015),"",ROUND(MOD(MOD(SMALL(Transaksi!$X$16:$X$5015,79),1),0.01)*10000000,0))</f>
        <v/>
      </c>
      <c r="B88" s="135">
        <f>IF(79&gt;COUNT(Transaksi!$X$16:$X$5015),"",IF(79=1,INDEX(Transaksi!$B$1:$B$5015,ROUND(MOD(MOD(SMALL(Transaksi!$X$16:$X$5015,79),1),0.01)*10000000,0)),IF(INDEX(Transaksi!$B$1:$B$5015,ROUND(MOD(MOD(SMALL(Transaksi!$X$16:$X$5015,79),1),0.01)*10000000,0))=INDEX(Transaksi!$B$1:$B$5015,A87),"",INDEX(Transaksi!$B$1:$B$5015,ROUND(MOD(MOD(SMALL(Transaksi!$X$16:$X$5015,79),1),0.01)*10000000,0)))))</f>
        <v/>
      </c>
      <c r="C88" s="136">
        <f>IF(79&gt;COUNT(Transaksi!$X$16:$X$5015),"",INDEX(Transaksi!$J$1:$J$5015,ROUND(MOD(MOD(SMALL(Transaksi!$X$16:$X$5015,79),1),0.01)*10000000,0))&amp;IF(INDEX(Transaksi!$D$1:$D$5015,ROUND(MOD(MOD(SMALL(Transaksi!$X$16:$X$5015,79),1),0.01)*10000000,0))="Pindah",IF(INDEX(Transaksi!$C$1:$C$5015,ROUND(MOD(MOD(SMALL(Transaksi!$X$16:$X$5015,79),1),0.01)*10000000,0))=$C$4," (ke "&amp;INDEX(Transaksi!$E$1:$E$5015,ROUND(MOD(MOD(SMALL(Transaksi!$X$16:$X$5015,79),1),0.01)*10000000,0))&amp;")"," (dari "&amp;INDEX(Transaksi!$C$1:$C$5015,ROUND(MOD(MOD(SMALL(Transaksi!$X$16:$X$5015,79),1),0.01)*10000000,0))&amp;")"),""))</f>
        <v/>
      </c>
      <c r="D88" s="137">
        <f>IF(79&gt;COUNT(Transaksi!$X$16:$X$5015),"",INDEX(Transaksi!$I$1:$I$5015,ROUND(MOD(MOD(SMALL(Transaksi!$X$16:$X$5015,79),1),0.01)*10000000,0)))</f>
        <v/>
      </c>
      <c r="E88" s="138">
        <f>IF(79&gt;COUNT(Transaksi!$X$16:$X$5015),"",IF(IF(INDEX(Transaksi!$C$1:$C$5015,ROUND(MOD(MOD(SMALL(Transaksi!$X$16:$X$5015,79),1),0.01)*10000000,0))=$C$4,IF(INDEX(Transaksi!$D$1:$D$5015,ROUND(MOD(MOD(SMALL(Transaksi!$X$16:$X$5015,79),1),0.01)*10000000,0))="Masuk",1,-1),1)&gt;0,INDEX(Transaksi!$F$1:$F$5015,ROUND(MOD(MOD(SMALL(Transaksi!$X$16:$X$5015,79),1),0.01)*10000000,0)),""))</f>
        <v/>
      </c>
      <c r="F88" s="139">
        <f>IF(79&gt;COUNT(Transaksi!$X$16:$X$5015),"",IF(IF(INDEX(Transaksi!$C$1:$C$5015,ROUND(MOD(MOD(SMALL(Transaksi!$X$16:$X$5015,79),1),0.01)*10000000,0))=$C$4,IF(INDEX(Transaksi!$D$1:$D$5015,ROUND(MOD(MOD(SMALL(Transaksi!$X$16:$X$5015,79),1),0.01)*10000000,0))="Masuk",1,-1),1)&lt;0,INDEX(Transaksi!$F$1:$F$5015,ROUND(MOD(MOD(SMALL(Transaksi!$X$16:$X$5015,79),1),0.01)*10000000,0)),""))</f>
        <v/>
      </c>
      <c r="G88" s="106">
        <f>IF(79&gt;COUNT(Transaksi!$X$16:$X$5015),"",N(G87)+N(E88)-N(F88))</f>
        <v/>
      </c>
      <c r="H88" s="137">
        <f>IF(79&gt;COUNT(Transaksi!$X$16:$X$5015),"",HYPERLINK("#Transaksi!B"&amp;A88,"Buka"))</f>
        <v/>
      </c>
    </row>
    <row r="89" ht="15" customHeight="1" s="94">
      <c r="A89" s="93">
        <f>IF(80&gt;COUNT(Transaksi!$X$16:$X$5015),"",ROUND(MOD(MOD(SMALL(Transaksi!$X$16:$X$5015,80),1),0.01)*10000000,0))</f>
        <v/>
      </c>
      <c r="B89" s="135">
        <f>IF(80&gt;COUNT(Transaksi!$X$16:$X$5015),"",IF(80=1,INDEX(Transaksi!$B$1:$B$5015,ROUND(MOD(MOD(SMALL(Transaksi!$X$16:$X$5015,80),1),0.01)*10000000,0)),IF(INDEX(Transaksi!$B$1:$B$5015,ROUND(MOD(MOD(SMALL(Transaksi!$X$16:$X$5015,80),1),0.01)*10000000,0))=INDEX(Transaksi!$B$1:$B$5015,A88),"",INDEX(Transaksi!$B$1:$B$5015,ROUND(MOD(MOD(SMALL(Transaksi!$X$16:$X$5015,80),1),0.01)*10000000,0)))))</f>
        <v/>
      </c>
      <c r="C89" s="136">
        <f>IF(80&gt;COUNT(Transaksi!$X$16:$X$5015),"",INDEX(Transaksi!$J$1:$J$5015,ROUND(MOD(MOD(SMALL(Transaksi!$X$16:$X$5015,80),1),0.01)*10000000,0))&amp;IF(INDEX(Transaksi!$D$1:$D$5015,ROUND(MOD(MOD(SMALL(Transaksi!$X$16:$X$5015,80),1),0.01)*10000000,0))="Pindah",IF(INDEX(Transaksi!$C$1:$C$5015,ROUND(MOD(MOD(SMALL(Transaksi!$X$16:$X$5015,80),1),0.01)*10000000,0))=$C$4," (ke "&amp;INDEX(Transaksi!$E$1:$E$5015,ROUND(MOD(MOD(SMALL(Transaksi!$X$16:$X$5015,80),1),0.01)*10000000,0))&amp;")"," (dari "&amp;INDEX(Transaksi!$C$1:$C$5015,ROUND(MOD(MOD(SMALL(Transaksi!$X$16:$X$5015,80),1),0.01)*10000000,0))&amp;")"),""))</f>
        <v/>
      </c>
      <c r="D89" s="137">
        <f>IF(80&gt;COUNT(Transaksi!$X$16:$X$5015),"",INDEX(Transaksi!$I$1:$I$5015,ROUND(MOD(MOD(SMALL(Transaksi!$X$16:$X$5015,80),1),0.01)*10000000,0)))</f>
        <v/>
      </c>
      <c r="E89" s="138">
        <f>IF(80&gt;COUNT(Transaksi!$X$16:$X$5015),"",IF(IF(INDEX(Transaksi!$C$1:$C$5015,ROUND(MOD(MOD(SMALL(Transaksi!$X$16:$X$5015,80),1),0.01)*10000000,0))=$C$4,IF(INDEX(Transaksi!$D$1:$D$5015,ROUND(MOD(MOD(SMALL(Transaksi!$X$16:$X$5015,80),1),0.01)*10000000,0))="Masuk",1,-1),1)&gt;0,INDEX(Transaksi!$F$1:$F$5015,ROUND(MOD(MOD(SMALL(Transaksi!$X$16:$X$5015,80),1),0.01)*10000000,0)),""))</f>
        <v/>
      </c>
      <c r="F89" s="139">
        <f>IF(80&gt;COUNT(Transaksi!$X$16:$X$5015),"",IF(IF(INDEX(Transaksi!$C$1:$C$5015,ROUND(MOD(MOD(SMALL(Transaksi!$X$16:$X$5015,80),1),0.01)*10000000,0))=$C$4,IF(INDEX(Transaksi!$D$1:$D$5015,ROUND(MOD(MOD(SMALL(Transaksi!$X$16:$X$5015,80),1),0.01)*10000000,0))="Masuk",1,-1),1)&lt;0,INDEX(Transaksi!$F$1:$F$5015,ROUND(MOD(MOD(SMALL(Transaksi!$X$16:$X$5015,80),1),0.01)*10000000,0)),""))</f>
        <v/>
      </c>
      <c r="G89" s="106">
        <f>IF(80&gt;COUNT(Transaksi!$X$16:$X$5015),"",N(G88)+N(E89)-N(F89))</f>
        <v/>
      </c>
      <c r="H89" s="137">
        <f>IF(80&gt;COUNT(Transaksi!$X$16:$X$5015),"",HYPERLINK("#Transaksi!B"&amp;A89,"Buka"))</f>
        <v/>
      </c>
    </row>
    <row r="90" ht="15" customHeight="1" s="94">
      <c r="A90" s="93">
        <f>IF(81&gt;COUNT(Transaksi!$X$16:$X$5015),"",ROUND(MOD(MOD(SMALL(Transaksi!$X$16:$X$5015,81),1),0.01)*10000000,0))</f>
        <v/>
      </c>
      <c r="B90" s="135">
        <f>IF(81&gt;COUNT(Transaksi!$X$16:$X$5015),"",IF(81=1,INDEX(Transaksi!$B$1:$B$5015,ROUND(MOD(MOD(SMALL(Transaksi!$X$16:$X$5015,81),1),0.01)*10000000,0)),IF(INDEX(Transaksi!$B$1:$B$5015,ROUND(MOD(MOD(SMALL(Transaksi!$X$16:$X$5015,81),1),0.01)*10000000,0))=INDEX(Transaksi!$B$1:$B$5015,A89),"",INDEX(Transaksi!$B$1:$B$5015,ROUND(MOD(MOD(SMALL(Transaksi!$X$16:$X$5015,81),1),0.01)*10000000,0)))))</f>
        <v/>
      </c>
      <c r="C90" s="136">
        <f>IF(81&gt;COUNT(Transaksi!$X$16:$X$5015),"",INDEX(Transaksi!$J$1:$J$5015,ROUND(MOD(MOD(SMALL(Transaksi!$X$16:$X$5015,81),1),0.01)*10000000,0))&amp;IF(INDEX(Transaksi!$D$1:$D$5015,ROUND(MOD(MOD(SMALL(Transaksi!$X$16:$X$5015,81),1),0.01)*10000000,0))="Pindah",IF(INDEX(Transaksi!$C$1:$C$5015,ROUND(MOD(MOD(SMALL(Transaksi!$X$16:$X$5015,81),1),0.01)*10000000,0))=$C$4," (ke "&amp;INDEX(Transaksi!$E$1:$E$5015,ROUND(MOD(MOD(SMALL(Transaksi!$X$16:$X$5015,81),1),0.01)*10000000,0))&amp;")"," (dari "&amp;INDEX(Transaksi!$C$1:$C$5015,ROUND(MOD(MOD(SMALL(Transaksi!$X$16:$X$5015,81),1),0.01)*10000000,0))&amp;")"),""))</f>
        <v/>
      </c>
      <c r="D90" s="137">
        <f>IF(81&gt;COUNT(Transaksi!$X$16:$X$5015),"",INDEX(Transaksi!$I$1:$I$5015,ROUND(MOD(MOD(SMALL(Transaksi!$X$16:$X$5015,81),1),0.01)*10000000,0)))</f>
        <v/>
      </c>
      <c r="E90" s="138">
        <f>IF(81&gt;COUNT(Transaksi!$X$16:$X$5015),"",IF(IF(INDEX(Transaksi!$C$1:$C$5015,ROUND(MOD(MOD(SMALL(Transaksi!$X$16:$X$5015,81),1),0.01)*10000000,0))=$C$4,IF(INDEX(Transaksi!$D$1:$D$5015,ROUND(MOD(MOD(SMALL(Transaksi!$X$16:$X$5015,81),1),0.01)*10000000,0))="Masuk",1,-1),1)&gt;0,INDEX(Transaksi!$F$1:$F$5015,ROUND(MOD(MOD(SMALL(Transaksi!$X$16:$X$5015,81),1),0.01)*10000000,0)),""))</f>
        <v/>
      </c>
      <c r="F90" s="139">
        <f>IF(81&gt;COUNT(Transaksi!$X$16:$X$5015),"",IF(IF(INDEX(Transaksi!$C$1:$C$5015,ROUND(MOD(MOD(SMALL(Transaksi!$X$16:$X$5015,81),1),0.01)*10000000,0))=$C$4,IF(INDEX(Transaksi!$D$1:$D$5015,ROUND(MOD(MOD(SMALL(Transaksi!$X$16:$X$5015,81),1),0.01)*10000000,0))="Masuk",1,-1),1)&lt;0,INDEX(Transaksi!$F$1:$F$5015,ROUND(MOD(MOD(SMALL(Transaksi!$X$16:$X$5015,81),1),0.01)*10000000,0)),""))</f>
        <v/>
      </c>
      <c r="G90" s="106">
        <f>IF(81&gt;COUNT(Transaksi!$X$16:$X$5015),"",N(G89)+N(E90)-N(F90))</f>
        <v/>
      </c>
      <c r="H90" s="137">
        <f>IF(81&gt;COUNT(Transaksi!$X$16:$X$5015),"",HYPERLINK("#Transaksi!B"&amp;A90,"Buka"))</f>
        <v/>
      </c>
    </row>
    <row r="91" ht="15" customHeight="1" s="94">
      <c r="A91" s="93">
        <f>IF(82&gt;COUNT(Transaksi!$X$16:$X$5015),"",ROUND(MOD(MOD(SMALL(Transaksi!$X$16:$X$5015,82),1),0.01)*10000000,0))</f>
        <v/>
      </c>
      <c r="B91" s="135">
        <f>IF(82&gt;COUNT(Transaksi!$X$16:$X$5015),"",IF(82=1,INDEX(Transaksi!$B$1:$B$5015,ROUND(MOD(MOD(SMALL(Transaksi!$X$16:$X$5015,82),1),0.01)*10000000,0)),IF(INDEX(Transaksi!$B$1:$B$5015,ROUND(MOD(MOD(SMALL(Transaksi!$X$16:$X$5015,82),1),0.01)*10000000,0))=INDEX(Transaksi!$B$1:$B$5015,A90),"",INDEX(Transaksi!$B$1:$B$5015,ROUND(MOD(MOD(SMALL(Transaksi!$X$16:$X$5015,82),1),0.01)*10000000,0)))))</f>
        <v/>
      </c>
      <c r="C91" s="136">
        <f>IF(82&gt;COUNT(Transaksi!$X$16:$X$5015),"",INDEX(Transaksi!$J$1:$J$5015,ROUND(MOD(MOD(SMALL(Transaksi!$X$16:$X$5015,82),1),0.01)*10000000,0))&amp;IF(INDEX(Transaksi!$D$1:$D$5015,ROUND(MOD(MOD(SMALL(Transaksi!$X$16:$X$5015,82),1),0.01)*10000000,0))="Pindah",IF(INDEX(Transaksi!$C$1:$C$5015,ROUND(MOD(MOD(SMALL(Transaksi!$X$16:$X$5015,82),1),0.01)*10000000,0))=$C$4," (ke "&amp;INDEX(Transaksi!$E$1:$E$5015,ROUND(MOD(MOD(SMALL(Transaksi!$X$16:$X$5015,82),1),0.01)*10000000,0))&amp;")"," (dari "&amp;INDEX(Transaksi!$C$1:$C$5015,ROUND(MOD(MOD(SMALL(Transaksi!$X$16:$X$5015,82),1),0.01)*10000000,0))&amp;")"),""))</f>
        <v/>
      </c>
      <c r="D91" s="137">
        <f>IF(82&gt;COUNT(Transaksi!$X$16:$X$5015),"",INDEX(Transaksi!$I$1:$I$5015,ROUND(MOD(MOD(SMALL(Transaksi!$X$16:$X$5015,82),1),0.01)*10000000,0)))</f>
        <v/>
      </c>
      <c r="E91" s="138">
        <f>IF(82&gt;COUNT(Transaksi!$X$16:$X$5015),"",IF(IF(INDEX(Transaksi!$C$1:$C$5015,ROUND(MOD(MOD(SMALL(Transaksi!$X$16:$X$5015,82),1),0.01)*10000000,0))=$C$4,IF(INDEX(Transaksi!$D$1:$D$5015,ROUND(MOD(MOD(SMALL(Transaksi!$X$16:$X$5015,82),1),0.01)*10000000,0))="Masuk",1,-1),1)&gt;0,INDEX(Transaksi!$F$1:$F$5015,ROUND(MOD(MOD(SMALL(Transaksi!$X$16:$X$5015,82),1),0.01)*10000000,0)),""))</f>
        <v/>
      </c>
      <c r="F91" s="139">
        <f>IF(82&gt;COUNT(Transaksi!$X$16:$X$5015),"",IF(IF(INDEX(Transaksi!$C$1:$C$5015,ROUND(MOD(MOD(SMALL(Transaksi!$X$16:$X$5015,82),1),0.01)*10000000,0))=$C$4,IF(INDEX(Transaksi!$D$1:$D$5015,ROUND(MOD(MOD(SMALL(Transaksi!$X$16:$X$5015,82),1),0.01)*10000000,0))="Masuk",1,-1),1)&lt;0,INDEX(Transaksi!$F$1:$F$5015,ROUND(MOD(MOD(SMALL(Transaksi!$X$16:$X$5015,82),1),0.01)*10000000,0)),""))</f>
        <v/>
      </c>
      <c r="G91" s="106">
        <f>IF(82&gt;COUNT(Transaksi!$X$16:$X$5015),"",N(G90)+N(E91)-N(F91))</f>
        <v/>
      </c>
      <c r="H91" s="137">
        <f>IF(82&gt;COUNT(Transaksi!$X$16:$X$5015),"",HYPERLINK("#Transaksi!B"&amp;A91,"Buka"))</f>
        <v/>
      </c>
    </row>
    <row r="92" ht="15" customHeight="1" s="94">
      <c r="A92" s="93">
        <f>IF(83&gt;COUNT(Transaksi!$X$16:$X$5015),"",ROUND(MOD(MOD(SMALL(Transaksi!$X$16:$X$5015,83),1),0.01)*10000000,0))</f>
        <v/>
      </c>
      <c r="B92" s="135">
        <f>IF(83&gt;COUNT(Transaksi!$X$16:$X$5015),"",IF(83=1,INDEX(Transaksi!$B$1:$B$5015,ROUND(MOD(MOD(SMALL(Transaksi!$X$16:$X$5015,83),1),0.01)*10000000,0)),IF(INDEX(Transaksi!$B$1:$B$5015,ROUND(MOD(MOD(SMALL(Transaksi!$X$16:$X$5015,83),1),0.01)*10000000,0))=INDEX(Transaksi!$B$1:$B$5015,A91),"",INDEX(Transaksi!$B$1:$B$5015,ROUND(MOD(MOD(SMALL(Transaksi!$X$16:$X$5015,83),1),0.01)*10000000,0)))))</f>
        <v/>
      </c>
      <c r="C92" s="136">
        <f>IF(83&gt;COUNT(Transaksi!$X$16:$X$5015),"",INDEX(Transaksi!$J$1:$J$5015,ROUND(MOD(MOD(SMALL(Transaksi!$X$16:$X$5015,83),1),0.01)*10000000,0))&amp;IF(INDEX(Transaksi!$D$1:$D$5015,ROUND(MOD(MOD(SMALL(Transaksi!$X$16:$X$5015,83),1),0.01)*10000000,0))="Pindah",IF(INDEX(Transaksi!$C$1:$C$5015,ROUND(MOD(MOD(SMALL(Transaksi!$X$16:$X$5015,83),1),0.01)*10000000,0))=$C$4," (ke "&amp;INDEX(Transaksi!$E$1:$E$5015,ROUND(MOD(MOD(SMALL(Transaksi!$X$16:$X$5015,83),1),0.01)*10000000,0))&amp;")"," (dari "&amp;INDEX(Transaksi!$C$1:$C$5015,ROUND(MOD(MOD(SMALL(Transaksi!$X$16:$X$5015,83),1),0.01)*10000000,0))&amp;")"),""))</f>
        <v/>
      </c>
      <c r="D92" s="137">
        <f>IF(83&gt;COUNT(Transaksi!$X$16:$X$5015),"",INDEX(Transaksi!$I$1:$I$5015,ROUND(MOD(MOD(SMALL(Transaksi!$X$16:$X$5015,83),1),0.01)*10000000,0)))</f>
        <v/>
      </c>
      <c r="E92" s="138">
        <f>IF(83&gt;COUNT(Transaksi!$X$16:$X$5015),"",IF(IF(INDEX(Transaksi!$C$1:$C$5015,ROUND(MOD(MOD(SMALL(Transaksi!$X$16:$X$5015,83),1),0.01)*10000000,0))=$C$4,IF(INDEX(Transaksi!$D$1:$D$5015,ROUND(MOD(MOD(SMALL(Transaksi!$X$16:$X$5015,83),1),0.01)*10000000,0))="Masuk",1,-1),1)&gt;0,INDEX(Transaksi!$F$1:$F$5015,ROUND(MOD(MOD(SMALL(Transaksi!$X$16:$X$5015,83),1),0.01)*10000000,0)),""))</f>
        <v/>
      </c>
      <c r="F92" s="139">
        <f>IF(83&gt;COUNT(Transaksi!$X$16:$X$5015),"",IF(IF(INDEX(Transaksi!$C$1:$C$5015,ROUND(MOD(MOD(SMALL(Transaksi!$X$16:$X$5015,83),1),0.01)*10000000,0))=$C$4,IF(INDEX(Transaksi!$D$1:$D$5015,ROUND(MOD(MOD(SMALL(Transaksi!$X$16:$X$5015,83),1),0.01)*10000000,0))="Masuk",1,-1),1)&lt;0,INDEX(Transaksi!$F$1:$F$5015,ROUND(MOD(MOD(SMALL(Transaksi!$X$16:$X$5015,83),1),0.01)*10000000,0)),""))</f>
        <v/>
      </c>
      <c r="G92" s="106">
        <f>IF(83&gt;COUNT(Transaksi!$X$16:$X$5015),"",N(G91)+N(E92)-N(F92))</f>
        <v/>
      </c>
      <c r="H92" s="137">
        <f>IF(83&gt;COUNT(Transaksi!$X$16:$X$5015),"",HYPERLINK("#Transaksi!B"&amp;A92,"Buka"))</f>
        <v/>
      </c>
    </row>
    <row r="93" ht="15" customHeight="1" s="94">
      <c r="A93" s="93">
        <f>IF(84&gt;COUNT(Transaksi!$X$16:$X$5015),"",ROUND(MOD(MOD(SMALL(Transaksi!$X$16:$X$5015,84),1),0.01)*10000000,0))</f>
        <v/>
      </c>
      <c r="B93" s="135">
        <f>IF(84&gt;COUNT(Transaksi!$X$16:$X$5015),"",IF(84=1,INDEX(Transaksi!$B$1:$B$5015,ROUND(MOD(MOD(SMALL(Transaksi!$X$16:$X$5015,84),1),0.01)*10000000,0)),IF(INDEX(Transaksi!$B$1:$B$5015,ROUND(MOD(MOD(SMALL(Transaksi!$X$16:$X$5015,84),1),0.01)*10000000,0))=INDEX(Transaksi!$B$1:$B$5015,A92),"",INDEX(Transaksi!$B$1:$B$5015,ROUND(MOD(MOD(SMALL(Transaksi!$X$16:$X$5015,84),1),0.01)*10000000,0)))))</f>
        <v/>
      </c>
      <c r="C93" s="136">
        <f>IF(84&gt;COUNT(Transaksi!$X$16:$X$5015),"",INDEX(Transaksi!$J$1:$J$5015,ROUND(MOD(MOD(SMALL(Transaksi!$X$16:$X$5015,84),1),0.01)*10000000,0))&amp;IF(INDEX(Transaksi!$D$1:$D$5015,ROUND(MOD(MOD(SMALL(Transaksi!$X$16:$X$5015,84),1),0.01)*10000000,0))="Pindah",IF(INDEX(Transaksi!$C$1:$C$5015,ROUND(MOD(MOD(SMALL(Transaksi!$X$16:$X$5015,84),1),0.01)*10000000,0))=$C$4," (ke "&amp;INDEX(Transaksi!$E$1:$E$5015,ROUND(MOD(MOD(SMALL(Transaksi!$X$16:$X$5015,84),1),0.01)*10000000,0))&amp;")"," (dari "&amp;INDEX(Transaksi!$C$1:$C$5015,ROUND(MOD(MOD(SMALL(Transaksi!$X$16:$X$5015,84),1),0.01)*10000000,0))&amp;")"),""))</f>
        <v/>
      </c>
      <c r="D93" s="137">
        <f>IF(84&gt;COUNT(Transaksi!$X$16:$X$5015),"",INDEX(Transaksi!$I$1:$I$5015,ROUND(MOD(MOD(SMALL(Transaksi!$X$16:$X$5015,84),1),0.01)*10000000,0)))</f>
        <v/>
      </c>
      <c r="E93" s="138">
        <f>IF(84&gt;COUNT(Transaksi!$X$16:$X$5015),"",IF(IF(INDEX(Transaksi!$C$1:$C$5015,ROUND(MOD(MOD(SMALL(Transaksi!$X$16:$X$5015,84),1),0.01)*10000000,0))=$C$4,IF(INDEX(Transaksi!$D$1:$D$5015,ROUND(MOD(MOD(SMALL(Transaksi!$X$16:$X$5015,84),1),0.01)*10000000,0))="Masuk",1,-1),1)&gt;0,INDEX(Transaksi!$F$1:$F$5015,ROUND(MOD(MOD(SMALL(Transaksi!$X$16:$X$5015,84),1),0.01)*10000000,0)),""))</f>
        <v/>
      </c>
      <c r="F93" s="139">
        <f>IF(84&gt;COUNT(Transaksi!$X$16:$X$5015),"",IF(IF(INDEX(Transaksi!$C$1:$C$5015,ROUND(MOD(MOD(SMALL(Transaksi!$X$16:$X$5015,84),1),0.01)*10000000,0))=$C$4,IF(INDEX(Transaksi!$D$1:$D$5015,ROUND(MOD(MOD(SMALL(Transaksi!$X$16:$X$5015,84),1),0.01)*10000000,0))="Masuk",1,-1),1)&lt;0,INDEX(Transaksi!$F$1:$F$5015,ROUND(MOD(MOD(SMALL(Transaksi!$X$16:$X$5015,84),1),0.01)*10000000,0)),""))</f>
        <v/>
      </c>
      <c r="G93" s="106">
        <f>IF(84&gt;COUNT(Transaksi!$X$16:$X$5015),"",N(G92)+N(E93)-N(F93))</f>
        <v/>
      </c>
      <c r="H93" s="137">
        <f>IF(84&gt;COUNT(Transaksi!$X$16:$X$5015),"",HYPERLINK("#Transaksi!B"&amp;A93,"Buka"))</f>
        <v/>
      </c>
    </row>
    <row r="94" ht="15" customHeight="1" s="94">
      <c r="A94" s="93">
        <f>IF(85&gt;COUNT(Transaksi!$X$16:$X$5015),"",ROUND(MOD(MOD(SMALL(Transaksi!$X$16:$X$5015,85),1),0.01)*10000000,0))</f>
        <v/>
      </c>
      <c r="B94" s="135">
        <f>IF(85&gt;COUNT(Transaksi!$X$16:$X$5015),"",IF(85=1,INDEX(Transaksi!$B$1:$B$5015,ROUND(MOD(MOD(SMALL(Transaksi!$X$16:$X$5015,85),1),0.01)*10000000,0)),IF(INDEX(Transaksi!$B$1:$B$5015,ROUND(MOD(MOD(SMALL(Transaksi!$X$16:$X$5015,85),1),0.01)*10000000,0))=INDEX(Transaksi!$B$1:$B$5015,A93),"",INDEX(Transaksi!$B$1:$B$5015,ROUND(MOD(MOD(SMALL(Transaksi!$X$16:$X$5015,85),1),0.01)*10000000,0)))))</f>
        <v/>
      </c>
      <c r="C94" s="136">
        <f>IF(85&gt;COUNT(Transaksi!$X$16:$X$5015),"",INDEX(Transaksi!$J$1:$J$5015,ROUND(MOD(MOD(SMALL(Transaksi!$X$16:$X$5015,85),1),0.01)*10000000,0))&amp;IF(INDEX(Transaksi!$D$1:$D$5015,ROUND(MOD(MOD(SMALL(Transaksi!$X$16:$X$5015,85),1),0.01)*10000000,0))="Pindah",IF(INDEX(Transaksi!$C$1:$C$5015,ROUND(MOD(MOD(SMALL(Transaksi!$X$16:$X$5015,85),1),0.01)*10000000,0))=$C$4," (ke "&amp;INDEX(Transaksi!$E$1:$E$5015,ROUND(MOD(MOD(SMALL(Transaksi!$X$16:$X$5015,85),1),0.01)*10000000,0))&amp;")"," (dari "&amp;INDEX(Transaksi!$C$1:$C$5015,ROUND(MOD(MOD(SMALL(Transaksi!$X$16:$X$5015,85),1),0.01)*10000000,0))&amp;")"),""))</f>
        <v/>
      </c>
      <c r="D94" s="137">
        <f>IF(85&gt;COUNT(Transaksi!$X$16:$X$5015),"",INDEX(Transaksi!$I$1:$I$5015,ROUND(MOD(MOD(SMALL(Transaksi!$X$16:$X$5015,85),1),0.01)*10000000,0)))</f>
        <v/>
      </c>
      <c r="E94" s="138">
        <f>IF(85&gt;COUNT(Transaksi!$X$16:$X$5015),"",IF(IF(INDEX(Transaksi!$C$1:$C$5015,ROUND(MOD(MOD(SMALL(Transaksi!$X$16:$X$5015,85),1),0.01)*10000000,0))=$C$4,IF(INDEX(Transaksi!$D$1:$D$5015,ROUND(MOD(MOD(SMALL(Transaksi!$X$16:$X$5015,85),1),0.01)*10000000,0))="Masuk",1,-1),1)&gt;0,INDEX(Transaksi!$F$1:$F$5015,ROUND(MOD(MOD(SMALL(Transaksi!$X$16:$X$5015,85),1),0.01)*10000000,0)),""))</f>
        <v/>
      </c>
      <c r="F94" s="139">
        <f>IF(85&gt;COUNT(Transaksi!$X$16:$X$5015),"",IF(IF(INDEX(Transaksi!$C$1:$C$5015,ROUND(MOD(MOD(SMALL(Transaksi!$X$16:$X$5015,85),1),0.01)*10000000,0))=$C$4,IF(INDEX(Transaksi!$D$1:$D$5015,ROUND(MOD(MOD(SMALL(Transaksi!$X$16:$X$5015,85),1),0.01)*10000000,0))="Masuk",1,-1),1)&lt;0,INDEX(Transaksi!$F$1:$F$5015,ROUND(MOD(MOD(SMALL(Transaksi!$X$16:$X$5015,85),1),0.01)*10000000,0)),""))</f>
        <v/>
      </c>
      <c r="G94" s="106">
        <f>IF(85&gt;COUNT(Transaksi!$X$16:$X$5015),"",N(G93)+N(E94)-N(F94))</f>
        <v/>
      </c>
      <c r="H94" s="137">
        <f>IF(85&gt;COUNT(Transaksi!$X$16:$X$5015),"",HYPERLINK("#Transaksi!B"&amp;A94,"Buka"))</f>
        <v/>
      </c>
    </row>
    <row r="95" ht="15" customHeight="1" s="94">
      <c r="A95" s="93">
        <f>IF(86&gt;COUNT(Transaksi!$X$16:$X$5015),"",ROUND(MOD(MOD(SMALL(Transaksi!$X$16:$X$5015,86),1),0.01)*10000000,0))</f>
        <v/>
      </c>
      <c r="B95" s="135">
        <f>IF(86&gt;COUNT(Transaksi!$X$16:$X$5015),"",IF(86=1,INDEX(Transaksi!$B$1:$B$5015,ROUND(MOD(MOD(SMALL(Transaksi!$X$16:$X$5015,86),1),0.01)*10000000,0)),IF(INDEX(Transaksi!$B$1:$B$5015,ROUND(MOD(MOD(SMALL(Transaksi!$X$16:$X$5015,86),1),0.01)*10000000,0))=INDEX(Transaksi!$B$1:$B$5015,A94),"",INDEX(Transaksi!$B$1:$B$5015,ROUND(MOD(MOD(SMALL(Transaksi!$X$16:$X$5015,86),1),0.01)*10000000,0)))))</f>
        <v/>
      </c>
      <c r="C95" s="136">
        <f>IF(86&gt;COUNT(Transaksi!$X$16:$X$5015),"",INDEX(Transaksi!$J$1:$J$5015,ROUND(MOD(MOD(SMALL(Transaksi!$X$16:$X$5015,86),1),0.01)*10000000,0))&amp;IF(INDEX(Transaksi!$D$1:$D$5015,ROUND(MOD(MOD(SMALL(Transaksi!$X$16:$X$5015,86),1),0.01)*10000000,0))="Pindah",IF(INDEX(Transaksi!$C$1:$C$5015,ROUND(MOD(MOD(SMALL(Transaksi!$X$16:$X$5015,86),1),0.01)*10000000,0))=$C$4," (ke "&amp;INDEX(Transaksi!$E$1:$E$5015,ROUND(MOD(MOD(SMALL(Transaksi!$X$16:$X$5015,86),1),0.01)*10000000,0))&amp;")"," (dari "&amp;INDEX(Transaksi!$C$1:$C$5015,ROUND(MOD(MOD(SMALL(Transaksi!$X$16:$X$5015,86),1),0.01)*10000000,0))&amp;")"),""))</f>
        <v/>
      </c>
      <c r="D95" s="137">
        <f>IF(86&gt;COUNT(Transaksi!$X$16:$X$5015),"",INDEX(Transaksi!$I$1:$I$5015,ROUND(MOD(MOD(SMALL(Transaksi!$X$16:$X$5015,86),1),0.01)*10000000,0)))</f>
        <v/>
      </c>
      <c r="E95" s="138">
        <f>IF(86&gt;COUNT(Transaksi!$X$16:$X$5015),"",IF(IF(INDEX(Transaksi!$C$1:$C$5015,ROUND(MOD(MOD(SMALL(Transaksi!$X$16:$X$5015,86),1),0.01)*10000000,0))=$C$4,IF(INDEX(Transaksi!$D$1:$D$5015,ROUND(MOD(MOD(SMALL(Transaksi!$X$16:$X$5015,86),1),0.01)*10000000,0))="Masuk",1,-1),1)&gt;0,INDEX(Transaksi!$F$1:$F$5015,ROUND(MOD(MOD(SMALL(Transaksi!$X$16:$X$5015,86),1),0.01)*10000000,0)),""))</f>
        <v/>
      </c>
      <c r="F95" s="139">
        <f>IF(86&gt;COUNT(Transaksi!$X$16:$X$5015),"",IF(IF(INDEX(Transaksi!$C$1:$C$5015,ROUND(MOD(MOD(SMALL(Transaksi!$X$16:$X$5015,86),1),0.01)*10000000,0))=$C$4,IF(INDEX(Transaksi!$D$1:$D$5015,ROUND(MOD(MOD(SMALL(Transaksi!$X$16:$X$5015,86),1),0.01)*10000000,0))="Masuk",1,-1),1)&lt;0,INDEX(Transaksi!$F$1:$F$5015,ROUND(MOD(MOD(SMALL(Transaksi!$X$16:$X$5015,86),1),0.01)*10000000,0)),""))</f>
        <v/>
      </c>
      <c r="G95" s="106">
        <f>IF(86&gt;COUNT(Transaksi!$X$16:$X$5015),"",N(G94)+N(E95)-N(F95))</f>
        <v/>
      </c>
      <c r="H95" s="137">
        <f>IF(86&gt;COUNT(Transaksi!$X$16:$X$5015),"",HYPERLINK("#Transaksi!B"&amp;A95,"Buka"))</f>
        <v/>
      </c>
    </row>
    <row r="96" ht="15" customHeight="1" s="94">
      <c r="A96" s="93">
        <f>IF(87&gt;COUNT(Transaksi!$X$16:$X$5015),"",ROUND(MOD(MOD(SMALL(Transaksi!$X$16:$X$5015,87),1),0.01)*10000000,0))</f>
        <v/>
      </c>
      <c r="B96" s="135">
        <f>IF(87&gt;COUNT(Transaksi!$X$16:$X$5015),"",IF(87=1,INDEX(Transaksi!$B$1:$B$5015,ROUND(MOD(MOD(SMALL(Transaksi!$X$16:$X$5015,87),1),0.01)*10000000,0)),IF(INDEX(Transaksi!$B$1:$B$5015,ROUND(MOD(MOD(SMALL(Transaksi!$X$16:$X$5015,87),1),0.01)*10000000,0))=INDEX(Transaksi!$B$1:$B$5015,A95),"",INDEX(Transaksi!$B$1:$B$5015,ROUND(MOD(MOD(SMALL(Transaksi!$X$16:$X$5015,87),1),0.01)*10000000,0)))))</f>
        <v/>
      </c>
      <c r="C96" s="136">
        <f>IF(87&gt;COUNT(Transaksi!$X$16:$X$5015),"",INDEX(Transaksi!$J$1:$J$5015,ROUND(MOD(MOD(SMALL(Transaksi!$X$16:$X$5015,87),1),0.01)*10000000,0))&amp;IF(INDEX(Transaksi!$D$1:$D$5015,ROUND(MOD(MOD(SMALL(Transaksi!$X$16:$X$5015,87),1),0.01)*10000000,0))="Pindah",IF(INDEX(Transaksi!$C$1:$C$5015,ROUND(MOD(MOD(SMALL(Transaksi!$X$16:$X$5015,87),1),0.01)*10000000,0))=$C$4," (ke "&amp;INDEX(Transaksi!$E$1:$E$5015,ROUND(MOD(MOD(SMALL(Transaksi!$X$16:$X$5015,87),1),0.01)*10000000,0))&amp;")"," (dari "&amp;INDEX(Transaksi!$C$1:$C$5015,ROUND(MOD(MOD(SMALL(Transaksi!$X$16:$X$5015,87),1),0.01)*10000000,0))&amp;")"),""))</f>
        <v/>
      </c>
      <c r="D96" s="137">
        <f>IF(87&gt;COUNT(Transaksi!$X$16:$X$5015),"",INDEX(Transaksi!$I$1:$I$5015,ROUND(MOD(MOD(SMALL(Transaksi!$X$16:$X$5015,87),1),0.01)*10000000,0)))</f>
        <v/>
      </c>
      <c r="E96" s="138">
        <f>IF(87&gt;COUNT(Transaksi!$X$16:$X$5015),"",IF(IF(INDEX(Transaksi!$C$1:$C$5015,ROUND(MOD(MOD(SMALL(Transaksi!$X$16:$X$5015,87),1),0.01)*10000000,0))=$C$4,IF(INDEX(Transaksi!$D$1:$D$5015,ROUND(MOD(MOD(SMALL(Transaksi!$X$16:$X$5015,87),1),0.01)*10000000,0))="Masuk",1,-1),1)&gt;0,INDEX(Transaksi!$F$1:$F$5015,ROUND(MOD(MOD(SMALL(Transaksi!$X$16:$X$5015,87),1),0.01)*10000000,0)),""))</f>
        <v/>
      </c>
      <c r="F96" s="139">
        <f>IF(87&gt;COUNT(Transaksi!$X$16:$X$5015),"",IF(IF(INDEX(Transaksi!$C$1:$C$5015,ROUND(MOD(MOD(SMALL(Transaksi!$X$16:$X$5015,87),1),0.01)*10000000,0))=$C$4,IF(INDEX(Transaksi!$D$1:$D$5015,ROUND(MOD(MOD(SMALL(Transaksi!$X$16:$X$5015,87),1),0.01)*10000000,0))="Masuk",1,-1),1)&lt;0,INDEX(Transaksi!$F$1:$F$5015,ROUND(MOD(MOD(SMALL(Transaksi!$X$16:$X$5015,87),1),0.01)*10000000,0)),""))</f>
        <v/>
      </c>
      <c r="G96" s="106">
        <f>IF(87&gt;COUNT(Transaksi!$X$16:$X$5015),"",N(G95)+N(E96)-N(F96))</f>
        <v/>
      </c>
      <c r="H96" s="137">
        <f>IF(87&gt;COUNT(Transaksi!$X$16:$X$5015),"",HYPERLINK("#Transaksi!B"&amp;A96,"Buka"))</f>
        <v/>
      </c>
    </row>
    <row r="97" ht="15" customHeight="1" s="94">
      <c r="A97" s="93">
        <f>IF(88&gt;COUNT(Transaksi!$X$16:$X$5015),"",ROUND(MOD(MOD(SMALL(Transaksi!$X$16:$X$5015,88),1),0.01)*10000000,0))</f>
        <v/>
      </c>
      <c r="B97" s="135">
        <f>IF(88&gt;COUNT(Transaksi!$X$16:$X$5015),"",IF(88=1,INDEX(Transaksi!$B$1:$B$5015,ROUND(MOD(MOD(SMALL(Transaksi!$X$16:$X$5015,88),1),0.01)*10000000,0)),IF(INDEX(Transaksi!$B$1:$B$5015,ROUND(MOD(MOD(SMALL(Transaksi!$X$16:$X$5015,88),1),0.01)*10000000,0))=INDEX(Transaksi!$B$1:$B$5015,A96),"",INDEX(Transaksi!$B$1:$B$5015,ROUND(MOD(MOD(SMALL(Transaksi!$X$16:$X$5015,88),1),0.01)*10000000,0)))))</f>
        <v/>
      </c>
      <c r="C97" s="136">
        <f>IF(88&gt;COUNT(Transaksi!$X$16:$X$5015),"",INDEX(Transaksi!$J$1:$J$5015,ROUND(MOD(MOD(SMALL(Transaksi!$X$16:$X$5015,88),1),0.01)*10000000,0))&amp;IF(INDEX(Transaksi!$D$1:$D$5015,ROUND(MOD(MOD(SMALL(Transaksi!$X$16:$X$5015,88),1),0.01)*10000000,0))="Pindah",IF(INDEX(Transaksi!$C$1:$C$5015,ROUND(MOD(MOD(SMALL(Transaksi!$X$16:$X$5015,88),1),0.01)*10000000,0))=$C$4," (ke "&amp;INDEX(Transaksi!$E$1:$E$5015,ROUND(MOD(MOD(SMALL(Transaksi!$X$16:$X$5015,88),1),0.01)*10000000,0))&amp;")"," (dari "&amp;INDEX(Transaksi!$C$1:$C$5015,ROUND(MOD(MOD(SMALL(Transaksi!$X$16:$X$5015,88),1),0.01)*10000000,0))&amp;")"),""))</f>
        <v/>
      </c>
      <c r="D97" s="137">
        <f>IF(88&gt;COUNT(Transaksi!$X$16:$X$5015),"",INDEX(Transaksi!$I$1:$I$5015,ROUND(MOD(MOD(SMALL(Transaksi!$X$16:$X$5015,88),1),0.01)*10000000,0)))</f>
        <v/>
      </c>
      <c r="E97" s="138">
        <f>IF(88&gt;COUNT(Transaksi!$X$16:$X$5015),"",IF(IF(INDEX(Transaksi!$C$1:$C$5015,ROUND(MOD(MOD(SMALL(Transaksi!$X$16:$X$5015,88),1),0.01)*10000000,0))=$C$4,IF(INDEX(Transaksi!$D$1:$D$5015,ROUND(MOD(MOD(SMALL(Transaksi!$X$16:$X$5015,88),1),0.01)*10000000,0))="Masuk",1,-1),1)&gt;0,INDEX(Transaksi!$F$1:$F$5015,ROUND(MOD(MOD(SMALL(Transaksi!$X$16:$X$5015,88),1),0.01)*10000000,0)),""))</f>
        <v/>
      </c>
      <c r="F97" s="139">
        <f>IF(88&gt;COUNT(Transaksi!$X$16:$X$5015),"",IF(IF(INDEX(Transaksi!$C$1:$C$5015,ROUND(MOD(MOD(SMALL(Transaksi!$X$16:$X$5015,88),1),0.01)*10000000,0))=$C$4,IF(INDEX(Transaksi!$D$1:$D$5015,ROUND(MOD(MOD(SMALL(Transaksi!$X$16:$X$5015,88),1),0.01)*10000000,0))="Masuk",1,-1),1)&lt;0,INDEX(Transaksi!$F$1:$F$5015,ROUND(MOD(MOD(SMALL(Transaksi!$X$16:$X$5015,88),1),0.01)*10000000,0)),""))</f>
        <v/>
      </c>
      <c r="G97" s="106">
        <f>IF(88&gt;COUNT(Transaksi!$X$16:$X$5015),"",N(G96)+N(E97)-N(F97))</f>
        <v/>
      </c>
      <c r="H97" s="137">
        <f>IF(88&gt;COUNT(Transaksi!$X$16:$X$5015),"",HYPERLINK("#Transaksi!B"&amp;A97,"Buka"))</f>
        <v/>
      </c>
    </row>
    <row r="98" ht="15" customHeight="1" s="94">
      <c r="A98" s="93">
        <f>IF(89&gt;COUNT(Transaksi!$X$16:$X$5015),"",ROUND(MOD(MOD(SMALL(Transaksi!$X$16:$X$5015,89),1),0.01)*10000000,0))</f>
        <v/>
      </c>
      <c r="B98" s="135">
        <f>IF(89&gt;COUNT(Transaksi!$X$16:$X$5015),"",IF(89=1,INDEX(Transaksi!$B$1:$B$5015,ROUND(MOD(MOD(SMALL(Transaksi!$X$16:$X$5015,89),1),0.01)*10000000,0)),IF(INDEX(Transaksi!$B$1:$B$5015,ROUND(MOD(MOD(SMALL(Transaksi!$X$16:$X$5015,89),1),0.01)*10000000,0))=INDEX(Transaksi!$B$1:$B$5015,A97),"",INDEX(Transaksi!$B$1:$B$5015,ROUND(MOD(MOD(SMALL(Transaksi!$X$16:$X$5015,89),1),0.01)*10000000,0)))))</f>
        <v/>
      </c>
      <c r="C98" s="136">
        <f>IF(89&gt;COUNT(Transaksi!$X$16:$X$5015),"",INDEX(Transaksi!$J$1:$J$5015,ROUND(MOD(MOD(SMALL(Transaksi!$X$16:$X$5015,89),1),0.01)*10000000,0))&amp;IF(INDEX(Transaksi!$D$1:$D$5015,ROUND(MOD(MOD(SMALL(Transaksi!$X$16:$X$5015,89),1),0.01)*10000000,0))="Pindah",IF(INDEX(Transaksi!$C$1:$C$5015,ROUND(MOD(MOD(SMALL(Transaksi!$X$16:$X$5015,89),1),0.01)*10000000,0))=$C$4," (ke "&amp;INDEX(Transaksi!$E$1:$E$5015,ROUND(MOD(MOD(SMALL(Transaksi!$X$16:$X$5015,89),1),0.01)*10000000,0))&amp;")"," (dari "&amp;INDEX(Transaksi!$C$1:$C$5015,ROUND(MOD(MOD(SMALL(Transaksi!$X$16:$X$5015,89),1),0.01)*10000000,0))&amp;")"),""))</f>
        <v/>
      </c>
      <c r="D98" s="137">
        <f>IF(89&gt;COUNT(Transaksi!$X$16:$X$5015),"",INDEX(Transaksi!$I$1:$I$5015,ROUND(MOD(MOD(SMALL(Transaksi!$X$16:$X$5015,89),1),0.01)*10000000,0)))</f>
        <v/>
      </c>
      <c r="E98" s="138">
        <f>IF(89&gt;COUNT(Transaksi!$X$16:$X$5015),"",IF(IF(INDEX(Transaksi!$C$1:$C$5015,ROUND(MOD(MOD(SMALL(Transaksi!$X$16:$X$5015,89),1),0.01)*10000000,0))=$C$4,IF(INDEX(Transaksi!$D$1:$D$5015,ROUND(MOD(MOD(SMALL(Transaksi!$X$16:$X$5015,89),1),0.01)*10000000,0))="Masuk",1,-1),1)&gt;0,INDEX(Transaksi!$F$1:$F$5015,ROUND(MOD(MOD(SMALL(Transaksi!$X$16:$X$5015,89),1),0.01)*10000000,0)),""))</f>
        <v/>
      </c>
      <c r="F98" s="139">
        <f>IF(89&gt;COUNT(Transaksi!$X$16:$X$5015),"",IF(IF(INDEX(Transaksi!$C$1:$C$5015,ROUND(MOD(MOD(SMALL(Transaksi!$X$16:$X$5015,89),1),0.01)*10000000,0))=$C$4,IF(INDEX(Transaksi!$D$1:$D$5015,ROUND(MOD(MOD(SMALL(Transaksi!$X$16:$X$5015,89),1),0.01)*10000000,0))="Masuk",1,-1),1)&lt;0,INDEX(Transaksi!$F$1:$F$5015,ROUND(MOD(MOD(SMALL(Transaksi!$X$16:$X$5015,89),1),0.01)*10000000,0)),""))</f>
        <v/>
      </c>
      <c r="G98" s="106">
        <f>IF(89&gt;COUNT(Transaksi!$X$16:$X$5015),"",N(G97)+N(E98)-N(F98))</f>
        <v/>
      </c>
      <c r="H98" s="137">
        <f>IF(89&gt;COUNT(Transaksi!$X$16:$X$5015),"",HYPERLINK("#Transaksi!B"&amp;A98,"Buka"))</f>
        <v/>
      </c>
    </row>
    <row r="99" ht="15" customHeight="1" s="94">
      <c r="A99" s="93">
        <f>IF(90&gt;COUNT(Transaksi!$X$16:$X$5015),"",ROUND(MOD(MOD(SMALL(Transaksi!$X$16:$X$5015,90),1),0.01)*10000000,0))</f>
        <v/>
      </c>
      <c r="B99" s="135">
        <f>IF(90&gt;COUNT(Transaksi!$X$16:$X$5015),"",IF(90=1,INDEX(Transaksi!$B$1:$B$5015,ROUND(MOD(MOD(SMALL(Transaksi!$X$16:$X$5015,90),1),0.01)*10000000,0)),IF(INDEX(Transaksi!$B$1:$B$5015,ROUND(MOD(MOD(SMALL(Transaksi!$X$16:$X$5015,90),1),0.01)*10000000,0))=INDEX(Transaksi!$B$1:$B$5015,A98),"",INDEX(Transaksi!$B$1:$B$5015,ROUND(MOD(MOD(SMALL(Transaksi!$X$16:$X$5015,90),1),0.01)*10000000,0)))))</f>
        <v/>
      </c>
      <c r="C99" s="136">
        <f>IF(90&gt;COUNT(Transaksi!$X$16:$X$5015),"",INDEX(Transaksi!$J$1:$J$5015,ROUND(MOD(MOD(SMALL(Transaksi!$X$16:$X$5015,90),1),0.01)*10000000,0))&amp;IF(INDEX(Transaksi!$D$1:$D$5015,ROUND(MOD(MOD(SMALL(Transaksi!$X$16:$X$5015,90),1),0.01)*10000000,0))="Pindah",IF(INDEX(Transaksi!$C$1:$C$5015,ROUND(MOD(MOD(SMALL(Transaksi!$X$16:$X$5015,90),1),0.01)*10000000,0))=$C$4," (ke "&amp;INDEX(Transaksi!$E$1:$E$5015,ROUND(MOD(MOD(SMALL(Transaksi!$X$16:$X$5015,90),1),0.01)*10000000,0))&amp;")"," (dari "&amp;INDEX(Transaksi!$C$1:$C$5015,ROUND(MOD(MOD(SMALL(Transaksi!$X$16:$X$5015,90),1),0.01)*10000000,0))&amp;")"),""))</f>
        <v/>
      </c>
      <c r="D99" s="137">
        <f>IF(90&gt;COUNT(Transaksi!$X$16:$X$5015),"",INDEX(Transaksi!$I$1:$I$5015,ROUND(MOD(MOD(SMALL(Transaksi!$X$16:$X$5015,90),1),0.01)*10000000,0)))</f>
        <v/>
      </c>
      <c r="E99" s="138">
        <f>IF(90&gt;COUNT(Transaksi!$X$16:$X$5015),"",IF(IF(INDEX(Transaksi!$C$1:$C$5015,ROUND(MOD(MOD(SMALL(Transaksi!$X$16:$X$5015,90),1),0.01)*10000000,0))=$C$4,IF(INDEX(Transaksi!$D$1:$D$5015,ROUND(MOD(MOD(SMALL(Transaksi!$X$16:$X$5015,90),1),0.01)*10000000,0))="Masuk",1,-1),1)&gt;0,INDEX(Transaksi!$F$1:$F$5015,ROUND(MOD(MOD(SMALL(Transaksi!$X$16:$X$5015,90),1),0.01)*10000000,0)),""))</f>
        <v/>
      </c>
      <c r="F99" s="139">
        <f>IF(90&gt;COUNT(Transaksi!$X$16:$X$5015),"",IF(IF(INDEX(Transaksi!$C$1:$C$5015,ROUND(MOD(MOD(SMALL(Transaksi!$X$16:$X$5015,90),1),0.01)*10000000,0))=$C$4,IF(INDEX(Transaksi!$D$1:$D$5015,ROUND(MOD(MOD(SMALL(Transaksi!$X$16:$X$5015,90),1),0.01)*10000000,0))="Masuk",1,-1),1)&lt;0,INDEX(Transaksi!$F$1:$F$5015,ROUND(MOD(MOD(SMALL(Transaksi!$X$16:$X$5015,90),1),0.01)*10000000,0)),""))</f>
        <v/>
      </c>
      <c r="G99" s="106">
        <f>IF(90&gt;COUNT(Transaksi!$X$16:$X$5015),"",N(G98)+N(E99)-N(F99))</f>
        <v/>
      </c>
      <c r="H99" s="137">
        <f>IF(90&gt;COUNT(Transaksi!$X$16:$X$5015),"",HYPERLINK("#Transaksi!B"&amp;A99,"Buka"))</f>
        <v/>
      </c>
    </row>
    <row r="100" ht="15" customHeight="1" s="94">
      <c r="A100" s="93">
        <f>IF(91&gt;COUNT(Transaksi!$X$16:$X$5015),"",ROUND(MOD(MOD(SMALL(Transaksi!$X$16:$X$5015,91),1),0.01)*10000000,0))</f>
        <v/>
      </c>
      <c r="B100" s="135">
        <f>IF(91&gt;COUNT(Transaksi!$X$16:$X$5015),"",IF(91=1,INDEX(Transaksi!$B$1:$B$5015,ROUND(MOD(MOD(SMALL(Transaksi!$X$16:$X$5015,91),1),0.01)*10000000,0)),IF(INDEX(Transaksi!$B$1:$B$5015,ROUND(MOD(MOD(SMALL(Transaksi!$X$16:$X$5015,91),1),0.01)*10000000,0))=INDEX(Transaksi!$B$1:$B$5015,A99),"",INDEX(Transaksi!$B$1:$B$5015,ROUND(MOD(MOD(SMALL(Transaksi!$X$16:$X$5015,91),1),0.01)*10000000,0)))))</f>
        <v/>
      </c>
      <c r="C100" s="136">
        <f>IF(91&gt;COUNT(Transaksi!$X$16:$X$5015),"",INDEX(Transaksi!$J$1:$J$5015,ROUND(MOD(MOD(SMALL(Transaksi!$X$16:$X$5015,91),1),0.01)*10000000,0))&amp;IF(INDEX(Transaksi!$D$1:$D$5015,ROUND(MOD(MOD(SMALL(Transaksi!$X$16:$X$5015,91),1),0.01)*10000000,0))="Pindah",IF(INDEX(Transaksi!$C$1:$C$5015,ROUND(MOD(MOD(SMALL(Transaksi!$X$16:$X$5015,91),1),0.01)*10000000,0))=$C$4," (ke "&amp;INDEX(Transaksi!$E$1:$E$5015,ROUND(MOD(MOD(SMALL(Transaksi!$X$16:$X$5015,91),1),0.01)*10000000,0))&amp;")"," (dari "&amp;INDEX(Transaksi!$C$1:$C$5015,ROUND(MOD(MOD(SMALL(Transaksi!$X$16:$X$5015,91),1),0.01)*10000000,0))&amp;")"),""))</f>
        <v/>
      </c>
      <c r="D100" s="137">
        <f>IF(91&gt;COUNT(Transaksi!$X$16:$X$5015),"",INDEX(Transaksi!$I$1:$I$5015,ROUND(MOD(MOD(SMALL(Transaksi!$X$16:$X$5015,91),1),0.01)*10000000,0)))</f>
        <v/>
      </c>
      <c r="E100" s="138">
        <f>IF(91&gt;COUNT(Transaksi!$X$16:$X$5015),"",IF(IF(INDEX(Transaksi!$C$1:$C$5015,ROUND(MOD(MOD(SMALL(Transaksi!$X$16:$X$5015,91),1),0.01)*10000000,0))=$C$4,IF(INDEX(Transaksi!$D$1:$D$5015,ROUND(MOD(MOD(SMALL(Transaksi!$X$16:$X$5015,91),1),0.01)*10000000,0))="Masuk",1,-1),1)&gt;0,INDEX(Transaksi!$F$1:$F$5015,ROUND(MOD(MOD(SMALL(Transaksi!$X$16:$X$5015,91),1),0.01)*10000000,0)),""))</f>
        <v/>
      </c>
      <c r="F100" s="139">
        <f>IF(91&gt;COUNT(Transaksi!$X$16:$X$5015),"",IF(IF(INDEX(Transaksi!$C$1:$C$5015,ROUND(MOD(MOD(SMALL(Transaksi!$X$16:$X$5015,91),1),0.01)*10000000,0))=$C$4,IF(INDEX(Transaksi!$D$1:$D$5015,ROUND(MOD(MOD(SMALL(Transaksi!$X$16:$X$5015,91),1),0.01)*10000000,0))="Masuk",1,-1),1)&lt;0,INDEX(Transaksi!$F$1:$F$5015,ROUND(MOD(MOD(SMALL(Transaksi!$X$16:$X$5015,91),1),0.01)*10000000,0)),""))</f>
        <v/>
      </c>
      <c r="G100" s="106">
        <f>IF(91&gt;COUNT(Transaksi!$X$16:$X$5015),"",N(G99)+N(E100)-N(F100))</f>
        <v/>
      </c>
      <c r="H100" s="137">
        <f>IF(91&gt;COUNT(Transaksi!$X$16:$X$5015),"",HYPERLINK("#Transaksi!B"&amp;A100,"Buka"))</f>
        <v/>
      </c>
    </row>
    <row r="101" ht="15" customHeight="1" s="94">
      <c r="A101" s="93">
        <f>IF(92&gt;COUNT(Transaksi!$X$16:$X$5015),"",ROUND(MOD(MOD(SMALL(Transaksi!$X$16:$X$5015,92),1),0.01)*10000000,0))</f>
        <v/>
      </c>
      <c r="B101" s="135">
        <f>IF(92&gt;COUNT(Transaksi!$X$16:$X$5015),"",IF(92=1,INDEX(Transaksi!$B$1:$B$5015,ROUND(MOD(MOD(SMALL(Transaksi!$X$16:$X$5015,92),1),0.01)*10000000,0)),IF(INDEX(Transaksi!$B$1:$B$5015,ROUND(MOD(MOD(SMALL(Transaksi!$X$16:$X$5015,92),1),0.01)*10000000,0))=INDEX(Transaksi!$B$1:$B$5015,A100),"",INDEX(Transaksi!$B$1:$B$5015,ROUND(MOD(MOD(SMALL(Transaksi!$X$16:$X$5015,92),1),0.01)*10000000,0)))))</f>
        <v/>
      </c>
      <c r="C101" s="136">
        <f>IF(92&gt;COUNT(Transaksi!$X$16:$X$5015),"",INDEX(Transaksi!$J$1:$J$5015,ROUND(MOD(MOD(SMALL(Transaksi!$X$16:$X$5015,92),1),0.01)*10000000,0))&amp;IF(INDEX(Transaksi!$D$1:$D$5015,ROUND(MOD(MOD(SMALL(Transaksi!$X$16:$X$5015,92),1),0.01)*10000000,0))="Pindah",IF(INDEX(Transaksi!$C$1:$C$5015,ROUND(MOD(MOD(SMALL(Transaksi!$X$16:$X$5015,92),1),0.01)*10000000,0))=$C$4," (ke "&amp;INDEX(Transaksi!$E$1:$E$5015,ROUND(MOD(MOD(SMALL(Transaksi!$X$16:$X$5015,92),1),0.01)*10000000,0))&amp;")"," (dari "&amp;INDEX(Transaksi!$C$1:$C$5015,ROUND(MOD(MOD(SMALL(Transaksi!$X$16:$X$5015,92),1),0.01)*10000000,0))&amp;")"),""))</f>
        <v/>
      </c>
      <c r="D101" s="137">
        <f>IF(92&gt;COUNT(Transaksi!$X$16:$X$5015),"",INDEX(Transaksi!$I$1:$I$5015,ROUND(MOD(MOD(SMALL(Transaksi!$X$16:$X$5015,92),1),0.01)*10000000,0)))</f>
        <v/>
      </c>
      <c r="E101" s="138">
        <f>IF(92&gt;COUNT(Transaksi!$X$16:$X$5015),"",IF(IF(INDEX(Transaksi!$C$1:$C$5015,ROUND(MOD(MOD(SMALL(Transaksi!$X$16:$X$5015,92),1),0.01)*10000000,0))=$C$4,IF(INDEX(Transaksi!$D$1:$D$5015,ROUND(MOD(MOD(SMALL(Transaksi!$X$16:$X$5015,92),1),0.01)*10000000,0))="Masuk",1,-1),1)&gt;0,INDEX(Transaksi!$F$1:$F$5015,ROUND(MOD(MOD(SMALL(Transaksi!$X$16:$X$5015,92),1),0.01)*10000000,0)),""))</f>
        <v/>
      </c>
      <c r="F101" s="139">
        <f>IF(92&gt;COUNT(Transaksi!$X$16:$X$5015),"",IF(IF(INDEX(Transaksi!$C$1:$C$5015,ROUND(MOD(MOD(SMALL(Transaksi!$X$16:$X$5015,92),1),0.01)*10000000,0))=$C$4,IF(INDEX(Transaksi!$D$1:$D$5015,ROUND(MOD(MOD(SMALL(Transaksi!$X$16:$X$5015,92),1),0.01)*10000000,0))="Masuk",1,-1),1)&lt;0,INDEX(Transaksi!$F$1:$F$5015,ROUND(MOD(MOD(SMALL(Transaksi!$X$16:$X$5015,92),1),0.01)*10000000,0)),""))</f>
        <v/>
      </c>
      <c r="G101" s="106">
        <f>IF(92&gt;COUNT(Transaksi!$X$16:$X$5015),"",N(G100)+N(E101)-N(F101))</f>
        <v/>
      </c>
      <c r="H101" s="137">
        <f>IF(92&gt;COUNT(Transaksi!$X$16:$X$5015),"",HYPERLINK("#Transaksi!B"&amp;A101,"Buka"))</f>
        <v/>
      </c>
    </row>
    <row r="102" ht="15" customHeight="1" s="94">
      <c r="A102" s="93">
        <f>IF(93&gt;COUNT(Transaksi!$X$16:$X$5015),"",ROUND(MOD(MOD(SMALL(Transaksi!$X$16:$X$5015,93),1),0.01)*10000000,0))</f>
        <v/>
      </c>
      <c r="B102" s="135">
        <f>IF(93&gt;COUNT(Transaksi!$X$16:$X$5015),"",IF(93=1,INDEX(Transaksi!$B$1:$B$5015,ROUND(MOD(MOD(SMALL(Transaksi!$X$16:$X$5015,93),1),0.01)*10000000,0)),IF(INDEX(Transaksi!$B$1:$B$5015,ROUND(MOD(MOD(SMALL(Transaksi!$X$16:$X$5015,93),1),0.01)*10000000,0))=INDEX(Transaksi!$B$1:$B$5015,A101),"",INDEX(Transaksi!$B$1:$B$5015,ROUND(MOD(MOD(SMALL(Transaksi!$X$16:$X$5015,93),1),0.01)*10000000,0)))))</f>
        <v/>
      </c>
      <c r="C102" s="136">
        <f>IF(93&gt;COUNT(Transaksi!$X$16:$X$5015),"",INDEX(Transaksi!$J$1:$J$5015,ROUND(MOD(MOD(SMALL(Transaksi!$X$16:$X$5015,93),1),0.01)*10000000,0))&amp;IF(INDEX(Transaksi!$D$1:$D$5015,ROUND(MOD(MOD(SMALL(Transaksi!$X$16:$X$5015,93),1),0.01)*10000000,0))="Pindah",IF(INDEX(Transaksi!$C$1:$C$5015,ROUND(MOD(MOD(SMALL(Transaksi!$X$16:$X$5015,93),1),0.01)*10000000,0))=$C$4," (ke "&amp;INDEX(Transaksi!$E$1:$E$5015,ROUND(MOD(MOD(SMALL(Transaksi!$X$16:$X$5015,93),1),0.01)*10000000,0))&amp;")"," (dari "&amp;INDEX(Transaksi!$C$1:$C$5015,ROUND(MOD(MOD(SMALL(Transaksi!$X$16:$X$5015,93),1),0.01)*10000000,0))&amp;")"),""))</f>
        <v/>
      </c>
      <c r="D102" s="137">
        <f>IF(93&gt;COUNT(Transaksi!$X$16:$X$5015),"",INDEX(Transaksi!$I$1:$I$5015,ROUND(MOD(MOD(SMALL(Transaksi!$X$16:$X$5015,93),1),0.01)*10000000,0)))</f>
        <v/>
      </c>
      <c r="E102" s="138">
        <f>IF(93&gt;COUNT(Transaksi!$X$16:$X$5015),"",IF(IF(INDEX(Transaksi!$C$1:$C$5015,ROUND(MOD(MOD(SMALL(Transaksi!$X$16:$X$5015,93),1),0.01)*10000000,0))=$C$4,IF(INDEX(Transaksi!$D$1:$D$5015,ROUND(MOD(MOD(SMALL(Transaksi!$X$16:$X$5015,93),1),0.01)*10000000,0))="Masuk",1,-1),1)&gt;0,INDEX(Transaksi!$F$1:$F$5015,ROUND(MOD(MOD(SMALL(Transaksi!$X$16:$X$5015,93),1),0.01)*10000000,0)),""))</f>
        <v/>
      </c>
      <c r="F102" s="139">
        <f>IF(93&gt;COUNT(Transaksi!$X$16:$X$5015),"",IF(IF(INDEX(Transaksi!$C$1:$C$5015,ROUND(MOD(MOD(SMALL(Transaksi!$X$16:$X$5015,93),1),0.01)*10000000,0))=$C$4,IF(INDEX(Transaksi!$D$1:$D$5015,ROUND(MOD(MOD(SMALL(Transaksi!$X$16:$X$5015,93),1),0.01)*10000000,0))="Masuk",1,-1),1)&lt;0,INDEX(Transaksi!$F$1:$F$5015,ROUND(MOD(MOD(SMALL(Transaksi!$X$16:$X$5015,93),1),0.01)*10000000,0)),""))</f>
        <v/>
      </c>
      <c r="G102" s="106">
        <f>IF(93&gt;COUNT(Transaksi!$X$16:$X$5015),"",N(G101)+N(E102)-N(F102))</f>
        <v/>
      </c>
      <c r="H102" s="137">
        <f>IF(93&gt;COUNT(Transaksi!$X$16:$X$5015),"",HYPERLINK("#Transaksi!B"&amp;A102,"Buka"))</f>
        <v/>
      </c>
    </row>
    <row r="103" ht="15" customHeight="1" s="94">
      <c r="A103" s="93">
        <f>IF(94&gt;COUNT(Transaksi!$X$16:$X$5015),"",ROUND(MOD(MOD(SMALL(Transaksi!$X$16:$X$5015,94),1),0.01)*10000000,0))</f>
        <v/>
      </c>
      <c r="B103" s="135">
        <f>IF(94&gt;COUNT(Transaksi!$X$16:$X$5015),"",IF(94=1,INDEX(Transaksi!$B$1:$B$5015,ROUND(MOD(MOD(SMALL(Transaksi!$X$16:$X$5015,94),1),0.01)*10000000,0)),IF(INDEX(Transaksi!$B$1:$B$5015,ROUND(MOD(MOD(SMALL(Transaksi!$X$16:$X$5015,94),1),0.01)*10000000,0))=INDEX(Transaksi!$B$1:$B$5015,A102),"",INDEX(Transaksi!$B$1:$B$5015,ROUND(MOD(MOD(SMALL(Transaksi!$X$16:$X$5015,94),1),0.01)*10000000,0)))))</f>
        <v/>
      </c>
      <c r="C103" s="136">
        <f>IF(94&gt;COUNT(Transaksi!$X$16:$X$5015),"",INDEX(Transaksi!$J$1:$J$5015,ROUND(MOD(MOD(SMALL(Transaksi!$X$16:$X$5015,94),1),0.01)*10000000,0))&amp;IF(INDEX(Transaksi!$D$1:$D$5015,ROUND(MOD(MOD(SMALL(Transaksi!$X$16:$X$5015,94),1),0.01)*10000000,0))="Pindah",IF(INDEX(Transaksi!$C$1:$C$5015,ROUND(MOD(MOD(SMALL(Transaksi!$X$16:$X$5015,94),1),0.01)*10000000,0))=$C$4," (ke "&amp;INDEX(Transaksi!$E$1:$E$5015,ROUND(MOD(MOD(SMALL(Transaksi!$X$16:$X$5015,94),1),0.01)*10000000,0))&amp;")"," (dari "&amp;INDEX(Transaksi!$C$1:$C$5015,ROUND(MOD(MOD(SMALL(Transaksi!$X$16:$X$5015,94),1),0.01)*10000000,0))&amp;")"),""))</f>
        <v/>
      </c>
      <c r="D103" s="137">
        <f>IF(94&gt;COUNT(Transaksi!$X$16:$X$5015),"",INDEX(Transaksi!$I$1:$I$5015,ROUND(MOD(MOD(SMALL(Transaksi!$X$16:$X$5015,94),1),0.01)*10000000,0)))</f>
        <v/>
      </c>
      <c r="E103" s="138">
        <f>IF(94&gt;COUNT(Transaksi!$X$16:$X$5015),"",IF(IF(INDEX(Transaksi!$C$1:$C$5015,ROUND(MOD(MOD(SMALL(Transaksi!$X$16:$X$5015,94),1),0.01)*10000000,0))=$C$4,IF(INDEX(Transaksi!$D$1:$D$5015,ROUND(MOD(MOD(SMALL(Transaksi!$X$16:$X$5015,94),1),0.01)*10000000,0))="Masuk",1,-1),1)&gt;0,INDEX(Transaksi!$F$1:$F$5015,ROUND(MOD(MOD(SMALL(Transaksi!$X$16:$X$5015,94),1),0.01)*10000000,0)),""))</f>
        <v/>
      </c>
      <c r="F103" s="139">
        <f>IF(94&gt;COUNT(Transaksi!$X$16:$X$5015),"",IF(IF(INDEX(Transaksi!$C$1:$C$5015,ROUND(MOD(MOD(SMALL(Transaksi!$X$16:$X$5015,94),1),0.01)*10000000,0))=$C$4,IF(INDEX(Transaksi!$D$1:$D$5015,ROUND(MOD(MOD(SMALL(Transaksi!$X$16:$X$5015,94),1),0.01)*10000000,0))="Masuk",1,-1),1)&lt;0,INDEX(Transaksi!$F$1:$F$5015,ROUND(MOD(MOD(SMALL(Transaksi!$X$16:$X$5015,94),1),0.01)*10000000,0)),""))</f>
        <v/>
      </c>
      <c r="G103" s="106">
        <f>IF(94&gt;COUNT(Transaksi!$X$16:$X$5015),"",N(G102)+N(E103)-N(F103))</f>
        <v/>
      </c>
      <c r="H103" s="137">
        <f>IF(94&gt;COUNT(Transaksi!$X$16:$X$5015),"",HYPERLINK("#Transaksi!B"&amp;A103,"Buka"))</f>
        <v/>
      </c>
    </row>
    <row r="104" ht="15" customHeight="1" s="94">
      <c r="A104" s="93">
        <f>IF(95&gt;COUNT(Transaksi!$X$16:$X$5015),"",ROUND(MOD(MOD(SMALL(Transaksi!$X$16:$X$5015,95),1),0.01)*10000000,0))</f>
        <v/>
      </c>
      <c r="B104" s="135">
        <f>IF(95&gt;COUNT(Transaksi!$X$16:$X$5015),"",IF(95=1,INDEX(Transaksi!$B$1:$B$5015,ROUND(MOD(MOD(SMALL(Transaksi!$X$16:$X$5015,95),1),0.01)*10000000,0)),IF(INDEX(Transaksi!$B$1:$B$5015,ROUND(MOD(MOD(SMALL(Transaksi!$X$16:$X$5015,95),1),0.01)*10000000,0))=INDEX(Transaksi!$B$1:$B$5015,A103),"",INDEX(Transaksi!$B$1:$B$5015,ROUND(MOD(MOD(SMALL(Transaksi!$X$16:$X$5015,95),1),0.01)*10000000,0)))))</f>
        <v/>
      </c>
      <c r="C104" s="136">
        <f>IF(95&gt;COUNT(Transaksi!$X$16:$X$5015),"",INDEX(Transaksi!$J$1:$J$5015,ROUND(MOD(MOD(SMALL(Transaksi!$X$16:$X$5015,95),1),0.01)*10000000,0))&amp;IF(INDEX(Transaksi!$D$1:$D$5015,ROUND(MOD(MOD(SMALL(Transaksi!$X$16:$X$5015,95),1),0.01)*10000000,0))="Pindah",IF(INDEX(Transaksi!$C$1:$C$5015,ROUND(MOD(MOD(SMALL(Transaksi!$X$16:$X$5015,95),1),0.01)*10000000,0))=$C$4," (ke "&amp;INDEX(Transaksi!$E$1:$E$5015,ROUND(MOD(MOD(SMALL(Transaksi!$X$16:$X$5015,95),1),0.01)*10000000,0))&amp;")"," (dari "&amp;INDEX(Transaksi!$C$1:$C$5015,ROUND(MOD(MOD(SMALL(Transaksi!$X$16:$X$5015,95),1),0.01)*10000000,0))&amp;")"),""))</f>
        <v/>
      </c>
      <c r="D104" s="137">
        <f>IF(95&gt;COUNT(Transaksi!$X$16:$X$5015),"",INDEX(Transaksi!$I$1:$I$5015,ROUND(MOD(MOD(SMALL(Transaksi!$X$16:$X$5015,95),1),0.01)*10000000,0)))</f>
        <v/>
      </c>
      <c r="E104" s="138">
        <f>IF(95&gt;COUNT(Transaksi!$X$16:$X$5015),"",IF(IF(INDEX(Transaksi!$C$1:$C$5015,ROUND(MOD(MOD(SMALL(Transaksi!$X$16:$X$5015,95),1),0.01)*10000000,0))=$C$4,IF(INDEX(Transaksi!$D$1:$D$5015,ROUND(MOD(MOD(SMALL(Transaksi!$X$16:$X$5015,95),1),0.01)*10000000,0))="Masuk",1,-1),1)&gt;0,INDEX(Transaksi!$F$1:$F$5015,ROUND(MOD(MOD(SMALL(Transaksi!$X$16:$X$5015,95),1),0.01)*10000000,0)),""))</f>
        <v/>
      </c>
      <c r="F104" s="139">
        <f>IF(95&gt;COUNT(Transaksi!$X$16:$X$5015),"",IF(IF(INDEX(Transaksi!$C$1:$C$5015,ROUND(MOD(MOD(SMALL(Transaksi!$X$16:$X$5015,95),1),0.01)*10000000,0))=$C$4,IF(INDEX(Transaksi!$D$1:$D$5015,ROUND(MOD(MOD(SMALL(Transaksi!$X$16:$X$5015,95),1),0.01)*10000000,0))="Masuk",1,-1),1)&lt;0,INDEX(Transaksi!$F$1:$F$5015,ROUND(MOD(MOD(SMALL(Transaksi!$X$16:$X$5015,95),1),0.01)*10000000,0)),""))</f>
        <v/>
      </c>
      <c r="G104" s="106">
        <f>IF(95&gt;COUNT(Transaksi!$X$16:$X$5015),"",N(G103)+N(E104)-N(F104))</f>
        <v/>
      </c>
      <c r="H104" s="137">
        <f>IF(95&gt;COUNT(Transaksi!$X$16:$X$5015),"",HYPERLINK("#Transaksi!B"&amp;A104,"Buka"))</f>
        <v/>
      </c>
    </row>
    <row r="105" ht="15" customHeight="1" s="94">
      <c r="A105" s="93">
        <f>IF(96&gt;COUNT(Transaksi!$X$16:$X$5015),"",ROUND(MOD(MOD(SMALL(Transaksi!$X$16:$X$5015,96),1),0.01)*10000000,0))</f>
        <v/>
      </c>
      <c r="B105" s="135">
        <f>IF(96&gt;COUNT(Transaksi!$X$16:$X$5015),"",IF(96=1,INDEX(Transaksi!$B$1:$B$5015,ROUND(MOD(MOD(SMALL(Transaksi!$X$16:$X$5015,96),1),0.01)*10000000,0)),IF(INDEX(Transaksi!$B$1:$B$5015,ROUND(MOD(MOD(SMALL(Transaksi!$X$16:$X$5015,96),1),0.01)*10000000,0))=INDEX(Transaksi!$B$1:$B$5015,A104),"",INDEX(Transaksi!$B$1:$B$5015,ROUND(MOD(MOD(SMALL(Transaksi!$X$16:$X$5015,96),1),0.01)*10000000,0)))))</f>
        <v/>
      </c>
      <c r="C105" s="136">
        <f>IF(96&gt;COUNT(Transaksi!$X$16:$X$5015),"",INDEX(Transaksi!$J$1:$J$5015,ROUND(MOD(MOD(SMALL(Transaksi!$X$16:$X$5015,96),1),0.01)*10000000,0))&amp;IF(INDEX(Transaksi!$D$1:$D$5015,ROUND(MOD(MOD(SMALL(Transaksi!$X$16:$X$5015,96),1),0.01)*10000000,0))="Pindah",IF(INDEX(Transaksi!$C$1:$C$5015,ROUND(MOD(MOD(SMALL(Transaksi!$X$16:$X$5015,96),1),0.01)*10000000,0))=$C$4," (ke "&amp;INDEX(Transaksi!$E$1:$E$5015,ROUND(MOD(MOD(SMALL(Transaksi!$X$16:$X$5015,96),1),0.01)*10000000,0))&amp;")"," (dari "&amp;INDEX(Transaksi!$C$1:$C$5015,ROUND(MOD(MOD(SMALL(Transaksi!$X$16:$X$5015,96),1),0.01)*10000000,0))&amp;")"),""))</f>
        <v/>
      </c>
      <c r="D105" s="137">
        <f>IF(96&gt;COUNT(Transaksi!$X$16:$X$5015),"",INDEX(Transaksi!$I$1:$I$5015,ROUND(MOD(MOD(SMALL(Transaksi!$X$16:$X$5015,96),1),0.01)*10000000,0)))</f>
        <v/>
      </c>
      <c r="E105" s="138">
        <f>IF(96&gt;COUNT(Transaksi!$X$16:$X$5015),"",IF(IF(INDEX(Transaksi!$C$1:$C$5015,ROUND(MOD(MOD(SMALL(Transaksi!$X$16:$X$5015,96),1),0.01)*10000000,0))=$C$4,IF(INDEX(Transaksi!$D$1:$D$5015,ROUND(MOD(MOD(SMALL(Transaksi!$X$16:$X$5015,96),1),0.01)*10000000,0))="Masuk",1,-1),1)&gt;0,INDEX(Transaksi!$F$1:$F$5015,ROUND(MOD(MOD(SMALL(Transaksi!$X$16:$X$5015,96),1),0.01)*10000000,0)),""))</f>
        <v/>
      </c>
      <c r="F105" s="139">
        <f>IF(96&gt;COUNT(Transaksi!$X$16:$X$5015),"",IF(IF(INDEX(Transaksi!$C$1:$C$5015,ROUND(MOD(MOD(SMALL(Transaksi!$X$16:$X$5015,96),1),0.01)*10000000,0))=$C$4,IF(INDEX(Transaksi!$D$1:$D$5015,ROUND(MOD(MOD(SMALL(Transaksi!$X$16:$X$5015,96),1),0.01)*10000000,0))="Masuk",1,-1),1)&lt;0,INDEX(Transaksi!$F$1:$F$5015,ROUND(MOD(MOD(SMALL(Transaksi!$X$16:$X$5015,96),1),0.01)*10000000,0)),""))</f>
        <v/>
      </c>
      <c r="G105" s="106">
        <f>IF(96&gt;COUNT(Transaksi!$X$16:$X$5015),"",N(G104)+N(E105)-N(F105))</f>
        <v/>
      </c>
      <c r="H105" s="137">
        <f>IF(96&gt;COUNT(Transaksi!$X$16:$X$5015),"",HYPERLINK("#Transaksi!B"&amp;A105,"Buka"))</f>
        <v/>
      </c>
    </row>
    <row r="106" ht="15" customHeight="1" s="94">
      <c r="A106" s="93">
        <f>IF(97&gt;COUNT(Transaksi!$X$16:$X$5015),"",ROUND(MOD(MOD(SMALL(Transaksi!$X$16:$X$5015,97),1),0.01)*10000000,0))</f>
        <v/>
      </c>
      <c r="B106" s="135">
        <f>IF(97&gt;COUNT(Transaksi!$X$16:$X$5015),"",IF(97=1,INDEX(Transaksi!$B$1:$B$5015,ROUND(MOD(MOD(SMALL(Transaksi!$X$16:$X$5015,97),1),0.01)*10000000,0)),IF(INDEX(Transaksi!$B$1:$B$5015,ROUND(MOD(MOD(SMALL(Transaksi!$X$16:$X$5015,97),1),0.01)*10000000,0))=INDEX(Transaksi!$B$1:$B$5015,A105),"",INDEX(Transaksi!$B$1:$B$5015,ROUND(MOD(MOD(SMALL(Transaksi!$X$16:$X$5015,97),1),0.01)*10000000,0)))))</f>
        <v/>
      </c>
      <c r="C106" s="136">
        <f>IF(97&gt;COUNT(Transaksi!$X$16:$X$5015),"",INDEX(Transaksi!$J$1:$J$5015,ROUND(MOD(MOD(SMALL(Transaksi!$X$16:$X$5015,97),1),0.01)*10000000,0))&amp;IF(INDEX(Transaksi!$D$1:$D$5015,ROUND(MOD(MOD(SMALL(Transaksi!$X$16:$X$5015,97),1),0.01)*10000000,0))="Pindah",IF(INDEX(Transaksi!$C$1:$C$5015,ROUND(MOD(MOD(SMALL(Transaksi!$X$16:$X$5015,97),1),0.01)*10000000,0))=$C$4," (ke "&amp;INDEX(Transaksi!$E$1:$E$5015,ROUND(MOD(MOD(SMALL(Transaksi!$X$16:$X$5015,97),1),0.01)*10000000,0))&amp;")"," (dari "&amp;INDEX(Transaksi!$C$1:$C$5015,ROUND(MOD(MOD(SMALL(Transaksi!$X$16:$X$5015,97),1),0.01)*10000000,0))&amp;")"),""))</f>
        <v/>
      </c>
      <c r="D106" s="137">
        <f>IF(97&gt;COUNT(Transaksi!$X$16:$X$5015),"",INDEX(Transaksi!$I$1:$I$5015,ROUND(MOD(MOD(SMALL(Transaksi!$X$16:$X$5015,97),1),0.01)*10000000,0)))</f>
        <v/>
      </c>
      <c r="E106" s="138">
        <f>IF(97&gt;COUNT(Transaksi!$X$16:$X$5015),"",IF(IF(INDEX(Transaksi!$C$1:$C$5015,ROUND(MOD(MOD(SMALL(Transaksi!$X$16:$X$5015,97),1),0.01)*10000000,0))=$C$4,IF(INDEX(Transaksi!$D$1:$D$5015,ROUND(MOD(MOD(SMALL(Transaksi!$X$16:$X$5015,97),1),0.01)*10000000,0))="Masuk",1,-1),1)&gt;0,INDEX(Transaksi!$F$1:$F$5015,ROUND(MOD(MOD(SMALL(Transaksi!$X$16:$X$5015,97),1),0.01)*10000000,0)),""))</f>
        <v/>
      </c>
      <c r="F106" s="139">
        <f>IF(97&gt;COUNT(Transaksi!$X$16:$X$5015),"",IF(IF(INDEX(Transaksi!$C$1:$C$5015,ROUND(MOD(MOD(SMALL(Transaksi!$X$16:$X$5015,97),1),0.01)*10000000,0))=$C$4,IF(INDEX(Transaksi!$D$1:$D$5015,ROUND(MOD(MOD(SMALL(Transaksi!$X$16:$X$5015,97),1),0.01)*10000000,0))="Masuk",1,-1),1)&lt;0,INDEX(Transaksi!$F$1:$F$5015,ROUND(MOD(MOD(SMALL(Transaksi!$X$16:$X$5015,97),1),0.01)*10000000,0)),""))</f>
        <v/>
      </c>
      <c r="G106" s="106">
        <f>IF(97&gt;COUNT(Transaksi!$X$16:$X$5015),"",N(G105)+N(E106)-N(F106))</f>
        <v/>
      </c>
      <c r="H106" s="137">
        <f>IF(97&gt;COUNT(Transaksi!$X$16:$X$5015),"",HYPERLINK("#Transaksi!B"&amp;A106,"Buka"))</f>
        <v/>
      </c>
    </row>
    <row r="107" ht="15" customHeight="1" s="94">
      <c r="A107" s="93">
        <f>IF(98&gt;COUNT(Transaksi!$X$16:$X$5015),"",ROUND(MOD(MOD(SMALL(Transaksi!$X$16:$X$5015,98),1),0.01)*10000000,0))</f>
        <v/>
      </c>
      <c r="B107" s="135">
        <f>IF(98&gt;COUNT(Transaksi!$X$16:$X$5015),"",IF(98=1,INDEX(Transaksi!$B$1:$B$5015,ROUND(MOD(MOD(SMALL(Transaksi!$X$16:$X$5015,98),1),0.01)*10000000,0)),IF(INDEX(Transaksi!$B$1:$B$5015,ROUND(MOD(MOD(SMALL(Transaksi!$X$16:$X$5015,98),1),0.01)*10000000,0))=INDEX(Transaksi!$B$1:$B$5015,A106),"",INDEX(Transaksi!$B$1:$B$5015,ROUND(MOD(MOD(SMALL(Transaksi!$X$16:$X$5015,98),1),0.01)*10000000,0)))))</f>
        <v/>
      </c>
      <c r="C107" s="136">
        <f>IF(98&gt;COUNT(Transaksi!$X$16:$X$5015),"",INDEX(Transaksi!$J$1:$J$5015,ROUND(MOD(MOD(SMALL(Transaksi!$X$16:$X$5015,98),1),0.01)*10000000,0))&amp;IF(INDEX(Transaksi!$D$1:$D$5015,ROUND(MOD(MOD(SMALL(Transaksi!$X$16:$X$5015,98),1),0.01)*10000000,0))="Pindah",IF(INDEX(Transaksi!$C$1:$C$5015,ROUND(MOD(MOD(SMALL(Transaksi!$X$16:$X$5015,98),1),0.01)*10000000,0))=$C$4," (ke "&amp;INDEX(Transaksi!$E$1:$E$5015,ROUND(MOD(MOD(SMALL(Transaksi!$X$16:$X$5015,98),1),0.01)*10000000,0))&amp;")"," (dari "&amp;INDEX(Transaksi!$C$1:$C$5015,ROUND(MOD(MOD(SMALL(Transaksi!$X$16:$X$5015,98),1),0.01)*10000000,0))&amp;")"),""))</f>
        <v/>
      </c>
      <c r="D107" s="137">
        <f>IF(98&gt;COUNT(Transaksi!$X$16:$X$5015),"",INDEX(Transaksi!$I$1:$I$5015,ROUND(MOD(MOD(SMALL(Transaksi!$X$16:$X$5015,98),1),0.01)*10000000,0)))</f>
        <v/>
      </c>
      <c r="E107" s="138">
        <f>IF(98&gt;COUNT(Transaksi!$X$16:$X$5015),"",IF(IF(INDEX(Transaksi!$C$1:$C$5015,ROUND(MOD(MOD(SMALL(Transaksi!$X$16:$X$5015,98),1),0.01)*10000000,0))=$C$4,IF(INDEX(Transaksi!$D$1:$D$5015,ROUND(MOD(MOD(SMALL(Transaksi!$X$16:$X$5015,98),1),0.01)*10000000,0))="Masuk",1,-1),1)&gt;0,INDEX(Transaksi!$F$1:$F$5015,ROUND(MOD(MOD(SMALL(Transaksi!$X$16:$X$5015,98),1),0.01)*10000000,0)),""))</f>
        <v/>
      </c>
      <c r="F107" s="139">
        <f>IF(98&gt;COUNT(Transaksi!$X$16:$X$5015),"",IF(IF(INDEX(Transaksi!$C$1:$C$5015,ROUND(MOD(MOD(SMALL(Transaksi!$X$16:$X$5015,98),1),0.01)*10000000,0))=$C$4,IF(INDEX(Transaksi!$D$1:$D$5015,ROUND(MOD(MOD(SMALL(Transaksi!$X$16:$X$5015,98),1),0.01)*10000000,0))="Masuk",1,-1),1)&lt;0,INDEX(Transaksi!$F$1:$F$5015,ROUND(MOD(MOD(SMALL(Transaksi!$X$16:$X$5015,98),1),0.01)*10000000,0)),""))</f>
        <v/>
      </c>
      <c r="G107" s="106">
        <f>IF(98&gt;COUNT(Transaksi!$X$16:$X$5015),"",N(G106)+N(E107)-N(F107))</f>
        <v/>
      </c>
      <c r="H107" s="137">
        <f>IF(98&gt;COUNT(Transaksi!$X$16:$X$5015),"",HYPERLINK("#Transaksi!B"&amp;A107,"Buka"))</f>
        <v/>
      </c>
    </row>
    <row r="108" ht="15" customHeight="1" s="94">
      <c r="A108" s="93">
        <f>IF(99&gt;COUNT(Transaksi!$X$16:$X$5015),"",ROUND(MOD(MOD(SMALL(Transaksi!$X$16:$X$5015,99),1),0.01)*10000000,0))</f>
        <v/>
      </c>
      <c r="B108" s="135">
        <f>IF(99&gt;COUNT(Transaksi!$X$16:$X$5015),"",IF(99=1,INDEX(Transaksi!$B$1:$B$5015,ROUND(MOD(MOD(SMALL(Transaksi!$X$16:$X$5015,99),1),0.01)*10000000,0)),IF(INDEX(Transaksi!$B$1:$B$5015,ROUND(MOD(MOD(SMALL(Transaksi!$X$16:$X$5015,99),1),0.01)*10000000,0))=INDEX(Transaksi!$B$1:$B$5015,A107),"",INDEX(Transaksi!$B$1:$B$5015,ROUND(MOD(MOD(SMALL(Transaksi!$X$16:$X$5015,99),1),0.01)*10000000,0)))))</f>
        <v/>
      </c>
      <c r="C108" s="136">
        <f>IF(99&gt;COUNT(Transaksi!$X$16:$X$5015),"",INDEX(Transaksi!$J$1:$J$5015,ROUND(MOD(MOD(SMALL(Transaksi!$X$16:$X$5015,99),1),0.01)*10000000,0))&amp;IF(INDEX(Transaksi!$D$1:$D$5015,ROUND(MOD(MOD(SMALL(Transaksi!$X$16:$X$5015,99),1),0.01)*10000000,0))="Pindah",IF(INDEX(Transaksi!$C$1:$C$5015,ROUND(MOD(MOD(SMALL(Transaksi!$X$16:$X$5015,99),1),0.01)*10000000,0))=$C$4," (ke "&amp;INDEX(Transaksi!$E$1:$E$5015,ROUND(MOD(MOD(SMALL(Transaksi!$X$16:$X$5015,99),1),0.01)*10000000,0))&amp;")"," (dari "&amp;INDEX(Transaksi!$C$1:$C$5015,ROUND(MOD(MOD(SMALL(Transaksi!$X$16:$X$5015,99),1),0.01)*10000000,0))&amp;")"),""))</f>
        <v/>
      </c>
      <c r="D108" s="137">
        <f>IF(99&gt;COUNT(Transaksi!$X$16:$X$5015),"",INDEX(Transaksi!$I$1:$I$5015,ROUND(MOD(MOD(SMALL(Transaksi!$X$16:$X$5015,99),1),0.01)*10000000,0)))</f>
        <v/>
      </c>
      <c r="E108" s="138">
        <f>IF(99&gt;COUNT(Transaksi!$X$16:$X$5015),"",IF(IF(INDEX(Transaksi!$C$1:$C$5015,ROUND(MOD(MOD(SMALL(Transaksi!$X$16:$X$5015,99),1),0.01)*10000000,0))=$C$4,IF(INDEX(Transaksi!$D$1:$D$5015,ROUND(MOD(MOD(SMALL(Transaksi!$X$16:$X$5015,99),1),0.01)*10000000,0))="Masuk",1,-1),1)&gt;0,INDEX(Transaksi!$F$1:$F$5015,ROUND(MOD(MOD(SMALL(Transaksi!$X$16:$X$5015,99),1),0.01)*10000000,0)),""))</f>
        <v/>
      </c>
      <c r="F108" s="139">
        <f>IF(99&gt;COUNT(Transaksi!$X$16:$X$5015),"",IF(IF(INDEX(Transaksi!$C$1:$C$5015,ROUND(MOD(MOD(SMALL(Transaksi!$X$16:$X$5015,99),1),0.01)*10000000,0))=$C$4,IF(INDEX(Transaksi!$D$1:$D$5015,ROUND(MOD(MOD(SMALL(Transaksi!$X$16:$X$5015,99),1),0.01)*10000000,0))="Masuk",1,-1),1)&lt;0,INDEX(Transaksi!$F$1:$F$5015,ROUND(MOD(MOD(SMALL(Transaksi!$X$16:$X$5015,99),1),0.01)*10000000,0)),""))</f>
        <v/>
      </c>
      <c r="G108" s="106">
        <f>IF(99&gt;COUNT(Transaksi!$X$16:$X$5015),"",N(G107)+N(E108)-N(F108))</f>
        <v/>
      </c>
      <c r="H108" s="137">
        <f>IF(99&gt;COUNT(Transaksi!$X$16:$X$5015),"",HYPERLINK("#Transaksi!B"&amp;A108,"Buka"))</f>
        <v/>
      </c>
    </row>
    <row r="109" ht="15" customHeight="1" s="94">
      <c r="A109" s="93">
        <f>IF(100&gt;COUNT(Transaksi!$X$16:$X$5015),"",ROUND(MOD(MOD(SMALL(Transaksi!$X$16:$X$5015,100),1),0.01)*10000000,0))</f>
        <v/>
      </c>
      <c r="B109" s="135">
        <f>IF(100&gt;COUNT(Transaksi!$X$16:$X$5015),"",IF(100=1,INDEX(Transaksi!$B$1:$B$5015,ROUND(MOD(MOD(SMALL(Transaksi!$X$16:$X$5015,100),1),0.01)*10000000,0)),IF(INDEX(Transaksi!$B$1:$B$5015,ROUND(MOD(MOD(SMALL(Transaksi!$X$16:$X$5015,100),1),0.01)*10000000,0))=INDEX(Transaksi!$B$1:$B$5015,A108),"",INDEX(Transaksi!$B$1:$B$5015,ROUND(MOD(MOD(SMALL(Transaksi!$X$16:$X$5015,100),1),0.01)*10000000,0)))))</f>
        <v/>
      </c>
      <c r="C109" s="136">
        <f>IF(100&gt;COUNT(Transaksi!$X$16:$X$5015),"",INDEX(Transaksi!$J$1:$J$5015,ROUND(MOD(MOD(SMALL(Transaksi!$X$16:$X$5015,100),1),0.01)*10000000,0))&amp;IF(INDEX(Transaksi!$D$1:$D$5015,ROUND(MOD(MOD(SMALL(Transaksi!$X$16:$X$5015,100),1),0.01)*10000000,0))="Pindah",IF(INDEX(Transaksi!$C$1:$C$5015,ROUND(MOD(MOD(SMALL(Transaksi!$X$16:$X$5015,100),1),0.01)*10000000,0))=$C$4," (ke "&amp;INDEX(Transaksi!$E$1:$E$5015,ROUND(MOD(MOD(SMALL(Transaksi!$X$16:$X$5015,100),1),0.01)*10000000,0))&amp;")"," (dari "&amp;INDEX(Transaksi!$C$1:$C$5015,ROUND(MOD(MOD(SMALL(Transaksi!$X$16:$X$5015,100),1),0.01)*10000000,0))&amp;")"),""))</f>
        <v/>
      </c>
      <c r="D109" s="137">
        <f>IF(100&gt;COUNT(Transaksi!$X$16:$X$5015),"",INDEX(Transaksi!$I$1:$I$5015,ROUND(MOD(MOD(SMALL(Transaksi!$X$16:$X$5015,100),1),0.01)*10000000,0)))</f>
        <v/>
      </c>
      <c r="E109" s="138">
        <f>IF(100&gt;COUNT(Transaksi!$X$16:$X$5015),"",IF(IF(INDEX(Transaksi!$C$1:$C$5015,ROUND(MOD(MOD(SMALL(Transaksi!$X$16:$X$5015,100),1),0.01)*10000000,0))=$C$4,IF(INDEX(Transaksi!$D$1:$D$5015,ROUND(MOD(MOD(SMALL(Transaksi!$X$16:$X$5015,100),1),0.01)*10000000,0))="Masuk",1,-1),1)&gt;0,INDEX(Transaksi!$F$1:$F$5015,ROUND(MOD(MOD(SMALL(Transaksi!$X$16:$X$5015,100),1),0.01)*10000000,0)),""))</f>
        <v/>
      </c>
      <c r="F109" s="139">
        <f>IF(100&gt;COUNT(Transaksi!$X$16:$X$5015),"",IF(IF(INDEX(Transaksi!$C$1:$C$5015,ROUND(MOD(MOD(SMALL(Transaksi!$X$16:$X$5015,100),1),0.01)*10000000,0))=$C$4,IF(INDEX(Transaksi!$D$1:$D$5015,ROUND(MOD(MOD(SMALL(Transaksi!$X$16:$X$5015,100),1),0.01)*10000000,0))="Masuk",1,-1),1)&lt;0,INDEX(Transaksi!$F$1:$F$5015,ROUND(MOD(MOD(SMALL(Transaksi!$X$16:$X$5015,100),1),0.01)*10000000,0)),""))</f>
        <v/>
      </c>
      <c r="G109" s="106">
        <f>IF(100&gt;COUNT(Transaksi!$X$16:$X$5015),"",N(G108)+N(E109)-N(F109))</f>
        <v/>
      </c>
      <c r="H109" s="137">
        <f>IF(100&gt;COUNT(Transaksi!$X$16:$X$5015),"",HYPERLINK("#Transaksi!B"&amp;A109,"Buka"))</f>
        <v/>
      </c>
    </row>
    <row r="110" ht="15" customHeight="1" s="94">
      <c r="A110" s="93">
        <f>IF(101&gt;COUNT(Transaksi!$X$16:$X$5015),"",ROUND(MOD(MOD(SMALL(Transaksi!$X$16:$X$5015,101),1),0.01)*10000000,0))</f>
        <v/>
      </c>
      <c r="B110" s="135">
        <f>IF(101&gt;COUNT(Transaksi!$X$16:$X$5015),"",IF(101=1,INDEX(Transaksi!$B$1:$B$5015,ROUND(MOD(MOD(SMALL(Transaksi!$X$16:$X$5015,101),1),0.01)*10000000,0)),IF(INDEX(Transaksi!$B$1:$B$5015,ROUND(MOD(MOD(SMALL(Transaksi!$X$16:$X$5015,101),1),0.01)*10000000,0))=INDEX(Transaksi!$B$1:$B$5015,A109),"",INDEX(Transaksi!$B$1:$B$5015,ROUND(MOD(MOD(SMALL(Transaksi!$X$16:$X$5015,101),1),0.01)*10000000,0)))))</f>
        <v/>
      </c>
      <c r="C110" s="136">
        <f>IF(101&gt;COUNT(Transaksi!$X$16:$X$5015),"",INDEX(Transaksi!$J$1:$J$5015,ROUND(MOD(MOD(SMALL(Transaksi!$X$16:$X$5015,101),1),0.01)*10000000,0))&amp;IF(INDEX(Transaksi!$D$1:$D$5015,ROUND(MOD(MOD(SMALL(Transaksi!$X$16:$X$5015,101),1),0.01)*10000000,0))="Pindah",IF(INDEX(Transaksi!$C$1:$C$5015,ROUND(MOD(MOD(SMALL(Transaksi!$X$16:$X$5015,101),1),0.01)*10000000,0))=$C$4," (ke "&amp;INDEX(Transaksi!$E$1:$E$5015,ROUND(MOD(MOD(SMALL(Transaksi!$X$16:$X$5015,101),1),0.01)*10000000,0))&amp;")"," (dari "&amp;INDEX(Transaksi!$C$1:$C$5015,ROUND(MOD(MOD(SMALL(Transaksi!$X$16:$X$5015,101),1),0.01)*10000000,0))&amp;")"),""))</f>
        <v/>
      </c>
      <c r="D110" s="137">
        <f>IF(101&gt;COUNT(Transaksi!$X$16:$X$5015),"",INDEX(Transaksi!$I$1:$I$5015,ROUND(MOD(MOD(SMALL(Transaksi!$X$16:$X$5015,101),1),0.01)*10000000,0)))</f>
        <v/>
      </c>
      <c r="E110" s="138">
        <f>IF(101&gt;COUNT(Transaksi!$X$16:$X$5015),"",IF(IF(INDEX(Transaksi!$C$1:$C$5015,ROUND(MOD(MOD(SMALL(Transaksi!$X$16:$X$5015,101),1),0.01)*10000000,0))=$C$4,IF(INDEX(Transaksi!$D$1:$D$5015,ROUND(MOD(MOD(SMALL(Transaksi!$X$16:$X$5015,101),1),0.01)*10000000,0))="Masuk",1,-1),1)&gt;0,INDEX(Transaksi!$F$1:$F$5015,ROUND(MOD(MOD(SMALL(Transaksi!$X$16:$X$5015,101),1),0.01)*10000000,0)),""))</f>
        <v/>
      </c>
      <c r="F110" s="139">
        <f>IF(101&gt;COUNT(Transaksi!$X$16:$X$5015),"",IF(IF(INDEX(Transaksi!$C$1:$C$5015,ROUND(MOD(MOD(SMALL(Transaksi!$X$16:$X$5015,101),1),0.01)*10000000,0))=$C$4,IF(INDEX(Transaksi!$D$1:$D$5015,ROUND(MOD(MOD(SMALL(Transaksi!$X$16:$X$5015,101),1),0.01)*10000000,0))="Masuk",1,-1),1)&lt;0,INDEX(Transaksi!$F$1:$F$5015,ROUND(MOD(MOD(SMALL(Transaksi!$X$16:$X$5015,101),1),0.01)*10000000,0)),""))</f>
        <v/>
      </c>
      <c r="G110" s="106">
        <f>IF(101&gt;COUNT(Transaksi!$X$16:$X$5015),"",N(G109)+N(E110)-N(F110))</f>
        <v/>
      </c>
      <c r="H110" s="137">
        <f>IF(101&gt;COUNT(Transaksi!$X$16:$X$5015),"",HYPERLINK("#Transaksi!B"&amp;A110,"Buka"))</f>
        <v/>
      </c>
    </row>
    <row r="111" ht="15" customHeight="1" s="94">
      <c r="A111" s="93">
        <f>IF(102&gt;COUNT(Transaksi!$X$16:$X$5015),"",ROUND(MOD(MOD(SMALL(Transaksi!$X$16:$X$5015,102),1),0.01)*10000000,0))</f>
        <v/>
      </c>
      <c r="B111" s="135">
        <f>IF(102&gt;COUNT(Transaksi!$X$16:$X$5015),"",IF(102=1,INDEX(Transaksi!$B$1:$B$5015,ROUND(MOD(MOD(SMALL(Transaksi!$X$16:$X$5015,102),1),0.01)*10000000,0)),IF(INDEX(Transaksi!$B$1:$B$5015,ROUND(MOD(MOD(SMALL(Transaksi!$X$16:$X$5015,102),1),0.01)*10000000,0))=INDEX(Transaksi!$B$1:$B$5015,A110),"",INDEX(Transaksi!$B$1:$B$5015,ROUND(MOD(MOD(SMALL(Transaksi!$X$16:$X$5015,102),1),0.01)*10000000,0)))))</f>
        <v/>
      </c>
      <c r="C111" s="136">
        <f>IF(102&gt;COUNT(Transaksi!$X$16:$X$5015),"",INDEX(Transaksi!$J$1:$J$5015,ROUND(MOD(MOD(SMALL(Transaksi!$X$16:$X$5015,102),1),0.01)*10000000,0))&amp;IF(INDEX(Transaksi!$D$1:$D$5015,ROUND(MOD(MOD(SMALL(Transaksi!$X$16:$X$5015,102),1),0.01)*10000000,0))="Pindah",IF(INDEX(Transaksi!$C$1:$C$5015,ROUND(MOD(MOD(SMALL(Transaksi!$X$16:$X$5015,102),1),0.01)*10000000,0))=$C$4," (ke "&amp;INDEX(Transaksi!$E$1:$E$5015,ROUND(MOD(MOD(SMALL(Transaksi!$X$16:$X$5015,102),1),0.01)*10000000,0))&amp;")"," (dari "&amp;INDEX(Transaksi!$C$1:$C$5015,ROUND(MOD(MOD(SMALL(Transaksi!$X$16:$X$5015,102),1),0.01)*10000000,0))&amp;")"),""))</f>
        <v/>
      </c>
      <c r="D111" s="137">
        <f>IF(102&gt;COUNT(Transaksi!$X$16:$X$5015),"",INDEX(Transaksi!$I$1:$I$5015,ROUND(MOD(MOD(SMALL(Transaksi!$X$16:$X$5015,102),1),0.01)*10000000,0)))</f>
        <v/>
      </c>
      <c r="E111" s="138">
        <f>IF(102&gt;COUNT(Transaksi!$X$16:$X$5015),"",IF(IF(INDEX(Transaksi!$C$1:$C$5015,ROUND(MOD(MOD(SMALL(Transaksi!$X$16:$X$5015,102),1),0.01)*10000000,0))=$C$4,IF(INDEX(Transaksi!$D$1:$D$5015,ROUND(MOD(MOD(SMALL(Transaksi!$X$16:$X$5015,102),1),0.01)*10000000,0))="Masuk",1,-1),1)&gt;0,INDEX(Transaksi!$F$1:$F$5015,ROUND(MOD(MOD(SMALL(Transaksi!$X$16:$X$5015,102),1),0.01)*10000000,0)),""))</f>
        <v/>
      </c>
      <c r="F111" s="139">
        <f>IF(102&gt;COUNT(Transaksi!$X$16:$X$5015),"",IF(IF(INDEX(Transaksi!$C$1:$C$5015,ROUND(MOD(MOD(SMALL(Transaksi!$X$16:$X$5015,102),1),0.01)*10000000,0))=$C$4,IF(INDEX(Transaksi!$D$1:$D$5015,ROUND(MOD(MOD(SMALL(Transaksi!$X$16:$X$5015,102),1),0.01)*10000000,0))="Masuk",1,-1),1)&lt;0,INDEX(Transaksi!$F$1:$F$5015,ROUND(MOD(MOD(SMALL(Transaksi!$X$16:$X$5015,102),1),0.01)*10000000,0)),""))</f>
        <v/>
      </c>
      <c r="G111" s="106">
        <f>IF(102&gt;COUNT(Transaksi!$X$16:$X$5015),"",N(G110)+N(E111)-N(F111))</f>
        <v/>
      </c>
      <c r="H111" s="137">
        <f>IF(102&gt;COUNT(Transaksi!$X$16:$X$5015),"",HYPERLINK("#Transaksi!B"&amp;A111,"Buka"))</f>
        <v/>
      </c>
    </row>
    <row r="112" ht="15" customHeight="1" s="94">
      <c r="A112" s="93">
        <f>IF(103&gt;COUNT(Transaksi!$X$16:$X$5015),"",ROUND(MOD(MOD(SMALL(Transaksi!$X$16:$X$5015,103),1),0.01)*10000000,0))</f>
        <v/>
      </c>
      <c r="B112" s="135">
        <f>IF(103&gt;COUNT(Transaksi!$X$16:$X$5015),"",IF(103=1,INDEX(Transaksi!$B$1:$B$5015,ROUND(MOD(MOD(SMALL(Transaksi!$X$16:$X$5015,103),1),0.01)*10000000,0)),IF(INDEX(Transaksi!$B$1:$B$5015,ROUND(MOD(MOD(SMALL(Transaksi!$X$16:$X$5015,103),1),0.01)*10000000,0))=INDEX(Transaksi!$B$1:$B$5015,A111),"",INDEX(Transaksi!$B$1:$B$5015,ROUND(MOD(MOD(SMALL(Transaksi!$X$16:$X$5015,103),1),0.01)*10000000,0)))))</f>
        <v/>
      </c>
      <c r="C112" s="136">
        <f>IF(103&gt;COUNT(Transaksi!$X$16:$X$5015),"",INDEX(Transaksi!$J$1:$J$5015,ROUND(MOD(MOD(SMALL(Transaksi!$X$16:$X$5015,103),1),0.01)*10000000,0))&amp;IF(INDEX(Transaksi!$D$1:$D$5015,ROUND(MOD(MOD(SMALL(Transaksi!$X$16:$X$5015,103),1),0.01)*10000000,0))="Pindah",IF(INDEX(Transaksi!$C$1:$C$5015,ROUND(MOD(MOD(SMALL(Transaksi!$X$16:$X$5015,103),1),0.01)*10000000,0))=$C$4," (ke "&amp;INDEX(Transaksi!$E$1:$E$5015,ROUND(MOD(MOD(SMALL(Transaksi!$X$16:$X$5015,103),1),0.01)*10000000,0))&amp;")"," (dari "&amp;INDEX(Transaksi!$C$1:$C$5015,ROUND(MOD(MOD(SMALL(Transaksi!$X$16:$X$5015,103),1),0.01)*10000000,0))&amp;")"),""))</f>
        <v/>
      </c>
      <c r="D112" s="137">
        <f>IF(103&gt;COUNT(Transaksi!$X$16:$X$5015),"",INDEX(Transaksi!$I$1:$I$5015,ROUND(MOD(MOD(SMALL(Transaksi!$X$16:$X$5015,103),1),0.01)*10000000,0)))</f>
        <v/>
      </c>
      <c r="E112" s="138">
        <f>IF(103&gt;COUNT(Transaksi!$X$16:$X$5015),"",IF(IF(INDEX(Transaksi!$C$1:$C$5015,ROUND(MOD(MOD(SMALL(Transaksi!$X$16:$X$5015,103),1),0.01)*10000000,0))=$C$4,IF(INDEX(Transaksi!$D$1:$D$5015,ROUND(MOD(MOD(SMALL(Transaksi!$X$16:$X$5015,103),1),0.01)*10000000,0))="Masuk",1,-1),1)&gt;0,INDEX(Transaksi!$F$1:$F$5015,ROUND(MOD(MOD(SMALL(Transaksi!$X$16:$X$5015,103),1),0.01)*10000000,0)),""))</f>
        <v/>
      </c>
      <c r="F112" s="139">
        <f>IF(103&gt;COUNT(Transaksi!$X$16:$X$5015),"",IF(IF(INDEX(Transaksi!$C$1:$C$5015,ROUND(MOD(MOD(SMALL(Transaksi!$X$16:$X$5015,103),1),0.01)*10000000,0))=$C$4,IF(INDEX(Transaksi!$D$1:$D$5015,ROUND(MOD(MOD(SMALL(Transaksi!$X$16:$X$5015,103),1),0.01)*10000000,0))="Masuk",1,-1),1)&lt;0,INDEX(Transaksi!$F$1:$F$5015,ROUND(MOD(MOD(SMALL(Transaksi!$X$16:$X$5015,103),1),0.01)*10000000,0)),""))</f>
        <v/>
      </c>
      <c r="G112" s="106">
        <f>IF(103&gt;COUNT(Transaksi!$X$16:$X$5015),"",N(G111)+N(E112)-N(F112))</f>
        <v/>
      </c>
      <c r="H112" s="137">
        <f>IF(103&gt;COUNT(Transaksi!$X$16:$X$5015),"",HYPERLINK("#Transaksi!B"&amp;A112,"Buka"))</f>
        <v/>
      </c>
    </row>
    <row r="113" ht="15" customHeight="1" s="94">
      <c r="A113" s="93">
        <f>IF(104&gt;COUNT(Transaksi!$X$16:$X$5015),"",ROUND(MOD(MOD(SMALL(Transaksi!$X$16:$X$5015,104),1),0.01)*10000000,0))</f>
        <v/>
      </c>
      <c r="B113" s="135">
        <f>IF(104&gt;COUNT(Transaksi!$X$16:$X$5015),"",IF(104=1,INDEX(Transaksi!$B$1:$B$5015,ROUND(MOD(MOD(SMALL(Transaksi!$X$16:$X$5015,104),1),0.01)*10000000,0)),IF(INDEX(Transaksi!$B$1:$B$5015,ROUND(MOD(MOD(SMALL(Transaksi!$X$16:$X$5015,104),1),0.01)*10000000,0))=INDEX(Transaksi!$B$1:$B$5015,A112),"",INDEX(Transaksi!$B$1:$B$5015,ROUND(MOD(MOD(SMALL(Transaksi!$X$16:$X$5015,104),1),0.01)*10000000,0)))))</f>
        <v/>
      </c>
      <c r="C113" s="136">
        <f>IF(104&gt;COUNT(Transaksi!$X$16:$X$5015),"",INDEX(Transaksi!$J$1:$J$5015,ROUND(MOD(MOD(SMALL(Transaksi!$X$16:$X$5015,104),1),0.01)*10000000,0))&amp;IF(INDEX(Transaksi!$D$1:$D$5015,ROUND(MOD(MOD(SMALL(Transaksi!$X$16:$X$5015,104),1),0.01)*10000000,0))="Pindah",IF(INDEX(Transaksi!$C$1:$C$5015,ROUND(MOD(MOD(SMALL(Transaksi!$X$16:$X$5015,104),1),0.01)*10000000,0))=$C$4," (ke "&amp;INDEX(Transaksi!$E$1:$E$5015,ROUND(MOD(MOD(SMALL(Transaksi!$X$16:$X$5015,104),1),0.01)*10000000,0))&amp;")"," (dari "&amp;INDEX(Transaksi!$C$1:$C$5015,ROUND(MOD(MOD(SMALL(Transaksi!$X$16:$X$5015,104),1),0.01)*10000000,0))&amp;")"),""))</f>
        <v/>
      </c>
      <c r="D113" s="137">
        <f>IF(104&gt;COUNT(Transaksi!$X$16:$X$5015),"",INDEX(Transaksi!$I$1:$I$5015,ROUND(MOD(MOD(SMALL(Transaksi!$X$16:$X$5015,104),1),0.01)*10000000,0)))</f>
        <v/>
      </c>
      <c r="E113" s="138">
        <f>IF(104&gt;COUNT(Transaksi!$X$16:$X$5015),"",IF(IF(INDEX(Transaksi!$C$1:$C$5015,ROUND(MOD(MOD(SMALL(Transaksi!$X$16:$X$5015,104),1),0.01)*10000000,0))=$C$4,IF(INDEX(Transaksi!$D$1:$D$5015,ROUND(MOD(MOD(SMALL(Transaksi!$X$16:$X$5015,104),1),0.01)*10000000,0))="Masuk",1,-1),1)&gt;0,INDEX(Transaksi!$F$1:$F$5015,ROUND(MOD(MOD(SMALL(Transaksi!$X$16:$X$5015,104),1),0.01)*10000000,0)),""))</f>
        <v/>
      </c>
      <c r="F113" s="139">
        <f>IF(104&gt;COUNT(Transaksi!$X$16:$X$5015),"",IF(IF(INDEX(Transaksi!$C$1:$C$5015,ROUND(MOD(MOD(SMALL(Transaksi!$X$16:$X$5015,104),1),0.01)*10000000,0))=$C$4,IF(INDEX(Transaksi!$D$1:$D$5015,ROUND(MOD(MOD(SMALL(Transaksi!$X$16:$X$5015,104),1),0.01)*10000000,0))="Masuk",1,-1),1)&lt;0,INDEX(Transaksi!$F$1:$F$5015,ROUND(MOD(MOD(SMALL(Transaksi!$X$16:$X$5015,104),1),0.01)*10000000,0)),""))</f>
        <v/>
      </c>
      <c r="G113" s="106">
        <f>IF(104&gt;COUNT(Transaksi!$X$16:$X$5015),"",N(G112)+N(E113)-N(F113))</f>
        <v/>
      </c>
      <c r="H113" s="137">
        <f>IF(104&gt;COUNT(Transaksi!$X$16:$X$5015),"",HYPERLINK("#Transaksi!B"&amp;A113,"Buka"))</f>
        <v/>
      </c>
    </row>
    <row r="114" ht="15" customHeight="1" s="94">
      <c r="A114" s="93">
        <f>IF(105&gt;COUNT(Transaksi!$X$16:$X$5015),"",ROUND(MOD(MOD(SMALL(Transaksi!$X$16:$X$5015,105),1),0.01)*10000000,0))</f>
        <v/>
      </c>
      <c r="B114" s="135">
        <f>IF(105&gt;COUNT(Transaksi!$X$16:$X$5015),"",IF(105=1,INDEX(Transaksi!$B$1:$B$5015,ROUND(MOD(MOD(SMALL(Transaksi!$X$16:$X$5015,105),1),0.01)*10000000,0)),IF(INDEX(Transaksi!$B$1:$B$5015,ROUND(MOD(MOD(SMALL(Transaksi!$X$16:$X$5015,105),1),0.01)*10000000,0))=INDEX(Transaksi!$B$1:$B$5015,A113),"",INDEX(Transaksi!$B$1:$B$5015,ROUND(MOD(MOD(SMALL(Transaksi!$X$16:$X$5015,105),1),0.01)*10000000,0)))))</f>
        <v/>
      </c>
      <c r="C114" s="136">
        <f>IF(105&gt;COUNT(Transaksi!$X$16:$X$5015),"",INDEX(Transaksi!$J$1:$J$5015,ROUND(MOD(MOD(SMALL(Transaksi!$X$16:$X$5015,105),1),0.01)*10000000,0))&amp;IF(INDEX(Transaksi!$D$1:$D$5015,ROUND(MOD(MOD(SMALL(Transaksi!$X$16:$X$5015,105),1),0.01)*10000000,0))="Pindah",IF(INDEX(Transaksi!$C$1:$C$5015,ROUND(MOD(MOD(SMALL(Transaksi!$X$16:$X$5015,105),1),0.01)*10000000,0))=$C$4," (ke "&amp;INDEX(Transaksi!$E$1:$E$5015,ROUND(MOD(MOD(SMALL(Transaksi!$X$16:$X$5015,105),1),0.01)*10000000,0))&amp;")"," (dari "&amp;INDEX(Transaksi!$C$1:$C$5015,ROUND(MOD(MOD(SMALL(Transaksi!$X$16:$X$5015,105),1),0.01)*10000000,0))&amp;")"),""))</f>
        <v/>
      </c>
      <c r="D114" s="137">
        <f>IF(105&gt;COUNT(Transaksi!$X$16:$X$5015),"",INDEX(Transaksi!$I$1:$I$5015,ROUND(MOD(MOD(SMALL(Transaksi!$X$16:$X$5015,105),1),0.01)*10000000,0)))</f>
        <v/>
      </c>
      <c r="E114" s="138">
        <f>IF(105&gt;COUNT(Transaksi!$X$16:$X$5015),"",IF(IF(INDEX(Transaksi!$C$1:$C$5015,ROUND(MOD(MOD(SMALL(Transaksi!$X$16:$X$5015,105),1),0.01)*10000000,0))=$C$4,IF(INDEX(Transaksi!$D$1:$D$5015,ROUND(MOD(MOD(SMALL(Transaksi!$X$16:$X$5015,105),1),0.01)*10000000,0))="Masuk",1,-1),1)&gt;0,INDEX(Transaksi!$F$1:$F$5015,ROUND(MOD(MOD(SMALL(Transaksi!$X$16:$X$5015,105),1),0.01)*10000000,0)),""))</f>
        <v/>
      </c>
      <c r="F114" s="139">
        <f>IF(105&gt;COUNT(Transaksi!$X$16:$X$5015),"",IF(IF(INDEX(Transaksi!$C$1:$C$5015,ROUND(MOD(MOD(SMALL(Transaksi!$X$16:$X$5015,105),1),0.01)*10000000,0))=$C$4,IF(INDEX(Transaksi!$D$1:$D$5015,ROUND(MOD(MOD(SMALL(Transaksi!$X$16:$X$5015,105),1),0.01)*10000000,0))="Masuk",1,-1),1)&lt;0,INDEX(Transaksi!$F$1:$F$5015,ROUND(MOD(MOD(SMALL(Transaksi!$X$16:$X$5015,105),1),0.01)*10000000,0)),""))</f>
        <v/>
      </c>
      <c r="G114" s="106">
        <f>IF(105&gt;COUNT(Transaksi!$X$16:$X$5015),"",N(G113)+N(E114)-N(F114))</f>
        <v/>
      </c>
      <c r="H114" s="137">
        <f>IF(105&gt;COUNT(Transaksi!$X$16:$X$5015),"",HYPERLINK("#Transaksi!B"&amp;A114,"Buka"))</f>
        <v/>
      </c>
    </row>
    <row r="115" ht="15" customHeight="1" s="94">
      <c r="A115" s="93">
        <f>IF(106&gt;COUNT(Transaksi!$X$16:$X$5015),"",ROUND(MOD(MOD(SMALL(Transaksi!$X$16:$X$5015,106),1),0.01)*10000000,0))</f>
        <v/>
      </c>
      <c r="B115" s="135">
        <f>IF(106&gt;COUNT(Transaksi!$X$16:$X$5015),"",IF(106=1,INDEX(Transaksi!$B$1:$B$5015,ROUND(MOD(MOD(SMALL(Transaksi!$X$16:$X$5015,106),1),0.01)*10000000,0)),IF(INDEX(Transaksi!$B$1:$B$5015,ROUND(MOD(MOD(SMALL(Transaksi!$X$16:$X$5015,106),1),0.01)*10000000,0))=INDEX(Transaksi!$B$1:$B$5015,A114),"",INDEX(Transaksi!$B$1:$B$5015,ROUND(MOD(MOD(SMALL(Transaksi!$X$16:$X$5015,106),1),0.01)*10000000,0)))))</f>
        <v/>
      </c>
      <c r="C115" s="136">
        <f>IF(106&gt;COUNT(Transaksi!$X$16:$X$5015),"",INDEX(Transaksi!$J$1:$J$5015,ROUND(MOD(MOD(SMALL(Transaksi!$X$16:$X$5015,106),1),0.01)*10000000,0))&amp;IF(INDEX(Transaksi!$D$1:$D$5015,ROUND(MOD(MOD(SMALL(Transaksi!$X$16:$X$5015,106),1),0.01)*10000000,0))="Pindah",IF(INDEX(Transaksi!$C$1:$C$5015,ROUND(MOD(MOD(SMALL(Transaksi!$X$16:$X$5015,106),1),0.01)*10000000,0))=$C$4," (ke "&amp;INDEX(Transaksi!$E$1:$E$5015,ROUND(MOD(MOD(SMALL(Transaksi!$X$16:$X$5015,106),1),0.01)*10000000,0))&amp;")"," (dari "&amp;INDEX(Transaksi!$C$1:$C$5015,ROUND(MOD(MOD(SMALL(Transaksi!$X$16:$X$5015,106),1),0.01)*10000000,0))&amp;")"),""))</f>
        <v/>
      </c>
      <c r="D115" s="137">
        <f>IF(106&gt;COUNT(Transaksi!$X$16:$X$5015),"",INDEX(Transaksi!$I$1:$I$5015,ROUND(MOD(MOD(SMALL(Transaksi!$X$16:$X$5015,106),1),0.01)*10000000,0)))</f>
        <v/>
      </c>
      <c r="E115" s="138">
        <f>IF(106&gt;COUNT(Transaksi!$X$16:$X$5015),"",IF(IF(INDEX(Transaksi!$C$1:$C$5015,ROUND(MOD(MOD(SMALL(Transaksi!$X$16:$X$5015,106),1),0.01)*10000000,0))=$C$4,IF(INDEX(Transaksi!$D$1:$D$5015,ROUND(MOD(MOD(SMALL(Transaksi!$X$16:$X$5015,106),1),0.01)*10000000,0))="Masuk",1,-1),1)&gt;0,INDEX(Transaksi!$F$1:$F$5015,ROUND(MOD(MOD(SMALL(Transaksi!$X$16:$X$5015,106),1),0.01)*10000000,0)),""))</f>
        <v/>
      </c>
      <c r="F115" s="139">
        <f>IF(106&gt;COUNT(Transaksi!$X$16:$X$5015),"",IF(IF(INDEX(Transaksi!$C$1:$C$5015,ROUND(MOD(MOD(SMALL(Transaksi!$X$16:$X$5015,106),1),0.01)*10000000,0))=$C$4,IF(INDEX(Transaksi!$D$1:$D$5015,ROUND(MOD(MOD(SMALL(Transaksi!$X$16:$X$5015,106),1),0.01)*10000000,0))="Masuk",1,-1),1)&lt;0,INDEX(Transaksi!$F$1:$F$5015,ROUND(MOD(MOD(SMALL(Transaksi!$X$16:$X$5015,106),1),0.01)*10000000,0)),""))</f>
        <v/>
      </c>
      <c r="G115" s="106">
        <f>IF(106&gt;COUNT(Transaksi!$X$16:$X$5015),"",N(G114)+N(E115)-N(F115))</f>
        <v/>
      </c>
      <c r="H115" s="137">
        <f>IF(106&gt;COUNT(Transaksi!$X$16:$X$5015),"",HYPERLINK("#Transaksi!B"&amp;A115,"Buka"))</f>
        <v/>
      </c>
    </row>
    <row r="116" ht="15" customHeight="1" s="94">
      <c r="A116" s="93">
        <f>IF(107&gt;COUNT(Transaksi!$X$16:$X$5015),"",ROUND(MOD(MOD(SMALL(Transaksi!$X$16:$X$5015,107),1),0.01)*10000000,0))</f>
        <v/>
      </c>
      <c r="B116" s="135">
        <f>IF(107&gt;COUNT(Transaksi!$X$16:$X$5015),"",IF(107=1,INDEX(Transaksi!$B$1:$B$5015,ROUND(MOD(MOD(SMALL(Transaksi!$X$16:$X$5015,107),1),0.01)*10000000,0)),IF(INDEX(Transaksi!$B$1:$B$5015,ROUND(MOD(MOD(SMALL(Transaksi!$X$16:$X$5015,107),1),0.01)*10000000,0))=INDEX(Transaksi!$B$1:$B$5015,A115),"",INDEX(Transaksi!$B$1:$B$5015,ROUND(MOD(MOD(SMALL(Transaksi!$X$16:$X$5015,107),1),0.01)*10000000,0)))))</f>
        <v/>
      </c>
      <c r="C116" s="136">
        <f>IF(107&gt;COUNT(Transaksi!$X$16:$X$5015),"",INDEX(Transaksi!$J$1:$J$5015,ROUND(MOD(MOD(SMALL(Transaksi!$X$16:$X$5015,107),1),0.01)*10000000,0))&amp;IF(INDEX(Transaksi!$D$1:$D$5015,ROUND(MOD(MOD(SMALL(Transaksi!$X$16:$X$5015,107),1),0.01)*10000000,0))="Pindah",IF(INDEX(Transaksi!$C$1:$C$5015,ROUND(MOD(MOD(SMALL(Transaksi!$X$16:$X$5015,107),1),0.01)*10000000,0))=$C$4," (ke "&amp;INDEX(Transaksi!$E$1:$E$5015,ROUND(MOD(MOD(SMALL(Transaksi!$X$16:$X$5015,107),1),0.01)*10000000,0))&amp;")"," (dari "&amp;INDEX(Transaksi!$C$1:$C$5015,ROUND(MOD(MOD(SMALL(Transaksi!$X$16:$X$5015,107),1),0.01)*10000000,0))&amp;")"),""))</f>
        <v/>
      </c>
      <c r="D116" s="137">
        <f>IF(107&gt;COUNT(Transaksi!$X$16:$X$5015),"",INDEX(Transaksi!$I$1:$I$5015,ROUND(MOD(MOD(SMALL(Transaksi!$X$16:$X$5015,107),1),0.01)*10000000,0)))</f>
        <v/>
      </c>
      <c r="E116" s="138">
        <f>IF(107&gt;COUNT(Transaksi!$X$16:$X$5015),"",IF(IF(INDEX(Transaksi!$C$1:$C$5015,ROUND(MOD(MOD(SMALL(Transaksi!$X$16:$X$5015,107),1),0.01)*10000000,0))=$C$4,IF(INDEX(Transaksi!$D$1:$D$5015,ROUND(MOD(MOD(SMALL(Transaksi!$X$16:$X$5015,107),1),0.01)*10000000,0))="Masuk",1,-1),1)&gt;0,INDEX(Transaksi!$F$1:$F$5015,ROUND(MOD(MOD(SMALL(Transaksi!$X$16:$X$5015,107),1),0.01)*10000000,0)),""))</f>
        <v/>
      </c>
      <c r="F116" s="139">
        <f>IF(107&gt;COUNT(Transaksi!$X$16:$X$5015),"",IF(IF(INDEX(Transaksi!$C$1:$C$5015,ROUND(MOD(MOD(SMALL(Transaksi!$X$16:$X$5015,107),1),0.01)*10000000,0))=$C$4,IF(INDEX(Transaksi!$D$1:$D$5015,ROUND(MOD(MOD(SMALL(Transaksi!$X$16:$X$5015,107),1),0.01)*10000000,0))="Masuk",1,-1),1)&lt;0,INDEX(Transaksi!$F$1:$F$5015,ROUND(MOD(MOD(SMALL(Transaksi!$X$16:$X$5015,107),1),0.01)*10000000,0)),""))</f>
        <v/>
      </c>
      <c r="G116" s="106">
        <f>IF(107&gt;COUNT(Transaksi!$X$16:$X$5015),"",N(G115)+N(E116)-N(F116))</f>
        <v/>
      </c>
      <c r="H116" s="137">
        <f>IF(107&gt;COUNT(Transaksi!$X$16:$X$5015),"",HYPERLINK("#Transaksi!B"&amp;A116,"Buka"))</f>
        <v/>
      </c>
    </row>
    <row r="117" ht="15" customHeight="1" s="94">
      <c r="A117" s="93">
        <f>IF(108&gt;COUNT(Transaksi!$X$16:$X$5015),"",ROUND(MOD(MOD(SMALL(Transaksi!$X$16:$X$5015,108),1),0.01)*10000000,0))</f>
        <v/>
      </c>
      <c r="B117" s="135">
        <f>IF(108&gt;COUNT(Transaksi!$X$16:$X$5015),"",IF(108=1,INDEX(Transaksi!$B$1:$B$5015,ROUND(MOD(MOD(SMALL(Transaksi!$X$16:$X$5015,108),1),0.01)*10000000,0)),IF(INDEX(Transaksi!$B$1:$B$5015,ROUND(MOD(MOD(SMALL(Transaksi!$X$16:$X$5015,108),1),0.01)*10000000,0))=INDEX(Transaksi!$B$1:$B$5015,A116),"",INDEX(Transaksi!$B$1:$B$5015,ROUND(MOD(MOD(SMALL(Transaksi!$X$16:$X$5015,108),1),0.01)*10000000,0)))))</f>
        <v/>
      </c>
      <c r="C117" s="136">
        <f>IF(108&gt;COUNT(Transaksi!$X$16:$X$5015),"",INDEX(Transaksi!$J$1:$J$5015,ROUND(MOD(MOD(SMALL(Transaksi!$X$16:$X$5015,108),1),0.01)*10000000,0))&amp;IF(INDEX(Transaksi!$D$1:$D$5015,ROUND(MOD(MOD(SMALL(Transaksi!$X$16:$X$5015,108),1),0.01)*10000000,0))="Pindah",IF(INDEX(Transaksi!$C$1:$C$5015,ROUND(MOD(MOD(SMALL(Transaksi!$X$16:$X$5015,108),1),0.01)*10000000,0))=$C$4," (ke "&amp;INDEX(Transaksi!$E$1:$E$5015,ROUND(MOD(MOD(SMALL(Transaksi!$X$16:$X$5015,108),1),0.01)*10000000,0))&amp;")"," (dari "&amp;INDEX(Transaksi!$C$1:$C$5015,ROUND(MOD(MOD(SMALL(Transaksi!$X$16:$X$5015,108),1),0.01)*10000000,0))&amp;")"),""))</f>
        <v/>
      </c>
      <c r="D117" s="137">
        <f>IF(108&gt;COUNT(Transaksi!$X$16:$X$5015),"",INDEX(Transaksi!$I$1:$I$5015,ROUND(MOD(MOD(SMALL(Transaksi!$X$16:$X$5015,108),1),0.01)*10000000,0)))</f>
        <v/>
      </c>
      <c r="E117" s="138">
        <f>IF(108&gt;COUNT(Transaksi!$X$16:$X$5015),"",IF(IF(INDEX(Transaksi!$C$1:$C$5015,ROUND(MOD(MOD(SMALL(Transaksi!$X$16:$X$5015,108),1),0.01)*10000000,0))=$C$4,IF(INDEX(Transaksi!$D$1:$D$5015,ROUND(MOD(MOD(SMALL(Transaksi!$X$16:$X$5015,108),1),0.01)*10000000,0))="Masuk",1,-1),1)&gt;0,INDEX(Transaksi!$F$1:$F$5015,ROUND(MOD(MOD(SMALL(Transaksi!$X$16:$X$5015,108),1),0.01)*10000000,0)),""))</f>
        <v/>
      </c>
      <c r="F117" s="139">
        <f>IF(108&gt;COUNT(Transaksi!$X$16:$X$5015),"",IF(IF(INDEX(Transaksi!$C$1:$C$5015,ROUND(MOD(MOD(SMALL(Transaksi!$X$16:$X$5015,108),1),0.01)*10000000,0))=$C$4,IF(INDEX(Transaksi!$D$1:$D$5015,ROUND(MOD(MOD(SMALL(Transaksi!$X$16:$X$5015,108),1),0.01)*10000000,0))="Masuk",1,-1),1)&lt;0,INDEX(Transaksi!$F$1:$F$5015,ROUND(MOD(MOD(SMALL(Transaksi!$X$16:$X$5015,108),1),0.01)*10000000,0)),""))</f>
        <v/>
      </c>
      <c r="G117" s="106">
        <f>IF(108&gt;COUNT(Transaksi!$X$16:$X$5015),"",N(G116)+N(E117)-N(F117))</f>
        <v/>
      </c>
      <c r="H117" s="137">
        <f>IF(108&gt;COUNT(Transaksi!$X$16:$X$5015),"",HYPERLINK("#Transaksi!B"&amp;A117,"Buka"))</f>
        <v/>
      </c>
    </row>
    <row r="118" ht="15" customHeight="1" s="94">
      <c r="A118" s="93">
        <f>IF(109&gt;COUNT(Transaksi!$X$16:$X$5015),"",ROUND(MOD(MOD(SMALL(Transaksi!$X$16:$X$5015,109),1),0.01)*10000000,0))</f>
        <v/>
      </c>
      <c r="B118" s="135">
        <f>IF(109&gt;COUNT(Transaksi!$X$16:$X$5015),"",IF(109=1,INDEX(Transaksi!$B$1:$B$5015,ROUND(MOD(MOD(SMALL(Transaksi!$X$16:$X$5015,109),1),0.01)*10000000,0)),IF(INDEX(Transaksi!$B$1:$B$5015,ROUND(MOD(MOD(SMALL(Transaksi!$X$16:$X$5015,109),1),0.01)*10000000,0))=INDEX(Transaksi!$B$1:$B$5015,A117),"",INDEX(Transaksi!$B$1:$B$5015,ROUND(MOD(MOD(SMALL(Transaksi!$X$16:$X$5015,109),1),0.01)*10000000,0)))))</f>
        <v/>
      </c>
      <c r="C118" s="136">
        <f>IF(109&gt;COUNT(Transaksi!$X$16:$X$5015),"",INDEX(Transaksi!$J$1:$J$5015,ROUND(MOD(MOD(SMALL(Transaksi!$X$16:$X$5015,109),1),0.01)*10000000,0))&amp;IF(INDEX(Transaksi!$D$1:$D$5015,ROUND(MOD(MOD(SMALL(Transaksi!$X$16:$X$5015,109),1),0.01)*10000000,0))="Pindah",IF(INDEX(Transaksi!$C$1:$C$5015,ROUND(MOD(MOD(SMALL(Transaksi!$X$16:$X$5015,109),1),0.01)*10000000,0))=$C$4," (ke "&amp;INDEX(Transaksi!$E$1:$E$5015,ROUND(MOD(MOD(SMALL(Transaksi!$X$16:$X$5015,109),1),0.01)*10000000,0))&amp;")"," (dari "&amp;INDEX(Transaksi!$C$1:$C$5015,ROUND(MOD(MOD(SMALL(Transaksi!$X$16:$X$5015,109),1),0.01)*10000000,0))&amp;")"),""))</f>
        <v/>
      </c>
      <c r="D118" s="137">
        <f>IF(109&gt;COUNT(Transaksi!$X$16:$X$5015),"",INDEX(Transaksi!$I$1:$I$5015,ROUND(MOD(MOD(SMALL(Transaksi!$X$16:$X$5015,109),1),0.01)*10000000,0)))</f>
        <v/>
      </c>
      <c r="E118" s="138">
        <f>IF(109&gt;COUNT(Transaksi!$X$16:$X$5015),"",IF(IF(INDEX(Transaksi!$C$1:$C$5015,ROUND(MOD(MOD(SMALL(Transaksi!$X$16:$X$5015,109),1),0.01)*10000000,0))=$C$4,IF(INDEX(Transaksi!$D$1:$D$5015,ROUND(MOD(MOD(SMALL(Transaksi!$X$16:$X$5015,109),1),0.01)*10000000,0))="Masuk",1,-1),1)&gt;0,INDEX(Transaksi!$F$1:$F$5015,ROUND(MOD(MOD(SMALL(Transaksi!$X$16:$X$5015,109),1),0.01)*10000000,0)),""))</f>
        <v/>
      </c>
      <c r="F118" s="139">
        <f>IF(109&gt;COUNT(Transaksi!$X$16:$X$5015),"",IF(IF(INDEX(Transaksi!$C$1:$C$5015,ROUND(MOD(MOD(SMALL(Transaksi!$X$16:$X$5015,109),1),0.01)*10000000,0))=$C$4,IF(INDEX(Transaksi!$D$1:$D$5015,ROUND(MOD(MOD(SMALL(Transaksi!$X$16:$X$5015,109),1),0.01)*10000000,0))="Masuk",1,-1),1)&lt;0,INDEX(Transaksi!$F$1:$F$5015,ROUND(MOD(MOD(SMALL(Transaksi!$X$16:$X$5015,109),1),0.01)*10000000,0)),""))</f>
        <v/>
      </c>
      <c r="G118" s="106">
        <f>IF(109&gt;COUNT(Transaksi!$X$16:$X$5015),"",N(G117)+N(E118)-N(F118))</f>
        <v/>
      </c>
      <c r="H118" s="137">
        <f>IF(109&gt;COUNT(Transaksi!$X$16:$X$5015),"",HYPERLINK("#Transaksi!B"&amp;A118,"Buka"))</f>
        <v/>
      </c>
    </row>
    <row r="119" ht="15" customHeight="1" s="94">
      <c r="A119" s="93">
        <f>IF(110&gt;COUNT(Transaksi!$X$16:$X$5015),"",ROUND(MOD(MOD(SMALL(Transaksi!$X$16:$X$5015,110),1),0.01)*10000000,0))</f>
        <v/>
      </c>
      <c r="B119" s="135">
        <f>IF(110&gt;COUNT(Transaksi!$X$16:$X$5015),"",IF(110=1,INDEX(Transaksi!$B$1:$B$5015,ROUND(MOD(MOD(SMALL(Transaksi!$X$16:$X$5015,110),1),0.01)*10000000,0)),IF(INDEX(Transaksi!$B$1:$B$5015,ROUND(MOD(MOD(SMALL(Transaksi!$X$16:$X$5015,110),1),0.01)*10000000,0))=INDEX(Transaksi!$B$1:$B$5015,A118),"",INDEX(Transaksi!$B$1:$B$5015,ROUND(MOD(MOD(SMALL(Transaksi!$X$16:$X$5015,110),1),0.01)*10000000,0)))))</f>
        <v/>
      </c>
      <c r="C119" s="136">
        <f>IF(110&gt;COUNT(Transaksi!$X$16:$X$5015),"",INDEX(Transaksi!$J$1:$J$5015,ROUND(MOD(MOD(SMALL(Transaksi!$X$16:$X$5015,110),1),0.01)*10000000,0))&amp;IF(INDEX(Transaksi!$D$1:$D$5015,ROUND(MOD(MOD(SMALL(Transaksi!$X$16:$X$5015,110),1),0.01)*10000000,0))="Pindah",IF(INDEX(Transaksi!$C$1:$C$5015,ROUND(MOD(MOD(SMALL(Transaksi!$X$16:$X$5015,110),1),0.01)*10000000,0))=$C$4," (ke "&amp;INDEX(Transaksi!$E$1:$E$5015,ROUND(MOD(MOD(SMALL(Transaksi!$X$16:$X$5015,110),1),0.01)*10000000,0))&amp;")"," (dari "&amp;INDEX(Transaksi!$C$1:$C$5015,ROUND(MOD(MOD(SMALL(Transaksi!$X$16:$X$5015,110),1),0.01)*10000000,0))&amp;")"),""))</f>
        <v/>
      </c>
      <c r="D119" s="137">
        <f>IF(110&gt;COUNT(Transaksi!$X$16:$X$5015),"",INDEX(Transaksi!$I$1:$I$5015,ROUND(MOD(MOD(SMALL(Transaksi!$X$16:$X$5015,110),1),0.01)*10000000,0)))</f>
        <v/>
      </c>
      <c r="E119" s="138">
        <f>IF(110&gt;COUNT(Transaksi!$X$16:$X$5015),"",IF(IF(INDEX(Transaksi!$C$1:$C$5015,ROUND(MOD(MOD(SMALL(Transaksi!$X$16:$X$5015,110),1),0.01)*10000000,0))=$C$4,IF(INDEX(Transaksi!$D$1:$D$5015,ROUND(MOD(MOD(SMALL(Transaksi!$X$16:$X$5015,110),1),0.01)*10000000,0))="Masuk",1,-1),1)&gt;0,INDEX(Transaksi!$F$1:$F$5015,ROUND(MOD(MOD(SMALL(Transaksi!$X$16:$X$5015,110),1),0.01)*10000000,0)),""))</f>
        <v/>
      </c>
      <c r="F119" s="139">
        <f>IF(110&gt;COUNT(Transaksi!$X$16:$X$5015),"",IF(IF(INDEX(Transaksi!$C$1:$C$5015,ROUND(MOD(MOD(SMALL(Transaksi!$X$16:$X$5015,110),1),0.01)*10000000,0))=$C$4,IF(INDEX(Transaksi!$D$1:$D$5015,ROUND(MOD(MOD(SMALL(Transaksi!$X$16:$X$5015,110),1),0.01)*10000000,0))="Masuk",1,-1),1)&lt;0,INDEX(Transaksi!$F$1:$F$5015,ROUND(MOD(MOD(SMALL(Transaksi!$X$16:$X$5015,110),1),0.01)*10000000,0)),""))</f>
        <v/>
      </c>
      <c r="G119" s="106">
        <f>IF(110&gt;COUNT(Transaksi!$X$16:$X$5015),"",N(G118)+N(E119)-N(F119))</f>
        <v/>
      </c>
      <c r="H119" s="137">
        <f>IF(110&gt;COUNT(Transaksi!$X$16:$X$5015),"",HYPERLINK("#Transaksi!B"&amp;A119,"Buka"))</f>
        <v/>
      </c>
    </row>
    <row r="120" ht="15" customHeight="1" s="94">
      <c r="A120" s="93">
        <f>IF(111&gt;COUNT(Transaksi!$X$16:$X$5015),"",ROUND(MOD(MOD(SMALL(Transaksi!$X$16:$X$5015,111),1),0.01)*10000000,0))</f>
        <v/>
      </c>
      <c r="B120" s="135">
        <f>IF(111&gt;COUNT(Transaksi!$X$16:$X$5015),"",IF(111=1,INDEX(Transaksi!$B$1:$B$5015,ROUND(MOD(MOD(SMALL(Transaksi!$X$16:$X$5015,111),1),0.01)*10000000,0)),IF(INDEX(Transaksi!$B$1:$B$5015,ROUND(MOD(MOD(SMALL(Transaksi!$X$16:$X$5015,111),1),0.01)*10000000,0))=INDEX(Transaksi!$B$1:$B$5015,A119),"",INDEX(Transaksi!$B$1:$B$5015,ROUND(MOD(MOD(SMALL(Transaksi!$X$16:$X$5015,111),1),0.01)*10000000,0)))))</f>
        <v/>
      </c>
      <c r="C120" s="136">
        <f>IF(111&gt;COUNT(Transaksi!$X$16:$X$5015),"",INDEX(Transaksi!$J$1:$J$5015,ROUND(MOD(MOD(SMALL(Transaksi!$X$16:$X$5015,111),1),0.01)*10000000,0))&amp;IF(INDEX(Transaksi!$D$1:$D$5015,ROUND(MOD(MOD(SMALL(Transaksi!$X$16:$X$5015,111),1),0.01)*10000000,0))="Pindah",IF(INDEX(Transaksi!$C$1:$C$5015,ROUND(MOD(MOD(SMALL(Transaksi!$X$16:$X$5015,111),1),0.01)*10000000,0))=$C$4," (ke "&amp;INDEX(Transaksi!$E$1:$E$5015,ROUND(MOD(MOD(SMALL(Transaksi!$X$16:$X$5015,111),1),0.01)*10000000,0))&amp;")"," (dari "&amp;INDEX(Transaksi!$C$1:$C$5015,ROUND(MOD(MOD(SMALL(Transaksi!$X$16:$X$5015,111),1),0.01)*10000000,0))&amp;")"),""))</f>
        <v/>
      </c>
      <c r="D120" s="137">
        <f>IF(111&gt;COUNT(Transaksi!$X$16:$X$5015),"",INDEX(Transaksi!$I$1:$I$5015,ROUND(MOD(MOD(SMALL(Transaksi!$X$16:$X$5015,111),1),0.01)*10000000,0)))</f>
        <v/>
      </c>
      <c r="E120" s="138">
        <f>IF(111&gt;COUNT(Transaksi!$X$16:$X$5015),"",IF(IF(INDEX(Transaksi!$C$1:$C$5015,ROUND(MOD(MOD(SMALL(Transaksi!$X$16:$X$5015,111),1),0.01)*10000000,0))=$C$4,IF(INDEX(Transaksi!$D$1:$D$5015,ROUND(MOD(MOD(SMALL(Transaksi!$X$16:$X$5015,111),1),0.01)*10000000,0))="Masuk",1,-1),1)&gt;0,INDEX(Transaksi!$F$1:$F$5015,ROUND(MOD(MOD(SMALL(Transaksi!$X$16:$X$5015,111),1),0.01)*10000000,0)),""))</f>
        <v/>
      </c>
      <c r="F120" s="139">
        <f>IF(111&gt;COUNT(Transaksi!$X$16:$X$5015),"",IF(IF(INDEX(Transaksi!$C$1:$C$5015,ROUND(MOD(MOD(SMALL(Transaksi!$X$16:$X$5015,111),1),0.01)*10000000,0))=$C$4,IF(INDEX(Transaksi!$D$1:$D$5015,ROUND(MOD(MOD(SMALL(Transaksi!$X$16:$X$5015,111),1),0.01)*10000000,0))="Masuk",1,-1),1)&lt;0,INDEX(Transaksi!$F$1:$F$5015,ROUND(MOD(MOD(SMALL(Transaksi!$X$16:$X$5015,111),1),0.01)*10000000,0)),""))</f>
        <v/>
      </c>
      <c r="G120" s="106">
        <f>IF(111&gt;COUNT(Transaksi!$X$16:$X$5015),"",N(G119)+N(E120)-N(F120))</f>
        <v/>
      </c>
      <c r="H120" s="137">
        <f>IF(111&gt;COUNT(Transaksi!$X$16:$X$5015),"",HYPERLINK("#Transaksi!B"&amp;A120,"Buka"))</f>
        <v/>
      </c>
    </row>
    <row r="121" ht="15" customHeight="1" s="94">
      <c r="A121" s="93">
        <f>IF(112&gt;COUNT(Transaksi!$X$16:$X$5015),"",ROUND(MOD(MOD(SMALL(Transaksi!$X$16:$X$5015,112),1),0.01)*10000000,0))</f>
        <v/>
      </c>
      <c r="B121" s="135">
        <f>IF(112&gt;COUNT(Transaksi!$X$16:$X$5015),"",IF(112=1,INDEX(Transaksi!$B$1:$B$5015,ROUND(MOD(MOD(SMALL(Transaksi!$X$16:$X$5015,112),1),0.01)*10000000,0)),IF(INDEX(Transaksi!$B$1:$B$5015,ROUND(MOD(MOD(SMALL(Transaksi!$X$16:$X$5015,112),1),0.01)*10000000,0))=INDEX(Transaksi!$B$1:$B$5015,A120),"",INDEX(Transaksi!$B$1:$B$5015,ROUND(MOD(MOD(SMALL(Transaksi!$X$16:$X$5015,112),1),0.01)*10000000,0)))))</f>
        <v/>
      </c>
      <c r="C121" s="136">
        <f>IF(112&gt;COUNT(Transaksi!$X$16:$X$5015),"",INDEX(Transaksi!$J$1:$J$5015,ROUND(MOD(MOD(SMALL(Transaksi!$X$16:$X$5015,112),1),0.01)*10000000,0))&amp;IF(INDEX(Transaksi!$D$1:$D$5015,ROUND(MOD(MOD(SMALL(Transaksi!$X$16:$X$5015,112),1),0.01)*10000000,0))="Pindah",IF(INDEX(Transaksi!$C$1:$C$5015,ROUND(MOD(MOD(SMALL(Transaksi!$X$16:$X$5015,112),1),0.01)*10000000,0))=$C$4," (ke "&amp;INDEX(Transaksi!$E$1:$E$5015,ROUND(MOD(MOD(SMALL(Transaksi!$X$16:$X$5015,112),1),0.01)*10000000,0))&amp;")"," (dari "&amp;INDEX(Transaksi!$C$1:$C$5015,ROUND(MOD(MOD(SMALL(Transaksi!$X$16:$X$5015,112),1),0.01)*10000000,0))&amp;")"),""))</f>
        <v/>
      </c>
      <c r="D121" s="137">
        <f>IF(112&gt;COUNT(Transaksi!$X$16:$X$5015),"",INDEX(Transaksi!$I$1:$I$5015,ROUND(MOD(MOD(SMALL(Transaksi!$X$16:$X$5015,112),1),0.01)*10000000,0)))</f>
        <v/>
      </c>
      <c r="E121" s="138">
        <f>IF(112&gt;COUNT(Transaksi!$X$16:$X$5015),"",IF(IF(INDEX(Transaksi!$C$1:$C$5015,ROUND(MOD(MOD(SMALL(Transaksi!$X$16:$X$5015,112),1),0.01)*10000000,0))=$C$4,IF(INDEX(Transaksi!$D$1:$D$5015,ROUND(MOD(MOD(SMALL(Transaksi!$X$16:$X$5015,112),1),0.01)*10000000,0))="Masuk",1,-1),1)&gt;0,INDEX(Transaksi!$F$1:$F$5015,ROUND(MOD(MOD(SMALL(Transaksi!$X$16:$X$5015,112),1),0.01)*10000000,0)),""))</f>
        <v/>
      </c>
      <c r="F121" s="139">
        <f>IF(112&gt;COUNT(Transaksi!$X$16:$X$5015),"",IF(IF(INDEX(Transaksi!$C$1:$C$5015,ROUND(MOD(MOD(SMALL(Transaksi!$X$16:$X$5015,112),1),0.01)*10000000,0))=$C$4,IF(INDEX(Transaksi!$D$1:$D$5015,ROUND(MOD(MOD(SMALL(Transaksi!$X$16:$X$5015,112),1),0.01)*10000000,0))="Masuk",1,-1),1)&lt;0,INDEX(Transaksi!$F$1:$F$5015,ROUND(MOD(MOD(SMALL(Transaksi!$X$16:$X$5015,112),1),0.01)*10000000,0)),""))</f>
        <v/>
      </c>
      <c r="G121" s="106">
        <f>IF(112&gt;COUNT(Transaksi!$X$16:$X$5015),"",N(G120)+N(E121)-N(F121))</f>
        <v/>
      </c>
      <c r="H121" s="137">
        <f>IF(112&gt;COUNT(Transaksi!$X$16:$X$5015),"",HYPERLINK("#Transaksi!B"&amp;A121,"Buka"))</f>
        <v/>
      </c>
    </row>
    <row r="122" ht="15" customHeight="1" s="94">
      <c r="A122" s="93">
        <f>IF(113&gt;COUNT(Transaksi!$X$16:$X$5015),"",ROUND(MOD(MOD(SMALL(Transaksi!$X$16:$X$5015,113),1),0.01)*10000000,0))</f>
        <v/>
      </c>
      <c r="B122" s="135">
        <f>IF(113&gt;COUNT(Transaksi!$X$16:$X$5015),"",IF(113=1,INDEX(Transaksi!$B$1:$B$5015,ROUND(MOD(MOD(SMALL(Transaksi!$X$16:$X$5015,113),1),0.01)*10000000,0)),IF(INDEX(Transaksi!$B$1:$B$5015,ROUND(MOD(MOD(SMALL(Transaksi!$X$16:$X$5015,113),1),0.01)*10000000,0))=INDEX(Transaksi!$B$1:$B$5015,A121),"",INDEX(Transaksi!$B$1:$B$5015,ROUND(MOD(MOD(SMALL(Transaksi!$X$16:$X$5015,113),1),0.01)*10000000,0)))))</f>
        <v/>
      </c>
      <c r="C122" s="136">
        <f>IF(113&gt;COUNT(Transaksi!$X$16:$X$5015),"",INDEX(Transaksi!$J$1:$J$5015,ROUND(MOD(MOD(SMALL(Transaksi!$X$16:$X$5015,113),1),0.01)*10000000,0))&amp;IF(INDEX(Transaksi!$D$1:$D$5015,ROUND(MOD(MOD(SMALL(Transaksi!$X$16:$X$5015,113),1),0.01)*10000000,0))="Pindah",IF(INDEX(Transaksi!$C$1:$C$5015,ROUND(MOD(MOD(SMALL(Transaksi!$X$16:$X$5015,113),1),0.01)*10000000,0))=$C$4," (ke "&amp;INDEX(Transaksi!$E$1:$E$5015,ROUND(MOD(MOD(SMALL(Transaksi!$X$16:$X$5015,113),1),0.01)*10000000,0))&amp;")"," (dari "&amp;INDEX(Transaksi!$C$1:$C$5015,ROUND(MOD(MOD(SMALL(Transaksi!$X$16:$X$5015,113),1),0.01)*10000000,0))&amp;")"),""))</f>
        <v/>
      </c>
      <c r="D122" s="137">
        <f>IF(113&gt;COUNT(Transaksi!$X$16:$X$5015),"",INDEX(Transaksi!$I$1:$I$5015,ROUND(MOD(MOD(SMALL(Transaksi!$X$16:$X$5015,113),1),0.01)*10000000,0)))</f>
        <v/>
      </c>
      <c r="E122" s="138">
        <f>IF(113&gt;COUNT(Transaksi!$X$16:$X$5015),"",IF(IF(INDEX(Transaksi!$C$1:$C$5015,ROUND(MOD(MOD(SMALL(Transaksi!$X$16:$X$5015,113),1),0.01)*10000000,0))=$C$4,IF(INDEX(Transaksi!$D$1:$D$5015,ROUND(MOD(MOD(SMALL(Transaksi!$X$16:$X$5015,113),1),0.01)*10000000,0))="Masuk",1,-1),1)&gt;0,INDEX(Transaksi!$F$1:$F$5015,ROUND(MOD(MOD(SMALL(Transaksi!$X$16:$X$5015,113),1),0.01)*10000000,0)),""))</f>
        <v/>
      </c>
      <c r="F122" s="139">
        <f>IF(113&gt;COUNT(Transaksi!$X$16:$X$5015),"",IF(IF(INDEX(Transaksi!$C$1:$C$5015,ROUND(MOD(MOD(SMALL(Transaksi!$X$16:$X$5015,113),1),0.01)*10000000,0))=$C$4,IF(INDEX(Transaksi!$D$1:$D$5015,ROUND(MOD(MOD(SMALL(Transaksi!$X$16:$X$5015,113),1),0.01)*10000000,0))="Masuk",1,-1),1)&lt;0,INDEX(Transaksi!$F$1:$F$5015,ROUND(MOD(MOD(SMALL(Transaksi!$X$16:$X$5015,113),1),0.01)*10000000,0)),""))</f>
        <v/>
      </c>
      <c r="G122" s="106">
        <f>IF(113&gt;COUNT(Transaksi!$X$16:$X$5015),"",N(G121)+N(E122)-N(F122))</f>
        <v/>
      </c>
      <c r="H122" s="137">
        <f>IF(113&gt;COUNT(Transaksi!$X$16:$X$5015),"",HYPERLINK("#Transaksi!B"&amp;A122,"Buka"))</f>
        <v/>
      </c>
    </row>
    <row r="123" ht="15" customHeight="1" s="94">
      <c r="A123" s="93">
        <f>IF(114&gt;COUNT(Transaksi!$X$16:$X$5015),"",ROUND(MOD(MOD(SMALL(Transaksi!$X$16:$X$5015,114),1),0.01)*10000000,0))</f>
        <v/>
      </c>
      <c r="B123" s="135">
        <f>IF(114&gt;COUNT(Transaksi!$X$16:$X$5015),"",IF(114=1,INDEX(Transaksi!$B$1:$B$5015,ROUND(MOD(MOD(SMALL(Transaksi!$X$16:$X$5015,114),1),0.01)*10000000,0)),IF(INDEX(Transaksi!$B$1:$B$5015,ROUND(MOD(MOD(SMALL(Transaksi!$X$16:$X$5015,114),1),0.01)*10000000,0))=INDEX(Transaksi!$B$1:$B$5015,A122),"",INDEX(Transaksi!$B$1:$B$5015,ROUND(MOD(MOD(SMALL(Transaksi!$X$16:$X$5015,114),1),0.01)*10000000,0)))))</f>
        <v/>
      </c>
      <c r="C123" s="136">
        <f>IF(114&gt;COUNT(Transaksi!$X$16:$X$5015),"",INDEX(Transaksi!$J$1:$J$5015,ROUND(MOD(MOD(SMALL(Transaksi!$X$16:$X$5015,114),1),0.01)*10000000,0))&amp;IF(INDEX(Transaksi!$D$1:$D$5015,ROUND(MOD(MOD(SMALL(Transaksi!$X$16:$X$5015,114),1),0.01)*10000000,0))="Pindah",IF(INDEX(Transaksi!$C$1:$C$5015,ROUND(MOD(MOD(SMALL(Transaksi!$X$16:$X$5015,114),1),0.01)*10000000,0))=$C$4," (ke "&amp;INDEX(Transaksi!$E$1:$E$5015,ROUND(MOD(MOD(SMALL(Transaksi!$X$16:$X$5015,114),1),0.01)*10000000,0))&amp;")"," (dari "&amp;INDEX(Transaksi!$C$1:$C$5015,ROUND(MOD(MOD(SMALL(Transaksi!$X$16:$X$5015,114),1),0.01)*10000000,0))&amp;")"),""))</f>
        <v/>
      </c>
      <c r="D123" s="137">
        <f>IF(114&gt;COUNT(Transaksi!$X$16:$X$5015),"",INDEX(Transaksi!$I$1:$I$5015,ROUND(MOD(MOD(SMALL(Transaksi!$X$16:$X$5015,114),1),0.01)*10000000,0)))</f>
        <v/>
      </c>
      <c r="E123" s="138">
        <f>IF(114&gt;COUNT(Transaksi!$X$16:$X$5015),"",IF(IF(INDEX(Transaksi!$C$1:$C$5015,ROUND(MOD(MOD(SMALL(Transaksi!$X$16:$X$5015,114),1),0.01)*10000000,0))=$C$4,IF(INDEX(Transaksi!$D$1:$D$5015,ROUND(MOD(MOD(SMALL(Transaksi!$X$16:$X$5015,114),1),0.01)*10000000,0))="Masuk",1,-1),1)&gt;0,INDEX(Transaksi!$F$1:$F$5015,ROUND(MOD(MOD(SMALL(Transaksi!$X$16:$X$5015,114),1),0.01)*10000000,0)),""))</f>
        <v/>
      </c>
      <c r="F123" s="139">
        <f>IF(114&gt;COUNT(Transaksi!$X$16:$X$5015),"",IF(IF(INDEX(Transaksi!$C$1:$C$5015,ROUND(MOD(MOD(SMALL(Transaksi!$X$16:$X$5015,114),1),0.01)*10000000,0))=$C$4,IF(INDEX(Transaksi!$D$1:$D$5015,ROUND(MOD(MOD(SMALL(Transaksi!$X$16:$X$5015,114),1),0.01)*10000000,0))="Masuk",1,-1),1)&lt;0,INDEX(Transaksi!$F$1:$F$5015,ROUND(MOD(MOD(SMALL(Transaksi!$X$16:$X$5015,114),1),0.01)*10000000,0)),""))</f>
        <v/>
      </c>
      <c r="G123" s="106">
        <f>IF(114&gt;COUNT(Transaksi!$X$16:$X$5015),"",N(G122)+N(E123)-N(F123))</f>
        <v/>
      </c>
      <c r="H123" s="137">
        <f>IF(114&gt;COUNT(Transaksi!$X$16:$X$5015),"",HYPERLINK("#Transaksi!B"&amp;A123,"Buka"))</f>
        <v/>
      </c>
    </row>
    <row r="124" ht="15" customHeight="1" s="94">
      <c r="A124" s="93">
        <f>IF(115&gt;COUNT(Transaksi!$X$16:$X$5015),"",ROUND(MOD(MOD(SMALL(Transaksi!$X$16:$X$5015,115),1),0.01)*10000000,0))</f>
        <v/>
      </c>
      <c r="B124" s="135">
        <f>IF(115&gt;COUNT(Transaksi!$X$16:$X$5015),"",IF(115=1,INDEX(Transaksi!$B$1:$B$5015,ROUND(MOD(MOD(SMALL(Transaksi!$X$16:$X$5015,115),1),0.01)*10000000,0)),IF(INDEX(Transaksi!$B$1:$B$5015,ROUND(MOD(MOD(SMALL(Transaksi!$X$16:$X$5015,115),1),0.01)*10000000,0))=INDEX(Transaksi!$B$1:$B$5015,A123),"",INDEX(Transaksi!$B$1:$B$5015,ROUND(MOD(MOD(SMALL(Transaksi!$X$16:$X$5015,115),1),0.01)*10000000,0)))))</f>
        <v/>
      </c>
      <c r="C124" s="136">
        <f>IF(115&gt;COUNT(Transaksi!$X$16:$X$5015),"",INDEX(Transaksi!$J$1:$J$5015,ROUND(MOD(MOD(SMALL(Transaksi!$X$16:$X$5015,115),1),0.01)*10000000,0))&amp;IF(INDEX(Transaksi!$D$1:$D$5015,ROUND(MOD(MOD(SMALL(Transaksi!$X$16:$X$5015,115),1),0.01)*10000000,0))="Pindah",IF(INDEX(Transaksi!$C$1:$C$5015,ROUND(MOD(MOD(SMALL(Transaksi!$X$16:$X$5015,115),1),0.01)*10000000,0))=$C$4," (ke "&amp;INDEX(Transaksi!$E$1:$E$5015,ROUND(MOD(MOD(SMALL(Transaksi!$X$16:$X$5015,115),1),0.01)*10000000,0))&amp;")"," (dari "&amp;INDEX(Transaksi!$C$1:$C$5015,ROUND(MOD(MOD(SMALL(Transaksi!$X$16:$X$5015,115),1),0.01)*10000000,0))&amp;")"),""))</f>
        <v/>
      </c>
      <c r="D124" s="137">
        <f>IF(115&gt;COUNT(Transaksi!$X$16:$X$5015),"",INDEX(Transaksi!$I$1:$I$5015,ROUND(MOD(MOD(SMALL(Transaksi!$X$16:$X$5015,115),1),0.01)*10000000,0)))</f>
        <v/>
      </c>
      <c r="E124" s="138">
        <f>IF(115&gt;COUNT(Transaksi!$X$16:$X$5015),"",IF(IF(INDEX(Transaksi!$C$1:$C$5015,ROUND(MOD(MOD(SMALL(Transaksi!$X$16:$X$5015,115),1),0.01)*10000000,0))=$C$4,IF(INDEX(Transaksi!$D$1:$D$5015,ROUND(MOD(MOD(SMALL(Transaksi!$X$16:$X$5015,115),1),0.01)*10000000,0))="Masuk",1,-1),1)&gt;0,INDEX(Transaksi!$F$1:$F$5015,ROUND(MOD(MOD(SMALL(Transaksi!$X$16:$X$5015,115),1),0.01)*10000000,0)),""))</f>
        <v/>
      </c>
      <c r="F124" s="139">
        <f>IF(115&gt;COUNT(Transaksi!$X$16:$X$5015),"",IF(IF(INDEX(Transaksi!$C$1:$C$5015,ROUND(MOD(MOD(SMALL(Transaksi!$X$16:$X$5015,115),1),0.01)*10000000,0))=$C$4,IF(INDEX(Transaksi!$D$1:$D$5015,ROUND(MOD(MOD(SMALL(Transaksi!$X$16:$X$5015,115),1),0.01)*10000000,0))="Masuk",1,-1),1)&lt;0,INDEX(Transaksi!$F$1:$F$5015,ROUND(MOD(MOD(SMALL(Transaksi!$X$16:$X$5015,115),1),0.01)*10000000,0)),""))</f>
        <v/>
      </c>
      <c r="G124" s="106">
        <f>IF(115&gt;COUNT(Transaksi!$X$16:$X$5015),"",N(G123)+N(E124)-N(F124))</f>
        <v/>
      </c>
      <c r="H124" s="137">
        <f>IF(115&gt;COUNT(Transaksi!$X$16:$X$5015),"",HYPERLINK("#Transaksi!B"&amp;A124,"Buka"))</f>
        <v/>
      </c>
    </row>
    <row r="125" ht="15" customHeight="1" s="94">
      <c r="A125" s="93">
        <f>IF(116&gt;COUNT(Transaksi!$X$16:$X$5015),"",ROUND(MOD(MOD(SMALL(Transaksi!$X$16:$X$5015,116),1),0.01)*10000000,0))</f>
        <v/>
      </c>
      <c r="B125" s="135">
        <f>IF(116&gt;COUNT(Transaksi!$X$16:$X$5015),"",IF(116=1,INDEX(Transaksi!$B$1:$B$5015,ROUND(MOD(MOD(SMALL(Transaksi!$X$16:$X$5015,116),1),0.01)*10000000,0)),IF(INDEX(Transaksi!$B$1:$B$5015,ROUND(MOD(MOD(SMALL(Transaksi!$X$16:$X$5015,116),1),0.01)*10000000,0))=INDEX(Transaksi!$B$1:$B$5015,A124),"",INDEX(Transaksi!$B$1:$B$5015,ROUND(MOD(MOD(SMALL(Transaksi!$X$16:$X$5015,116),1),0.01)*10000000,0)))))</f>
        <v/>
      </c>
      <c r="C125" s="136">
        <f>IF(116&gt;COUNT(Transaksi!$X$16:$X$5015),"",INDEX(Transaksi!$J$1:$J$5015,ROUND(MOD(MOD(SMALL(Transaksi!$X$16:$X$5015,116),1),0.01)*10000000,0))&amp;IF(INDEX(Transaksi!$D$1:$D$5015,ROUND(MOD(MOD(SMALL(Transaksi!$X$16:$X$5015,116),1),0.01)*10000000,0))="Pindah",IF(INDEX(Transaksi!$C$1:$C$5015,ROUND(MOD(MOD(SMALL(Transaksi!$X$16:$X$5015,116),1),0.01)*10000000,0))=$C$4," (ke "&amp;INDEX(Transaksi!$E$1:$E$5015,ROUND(MOD(MOD(SMALL(Transaksi!$X$16:$X$5015,116),1),0.01)*10000000,0))&amp;")"," (dari "&amp;INDEX(Transaksi!$C$1:$C$5015,ROUND(MOD(MOD(SMALL(Transaksi!$X$16:$X$5015,116),1),0.01)*10000000,0))&amp;")"),""))</f>
        <v/>
      </c>
      <c r="D125" s="137">
        <f>IF(116&gt;COUNT(Transaksi!$X$16:$X$5015),"",INDEX(Transaksi!$I$1:$I$5015,ROUND(MOD(MOD(SMALL(Transaksi!$X$16:$X$5015,116),1),0.01)*10000000,0)))</f>
        <v/>
      </c>
      <c r="E125" s="138">
        <f>IF(116&gt;COUNT(Transaksi!$X$16:$X$5015),"",IF(IF(INDEX(Transaksi!$C$1:$C$5015,ROUND(MOD(MOD(SMALL(Transaksi!$X$16:$X$5015,116),1),0.01)*10000000,0))=$C$4,IF(INDEX(Transaksi!$D$1:$D$5015,ROUND(MOD(MOD(SMALL(Transaksi!$X$16:$X$5015,116),1),0.01)*10000000,0))="Masuk",1,-1),1)&gt;0,INDEX(Transaksi!$F$1:$F$5015,ROUND(MOD(MOD(SMALL(Transaksi!$X$16:$X$5015,116),1),0.01)*10000000,0)),""))</f>
        <v/>
      </c>
      <c r="F125" s="139">
        <f>IF(116&gt;COUNT(Transaksi!$X$16:$X$5015),"",IF(IF(INDEX(Transaksi!$C$1:$C$5015,ROUND(MOD(MOD(SMALL(Transaksi!$X$16:$X$5015,116),1),0.01)*10000000,0))=$C$4,IF(INDEX(Transaksi!$D$1:$D$5015,ROUND(MOD(MOD(SMALL(Transaksi!$X$16:$X$5015,116),1),0.01)*10000000,0))="Masuk",1,-1),1)&lt;0,INDEX(Transaksi!$F$1:$F$5015,ROUND(MOD(MOD(SMALL(Transaksi!$X$16:$X$5015,116),1),0.01)*10000000,0)),""))</f>
        <v/>
      </c>
      <c r="G125" s="106">
        <f>IF(116&gt;COUNT(Transaksi!$X$16:$X$5015),"",N(G124)+N(E125)-N(F125))</f>
        <v/>
      </c>
      <c r="H125" s="137">
        <f>IF(116&gt;COUNT(Transaksi!$X$16:$X$5015),"",HYPERLINK("#Transaksi!B"&amp;A125,"Buka"))</f>
        <v/>
      </c>
    </row>
    <row r="126" ht="15" customHeight="1" s="94">
      <c r="A126" s="93">
        <f>IF(117&gt;COUNT(Transaksi!$X$16:$X$5015),"",ROUND(MOD(MOD(SMALL(Transaksi!$X$16:$X$5015,117),1),0.01)*10000000,0))</f>
        <v/>
      </c>
      <c r="B126" s="135">
        <f>IF(117&gt;COUNT(Transaksi!$X$16:$X$5015),"",IF(117=1,INDEX(Transaksi!$B$1:$B$5015,ROUND(MOD(MOD(SMALL(Transaksi!$X$16:$X$5015,117),1),0.01)*10000000,0)),IF(INDEX(Transaksi!$B$1:$B$5015,ROUND(MOD(MOD(SMALL(Transaksi!$X$16:$X$5015,117),1),0.01)*10000000,0))=INDEX(Transaksi!$B$1:$B$5015,A125),"",INDEX(Transaksi!$B$1:$B$5015,ROUND(MOD(MOD(SMALL(Transaksi!$X$16:$X$5015,117),1),0.01)*10000000,0)))))</f>
        <v/>
      </c>
      <c r="C126" s="136">
        <f>IF(117&gt;COUNT(Transaksi!$X$16:$X$5015),"",INDEX(Transaksi!$J$1:$J$5015,ROUND(MOD(MOD(SMALL(Transaksi!$X$16:$X$5015,117),1),0.01)*10000000,0))&amp;IF(INDEX(Transaksi!$D$1:$D$5015,ROUND(MOD(MOD(SMALL(Transaksi!$X$16:$X$5015,117),1),0.01)*10000000,0))="Pindah",IF(INDEX(Transaksi!$C$1:$C$5015,ROUND(MOD(MOD(SMALL(Transaksi!$X$16:$X$5015,117),1),0.01)*10000000,0))=$C$4," (ke "&amp;INDEX(Transaksi!$E$1:$E$5015,ROUND(MOD(MOD(SMALL(Transaksi!$X$16:$X$5015,117),1),0.01)*10000000,0))&amp;")"," (dari "&amp;INDEX(Transaksi!$C$1:$C$5015,ROUND(MOD(MOD(SMALL(Transaksi!$X$16:$X$5015,117),1),0.01)*10000000,0))&amp;")"),""))</f>
        <v/>
      </c>
      <c r="D126" s="137">
        <f>IF(117&gt;COUNT(Transaksi!$X$16:$X$5015),"",INDEX(Transaksi!$I$1:$I$5015,ROUND(MOD(MOD(SMALL(Transaksi!$X$16:$X$5015,117),1),0.01)*10000000,0)))</f>
        <v/>
      </c>
      <c r="E126" s="138">
        <f>IF(117&gt;COUNT(Transaksi!$X$16:$X$5015),"",IF(IF(INDEX(Transaksi!$C$1:$C$5015,ROUND(MOD(MOD(SMALL(Transaksi!$X$16:$X$5015,117),1),0.01)*10000000,0))=$C$4,IF(INDEX(Transaksi!$D$1:$D$5015,ROUND(MOD(MOD(SMALL(Transaksi!$X$16:$X$5015,117),1),0.01)*10000000,0))="Masuk",1,-1),1)&gt;0,INDEX(Transaksi!$F$1:$F$5015,ROUND(MOD(MOD(SMALL(Transaksi!$X$16:$X$5015,117),1),0.01)*10000000,0)),""))</f>
        <v/>
      </c>
      <c r="F126" s="139">
        <f>IF(117&gt;COUNT(Transaksi!$X$16:$X$5015),"",IF(IF(INDEX(Transaksi!$C$1:$C$5015,ROUND(MOD(MOD(SMALL(Transaksi!$X$16:$X$5015,117),1),0.01)*10000000,0))=$C$4,IF(INDEX(Transaksi!$D$1:$D$5015,ROUND(MOD(MOD(SMALL(Transaksi!$X$16:$X$5015,117),1),0.01)*10000000,0))="Masuk",1,-1),1)&lt;0,INDEX(Transaksi!$F$1:$F$5015,ROUND(MOD(MOD(SMALL(Transaksi!$X$16:$X$5015,117),1),0.01)*10000000,0)),""))</f>
        <v/>
      </c>
      <c r="G126" s="106">
        <f>IF(117&gt;COUNT(Transaksi!$X$16:$X$5015),"",N(G125)+N(E126)-N(F126))</f>
        <v/>
      </c>
      <c r="H126" s="137">
        <f>IF(117&gt;COUNT(Transaksi!$X$16:$X$5015),"",HYPERLINK("#Transaksi!B"&amp;A126,"Buka"))</f>
        <v/>
      </c>
    </row>
    <row r="127" ht="15" customHeight="1" s="94">
      <c r="A127" s="93">
        <f>IF(118&gt;COUNT(Transaksi!$X$16:$X$5015),"",ROUND(MOD(MOD(SMALL(Transaksi!$X$16:$X$5015,118),1),0.01)*10000000,0))</f>
        <v/>
      </c>
      <c r="B127" s="135">
        <f>IF(118&gt;COUNT(Transaksi!$X$16:$X$5015),"",IF(118=1,INDEX(Transaksi!$B$1:$B$5015,ROUND(MOD(MOD(SMALL(Transaksi!$X$16:$X$5015,118),1),0.01)*10000000,0)),IF(INDEX(Transaksi!$B$1:$B$5015,ROUND(MOD(MOD(SMALL(Transaksi!$X$16:$X$5015,118),1),0.01)*10000000,0))=INDEX(Transaksi!$B$1:$B$5015,A126),"",INDEX(Transaksi!$B$1:$B$5015,ROUND(MOD(MOD(SMALL(Transaksi!$X$16:$X$5015,118),1),0.01)*10000000,0)))))</f>
        <v/>
      </c>
      <c r="C127" s="136">
        <f>IF(118&gt;COUNT(Transaksi!$X$16:$X$5015),"",INDEX(Transaksi!$J$1:$J$5015,ROUND(MOD(MOD(SMALL(Transaksi!$X$16:$X$5015,118),1),0.01)*10000000,0))&amp;IF(INDEX(Transaksi!$D$1:$D$5015,ROUND(MOD(MOD(SMALL(Transaksi!$X$16:$X$5015,118),1),0.01)*10000000,0))="Pindah",IF(INDEX(Transaksi!$C$1:$C$5015,ROUND(MOD(MOD(SMALL(Transaksi!$X$16:$X$5015,118),1),0.01)*10000000,0))=$C$4," (ke "&amp;INDEX(Transaksi!$E$1:$E$5015,ROUND(MOD(MOD(SMALL(Transaksi!$X$16:$X$5015,118),1),0.01)*10000000,0))&amp;")"," (dari "&amp;INDEX(Transaksi!$C$1:$C$5015,ROUND(MOD(MOD(SMALL(Transaksi!$X$16:$X$5015,118),1),0.01)*10000000,0))&amp;")"),""))</f>
        <v/>
      </c>
      <c r="D127" s="137">
        <f>IF(118&gt;COUNT(Transaksi!$X$16:$X$5015),"",INDEX(Transaksi!$I$1:$I$5015,ROUND(MOD(MOD(SMALL(Transaksi!$X$16:$X$5015,118),1),0.01)*10000000,0)))</f>
        <v/>
      </c>
      <c r="E127" s="138">
        <f>IF(118&gt;COUNT(Transaksi!$X$16:$X$5015),"",IF(IF(INDEX(Transaksi!$C$1:$C$5015,ROUND(MOD(MOD(SMALL(Transaksi!$X$16:$X$5015,118),1),0.01)*10000000,0))=$C$4,IF(INDEX(Transaksi!$D$1:$D$5015,ROUND(MOD(MOD(SMALL(Transaksi!$X$16:$X$5015,118),1),0.01)*10000000,0))="Masuk",1,-1),1)&gt;0,INDEX(Transaksi!$F$1:$F$5015,ROUND(MOD(MOD(SMALL(Transaksi!$X$16:$X$5015,118),1),0.01)*10000000,0)),""))</f>
        <v/>
      </c>
      <c r="F127" s="139">
        <f>IF(118&gt;COUNT(Transaksi!$X$16:$X$5015),"",IF(IF(INDEX(Transaksi!$C$1:$C$5015,ROUND(MOD(MOD(SMALL(Transaksi!$X$16:$X$5015,118),1),0.01)*10000000,0))=$C$4,IF(INDEX(Transaksi!$D$1:$D$5015,ROUND(MOD(MOD(SMALL(Transaksi!$X$16:$X$5015,118),1),0.01)*10000000,0))="Masuk",1,-1),1)&lt;0,INDEX(Transaksi!$F$1:$F$5015,ROUND(MOD(MOD(SMALL(Transaksi!$X$16:$X$5015,118),1),0.01)*10000000,0)),""))</f>
        <v/>
      </c>
      <c r="G127" s="106">
        <f>IF(118&gt;COUNT(Transaksi!$X$16:$X$5015),"",N(G126)+N(E127)-N(F127))</f>
        <v/>
      </c>
      <c r="H127" s="137">
        <f>IF(118&gt;COUNT(Transaksi!$X$16:$X$5015),"",HYPERLINK("#Transaksi!B"&amp;A127,"Buka"))</f>
        <v/>
      </c>
    </row>
    <row r="128" ht="15" customHeight="1" s="94">
      <c r="A128" s="93">
        <f>IF(119&gt;COUNT(Transaksi!$X$16:$X$5015),"",ROUND(MOD(MOD(SMALL(Transaksi!$X$16:$X$5015,119),1),0.01)*10000000,0))</f>
        <v/>
      </c>
      <c r="B128" s="135">
        <f>IF(119&gt;COUNT(Transaksi!$X$16:$X$5015),"",IF(119=1,INDEX(Transaksi!$B$1:$B$5015,ROUND(MOD(MOD(SMALL(Transaksi!$X$16:$X$5015,119),1),0.01)*10000000,0)),IF(INDEX(Transaksi!$B$1:$B$5015,ROUND(MOD(MOD(SMALL(Transaksi!$X$16:$X$5015,119),1),0.01)*10000000,0))=INDEX(Transaksi!$B$1:$B$5015,A127),"",INDEX(Transaksi!$B$1:$B$5015,ROUND(MOD(MOD(SMALL(Transaksi!$X$16:$X$5015,119),1),0.01)*10000000,0)))))</f>
        <v/>
      </c>
      <c r="C128" s="136">
        <f>IF(119&gt;COUNT(Transaksi!$X$16:$X$5015),"",INDEX(Transaksi!$J$1:$J$5015,ROUND(MOD(MOD(SMALL(Transaksi!$X$16:$X$5015,119),1),0.01)*10000000,0))&amp;IF(INDEX(Transaksi!$D$1:$D$5015,ROUND(MOD(MOD(SMALL(Transaksi!$X$16:$X$5015,119),1),0.01)*10000000,0))="Pindah",IF(INDEX(Transaksi!$C$1:$C$5015,ROUND(MOD(MOD(SMALL(Transaksi!$X$16:$X$5015,119),1),0.01)*10000000,0))=$C$4," (ke "&amp;INDEX(Transaksi!$E$1:$E$5015,ROUND(MOD(MOD(SMALL(Transaksi!$X$16:$X$5015,119),1),0.01)*10000000,0))&amp;")"," (dari "&amp;INDEX(Transaksi!$C$1:$C$5015,ROUND(MOD(MOD(SMALL(Transaksi!$X$16:$X$5015,119),1),0.01)*10000000,0))&amp;")"),""))</f>
        <v/>
      </c>
      <c r="D128" s="137">
        <f>IF(119&gt;COUNT(Transaksi!$X$16:$X$5015),"",INDEX(Transaksi!$I$1:$I$5015,ROUND(MOD(MOD(SMALL(Transaksi!$X$16:$X$5015,119),1),0.01)*10000000,0)))</f>
        <v/>
      </c>
      <c r="E128" s="138">
        <f>IF(119&gt;COUNT(Transaksi!$X$16:$X$5015),"",IF(IF(INDEX(Transaksi!$C$1:$C$5015,ROUND(MOD(MOD(SMALL(Transaksi!$X$16:$X$5015,119),1),0.01)*10000000,0))=$C$4,IF(INDEX(Transaksi!$D$1:$D$5015,ROUND(MOD(MOD(SMALL(Transaksi!$X$16:$X$5015,119),1),0.01)*10000000,0))="Masuk",1,-1),1)&gt;0,INDEX(Transaksi!$F$1:$F$5015,ROUND(MOD(MOD(SMALL(Transaksi!$X$16:$X$5015,119),1),0.01)*10000000,0)),""))</f>
        <v/>
      </c>
      <c r="F128" s="139">
        <f>IF(119&gt;COUNT(Transaksi!$X$16:$X$5015),"",IF(IF(INDEX(Transaksi!$C$1:$C$5015,ROUND(MOD(MOD(SMALL(Transaksi!$X$16:$X$5015,119),1),0.01)*10000000,0))=$C$4,IF(INDEX(Transaksi!$D$1:$D$5015,ROUND(MOD(MOD(SMALL(Transaksi!$X$16:$X$5015,119),1),0.01)*10000000,0))="Masuk",1,-1),1)&lt;0,INDEX(Transaksi!$F$1:$F$5015,ROUND(MOD(MOD(SMALL(Transaksi!$X$16:$X$5015,119),1),0.01)*10000000,0)),""))</f>
        <v/>
      </c>
      <c r="G128" s="106">
        <f>IF(119&gt;COUNT(Transaksi!$X$16:$X$5015),"",N(G127)+N(E128)-N(F128))</f>
        <v/>
      </c>
      <c r="H128" s="137">
        <f>IF(119&gt;COUNT(Transaksi!$X$16:$X$5015),"",HYPERLINK("#Transaksi!B"&amp;A128,"Buka"))</f>
        <v/>
      </c>
    </row>
    <row r="129" ht="15" customHeight="1" s="94">
      <c r="A129" s="93">
        <f>IF(120&gt;COUNT(Transaksi!$X$16:$X$5015),"",ROUND(MOD(MOD(SMALL(Transaksi!$X$16:$X$5015,120),1),0.01)*10000000,0))</f>
        <v/>
      </c>
      <c r="B129" s="135">
        <f>IF(120&gt;COUNT(Transaksi!$X$16:$X$5015),"",IF(120=1,INDEX(Transaksi!$B$1:$B$5015,ROUND(MOD(MOD(SMALL(Transaksi!$X$16:$X$5015,120),1),0.01)*10000000,0)),IF(INDEX(Transaksi!$B$1:$B$5015,ROUND(MOD(MOD(SMALL(Transaksi!$X$16:$X$5015,120),1),0.01)*10000000,0))=INDEX(Transaksi!$B$1:$B$5015,A128),"",INDEX(Transaksi!$B$1:$B$5015,ROUND(MOD(MOD(SMALL(Transaksi!$X$16:$X$5015,120),1),0.01)*10000000,0)))))</f>
        <v/>
      </c>
      <c r="C129" s="136">
        <f>IF(120&gt;COUNT(Transaksi!$X$16:$X$5015),"",INDEX(Transaksi!$J$1:$J$5015,ROUND(MOD(MOD(SMALL(Transaksi!$X$16:$X$5015,120),1),0.01)*10000000,0))&amp;IF(INDEX(Transaksi!$D$1:$D$5015,ROUND(MOD(MOD(SMALL(Transaksi!$X$16:$X$5015,120),1),0.01)*10000000,0))="Pindah",IF(INDEX(Transaksi!$C$1:$C$5015,ROUND(MOD(MOD(SMALL(Transaksi!$X$16:$X$5015,120),1),0.01)*10000000,0))=$C$4," (ke "&amp;INDEX(Transaksi!$E$1:$E$5015,ROUND(MOD(MOD(SMALL(Transaksi!$X$16:$X$5015,120),1),0.01)*10000000,0))&amp;")"," (dari "&amp;INDEX(Transaksi!$C$1:$C$5015,ROUND(MOD(MOD(SMALL(Transaksi!$X$16:$X$5015,120),1),0.01)*10000000,0))&amp;")"),""))</f>
        <v/>
      </c>
      <c r="D129" s="137">
        <f>IF(120&gt;COUNT(Transaksi!$X$16:$X$5015),"",INDEX(Transaksi!$I$1:$I$5015,ROUND(MOD(MOD(SMALL(Transaksi!$X$16:$X$5015,120),1),0.01)*10000000,0)))</f>
        <v/>
      </c>
      <c r="E129" s="138">
        <f>IF(120&gt;COUNT(Transaksi!$X$16:$X$5015),"",IF(IF(INDEX(Transaksi!$C$1:$C$5015,ROUND(MOD(MOD(SMALL(Transaksi!$X$16:$X$5015,120),1),0.01)*10000000,0))=$C$4,IF(INDEX(Transaksi!$D$1:$D$5015,ROUND(MOD(MOD(SMALL(Transaksi!$X$16:$X$5015,120),1),0.01)*10000000,0))="Masuk",1,-1),1)&gt;0,INDEX(Transaksi!$F$1:$F$5015,ROUND(MOD(MOD(SMALL(Transaksi!$X$16:$X$5015,120),1),0.01)*10000000,0)),""))</f>
        <v/>
      </c>
      <c r="F129" s="139">
        <f>IF(120&gt;COUNT(Transaksi!$X$16:$X$5015),"",IF(IF(INDEX(Transaksi!$C$1:$C$5015,ROUND(MOD(MOD(SMALL(Transaksi!$X$16:$X$5015,120),1),0.01)*10000000,0))=$C$4,IF(INDEX(Transaksi!$D$1:$D$5015,ROUND(MOD(MOD(SMALL(Transaksi!$X$16:$X$5015,120),1),0.01)*10000000,0))="Masuk",1,-1),1)&lt;0,INDEX(Transaksi!$F$1:$F$5015,ROUND(MOD(MOD(SMALL(Transaksi!$X$16:$X$5015,120),1),0.01)*10000000,0)),""))</f>
        <v/>
      </c>
      <c r="G129" s="106">
        <f>IF(120&gt;COUNT(Transaksi!$X$16:$X$5015),"",N(G128)+N(E129)-N(F129))</f>
        <v/>
      </c>
      <c r="H129" s="137">
        <f>IF(120&gt;COUNT(Transaksi!$X$16:$X$5015),"",HYPERLINK("#Transaksi!B"&amp;A129,"Buka"))</f>
        <v/>
      </c>
    </row>
    <row r="130" ht="15" customHeight="1" s="94">
      <c r="A130" s="93">
        <f>IF(121&gt;COUNT(Transaksi!$X$16:$X$5015),"",ROUND(MOD(MOD(SMALL(Transaksi!$X$16:$X$5015,121),1),0.01)*10000000,0))</f>
        <v/>
      </c>
      <c r="B130" s="135">
        <f>IF(121&gt;COUNT(Transaksi!$X$16:$X$5015),"",IF(121=1,INDEX(Transaksi!$B$1:$B$5015,ROUND(MOD(MOD(SMALL(Transaksi!$X$16:$X$5015,121),1),0.01)*10000000,0)),IF(INDEX(Transaksi!$B$1:$B$5015,ROUND(MOD(MOD(SMALL(Transaksi!$X$16:$X$5015,121),1),0.01)*10000000,0))=INDEX(Transaksi!$B$1:$B$5015,A129),"",INDEX(Transaksi!$B$1:$B$5015,ROUND(MOD(MOD(SMALL(Transaksi!$X$16:$X$5015,121),1),0.01)*10000000,0)))))</f>
        <v/>
      </c>
      <c r="C130" s="136">
        <f>IF(121&gt;COUNT(Transaksi!$X$16:$X$5015),"",INDEX(Transaksi!$J$1:$J$5015,ROUND(MOD(MOD(SMALL(Transaksi!$X$16:$X$5015,121),1),0.01)*10000000,0))&amp;IF(INDEX(Transaksi!$D$1:$D$5015,ROUND(MOD(MOD(SMALL(Transaksi!$X$16:$X$5015,121),1),0.01)*10000000,0))="Pindah",IF(INDEX(Transaksi!$C$1:$C$5015,ROUND(MOD(MOD(SMALL(Transaksi!$X$16:$X$5015,121),1),0.01)*10000000,0))=$C$4," (ke "&amp;INDEX(Transaksi!$E$1:$E$5015,ROUND(MOD(MOD(SMALL(Transaksi!$X$16:$X$5015,121),1),0.01)*10000000,0))&amp;")"," (dari "&amp;INDEX(Transaksi!$C$1:$C$5015,ROUND(MOD(MOD(SMALL(Transaksi!$X$16:$X$5015,121),1),0.01)*10000000,0))&amp;")"),""))</f>
        <v/>
      </c>
      <c r="D130" s="137">
        <f>IF(121&gt;COUNT(Transaksi!$X$16:$X$5015),"",INDEX(Transaksi!$I$1:$I$5015,ROUND(MOD(MOD(SMALL(Transaksi!$X$16:$X$5015,121),1),0.01)*10000000,0)))</f>
        <v/>
      </c>
      <c r="E130" s="138">
        <f>IF(121&gt;COUNT(Transaksi!$X$16:$X$5015),"",IF(IF(INDEX(Transaksi!$C$1:$C$5015,ROUND(MOD(MOD(SMALL(Transaksi!$X$16:$X$5015,121),1),0.01)*10000000,0))=$C$4,IF(INDEX(Transaksi!$D$1:$D$5015,ROUND(MOD(MOD(SMALL(Transaksi!$X$16:$X$5015,121),1),0.01)*10000000,0))="Masuk",1,-1),1)&gt;0,INDEX(Transaksi!$F$1:$F$5015,ROUND(MOD(MOD(SMALL(Transaksi!$X$16:$X$5015,121),1),0.01)*10000000,0)),""))</f>
        <v/>
      </c>
      <c r="F130" s="139">
        <f>IF(121&gt;COUNT(Transaksi!$X$16:$X$5015),"",IF(IF(INDEX(Transaksi!$C$1:$C$5015,ROUND(MOD(MOD(SMALL(Transaksi!$X$16:$X$5015,121),1),0.01)*10000000,0))=$C$4,IF(INDEX(Transaksi!$D$1:$D$5015,ROUND(MOD(MOD(SMALL(Transaksi!$X$16:$X$5015,121),1),0.01)*10000000,0))="Masuk",1,-1),1)&lt;0,INDEX(Transaksi!$F$1:$F$5015,ROUND(MOD(MOD(SMALL(Transaksi!$X$16:$X$5015,121),1),0.01)*10000000,0)),""))</f>
        <v/>
      </c>
      <c r="G130" s="106">
        <f>IF(121&gt;COUNT(Transaksi!$X$16:$X$5015),"",N(G129)+N(E130)-N(F130))</f>
        <v/>
      </c>
      <c r="H130" s="137">
        <f>IF(121&gt;COUNT(Transaksi!$X$16:$X$5015),"",HYPERLINK("#Transaksi!B"&amp;A130,"Buka"))</f>
        <v/>
      </c>
    </row>
    <row r="131" ht="15" customHeight="1" s="94">
      <c r="A131" s="93">
        <f>IF(122&gt;COUNT(Transaksi!$X$16:$X$5015),"",ROUND(MOD(MOD(SMALL(Transaksi!$X$16:$X$5015,122),1),0.01)*10000000,0))</f>
        <v/>
      </c>
      <c r="B131" s="135">
        <f>IF(122&gt;COUNT(Transaksi!$X$16:$X$5015),"",IF(122=1,INDEX(Transaksi!$B$1:$B$5015,ROUND(MOD(MOD(SMALL(Transaksi!$X$16:$X$5015,122),1),0.01)*10000000,0)),IF(INDEX(Transaksi!$B$1:$B$5015,ROUND(MOD(MOD(SMALL(Transaksi!$X$16:$X$5015,122),1),0.01)*10000000,0))=INDEX(Transaksi!$B$1:$B$5015,A130),"",INDEX(Transaksi!$B$1:$B$5015,ROUND(MOD(MOD(SMALL(Transaksi!$X$16:$X$5015,122),1),0.01)*10000000,0)))))</f>
        <v/>
      </c>
      <c r="C131" s="136">
        <f>IF(122&gt;COUNT(Transaksi!$X$16:$X$5015),"",INDEX(Transaksi!$J$1:$J$5015,ROUND(MOD(MOD(SMALL(Transaksi!$X$16:$X$5015,122),1),0.01)*10000000,0))&amp;IF(INDEX(Transaksi!$D$1:$D$5015,ROUND(MOD(MOD(SMALL(Transaksi!$X$16:$X$5015,122),1),0.01)*10000000,0))="Pindah",IF(INDEX(Transaksi!$C$1:$C$5015,ROUND(MOD(MOD(SMALL(Transaksi!$X$16:$X$5015,122),1),0.01)*10000000,0))=$C$4," (ke "&amp;INDEX(Transaksi!$E$1:$E$5015,ROUND(MOD(MOD(SMALL(Transaksi!$X$16:$X$5015,122),1),0.01)*10000000,0))&amp;")"," (dari "&amp;INDEX(Transaksi!$C$1:$C$5015,ROUND(MOD(MOD(SMALL(Transaksi!$X$16:$X$5015,122),1),0.01)*10000000,0))&amp;")"),""))</f>
        <v/>
      </c>
      <c r="D131" s="137">
        <f>IF(122&gt;COUNT(Transaksi!$X$16:$X$5015),"",INDEX(Transaksi!$I$1:$I$5015,ROUND(MOD(MOD(SMALL(Transaksi!$X$16:$X$5015,122),1),0.01)*10000000,0)))</f>
        <v/>
      </c>
      <c r="E131" s="138">
        <f>IF(122&gt;COUNT(Transaksi!$X$16:$X$5015),"",IF(IF(INDEX(Transaksi!$C$1:$C$5015,ROUND(MOD(MOD(SMALL(Transaksi!$X$16:$X$5015,122),1),0.01)*10000000,0))=$C$4,IF(INDEX(Transaksi!$D$1:$D$5015,ROUND(MOD(MOD(SMALL(Transaksi!$X$16:$X$5015,122),1),0.01)*10000000,0))="Masuk",1,-1),1)&gt;0,INDEX(Transaksi!$F$1:$F$5015,ROUND(MOD(MOD(SMALL(Transaksi!$X$16:$X$5015,122),1),0.01)*10000000,0)),""))</f>
        <v/>
      </c>
      <c r="F131" s="139">
        <f>IF(122&gt;COUNT(Transaksi!$X$16:$X$5015),"",IF(IF(INDEX(Transaksi!$C$1:$C$5015,ROUND(MOD(MOD(SMALL(Transaksi!$X$16:$X$5015,122),1),0.01)*10000000,0))=$C$4,IF(INDEX(Transaksi!$D$1:$D$5015,ROUND(MOD(MOD(SMALL(Transaksi!$X$16:$X$5015,122),1),0.01)*10000000,0))="Masuk",1,-1),1)&lt;0,INDEX(Transaksi!$F$1:$F$5015,ROUND(MOD(MOD(SMALL(Transaksi!$X$16:$X$5015,122),1),0.01)*10000000,0)),""))</f>
        <v/>
      </c>
      <c r="G131" s="106">
        <f>IF(122&gt;COUNT(Transaksi!$X$16:$X$5015),"",N(G130)+N(E131)-N(F131))</f>
        <v/>
      </c>
      <c r="H131" s="137">
        <f>IF(122&gt;COUNT(Transaksi!$X$16:$X$5015),"",HYPERLINK("#Transaksi!B"&amp;A131,"Buka"))</f>
        <v/>
      </c>
    </row>
    <row r="132" ht="15" customHeight="1" s="94">
      <c r="A132" s="93">
        <f>IF(123&gt;COUNT(Transaksi!$X$16:$X$5015),"",ROUND(MOD(MOD(SMALL(Transaksi!$X$16:$X$5015,123),1),0.01)*10000000,0))</f>
        <v/>
      </c>
      <c r="B132" s="135">
        <f>IF(123&gt;COUNT(Transaksi!$X$16:$X$5015),"",IF(123=1,INDEX(Transaksi!$B$1:$B$5015,ROUND(MOD(MOD(SMALL(Transaksi!$X$16:$X$5015,123),1),0.01)*10000000,0)),IF(INDEX(Transaksi!$B$1:$B$5015,ROUND(MOD(MOD(SMALL(Transaksi!$X$16:$X$5015,123),1),0.01)*10000000,0))=INDEX(Transaksi!$B$1:$B$5015,A131),"",INDEX(Transaksi!$B$1:$B$5015,ROUND(MOD(MOD(SMALL(Transaksi!$X$16:$X$5015,123),1),0.01)*10000000,0)))))</f>
        <v/>
      </c>
      <c r="C132" s="136">
        <f>IF(123&gt;COUNT(Transaksi!$X$16:$X$5015),"",INDEX(Transaksi!$J$1:$J$5015,ROUND(MOD(MOD(SMALL(Transaksi!$X$16:$X$5015,123),1),0.01)*10000000,0))&amp;IF(INDEX(Transaksi!$D$1:$D$5015,ROUND(MOD(MOD(SMALL(Transaksi!$X$16:$X$5015,123),1),0.01)*10000000,0))="Pindah",IF(INDEX(Transaksi!$C$1:$C$5015,ROUND(MOD(MOD(SMALL(Transaksi!$X$16:$X$5015,123),1),0.01)*10000000,0))=$C$4," (ke "&amp;INDEX(Transaksi!$E$1:$E$5015,ROUND(MOD(MOD(SMALL(Transaksi!$X$16:$X$5015,123),1),0.01)*10000000,0))&amp;")"," (dari "&amp;INDEX(Transaksi!$C$1:$C$5015,ROUND(MOD(MOD(SMALL(Transaksi!$X$16:$X$5015,123),1),0.01)*10000000,0))&amp;")"),""))</f>
        <v/>
      </c>
      <c r="D132" s="137">
        <f>IF(123&gt;COUNT(Transaksi!$X$16:$X$5015),"",INDEX(Transaksi!$I$1:$I$5015,ROUND(MOD(MOD(SMALL(Transaksi!$X$16:$X$5015,123),1),0.01)*10000000,0)))</f>
        <v/>
      </c>
      <c r="E132" s="138">
        <f>IF(123&gt;COUNT(Transaksi!$X$16:$X$5015),"",IF(IF(INDEX(Transaksi!$C$1:$C$5015,ROUND(MOD(MOD(SMALL(Transaksi!$X$16:$X$5015,123),1),0.01)*10000000,0))=$C$4,IF(INDEX(Transaksi!$D$1:$D$5015,ROUND(MOD(MOD(SMALL(Transaksi!$X$16:$X$5015,123),1),0.01)*10000000,0))="Masuk",1,-1),1)&gt;0,INDEX(Transaksi!$F$1:$F$5015,ROUND(MOD(MOD(SMALL(Transaksi!$X$16:$X$5015,123),1),0.01)*10000000,0)),""))</f>
        <v/>
      </c>
      <c r="F132" s="139">
        <f>IF(123&gt;COUNT(Transaksi!$X$16:$X$5015),"",IF(IF(INDEX(Transaksi!$C$1:$C$5015,ROUND(MOD(MOD(SMALL(Transaksi!$X$16:$X$5015,123),1),0.01)*10000000,0))=$C$4,IF(INDEX(Transaksi!$D$1:$D$5015,ROUND(MOD(MOD(SMALL(Transaksi!$X$16:$X$5015,123),1),0.01)*10000000,0))="Masuk",1,-1),1)&lt;0,INDEX(Transaksi!$F$1:$F$5015,ROUND(MOD(MOD(SMALL(Transaksi!$X$16:$X$5015,123),1),0.01)*10000000,0)),""))</f>
        <v/>
      </c>
      <c r="G132" s="106">
        <f>IF(123&gt;COUNT(Transaksi!$X$16:$X$5015),"",N(G131)+N(E132)-N(F132))</f>
        <v/>
      </c>
      <c r="H132" s="137">
        <f>IF(123&gt;COUNT(Transaksi!$X$16:$X$5015),"",HYPERLINK("#Transaksi!B"&amp;A132,"Buka"))</f>
        <v/>
      </c>
    </row>
    <row r="133" ht="15" customHeight="1" s="94">
      <c r="A133" s="93">
        <f>IF(124&gt;COUNT(Transaksi!$X$16:$X$5015),"",ROUND(MOD(MOD(SMALL(Transaksi!$X$16:$X$5015,124),1),0.01)*10000000,0))</f>
        <v/>
      </c>
      <c r="B133" s="135">
        <f>IF(124&gt;COUNT(Transaksi!$X$16:$X$5015),"",IF(124=1,INDEX(Transaksi!$B$1:$B$5015,ROUND(MOD(MOD(SMALL(Transaksi!$X$16:$X$5015,124),1),0.01)*10000000,0)),IF(INDEX(Transaksi!$B$1:$B$5015,ROUND(MOD(MOD(SMALL(Transaksi!$X$16:$X$5015,124),1),0.01)*10000000,0))=INDEX(Transaksi!$B$1:$B$5015,A132),"",INDEX(Transaksi!$B$1:$B$5015,ROUND(MOD(MOD(SMALL(Transaksi!$X$16:$X$5015,124),1),0.01)*10000000,0)))))</f>
        <v/>
      </c>
      <c r="C133" s="136">
        <f>IF(124&gt;COUNT(Transaksi!$X$16:$X$5015),"",INDEX(Transaksi!$J$1:$J$5015,ROUND(MOD(MOD(SMALL(Transaksi!$X$16:$X$5015,124),1),0.01)*10000000,0))&amp;IF(INDEX(Transaksi!$D$1:$D$5015,ROUND(MOD(MOD(SMALL(Transaksi!$X$16:$X$5015,124),1),0.01)*10000000,0))="Pindah",IF(INDEX(Transaksi!$C$1:$C$5015,ROUND(MOD(MOD(SMALL(Transaksi!$X$16:$X$5015,124),1),0.01)*10000000,0))=$C$4," (ke "&amp;INDEX(Transaksi!$E$1:$E$5015,ROUND(MOD(MOD(SMALL(Transaksi!$X$16:$X$5015,124),1),0.01)*10000000,0))&amp;")"," (dari "&amp;INDEX(Transaksi!$C$1:$C$5015,ROUND(MOD(MOD(SMALL(Transaksi!$X$16:$X$5015,124),1),0.01)*10000000,0))&amp;")"),""))</f>
        <v/>
      </c>
      <c r="D133" s="137">
        <f>IF(124&gt;COUNT(Transaksi!$X$16:$X$5015),"",INDEX(Transaksi!$I$1:$I$5015,ROUND(MOD(MOD(SMALL(Transaksi!$X$16:$X$5015,124),1),0.01)*10000000,0)))</f>
        <v/>
      </c>
      <c r="E133" s="138">
        <f>IF(124&gt;COUNT(Transaksi!$X$16:$X$5015),"",IF(IF(INDEX(Transaksi!$C$1:$C$5015,ROUND(MOD(MOD(SMALL(Transaksi!$X$16:$X$5015,124),1),0.01)*10000000,0))=$C$4,IF(INDEX(Transaksi!$D$1:$D$5015,ROUND(MOD(MOD(SMALL(Transaksi!$X$16:$X$5015,124),1),0.01)*10000000,0))="Masuk",1,-1),1)&gt;0,INDEX(Transaksi!$F$1:$F$5015,ROUND(MOD(MOD(SMALL(Transaksi!$X$16:$X$5015,124),1),0.01)*10000000,0)),""))</f>
        <v/>
      </c>
      <c r="F133" s="139">
        <f>IF(124&gt;COUNT(Transaksi!$X$16:$X$5015),"",IF(IF(INDEX(Transaksi!$C$1:$C$5015,ROUND(MOD(MOD(SMALL(Transaksi!$X$16:$X$5015,124),1),0.01)*10000000,0))=$C$4,IF(INDEX(Transaksi!$D$1:$D$5015,ROUND(MOD(MOD(SMALL(Transaksi!$X$16:$X$5015,124),1),0.01)*10000000,0))="Masuk",1,-1),1)&lt;0,INDEX(Transaksi!$F$1:$F$5015,ROUND(MOD(MOD(SMALL(Transaksi!$X$16:$X$5015,124),1),0.01)*10000000,0)),""))</f>
        <v/>
      </c>
      <c r="G133" s="106">
        <f>IF(124&gt;COUNT(Transaksi!$X$16:$X$5015),"",N(G132)+N(E133)-N(F133))</f>
        <v/>
      </c>
      <c r="H133" s="137">
        <f>IF(124&gt;COUNT(Transaksi!$X$16:$X$5015),"",HYPERLINK("#Transaksi!B"&amp;A133,"Buka"))</f>
        <v/>
      </c>
    </row>
    <row r="134" ht="15" customHeight="1" s="94">
      <c r="A134" s="93">
        <f>IF(125&gt;COUNT(Transaksi!$X$16:$X$5015),"",ROUND(MOD(MOD(SMALL(Transaksi!$X$16:$X$5015,125),1),0.01)*10000000,0))</f>
        <v/>
      </c>
      <c r="B134" s="135">
        <f>IF(125&gt;COUNT(Transaksi!$X$16:$X$5015),"",IF(125=1,INDEX(Transaksi!$B$1:$B$5015,ROUND(MOD(MOD(SMALL(Transaksi!$X$16:$X$5015,125),1),0.01)*10000000,0)),IF(INDEX(Transaksi!$B$1:$B$5015,ROUND(MOD(MOD(SMALL(Transaksi!$X$16:$X$5015,125),1),0.01)*10000000,0))=INDEX(Transaksi!$B$1:$B$5015,A133),"",INDEX(Transaksi!$B$1:$B$5015,ROUND(MOD(MOD(SMALL(Transaksi!$X$16:$X$5015,125),1),0.01)*10000000,0)))))</f>
        <v/>
      </c>
      <c r="C134" s="136">
        <f>IF(125&gt;COUNT(Transaksi!$X$16:$X$5015),"",INDEX(Transaksi!$J$1:$J$5015,ROUND(MOD(MOD(SMALL(Transaksi!$X$16:$X$5015,125),1),0.01)*10000000,0))&amp;IF(INDEX(Transaksi!$D$1:$D$5015,ROUND(MOD(MOD(SMALL(Transaksi!$X$16:$X$5015,125),1),0.01)*10000000,0))="Pindah",IF(INDEX(Transaksi!$C$1:$C$5015,ROUND(MOD(MOD(SMALL(Transaksi!$X$16:$X$5015,125),1),0.01)*10000000,0))=$C$4," (ke "&amp;INDEX(Transaksi!$E$1:$E$5015,ROUND(MOD(MOD(SMALL(Transaksi!$X$16:$X$5015,125),1),0.01)*10000000,0))&amp;")"," (dari "&amp;INDEX(Transaksi!$C$1:$C$5015,ROUND(MOD(MOD(SMALL(Transaksi!$X$16:$X$5015,125),1),0.01)*10000000,0))&amp;")"),""))</f>
        <v/>
      </c>
      <c r="D134" s="137">
        <f>IF(125&gt;COUNT(Transaksi!$X$16:$X$5015),"",INDEX(Transaksi!$I$1:$I$5015,ROUND(MOD(MOD(SMALL(Transaksi!$X$16:$X$5015,125),1),0.01)*10000000,0)))</f>
        <v/>
      </c>
      <c r="E134" s="138">
        <f>IF(125&gt;COUNT(Transaksi!$X$16:$X$5015),"",IF(IF(INDEX(Transaksi!$C$1:$C$5015,ROUND(MOD(MOD(SMALL(Transaksi!$X$16:$X$5015,125),1),0.01)*10000000,0))=$C$4,IF(INDEX(Transaksi!$D$1:$D$5015,ROUND(MOD(MOD(SMALL(Transaksi!$X$16:$X$5015,125),1),0.01)*10000000,0))="Masuk",1,-1),1)&gt;0,INDEX(Transaksi!$F$1:$F$5015,ROUND(MOD(MOD(SMALL(Transaksi!$X$16:$X$5015,125),1),0.01)*10000000,0)),""))</f>
        <v/>
      </c>
      <c r="F134" s="139">
        <f>IF(125&gt;COUNT(Transaksi!$X$16:$X$5015),"",IF(IF(INDEX(Transaksi!$C$1:$C$5015,ROUND(MOD(MOD(SMALL(Transaksi!$X$16:$X$5015,125),1),0.01)*10000000,0))=$C$4,IF(INDEX(Transaksi!$D$1:$D$5015,ROUND(MOD(MOD(SMALL(Transaksi!$X$16:$X$5015,125),1),0.01)*10000000,0))="Masuk",1,-1),1)&lt;0,INDEX(Transaksi!$F$1:$F$5015,ROUND(MOD(MOD(SMALL(Transaksi!$X$16:$X$5015,125),1),0.01)*10000000,0)),""))</f>
        <v/>
      </c>
      <c r="G134" s="106">
        <f>IF(125&gt;COUNT(Transaksi!$X$16:$X$5015),"",N(G133)+N(E134)-N(F134))</f>
        <v/>
      </c>
      <c r="H134" s="137">
        <f>IF(125&gt;COUNT(Transaksi!$X$16:$X$5015),"",HYPERLINK("#Transaksi!B"&amp;A134,"Buka"))</f>
        <v/>
      </c>
    </row>
    <row r="135" ht="15" customHeight="1" s="94">
      <c r="A135" s="93">
        <f>IF(126&gt;COUNT(Transaksi!$X$16:$X$5015),"",ROUND(MOD(MOD(SMALL(Transaksi!$X$16:$X$5015,126),1),0.01)*10000000,0))</f>
        <v/>
      </c>
      <c r="B135" s="135">
        <f>IF(126&gt;COUNT(Transaksi!$X$16:$X$5015),"",IF(126=1,INDEX(Transaksi!$B$1:$B$5015,ROUND(MOD(MOD(SMALL(Transaksi!$X$16:$X$5015,126),1),0.01)*10000000,0)),IF(INDEX(Transaksi!$B$1:$B$5015,ROUND(MOD(MOD(SMALL(Transaksi!$X$16:$X$5015,126),1),0.01)*10000000,0))=INDEX(Transaksi!$B$1:$B$5015,A134),"",INDEX(Transaksi!$B$1:$B$5015,ROUND(MOD(MOD(SMALL(Transaksi!$X$16:$X$5015,126),1),0.01)*10000000,0)))))</f>
        <v/>
      </c>
      <c r="C135" s="136">
        <f>IF(126&gt;COUNT(Transaksi!$X$16:$X$5015),"",INDEX(Transaksi!$J$1:$J$5015,ROUND(MOD(MOD(SMALL(Transaksi!$X$16:$X$5015,126),1),0.01)*10000000,0))&amp;IF(INDEX(Transaksi!$D$1:$D$5015,ROUND(MOD(MOD(SMALL(Transaksi!$X$16:$X$5015,126),1),0.01)*10000000,0))="Pindah",IF(INDEX(Transaksi!$C$1:$C$5015,ROUND(MOD(MOD(SMALL(Transaksi!$X$16:$X$5015,126),1),0.01)*10000000,0))=$C$4," (ke "&amp;INDEX(Transaksi!$E$1:$E$5015,ROUND(MOD(MOD(SMALL(Transaksi!$X$16:$X$5015,126),1),0.01)*10000000,0))&amp;")"," (dari "&amp;INDEX(Transaksi!$C$1:$C$5015,ROUND(MOD(MOD(SMALL(Transaksi!$X$16:$X$5015,126),1),0.01)*10000000,0))&amp;")"),""))</f>
        <v/>
      </c>
      <c r="D135" s="137">
        <f>IF(126&gt;COUNT(Transaksi!$X$16:$X$5015),"",INDEX(Transaksi!$I$1:$I$5015,ROUND(MOD(MOD(SMALL(Transaksi!$X$16:$X$5015,126),1),0.01)*10000000,0)))</f>
        <v/>
      </c>
      <c r="E135" s="138">
        <f>IF(126&gt;COUNT(Transaksi!$X$16:$X$5015),"",IF(IF(INDEX(Transaksi!$C$1:$C$5015,ROUND(MOD(MOD(SMALL(Transaksi!$X$16:$X$5015,126),1),0.01)*10000000,0))=$C$4,IF(INDEX(Transaksi!$D$1:$D$5015,ROUND(MOD(MOD(SMALL(Transaksi!$X$16:$X$5015,126),1),0.01)*10000000,0))="Masuk",1,-1),1)&gt;0,INDEX(Transaksi!$F$1:$F$5015,ROUND(MOD(MOD(SMALL(Transaksi!$X$16:$X$5015,126),1),0.01)*10000000,0)),""))</f>
        <v/>
      </c>
      <c r="F135" s="139">
        <f>IF(126&gt;COUNT(Transaksi!$X$16:$X$5015),"",IF(IF(INDEX(Transaksi!$C$1:$C$5015,ROUND(MOD(MOD(SMALL(Transaksi!$X$16:$X$5015,126),1),0.01)*10000000,0))=$C$4,IF(INDEX(Transaksi!$D$1:$D$5015,ROUND(MOD(MOD(SMALL(Transaksi!$X$16:$X$5015,126),1),0.01)*10000000,0))="Masuk",1,-1),1)&lt;0,INDEX(Transaksi!$F$1:$F$5015,ROUND(MOD(MOD(SMALL(Transaksi!$X$16:$X$5015,126),1),0.01)*10000000,0)),""))</f>
        <v/>
      </c>
      <c r="G135" s="106">
        <f>IF(126&gt;COUNT(Transaksi!$X$16:$X$5015),"",N(G134)+N(E135)-N(F135))</f>
        <v/>
      </c>
      <c r="H135" s="137">
        <f>IF(126&gt;COUNT(Transaksi!$X$16:$X$5015),"",HYPERLINK("#Transaksi!B"&amp;A135,"Buka"))</f>
        <v/>
      </c>
    </row>
    <row r="136" ht="15" customHeight="1" s="94">
      <c r="A136" s="93">
        <f>IF(127&gt;COUNT(Transaksi!$X$16:$X$5015),"",ROUND(MOD(MOD(SMALL(Transaksi!$X$16:$X$5015,127),1),0.01)*10000000,0))</f>
        <v/>
      </c>
      <c r="B136" s="135">
        <f>IF(127&gt;COUNT(Transaksi!$X$16:$X$5015),"",IF(127=1,INDEX(Transaksi!$B$1:$B$5015,ROUND(MOD(MOD(SMALL(Transaksi!$X$16:$X$5015,127),1),0.01)*10000000,0)),IF(INDEX(Transaksi!$B$1:$B$5015,ROUND(MOD(MOD(SMALL(Transaksi!$X$16:$X$5015,127),1),0.01)*10000000,0))=INDEX(Transaksi!$B$1:$B$5015,A135),"",INDEX(Transaksi!$B$1:$B$5015,ROUND(MOD(MOD(SMALL(Transaksi!$X$16:$X$5015,127),1),0.01)*10000000,0)))))</f>
        <v/>
      </c>
      <c r="C136" s="136">
        <f>IF(127&gt;COUNT(Transaksi!$X$16:$X$5015),"",INDEX(Transaksi!$J$1:$J$5015,ROUND(MOD(MOD(SMALL(Transaksi!$X$16:$X$5015,127),1),0.01)*10000000,0))&amp;IF(INDEX(Transaksi!$D$1:$D$5015,ROUND(MOD(MOD(SMALL(Transaksi!$X$16:$X$5015,127),1),0.01)*10000000,0))="Pindah",IF(INDEX(Transaksi!$C$1:$C$5015,ROUND(MOD(MOD(SMALL(Transaksi!$X$16:$X$5015,127),1),0.01)*10000000,0))=$C$4," (ke "&amp;INDEX(Transaksi!$E$1:$E$5015,ROUND(MOD(MOD(SMALL(Transaksi!$X$16:$X$5015,127),1),0.01)*10000000,0))&amp;")"," (dari "&amp;INDEX(Transaksi!$C$1:$C$5015,ROUND(MOD(MOD(SMALL(Transaksi!$X$16:$X$5015,127),1),0.01)*10000000,0))&amp;")"),""))</f>
        <v/>
      </c>
      <c r="D136" s="137">
        <f>IF(127&gt;COUNT(Transaksi!$X$16:$X$5015),"",INDEX(Transaksi!$I$1:$I$5015,ROUND(MOD(MOD(SMALL(Transaksi!$X$16:$X$5015,127),1),0.01)*10000000,0)))</f>
        <v/>
      </c>
      <c r="E136" s="138">
        <f>IF(127&gt;COUNT(Transaksi!$X$16:$X$5015),"",IF(IF(INDEX(Transaksi!$C$1:$C$5015,ROUND(MOD(MOD(SMALL(Transaksi!$X$16:$X$5015,127),1),0.01)*10000000,0))=$C$4,IF(INDEX(Transaksi!$D$1:$D$5015,ROUND(MOD(MOD(SMALL(Transaksi!$X$16:$X$5015,127),1),0.01)*10000000,0))="Masuk",1,-1),1)&gt;0,INDEX(Transaksi!$F$1:$F$5015,ROUND(MOD(MOD(SMALL(Transaksi!$X$16:$X$5015,127),1),0.01)*10000000,0)),""))</f>
        <v/>
      </c>
      <c r="F136" s="139">
        <f>IF(127&gt;COUNT(Transaksi!$X$16:$X$5015),"",IF(IF(INDEX(Transaksi!$C$1:$C$5015,ROUND(MOD(MOD(SMALL(Transaksi!$X$16:$X$5015,127),1),0.01)*10000000,0))=$C$4,IF(INDEX(Transaksi!$D$1:$D$5015,ROUND(MOD(MOD(SMALL(Transaksi!$X$16:$X$5015,127),1),0.01)*10000000,0))="Masuk",1,-1),1)&lt;0,INDEX(Transaksi!$F$1:$F$5015,ROUND(MOD(MOD(SMALL(Transaksi!$X$16:$X$5015,127),1),0.01)*10000000,0)),""))</f>
        <v/>
      </c>
      <c r="G136" s="106">
        <f>IF(127&gt;COUNT(Transaksi!$X$16:$X$5015),"",N(G135)+N(E136)-N(F136))</f>
        <v/>
      </c>
      <c r="H136" s="137">
        <f>IF(127&gt;COUNT(Transaksi!$X$16:$X$5015),"",HYPERLINK("#Transaksi!B"&amp;A136,"Buka"))</f>
        <v/>
      </c>
    </row>
    <row r="137" ht="15" customHeight="1" s="94">
      <c r="A137" s="93">
        <f>IF(128&gt;COUNT(Transaksi!$X$16:$X$5015),"",ROUND(MOD(MOD(SMALL(Transaksi!$X$16:$X$5015,128),1),0.01)*10000000,0))</f>
        <v/>
      </c>
      <c r="B137" s="135">
        <f>IF(128&gt;COUNT(Transaksi!$X$16:$X$5015),"",IF(128=1,INDEX(Transaksi!$B$1:$B$5015,ROUND(MOD(MOD(SMALL(Transaksi!$X$16:$X$5015,128),1),0.01)*10000000,0)),IF(INDEX(Transaksi!$B$1:$B$5015,ROUND(MOD(MOD(SMALL(Transaksi!$X$16:$X$5015,128),1),0.01)*10000000,0))=INDEX(Transaksi!$B$1:$B$5015,A136),"",INDEX(Transaksi!$B$1:$B$5015,ROUND(MOD(MOD(SMALL(Transaksi!$X$16:$X$5015,128),1),0.01)*10000000,0)))))</f>
        <v/>
      </c>
      <c r="C137" s="136">
        <f>IF(128&gt;COUNT(Transaksi!$X$16:$X$5015),"",INDEX(Transaksi!$J$1:$J$5015,ROUND(MOD(MOD(SMALL(Transaksi!$X$16:$X$5015,128),1),0.01)*10000000,0))&amp;IF(INDEX(Transaksi!$D$1:$D$5015,ROUND(MOD(MOD(SMALL(Transaksi!$X$16:$X$5015,128),1),0.01)*10000000,0))="Pindah",IF(INDEX(Transaksi!$C$1:$C$5015,ROUND(MOD(MOD(SMALL(Transaksi!$X$16:$X$5015,128),1),0.01)*10000000,0))=$C$4," (ke "&amp;INDEX(Transaksi!$E$1:$E$5015,ROUND(MOD(MOD(SMALL(Transaksi!$X$16:$X$5015,128),1),0.01)*10000000,0))&amp;")"," (dari "&amp;INDEX(Transaksi!$C$1:$C$5015,ROUND(MOD(MOD(SMALL(Transaksi!$X$16:$X$5015,128),1),0.01)*10000000,0))&amp;")"),""))</f>
        <v/>
      </c>
      <c r="D137" s="137">
        <f>IF(128&gt;COUNT(Transaksi!$X$16:$X$5015),"",INDEX(Transaksi!$I$1:$I$5015,ROUND(MOD(MOD(SMALL(Transaksi!$X$16:$X$5015,128),1),0.01)*10000000,0)))</f>
        <v/>
      </c>
      <c r="E137" s="138">
        <f>IF(128&gt;COUNT(Transaksi!$X$16:$X$5015),"",IF(IF(INDEX(Transaksi!$C$1:$C$5015,ROUND(MOD(MOD(SMALL(Transaksi!$X$16:$X$5015,128),1),0.01)*10000000,0))=$C$4,IF(INDEX(Transaksi!$D$1:$D$5015,ROUND(MOD(MOD(SMALL(Transaksi!$X$16:$X$5015,128),1),0.01)*10000000,0))="Masuk",1,-1),1)&gt;0,INDEX(Transaksi!$F$1:$F$5015,ROUND(MOD(MOD(SMALL(Transaksi!$X$16:$X$5015,128),1),0.01)*10000000,0)),""))</f>
        <v/>
      </c>
      <c r="F137" s="139">
        <f>IF(128&gt;COUNT(Transaksi!$X$16:$X$5015),"",IF(IF(INDEX(Transaksi!$C$1:$C$5015,ROUND(MOD(MOD(SMALL(Transaksi!$X$16:$X$5015,128),1),0.01)*10000000,0))=$C$4,IF(INDEX(Transaksi!$D$1:$D$5015,ROUND(MOD(MOD(SMALL(Transaksi!$X$16:$X$5015,128),1),0.01)*10000000,0))="Masuk",1,-1),1)&lt;0,INDEX(Transaksi!$F$1:$F$5015,ROUND(MOD(MOD(SMALL(Transaksi!$X$16:$X$5015,128),1),0.01)*10000000,0)),""))</f>
        <v/>
      </c>
      <c r="G137" s="106">
        <f>IF(128&gt;COUNT(Transaksi!$X$16:$X$5015),"",N(G136)+N(E137)-N(F137))</f>
        <v/>
      </c>
      <c r="H137" s="137">
        <f>IF(128&gt;COUNT(Transaksi!$X$16:$X$5015),"",HYPERLINK("#Transaksi!B"&amp;A137,"Buka"))</f>
        <v/>
      </c>
    </row>
    <row r="138" ht="15" customHeight="1" s="94">
      <c r="A138" s="93">
        <f>IF(129&gt;COUNT(Transaksi!$X$16:$X$5015),"",ROUND(MOD(MOD(SMALL(Transaksi!$X$16:$X$5015,129),1),0.01)*10000000,0))</f>
        <v/>
      </c>
      <c r="B138" s="135">
        <f>IF(129&gt;COUNT(Transaksi!$X$16:$X$5015),"",IF(129=1,INDEX(Transaksi!$B$1:$B$5015,ROUND(MOD(MOD(SMALL(Transaksi!$X$16:$X$5015,129),1),0.01)*10000000,0)),IF(INDEX(Transaksi!$B$1:$B$5015,ROUND(MOD(MOD(SMALL(Transaksi!$X$16:$X$5015,129),1),0.01)*10000000,0))=INDEX(Transaksi!$B$1:$B$5015,A137),"",INDEX(Transaksi!$B$1:$B$5015,ROUND(MOD(MOD(SMALL(Transaksi!$X$16:$X$5015,129),1),0.01)*10000000,0)))))</f>
        <v/>
      </c>
      <c r="C138" s="136">
        <f>IF(129&gt;COUNT(Transaksi!$X$16:$X$5015),"",INDEX(Transaksi!$J$1:$J$5015,ROUND(MOD(MOD(SMALL(Transaksi!$X$16:$X$5015,129),1),0.01)*10000000,0))&amp;IF(INDEX(Transaksi!$D$1:$D$5015,ROUND(MOD(MOD(SMALL(Transaksi!$X$16:$X$5015,129),1),0.01)*10000000,0))="Pindah",IF(INDEX(Transaksi!$C$1:$C$5015,ROUND(MOD(MOD(SMALL(Transaksi!$X$16:$X$5015,129),1),0.01)*10000000,0))=$C$4," (ke "&amp;INDEX(Transaksi!$E$1:$E$5015,ROUND(MOD(MOD(SMALL(Transaksi!$X$16:$X$5015,129),1),0.01)*10000000,0))&amp;")"," (dari "&amp;INDEX(Transaksi!$C$1:$C$5015,ROUND(MOD(MOD(SMALL(Transaksi!$X$16:$X$5015,129),1),0.01)*10000000,0))&amp;")"),""))</f>
        <v/>
      </c>
      <c r="D138" s="137">
        <f>IF(129&gt;COUNT(Transaksi!$X$16:$X$5015),"",INDEX(Transaksi!$I$1:$I$5015,ROUND(MOD(MOD(SMALL(Transaksi!$X$16:$X$5015,129),1),0.01)*10000000,0)))</f>
        <v/>
      </c>
      <c r="E138" s="138">
        <f>IF(129&gt;COUNT(Transaksi!$X$16:$X$5015),"",IF(IF(INDEX(Transaksi!$C$1:$C$5015,ROUND(MOD(MOD(SMALL(Transaksi!$X$16:$X$5015,129),1),0.01)*10000000,0))=$C$4,IF(INDEX(Transaksi!$D$1:$D$5015,ROUND(MOD(MOD(SMALL(Transaksi!$X$16:$X$5015,129),1),0.01)*10000000,0))="Masuk",1,-1),1)&gt;0,INDEX(Transaksi!$F$1:$F$5015,ROUND(MOD(MOD(SMALL(Transaksi!$X$16:$X$5015,129),1),0.01)*10000000,0)),""))</f>
        <v/>
      </c>
      <c r="F138" s="139">
        <f>IF(129&gt;COUNT(Transaksi!$X$16:$X$5015),"",IF(IF(INDEX(Transaksi!$C$1:$C$5015,ROUND(MOD(MOD(SMALL(Transaksi!$X$16:$X$5015,129),1),0.01)*10000000,0))=$C$4,IF(INDEX(Transaksi!$D$1:$D$5015,ROUND(MOD(MOD(SMALL(Transaksi!$X$16:$X$5015,129),1),0.01)*10000000,0))="Masuk",1,-1),1)&lt;0,INDEX(Transaksi!$F$1:$F$5015,ROUND(MOD(MOD(SMALL(Transaksi!$X$16:$X$5015,129),1),0.01)*10000000,0)),""))</f>
        <v/>
      </c>
      <c r="G138" s="106">
        <f>IF(129&gt;COUNT(Transaksi!$X$16:$X$5015),"",N(G137)+N(E138)-N(F138))</f>
        <v/>
      </c>
      <c r="H138" s="137">
        <f>IF(129&gt;COUNT(Transaksi!$X$16:$X$5015),"",HYPERLINK("#Transaksi!B"&amp;A138,"Buka"))</f>
        <v/>
      </c>
    </row>
    <row r="139" ht="15" customHeight="1" s="94">
      <c r="A139" s="93">
        <f>IF(130&gt;COUNT(Transaksi!$X$16:$X$5015),"",ROUND(MOD(MOD(SMALL(Transaksi!$X$16:$X$5015,130),1),0.01)*10000000,0))</f>
        <v/>
      </c>
      <c r="B139" s="135">
        <f>IF(130&gt;COUNT(Transaksi!$X$16:$X$5015),"",IF(130=1,INDEX(Transaksi!$B$1:$B$5015,ROUND(MOD(MOD(SMALL(Transaksi!$X$16:$X$5015,130),1),0.01)*10000000,0)),IF(INDEX(Transaksi!$B$1:$B$5015,ROUND(MOD(MOD(SMALL(Transaksi!$X$16:$X$5015,130),1),0.01)*10000000,0))=INDEX(Transaksi!$B$1:$B$5015,A138),"",INDEX(Transaksi!$B$1:$B$5015,ROUND(MOD(MOD(SMALL(Transaksi!$X$16:$X$5015,130),1),0.01)*10000000,0)))))</f>
        <v/>
      </c>
      <c r="C139" s="136">
        <f>IF(130&gt;COUNT(Transaksi!$X$16:$X$5015),"",INDEX(Transaksi!$J$1:$J$5015,ROUND(MOD(MOD(SMALL(Transaksi!$X$16:$X$5015,130),1),0.01)*10000000,0))&amp;IF(INDEX(Transaksi!$D$1:$D$5015,ROUND(MOD(MOD(SMALL(Transaksi!$X$16:$X$5015,130),1),0.01)*10000000,0))="Pindah",IF(INDEX(Transaksi!$C$1:$C$5015,ROUND(MOD(MOD(SMALL(Transaksi!$X$16:$X$5015,130),1),0.01)*10000000,0))=$C$4," (ke "&amp;INDEX(Transaksi!$E$1:$E$5015,ROUND(MOD(MOD(SMALL(Transaksi!$X$16:$X$5015,130),1),0.01)*10000000,0))&amp;")"," (dari "&amp;INDEX(Transaksi!$C$1:$C$5015,ROUND(MOD(MOD(SMALL(Transaksi!$X$16:$X$5015,130),1),0.01)*10000000,0))&amp;")"),""))</f>
        <v/>
      </c>
      <c r="D139" s="137">
        <f>IF(130&gt;COUNT(Transaksi!$X$16:$X$5015),"",INDEX(Transaksi!$I$1:$I$5015,ROUND(MOD(MOD(SMALL(Transaksi!$X$16:$X$5015,130),1),0.01)*10000000,0)))</f>
        <v/>
      </c>
      <c r="E139" s="138">
        <f>IF(130&gt;COUNT(Transaksi!$X$16:$X$5015),"",IF(IF(INDEX(Transaksi!$C$1:$C$5015,ROUND(MOD(MOD(SMALL(Transaksi!$X$16:$X$5015,130),1),0.01)*10000000,0))=$C$4,IF(INDEX(Transaksi!$D$1:$D$5015,ROUND(MOD(MOD(SMALL(Transaksi!$X$16:$X$5015,130),1),0.01)*10000000,0))="Masuk",1,-1),1)&gt;0,INDEX(Transaksi!$F$1:$F$5015,ROUND(MOD(MOD(SMALL(Transaksi!$X$16:$X$5015,130),1),0.01)*10000000,0)),""))</f>
        <v/>
      </c>
      <c r="F139" s="139">
        <f>IF(130&gt;COUNT(Transaksi!$X$16:$X$5015),"",IF(IF(INDEX(Transaksi!$C$1:$C$5015,ROUND(MOD(MOD(SMALL(Transaksi!$X$16:$X$5015,130),1),0.01)*10000000,0))=$C$4,IF(INDEX(Transaksi!$D$1:$D$5015,ROUND(MOD(MOD(SMALL(Transaksi!$X$16:$X$5015,130),1),0.01)*10000000,0))="Masuk",1,-1),1)&lt;0,INDEX(Transaksi!$F$1:$F$5015,ROUND(MOD(MOD(SMALL(Transaksi!$X$16:$X$5015,130),1),0.01)*10000000,0)),""))</f>
        <v/>
      </c>
      <c r="G139" s="106">
        <f>IF(130&gt;COUNT(Transaksi!$X$16:$X$5015),"",N(G138)+N(E139)-N(F139))</f>
        <v/>
      </c>
      <c r="H139" s="137">
        <f>IF(130&gt;COUNT(Transaksi!$X$16:$X$5015),"",HYPERLINK("#Transaksi!B"&amp;A139,"Buka"))</f>
        <v/>
      </c>
    </row>
    <row r="140" ht="15" customHeight="1" s="94">
      <c r="A140" s="93">
        <f>IF(131&gt;COUNT(Transaksi!$X$16:$X$5015),"",ROUND(MOD(MOD(SMALL(Transaksi!$X$16:$X$5015,131),1),0.01)*10000000,0))</f>
        <v/>
      </c>
      <c r="B140" s="135">
        <f>IF(131&gt;COUNT(Transaksi!$X$16:$X$5015),"",IF(131=1,INDEX(Transaksi!$B$1:$B$5015,ROUND(MOD(MOD(SMALL(Transaksi!$X$16:$X$5015,131),1),0.01)*10000000,0)),IF(INDEX(Transaksi!$B$1:$B$5015,ROUND(MOD(MOD(SMALL(Transaksi!$X$16:$X$5015,131),1),0.01)*10000000,0))=INDEX(Transaksi!$B$1:$B$5015,A139),"",INDEX(Transaksi!$B$1:$B$5015,ROUND(MOD(MOD(SMALL(Transaksi!$X$16:$X$5015,131),1),0.01)*10000000,0)))))</f>
        <v/>
      </c>
      <c r="C140" s="136">
        <f>IF(131&gt;COUNT(Transaksi!$X$16:$X$5015),"",INDEX(Transaksi!$J$1:$J$5015,ROUND(MOD(MOD(SMALL(Transaksi!$X$16:$X$5015,131),1),0.01)*10000000,0))&amp;IF(INDEX(Transaksi!$D$1:$D$5015,ROUND(MOD(MOD(SMALL(Transaksi!$X$16:$X$5015,131),1),0.01)*10000000,0))="Pindah",IF(INDEX(Transaksi!$C$1:$C$5015,ROUND(MOD(MOD(SMALL(Transaksi!$X$16:$X$5015,131),1),0.01)*10000000,0))=$C$4," (ke "&amp;INDEX(Transaksi!$E$1:$E$5015,ROUND(MOD(MOD(SMALL(Transaksi!$X$16:$X$5015,131),1),0.01)*10000000,0))&amp;")"," (dari "&amp;INDEX(Transaksi!$C$1:$C$5015,ROUND(MOD(MOD(SMALL(Transaksi!$X$16:$X$5015,131),1),0.01)*10000000,0))&amp;")"),""))</f>
        <v/>
      </c>
      <c r="D140" s="137">
        <f>IF(131&gt;COUNT(Transaksi!$X$16:$X$5015),"",INDEX(Transaksi!$I$1:$I$5015,ROUND(MOD(MOD(SMALL(Transaksi!$X$16:$X$5015,131),1),0.01)*10000000,0)))</f>
        <v/>
      </c>
      <c r="E140" s="138">
        <f>IF(131&gt;COUNT(Transaksi!$X$16:$X$5015),"",IF(IF(INDEX(Transaksi!$C$1:$C$5015,ROUND(MOD(MOD(SMALL(Transaksi!$X$16:$X$5015,131),1),0.01)*10000000,0))=$C$4,IF(INDEX(Transaksi!$D$1:$D$5015,ROUND(MOD(MOD(SMALL(Transaksi!$X$16:$X$5015,131),1),0.01)*10000000,0))="Masuk",1,-1),1)&gt;0,INDEX(Transaksi!$F$1:$F$5015,ROUND(MOD(MOD(SMALL(Transaksi!$X$16:$X$5015,131),1),0.01)*10000000,0)),""))</f>
        <v/>
      </c>
      <c r="F140" s="139">
        <f>IF(131&gt;COUNT(Transaksi!$X$16:$X$5015),"",IF(IF(INDEX(Transaksi!$C$1:$C$5015,ROUND(MOD(MOD(SMALL(Transaksi!$X$16:$X$5015,131),1),0.01)*10000000,0))=$C$4,IF(INDEX(Transaksi!$D$1:$D$5015,ROUND(MOD(MOD(SMALL(Transaksi!$X$16:$X$5015,131),1),0.01)*10000000,0))="Masuk",1,-1),1)&lt;0,INDEX(Transaksi!$F$1:$F$5015,ROUND(MOD(MOD(SMALL(Transaksi!$X$16:$X$5015,131),1),0.01)*10000000,0)),""))</f>
        <v/>
      </c>
      <c r="G140" s="106">
        <f>IF(131&gt;COUNT(Transaksi!$X$16:$X$5015),"",N(G139)+N(E140)-N(F140))</f>
        <v/>
      </c>
      <c r="H140" s="137">
        <f>IF(131&gt;COUNT(Transaksi!$X$16:$X$5015),"",HYPERLINK("#Transaksi!B"&amp;A140,"Buka"))</f>
        <v/>
      </c>
    </row>
    <row r="141" ht="15" customHeight="1" s="94">
      <c r="A141" s="93">
        <f>IF(132&gt;COUNT(Transaksi!$X$16:$X$5015),"",ROUND(MOD(MOD(SMALL(Transaksi!$X$16:$X$5015,132),1),0.01)*10000000,0))</f>
        <v/>
      </c>
      <c r="B141" s="135">
        <f>IF(132&gt;COUNT(Transaksi!$X$16:$X$5015),"",IF(132=1,INDEX(Transaksi!$B$1:$B$5015,ROUND(MOD(MOD(SMALL(Transaksi!$X$16:$X$5015,132),1),0.01)*10000000,0)),IF(INDEX(Transaksi!$B$1:$B$5015,ROUND(MOD(MOD(SMALL(Transaksi!$X$16:$X$5015,132),1),0.01)*10000000,0))=INDEX(Transaksi!$B$1:$B$5015,A140),"",INDEX(Transaksi!$B$1:$B$5015,ROUND(MOD(MOD(SMALL(Transaksi!$X$16:$X$5015,132),1),0.01)*10000000,0)))))</f>
        <v/>
      </c>
      <c r="C141" s="136">
        <f>IF(132&gt;COUNT(Transaksi!$X$16:$X$5015),"",INDEX(Transaksi!$J$1:$J$5015,ROUND(MOD(MOD(SMALL(Transaksi!$X$16:$X$5015,132),1),0.01)*10000000,0))&amp;IF(INDEX(Transaksi!$D$1:$D$5015,ROUND(MOD(MOD(SMALL(Transaksi!$X$16:$X$5015,132),1),0.01)*10000000,0))="Pindah",IF(INDEX(Transaksi!$C$1:$C$5015,ROUND(MOD(MOD(SMALL(Transaksi!$X$16:$X$5015,132),1),0.01)*10000000,0))=$C$4," (ke "&amp;INDEX(Transaksi!$E$1:$E$5015,ROUND(MOD(MOD(SMALL(Transaksi!$X$16:$X$5015,132),1),0.01)*10000000,0))&amp;")"," (dari "&amp;INDEX(Transaksi!$C$1:$C$5015,ROUND(MOD(MOD(SMALL(Transaksi!$X$16:$X$5015,132),1),0.01)*10000000,0))&amp;")"),""))</f>
        <v/>
      </c>
      <c r="D141" s="137">
        <f>IF(132&gt;COUNT(Transaksi!$X$16:$X$5015),"",INDEX(Transaksi!$I$1:$I$5015,ROUND(MOD(MOD(SMALL(Transaksi!$X$16:$X$5015,132),1),0.01)*10000000,0)))</f>
        <v/>
      </c>
      <c r="E141" s="138">
        <f>IF(132&gt;COUNT(Transaksi!$X$16:$X$5015),"",IF(IF(INDEX(Transaksi!$C$1:$C$5015,ROUND(MOD(MOD(SMALL(Transaksi!$X$16:$X$5015,132),1),0.01)*10000000,0))=$C$4,IF(INDEX(Transaksi!$D$1:$D$5015,ROUND(MOD(MOD(SMALL(Transaksi!$X$16:$X$5015,132),1),0.01)*10000000,0))="Masuk",1,-1),1)&gt;0,INDEX(Transaksi!$F$1:$F$5015,ROUND(MOD(MOD(SMALL(Transaksi!$X$16:$X$5015,132),1),0.01)*10000000,0)),""))</f>
        <v/>
      </c>
      <c r="F141" s="139">
        <f>IF(132&gt;COUNT(Transaksi!$X$16:$X$5015),"",IF(IF(INDEX(Transaksi!$C$1:$C$5015,ROUND(MOD(MOD(SMALL(Transaksi!$X$16:$X$5015,132),1),0.01)*10000000,0))=$C$4,IF(INDEX(Transaksi!$D$1:$D$5015,ROUND(MOD(MOD(SMALL(Transaksi!$X$16:$X$5015,132),1),0.01)*10000000,0))="Masuk",1,-1),1)&lt;0,INDEX(Transaksi!$F$1:$F$5015,ROUND(MOD(MOD(SMALL(Transaksi!$X$16:$X$5015,132),1),0.01)*10000000,0)),""))</f>
        <v/>
      </c>
      <c r="G141" s="106">
        <f>IF(132&gt;COUNT(Transaksi!$X$16:$X$5015),"",N(G140)+N(E141)-N(F141))</f>
        <v/>
      </c>
      <c r="H141" s="137">
        <f>IF(132&gt;COUNT(Transaksi!$X$16:$X$5015),"",HYPERLINK("#Transaksi!B"&amp;A141,"Buka"))</f>
        <v/>
      </c>
    </row>
    <row r="142" ht="15" customHeight="1" s="94">
      <c r="A142" s="93">
        <f>IF(133&gt;COUNT(Transaksi!$X$16:$X$5015),"",ROUND(MOD(MOD(SMALL(Transaksi!$X$16:$X$5015,133),1),0.01)*10000000,0))</f>
        <v/>
      </c>
      <c r="B142" s="135">
        <f>IF(133&gt;COUNT(Transaksi!$X$16:$X$5015),"",IF(133=1,INDEX(Transaksi!$B$1:$B$5015,ROUND(MOD(MOD(SMALL(Transaksi!$X$16:$X$5015,133),1),0.01)*10000000,0)),IF(INDEX(Transaksi!$B$1:$B$5015,ROUND(MOD(MOD(SMALL(Transaksi!$X$16:$X$5015,133),1),0.01)*10000000,0))=INDEX(Transaksi!$B$1:$B$5015,A141),"",INDEX(Transaksi!$B$1:$B$5015,ROUND(MOD(MOD(SMALL(Transaksi!$X$16:$X$5015,133),1),0.01)*10000000,0)))))</f>
        <v/>
      </c>
      <c r="C142" s="136">
        <f>IF(133&gt;COUNT(Transaksi!$X$16:$X$5015),"",INDEX(Transaksi!$J$1:$J$5015,ROUND(MOD(MOD(SMALL(Transaksi!$X$16:$X$5015,133),1),0.01)*10000000,0))&amp;IF(INDEX(Transaksi!$D$1:$D$5015,ROUND(MOD(MOD(SMALL(Transaksi!$X$16:$X$5015,133),1),0.01)*10000000,0))="Pindah",IF(INDEX(Transaksi!$C$1:$C$5015,ROUND(MOD(MOD(SMALL(Transaksi!$X$16:$X$5015,133),1),0.01)*10000000,0))=$C$4," (ke "&amp;INDEX(Transaksi!$E$1:$E$5015,ROUND(MOD(MOD(SMALL(Transaksi!$X$16:$X$5015,133),1),0.01)*10000000,0))&amp;")"," (dari "&amp;INDEX(Transaksi!$C$1:$C$5015,ROUND(MOD(MOD(SMALL(Transaksi!$X$16:$X$5015,133),1),0.01)*10000000,0))&amp;")"),""))</f>
        <v/>
      </c>
      <c r="D142" s="137">
        <f>IF(133&gt;COUNT(Transaksi!$X$16:$X$5015),"",INDEX(Transaksi!$I$1:$I$5015,ROUND(MOD(MOD(SMALL(Transaksi!$X$16:$X$5015,133),1),0.01)*10000000,0)))</f>
        <v/>
      </c>
      <c r="E142" s="138">
        <f>IF(133&gt;COUNT(Transaksi!$X$16:$X$5015),"",IF(IF(INDEX(Transaksi!$C$1:$C$5015,ROUND(MOD(MOD(SMALL(Transaksi!$X$16:$X$5015,133),1),0.01)*10000000,0))=$C$4,IF(INDEX(Transaksi!$D$1:$D$5015,ROUND(MOD(MOD(SMALL(Transaksi!$X$16:$X$5015,133),1),0.01)*10000000,0))="Masuk",1,-1),1)&gt;0,INDEX(Transaksi!$F$1:$F$5015,ROUND(MOD(MOD(SMALL(Transaksi!$X$16:$X$5015,133),1),0.01)*10000000,0)),""))</f>
        <v/>
      </c>
      <c r="F142" s="139">
        <f>IF(133&gt;COUNT(Transaksi!$X$16:$X$5015),"",IF(IF(INDEX(Transaksi!$C$1:$C$5015,ROUND(MOD(MOD(SMALL(Transaksi!$X$16:$X$5015,133),1),0.01)*10000000,0))=$C$4,IF(INDEX(Transaksi!$D$1:$D$5015,ROUND(MOD(MOD(SMALL(Transaksi!$X$16:$X$5015,133),1),0.01)*10000000,0))="Masuk",1,-1),1)&lt;0,INDEX(Transaksi!$F$1:$F$5015,ROUND(MOD(MOD(SMALL(Transaksi!$X$16:$X$5015,133),1),0.01)*10000000,0)),""))</f>
        <v/>
      </c>
      <c r="G142" s="106">
        <f>IF(133&gt;COUNT(Transaksi!$X$16:$X$5015),"",N(G141)+N(E142)-N(F142))</f>
        <v/>
      </c>
      <c r="H142" s="137">
        <f>IF(133&gt;COUNT(Transaksi!$X$16:$X$5015),"",HYPERLINK("#Transaksi!B"&amp;A142,"Buka"))</f>
        <v/>
      </c>
    </row>
    <row r="143" ht="15" customHeight="1" s="94">
      <c r="A143" s="93">
        <f>IF(134&gt;COUNT(Transaksi!$X$16:$X$5015),"",ROUND(MOD(MOD(SMALL(Transaksi!$X$16:$X$5015,134),1),0.01)*10000000,0))</f>
        <v/>
      </c>
      <c r="B143" s="135">
        <f>IF(134&gt;COUNT(Transaksi!$X$16:$X$5015),"",IF(134=1,INDEX(Transaksi!$B$1:$B$5015,ROUND(MOD(MOD(SMALL(Transaksi!$X$16:$X$5015,134),1),0.01)*10000000,0)),IF(INDEX(Transaksi!$B$1:$B$5015,ROUND(MOD(MOD(SMALL(Transaksi!$X$16:$X$5015,134),1),0.01)*10000000,0))=INDEX(Transaksi!$B$1:$B$5015,A142),"",INDEX(Transaksi!$B$1:$B$5015,ROUND(MOD(MOD(SMALL(Transaksi!$X$16:$X$5015,134),1),0.01)*10000000,0)))))</f>
        <v/>
      </c>
      <c r="C143" s="136">
        <f>IF(134&gt;COUNT(Transaksi!$X$16:$X$5015),"",INDEX(Transaksi!$J$1:$J$5015,ROUND(MOD(MOD(SMALL(Transaksi!$X$16:$X$5015,134),1),0.01)*10000000,0))&amp;IF(INDEX(Transaksi!$D$1:$D$5015,ROUND(MOD(MOD(SMALL(Transaksi!$X$16:$X$5015,134),1),0.01)*10000000,0))="Pindah",IF(INDEX(Transaksi!$C$1:$C$5015,ROUND(MOD(MOD(SMALL(Transaksi!$X$16:$X$5015,134),1),0.01)*10000000,0))=$C$4," (ke "&amp;INDEX(Transaksi!$E$1:$E$5015,ROUND(MOD(MOD(SMALL(Transaksi!$X$16:$X$5015,134),1),0.01)*10000000,0))&amp;")"," (dari "&amp;INDEX(Transaksi!$C$1:$C$5015,ROUND(MOD(MOD(SMALL(Transaksi!$X$16:$X$5015,134),1),0.01)*10000000,0))&amp;")"),""))</f>
        <v/>
      </c>
      <c r="D143" s="137">
        <f>IF(134&gt;COUNT(Transaksi!$X$16:$X$5015),"",INDEX(Transaksi!$I$1:$I$5015,ROUND(MOD(MOD(SMALL(Transaksi!$X$16:$X$5015,134),1),0.01)*10000000,0)))</f>
        <v/>
      </c>
      <c r="E143" s="138">
        <f>IF(134&gt;COUNT(Transaksi!$X$16:$X$5015),"",IF(IF(INDEX(Transaksi!$C$1:$C$5015,ROUND(MOD(MOD(SMALL(Transaksi!$X$16:$X$5015,134),1),0.01)*10000000,0))=$C$4,IF(INDEX(Transaksi!$D$1:$D$5015,ROUND(MOD(MOD(SMALL(Transaksi!$X$16:$X$5015,134),1),0.01)*10000000,0))="Masuk",1,-1),1)&gt;0,INDEX(Transaksi!$F$1:$F$5015,ROUND(MOD(MOD(SMALL(Transaksi!$X$16:$X$5015,134),1),0.01)*10000000,0)),""))</f>
        <v/>
      </c>
      <c r="F143" s="139">
        <f>IF(134&gt;COUNT(Transaksi!$X$16:$X$5015),"",IF(IF(INDEX(Transaksi!$C$1:$C$5015,ROUND(MOD(MOD(SMALL(Transaksi!$X$16:$X$5015,134),1),0.01)*10000000,0))=$C$4,IF(INDEX(Transaksi!$D$1:$D$5015,ROUND(MOD(MOD(SMALL(Transaksi!$X$16:$X$5015,134),1),0.01)*10000000,0))="Masuk",1,-1),1)&lt;0,INDEX(Transaksi!$F$1:$F$5015,ROUND(MOD(MOD(SMALL(Transaksi!$X$16:$X$5015,134),1),0.01)*10000000,0)),""))</f>
        <v/>
      </c>
      <c r="G143" s="106">
        <f>IF(134&gt;COUNT(Transaksi!$X$16:$X$5015),"",N(G142)+N(E143)-N(F143))</f>
        <v/>
      </c>
      <c r="H143" s="137">
        <f>IF(134&gt;COUNT(Transaksi!$X$16:$X$5015),"",HYPERLINK("#Transaksi!B"&amp;A143,"Buka"))</f>
        <v/>
      </c>
    </row>
    <row r="144" ht="15" customHeight="1" s="94">
      <c r="A144" s="93">
        <f>IF(135&gt;COUNT(Transaksi!$X$16:$X$5015),"",ROUND(MOD(MOD(SMALL(Transaksi!$X$16:$X$5015,135),1),0.01)*10000000,0))</f>
        <v/>
      </c>
      <c r="B144" s="135">
        <f>IF(135&gt;COUNT(Transaksi!$X$16:$X$5015),"",IF(135=1,INDEX(Transaksi!$B$1:$B$5015,ROUND(MOD(MOD(SMALL(Transaksi!$X$16:$X$5015,135),1),0.01)*10000000,0)),IF(INDEX(Transaksi!$B$1:$B$5015,ROUND(MOD(MOD(SMALL(Transaksi!$X$16:$X$5015,135),1),0.01)*10000000,0))=INDEX(Transaksi!$B$1:$B$5015,A143),"",INDEX(Transaksi!$B$1:$B$5015,ROUND(MOD(MOD(SMALL(Transaksi!$X$16:$X$5015,135),1),0.01)*10000000,0)))))</f>
        <v/>
      </c>
      <c r="C144" s="136">
        <f>IF(135&gt;COUNT(Transaksi!$X$16:$X$5015),"",INDEX(Transaksi!$J$1:$J$5015,ROUND(MOD(MOD(SMALL(Transaksi!$X$16:$X$5015,135),1),0.01)*10000000,0))&amp;IF(INDEX(Transaksi!$D$1:$D$5015,ROUND(MOD(MOD(SMALL(Transaksi!$X$16:$X$5015,135),1),0.01)*10000000,0))="Pindah",IF(INDEX(Transaksi!$C$1:$C$5015,ROUND(MOD(MOD(SMALL(Transaksi!$X$16:$X$5015,135),1),0.01)*10000000,0))=$C$4," (ke "&amp;INDEX(Transaksi!$E$1:$E$5015,ROUND(MOD(MOD(SMALL(Transaksi!$X$16:$X$5015,135),1),0.01)*10000000,0))&amp;")"," (dari "&amp;INDEX(Transaksi!$C$1:$C$5015,ROUND(MOD(MOD(SMALL(Transaksi!$X$16:$X$5015,135),1),0.01)*10000000,0))&amp;")"),""))</f>
        <v/>
      </c>
      <c r="D144" s="137">
        <f>IF(135&gt;COUNT(Transaksi!$X$16:$X$5015),"",INDEX(Transaksi!$I$1:$I$5015,ROUND(MOD(MOD(SMALL(Transaksi!$X$16:$X$5015,135),1),0.01)*10000000,0)))</f>
        <v/>
      </c>
      <c r="E144" s="138">
        <f>IF(135&gt;COUNT(Transaksi!$X$16:$X$5015),"",IF(IF(INDEX(Transaksi!$C$1:$C$5015,ROUND(MOD(MOD(SMALL(Transaksi!$X$16:$X$5015,135),1),0.01)*10000000,0))=$C$4,IF(INDEX(Transaksi!$D$1:$D$5015,ROUND(MOD(MOD(SMALL(Transaksi!$X$16:$X$5015,135),1),0.01)*10000000,0))="Masuk",1,-1),1)&gt;0,INDEX(Transaksi!$F$1:$F$5015,ROUND(MOD(MOD(SMALL(Transaksi!$X$16:$X$5015,135),1),0.01)*10000000,0)),""))</f>
        <v/>
      </c>
      <c r="F144" s="139">
        <f>IF(135&gt;COUNT(Transaksi!$X$16:$X$5015),"",IF(IF(INDEX(Transaksi!$C$1:$C$5015,ROUND(MOD(MOD(SMALL(Transaksi!$X$16:$X$5015,135),1),0.01)*10000000,0))=$C$4,IF(INDEX(Transaksi!$D$1:$D$5015,ROUND(MOD(MOD(SMALL(Transaksi!$X$16:$X$5015,135),1),0.01)*10000000,0))="Masuk",1,-1),1)&lt;0,INDEX(Transaksi!$F$1:$F$5015,ROUND(MOD(MOD(SMALL(Transaksi!$X$16:$X$5015,135),1),0.01)*10000000,0)),""))</f>
        <v/>
      </c>
      <c r="G144" s="106">
        <f>IF(135&gt;COUNT(Transaksi!$X$16:$X$5015),"",N(G143)+N(E144)-N(F144))</f>
        <v/>
      </c>
      <c r="H144" s="137">
        <f>IF(135&gt;COUNT(Transaksi!$X$16:$X$5015),"",HYPERLINK("#Transaksi!B"&amp;A144,"Buka"))</f>
        <v/>
      </c>
    </row>
    <row r="145" ht="15" customHeight="1" s="94">
      <c r="A145" s="93">
        <f>IF(136&gt;COUNT(Transaksi!$X$16:$X$5015),"",ROUND(MOD(MOD(SMALL(Transaksi!$X$16:$X$5015,136),1),0.01)*10000000,0))</f>
        <v/>
      </c>
      <c r="B145" s="135">
        <f>IF(136&gt;COUNT(Transaksi!$X$16:$X$5015),"",IF(136=1,INDEX(Transaksi!$B$1:$B$5015,ROUND(MOD(MOD(SMALL(Transaksi!$X$16:$X$5015,136),1),0.01)*10000000,0)),IF(INDEX(Transaksi!$B$1:$B$5015,ROUND(MOD(MOD(SMALL(Transaksi!$X$16:$X$5015,136),1),0.01)*10000000,0))=INDEX(Transaksi!$B$1:$B$5015,A144),"",INDEX(Transaksi!$B$1:$B$5015,ROUND(MOD(MOD(SMALL(Transaksi!$X$16:$X$5015,136),1),0.01)*10000000,0)))))</f>
        <v/>
      </c>
      <c r="C145" s="136">
        <f>IF(136&gt;COUNT(Transaksi!$X$16:$X$5015),"",INDEX(Transaksi!$J$1:$J$5015,ROUND(MOD(MOD(SMALL(Transaksi!$X$16:$X$5015,136),1),0.01)*10000000,0))&amp;IF(INDEX(Transaksi!$D$1:$D$5015,ROUND(MOD(MOD(SMALL(Transaksi!$X$16:$X$5015,136),1),0.01)*10000000,0))="Pindah",IF(INDEX(Transaksi!$C$1:$C$5015,ROUND(MOD(MOD(SMALL(Transaksi!$X$16:$X$5015,136),1),0.01)*10000000,0))=$C$4," (ke "&amp;INDEX(Transaksi!$E$1:$E$5015,ROUND(MOD(MOD(SMALL(Transaksi!$X$16:$X$5015,136),1),0.01)*10000000,0))&amp;")"," (dari "&amp;INDEX(Transaksi!$C$1:$C$5015,ROUND(MOD(MOD(SMALL(Transaksi!$X$16:$X$5015,136),1),0.01)*10000000,0))&amp;")"),""))</f>
        <v/>
      </c>
      <c r="D145" s="137">
        <f>IF(136&gt;COUNT(Transaksi!$X$16:$X$5015),"",INDEX(Transaksi!$I$1:$I$5015,ROUND(MOD(MOD(SMALL(Transaksi!$X$16:$X$5015,136),1),0.01)*10000000,0)))</f>
        <v/>
      </c>
      <c r="E145" s="138">
        <f>IF(136&gt;COUNT(Transaksi!$X$16:$X$5015),"",IF(IF(INDEX(Transaksi!$C$1:$C$5015,ROUND(MOD(MOD(SMALL(Transaksi!$X$16:$X$5015,136),1),0.01)*10000000,0))=$C$4,IF(INDEX(Transaksi!$D$1:$D$5015,ROUND(MOD(MOD(SMALL(Transaksi!$X$16:$X$5015,136),1),0.01)*10000000,0))="Masuk",1,-1),1)&gt;0,INDEX(Transaksi!$F$1:$F$5015,ROUND(MOD(MOD(SMALL(Transaksi!$X$16:$X$5015,136),1),0.01)*10000000,0)),""))</f>
        <v/>
      </c>
      <c r="F145" s="139">
        <f>IF(136&gt;COUNT(Transaksi!$X$16:$X$5015),"",IF(IF(INDEX(Transaksi!$C$1:$C$5015,ROUND(MOD(MOD(SMALL(Transaksi!$X$16:$X$5015,136),1),0.01)*10000000,0))=$C$4,IF(INDEX(Transaksi!$D$1:$D$5015,ROUND(MOD(MOD(SMALL(Transaksi!$X$16:$X$5015,136),1),0.01)*10000000,0))="Masuk",1,-1),1)&lt;0,INDEX(Transaksi!$F$1:$F$5015,ROUND(MOD(MOD(SMALL(Transaksi!$X$16:$X$5015,136),1),0.01)*10000000,0)),""))</f>
        <v/>
      </c>
      <c r="G145" s="106">
        <f>IF(136&gt;COUNT(Transaksi!$X$16:$X$5015),"",N(G144)+N(E145)-N(F145))</f>
        <v/>
      </c>
      <c r="H145" s="137">
        <f>IF(136&gt;COUNT(Transaksi!$X$16:$X$5015),"",HYPERLINK("#Transaksi!B"&amp;A145,"Buka"))</f>
        <v/>
      </c>
    </row>
    <row r="146" ht="15" customHeight="1" s="94">
      <c r="A146" s="93">
        <f>IF(137&gt;COUNT(Transaksi!$X$16:$X$5015),"",ROUND(MOD(MOD(SMALL(Transaksi!$X$16:$X$5015,137),1),0.01)*10000000,0))</f>
        <v/>
      </c>
      <c r="B146" s="135">
        <f>IF(137&gt;COUNT(Transaksi!$X$16:$X$5015),"",IF(137=1,INDEX(Transaksi!$B$1:$B$5015,ROUND(MOD(MOD(SMALL(Transaksi!$X$16:$X$5015,137),1),0.01)*10000000,0)),IF(INDEX(Transaksi!$B$1:$B$5015,ROUND(MOD(MOD(SMALL(Transaksi!$X$16:$X$5015,137),1),0.01)*10000000,0))=INDEX(Transaksi!$B$1:$B$5015,A145),"",INDEX(Transaksi!$B$1:$B$5015,ROUND(MOD(MOD(SMALL(Transaksi!$X$16:$X$5015,137),1),0.01)*10000000,0)))))</f>
        <v/>
      </c>
      <c r="C146" s="136">
        <f>IF(137&gt;COUNT(Transaksi!$X$16:$X$5015),"",INDEX(Transaksi!$J$1:$J$5015,ROUND(MOD(MOD(SMALL(Transaksi!$X$16:$X$5015,137),1),0.01)*10000000,0))&amp;IF(INDEX(Transaksi!$D$1:$D$5015,ROUND(MOD(MOD(SMALL(Transaksi!$X$16:$X$5015,137),1),0.01)*10000000,0))="Pindah",IF(INDEX(Transaksi!$C$1:$C$5015,ROUND(MOD(MOD(SMALL(Transaksi!$X$16:$X$5015,137),1),0.01)*10000000,0))=$C$4," (ke "&amp;INDEX(Transaksi!$E$1:$E$5015,ROUND(MOD(MOD(SMALL(Transaksi!$X$16:$X$5015,137),1),0.01)*10000000,0))&amp;")"," (dari "&amp;INDEX(Transaksi!$C$1:$C$5015,ROUND(MOD(MOD(SMALL(Transaksi!$X$16:$X$5015,137),1),0.01)*10000000,0))&amp;")"),""))</f>
        <v/>
      </c>
      <c r="D146" s="137">
        <f>IF(137&gt;COUNT(Transaksi!$X$16:$X$5015),"",INDEX(Transaksi!$I$1:$I$5015,ROUND(MOD(MOD(SMALL(Transaksi!$X$16:$X$5015,137),1),0.01)*10000000,0)))</f>
        <v/>
      </c>
      <c r="E146" s="138">
        <f>IF(137&gt;COUNT(Transaksi!$X$16:$X$5015),"",IF(IF(INDEX(Transaksi!$C$1:$C$5015,ROUND(MOD(MOD(SMALL(Transaksi!$X$16:$X$5015,137),1),0.01)*10000000,0))=$C$4,IF(INDEX(Transaksi!$D$1:$D$5015,ROUND(MOD(MOD(SMALL(Transaksi!$X$16:$X$5015,137),1),0.01)*10000000,0))="Masuk",1,-1),1)&gt;0,INDEX(Transaksi!$F$1:$F$5015,ROUND(MOD(MOD(SMALL(Transaksi!$X$16:$X$5015,137),1),0.01)*10000000,0)),""))</f>
        <v/>
      </c>
      <c r="F146" s="139">
        <f>IF(137&gt;COUNT(Transaksi!$X$16:$X$5015),"",IF(IF(INDEX(Transaksi!$C$1:$C$5015,ROUND(MOD(MOD(SMALL(Transaksi!$X$16:$X$5015,137),1),0.01)*10000000,0))=$C$4,IF(INDEX(Transaksi!$D$1:$D$5015,ROUND(MOD(MOD(SMALL(Transaksi!$X$16:$X$5015,137),1),0.01)*10000000,0))="Masuk",1,-1),1)&lt;0,INDEX(Transaksi!$F$1:$F$5015,ROUND(MOD(MOD(SMALL(Transaksi!$X$16:$X$5015,137),1),0.01)*10000000,0)),""))</f>
        <v/>
      </c>
      <c r="G146" s="106">
        <f>IF(137&gt;COUNT(Transaksi!$X$16:$X$5015),"",N(G145)+N(E146)-N(F146))</f>
        <v/>
      </c>
      <c r="H146" s="137">
        <f>IF(137&gt;COUNT(Transaksi!$X$16:$X$5015),"",HYPERLINK("#Transaksi!B"&amp;A146,"Buka"))</f>
        <v/>
      </c>
    </row>
    <row r="147" ht="15" customHeight="1" s="94">
      <c r="A147" s="93">
        <f>IF(138&gt;COUNT(Transaksi!$X$16:$X$5015),"",ROUND(MOD(MOD(SMALL(Transaksi!$X$16:$X$5015,138),1),0.01)*10000000,0))</f>
        <v/>
      </c>
      <c r="B147" s="135">
        <f>IF(138&gt;COUNT(Transaksi!$X$16:$X$5015),"",IF(138=1,INDEX(Transaksi!$B$1:$B$5015,ROUND(MOD(MOD(SMALL(Transaksi!$X$16:$X$5015,138),1),0.01)*10000000,0)),IF(INDEX(Transaksi!$B$1:$B$5015,ROUND(MOD(MOD(SMALL(Transaksi!$X$16:$X$5015,138),1),0.01)*10000000,0))=INDEX(Transaksi!$B$1:$B$5015,A146),"",INDEX(Transaksi!$B$1:$B$5015,ROUND(MOD(MOD(SMALL(Transaksi!$X$16:$X$5015,138),1),0.01)*10000000,0)))))</f>
        <v/>
      </c>
      <c r="C147" s="136">
        <f>IF(138&gt;COUNT(Transaksi!$X$16:$X$5015),"",INDEX(Transaksi!$J$1:$J$5015,ROUND(MOD(MOD(SMALL(Transaksi!$X$16:$X$5015,138),1),0.01)*10000000,0))&amp;IF(INDEX(Transaksi!$D$1:$D$5015,ROUND(MOD(MOD(SMALL(Transaksi!$X$16:$X$5015,138),1),0.01)*10000000,0))="Pindah",IF(INDEX(Transaksi!$C$1:$C$5015,ROUND(MOD(MOD(SMALL(Transaksi!$X$16:$X$5015,138),1),0.01)*10000000,0))=$C$4," (ke "&amp;INDEX(Transaksi!$E$1:$E$5015,ROUND(MOD(MOD(SMALL(Transaksi!$X$16:$X$5015,138),1),0.01)*10000000,0))&amp;")"," (dari "&amp;INDEX(Transaksi!$C$1:$C$5015,ROUND(MOD(MOD(SMALL(Transaksi!$X$16:$X$5015,138),1),0.01)*10000000,0))&amp;")"),""))</f>
        <v/>
      </c>
      <c r="D147" s="137">
        <f>IF(138&gt;COUNT(Transaksi!$X$16:$X$5015),"",INDEX(Transaksi!$I$1:$I$5015,ROUND(MOD(MOD(SMALL(Transaksi!$X$16:$X$5015,138),1),0.01)*10000000,0)))</f>
        <v/>
      </c>
      <c r="E147" s="138">
        <f>IF(138&gt;COUNT(Transaksi!$X$16:$X$5015),"",IF(IF(INDEX(Transaksi!$C$1:$C$5015,ROUND(MOD(MOD(SMALL(Transaksi!$X$16:$X$5015,138),1),0.01)*10000000,0))=$C$4,IF(INDEX(Transaksi!$D$1:$D$5015,ROUND(MOD(MOD(SMALL(Transaksi!$X$16:$X$5015,138),1),0.01)*10000000,0))="Masuk",1,-1),1)&gt;0,INDEX(Transaksi!$F$1:$F$5015,ROUND(MOD(MOD(SMALL(Transaksi!$X$16:$X$5015,138),1),0.01)*10000000,0)),""))</f>
        <v/>
      </c>
      <c r="F147" s="139">
        <f>IF(138&gt;COUNT(Transaksi!$X$16:$X$5015),"",IF(IF(INDEX(Transaksi!$C$1:$C$5015,ROUND(MOD(MOD(SMALL(Transaksi!$X$16:$X$5015,138),1),0.01)*10000000,0))=$C$4,IF(INDEX(Transaksi!$D$1:$D$5015,ROUND(MOD(MOD(SMALL(Transaksi!$X$16:$X$5015,138),1),0.01)*10000000,0))="Masuk",1,-1),1)&lt;0,INDEX(Transaksi!$F$1:$F$5015,ROUND(MOD(MOD(SMALL(Transaksi!$X$16:$X$5015,138),1),0.01)*10000000,0)),""))</f>
        <v/>
      </c>
      <c r="G147" s="106">
        <f>IF(138&gt;COUNT(Transaksi!$X$16:$X$5015),"",N(G146)+N(E147)-N(F147))</f>
        <v/>
      </c>
      <c r="H147" s="137">
        <f>IF(138&gt;COUNT(Transaksi!$X$16:$X$5015),"",HYPERLINK("#Transaksi!B"&amp;A147,"Buka"))</f>
        <v/>
      </c>
    </row>
    <row r="148" ht="15" customHeight="1" s="94">
      <c r="A148" s="93">
        <f>IF(139&gt;COUNT(Transaksi!$X$16:$X$5015),"",ROUND(MOD(MOD(SMALL(Transaksi!$X$16:$X$5015,139),1),0.01)*10000000,0))</f>
        <v/>
      </c>
      <c r="B148" s="135">
        <f>IF(139&gt;COUNT(Transaksi!$X$16:$X$5015),"",IF(139=1,INDEX(Transaksi!$B$1:$B$5015,ROUND(MOD(MOD(SMALL(Transaksi!$X$16:$X$5015,139),1),0.01)*10000000,0)),IF(INDEX(Transaksi!$B$1:$B$5015,ROUND(MOD(MOD(SMALL(Transaksi!$X$16:$X$5015,139),1),0.01)*10000000,0))=INDEX(Transaksi!$B$1:$B$5015,A147),"",INDEX(Transaksi!$B$1:$B$5015,ROUND(MOD(MOD(SMALL(Transaksi!$X$16:$X$5015,139),1),0.01)*10000000,0)))))</f>
        <v/>
      </c>
      <c r="C148" s="136">
        <f>IF(139&gt;COUNT(Transaksi!$X$16:$X$5015),"",INDEX(Transaksi!$J$1:$J$5015,ROUND(MOD(MOD(SMALL(Transaksi!$X$16:$X$5015,139),1),0.01)*10000000,0))&amp;IF(INDEX(Transaksi!$D$1:$D$5015,ROUND(MOD(MOD(SMALL(Transaksi!$X$16:$X$5015,139),1),0.01)*10000000,0))="Pindah",IF(INDEX(Transaksi!$C$1:$C$5015,ROUND(MOD(MOD(SMALL(Transaksi!$X$16:$X$5015,139),1),0.01)*10000000,0))=$C$4," (ke "&amp;INDEX(Transaksi!$E$1:$E$5015,ROUND(MOD(MOD(SMALL(Transaksi!$X$16:$X$5015,139),1),0.01)*10000000,0))&amp;")"," (dari "&amp;INDEX(Transaksi!$C$1:$C$5015,ROUND(MOD(MOD(SMALL(Transaksi!$X$16:$X$5015,139),1),0.01)*10000000,0))&amp;")"),""))</f>
        <v/>
      </c>
      <c r="D148" s="137">
        <f>IF(139&gt;COUNT(Transaksi!$X$16:$X$5015),"",INDEX(Transaksi!$I$1:$I$5015,ROUND(MOD(MOD(SMALL(Transaksi!$X$16:$X$5015,139),1),0.01)*10000000,0)))</f>
        <v/>
      </c>
      <c r="E148" s="138">
        <f>IF(139&gt;COUNT(Transaksi!$X$16:$X$5015),"",IF(IF(INDEX(Transaksi!$C$1:$C$5015,ROUND(MOD(MOD(SMALL(Transaksi!$X$16:$X$5015,139),1),0.01)*10000000,0))=$C$4,IF(INDEX(Transaksi!$D$1:$D$5015,ROUND(MOD(MOD(SMALL(Transaksi!$X$16:$X$5015,139),1),0.01)*10000000,0))="Masuk",1,-1),1)&gt;0,INDEX(Transaksi!$F$1:$F$5015,ROUND(MOD(MOD(SMALL(Transaksi!$X$16:$X$5015,139),1),0.01)*10000000,0)),""))</f>
        <v/>
      </c>
      <c r="F148" s="139">
        <f>IF(139&gt;COUNT(Transaksi!$X$16:$X$5015),"",IF(IF(INDEX(Transaksi!$C$1:$C$5015,ROUND(MOD(MOD(SMALL(Transaksi!$X$16:$X$5015,139),1),0.01)*10000000,0))=$C$4,IF(INDEX(Transaksi!$D$1:$D$5015,ROUND(MOD(MOD(SMALL(Transaksi!$X$16:$X$5015,139),1),0.01)*10000000,0))="Masuk",1,-1),1)&lt;0,INDEX(Transaksi!$F$1:$F$5015,ROUND(MOD(MOD(SMALL(Transaksi!$X$16:$X$5015,139),1),0.01)*10000000,0)),""))</f>
        <v/>
      </c>
      <c r="G148" s="106">
        <f>IF(139&gt;COUNT(Transaksi!$X$16:$X$5015),"",N(G147)+N(E148)-N(F148))</f>
        <v/>
      </c>
      <c r="H148" s="137">
        <f>IF(139&gt;COUNT(Transaksi!$X$16:$X$5015),"",HYPERLINK("#Transaksi!B"&amp;A148,"Buka"))</f>
        <v/>
      </c>
    </row>
    <row r="149" ht="15" customHeight="1" s="94">
      <c r="A149" s="93">
        <f>IF(140&gt;COUNT(Transaksi!$X$16:$X$5015),"",ROUND(MOD(MOD(SMALL(Transaksi!$X$16:$X$5015,140),1),0.01)*10000000,0))</f>
        <v/>
      </c>
      <c r="B149" s="135">
        <f>IF(140&gt;COUNT(Transaksi!$X$16:$X$5015),"",IF(140=1,INDEX(Transaksi!$B$1:$B$5015,ROUND(MOD(MOD(SMALL(Transaksi!$X$16:$X$5015,140),1),0.01)*10000000,0)),IF(INDEX(Transaksi!$B$1:$B$5015,ROUND(MOD(MOD(SMALL(Transaksi!$X$16:$X$5015,140),1),0.01)*10000000,0))=INDEX(Transaksi!$B$1:$B$5015,A148),"",INDEX(Transaksi!$B$1:$B$5015,ROUND(MOD(MOD(SMALL(Transaksi!$X$16:$X$5015,140),1),0.01)*10000000,0)))))</f>
        <v/>
      </c>
      <c r="C149" s="136">
        <f>IF(140&gt;COUNT(Transaksi!$X$16:$X$5015),"",INDEX(Transaksi!$J$1:$J$5015,ROUND(MOD(MOD(SMALL(Transaksi!$X$16:$X$5015,140),1),0.01)*10000000,0))&amp;IF(INDEX(Transaksi!$D$1:$D$5015,ROUND(MOD(MOD(SMALL(Transaksi!$X$16:$X$5015,140),1),0.01)*10000000,0))="Pindah",IF(INDEX(Transaksi!$C$1:$C$5015,ROUND(MOD(MOD(SMALL(Transaksi!$X$16:$X$5015,140),1),0.01)*10000000,0))=$C$4," (ke "&amp;INDEX(Transaksi!$E$1:$E$5015,ROUND(MOD(MOD(SMALL(Transaksi!$X$16:$X$5015,140),1),0.01)*10000000,0))&amp;")"," (dari "&amp;INDEX(Transaksi!$C$1:$C$5015,ROUND(MOD(MOD(SMALL(Transaksi!$X$16:$X$5015,140),1),0.01)*10000000,0))&amp;")"),""))</f>
        <v/>
      </c>
      <c r="D149" s="137">
        <f>IF(140&gt;COUNT(Transaksi!$X$16:$X$5015),"",INDEX(Transaksi!$I$1:$I$5015,ROUND(MOD(MOD(SMALL(Transaksi!$X$16:$X$5015,140),1),0.01)*10000000,0)))</f>
        <v/>
      </c>
      <c r="E149" s="138">
        <f>IF(140&gt;COUNT(Transaksi!$X$16:$X$5015),"",IF(IF(INDEX(Transaksi!$C$1:$C$5015,ROUND(MOD(MOD(SMALL(Transaksi!$X$16:$X$5015,140),1),0.01)*10000000,0))=$C$4,IF(INDEX(Transaksi!$D$1:$D$5015,ROUND(MOD(MOD(SMALL(Transaksi!$X$16:$X$5015,140),1),0.01)*10000000,0))="Masuk",1,-1),1)&gt;0,INDEX(Transaksi!$F$1:$F$5015,ROUND(MOD(MOD(SMALL(Transaksi!$X$16:$X$5015,140),1),0.01)*10000000,0)),""))</f>
        <v/>
      </c>
      <c r="F149" s="139">
        <f>IF(140&gt;COUNT(Transaksi!$X$16:$X$5015),"",IF(IF(INDEX(Transaksi!$C$1:$C$5015,ROUND(MOD(MOD(SMALL(Transaksi!$X$16:$X$5015,140),1),0.01)*10000000,0))=$C$4,IF(INDEX(Transaksi!$D$1:$D$5015,ROUND(MOD(MOD(SMALL(Transaksi!$X$16:$X$5015,140),1),0.01)*10000000,0))="Masuk",1,-1),1)&lt;0,INDEX(Transaksi!$F$1:$F$5015,ROUND(MOD(MOD(SMALL(Transaksi!$X$16:$X$5015,140),1),0.01)*10000000,0)),""))</f>
        <v/>
      </c>
      <c r="G149" s="106">
        <f>IF(140&gt;COUNT(Transaksi!$X$16:$X$5015),"",N(G148)+N(E149)-N(F149))</f>
        <v/>
      </c>
      <c r="H149" s="137">
        <f>IF(140&gt;COUNT(Transaksi!$X$16:$X$5015),"",HYPERLINK("#Transaksi!B"&amp;A149,"Buka"))</f>
        <v/>
      </c>
    </row>
    <row r="150" ht="15" customHeight="1" s="94">
      <c r="A150" s="93">
        <f>IF(141&gt;COUNT(Transaksi!$X$16:$X$5015),"",ROUND(MOD(MOD(SMALL(Transaksi!$X$16:$X$5015,141),1),0.01)*10000000,0))</f>
        <v/>
      </c>
      <c r="B150" s="135">
        <f>IF(141&gt;COUNT(Transaksi!$X$16:$X$5015),"",IF(141=1,INDEX(Transaksi!$B$1:$B$5015,ROUND(MOD(MOD(SMALL(Transaksi!$X$16:$X$5015,141),1),0.01)*10000000,0)),IF(INDEX(Transaksi!$B$1:$B$5015,ROUND(MOD(MOD(SMALL(Transaksi!$X$16:$X$5015,141),1),0.01)*10000000,0))=INDEX(Transaksi!$B$1:$B$5015,A149),"",INDEX(Transaksi!$B$1:$B$5015,ROUND(MOD(MOD(SMALL(Transaksi!$X$16:$X$5015,141),1),0.01)*10000000,0)))))</f>
        <v/>
      </c>
      <c r="C150" s="136">
        <f>IF(141&gt;COUNT(Transaksi!$X$16:$X$5015),"",INDEX(Transaksi!$J$1:$J$5015,ROUND(MOD(MOD(SMALL(Transaksi!$X$16:$X$5015,141),1),0.01)*10000000,0))&amp;IF(INDEX(Transaksi!$D$1:$D$5015,ROUND(MOD(MOD(SMALL(Transaksi!$X$16:$X$5015,141),1),0.01)*10000000,0))="Pindah",IF(INDEX(Transaksi!$C$1:$C$5015,ROUND(MOD(MOD(SMALL(Transaksi!$X$16:$X$5015,141),1),0.01)*10000000,0))=$C$4," (ke "&amp;INDEX(Transaksi!$E$1:$E$5015,ROUND(MOD(MOD(SMALL(Transaksi!$X$16:$X$5015,141),1),0.01)*10000000,0))&amp;")"," (dari "&amp;INDEX(Transaksi!$C$1:$C$5015,ROUND(MOD(MOD(SMALL(Transaksi!$X$16:$X$5015,141),1),0.01)*10000000,0))&amp;")"),""))</f>
        <v/>
      </c>
      <c r="D150" s="137">
        <f>IF(141&gt;COUNT(Transaksi!$X$16:$X$5015),"",INDEX(Transaksi!$I$1:$I$5015,ROUND(MOD(MOD(SMALL(Transaksi!$X$16:$X$5015,141),1),0.01)*10000000,0)))</f>
        <v/>
      </c>
      <c r="E150" s="138">
        <f>IF(141&gt;COUNT(Transaksi!$X$16:$X$5015),"",IF(IF(INDEX(Transaksi!$C$1:$C$5015,ROUND(MOD(MOD(SMALL(Transaksi!$X$16:$X$5015,141),1),0.01)*10000000,0))=$C$4,IF(INDEX(Transaksi!$D$1:$D$5015,ROUND(MOD(MOD(SMALL(Transaksi!$X$16:$X$5015,141),1),0.01)*10000000,0))="Masuk",1,-1),1)&gt;0,INDEX(Transaksi!$F$1:$F$5015,ROUND(MOD(MOD(SMALL(Transaksi!$X$16:$X$5015,141),1),0.01)*10000000,0)),""))</f>
        <v/>
      </c>
      <c r="F150" s="139">
        <f>IF(141&gt;COUNT(Transaksi!$X$16:$X$5015),"",IF(IF(INDEX(Transaksi!$C$1:$C$5015,ROUND(MOD(MOD(SMALL(Transaksi!$X$16:$X$5015,141),1),0.01)*10000000,0))=$C$4,IF(INDEX(Transaksi!$D$1:$D$5015,ROUND(MOD(MOD(SMALL(Transaksi!$X$16:$X$5015,141),1),0.01)*10000000,0))="Masuk",1,-1),1)&lt;0,INDEX(Transaksi!$F$1:$F$5015,ROUND(MOD(MOD(SMALL(Transaksi!$X$16:$X$5015,141),1),0.01)*10000000,0)),""))</f>
        <v/>
      </c>
      <c r="G150" s="106">
        <f>IF(141&gt;COUNT(Transaksi!$X$16:$X$5015),"",N(G149)+N(E150)-N(F150))</f>
        <v/>
      </c>
      <c r="H150" s="137">
        <f>IF(141&gt;COUNT(Transaksi!$X$16:$X$5015),"",HYPERLINK("#Transaksi!B"&amp;A150,"Buka"))</f>
        <v/>
      </c>
    </row>
    <row r="151" ht="15" customHeight="1" s="94">
      <c r="A151" s="93">
        <f>IF(142&gt;COUNT(Transaksi!$X$16:$X$5015),"",ROUND(MOD(MOD(SMALL(Transaksi!$X$16:$X$5015,142),1),0.01)*10000000,0))</f>
        <v/>
      </c>
      <c r="B151" s="135">
        <f>IF(142&gt;COUNT(Transaksi!$X$16:$X$5015),"",IF(142=1,INDEX(Transaksi!$B$1:$B$5015,ROUND(MOD(MOD(SMALL(Transaksi!$X$16:$X$5015,142),1),0.01)*10000000,0)),IF(INDEX(Transaksi!$B$1:$B$5015,ROUND(MOD(MOD(SMALL(Transaksi!$X$16:$X$5015,142),1),0.01)*10000000,0))=INDEX(Transaksi!$B$1:$B$5015,A150),"",INDEX(Transaksi!$B$1:$B$5015,ROUND(MOD(MOD(SMALL(Transaksi!$X$16:$X$5015,142),1),0.01)*10000000,0)))))</f>
        <v/>
      </c>
      <c r="C151" s="136">
        <f>IF(142&gt;COUNT(Transaksi!$X$16:$X$5015),"",INDEX(Transaksi!$J$1:$J$5015,ROUND(MOD(MOD(SMALL(Transaksi!$X$16:$X$5015,142),1),0.01)*10000000,0))&amp;IF(INDEX(Transaksi!$D$1:$D$5015,ROUND(MOD(MOD(SMALL(Transaksi!$X$16:$X$5015,142),1),0.01)*10000000,0))="Pindah",IF(INDEX(Transaksi!$C$1:$C$5015,ROUND(MOD(MOD(SMALL(Transaksi!$X$16:$X$5015,142),1),0.01)*10000000,0))=$C$4," (ke "&amp;INDEX(Transaksi!$E$1:$E$5015,ROUND(MOD(MOD(SMALL(Transaksi!$X$16:$X$5015,142),1),0.01)*10000000,0))&amp;")"," (dari "&amp;INDEX(Transaksi!$C$1:$C$5015,ROUND(MOD(MOD(SMALL(Transaksi!$X$16:$X$5015,142),1),0.01)*10000000,0))&amp;")"),""))</f>
        <v/>
      </c>
      <c r="D151" s="137">
        <f>IF(142&gt;COUNT(Transaksi!$X$16:$X$5015),"",INDEX(Transaksi!$I$1:$I$5015,ROUND(MOD(MOD(SMALL(Transaksi!$X$16:$X$5015,142),1),0.01)*10000000,0)))</f>
        <v/>
      </c>
      <c r="E151" s="138">
        <f>IF(142&gt;COUNT(Transaksi!$X$16:$X$5015),"",IF(IF(INDEX(Transaksi!$C$1:$C$5015,ROUND(MOD(MOD(SMALL(Transaksi!$X$16:$X$5015,142),1),0.01)*10000000,0))=$C$4,IF(INDEX(Transaksi!$D$1:$D$5015,ROUND(MOD(MOD(SMALL(Transaksi!$X$16:$X$5015,142),1),0.01)*10000000,0))="Masuk",1,-1),1)&gt;0,INDEX(Transaksi!$F$1:$F$5015,ROUND(MOD(MOD(SMALL(Transaksi!$X$16:$X$5015,142),1),0.01)*10000000,0)),""))</f>
        <v/>
      </c>
      <c r="F151" s="139">
        <f>IF(142&gt;COUNT(Transaksi!$X$16:$X$5015),"",IF(IF(INDEX(Transaksi!$C$1:$C$5015,ROUND(MOD(MOD(SMALL(Transaksi!$X$16:$X$5015,142),1),0.01)*10000000,0))=$C$4,IF(INDEX(Transaksi!$D$1:$D$5015,ROUND(MOD(MOD(SMALL(Transaksi!$X$16:$X$5015,142),1),0.01)*10000000,0))="Masuk",1,-1),1)&lt;0,INDEX(Transaksi!$F$1:$F$5015,ROUND(MOD(MOD(SMALL(Transaksi!$X$16:$X$5015,142),1),0.01)*10000000,0)),""))</f>
        <v/>
      </c>
      <c r="G151" s="106">
        <f>IF(142&gt;COUNT(Transaksi!$X$16:$X$5015),"",N(G150)+N(E151)-N(F151))</f>
        <v/>
      </c>
      <c r="H151" s="137">
        <f>IF(142&gt;COUNT(Transaksi!$X$16:$X$5015),"",HYPERLINK("#Transaksi!B"&amp;A151,"Buka"))</f>
        <v/>
      </c>
    </row>
    <row r="152" ht="15" customHeight="1" s="94">
      <c r="A152" s="93">
        <f>IF(143&gt;COUNT(Transaksi!$X$16:$X$5015),"",ROUND(MOD(MOD(SMALL(Transaksi!$X$16:$X$5015,143),1),0.01)*10000000,0))</f>
        <v/>
      </c>
      <c r="B152" s="135">
        <f>IF(143&gt;COUNT(Transaksi!$X$16:$X$5015),"",IF(143=1,INDEX(Transaksi!$B$1:$B$5015,ROUND(MOD(MOD(SMALL(Transaksi!$X$16:$X$5015,143),1),0.01)*10000000,0)),IF(INDEX(Transaksi!$B$1:$B$5015,ROUND(MOD(MOD(SMALL(Transaksi!$X$16:$X$5015,143),1),0.01)*10000000,0))=INDEX(Transaksi!$B$1:$B$5015,A151),"",INDEX(Transaksi!$B$1:$B$5015,ROUND(MOD(MOD(SMALL(Transaksi!$X$16:$X$5015,143),1),0.01)*10000000,0)))))</f>
        <v/>
      </c>
      <c r="C152" s="136">
        <f>IF(143&gt;COUNT(Transaksi!$X$16:$X$5015),"",INDEX(Transaksi!$J$1:$J$5015,ROUND(MOD(MOD(SMALL(Transaksi!$X$16:$X$5015,143),1),0.01)*10000000,0))&amp;IF(INDEX(Transaksi!$D$1:$D$5015,ROUND(MOD(MOD(SMALL(Transaksi!$X$16:$X$5015,143),1),0.01)*10000000,0))="Pindah",IF(INDEX(Transaksi!$C$1:$C$5015,ROUND(MOD(MOD(SMALL(Transaksi!$X$16:$X$5015,143),1),0.01)*10000000,0))=$C$4," (ke "&amp;INDEX(Transaksi!$E$1:$E$5015,ROUND(MOD(MOD(SMALL(Transaksi!$X$16:$X$5015,143),1),0.01)*10000000,0))&amp;")"," (dari "&amp;INDEX(Transaksi!$C$1:$C$5015,ROUND(MOD(MOD(SMALL(Transaksi!$X$16:$X$5015,143),1),0.01)*10000000,0))&amp;")"),""))</f>
        <v/>
      </c>
      <c r="D152" s="137">
        <f>IF(143&gt;COUNT(Transaksi!$X$16:$X$5015),"",INDEX(Transaksi!$I$1:$I$5015,ROUND(MOD(MOD(SMALL(Transaksi!$X$16:$X$5015,143),1),0.01)*10000000,0)))</f>
        <v/>
      </c>
      <c r="E152" s="138">
        <f>IF(143&gt;COUNT(Transaksi!$X$16:$X$5015),"",IF(IF(INDEX(Transaksi!$C$1:$C$5015,ROUND(MOD(MOD(SMALL(Transaksi!$X$16:$X$5015,143),1),0.01)*10000000,0))=$C$4,IF(INDEX(Transaksi!$D$1:$D$5015,ROUND(MOD(MOD(SMALL(Transaksi!$X$16:$X$5015,143),1),0.01)*10000000,0))="Masuk",1,-1),1)&gt;0,INDEX(Transaksi!$F$1:$F$5015,ROUND(MOD(MOD(SMALL(Transaksi!$X$16:$X$5015,143),1),0.01)*10000000,0)),""))</f>
        <v/>
      </c>
      <c r="F152" s="139">
        <f>IF(143&gt;COUNT(Transaksi!$X$16:$X$5015),"",IF(IF(INDEX(Transaksi!$C$1:$C$5015,ROUND(MOD(MOD(SMALL(Transaksi!$X$16:$X$5015,143),1),0.01)*10000000,0))=$C$4,IF(INDEX(Transaksi!$D$1:$D$5015,ROUND(MOD(MOD(SMALL(Transaksi!$X$16:$X$5015,143),1),0.01)*10000000,0))="Masuk",1,-1),1)&lt;0,INDEX(Transaksi!$F$1:$F$5015,ROUND(MOD(MOD(SMALL(Transaksi!$X$16:$X$5015,143),1),0.01)*10000000,0)),""))</f>
        <v/>
      </c>
      <c r="G152" s="106">
        <f>IF(143&gt;COUNT(Transaksi!$X$16:$X$5015),"",N(G151)+N(E152)-N(F152))</f>
        <v/>
      </c>
      <c r="H152" s="137">
        <f>IF(143&gt;COUNT(Transaksi!$X$16:$X$5015),"",HYPERLINK("#Transaksi!B"&amp;A152,"Buka"))</f>
        <v/>
      </c>
    </row>
    <row r="153" ht="15" customHeight="1" s="94">
      <c r="A153" s="93">
        <f>IF(144&gt;COUNT(Transaksi!$X$16:$X$5015),"",ROUND(MOD(MOD(SMALL(Transaksi!$X$16:$X$5015,144),1),0.01)*10000000,0))</f>
        <v/>
      </c>
      <c r="B153" s="135">
        <f>IF(144&gt;COUNT(Transaksi!$X$16:$X$5015),"",IF(144=1,INDEX(Transaksi!$B$1:$B$5015,ROUND(MOD(MOD(SMALL(Transaksi!$X$16:$X$5015,144),1),0.01)*10000000,0)),IF(INDEX(Transaksi!$B$1:$B$5015,ROUND(MOD(MOD(SMALL(Transaksi!$X$16:$X$5015,144),1),0.01)*10000000,0))=INDEX(Transaksi!$B$1:$B$5015,A152),"",INDEX(Transaksi!$B$1:$B$5015,ROUND(MOD(MOD(SMALL(Transaksi!$X$16:$X$5015,144),1),0.01)*10000000,0)))))</f>
        <v/>
      </c>
      <c r="C153" s="136">
        <f>IF(144&gt;COUNT(Transaksi!$X$16:$X$5015),"",INDEX(Transaksi!$J$1:$J$5015,ROUND(MOD(MOD(SMALL(Transaksi!$X$16:$X$5015,144),1),0.01)*10000000,0))&amp;IF(INDEX(Transaksi!$D$1:$D$5015,ROUND(MOD(MOD(SMALL(Transaksi!$X$16:$X$5015,144),1),0.01)*10000000,0))="Pindah",IF(INDEX(Transaksi!$C$1:$C$5015,ROUND(MOD(MOD(SMALL(Transaksi!$X$16:$X$5015,144),1),0.01)*10000000,0))=$C$4," (ke "&amp;INDEX(Transaksi!$E$1:$E$5015,ROUND(MOD(MOD(SMALL(Transaksi!$X$16:$X$5015,144),1),0.01)*10000000,0))&amp;")"," (dari "&amp;INDEX(Transaksi!$C$1:$C$5015,ROUND(MOD(MOD(SMALL(Transaksi!$X$16:$X$5015,144),1),0.01)*10000000,0))&amp;")"),""))</f>
        <v/>
      </c>
      <c r="D153" s="137">
        <f>IF(144&gt;COUNT(Transaksi!$X$16:$X$5015),"",INDEX(Transaksi!$I$1:$I$5015,ROUND(MOD(MOD(SMALL(Transaksi!$X$16:$X$5015,144),1),0.01)*10000000,0)))</f>
        <v/>
      </c>
      <c r="E153" s="138">
        <f>IF(144&gt;COUNT(Transaksi!$X$16:$X$5015),"",IF(IF(INDEX(Transaksi!$C$1:$C$5015,ROUND(MOD(MOD(SMALL(Transaksi!$X$16:$X$5015,144),1),0.01)*10000000,0))=$C$4,IF(INDEX(Transaksi!$D$1:$D$5015,ROUND(MOD(MOD(SMALL(Transaksi!$X$16:$X$5015,144),1),0.01)*10000000,0))="Masuk",1,-1),1)&gt;0,INDEX(Transaksi!$F$1:$F$5015,ROUND(MOD(MOD(SMALL(Transaksi!$X$16:$X$5015,144),1),0.01)*10000000,0)),""))</f>
        <v/>
      </c>
      <c r="F153" s="139">
        <f>IF(144&gt;COUNT(Transaksi!$X$16:$X$5015),"",IF(IF(INDEX(Transaksi!$C$1:$C$5015,ROUND(MOD(MOD(SMALL(Transaksi!$X$16:$X$5015,144),1),0.01)*10000000,0))=$C$4,IF(INDEX(Transaksi!$D$1:$D$5015,ROUND(MOD(MOD(SMALL(Transaksi!$X$16:$X$5015,144),1),0.01)*10000000,0))="Masuk",1,-1),1)&lt;0,INDEX(Transaksi!$F$1:$F$5015,ROUND(MOD(MOD(SMALL(Transaksi!$X$16:$X$5015,144),1),0.01)*10000000,0)),""))</f>
        <v/>
      </c>
      <c r="G153" s="106">
        <f>IF(144&gt;COUNT(Transaksi!$X$16:$X$5015),"",N(G152)+N(E153)-N(F153))</f>
        <v/>
      </c>
      <c r="H153" s="137">
        <f>IF(144&gt;COUNT(Transaksi!$X$16:$X$5015),"",HYPERLINK("#Transaksi!B"&amp;A153,"Buka"))</f>
        <v/>
      </c>
    </row>
    <row r="154" ht="15" customHeight="1" s="94">
      <c r="A154" s="93">
        <f>IF(145&gt;COUNT(Transaksi!$X$16:$X$5015),"",ROUND(MOD(MOD(SMALL(Transaksi!$X$16:$X$5015,145),1),0.01)*10000000,0))</f>
        <v/>
      </c>
      <c r="B154" s="135">
        <f>IF(145&gt;COUNT(Transaksi!$X$16:$X$5015),"",IF(145=1,INDEX(Transaksi!$B$1:$B$5015,ROUND(MOD(MOD(SMALL(Transaksi!$X$16:$X$5015,145),1),0.01)*10000000,0)),IF(INDEX(Transaksi!$B$1:$B$5015,ROUND(MOD(MOD(SMALL(Transaksi!$X$16:$X$5015,145),1),0.01)*10000000,0))=INDEX(Transaksi!$B$1:$B$5015,A153),"",INDEX(Transaksi!$B$1:$B$5015,ROUND(MOD(MOD(SMALL(Transaksi!$X$16:$X$5015,145),1),0.01)*10000000,0)))))</f>
        <v/>
      </c>
      <c r="C154" s="136">
        <f>IF(145&gt;COUNT(Transaksi!$X$16:$X$5015),"",INDEX(Transaksi!$J$1:$J$5015,ROUND(MOD(MOD(SMALL(Transaksi!$X$16:$X$5015,145),1),0.01)*10000000,0))&amp;IF(INDEX(Transaksi!$D$1:$D$5015,ROUND(MOD(MOD(SMALL(Transaksi!$X$16:$X$5015,145),1),0.01)*10000000,0))="Pindah",IF(INDEX(Transaksi!$C$1:$C$5015,ROUND(MOD(MOD(SMALL(Transaksi!$X$16:$X$5015,145),1),0.01)*10000000,0))=$C$4," (ke "&amp;INDEX(Transaksi!$E$1:$E$5015,ROUND(MOD(MOD(SMALL(Transaksi!$X$16:$X$5015,145),1),0.01)*10000000,0))&amp;")"," (dari "&amp;INDEX(Transaksi!$C$1:$C$5015,ROUND(MOD(MOD(SMALL(Transaksi!$X$16:$X$5015,145),1),0.01)*10000000,0))&amp;")"),""))</f>
        <v/>
      </c>
      <c r="D154" s="137">
        <f>IF(145&gt;COUNT(Transaksi!$X$16:$X$5015),"",INDEX(Transaksi!$I$1:$I$5015,ROUND(MOD(MOD(SMALL(Transaksi!$X$16:$X$5015,145),1),0.01)*10000000,0)))</f>
        <v/>
      </c>
      <c r="E154" s="138">
        <f>IF(145&gt;COUNT(Transaksi!$X$16:$X$5015),"",IF(IF(INDEX(Transaksi!$C$1:$C$5015,ROUND(MOD(MOD(SMALL(Transaksi!$X$16:$X$5015,145),1),0.01)*10000000,0))=$C$4,IF(INDEX(Transaksi!$D$1:$D$5015,ROUND(MOD(MOD(SMALL(Transaksi!$X$16:$X$5015,145),1),0.01)*10000000,0))="Masuk",1,-1),1)&gt;0,INDEX(Transaksi!$F$1:$F$5015,ROUND(MOD(MOD(SMALL(Transaksi!$X$16:$X$5015,145),1),0.01)*10000000,0)),""))</f>
        <v/>
      </c>
      <c r="F154" s="139">
        <f>IF(145&gt;COUNT(Transaksi!$X$16:$X$5015),"",IF(IF(INDEX(Transaksi!$C$1:$C$5015,ROUND(MOD(MOD(SMALL(Transaksi!$X$16:$X$5015,145),1),0.01)*10000000,0))=$C$4,IF(INDEX(Transaksi!$D$1:$D$5015,ROUND(MOD(MOD(SMALL(Transaksi!$X$16:$X$5015,145),1),0.01)*10000000,0))="Masuk",1,-1),1)&lt;0,INDEX(Transaksi!$F$1:$F$5015,ROUND(MOD(MOD(SMALL(Transaksi!$X$16:$X$5015,145),1),0.01)*10000000,0)),""))</f>
        <v/>
      </c>
      <c r="G154" s="106">
        <f>IF(145&gt;COUNT(Transaksi!$X$16:$X$5015),"",N(G153)+N(E154)-N(F154))</f>
        <v/>
      </c>
      <c r="H154" s="137">
        <f>IF(145&gt;COUNT(Transaksi!$X$16:$X$5015),"",HYPERLINK("#Transaksi!B"&amp;A154,"Buka"))</f>
        <v/>
      </c>
    </row>
    <row r="155" ht="15" customHeight="1" s="94">
      <c r="A155" s="93">
        <f>IF(146&gt;COUNT(Transaksi!$X$16:$X$5015),"",ROUND(MOD(MOD(SMALL(Transaksi!$X$16:$X$5015,146),1),0.01)*10000000,0))</f>
        <v/>
      </c>
      <c r="B155" s="135">
        <f>IF(146&gt;COUNT(Transaksi!$X$16:$X$5015),"",IF(146=1,INDEX(Transaksi!$B$1:$B$5015,ROUND(MOD(MOD(SMALL(Transaksi!$X$16:$X$5015,146),1),0.01)*10000000,0)),IF(INDEX(Transaksi!$B$1:$B$5015,ROUND(MOD(MOD(SMALL(Transaksi!$X$16:$X$5015,146),1),0.01)*10000000,0))=INDEX(Transaksi!$B$1:$B$5015,A154),"",INDEX(Transaksi!$B$1:$B$5015,ROUND(MOD(MOD(SMALL(Transaksi!$X$16:$X$5015,146),1),0.01)*10000000,0)))))</f>
        <v/>
      </c>
      <c r="C155" s="136">
        <f>IF(146&gt;COUNT(Transaksi!$X$16:$X$5015),"",INDEX(Transaksi!$J$1:$J$5015,ROUND(MOD(MOD(SMALL(Transaksi!$X$16:$X$5015,146),1),0.01)*10000000,0))&amp;IF(INDEX(Transaksi!$D$1:$D$5015,ROUND(MOD(MOD(SMALL(Transaksi!$X$16:$X$5015,146),1),0.01)*10000000,0))="Pindah",IF(INDEX(Transaksi!$C$1:$C$5015,ROUND(MOD(MOD(SMALL(Transaksi!$X$16:$X$5015,146),1),0.01)*10000000,0))=$C$4," (ke "&amp;INDEX(Transaksi!$E$1:$E$5015,ROUND(MOD(MOD(SMALL(Transaksi!$X$16:$X$5015,146),1),0.01)*10000000,0))&amp;")"," (dari "&amp;INDEX(Transaksi!$C$1:$C$5015,ROUND(MOD(MOD(SMALL(Transaksi!$X$16:$X$5015,146),1),0.01)*10000000,0))&amp;")"),""))</f>
        <v/>
      </c>
      <c r="D155" s="137">
        <f>IF(146&gt;COUNT(Transaksi!$X$16:$X$5015),"",INDEX(Transaksi!$I$1:$I$5015,ROUND(MOD(MOD(SMALL(Transaksi!$X$16:$X$5015,146),1),0.01)*10000000,0)))</f>
        <v/>
      </c>
      <c r="E155" s="138">
        <f>IF(146&gt;COUNT(Transaksi!$X$16:$X$5015),"",IF(IF(INDEX(Transaksi!$C$1:$C$5015,ROUND(MOD(MOD(SMALL(Transaksi!$X$16:$X$5015,146),1),0.01)*10000000,0))=$C$4,IF(INDEX(Transaksi!$D$1:$D$5015,ROUND(MOD(MOD(SMALL(Transaksi!$X$16:$X$5015,146),1),0.01)*10000000,0))="Masuk",1,-1),1)&gt;0,INDEX(Transaksi!$F$1:$F$5015,ROUND(MOD(MOD(SMALL(Transaksi!$X$16:$X$5015,146),1),0.01)*10000000,0)),""))</f>
        <v/>
      </c>
      <c r="F155" s="139">
        <f>IF(146&gt;COUNT(Transaksi!$X$16:$X$5015),"",IF(IF(INDEX(Transaksi!$C$1:$C$5015,ROUND(MOD(MOD(SMALL(Transaksi!$X$16:$X$5015,146),1),0.01)*10000000,0))=$C$4,IF(INDEX(Transaksi!$D$1:$D$5015,ROUND(MOD(MOD(SMALL(Transaksi!$X$16:$X$5015,146),1),0.01)*10000000,0))="Masuk",1,-1),1)&lt;0,INDEX(Transaksi!$F$1:$F$5015,ROUND(MOD(MOD(SMALL(Transaksi!$X$16:$X$5015,146),1),0.01)*10000000,0)),""))</f>
        <v/>
      </c>
      <c r="G155" s="106">
        <f>IF(146&gt;COUNT(Transaksi!$X$16:$X$5015),"",N(G154)+N(E155)-N(F155))</f>
        <v/>
      </c>
      <c r="H155" s="137">
        <f>IF(146&gt;COUNT(Transaksi!$X$16:$X$5015),"",HYPERLINK("#Transaksi!B"&amp;A155,"Buka"))</f>
        <v/>
      </c>
    </row>
    <row r="156" ht="15" customHeight="1" s="94">
      <c r="A156" s="93">
        <f>IF(147&gt;COUNT(Transaksi!$X$16:$X$5015),"",ROUND(MOD(MOD(SMALL(Transaksi!$X$16:$X$5015,147),1),0.01)*10000000,0))</f>
        <v/>
      </c>
      <c r="B156" s="135">
        <f>IF(147&gt;COUNT(Transaksi!$X$16:$X$5015),"",IF(147=1,INDEX(Transaksi!$B$1:$B$5015,ROUND(MOD(MOD(SMALL(Transaksi!$X$16:$X$5015,147),1),0.01)*10000000,0)),IF(INDEX(Transaksi!$B$1:$B$5015,ROUND(MOD(MOD(SMALL(Transaksi!$X$16:$X$5015,147),1),0.01)*10000000,0))=INDEX(Transaksi!$B$1:$B$5015,A155),"",INDEX(Transaksi!$B$1:$B$5015,ROUND(MOD(MOD(SMALL(Transaksi!$X$16:$X$5015,147),1),0.01)*10000000,0)))))</f>
        <v/>
      </c>
      <c r="C156" s="136">
        <f>IF(147&gt;COUNT(Transaksi!$X$16:$X$5015),"",INDEX(Transaksi!$J$1:$J$5015,ROUND(MOD(MOD(SMALL(Transaksi!$X$16:$X$5015,147),1),0.01)*10000000,0))&amp;IF(INDEX(Transaksi!$D$1:$D$5015,ROUND(MOD(MOD(SMALL(Transaksi!$X$16:$X$5015,147),1),0.01)*10000000,0))="Pindah",IF(INDEX(Transaksi!$C$1:$C$5015,ROUND(MOD(MOD(SMALL(Transaksi!$X$16:$X$5015,147),1),0.01)*10000000,0))=$C$4," (ke "&amp;INDEX(Transaksi!$E$1:$E$5015,ROUND(MOD(MOD(SMALL(Transaksi!$X$16:$X$5015,147),1),0.01)*10000000,0))&amp;")"," (dari "&amp;INDEX(Transaksi!$C$1:$C$5015,ROUND(MOD(MOD(SMALL(Transaksi!$X$16:$X$5015,147),1),0.01)*10000000,0))&amp;")"),""))</f>
        <v/>
      </c>
      <c r="D156" s="137">
        <f>IF(147&gt;COUNT(Transaksi!$X$16:$X$5015),"",INDEX(Transaksi!$I$1:$I$5015,ROUND(MOD(MOD(SMALL(Transaksi!$X$16:$X$5015,147),1),0.01)*10000000,0)))</f>
        <v/>
      </c>
      <c r="E156" s="138">
        <f>IF(147&gt;COUNT(Transaksi!$X$16:$X$5015),"",IF(IF(INDEX(Transaksi!$C$1:$C$5015,ROUND(MOD(MOD(SMALL(Transaksi!$X$16:$X$5015,147),1),0.01)*10000000,0))=$C$4,IF(INDEX(Transaksi!$D$1:$D$5015,ROUND(MOD(MOD(SMALL(Transaksi!$X$16:$X$5015,147),1),0.01)*10000000,0))="Masuk",1,-1),1)&gt;0,INDEX(Transaksi!$F$1:$F$5015,ROUND(MOD(MOD(SMALL(Transaksi!$X$16:$X$5015,147),1),0.01)*10000000,0)),""))</f>
        <v/>
      </c>
      <c r="F156" s="139">
        <f>IF(147&gt;COUNT(Transaksi!$X$16:$X$5015),"",IF(IF(INDEX(Transaksi!$C$1:$C$5015,ROUND(MOD(MOD(SMALL(Transaksi!$X$16:$X$5015,147),1),0.01)*10000000,0))=$C$4,IF(INDEX(Transaksi!$D$1:$D$5015,ROUND(MOD(MOD(SMALL(Transaksi!$X$16:$X$5015,147),1),0.01)*10000000,0))="Masuk",1,-1),1)&lt;0,INDEX(Transaksi!$F$1:$F$5015,ROUND(MOD(MOD(SMALL(Transaksi!$X$16:$X$5015,147),1),0.01)*10000000,0)),""))</f>
        <v/>
      </c>
      <c r="G156" s="106">
        <f>IF(147&gt;COUNT(Transaksi!$X$16:$X$5015),"",N(G155)+N(E156)-N(F156))</f>
        <v/>
      </c>
      <c r="H156" s="137">
        <f>IF(147&gt;COUNT(Transaksi!$X$16:$X$5015),"",HYPERLINK("#Transaksi!B"&amp;A156,"Buka"))</f>
        <v/>
      </c>
    </row>
    <row r="157" ht="15" customHeight="1" s="94">
      <c r="A157" s="93">
        <f>IF(148&gt;COUNT(Transaksi!$X$16:$X$5015),"",ROUND(MOD(MOD(SMALL(Transaksi!$X$16:$X$5015,148),1),0.01)*10000000,0))</f>
        <v/>
      </c>
      <c r="B157" s="135">
        <f>IF(148&gt;COUNT(Transaksi!$X$16:$X$5015),"",IF(148=1,INDEX(Transaksi!$B$1:$B$5015,ROUND(MOD(MOD(SMALL(Transaksi!$X$16:$X$5015,148),1),0.01)*10000000,0)),IF(INDEX(Transaksi!$B$1:$B$5015,ROUND(MOD(MOD(SMALL(Transaksi!$X$16:$X$5015,148),1),0.01)*10000000,0))=INDEX(Transaksi!$B$1:$B$5015,A156),"",INDEX(Transaksi!$B$1:$B$5015,ROUND(MOD(MOD(SMALL(Transaksi!$X$16:$X$5015,148),1),0.01)*10000000,0)))))</f>
        <v/>
      </c>
      <c r="C157" s="136">
        <f>IF(148&gt;COUNT(Transaksi!$X$16:$X$5015),"",INDEX(Transaksi!$J$1:$J$5015,ROUND(MOD(MOD(SMALL(Transaksi!$X$16:$X$5015,148),1),0.01)*10000000,0))&amp;IF(INDEX(Transaksi!$D$1:$D$5015,ROUND(MOD(MOD(SMALL(Transaksi!$X$16:$X$5015,148),1),0.01)*10000000,0))="Pindah",IF(INDEX(Transaksi!$C$1:$C$5015,ROUND(MOD(MOD(SMALL(Transaksi!$X$16:$X$5015,148),1),0.01)*10000000,0))=$C$4," (ke "&amp;INDEX(Transaksi!$E$1:$E$5015,ROUND(MOD(MOD(SMALL(Transaksi!$X$16:$X$5015,148),1),0.01)*10000000,0))&amp;")"," (dari "&amp;INDEX(Transaksi!$C$1:$C$5015,ROUND(MOD(MOD(SMALL(Transaksi!$X$16:$X$5015,148),1),0.01)*10000000,0))&amp;")"),""))</f>
        <v/>
      </c>
      <c r="D157" s="137">
        <f>IF(148&gt;COUNT(Transaksi!$X$16:$X$5015),"",INDEX(Transaksi!$I$1:$I$5015,ROUND(MOD(MOD(SMALL(Transaksi!$X$16:$X$5015,148),1),0.01)*10000000,0)))</f>
        <v/>
      </c>
      <c r="E157" s="138">
        <f>IF(148&gt;COUNT(Transaksi!$X$16:$X$5015),"",IF(IF(INDEX(Transaksi!$C$1:$C$5015,ROUND(MOD(MOD(SMALL(Transaksi!$X$16:$X$5015,148),1),0.01)*10000000,0))=$C$4,IF(INDEX(Transaksi!$D$1:$D$5015,ROUND(MOD(MOD(SMALL(Transaksi!$X$16:$X$5015,148),1),0.01)*10000000,0))="Masuk",1,-1),1)&gt;0,INDEX(Transaksi!$F$1:$F$5015,ROUND(MOD(MOD(SMALL(Transaksi!$X$16:$X$5015,148),1),0.01)*10000000,0)),""))</f>
        <v/>
      </c>
      <c r="F157" s="139">
        <f>IF(148&gt;COUNT(Transaksi!$X$16:$X$5015),"",IF(IF(INDEX(Transaksi!$C$1:$C$5015,ROUND(MOD(MOD(SMALL(Transaksi!$X$16:$X$5015,148),1),0.01)*10000000,0))=$C$4,IF(INDEX(Transaksi!$D$1:$D$5015,ROUND(MOD(MOD(SMALL(Transaksi!$X$16:$X$5015,148),1),0.01)*10000000,0))="Masuk",1,-1),1)&lt;0,INDEX(Transaksi!$F$1:$F$5015,ROUND(MOD(MOD(SMALL(Transaksi!$X$16:$X$5015,148),1),0.01)*10000000,0)),""))</f>
        <v/>
      </c>
      <c r="G157" s="106">
        <f>IF(148&gt;COUNT(Transaksi!$X$16:$X$5015),"",N(G156)+N(E157)-N(F157))</f>
        <v/>
      </c>
      <c r="H157" s="137">
        <f>IF(148&gt;COUNT(Transaksi!$X$16:$X$5015),"",HYPERLINK("#Transaksi!B"&amp;A157,"Buka"))</f>
        <v/>
      </c>
    </row>
    <row r="158" ht="15" customHeight="1" s="94">
      <c r="A158" s="93">
        <f>IF(149&gt;COUNT(Transaksi!$X$16:$X$5015),"",ROUND(MOD(MOD(SMALL(Transaksi!$X$16:$X$5015,149),1),0.01)*10000000,0))</f>
        <v/>
      </c>
      <c r="B158" s="135">
        <f>IF(149&gt;COUNT(Transaksi!$X$16:$X$5015),"",IF(149=1,INDEX(Transaksi!$B$1:$B$5015,ROUND(MOD(MOD(SMALL(Transaksi!$X$16:$X$5015,149),1),0.01)*10000000,0)),IF(INDEX(Transaksi!$B$1:$B$5015,ROUND(MOD(MOD(SMALL(Transaksi!$X$16:$X$5015,149),1),0.01)*10000000,0))=INDEX(Transaksi!$B$1:$B$5015,A157),"",INDEX(Transaksi!$B$1:$B$5015,ROUND(MOD(MOD(SMALL(Transaksi!$X$16:$X$5015,149),1),0.01)*10000000,0)))))</f>
        <v/>
      </c>
      <c r="C158" s="136">
        <f>IF(149&gt;COUNT(Transaksi!$X$16:$X$5015),"",INDEX(Transaksi!$J$1:$J$5015,ROUND(MOD(MOD(SMALL(Transaksi!$X$16:$X$5015,149),1),0.01)*10000000,0))&amp;IF(INDEX(Transaksi!$D$1:$D$5015,ROUND(MOD(MOD(SMALL(Transaksi!$X$16:$X$5015,149),1),0.01)*10000000,0))="Pindah",IF(INDEX(Transaksi!$C$1:$C$5015,ROUND(MOD(MOD(SMALL(Transaksi!$X$16:$X$5015,149),1),0.01)*10000000,0))=$C$4," (ke "&amp;INDEX(Transaksi!$E$1:$E$5015,ROUND(MOD(MOD(SMALL(Transaksi!$X$16:$X$5015,149),1),0.01)*10000000,0))&amp;")"," (dari "&amp;INDEX(Transaksi!$C$1:$C$5015,ROUND(MOD(MOD(SMALL(Transaksi!$X$16:$X$5015,149),1),0.01)*10000000,0))&amp;")"),""))</f>
        <v/>
      </c>
      <c r="D158" s="137">
        <f>IF(149&gt;COUNT(Transaksi!$X$16:$X$5015),"",INDEX(Transaksi!$I$1:$I$5015,ROUND(MOD(MOD(SMALL(Transaksi!$X$16:$X$5015,149),1),0.01)*10000000,0)))</f>
        <v/>
      </c>
      <c r="E158" s="138">
        <f>IF(149&gt;COUNT(Transaksi!$X$16:$X$5015),"",IF(IF(INDEX(Transaksi!$C$1:$C$5015,ROUND(MOD(MOD(SMALL(Transaksi!$X$16:$X$5015,149),1),0.01)*10000000,0))=$C$4,IF(INDEX(Transaksi!$D$1:$D$5015,ROUND(MOD(MOD(SMALL(Transaksi!$X$16:$X$5015,149),1),0.01)*10000000,0))="Masuk",1,-1),1)&gt;0,INDEX(Transaksi!$F$1:$F$5015,ROUND(MOD(MOD(SMALL(Transaksi!$X$16:$X$5015,149),1),0.01)*10000000,0)),""))</f>
        <v/>
      </c>
      <c r="F158" s="139">
        <f>IF(149&gt;COUNT(Transaksi!$X$16:$X$5015),"",IF(IF(INDEX(Transaksi!$C$1:$C$5015,ROUND(MOD(MOD(SMALL(Transaksi!$X$16:$X$5015,149),1),0.01)*10000000,0))=$C$4,IF(INDEX(Transaksi!$D$1:$D$5015,ROUND(MOD(MOD(SMALL(Transaksi!$X$16:$X$5015,149),1),0.01)*10000000,0))="Masuk",1,-1),1)&lt;0,INDEX(Transaksi!$F$1:$F$5015,ROUND(MOD(MOD(SMALL(Transaksi!$X$16:$X$5015,149),1),0.01)*10000000,0)),""))</f>
        <v/>
      </c>
      <c r="G158" s="106">
        <f>IF(149&gt;COUNT(Transaksi!$X$16:$X$5015),"",N(G157)+N(E158)-N(F158))</f>
        <v/>
      </c>
      <c r="H158" s="137">
        <f>IF(149&gt;COUNT(Transaksi!$X$16:$X$5015),"",HYPERLINK("#Transaksi!B"&amp;A158,"Buka"))</f>
        <v/>
      </c>
    </row>
    <row r="159" ht="15" customHeight="1" s="94">
      <c r="A159" s="93">
        <f>IF(150&gt;COUNT(Transaksi!$X$16:$X$5015),"",ROUND(MOD(MOD(SMALL(Transaksi!$X$16:$X$5015,150),1),0.01)*10000000,0))</f>
        <v/>
      </c>
      <c r="B159" s="135">
        <f>IF(150&gt;COUNT(Transaksi!$X$16:$X$5015),"",IF(150=1,INDEX(Transaksi!$B$1:$B$5015,ROUND(MOD(MOD(SMALL(Transaksi!$X$16:$X$5015,150),1),0.01)*10000000,0)),IF(INDEX(Transaksi!$B$1:$B$5015,ROUND(MOD(MOD(SMALL(Transaksi!$X$16:$X$5015,150),1),0.01)*10000000,0))=INDEX(Transaksi!$B$1:$B$5015,A158),"",INDEX(Transaksi!$B$1:$B$5015,ROUND(MOD(MOD(SMALL(Transaksi!$X$16:$X$5015,150),1),0.01)*10000000,0)))))</f>
        <v/>
      </c>
      <c r="C159" s="136">
        <f>IF(150&gt;COUNT(Transaksi!$X$16:$X$5015),"",INDEX(Transaksi!$J$1:$J$5015,ROUND(MOD(MOD(SMALL(Transaksi!$X$16:$X$5015,150),1),0.01)*10000000,0))&amp;IF(INDEX(Transaksi!$D$1:$D$5015,ROUND(MOD(MOD(SMALL(Transaksi!$X$16:$X$5015,150),1),0.01)*10000000,0))="Pindah",IF(INDEX(Transaksi!$C$1:$C$5015,ROUND(MOD(MOD(SMALL(Transaksi!$X$16:$X$5015,150),1),0.01)*10000000,0))=$C$4," (ke "&amp;INDEX(Transaksi!$E$1:$E$5015,ROUND(MOD(MOD(SMALL(Transaksi!$X$16:$X$5015,150),1),0.01)*10000000,0))&amp;")"," (dari "&amp;INDEX(Transaksi!$C$1:$C$5015,ROUND(MOD(MOD(SMALL(Transaksi!$X$16:$X$5015,150),1),0.01)*10000000,0))&amp;")"),""))</f>
        <v/>
      </c>
      <c r="D159" s="137">
        <f>IF(150&gt;COUNT(Transaksi!$X$16:$X$5015),"",INDEX(Transaksi!$I$1:$I$5015,ROUND(MOD(MOD(SMALL(Transaksi!$X$16:$X$5015,150),1),0.01)*10000000,0)))</f>
        <v/>
      </c>
      <c r="E159" s="138">
        <f>IF(150&gt;COUNT(Transaksi!$X$16:$X$5015),"",IF(IF(INDEX(Transaksi!$C$1:$C$5015,ROUND(MOD(MOD(SMALL(Transaksi!$X$16:$X$5015,150),1),0.01)*10000000,0))=$C$4,IF(INDEX(Transaksi!$D$1:$D$5015,ROUND(MOD(MOD(SMALL(Transaksi!$X$16:$X$5015,150),1),0.01)*10000000,0))="Masuk",1,-1),1)&gt;0,INDEX(Transaksi!$F$1:$F$5015,ROUND(MOD(MOD(SMALL(Transaksi!$X$16:$X$5015,150),1),0.01)*10000000,0)),""))</f>
        <v/>
      </c>
      <c r="F159" s="139">
        <f>IF(150&gt;COUNT(Transaksi!$X$16:$X$5015),"",IF(IF(INDEX(Transaksi!$C$1:$C$5015,ROUND(MOD(MOD(SMALL(Transaksi!$X$16:$X$5015,150),1),0.01)*10000000,0))=$C$4,IF(INDEX(Transaksi!$D$1:$D$5015,ROUND(MOD(MOD(SMALL(Transaksi!$X$16:$X$5015,150),1),0.01)*10000000,0))="Masuk",1,-1),1)&lt;0,INDEX(Transaksi!$F$1:$F$5015,ROUND(MOD(MOD(SMALL(Transaksi!$X$16:$X$5015,150),1),0.01)*10000000,0)),""))</f>
        <v/>
      </c>
      <c r="G159" s="106">
        <f>IF(150&gt;COUNT(Transaksi!$X$16:$X$5015),"",N(G158)+N(E159)-N(F159))</f>
        <v/>
      </c>
      <c r="H159" s="137">
        <f>IF(150&gt;COUNT(Transaksi!$X$16:$X$5015),"",HYPERLINK("#Transaksi!B"&amp;A159,"Buka"))</f>
        <v/>
      </c>
    </row>
    <row r="160" ht="15" customHeight="1" s="94">
      <c r="A160" s="93">
        <f>IF(151&gt;COUNT(Transaksi!$X$16:$X$5015),"",ROUND(MOD(MOD(SMALL(Transaksi!$X$16:$X$5015,151),1),0.01)*10000000,0))</f>
        <v/>
      </c>
      <c r="B160" s="135">
        <f>IF(151&gt;COUNT(Transaksi!$X$16:$X$5015),"",IF(151=1,INDEX(Transaksi!$B$1:$B$5015,ROUND(MOD(MOD(SMALL(Transaksi!$X$16:$X$5015,151),1),0.01)*10000000,0)),IF(INDEX(Transaksi!$B$1:$B$5015,ROUND(MOD(MOD(SMALL(Transaksi!$X$16:$X$5015,151),1),0.01)*10000000,0))=INDEX(Transaksi!$B$1:$B$5015,A159),"",INDEX(Transaksi!$B$1:$B$5015,ROUND(MOD(MOD(SMALL(Transaksi!$X$16:$X$5015,151),1),0.01)*10000000,0)))))</f>
        <v/>
      </c>
      <c r="C160" s="136">
        <f>IF(151&gt;COUNT(Transaksi!$X$16:$X$5015),"",INDEX(Transaksi!$J$1:$J$5015,ROUND(MOD(MOD(SMALL(Transaksi!$X$16:$X$5015,151),1),0.01)*10000000,0))&amp;IF(INDEX(Transaksi!$D$1:$D$5015,ROUND(MOD(MOD(SMALL(Transaksi!$X$16:$X$5015,151),1),0.01)*10000000,0))="Pindah",IF(INDEX(Transaksi!$C$1:$C$5015,ROUND(MOD(MOD(SMALL(Transaksi!$X$16:$X$5015,151),1),0.01)*10000000,0))=$C$4," (ke "&amp;INDEX(Transaksi!$E$1:$E$5015,ROUND(MOD(MOD(SMALL(Transaksi!$X$16:$X$5015,151),1),0.01)*10000000,0))&amp;")"," (dari "&amp;INDEX(Transaksi!$C$1:$C$5015,ROUND(MOD(MOD(SMALL(Transaksi!$X$16:$X$5015,151),1),0.01)*10000000,0))&amp;")"),""))</f>
        <v/>
      </c>
      <c r="D160" s="137">
        <f>IF(151&gt;COUNT(Transaksi!$X$16:$X$5015),"",INDEX(Transaksi!$I$1:$I$5015,ROUND(MOD(MOD(SMALL(Transaksi!$X$16:$X$5015,151),1),0.01)*10000000,0)))</f>
        <v/>
      </c>
      <c r="E160" s="138">
        <f>IF(151&gt;COUNT(Transaksi!$X$16:$X$5015),"",IF(IF(INDEX(Transaksi!$C$1:$C$5015,ROUND(MOD(MOD(SMALL(Transaksi!$X$16:$X$5015,151),1),0.01)*10000000,0))=$C$4,IF(INDEX(Transaksi!$D$1:$D$5015,ROUND(MOD(MOD(SMALL(Transaksi!$X$16:$X$5015,151),1),0.01)*10000000,0))="Masuk",1,-1),1)&gt;0,INDEX(Transaksi!$F$1:$F$5015,ROUND(MOD(MOD(SMALL(Transaksi!$X$16:$X$5015,151),1),0.01)*10000000,0)),""))</f>
        <v/>
      </c>
      <c r="F160" s="139">
        <f>IF(151&gt;COUNT(Transaksi!$X$16:$X$5015),"",IF(IF(INDEX(Transaksi!$C$1:$C$5015,ROUND(MOD(MOD(SMALL(Transaksi!$X$16:$X$5015,151),1),0.01)*10000000,0))=$C$4,IF(INDEX(Transaksi!$D$1:$D$5015,ROUND(MOD(MOD(SMALL(Transaksi!$X$16:$X$5015,151),1),0.01)*10000000,0))="Masuk",1,-1),1)&lt;0,INDEX(Transaksi!$F$1:$F$5015,ROUND(MOD(MOD(SMALL(Transaksi!$X$16:$X$5015,151),1),0.01)*10000000,0)),""))</f>
        <v/>
      </c>
      <c r="G160" s="106">
        <f>IF(151&gt;COUNT(Transaksi!$X$16:$X$5015),"",N(G159)+N(E160)-N(F160))</f>
        <v/>
      </c>
      <c r="H160" s="137">
        <f>IF(151&gt;COUNT(Transaksi!$X$16:$X$5015),"",HYPERLINK("#Transaksi!B"&amp;A160,"Buka"))</f>
        <v/>
      </c>
    </row>
    <row r="161" ht="15" customHeight="1" s="94">
      <c r="A161" s="93">
        <f>IF(152&gt;COUNT(Transaksi!$X$16:$X$5015),"",ROUND(MOD(MOD(SMALL(Transaksi!$X$16:$X$5015,152),1),0.01)*10000000,0))</f>
        <v/>
      </c>
      <c r="B161" s="135">
        <f>IF(152&gt;COUNT(Transaksi!$X$16:$X$5015),"",IF(152=1,INDEX(Transaksi!$B$1:$B$5015,ROUND(MOD(MOD(SMALL(Transaksi!$X$16:$X$5015,152),1),0.01)*10000000,0)),IF(INDEX(Transaksi!$B$1:$B$5015,ROUND(MOD(MOD(SMALL(Transaksi!$X$16:$X$5015,152),1),0.01)*10000000,0))=INDEX(Transaksi!$B$1:$B$5015,A160),"",INDEX(Transaksi!$B$1:$B$5015,ROUND(MOD(MOD(SMALL(Transaksi!$X$16:$X$5015,152),1),0.01)*10000000,0)))))</f>
        <v/>
      </c>
      <c r="C161" s="136">
        <f>IF(152&gt;COUNT(Transaksi!$X$16:$X$5015),"",INDEX(Transaksi!$J$1:$J$5015,ROUND(MOD(MOD(SMALL(Transaksi!$X$16:$X$5015,152),1),0.01)*10000000,0))&amp;IF(INDEX(Transaksi!$D$1:$D$5015,ROUND(MOD(MOD(SMALL(Transaksi!$X$16:$X$5015,152),1),0.01)*10000000,0))="Pindah",IF(INDEX(Transaksi!$C$1:$C$5015,ROUND(MOD(MOD(SMALL(Transaksi!$X$16:$X$5015,152),1),0.01)*10000000,0))=$C$4," (ke "&amp;INDEX(Transaksi!$E$1:$E$5015,ROUND(MOD(MOD(SMALL(Transaksi!$X$16:$X$5015,152),1),0.01)*10000000,0))&amp;")"," (dari "&amp;INDEX(Transaksi!$C$1:$C$5015,ROUND(MOD(MOD(SMALL(Transaksi!$X$16:$X$5015,152),1),0.01)*10000000,0))&amp;")"),""))</f>
        <v/>
      </c>
      <c r="D161" s="137">
        <f>IF(152&gt;COUNT(Transaksi!$X$16:$X$5015),"",INDEX(Transaksi!$I$1:$I$5015,ROUND(MOD(MOD(SMALL(Transaksi!$X$16:$X$5015,152),1),0.01)*10000000,0)))</f>
        <v/>
      </c>
      <c r="E161" s="138">
        <f>IF(152&gt;COUNT(Transaksi!$X$16:$X$5015),"",IF(IF(INDEX(Transaksi!$C$1:$C$5015,ROUND(MOD(MOD(SMALL(Transaksi!$X$16:$X$5015,152),1),0.01)*10000000,0))=$C$4,IF(INDEX(Transaksi!$D$1:$D$5015,ROUND(MOD(MOD(SMALL(Transaksi!$X$16:$X$5015,152),1),0.01)*10000000,0))="Masuk",1,-1),1)&gt;0,INDEX(Transaksi!$F$1:$F$5015,ROUND(MOD(MOD(SMALL(Transaksi!$X$16:$X$5015,152),1),0.01)*10000000,0)),""))</f>
        <v/>
      </c>
      <c r="F161" s="139">
        <f>IF(152&gt;COUNT(Transaksi!$X$16:$X$5015),"",IF(IF(INDEX(Transaksi!$C$1:$C$5015,ROUND(MOD(MOD(SMALL(Transaksi!$X$16:$X$5015,152),1),0.01)*10000000,0))=$C$4,IF(INDEX(Transaksi!$D$1:$D$5015,ROUND(MOD(MOD(SMALL(Transaksi!$X$16:$X$5015,152),1),0.01)*10000000,0))="Masuk",1,-1),1)&lt;0,INDEX(Transaksi!$F$1:$F$5015,ROUND(MOD(MOD(SMALL(Transaksi!$X$16:$X$5015,152),1),0.01)*10000000,0)),""))</f>
        <v/>
      </c>
      <c r="G161" s="106">
        <f>IF(152&gt;COUNT(Transaksi!$X$16:$X$5015),"",N(G160)+N(E161)-N(F161))</f>
        <v/>
      </c>
      <c r="H161" s="137">
        <f>IF(152&gt;COUNT(Transaksi!$X$16:$X$5015),"",HYPERLINK("#Transaksi!B"&amp;A161,"Buka"))</f>
        <v/>
      </c>
    </row>
    <row r="162" ht="15" customHeight="1" s="94">
      <c r="A162" s="93">
        <f>IF(153&gt;COUNT(Transaksi!$X$16:$X$5015),"",ROUND(MOD(MOD(SMALL(Transaksi!$X$16:$X$5015,153),1),0.01)*10000000,0))</f>
        <v/>
      </c>
      <c r="B162" s="135">
        <f>IF(153&gt;COUNT(Transaksi!$X$16:$X$5015),"",IF(153=1,INDEX(Transaksi!$B$1:$B$5015,ROUND(MOD(MOD(SMALL(Transaksi!$X$16:$X$5015,153),1),0.01)*10000000,0)),IF(INDEX(Transaksi!$B$1:$B$5015,ROUND(MOD(MOD(SMALL(Transaksi!$X$16:$X$5015,153),1),0.01)*10000000,0))=INDEX(Transaksi!$B$1:$B$5015,A161),"",INDEX(Transaksi!$B$1:$B$5015,ROUND(MOD(MOD(SMALL(Transaksi!$X$16:$X$5015,153),1),0.01)*10000000,0)))))</f>
        <v/>
      </c>
      <c r="C162" s="136">
        <f>IF(153&gt;COUNT(Transaksi!$X$16:$X$5015),"",INDEX(Transaksi!$J$1:$J$5015,ROUND(MOD(MOD(SMALL(Transaksi!$X$16:$X$5015,153),1),0.01)*10000000,0))&amp;IF(INDEX(Transaksi!$D$1:$D$5015,ROUND(MOD(MOD(SMALL(Transaksi!$X$16:$X$5015,153),1),0.01)*10000000,0))="Pindah",IF(INDEX(Transaksi!$C$1:$C$5015,ROUND(MOD(MOD(SMALL(Transaksi!$X$16:$X$5015,153),1),0.01)*10000000,0))=$C$4," (ke "&amp;INDEX(Transaksi!$E$1:$E$5015,ROUND(MOD(MOD(SMALL(Transaksi!$X$16:$X$5015,153),1),0.01)*10000000,0))&amp;")"," (dari "&amp;INDEX(Transaksi!$C$1:$C$5015,ROUND(MOD(MOD(SMALL(Transaksi!$X$16:$X$5015,153),1),0.01)*10000000,0))&amp;")"),""))</f>
        <v/>
      </c>
      <c r="D162" s="137">
        <f>IF(153&gt;COUNT(Transaksi!$X$16:$X$5015),"",INDEX(Transaksi!$I$1:$I$5015,ROUND(MOD(MOD(SMALL(Transaksi!$X$16:$X$5015,153),1),0.01)*10000000,0)))</f>
        <v/>
      </c>
      <c r="E162" s="138">
        <f>IF(153&gt;COUNT(Transaksi!$X$16:$X$5015),"",IF(IF(INDEX(Transaksi!$C$1:$C$5015,ROUND(MOD(MOD(SMALL(Transaksi!$X$16:$X$5015,153),1),0.01)*10000000,0))=$C$4,IF(INDEX(Transaksi!$D$1:$D$5015,ROUND(MOD(MOD(SMALL(Transaksi!$X$16:$X$5015,153),1),0.01)*10000000,0))="Masuk",1,-1),1)&gt;0,INDEX(Transaksi!$F$1:$F$5015,ROUND(MOD(MOD(SMALL(Transaksi!$X$16:$X$5015,153),1),0.01)*10000000,0)),""))</f>
        <v/>
      </c>
      <c r="F162" s="139">
        <f>IF(153&gt;COUNT(Transaksi!$X$16:$X$5015),"",IF(IF(INDEX(Transaksi!$C$1:$C$5015,ROUND(MOD(MOD(SMALL(Transaksi!$X$16:$X$5015,153),1),0.01)*10000000,0))=$C$4,IF(INDEX(Transaksi!$D$1:$D$5015,ROUND(MOD(MOD(SMALL(Transaksi!$X$16:$X$5015,153),1),0.01)*10000000,0))="Masuk",1,-1),1)&lt;0,INDEX(Transaksi!$F$1:$F$5015,ROUND(MOD(MOD(SMALL(Transaksi!$X$16:$X$5015,153),1),0.01)*10000000,0)),""))</f>
        <v/>
      </c>
      <c r="G162" s="106">
        <f>IF(153&gt;COUNT(Transaksi!$X$16:$X$5015),"",N(G161)+N(E162)-N(F162))</f>
        <v/>
      </c>
      <c r="H162" s="137">
        <f>IF(153&gt;COUNT(Transaksi!$X$16:$X$5015),"",HYPERLINK("#Transaksi!B"&amp;A162,"Buka"))</f>
        <v/>
      </c>
    </row>
    <row r="163" ht="15" customHeight="1" s="94">
      <c r="A163" s="93">
        <f>IF(154&gt;COUNT(Transaksi!$X$16:$X$5015),"",ROUND(MOD(MOD(SMALL(Transaksi!$X$16:$X$5015,154),1),0.01)*10000000,0))</f>
        <v/>
      </c>
      <c r="B163" s="135">
        <f>IF(154&gt;COUNT(Transaksi!$X$16:$X$5015),"",IF(154=1,INDEX(Transaksi!$B$1:$B$5015,ROUND(MOD(MOD(SMALL(Transaksi!$X$16:$X$5015,154),1),0.01)*10000000,0)),IF(INDEX(Transaksi!$B$1:$B$5015,ROUND(MOD(MOD(SMALL(Transaksi!$X$16:$X$5015,154),1),0.01)*10000000,0))=INDEX(Transaksi!$B$1:$B$5015,A162),"",INDEX(Transaksi!$B$1:$B$5015,ROUND(MOD(MOD(SMALL(Transaksi!$X$16:$X$5015,154),1),0.01)*10000000,0)))))</f>
        <v/>
      </c>
      <c r="C163" s="136">
        <f>IF(154&gt;COUNT(Transaksi!$X$16:$X$5015),"",INDEX(Transaksi!$J$1:$J$5015,ROUND(MOD(MOD(SMALL(Transaksi!$X$16:$X$5015,154),1),0.01)*10000000,0))&amp;IF(INDEX(Transaksi!$D$1:$D$5015,ROUND(MOD(MOD(SMALL(Transaksi!$X$16:$X$5015,154),1),0.01)*10000000,0))="Pindah",IF(INDEX(Transaksi!$C$1:$C$5015,ROUND(MOD(MOD(SMALL(Transaksi!$X$16:$X$5015,154),1),0.01)*10000000,0))=$C$4," (ke "&amp;INDEX(Transaksi!$E$1:$E$5015,ROUND(MOD(MOD(SMALL(Transaksi!$X$16:$X$5015,154),1),0.01)*10000000,0))&amp;")"," (dari "&amp;INDEX(Transaksi!$C$1:$C$5015,ROUND(MOD(MOD(SMALL(Transaksi!$X$16:$X$5015,154),1),0.01)*10000000,0))&amp;")"),""))</f>
        <v/>
      </c>
      <c r="D163" s="137">
        <f>IF(154&gt;COUNT(Transaksi!$X$16:$X$5015),"",INDEX(Transaksi!$I$1:$I$5015,ROUND(MOD(MOD(SMALL(Transaksi!$X$16:$X$5015,154),1),0.01)*10000000,0)))</f>
        <v/>
      </c>
      <c r="E163" s="138">
        <f>IF(154&gt;COUNT(Transaksi!$X$16:$X$5015),"",IF(IF(INDEX(Transaksi!$C$1:$C$5015,ROUND(MOD(MOD(SMALL(Transaksi!$X$16:$X$5015,154),1),0.01)*10000000,0))=$C$4,IF(INDEX(Transaksi!$D$1:$D$5015,ROUND(MOD(MOD(SMALL(Transaksi!$X$16:$X$5015,154),1),0.01)*10000000,0))="Masuk",1,-1),1)&gt;0,INDEX(Transaksi!$F$1:$F$5015,ROUND(MOD(MOD(SMALL(Transaksi!$X$16:$X$5015,154),1),0.01)*10000000,0)),""))</f>
        <v/>
      </c>
      <c r="F163" s="139">
        <f>IF(154&gt;COUNT(Transaksi!$X$16:$X$5015),"",IF(IF(INDEX(Transaksi!$C$1:$C$5015,ROUND(MOD(MOD(SMALL(Transaksi!$X$16:$X$5015,154),1),0.01)*10000000,0))=$C$4,IF(INDEX(Transaksi!$D$1:$D$5015,ROUND(MOD(MOD(SMALL(Transaksi!$X$16:$X$5015,154),1),0.01)*10000000,0))="Masuk",1,-1),1)&lt;0,INDEX(Transaksi!$F$1:$F$5015,ROUND(MOD(MOD(SMALL(Transaksi!$X$16:$X$5015,154),1),0.01)*10000000,0)),""))</f>
        <v/>
      </c>
      <c r="G163" s="106">
        <f>IF(154&gt;COUNT(Transaksi!$X$16:$X$5015),"",N(G162)+N(E163)-N(F163))</f>
        <v/>
      </c>
      <c r="H163" s="137">
        <f>IF(154&gt;COUNT(Transaksi!$X$16:$X$5015),"",HYPERLINK("#Transaksi!B"&amp;A163,"Buka"))</f>
        <v/>
      </c>
    </row>
    <row r="164" ht="15" customHeight="1" s="94">
      <c r="A164" s="93">
        <f>IF(155&gt;COUNT(Transaksi!$X$16:$X$5015),"",ROUND(MOD(MOD(SMALL(Transaksi!$X$16:$X$5015,155),1),0.01)*10000000,0))</f>
        <v/>
      </c>
      <c r="B164" s="135">
        <f>IF(155&gt;COUNT(Transaksi!$X$16:$X$5015),"",IF(155=1,INDEX(Transaksi!$B$1:$B$5015,ROUND(MOD(MOD(SMALL(Transaksi!$X$16:$X$5015,155),1),0.01)*10000000,0)),IF(INDEX(Transaksi!$B$1:$B$5015,ROUND(MOD(MOD(SMALL(Transaksi!$X$16:$X$5015,155),1),0.01)*10000000,0))=INDEX(Transaksi!$B$1:$B$5015,A163),"",INDEX(Transaksi!$B$1:$B$5015,ROUND(MOD(MOD(SMALL(Transaksi!$X$16:$X$5015,155),1),0.01)*10000000,0)))))</f>
        <v/>
      </c>
      <c r="C164" s="136">
        <f>IF(155&gt;COUNT(Transaksi!$X$16:$X$5015),"",INDEX(Transaksi!$J$1:$J$5015,ROUND(MOD(MOD(SMALL(Transaksi!$X$16:$X$5015,155),1),0.01)*10000000,0))&amp;IF(INDEX(Transaksi!$D$1:$D$5015,ROUND(MOD(MOD(SMALL(Transaksi!$X$16:$X$5015,155),1),0.01)*10000000,0))="Pindah",IF(INDEX(Transaksi!$C$1:$C$5015,ROUND(MOD(MOD(SMALL(Transaksi!$X$16:$X$5015,155),1),0.01)*10000000,0))=$C$4," (ke "&amp;INDEX(Transaksi!$E$1:$E$5015,ROUND(MOD(MOD(SMALL(Transaksi!$X$16:$X$5015,155),1),0.01)*10000000,0))&amp;")"," (dari "&amp;INDEX(Transaksi!$C$1:$C$5015,ROUND(MOD(MOD(SMALL(Transaksi!$X$16:$X$5015,155),1),0.01)*10000000,0))&amp;")"),""))</f>
        <v/>
      </c>
      <c r="D164" s="137">
        <f>IF(155&gt;COUNT(Transaksi!$X$16:$X$5015),"",INDEX(Transaksi!$I$1:$I$5015,ROUND(MOD(MOD(SMALL(Transaksi!$X$16:$X$5015,155),1),0.01)*10000000,0)))</f>
        <v/>
      </c>
      <c r="E164" s="138">
        <f>IF(155&gt;COUNT(Transaksi!$X$16:$X$5015),"",IF(IF(INDEX(Transaksi!$C$1:$C$5015,ROUND(MOD(MOD(SMALL(Transaksi!$X$16:$X$5015,155),1),0.01)*10000000,0))=$C$4,IF(INDEX(Transaksi!$D$1:$D$5015,ROUND(MOD(MOD(SMALL(Transaksi!$X$16:$X$5015,155),1),0.01)*10000000,0))="Masuk",1,-1),1)&gt;0,INDEX(Transaksi!$F$1:$F$5015,ROUND(MOD(MOD(SMALL(Transaksi!$X$16:$X$5015,155),1),0.01)*10000000,0)),""))</f>
        <v/>
      </c>
      <c r="F164" s="139">
        <f>IF(155&gt;COUNT(Transaksi!$X$16:$X$5015),"",IF(IF(INDEX(Transaksi!$C$1:$C$5015,ROUND(MOD(MOD(SMALL(Transaksi!$X$16:$X$5015,155),1),0.01)*10000000,0))=$C$4,IF(INDEX(Transaksi!$D$1:$D$5015,ROUND(MOD(MOD(SMALL(Transaksi!$X$16:$X$5015,155),1),0.01)*10000000,0))="Masuk",1,-1),1)&lt;0,INDEX(Transaksi!$F$1:$F$5015,ROUND(MOD(MOD(SMALL(Transaksi!$X$16:$X$5015,155),1),0.01)*10000000,0)),""))</f>
        <v/>
      </c>
      <c r="G164" s="106">
        <f>IF(155&gt;COUNT(Transaksi!$X$16:$X$5015),"",N(G163)+N(E164)-N(F164))</f>
        <v/>
      </c>
      <c r="H164" s="137">
        <f>IF(155&gt;COUNT(Transaksi!$X$16:$X$5015),"",HYPERLINK("#Transaksi!B"&amp;A164,"Buka"))</f>
        <v/>
      </c>
    </row>
    <row r="165" ht="15" customHeight="1" s="94">
      <c r="A165" s="93">
        <f>IF(156&gt;COUNT(Transaksi!$X$16:$X$5015),"",ROUND(MOD(MOD(SMALL(Transaksi!$X$16:$X$5015,156),1),0.01)*10000000,0))</f>
        <v/>
      </c>
      <c r="B165" s="135">
        <f>IF(156&gt;COUNT(Transaksi!$X$16:$X$5015),"",IF(156=1,INDEX(Transaksi!$B$1:$B$5015,ROUND(MOD(MOD(SMALL(Transaksi!$X$16:$X$5015,156),1),0.01)*10000000,0)),IF(INDEX(Transaksi!$B$1:$B$5015,ROUND(MOD(MOD(SMALL(Transaksi!$X$16:$X$5015,156),1),0.01)*10000000,0))=INDEX(Transaksi!$B$1:$B$5015,A164),"",INDEX(Transaksi!$B$1:$B$5015,ROUND(MOD(MOD(SMALL(Transaksi!$X$16:$X$5015,156),1),0.01)*10000000,0)))))</f>
        <v/>
      </c>
      <c r="C165" s="136">
        <f>IF(156&gt;COUNT(Transaksi!$X$16:$X$5015),"",INDEX(Transaksi!$J$1:$J$5015,ROUND(MOD(MOD(SMALL(Transaksi!$X$16:$X$5015,156),1),0.01)*10000000,0))&amp;IF(INDEX(Transaksi!$D$1:$D$5015,ROUND(MOD(MOD(SMALL(Transaksi!$X$16:$X$5015,156),1),0.01)*10000000,0))="Pindah",IF(INDEX(Transaksi!$C$1:$C$5015,ROUND(MOD(MOD(SMALL(Transaksi!$X$16:$X$5015,156),1),0.01)*10000000,0))=$C$4," (ke "&amp;INDEX(Transaksi!$E$1:$E$5015,ROUND(MOD(MOD(SMALL(Transaksi!$X$16:$X$5015,156),1),0.01)*10000000,0))&amp;")"," (dari "&amp;INDEX(Transaksi!$C$1:$C$5015,ROUND(MOD(MOD(SMALL(Transaksi!$X$16:$X$5015,156),1),0.01)*10000000,0))&amp;")"),""))</f>
        <v/>
      </c>
      <c r="D165" s="137">
        <f>IF(156&gt;COUNT(Transaksi!$X$16:$X$5015),"",INDEX(Transaksi!$I$1:$I$5015,ROUND(MOD(MOD(SMALL(Transaksi!$X$16:$X$5015,156),1),0.01)*10000000,0)))</f>
        <v/>
      </c>
      <c r="E165" s="138">
        <f>IF(156&gt;COUNT(Transaksi!$X$16:$X$5015),"",IF(IF(INDEX(Transaksi!$C$1:$C$5015,ROUND(MOD(MOD(SMALL(Transaksi!$X$16:$X$5015,156),1),0.01)*10000000,0))=$C$4,IF(INDEX(Transaksi!$D$1:$D$5015,ROUND(MOD(MOD(SMALL(Transaksi!$X$16:$X$5015,156),1),0.01)*10000000,0))="Masuk",1,-1),1)&gt;0,INDEX(Transaksi!$F$1:$F$5015,ROUND(MOD(MOD(SMALL(Transaksi!$X$16:$X$5015,156),1),0.01)*10000000,0)),""))</f>
        <v/>
      </c>
      <c r="F165" s="139">
        <f>IF(156&gt;COUNT(Transaksi!$X$16:$X$5015),"",IF(IF(INDEX(Transaksi!$C$1:$C$5015,ROUND(MOD(MOD(SMALL(Transaksi!$X$16:$X$5015,156),1),0.01)*10000000,0))=$C$4,IF(INDEX(Transaksi!$D$1:$D$5015,ROUND(MOD(MOD(SMALL(Transaksi!$X$16:$X$5015,156),1),0.01)*10000000,0))="Masuk",1,-1),1)&lt;0,INDEX(Transaksi!$F$1:$F$5015,ROUND(MOD(MOD(SMALL(Transaksi!$X$16:$X$5015,156),1),0.01)*10000000,0)),""))</f>
        <v/>
      </c>
      <c r="G165" s="106">
        <f>IF(156&gt;COUNT(Transaksi!$X$16:$X$5015),"",N(G164)+N(E165)-N(F165))</f>
        <v/>
      </c>
      <c r="H165" s="137">
        <f>IF(156&gt;COUNT(Transaksi!$X$16:$X$5015),"",HYPERLINK("#Transaksi!B"&amp;A165,"Buka"))</f>
        <v/>
      </c>
    </row>
    <row r="166" ht="15" customHeight="1" s="94">
      <c r="A166" s="93">
        <f>IF(157&gt;COUNT(Transaksi!$X$16:$X$5015),"",ROUND(MOD(MOD(SMALL(Transaksi!$X$16:$X$5015,157),1),0.01)*10000000,0))</f>
        <v/>
      </c>
      <c r="B166" s="135">
        <f>IF(157&gt;COUNT(Transaksi!$X$16:$X$5015),"",IF(157=1,INDEX(Transaksi!$B$1:$B$5015,ROUND(MOD(MOD(SMALL(Transaksi!$X$16:$X$5015,157),1),0.01)*10000000,0)),IF(INDEX(Transaksi!$B$1:$B$5015,ROUND(MOD(MOD(SMALL(Transaksi!$X$16:$X$5015,157),1),0.01)*10000000,0))=INDEX(Transaksi!$B$1:$B$5015,A165),"",INDEX(Transaksi!$B$1:$B$5015,ROUND(MOD(MOD(SMALL(Transaksi!$X$16:$X$5015,157),1),0.01)*10000000,0)))))</f>
        <v/>
      </c>
      <c r="C166" s="136">
        <f>IF(157&gt;COUNT(Transaksi!$X$16:$X$5015),"",INDEX(Transaksi!$J$1:$J$5015,ROUND(MOD(MOD(SMALL(Transaksi!$X$16:$X$5015,157),1),0.01)*10000000,0))&amp;IF(INDEX(Transaksi!$D$1:$D$5015,ROUND(MOD(MOD(SMALL(Transaksi!$X$16:$X$5015,157),1),0.01)*10000000,0))="Pindah",IF(INDEX(Transaksi!$C$1:$C$5015,ROUND(MOD(MOD(SMALL(Transaksi!$X$16:$X$5015,157),1),0.01)*10000000,0))=$C$4," (ke "&amp;INDEX(Transaksi!$E$1:$E$5015,ROUND(MOD(MOD(SMALL(Transaksi!$X$16:$X$5015,157),1),0.01)*10000000,0))&amp;")"," (dari "&amp;INDEX(Transaksi!$C$1:$C$5015,ROUND(MOD(MOD(SMALL(Transaksi!$X$16:$X$5015,157),1),0.01)*10000000,0))&amp;")"),""))</f>
        <v/>
      </c>
      <c r="D166" s="137">
        <f>IF(157&gt;COUNT(Transaksi!$X$16:$X$5015),"",INDEX(Transaksi!$I$1:$I$5015,ROUND(MOD(MOD(SMALL(Transaksi!$X$16:$X$5015,157),1),0.01)*10000000,0)))</f>
        <v/>
      </c>
      <c r="E166" s="138">
        <f>IF(157&gt;COUNT(Transaksi!$X$16:$X$5015),"",IF(IF(INDEX(Transaksi!$C$1:$C$5015,ROUND(MOD(MOD(SMALL(Transaksi!$X$16:$X$5015,157),1),0.01)*10000000,0))=$C$4,IF(INDEX(Transaksi!$D$1:$D$5015,ROUND(MOD(MOD(SMALL(Transaksi!$X$16:$X$5015,157),1),0.01)*10000000,0))="Masuk",1,-1),1)&gt;0,INDEX(Transaksi!$F$1:$F$5015,ROUND(MOD(MOD(SMALL(Transaksi!$X$16:$X$5015,157),1),0.01)*10000000,0)),""))</f>
        <v/>
      </c>
      <c r="F166" s="139">
        <f>IF(157&gt;COUNT(Transaksi!$X$16:$X$5015),"",IF(IF(INDEX(Transaksi!$C$1:$C$5015,ROUND(MOD(MOD(SMALL(Transaksi!$X$16:$X$5015,157),1),0.01)*10000000,0))=$C$4,IF(INDEX(Transaksi!$D$1:$D$5015,ROUND(MOD(MOD(SMALL(Transaksi!$X$16:$X$5015,157),1),0.01)*10000000,0))="Masuk",1,-1),1)&lt;0,INDEX(Transaksi!$F$1:$F$5015,ROUND(MOD(MOD(SMALL(Transaksi!$X$16:$X$5015,157),1),0.01)*10000000,0)),""))</f>
        <v/>
      </c>
      <c r="G166" s="106">
        <f>IF(157&gt;COUNT(Transaksi!$X$16:$X$5015),"",N(G165)+N(E166)-N(F166))</f>
        <v/>
      </c>
      <c r="H166" s="137">
        <f>IF(157&gt;COUNT(Transaksi!$X$16:$X$5015),"",HYPERLINK("#Transaksi!B"&amp;A166,"Buka"))</f>
        <v/>
      </c>
    </row>
    <row r="167" ht="15" customHeight="1" s="94">
      <c r="A167" s="93">
        <f>IF(158&gt;COUNT(Transaksi!$X$16:$X$5015),"",ROUND(MOD(MOD(SMALL(Transaksi!$X$16:$X$5015,158),1),0.01)*10000000,0))</f>
        <v/>
      </c>
      <c r="B167" s="135">
        <f>IF(158&gt;COUNT(Transaksi!$X$16:$X$5015),"",IF(158=1,INDEX(Transaksi!$B$1:$B$5015,ROUND(MOD(MOD(SMALL(Transaksi!$X$16:$X$5015,158),1),0.01)*10000000,0)),IF(INDEX(Transaksi!$B$1:$B$5015,ROUND(MOD(MOD(SMALL(Transaksi!$X$16:$X$5015,158),1),0.01)*10000000,0))=INDEX(Transaksi!$B$1:$B$5015,A166),"",INDEX(Transaksi!$B$1:$B$5015,ROUND(MOD(MOD(SMALL(Transaksi!$X$16:$X$5015,158),1),0.01)*10000000,0)))))</f>
        <v/>
      </c>
      <c r="C167" s="136">
        <f>IF(158&gt;COUNT(Transaksi!$X$16:$X$5015),"",INDEX(Transaksi!$J$1:$J$5015,ROUND(MOD(MOD(SMALL(Transaksi!$X$16:$X$5015,158),1),0.01)*10000000,0))&amp;IF(INDEX(Transaksi!$D$1:$D$5015,ROUND(MOD(MOD(SMALL(Transaksi!$X$16:$X$5015,158),1),0.01)*10000000,0))="Pindah",IF(INDEX(Transaksi!$C$1:$C$5015,ROUND(MOD(MOD(SMALL(Transaksi!$X$16:$X$5015,158),1),0.01)*10000000,0))=$C$4," (ke "&amp;INDEX(Transaksi!$E$1:$E$5015,ROUND(MOD(MOD(SMALL(Transaksi!$X$16:$X$5015,158),1),0.01)*10000000,0))&amp;")"," (dari "&amp;INDEX(Transaksi!$C$1:$C$5015,ROUND(MOD(MOD(SMALL(Transaksi!$X$16:$X$5015,158),1),0.01)*10000000,0))&amp;")"),""))</f>
        <v/>
      </c>
      <c r="D167" s="137">
        <f>IF(158&gt;COUNT(Transaksi!$X$16:$X$5015),"",INDEX(Transaksi!$I$1:$I$5015,ROUND(MOD(MOD(SMALL(Transaksi!$X$16:$X$5015,158),1),0.01)*10000000,0)))</f>
        <v/>
      </c>
      <c r="E167" s="138">
        <f>IF(158&gt;COUNT(Transaksi!$X$16:$X$5015),"",IF(IF(INDEX(Transaksi!$C$1:$C$5015,ROUND(MOD(MOD(SMALL(Transaksi!$X$16:$X$5015,158),1),0.01)*10000000,0))=$C$4,IF(INDEX(Transaksi!$D$1:$D$5015,ROUND(MOD(MOD(SMALL(Transaksi!$X$16:$X$5015,158),1),0.01)*10000000,0))="Masuk",1,-1),1)&gt;0,INDEX(Transaksi!$F$1:$F$5015,ROUND(MOD(MOD(SMALL(Transaksi!$X$16:$X$5015,158),1),0.01)*10000000,0)),""))</f>
        <v/>
      </c>
      <c r="F167" s="139">
        <f>IF(158&gt;COUNT(Transaksi!$X$16:$X$5015),"",IF(IF(INDEX(Transaksi!$C$1:$C$5015,ROUND(MOD(MOD(SMALL(Transaksi!$X$16:$X$5015,158),1),0.01)*10000000,0))=$C$4,IF(INDEX(Transaksi!$D$1:$D$5015,ROUND(MOD(MOD(SMALL(Transaksi!$X$16:$X$5015,158),1),0.01)*10000000,0))="Masuk",1,-1),1)&lt;0,INDEX(Transaksi!$F$1:$F$5015,ROUND(MOD(MOD(SMALL(Transaksi!$X$16:$X$5015,158),1),0.01)*10000000,0)),""))</f>
        <v/>
      </c>
      <c r="G167" s="106">
        <f>IF(158&gt;COUNT(Transaksi!$X$16:$X$5015),"",N(G166)+N(E167)-N(F167))</f>
        <v/>
      </c>
      <c r="H167" s="137">
        <f>IF(158&gt;COUNT(Transaksi!$X$16:$X$5015),"",HYPERLINK("#Transaksi!B"&amp;A167,"Buka"))</f>
        <v/>
      </c>
    </row>
    <row r="168" ht="15" customHeight="1" s="94">
      <c r="A168" s="93">
        <f>IF(159&gt;COUNT(Transaksi!$X$16:$X$5015),"",ROUND(MOD(MOD(SMALL(Transaksi!$X$16:$X$5015,159),1),0.01)*10000000,0))</f>
        <v/>
      </c>
      <c r="B168" s="135">
        <f>IF(159&gt;COUNT(Transaksi!$X$16:$X$5015),"",IF(159=1,INDEX(Transaksi!$B$1:$B$5015,ROUND(MOD(MOD(SMALL(Transaksi!$X$16:$X$5015,159),1),0.01)*10000000,0)),IF(INDEX(Transaksi!$B$1:$B$5015,ROUND(MOD(MOD(SMALL(Transaksi!$X$16:$X$5015,159),1),0.01)*10000000,0))=INDEX(Transaksi!$B$1:$B$5015,A167),"",INDEX(Transaksi!$B$1:$B$5015,ROUND(MOD(MOD(SMALL(Transaksi!$X$16:$X$5015,159),1),0.01)*10000000,0)))))</f>
        <v/>
      </c>
      <c r="C168" s="136">
        <f>IF(159&gt;COUNT(Transaksi!$X$16:$X$5015),"",INDEX(Transaksi!$J$1:$J$5015,ROUND(MOD(MOD(SMALL(Transaksi!$X$16:$X$5015,159),1),0.01)*10000000,0))&amp;IF(INDEX(Transaksi!$D$1:$D$5015,ROUND(MOD(MOD(SMALL(Transaksi!$X$16:$X$5015,159),1),0.01)*10000000,0))="Pindah",IF(INDEX(Transaksi!$C$1:$C$5015,ROUND(MOD(MOD(SMALL(Transaksi!$X$16:$X$5015,159),1),0.01)*10000000,0))=$C$4," (ke "&amp;INDEX(Transaksi!$E$1:$E$5015,ROUND(MOD(MOD(SMALL(Transaksi!$X$16:$X$5015,159),1),0.01)*10000000,0))&amp;")"," (dari "&amp;INDEX(Transaksi!$C$1:$C$5015,ROUND(MOD(MOD(SMALL(Transaksi!$X$16:$X$5015,159),1),0.01)*10000000,0))&amp;")"),""))</f>
        <v/>
      </c>
      <c r="D168" s="137">
        <f>IF(159&gt;COUNT(Transaksi!$X$16:$X$5015),"",INDEX(Transaksi!$I$1:$I$5015,ROUND(MOD(MOD(SMALL(Transaksi!$X$16:$X$5015,159),1),0.01)*10000000,0)))</f>
        <v/>
      </c>
      <c r="E168" s="138">
        <f>IF(159&gt;COUNT(Transaksi!$X$16:$X$5015),"",IF(IF(INDEX(Transaksi!$C$1:$C$5015,ROUND(MOD(MOD(SMALL(Transaksi!$X$16:$X$5015,159),1),0.01)*10000000,0))=$C$4,IF(INDEX(Transaksi!$D$1:$D$5015,ROUND(MOD(MOD(SMALL(Transaksi!$X$16:$X$5015,159),1),0.01)*10000000,0))="Masuk",1,-1),1)&gt;0,INDEX(Transaksi!$F$1:$F$5015,ROUND(MOD(MOD(SMALL(Transaksi!$X$16:$X$5015,159),1),0.01)*10000000,0)),""))</f>
        <v/>
      </c>
      <c r="F168" s="139">
        <f>IF(159&gt;COUNT(Transaksi!$X$16:$X$5015),"",IF(IF(INDEX(Transaksi!$C$1:$C$5015,ROUND(MOD(MOD(SMALL(Transaksi!$X$16:$X$5015,159),1),0.01)*10000000,0))=$C$4,IF(INDEX(Transaksi!$D$1:$D$5015,ROUND(MOD(MOD(SMALL(Transaksi!$X$16:$X$5015,159),1),0.01)*10000000,0))="Masuk",1,-1),1)&lt;0,INDEX(Transaksi!$F$1:$F$5015,ROUND(MOD(MOD(SMALL(Transaksi!$X$16:$X$5015,159),1),0.01)*10000000,0)),""))</f>
        <v/>
      </c>
      <c r="G168" s="106">
        <f>IF(159&gt;COUNT(Transaksi!$X$16:$X$5015),"",N(G167)+N(E168)-N(F168))</f>
        <v/>
      </c>
      <c r="H168" s="137">
        <f>IF(159&gt;COUNT(Transaksi!$X$16:$X$5015),"",HYPERLINK("#Transaksi!B"&amp;A168,"Buka"))</f>
        <v/>
      </c>
    </row>
    <row r="169" ht="15" customHeight="1" s="94">
      <c r="A169" s="93">
        <f>IF(160&gt;COUNT(Transaksi!$X$16:$X$5015),"",ROUND(MOD(MOD(SMALL(Transaksi!$X$16:$X$5015,160),1),0.01)*10000000,0))</f>
        <v/>
      </c>
      <c r="B169" s="135">
        <f>IF(160&gt;COUNT(Transaksi!$X$16:$X$5015),"",IF(160=1,INDEX(Transaksi!$B$1:$B$5015,ROUND(MOD(MOD(SMALL(Transaksi!$X$16:$X$5015,160),1),0.01)*10000000,0)),IF(INDEX(Transaksi!$B$1:$B$5015,ROUND(MOD(MOD(SMALL(Transaksi!$X$16:$X$5015,160),1),0.01)*10000000,0))=INDEX(Transaksi!$B$1:$B$5015,A168),"",INDEX(Transaksi!$B$1:$B$5015,ROUND(MOD(MOD(SMALL(Transaksi!$X$16:$X$5015,160),1),0.01)*10000000,0)))))</f>
        <v/>
      </c>
      <c r="C169" s="136">
        <f>IF(160&gt;COUNT(Transaksi!$X$16:$X$5015),"",INDEX(Transaksi!$J$1:$J$5015,ROUND(MOD(MOD(SMALL(Transaksi!$X$16:$X$5015,160),1),0.01)*10000000,0))&amp;IF(INDEX(Transaksi!$D$1:$D$5015,ROUND(MOD(MOD(SMALL(Transaksi!$X$16:$X$5015,160),1),0.01)*10000000,0))="Pindah",IF(INDEX(Transaksi!$C$1:$C$5015,ROUND(MOD(MOD(SMALL(Transaksi!$X$16:$X$5015,160),1),0.01)*10000000,0))=$C$4," (ke "&amp;INDEX(Transaksi!$E$1:$E$5015,ROUND(MOD(MOD(SMALL(Transaksi!$X$16:$X$5015,160),1),0.01)*10000000,0))&amp;")"," (dari "&amp;INDEX(Transaksi!$C$1:$C$5015,ROUND(MOD(MOD(SMALL(Transaksi!$X$16:$X$5015,160),1),0.01)*10000000,0))&amp;")"),""))</f>
        <v/>
      </c>
      <c r="D169" s="137">
        <f>IF(160&gt;COUNT(Transaksi!$X$16:$X$5015),"",INDEX(Transaksi!$I$1:$I$5015,ROUND(MOD(MOD(SMALL(Transaksi!$X$16:$X$5015,160),1),0.01)*10000000,0)))</f>
        <v/>
      </c>
      <c r="E169" s="138">
        <f>IF(160&gt;COUNT(Transaksi!$X$16:$X$5015),"",IF(IF(INDEX(Transaksi!$C$1:$C$5015,ROUND(MOD(MOD(SMALL(Transaksi!$X$16:$X$5015,160),1),0.01)*10000000,0))=$C$4,IF(INDEX(Transaksi!$D$1:$D$5015,ROUND(MOD(MOD(SMALL(Transaksi!$X$16:$X$5015,160),1),0.01)*10000000,0))="Masuk",1,-1),1)&gt;0,INDEX(Transaksi!$F$1:$F$5015,ROUND(MOD(MOD(SMALL(Transaksi!$X$16:$X$5015,160),1),0.01)*10000000,0)),""))</f>
        <v/>
      </c>
      <c r="F169" s="139">
        <f>IF(160&gt;COUNT(Transaksi!$X$16:$X$5015),"",IF(IF(INDEX(Transaksi!$C$1:$C$5015,ROUND(MOD(MOD(SMALL(Transaksi!$X$16:$X$5015,160),1),0.01)*10000000,0))=$C$4,IF(INDEX(Transaksi!$D$1:$D$5015,ROUND(MOD(MOD(SMALL(Transaksi!$X$16:$X$5015,160),1),0.01)*10000000,0))="Masuk",1,-1),1)&lt;0,INDEX(Transaksi!$F$1:$F$5015,ROUND(MOD(MOD(SMALL(Transaksi!$X$16:$X$5015,160),1),0.01)*10000000,0)),""))</f>
        <v/>
      </c>
      <c r="G169" s="106">
        <f>IF(160&gt;COUNT(Transaksi!$X$16:$X$5015),"",N(G168)+N(E169)-N(F169))</f>
        <v/>
      </c>
      <c r="H169" s="137">
        <f>IF(160&gt;COUNT(Transaksi!$X$16:$X$5015),"",HYPERLINK("#Transaksi!B"&amp;A169,"Buka"))</f>
        <v/>
      </c>
    </row>
    <row r="170" ht="15" customHeight="1" s="94">
      <c r="A170" s="93">
        <f>IF(161&gt;COUNT(Transaksi!$X$16:$X$5015),"",ROUND(MOD(MOD(SMALL(Transaksi!$X$16:$X$5015,161),1),0.01)*10000000,0))</f>
        <v/>
      </c>
      <c r="B170" s="135">
        <f>IF(161&gt;COUNT(Transaksi!$X$16:$X$5015),"",IF(161=1,INDEX(Transaksi!$B$1:$B$5015,ROUND(MOD(MOD(SMALL(Transaksi!$X$16:$X$5015,161),1),0.01)*10000000,0)),IF(INDEX(Transaksi!$B$1:$B$5015,ROUND(MOD(MOD(SMALL(Transaksi!$X$16:$X$5015,161),1),0.01)*10000000,0))=INDEX(Transaksi!$B$1:$B$5015,A169),"",INDEX(Transaksi!$B$1:$B$5015,ROUND(MOD(MOD(SMALL(Transaksi!$X$16:$X$5015,161),1),0.01)*10000000,0)))))</f>
        <v/>
      </c>
      <c r="C170" s="136">
        <f>IF(161&gt;COUNT(Transaksi!$X$16:$X$5015),"",INDEX(Transaksi!$J$1:$J$5015,ROUND(MOD(MOD(SMALL(Transaksi!$X$16:$X$5015,161),1),0.01)*10000000,0))&amp;IF(INDEX(Transaksi!$D$1:$D$5015,ROUND(MOD(MOD(SMALL(Transaksi!$X$16:$X$5015,161),1),0.01)*10000000,0))="Pindah",IF(INDEX(Transaksi!$C$1:$C$5015,ROUND(MOD(MOD(SMALL(Transaksi!$X$16:$X$5015,161),1),0.01)*10000000,0))=$C$4," (ke "&amp;INDEX(Transaksi!$E$1:$E$5015,ROUND(MOD(MOD(SMALL(Transaksi!$X$16:$X$5015,161),1),0.01)*10000000,0))&amp;")"," (dari "&amp;INDEX(Transaksi!$C$1:$C$5015,ROUND(MOD(MOD(SMALL(Transaksi!$X$16:$X$5015,161),1),0.01)*10000000,0))&amp;")"),""))</f>
        <v/>
      </c>
      <c r="D170" s="137">
        <f>IF(161&gt;COUNT(Transaksi!$X$16:$X$5015),"",INDEX(Transaksi!$I$1:$I$5015,ROUND(MOD(MOD(SMALL(Transaksi!$X$16:$X$5015,161),1),0.01)*10000000,0)))</f>
        <v/>
      </c>
      <c r="E170" s="138">
        <f>IF(161&gt;COUNT(Transaksi!$X$16:$X$5015),"",IF(IF(INDEX(Transaksi!$C$1:$C$5015,ROUND(MOD(MOD(SMALL(Transaksi!$X$16:$X$5015,161),1),0.01)*10000000,0))=$C$4,IF(INDEX(Transaksi!$D$1:$D$5015,ROUND(MOD(MOD(SMALL(Transaksi!$X$16:$X$5015,161),1),0.01)*10000000,0))="Masuk",1,-1),1)&gt;0,INDEX(Transaksi!$F$1:$F$5015,ROUND(MOD(MOD(SMALL(Transaksi!$X$16:$X$5015,161),1),0.01)*10000000,0)),""))</f>
        <v/>
      </c>
      <c r="F170" s="139">
        <f>IF(161&gt;COUNT(Transaksi!$X$16:$X$5015),"",IF(IF(INDEX(Transaksi!$C$1:$C$5015,ROUND(MOD(MOD(SMALL(Transaksi!$X$16:$X$5015,161),1),0.01)*10000000,0))=$C$4,IF(INDEX(Transaksi!$D$1:$D$5015,ROUND(MOD(MOD(SMALL(Transaksi!$X$16:$X$5015,161),1),0.01)*10000000,0))="Masuk",1,-1),1)&lt;0,INDEX(Transaksi!$F$1:$F$5015,ROUND(MOD(MOD(SMALL(Transaksi!$X$16:$X$5015,161),1),0.01)*10000000,0)),""))</f>
        <v/>
      </c>
      <c r="G170" s="106">
        <f>IF(161&gt;COUNT(Transaksi!$X$16:$X$5015),"",N(G169)+N(E170)-N(F170))</f>
        <v/>
      </c>
      <c r="H170" s="137">
        <f>IF(161&gt;COUNT(Transaksi!$X$16:$X$5015),"",HYPERLINK("#Transaksi!B"&amp;A170,"Buka"))</f>
        <v/>
      </c>
    </row>
    <row r="171" ht="15" customHeight="1" s="94">
      <c r="A171" s="93">
        <f>IF(162&gt;COUNT(Transaksi!$X$16:$X$5015),"",ROUND(MOD(MOD(SMALL(Transaksi!$X$16:$X$5015,162),1),0.01)*10000000,0))</f>
        <v/>
      </c>
      <c r="B171" s="135">
        <f>IF(162&gt;COUNT(Transaksi!$X$16:$X$5015),"",IF(162=1,INDEX(Transaksi!$B$1:$B$5015,ROUND(MOD(MOD(SMALL(Transaksi!$X$16:$X$5015,162),1),0.01)*10000000,0)),IF(INDEX(Transaksi!$B$1:$B$5015,ROUND(MOD(MOD(SMALL(Transaksi!$X$16:$X$5015,162),1),0.01)*10000000,0))=INDEX(Transaksi!$B$1:$B$5015,A170),"",INDEX(Transaksi!$B$1:$B$5015,ROUND(MOD(MOD(SMALL(Transaksi!$X$16:$X$5015,162),1),0.01)*10000000,0)))))</f>
        <v/>
      </c>
      <c r="C171" s="136">
        <f>IF(162&gt;COUNT(Transaksi!$X$16:$X$5015),"",INDEX(Transaksi!$J$1:$J$5015,ROUND(MOD(MOD(SMALL(Transaksi!$X$16:$X$5015,162),1),0.01)*10000000,0))&amp;IF(INDEX(Transaksi!$D$1:$D$5015,ROUND(MOD(MOD(SMALL(Transaksi!$X$16:$X$5015,162),1),0.01)*10000000,0))="Pindah",IF(INDEX(Transaksi!$C$1:$C$5015,ROUND(MOD(MOD(SMALL(Transaksi!$X$16:$X$5015,162),1),0.01)*10000000,0))=$C$4," (ke "&amp;INDEX(Transaksi!$E$1:$E$5015,ROUND(MOD(MOD(SMALL(Transaksi!$X$16:$X$5015,162),1),0.01)*10000000,0))&amp;")"," (dari "&amp;INDEX(Transaksi!$C$1:$C$5015,ROUND(MOD(MOD(SMALL(Transaksi!$X$16:$X$5015,162),1),0.01)*10000000,0))&amp;")"),""))</f>
        <v/>
      </c>
      <c r="D171" s="137">
        <f>IF(162&gt;COUNT(Transaksi!$X$16:$X$5015),"",INDEX(Transaksi!$I$1:$I$5015,ROUND(MOD(MOD(SMALL(Transaksi!$X$16:$X$5015,162),1),0.01)*10000000,0)))</f>
        <v/>
      </c>
      <c r="E171" s="138">
        <f>IF(162&gt;COUNT(Transaksi!$X$16:$X$5015),"",IF(IF(INDEX(Transaksi!$C$1:$C$5015,ROUND(MOD(MOD(SMALL(Transaksi!$X$16:$X$5015,162),1),0.01)*10000000,0))=$C$4,IF(INDEX(Transaksi!$D$1:$D$5015,ROUND(MOD(MOD(SMALL(Transaksi!$X$16:$X$5015,162),1),0.01)*10000000,0))="Masuk",1,-1),1)&gt;0,INDEX(Transaksi!$F$1:$F$5015,ROUND(MOD(MOD(SMALL(Transaksi!$X$16:$X$5015,162),1),0.01)*10000000,0)),""))</f>
        <v/>
      </c>
      <c r="F171" s="139">
        <f>IF(162&gt;COUNT(Transaksi!$X$16:$X$5015),"",IF(IF(INDEX(Transaksi!$C$1:$C$5015,ROUND(MOD(MOD(SMALL(Transaksi!$X$16:$X$5015,162),1),0.01)*10000000,0))=$C$4,IF(INDEX(Transaksi!$D$1:$D$5015,ROUND(MOD(MOD(SMALL(Transaksi!$X$16:$X$5015,162),1),0.01)*10000000,0))="Masuk",1,-1),1)&lt;0,INDEX(Transaksi!$F$1:$F$5015,ROUND(MOD(MOD(SMALL(Transaksi!$X$16:$X$5015,162),1),0.01)*10000000,0)),""))</f>
        <v/>
      </c>
      <c r="G171" s="106">
        <f>IF(162&gt;COUNT(Transaksi!$X$16:$X$5015),"",N(G170)+N(E171)-N(F171))</f>
        <v/>
      </c>
      <c r="H171" s="137">
        <f>IF(162&gt;COUNT(Transaksi!$X$16:$X$5015),"",HYPERLINK("#Transaksi!B"&amp;A171,"Buka"))</f>
        <v/>
      </c>
    </row>
    <row r="172" ht="15" customHeight="1" s="94">
      <c r="A172" s="93">
        <f>IF(163&gt;COUNT(Transaksi!$X$16:$X$5015),"",ROUND(MOD(MOD(SMALL(Transaksi!$X$16:$X$5015,163),1),0.01)*10000000,0))</f>
        <v/>
      </c>
      <c r="B172" s="135">
        <f>IF(163&gt;COUNT(Transaksi!$X$16:$X$5015),"",IF(163=1,INDEX(Transaksi!$B$1:$B$5015,ROUND(MOD(MOD(SMALL(Transaksi!$X$16:$X$5015,163),1),0.01)*10000000,0)),IF(INDEX(Transaksi!$B$1:$B$5015,ROUND(MOD(MOD(SMALL(Transaksi!$X$16:$X$5015,163),1),0.01)*10000000,0))=INDEX(Transaksi!$B$1:$B$5015,A171),"",INDEX(Transaksi!$B$1:$B$5015,ROUND(MOD(MOD(SMALL(Transaksi!$X$16:$X$5015,163),1),0.01)*10000000,0)))))</f>
        <v/>
      </c>
      <c r="C172" s="136">
        <f>IF(163&gt;COUNT(Transaksi!$X$16:$X$5015),"",INDEX(Transaksi!$J$1:$J$5015,ROUND(MOD(MOD(SMALL(Transaksi!$X$16:$X$5015,163),1),0.01)*10000000,0))&amp;IF(INDEX(Transaksi!$D$1:$D$5015,ROUND(MOD(MOD(SMALL(Transaksi!$X$16:$X$5015,163),1),0.01)*10000000,0))="Pindah",IF(INDEX(Transaksi!$C$1:$C$5015,ROUND(MOD(MOD(SMALL(Transaksi!$X$16:$X$5015,163),1),0.01)*10000000,0))=$C$4," (ke "&amp;INDEX(Transaksi!$E$1:$E$5015,ROUND(MOD(MOD(SMALL(Transaksi!$X$16:$X$5015,163),1),0.01)*10000000,0))&amp;")"," (dari "&amp;INDEX(Transaksi!$C$1:$C$5015,ROUND(MOD(MOD(SMALL(Transaksi!$X$16:$X$5015,163),1),0.01)*10000000,0))&amp;")"),""))</f>
        <v/>
      </c>
      <c r="D172" s="137">
        <f>IF(163&gt;COUNT(Transaksi!$X$16:$X$5015),"",INDEX(Transaksi!$I$1:$I$5015,ROUND(MOD(MOD(SMALL(Transaksi!$X$16:$X$5015,163),1),0.01)*10000000,0)))</f>
        <v/>
      </c>
      <c r="E172" s="138">
        <f>IF(163&gt;COUNT(Transaksi!$X$16:$X$5015),"",IF(IF(INDEX(Transaksi!$C$1:$C$5015,ROUND(MOD(MOD(SMALL(Transaksi!$X$16:$X$5015,163),1),0.01)*10000000,0))=$C$4,IF(INDEX(Transaksi!$D$1:$D$5015,ROUND(MOD(MOD(SMALL(Transaksi!$X$16:$X$5015,163),1),0.01)*10000000,0))="Masuk",1,-1),1)&gt;0,INDEX(Transaksi!$F$1:$F$5015,ROUND(MOD(MOD(SMALL(Transaksi!$X$16:$X$5015,163),1),0.01)*10000000,0)),""))</f>
        <v/>
      </c>
      <c r="F172" s="139">
        <f>IF(163&gt;COUNT(Transaksi!$X$16:$X$5015),"",IF(IF(INDEX(Transaksi!$C$1:$C$5015,ROUND(MOD(MOD(SMALL(Transaksi!$X$16:$X$5015,163),1),0.01)*10000000,0))=$C$4,IF(INDEX(Transaksi!$D$1:$D$5015,ROUND(MOD(MOD(SMALL(Transaksi!$X$16:$X$5015,163),1),0.01)*10000000,0))="Masuk",1,-1),1)&lt;0,INDEX(Transaksi!$F$1:$F$5015,ROUND(MOD(MOD(SMALL(Transaksi!$X$16:$X$5015,163),1),0.01)*10000000,0)),""))</f>
        <v/>
      </c>
      <c r="G172" s="106">
        <f>IF(163&gt;COUNT(Transaksi!$X$16:$X$5015),"",N(G171)+N(E172)-N(F172))</f>
        <v/>
      </c>
      <c r="H172" s="137">
        <f>IF(163&gt;COUNT(Transaksi!$X$16:$X$5015),"",HYPERLINK("#Transaksi!B"&amp;A172,"Buka"))</f>
        <v/>
      </c>
    </row>
    <row r="173" ht="15" customHeight="1" s="94">
      <c r="A173" s="93">
        <f>IF(164&gt;COUNT(Transaksi!$X$16:$X$5015),"",ROUND(MOD(MOD(SMALL(Transaksi!$X$16:$X$5015,164),1),0.01)*10000000,0))</f>
        <v/>
      </c>
      <c r="B173" s="135">
        <f>IF(164&gt;COUNT(Transaksi!$X$16:$X$5015),"",IF(164=1,INDEX(Transaksi!$B$1:$B$5015,ROUND(MOD(MOD(SMALL(Transaksi!$X$16:$X$5015,164),1),0.01)*10000000,0)),IF(INDEX(Transaksi!$B$1:$B$5015,ROUND(MOD(MOD(SMALL(Transaksi!$X$16:$X$5015,164),1),0.01)*10000000,0))=INDEX(Transaksi!$B$1:$B$5015,A172),"",INDEX(Transaksi!$B$1:$B$5015,ROUND(MOD(MOD(SMALL(Transaksi!$X$16:$X$5015,164),1),0.01)*10000000,0)))))</f>
        <v/>
      </c>
      <c r="C173" s="136">
        <f>IF(164&gt;COUNT(Transaksi!$X$16:$X$5015),"",INDEX(Transaksi!$J$1:$J$5015,ROUND(MOD(MOD(SMALL(Transaksi!$X$16:$X$5015,164),1),0.01)*10000000,0))&amp;IF(INDEX(Transaksi!$D$1:$D$5015,ROUND(MOD(MOD(SMALL(Transaksi!$X$16:$X$5015,164),1),0.01)*10000000,0))="Pindah",IF(INDEX(Transaksi!$C$1:$C$5015,ROUND(MOD(MOD(SMALL(Transaksi!$X$16:$X$5015,164),1),0.01)*10000000,0))=$C$4," (ke "&amp;INDEX(Transaksi!$E$1:$E$5015,ROUND(MOD(MOD(SMALL(Transaksi!$X$16:$X$5015,164),1),0.01)*10000000,0))&amp;")"," (dari "&amp;INDEX(Transaksi!$C$1:$C$5015,ROUND(MOD(MOD(SMALL(Transaksi!$X$16:$X$5015,164),1),0.01)*10000000,0))&amp;")"),""))</f>
        <v/>
      </c>
      <c r="D173" s="137">
        <f>IF(164&gt;COUNT(Transaksi!$X$16:$X$5015),"",INDEX(Transaksi!$I$1:$I$5015,ROUND(MOD(MOD(SMALL(Transaksi!$X$16:$X$5015,164),1),0.01)*10000000,0)))</f>
        <v/>
      </c>
      <c r="E173" s="138">
        <f>IF(164&gt;COUNT(Transaksi!$X$16:$X$5015),"",IF(IF(INDEX(Transaksi!$C$1:$C$5015,ROUND(MOD(MOD(SMALL(Transaksi!$X$16:$X$5015,164),1),0.01)*10000000,0))=$C$4,IF(INDEX(Transaksi!$D$1:$D$5015,ROUND(MOD(MOD(SMALL(Transaksi!$X$16:$X$5015,164),1),0.01)*10000000,0))="Masuk",1,-1),1)&gt;0,INDEX(Transaksi!$F$1:$F$5015,ROUND(MOD(MOD(SMALL(Transaksi!$X$16:$X$5015,164),1),0.01)*10000000,0)),""))</f>
        <v/>
      </c>
      <c r="F173" s="139">
        <f>IF(164&gt;COUNT(Transaksi!$X$16:$X$5015),"",IF(IF(INDEX(Transaksi!$C$1:$C$5015,ROUND(MOD(MOD(SMALL(Transaksi!$X$16:$X$5015,164),1),0.01)*10000000,0))=$C$4,IF(INDEX(Transaksi!$D$1:$D$5015,ROUND(MOD(MOD(SMALL(Transaksi!$X$16:$X$5015,164),1),0.01)*10000000,0))="Masuk",1,-1),1)&lt;0,INDEX(Transaksi!$F$1:$F$5015,ROUND(MOD(MOD(SMALL(Transaksi!$X$16:$X$5015,164),1),0.01)*10000000,0)),""))</f>
        <v/>
      </c>
      <c r="G173" s="106">
        <f>IF(164&gt;COUNT(Transaksi!$X$16:$X$5015),"",N(G172)+N(E173)-N(F173))</f>
        <v/>
      </c>
      <c r="H173" s="137">
        <f>IF(164&gt;COUNT(Transaksi!$X$16:$X$5015),"",HYPERLINK("#Transaksi!B"&amp;A173,"Buka"))</f>
        <v/>
      </c>
    </row>
    <row r="174" ht="15" customHeight="1" s="94">
      <c r="A174" s="93">
        <f>IF(165&gt;COUNT(Transaksi!$X$16:$X$5015),"",ROUND(MOD(MOD(SMALL(Transaksi!$X$16:$X$5015,165),1),0.01)*10000000,0))</f>
        <v/>
      </c>
      <c r="B174" s="135">
        <f>IF(165&gt;COUNT(Transaksi!$X$16:$X$5015),"",IF(165=1,INDEX(Transaksi!$B$1:$B$5015,ROUND(MOD(MOD(SMALL(Transaksi!$X$16:$X$5015,165),1),0.01)*10000000,0)),IF(INDEX(Transaksi!$B$1:$B$5015,ROUND(MOD(MOD(SMALL(Transaksi!$X$16:$X$5015,165),1),0.01)*10000000,0))=INDEX(Transaksi!$B$1:$B$5015,A173),"",INDEX(Transaksi!$B$1:$B$5015,ROUND(MOD(MOD(SMALL(Transaksi!$X$16:$X$5015,165),1),0.01)*10000000,0)))))</f>
        <v/>
      </c>
      <c r="C174" s="136">
        <f>IF(165&gt;COUNT(Transaksi!$X$16:$X$5015),"",INDEX(Transaksi!$J$1:$J$5015,ROUND(MOD(MOD(SMALL(Transaksi!$X$16:$X$5015,165),1),0.01)*10000000,0))&amp;IF(INDEX(Transaksi!$D$1:$D$5015,ROUND(MOD(MOD(SMALL(Transaksi!$X$16:$X$5015,165),1),0.01)*10000000,0))="Pindah",IF(INDEX(Transaksi!$C$1:$C$5015,ROUND(MOD(MOD(SMALL(Transaksi!$X$16:$X$5015,165),1),0.01)*10000000,0))=$C$4," (ke "&amp;INDEX(Transaksi!$E$1:$E$5015,ROUND(MOD(MOD(SMALL(Transaksi!$X$16:$X$5015,165),1),0.01)*10000000,0))&amp;")"," (dari "&amp;INDEX(Transaksi!$C$1:$C$5015,ROUND(MOD(MOD(SMALL(Transaksi!$X$16:$X$5015,165),1),0.01)*10000000,0))&amp;")"),""))</f>
        <v/>
      </c>
      <c r="D174" s="137">
        <f>IF(165&gt;COUNT(Transaksi!$X$16:$X$5015),"",INDEX(Transaksi!$I$1:$I$5015,ROUND(MOD(MOD(SMALL(Transaksi!$X$16:$X$5015,165),1),0.01)*10000000,0)))</f>
        <v/>
      </c>
      <c r="E174" s="138">
        <f>IF(165&gt;COUNT(Transaksi!$X$16:$X$5015),"",IF(IF(INDEX(Transaksi!$C$1:$C$5015,ROUND(MOD(MOD(SMALL(Transaksi!$X$16:$X$5015,165),1),0.01)*10000000,0))=$C$4,IF(INDEX(Transaksi!$D$1:$D$5015,ROUND(MOD(MOD(SMALL(Transaksi!$X$16:$X$5015,165),1),0.01)*10000000,0))="Masuk",1,-1),1)&gt;0,INDEX(Transaksi!$F$1:$F$5015,ROUND(MOD(MOD(SMALL(Transaksi!$X$16:$X$5015,165),1),0.01)*10000000,0)),""))</f>
        <v/>
      </c>
      <c r="F174" s="139">
        <f>IF(165&gt;COUNT(Transaksi!$X$16:$X$5015),"",IF(IF(INDEX(Transaksi!$C$1:$C$5015,ROUND(MOD(MOD(SMALL(Transaksi!$X$16:$X$5015,165),1),0.01)*10000000,0))=$C$4,IF(INDEX(Transaksi!$D$1:$D$5015,ROUND(MOD(MOD(SMALL(Transaksi!$X$16:$X$5015,165),1),0.01)*10000000,0))="Masuk",1,-1),1)&lt;0,INDEX(Transaksi!$F$1:$F$5015,ROUND(MOD(MOD(SMALL(Transaksi!$X$16:$X$5015,165),1),0.01)*10000000,0)),""))</f>
        <v/>
      </c>
      <c r="G174" s="106">
        <f>IF(165&gt;COUNT(Transaksi!$X$16:$X$5015),"",N(G173)+N(E174)-N(F174))</f>
        <v/>
      </c>
      <c r="H174" s="137">
        <f>IF(165&gt;COUNT(Transaksi!$X$16:$X$5015),"",HYPERLINK("#Transaksi!B"&amp;A174,"Buka"))</f>
        <v/>
      </c>
    </row>
    <row r="175" ht="15" customHeight="1" s="94">
      <c r="A175" s="93">
        <f>IF(166&gt;COUNT(Transaksi!$X$16:$X$5015),"",ROUND(MOD(MOD(SMALL(Transaksi!$X$16:$X$5015,166),1),0.01)*10000000,0))</f>
        <v/>
      </c>
      <c r="B175" s="135">
        <f>IF(166&gt;COUNT(Transaksi!$X$16:$X$5015),"",IF(166=1,INDEX(Transaksi!$B$1:$B$5015,ROUND(MOD(MOD(SMALL(Transaksi!$X$16:$X$5015,166),1),0.01)*10000000,0)),IF(INDEX(Transaksi!$B$1:$B$5015,ROUND(MOD(MOD(SMALL(Transaksi!$X$16:$X$5015,166),1),0.01)*10000000,0))=INDEX(Transaksi!$B$1:$B$5015,A174),"",INDEX(Transaksi!$B$1:$B$5015,ROUND(MOD(MOD(SMALL(Transaksi!$X$16:$X$5015,166),1),0.01)*10000000,0)))))</f>
        <v/>
      </c>
      <c r="C175" s="136">
        <f>IF(166&gt;COUNT(Transaksi!$X$16:$X$5015),"",INDEX(Transaksi!$J$1:$J$5015,ROUND(MOD(MOD(SMALL(Transaksi!$X$16:$X$5015,166),1),0.01)*10000000,0))&amp;IF(INDEX(Transaksi!$D$1:$D$5015,ROUND(MOD(MOD(SMALL(Transaksi!$X$16:$X$5015,166),1),0.01)*10000000,0))="Pindah",IF(INDEX(Transaksi!$C$1:$C$5015,ROUND(MOD(MOD(SMALL(Transaksi!$X$16:$X$5015,166),1),0.01)*10000000,0))=$C$4," (ke "&amp;INDEX(Transaksi!$E$1:$E$5015,ROUND(MOD(MOD(SMALL(Transaksi!$X$16:$X$5015,166),1),0.01)*10000000,0))&amp;")"," (dari "&amp;INDEX(Transaksi!$C$1:$C$5015,ROUND(MOD(MOD(SMALL(Transaksi!$X$16:$X$5015,166),1),0.01)*10000000,0))&amp;")"),""))</f>
        <v/>
      </c>
      <c r="D175" s="137">
        <f>IF(166&gt;COUNT(Transaksi!$X$16:$X$5015),"",INDEX(Transaksi!$I$1:$I$5015,ROUND(MOD(MOD(SMALL(Transaksi!$X$16:$X$5015,166),1),0.01)*10000000,0)))</f>
        <v/>
      </c>
      <c r="E175" s="138">
        <f>IF(166&gt;COUNT(Transaksi!$X$16:$X$5015),"",IF(IF(INDEX(Transaksi!$C$1:$C$5015,ROUND(MOD(MOD(SMALL(Transaksi!$X$16:$X$5015,166),1),0.01)*10000000,0))=$C$4,IF(INDEX(Transaksi!$D$1:$D$5015,ROUND(MOD(MOD(SMALL(Transaksi!$X$16:$X$5015,166),1),0.01)*10000000,0))="Masuk",1,-1),1)&gt;0,INDEX(Transaksi!$F$1:$F$5015,ROUND(MOD(MOD(SMALL(Transaksi!$X$16:$X$5015,166),1),0.01)*10000000,0)),""))</f>
        <v/>
      </c>
      <c r="F175" s="139">
        <f>IF(166&gt;COUNT(Transaksi!$X$16:$X$5015),"",IF(IF(INDEX(Transaksi!$C$1:$C$5015,ROUND(MOD(MOD(SMALL(Transaksi!$X$16:$X$5015,166),1),0.01)*10000000,0))=$C$4,IF(INDEX(Transaksi!$D$1:$D$5015,ROUND(MOD(MOD(SMALL(Transaksi!$X$16:$X$5015,166),1),0.01)*10000000,0))="Masuk",1,-1),1)&lt;0,INDEX(Transaksi!$F$1:$F$5015,ROUND(MOD(MOD(SMALL(Transaksi!$X$16:$X$5015,166),1),0.01)*10000000,0)),""))</f>
        <v/>
      </c>
      <c r="G175" s="106">
        <f>IF(166&gt;COUNT(Transaksi!$X$16:$X$5015),"",N(G174)+N(E175)-N(F175))</f>
        <v/>
      </c>
      <c r="H175" s="137">
        <f>IF(166&gt;COUNT(Transaksi!$X$16:$X$5015),"",HYPERLINK("#Transaksi!B"&amp;A175,"Buka"))</f>
        <v/>
      </c>
    </row>
    <row r="176" ht="15" customHeight="1" s="94">
      <c r="A176" s="93">
        <f>IF(167&gt;COUNT(Transaksi!$X$16:$X$5015),"",ROUND(MOD(MOD(SMALL(Transaksi!$X$16:$X$5015,167),1),0.01)*10000000,0))</f>
        <v/>
      </c>
      <c r="B176" s="135">
        <f>IF(167&gt;COUNT(Transaksi!$X$16:$X$5015),"",IF(167=1,INDEX(Transaksi!$B$1:$B$5015,ROUND(MOD(MOD(SMALL(Transaksi!$X$16:$X$5015,167),1),0.01)*10000000,0)),IF(INDEX(Transaksi!$B$1:$B$5015,ROUND(MOD(MOD(SMALL(Transaksi!$X$16:$X$5015,167),1),0.01)*10000000,0))=INDEX(Transaksi!$B$1:$B$5015,A175),"",INDEX(Transaksi!$B$1:$B$5015,ROUND(MOD(MOD(SMALL(Transaksi!$X$16:$X$5015,167),1),0.01)*10000000,0)))))</f>
        <v/>
      </c>
      <c r="C176" s="136">
        <f>IF(167&gt;COUNT(Transaksi!$X$16:$X$5015),"",INDEX(Transaksi!$J$1:$J$5015,ROUND(MOD(MOD(SMALL(Transaksi!$X$16:$X$5015,167),1),0.01)*10000000,0))&amp;IF(INDEX(Transaksi!$D$1:$D$5015,ROUND(MOD(MOD(SMALL(Transaksi!$X$16:$X$5015,167),1),0.01)*10000000,0))="Pindah",IF(INDEX(Transaksi!$C$1:$C$5015,ROUND(MOD(MOD(SMALL(Transaksi!$X$16:$X$5015,167),1),0.01)*10000000,0))=$C$4," (ke "&amp;INDEX(Transaksi!$E$1:$E$5015,ROUND(MOD(MOD(SMALL(Transaksi!$X$16:$X$5015,167),1),0.01)*10000000,0))&amp;")"," (dari "&amp;INDEX(Transaksi!$C$1:$C$5015,ROUND(MOD(MOD(SMALL(Transaksi!$X$16:$X$5015,167),1),0.01)*10000000,0))&amp;")"),""))</f>
        <v/>
      </c>
      <c r="D176" s="137">
        <f>IF(167&gt;COUNT(Transaksi!$X$16:$X$5015),"",INDEX(Transaksi!$I$1:$I$5015,ROUND(MOD(MOD(SMALL(Transaksi!$X$16:$X$5015,167),1),0.01)*10000000,0)))</f>
        <v/>
      </c>
      <c r="E176" s="138">
        <f>IF(167&gt;COUNT(Transaksi!$X$16:$X$5015),"",IF(IF(INDEX(Transaksi!$C$1:$C$5015,ROUND(MOD(MOD(SMALL(Transaksi!$X$16:$X$5015,167),1),0.01)*10000000,0))=$C$4,IF(INDEX(Transaksi!$D$1:$D$5015,ROUND(MOD(MOD(SMALL(Transaksi!$X$16:$X$5015,167),1),0.01)*10000000,0))="Masuk",1,-1),1)&gt;0,INDEX(Transaksi!$F$1:$F$5015,ROUND(MOD(MOD(SMALL(Transaksi!$X$16:$X$5015,167),1),0.01)*10000000,0)),""))</f>
        <v/>
      </c>
      <c r="F176" s="139">
        <f>IF(167&gt;COUNT(Transaksi!$X$16:$X$5015),"",IF(IF(INDEX(Transaksi!$C$1:$C$5015,ROUND(MOD(MOD(SMALL(Transaksi!$X$16:$X$5015,167),1),0.01)*10000000,0))=$C$4,IF(INDEX(Transaksi!$D$1:$D$5015,ROUND(MOD(MOD(SMALL(Transaksi!$X$16:$X$5015,167),1),0.01)*10000000,0))="Masuk",1,-1),1)&lt;0,INDEX(Transaksi!$F$1:$F$5015,ROUND(MOD(MOD(SMALL(Transaksi!$X$16:$X$5015,167),1),0.01)*10000000,0)),""))</f>
        <v/>
      </c>
      <c r="G176" s="106">
        <f>IF(167&gt;COUNT(Transaksi!$X$16:$X$5015),"",N(G175)+N(E176)-N(F176))</f>
        <v/>
      </c>
      <c r="H176" s="137">
        <f>IF(167&gt;COUNT(Transaksi!$X$16:$X$5015),"",HYPERLINK("#Transaksi!B"&amp;A176,"Buka"))</f>
        <v/>
      </c>
    </row>
    <row r="177" ht="15" customHeight="1" s="94">
      <c r="A177" s="93">
        <f>IF(168&gt;COUNT(Transaksi!$X$16:$X$5015),"",ROUND(MOD(MOD(SMALL(Transaksi!$X$16:$X$5015,168),1),0.01)*10000000,0))</f>
        <v/>
      </c>
      <c r="B177" s="135">
        <f>IF(168&gt;COUNT(Transaksi!$X$16:$X$5015),"",IF(168=1,INDEX(Transaksi!$B$1:$B$5015,ROUND(MOD(MOD(SMALL(Transaksi!$X$16:$X$5015,168),1),0.01)*10000000,0)),IF(INDEX(Transaksi!$B$1:$B$5015,ROUND(MOD(MOD(SMALL(Transaksi!$X$16:$X$5015,168),1),0.01)*10000000,0))=INDEX(Transaksi!$B$1:$B$5015,A176),"",INDEX(Transaksi!$B$1:$B$5015,ROUND(MOD(MOD(SMALL(Transaksi!$X$16:$X$5015,168),1),0.01)*10000000,0)))))</f>
        <v/>
      </c>
      <c r="C177" s="136">
        <f>IF(168&gt;COUNT(Transaksi!$X$16:$X$5015),"",INDEX(Transaksi!$J$1:$J$5015,ROUND(MOD(MOD(SMALL(Transaksi!$X$16:$X$5015,168),1),0.01)*10000000,0))&amp;IF(INDEX(Transaksi!$D$1:$D$5015,ROUND(MOD(MOD(SMALL(Transaksi!$X$16:$X$5015,168),1),0.01)*10000000,0))="Pindah",IF(INDEX(Transaksi!$C$1:$C$5015,ROUND(MOD(MOD(SMALL(Transaksi!$X$16:$X$5015,168),1),0.01)*10000000,0))=$C$4," (ke "&amp;INDEX(Transaksi!$E$1:$E$5015,ROUND(MOD(MOD(SMALL(Transaksi!$X$16:$X$5015,168),1),0.01)*10000000,0))&amp;")"," (dari "&amp;INDEX(Transaksi!$C$1:$C$5015,ROUND(MOD(MOD(SMALL(Transaksi!$X$16:$X$5015,168),1),0.01)*10000000,0))&amp;")"),""))</f>
        <v/>
      </c>
      <c r="D177" s="137">
        <f>IF(168&gt;COUNT(Transaksi!$X$16:$X$5015),"",INDEX(Transaksi!$I$1:$I$5015,ROUND(MOD(MOD(SMALL(Transaksi!$X$16:$X$5015,168),1),0.01)*10000000,0)))</f>
        <v/>
      </c>
      <c r="E177" s="138">
        <f>IF(168&gt;COUNT(Transaksi!$X$16:$X$5015),"",IF(IF(INDEX(Transaksi!$C$1:$C$5015,ROUND(MOD(MOD(SMALL(Transaksi!$X$16:$X$5015,168),1),0.01)*10000000,0))=$C$4,IF(INDEX(Transaksi!$D$1:$D$5015,ROUND(MOD(MOD(SMALL(Transaksi!$X$16:$X$5015,168),1),0.01)*10000000,0))="Masuk",1,-1),1)&gt;0,INDEX(Transaksi!$F$1:$F$5015,ROUND(MOD(MOD(SMALL(Transaksi!$X$16:$X$5015,168),1),0.01)*10000000,0)),""))</f>
        <v/>
      </c>
      <c r="F177" s="139">
        <f>IF(168&gt;COUNT(Transaksi!$X$16:$X$5015),"",IF(IF(INDEX(Transaksi!$C$1:$C$5015,ROUND(MOD(MOD(SMALL(Transaksi!$X$16:$X$5015,168),1),0.01)*10000000,0))=$C$4,IF(INDEX(Transaksi!$D$1:$D$5015,ROUND(MOD(MOD(SMALL(Transaksi!$X$16:$X$5015,168),1),0.01)*10000000,0))="Masuk",1,-1),1)&lt;0,INDEX(Transaksi!$F$1:$F$5015,ROUND(MOD(MOD(SMALL(Transaksi!$X$16:$X$5015,168),1),0.01)*10000000,0)),""))</f>
        <v/>
      </c>
      <c r="G177" s="106">
        <f>IF(168&gt;COUNT(Transaksi!$X$16:$X$5015),"",N(G176)+N(E177)-N(F177))</f>
        <v/>
      </c>
      <c r="H177" s="137">
        <f>IF(168&gt;COUNT(Transaksi!$X$16:$X$5015),"",HYPERLINK("#Transaksi!B"&amp;A177,"Buka"))</f>
        <v/>
      </c>
    </row>
    <row r="178" ht="15" customHeight="1" s="94">
      <c r="A178" s="93">
        <f>IF(169&gt;COUNT(Transaksi!$X$16:$X$5015),"",ROUND(MOD(MOD(SMALL(Transaksi!$X$16:$X$5015,169),1),0.01)*10000000,0))</f>
        <v/>
      </c>
      <c r="B178" s="135">
        <f>IF(169&gt;COUNT(Transaksi!$X$16:$X$5015),"",IF(169=1,INDEX(Transaksi!$B$1:$B$5015,ROUND(MOD(MOD(SMALL(Transaksi!$X$16:$X$5015,169),1),0.01)*10000000,0)),IF(INDEX(Transaksi!$B$1:$B$5015,ROUND(MOD(MOD(SMALL(Transaksi!$X$16:$X$5015,169),1),0.01)*10000000,0))=INDEX(Transaksi!$B$1:$B$5015,A177),"",INDEX(Transaksi!$B$1:$B$5015,ROUND(MOD(MOD(SMALL(Transaksi!$X$16:$X$5015,169),1),0.01)*10000000,0)))))</f>
        <v/>
      </c>
      <c r="C178" s="136">
        <f>IF(169&gt;COUNT(Transaksi!$X$16:$X$5015),"",INDEX(Transaksi!$J$1:$J$5015,ROUND(MOD(MOD(SMALL(Transaksi!$X$16:$X$5015,169),1),0.01)*10000000,0))&amp;IF(INDEX(Transaksi!$D$1:$D$5015,ROUND(MOD(MOD(SMALL(Transaksi!$X$16:$X$5015,169),1),0.01)*10000000,0))="Pindah",IF(INDEX(Transaksi!$C$1:$C$5015,ROUND(MOD(MOD(SMALL(Transaksi!$X$16:$X$5015,169),1),0.01)*10000000,0))=$C$4," (ke "&amp;INDEX(Transaksi!$E$1:$E$5015,ROUND(MOD(MOD(SMALL(Transaksi!$X$16:$X$5015,169),1),0.01)*10000000,0))&amp;")"," (dari "&amp;INDEX(Transaksi!$C$1:$C$5015,ROUND(MOD(MOD(SMALL(Transaksi!$X$16:$X$5015,169),1),0.01)*10000000,0))&amp;")"),""))</f>
        <v/>
      </c>
      <c r="D178" s="137">
        <f>IF(169&gt;COUNT(Transaksi!$X$16:$X$5015),"",INDEX(Transaksi!$I$1:$I$5015,ROUND(MOD(MOD(SMALL(Transaksi!$X$16:$X$5015,169),1),0.01)*10000000,0)))</f>
        <v/>
      </c>
      <c r="E178" s="138">
        <f>IF(169&gt;COUNT(Transaksi!$X$16:$X$5015),"",IF(IF(INDEX(Transaksi!$C$1:$C$5015,ROUND(MOD(MOD(SMALL(Transaksi!$X$16:$X$5015,169),1),0.01)*10000000,0))=$C$4,IF(INDEX(Transaksi!$D$1:$D$5015,ROUND(MOD(MOD(SMALL(Transaksi!$X$16:$X$5015,169),1),0.01)*10000000,0))="Masuk",1,-1),1)&gt;0,INDEX(Transaksi!$F$1:$F$5015,ROUND(MOD(MOD(SMALL(Transaksi!$X$16:$X$5015,169),1),0.01)*10000000,0)),""))</f>
        <v/>
      </c>
      <c r="F178" s="139">
        <f>IF(169&gt;COUNT(Transaksi!$X$16:$X$5015),"",IF(IF(INDEX(Transaksi!$C$1:$C$5015,ROUND(MOD(MOD(SMALL(Transaksi!$X$16:$X$5015,169),1),0.01)*10000000,0))=$C$4,IF(INDEX(Transaksi!$D$1:$D$5015,ROUND(MOD(MOD(SMALL(Transaksi!$X$16:$X$5015,169),1),0.01)*10000000,0))="Masuk",1,-1),1)&lt;0,INDEX(Transaksi!$F$1:$F$5015,ROUND(MOD(MOD(SMALL(Transaksi!$X$16:$X$5015,169),1),0.01)*10000000,0)),""))</f>
        <v/>
      </c>
      <c r="G178" s="106">
        <f>IF(169&gt;COUNT(Transaksi!$X$16:$X$5015),"",N(G177)+N(E178)-N(F178))</f>
        <v/>
      </c>
      <c r="H178" s="137">
        <f>IF(169&gt;COUNT(Transaksi!$X$16:$X$5015),"",HYPERLINK("#Transaksi!B"&amp;A178,"Buka"))</f>
        <v/>
      </c>
    </row>
    <row r="179" ht="15" customHeight="1" s="94">
      <c r="A179" s="93">
        <f>IF(170&gt;COUNT(Transaksi!$X$16:$X$5015),"",ROUND(MOD(MOD(SMALL(Transaksi!$X$16:$X$5015,170),1),0.01)*10000000,0))</f>
        <v/>
      </c>
      <c r="B179" s="135">
        <f>IF(170&gt;COUNT(Transaksi!$X$16:$X$5015),"",IF(170=1,INDEX(Transaksi!$B$1:$B$5015,ROUND(MOD(MOD(SMALL(Transaksi!$X$16:$X$5015,170),1),0.01)*10000000,0)),IF(INDEX(Transaksi!$B$1:$B$5015,ROUND(MOD(MOD(SMALL(Transaksi!$X$16:$X$5015,170),1),0.01)*10000000,0))=INDEX(Transaksi!$B$1:$B$5015,A178),"",INDEX(Transaksi!$B$1:$B$5015,ROUND(MOD(MOD(SMALL(Transaksi!$X$16:$X$5015,170),1),0.01)*10000000,0)))))</f>
        <v/>
      </c>
      <c r="C179" s="136">
        <f>IF(170&gt;COUNT(Transaksi!$X$16:$X$5015),"",INDEX(Transaksi!$J$1:$J$5015,ROUND(MOD(MOD(SMALL(Transaksi!$X$16:$X$5015,170),1),0.01)*10000000,0))&amp;IF(INDEX(Transaksi!$D$1:$D$5015,ROUND(MOD(MOD(SMALL(Transaksi!$X$16:$X$5015,170),1),0.01)*10000000,0))="Pindah",IF(INDEX(Transaksi!$C$1:$C$5015,ROUND(MOD(MOD(SMALL(Transaksi!$X$16:$X$5015,170),1),0.01)*10000000,0))=$C$4," (ke "&amp;INDEX(Transaksi!$E$1:$E$5015,ROUND(MOD(MOD(SMALL(Transaksi!$X$16:$X$5015,170),1),0.01)*10000000,0))&amp;")"," (dari "&amp;INDEX(Transaksi!$C$1:$C$5015,ROUND(MOD(MOD(SMALL(Transaksi!$X$16:$X$5015,170),1),0.01)*10000000,0))&amp;")"),""))</f>
        <v/>
      </c>
      <c r="D179" s="137">
        <f>IF(170&gt;COUNT(Transaksi!$X$16:$X$5015),"",INDEX(Transaksi!$I$1:$I$5015,ROUND(MOD(MOD(SMALL(Transaksi!$X$16:$X$5015,170),1),0.01)*10000000,0)))</f>
        <v/>
      </c>
      <c r="E179" s="138">
        <f>IF(170&gt;COUNT(Transaksi!$X$16:$X$5015),"",IF(IF(INDEX(Transaksi!$C$1:$C$5015,ROUND(MOD(MOD(SMALL(Transaksi!$X$16:$X$5015,170),1),0.01)*10000000,0))=$C$4,IF(INDEX(Transaksi!$D$1:$D$5015,ROUND(MOD(MOD(SMALL(Transaksi!$X$16:$X$5015,170),1),0.01)*10000000,0))="Masuk",1,-1),1)&gt;0,INDEX(Transaksi!$F$1:$F$5015,ROUND(MOD(MOD(SMALL(Transaksi!$X$16:$X$5015,170),1),0.01)*10000000,0)),""))</f>
        <v/>
      </c>
      <c r="F179" s="139">
        <f>IF(170&gt;COUNT(Transaksi!$X$16:$X$5015),"",IF(IF(INDEX(Transaksi!$C$1:$C$5015,ROUND(MOD(MOD(SMALL(Transaksi!$X$16:$X$5015,170),1),0.01)*10000000,0))=$C$4,IF(INDEX(Transaksi!$D$1:$D$5015,ROUND(MOD(MOD(SMALL(Transaksi!$X$16:$X$5015,170),1),0.01)*10000000,0))="Masuk",1,-1),1)&lt;0,INDEX(Transaksi!$F$1:$F$5015,ROUND(MOD(MOD(SMALL(Transaksi!$X$16:$X$5015,170),1),0.01)*10000000,0)),""))</f>
        <v/>
      </c>
      <c r="G179" s="106">
        <f>IF(170&gt;COUNT(Transaksi!$X$16:$X$5015),"",N(G178)+N(E179)-N(F179))</f>
        <v/>
      </c>
      <c r="H179" s="137">
        <f>IF(170&gt;COUNT(Transaksi!$X$16:$X$5015),"",HYPERLINK("#Transaksi!B"&amp;A179,"Buka"))</f>
        <v/>
      </c>
    </row>
    <row r="180" ht="15" customHeight="1" s="94">
      <c r="A180" s="93">
        <f>IF(171&gt;COUNT(Transaksi!$X$16:$X$5015),"",ROUND(MOD(MOD(SMALL(Transaksi!$X$16:$X$5015,171),1),0.01)*10000000,0))</f>
        <v/>
      </c>
      <c r="B180" s="135">
        <f>IF(171&gt;COUNT(Transaksi!$X$16:$X$5015),"",IF(171=1,INDEX(Transaksi!$B$1:$B$5015,ROUND(MOD(MOD(SMALL(Transaksi!$X$16:$X$5015,171),1),0.01)*10000000,0)),IF(INDEX(Transaksi!$B$1:$B$5015,ROUND(MOD(MOD(SMALL(Transaksi!$X$16:$X$5015,171),1),0.01)*10000000,0))=INDEX(Transaksi!$B$1:$B$5015,A179),"",INDEX(Transaksi!$B$1:$B$5015,ROUND(MOD(MOD(SMALL(Transaksi!$X$16:$X$5015,171),1),0.01)*10000000,0)))))</f>
        <v/>
      </c>
      <c r="C180" s="136">
        <f>IF(171&gt;COUNT(Transaksi!$X$16:$X$5015),"",INDEX(Transaksi!$J$1:$J$5015,ROUND(MOD(MOD(SMALL(Transaksi!$X$16:$X$5015,171),1),0.01)*10000000,0))&amp;IF(INDEX(Transaksi!$D$1:$D$5015,ROUND(MOD(MOD(SMALL(Transaksi!$X$16:$X$5015,171),1),0.01)*10000000,0))="Pindah",IF(INDEX(Transaksi!$C$1:$C$5015,ROUND(MOD(MOD(SMALL(Transaksi!$X$16:$X$5015,171),1),0.01)*10000000,0))=$C$4," (ke "&amp;INDEX(Transaksi!$E$1:$E$5015,ROUND(MOD(MOD(SMALL(Transaksi!$X$16:$X$5015,171),1),0.01)*10000000,0))&amp;")"," (dari "&amp;INDEX(Transaksi!$C$1:$C$5015,ROUND(MOD(MOD(SMALL(Transaksi!$X$16:$X$5015,171),1),0.01)*10000000,0))&amp;")"),""))</f>
        <v/>
      </c>
      <c r="D180" s="137">
        <f>IF(171&gt;COUNT(Transaksi!$X$16:$X$5015),"",INDEX(Transaksi!$I$1:$I$5015,ROUND(MOD(MOD(SMALL(Transaksi!$X$16:$X$5015,171),1),0.01)*10000000,0)))</f>
        <v/>
      </c>
      <c r="E180" s="138">
        <f>IF(171&gt;COUNT(Transaksi!$X$16:$X$5015),"",IF(IF(INDEX(Transaksi!$C$1:$C$5015,ROUND(MOD(MOD(SMALL(Transaksi!$X$16:$X$5015,171),1),0.01)*10000000,0))=$C$4,IF(INDEX(Transaksi!$D$1:$D$5015,ROUND(MOD(MOD(SMALL(Transaksi!$X$16:$X$5015,171),1),0.01)*10000000,0))="Masuk",1,-1),1)&gt;0,INDEX(Transaksi!$F$1:$F$5015,ROUND(MOD(MOD(SMALL(Transaksi!$X$16:$X$5015,171),1),0.01)*10000000,0)),""))</f>
        <v/>
      </c>
      <c r="F180" s="139">
        <f>IF(171&gt;COUNT(Transaksi!$X$16:$X$5015),"",IF(IF(INDEX(Transaksi!$C$1:$C$5015,ROUND(MOD(MOD(SMALL(Transaksi!$X$16:$X$5015,171),1),0.01)*10000000,0))=$C$4,IF(INDEX(Transaksi!$D$1:$D$5015,ROUND(MOD(MOD(SMALL(Transaksi!$X$16:$X$5015,171),1),0.01)*10000000,0))="Masuk",1,-1),1)&lt;0,INDEX(Transaksi!$F$1:$F$5015,ROUND(MOD(MOD(SMALL(Transaksi!$X$16:$X$5015,171),1),0.01)*10000000,0)),""))</f>
        <v/>
      </c>
      <c r="G180" s="106">
        <f>IF(171&gt;COUNT(Transaksi!$X$16:$X$5015),"",N(G179)+N(E180)-N(F180))</f>
        <v/>
      </c>
      <c r="H180" s="137">
        <f>IF(171&gt;COUNT(Transaksi!$X$16:$X$5015),"",HYPERLINK("#Transaksi!B"&amp;A180,"Buka"))</f>
        <v/>
      </c>
    </row>
    <row r="181" ht="15" customHeight="1" s="94">
      <c r="A181" s="93">
        <f>IF(172&gt;COUNT(Transaksi!$X$16:$X$5015),"",ROUND(MOD(MOD(SMALL(Transaksi!$X$16:$X$5015,172),1),0.01)*10000000,0))</f>
        <v/>
      </c>
      <c r="B181" s="135">
        <f>IF(172&gt;COUNT(Transaksi!$X$16:$X$5015),"",IF(172=1,INDEX(Transaksi!$B$1:$B$5015,ROUND(MOD(MOD(SMALL(Transaksi!$X$16:$X$5015,172),1),0.01)*10000000,0)),IF(INDEX(Transaksi!$B$1:$B$5015,ROUND(MOD(MOD(SMALL(Transaksi!$X$16:$X$5015,172),1),0.01)*10000000,0))=INDEX(Transaksi!$B$1:$B$5015,A180),"",INDEX(Transaksi!$B$1:$B$5015,ROUND(MOD(MOD(SMALL(Transaksi!$X$16:$X$5015,172),1),0.01)*10000000,0)))))</f>
        <v/>
      </c>
      <c r="C181" s="136">
        <f>IF(172&gt;COUNT(Transaksi!$X$16:$X$5015),"",INDEX(Transaksi!$J$1:$J$5015,ROUND(MOD(MOD(SMALL(Transaksi!$X$16:$X$5015,172),1),0.01)*10000000,0))&amp;IF(INDEX(Transaksi!$D$1:$D$5015,ROUND(MOD(MOD(SMALL(Transaksi!$X$16:$X$5015,172),1),0.01)*10000000,0))="Pindah",IF(INDEX(Transaksi!$C$1:$C$5015,ROUND(MOD(MOD(SMALL(Transaksi!$X$16:$X$5015,172),1),0.01)*10000000,0))=$C$4," (ke "&amp;INDEX(Transaksi!$E$1:$E$5015,ROUND(MOD(MOD(SMALL(Transaksi!$X$16:$X$5015,172),1),0.01)*10000000,0))&amp;")"," (dari "&amp;INDEX(Transaksi!$C$1:$C$5015,ROUND(MOD(MOD(SMALL(Transaksi!$X$16:$X$5015,172),1),0.01)*10000000,0))&amp;")"),""))</f>
        <v/>
      </c>
      <c r="D181" s="137">
        <f>IF(172&gt;COUNT(Transaksi!$X$16:$X$5015),"",INDEX(Transaksi!$I$1:$I$5015,ROUND(MOD(MOD(SMALL(Transaksi!$X$16:$X$5015,172),1),0.01)*10000000,0)))</f>
        <v/>
      </c>
      <c r="E181" s="138">
        <f>IF(172&gt;COUNT(Transaksi!$X$16:$X$5015),"",IF(IF(INDEX(Transaksi!$C$1:$C$5015,ROUND(MOD(MOD(SMALL(Transaksi!$X$16:$X$5015,172),1),0.01)*10000000,0))=$C$4,IF(INDEX(Transaksi!$D$1:$D$5015,ROUND(MOD(MOD(SMALL(Transaksi!$X$16:$X$5015,172),1),0.01)*10000000,0))="Masuk",1,-1),1)&gt;0,INDEX(Transaksi!$F$1:$F$5015,ROUND(MOD(MOD(SMALL(Transaksi!$X$16:$X$5015,172),1),0.01)*10000000,0)),""))</f>
        <v/>
      </c>
      <c r="F181" s="139">
        <f>IF(172&gt;COUNT(Transaksi!$X$16:$X$5015),"",IF(IF(INDEX(Transaksi!$C$1:$C$5015,ROUND(MOD(MOD(SMALL(Transaksi!$X$16:$X$5015,172),1),0.01)*10000000,0))=$C$4,IF(INDEX(Transaksi!$D$1:$D$5015,ROUND(MOD(MOD(SMALL(Transaksi!$X$16:$X$5015,172),1),0.01)*10000000,0))="Masuk",1,-1),1)&lt;0,INDEX(Transaksi!$F$1:$F$5015,ROUND(MOD(MOD(SMALL(Transaksi!$X$16:$X$5015,172),1),0.01)*10000000,0)),""))</f>
        <v/>
      </c>
      <c r="G181" s="106">
        <f>IF(172&gt;COUNT(Transaksi!$X$16:$X$5015),"",N(G180)+N(E181)-N(F181))</f>
        <v/>
      </c>
      <c r="H181" s="137">
        <f>IF(172&gt;COUNT(Transaksi!$X$16:$X$5015),"",HYPERLINK("#Transaksi!B"&amp;A181,"Buka"))</f>
        <v/>
      </c>
    </row>
    <row r="182" ht="15" customHeight="1" s="94">
      <c r="A182" s="93">
        <f>IF(173&gt;COUNT(Transaksi!$X$16:$X$5015),"",ROUND(MOD(MOD(SMALL(Transaksi!$X$16:$X$5015,173),1),0.01)*10000000,0))</f>
        <v/>
      </c>
      <c r="B182" s="135">
        <f>IF(173&gt;COUNT(Transaksi!$X$16:$X$5015),"",IF(173=1,INDEX(Transaksi!$B$1:$B$5015,ROUND(MOD(MOD(SMALL(Transaksi!$X$16:$X$5015,173),1),0.01)*10000000,0)),IF(INDEX(Transaksi!$B$1:$B$5015,ROUND(MOD(MOD(SMALL(Transaksi!$X$16:$X$5015,173),1),0.01)*10000000,0))=INDEX(Transaksi!$B$1:$B$5015,A181),"",INDEX(Transaksi!$B$1:$B$5015,ROUND(MOD(MOD(SMALL(Transaksi!$X$16:$X$5015,173),1),0.01)*10000000,0)))))</f>
        <v/>
      </c>
      <c r="C182" s="136">
        <f>IF(173&gt;COUNT(Transaksi!$X$16:$X$5015),"",INDEX(Transaksi!$J$1:$J$5015,ROUND(MOD(MOD(SMALL(Transaksi!$X$16:$X$5015,173),1),0.01)*10000000,0))&amp;IF(INDEX(Transaksi!$D$1:$D$5015,ROUND(MOD(MOD(SMALL(Transaksi!$X$16:$X$5015,173),1),0.01)*10000000,0))="Pindah",IF(INDEX(Transaksi!$C$1:$C$5015,ROUND(MOD(MOD(SMALL(Transaksi!$X$16:$X$5015,173),1),0.01)*10000000,0))=$C$4," (ke "&amp;INDEX(Transaksi!$E$1:$E$5015,ROUND(MOD(MOD(SMALL(Transaksi!$X$16:$X$5015,173),1),0.01)*10000000,0))&amp;")"," (dari "&amp;INDEX(Transaksi!$C$1:$C$5015,ROUND(MOD(MOD(SMALL(Transaksi!$X$16:$X$5015,173),1),0.01)*10000000,0))&amp;")"),""))</f>
        <v/>
      </c>
      <c r="D182" s="137">
        <f>IF(173&gt;COUNT(Transaksi!$X$16:$X$5015),"",INDEX(Transaksi!$I$1:$I$5015,ROUND(MOD(MOD(SMALL(Transaksi!$X$16:$X$5015,173),1),0.01)*10000000,0)))</f>
        <v/>
      </c>
      <c r="E182" s="138">
        <f>IF(173&gt;COUNT(Transaksi!$X$16:$X$5015),"",IF(IF(INDEX(Transaksi!$C$1:$C$5015,ROUND(MOD(MOD(SMALL(Transaksi!$X$16:$X$5015,173),1),0.01)*10000000,0))=$C$4,IF(INDEX(Transaksi!$D$1:$D$5015,ROUND(MOD(MOD(SMALL(Transaksi!$X$16:$X$5015,173),1),0.01)*10000000,0))="Masuk",1,-1),1)&gt;0,INDEX(Transaksi!$F$1:$F$5015,ROUND(MOD(MOD(SMALL(Transaksi!$X$16:$X$5015,173),1),0.01)*10000000,0)),""))</f>
        <v/>
      </c>
      <c r="F182" s="139">
        <f>IF(173&gt;COUNT(Transaksi!$X$16:$X$5015),"",IF(IF(INDEX(Transaksi!$C$1:$C$5015,ROUND(MOD(MOD(SMALL(Transaksi!$X$16:$X$5015,173),1),0.01)*10000000,0))=$C$4,IF(INDEX(Transaksi!$D$1:$D$5015,ROUND(MOD(MOD(SMALL(Transaksi!$X$16:$X$5015,173),1),0.01)*10000000,0))="Masuk",1,-1),1)&lt;0,INDEX(Transaksi!$F$1:$F$5015,ROUND(MOD(MOD(SMALL(Transaksi!$X$16:$X$5015,173),1),0.01)*10000000,0)),""))</f>
        <v/>
      </c>
      <c r="G182" s="106">
        <f>IF(173&gt;COUNT(Transaksi!$X$16:$X$5015),"",N(G181)+N(E182)-N(F182))</f>
        <v/>
      </c>
      <c r="H182" s="137">
        <f>IF(173&gt;COUNT(Transaksi!$X$16:$X$5015),"",HYPERLINK("#Transaksi!B"&amp;A182,"Buka"))</f>
        <v/>
      </c>
    </row>
    <row r="183" ht="15" customHeight="1" s="94">
      <c r="A183" s="93">
        <f>IF(174&gt;COUNT(Transaksi!$X$16:$X$5015),"",ROUND(MOD(MOD(SMALL(Transaksi!$X$16:$X$5015,174),1),0.01)*10000000,0))</f>
        <v/>
      </c>
      <c r="B183" s="135">
        <f>IF(174&gt;COUNT(Transaksi!$X$16:$X$5015),"",IF(174=1,INDEX(Transaksi!$B$1:$B$5015,ROUND(MOD(MOD(SMALL(Transaksi!$X$16:$X$5015,174),1),0.01)*10000000,0)),IF(INDEX(Transaksi!$B$1:$B$5015,ROUND(MOD(MOD(SMALL(Transaksi!$X$16:$X$5015,174),1),0.01)*10000000,0))=INDEX(Transaksi!$B$1:$B$5015,A182),"",INDEX(Transaksi!$B$1:$B$5015,ROUND(MOD(MOD(SMALL(Transaksi!$X$16:$X$5015,174),1),0.01)*10000000,0)))))</f>
        <v/>
      </c>
      <c r="C183" s="136">
        <f>IF(174&gt;COUNT(Transaksi!$X$16:$X$5015),"",INDEX(Transaksi!$J$1:$J$5015,ROUND(MOD(MOD(SMALL(Transaksi!$X$16:$X$5015,174),1),0.01)*10000000,0))&amp;IF(INDEX(Transaksi!$D$1:$D$5015,ROUND(MOD(MOD(SMALL(Transaksi!$X$16:$X$5015,174),1),0.01)*10000000,0))="Pindah",IF(INDEX(Transaksi!$C$1:$C$5015,ROUND(MOD(MOD(SMALL(Transaksi!$X$16:$X$5015,174),1),0.01)*10000000,0))=$C$4," (ke "&amp;INDEX(Transaksi!$E$1:$E$5015,ROUND(MOD(MOD(SMALL(Transaksi!$X$16:$X$5015,174),1),0.01)*10000000,0))&amp;")"," (dari "&amp;INDEX(Transaksi!$C$1:$C$5015,ROUND(MOD(MOD(SMALL(Transaksi!$X$16:$X$5015,174),1),0.01)*10000000,0))&amp;")"),""))</f>
        <v/>
      </c>
      <c r="D183" s="137">
        <f>IF(174&gt;COUNT(Transaksi!$X$16:$X$5015),"",INDEX(Transaksi!$I$1:$I$5015,ROUND(MOD(MOD(SMALL(Transaksi!$X$16:$X$5015,174),1),0.01)*10000000,0)))</f>
        <v/>
      </c>
      <c r="E183" s="138">
        <f>IF(174&gt;COUNT(Transaksi!$X$16:$X$5015),"",IF(IF(INDEX(Transaksi!$C$1:$C$5015,ROUND(MOD(MOD(SMALL(Transaksi!$X$16:$X$5015,174),1),0.01)*10000000,0))=$C$4,IF(INDEX(Transaksi!$D$1:$D$5015,ROUND(MOD(MOD(SMALL(Transaksi!$X$16:$X$5015,174),1),0.01)*10000000,0))="Masuk",1,-1),1)&gt;0,INDEX(Transaksi!$F$1:$F$5015,ROUND(MOD(MOD(SMALL(Transaksi!$X$16:$X$5015,174),1),0.01)*10000000,0)),""))</f>
        <v/>
      </c>
      <c r="F183" s="139">
        <f>IF(174&gt;COUNT(Transaksi!$X$16:$X$5015),"",IF(IF(INDEX(Transaksi!$C$1:$C$5015,ROUND(MOD(MOD(SMALL(Transaksi!$X$16:$X$5015,174),1),0.01)*10000000,0))=$C$4,IF(INDEX(Transaksi!$D$1:$D$5015,ROUND(MOD(MOD(SMALL(Transaksi!$X$16:$X$5015,174),1),0.01)*10000000,0))="Masuk",1,-1),1)&lt;0,INDEX(Transaksi!$F$1:$F$5015,ROUND(MOD(MOD(SMALL(Transaksi!$X$16:$X$5015,174),1),0.01)*10000000,0)),""))</f>
        <v/>
      </c>
      <c r="G183" s="106">
        <f>IF(174&gt;COUNT(Transaksi!$X$16:$X$5015),"",N(G182)+N(E183)-N(F183))</f>
        <v/>
      </c>
      <c r="H183" s="137">
        <f>IF(174&gt;COUNT(Transaksi!$X$16:$X$5015),"",HYPERLINK("#Transaksi!B"&amp;A183,"Buka"))</f>
        <v/>
      </c>
    </row>
    <row r="184" ht="15" customHeight="1" s="94">
      <c r="A184" s="93">
        <f>IF(175&gt;COUNT(Transaksi!$X$16:$X$5015),"",ROUND(MOD(MOD(SMALL(Transaksi!$X$16:$X$5015,175),1),0.01)*10000000,0))</f>
        <v/>
      </c>
      <c r="B184" s="135">
        <f>IF(175&gt;COUNT(Transaksi!$X$16:$X$5015),"",IF(175=1,INDEX(Transaksi!$B$1:$B$5015,ROUND(MOD(MOD(SMALL(Transaksi!$X$16:$X$5015,175),1),0.01)*10000000,0)),IF(INDEX(Transaksi!$B$1:$B$5015,ROUND(MOD(MOD(SMALL(Transaksi!$X$16:$X$5015,175),1),0.01)*10000000,0))=INDEX(Transaksi!$B$1:$B$5015,A183),"",INDEX(Transaksi!$B$1:$B$5015,ROUND(MOD(MOD(SMALL(Transaksi!$X$16:$X$5015,175),1),0.01)*10000000,0)))))</f>
        <v/>
      </c>
      <c r="C184" s="136">
        <f>IF(175&gt;COUNT(Transaksi!$X$16:$X$5015),"",INDEX(Transaksi!$J$1:$J$5015,ROUND(MOD(MOD(SMALL(Transaksi!$X$16:$X$5015,175),1),0.01)*10000000,0))&amp;IF(INDEX(Transaksi!$D$1:$D$5015,ROUND(MOD(MOD(SMALL(Transaksi!$X$16:$X$5015,175),1),0.01)*10000000,0))="Pindah",IF(INDEX(Transaksi!$C$1:$C$5015,ROUND(MOD(MOD(SMALL(Transaksi!$X$16:$X$5015,175),1),0.01)*10000000,0))=$C$4," (ke "&amp;INDEX(Transaksi!$E$1:$E$5015,ROUND(MOD(MOD(SMALL(Transaksi!$X$16:$X$5015,175),1),0.01)*10000000,0))&amp;")"," (dari "&amp;INDEX(Transaksi!$C$1:$C$5015,ROUND(MOD(MOD(SMALL(Transaksi!$X$16:$X$5015,175),1),0.01)*10000000,0))&amp;")"),""))</f>
        <v/>
      </c>
      <c r="D184" s="137">
        <f>IF(175&gt;COUNT(Transaksi!$X$16:$X$5015),"",INDEX(Transaksi!$I$1:$I$5015,ROUND(MOD(MOD(SMALL(Transaksi!$X$16:$X$5015,175),1),0.01)*10000000,0)))</f>
        <v/>
      </c>
      <c r="E184" s="138">
        <f>IF(175&gt;COUNT(Transaksi!$X$16:$X$5015),"",IF(IF(INDEX(Transaksi!$C$1:$C$5015,ROUND(MOD(MOD(SMALL(Transaksi!$X$16:$X$5015,175),1),0.01)*10000000,0))=$C$4,IF(INDEX(Transaksi!$D$1:$D$5015,ROUND(MOD(MOD(SMALL(Transaksi!$X$16:$X$5015,175),1),0.01)*10000000,0))="Masuk",1,-1),1)&gt;0,INDEX(Transaksi!$F$1:$F$5015,ROUND(MOD(MOD(SMALL(Transaksi!$X$16:$X$5015,175),1),0.01)*10000000,0)),""))</f>
        <v/>
      </c>
      <c r="F184" s="139">
        <f>IF(175&gt;COUNT(Transaksi!$X$16:$X$5015),"",IF(IF(INDEX(Transaksi!$C$1:$C$5015,ROUND(MOD(MOD(SMALL(Transaksi!$X$16:$X$5015,175),1),0.01)*10000000,0))=$C$4,IF(INDEX(Transaksi!$D$1:$D$5015,ROUND(MOD(MOD(SMALL(Transaksi!$X$16:$X$5015,175),1),0.01)*10000000,0))="Masuk",1,-1),1)&lt;0,INDEX(Transaksi!$F$1:$F$5015,ROUND(MOD(MOD(SMALL(Transaksi!$X$16:$X$5015,175),1),0.01)*10000000,0)),""))</f>
        <v/>
      </c>
      <c r="G184" s="106">
        <f>IF(175&gt;COUNT(Transaksi!$X$16:$X$5015),"",N(G183)+N(E184)-N(F184))</f>
        <v/>
      </c>
      <c r="H184" s="137">
        <f>IF(175&gt;COUNT(Transaksi!$X$16:$X$5015),"",HYPERLINK("#Transaksi!B"&amp;A184,"Buka"))</f>
        <v/>
      </c>
    </row>
    <row r="185" ht="15" customHeight="1" s="94">
      <c r="A185" s="93">
        <f>IF(176&gt;COUNT(Transaksi!$X$16:$X$5015),"",ROUND(MOD(MOD(SMALL(Transaksi!$X$16:$X$5015,176),1),0.01)*10000000,0))</f>
        <v/>
      </c>
      <c r="B185" s="135">
        <f>IF(176&gt;COUNT(Transaksi!$X$16:$X$5015),"",IF(176=1,INDEX(Transaksi!$B$1:$B$5015,ROUND(MOD(MOD(SMALL(Transaksi!$X$16:$X$5015,176),1),0.01)*10000000,0)),IF(INDEX(Transaksi!$B$1:$B$5015,ROUND(MOD(MOD(SMALL(Transaksi!$X$16:$X$5015,176),1),0.01)*10000000,0))=INDEX(Transaksi!$B$1:$B$5015,A184),"",INDEX(Transaksi!$B$1:$B$5015,ROUND(MOD(MOD(SMALL(Transaksi!$X$16:$X$5015,176),1),0.01)*10000000,0)))))</f>
        <v/>
      </c>
      <c r="C185" s="136">
        <f>IF(176&gt;COUNT(Transaksi!$X$16:$X$5015),"",INDEX(Transaksi!$J$1:$J$5015,ROUND(MOD(MOD(SMALL(Transaksi!$X$16:$X$5015,176),1),0.01)*10000000,0))&amp;IF(INDEX(Transaksi!$D$1:$D$5015,ROUND(MOD(MOD(SMALL(Transaksi!$X$16:$X$5015,176),1),0.01)*10000000,0))="Pindah",IF(INDEX(Transaksi!$C$1:$C$5015,ROUND(MOD(MOD(SMALL(Transaksi!$X$16:$X$5015,176),1),0.01)*10000000,0))=$C$4," (ke "&amp;INDEX(Transaksi!$E$1:$E$5015,ROUND(MOD(MOD(SMALL(Transaksi!$X$16:$X$5015,176),1),0.01)*10000000,0))&amp;")"," (dari "&amp;INDEX(Transaksi!$C$1:$C$5015,ROUND(MOD(MOD(SMALL(Transaksi!$X$16:$X$5015,176),1),0.01)*10000000,0))&amp;")"),""))</f>
        <v/>
      </c>
      <c r="D185" s="137">
        <f>IF(176&gt;COUNT(Transaksi!$X$16:$X$5015),"",INDEX(Transaksi!$I$1:$I$5015,ROUND(MOD(MOD(SMALL(Transaksi!$X$16:$X$5015,176),1),0.01)*10000000,0)))</f>
        <v/>
      </c>
      <c r="E185" s="138">
        <f>IF(176&gt;COUNT(Transaksi!$X$16:$X$5015),"",IF(IF(INDEX(Transaksi!$C$1:$C$5015,ROUND(MOD(MOD(SMALL(Transaksi!$X$16:$X$5015,176),1),0.01)*10000000,0))=$C$4,IF(INDEX(Transaksi!$D$1:$D$5015,ROUND(MOD(MOD(SMALL(Transaksi!$X$16:$X$5015,176),1),0.01)*10000000,0))="Masuk",1,-1),1)&gt;0,INDEX(Transaksi!$F$1:$F$5015,ROUND(MOD(MOD(SMALL(Transaksi!$X$16:$X$5015,176),1),0.01)*10000000,0)),""))</f>
        <v/>
      </c>
      <c r="F185" s="139">
        <f>IF(176&gt;COUNT(Transaksi!$X$16:$X$5015),"",IF(IF(INDEX(Transaksi!$C$1:$C$5015,ROUND(MOD(MOD(SMALL(Transaksi!$X$16:$X$5015,176),1),0.01)*10000000,0))=$C$4,IF(INDEX(Transaksi!$D$1:$D$5015,ROUND(MOD(MOD(SMALL(Transaksi!$X$16:$X$5015,176),1),0.01)*10000000,0))="Masuk",1,-1),1)&lt;0,INDEX(Transaksi!$F$1:$F$5015,ROUND(MOD(MOD(SMALL(Transaksi!$X$16:$X$5015,176),1),0.01)*10000000,0)),""))</f>
        <v/>
      </c>
      <c r="G185" s="106">
        <f>IF(176&gt;COUNT(Transaksi!$X$16:$X$5015),"",N(G184)+N(E185)-N(F185))</f>
        <v/>
      </c>
      <c r="H185" s="137">
        <f>IF(176&gt;COUNT(Transaksi!$X$16:$X$5015),"",HYPERLINK("#Transaksi!B"&amp;A185,"Buka"))</f>
        <v/>
      </c>
    </row>
    <row r="186" ht="15" customHeight="1" s="94">
      <c r="A186" s="93">
        <f>IF(177&gt;COUNT(Transaksi!$X$16:$X$5015),"",ROUND(MOD(MOD(SMALL(Transaksi!$X$16:$X$5015,177),1),0.01)*10000000,0))</f>
        <v/>
      </c>
      <c r="B186" s="135">
        <f>IF(177&gt;COUNT(Transaksi!$X$16:$X$5015),"",IF(177=1,INDEX(Transaksi!$B$1:$B$5015,ROUND(MOD(MOD(SMALL(Transaksi!$X$16:$X$5015,177),1),0.01)*10000000,0)),IF(INDEX(Transaksi!$B$1:$B$5015,ROUND(MOD(MOD(SMALL(Transaksi!$X$16:$X$5015,177),1),0.01)*10000000,0))=INDEX(Transaksi!$B$1:$B$5015,A185),"",INDEX(Transaksi!$B$1:$B$5015,ROUND(MOD(MOD(SMALL(Transaksi!$X$16:$X$5015,177),1),0.01)*10000000,0)))))</f>
        <v/>
      </c>
      <c r="C186" s="136">
        <f>IF(177&gt;COUNT(Transaksi!$X$16:$X$5015),"",INDEX(Transaksi!$J$1:$J$5015,ROUND(MOD(MOD(SMALL(Transaksi!$X$16:$X$5015,177),1),0.01)*10000000,0))&amp;IF(INDEX(Transaksi!$D$1:$D$5015,ROUND(MOD(MOD(SMALL(Transaksi!$X$16:$X$5015,177),1),0.01)*10000000,0))="Pindah",IF(INDEX(Transaksi!$C$1:$C$5015,ROUND(MOD(MOD(SMALL(Transaksi!$X$16:$X$5015,177),1),0.01)*10000000,0))=$C$4," (ke "&amp;INDEX(Transaksi!$E$1:$E$5015,ROUND(MOD(MOD(SMALL(Transaksi!$X$16:$X$5015,177),1),0.01)*10000000,0))&amp;")"," (dari "&amp;INDEX(Transaksi!$C$1:$C$5015,ROUND(MOD(MOD(SMALL(Transaksi!$X$16:$X$5015,177),1),0.01)*10000000,0))&amp;")"),""))</f>
        <v/>
      </c>
      <c r="D186" s="137">
        <f>IF(177&gt;COUNT(Transaksi!$X$16:$X$5015),"",INDEX(Transaksi!$I$1:$I$5015,ROUND(MOD(MOD(SMALL(Transaksi!$X$16:$X$5015,177),1),0.01)*10000000,0)))</f>
        <v/>
      </c>
      <c r="E186" s="138">
        <f>IF(177&gt;COUNT(Transaksi!$X$16:$X$5015),"",IF(IF(INDEX(Transaksi!$C$1:$C$5015,ROUND(MOD(MOD(SMALL(Transaksi!$X$16:$X$5015,177),1),0.01)*10000000,0))=$C$4,IF(INDEX(Transaksi!$D$1:$D$5015,ROUND(MOD(MOD(SMALL(Transaksi!$X$16:$X$5015,177),1),0.01)*10000000,0))="Masuk",1,-1),1)&gt;0,INDEX(Transaksi!$F$1:$F$5015,ROUND(MOD(MOD(SMALL(Transaksi!$X$16:$X$5015,177),1),0.01)*10000000,0)),""))</f>
        <v/>
      </c>
      <c r="F186" s="139">
        <f>IF(177&gt;COUNT(Transaksi!$X$16:$X$5015),"",IF(IF(INDEX(Transaksi!$C$1:$C$5015,ROUND(MOD(MOD(SMALL(Transaksi!$X$16:$X$5015,177),1),0.01)*10000000,0))=$C$4,IF(INDEX(Transaksi!$D$1:$D$5015,ROUND(MOD(MOD(SMALL(Transaksi!$X$16:$X$5015,177),1),0.01)*10000000,0))="Masuk",1,-1),1)&lt;0,INDEX(Transaksi!$F$1:$F$5015,ROUND(MOD(MOD(SMALL(Transaksi!$X$16:$X$5015,177),1),0.01)*10000000,0)),""))</f>
        <v/>
      </c>
      <c r="G186" s="106">
        <f>IF(177&gt;COUNT(Transaksi!$X$16:$X$5015),"",N(G185)+N(E186)-N(F186))</f>
        <v/>
      </c>
      <c r="H186" s="137">
        <f>IF(177&gt;COUNT(Transaksi!$X$16:$X$5015),"",HYPERLINK("#Transaksi!B"&amp;A186,"Buka"))</f>
        <v/>
      </c>
    </row>
    <row r="187" ht="15" customHeight="1" s="94">
      <c r="A187" s="93">
        <f>IF(178&gt;COUNT(Transaksi!$X$16:$X$5015),"",ROUND(MOD(MOD(SMALL(Transaksi!$X$16:$X$5015,178),1),0.01)*10000000,0))</f>
        <v/>
      </c>
      <c r="B187" s="135">
        <f>IF(178&gt;COUNT(Transaksi!$X$16:$X$5015),"",IF(178=1,INDEX(Transaksi!$B$1:$B$5015,ROUND(MOD(MOD(SMALL(Transaksi!$X$16:$X$5015,178),1),0.01)*10000000,0)),IF(INDEX(Transaksi!$B$1:$B$5015,ROUND(MOD(MOD(SMALL(Transaksi!$X$16:$X$5015,178),1),0.01)*10000000,0))=INDEX(Transaksi!$B$1:$B$5015,A186),"",INDEX(Transaksi!$B$1:$B$5015,ROUND(MOD(MOD(SMALL(Transaksi!$X$16:$X$5015,178),1),0.01)*10000000,0)))))</f>
        <v/>
      </c>
      <c r="C187" s="136">
        <f>IF(178&gt;COUNT(Transaksi!$X$16:$X$5015),"",INDEX(Transaksi!$J$1:$J$5015,ROUND(MOD(MOD(SMALL(Transaksi!$X$16:$X$5015,178),1),0.01)*10000000,0))&amp;IF(INDEX(Transaksi!$D$1:$D$5015,ROUND(MOD(MOD(SMALL(Transaksi!$X$16:$X$5015,178),1),0.01)*10000000,0))="Pindah",IF(INDEX(Transaksi!$C$1:$C$5015,ROUND(MOD(MOD(SMALL(Transaksi!$X$16:$X$5015,178),1),0.01)*10000000,0))=$C$4," (ke "&amp;INDEX(Transaksi!$E$1:$E$5015,ROUND(MOD(MOD(SMALL(Transaksi!$X$16:$X$5015,178),1),0.01)*10000000,0))&amp;")"," (dari "&amp;INDEX(Transaksi!$C$1:$C$5015,ROUND(MOD(MOD(SMALL(Transaksi!$X$16:$X$5015,178),1),0.01)*10000000,0))&amp;")"),""))</f>
        <v/>
      </c>
      <c r="D187" s="137">
        <f>IF(178&gt;COUNT(Transaksi!$X$16:$X$5015),"",INDEX(Transaksi!$I$1:$I$5015,ROUND(MOD(MOD(SMALL(Transaksi!$X$16:$X$5015,178),1),0.01)*10000000,0)))</f>
        <v/>
      </c>
      <c r="E187" s="138">
        <f>IF(178&gt;COUNT(Transaksi!$X$16:$X$5015),"",IF(IF(INDEX(Transaksi!$C$1:$C$5015,ROUND(MOD(MOD(SMALL(Transaksi!$X$16:$X$5015,178),1),0.01)*10000000,0))=$C$4,IF(INDEX(Transaksi!$D$1:$D$5015,ROUND(MOD(MOD(SMALL(Transaksi!$X$16:$X$5015,178),1),0.01)*10000000,0))="Masuk",1,-1),1)&gt;0,INDEX(Transaksi!$F$1:$F$5015,ROUND(MOD(MOD(SMALL(Transaksi!$X$16:$X$5015,178),1),0.01)*10000000,0)),""))</f>
        <v/>
      </c>
      <c r="F187" s="139">
        <f>IF(178&gt;COUNT(Transaksi!$X$16:$X$5015),"",IF(IF(INDEX(Transaksi!$C$1:$C$5015,ROUND(MOD(MOD(SMALL(Transaksi!$X$16:$X$5015,178),1),0.01)*10000000,0))=$C$4,IF(INDEX(Transaksi!$D$1:$D$5015,ROUND(MOD(MOD(SMALL(Transaksi!$X$16:$X$5015,178),1),0.01)*10000000,0))="Masuk",1,-1),1)&lt;0,INDEX(Transaksi!$F$1:$F$5015,ROUND(MOD(MOD(SMALL(Transaksi!$X$16:$X$5015,178),1),0.01)*10000000,0)),""))</f>
        <v/>
      </c>
      <c r="G187" s="106">
        <f>IF(178&gt;COUNT(Transaksi!$X$16:$X$5015),"",N(G186)+N(E187)-N(F187))</f>
        <v/>
      </c>
      <c r="H187" s="137">
        <f>IF(178&gt;COUNT(Transaksi!$X$16:$X$5015),"",HYPERLINK("#Transaksi!B"&amp;A187,"Buka"))</f>
        <v/>
      </c>
    </row>
    <row r="188" ht="15" customHeight="1" s="94">
      <c r="A188" s="93">
        <f>IF(179&gt;COUNT(Transaksi!$X$16:$X$5015),"",ROUND(MOD(MOD(SMALL(Transaksi!$X$16:$X$5015,179),1),0.01)*10000000,0))</f>
        <v/>
      </c>
      <c r="B188" s="135">
        <f>IF(179&gt;COUNT(Transaksi!$X$16:$X$5015),"",IF(179=1,INDEX(Transaksi!$B$1:$B$5015,ROUND(MOD(MOD(SMALL(Transaksi!$X$16:$X$5015,179),1),0.01)*10000000,0)),IF(INDEX(Transaksi!$B$1:$B$5015,ROUND(MOD(MOD(SMALL(Transaksi!$X$16:$X$5015,179),1),0.01)*10000000,0))=INDEX(Transaksi!$B$1:$B$5015,A187),"",INDEX(Transaksi!$B$1:$B$5015,ROUND(MOD(MOD(SMALL(Transaksi!$X$16:$X$5015,179),1),0.01)*10000000,0)))))</f>
        <v/>
      </c>
      <c r="C188" s="136">
        <f>IF(179&gt;COUNT(Transaksi!$X$16:$X$5015),"",INDEX(Transaksi!$J$1:$J$5015,ROUND(MOD(MOD(SMALL(Transaksi!$X$16:$X$5015,179),1),0.01)*10000000,0))&amp;IF(INDEX(Transaksi!$D$1:$D$5015,ROUND(MOD(MOD(SMALL(Transaksi!$X$16:$X$5015,179),1),0.01)*10000000,0))="Pindah",IF(INDEX(Transaksi!$C$1:$C$5015,ROUND(MOD(MOD(SMALL(Transaksi!$X$16:$X$5015,179),1),0.01)*10000000,0))=$C$4," (ke "&amp;INDEX(Transaksi!$E$1:$E$5015,ROUND(MOD(MOD(SMALL(Transaksi!$X$16:$X$5015,179),1),0.01)*10000000,0))&amp;")"," (dari "&amp;INDEX(Transaksi!$C$1:$C$5015,ROUND(MOD(MOD(SMALL(Transaksi!$X$16:$X$5015,179),1),0.01)*10000000,0))&amp;")"),""))</f>
        <v/>
      </c>
      <c r="D188" s="137">
        <f>IF(179&gt;COUNT(Transaksi!$X$16:$X$5015),"",INDEX(Transaksi!$I$1:$I$5015,ROUND(MOD(MOD(SMALL(Transaksi!$X$16:$X$5015,179),1),0.01)*10000000,0)))</f>
        <v/>
      </c>
      <c r="E188" s="138">
        <f>IF(179&gt;COUNT(Transaksi!$X$16:$X$5015),"",IF(IF(INDEX(Transaksi!$C$1:$C$5015,ROUND(MOD(MOD(SMALL(Transaksi!$X$16:$X$5015,179),1),0.01)*10000000,0))=$C$4,IF(INDEX(Transaksi!$D$1:$D$5015,ROUND(MOD(MOD(SMALL(Transaksi!$X$16:$X$5015,179),1),0.01)*10000000,0))="Masuk",1,-1),1)&gt;0,INDEX(Transaksi!$F$1:$F$5015,ROUND(MOD(MOD(SMALL(Transaksi!$X$16:$X$5015,179),1),0.01)*10000000,0)),""))</f>
        <v/>
      </c>
      <c r="F188" s="139">
        <f>IF(179&gt;COUNT(Transaksi!$X$16:$X$5015),"",IF(IF(INDEX(Transaksi!$C$1:$C$5015,ROUND(MOD(MOD(SMALL(Transaksi!$X$16:$X$5015,179),1),0.01)*10000000,0))=$C$4,IF(INDEX(Transaksi!$D$1:$D$5015,ROUND(MOD(MOD(SMALL(Transaksi!$X$16:$X$5015,179),1),0.01)*10000000,0))="Masuk",1,-1),1)&lt;0,INDEX(Transaksi!$F$1:$F$5015,ROUND(MOD(MOD(SMALL(Transaksi!$X$16:$X$5015,179),1),0.01)*10000000,0)),""))</f>
        <v/>
      </c>
      <c r="G188" s="106">
        <f>IF(179&gt;COUNT(Transaksi!$X$16:$X$5015),"",N(G187)+N(E188)-N(F188))</f>
        <v/>
      </c>
      <c r="H188" s="137">
        <f>IF(179&gt;COUNT(Transaksi!$X$16:$X$5015),"",HYPERLINK("#Transaksi!B"&amp;A188,"Buka"))</f>
        <v/>
      </c>
    </row>
    <row r="189" ht="15" customHeight="1" s="94">
      <c r="A189" s="93">
        <f>IF(180&gt;COUNT(Transaksi!$X$16:$X$5015),"",ROUND(MOD(MOD(SMALL(Transaksi!$X$16:$X$5015,180),1),0.01)*10000000,0))</f>
        <v/>
      </c>
      <c r="B189" s="135">
        <f>IF(180&gt;COUNT(Transaksi!$X$16:$X$5015),"",IF(180=1,INDEX(Transaksi!$B$1:$B$5015,ROUND(MOD(MOD(SMALL(Transaksi!$X$16:$X$5015,180),1),0.01)*10000000,0)),IF(INDEX(Transaksi!$B$1:$B$5015,ROUND(MOD(MOD(SMALL(Transaksi!$X$16:$X$5015,180),1),0.01)*10000000,0))=INDEX(Transaksi!$B$1:$B$5015,A188),"",INDEX(Transaksi!$B$1:$B$5015,ROUND(MOD(MOD(SMALL(Transaksi!$X$16:$X$5015,180),1),0.01)*10000000,0)))))</f>
        <v/>
      </c>
      <c r="C189" s="136">
        <f>IF(180&gt;COUNT(Transaksi!$X$16:$X$5015),"",INDEX(Transaksi!$J$1:$J$5015,ROUND(MOD(MOD(SMALL(Transaksi!$X$16:$X$5015,180),1),0.01)*10000000,0))&amp;IF(INDEX(Transaksi!$D$1:$D$5015,ROUND(MOD(MOD(SMALL(Transaksi!$X$16:$X$5015,180),1),0.01)*10000000,0))="Pindah",IF(INDEX(Transaksi!$C$1:$C$5015,ROUND(MOD(MOD(SMALL(Transaksi!$X$16:$X$5015,180),1),0.01)*10000000,0))=$C$4," (ke "&amp;INDEX(Transaksi!$E$1:$E$5015,ROUND(MOD(MOD(SMALL(Transaksi!$X$16:$X$5015,180),1),0.01)*10000000,0))&amp;")"," (dari "&amp;INDEX(Transaksi!$C$1:$C$5015,ROUND(MOD(MOD(SMALL(Transaksi!$X$16:$X$5015,180),1),0.01)*10000000,0))&amp;")"),""))</f>
        <v/>
      </c>
      <c r="D189" s="137">
        <f>IF(180&gt;COUNT(Transaksi!$X$16:$X$5015),"",INDEX(Transaksi!$I$1:$I$5015,ROUND(MOD(MOD(SMALL(Transaksi!$X$16:$X$5015,180),1),0.01)*10000000,0)))</f>
        <v/>
      </c>
      <c r="E189" s="138">
        <f>IF(180&gt;COUNT(Transaksi!$X$16:$X$5015),"",IF(IF(INDEX(Transaksi!$C$1:$C$5015,ROUND(MOD(MOD(SMALL(Transaksi!$X$16:$X$5015,180),1),0.01)*10000000,0))=$C$4,IF(INDEX(Transaksi!$D$1:$D$5015,ROUND(MOD(MOD(SMALL(Transaksi!$X$16:$X$5015,180),1),0.01)*10000000,0))="Masuk",1,-1),1)&gt;0,INDEX(Transaksi!$F$1:$F$5015,ROUND(MOD(MOD(SMALL(Transaksi!$X$16:$X$5015,180),1),0.01)*10000000,0)),""))</f>
        <v/>
      </c>
      <c r="F189" s="139">
        <f>IF(180&gt;COUNT(Transaksi!$X$16:$X$5015),"",IF(IF(INDEX(Transaksi!$C$1:$C$5015,ROUND(MOD(MOD(SMALL(Transaksi!$X$16:$X$5015,180),1),0.01)*10000000,0))=$C$4,IF(INDEX(Transaksi!$D$1:$D$5015,ROUND(MOD(MOD(SMALL(Transaksi!$X$16:$X$5015,180),1),0.01)*10000000,0))="Masuk",1,-1),1)&lt;0,INDEX(Transaksi!$F$1:$F$5015,ROUND(MOD(MOD(SMALL(Transaksi!$X$16:$X$5015,180),1),0.01)*10000000,0)),""))</f>
        <v/>
      </c>
      <c r="G189" s="106">
        <f>IF(180&gt;COUNT(Transaksi!$X$16:$X$5015),"",N(G188)+N(E189)-N(F189))</f>
        <v/>
      </c>
      <c r="H189" s="137">
        <f>IF(180&gt;COUNT(Transaksi!$X$16:$X$5015),"",HYPERLINK("#Transaksi!B"&amp;A189,"Buka"))</f>
        <v/>
      </c>
    </row>
    <row r="190" ht="15" customHeight="1" s="94">
      <c r="A190" s="93">
        <f>IF(181&gt;COUNT(Transaksi!$X$16:$X$5015),"",ROUND(MOD(MOD(SMALL(Transaksi!$X$16:$X$5015,181),1),0.01)*10000000,0))</f>
        <v/>
      </c>
      <c r="B190" s="135">
        <f>IF(181&gt;COUNT(Transaksi!$X$16:$X$5015),"",IF(181=1,INDEX(Transaksi!$B$1:$B$5015,ROUND(MOD(MOD(SMALL(Transaksi!$X$16:$X$5015,181),1),0.01)*10000000,0)),IF(INDEX(Transaksi!$B$1:$B$5015,ROUND(MOD(MOD(SMALL(Transaksi!$X$16:$X$5015,181),1),0.01)*10000000,0))=INDEX(Transaksi!$B$1:$B$5015,A189),"",INDEX(Transaksi!$B$1:$B$5015,ROUND(MOD(MOD(SMALL(Transaksi!$X$16:$X$5015,181),1),0.01)*10000000,0)))))</f>
        <v/>
      </c>
      <c r="C190" s="136">
        <f>IF(181&gt;COUNT(Transaksi!$X$16:$X$5015),"",INDEX(Transaksi!$J$1:$J$5015,ROUND(MOD(MOD(SMALL(Transaksi!$X$16:$X$5015,181),1),0.01)*10000000,0))&amp;IF(INDEX(Transaksi!$D$1:$D$5015,ROUND(MOD(MOD(SMALL(Transaksi!$X$16:$X$5015,181),1),0.01)*10000000,0))="Pindah",IF(INDEX(Transaksi!$C$1:$C$5015,ROUND(MOD(MOD(SMALL(Transaksi!$X$16:$X$5015,181),1),0.01)*10000000,0))=$C$4," (ke "&amp;INDEX(Transaksi!$E$1:$E$5015,ROUND(MOD(MOD(SMALL(Transaksi!$X$16:$X$5015,181),1),0.01)*10000000,0))&amp;")"," (dari "&amp;INDEX(Transaksi!$C$1:$C$5015,ROUND(MOD(MOD(SMALL(Transaksi!$X$16:$X$5015,181),1),0.01)*10000000,0))&amp;")"),""))</f>
        <v/>
      </c>
      <c r="D190" s="137">
        <f>IF(181&gt;COUNT(Transaksi!$X$16:$X$5015),"",INDEX(Transaksi!$I$1:$I$5015,ROUND(MOD(MOD(SMALL(Transaksi!$X$16:$X$5015,181),1),0.01)*10000000,0)))</f>
        <v/>
      </c>
      <c r="E190" s="138">
        <f>IF(181&gt;COUNT(Transaksi!$X$16:$X$5015),"",IF(IF(INDEX(Transaksi!$C$1:$C$5015,ROUND(MOD(MOD(SMALL(Transaksi!$X$16:$X$5015,181),1),0.01)*10000000,0))=$C$4,IF(INDEX(Transaksi!$D$1:$D$5015,ROUND(MOD(MOD(SMALL(Transaksi!$X$16:$X$5015,181),1),0.01)*10000000,0))="Masuk",1,-1),1)&gt;0,INDEX(Transaksi!$F$1:$F$5015,ROUND(MOD(MOD(SMALL(Transaksi!$X$16:$X$5015,181),1),0.01)*10000000,0)),""))</f>
        <v/>
      </c>
      <c r="F190" s="139">
        <f>IF(181&gt;COUNT(Transaksi!$X$16:$X$5015),"",IF(IF(INDEX(Transaksi!$C$1:$C$5015,ROUND(MOD(MOD(SMALL(Transaksi!$X$16:$X$5015,181),1),0.01)*10000000,0))=$C$4,IF(INDEX(Transaksi!$D$1:$D$5015,ROUND(MOD(MOD(SMALL(Transaksi!$X$16:$X$5015,181),1),0.01)*10000000,0))="Masuk",1,-1),1)&lt;0,INDEX(Transaksi!$F$1:$F$5015,ROUND(MOD(MOD(SMALL(Transaksi!$X$16:$X$5015,181),1),0.01)*10000000,0)),""))</f>
        <v/>
      </c>
      <c r="G190" s="106">
        <f>IF(181&gt;COUNT(Transaksi!$X$16:$X$5015),"",N(G189)+N(E190)-N(F190))</f>
        <v/>
      </c>
      <c r="H190" s="137">
        <f>IF(181&gt;COUNT(Transaksi!$X$16:$X$5015),"",HYPERLINK("#Transaksi!B"&amp;A190,"Buka"))</f>
        <v/>
      </c>
    </row>
    <row r="191" ht="15" customHeight="1" s="94">
      <c r="A191" s="93">
        <f>IF(182&gt;COUNT(Transaksi!$X$16:$X$5015),"",ROUND(MOD(MOD(SMALL(Transaksi!$X$16:$X$5015,182),1),0.01)*10000000,0))</f>
        <v/>
      </c>
      <c r="B191" s="135">
        <f>IF(182&gt;COUNT(Transaksi!$X$16:$X$5015),"",IF(182=1,INDEX(Transaksi!$B$1:$B$5015,ROUND(MOD(MOD(SMALL(Transaksi!$X$16:$X$5015,182),1),0.01)*10000000,0)),IF(INDEX(Transaksi!$B$1:$B$5015,ROUND(MOD(MOD(SMALL(Transaksi!$X$16:$X$5015,182),1),0.01)*10000000,0))=INDEX(Transaksi!$B$1:$B$5015,A190),"",INDEX(Transaksi!$B$1:$B$5015,ROUND(MOD(MOD(SMALL(Transaksi!$X$16:$X$5015,182),1),0.01)*10000000,0)))))</f>
        <v/>
      </c>
      <c r="C191" s="136">
        <f>IF(182&gt;COUNT(Transaksi!$X$16:$X$5015),"",INDEX(Transaksi!$J$1:$J$5015,ROUND(MOD(MOD(SMALL(Transaksi!$X$16:$X$5015,182),1),0.01)*10000000,0))&amp;IF(INDEX(Transaksi!$D$1:$D$5015,ROUND(MOD(MOD(SMALL(Transaksi!$X$16:$X$5015,182),1),0.01)*10000000,0))="Pindah",IF(INDEX(Transaksi!$C$1:$C$5015,ROUND(MOD(MOD(SMALL(Transaksi!$X$16:$X$5015,182),1),0.01)*10000000,0))=$C$4," (ke "&amp;INDEX(Transaksi!$E$1:$E$5015,ROUND(MOD(MOD(SMALL(Transaksi!$X$16:$X$5015,182),1),0.01)*10000000,0))&amp;")"," (dari "&amp;INDEX(Transaksi!$C$1:$C$5015,ROUND(MOD(MOD(SMALL(Transaksi!$X$16:$X$5015,182),1),0.01)*10000000,0))&amp;")"),""))</f>
        <v/>
      </c>
      <c r="D191" s="137">
        <f>IF(182&gt;COUNT(Transaksi!$X$16:$X$5015),"",INDEX(Transaksi!$I$1:$I$5015,ROUND(MOD(MOD(SMALL(Transaksi!$X$16:$X$5015,182),1),0.01)*10000000,0)))</f>
        <v/>
      </c>
      <c r="E191" s="138">
        <f>IF(182&gt;COUNT(Transaksi!$X$16:$X$5015),"",IF(IF(INDEX(Transaksi!$C$1:$C$5015,ROUND(MOD(MOD(SMALL(Transaksi!$X$16:$X$5015,182),1),0.01)*10000000,0))=$C$4,IF(INDEX(Transaksi!$D$1:$D$5015,ROUND(MOD(MOD(SMALL(Transaksi!$X$16:$X$5015,182),1),0.01)*10000000,0))="Masuk",1,-1),1)&gt;0,INDEX(Transaksi!$F$1:$F$5015,ROUND(MOD(MOD(SMALL(Transaksi!$X$16:$X$5015,182),1),0.01)*10000000,0)),""))</f>
        <v/>
      </c>
      <c r="F191" s="139">
        <f>IF(182&gt;COUNT(Transaksi!$X$16:$X$5015),"",IF(IF(INDEX(Transaksi!$C$1:$C$5015,ROUND(MOD(MOD(SMALL(Transaksi!$X$16:$X$5015,182),1),0.01)*10000000,0))=$C$4,IF(INDEX(Transaksi!$D$1:$D$5015,ROUND(MOD(MOD(SMALL(Transaksi!$X$16:$X$5015,182),1),0.01)*10000000,0))="Masuk",1,-1),1)&lt;0,INDEX(Transaksi!$F$1:$F$5015,ROUND(MOD(MOD(SMALL(Transaksi!$X$16:$X$5015,182),1),0.01)*10000000,0)),""))</f>
        <v/>
      </c>
      <c r="G191" s="106">
        <f>IF(182&gt;COUNT(Transaksi!$X$16:$X$5015),"",N(G190)+N(E191)-N(F191))</f>
        <v/>
      </c>
      <c r="H191" s="137">
        <f>IF(182&gt;COUNT(Transaksi!$X$16:$X$5015),"",HYPERLINK("#Transaksi!B"&amp;A191,"Buka"))</f>
        <v/>
      </c>
    </row>
    <row r="192" ht="15" customHeight="1" s="94">
      <c r="A192" s="93">
        <f>IF(183&gt;COUNT(Transaksi!$X$16:$X$5015),"",ROUND(MOD(MOD(SMALL(Transaksi!$X$16:$X$5015,183),1),0.01)*10000000,0))</f>
        <v/>
      </c>
      <c r="B192" s="135">
        <f>IF(183&gt;COUNT(Transaksi!$X$16:$X$5015),"",IF(183=1,INDEX(Transaksi!$B$1:$B$5015,ROUND(MOD(MOD(SMALL(Transaksi!$X$16:$X$5015,183),1),0.01)*10000000,0)),IF(INDEX(Transaksi!$B$1:$B$5015,ROUND(MOD(MOD(SMALL(Transaksi!$X$16:$X$5015,183),1),0.01)*10000000,0))=INDEX(Transaksi!$B$1:$B$5015,A191),"",INDEX(Transaksi!$B$1:$B$5015,ROUND(MOD(MOD(SMALL(Transaksi!$X$16:$X$5015,183),1),0.01)*10000000,0)))))</f>
        <v/>
      </c>
      <c r="C192" s="136">
        <f>IF(183&gt;COUNT(Transaksi!$X$16:$X$5015),"",INDEX(Transaksi!$J$1:$J$5015,ROUND(MOD(MOD(SMALL(Transaksi!$X$16:$X$5015,183),1),0.01)*10000000,0))&amp;IF(INDEX(Transaksi!$D$1:$D$5015,ROUND(MOD(MOD(SMALL(Transaksi!$X$16:$X$5015,183),1),0.01)*10000000,0))="Pindah",IF(INDEX(Transaksi!$C$1:$C$5015,ROUND(MOD(MOD(SMALL(Transaksi!$X$16:$X$5015,183),1),0.01)*10000000,0))=$C$4," (ke "&amp;INDEX(Transaksi!$E$1:$E$5015,ROUND(MOD(MOD(SMALL(Transaksi!$X$16:$X$5015,183),1),0.01)*10000000,0))&amp;")"," (dari "&amp;INDEX(Transaksi!$C$1:$C$5015,ROUND(MOD(MOD(SMALL(Transaksi!$X$16:$X$5015,183),1),0.01)*10000000,0))&amp;")"),""))</f>
        <v/>
      </c>
      <c r="D192" s="137">
        <f>IF(183&gt;COUNT(Transaksi!$X$16:$X$5015),"",INDEX(Transaksi!$I$1:$I$5015,ROUND(MOD(MOD(SMALL(Transaksi!$X$16:$X$5015,183),1),0.01)*10000000,0)))</f>
        <v/>
      </c>
      <c r="E192" s="138">
        <f>IF(183&gt;COUNT(Transaksi!$X$16:$X$5015),"",IF(IF(INDEX(Transaksi!$C$1:$C$5015,ROUND(MOD(MOD(SMALL(Transaksi!$X$16:$X$5015,183),1),0.01)*10000000,0))=$C$4,IF(INDEX(Transaksi!$D$1:$D$5015,ROUND(MOD(MOD(SMALL(Transaksi!$X$16:$X$5015,183),1),0.01)*10000000,0))="Masuk",1,-1),1)&gt;0,INDEX(Transaksi!$F$1:$F$5015,ROUND(MOD(MOD(SMALL(Transaksi!$X$16:$X$5015,183),1),0.01)*10000000,0)),""))</f>
        <v/>
      </c>
      <c r="F192" s="139">
        <f>IF(183&gt;COUNT(Transaksi!$X$16:$X$5015),"",IF(IF(INDEX(Transaksi!$C$1:$C$5015,ROUND(MOD(MOD(SMALL(Transaksi!$X$16:$X$5015,183),1),0.01)*10000000,0))=$C$4,IF(INDEX(Transaksi!$D$1:$D$5015,ROUND(MOD(MOD(SMALL(Transaksi!$X$16:$X$5015,183),1),0.01)*10000000,0))="Masuk",1,-1),1)&lt;0,INDEX(Transaksi!$F$1:$F$5015,ROUND(MOD(MOD(SMALL(Transaksi!$X$16:$X$5015,183),1),0.01)*10000000,0)),""))</f>
        <v/>
      </c>
      <c r="G192" s="106">
        <f>IF(183&gt;COUNT(Transaksi!$X$16:$X$5015),"",N(G191)+N(E192)-N(F192))</f>
        <v/>
      </c>
      <c r="H192" s="137">
        <f>IF(183&gt;COUNT(Transaksi!$X$16:$X$5015),"",HYPERLINK("#Transaksi!B"&amp;A192,"Buka"))</f>
        <v/>
      </c>
    </row>
    <row r="193" ht="15" customHeight="1" s="94">
      <c r="A193" s="93">
        <f>IF(184&gt;COUNT(Transaksi!$X$16:$X$5015),"",ROUND(MOD(MOD(SMALL(Transaksi!$X$16:$X$5015,184),1),0.01)*10000000,0))</f>
        <v/>
      </c>
      <c r="B193" s="135">
        <f>IF(184&gt;COUNT(Transaksi!$X$16:$X$5015),"",IF(184=1,INDEX(Transaksi!$B$1:$B$5015,ROUND(MOD(MOD(SMALL(Transaksi!$X$16:$X$5015,184),1),0.01)*10000000,0)),IF(INDEX(Transaksi!$B$1:$B$5015,ROUND(MOD(MOD(SMALL(Transaksi!$X$16:$X$5015,184),1),0.01)*10000000,0))=INDEX(Transaksi!$B$1:$B$5015,A192),"",INDEX(Transaksi!$B$1:$B$5015,ROUND(MOD(MOD(SMALL(Transaksi!$X$16:$X$5015,184),1),0.01)*10000000,0)))))</f>
        <v/>
      </c>
      <c r="C193" s="136">
        <f>IF(184&gt;COUNT(Transaksi!$X$16:$X$5015),"",INDEX(Transaksi!$J$1:$J$5015,ROUND(MOD(MOD(SMALL(Transaksi!$X$16:$X$5015,184),1),0.01)*10000000,0))&amp;IF(INDEX(Transaksi!$D$1:$D$5015,ROUND(MOD(MOD(SMALL(Transaksi!$X$16:$X$5015,184),1),0.01)*10000000,0))="Pindah",IF(INDEX(Transaksi!$C$1:$C$5015,ROUND(MOD(MOD(SMALL(Transaksi!$X$16:$X$5015,184),1),0.01)*10000000,0))=$C$4," (ke "&amp;INDEX(Transaksi!$E$1:$E$5015,ROUND(MOD(MOD(SMALL(Transaksi!$X$16:$X$5015,184),1),0.01)*10000000,0))&amp;")"," (dari "&amp;INDEX(Transaksi!$C$1:$C$5015,ROUND(MOD(MOD(SMALL(Transaksi!$X$16:$X$5015,184),1),0.01)*10000000,0))&amp;")"),""))</f>
        <v/>
      </c>
      <c r="D193" s="137">
        <f>IF(184&gt;COUNT(Transaksi!$X$16:$X$5015),"",INDEX(Transaksi!$I$1:$I$5015,ROUND(MOD(MOD(SMALL(Transaksi!$X$16:$X$5015,184),1),0.01)*10000000,0)))</f>
        <v/>
      </c>
      <c r="E193" s="138">
        <f>IF(184&gt;COUNT(Transaksi!$X$16:$X$5015),"",IF(IF(INDEX(Transaksi!$C$1:$C$5015,ROUND(MOD(MOD(SMALL(Transaksi!$X$16:$X$5015,184),1),0.01)*10000000,0))=$C$4,IF(INDEX(Transaksi!$D$1:$D$5015,ROUND(MOD(MOD(SMALL(Transaksi!$X$16:$X$5015,184),1),0.01)*10000000,0))="Masuk",1,-1),1)&gt;0,INDEX(Transaksi!$F$1:$F$5015,ROUND(MOD(MOD(SMALL(Transaksi!$X$16:$X$5015,184),1),0.01)*10000000,0)),""))</f>
        <v/>
      </c>
      <c r="F193" s="139">
        <f>IF(184&gt;COUNT(Transaksi!$X$16:$X$5015),"",IF(IF(INDEX(Transaksi!$C$1:$C$5015,ROUND(MOD(MOD(SMALL(Transaksi!$X$16:$X$5015,184),1),0.01)*10000000,0))=$C$4,IF(INDEX(Transaksi!$D$1:$D$5015,ROUND(MOD(MOD(SMALL(Transaksi!$X$16:$X$5015,184),1),0.01)*10000000,0))="Masuk",1,-1),1)&lt;0,INDEX(Transaksi!$F$1:$F$5015,ROUND(MOD(MOD(SMALL(Transaksi!$X$16:$X$5015,184),1),0.01)*10000000,0)),""))</f>
        <v/>
      </c>
      <c r="G193" s="106">
        <f>IF(184&gt;COUNT(Transaksi!$X$16:$X$5015),"",N(G192)+N(E193)-N(F193))</f>
        <v/>
      </c>
      <c r="H193" s="137">
        <f>IF(184&gt;COUNT(Transaksi!$X$16:$X$5015),"",HYPERLINK("#Transaksi!B"&amp;A193,"Buka"))</f>
        <v/>
      </c>
    </row>
    <row r="194" ht="15" customHeight="1" s="94">
      <c r="A194" s="93">
        <f>IF(185&gt;COUNT(Transaksi!$X$16:$X$5015),"",ROUND(MOD(MOD(SMALL(Transaksi!$X$16:$X$5015,185),1),0.01)*10000000,0))</f>
        <v/>
      </c>
      <c r="B194" s="135">
        <f>IF(185&gt;COUNT(Transaksi!$X$16:$X$5015),"",IF(185=1,INDEX(Transaksi!$B$1:$B$5015,ROUND(MOD(MOD(SMALL(Transaksi!$X$16:$X$5015,185),1),0.01)*10000000,0)),IF(INDEX(Transaksi!$B$1:$B$5015,ROUND(MOD(MOD(SMALL(Transaksi!$X$16:$X$5015,185),1),0.01)*10000000,0))=INDEX(Transaksi!$B$1:$B$5015,A193),"",INDEX(Transaksi!$B$1:$B$5015,ROUND(MOD(MOD(SMALL(Transaksi!$X$16:$X$5015,185),1),0.01)*10000000,0)))))</f>
        <v/>
      </c>
      <c r="C194" s="136">
        <f>IF(185&gt;COUNT(Transaksi!$X$16:$X$5015),"",INDEX(Transaksi!$J$1:$J$5015,ROUND(MOD(MOD(SMALL(Transaksi!$X$16:$X$5015,185),1),0.01)*10000000,0))&amp;IF(INDEX(Transaksi!$D$1:$D$5015,ROUND(MOD(MOD(SMALL(Transaksi!$X$16:$X$5015,185),1),0.01)*10000000,0))="Pindah",IF(INDEX(Transaksi!$C$1:$C$5015,ROUND(MOD(MOD(SMALL(Transaksi!$X$16:$X$5015,185),1),0.01)*10000000,0))=$C$4," (ke "&amp;INDEX(Transaksi!$E$1:$E$5015,ROUND(MOD(MOD(SMALL(Transaksi!$X$16:$X$5015,185),1),0.01)*10000000,0))&amp;")"," (dari "&amp;INDEX(Transaksi!$C$1:$C$5015,ROUND(MOD(MOD(SMALL(Transaksi!$X$16:$X$5015,185),1),0.01)*10000000,0))&amp;")"),""))</f>
        <v/>
      </c>
      <c r="D194" s="137">
        <f>IF(185&gt;COUNT(Transaksi!$X$16:$X$5015),"",INDEX(Transaksi!$I$1:$I$5015,ROUND(MOD(MOD(SMALL(Transaksi!$X$16:$X$5015,185),1),0.01)*10000000,0)))</f>
        <v/>
      </c>
      <c r="E194" s="138">
        <f>IF(185&gt;COUNT(Transaksi!$X$16:$X$5015),"",IF(IF(INDEX(Transaksi!$C$1:$C$5015,ROUND(MOD(MOD(SMALL(Transaksi!$X$16:$X$5015,185),1),0.01)*10000000,0))=$C$4,IF(INDEX(Transaksi!$D$1:$D$5015,ROUND(MOD(MOD(SMALL(Transaksi!$X$16:$X$5015,185),1),0.01)*10000000,0))="Masuk",1,-1),1)&gt;0,INDEX(Transaksi!$F$1:$F$5015,ROUND(MOD(MOD(SMALL(Transaksi!$X$16:$X$5015,185),1),0.01)*10000000,0)),""))</f>
        <v/>
      </c>
      <c r="F194" s="139">
        <f>IF(185&gt;COUNT(Transaksi!$X$16:$X$5015),"",IF(IF(INDEX(Transaksi!$C$1:$C$5015,ROUND(MOD(MOD(SMALL(Transaksi!$X$16:$X$5015,185),1),0.01)*10000000,0))=$C$4,IF(INDEX(Transaksi!$D$1:$D$5015,ROUND(MOD(MOD(SMALL(Transaksi!$X$16:$X$5015,185),1),0.01)*10000000,0))="Masuk",1,-1),1)&lt;0,INDEX(Transaksi!$F$1:$F$5015,ROUND(MOD(MOD(SMALL(Transaksi!$X$16:$X$5015,185),1),0.01)*10000000,0)),""))</f>
        <v/>
      </c>
      <c r="G194" s="106">
        <f>IF(185&gt;COUNT(Transaksi!$X$16:$X$5015),"",N(G193)+N(E194)-N(F194))</f>
        <v/>
      </c>
      <c r="H194" s="137">
        <f>IF(185&gt;COUNT(Transaksi!$X$16:$X$5015),"",HYPERLINK("#Transaksi!B"&amp;A194,"Buka"))</f>
        <v/>
      </c>
    </row>
    <row r="195" ht="15" customHeight="1" s="94">
      <c r="A195" s="93">
        <f>IF(186&gt;COUNT(Transaksi!$X$16:$X$5015),"",ROUND(MOD(MOD(SMALL(Transaksi!$X$16:$X$5015,186),1),0.01)*10000000,0))</f>
        <v/>
      </c>
      <c r="B195" s="135">
        <f>IF(186&gt;COUNT(Transaksi!$X$16:$X$5015),"",IF(186=1,INDEX(Transaksi!$B$1:$B$5015,ROUND(MOD(MOD(SMALL(Transaksi!$X$16:$X$5015,186),1),0.01)*10000000,0)),IF(INDEX(Transaksi!$B$1:$B$5015,ROUND(MOD(MOD(SMALL(Transaksi!$X$16:$X$5015,186),1),0.01)*10000000,0))=INDEX(Transaksi!$B$1:$B$5015,A194),"",INDEX(Transaksi!$B$1:$B$5015,ROUND(MOD(MOD(SMALL(Transaksi!$X$16:$X$5015,186),1),0.01)*10000000,0)))))</f>
        <v/>
      </c>
      <c r="C195" s="136">
        <f>IF(186&gt;COUNT(Transaksi!$X$16:$X$5015),"",INDEX(Transaksi!$J$1:$J$5015,ROUND(MOD(MOD(SMALL(Transaksi!$X$16:$X$5015,186),1),0.01)*10000000,0))&amp;IF(INDEX(Transaksi!$D$1:$D$5015,ROUND(MOD(MOD(SMALL(Transaksi!$X$16:$X$5015,186),1),0.01)*10000000,0))="Pindah",IF(INDEX(Transaksi!$C$1:$C$5015,ROUND(MOD(MOD(SMALL(Transaksi!$X$16:$X$5015,186),1),0.01)*10000000,0))=$C$4," (ke "&amp;INDEX(Transaksi!$E$1:$E$5015,ROUND(MOD(MOD(SMALL(Transaksi!$X$16:$X$5015,186),1),0.01)*10000000,0))&amp;")"," (dari "&amp;INDEX(Transaksi!$C$1:$C$5015,ROUND(MOD(MOD(SMALL(Transaksi!$X$16:$X$5015,186),1),0.01)*10000000,0))&amp;")"),""))</f>
        <v/>
      </c>
      <c r="D195" s="137">
        <f>IF(186&gt;COUNT(Transaksi!$X$16:$X$5015),"",INDEX(Transaksi!$I$1:$I$5015,ROUND(MOD(MOD(SMALL(Transaksi!$X$16:$X$5015,186),1),0.01)*10000000,0)))</f>
        <v/>
      </c>
      <c r="E195" s="138">
        <f>IF(186&gt;COUNT(Transaksi!$X$16:$X$5015),"",IF(IF(INDEX(Transaksi!$C$1:$C$5015,ROUND(MOD(MOD(SMALL(Transaksi!$X$16:$X$5015,186),1),0.01)*10000000,0))=$C$4,IF(INDEX(Transaksi!$D$1:$D$5015,ROUND(MOD(MOD(SMALL(Transaksi!$X$16:$X$5015,186),1),0.01)*10000000,0))="Masuk",1,-1),1)&gt;0,INDEX(Transaksi!$F$1:$F$5015,ROUND(MOD(MOD(SMALL(Transaksi!$X$16:$X$5015,186),1),0.01)*10000000,0)),""))</f>
        <v/>
      </c>
      <c r="F195" s="139">
        <f>IF(186&gt;COUNT(Transaksi!$X$16:$X$5015),"",IF(IF(INDEX(Transaksi!$C$1:$C$5015,ROUND(MOD(MOD(SMALL(Transaksi!$X$16:$X$5015,186),1),0.01)*10000000,0))=$C$4,IF(INDEX(Transaksi!$D$1:$D$5015,ROUND(MOD(MOD(SMALL(Transaksi!$X$16:$X$5015,186),1),0.01)*10000000,0))="Masuk",1,-1),1)&lt;0,INDEX(Transaksi!$F$1:$F$5015,ROUND(MOD(MOD(SMALL(Transaksi!$X$16:$X$5015,186),1),0.01)*10000000,0)),""))</f>
        <v/>
      </c>
      <c r="G195" s="106">
        <f>IF(186&gt;COUNT(Transaksi!$X$16:$X$5015),"",N(G194)+N(E195)-N(F195))</f>
        <v/>
      </c>
      <c r="H195" s="137">
        <f>IF(186&gt;COUNT(Transaksi!$X$16:$X$5015),"",HYPERLINK("#Transaksi!B"&amp;A195,"Buka"))</f>
        <v/>
      </c>
    </row>
    <row r="196" ht="15" customHeight="1" s="94">
      <c r="A196" s="93">
        <f>IF(187&gt;COUNT(Transaksi!$X$16:$X$5015),"",ROUND(MOD(MOD(SMALL(Transaksi!$X$16:$X$5015,187),1),0.01)*10000000,0))</f>
        <v/>
      </c>
      <c r="B196" s="135">
        <f>IF(187&gt;COUNT(Transaksi!$X$16:$X$5015),"",IF(187=1,INDEX(Transaksi!$B$1:$B$5015,ROUND(MOD(MOD(SMALL(Transaksi!$X$16:$X$5015,187),1),0.01)*10000000,0)),IF(INDEX(Transaksi!$B$1:$B$5015,ROUND(MOD(MOD(SMALL(Transaksi!$X$16:$X$5015,187),1),0.01)*10000000,0))=INDEX(Transaksi!$B$1:$B$5015,A195),"",INDEX(Transaksi!$B$1:$B$5015,ROUND(MOD(MOD(SMALL(Transaksi!$X$16:$X$5015,187),1),0.01)*10000000,0)))))</f>
        <v/>
      </c>
      <c r="C196" s="136">
        <f>IF(187&gt;COUNT(Transaksi!$X$16:$X$5015),"",INDEX(Transaksi!$J$1:$J$5015,ROUND(MOD(MOD(SMALL(Transaksi!$X$16:$X$5015,187),1),0.01)*10000000,0))&amp;IF(INDEX(Transaksi!$D$1:$D$5015,ROUND(MOD(MOD(SMALL(Transaksi!$X$16:$X$5015,187),1),0.01)*10000000,0))="Pindah",IF(INDEX(Transaksi!$C$1:$C$5015,ROUND(MOD(MOD(SMALL(Transaksi!$X$16:$X$5015,187),1),0.01)*10000000,0))=$C$4," (ke "&amp;INDEX(Transaksi!$E$1:$E$5015,ROUND(MOD(MOD(SMALL(Transaksi!$X$16:$X$5015,187),1),0.01)*10000000,0))&amp;")"," (dari "&amp;INDEX(Transaksi!$C$1:$C$5015,ROUND(MOD(MOD(SMALL(Transaksi!$X$16:$X$5015,187),1),0.01)*10000000,0))&amp;")"),""))</f>
        <v/>
      </c>
      <c r="D196" s="137">
        <f>IF(187&gt;COUNT(Transaksi!$X$16:$X$5015),"",INDEX(Transaksi!$I$1:$I$5015,ROUND(MOD(MOD(SMALL(Transaksi!$X$16:$X$5015,187),1),0.01)*10000000,0)))</f>
        <v/>
      </c>
      <c r="E196" s="138">
        <f>IF(187&gt;COUNT(Transaksi!$X$16:$X$5015),"",IF(IF(INDEX(Transaksi!$C$1:$C$5015,ROUND(MOD(MOD(SMALL(Transaksi!$X$16:$X$5015,187),1),0.01)*10000000,0))=$C$4,IF(INDEX(Transaksi!$D$1:$D$5015,ROUND(MOD(MOD(SMALL(Transaksi!$X$16:$X$5015,187),1),0.01)*10000000,0))="Masuk",1,-1),1)&gt;0,INDEX(Transaksi!$F$1:$F$5015,ROUND(MOD(MOD(SMALL(Transaksi!$X$16:$X$5015,187),1),0.01)*10000000,0)),""))</f>
        <v/>
      </c>
      <c r="F196" s="139">
        <f>IF(187&gt;COUNT(Transaksi!$X$16:$X$5015),"",IF(IF(INDEX(Transaksi!$C$1:$C$5015,ROUND(MOD(MOD(SMALL(Transaksi!$X$16:$X$5015,187),1),0.01)*10000000,0))=$C$4,IF(INDEX(Transaksi!$D$1:$D$5015,ROUND(MOD(MOD(SMALL(Transaksi!$X$16:$X$5015,187),1),0.01)*10000000,0))="Masuk",1,-1),1)&lt;0,INDEX(Transaksi!$F$1:$F$5015,ROUND(MOD(MOD(SMALL(Transaksi!$X$16:$X$5015,187),1),0.01)*10000000,0)),""))</f>
        <v/>
      </c>
      <c r="G196" s="106">
        <f>IF(187&gt;COUNT(Transaksi!$X$16:$X$5015),"",N(G195)+N(E196)-N(F196))</f>
        <v/>
      </c>
      <c r="H196" s="137">
        <f>IF(187&gt;COUNT(Transaksi!$X$16:$X$5015),"",HYPERLINK("#Transaksi!B"&amp;A196,"Buka"))</f>
        <v/>
      </c>
    </row>
    <row r="197" ht="15" customHeight="1" s="94">
      <c r="A197" s="93">
        <f>IF(188&gt;COUNT(Transaksi!$X$16:$X$5015),"",ROUND(MOD(MOD(SMALL(Transaksi!$X$16:$X$5015,188),1),0.01)*10000000,0))</f>
        <v/>
      </c>
      <c r="B197" s="135">
        <f>IF(188&gt;COUNT(Transaksi!$X$16:$X$5015),"",IF(188=1,INDEX(Transaksi!$B$1:$B$5015,ROUND(MOD(MOD(SMALL(Transaksi!$X$16:$X$5015,188),1),0.01)*10000000,0)),IF(INDEX(Transaksi!$B$1:$B$5015,ROUND(MOD(MOD(SMALL(Transaksi!$X$16:$X$5015,188),1),0.01)*10000000,0))=INDEX(Transaksi!$B$1:$B$5015,A196),"",INDEX(Transaksi!$B$1:$B$5015,ROUND(MOD(MOD(SMALL(Transaksi!$X$16:$X$5015,188),1),0.01)*10000000,0)))))</f>
        <v/>
      </c>
      <c r="C197" s="136">
        <f>IF(188&gt;COUNT(Transaksi!$X$16:$X$5015),"",INDEX(Transaksi!$J$1:$J$5015,ROUND(MOD(MOD(SMALL(Transaksi!$X$16:$X$5015,188),1),0.01)*10000000,0))&amp;IF(INDEX(Transaksi!$D$1:$D$5015,ROUND(MOD(MOD(SMALL(Transaksi!$X$16:$X$5015,188),1),0.01)*10000000,0))="Pindah",IF(INDEX(Transaksi!$C$1:$C$5015,ROUND(MOD(MOD(SMALL(Transaksi!$X$16:$X$5015,188),1),0.01)*10000000,0))=$C$4," (ke "&amp;INDEX(Transaksi!$E$1:$E$5015,ROUND(MOD(MOD(SMALL(Transaksi!$X$16:$X$5015,188),1),0.01)*10000000,0))&amp;")"," (dari "&amp;INDEX(Transaksi!$C$1:$C$5015,ROUND(MOD(MOD(SMALL(Transaksi!$X$16:$X$5015,188),1),0.01)*10000000,0))&amp;")"),""))</f>
        <v/>
      </c>
      <c r="D197" s="137">
        <f>IF(188&gt;COUNT(Transaksi!$X$16:$X$5015),"",INDEX(Transaksi!$I$1:$I$5015,ROUND(MOD(MOD(SMALL(Transaksi!$X$16:$X$5015,188),1),0.01)*10000000,0)))</f>
        <v/>
      </c>
      <c r="E197" s="138">
        <f>IF(188&gt;COUNT(Transaksi!$X$16:$X$5015),"",IF(IF(INDEX(Transaksi!$C$1:$C$5015,ROUND(MOD(MOD(SMALL(Transaksi!$X$16:$X$5015,188),1),0.01)*10000000,0))=$C$4,IF(INDEX(Transaksi!$D$1:$D$5015,ROUND(MOD(MOD(SMALL(Transaksi!$X$16:$X$5015,188),1),0.01)*10000000,0))="Masuk",1,-1),1)&gt;0,INDEX(Transaksi!$F$1:$F$5015,ROUND(MOD(MOD(SMALL(Transaksi!$X$16:$X$5015,188),1),0.01)*10000000,0)),""))</f>
        <v/>
      </c>
      <c r="F197" s="139">
        <f>IF(188&gt;COUNT(Transaksi!$X$16:$X$5015),"",IF(IF(INDEX(Transaksi!$C$1:$C$5015,ROUND(MOD(MOD(SMALL(Transaksi!$X$16:$X$5015,188),1),0.01)*10000000,0))=$C$4,IF(INDEX(Transaksi!$D$1:$D$5015,ROUND(MOD(MOD(SMALL(Transaksi!$X$16:$X$5015,188),1),0.01)*10000000,0))="Masuk",1,-1),1)&lt;0,INDEX(Transaksi!$F$1:$F$5015,ROUND(MOD(MOD(SMALL(Transaksi!$X$16:$X$5015,188),1),0.01)*10000000,0)),""))</f>
        <v/>
      </c>
      <c r="G197" s="106">
        <f>IF(188&gt;COUNT(Transaksi!$X$16:$X$5015),"",N(G196)+N(E197)-N(F197))</f>
        <v/>
      </c>
      <c r="H197" s="137">
        <f>IF(188&gt;COUNT(Transaksi!$X$16:$X$5015),"",HYPERLINK("#Transaksi!B"&amp;A197,"Buka"))</f>
        <v/>
      </c>
    </row>
    <row r="198" ht="15" customHeight="1" s="94">
      <c r="A198" s="93">
        <f>IF(189&gt;COUNT(Transaksi!$X$16:$X$5015),"",ROUND(MOD(MOD(SMALL(Transaksi!$X$16:$X$5015,189),1),0.01)*10000000,0))</f>
        <v/>
      </c>
      <c r="B198" s="135">
        <f>IF(189&gt;COUNT(Transaksi!$X$16:$X$5015),"",IF(189=1,INDEX(Transaksi!$B$1:$B$5015,ROUND(MOD(MOD(SMALL(Transaksi!$X$16:$X$5015,189),1),0.01)*10000000,0)),IF(INDEX(Transaksi!$B$1:$B$5015,ROUND(MOD(MOD(SMALL(Transaksi!$X$16:$X$5015,189),1),0.01)*10000000,0))=INDEX(Transaksi!$B$1:$B$5015,A197),"",INDEX(Transaksi!$B$1:$B$5015,ROUND(MOD(MOD(SMALL(Transaksi!$X$16:$X$5015,189),1),0.01)*10000000,0)))))</f>
        <v/>
      </c>
      <c r="C198" s="136">
        <f>IF(189&gt;COUNT(Transaksi!$X$16:$X$5015),"",INDEX(Transaksi!$J$1:$J$5015,ROUND(MOD(MOD(SMALL(Transaksi!$X$16:$X$5015,189),1),0.01)*10000000,0))&amp;IF(INDEX(Transaksi!$D$1:$D$5015,ROUND(MOD(MOD(SMALL(Transaksi!$X$16:$X$5015,189),1),0.01)*10000000,0))="Pindah",IF(INDEX(Transaksi!$C$1:$C$5015,ROUND(MOD(MOD(SMALL(Transaksi!$X$16:$X$5015,189),1),0.01)*10000000,0))=$C$4," (ke "&amp;INDEX(Transaksi!$E$1:$E$5015,ROUND(MOD(MOD(SMALL(Transaksi!$X$16:$X$5015,189),1),0.01)*10000000,0))&amp;")"," (dari "&amp;INDEX(Transaksi!$C$1:$C$5015,ROUND(MOD(MOD(SMALL(Transaksi!$X$16:$X$5015,189),1),0.01)*10000000,0))&amp;")"),""))</f>
        <v/>
      </c>
      <c r="D198" s="137">
        <f>IF(189&gt;COUNT(Transaksi!$X$16:$X$5015),"",INDEX(Transaksi!$I$1:$I$5015,ROUND(MOD(MOD(SMALL(Transaksi!$X$16:$X$5015,189),1),0.01)*10000000,0)))</f>
        <v/>
      </c>
      <c r="E198" s="138">
        <f>IF(189&gt;COUNT(Transaksi!$X$16:$X$5015),"",IF(IF(INDEX(Transaksi!$C$1:$C$5015,ROUND(MOD(MOD(SMALL(Transaksi!$X$16:$X$5015,189),1),0.01)*10000000,0))=$C$4,IF(INDEX(Transaksi!$D$1:$D$5015,ROUND(MOD(MOD(SMALL(Transaksi!$X$16:$X$5015,189),1),0.01)*10000000,0))="Masuk",1,-1),1)&gt;0,INDEX(Transaksi!$F$1:$F$5015,ROUND(MOD(MOD(SMALL(Transaksi!$X$16:$X$5015,189),1),0.01)*10000000,0)),""))</f>
        <v/>
      </c>
      <c r="F198" s="139">
        <f>IF(189&gt;COUNT(Transaksi!$X$16:$X$5015),"",IF(IF(INDEX(Transaksi!$C$1:$C$5015,ROUND(MOD(MOD(SMALL(Transaksi!$X$16:$X$5015,189),1),0.01)*10000000,0))=$C$4,IF(INDEX(Transaksi!$D$1:$D$5015,ROUND(MOD(MOD(SMALL(Transaksi!$X$16:$X$5015,189),1),0.01)*10000000,0))="Masuk",1,-1),1)&lt;0,INDEX(Transaksi!$F$1:$F$5015,ROUND(MOD(MOD(SMALL(Transaksi!$X$16:$X$5015,189),1),0.01)*10000000,0)),""))</f>
        <v/>
      </c>
      <c r="G198" s="106">
        <f>IF(189&gt;COUNT(Transaksi!$X$16:$X$5015),"",N(G197)+N(E198)-N(F198))</f>
        <v/>
      </c>
      <c r="H198" s="137">
        <f>IF(189&gt;COUNT(Transaksi!$X$16:$X$5015),"",HYPERLINK("#Transaksi!B"&amp;A198,"Buka"))</f>
        <v/>
      </c>
    </row>
    <row r="199" ht="15" customHeight="1" s="94">
      <c r="A199" s="93">
        <f>IF(190&gt;COUNT(Transaksi!$X$16:$X$5015),"",ROUND(MOD(MOD(SMALL(Transaksi!$X$16:$X$5015,190),1),0.01)*10000000,0))</f>
        <v/>
      </c>
      <c r="B199" s="135">
        <f>IF(190&gt;COUNT(Transaksi!$X$16:$X$5015),"",IF(190=1,INDEX(Transaksi!$B$1:$B$5015,ROUND(MOD(MOD(SMALL(Transaksi!$X$16:$X$5015,190),1),0.01)*10000000,0)),IF(INDEX(Transaksi!$B$1:$B$5015,ROUND(MOD(MOD(SMALL(Transaksi!$X$16:$X$5015,190),1),0.01)*10000000,0))=INDEX(Transaksi!$B$1:$B$5015,A198),"",INDEX(Transaksi!$B$1:$B$5015,ROUND(MOD(MOD(SMALL(Transaksi!$X$16:$X$5015,190),1),0.01)*10000000,0)))))</f>
        <v/>
      </c>
      <c r="C199" s="136">
        <f>IF(190&gt;COUNT(Transaksi!$X$16:$X$5015),"",INDEX(Transaksi!$J$1:$J$5015,ROUND(MOD(MOD(SMALL(Transaksi!$X$16:$X$5015,190),1),0.01)*10000000,0))&amp;IF(INDEX(Transaksi!$D$1:$D$5015,ROUND(MOD(MOD(SMALL(Transaksi!$X$16:$X$5015,190),1),0.01)*10000000,0))="Pindah",IF(INDEX(Transaksi!$C$1:$C$5015,ROUND(MOD(MOD(SMALL(Transaksi!$X$16:$X$5015,190),1),0.01)*10000000,0))=$C$4," (ke "&amp;INDEX(Transaksi!$E$1:$E$5015,ROUND(MOD(MOD(SMALL(Transaksi!$X$16:$X$5015,190),1),0.01)*10000000,0))&amp;")"," (dari "&amp;INDEX(Transaksi!$C$1:$C$5015,ROUND(MOD(MOD(SMALL(Transaksi!$X$16:$X$5015,190),1),0.01)*10000000,0))&amp;")"),""))</f>
        <v/>
      </c>
      <c r="D199" s="137">
        <f>IF(190&gt;COUNT(Transaksi!$X$16:$X$5015),"",INDEX(Transaksi!$I$1:$I$5015,ROUND(MOD(MOD(SMALL(Transaksi!$X$16:$X$5015,190),1),0.01)*10000000,0)))</f>
        <v/>
      </c>
      <c r="E199" s="138">
        <f>IF(190&gt;COUNT(Transaksi!$X$16:$X$5015),"",IF(IF(INDEX(Transaksi!$C$1:$C$5015,ROUND(MOD(MOD(SMALL(Transaksi!$X$16:$X$5015,190),1),0.01)*10000000,0))=$C$4,IF(INDEX(Transaksi!$D$1:$D$5015,ROUND(MOD(MOD(SMALL(Transaksi!$X$16:$X$5015,190),1),0.01)*10000000,0))="Masuk",1,-1),1)&gt;0,INDEX(Transaksi!$F$1:$F$5015,ROUND(MOD(MOD(SMALL(Transaksi!$X$16:$X$5015,190),1),0.01)*10000000,0)),""))</f>
        <v/>
      </c>
      <c r="F199" s="139">
        <f>IF(190&gt;COUNT(Transaksi!$X$16:$X$5015),"",IF(IF(INDEX(Transaksi!$C$1:$C$5015,ROUND(MOD(MOD(SMALL(Transaksi!$X$16:$X$5015,190),1),0.01)*10000000,0))=$C$4,IF(INDEX(Transaksi!$D$1:$D$5015,ROUND(MOD(MOD(SMALL(Transaksi!$X$16:$X$5015,190),1),0.01)*10000000,0))="Masuk",1,-1),1)&lt;0,INDEX(Transaksi!$F$1:$F$5015,ROUND(MOD(MOD(SMALL(Transaksi!$X$16:$X$5015,190),1),0.01)*10000000,0)),""))</f>
        <v/>
      </c>
      <c r="G199" s="106">
        <f>IF(190&gt;COUNT(Transaksi!$X$16:$X$5015),"",N(G198)+N(E199)-N(F199))</f>
        <v/>
      </c>
      <c r="H199" s="137">
        <f>IF(190&gt;COUNT(Transaksi!$X$16:$X$5015),"",HYPERLINK("#Transaksi!B"&amp;A199,"Buka"))</f>
        <v/>
      </c>
    </row>
    <row r="200" ht="15" customHeight="1" s="94">
      <c r="A200" s="93">
        <f>IF(191&gt;COUNT(Transaksi!$X$16:$X$5015),"",ROUND(MOD(MOD(SMALL(Transaksi!$X$16:$X$5015,191),1),0.01)*10000000,0))</f>
        <v/>
      </c>
      <c r="B200" s="135">
        <f>IF(191&gt;COUNT(Transaksi!$X$16:$X$5015),"",IF(191=1,INDEX(Transaksi!$B$1:$B$5015,ROUND(MOD(MOD(SMALL(Transaksi!$X$16:$X$5015,191),1),0.01)*10000000,0)),IF(INDEX(Transaksi!$B$1:$B$5015,ROUND(MOD(MOD(SMALL(Transaksi!$X$16:$X$5015,191),1),0.01)*10000000,0))=INDEX(Transaksi!$B$1:$B$5015,A199),"",INDEX(Transaksi!$B$1:$B$5015,ROUND(MOD(MOD(SMALL(Transaksi!$X$16:$X$5015,191),1),0.01)*10000000,0)))))</f>
        <v/>
      </c>
      <c r="C200" s="136">
        <f>IF(191&gt;COUNT(Transaksi!$X$16:$X$5015),"",INDEX(Transaksi!$J$1:$J$5015,ROUND(MOD(MOD(SMALL(Transaksi!$X$16:$X$5015,191),1),0.01)*10000000,0))&amp;IF(INDEX(Transaksi!$D$1:$D$5015,ROUND(MOD(MOD(SMALL(Transaksi!$X$16:$X$5015,191),1),0.01)*10000000,0))="Pindah",IF(INDEX(Transaksi!$C$1:$C$5015,ROUND(MOD(MOD(SMALL(Transaksi!$X$16:$X$5015,191),1),0.01)*10000000,0))=$C$4," (ke "&amp;INDEX(Transaksi!$E$1:$E$5015,ROUND(MOD(MOD(SMALL(Transaksi!$X$16:$X$5015,191),1),0.01)*10000000,0))&amp;")"," (dari "&amp;INDEX(Transaksi!$C$1:$C$5015,ROUND(MOD(MOD(SMALL(Transaksi!$X$16:$X$5015,191),1),0.01)*10000000,0))&amp;")"),""))</f>
        <v/>
      </c>
      <c r="D200" s="137">
        <f>IF(191&gt;COUNT(Transaksi!$X$16:$X$5015),"",INDEX(Transaksi!$I$1:$I$5015,ROUND(MOD(MOD(SMALL(Transaksi!$X$16:$X$5015,191),1),0.01)*10000000,0)))</f>
        <v/>
      </c>
      <c r="E200" s="138">
        <f>IF(191&gt;COUNT(Transaksi!$X$16:$X$5015),"",IF(IF(INDEX(Transaksi!$C$1:$C$5015,ROUND(MOD(MOD(SMALL(Transaksi!$X$16:$X$5015,191),1),0.01)*10000000,0))=$C$4,IF(INDEX(Transaksi!$D$1:$D$5015,ROUND(MOD(MOD(SMALL(Transaksi!$X$16:$X$5015,191),1),0.01)*10000000,0))="Masuk",1,-1),1)&gt;0,INDEX(Transaksi!$F$1:$F$5015,ROUND(MOD(MOD(SMALL(Transaksi!$X$16:$X$5015,191),1),0.01)*10000000,0)),""))</f>
        <v/>
      </c>
      <c r="F200" s="139">
        <f>IF(191&gt;COUNT(Transaksi!$X$16:$X$5015),"",IF(IF(INDEX(Transaksi!$C$1:$C$5015,ROUND(MOD(MOD(SMALL(Transaksi!$X$16:$X$5015,191),1),0.01)*10000000,0))=$C$4,IF(INDEX(Transaksi!$D$1:$D$5015,ROUND(MOD(MOD(SMALL(Transaksi!$X$16:$X$5015,191),1),0.01)*10000000,0))="Masuk",1,-1),1)&lt;0,INDEX(Transaksi!$F$1:$F$5015,ROUND(MOD(MOD(SMALL(Transaksi!$X$16:$X$5015,191),1),0.01)*10000000,0)),""))</f>
        <v/>
      </c>
      <c r="G200" s="106">
        <f>IF(191&gt;COUNT(Transaksi!$X$16:$X$5015),"",N(G199)+N(E200)-N(F200))</f>
        <v/>
      </c>
      <c r="H200" s="137">
        <f>IF(191&gt;COUNT(Transaksi!$X$16:$X$5015),"",HYPERLINK("#Transaksi!B"&amp;A200,"Buka"))</f>
        <v/>
      </c>
    </row>
    <row r="201" ht="15" customHeight="1" s="94">
      <c r="A201" s="93">
        <f>IF(192&gt;COUNT(Transaksi!$X$16:$X$5015),"",ROUND(MOD(MOD(SMALL(Transaksi!$X$16:$X$5015,192),1),0.01)*10000000,0))</f>
        <v/>
      </c>
      <c r="B201" s="135">
        <f>IF(192&gt;COUNT(Transaksi!$X$16:$X$5015),"",IF(192=1,INDEX(Transaksi!$B$1:$B$5015,ROUND(MOD(MOD(SMALL(Transaksi!$X$16:$X$5015,192),1),0.01)*10000000,0)),IF(INDEX(Transaksi!$B$1:$B$5015,ROUND(MOD(MOD(SMALL(Transaksi!$X$16:$X$5015,192),1),0.01)*10000000,0))=INDEX(Transaksi!$B$1:$B$5015,A200),"",INDEX(Transaksi!$B$1:$B$5015,ROUND(MOD(MOD(SMALL(Transaksi!$X$16:$X$5015,192),1),0.01)*10000000,0)))))</f>
        <v/>
      </c>
      <c r="C201" s="136">
        <f>IF(192&gt;COUNT(Transaksi!$X$16:$X$5015),"",INDEX(Transaksi!$J$1:$J$5015,ROUND(MOD(MOD(SMALL(Transaksi!$X$16:$X$5015,192),1),0.01)*10000000,0))&amp;IF(INDEX(Transaksi!$D$1:$D$5015,ROUND(MOD(MOD(SMALL(Transaksi!$X$16:$X$5015,192),1),0.01)*10000000,0))="Pindah",IF(INDEX(Transaksi!$C$1:$C$5015,ROUND(MOD(MOD(SMALL(Transaksi!$X$16:$X$5015,192),1),0.01)*10000000,0))=$C$4," (ke "&amp;INDEX(Transaksi!$E$1:$E$5015,ROUND(MOD(MOD(SMALL(Transaksi!$X$16:$X$5015,192),1),0.01)*10000000,0))&amp;")"," (dari "&amp;INDEX(Transaksi!$C$1:$C$5015,ROUND(MOD(MOD(SMALL(Transaksi!$X$16:$X$5015,192),1),0.01)*10000000,0))&amp;")"),""))</f>
        <v/>
      </c>
      <c r="D201" s="137">
        <f>IF(192&gt;COUNT(Transaksi!$X$16:$X$5015),"",INDEX(Transaksi!$I$1:$I$5015,ROUND(MOD(MOD(SMALL(Transaksi!$X$16:$X$5015,192),1),0.01)*10000000,0)))</f>
        <v/>
      </c>
      <c r="E201" s="138">
        <f>IF(192&gt;COUNT(Transaksi!$X$16:$X$5015),"",IF(IF(INDEX(Transaksi!$C$1:$C$5015,ROUND(MOD(MOD(SMALL(Transaksi!$X$16:$X$5015,192),1),0.01)*10000000,0))=$C$4,IF(INDEX(Transaksi!$D$1:$D$5015,ROUND(MOD(MOD(SMALL(Transaksi!$X$16:$X$5015,192),1),0.01)*10000000,0))="Masuk",1,-1),1)&gt;0,INDEX(Transaksi!$F$1:$F$5015,ROUND(MOD(MOD(SMALL(Transaksi!$X$16:$X$5015,192),1),0.01)*10000000,0)),""))</f>
        <v/>
      </c>
      <c r="F201" s="139">
        <f>IF(192&gt;COUNT(Transaksi!$X$16:$X$5015),"",IF(IF(INDEX(Transaksi!$C$1:$C$5015,ROUND(MOD(MOD(SMALL(Transaksi!$X$16:$X$5015,192),1),0.01)*10000000,0))=$C$4,IF(INDEX(Transaksi!$D$1:$D$5015,ROUND(MOD(MOD(SMALL(Transaksi!$X$16:$X$5015,192),1),0.01)*10000000,0))="Masuk",1,-1),1)&lt;0,INDEX(Transaksi!$F$1:$F$5015,ROUND(MOD(MOD(SMALL(Transaksi!$X$16:$X$5015,192),1),0.01)*10000000,0)),""))</f>
        <v/>
      </c>
      <c r="G201" s="106">
        <f>IF(192&gt;COUNT(Transaksi!$X$16:$X$5015),"",N(G200)+N(E201)-N(F201))</f>
        <v/>
      </c>
      <c r="H201" s="137">
        <f>IF(192&gt;COUNT(Transaksi!$X$16:$X$5015),"",HYPERLINK("#Transaksi!B"&amp;A201,"Buka"))</f>
        <v/>
      </c>
    </row>
    <row r="202" ht="15" customHeight="1" s="94">
      <c r="A202" s="93">
        <f>IF(193&gt;COUNT(Transaksi!$X$16:$X$5015),"",ROUND(MOD(MOD(SMALL(Transaksi!$X$16:$X$5015,193),1),0.01)*10000000,0))</f>
        <v/>
      </c>
      <c r="B202" s="135">
        <f>IF(193&gt;COUNT(Transaksi!$X$16:$X$5015),"",IF(193=1,INDEX(Transaksi!$B$1:$B$5015,ROUND(MOD(MOD(SMALL(Transaksi!$X$16:$X$5015,193),1),0.01)*10000000,0)),IF(INDEX(Transaksi!$B$1:$B$5015,ROUND(MOD(MOD(SMALL(Transaksi!$X$16:$X$5015,193),1),0.01)*10000000,0))=INDEX(Transaksi!$B$1:$B$5015,A201),"",INDEX(Transaksi!$B$1:$B$5015,ROUND(MOD(MOD(SMALL(Transaksi!$X$16:$X$5015,193),1),0.01)*10000000,0)))))</f>
        <v/>
      </c>
      <c r="C202" s="136">
        <f>IF(193&gt;COUNT(Transaksi!$X$16:$X$5015),"",INDEX(Transaksi!$J$1:$J$5015,ROUND(MOD(MOD(SMALL(Transaksi!$X$16:$X$5015,193),1),0.01)*10000000,0))&amp;IF(INDEX(Transaksi!$D$1:$D$5015,ROUND(MOD(MOD(SMALL(Transaksi!$X$16:$X$5015,193),1),0.01)*10000000,0))="Pindah",IF(INDEX(Transaksi!$C$1:$C$5015,ROUND(MOD(MOD(SMALL(Transaksi!$X$16:$X$5015,193),1),0.01)*10000000,0))=$C$4," (ke "&amp;INDEX(Transaksi!$E$1:$E$5015,ROUND(MOD(MOD(SMALL(Transaksi!$X$16:$X$5015,193),1),0.01)*10000000,0))&amp;")"," (dari "&amp;INDEX(Transaksi!$C$1:$C$5015,ROUND(MOD(MOD(SMALL(Transaksi!$X$16:$X$5015,193),1),0.01)*10000000,0))&amp;")"),""))</f>
        <v/>
      </c>
      <c r="D202" s="137">
        <f>IF(193&gt;COUNT(Transaksi!$X$16:$X$5015),"",INDEX(Transaksi!$I$1:$I$5015,ROUND(MOD(MOD(SMALL(Transaksi!$X$16:$X$5015,193),1),0.01)*10000000,0)))</f>
        <v/>
      </c>
      <c r="E202" s="138">
        <f>IF(193&gt;COUNT(Transaksi!$X$16:$X$5015),"",IF(IF(INDEX(Transaksi!$C$1:$C$5015,ROUND(MOD(MOD(SMALL(Transaksi!$X$16:$X$5015,193),1),0.01)*10000000,0))=$C$4,IF(INDEX(Transaksi!$D$1:$D$5015,ROUND(MOD(MOD(SMALL(Transaksi!$X$16:$X$5015,193),1),0.01)*10000000,0))="Masuk",1,-1),1)&gt;0,INDEX(Transaksi!$F$1:$F$5015,ROUND(MOD(MOD(SMALL(Transaksi!$X$16:$X$5015,193),1),0.01)*10000000,0)),""))</f>
        <v/>
      </c>
      <c r="F202" s="139">
        <f>IF(193&gt;COUNT(Transaksi!$X$16:$X$5015),"",IF(IF(INDEX(Transaksi!$C$1:$C$5015,ROUND(MOD(MOD(SMALL(Transaksi!$X$16:$X$5015,193),1),0.01)*10000000,0))=$C$4,IF(INDEX(Transaksi!$D$1:$D$5015,ROUND(MOD(MOD(SMALL(Transaksi!$X$16:$X$5015,193),1),0.01)*10000000,0))="Masuk",1,-1),1)&lt;0,INDEX(Transaksi!$F$1:$F$5015,ROUND(MOD(MOD(SMALL(Transaksi!$X$16:$X$5015,193),1),0.01)*10000000,0)),""))</f>
        <v/>
      </c>
      <c r="G202" s="106">
        <f>IF(193&gt;COUNT(Transaksi!$X$16:$X$5015),"",N(G201)+N(E202)-N(F202))</f>
        <v/>
      </c>
      <c r="H202" s="137">
        <f>IF(193&gt;COUNT(Transaksi!$X$16:$X$5015),"",HYPERLINK("#Transaksi!B"&amp;A202,"Buka"))</f>
        <v/>
      </c>
    </row>
    <row r="203" ht="15" customHeight="1" s="94">
      <c r="A203" s="93">
        <f>IF(194&gt;COUNT(Transaksi!$X$16:$X$5015),"",ROUND(MOD(MOD(SMALL(Transaksi!$X$16:$X$5015,194),1),0.01)*10000000,0))</f>
        <v/>
      </c>
      <c r="B203" s="135">
        <f>IF(194&gt;COUNT(Transaksi!$X$16:$X$5015),"",IF(194=1,INDEX(Transaksi!$B$1:$B$5015,ROUND(MOD(MOD(SMALL(Transaksi!$X$16:$X$5015,194),1),0.01)*10000000,0)),IF(INDEX(Transaksi!$B$1:$B$5015,ROUND(MOD(MOD(SMALL(Transaksi!$X$16:$X$5015,194),1),0.01)*10000000,0))=INDEX(Transaksi!$B$1:$B$5015,A202),"",INDEX(Transaksi!$B$1:$B$5015,ROUND(MOD(MOD(SMALL(Transaksi!$X$16:$X$5015,194),1),0.01)*10000000,0)))))</f>
        <v/>
      </c>
      <c r="C203" s="136">
        <f>IF(194&gt;COUNT(Transaksi!$X$16:$X$5015),"",INDEX(Transaksi!$J$1:$J$5015,ROUND(MOD(MOD(SMALL(Transaksi!$X$16:$X$5015,194),1),0.01)*10000000,0))&amp;IF(INDEX(Transaksi!$D$1:$D$5015,ROUND(MOD(MOD(SMALL(Transaksi!$X$16:$X$5015,194),1),0.01)*10000000,0))="Pindah",IF(INDEX(Transaksi!$C$1:$C$5015,ROUND(MOD(MOD(SMALL(Transaksi!$X$16:$X$5015,194),1),0.01)*10000000,0))=$C$4," (ke "&amp;INDEX(Transaksi!$E$1:$E$5015,ROUND(MOD(MOD(SMALL(Transaksi!$X$16:$X$5015,194),1),0.01)*10000000,0))&amp;")"," (dari "&amp;INDEX(Transaksi!$C$1:$C$5015,ROUND(MOD(MOD(SMALL(Transaksi!$X$16:$X$5015,194),1),0.01)*10000000,0))&amp;")"),""))</f>
        <v/>
      </c>
      <c r="D203" s="137">
        <f>IF(194&gt;COUNT(Transaksi!$X$16:$X$5015),"",INDEX(Transaksi!$I$1:$I$5015,ROUND(MOD(MOD(SMALL(Transaksi!$X$16:$X$5015,194),1),0.01)*10000000,0)))</f>
        <v/>
      </c>
      <c r="E203" s="138">
        <f>IF(194&gt;COUNT(Transaksi!$X$16:$X$5015),"",IF(IF(INDEX(Transaksi!$C$1:$C$5015,ROUND(MOD(MOD(SMALL(Transaksi!$X$16:$X$5015,194),1),0.01)*10000000,0))=$C$4,IF(INDEX(Transaksi!$D$1:$D$5015,ROUND(MOD(MOD(SMALL(Transaksi!$X$16:$X$5015,194),1),0.01)*10000000,0))="Masuk",1,-1),1)&gt;0,INDEX(Transaksi!$F$1:$F$5015,ROUND(MOD(MOD(SMALL(Transaksi!$X$16:$X$5015,194),1),0.01)*10000000,0)),""))</f>
        <v/>
      </c>
      <c r="F203" s="139">
        <f>IF(194&gt;COUNT(Transaksi!$X$16:$X$5015),"",IF(IF(INDEX(Transaksi!$C$1:$C$5015,ROUND(MOD(MOD(SMALL(Transaksi!$X$16:$X$5015,194),1),0.01)*10000000,0))=$C$4,IF(INDEX(Transaksi!$D$1:$D$5015,ROUND(MOD(MOD(SMALL(Transaksi!$X$16:$X$5015,194),1),0.01)*10000000,0))="Masuk",1,-1),1)&lt;0,INDEX(Transaksi!$F$1:$F$5015,ROUND(MOD(MOD(SMALL(Transaksi!$X$16:$X$5015,194),1),0.01)*10000000,0)),""))</f>
        <v/>
      </c>
      <c r="G203" s="106">
        <f>IF(194&gt;COUNT(Transaksi!$X$16:$X$5015),"",N(G202)+N(E203)-N(F203))</f>
        <v/>
      </c>
      <c r="H203" s="137">
        <f>IF(194&gt;COUNT(Transaksi!$X$16:$X$5015),"",HYPERLINK("#Transaksi!B"&amp;A203,"Buka"))</f>
        <v/>
      </c>
    </row>
    <row r="204" ht="15" customHeight="1" s="94">
      <c r="A204" s="93">
        <f>IF(195&gt;COUNT(Transaksi!$X$16:$X$5015),"",ROUND(MOD(MOD(SMALL(Transaksi!$X$16:$X$5015,195),1),0.01)*10000000,0))</f>
        <v/>
      </c>
      <c r="B204" s="135">
        <f>IF(195&gt;COUNT(Transaksi!$X$16:$X$5015),"",IF(195=1,INDEX(Transaksi!$B$1:$B$5015,ROUND(MOD(MOD(SMALL(Transaksi!$X$16:$X$5015,195),1),0.01)*10000000,0)),IF(INDEX(Transaksi!$B$1:$B$5015,ROUND(MOD(MOD(SMALL(Transaksi!$X$16:$X$5015,195),1),0.01)*10000000,0))=INDEX(Transaksi!$B$1:$B$5015,A203),"",INDEX(Transaksi!$B$1:$B$5015,ROUND(MOD(MOD(SMALL(Transaksi!$X$16:$X$5015,195),1),0.01)*10000000,0)))))</f>
        <v/>
      </c>
      <c r="C204" s="136">
        <f>IF(195&gt;COUNT(Transaksi!$X$16:$X$5015),"",INDEX(Transaksi!$J$1:$J$5015,ROUND(MOD(MOD(SMALL(Transaksi!$X$16:$X$5015,195),1),0.01)*10000000,0))&amp;IF(INDEX(Transaksi!$D$1:$D$5015,ROUND(MOD(MOD(SMALL(Transaksi!$X$16:$X$5015,195),1),0.01)*10000000,0))="Pindah",IF(INDEX(Transaksi!$C$1:$C$5015,ROUND(MOD(MOD(SMALL(Transaksi!$X$16:$X$5015,195),1),0.01)*10000000,0))=$C$4," (ke "&amp;INDEX(Transaksi!$E$1:$E$5015,ROUND(MOD(MOD(SMALL(Transaksi!$X$16:$X$5015,195),1),0.01)*10000000,0))&amp;")"," (dari "&amp;INDEX(Transaksi!$C$1:$C$5015,ROUND(MOD(MOD(SMALL(Transaksi!$X$16:$X$5015,195),1),0.01)*10000000,0))&amp;")"),""))</f>
        <v/>
      </c>
      <c r="D204" s="137">
        <f>IF(195&gt;COUNT(Transaksi!$X$16:$X$5015),"",INDEX(Transaksi!$I$1:$I$5015,ROUND(MOD(MOD(SMALL(Transaksi!$X$16:$X$5015,195),1),0.01)*10000000,0)))</f>
        <v/>
      </c>
      <c r="E204" s="138">
        <f>IF(195&gt;COUNT(Transaksi!$X$16:$X$5015),"",IF(IF(INDEX(Transaksi!$C$1:$C$5015,ROUND(MOD(MOD(SMALL(Transaksi!$X$16:$X$5015,195),1),0.01)*10000000,0))=$C$4,IF(INDEX(Transaksi!$D$1:$D$5015,ROUND(MOD(MOD(SMALL(Transaksi!$X$16:$X$5015,195),1),0.01)*10000000,0))="Masuk",1,-1),1)&gt;0,INDEX(Transaksi!$F$1:$F$5015,ROUND(MOD(MOD(SMALL(Transaksi!$X$16:$X$5015,195),1),0.01)*10000000,0)),""))</f>
        <v/>
      </c>
      <c r="F204" s="139">
        <f>IF(195&gt;COUNT(Transaksi!$X$16:$X$5015),"",IF(IF(INDEX(Transaksi!$C$1:$C$5015,ROUND(MOD(MOD(SMALL(Transaksi!$X$16:$X$5015,195),1),0.01)*10000000,0))=$C$4,IF(INDEX(Transaksi!$D$1:$D$5015,ROUND(MOD(MOD(SMALL(Transaksi!$X$16:$X$5015,195),1),0.01)*10000000,0))="Masuk",1,-1),1)&lt;0,INDEX(Transaksi!$F$1:$F$5015,ROUND(MOD(MOD(SMALL(Transaksi!$X$16:$X$5015,195),1),0.01)*10000000,0)),""))</f>
        <v/>
      </c>
      <c r="G204" s="106">
        <f>IF(195&gt;COUNT(Transaksi!$X$16:$X$5015),"",N(G203)+N(E204)-N(F204))</f>
        <v/>
      </c>
      <c r="H204" s="137">
        <f>IF(195&gt;COUNT(Transaksi!$X$16:$X$5015),"",HYPERLINK("#Transaksi!B"&amp;A204,"Buka"))</f>
        <v/>
      </c>
    </row>
    <row r="205" ht="15" customHeight="1" s="94">
      <c r="A205" s="93">
        <f>IF(196&gt;COUNT(Transaksi!$X$16:$X$5015),"",ROUND(MOD(MOD(SMALL(Transaksi!$X$16:$X$5015,196),1),0.01)*10000000,0))</f>
        <v/>
      </c>
      <c r="B205" s="135">
        <f>IF(196&gt;COUNT(Transaksi!$X$16:$X$5015),"",IF(196=1,INDEX(Transaksi!$B$1:$B$5015,ROUND(MOD(MOD(SMALL(Transaksi!$X$16:$X$5015,196),1),0.01)*10000000,0)),IF(INDEX(Transaksi!$B$1:$B$5015,ROUND(MOD(MOD(SMALL(Transaksi!$X$16:$X$5015,196),1),0.01)*10000000,0))=INDEX(Transaksi!$B$1:$B$5015,A204),"",INDEX(Transaksi!$B$1:$B$5015,ROUND(MOD(MOD(SMALL(Transaksi!$X$16:$X$5015,196),1),0.01)*10000000,0)))))</f>
        <v/>
      </c>
      <c r="C205" s="136">
        <f>IF(196&gt;COUNT(Transaksi!$X$16:$X$5015),"",INDEX(Transaksi!$J$1:$J$5015,ROUND(MOD(MOD(SMALL(Transaksi!$X$16:$X$5015,196),1),0.01)*10000000,0))&amp;IF(INDEX(Transaksi!$D$1:$D$5015,ROUND(MOD(MOD(SMALL(Transaksi!$X$16:$X$5015,196),1),0.01)*10000000,0))="Pindah",IF(INDEX(Transaksi!$C$1:$C$5015,ROUND(MOD(MOD(SMALL(Transaksi!$X$16:$X$5015,196),1),0.01)*10000000,0))=$C$4," (ke "&amp;INDEX(Transaksi!$E$1:$E$5015,ROUND(MOD(MOD(SMALL(Transaksi!$X$16:$X$5015,196),1),0.01)*10000000,0))&amp;")"," (dari "&amp;INDEX(Transaksi!$C$1:$C$5015,ROUND(MOD(MOD(SMALL(Transaksi!$X$16:$X$5015,196),1),0.01)*10000000,0))&amp;")"),""))</f>
        <v/>
      </c>
      <c r="D205" s="137">
        <f>IF(196&gt;COUNT(Transaksi!$X$16:$X$5015),"",INDEX(Transaksi!$I$1:$I$5015,ROUND(MOD(MOD(SMALL(Transaksi!$X$16:$X$5015,196),1),0.01)*10000000,0)))</f>
        <v/>
      </c>
      <c r="E205" s="138">
        <f>IF(196&gt;COUNT(Transaksi!$X$16:$X$5015),"",IF(IF(INDEX(Transaksi!$C$1:$C$5015,ROUND(MOD(MOD(SMALL(Transaksi!$X$16:$X$5015,196),1),0.01)*10000000,0))=$C$4,IF(INDEX(Transaksi!$D$1:$D$5015,ROUND(MOD(MOD(SMALL(Transaksi!$X$16:$X$5015,196),1),0.01)*10000000,0))="Masuk",1,-1),1)&gt;0,INDEX(Transaksi!$F$1:$F$5015,ROUND(MOD(MOD(SMALL(Transaksi!$X$16:$X$5015,196),1),0.01)*10000000,0)),""))</f>
        <v/>
      </c>
      <c r="F205" s="139">
        <f>IF(196&gt;COUNT(Transaksi!$X$16:$X$5015),"",IF(IF(INDEX(Transaksi!$C$1:$C$5015,ROUND(MOD(MOD(SMALL(Transaksi!$X$16:$X$5015,196),1),0.01)*10000000,0))=$C$4,IF(INDEX(Transaksi!$D$1:$D$5015,ROUND(MOD(MOD(SMALL(Transaksi!$X$16:$X$5015,196),1),0.01)*10000000,0))="Masuk",1,-1),1)&lt;0,INDEX(Transaksi!$F$1:$F$5015,ROUND(MOD(MOD(SMALL(Transaksi!$X$16:$X$5015,196),1),0.01)*10000000,0)),""))</f>
        <v/>
      </c>
      <c r="G205" s="106">
        <f>IF(196&gt;COUNT(Transaksi!$X$16:$X$5015),"",N(G204)+N(E205)-N(F205))</f>
        <v/>
      </c>
      <c r="H205" s="137">
        <f>IF(196&gt;COUNT(Transaksi!$X$16:$X$5015),"",HYPERLINK("#Transaksi!B"&amp;A205,"Buka"))</f>
        <v/>
      </c>
    </row>
    <row r="206" ht="15" customHeight="1" s="94">
      <c r="A206" s="93">
        <f>IF(197&gt;COUNT(Transaksi!$X$16:$X$5015),"",ROUND(MOD(MOD(SMALL(Transaksi!$X$16:$X$5015,197),1),0.01)*10000000,0))</f>
        <v/>
      </c>
      <c r="B206" s="135">
        <f>IF(197&gt;COUNT(Transaksi!$X$16:$X$5015),"",IF(197=1,INDEX(Transaksi!$B$1:$B$5015,ROUND(MOD(MOD(SMALL(Transaksi!$X$16:$X$5015,197),1),0.01)*10000000,0)),IF(INDEX(Transaksi!$B$1:$B$5015,ROUND(MOD(MOD(SMALL(Transaksi!$X$16:$X$5015,197),1),0.01)*10000000,0))=INDEX(Transaksi!$B$1:$B$5015,A205),"",INDEX(Transaksi!$B$1:$B$5015,ROUND(MOD(MOD(SMALL(Transaksi!$X$16:$X$5015,197),1),0.01)*10000000,0)))))</f>
        <v/>
      </c>
      <c r="C206" s="136">
        <f>IF(197&gt;COUNT(Transaksi!$X$16:$X$5015),"",INDEX(Transaksi!$J$1:$J$5015,ROUND(MOD(MOD(SMALL(Transaksi!$X$16:$X$5015,197),1),0.01)*10000000,0))&amp;IF(INDEX(Transaksi!$D$1:$D$5015,ROUND(MOD(MOD(SMALL(Transaksi!$X$16:$X$5015,197),1),0.01)*10000000,0))="Pindah",IF(INDEX(Transaksi!$C$1:$C$5015,ROUND(MOD(MOD(SMALL(Transaksi!$X$16:$X$5015,197),1),0.01)*10000000,0))=$C$4," (ke "&amp;INDEX(Transaksi!$E$1:$E$5015,ROUND(MOD(MOD(SMALL(Transaksi!$X$16:$X$5015,197),1),0.01)*10000000,0))&amp;")"," (dari "&amp;INDEX(Transaksi!$C$1:$C$5015,ROUND(MOD(MOD(SMALL(Transaksi!$X$16:$X$5015,197),1),0.01)*10000000,0))&amp;")"),""))</f>
        <v/>
      </c>
      <c r="D206" s="137">
        <f>IF(197&gt;COUNT(Transaksi!$X$16:$X$5015),"",INDEX(Transaksi!$I$1:$I$5015,ROUND(MOD(MOD(SMALL(Transaksi!$X$16:$X$5015,197),1),0.01)*10000000,0)))</f>
        <v/>
      </c>
      <c r="E206" s="138">
        <f>IF(197&gt;COUNT(Transaksi!$X$16:$X$5015),"",IF(IF(INDEX(Transaksi!$C$1:$C$5015,ROUND(MOD(MOD(SMALL(Transaksi!$X$16:$X$5015,197),1),0.01)*10000000,0))=$C$4,IF(INDEX(Transaksi!$D$1:$D$5015,ROUND(MOD(MOD(SMALL(Transaksi!$X$16:$X$5015,197),1),0.01)*10000000,0))="Masuk",1,-1),1)&gt;0,INDEX(Transaksi!$F$1:$F$5015,ROUND(MOD(MOD(SMALL(Transaksi!$X$16:$X$5015,197),1),0.01)*10000000,0)),""))</f>
        <v/>
      </c>
      <c r="F206" s="139">
        <f>IF(197&gt;COUNT(Transaksi!$X$16:$X$5015),"",IF(IF(INDEX(Transaksi!$C$1:$C$5015,ROUND(MOD(MOD(SMALL(Transaksi!$X$16:$X$5015,197),1),0.01)*10000000,0))=$C$4,IF(INDEX(Transaksi!$D$1:$D$5015,ROUND(MOD(MOD(SMALL(Transaksi!$X$16:$X$5015,197),1),0.01)*10000000,0))="Masuk",1,-1),1)&lt;0,INDEX(Transaksi!$F$1:$F$5015,ROUND(MOD(MOD(SMALL(Transaksi!$X$16:$X$5015,197),1),0.01)*10000000,0)),""))</f>
        <v/>
      </c>
      <c r="G206" s="106">
        <f>IF(197&gt;COUNT(Transaksi!$X$16:$X$5015),"",N(G205)+N(E206)-N(F206))</f>
        <v/>
      </c>
      <c r="H206" s="137">
        <f>IF(197&gt;COUNT(Transaksi!$X$16:$X$5015),"",HYPERLINK("#Transaksi!B"&amp;A206,"Buka"))</f>
        <v/>
      </c>
    </row>
    <row r="207" ht="15" customHeight="1" s="94">
      <c r="A207" s="93">
        <f>IF(198&gt;COUNT(Transaksi!$X$16:$X$5015),"",ROUND(MOD(MOD(SMALL(Transaksi!$X$16:$X$5015,198),1),0.01)*10000000,0))</f>
        <v/>
      </c>
      <c r="B207" s="135">
        <f>IF(198&gt;COUNT(Transaksi!$X$16:$X$5015),"",IF(198=1,INDEX(Transaksi!$B$1:$B$5015,ROUND(MOD(MOD(SMALL(Transaksi!$X$16:$X$5015,198),1),0.01)*10000000,0)),IF(INDEX(Transaksi!$B$1:$B$5015,ROUND(MOD(MOD(SMALL(Transaksi!$X$16:$X$5015,198),1),0.01)*10000000,0))=INDEX(Transaksi!$B$1:$B$5015,A206),"",INDEX(Transaksi!$B$1:$B$5015,ROUND(MOD(MOD(SMALL(Transaksi!$X$16:$X$5015,198),1),0.01)*10000000,0)))))</f>
        <v/>
      </c>
      <c r="C207" s="136">
        <f>IF(198&gt;COUNT(Transaksi!$X$16:$X$5015),"",INDEX(Transaksi!$J$1:$J$5015,ROUND(MOD(MOD(SMALL(Transaksi!$X$16:$X$5015,198),1),0.01)*10000000,0))&amp;IF(INDEX(Transaksi!$D$1:$D$5015,ROUND(MOD(MOD(SMALL(Transaksi!$X$16:$X$5015,198),1),0.01)*10000000,0))="Pindah",IF(INDEX(Transaksi!$C$1:$C$5015,ROUND(MOD(MOD(SMALL(Transaksi!$X$16:$X$5015,198),1),0.01)*10000000,0))=$C$4," (ke "&amp;INDEX(Transaksi!$E$1:$E$5015,ROUND(MOD(MOD(SMALL(Transaksi!$X$16:$X$5015,198),1),0.01)*10000000,0))&amp;")"," (dari "&amp;INDEX(Transaksi!$C$1:$C$5015,ROUND(MOD(MOD(SMALL(Transaksi!$X$16:$X$5015,198),1),0.01)*10000000,0))&amp;")"),""))</f>
        <v/>
      </c>
      <c r="D207" s="137">
        <f>IF(198&gt;COUNT(Transaksi!$X$16:$X$5015),"",INDEX(Transaksi!$I$1:$I$5015,ROUND(MOD(MOD(SMALL(Transaksi!$X$16:$X$5015,198),1),0.01)*10000000,0)))</f>
        <v/>
      </c>
      <c r="E207" s="138">
        <f>IF(198&gt;COUNT(Transaksi!$X$16:$X$5015),"",IF(IF(INDEX(Transaksi!$C$1:$C$5015,ROUND(MOD(MOD(SMALL(Transaksi!$X$16:$X$5015,198),1),0.01)*10000000,0))=$C$4,IF(INDEX(Transaksi!$D$1:$D$5015,ROUND(MOD(MOD(SMALL(Transaksi!$X$16:$X$5015,198),1),0.01)*10000000,0))="Masuk",1,-1),1)&gt;0,INDEX(Transaksi!$F$1:$F$5015,ROUND(MOD(MOD(SMALL(Transaksi!$X$16:$X$5015,198),1),0.01)*10000000,0)),""))</f>
        <v/>
      </c>
      <c r="F207" s="139">
        <f>IF(198&gt;COUNT(Transaksi!$X$16:$X$5015),"",IF(IF(INDEX(Transaksi!$C$1:$C$5015,ROUND(MOD(MOD(SMALL(Transaksi!$X$16:$X$5015,198),1),0.01)*10000000,0))=$C$4,IF(INDEX(Transaksi!$D$1:$D$5015,ROUND(MOD(MOD(SMALL(Transaksi!$X$16:$X$5015,198),1),0.01)*10000000,0))="Masuk",1,-1),1)&lt;0,INDEX(Transaksi!$F$1:$F$5015,ROUND(MOD(MOD(SMALL(Transaksi!$X$16:$X$5015,198),1),0.01)*10000000,0)),""))</f>
        <v/>
      </c>
      <c r="G207" s="106">
        <f>IF(198&gt;COUNT(Transaksi!$X$16:$X$5015),"",N(G206)+N(E207)-N(F207))</f>
        <v/>
      </c>
      <c r="H207" s="137">
        <f>IF(198&gt;COUNT(Transaksi!$X$16:$X$5015),"",HYPERLINK("#Transaksi!B"&amp;A207,"Buka"))</f>
        <v/>
      </c>
    </row>
    <row r="208" ht="15" customHeight="1" s="94">
      <c r="A208" s="93">
        <f>IF(199&gt;COUNT(Transaksi!$X$16:$X$5015),"",ROUND(MOD(MOD(SMALL(Transaksi!$X$16:$X$5015,199),1),0.01)*10000000,0))</f>
        <v/>
      </c>
      <c r="B208" s="135">
        <f>IF(199&gt;COUNT(Transaksi!$X$16:$X$5015),"",IF(199=1,INDEX(Transaksi!$B$1:$B$5015,ROUND(MOD(MOD(SMALL(Transaksi!$X$16:$X$5015,199),1),0.01)*10000000,0)),IF(INDEX(Transaksi!$B$1:$B$5015,ROUND(MOD(MOD(SMALL(Transaksi!$X$16:$X$5015,199),1),0.01)*10000000,0))=INDEX(Transaksi!$B$1:$B$5015,A207),"",INDEX(Transaksi!$B$1:$B$5015,ROUND(MOD(MOD(SMALL(Transaksi!$X$16:$X$5015,199),1),0.01)*10000000,0)))))</f>
        <v/>
      </c>
      <c r="C208" s="136">
        <f>IF(199&gt;COUNT(Transaksi!$X$16:$X$5015),"",INDEX(Transaksi!$J$1:$J$5015,ROUND(MOD(MOD(SMALL(Transaksi!$X$16:$X$5015,199),1),0.01)*10000000,0))&amp;IF(INDEX(Transaksi!$D$1:$D$5015,ROUND(MOD(MOD(SMALL(Transaksi!$X$16:$X$5015,199),1),0.01)*10000000,0))="Pindah",IF(INDEX(Transaksi!$C$1:$C$5015,ROUND(MOD(MOD(SMALL(Transaksi!$X$16:$X$5015,199),1),0.01)*10000000,0))=$C$4," (ke "&amp;INDEX(Transaksi!$E$1:$E$5015,ROUND(MOD(MOD(SMALL(Transaksi!$X$16:$X$5015,199),1),0.01)*10000000,0))&amp;")"," (dari "&amp;INDEX(Transaksi!$C$1:$C$5015,ROUND(MOD(MOD(SMALL(Transaksi!$X$16:$X$5015,199),1),0.01)*10000000,0))&amp;")"),""))</f>
        <v/>
      </c>
      <c r="D208" s="137">
        <f>IF(199&gt;COUNT(Transaksi!$X$16:$X$5015),"",INDEX(Transaksi!$I$1:$I$5015,ROUND(MOD(MOD(SMALL(Transaksi!$X$16:$X$5015,199),1),0.01)*10000000,0)))</f>
        <v/>
      </c>
      <c r="E208" s="138">
        <f>IF(199&gt;COUNT(Transaksi!$X$16:$X$5015),"",IF(IF(INDEX(Transaksi!$C$1:$C$5015,ROUND(MOD(MOD(SMALL(Transaksi!$X$16:$X$5015,199),1),0.01)*10000000,0))=$C$4,IF(INDEX(Transaksi!$D$1:$D$5015,ROUND(MOD(MOD(SMALL(Transaksi!$X$16:$X$5015,199),1),0.01)*10000000,0))="Masuk",1,-1),1)&gt;0,INDEX(Transaksi!$F$1:$F$5015,ROUND(MOD(MOD(SMALL(Transaksi!$X$16:$X$5015,199),1),0.01)*10000000,0)),""))</f>
        <v/>
      </c>
      <c r="F208" s="139">
        <f>IF(199&gt;COUNT(Transaksi!$X$16:$X$5015),"",IF(IF(INDEX(Transaksi!$C$1:$C$5015,ROUND(MOD(MOD(SMALL(Transaksi!$X$16:$X$5015,199),1),0.01)*10000000,0))=$C$4,IF(INDEX(Transaksi!$D$1:$D$5015,ROUND(MOD(MOD(SMALL(Transaksi!$X$16:$X$5015,199),1),0.01)*10000000,0))="Masuk",1,-1),1)&lt;0,INDEX(Transaksi!$F$1:$F$5015,ROUND(MOD(MOD(SMALL(Transaksi!$X$16:$X$5015,199),1),0.01)*10000000,0)),""))</f>
        <v/>
      </c>
      <c r="G208" s="106">
        <f>IF(199&gt;COUNT(Transaksi!$X$16:$X$5015),"",N(G207)+N(E208)-N(F208))</f>
        <v/>
      </c>
      <c r="H208" s="137">
        <f>IF(199&gt;COUNT(Transaksi!$X$16:$X$5015),"",HYPERLINK("#Transaksi!B"&amp;A208,"Buka"))</f>
        <v/>
      </c>
    </row>
    <row r="209" ht="15" customHeight="1" s="94">
      <c r="A209" s="93">
        <f>IF(200&gt;COUNT(Transaksi!$X$16:$X$5015),"",ROUND(MOD(MOD(SMALL(Transaksi!$X$16:$X$5015,200),1),0.01)*10000000,0))</f>
        <v/>
      </c>
      <c r="B209" s="135">
        <f>IF(200&gt;COUNT(Transaksi!$X$16:$X$5015),"",IF(200=1,INDEX(Transaksi!$B$1:$B$5015,ROUND(MOD(MOD(SMALL(Transaksi!$X$16:$X$5015,200),1),0.01)*10000000,0)),IF(INDEX(Transaksi!$B$1:$B$5015,ROUND(MOD(MOD(SMALL(Transaksi!$X$16:$X$5015,200),1),0.01)*10000000,0))=INDEX(Transaksi!$B$1:$B$5015,A208),"",INDEX(Transaksi!$B$1:$B$5015,ROUND(MOD(MOD(SMALL(Transaksi!$X$16:$X$5015,200),1),0.01)*10000000,0)))))</f>
        <v/>
      </c>
      <c r="C209" s="136">
        <f>IF(200&gt;COUNT(Transaksi!$X$16:$X$5015),"",INDEX(Transaksi!$J$1:$J$5015,ROUND(MOD(MOD(SMALL(Transaksi!$X$16:$X$5015,200),1),0.01)*10000000,0))&amp;IF(INDEX(Transaksi!$D$1:$D$5015,ROUND(MOD(MOD(SMALL(Transaksi!$X$16:$X$5015,200),1),0.01)*10000000,0))="Pindah",IF(INDEX(Transaksi!$C$1:$C$5015,ROUND(MOD(MOD(SMALL(Transaksi!$X$16:$X$5015,200),1),0.01)*10000000,0))=$C$4," (ke "&amp;INDEX(Transaksi!$E$1:$E$5015,ROUND(MOD(MOD(SMALL(Transaksi!$X$16:$X$5015,200),1),0.01)*10000000,0))&amp;")"," (dari "&amp;INDEX(Transaksi!$C$1:$C$5015,ROUND(MOD(MOD(SMALL(Transaksi!$X$16:$X$5015,200),1),0.01)*10000000,0))&amp;")"),""))</f>
        <v/>
      </c>
      <c r="D209" s="137">
        <f>IF(200&gt;COUNT(Transaksi!$X$16:$X$5015),"",INDEX(Transaksi!$I$1:$I$5015,ROUND(MOD(MOD(SMALL(Transaksi!$X$16:$X$5015,200),1),0.01)*10000000,0)))</f>
        <v/>
      </c>
      <c r="E209" s="138">
        <f>IF(200&gt;COUNT(Transaksi!$X$16:$X$5015),"",IF(IF(INDEX(Transaksi!$C$1:$C$5015,ROUND(MOD(MOD(SMALL(Transaksi!$X$16:$X$5015,200),1),0.01)*10000000,0))=$C$4,IF(INDEX(Transaksi!$D$1:$D$5015,ROUND(MOD(MOD(SMALL(Transaksi!$X$16:$X$5015,200),1),0.01)*10000000,0))="Masuk",1,-1),1)&gt;0,INDEX(Transaksi!$F$1:$F$5015,ROUND(MOD(MOD(SMALL(Transaksi!$X$16:$X$5015,200),1),0.01)*10000000,0)),""))</f>
        <v/>
      </c>
      <c r="F209" s="139">
        <f>IF(200&gt;COUNT(Transaksi!$X$16:$X$5015),"",IF(IF(INDEX(Transaksi!$C$1:$C$5015,ROUND(MOD(MOD(SMALL(Transaksi!$X$16:$X$5015,200),1),0.01)*10000000,0))=$C$4,IF(INDEX(Transaksi!$D$1:$D$5015,ROUND(MOD(MOD(SMALL(Transaksi!$X$16:$X$5015,200),1),0.01)*10000000,0))="Masuk",1,-1),1)&lt;0,INDEX(Transaksi!$F$1:$F$5015,ROUND(MOD(MOD(SMALL(Transaksi!$X$16:$X$5015,200),1),0.01)*10000000,0)),""))</f>
        <v/>
      </c>
      <c r="G209" s="106">
        <f>IF(200&gt;COUNT(Transaksi!$X$16:$X$5015),"",N(G208)+N(E209)-N(F209))</f>
        <v/>
      </c>
      <c r="H209" s="137">
        <f>IF(200&gt;COUNT(Transaksi!$X$16:$X$5015),"",HYPERLINK("#Transaksi!B"&amp;A209,"Buka"))</f>
        <v/>
      </c>
    </row>
    <row r="210" ht="15" customHeight="1" s="94">
      <c r="A210" s="93">
        <f>IF(201&gt;COUNT(Transaksi!$X$16:$X$5015),"",ROUND(MOD(MOD(SMALL(Transaksi!$X$16:$X$5015,201),1),0.01)*10000000,0))</f>
        <v/>
      </c>
      <c r="B210" s="135">
        <f>IF(201&gt;COUNT(Transaksi!$X$16:$X$5015),"",IF(201=1,INDEX(Transaksi!$B$1:$B$5015,ROUND(MOD(MOD(SMALL(Transaksi!$X$16:$X$5015,201),1),0.01)*10000000,0)),IF(INDEX(Transaksi!$B$1:$B$5015,ROUND(MOD(MOD(SMALL(Transaksi!$X$16:$X$5015,201),1),0.01)*10000000,0))=INDEX(Transaksi!$B$1:$B$5015,A209),"",INDEX(Transaksi!$B$1:$B$5015,ROUND(MOD(MOD(SMALL(Transaksi!$X$16:$X$5015,201),1),0.01)*10000000,0)))))</f>
        <v/>
      </c>
      <c r="C210" s="136">
        <f>IF(201&gt;COUNT(Transaksi!$X$16:$X$5015),"",INDEX(Transaksi!$J$1:$J$5015,ROUND(MOD(MOD(SMALL(Transaksi!$X$16:$X$5015,201),1),0.01)*10000000,0))&amp;IF(INDEX(Transaksi!$D$1:$D$5015,ROUND(MOD(MOD(SMALL(Transaksi!$X$16:$X$5015,201),1),0.01)*10000000,0))="Pindah",IF(INDEX(Transaksi!$C$1:$C$5015,ROUND(MOD(MOD(SMALL(Transaksi!$X$16:$X$5015,201),1),0.01)*10000000,0))=$C$4," (ke "&amp;INDEX(Transaksi!$E$1:$E$5015,ROUND(MOD(MOD(SMALL(Transaksi!$X$16:$X$5015,201),1),0.01)*10000000,0))&amp;")"," (dari "&amp;INDEX(Transaksi!$C$1:$C$5015,ROUND(MOD(MOD(SMALL(Transaksi!$X$16:$X$5015,201),1),0.01)*10000000,0))&amp;")"),""))</f>
        <v/>
      </c>
      <c r="D210" s="137">
        <f>IF(201&gt;COUNT(Transaksi!$X$16:$X$5015),"",INDEX(Transaksi!$I$1:$I$5015,ROUND(MOD(MOD(SMALL(Transaksi!$X$16:$X$5015,201),1),0.01)*10000000,0)))</f>
        <v/>
      </c>
      <c r="E210" s="138">
        <f>IF(201&gt;COUNT(Transaksi!$X$16:$X$5015),"",IF(IF(INDEX(Transaksi!$C$1:$C$5015,ROUND(MOD(MOD(SMALL(Transaksi!$X$16:$X$5015,201),1),0.01)*10000000,0))=$C$4,IF(INDEX(Transaksi!$D$1:$D$5015,ROUND(MOD(MOD(SMALL(Transaksi!$X$16:$X$5015,201),1),0.01)*10000000,0))="Masuk",1,-1),1)&gt;0,INDEX(Transaksi!$F$1:$F$5015,ROUND(MOD(MOD(SMALL(Transaksi!$X$16:$X$5015,201),1),0.01)*10000000,0)),""))</f>
        <v/>
      </c>
      <c r="F210" s="139">
        <f>IF(201&gt;COUNT(Transaksi!$X$16:$X$5015),"",IF(IF(INDEX(Transaksi!$C$1:$C$5015,ROUND(MOD(MOD(SMALL(Transaksi!$X$16:$X$5015,201),1),0.01)*10000000,0))=$C$4,IF(INDEX(Transaksi!$D$1:$D$5015,ROUND(MOD(MOD(SMALL(Transaksi!$X$16:$X$5015,201),1),0.01)*10000000,0))="Masuk",1,-1),1)&lt;0,INDEX(Transaksi!$F$1:$F$5015,ROUND(MOD(MOD(SMALL(Transaksi!$X$16:$X$5015,201),1),0.01)*10000000,0)),""))</f>
        <v/>
      </c>
      <c r="G210" s="106">
        <f>IF(201&gt;COUNT(Transaksi!$X$16:$X$5015),"",N(G209)+N(E210)-N(F210))</f>
        <v/>
      </c>
      <c r="H210" s="137">
        <f>IF(201&gt;COUNT(Transaksi!$X$16:$X$5015),"",HYPERLINK("#Transaksi!B"&amp;A210,"Buka"))</f>
        <v/>
      </c>
    </row>
    <row r="211" ht="15" customHeight="1" s="94">
      <c r="A211" s="93">
        <f>IF(202&gt;COUNT(Transaksi!$X$16:$X$5015),"",ROUND(MOD(MOD(SMALL(Transaksi!$X$16:$X$5015,202),1),0.01)*10000000,0))</f>
        <v/>
      </c>
      <c r="B211" s="135">
        <f>IF(202&gt;COUNT(Transaksi!$X$16:$X$5015),"",IF(202=1,INDEX(Transaksi!$B$1:$B$5015,ROUND(MOD(MOD(SMALL(Transaksi!$X$16:$X$5015,202),1),0.01)*10000000,0)),IF(INDEX(Transaksi!$B$1:$B$5015,ROUND(MOD(MOD(SMALL(Transaksi!$X$16:$X$5015,202),1),0.01)*10000000,0))=INDEX(Transaksi!$B$1:$B$5015,A210),"",INDEX(Transaksi!$B$1:$B$5015,ROUND(MOD(MOD(SMALL(Transaksi!$X$16:$X$5015,202),1),0.01)*10000000,0)))))</f>
        <v/>
      </c>
      <c r="C211" s="136">
        <f>IF(202&gt;COUNT(Transaksi!$X$16:$X$5015),"",INDEX(Transaksi!$J$1:$J$5015,ROUND(MOD(MOD(SMALL(Transaksi!$X$16:$X$5015,202),1),0.01)*10000000,0))&amp;IF(INDEX(Transaksi!$D$1:$D$5015,ROUND(MOD(MOD(SMALL(Transaksi!$X$16:$X$5015,202),1),0.01)*10000000,0))="Pindah",IF(INDEX(Transaksi!$C$1:$C$5015,ROUND(MOD(MOD(SMALL(Transaksi!$X$16:$X$5015,202),1),0.01)*10000000,0))=$C$4," (ke "&amp;INDEX(Transaksi!$E$1:$E$5015,ROUND(MOD(MOD(SMALL(Transaksi!$X$16:$X$5015,202),1),0.01)*10000000,0))&amp;")"," (dari "&amp;INDEX(Transaksi!$C$1:$C$5015,ROUND(MOD(MOD(SMALL(Transaksi!$X$16:$X$5015,202),1),0.01)*10000000,0))&amp;")"),""))</f>
        <v/>
      </c>
      <c r="D211" s="137">
        <f>IF(202&gt;COUNT(Transaksi!$X$16:$X$5015),"",INDEX(Transaksi!$I$1:$I$5015,ROUND(MOD(MOD(SMALL(Transaksi!$X$16:$X$5015,202),1),0.01)*10000000,0)))</f>
        <v/>
      </c>
      <c r="E211" s="138">
        <f>IF(202&gt;COUNT(Transaksi!$X$16:$X$5015),"",IF(IF(INDEX(Transaksi!$C$1:$C$5015,ROUND(MOD(MOD(SMALL(Transaksi!$X$16:$X$5015,202),1),0.01)*10000000,0))=$C$4,IF(INDEX(Transaksi!$D$1:$D$5015,ROUND(MOD(MOD(SMALL(Transaksi!$X$16:$X$5015,202),1),0.01)*10000000,0))="Masuk",1,-1),1)&gt;0,INDEX(Transaksi!$F$1:$F$5015,ROUND(MOD(MOD(SMALL(Transaksi!$X$16:$X$5015,202),1),0.01)*10000000,0)),""))</f>
        <v/>
      </c>
      <c r="F211" s="139">
        <f>IF(202&gt;COUNT(Transaksi!$X$16:$X$5015),"",IF(IF(INDEX(Transaksi!$C$1:$C$5015,ROUND(MOD(MOD(SMALL(Transaksi!$X$16:$X$5015,202),1),0.01)*10000000,0))=$C$4,IF(INDEX(Transaksi!$D$1:$D$5015,ROUND(MOD(MOD(SMALL(Transaksi!$X$16:$X$5015,202),1),0.01)*10000000,0))="Masuk",1,-1),1)&lt;0,INDEX(Transaksi!$F$1:$F$5015,ROUND(MOD(MOD(SMALL(Transaksi!$X$16:$X$5015,202),1),0.01)*10000000,0)),""))</f>
        <v/>
      </c>
      <c r="G211" s="106">
        <f>IF(202&gt;COUNT(Transaksi!$X$16:$X$5015),"",N(G210)+N(E211)-N(F211))</f>
        <v/>
      </c>
      <c r="H211" s="137">
        <f>IF(202&gt;COUNT(Transaksi!$X$16:$X$5015),"",HYPERLINK("#Transaksi!B"&amp;A211,"Buka"))</f>
        <v/>
      </c>
    </row>
    <row r="212" ht="15" customHeight="1" s="94">
      <c r="A212" s="93">
        <f>IF(203&gt;COUNT(Transaksi!$X$16:$X$5015),"",ROUND(MOD(MOD(SMALL(Transaksi!$X$16:$X$5015,203),1),0.01)*10000000,0))</f>
        <v/>
      </c>
      <c r="B212" s="135">
        <f>IF(203&gt;COUNT(Transaksi!$X$16:$X$5015),"",IF(203=1,INDEX(Transaksi!$B$1:$B$5015,ROUND(MOD(MOD(SMALL(Transaksi!$X$16:$X$5015,203),1),0.01)*10000000,0)),IF(INDEX(Transaksi!$B$1:$B$5015,ROUND(MOD(MOD(SMALL(Transaksi!$X$16:$X$5015,203),1),0.01)*10000000,0))=INDEX(Transaksi!$B$1:$B$5015,A211),"",INDEX(Transaksi!$B$1:$B$5015,ROUND(MOD(MOD(SMALL(Transaksi!$X$16:$X$5015,203),1),0.01)*10000000,0)))))</f>
        <v/>
      </c>
      <c r="C212" s="136">
        <f>IF(203&gt;COUNT(Transaksi!$X$16:$X$5015),"",INDEX(Transaksi!$J$1:$J$5015,ROUND(MOD(MOD(SMALL(Transaksi!$X$16:$X$5015,203),1),0.01)*10000000,0))&amp;IF(INDEX(Transaksi!$D$1:$D$5015,ROUND(MOD(MOD(SMALL(Transaksi!$X$16:$X$5015,203),1),0.01)*10000000,0))="Pindah",IF(INDEX(Transaksi!$C$1:$C$5015,ROUND(MOD(MOD(SMALL(Transaksi!$X$16:$X$5015,203),1),0.01)*10000000,0))=$C$4," (ke "&amp;INDEX(Transaksi!$E$1:$E$5015,ROUND(MOD(MOD(SMALL(Transaksi!$X$16:$X$5015,203),1),0.01)*10000000,0))&amp;")"," (dari "&amp;INDEX(Transaksi!$C$1:$C$5015,ROUND(MOD(MOD(SMALL(Transaksi!$X$16:$X$5015,203),1),0.01)*10000000,0))&amp;")"),""))</f>
        <v/>
      </c>
      <c r="D212" s="137">
        <f>IF(203&gt;COUNT(Transaksi!$X$16:$X$5015),"",INDEX(Transaksi!$I$1:$I$5015,ROUND(MOD(MOD(SMALL(Transaksi!$X$16:$X$5015,203),1),0.01)*10000000,0)))</f>
        <v/>
      </c>
      <c r="E212" s="138">
        <f>IF(203&gt;COUNT(Transaksi!$X$16:$X$5015),"",IF(IF(INDEX(Transaksi!$C$1:$C$5015,ROUND(MOD(MOD(SMALL(Transaksi!$X$16:$X$5015,203),1),0.01)*10000000,0))=$C$4,IF(INDEX(Transaksi!$D$1:$D$5015,ROUND(MOD(MOD(SMALL(Transaksi!$X$16:$X$5015,203),1),0.01)*10000000,0))="Masuk",1,-1),1)&gt;0,INDEX(Transaksi!$F$1:$F$5015,ROUND(MOD(MOD(SMALL(Transaksi!$X$16:$X$5015,203),1),0.01)*10000000,0)),""))</f>
        <v/>
      </c>
      <c r="F212" s="139">
        <f>IF(203&gt;COUNT(Transaksi!$X$16:$X$5015),"",IF(IF(INDEX(Transaksi!$C$1:$C$5015,ROUND(MOD(MOD(SMALL(Transaksi!$X$16:$X$5015,203),1),0.01)*10000000,0))=$C$4,IF(INDEX(Transaksi!$D$1:$D$5015,ROUND(MOD(MOD(SMALL(Transaksi!$X$16:$X$5015,203),1),0.01)*10000000,0))="Masuk",1,-1),1)&lt;0,INDEX(Transaksi!$F$1:$F$5015,ROUND(MOD(MOD(SMALL(Transaksi!$X$16:$X$5015,203),1),0.01)*10000000,0)),""))</f>
        <v/>
      </c>
      <c r="G212" s="106">
        <f>IF(203&gt;COUNT(Transaksi!$X$16:$X$5015),"",N(G211)+N(E212)-N(F212))</f>
        <v/>
      </c>
      <c r="H212" s="137">
        <f>IF(203&gt;COUNT(Transaksi!$X$16:$X$5015),"",HYPERLINK("#Transaksi!B"&amp;A212,"Buka"))</f>
        <v/>
      </c>
    </row>
    <row r="213" ht="15" customHeight="1" s="94">
      <c r="A213" s="93">
        <f>IF(204&gt;COUNT(Transaksi!$X$16:$X$5015),"",ROUND(MOD(MOD(SMALL(Transaksi!$X$16:$X$5015,204),1),0.01)*10000000,0))</f>
        <v/>
      </c>
      <c r="B213" s="135">
        <f>IF(204&gt;COUNT(Transaksi!$X$16:$X$5015),"",IF(204=1,INDEX(Transaksi!$B$1:$B$5015,ROUND(MOD(MOD(SMALL(Transaksi!$X$16:$X$5015,204),1),0.01)*10000000,0)),IF(INDEX(Transaksi!$B$1:$B$5015,ROUND(MOD(MOD(SMALL(Transaksi!$X$16:$X$5015,204),1),0.01)*10000000,0))=INDEX(Transaksi!$B$1:$B$5015,A212),"",INDEX(Transaksi!$B$1:$B$5015,ROUND(MOD(MOD(SMALL(Transaksi!$X$16:$X$5015,204),1),0.01)*10000000,0)))))</f>
        <v/>
      </c>
      <c r="C213" s="136">
        <f>IF(204&gt;COUNT(Transaksi!$X$16:$X$5015),"",INDEX(Transaksi!$J$1:$J$5015,ROUND(MOD(MOD(SMALL(Transaksi!$X$16:$X$5015,204),1),0.01)*10000000,0))&amp;IF(INDEX(Transaksi!$D$1:$D$5015,ROUND(MOD(MOD(SMALL(Transaksi!$X$16:$X$5015,204),1),0.01)*10000000,0))="Pindah",IF(INDEX(Transaksi!$C$1:$C$5015,ROUND(MOD(MOD(SMALL(Transaksi!$X$16:$X$5015,204),1),0.01)*10000000,0))=$C$4," (ke "&amp;INDEX(Transaksi!$E$1:$E$5015,ROUND(MOD(MOD(SMALL(Transaksi!$X$16:$X$5015,204),1),0.01)*10000000,0))&amp;")"," (dari "&amp;INDEX(Transaksi!$C$1:$C$5015,ROUND(MOD(MOD(SMALL(Transaksi!$X$16:$X$5015,204),1),0.01)*10000000,0))&amp;")"),""))</f>
        <v/>
      </c>
      <c r="D213" s="137">
        <f>IF(204&gt;COUNT(Transaksi!$X$16:$X$5015),"",INDEX(Transaksi!$I$1:$I$5015,ROUND(MOD(MOD(SMALL(Transaksi!$X$16:$X$5015,204),1),0.01)*10000000,0)))</f>
        <v/>
      </c>
      <c r="E213" s="138">
        <f>IF(204&gt;COUNT(Transaksi!$X$16:$X$5015),"",IF(IF(INDEX(Transaksi!$C$1:$C$5015,ROUND(MOD(MOD(SMALL(Transaksi!$X$16:$X$5015,204),1),0.01)*10000000,0))=$C$4,IF(INDEX(Transaksi!$D$1:$D$5015,ROUND(MOD(MOD(SMALL(Transaksi!$X$16:$X$5015,204),1),0.01)*10000000,0))="Masuk",1,-1),1)&gt;0,INDEX(Transaksi!$F$1:$F$5015,ROUND(MOD(MOD(SMALL(Transaksi!$X$16:$X$5015,204),1),0.01)*10000000,0)),""))</f>
        <v/>
      </c>
      <c r="F213" s="139">
        <f>IF(204&gt;COUNT(Transaksi!$X$16:$X$5015),"",IF(IF(INDEX(Transaksi!$C$1:$C$5015,ROUND(MOD(MOD(SMALL(Transaksi!$X$16:$X$5015,204),1),0.01)*10000000,0))=$C$4,IF(INDEX(Transaksi!$D$1:$D$5015,ROUND(MOD(MOD(SMALL(Transaksi!$X$16:$X$5015,204),1),0.01)*10000000,0))="Masuk",1,-1),1)&lt;0,INDEX(Transaksi!$F$1:$F$5015,ROUND(MOD(MOD(SMALL(Transaksi!$X$16:$X$5015,204),1),0.01)*10000000,0)),""))</f>
        <v/>
      </c>
      <c r="G213" s="106">
        <f>IF(204&gt;COUNT(Transaksi!$X$16:$X$5015),"",N(G212)+N(E213)-N(F213))</f>
        <v/>
      </c>
      <c r="H213" s="137">
        <f>IF(204&gt;COUNT(Transaksi!$X$16:$X$5015),"",HYPERLINK("#Transaksi!B"&amp;A213,"Buka"))</f>
        <v/>
      </c>
    </row>
    <row r="214" ht="15" customHeight="1" s="94">
      <c r="A214" s="93">
        <f>IF(205&gt;COUNT(Transaksi!$X$16:$X$5015),"",ROUND(MOD(MOD(SMALL(Transaksi!$X$16:$X$5015,205),1),0.01)*10000000,0))</f>
        <v/>
      </c>
      <c r="B214" s="135">
        <f>IF(205&gt;COUNT(Transaksi!$X$16:$X$5015),"",IF(205=1,INDEX(Transaksi!$B$1:$B$5015,ROUND(MOD(MOD(SMALL(Transaksi!$X$16:$X$5015,205),1),0.01)*10000000,0)),IF(INDEX(Transaksi!$B$1:$B$5015,ROUND(MOD(MOD(SMALL(Transaksi!$X$16:$X$5015,205),1),0.01)*10000000,0))=INDEX(Transaksi!$B$1:$B$5015,A213),"",INDEX(Transaksi!$B$1:$B$5015,ROUND(MOD(MOD(SMALL(Transaksi!$X$16:$X$5015,205),1),0.01)*10000000,0)))))</f>
        <v/>
      </c>
      <c r="C214" s="136">
        <f>IF(205&gt;COUNT(Transaksi!$X$16:$X$5015),"",INDEX(Transaksi!$J$1:$J$5015,ROUND(MOD(MOD(SMALL(Transaksi!$X$16:$X$5015,205),1),0.01)*10000000,0))&amp;IF(INDEX(Transaksi!$D$1:$D$5015,ROUND(MOD(MOD(SMALL(Transaksi!$X$16:$X$5015,205),1),0.01)*10000000,0))="Pindah",IF(INDEX(Transaksi!$C$1:$C$5015,ROUND(MOD(MOD(SMALL(Transaksi!$X$16:$X$5015,205),1),0.01)*10000000,0))=$C$4," (ke "&amp;INDEX(Transaksi!$E$1:$E$5015,ROUND(MOD(MOD(SMALL(Transaksi!$X$16:$X$5015,205),1),0.01)*10000000,0))&amp;")"," (dari "&amp;INDEX(Transaksi!$C$1:$C$5015,ROUND(MOD(MOD(SMALL(Transaksi!$X$16:$X$5015,205),1),0.01)*10000000,0))&amp;")"),""))</f>
        <v/>
      </c>
      <c r="D214" s="137">
        <f>IF(205&gt;COUNT(Transaksi!$X$16:$X$5015),"",INDEX(Transaksi!$I$1:$I$5015,ROUND(MOD(MOD(SMALL(Transaksi!$X$16:$X$5015,205),1),0.01)*10000000,0)))</f>
        <v/>
      </c>
      <c r="E214" s="138">
        <f>IF(205&gt;COUNT(Transaksi!$X$16:$X$5015),"",IF(IF(INDEX(Transaksi!$C$1:$C$5015,ROUND(MOD(MOD(SMALL(Transaksi!$X$16:$X$5015,205),1),0.01)*10000000,0))=$C$4,IF(INDEX(Transaksi!$D$1:$D$5015,ROUND(MOD(MOD(SMALL(Transaksi!$X$16:$X$5015,205),1),0.01)*10000000,0))="Masuk",1,-1),1)&gt;0,INDEX(Transaksi!$F$1:$F$5015,ROUND(MOD(MOD(SMALL(Transaksi!$X$16:$X$5015,205),1),0.01)*10000000,0)),""))</f>
        <v/>
      </c>
      <c r="F214" s="139">
        <f>IF(205&gt;COUNT(Transaksi!$X$16:$X$5015),"",IF(IF(INDEX(Transaksi!$C$1:$C$5015,ROUND(MOD(MOD(SMALL(Transaksi!$X$16:$X$5015,205),1),0.01)*10000000,0))=$C$4,IF(INDEX(Transaksi!$D$1:$D$5015,ROUND(MOD(MOD(SMALL(Transaksi!$X$16:$X$5015,205),1),0.01)*10000000,0))="Masuk",1,-1),1)&lt;0,INDEX(Transaksi!$F$1:$F$5015,ROUND(MOD(MOD(SMALL(Transaksi!$X$16:$X$5015,205),1),0.01)*10000000,0)),""))</f>
        <v/>
      </c>
      <c r="G214" s="106">
        <f>IF(205&gt;COUNT(Transaksi!$X$16:$X$5015),"",N(G213)+N(E214)-N(F214))</f>
        <v/>
      </c>
      <c r="H214" s="137">
        <f>IF(205&gt;COUNT(Transaksi!$X$16:$X$5015),"",HYPERLINK("#Transaksi!B"&amp;A214,"Buka"))</f>
        <v/>
      </c>
    </row>
    <row r="215" ht="15" customHeight="1" s="94">
      <c r="A215" s="93">
        <f>IF(206&gt;COUNT(Transaksi!$X$16:$X$5015),"",ROUND(MOD(MOD(SMALL(Transaksi!$X$16:$X$5015,206),1),0.01)*10000000,0))</f>
        <v/>
      </c>
      <c r="B215" s="135">
        <f>IF(206&gt;COUNT(Transaksi!$X$16:$X$5015),"",IF(206=1,INDEX(Transaksi!$B$1:$B$5015,ROUND(MOD(MOD(SMALL(Transaksi!$X$16:$X$5015,206),1),0.01)*10000000,0)),IF(INDEX(Transaksi!$B$1:$B$5015,ROUND(MOD(MOD(SMALL(Transaksi!$X$16:$X$5015,206),1),0.01)*10000000,0))=INDEX(Transaksi!$B$1:$B$5015,A214),"",INDEX(Transaksi!$B$1:$B$5015,ROUND(MOD(MOD(SMALL(Transaksi!$X$16:$X$5015,206),1),0.01)*10000000,0)))))</f>
        <v/>
      </c>
      <c r="C215" s="136">
        <f>IF(206&gt;COUNT(Transaksi!$X$16:$X$5015),"",INDEX(Transaksi!$J$1:$J$5015,ROUND(MOD(MOD(SMALL(Transaksi!$X$16:$X$5015,206),1),0.01)*10000000,0))&amp;IF(INDEX(Transaksi!$D$1:$D$5015,ROUND(MOD(MOD(SMALL(Transaksi!$X$16:$X$5015,206),1),0.01)*10000000,0))="Pindah",IF(INDEX(Transaksi!$C$1:$C$5015,ROUND(MOD(MOD(SMALL(Transaksi!$X$16:$X$5015,206),1),0.01)*10000000,0))=$C$4," (ke "&amp;INDEX(Transaksi!$E$1:$E$5015,ROUND(MOD(MOD(SMALL(Transaksi!$X$16:$X$5015,206),1),0.01)*10000000,0))&amp;")"," (dari "&amp;INDEX(Transaksi!$C$1:$C$5015,ROUND(MOD(MOD(SMALL(Transaksi!$X$16:$X$5015,206),1),0.01)*10000000,0))&amp;")"),""))</f>
        <v/>
      </c>
      <c r="D215" s="137">
        <f>IF(206&gt;COUNT(Transaksi!$X$16:$X$5015),"",INDEX(Transaksi!$I$1:$I$5015,ROUND(MOD(MOD(SMALL(Transaksi!$X$16:$X$5015,206),1),0.01)*10000000,0)))</f>
        <v/>
      </c>
      <c r="E215" s="138">
        <f>IF(206&gt;COUNT(Transaksi!$X$16:$X$5015),"",IF(IF(INDEX(Transaksi!$C$1:$C$5015,ROUND(MOD(MOD(SMALL(Transaksi!$X$16:$X$5015,206),1),0.01)*10000000,0))=$C$4,IF(INDEX(Transaksi!$D$1:$D$5015,ROUND(MOD(MOD(SMALL(Transaksi!$X$16:$X$5015,206),1),0.01)*10000000,0))="Masuk",1,-1),1)&gt;0,INDEX(Transaksi!$F$1:$F$5015,ROUND(MOD(MOD(SMALL(Transaksi!$X$16:$X$5015,206),1),0.01)*10000000,0)),""))</f>
        <v/>
      </c>
      <c r="F215" s="139">
        <f>IF(206&gt;COUNT(Transaksi!$X$16:$X$5015),"",IF(IF(INDEX(Transaksi!$C$1:$C$5015,ROUND(MOD(MOD(SMALL(Transaksi!$X$16:$X$5015,206),1),0.01)*10000000,0))=$C$4,IF(INDEX(Transaksi!$D$1:$D$5015,ROUND(MOD(MOD(SMALL(Transaksi!$X$16:$X$5015,206),1),0.01)*10000000,0))="Masuk",1,-1),1)&lt;0,INDEX(Transaksi!$F$1:$F$5015,ROUND(MOD(MOD(SMALL(Transaksi!$X$16:$X$5015,206),1),0.01)*10000000,0)),""))</f>
        <v/>
      </c>
      <c r="G215" s="106">
        <f>IF(206&gt;COUNT(Transaksi!$X$16:$X$5015),"",N(G214)+N(E215)-N(F215))</f>
        <v/>
      </c>
      <c r="H215" s="137">
        <f>IF(206&gt;COUNT(Transaksi!$X$16:$X$5015),"",HYPERLINK("#Transaksi!B"&amp;A215,"Buka"))</f>
        <v/>
      </c>
    </row>
    <row r="216" ht="15" customHeight="1" s="94">
      <c r="A216" s="93">
        <f>IF(207&gt;COUNT(Transaksi!$X$16:$X$5015),"",ROUND(MOD(MOD(SMALL(Transaksi!$X$16:$X$5015,207),1),0.01)*10000000,0))</f>
        <v/>
      </c>
      <c r="B216" s="135">
        <f>IF(207&gt;COUNT(Transaksi!$X$16:$X$5015),"",IF(207=1,INDEX(Transaksi!$B$1:$B$5015,ROUND(MOD(MOD(SMALL(Transaksi!$X$16:$X$5015,207),1),0.01)*10000000,0)),IF(INDEX(Transaksi!$B$1:$B$5015,ROUND(MOD(MOD(SMALL(Transaksi!$X$16:$X$5015,207),1),0.01)*10000000,0))=INDEX(Transaksi!$B$1:$B$5015,A215),"",INDEX(Transaksi!$B$1:$B$5015,ROUND(MOD(MOD(SMALL(Transaksi!$X$16:$X$5015,207),1),0.01)*10000000,0)))))</f>
        <v/>
      </c>
      <c r="C216" s="136">
        <f>IF(207&gt;COUNT(Transaksi!$X$16:$X$5015),"",INDEX(Transaksi!$J$1:$J$5015,ROUND(MOD(MOD(SMALL(Transaksi!$X$16:$X$5015,207),1),0.01)*10000000,0))&amp;IF(INDEX(Transaksi!$D$1:$D$5015,ROUND(MOD(MOD(SMALL(Transaksi!$X$16:$X$5015,207),1),0.01)*10000000,0))="Pindah",IF(INDEX(Transaksi!$C$1:$C$5015,ROUND(MOD(MOD(SMALL(Transaksi!$X$16:$X$5015,207),1),0.01)*10000000,0))=$C$4," (ke "&amp;INDEX(Transaksi!$E$1:$E$5015,ROUND(MOD(MOD(SMALL(Transaksi!$X$16:$X$5015,207),1),0.01)*10000000,0))&amp;")"," (dari "&amp;INDEX(Transaksi!$C$1:$C$5015,ROUND(MOD(MOD(SMALL(Transaksi!$X$16:$X$5015,207),1),0.01)*10000000,0))&amp;")"),""))</f>
        <v/>
      </c>
      <c r="D216" s="137">
        <f>IF(207&gt;COUNT(Transaksi!$X$16:$X$5015),"",INDEX(Transaksi!$I$1:$I$5015,ROUND(MOD(MOD(SMALL(Transaksi!$X$16:$X$5015,207),1),0.01)*10000000,0)))</f>
        <v/>
      </c>
      <c r="E216" s="138">
        <f>IF(207&gt;COUNT(Transaksi!$X$16:$X$5015),"",IF(IF(INDEX(Transaksi!$C$1:$C$5015,ROUND(MOD(MOD(SMALL(Transaksi!$X$16:$X$5015,207),1),0.01)*10000000,0))=$C$4,IF(INDEX(Transaksi!$D$1:$D$5015,ROUND(MOD(MOD(SMALL(Transaksi!$X$16:$X$5015,207),1),0.01)*10000000,0))="Masuk",1,-1),1)&gt;0,INDEX(Transaksi!$F$1:$F$5015,ROUND(MOD(MOD(SMALL(Transaksi!$X$16:$X$5015,207),1),0.01)*10000000,0)),""))</f>
        <v/>
      </c>
      <c r="F216" s="139">
        <f>IF(207&gt;COUNT(Transaksi!$X$16:$X$5015),"",IF(IF(INDEX(Transaksi!$C$1:$C$5015,ROUND(MOD(MOD(SMALL(Transaksi!$X$16:$X$5015,207),1),0.01)*10000000,0))=$C$4,IF(INDEX(Transaksi!$D$1:$D$5015,ROUND(MOD(MOD(SMALL(Transaksi!$X$16:$X$5015,207),1),0.01)*10000000,0))="Masuk",1,-1),1)&lt;0,INDEX(Transaksi!$F$1:$F$5015,ROUND(MOD(MOD(SMALL(Transaksi!$X$16:$X$5015,207),1),0.01)*10000000,0)),""))</f>
        <v/>
      </c>
      <c r="G216" s="106">
        <f>IF(207&gt;COUNT(Transaksi!$X$16:$X$5015),"",N(G215)+N(E216)-N(F216))</f>
        <v/>
      </c>
      <c r="H216" s="137">
        <f>IF(207&gt;COUNT(Transaksi!$X$16:$X$5015),"",HYPERLINK("#Transaksi!B"&amp;A216,"Buka"))</f>
        <v/>
      </c>
    </row>
    <row r="217" ht="15" customHeight="1" s="94">
      <c r="A217" s="93">
        <f>IF(208&gt;COUNT(Transaksi!$X$16:$X$5015),"",ROUND(MOD(MOD(SMALL(Transaksi!$X$16:$X$5015,208),1),0.01)*10000000,0))</f>
        <v/>
      </c>
      <c r="B217" s="135">
        <f>IF(208&gt;COUNT(Transaksi!$X$16:$X$5015),"",IF(208=1,INDEX(Transaksi!$B$1:$B$5015,ROUND(MOD(MOD(SMALL(Transaksi!$X$16:$X$5015,208),1),0.01)*10000000,0)),IF(INDEX(Transaksi!$B$1:$B$5015,ROUND(MOD(MOD(SMALL(Transaksi!$X$16:$X$5015,208),1),0.01)*10000000,0))=INDEX(Transaksi!$B$1:$B$5015,A216),"",INDEX(Transaksi!$B$1:$B$5015,ROUND(MOD(MOD(SMALL(Transaksi!$X$16:$X$5015,208),1),0.01)*10000000,0)))))</f>
        <v/>
      </c>
      <c r="C217" s="136">
        <f>IF(208&gt;COUNT(Transaksi!$X$16:$X$5015),"",INDEX(Transaksi!$J$1:$J$5015,ROUND(MOD(MOD(SMALL(Transaksi!$X$16:$X$5015,208),1),0.01)*10000000,0))&amp;IF(INDEX(Transaksi!$D$1:$D$5015,ROUND(MOD(MOD(SMALL(Transaksi!$X$16:$X$5015,208),1),0.01)*10000000,0))="Pindah",IF(INDEX(Transaksi!$C$1:$C$5015,ROUND(MOD(MOD(SMALL(Transaksi!$X$16:$X$5015,208),1),0.01)*10000000,0))=$C$4," (ke "&amp;INDEX(Transaksi!$E$1:$E$5015,ROUND(MOD(MOD(SMALL(Transaksi!$X$16:$X$5015,208),1),0.01)*10000000,0))&amp;")"," (dari "&amp;INDEX(Transaksi!$C$1:$C$5015,ROUND(MOD(MOD(SMALL(Transaksi!$X$16:$X$5015,208),1),0.01)*10000000,0))&amp;")"),""))</f>
        <v/>
      </c>
      <c r="D217" s="137">
        <f>IF(208&gt;COUNT(Transaksi!$X$16:$X$5015),"",INDEX(Transaksi!$I$1:$I$5015,ROUND(MOD(MOD(SMALL(Transaksi!$X$16:$X$5015,208),1),0.01)*10000000,0)))</f>
        <v/>
      </c>
      <c r="E217" s="138">
        <f>IF(208&gt;COUNT(Transaksi!$X$16:$X$5015),"",IF(IF(INDEX(Transaksi!$C$1:$C$5015,ROUND(MOD(MOD(SMALL(Transaksi!$X$16:$X$5015,208),1),0.01)*10000000,0))=$C$4,IF(INDEX(Transaksi!$D$1:$D$5015,ROUND(MOD(MOD(SMALL(Transaksi!$X$16:$X$5015,208),1),0.01)*10000000,0))="Masuk",1,-1),1)&gt;0,INDEX(Transaksi!$F$1:$F$5015,ROUND(MOD(MOD(SMALL(Transaksi!$X$16:$X$5015,208),1),0.01)*10000000,0)),""))</f>
        <v/>
      </c>
      <c r="F217" s="139">
        <f>IF(208&gt;COUNT(Transaksi!$X$16:$X$5015),"",IF(IF(INDEX(Transaksi!$C$1:$C$5015,ROUND(MOD(MOD(SMALL(Transaksi!$X$16:$X$5015,208),1),0.01)*10000000,0))=$C$4,IF(INDEX(Transaksi!$D$1:$D$5015,ROUND(MOD(MOD(SMALL(Transaksi!$X$16:$X$5015,208),1),0.01)*10000000,0))="Masuk",1,-1),1)&lt;0,INDEX(Transaksi!$F$1:$F$5015,ROUND(MOD(MOD(SMALL(Transaksi!$X$16:$X$5015,208),1),0.01)*10000000,0)),""))</f>
        <v/>
      </c>
      <c r="G217" s="106">
        <f>IF(208&gt;COUNT(Transaksi!$X$16:$X$5015),"",N(G216)+N(E217)-N(F217))</f>
        <v/>
      </c>
      <c r="H217" s="137">
        <f>IF(208&gt;COUNT(Transaksi!$X$16:$X$5015),"",HYPERLINK("#Transaksi!B"&amp;A217,"Buka"))</f>
        <v/>
      </c>
    </row>
    <row r="218" ht="15" customHeight="1" s="94">
      <c r="A218" s="93">
        <f>IF(209&gt;COUNT(Transaksi!$X$16:$X$5015),"",ROUND(MOD(MOD(SMALL(Transaksi!$X$16:$X$5015,209),1),0.01)*10000000,0))</f>
        <v/>
      </c>
      <c r="B218" s="135">
        <f>IF(209&gt;COUNT(Transaksi!$X$16:$X$5015),"",IF(209=1,INDEX(Transaksi!$B$1:$B$5015,ROUND(MOD(MOD(SMALL(Transaksi!$X$16:$X$5015,209),1),0.01)*10000000,0)),IF(INDEX(Transaksi!$B$1:$B$5015,ROUND(MOD(MOD(SMALL(Transaksi!$X$16:$X$5015,209),1),0.01)*10000000,0))=INDEX(Transaksi!$B$1:$B$5015,A217),"",INDEX(Transaksi!$B$1:$B$5015,ROUND(MOD(MOD(SMALL(Transaksi!$X$16:$X$5015,209),1),0.01)*10000000,0)))))</f>
        <v/>
      </c>
      <c r="C218" s="136">
        <f>IF(209&gt;COUNT(Transaksi!$X$16:$X$5015),"",INDEX(Transaksi!$J$1:$J$5015,ROUND(MOD(MOD(SMALL(Transaksi!$X$16:$X$5015,209),1),0.01)*10000000,0))&amp;IF(INDEX(Transaksi!$D$1:$D$5015,ROUND(MOD(MOD(SMALL(Transaksi!$X$16:$X$5015,209),1),0.01)*10000000,0))="Pindah",IF(INDEX(Transaksi!$C$1:$C$5015,ROUND(MOD(MOD(SMALL(Transaksi!$X$16:$X$5015,209),1),0.01)*10000000,0))=$C$4," (ke "&amp;INDEX(Transaksi!$E$1:$E$5015,ROUND(MOD(MOD(SMALL(Transaksi!$X$16:$X$5015,209),1),0.01)*10000000,0))&amp;")"," (dari "&amp;INDEX(Transaksi!$C$1:$C$5015,ROUND(MOD(MOD(SMALL(Transaksi!$X$16:$X$5015,209),1),0.01)*10000000,0))&amp;")"),""))</f>
        <v/>
      </c>
      <c r="D218" s="137">
        <f>IF(209&gt;COUNT(Transaksi!$X$16:$X$5015),"",INDEX(Transaksi!$I$1:$I$5015,ROUND(MOD(MOD(SMALL(Transaksi!$X$16:$X$5015,209),1),0.01)*10000000,0)))</f>
        <v/>
      </c>
      <c r="E218" s="138">
        <f>IF(209&gt;COUNT(Transaksi!$X$16:$X$5015),"",IF(IF(INDEX(Transaksi!$C$1:$C$5015,ROUND(MOD(MOD(SMALL(Transaksi!$X$16:$X$5015,209),1),0.01)*10000000,0))=$C$4,IF(INDEX(Transaksi!$D$1:$D$5015,ROUND(MOD(MOD(SMALL(Transaksi!$X$16:$X$5015,209),1),0.01)*10000000,0))="Masuk",1,-1),1)&gt;0,INDEX(Transaksi!$F$1:$F$5015,ROUND(MOD(MOD(SMALL(Transaksi!$X$16:$X$5015,209),1),0.01)*10000000,0)),""))</f>
        <v/>
      </c>
      <c r="F218" s="139">
        <f>IF(209&gt;COUNT(Transaksi!$X$16:$X$5015),"",IF(IF(INDEX(Transaksi!$C$1:$C$5015,ROUND(MOD(MOD(SMALL(Transaksi!$X$16:$X$5015,209),1),0.01)*10000000,0))=$C$4,IF(INDEX(Transaksi!$D$1:$D$5015,ROUND(MOD(MOD(SMALL(Transaksi!$X$16:$X$5015,209),1),0.01)*10000000,0))="Masuk",1,-1),1)&lt;0,INDEX(Transaksi!$F$1:$F$5015,ROUND(MOD(MOD(SMALL(Transaksi!$X$16:$X$5015,209),1),0.01)*10000000,0)),""))</f>
        <v/>
      </c>
      <c r="G218" s="106">
        <f>IF(209&gt;COUNT(Transaksi!$X$16:$X$5015),"",N(G217)+N(E218)-N(F218))</f>
        <v/>
      </c>
      <c r="H218" s="137">
        <f>IF(209&gt;COUNT(Transaksi!$X$16:$X$5015),"",HYPERLINK("#Transaksi!B"&amp;A218,"Buka"))</f>
        <v/>
      </c>
    </row>
    <row r="219" ht="15" customHeight="1" s="94">
      <c r="A219" s="93">
        <f>IF(210&gt;COUNT(Transaksi!$X$16:$X$5015),"",ROUND(MOD(MOD(SMALL(Transaksi!$X$16:$X$5015,210),1),0.01)*10000000,0))</f>
        <v/>
      </c>
      <c r="B219" s="135">
        <f>IF(210&gt;COUNT(Transaksi!$X$16:$X$5015),"",IF(210=1,INDEX(Transaksi!$B$1:$B$5015,ROUND(MOD(MOD(SMALL(Transaksi!$X$16:$X$5015,210),1),0.01)*10000000,0)),IF(INDEX(Transaksi!$B$1:$B$5015,ROUND(MOD(MOD(SMALL(Transaksi!$X$16:$X$5015,210),1),0.01)*10000000,0))=INDEX(Transaksi!$B$1:$B$5015,A218),"",INDEX(Transaksi!$B$1:$B$5015,ROUND(MOD(MOD(SMALL(Transaksi!$X$16:$X$5015,210),1),0.01)*10000000,0)))))</f>
        <v/>
      </c>
      <c r="C219" s="136">
        <f>IF(210&gt;COUNT(Transaksi!$X$16:$X$5015),"",INDEX(Transaksi!$J$1:$J$5015,ROUND(MOD(MOD(SMALL(Transaksi!$X$16:$X$5015,210),1),0.01)*10000000,0))&amp;IF(INDEX(Transaksi!$D$1:$D$5015,ROUND(MOD(MOD(SMALL(Transaksi!$X$16:$X$5015,210),1),0.01)*10000000,0))="Pindah",IF(INDEX(Transaksi!$C$1:$C$5015,ROUND(MOD(MOD(SMALL(Transaksi!$X$16:$X$5015,210),1),0.01)*10000000,0))=$C$4," (ke "&amp;INDEX(Transaksi!$E$1:$E$5015,ROUND(MOD(MOD(SMALL(Transaksi!$X$16:$X$5015,210),1),0.01)*10000000,0))&amp;")"," (dari "&amp;INDEX(Transaksi!$C$1:$C$5015,ROUND(MOD(MOD(SMALL(Transaksi!$X$16:$X$5015,210),1),0.01)*10000000,0))&amp;")"),""))</f>
        <v/>
      </c>
      <c r="D219" s="137">
        <f>IF(210&gt;COUNT(Transaksi!$X$16:$X$5015),"",INDEX(Transaksi!$I$1:$I$5015,ROUND(MOD(MOD(SMALL(Transaksi!$X$16:$X$5015,210),1),0.01)*10000000,0)))</f>
        <v/>
      </c>
      <c r="E219" s="138">
        <f>IF(210&gt;COUNT(Transaksi!$X$16:$X$5015),"",IF(IF(INDEX(Transaksi!$C$1:$C$5015,ROUND(MOD(MOD(SMALL(Transaksi!$X$16:$X$5015,210),1),0.01)*10000000,0))=$C$4,IF(INDEX(Transaksi!$D$1:$D$5015,ROUND(MOD(MOD(SMALL(Transaksi!$X$16:$X$5015,210),1),0.01)*10000000,0))="Masuk",1,-1),1)&gt;0,INDEX(Transaksi!$F$1:$F$5015,ROUND(MOD(MOD(SMALL(Transaksi!$X$16:$X$5015,210),1),0.01)*10000000,0)),""))</f>
        <v/>
      </c>
      <c r="F219" s="139">
        <f>IF(210&gt;COUNT(Transaksi!$X$16:$X$5015),"",IF(IF(INDEX(Transaksi!$C$1:$C$5015,ROUND(MOD(MOD(SMALL(Transaksi!$X$16:$X$5015,210),1),0.01)*10000000,0))=$C$4,IF(INDEX(Transaksi!$D$1:$D$5015,ROUND(MOD(MOD(SMALL(Transaksi!$X$16:$X$5015,210),1),0.01)*10000000,0))="Masuk",1,-1),1)&lt;0,INDEX(Transaksi!$F$1:$F$5015,ROUND(MOD(MOD(SMALL(Transaksi!$X$16:$X$5015,210),1),0.01)*10000000,0)),""))</f>
        <v/>
      </c>
      <c r="G219" s="106">
        <f>IF(210&gt;COUNT(Transaksi!$X$16:$X$5015),"",N(G218)+N(E219)-N(F219))</f>
        <v/>
      </c>
      <c r="H219" s="137">
        <f>IF(210&gt;COUNT(Transaksi!$X$16:$X$5015),"",HYPERLINK("#Transaksi!B"&amp;A219,"Buka"))</f>
        <v/>
      </c>
    </row>
    <row r="220" ht="15" customHeight="1" s="94">
      <c r="A220" s="93">
        <f>IF(211&gt;COUNT(Transaksi!$X$16:$X$5015),"",ROUND(MOD(MOD(SMALL(Transaksi!$X$16:$X$5015,211),1),0.01)*10000000,0))</f>
        <v/>
      </c>
      <c r="B220" s="135">
        <f>IF(211&gt;COUNT(Transaksi!$X$16:$X$5015),"",IF(211=1,INDEX(Transaksi!$B$1:$B$5015,ROUND(MOD(MOD(SMALL(Transaksi!$X$16:$X$5015,211),1),0.01)*10000000,0)),IF(INDEX(Transaksi!$B$1:$B$5015,ROUND(MOD(MOD(SMALL(Transaksi!$X$16:$X$5015,211),1),0.01)*10000000,0))=INDEX(Transaksi!$B$1:$B$5015,A219),"",INDEX(Transaksi!$B$1:$B$5015,ROUND(MOD(MOD(SMALL(Transaksi!$X$16:$X$5015,211),1),0.01)*10000000,0)))))</f>
        <v/>
      </c>
      <c r="C220" s="136">
        <f>IF(211&gt;COUNT(Transaksi!$X$16:$X$5015),"",INDEX(Transaksi!$J$1:$J$5015,ROUND(MOD(MOD(SMALL(Transaksi!$X$16:$X$5015,211),1),0.01)*10000000,0))&amp;IF(INDEX(Transaksi!$D$1:$D$5015,ROUND(MOD(MOD(SMALL(Transaksi!$X$16:$X$5015,211),1),0.01)*10000000,0))="Pindah",IF(INDEX(Transaksi!$C$1:$C$5015,ROUND(MOD(MOD(SMALL(Transaksi!$X$16:$X$5015,211),1),0.01)*10000000,0))=$C$4," (ke "&amp;INDEX(Transaksi!$E$1:$E$5015,ROUND(MOD(MOD(SMALL(Transaksi!$X$16:$X$5015,211),1),0.01)*10000000,0))&amp;")"," (dari "&amp;INDEX(Transaksi!$C$1:$C$5015,ROUND(MOD(MOD(SMALL(Transaksi!$X$16:$X$5015,211),1),0.01)*10000000,0))&amp;")"),""))</f>
        <v/>
      </c>
      <c r="D220" s="137">
        <f>IF(211&gt;COUNT(Transaksi!$X$16:$X$5015),"",INDEX(Transaksi!$I$1:$I$5015,ROUND(MOD(MOD(SMALL(Transaksi!$X$16:$X$5015,211),1),0.01)*10000000,0)))</f>
        <v/>
      </c>
      <c r="E220" s="138">
        <f>IF(211&gt;COUNT(Transaksi!$X$16:$X$5015),"",IF(IF(INDEX(Transaksi!$C$1:$C$5015,ROUND(MOD(MOD(SMALL(Transaksi!$X$16:$X$5015,211),1),0.01)*10000000,0))=$C$4,IF(INDEX(Transaksi!$D$1:$D$5015,ROUND(MOD(MOD(SMALL(Transaksi!$X$16:$X$5015,211),1),0.01)*10000000,0))="Masuk",1,-1),1)&gt;0,INDEX(Transaksi!$F$1:$F$5015,ROUND(MOD(MOD(SMALL(Transaksi!$X$16:$X$5015,211),1),0.01)*10000000,0)),""))</f>
        <v/>
      </c>
      <c r="F220" s="139">
        <f>IF(211&gt;COUNT(Transaksi!$X$16:$X$5015),"",IF(IF(INDEX(Transaksi!$C$1:$C$5015,ROUND(MOD(MOD(SMALL(Transaksi!$X$16:$X$5015,211),1),0.01)*10000000,0))=$C$4,IF(INDEX(Transaksi!$D$1:$D$5015,ROUND(MOD(MOD(SMALL(Transaksi!$X$16:$X$5015,211),1),0.01)*10000000,0))="Masuk",1,-1),1)&lt;0,INDEX(Transaksi!$F$1:$F$5015,ROUND(MOD(MOD(SMALL(Transaksi!$X$16:$X$5015,211),1),0.01)*10000000,0)),""))</f>
        <v/>
      </c>
      <c r="G220" s="106">
        <f>IF(211&gt;COUNT(Transaksi!$X$16:$X$5015),"",N(G219)+N(E220)-N(F220))</f>
        <v/>
      </c>
      <c r="H220" s="137">
        <f>IF(211&gt;COUNT(Transaksi!$X$16:$X$5015),"",HYPERLINK("#Transaksi!B"&amp;A220,"Buka"))</f>
        <v/>
      </c>
    </row>
    <row r="221" ht="15" customHeight="1" s="94">
      <c r="A221" s="93">
        <f>IF(212&gt;COUNT(Transaksi!$X$16:$X$5015),"",ROUND(MOD(MOD(SMALL(Transaksi!$X$16:$X$5015,212),1),0.01)*10000000,0))</f>
        <v/>
      </c>
      <c r="B221" s="135">
        <f>IF(212&gt;COUNT(Transaksi!$X$16:$X$5015),"",IF(212=1,INDEX(Transaksi!$B$1:$B$5015,ROUND(MOD(MOD(SMALL(Transaksi!$X$16:$X$5015,212),1),0.01)*10000000,0)),IF(INDEX(Transaksi!$B$1:$B$5015,ROUND(MOD(MOD(SMALL(Transaksi!$X$16:$X$5015,212),1),0.01)*10000000,0))=INDEX(Transaksi!$B$1:$B$5015,A220),"",INDEX(Transaksi!$B$1:$B$5015,ROUND(MOD(MOD(SMALL(Transaksi!$X$16:$X$5015,212),1),0.01)*10000000,0)))))</f>
        <v/>
      </c>
      <c r="C221" s="136">
        <f>IF(212&gt;COUNT(Transaksi!$X$16:$X$5015),"",INDEX(Transaksi!$J$1:$J$5015,ROUND(MOD(MOD(SMALL(Transaksi!$X$16:$X$5015,212),1),0.01)*10000000,0))&amp;IF(INDEX(Transaksi!$D$1:$D$5015,ROUND(MOD(MOD(SMALL(Transaksi!$X$16:$X$5015,212),1),0.01)*10000000,0))="Pindah",IF(INDEX(Transaksi!$C$1:$C$5015,ROUND(MOD(MOD(SMALL(Transaksi!$X$16:$X$5015,212),1),0.01)*10000000,0))=$C$4," (ke "&amp;INDEX(Transaksi!$E$1:$E$5015,ROUND(MOD(MOD(SMALL(Transaksi!$X$16:$X$5015,212),1),0.01)*10000000,0))&amp;")"," (dari "&amp;INDEX(Transaksi!$C$1:$C$5015,ROUND(MOD(MOD(SMALL(Transaksi!$X$16:$X$5015,212),1),0.01)*10000000,0))&amp;")"),""))</f>
        <v/>
      </c>
      <c r="D221" s="137">
        <f>IF(212&gt;COUNT(Transaksi!$X$16:$X$5015),"",INDEX(Transaksi!$I$1:$I$5015,ROUND(MOD(MOD(SMALL(Transaksi!$X$16:$X$5015,212),1),0.01)*10000000,0)))</f>
        <v/>
      </c>
      <c r="E221" s="138">
        <f>IF(212&gt;COUNT(Transaksi!$X$16:$X$5015),"",IF(IF(INDEX(Transaksi!$C$1:$C$5015,ROUND(MOD(MOD(SMALL(Transaksi!$X$16:$X$5015,212),1),0.01)*10000000,0))=$C$4,IF(INDEX(Transaksi!$D$1:$D$5015,ROUND(MOD(MOD(SMALL(Transaksi!$X$16:$X$5015,212),1),0.01)*10000000,0))="Masuk",1,-1),1)&gt;0,INDEX(Transaksi!$F$1:$F$5015,ROUND(MOD(MOD(SMALL(Transaksi!$X$16:$X$5015,212),1),0.01)*10000000,0)),""))</f>
        <v/>
      </c>
      <c r="F221" s="139">
        <f>IF(212&gt;COUNT(Transaksi!$X$16:$X$5015),"",IF(IF(INDEX(Transaksi!$C$1:$C$5015,ROUND(MOD(MOD(SMALL(Transaksi!$X$16:$X$5015,212),1),0.01)*10000000,0))=$C$4,IF(INDEX(Transaksi!$D$1:$D$5015,ROUND(MOD(MOD(SMALL(Transaksi!$X$16:$X$5015,212),1),0.01)*10000000,0))="Masuk",1,-1),1)&lt;0,INDEX(Transaksi!$F$1:$F$5015,ROUND(MOD(MOD(SMALL(Transaksi!$X$16:$X$5015,212),1),0.01)*10000000,0)),""))</f>
        <v/>
      </c>
      <c r="G221" s="106">
        <f>IF(212&gt;COUNT(Transaksi!$X$16:$X$5015),"",N(G220)+N(E221)-N(F221))</f>
        <v/>
      </c>
      <c r="H221" s="137">
        <f>IF(212&gt;COUNT(Transaksi!$X$16:$X$5015),"",HYPERLINK("#Transaksi!B"&amp;A221,"Buka"))</f>
        <v/>
      </c>
    </row>
    <row r="222" ht="15" customHeight="1" s="94">
      <c r="A222" s="93">
        <f>IF(213&gt;COUNT(Transaksi!$X$16:$X$5015),"",ROUND(MOD(MOD(SMALL(Transaksi!$X$16:$X$5015,213),1),0.01)*10000000,0))</f>
        <v/>
      </c>
      <c r="B222" s="135">
        <f>IF(213&gt;COUNT(Transaksi!$X$16:$X$5015),"",IF(213=1,INDEX(Transaksi!$B$1:$B$5015,ROUND(MOD(MOD(SMALL(Transaksi!$X$16:$X$5015,213),1),0.01)*10000000,0)),IF(INDEX(Transaksi!$B$1:$B$5015,ROUND(MOD(MOD(SMALL(Transaksi!$X$16:$X$5015,213),1),0.01)*10000000,0))=INDEX(Transaksi!$B$1:$B$5015,A221),"",INDEX(Transaksi!$B$1:$B$5015,ROUND(MOD(MOD(SMALL(Transaksi!$X$16:$X$5015,213),1),0.01)*10000000,0)))))</f>
        <v/>
      </c>
      <c r="C222" s="136">
        <f>IF(213&gt;COUNT(Transaksi!$X$16:$X$5015),"",INDEX(Transaksi!$J$1:$J$5015,ROUND(MOD(MOD(SMALL(Transaksi!$X$16:$X$5015,213),1),0.01)*10000000,0))&amp;IF(INDEX(Transaksi!$D$1:$D$5015,ROUND(MOD(MOD(SMALL(Transaksi!$X$16:$X$5015,213),1),0.01)*10000000,0))="Pindah",IF(INDEX(Transaksi!$C$1:$C$5015,ROUND(MOD(MOD(SMALL(Transaksi!$X$16:$X$5015,213),1),0.01)*10000000,0))=$C$4," (ke "&amp;INDEX(Transaksi!$E$1:$E$5015,ROUND(MOD(MOD(SMALL(Transaksi!$X$16:$X$5015,213),1),0.01)*10000000,0))&amp;")"," (dari "&amp;INDEX(Transaksi!$C$1:$C$5015,ROUND(MOD(MOD(SMALL(Transaksi!$X$16:$X$5015,213),1),0.01)*10000000,0))&amp;")"),""))</f>
        <v/>
      </c>
      <c r="D222" s="137">
        <f>IF(213&gt;COUNT(Transaksi!$X$16:$X$5015),"",INDEX(Transaksi!$I$1:$I$5015,ROUND(MOD(MOD(SMALL(Transaksi!$X$16:$X$5015,213),1),0.01)*10000000,0)))</f>
        <v/>
      </c>
      <c r="E222" s="138">
        <f>IF(213&gt;COUNT(Transaksi!$X$16:$X$5015),"",IF(IF(INDEX(Transaksi!$C$1:$C$5015,ROUND(MOD(MOD(SMALL(Transaksi!$X$16:$X$5015,213),1),0.01)*10000000,0))=$C$4,IF(INDEX(Transaksi!$D$1:$D$5015,ROUND(MOD(MOD(SMALL(Transaksi!$X$16:$X$5015,213),1),0.01)*10000000,0))="Masuk",1,-1),1)&gt;0,INDEX(Transaksi!$F$1:$F$5015,ROUND(MOD(MOD(SMALL(Transaksi!$X$16:$X$5015,213),1),0.01)*10000000,0)),""))</f>
        <v/>
      </c>
      <c r="F222" s="139">
        <f>IF(213&gt;COUNT(Transaksi!$X$16:$X$5015),"",IF(IF(INDEX(Transaksi!$C$1:$C$5015,ROUND(MOD(MOD(SMALL(Transaksi!$X$16:$X$5015,213),1),0.01)*10000000,0))=$C$4,IF(INDEX(Transaksi!$D$1:$D$5015,ROUND(MOD(MOD(SMALL(Transaksi!$X$16:$X$5015,213),1),0.01)*10000000,0))="Masuk",1,-1),1)&lt;0,INDEX(Transaksi!$F$1:$F$5015,ROUND(MOD(MOD(SMALL(Transaksi!$X$16:$X$5015,213),1),0.01)*10000000,0)),""))</f>
        <v/>
      </c>
      <c r="G222" s="106">
        <f>IF(213&gt;COUNT(Transaksi!$X$16:$X$5015),"",N(G221)+N(E222)-N(F222))</f>
        <v/>
      </c>
      <c r="H222" s="137">
        <f>IF(213&gt;COUNT(Transaksi!$X$16:$X$5015),"",HYPERLINK("#Transaksi!B"&amp;A222,"Buka"))</f>
        <v/>
      </c>
    </row>
    <row r="223" ht="15" customHeight="1" s="94">
      <c r="A223" s="93">
        <f>IF(214&gt;COUNT(Transaksi!$X$16:$X$5015),"",ROUND(MOD(MOD(SMALL(Transaksi!$X$16:$X$5015,214),1),0.01)*10000000,0))</f>
        <v/>
      </c>
      <c r="B223" s="135">
        <f>IF(214&gt;COUNT(Transaksi!$X$16:$X$5015),"",IF(214=1,INDEX(Transaksi!$B$1:$B$5015,ROUND(MOD(MOD(SMALL(Transaksi!$X$16:$X$5015,214),1),0.01)*10000000,0)),IF(INDEX(Transaksi!$B$1:$B$5015,ROUND(MOD(MOD(SMALL(Transaksi!$X$16:$X$5015,214),1),0.01)*10000000,0))=INDEX(Transaksi!$B$1:$B$5015,A222),"",INDEX(Transaksi!$B$1:$B$5015,ROUND(MOD(MOD(SMALL(Transaksi!$X$16:$X$5015,214),1),0.01)*10000000,0)))))</f>
        <v/>
      </c>
      <c r="C223" s="136">
        <f>IF(214&gt;COUNT(Transaksi!$X$16:$X$5015),"",INDEX(Transaksi!$J$1:$J$5015,ROUND(MOD(MOD(SMALL(Transaksi!$X$16:$X$5015,214),1),0.01)*10000000,0))&amp;IF(INDEX(Transaksi!$D$1:$D$5015,ROUND(MOD(MOD(SMALL(Transaksi!$X$16:$X$5015,214),1),0.01)*10000000,0))="Pindah",IF(INDEX(Transaksi!$C$1:$C$5015,ROUND(MOD(MOD(SMALL(Transaksi!$X$16:$X$5015,214),1),0.01)*10000000,0))=$C$4," (ke "&amp;INDEX(Transaksi!$E$1:$E$5015,ROUND(MOD(MOD(SMALL(Transaksi!$X$16:$X$5015,214),1),0.01)*10000000,0))&amp;")"," (dari "&amp;INDEX(Transaksi!$C$1:$C$5015,ROUND(MOD(MOD(SMALL(Transaksi!$X$16:$X$5015,214),1),0.01)*10000000,0))&amp;")"),""))</f>
        <v/>
      </c>
      <c r="D223" s="137">
        <f>IF(214&gt;COUNT(Transaksi!$X$16:$X$5015),"",INDEX(Transaksi!$I$1:$I$5015,ROUND(MOD(MOD(SMALL(Transaksi!$X$16:$X$5015,214),1),0.01)*10000000,0)))</f>
        <v/>
      </c>
      <c r="E223" s="138">
        <f>IF(214&gt;COUNT(Transaksi!$X$16:$X$5015),"",IF(IF(INDEX(Transaksi!$C$1:$C$5015,ROUND(MOD(MOD(SMALL(Transaksi!$X$16:$X$5015,214),1),0.01)*10000000,0))=$C$4,IF(INDEX(Transaksi!$D$1:$D$5015,ROUND(MOD(MOD(SMALL(Transaksi!$X$16:$X$5015,214),1),0.01)*10000000,0))="Masuk",1,-1),1)&gt;0,INDEX(Transaksi!$F$1:$F$5015,ROUND(MOD(MOD(SMALL(Transaksi!$X$16:$X$5015,214),1),0.01)*10000000,0)),""))</f>
        <v/>
      </c>
      <c r="F223" s="139">
        <f>IF(214&gt;COUNT(Transaksi!$X$16:$X$5015),"",IF(IF(INDEX(Transaksi!$C$1:$C$5015,ROUND(MOD(MOD(SMALL(Transaksi!$X$16:$X$5015,214),1),0.01)*10000000,0))=$C$4,IF(INDEX(Transaksi!$D$1:$D$5015,ROUND(MOD(MOD(SMALL(Transaksi!$X$16:$X$5015,214),1),0.01)*10000000,0))="Masuk",1,-1),1)&lt;0,INDEX(Transaksi!$F$1:$F$5015,ROUND(MOD(MOD(SMALL(Transaksi!$X$16:$X$5015,214),1),0.01)*10000000,0)),""))</f>
        <v/>
      </c>
      <c r="G223" s="106">
        <f>IF(214&gt;COUNT(Transaksi!$X$16:$X$5015),"",N(G222)+N(E223)-N(F223))</f>
        <v/>
      </c>
      <c r="H223" s="137">
        <f>IF(214&gt;COUNT(Transaksi!$X$16:$X$5015),"",HYPERLINK("#Transaksi!B"&amp;A223,"Buka"))</f>
        <v/>
      </c>
    </row>
    <row r="224" ht="15" customHeight="1" s="94">
      <c r="A224" s="93">
        <f>IF(215&gt;COUNT(Transaksi!$X$16:$X$5015),"",ROUND(MOD(MOD(SMALL(Transaksi!$X$16:$X$5015,215),1),0.01)*10000000,0))</f>
        <v/>
      </c>
      <c r="B224" s="135">
        <f>IF(215&gt;COUNT(Transaksi!$X$16:$X$5015),"",IF(215=1,INDEX(Transaksi!$B$1:$B$5015,ROUND(MOD(MOD(SMALL(Transaksi!$X$16:$X$5015,215),1),0.01)*10000000,0)),IF(INDEX(Transaksi!$B$1:$B$5015,ROUND(MOD(MOD(SMALL(Transaksi!$X$16:$X$5015,215),1),0.01)*10000000,0))=INDEX(Transaksi!$B$1:$B$5015,A223),"",INDEX(Transaksi!$B$1:$B$5015,ROUND(MOD(MOD(SMALL(Transaksi!$X$16:$X$5015,215),1),0.01)*10000000,0)))))</f>
        <v/>
      </c>
      <c r="C224" s="136">
        <f>IF(215&gt;COUNT(Transaksi!$X$16:$X$5015),"",INDEX(Transaksi!$J$1:$J$5015,ROUND(MOD(MOD(SMALL(Transaksi!$X$16:$X$5015,215),1),0.01)*10000000,0))&amp;IF(INDEX(Transaksi!$D$1:$D$5015,ROUND(MOD(MOD(SMALL(Transaksi!$X$16:$X$5015,215),1),0.01)*10000000,0))="Pindah",IF(INDEX(Transaksi!$C$1:$C$5015,ROUND(MOD(MOD(SMALL(Transaksi!$X$16:$X$5015,215),1),0.01)*10000000,0))=$C$4," (ke "&amp;INDEX(Transaksi!$E$1:$E$5015,ROUND(MOD(MOD(SMALL(Transaksi!$X$16:$X$5015,215),1),0.01)*10000000,0))&amp;")"," (dari "&amp;INDEX(Transaksi!$C$1:$C$5015,ROUND(MOD(MOD(SMALL(Transaksi!$X$16:$X$5015,215),1),0.01)*10000000,0))&amp;")"),""))</f>
        <v/>
      </c>
      <c r="D224" s="137">
        <f>IF(215&gt;COUNT(Transaksi!$X$16:$X$5015),"",INDEX(Transaksi!$I$1:$I$5015,ROUND(MOD(MOD(SMALL(Transaksi!$X$16:$X$5015,215),1),0.01)*10000000,0)))</f>
        <v/>
      </c>
      <c r="E224" s="138">
        <f>IF(215&gt;COUNT(Transaksi!$X$16:$X$5015),"",IF(IF(INDEX(Transaksi!$C$1:$C$5015,ROUND(MOD(MOD(SMALL(Transaksi!$X$16:$X$5015,215),1),0.01)*10000000,0))=$C$4,IF(INDEX(Transaksi!$D$1:$D$5015,ROUND(MOD(MOD(SMALL(Transaksi!$X$16:$X$5015,215),1),0.01)*10000000,0))="Masuk",1,-1),1)&gt;0,INDEX(Transaksi!$F$1:$F$5015,ROUND(MOD(MOD(SMALL(Transaksi!$X$16:$X$5015,215),1),0.01)*10000000,0)),""))</f>
        <v/>
      </c>
      <c r="F224" s="139">
        <f>IF(215&gt;COUNT(Transaksi!$X$16:$X$5015),"",IF(IF(INDEX(Transaksi!$C$1:$C$5015,ROUND(MOD(MOD(SMALL(Transaksi!$X$16:$X$5015,215),1),0.01)*10000000,0))=$C$4,IF(INDEX(Transaksi!$D$1:$D$5015,ROUND(MOD(MOD(SMALL(Transaksi!$X$16:$X$5015,215),1),0.01)*10000000,0))="Masuk",1,-1),1)&lt;0,INDEX(Transaksi!$F$1:$F$5015,ROUND(MOD(MOD(SMALL(Transaksi!$X$16:$X$5015,215),1),0.01)*10000000,0)),""))</f>
        <v/>
      </c>
      <c r="G224" s="106">
        <f>IF(215&gt;COUNT(Transaksi!$X$16:$X$5015),"",N(G223)+N(E224)-N(F224))</f>
        <v/>
      </c>
      <c r="H224" s="137">
        <f>IF(215&gt;COUNT(Transaksi!$X$16:$X$5015),"",HYPERLINK("#Transaksi!B"&amp;A224,"Buka"))</f>
        <v/>
      </c>
    </row>
    <row r="225" ht="15" customHeight="1" s="94">
      <c r="A225" s="93">
        <f>IF(216&gt;COUNT(Transaksi!$X$16:$X$5015),"",ROUND(MOD(MOD(SMALL(Transaksi!$X$16:$X$5015,216),1),0.01)*10000000,0))</f>
        <v/>
      </c>
      <c r="B225" s="135">
        <f>IF(216&gt;COUNT(Transaksi!$X$16:$X$5015),"",IF(216=1,INDEX(Transaksi!$B$1:$B$5015,ROUND(MOD(MOD(SMALL(Transaksi!$X$16:$X$5015,216),1),0.01)*10000000,0)),IF(INDEX(Transaksi!$B$1:$B$5015,ROUND(MOD(MOD(SMALL(Transaksi!$X$16:$X$5015,216),1),0.01)*10000000,0))=INDEX(Transaksi!$B$1:$B$5015,A224),"",INDEX(Transaksi!$B$1:$B$5015,ROUND(MOD(MOD(SMALL(Transaksi!$X$16:$X$5015,216),1),0.01)*10000000,0)))))</f>
        <v/>
      </c>
      <c r="C225" s="136">
        <f>IF(216&gt;COUNT(Transaksi!$X$16:$X$5015),"",INDEX(Transaksi!$J$1:$J$5015,ROUND(MOD(MOD(SMALL(Transaksi!$X$16:$X$5015,216),1),0.01)*10000000,0))&amp;IF(INDEX(Transaksi!$D$1:$D$5015,ROUND(MOD(MOD(SMALL(Transaksi!$X$16:$X$5015,216),1),0.01)*10000000,0))="Pindah",IF(INDEX(Transaksi!$C$1:$C$5015,ROUND(MOD(MOD(SMALL(Transaksi!$X$16:$X$5015,216),1),0.01)*10000000,0))=$C$4," (ke "&amp;INDEX(Transaksi!$E$1:$E$5015,ROUND(MOD(MOD(SMALL(Transaksi!$X$16:$X$5015,216),1),0.01)*10000000,0))&amp;")"," (dari "&amp;INDEX(Transaksi!$C$1:$C$5015,ROUND(MOD(MOD(SMALL(Transaksi!$X$16:$X$5015,216),1),0.01)*10000000,0))&amp;")"),""))</f>
        <v/>
      </c>
      <c r="D225" s="137">
        <f>IF(216&gt;COUNT(Transaksi!$X$16:$X$5015),"",INDEX(Transaksi!$I$1:$I$5015,ROUND(MOD(MOD(SMALL(Transaksi!$X$16:$X$5015,216),1),0.01)*10000000,0)))</f>
        <v/>
      </c>
      <c r="E225" s="138">
        <f>IF(216&gt;COUNT(Transaksi!$X$16:$X$5015),"",IF(IF(INDEX(Transaksi!$C$1:$C$5015,ROUND(MOD(MOD(SMALL(Transaksi!$X$16:$X$5015,216),1),0.01)*10000000,0))=$C$4,IF(INDEX(Transaksi!$D$1:$D$5015,ROUND(MOD(MOD(SMALL(Transaksi!$X$16:$X$5015,216),1),0.01)*10000000,0))="Masuk",1,-1),1)&gt;0,INDEX(Transaksi!$F$1:$F$5015,ROUND(MOD(MOD(SMALL(Transaksi!$X$16:$X$5015,216),1),0.01)*10000000,0)),""))</f>
        <v/>
      </c>
      <c r="F225" s="139">
        <f>IF(216&gt;COUNT(Transaksi!$X$16:$X$5015),"",IF(IF(INDEX(Transaksi!$C$1:$C$5015,ROUND(MOD(MOD(SMALL(Transaksi!$X$16:$X$5015,216),1),0.01)*10000000,0))=$C$4,IF(INDEX(Transaksi!$D$1:$D$5015,ROUND(MOD(MOD(SMALL(Transaksi!$X$16:$X$5015,216),1),0.01)*10000000,0))="Masuk",1,-1),1)&lt;0,INDEX(Transaksi!$F$1:$F$5015,ROUND(MOD(MOD(SMALL(Transaksi!$X$16:$X$5015,216),1),0.01)*10000000,0)),""))</f>
        <v/>
      </c>
      <c r="G225" s="106">
        <f>IF(216&gt;COUNT(Transaksi!$X$16:$X$5015),"",N(G224)+N(E225)-N(F225))</f>
        <v/>
      </c>
      <c r="H225" s="137">
        <f>IF(216&gt;COUNT(Transaksi!$X$16:$X$5015),"",HYPERLINK("#Transaksi!B"&amp;A225,"Buka"))</f>
        <v/>
      </c>
    </row>
    <row r="226" ht="15" customHeight="1" s="94">
      <c r="A226" s="93">
        <f>IF(217&gt;COUNT(Transaksi!$X$16:$X$5015),"",ROUND(MOD(MOD(SMALL(Transaksi!$X$16:$X$5015,217),1),0.01)*10000000,0))</f>
        <v/>
      </c>
      <c r="B226" s="135">
        <f>IF(217&gt;COUNT(Transaksi!$X$16:$X$5015),"",IF(217=1,INDEX(Transaksi!$B$1:$B$5015,ROUND(MOD(MOD(SMALL(Transaksi!$X$16:$X$5015,217),1),0.01)*10000000,0)),IF(INDEX(Transaksi!$B$1:$B$5015,ROUND(MOD(MOD(SMALL(Transaksi!$X$16:$X$5015,217),1),0.01)*10000000,0))=INDEX(Transaksi!$B$1:$B$5015,A225),"",INDEX(Transaksi!$B$1:$B$5015,ROUND(MOD(MOD(SMALL(Transaksi!$X$16:$X$5015,217),1),0.01)*10000000,0)))))</f>
        <v/>
      </c>
      <c r="C226" s="136">
        <f>IF(217&gt;COUNT(Transaksi!$X$16:$X$5015),"",INDEX(Transaksi!$J$1:$J$5015,ROUND(MOD(MOD(SMALL(Transaksi!$X$16:$X$5015,217),1),0.01)*10000000,0))&amp;IF(INDEX(Transaksi!$D$1:$D$5015,ROUND(MOD(MOD(SMALL(Transaksi!$X$16:$X$5015,217),1),0.01)*10000000,0))="Pindah",IF(INDEX(Transaksi!$C$1:$C$5015,ROUND(MOD(MOD(SMALL(Transaksi!$X$16:$X$5015,217),1),0.01)*10000000,0))=$C$4," (ke "&amp;INDEX(Transaksi!$E$1:$E$5015,ROUND(MOD(MOD(SMALL(Transaksi!$X$16:$X$5015,217),1),0.01)*10000000,0))&amp;")"," (dari "&amp;INDEX(Transaksi!$C$1:$C$5015,ROUND(MOD(MOD(SMALL(Transaksi!$X$16:$X$5015,217),1),0.01)*10000000,0))&amp;")"),""))</f>
        <v/>
      </c>
      <c r="D226" s="137">
        <f>IF(217&gt;COUNT(Transaksi!$X$16:$X$5015),"",INDEX(Transaksi!$I$1:$I$5015,ROUND(MOD(MOD(SMALL(Transaksi!$X$16:$X$5015,217),1),0.01)*10000000,0)))</f>
        <v/>
      </c>
      <c r="E226" s="138">
        <f>IF(217&gt;COUNT(Transaksi!$X$16:$X$5015),"",IF(IF(INDEX(Transaksi!$C$1:$C$5015,ROUND(MOD(MOD(SMALL(Transaksi!$X$16:$X$5015,217),1),0.01)*10000000,0))=$C$4,IF(INDEX(Transaksi!$D$1:$D$5015,ROUND(MOD(MOD(SMALL(Transaksi!$X$16:$X$5015,217),1),0.01)*10000000,0))="Masuk",1,-1),1)&gt;0,INDEX(Transaksi!$F$1:$F$5015,ROUND(MOD(MOD(SMALL(Transaksi!$X$16:$X$5015,217),1),0.01)*10000000,0)),""))</f>
        <v/>
      </c>
      <c r="F226" s="139">
        <f>IF(217&gt;COUNT(Transaksi!$X$16:$X$5015),"",IF(IF(INDEX(Transaksi!$C$1:$C$5015,ROUND(MOD(MOD(SMALL(Transaksi!$X$16:$X$5015,217),1),0.01)*10000000,0))=$C$4,IF(INDEX(Transaksi!$D$1:$D$5015,ROUND(MOD(MOD(SMALL(Transaksi!$X$16:$X$5015,217),1),0.01)*10000000,0))="Masuk",1,-1),1)&lt;0,INDEX(Transaksi!$F$1:$F$5015,ROUND(MOD(MOD(SMALL(Transaksi!$X$16:$X$5015,217),1),0.01)*10000000,0)),""))</f>
        <v/>
      </c>
      <c r="G226" s="106">
        <f>IF(217&gt;COUNT(Transaksi!$X$16:$X$5015),"",N(G225)+N(E226)-N(F226))</f>
        <v/>
      </c>
      <c r="H226" s="137">
        <f>IF(217&gt;COUNT(Transaksi!$X$16:$X$5015),"",HYPERLINK("#Transaksi!B"&amp;A226,"Buka"))</f>
        <v/>
      </c>
    </row>
    <row r="227" ht="15" customHeight="1" s="94">
      <c r="A227" s="93">
        <f>IF(218&gt;COUNT(Transaksi!$X$16:$X$5015),"",ROUND(MOD(MOD(SMALL(Transaksi!$X$16:$X$5015,218),1),0.01)*10000000,0))</f>
        <v/>
      </c>
      <c r="B227" s="135">
        <f>IF(218&gt;COUNT(Transaksi!$X$16:$X$5015),"",IF(218=1,INDEX(Transaksi!$B$1:$B$5015,ROUND(MOD(MOD(SMALL(Transaksi!$X$16:$X$5015,218),1),0.01)*10000000,0)),IF(INDEX(Transaksi!$B$1:$B$5015,ROUND(MOD(MOD(SMALL(Transaksi!$X$16:$X$5015,218),1),0.01)*10000000,0))=INDEX(Transaksi!$B$1:$B$5015,A226),"",INDEX(Transaksi!$B$1:$B$5015,ROUND(MOD(MOD(SMALL(Transaksi!$X$16:$X$5015,218),1),0.01)*10000000,0)))))</f>
        <v/>
      </c>
      <c r="C227" s="136">
        <f>IF(218&gt;COUNT(Transaksi!$X$16:$X$5015),"",INDEX(Transaksi!$J$1:$J$5015,ROUND(MOD(MOD(SMALL(Transaksi!$X$16:$X$5015,218),1),0.01)*10000000,0))&amp;IF(INDEX(Transaksi!$D$1:$D$5015,ROUND(MOD(MOD(SMALL(Transaksi!$X$16:$X$5015,218),1),0.01)*10000000,0))="Pindah",IF(INDEX(Transaksi!$C$1:$C$5015,ROUND(MOD(MOD(SMALL(Transaksi!$X$16:$X$5015,218),1),0.01)*10000000,0))=$C$4," (ke "&amp;INDEX(Transaksi!$E$1:$E$5015,ROUND(MOD(MOD(SMALL(Transaksi!$X$16:$X$5015,218),1),0.01)*10000000,0))&amp;")"," (dari "&amp;INDEX(Transaksi!$C$1:$C$5015,ROUND(MOD(MOD(SMALL(Transaksi!$X$16:$X$5015,218),1),0.01)*10000000,0))&amp;")"),""))</f>
        <v/>
      </c>
      <c r="D227" s="137">
        <f>IF(218&gt;COUNT(Transaksi!$X$16:$X$5015),"",INDEX(Transaksi!$I$1:$I$5015,ROUND(MOD(MOD(SMALL(Transaksi!$X$16:$X$5015,218),1),0.01)*10000000,0)))</f>
        <v/>
      </c>
      <c r="E227" s="138">
        <f>IF(218&gt;COUNT(Transaksi!$X$16:$X$5015),"",IF(IF(INDEX(Transaksi!$C$1:$C$5015,ROUND(MOD(MOD(SMALL(Transaksi!$X$16:$X$5015,218),1),0.01)*10000000,0))=$C$4,IF(INDEX(Transaksi!$D$1:$D$5015,ROUND(MOD(MOD(SMALL(Transaksi!$X$16:$X$5015,218),1),0.01)*10000000,0))="Masuk",1,-1),1)&gt;0,INDEX(Transaksi!$F$1:$F$5015,ROUND(MOD(MOD(SMALL(Transaksi!$X$16:$X$5015,218),1),0.01)*10000000,0)),""))</f>
        <v/>
      </c>
      <c r="F227" s="139">
        <f>IF(218&gt;COUNT(Transaksi!$X$16:$X$5015),"",IF(IF(INDEX(Transaksi!$C$1:$C$5015,ROUND(MOD(MOD(SMALL(Transaksi!$X$16:$X$5015,218),1),0.01)*10000000,0))=$C$4,IF(INDEX(Transaksi!$D$1:$D$5015,ROUND(MOD(MOD(SMALL(Transaksi!$X$16:$X$5015,218),1),0.01)*10000000,0))="Masuk",1,-1),1)&lt;0,INDEX(Transaksi!$F$1:$F$5015,ROUND(MOD(MOD(SMALL(Transaksi!$X$16:$X$5015,218),1),0.01)*10000000,0)),""))</f>
        <v/>
      </c>
      <c r="G227" s="106">
        <f>IF(218&gt;COUNT(Transaksi!$X$16:$X$5015),"",N(G226)+N(E227)-N(F227))</f>
        <v/>
      </c>
      <c r="H227" s="137">
        <f>IF(218&gt;COUNT(Transaksi!$X$16:$X$5015),"",HYPERLINK("#Transaksi!B"&amp;A227,"Buka"))</f>
        <v/>
      </c>
    </row>
    <row r="228" ht="15" customHeight="1" s="94">
      <c r="A228" s="93">
        <f>IF(219&gt;COUNT(Transaksi!$X$16:$X$5015),"",ROUND(MOD(MOD(SMALL(Transaksi!$X$16:$X$5015,219),1),0.01)*10000000,0))</f>
        <v/>
      </c>
      <c r="B228" s="135">
        <f>IF(219&gt;COUNT(Transaksi!$X$16:$X$5015),"",IF(219=1,INDEX(Transaksi!$B$1:$B$5015,ROUND(MOD(MOD(SMALL(Transaksi!$X$16:$X$5015,219),1),0.01)*10000000,0)),IF(INDEX(Transaksi!$B$1:$B$5015,ROUND(MOD(MOD(SMALL(Transaksi!$X$16:$X$5015,219),1),0.01)*10000000,0))=INDEX(Transaksi!$B$1:$B$5015,A227),"",INDEX(Transaksi!$B$1:$B$5015,ROUND(MOD(MOD(SMALL(Transaksi!$X$16:$X$5015,219),1),0.01)*10000000,0)))))</f>
        <v/>
      </c>
      <c r="C228" s="136">
        <f>IF(219&gt;COUNT(Transaksi!$X$16:$X$5015),"",INDEX(Transaksi!$J$1:$J$5015,ROUND(MOD(MOD(SMALL(Transaksi!$X$16:$X$5015,219),1),0.01)*10000000,0))&amp;IF(INDEX(Transaksi!$D$1:$D$5015,ROUND(MOD(MOD(SMALL(Transaksi!$X$16:$X$5015,219),1),0.01)*10000000,0))="Pindah",IF(INDEX(Transaksi!$C$1:$C$5015,ROUND(MOD(MOD(SMALL(Transaksi!$X$16:$X$5015,219),1),0.01)*10000000,0))=$C$4," (ke "&amp;INDEX(Transaksi!$E$1:$E$5015,ROUND(MOD(MOD(SMALL(Transaksi!$X$16:$X$5015,219),1),0.01)*10000000,0))&amp;")"," (dari "&amp;INDEX(Transaksi!$C$1:$C$5015,ROUND(MOD(MOD(SMALL(Transaksi!$X$16:$X$5015,219),1),0.01)*10000000,0))&amp;")"),""))</f>
        <v/>
      </c>
      <c r="D228" s="137">
        <f>IF(219&gt;COUNT(Transaksi!$X$16:$X$5015),"",INDEX(Transaksi!$I$1:$I$5015,ROUND(MOD(MOD(SMALL(Transaksi!$X$16:$X$5015,219),1),0.01)*10000000,0)))</f>
        <v/>
      </c>
      <c r="E228" s="138">
        <f>IF(219&gt;COUNT(Transaksi!$X$16:$X$5015),"",IF(IF(INDEX(Transaksi!$C$1:$C$5015,ROUND(MOD(MOD(SMALL(Transaksi!$X$16:$X$5015,219),1),0.01)*10000000,0))=$C$4,IF(INDEX(Transaksi!$D$1:$D$5015,ROUND(MOD(MOD(SMALL(Transaksi!$X$16:$X$5015,219),1),0.01)*10000000,0))="Masuk",1,-1),1)&gt;0,INDEX(Transaksi!$F$1:$F$5015,ROUND(MOD(MOD(SMALL(Transaksi!$X$16:$X$5015,219),1),0.01)*10000000,0)),""))</f>
        <v/>
      </c>
      <c r="F228" s="139">
        <f>IF(219&gt;COUNT(Transaksi!$X$16:$X$5015),"",IF(IF(INDEX(Transaksi!$C$1:$C$5015,ROUND(MOD(MOD(SMALL(Transaksi!$X$16:$X$5015,219),1),0.01)*10000000,0))=$C$4,IF(INDEX(Transaksi!$D$1:$D$5015,ROUND(MOD(MOD(SMALL(Transaksi!$X$16:$X$5015,219),1),0.01)*10000000,0))="Masuk",1,-1),1)&lt;0,INDEX(Transaksi!$F$1:$F$5015,ROUND(MOD(MOD(SMALL(Transaksi!$X$16:$X$5015,219),1),0.01)*10000000,0)),""))</f>
        <v/>
      </c>
      <c r="G228" s="106">
        <f>IF(219&gt;COUNT(Transaksi!$X$16:$X$5015),"",N(G227)+N(E228)-N(F228))</f>
        <v/>
      </c>
      <c r="H228" s="137">
        <f>IF(219&gt;COUNT(Transaksi!$X$16:$X$5015),"",HYPERLINK("#Transaksi!B"&amp;A228,"Buka"))</f>
        <v/>
      </c>
    </row>
    <row r="229" ht="15" customHeight="1" s="94">
      <c r="A229" s="93">
        <f>IF(220&gt;COUNT(Transaksi!$X$16:$X$5015),"",ROUND(MOD(MOD(SMALL(Transaksi!$X$16:$X$5015,220),1),0.01)*10000000,0))</f>
        <v/>
      </c>
      <c r="B229" s="135">
        <f>IF(220&gt;COUNT(Transaksi!$X$16:$X$5015),"",IF(220=1,INDEX(Transaksi!$B$1:$B$5015,ROUND(MOD(MOD(SMALL(Transaksi!$X$16:$X$5015,220),1),0.01)*10000000,0)),IF(INDEX(Transaksi!$B$1:$B$5015,ROUND(MOD(MOD(SMALL(Transaksi!$X$16:$X$5015,220),1),0.01)*10000000,0))=INDEX(Transaksi!$B$1:$B$5015,A228),"",INDEX(Transaksi!$B$1:$B$5015,ROUND(MOD(MOD(SMALL(Transaksi!$X$16:$X$5015,220),1),0.01)*10000000,0)))))</f>
        <v/>
      </c>
      <c r="C229" s="136">
        <f>IF(220&gt;COUNT(Transaksi!$X$16:$X$5015),"",INDEX(Transaksi!$J$1:$J$5015,ROUND(MOD(MOD(SMALL(Transaksi!$X$16:$X$5015,220),1),0.01)*10000000,0))&amp;IF(INDEX(Transaksi!$D$1:$D$5015,ROUND(MOD(MOD(SMALL(Transaksi!$X$16:$X$5015,220),1),0.01)*10000000,0))="Pindah",IF(INDEX(Transaksi!$C$1:$C$5015,ROUND(MOD(MOD(SMALL(Transaksi!$X$16:$X$5015,220),1),0.01)*10000000,0))=$C$4," (ke "&amp;INDEX(Transaksi!$E$1:$E$5015,ROUND(MOD(MOD(SMALL(Transaksi!$X$16:$X$5015,220),1),0.01)*10000000,0))&amp;")"," (dari "&amp;INDEX(Transaksi!$C$1:$C$5015,ROUND(MOD(MOD(SMALL(Transaksi!$X$16:$X$5015,220),1),0.01)*10000000,0))&amp;")"),""))</f>
        <v/>
      </c>
      <c r="D229" s="137">
        <f>IF(220&gt;COUNT(Transaksi!$X$16:$X$5015),"",INDEX(Transaksi!$I$1:$I$5015,ROUND(MOD(MOD(SMALL(Transaksi!$X$16:$X$5015,220),1),0.01)*10000000,0)))</f>
        <v/>
      </c>
      <c r="E229" s="138">
        <f>IF(220&gt;COUNT(Transaksi!$X$16:$X$5015),"",IF(IF(INDEX(Transaksi!$C$1:$C$5015,ROUND(MOD(MOD(SMALL(Transaksi!$X$16:$X$5015,220),1),0.01)*10000000,0))=$C$4,IF(INDEX(Transaksi!$D$1:$D$5015,ROUND(MOD(MOD(SMALL(Transaksi!$X$16:$X$5015,220),1),0.01)*10000000,0))="Masuk",1,-1),1)&gt;0,INDEX(Transaksi!$F$1:$F$5015,ROUND(MOD(MOD(SMALL(Transaksi!$X$16:$X$5015,220),1),0.01)*10000000,0)),""))</f>
        <v/>
      </c>
      <c r="F229" s="139">
        <f>IF(220&gt;COUNT(Transaksi!$X$16:$X$5015),"",IF(IF(INDEX(Transaksi!$C$1:$C$5015,ROUND(MOD(MOD(SMALL(Transaksi!$X$16:$X$5015,220),1),0.01)*10000000,0))=$C$4,IF(INDEX(Transaksi!$D$1:$D$5015,ROUND(MOD(MOD(SMALL(Transaksi!$X$16:$X$5015,220),1),0.01)*10000000,0))="Masuk",1,-1),1)&lt;0,INDEX(Transaksi!$F$1:$F$5015,ROUND(MOD(MOD(SMALL(Transaksi!$X$16:$X$5015,220),1),0.01)*10000000,0)),""))</f>
        <v/>
      </c>
      <c r="G229" s="106">
        <f>IF(220&gt;COUNT(Transaksi!$X$16:$X$5015),"",N(G228)+N(E229)-N(F229))</f>
        <v/>
      </c>
      <c r="H229" s="137">
        <f>IF(220&gt;COUNT(Transaksi!$X$16:$X$5015),"",HYPERLINK("#Transaksi!B"&amp;A229,"Buka"))</f>
        <v/>
      </c>
    </row>
    <row r="230" ht="15" customHeight="1" s="94">
      <c r="A230" s="93">
        <f>IF(221&gt;COUNT(Transaksi!$X$16:$X$5015),"",ROUND(MOD(MOD(SMALL(Transaksi!$X$16:$X$5015,221),1),0.01)*10000000,0))</f>
        <v/>
      </c>
      <c r="B230" s="135">
        <f>IF(221&gt;COUNT(Transaksi!$X$16:$X$5015),"",IF(221=1,INDEX(Transaksi!$B$1:$B$5015,ROUND(MOD(MOD(SMALL(Transaksi!$X$16:$X$5015,221),1),0.01)*10000000,0)),IF(INDEX(Transaksi!$B$1:$B$5015,ROUND(MOD(MOD(SMALL(Transaksi!$X$16:$X$5015,221),1),0.01)*10000000,0))=INDEX(Transaksi!$B$1:$B$5015,A229),"",INDEX(Transaksi!$B$1:$B$5015,ROUND(MOD(MOD(SMALL(Transaksi!$X$16:$X$5015,221),1),0.01)*10000000,0)))))</f>
        <v/>
      </c>
      <c r="C230" s="136">
        <f>IF(221&gt;COUNT(Transaksi!$X$16:$X$5015),"",INDEX(Transaksi!$J$1:$J$5015,ROUND(MOD(MOD(SMALL(Transaksi!$X$16:$X$5015,221),1),0.01)*10000000,0))&amp;IF(INDEX(Transaksi!$D$1:$D$5015,ROUND(MOD(MOD(SMALL(Transaksi!$X$16:$X$5015,221),1),0.01)*10000000,0))="Pindah",IF(INDEX(Transaksi!$C$1:$C$5015,ROUND(MOD(MOD(SMALL(Transaksi!$X$16:$X$5015,221),1),0.01)*10000000,0))=$C$4," (ke "&amp;INDEX(Transaksi!$E$1:$E$5015,ROUND(MOD(MOD(SMALL(Transaksi!$X$16:$X$5015,221),1),0.01)*10000000,0))&amp;")"," (dari "&amp;INDEX(Transaksi!$C$1:$C$5015,ROUND(MOD(MOD(SMALL(Transaksi!$X$16:$X$5015,221),1),0.01)*10000000,0))&amp;")"),""))</f>
        <v/>
      </c>
      <c r="D230" s="137">
        <f>IF(221&gt;COUNT(Transaksi!$X$16:$X$5015),"",INDEX(Transaksi!$I$1:$I$5015,ROUND(MOD(MOD(SMALL(Transaksi!$X$16:$X$5015,221),1),0.01)*10000000,0)))</f>
        <v/>
      </c>
      <c r="E230" s="138">
        <f>IF(221&gt;COUNT(Transaksi!$X$16:$X$5015),"",IF(IF(INDEX(Transaksi!$C$1:$C$5015,ROUND(MOD(MOD(SMALL(Transaksi!$X$16:$X$5015,221),1),0.01)*10000000,0))=$C$4,IF(INDEX(Transaksi!$D$1:$D$5015,ROUND(MOD(MOD(SMALL(Transaksi!$X$16:$X$5015,221),1),0.01)*10000000,0))="Masuk",1,-1),1)&gt;0,INDEX(Transaksi!$F$1:$F$5015,ROUND(MOD(MOD(SMALL(Transaksi!$X$16:$X$5015,221),1),0.01)*10000000,0)),""))</f>
        <v/>
      </c>
      <c r="F230" s="139">
        <f>IF(221&gt;COUNT(Transaksi!$X$16:$X$5015),"",IF(IF(INDEX(Transaksi!$C$1:$C$5015,ROUND(MOD(MOD(SMALL(Transaksi!$X$16:$X$5015,221),1),0.01)*10000000,0))=$C$4,IF(INDEX(Transaksi!$D$1:$D$5015,ROUND(MOD(MOD(SMALL(Transaksi!$X$16:$X$5015,221),1),0.01)*10000000,0))="Masuk",1,-1),1)&lt;0,INDEX(Transaksi!$F$1:$F$5015,ROUND(MOD(MOD(SMALL(Transaksi!$X$16:$X$5015,221),1),0.01)*10000000,0)),""))</f>
        <v/>
      </c>
      <c r="G230" s="106">
        <f>IF(221&gt;COUNT(Transaksi!$X$16:$X$5015),"",N(G229)+N(E230)-N(F230))</f>
        <v/>
      </c>
      <c r="H230" s="137">
        <f>IF(221&gt;COUNT(Transaksi!$X$16:$X$5015),"",HYPERLINK("#Transaksi!B"&amp;A230,"Buka"))</f>
        <v/>
      </c>
    </row>
    <row r="231" ht="15" customHeight="1" s="94">
      <c r="A231" s="93">
        <f>IF(222&gt;COUNT(Transaksi!$X$16:$X$5015),"",ROUND(MOD(MOD(SMALL(Transaksi!$X$16:$X$5015,222),1),0.01)*10000000,0))</f>
        <v/>
      </c>
      <c r="B231" s="135">
        <f>IF(222&gt;COUNT(Transaksi!$X$16:$X$5015),"",IF(222=1,INDEX(Transaksi!$B$1:$B$5015,ROUND(MOD(MOD(SMALL(Transaksi!$X$16:$X$5015,222),1),0.01)*10000000,0)),IF(INDEX(Transaksi!$B$1:$B$5015,ROUND(MOD(MOD(SMALL(Transaksi!$X$16:$X$5015,222),1),0.01)*10000000,0))=INDEX(Transaksi!$B$1:$B$5015,A230),"",INDEX(Transaksi!$B$1:$B$5015,ROUND(MOD(MOD(SMALL(Transaksi!$X$16:$X$5015,222),1),0.01)*10000000,0)))))</f>
        <v/>
      </c>
      <c r="C231" s="136">
        <f>IF(222&gt;COUNT(Transaksi!$X$16:$X$5015),"",INDEX(Transaksi!$J$1:$J$5015,ROUND(MOD(MOD(SMALL(Transaksi!$X$16:$X$5015,222),1),0.01)*10000000,0))&amp;IF(INDEX(Transaksi!$D$1:$D$5015,ROUND(MOD(MOD(SMALL(Transaksi!$X$16:$X$5015,222),1),0.01)*10000000,0))="Pindah",IF(INDEX(Transaksi!$C$1:$C$5015,ROUND(MOD(MOD(SMALL(Transaksi!$X$16:$X$5015,222),1),0.01)*10000000,0))=$C$4," (ke "&amp;INDEX(Transaksi!$E$1:$E$5015,ROUND(MOD(MOD(SMALL(Transaksi!$X$16:$X$5015,222),1),0.01)*10000000,0))&amp;")"," (dari "&amp;INDEX(Transaksi!$C$1:$C$5015,ROUND(MOD(MOD(SMALL(Transaksi!$X$16:$X$5015,222),1),0.01)*10000000,0))&amp;")"),""))</f>
        <v/>
      </c>
      <c r="D231" s="137">
        <f>IF(222&gt;COUNT(Transaksi!$X$16:$X$5015),"",INDEX(Transaksi!$I$1:$I$5015,ROUND(MOD(MOD(SMALL(Transaksi!$X$16:$X$5015,222),1),0.01)*10000000,0)))</f>
        <v/>
      </c>
      <c r="E231" s="138">
        <f>IF(222&gt;COUNT(Transaksi!$X$16:$X$5015),"",IF(IF(INDEX(Transaksi!$C$1:$C$5015,ROUND(MOD(MOD(SMALL(Transaksi!$X$16:$X$5015,222),1),0.01)*10000000,0))=$C$4,IF(INDEX(Transaksi!$D$1:$D$5015,ROUND(MOD(MOD(SMALL(Transaksi!$X$16:$X$5015,222),1),0.01)*10000000,0))="Masuk",1,-1),1)&gt;0,INDEX(Transaksi!$F$1:$F$5015,ROUND(MOD(MOD(SMALL(Transaksi!$X$16:$X$5015,222),1),0.01)*10000000,0)),""))</f>
        <v/>
      </c>
      <c r="F231" s="139">
        <f>IF(222&gt;COUNT(Transaksi!$X$16:$X$5015),"",IF(IF(INDEX(Transaksi!$C$1:$C$5015,ROUND(MOD(MOD(SMALL(Transaksi!$X$16:$X$5015,222),1),0.01)*10000000,0))=$C$4,IF(INDEX(Transaksi!$D$1:$D$5015,ROUND(MOD(MOD(SMALL(Transaksi!$X$16:$X$5015,222),1),0.01)*10000000,0))="Masuk",1,-1),1)&lt;0,INDEX(Transaksi!$F$1:$F$5015,ROUND(MOD(MOD(SMALL(Transaksi!$X$16:$X$5015,222),1),0.01)*10000000,0)),""))</f>
        <v/>
      </c>
      <c r="G231" s="106">
        <f>IF(222&gt;COUNT(Transaksi!$X$16:$X$5015),"",N(G230)+N(E231)-N(F231))</f>
        <v/>
      </c>
      <c r="H231" s="137">
        <f>IF(222&gt;COUNT(Transaksi!$X$16:$X$5015),"",HYPERLINK("#Transaksi!B"&amp;A231,"Buka"))</f>
        <v/>
      </c>
    </row>
    <row r="232" ht="15" customHeight="1" s="94">
      <c r="A232" s="93">
        <f>IF(223&gt;COUNT(Transaksi!$X$16:$X$5015),"",ROUND(MOD(MOD(SMALL(Transaksi!$X$16:$X$5015,223),1),0.01)*10000000,0))</f>
        <v/>
      </c>
      <c r="B232" s="135">
        <f>IF(223&gt;COUNT(Transaksi!$X$16:$X$5015),"",IF(223=1,INDEX(Transaksi!$B$1:$B$5015,ROUND(MOD(MOD(SMALL(Transaksi!$X$16:$X$5015,223),1),0.01)*10000000,0)),IF(INDEX(Transaksi!$B$1:$B$5015,ROUND(MOD(MOD(SMALL(Transaksi!$X$16:$X$5015,223),1),0.01)*10000000,0))=INDEX(Transaksi!$B$1:$B$5015,A231),"",INDEX(Transaksi!$B$1:$B$5015,ROUND(MOD(MOD(SMALL(Transaksi!$X$16:$X$5015,223),1),0.01)*10000000,0)))))</f>
        <v/>
      </c>
      <c r="C232" s="136">
        <f>IF(223&gt;COUNT(Transaksi!$X$16:$X$5015),"",INDEX(Transaksi!$J$1:$J$5015,ROUND(MOD(MOD(SMALL(Transaksi!$X$16:$X$5015,223),1),0.01)*10000000,0))&amp;IF(INDEX(Transaksi!$D$1:$D$5015,ROUND(MOD(MOD(SMALL(Transaksi!$X$16:$X$5015,223),1),0.01)*10000000,0))="Pindah",IF(INDEX(Transaksi!$C$1:$C$5015,ROUND(MOD(MOD(SMALL(Transaksi!$X$16:$X$5015,223),1),0.01)*10000000,0))=$C$4," (ke "&amp;INDEX(Transaksi!$E$1:$E$5015,ROUND(MOD(MOD(SMALL(Transaksi!$X$16:$X$5015,223),1),0.01)*10000000,0))&amp;")"," (dari "&amp;INDEX(Transaksi!$C$1:$C$5015,ROUND(MOD(MOD(SMALL(Transaksi!$X$16:$X$5015,223),1),0.01)*10000000,0))&amp;")"),""))</f>
        <v/>
      </c>
      <c r="D232" s="137">
        <f>IF(223&gt;COUNT(Transaksi!$X$16:$X$5015),"",INDEX(Transaksi!$I$1:$I$5015,ROUND(MOD(MOD(SMALL(Transaksi!$X$16:$X$5015,223),1),0.01)*10000000,0)))</f>
        <v/>
      </c>
      <c r="E232" s="138">
        <f>IF(223&gt;COUNT(Transaksi!$X$16:$X$5015),"",IF(IF(INDEX(Transaksi!$C$1:$C$5015,ROUND(MOD(MOD(SMALL(Transaksi!$X$16:$X$5015,223),1),0.01)*10000000,0))=$C$4,IF(INDEX(Transaksi!$D$1:$D$5015,ROUND(MOD(MOD(SMALL(Transaksi!$X$16:$X$5015,223),1),0.01)*10000000,0))="Masuk",1,-1),1)&gt;0,INDEX(Transaksi!$F$1:$F$5015,ROUND(MOD(MOD(SMALL(Transaksi!$X$16:$X$5015,223),1),0.01)*10000000,0)),""))</f>
        <v/>
      </c>
      <c r="F232" s="139">
        <f>IF(223&gt;COUNT(Transaksi!$X$16:$X$5015),"",IF(IF(INDEX(Transaksi!$C$1:$C$5015,ROUND(MOD(MOD(SMALL(Transaksi!$X$16:$X$5015,223),1),0.01)*10000000,0))=$C$4,IF(INDEX(Transaksi!$D$1:$D$5015,ROUND(MOD(MOD(SMALL(Transaksi!$X$16:$X$5015,223),1),0.01)*10000000,0))="Masuk",1,-1),1)&lt;0,INDEX(Transaksi!$F$1:$F$5015,ROUND(MOD(MOD(SMALL(Transaksi!$X$16:$X$5015,223),1),0.01)*10000000,0)),""))</f>
        <v/>
      </c>
      <c r="G232" s="106">
        <f>IF(223&gt;COUNT(Transaksi!$X$16:$X$5015),"",N(G231)+N(E232)-N(F232))</f>
        <v/>
      </c>
      <c r="H232" s="137">
        <f>IF(223&gt;COUNT(Transaksi!$X$16:$X$5015),"",HYPERLINK("#Transaksi!B"&amp;A232,"Buka"))</f>
        <v/>
      </c>
    </row>
    <row r="233" ht="15" customHeight="1" s="94">
      <c r="A233" s="93">
        <f>IF(224&gt;COUNT(Transaksi!$X$16:$X$5015),"",ROUND(MOD(MOD(SMALL(Transaksi!$X$16:$X$5015,224),1),0.01)*10000000,0))</f>
        <v/>
      </c>
      <c r="B233" s="135">
        <f>IF(224&gt;COUNT(Transaksi!$X$16:$X$5015),"",IF(224=1,INDEX(Transaksi!$B$1:$B$5015,ROUND(MOD(MOD(SMALL(Transaksi!$X$16:$X$5015,224),1),0.01)*10000000,0)),IF(INDEX(Transaksi!$B$1:$B$5015,ROUND(MOD(MOD(SMALL(Transaksi!$X$16:$X$5015,224),1),0.01)*10000000,0))=INDEX(Transaksi!$B$1:$B$5015,A232),"",INDEX(Transaksi!$B$1:$B$5015,ROUND(MOD(MOD(SMALL(Transaksi!$X$16:$X$5015,224),1),0.01)*10000000,0)))))</f>
        <v/>
      </c>
      <c r="C233" s="136">
        <f>IF(224&gt;COUNT(Transaksi!$X$16:$X$5015),"",INDEX(Transaksi!$J$1:$J$5015,ROUND(MOD(MOD(SMALL(Transaksi!$X$16:$X$5015,224),1),0.01)*10000000,0))&amp;IF(INDEX(Transaksi!$D$1:$D$5015,ROUND(MOD(MOD(SMALL(Transaksi!$X$16:$X$5015,224),1),0.01)*10000000,0))="Pindah",IF(INDEX(Transaksi!$C$1:$C$5015,ROUND(MOD(MOD(SMALL(Transaksi!$X$16:$X$5015,224),1),0.01)*10000000,0))=$C$4," (ke "&amp;INDEX(Transaksi!$E$1:$E$5015,ROUND(MOD(MOD(SMALL(Transaksi!$X$16:$X$5015,224),1),0.01)*10000000,0))&amp;")"," (dari "&amp;INDEX(Transaksi!$C$1:$C$5015,ROUND(MOD(MOD(SMALL(Transaksi!$X$16:$X$5015,224),1),0.01)*10000000,0))&amp;")"),""))</f>
        <v/>
      </c>
      <c r="D233" s="137">
        <f>IF(224&gt;COUNT(Transaksi!$X$16:$X$5015),"",INDEX(Transaksi!$I$1:$I$5015,ROUND(MOD(MOD(SMALL(Transaksi!$X$16:$X$5015,224),1),0.01)*10000000,0)))</f>
        <v/>
      </c>
      <c r="E233" s="138">
        <f>IF(224&gt;COUNT(Transaksi!$X$16:$X$5015),"",IF(IF(INDEX(Transaksi!$C$1:$C$5015,ROUND(MOD(MOD(SMALL(Transaksi!$X$16:$X$5015,224),1),0.01)*10000000,0))=$C$4,IF(INDEX(Transaksi!$D$1:$D$5015,ROUND(MOD(MOD(SMALL(Transaksi!$X$16:$X$5015,224),1),0.01)*10000000,0))="Masuk",1,-1),1)&gt;0,INDEX(Transaksi!$F$1:$F$5015,ROUND(MOD(MOD(SMALL(Transaksi!$X$16:$X$5015,224),1),0.01)*10000000,0)),""))</f>
        <v/>
      </c>
      <c r="F233" s="139">
        <f>IF(224&gt;COUNT(Transaksi!$X$16:$X$5015),"",IF(IF(INDEX(Transaksi!$C$1:$C$5015,ROUND(MOD(MOD(SMALL(Transaksi!$X$16:$X$5015,224),1),0.01)*10000000,0))=$C$4,IF(INDEX(Transaksi!$D$1:$D$5015,ROUND(MOD(MOD(SMALL(Transaksi!$X$16:$X$5015,224),1),0.01)*10000000,0))="Masuk",1,-1),1)&lt;0,INDEX(Transaksi!$F$1:$F$5015,ROUND(MOD(MOD(SMALL(Transaksi!$X$16:$X$5015,224),1),0.01)*10000000,0)),""))</f>
        <v/>
      </c>
      <c r="G233" s="106">
        <f>IF(224&gt;COUNT(Transaksi!$X$16:$X$5015),"",N(G232)+N(E233)-N(F233))</f>
        <v/>
      </c>
      <c r="H233" s="137">
        <f>IF(224&gt;COUNT(Transaksi!$X$16:$X$5015),"",HYPERLINK("#Transaksi!B"&amp;A233,"Buka"))</f>
        <v/>
      </c>
    </row>
    <row r="234" ht="15" customHeight="1" s="94">
      <c r="A234" s="93">
        <f>IF(225&gt;COUNT(Transaksi!$X$16:$X$5015),"",ROUND(MOD(MOD(SMALL(Transaksi!$X$16:$X$5015,225),1),0.01)*10000000,0))</f>
        <v/>
      </c>
      <c r="B234" s="135">
        <f>IF(225&gt;COUNT(Transaksi!$X$16:$X$5015),"",IF(225=1,INDEX(Transaksi!$B$1:$B$5015,ROUND(MOD(MOD(SMALL(Transaksi!$X$16:$X$5015,225),1),0.01)*10000000,0)),IF(INDEX(Transaksi!$B$1:$B$5015,ROUND(MOD(MOD(SMALL(Transaksi!$X$16:$X$5015,225),1),0.01)*10000000,0))=INDEX(Transaksi!$B$1:$B$5015,A233),"",INDEX(Transaksi!$B$1:$B$5015,ROUND(MOD(MOD(SMALL(Transaksi!$X$16:$X$5015,225),1),0.01)*10000000,0)))))</f>
        <v/>
      </c>
      <c r="C234" s="136">
        <f>IF(225&gt;COUNT(Transaksi!$X$16:$X$5015),"",INDEX(Transaksi!$J$1:$J$5015,ROUND(MOD(MOD(SMALL(Transaksi!$X$16:$X$5015,225),1),0.01)*10000000,0))&amp;IF(INDEX(Transaksi!$D$1:$D$5015,ROUND(MOD(MOD(SMALL(Transaksi!$X$16:$X$5015,225),1),0.01)*10000000,0))="Pindah",IF(INDEX(Transaksi!$C$1:$C$5015,ROUND(MOD(MOD(SMALL(Transaksi!$X$16:$X$5015,225),1),0.01)*10000000,0))=$C$4," (ke "&amp;INDEX(Transaksi!$E$1:$E$5015,ROUND(MOD(MOD(SMALL(Transaksi!$X$16:$X$5015,225),1),0.01)*10000000,0))&amp;")"," (dari "&amp;INDEX(Transaksi!$C$1:$C$5015,ROUND(MOD(MOD(SMALL(Transaksi!$X$16:$X$5015,225),1),0.01)*10000000,0))&amp;")"),""))</f>
        <v/>
      </c>
      <c r="D234" s="137">
        <f>IF(225&gt;COUNT(Transaksi!$X$16:$X$5015),"",INDEX(Transaksi!$I$1:$I$5015,ROUND(MOD(MOD(SMALL(Transaksi!$X$16:$X$5015,225),1),0.01)*10000000,0)))</f>
        <v/>
      </c>
      <c r="E234" s="138">
        <f>IF(225&gt;COUNT(Transaksi!$X$16:$X$5015),"",IF(IF(INDEX(Transaksi!$C$1:$C$5015,ROUND(MOD(MOD(SMALL(Transaksi!$X$16:$X$5015,225),1),0.01)*10000000,0))=$C$4,IF(INDEX(Transaksi!$D$1:$D$5015,ROUND(MOD(MOD(SMALL(Transaksi!$X$16:$X$5015,225),1),0.01)*10000000,0))="Masuk",1,-1),1)&gt;0,INDEX(Transaksi!$F$1:$F$5015,ROUND(MOD(MOD(SMALL(Transaksi!$X$16:$X$5015,225),1),0.01)*10000000,0)),""))</f>
        <v/>
      </c>
      <c r="F234" s="139">
        <f>IF(225&gt;COUNT(Transaksi!$X$16:$X$5015),"",IF(IF(INDEX(Transaksi!$C$1:$C$5015,ROUND(MOD(MOD(SMALL(Transaksi!$X$16:$X$5015,225),1),0.01)*10000000,0))=$C$4,IF(INDEX(Transaksi!$D$1:$D$5015,ROUND(MOD(MOD(SMALL(Transaksi!$X$16:$X$5015,225),1),0.01)*10000000,0))="Masuk",1,-1),1)&lt;0,INDEX(Transaksi!$F$1:$F$5015,ROUND(MOD(MOD(SMALL(Transaksi!$X$16:$X$5015,225),1),0.01)*10000000,0)),""))</f>
        <v/>
      </c>
      <c r="G234" s="106">
        <f>IF(225&gt;COUNT(Transaksi!$X$16:$X$5015),"",N(G233)+N(E234)-N(F234))</f>
        <v/>
      </c>
      <c r="H234" s="137">
        <f>IF(225&gt;COUNT(Transaksi!$X$16:$X$5015),"",HYPERLINK("#Transaksi!B"&amp;A234,"Buka"))</f>
        <v/>
      </c>
    </row>
    <row r="235" ht="15" customHeight="1" s="94">
      <c r="A235" s="93">
        <f>IF(226&gt;COUNT(Transaksi!$X$16:$X$5015),"",ROUND(MOD(MOD(SMALL(Transaksi!$X$16:$X$5015,226),1),0.01)*10000000,0))</f>
        <v/>
      </c>
      <c r="B235" s="135">
        <f>IF(226&gt;COUNT(Transaksi!$X$16:$X$5015),"",IF(226=1,INDEX(Transaksi!$B$1:$B$5015,ROUND(MOD(MOD(SMALL(Transaksi!$X$16:$X$5015,226),1),0.01)*10000000,0)),IF(INDEX(Transaksi!$B$1:$B$5015,ROUND(MOD(MOD(SMALL(Transaksi!$X$16:$X$5015,226),1),0.01)*10000000,0))=INDEX(Transaksi!$B$1:$B$5015,A234),"",INDEX(Transaksi!$B$1:$B$5015,ROUND(MOD(MOD(SMALL(Transaksi!$X$16:$X$5015,226),1),0.01)*10000000,0)))))</f>
        <v/>
      </c>
      <c r="C235" s="136">
        <f>IF(226&gt;COUNT(Transaksi!$X$16:$X$5015),"",INDEX(Transaksi!$J$1:$J$5015,ROUND(MOD(MOD(SMALL(Transaksi!$X$16:$X$5015,226),1),0.01)*10000000,0))&amp;IF(INDEX(Transaksi!$D$1:$D$5015,ROUND(MOD(MOD(SMALL(Transaksi!$X$16:$X$5015,226),1),0.01)*10000000,0))="Pindah",IF(INDEX(Transaksi!$C$1:$C$5015,ROUND(MOD(MOD(SMALL(Transaksi!$X$16:$X$5015,226),1),0.01)*10000000,0))=$C$4," (ke "&amp;INDEX(Transaksi!$E$1:$E$5015,ROUND(MOD(MOD(SMALL(Transaksi!$X$16:$X$5015,226),1),0.01)*10000000,0))&amp;")"," (dari "&amp;INDEX(Transaksi!$C$1:$C$5015,ROUND(MOD(MOD(SMALL(Transaksi!$X$16:$X$5015,226),1),0.01)*10000000,0))&amp;")"),""))</f>
        <v/>
      </c>
      <c r="D235" s="137">
        <f>IF(226&gt;COUNT(Transaksi!$X$16:$X$5015),"",INDEX(Transaksi!$I$1:$I$5015,ROUND(MOD(MOD(SMALL(Transaksi!$X$16:$X$5015,226),1),0.01)*10000000,0)))</f>
        <v/>
      </c>
      <c r="E235" s="138">
        <f>IF(226&gt;COUNT(Transaksi!$X$16:$X$5015),"",IF(IF(INDEX(Transaksi!$C$1:$C$5015,ROUND(MOD(MOD(SMALL(Transaksi!$X$16:$X$5015,226),1),0.01)*10000000,0))=$C$4,IF(INDEX(Transaksi!$D$1:$D$5015,ROUND(MOD(MOD(SMALL(Transaksi!$X$16:$X$5015,226),1),0.01)*10000000,0))="Masuk",1,-1),1)&gt;0,INDEX(Transaksi!$F$1:$F$5015,ROUND(MOD(MOD(SMALL(Transaksi!$X$16:$X$5015,226),1),0.01)*10000000,0)),""))</f>
        <v/>
      </c>
      <c r="F235" s="139">
        <f>IF(226&gt;COUNT(Transaksi!$X$16:$X$5015),"",IF(IF(INDEX(Transaksi!$C$1:$C$5015,ROUND(MOD(MOD(SMALL(Transaksi!$X$16:$X$5015,226),1),0.01)*10000000,0))=$C$4,IF(INDEX(Transaksi!$D$1:$D$5015,ROUND(MOD(MOD(SMALL(Transaksi!$X$16:$X$5015,226),1),0.01)*10000000,0))="Masuk",1,-1),1)&lt;0,INDEX(Transaksi!$F$1:$F$5015,ROUND(MOD(MOD(SMALL(Transaksi!$X$16:$X$5015,226),1),0.01)*10000000,0)),""))</f>
        <v/>
      </c>
      <c r="G235" s="106">
        <f>IF(226&gt;COUNT(Transaksi!$X$16:$X$5015),"",N(G234)+N(E235)-N(F235))</f>
        <v/>
      </c>
      <c r="H235" s="137">
        <f>IF(226&gt;COUNT(Transaksi!$X$16:$X$5015),"",HYPERLINK("#Transaksi!B"&amp;A235,"Buka"))</f>
        <v/>
      </c>
    </row>
    <row r="236" ht="15" customHeight="1" s="94">
      <c r="A236" s="93">
        <f>IF(227&gt;COUNT(Transaksi!$X$16:$X$5015),"",ROUND(MOD(MOD(SMALL(Transaksi!$X$16:$X$5015,227),1),0.01)*10000000,0))</f>
        <v/>
      </c>
      <c r="B236" s="135">
        <f>IF(227&gt;COUNT(Transaksi!$X$16:$X$5015),"",IF(227=1,INDEX(Transaksi!$B$1:$B$5015,ROUND(MOD(MOD(SMALL(Transaksi!$X$16:$X$5015,227),1),0.01)*10000000,0)),IF(INDEX(Transaksi!$B$1:$B$5015,ROUND(MOD(MOD(SMALL(Transaksi!$X$16:$X$5015,227),1),0.01)*10000000,0))=INDEX(Transaksi!$B$1:$B$5015,A235),"",INDEX(Transaksi!$B$1:$B$5015,ROUND(MOD(MOD(SMALL(Transaksi!$X$16:$X$5015,227),1),0.01)*10000000,0)))))</f>
        <v/>
      </c>
      <c r="C236" s="136">
        <f>IF(227&gt;COUNT(Transaksi!$X$16:$X$5015),"",INDEX(Transaksi!$J$1:$J$5015,ROUND(MOD(MOD(SMALL(Transaksi!$X$16:$X$5015,227),1),0.01)*10000000,0))&amp;IF(INDEX(Transaksi!$D$1:$D$5015,ROUND(MOD(MOD(SMALL(Transaksi!$X$16:$X$5015,227),1),0.01)*10000000,0))="Pindah",IF(INDEX(Transaksi!$C$1:$C$5015,ROUND(MOD(MOD(SMALL(Transaksi!$X$16:$X$5015,227),1),0.01)*10000000,0))=$C$4," (ke "&amp;INDEX(Transaksi!$E$1:$E$5015,ROUND(MOD(MOD(SMALL(Transaksi!$X$16:$X$5015,227),1),0.01)*10000000,0))&amp;")"," (dari "&amp;INDEX(Transaksi!$C$1:$C$5015,ROUND(MOD(MOD(SMALL(Transaksi!$X$16:$X$5015,227),1),0.01)*10000000,0))&amp;")"),""))</f>
        <v/>
      </c>
      <c r="D236" s="137">
        <f>IF(227&gt;COUNT(Transaksi!$X$16:$X$5015),"",INDEX(Transaksi!$I$1:$I$5015,ROUND(MOD(MOD(SMALL(Transaksi!$X$16:$X$5015,227),1),0.01)*10000000,0)))</f>
        <v/>
      </c>
      <c r="E236" s="138">
        <f>IF(227&gt;COUNT(Transaksi!$X$16:$X$5015),"",IF(IF(INDEX(Transaksi!$C$1:$C$5015,ROUND(MOD(MOD(SMALL(Transaksi!$X$16:$X$5015,227),1),0.01)*10000000,0))=$C$4,IF(INDEX(Transaksi!$D$1:$D$5015,ROUND(MOD(MOD(SMALL(Transaksi!$X$16:$X$5015,227),1),0.01)*10000000,0))="Masuk",1,-1),1)&gt;0,INDEX(Transaksi!$F$1:$F$5015,ROUND(MOD(MOD(SMALL(Transaksi!$X$16:$X$5015,227),1),0.01)*10000000,0)),""))</f>
        <v/>
      </c>
      <c r="F236" s="139">
        <f>IF(227&gt;COUNT(Transaksi!$X$16:$X$5015),"",IF(IF(INDEX(Transaksi!$C$1:$C$5015,ROUND(MOD(MOD(SMALL(Transaksi!$X$16:$X$5015,227),1),0.01)*10000000,0))=$C$4,IF(INDEX(Transaksi!$D$1:$D$5015,ROUND(MOD(MOD(SMALL(Transaksi!$X$16:$X$5015,227),1),0.01)*10000000,0))="Masuk",1,-1),1)&lt;0,INDEX(Transaksi!$F$1:$F$5015,ROUND(MOD(MOD(SMALL(Transaksi!$X$16:$X$5015,227),1),0.01)*10000000,0)),""))</f>
        <v/>
      </c>
      <c r="G236" s="106">
        <f>IF(227&gt;COUNT(Transaksi!$X$16:$X$5015),"",N(G235)+N(E236)-N(F236))</f>
        <v/>
      </c>
      <c r="H236" s="137">
        <f>IF(227&gt;COUNT(Transaksi!$X$16:$X$5015),"",HYPERLINK("#Transaksi!B"&amp;A236,"Buka"))</f>
        <v/>
      </c>
    </row>
    <row r="237" ht="15" customHeight="1" s="94">
      <c r="A237" s="93">
        <f>IF(228&gt;COUNT(Transaksi!$X$16:$X$5015),"",ROUND(MOD(MOD(SMALL(Transaksi!$X$16:$X$5015,228),1),0.01)*10000000,0))</f>
        <v/>
      </c>
      <c r="B237" s="135">
        <f>IF(228&gt;COUNT(Transaksi!$X$16:$X$5015),"",IF(228=1,INDEX(Transaksi!$B$1:$B$5015,ROUND(MOD(MOD(SMALL(Transaksi!$X$16:$X$5015,228),1),0.01)*10000000,0)),IF(INDEX(Transaksi!$B$1:$B$5015,ROUND(MOD(MOD(SMALL(Transaksi!$X$16:$X$5015,228),1),0.01)*10000000,0))=INDEX(Transaksi!$B$1:$B$5015,A236),"",INDEX(Transaksi!$B$1:$B$5015,ROUND(MOD(MOD(SMALL(Transaksi!$X$16:$X$5015,228),1),0.01)*10000000,0)))))</f>
        <v/>
      </c>
      <c r="C237" s="136">
        <f>IF(228&gt;COUNT(Transaksi!$X$16:$X$5015),"",INDEX(Transaksi!$J$1:$J$5015,ROUND(MOD(MOD(SMALL(Transaksi!$X$16:$X$5015,228),1),0.01)*10000000,0))&amp;IF(INDEX(Transaksi!$D$1:$D$5015,ROUND(MOD(MOD(SMALL(Transaksi!$X$16:$X$5015,228),1),0.01)*10000000,0))="Pindah",IF(INDEX(Transaksi!$C$1:$C$5015,ROUND(MOD(MOD(SMALL(Transaksi!$X$16:$X$5015,228),1),0.01)*10000000,0))=$C$4," (ke "&amp;INDEX(Transaksi!$E$1:$E$5015,ROUND(MOD(MOD(SMALL(Transaksi!$X$16:$X$5015,228),1),0.01)*10000000,0))&amp;")"," (dari "&amp;INDEX(Transaksi!$C$1:$C$5015,ROUND(MOD(MOD(SMALL(Transaksi!$X$16:$X$5015,228),1),0.01)*10000000,0))&amp;")"),""))</f>
        <v/>
      </c>
      <c r="D237" s="137">
        <f>IF(228&gt;COUNT(Transaksi!$X$16:$X$5015),"",INDEX(Transaksi!$I$1:$I$5015,ROUND(MOD(MOD(SMALL(Transaksi!$X$16:$X$5015,228),1),0.01)*10000000,0)))</f>
        <v/>
      </c>
      <c r="E237" s="138">
        <f>IF(228&gt;COUNT(Transaksi!$X$16:$X$5015),"",IF(IF(INDEX(Transaksi!$C$1:$C$5015,ROUND(MOD(MOD(SMALL(Transaksi!$X$16:$X$5015,228),1),0.01)*10000000,0))=$C$4,IF(INDEX(Transaksi!$D$1:$D$5015,ROUND(MOD(MOD(SMALL(Transaksi!$X$16:$X$5015,228),1),0.01)*10000000,0))="Masuk",1,-1),1)&gt;0,INDEX(Transaksi!$F$1:$F$5015,ROUND(MOD(MOD(SMALL(Transaksi!$X$16:$X$5015,228),1),0.01)*10000000,0)),""))</f>
        <v/>
      </c>
      <c r="F237" s="139">
        <f>IF(228&gt;COUNT(Transaksi!$X$16:$X$5015),"",IF(IF(INDEX(Transaksi!$C$1:$C$5015,ROUND(MOD(MOD(SMALL(Transaksi!$X$16:$X$5015,228),1),0.01)*10000000,0))=$C$4,IF(INDEX(Transaksi!$D$1:$D$5015,ROUND(MOD(MOD(SMALL(Transaksi!$X$16:$X$5015,228),1),0.01)*10000000,0))="Masuk",1,-1),1)&lt;0,INDEX(Transaksi!$F$1:$F$5015,ROUND(MOD(MOD(SMALL(Transaksi!$X$16:$X$5015,228),1),0.01)*10000000,0)),""))</f>
        <v/>
      </c>
      <c r="G237" s="106">
        <f>IF(228&gt;COUNT(Transaksi!$X$16:$X$5015),"",N(G236)+N(E237)-N(F237))</f>
        <v/>
      </c>
      <c r="H237" s="137">
        <f>IF(228&gt;COUNT(Transaksi!$X$16:$X$5015),"",HYPERLINK("#Transaksi!B"&amp;A237,"Buka"))</f>
        <v/>
      </c>
    </row>
    <row r="238" ht="15" customHeight="1" s="94">
      <c r="A238" s="93">
        <f>IF(229&gt;COUNT(Transaksi!$X$16:$X$5015),"",ROUND(MOD(MOD(SMALL(Transaksi!$X$16:$X$5015,229),1),0.01)*10000000,0))</f>
        <v/>
      </c>
      <c r="B238" s="135">
        <f>IF(229&gt;COUNT(Transaksi!$X$16:$X$5015),"",IF(229=1,INDEX(Transaksi!$B$1:$B$5015,ROUND(MOD(MOD(SMALL(Transaksi!$X$16:$X$5015,229),1),0.01)*10000000,0)),IF(INDEX(Transaksi!$B$1:$B$5015,ROUND(MOD(MOD(SMALL(Transaksi!$X$16:$X$5015,229),1),0.01)*10000000,0))=INDEX(Transaksi!$B$1:$B$5015,A237),"",INDEX(Transaksi!$B$1:$B$5015,ROUND(MOD(MOD(SMALL(Transaksi!$X$16:$X$5015,229),1),0.01)*10000000,0)))))</f>
        <v/>
      </c>
      <c r="C238" s="136">
        <f>IF(229&gt;COUNT(Transaksi!$X$16:$X$5015),"",INDEX(Transaksi!$J$1:$J$5015,ROUND(MOD(MOD(SMALL(Transaksi!$X$16:$X$5015,229),1),0.01)*10000000,0))&amp;IF(INDEX(Transaksi!$D$1:$D$5015,ROUND(MOD(MOD(SMALL(Transaksi!$X$16:$X$5015,229),1),0.01)*10000000,0))="Pindah",IF(INDEX(Transaksi!$C$1:$C$5015,ROUND(MOD(MOD(SMALL(Transaksi!$X$16:$X$5015,229),1),0.01)*10000000,0))=$C$4," (ke "&amp;INDEX(Transaksi!$E$1:$E$5015,ROUND(MOD(MOD(SMALL(Transaksi!$X$16:$X$5015,229),1),0.01)*10000000,0))&amp;")"," (dari "&amp;INDEX(Transaksi!$C$1:$C$5015,ROUND(MOD(MOD(SMALL(Transaksi!$X$16:$X$5015,229),1),0.01)*10000000,0))&amp;")"),""))</f>
        <v/>
      </c>
      <c r="D238" s="137">
        <f>IF(229&gt;COUNT(Transaksi!$X$16:$X$5015),"",INDEX(Transaksi!$I$1:$I$5015,ROUND(MOD(MOD(SMALL(Transaksi!$X$16:$X$5015,229),1),0.01)*10000000,0)))</f>
        <v/>
      </c>
      <c r="E238" s="138">
        <f>IF(229&gt;COUNT(Transaksi!$X$16:$X$5015),"",IF(IF(INDEX(Transaksi!$C$1:$C$5015,ROUND(MOD(MOD(SMALL(Transaksi!$X$16:$X$5015,229),1),0.01)*10000000,0))=$C$4,IF(INDEX(Transaksi!$D$1:$D$5015,ROUND(MOD(MOD(SMALL(Transaksi!$X$16:$X$5015,229),1),0.01)*10000000,0))="Masuk",1,-1),1)&gt;0,INDEX(Transaksi!$F$1:$F$5015,ROUND(MOD(MOD(SMALL(Transaksi!$X$16:$X$5015,229),1),0.01)*10000000,0)),""))</f>
        <v/>
      </c>
      <c r="F238" s="139">
        <f>IF(229&gt;COUNT(Transaksi!$X$16:$X$5015),"",IF(IF(INDEX(Transaksi!$C$1:$C$5015,ROUND(MOD(MOD(SMALL(Transaksi!$X$16:$X$5015,229),1),0.01)*10000000,0))=$C$4,IF(INDEX(Transaksi!$D$1:$D$5015,ROUND(MOD(MOD(SMALL(Transaksi!$X$16:$X$5015,229),1),0.01)*10000000,0))="Masuk",1,-1),1)&lt;0,INDEX(Transaksi!$F$1:$F$5015,ROUND(MOD(MOD(SMALL(Transaksi!$X$16:$X$5015,229),1),0.01)*10000000,0)),""))</f>
        <v/>
      </c>
      <c r="G238" s="106">
        <f>IF(229&gt;COUNT(Transaksi!$X$16:$X$5015),"",N(G237)+N(E238)-N(F238))</f>
        <v/>
      </c>
      <c r="H238" s="137">
        <f>IF(229&gt;COUNT(Transaksi!$X$16:$X$5015),"",HYPERLINK("#Transaksi!B"&amp;A238,"Buka"))</f>
        <v/>
      </c>
    </row>
    <row r="239" ht="15" customHeight="1" s="94">
      <c r="A239" s="93">
        <f>IF(230&gt;COUNT(Transaksi!$X$16:$X$5015),"",ROUND(MOD(MOD(SMALL(Transaksi!$X$16:$X$5015,230),1),0.01)*10000000,0))</f>
        <v/>
      </c>
      <c r="B239" s="135">
        <f>IF(230&gt;COUNT(Transaksi!$X$16:$X$5015),"",IF(230=1,INDEX(Transaksi!$B$1:$B$5015,ROUND(MOD(MOD(SMALL(Transaksi!$X$16:$X$5015,230),1),0.01)*10000000,0)),IF(INDEX(Transaksi!$B$1:$B$5015,ROUND(MOD(MOD(SMALL(Transaksi!$X$16:$X$5015,230),1),0.01)*10000000,0))=INDEX(Transaksi!$B$1:$B$5015,A238),"",INDEX(Transaksi!$B$1:$B$5015,ROUND(MOD(MOD(SMALL(Transaksi!$X$16:$X$5015,230),1),0.01)*10000000,0)))))</f>
        <v/>
      </c>
      <c r="C239" s="136">
        <f>IF(230&gt;COUNT(Transaksi!$X$16:$X$5015),"",INDEX(Transaksi!$J$1:$J$5015,ROUND(MOD(MOD(SMALL(Transaksi!$X$16:$X$5015,230),1),0.01)*10000000,0))&amp;IF(INDEX(Transaksi!$D$1:$D$5015,ROUND(MOD(MOD(SMALL(Transaksi!$X$16:$X$5015,230),1),0.01)*10000000,0))="Pindah",IF(INDEX(Transaksi!$C$1:$C$5015,ROUND(MOD(MOD(SMALL(Transaksi!$X$16:$X$5015,230),1),0.01)*10000000,0))=$C$4," (ke "&amp;INDEX(Transaksi!$E$1:$E$5015,ROUND(MOD(MOD(SMALL(Transaksi!$X$16:$X$5015,230),1),0.01)*10000000,0))&amp;")"," (dari "&amp;INDEX(Transaksi!$C$1:$C$5015,ROUND(MOD(MOD(SMALL(Transaksi!$X$16:$X$5015,230),1),0.01)*10000000,0))&amp;")"),""))</f>
        <v/>
      </c>
      <c r="D239" s="137">
        <f>IF(230&gt;COUNT(Transaksi!$X$16:$X$5015),"",INDEX(Transaksi!$I$1:$I$5015,ROUND(MOD(MOD(SMALL(Transaksi!$X$16:$X$5015,230),1),0.01)*10000000,0)))</f>
        <v/>
      </c>
      <c r="E239" s="138">
        <f>IF(230&gt;COUNT(Transaksi!$X$16:$X$5015),"",IF(IF(INDEX(Transaksi!$C$1:$C$5015,ROUND(MOD(MOD(SMALL(Transaksi!$X$16:$X$5015,230),1),0.01)*10000000,0))=$C$4,IF(INDEX(Transaksi!$D$1:$D$5015,ROUND(MOD(MOD(SMALL(Transaksi!$X$16:$X$5015,230),1),0.01)*10000000,0))="Masuk",1,-1),1)&gt;0,INDEX(Transaksi!$F$1:$F$5015,ROUND(MOD(MOD(SMALL(Transaksi!$X$16:$X$5015,230),1),0.01)*10000000,0)),""))</f>
        <v/>
      </c>
      <c r="F239" s="139">
        <f>IF(230&gt;COUNT(Transaksi!$X$16:$X$5015),"",IF(IF(INDEX(Transaksi!$C$1:$C$5015,ROUND(MOD(MOD(SMALL(Transaksi!$X$16:$X$5015,230),1),0.01)*10000000,0))=$C$4,IF(INDEX(Transaksi!$D$1:$D$5015,ROUND(MOD(MOD(SMALL(Transaksi!$X$16:$X$5015,230),1),0.01)*10000000,0))="Masuk",1,-1),1)&lt;0,INDEX(Transaksi!$F$1:$F$5015,ROUND(MOD(MOD(SMALL(Transaksi!$X$16:$X$5015,230),1),0.01)*10000000,0)),""))</f>
        <v/>
      </c>
      <c r="G239" s="106">
        <f>IF(230&gt;COUNT(Transaksi!$X$16:$X$5015),"",N(G238)+N(E239)-N(F239))</f>
        <v/>
      </c>
      <c r="H239" s="137">
        <f>IF(230&gt;COUNT(Transaksi!$X$16:$X$5015),"",HYPERLINK("#Transaksi!B"&amp;A239,"Buka"))</f>
        <v/>
      </c>
    </row>
    <row r="240" ht="15" customHeight="1" s="94">
      <c r="A240" s="93">
        <f>IF(231&gt;COUNT(Transaksi!$X$16:$X$5015),"",ROUND(MOD(MOD(SMALL(Transaksi!$X$16:$X$5015,231),1),0.01)*10000000,0))</f>
        <v/>
      </c>
      <c r="B240" s="135">
        <f>IF(231&gt;COUNT(Transaksi!$X$16:$X$5015),"",IF(231=1,INDEX(Transaksi!$B$1:$B$5015,ROUND(MOD(MOD(SMALL(Transaksi!$X$16:$X$5015,231),1),0.01)*10000000,0)),IF(INDEX(Transaksi!$B$1:$B$5015,ROUND(MOD(MOD(SMALL(Transaksi!$X$16:$X$5015,231),1),0.01)*10000000,0))=INDEX(Transaksi!$B$1:$B$5015,A239),"",INDEX(Transaksi!$B$1:$B$5015,ROUND(MOD(MOD(SMALL(Transaksi!$X$16:$X$5015,231),1),0.01)*10000000,0)))))</f>
        <v/>
      </c>
      <c r="C240" s="136">
        <f>IF(231&gt;COUNT(Transaksi!$X$16:$X$5015),"",INDEX(Transaksi!$J$1:$J$5015,ROUND(MOD(MOD(SMALL(Transaksi!$X$16:$X$5015,231),1),0.01)*10000000,0))&amp;IF(INDEX(Transaksi!$D$1:$D$5015,ROUND(MOD(MOD(SMALL(Transaksi!$X$16:$X$5015,231),1),0.01)*10000000,0))="Pindah",IF(INDEX(Transaksi!$C$1:$C$5015,ROUND(MOD(MOD(SMALL(Transaksi!$X$16:$X$5015,231),1),0.01)*10000000,0))=$C$4," (ke "&amp;INDEX(Transaksi!$E$1:$E$5015,ROUND(MOD(MOD(SMALL(Transaksi!$X$16:$X$5015,231),1),0.01)*10000000,0))&amp;")"," (dari "&amp;INDEX(Transaksi!$C$1:$C$5015,ROUND(MOD(MOD(SMALL(Transaksi!$X$16:$X$5015,231),1),0.01)*10000000,0))&amp;")"),""))</f>
        <v/>
      </c>
      <c r="D240" s="137">
        <f>IF(231&gt;COUNT(Transaksi!$X$16:$X$5015),"",INDEX(Transaksi!$I$1:$I$5015,ROUND(MOD(MOD(SMALL(Transaksi!$X$16:$X$5015,231),1),0.01)*10000000,0)))</f>
        <v/>
      </c>
      <c r="E240" s="138">
        <f>IF(231&gt;COUNT(Transaksi!$X$16:$X$5015),"",IF(IF(INDEX(Transaksi!$C$1:$C$5015,ROUND(MOD(MOD(SMALL(Transaksi!$X$16:$X$5015,231),1),0.01)*10000000,0))=$C$4,IF(INDEX(Transaksi!$D$1:$D$5015,ROUND(MOD(MOD(SMALL(Transaksi!$X$16:$X$5015,231),1),0.01)*10000000,0))="Masuk",1,-1),1)&gt;0,INDEX(Transaksi!$F$1:$F$5015,ROUND(MOD(MOD(SMALL(Transaksi!$X$16:$X$5015,231),1),0.01)*10000000,0)),""))</f>
        <v/>
      </c>
      <c r="F240" s="139">
        <f>IF(231&gt;COUNT(Transaksi!$X$16:$X$5015),"",IF(IF(INDEX(Transaksi!$C$1:$C$5015,ROUND(MOD(MOD(SMALL(Transaksi!$X$16:$X$5015,231),1),0.01)*10000000,0))=$C$4,IF(INDEX(Transaksi!$D$1:$D$5015,ROUND(MOD(MOD(SMALL(Transaksi!$X$16:$X$5015,231),1),0.01)*10000000,0))="Masuk",1,-1),1)&lt;0,INDEX(Transaksi!$F$1:$F$5015,ROUND(MOD(MOD(SMALL(Transaksi!$X$16:$X$5015,231),1),0.01)*10000000,0)),""))</f>
        <v/>
      </c>
      <c r="G240" s="106">
        <f>IF(231&gt;COUNT(Transaksi!$X$16:$X$5015),"",N(G239)+N(E240)-N(F240))</f>
        <v/>
      </c>
      <c r="H240" s="137">
        <f>IF(231&gt;COUNT(Transaksi!$X$16:$X$5015),"",HYPERLINK("#Transaksi!B"&amp;A240,"Buka"))</f>
        <v/>
      </c>
    </row>
    <row r="241" ht="15" customHeight="1" s="94">
      <c r="A241" s="93">
        <f>IF(232&gt;COUNT(Transaksi!$X$16:$X$5015),"",ROUND(MOD(MOD(SMALL(Transaksi!$X$16:$X$5015,232),1),0.01)*10000000,0))</f>
        <v/>
      </c>
      <c r="B241" s="135">
        <f>IF(232&gt;COUNT(Transaksi!$X$16:$X$5015),"",IF(232=1,INDEX(Transaksi!$B$1:$B$5015,ROUND(MOD(MOD(SMALL(Transaksi!$X$16:$X$5015,232),1),0.01)*10000000,0)),IF(INDEX(Transaksi!$B$1:$B$5015,ROUND(MOD(MOD(SMALL(Transaksi!$X$16:$X$5015,232),1),0.01)*10000000,0))=INDEX(Transaksi!$B$1:$B$5015,A240),"",INDEX(Transaksi!$B$1:$B$5015,ROUND(MOD(MOD(SMALL(Transaksi!$X$16:$X$5015,232),1),0.01)*10000000,0)))))</f>
        <v/>
      </c>
      <c r="C241" s="136">
        <f>IF(232&gt;COUNT(Transaksi!$X$16:$X$5015),"",INDEX(Transaksi!$J$1:$J$5015,ROUND(MOD(MOD(SMALL(Transaksi!$X$16:$X$5015,232),1),0.01)*10000000,0))&amp;IF(INDEX(Transaksi!$D$1:$D$5015,ROUND(MOD(MOD(SMALL(Transaksi!$X$16:$X$5015,232),1),0.01)*10000000,0))="Pindah",IF(INDEX(Transaksi!$C$1:$C$5015,ROUND(MOD(MOD(SMALL(Transaksi!$X$16:$X$5015,232),1),0.01)*10000000,0))=$C$4," (ke "&amp;INDEX(Transaksi!$E$1:$E$5015,ROUND(MOD(MOD(SMALL(Transaksi!$X$16:$X$5015,232),1),0.01)*10000000,0))&amp;")"," (dari "&amp;INDEX(Transaksi!$C$1:$C$5015,ROUND(MOD(MOD(SMALL(Transaksi!$X$16:$X$5015,232),1),0.01)*10000000,0))&amp;")"),""))</f>
        <v/>
      </c>
      <c r="D241" s="137">
        <f>IF(232&gt;COUNT(Transaksi!$X$16:$X$5015),"",INDEX(Transaksi!$I$1:$I$5015,ROUND(MOD(MOD(SMALL(Transaksi!$X$16:$X$5015,232),1),0.01)*10000000,0)))</f>
        <v/>
      </c>
      <c r="E241" s="138">
        <f>IF(232&gt;COUNT(Transaksi!$X$16:$X$5015),"",IF(IF(INDEX(Transaksi!$C$1:$C$5015,ROUND(MOD(MOD(SMALL(Transaksi!$X$16:$X$5015,232),1),0.01)*10000000,0))=$C$4,IF(INDEX(Transaksi!$D$1:$D$5015,ROUND(MOD(MOD(SMALL(Transaksi!$X$16:$X$5015,232),1),0.01)*10000000,0))="Masuk",1,-1),1)&gt;0,INDEX(Transaksi!$F$1:$F$5015,ROUND(MOD(MOD(SMALL(Transaksi!$X$16:$X$5015,232),1),0.01)*10000000,0)),""))</f>
        <v/>
      </c>
      <c r="F241" s="139">
        <f>IF(232&gt;COUNT(Transaksi!$X$16:$X$5015),"",IF(IF(INDEX(Transaksi!$C$1:$C$5015,ROUND(MOD(MOD(SMALL(Transaksi!$X$16:$X$5015,232),1),0.01)*10000000,0))=$C$4,IF(INDEX(Transaksi!$D$1:$D$5015,ROUND(MOD(MOD(SMALL(Transaksi!$X$16:$X$5015,232),1),0.01)*10000000,0))="Masuk",1,-1),1)&lt;0,INDEX(Transaksi!$F$1:$F$5015,ROUND(MOD(MOD(SMALL(Transaksi!$X$16:$X$5015,232),1),0.01)*10000000,0)),""))</f>
        <v/>
      </c>
      <c r="G241" s="106">
        <f>IF(232&gt;COUNT(Transaksi!$X$16:$X$5015),"",N(G240)+N(E241)-N(F241))</f>
        <v/>
      </c>
      <c r="H241" s="137">
        <f>IF(232&gt;COUNT(Transaksi!$X$16:$X$5015),"",HYPERLINK("#Transaksi!B"&amp;A241,"Buka"))</f>
        <v/>
      </c>
    </row>
    <row r="242" ht="15" customHeight="1" s="94">
      <c r="A242" s="93">
        <f>IF(233&gt;COUNT(Transaksi!$X$16:$X$5015),"",ROUND(MOD(MOD(SMALL(Transaksi!$X$16:$X$5015,233),1),0.01)*10000000,0))</f>
        <v/>
      </c>
      <c r="B242" s="135">
        <f>IF(233&gt;COUNT(Transaksi!$X$16:$X$5015),"",IF(233=1,INDEX(Transaksi!$B$1:$B$5015,ROUND(MOD(MOD(SMALL(Transaksi!$X$16:$X$5015,233),1),0.01)*10000000,0)),IF(INDEX(Transaksi!$B$1:$B$5015,ROUND(MOD(MOD(SMALL(Transaksi!$X$16:$X$5015,233),1),0.01)*10000000,0))=INDEX(Transaksi!$B$1:$B$5015,A241),"",INDEX(Transaksi!$B$1:$B$5015,ROUND(MOD(MOD(SMALL(Transaksi!$X$16:$X$5015,233),1),0.01)*10000000,0)))))</f>
        <v/>
      </c>
      <c r="C242" s="136">
        <f>IF(233&gt;COUNT(Transaksi!$X$16:$X$5015),"",INDEX(Transaksi!$J$1:$J$5015,ROUND(MOD(MOD(SMALL(Transaksi!$X$16:$X$5015,233),1),0.01)*10000000,0))&amp;IF(INDEX(Transaksi!$D$1:$D$5015,ROUND(MOD(MOD(SMALL(Transaksi!$X$16:$X$5015,233),1),0.01)*10000000,0))="Pindah",IF(INDEX(Transaksi!$C$1:$C$5015,ROUND(MOD(MOD(SMALL(Transaksi!$X$16:$X$5015,233),1),0.01)*10000000,0))=$C$4," (ke "&amp;INDEX(Transaksi!$E$1:$E$5015,ROUND(MOD(MOD(SMALL(Transaksi!$X$16:$X$5015,233),1),0.01)*10000000,0))&amp;")"," (dari "&amp;INDEX(Transaksi!$C$1:$C$5015,ROUND(MOD(MOD(SMALL(Transaksi!$X$16:$X$5015,233),1),0.01)*10000000,0))&amp;")"),""))</f>
        <v/>
      </c>
      <c r="D242" s="137">
        <f>IF(233&gt;COUNT(Transaksi!$X$16:$X$5015),"",INDEX(Transaksi!$I$1:$I$5015,ROUND(MOD(MOD(SMALL(Transaksi!$X$16:$X$5015,233),1),0.01)*10000000,0)))</f>
        <v/>
      </c>
      <c r="E242" s="138">
        <f>IF(233&gt;COUNT(Transaksi!$X$16:$X$5015),"",IF(IF(INDEX(Transaksi!$C$1:$C$5015,ROUND(MOD(MOD(SMALL(Transaksi!$X$16:$X$5015,233),1),0.01)*10000000,0))=$C$4,IF(INDEX(Transaksi!$D$1:$D$5015,ROUND(MOD(MOD(SMALL(Transaksi!$X$16:$X$5015,233),1),0.01)*10000000,0))="Masuk",1,-1),1)&gt;0,INDEX(Transaksi!$F$1:$F$5015,ROUND(MOD(MOD(SMALL(Transaksi!$X$16:$X$5015,233),1),0.01)*10000000,0)),""))</f>
        <v/>
      </c>
      <c r="F242" s="139">
        <f>IF(233&gt;COUNT(Transaksi!$X$16:$X$5015),"",IF(IF(INDEX(Transaksi!$C$1:$C$5015,ROUND(MOD(MOD(SMALL(Transaksi!$X$16:$X$5015,233),1),0.01)*10000000,0))=$C$4,IF(INDEX(Transaksi!$D$1:$D$5015,ROUND(MOD(MOD(SMALL(Transaksi!$X$16:$X$5015,233),1),0.01)*10000000,0))="Masuk",1,-1),1)&lt;0,INDEX(Transaksi!$F$1:$F$5015,ROUND(MOD(MOD(SMALL(Transaksi!$X$16:$X$5015,233),1),0.01)*10000000,0)),""))</f>
        <v/>
      </c>
      <c r="G242" s="106">
        <f>IF(233&gt;COUNT(Transaksi!$X$16:$X$5015),"",N(G241)+N(E242)-N(F242))</f>
        <v/>
      </c>
      <c r="H242" s="137">
        <f>IF(233&gt;COUNT(Transaksi!$X$16:$X$5015),"",HYPERLINK("#Transaksi!B"&amp;A242,"Buka"))</f>
        <v/>
      </c>
    </row>
    <row r="243" ht="15" customHeight="1" s="94">
      <c r="A243" s="93">
        <f>IF(234&gt;COUNT(Transaksi!$X$16:$X$5015),"",ROUND(MOD(MOD(SMALL(Transaksi!$X$16:$X$5015,234),1),0.01)*10000000,0))</f>
        <v/>
      </c>
      <c r="B243" s="135">
        <f>IF(234&gt;COUNT(Transaksi!$X$16:$X$5015),"",IF(234=1,INDEX(Transaksi!$B$1:$B$5015,ROUND(MOD(MOD(SMALL(Transaksi!$X$16:$X$5015,234),1),0.01)*10000000,0)),IF(INDEX(Transaksi!$B$1:$B$5015,ROUND(MOD(MOD(SMALL(Transaksi!$X$16:$X$5015,234),1),0.01)*10000000,0))=INDEX(Transaksi!$B$1:$B$5015,A242),"",INDEX(Transaksi!$B$1:$B$5015,ROUND(MOD(MOD(SMALL(Transaksi!$X$16:$X$5015,234),1),0.01)*10000000,0)))))</f>
        <v/>
      </c>
      <c r="C243" s="136">
        <f>IF(234&gt;COUNT(Transaksi!$X$16:$X$5015),"",INDEX(Transaksi!$J$1:$J$5015,ROUND(MOD(MOD(SMALL(Transaksi!$X$16:$X$5015,234),1),0.01)*10000000,0))&amp;IF(INDEX(Transaksi!$D$1:$D$5015,ROUND(MOD(MOD(SMALL(Transaksi!$X$16:$X$5015,234),1),0.01)*10000000,0))="Pindah",IF(INDEX(Transaksi!$C$1:$C$5015,ROUND(MOD(MOD(SMALL(Transaksi!$X$16:$X$5015,234),1),0.01)*10000000,0))=$C$4," (ke "&amp;INDEX(Transaksi!$E$1:$E$5015,ROUND(MOD(MOD(SMALL(Transaksi!$X$16:$X$5015,234),1),0.01)*10000000,0))&amp;")"," (dari "&amp;INDEX(Transaksi!$C$1:$C$5015,ROUND(MOD(MOD(SMALL(Transaksi!$X$16:$X$5015,234),1),0.01)*10000000,0))&amp;")"),""))</f>
        <v/>
      </c>
      <c r="D243" s="137">
        <f>IF(234&gt;COUNT(Transaksi!$X$16:$X$5015),"",INDEX(Transaksi!$I$1:$I$5015,ROUND(MOD(MOD(SMALL(Transaksi!$X$16:$X$5015,234),1),0.01)*10000000,0)))</f>
        <v/>
      </c>
      <c r="E243" s="138">
        <f>IF(234&gt;COUNT(Transaksi!$X$16:$X$5015),"",IF(IF(INDEX(Transaksi!$C$1:$C$5015,ROUND(MOD(MOD(SMALL(Transaksi!$X$16:$X$5015,234),1),0.01)*10000000,0))=$C$4,IF(INDEX(Transaksi!$D$1:$D$5015,ROUND(MOD(MOD(SMALL(Transaksi!$X$16:$X$5015,234),1),0.01)*10000000,0))="Masuk",1,-1),1)&gt;0,INDEX(Transaksi!$F$1:$F$5015,ROUND(MOD(MOD(SMALL(Transaksi!$X$16:$X$5015,234),1),0.01)*10000000,0)),""))</f>
        <v/>
      </c>
      <c r="F243" s="139">
        <f>IF(234&gt;COUNT(Transaksi!$X$16:$X$5015),"",IF(IF(INDEX(Transaksi!$C$1:$C$5015,ROUND(MOD(MOD(SMALL(Transaksi!$X$16:$X$5015,234),1),0.01)*10000000,0))=$C$4,IF(INDEX(Transaksi!$D$1:$D$5015,ROUND(MOD(MOD(SMALL(Transaksi!$X$16:$X$5015,234),1),0.01)*10000000,0))="Masuk",1,-1),1)&lt;0,INDEX(Transaksi!$F$1:$F$5015,ROUND(MOD(MOD(SMALL(Transaksi!$X$16:$X$5015,234),1),0.01)*10000000,0)),""))</f>
        <v/>
      </c>
      <c r="G243" s="106">
        <f>IF(234&gt;COUNT(Transaksi!$X$16:$X$5015),"",N(G242)+N(E243)-N(F243))</f>
        <v/>
      </c>
      <c r="H243" s="137">
        <f>IF(234&gt;COUNT(Transaksi!$X$16:$X$5015),"",HYPERLINK("#Transaksi!B"&amp;A243,"Buka"))</f>
        <v/>
      </c>
    </row>
    <row r="244" ht="15" customHeight="1" s="94">
      <c r="A244" s="93">
        <f>IF(235&gt;COUNT(Transaksi!$X$16:$X$5015),"",ROUND(MOD(MOD(SMALL(Transaksi!$X$16:$X$5015,235),1),0.01)*10000000,0))</f>
        <v/>
      </c>
      <c r="B244" s="135">
        <f>IF(235&gt;COUNT(Transaksi!$X$16:$X$5015),"",IF(235=1,INDEX(Transaksi!$B$1:$B$5015,ROUND(MOD(MOD(SMALL(Transaksi!$X$16:$X$5015,235),1),0.01)*10000000,0)),IF(INDEX(Transaksi!$B$1:$B$5015,ROUND(MOD(MOD(SMALL(Transaksi!$X$16:$X$5015,235),1),0.01)*10000000,0))=INDEX(Transaksi!$B$1:$B$5015,A243),"",INDEX(Transaksi!$B$1:$B$5015,ROUND(MOD(MOD(SMALL(Transaksi!$X$16:$X$5015,235),1),0.01)*10000000,0)))))</f>
        <v/>
      </c>
      <c r="C244" s="136">
        <f>IF(235&gt;COUNT(Transaksi!$X$16:$X$5015),"",INDEX(Transaksi!$J$1:$J$5015,ROUND(MOD(MOD(SMALL(Transaksi!$X$16:$X$5015,235),1),0.01)*10000000,0))&amp;IF(INDEX(Transaksi!$D$1:$D$5015,ROUND(MOD(MOD(SMALL(Transaksi!$X$16:$X$5015,235),1),0.01)*10000000,0))="Pindah",IF(INDEX(Transaksi!$C$1:$C$5015,ROUND(MOD(MOD(SMALL(Transaksi!$X$16:$X$5015,235),1),0.01)*10000000,0))=$C$4," (ke "&amp;INDEX(Transaksi!$E$1:$E$5015,ROUND(MOD(MOD(SMALL(Transaksi!$X$16:$X$5015,235),1),0.01)*10000000,0))&amp;")"," (dari "&amp;INDEX(Transaksi!$C$1:$C$5015,ROUND(MOD(MOD(SMALL(Transaksi!$X$16:$X$5015,235),1),0.01)*10000000,0))&amp;")"),""))</f>
        <v/>
      </c>
      <c r="D244" s="137">
        <f>IF(235&gt;COUNT(Transaksi!$X$16:$X$5015),"",INDEX(Transaksi!$I$1:$I$5015,ROUND(MOD(MOD(SMALL(Transaksi!$X$16:$X$5015,235),1),0.01)*10000000,0)))</f>
        <v/>
      </c>
      <c r="E244" s="138">
        <f>IF(235&gt;COUNT(Transaksi!$X$16:$X$5015),"",IF(IF(INDEX(Transaksi!$C$1:$C$5015,ROUND(MOD(MOD(SMALL(Transaksi!$X$16:$X$5015,235),1),0.01)*10000000,0))=$C$4,IF(INDEX(Transaksi!$D$1:$D$5015,ROUND(MOD(MOD(SMALL(Transaksi!$X$16:$X$5015,235),1),0.01)*10000000,0))="Masuk",1,-1),1)&gt;0,INDEX(Transaksi!$F$1:$F$5015,ROUND(MOD(MOD(SMALL(Transaksi!$X$16:$X$5015,235),1),0.01)*10000000,0)),""))</f>
        <v/>
      </c>
      <c r="F244" s="139">
        <f>IF(235&gt;COUNT(Transaksi!$X$16:$X$5015),"",IF(IF(INDEX(Transaksi!$C$1:$C$5015,ROUND(MOD(MOD(SMALL(Transaksi!$X$16:$X$5015,235),1),0.01)*10000000,0))=$C$4,IF(INDEX(Transaksi!$D$1:$D$5015,ROUND(MOD(MOD(SMALL(Transaksi!$X$16:$X$5015,235),1),0.01)*10000000,0))="Masuk",1,-1),1)&lt;0,INDEX(Transaksi!$F$1:$F$5015,ROUND(MOD(MOD(SMALL(Transaksi!$X$16:$X$5015,235),1),0.01)*10000000,0)),""))</f>
        <v/>
      </c>
      <c r="G244" s="106">
        <f>IF(235&gt;COUNT(Transaksi!$X$16:$X$5015),"",N(G243)+N(E244)-N(F244))</f>
        <v/>
      </c>
      <c r="H244" s="137">
        <f>IF(235&gt;COUNT(Transaksi!$X$16:$X$5015),"",HYPERLINK("#Transaksi!B"&amp;A244,"Buka"))</f>
        <v/>
      </c>
    </row>
    <row r="245" ht="15" customHeight="1" s="94">
      <c r="A245" s="93">
        <f>IF(236&gt;COUNT(Transaksi!$X$16:$X$5015),"",ROUND(MOD(MOD(SMALL(Transaksi!$X$16:$X$5015,236),1),0.01)*10000000,0))</f>
        <v/>
      </c>
      <c r="B245" s="135">
        <f>IF(236&gt;COUNT(Transaksi!$X$16:$X$5015),"",IF(236=1,INDEX(Transaksi!$B$1:$B$5015,ROUND(MOD(MOD(SMALL(Transaksi!$X$16:$X$5015,236),1),0.01)*10000000,0)),IF(INDEX(Transaksi!$B$1:$B$5015,ROUND(MOD(MOD(SMALL(Transaksi!$X$16:$X$5015,236),1),0.01)*10000000,0))=INDEX(Transaksi!$B$1:$B$5015,A244),"",INDEX(Transaksi!$B$1:$B$5015,ROUND(MOD(MOD(SMALL(Transaksi!$X$16:$X$5015,236),1),0.01)*10000000,0)))))</f>
        <v/>
      </c>
      <c r="C245" s="136">
        <f>IF(236&gt;COUNT(Transaksi!$X$16:$X$5015),"",INDEX(Transaksi!$J$1:$J$5015,ROUND(MOD(MOD(SMALL(Transaksi!$X$16:$X$5015,236),1),0.01)*10000000,0))&amp;IF(INDEX(Transaksi!$D$1:$D$5015,ROUND(MOD(MOD(SMALL(Transaksi!$X$16:$X$5015,236),1),0.01)*10000000,0))="Pindah",IF(INDEX(Transaksi!$C$1:$C$5015,ROUND(MOD(MOD(SMALL(Transaksi!$X$16:$X$5015,236),1),0.01)*10000000,0))=$C$4," (ke "&amp;INDEX(Transaksi!$E$1:$E$5015,ROUND(MOD(MOD(SMALL(Transaksi!$X$16:$X$5015,236),1),0.01)*10000000,0))&amp;")"," (dari "&amp;INDEX(Transaksi!$C$1:$C$5015,ROUND(MOD(MOD(SMALL(Transaksi!$X$16:$X$5015,236),1),0.01)*10000000,0))&amp;")"),""))</f>
        <v/>
      </c>
      <c r="D245" s="137">
        <f>IF(236&gt;COUNT(Transaksi!$X$16:$X$5015),"",INDEX(Transaksi!$I$1:$I$5015,ROUND(MOD(MOD(SMALL(Transaksi!$X$16:$X$5015,236),1),0.01)*10000000,0)))</f>
        <v/>
      </c>
      <c r="E245" s="138">
        <f>IF(236&gt;COUNT(Transaksi!$X$16:$X$5015),"",IF(IF(INDEX(Transaksi!$C$1:$C$5015,ROUND(MOD(MOD(SMALL(Transaksi!$X$16:$X$5015,236),1),0.01)*10000000,0))=$C$4,IF(INDEX(Transaksi!$D$1:$D$5015,ROUND(MOD(MOD(SMALL(Transaksi!$X$16:$X$5015,236),1),0.01)*10000000,0))="Masuk",1,-1),1)&gt;0,INDEX(Transaksi!$F$1:$F$5015,ROUND(MOD(MOD(SMALL(Transaksi!$X$16:$X$5015,236),1),0.01)*10000000,0)),""))</f>
        <v/>
      </c>
      <c r="F245" s="139">
        <f>IF(236&gt;COUNT(Transaksi!$X$16:$X$5015),"",IF(IF(INDEX(Transaksi!$C$1:$C$5015,ROUND(MOD(MOD(SMALL(Transaksi!$X$16:$X$5015,236),1),0.01)*10000000,0))=$C$4,IF(INDEX(Transaksi!$D$1:$D$5015,ROUND(MOD(MOD(SMALL(Transaksi!$X$16:$X$5015,236),1),0.01)*10000000,0))="Masuk",1,-1),1)&lt;0,INDEX(Transaksi!$F$1:$F$5015,ROUND(MOD(MOD(SMALL(Transaksi!$X$16:$X$5015,236),1),0.01)*10000000,0)),""))</f>
        <v/>
      </c>
      <c r="G245" s="106">
        <f>IF(236&gt;COUNT(Transaksi!$X$16:$X$5015),"",N(G244)+N(E245)-N(F245))</f>
        <v/>
      </c>
      <c r="H245" s="137">
        <f>IF(236&gt;COUNT(Transaksi!$X$16:$X$5015),"",HYPERLINK("#Transaksi!B"&amp;A245,"Buka"))</f>
        <v/>
      </c>
    </row>
    <row r="246" ht="15" customHeight="1" s="94">
      <c r="A246" s="93">
        <f>IF(237&gt;COUNT(Transaksi!$X$16:$X$5015),"",ROUND(MOD(MOD(SMALL(Transaksi!$X$16:$X$5015,237),1),0.01)*10000000,0))</f>
        <v/>
      </c>
      <c r="B246" s="135">
        <f>IF(237&gt;COUNT(Transaksi!$X$16:$X$5015),"",IF(237=1,INDEX(Transaksi!$B$1:$B$5015,ROUND(MOD(MOD(SMALL(Transaksi!$X$16:$X$5015,237),1),0.01)*10000000,0)),IF(INDEX(Transaksi!$B$1:$B$5015,ROUND(MOD(MOD(SMALL(Transaksi!$X$16:$X$5015,237),1),0.01)*10000000,0))=INDEX(Transaksi!$B$1:$B$5015,A245),"",INDEX(Transaksi!$B$1:$B$5015,ROUND(MOD(MOD(SMALL(Transaksi!$X$16:$X$5015,237),1),0.01)*10000000,0)))))</f>
        <v/>
      </c>
      <c r="C246" s="136">
        <f>IF(237&gt;COUNT(Transaksi!$X$16:$X$5015),"",INDEX(Transaksi!$J$1:$J$5015,ROUND(MOD(MOD(SMALL(Transaksi!$X$16:$X$5015,237),1),0.01)*10000000,0))&amp;IF(INDEX(Transaksi!$D$1:$D$5015,ROUND(MOD(MOD(SMALL(Transaksi!$X$16:$X$5015,237),1),0.01)*10000000,0))="Pindah",IF(INDEX(Transaksi!$C$1:$C$5015,ROUND(MOD(MOD(SMALL(Transaksi!$X$16:$X$5015,237),1),0.01)*10000000,0))=$C$4," (ke "&amp;INDEX(Transaksi!$E$1:$E$5015,ROUND(MOD(MOD(SMALL(Transaksi!$X$16:$X$5015,237),1),0.01)*10000000,0))&amp;")"," (dari "&amp;INDEX(Transaksi!$C$1:$C$5015,ROUND(MOD(MOD(SMALL(Transaksi!$X$16:$X$5015,237),1),0.01)*10000000,0))&amp;")"),""))</f>
        <v/>
      </c>
      <c r="D246" s="137">
        <f>IF(237&gt;COUNT(Transaksi!$X$16:$X$5015),"",INDEX(Transaksi!$I$1:$I$5015,ROUND(MOD(MOD(SMALL(Transaksi!$X$16:$X$5015,237),1),0.01)*10000000,0)))</f>
        <v/>
      </c>
      <c r="E246" s="138">
        <f>IF(237&gt;COUNT(Transaksi!$X$16:$X$5015),"",IF(IF(INDEX(Transaksi!$C$1:$C$5015,ROUND(MOD(MOD(SMALL(Transaksi!$X$16:$X$5015,237),1),0.01)*10000000,0))=$C$4,IF(INDEX(Transaksi!$D$1:$D$5015,ROUND(MOD(MOD(SMALL(Transaksi!$X$16:$X$5015,237),1),0.01)*10000000,0))="Masuk",1,-1),1)&gt;0,INDEX(Transaksi!$F$1:$F$5015,ROUND(MOD(MOD(SMALL(Transaksi!$X$16:$X$5015,237),1),0.01)*10000000,0)),""))</f>
        <v/>
      </c>
      <c r="F246" s="139">
        <f>IF(237&gt;COUNT(Transaksi!$X$16:$X$5015),"",IF(IF(INDEX(Transaksi!$C$1:$C$5015,ROUND(MOD(MOD(SMALL(Transaksi!$X$16:$X$5015,237),1),0.01)*10000000,0))=$C$4,IF(INDEX(Transaksi!$D$1:$D$5015,ROUND(MOD(MOD(SMALL(Transaksi!$X$16:$X$5015,237),1),0.01)*10000000,0))="Masuk",1,-1),1)&lt;0,INDEX(Transaksi!$F$1:$F$5015,ROUND(MOD(MOD(SMALL(Transaksi!$X$16:$X$5015,237),1),0.01)*10000000,0)),""))</f>
        <v/>
      </c>
      <c r="G246" s="106">
        <f>IF(237&gt;COUNT(Transaksi!$X$16:$X$5015),"",N(G245)+N(E246)-N(F246))</f>
        <v/>
      </c>
      <c r="H246" s="137">
        <f>IF(237&gt;COUNT(Transaksi!$X$16:$X$5015),"",HYPERLINK("#Transaksi!B"&amp;A246,"Buka"))</f>
        <v/>
      </c>
    </row>
    <row r="247" ht="15" customHeight="1" s="94">
      <c r="A247" s="93">
        <f>IF(238&gt;COUNT(Transaksi!$X$16:$X$5015),"",ROUND(MOD(MOD(SMALL(Transaksi!$X$16:$X$5015,238),1),0.01)*10000000,0))</f>
        <v/>
      </c>
      <c r="B247" s="135">
        <f>IF(238&gt;COUNT(Transaksi!$X$16:$X$5015),"",IF(238=1,INDEX(Transaksi!$B$1:$B$5015,ROUND(MOD(MOD(SMALL(Transaksi!$X$16:$X$5015,238),1),0.01)*10000000,0)),IF(INDEX(Transaksi!$B$1:$B$5015,ROUND(MOD(MOD(SMALL(Transaksi!$X$16:$X$5015,238),1),0.01)*10000000,0))=INDEX(Transaksi!$B$1:$B$5015,A246),"",INDEX(Transaksi!$B$1:$B$5015,ROUND(MOD(MOD(SMALL(Transaksi!$X$16:$X$5015,238),1),0.01)*10000000,0)))))</f>
        <v/>
      </c>
      <c r="C247" s="136">
        <f>IF(238&gt;COUNT(Transaksi!$X$16:$X$5015),"",INDEX(Transaksi!$J$1:$J$5015,ROUND(MOD(MOD(SMALL(Transaksi!$X$16:$X$5015,238),1),0.01)*10000000,0))&amp;IF(INDEX(Transaksi!$D$1:$D$5015,ROUND(MOD(MOD(SMALL(Transaksi!$X$16:$X$5015,238),1),0.01)*10000000,0))="Pindah",IF(INDEX(Transaksi!$C$1:$C$5015,ROUND(MOD(MOD(SMALL(Transaksi!$X$16:$X$5015,238),1),0.01)*10000000,0))=$C$4," (ke "&amp;INDEX(Transaksi!$E$1:$E$5015,ROUND(MOD(MOD(SMALL(Transaksi!$X$16:$X$5015,238),1),0.01)*10000000,0))&amp;")"," (dari "&amp;INDEX(Transaksi!$C$1:$C$5015,ROUND(MOD(MOD(SMALL(Transaksi!$X$16:$X$5015,238),1),0.01)*10000000,0))&amp;")"),""))</f>
        <v/>
      </c>
      <c r="D247" s="137">
        <f>IF(238&gt;COUNT(Transaksi!$X$16:$X$5015),"",INDEX(Transaksi!$I$1:$I$5015,ROUND(MOD(MOD(SMALL(Transaksi!$X$16:$X$5015,238),1),0.01)*10000000,0)))</f>
        <v/>
      </c>
      <c r="E247" s="138">
        <f>IF(238&gt;COUNT(Transaksi!$X$16:$X$5015),"",IF(IF(INDEX(Transaksi!$C$1:$C$5015,ROUND(MOD(MOD(SMALL(Transaksi!$X$16:$X$5015,238),1),0.01)*10000000,0))=$C$4,IF(INDEX(Transaksi!$D$1:$D$5015,ROUND(MOD(MOD(SMALL(Transaksi!$X$16:$X$5015,238),1),0.01)*10000000,0))="Masuk",1,-1),1)&gt;0,INDEX(Transaksi!$F$1:$F$5015,ROUND(MOD(MOD(SMALL(Transaksi!$X$16:$X$5015,238),1),0.01)*10000000,0)),""))</f>
        <v/>
      </c>
      <c r="F247" s="139">
        <f>IF(238&gt;COUNT(Transaksi!$X$16:$X$5015),"",IF(IF(INDEX(Transaksi!$C$1:$C$5015,ROUND(MOD(MOD(SMALL(Transaksi!$X$16:$X$5015,238),1),0.01)*10000000,0))=$C$4,IF(INDEX(Transaksi!$D$1:$D$5015,ROUND(MOD(MOD(SMALL(Transaksi!$X$16:$X$5015,238),1),0.01)*10000000,0))="Masuk",1,-1),1)&lt;0,INDEX(Transaksi!$F$1:$F$5015,ROUND(MOD(MOD(SMALL(Transaksi!$X$16:$X$5015,238),1),0.01)*10000000,0)),""))</f>
        <v/>
      </c>
      <c r="G247" s="106">
        <f>IF(238&gt;COUNT(Transaksi!$X$16:$X$5015),"",N(G246)+N(E247)-N(F247))</f>
        <v/>
      </c>
      <c r="H247" s="137">
        <f>IF(238&gt;COUNT(Transaksi!$X$16:$X$5015),"",HYPERLINK("#Transaksi!B"&amp;A247,"Buka"))</f>
        <v/>
      </c>
    </row>
    <row r="248" ht="15" customHeight="1" s="94">
      <c r="A248" s="93">
        <f>IF(239&gt;COUNT(Transaksi!$X$16:$X$5015),"",ROUND(MOD(MOD(SMALL(Transaksi!$X$16:$X$5015,239),1),0.01)*10000000,0))</f>
        <v/>
      </c>
      <c r="B248" s="135">
        <f>IF(239&gt;COUNT(Transaksi!$X$16:$X$5015),"",IF(239=1,INDEX(Transaksi!$B$1:$B$5015,ROUND(MOD(MOD(SMALL(Transaksi!$X$16:$X$5015,239),1),0.01)*10000000,0)),IF(INDEX(Transaksi!$B$1:$B$5015,ROUND(MOD(MOD(SMALL(Transaksi!$X$16:$X$5015,239),1),0.01)*10000000,0))=INDEX(Transaksi!$B$1:$B$5015,A247),"",INDEX(Transaksi!$B$1:$B$5015,ROUND(MOD(MOD(SMALL(Transaksi!$X$16:$X$5015,239),1),0.01)*10000000,0)))))</f>
        <v/>
      </c>
      <c r="C248" s="136">
        <f>IF(239&gt;COUNT(Transaksi!$X$16:$X$5015),"",INDEX(Transaksi!$J$1:$J$5015,ROUND(MOD(MOD(SMALL(Transaksi!$X$16:$X$5015,239),1),0.01)*10000000,0))&amp;IF(INDEX(Transaksi!$D$1:$D$5015,ROUND(MOD(MOD(SMALL(Transaksi!$X$16:$X$5015,239),1),0.01)*10000000,0))="Pindah",IF(INDEX(Transaksi!$C$1:$C$5015,ROUND(MOD(MOD(SMALL(Transaksi!$X$16:$X$5015,239),1),0.01)*10000000,0))=$C$4," (ke "&amp;INDEX(Transaksi!$E$1:$E$5015,ROUND(MOD(MOD(SMALL(Transaksi!$X$16:$X$5015,239),1),0.01)*10000000,0))&amp;")"," (dari "&amp;INDEX(Transaksi!$C$1:$C$5015,ROUND(MOD(MOD(SMALL(Transaksi!$X$16:$X$5015,239),1),0.01)*10000000,0))&amp;")"),""))</f>
        <v/>
      </c>
      <c r="D248" s="137">
        <f>IF(239&gt;COUNT(Transaksi!$X$16:$X$5015),"",INDEX(Transaksi!$I$1:$I$5015,ROUND(MOD(MOD(SMALL(Transaksi!$X$16:$X$5015,239),1),0.01)*10000000,0)))</f>
        <v/>
      </c>
      <c r="E248" s="138">
        <f>IF(239&gt;COUNT(Transaksi!$X$16:$X$5015),"",IF(IF(INDEX(Transaksi!$C$1:$C$5015,ROUND(MOD(MOD(SMALL(Transaksi!$X$16:$X$5015,239),1),0.01)*10000000,0))=$C$4,IF(INDEX(Transaksi!$D$1:$D$5015,ROUND(MOD(MOD(SMALL(Transaksi!$X$16:$X$5015,239),1),0.01)*10000000,0))="Masuk",1,-1),1)&gt;0,INDEX(Transaksi!$F$1:$F$5015,ROUND(MOD(MOD(SMALL(Transaksi!$X$16:$X$5015,239),1),0.01)*10000000,0)),""))</f>
        <v/>
      </c>
      <c r="F248" s="139">
        <f>IF(239&gt;COUNT(Transaksi!$X$16:$X$5015),"",IF(IF(INDEX(Transaksi!$C$1:$C$5015,ROUND(MOD(MOD(SMALL(Transaksi!$X$16:$X$5015,239),1),0.01)*10000000,0))=$C$4,IF(INDEX(Transaksi!$D$1:$D$5015,ROUND(MOD(MOD(SMALL(Transaksi!$X$16:$X$5015,239),1),0.01)*10000000,0))="Masuk",1,-1),1)&lt;0,INDEX(Transaksi!$F$1:$F$5015,ROUND(MOD(MOD(SMALL(Transaksi!$X$16:$X$5015,239),1),0.01)*10000000,0)),""))</f>
        <v/>
      </c>
      <c r="G248" s="106">
        <f>IF(239&gt;COUNT(Transaksi!$X$16:$X$5015),"",N(G247)+N(E248)-N(F248))</f>
        <v/>
      </c>
      <c r="H248" s="137">
        <f>IF(239&gt;COUNT(Transaksi!$X$16:$X$5015),"",HYPERLINK("#Transaksi!B"&amp;A248,"Buka"))</f>
        <v/>
      </c>
    </row>
    <row r="249" ht="15" customHeight="1" s="94">
      <c r="A249" s="93">
        <f>IF(240&gt;COUNT(Transaksi!$X$16:$X$5015),"",ROUND(MOD(MOD(SMALL(Transaksi!$X$16:$X$5015,240),1),0.01)*10000000,0))</f>
        <v/>
      </c>
      <c r="B249" s="135">
        <f>IF(240&gt;COUNT(Transaksi!$X$16:$X$5015),"",IF(240=1,INDEX(Transaksi!$B$1:$B$5015,ROUND(MOD(MOD(SMALL(Transaksi!$X$16:$X$5015,240),1),0.01)*10000000,0)),IF(INDEX(Transaksi!$B$1:$B$5015,ROUND(MOD(MOD(SMALL(Transaksi!$X$16:$X$5015,240),1),0.01)*10000000,0))=INDEX(Transaksi!$B$1:$B$5015,A248),"",INDEX(Transaksi!$B$1:$B$5015,ROUND(MOD(MOD(SMALL(Transaksi!$X$16:$X$5015,240),1),0.01)*10000000,0)))))</f>
        <v/>
      </c>
      <c r="C249" s="136">
        <f>IF(240&gt;COUNT(Transaksi!$X$16:$X$5015),"",INDEX(Transaksi!$J$1:$J$5015,ROUND(MOD(MOD(SMALL(Transaksi!$X$16:$X$5015,240),1),0.01)*10000000,0))&amp;IF(INDEX(Transaksi!$D$1:$D$5015,ROUND(MOD(MOD(SMALL(Transaksi!$X$16:$X$5015,240),1),0.01)*10000000,0))="Pindah",IF(INDEX(Transaksi!$C$1:$C$5015,ROUND(MOD(MOD(SMALL(Transaksi!$X$16:$X$5015,240),1),0.01)*10000000,0))=$C$4," (ke "&amp;INDEX(Transaksi!$E$1:$E$5015,ROUND(MOD(MOD(SMALL(Transaksi!$X$16:$X$5015,240),1),0.01)*10000000,0))&amp;")"," (dari "&amp;INDEX(Transaksi!$C$1:$C$5015,ROUND(MOD(MOD(SMALL(Transaksi!$X$16:$X$5015,240),1),0.01)*10000000,0))&amp;")"),""))</f>
        <v/>
      </c>
      <c r="D249" s="137">
        <f>IF(240&gt;COUNT(Transaksi!$X$16:$X$5015),"",INDEX(Transaksi!$I$1:$I$5015,ROUND(MOD(MOD(SMALL(Transaksi!$X$16:$X$5015,240),1),0.01)*10000000,0)))</f>
        <v/>
      </c>
      <c r="E249" s="138">
        <f>IF(240&gt;COUNT(Transaksi!$X$16:$X$5015),"",IF(IF(INDEX(Transaksi!$C$1:$C$5015,ROUND(MOD(MOD(SMALL(Transaksi!$X$16:$X$5015,240),1),0.01)*10000000,0))=$C$4,IF(INDEX(Transaksi!$D$1:$D$5015,ROUND(MOD(MOD(SMALL(Transaksi!$X$16:$X$5015,240),1),0.01)*10000000,0))="Masuk",1,-1),1)&gt;0,INDEX(Transaksi!$F$1:$F$5015,ROUND(MOD(MOD(SMALL(Transaksi!$X$16:$X$5015,240),1),0.01)*10000000,0)),""))</f>
        <v/>
      </c>
      <c r="F249" s="139">
        <f>IF(240&gt;COUNT(Transaksi!$X$16:$X$5015),"",IF(IF(INDEX(Transaksi!$C$1:$C$5015,ROUND(MOD(MOD(SMALL(Transaksi!$X$16:$X$5015,240),1),0.01)*10000000,0))=$C$4,IF(INDEX(Transaksi!$D$1:$D$5015,ROUND(MOD(MOD(SMALL(Transaksi!$X$16:$X$5015,240),1),0.01)*10000000,0))="Masuk",1,-1),1)&lt;0,INDEX(Transaksi!$F$1:$F$5015,ROUND(MOD(MOD(SMALL(Transaksi!$X$16:$X$5015,240),1),0.01)*10000000,0)),""))</f>
        <v/>
      </c>
      <c r="G249" s="106">
        <f>IF(240&gt;COUNT(Transaksi!$X$16:$X$5015),"",N(G248)+N(E249)-N(F249))</f>
        <v/>
      </c>
      <c r="H249" s="137">
        <f>IF(240&gt;COUNT(Transaksi!$X$16:$X$5015),"",HYPERLINK("#Transaksi!B"&amp;A249,"Buka"))</f>
        <v/>
      </c>
    </row>
    <row r="250" ht="15" customHeight="1" s="94">
      <c r="A250" s="93">
        <f>IF(241&gt;COUNT(Transaksi!$X$16:$X$5015),"",ROUND(MOD(MOD(SMALL(Transaksi!$X$16:$X$5015,241),1),0.01)*10000000,0))</f>
        <v/>
      </c>
      <c r="B250" s="135">
        <f>IF(241&gt;COUNT(Transaksi!$X$16:$X$5015),"",IF(241=1,INDEX(Transaksi!$B$1:$B$5015,ROUND(MOD(MOD(SMALL(Transaksi!$X$16:$X$5015,241),1),0.01)*10000000,0)),IF(INDEX(Transaksi!$B$1:$B$5015,ROUND(MOD(MOD(SMALL(Transaksi!$X$16:$X$5015,241),1),0.01)*10000000,0))=INDEX(Transaksi!$B$1:$B$5015,A249),"",INDEX(Transaksi!$B$1:$B$5015,ROUND(MOD(MOD(SMALL(Transaksi!$X$16:$X$5015,241),1),0.01)*10000000,0)))))</f>
        <v/>
      </c>
      <c r="C250" s="136">
        <f>IF(241&gt;COUNT(Transaksi!$X$16:$X$5015),"",INDEX(Transaksi!$J$1:$J$5015,ROUND(MOD(MOD(SMALL(Transaksi!$X$16:$X$5015,241),1),0.01)*10000000,0))&amp;IF(INDEX(Transaksi!$D$1:$D$5015,ROUND(MOD(MOD(SMALL(Transaksi!$X$16:$X$5015,241),1),0.01)*10000000,0))="Pindah",IF(INDEX(Transaksi!$C$1:$C$5015,ROUND(MOD(MOD(SMALL(Transaksi!$X$16:$X$5015,241),1),0.01)*10000000,0))=$C$4," (ke "&amp;INDEX(Transaksi!$E$1:$E$5015,ROUND(MOD(MOD(SMALL(Transaksi!$X$16:$X$5015,241),1),0.01)*10000000,0))&amp;")"," (dari "&amp;INDEX(Transaksi!$C$1:$C$5015,ROUND(MOD(MOD(SMALL(Transaksi!$X$16:$X$5015,241),1),0.01)*10000000,0))&amp;")"),""))</f>
        <v/>
      </c>
      <c r="D250" s="137">
        <f>IF(241&gt;COUNT(Transaksi!$X$16:$X$5015),"",INDEX(Transaksi!$I$1:$I$5015,ROUND(MOD(MOD(SMALL(Transaksi!$X$16:$X$5015,241),1),0.01)*10000000,0)))</f>
        <v/>
      </c>
      <c r="E250" s="138">
        <f>IF(241&gt;COUNT(Transaksi!$X$16:$X$5015),"",IF(IF(INDEX(Transaksi!$C$1:$C$5015,ROUND(MOD(MOD(SMALL(Transaksi!$X$16:$X$5015,241),1),0.01)*10000000,0))=$C$4,IF(INDEX(Transaksi!$D$1:$D$5015,ROUND(MOD(MOD(SMALL(Transaksi!$X$16:$X$5015,241),1),0.01)*10000000,0))="Masuk",1,-1),1)&gt;0,INDEX(Transaksi!$F$1:$F$5015,ROUND(MOD(MOD(SMALL(Transaksi!$X$16:$X$5015,241),1),0.01)*10000000,0)),""))</f>
        <v/>
      </c>
      <c r="F250" s="139">
        <f>IF(241&gt;COUNT(Transaksi!$X$16:$X$5015),"",IF(IF(INDEX(Transaksi!$C$1:$C$5015,ROUND(MOD(MOD(SMALL(Transaksi!$X$16:$X$5015,241),1),0.01)*10000000,0))=$C$4,IF(INDEX(Transaksi!$D$1:$D$5015,ROUND(MOD(MOD(SMALL(Transaksi!$X$16:$X$5015,241),1),0.01)*10000000,0))="Masuk",1,-1),1)&lt;0,INDEX(Transaksi!$F$1:$F$5015,ROUND(MOD(MOD(SMALL(Transaksi!$X$16:$X$5015,241),1),0.01)*10000000,0)),""))</f>
        <v/>
      </c>
      <c r="G250" s="106">
        <f>IF(241&gt;COUNT(Transaksi!$X$16:$X$5015),"",N(G249)+N(E250)-N(F250))</f>
        <v/>
      </c>
      <c r="H250" s="137">
        <f>IF(241&gt;COUNT(Transaksi!$X$16:$X$5015),"",HYPERLINK("#Transaksi!B"&amp;A250,"Buka"))</f>
        <v/>
      </c>
    </row>
    <row r="251" ht="15" customHeight="1" s="94">
      <c r="A251" s="93">
        <f>IF(242&gt;COUNT(Transaksi!$X$16:$X$5015),"",ROUND(MOD(MOD(SMALL(Transaksi!$X$16:$X$5015,242),1),0.01)*10000000,0))</f>
        <v/>
      </c>
      <c r="B251" s="135">
        <f>IF(242&gt;COUNT(Transaksi!$X$16:$X$5015),"",IF(242=1,INDEX(Transaksi!$B$1:$B$5015,ROUND(MOD(MOD(SMALL(Transaksi!$X$16:$X$5015,242),1),0.01)*10000000,0)),IF(INDEX(Transaksi!$B$1:$B$5015,ROUND(MOD(MOD(SMALL(Transaksi!$X$16:$X$5015,242),1),0.01)*10000000,0))=INDEX(Transaksi!$B$1:$B$5015,A250),"",INDEX(Transaksi!$B$1:$B$5015,ROUND(MOD(MOD(SMALL(Transaksi!$X$16:$X$5015,242),1),0.01)*10000000,0)))))</f>
        <v/>
      </c>
      <c r="C251" s="136">
        <f>IF(242&gt;COUNT(Transaksi!$X$16:$X$5015),"",INDEX(Transaksi!$J$1:$J$5015,ROUND(MOD(MOD(SMALL(Transaksi!$X$16:$X$5015,242),1),0.01)*10000000,0))&amp;IF(INDEX(Transaksi!$D$1:$D$5015,ROUND(MOD(MOD(SMALL(Transaksi!$X$16:$X$5015,242),1),0.01)*10000000,0))="Pindah",IF(INDEX(Transaksi!$C$1:$C$5015,ROUND(MOD(MOD(SMALL(Transaksi!$X$16:$X$5015,242),1),0.01)*10000000,0))=$C$4," (ke "&amp;INDEX(Transaksi!$E$1:$E$5015,ROUND(MOD(MOD(SMALL(Transaksi!$X$16:$X$5015,242),1),0.01)*10000000,0))&amp;")"," (dari "&amp;INDEX(Transaksi!$C$1:$C$5015,ROUND(MOD(MOD(SMALL(Transaksi!$X$16:$X$5015,242),1),0.01)*10000000,0))&amp;")"),""))</f>
        <v/>
      </c>
      <c r="D251" s="137">
        <f>IF(242&gt;COUNT(Transaksi!$X$16:$X$5015),"",INDEX(Transaksi!$I$1:$I$5015,ROUND(MOD(MOD(SMALL(Transaksi!$X$16:$X$5015,242),1),0.01)*10000000,0)))</f>
        <v/>
      </c>
      <c r="E251" s="138">
        <f>IF(242&gt;COUNT(Transaksi!$X$16:$X$5015),"",IF(IF(INDEX(Transaksi!$C$1:$C$5015,ROUND(MOD(MOD(SMALL(Transaksi!$X$16:$X$5015,242),1),0.01)*10000000,0))=$C$4,IF(INDEX(Transaksi!$D$1:$D$5015,ROUND(MOD(MOD(SMALL(Transaksi!$X$16:$X$5015,242),1),0.01)*10000000,0))="Masuk",1,-1),1)&gt;0,INDEX(Transaksi!$F$1:$F$5015,ROUND(MOD(MOD(SMALL(Transaksi!$X$16:$X$5015,242),1),0.01)*10000000,0)),""))</f>
        <v/>
      </c>
      <c r="F251" s="139">
        <f>IF(242&gt;COUNT(Transaksi!$X$16:$X$5015),"",IF(IF(INDEX(Transaksi!$C$1:$C$5015,ROUND(MOD(MOD(SMALL(Transaksi!$X$16:$X$5015,242),1),0.01)*10000000,0))=$C$4,IF(INDEX(Transaksi!$D$1:$D$5015,ROUND(MOD(MOD(SMALL(Transaksi!$X$16:$X$5015,242),1),0.01)*10000000,0))="Masuk",1,-1),1)&lt;0,INDEX(Transaksi!$F$1:$F$5015,ROUND(MOD(MOD(SMALL(Transaksi!$X$16:$X$5015,242),1),0.01)*10000000,0)),""))</f>
        <v/>
      </c>
      <c r="G251" s="106">
        <f>IF(242&gt;COUNT(Transaksi!$X$16:$X$5015),"",N(G250)+N(E251)-N(F251))</f>
        <v/>
      </c>
      <c r="H251" s="137">
        <f>IF(242&gt;COUNT(Transaksi!$X$16:$X$5015),"",HYPERLINK("#Transaksi!B"&amp;A251,"Buka"))</f>
        <v/>
      </c>
    </row>
    <row r="252" ht="15" customHeight="1" s="94">
      <c r="A252" s="93">
        <f>IF(243&gt;COUNT(Transaksi!$X$16:$X$5015),"",ROUND(MOD(MOD(SMALL(Transaksi!$X$16:$X$5015,243),1),0.01)*10000000,0))</f>
        <v/>
      </c>
      <c r="B252" s="135">
        <f>IF(243&gt;COUNT(Transaksi!$X$16:$X$5015),"",IF(243=1,INDEX(Transaksi!$B$1:$B$5015,ROUND(MOD(MOD(SMALL(Transaksi!$X$16:$X$5015,243),1),0.01)*10000000,0)),IF(INDEX(Transaksi!$B$1:$B$5015,ROUND(MOD(MOD(SMALL(Transaksi!$X$16:$X$5015,243),1),0.01)*10000000,0))=INDEX(Transaksi!$B$1:$B$5015,A251),"",INDEX(Transaksi!$B$1:$B$5015,ROUND(MOD(MOD(SMALL(Transaksi!$X$16:$X$5015,243),1),0.01)*10000000,0)))))</f>
        <v/>
      </c>
      <c r="C252" s="136">
        <f>IF(243&gt;COUNT(Transaksi!$X$16:$X$5015),"",INDEX(Transaksi!$J$1:$J$5015,ROUND(MOD(MOD(SMALL(Transaksi!$X$16:$X$5015,243),1),0.01)*10000000,0))&amp;IF(INDEX(Transaksi!$D$1:$D$5015,ROUND(MOD(MOD(SMALL(Transaksi!$X$16:$X$5015,243),1),0.01)*10000000,0))="Pindah",IF(INDEX(Transaksi!$C$1:$C$5015,ROUND(MOD(MOD(SMALL(Transaksi!$X$16:$X$5015,243),1),0.01)*10000000,0))=$C$4," (ke "&amp;INDEX(Transaksi!$E$1:$E$5015,ROUND(MOD(MOD(SMALL(Transaksi!$X$16:$X$5015,243),1),0.01)*10000000,0))&amp;")"," (dari "&amp;INDEX(Transaksi!$C$1:$C$5015,ROUND(MOD(MOD(SMALL(Transaksi!$X$16:$X$5015,243),1),0.01)*10000000,0))&amp;")"),""))</f>
        <v/>
      </c>
      <c r="D252" s="137">
        <f>IF(243&gt;COUNT(Transaksi!$X$16:$X$5015),"",INDEX(Transaksi!$I$1:$I$5015,ROUND(MOD(MOD(SMALL(Transaksi!$X$16:$X$5015,243),1),0.01)*10000000,0)))</f>
        <v/>
      </c>
      <c r="E252" s="138">
        <f>IF(243&gt;COUNT(Transaksi!$X$16:$X$5015),"",IF(IF(INDEX(Transaksi!$C$1:$C$5015,ROUND(MOD(MOD(SMALL(Transaksi!$X$16:$X$5015,243),1),0.01)*10000000,0))=$C$4,IF(INDEX(Transaksi!$D$1:$D$5015,ROUND(MOD(MOD(SMALL(Transaksi!$X$16:$X$5015,243),1),0.01)*10000000,0))="Masuk",1,-1),1)&gt;0,INDEX(Transaksi!$F$1:$F$5015,ROUND(MOD(MOD(SMALL(Transaksi!$X$16:$X$5015,243),1),0.01)*10000000,0)),""))</f>
        <v/>
      </c>
      <c r="F252" s="139">
        <f>IF(243&gt;COUNT(Transaksi!$X$16:$X$5015),"",IF(IF(INDEX(Transaksi!$C$1:$C$5015,ROUND(MOD(MOD(SMALL(Transaksi!$X$16:$X$5015,243),1),0.01)*10000000,0))=$C$4,IF(INDEX(Transaksi!$D$1:$D$5015,ROUND(MOD(MOD(SMALL(Transaksi!$X$16:$X$5015,243),1),0.01)*10000000,0))="Masuk",1,-1),1)&lt;0,INDEX(Transaksi!$F$1:$F$5015,ROUND(MOD(MOD(SMALL(Transaksi!$X$16:$X$5015,243),1),0.01)*10000000,0)),""))</f>
        <v/>
      </c>
      <c r="G252" s="106">
        <f>IF(243&gt;COUNT(Transaksi!$X$16:$X$5015),"",N(G251)+N(E252)-N(F252))</f>
        <v/>
      </c>
      <c r="H252" s="137">
        <f>IF(243&gt;COUNT(Transaksi!$X$16:$X$5015),"",HYPERLINK("#Transaksi!B"&amp;A252,"Buka"))</f>
        <v/>
      </c>
    </row>
    <row r="253" ht="15" customHeight="1" s="94">
      <c r="A253" s="93">
        <f>IF(244&gt;COUNT(Transaksi!$X$16:$X$5015),"",ROUND(MOD(MOD(SMALL(Transaksi!$X$16:$X$5015,244),1),0.01)*10000000,0))</f>
        <v/>
      </c>
      <c r="B253" s="135">
        <f>IF(244&gt;COUNT(Transaksi!$X$16:$X$5015),"",IF(244=1,INDEX(Transaksi!$B$1:$B$5015,ROUND(MOD(MOD(SMALL(Transaksi!$X$16:$X$5015,244),1),0.01)*10000000,0)),IF(INDEX(Transaksi!$B$1:$B$5015,ROUND(MOD(MOD(SMALL(Transaksi!$X$16:$X$5015,244),1),0.01)*10000000,0))=INDEX(Transaksi!$B$1:$B$5015,A252),"",INDEX(Transaksi!$B$1:$B$5015,ROUND(MOD(MOD(SMALL(Transaksi!$X$16:$X$5015,244),1),0.01)*10000000,0)))))</f>
        <v/>
      </c>
      <c r="C253" s="136">
        <f>IF(244&gt;COUNT(Transaksi!$X$16:$X$5015),"",INDEX(Transaksi!$J$1:$J$5015,ROUND(MOD(MOD(SMALL(Transaksi!$X$16:$X$5015,244),1),0.01)*10000000,0))&amp;IF(INDEX(Transaksi!$D$1:$D$5015,ROUND(MOD(MOD(SMALL(Transaksi!$X$16:$X$5015,244),1),0.01)*10000000,0))="Pindah",IF(INDEX(Transaksi!$C$1:$C$5015,ROUND(MOD(MOD(SMALL(Transaksi!$X$16:$X$5015,244),1),0.01)*10000000,0))=$C$4," (ke "&amp;INDEX(Transaksi!$E$1:$E$5015,ROUND(MOD(MOD(SMALL(Transaksi!$X$16:$X$5015,244),1),0.01)*10000000,0))&amp;")"," (dari "&amp;INDEX(Transaksi!$C$1:$C$5015,ROUND(MOD(MOD(SMALL(Transaksi!$X$16:$X$5015,244),1),0.01)*10000000,0))&amp;")"),""))</f>
        <v/>
      </c>
      <c r="D253" s="137">
        <f>IF(244&gt;COUNT(Transaksi!$X$16:$X$5015),"",INDEX(Transaksi!$I$1:$I$5015,ROUND(MOD(MOD(SMALL(Transaksi!$X$16:$X$5015,244),1),0.01)*10000000,0)))</f>
        <v/>
      </c>
      <c r="E253" s="138">
        <f>IF(244&gt;COUNT(Transaksi!$X$16:$X$5015),"",IF(IF(INDEX(Transaksi!$C$1:$C$5015,ROUND(MOD(MOD(SMALL(Transaksi!$X$16:$X$5015,244),1),0.01)*10000000,0))=$C$4,IF(INDEX(Transaksi!$D$1:$D$5015,ROUND(MOD(MOD(SMALL(Transaksi!$X$16:$X$5015,244),1),0.01)*10000000,0))="Masuk",1,-1),1)&gt;0,INDEX(Transaksi!$F$1:$F$5015,ROUND(MOD(MOD(SMALL(Transaksi!$X$16:$X$5015,244),1),0.01)*10000000,0)),""))</f>
        <v/>
      </c>
      <c r="F253" s="139">
        <f>IF(244&gt;COUNT(Transaksi!$X$16:$X$5015),"",IF(IF(INDEX(Transaksi!$C$1:$C$5015,ROUND(MOD(MOD(SMALL(Transaksi!$X$16:$X$5015,244),1),0.01)*10000000,0))=$C$4,IF(INDEX(Transaksi!$D$1:$D$5015,ROUND(MOD(MOD(SMALL(Transaksi!$X$16:$X$5015,244),1),0.01)*10000000,0))="Masuk",1,-1),1)&lt;0,INDEX(Transaksi!$F$1:$F$5015,ROUND(MOD(MOD(SMALL(Transaksi!$X$16:$X$5015,244),1),0.01)*10000000,0)),""))</f>
        <v/>
      </c>
      <c r="G253" s="106">
        <f>IF(244&gt;COUNT(Transaksi!$X$16:$X$5015),"",N(G252)+N(E253)-N(F253))</f>
        <v/>
      </c>
      <c r="H253" s="137">
        <f>IF(244&gt;COUNT(Transaksi!$X$16:$X$5015),"",HYPERLINK("#Transaksi!B"&amp;A253,"Buka"))</f>
        <v/>
      </c>
    </row>
    <row r="254" ht="15" customHeight="1" s="94">
      <c r="A254" s="93">
        <f>IF(245&gt;COUNT(Transaksi!$X$16:$X$5015),"",ROUND(MOD(MOD(SMALL(Transaksi!$X$16:$X$5015,245),1),0.01)*10000000,0))</f>
        <v/>
      </c>
      <c r="B254" s="135">
        <f>IF(245&gt;COUNT(Transaksi!$X$16:$X$5015),"",IF(245=1,INDEX(Transaksi!$B$1:$B$5015,ROUND(MOD(MOD(SMALL(Transaksi!$X$16:$X$5015,245),1),0.01)*10000000,0)),IF(INDEX(Transaksi!$B$1:$B$5015,ROUND(MOD(MOD(SMALL(Transaksi!$X$16:$X$5015,245),1),0.01)*10000000,0))=INDEX(Transaksi!$B$1:$B$5015,A253),"",INDEX(Transaksi!$B$1:$B$5015,ROUND(MOD(MOD(SMALL(Transaksi!$X$16:$X$5015,245),1),0.01)*10000000,0)))))</f>
        <v/>
      </c>
      <c r="C254" s="136">
        <f>IF(245&gt;COUNT(Transaksi!$X$16:$X$5015),"",INDEX(Transaksi!$J$1:$J$5015,ROUND(MOD(MOD(SMALL(Transaksi!$X$16:$X$5015,245),1),0.01)*10000000,0))&amp;IF(INDEX(Transaksi!$D$1:$D$5015,ROUND(MOD(MOD(SMALL(Transaksi!$X$16:$X$5015,245),1),0.01)*10000000,0))="Pindah",IF(INDEX(Transaksi!$C$1:$C$5015,ROUND(MOD(MOD(SMALL(Transaksi!$X$16:$X$5015,245),1),0.01)*10000000,0))=$C$4," (ke "&amp;INDEX(Transaksi!$E$1:$E$5015,ROUND(MOD(MOD(SMALL(Transaksi!$X$16:$X$5015,245),1),0.01)*10000000,0))&amp;")"," (dari "&amp;INDEX(Transaksi!$C$1:$C$5015,ROUND(MOD(MOD(SMALL(Transaksi!$X$16:$X$5015,245),1),0.01)*10000000,0))&amp;")"),""))</f>
        <v/>
      </c>
      <c r="D254" s="137">
        <f>IF(245&gt;COUNT(Transaksi!$X$16:$X$5015),"",INDEX(Transaksi!$I$1:$I$5015,ROUND(MOD(MOD(SMALL(Transaksi!$X$16:$X$5015,245),1),0.01)*10000000,0)))</f>
        <v/>
      </c>
      <c r="E254" s="138">
        <f>IF(245&gt;COUNT(Transaksi!$X$16:$X$5015),"",IF(IF(INDEX(Transaksi!$C$1:$C$5015,ROUND(MOD(MOD(SMALL(Transaksi!$X$16:$X$5015,245),1),0.01)*10000000,0))=$C$4,IF(INDEX(Transaksi!$D$1:$D$5015,ROUND(MOD(MOD(SMALL(Transaksi!$X$16:$X$5015,245),1),0.01)*10000000,0))="Masuk",1,-1),1)&gt;0,INDEX(Transaksi!$F$1:$F$5015,ROUND(MOD(MOD(SMALL(Transaksi!$X$16:$X$5015,245),1),0.01)*10000000,0)),""))</f>
        <v/>
      </c>
      <c r="F254" s="139">
        <f>IF(245&gt;COUNT(Transaksi!$X$16:$X$5015),"",IF(IF(INDEX(Transaksi!$C$1:$C$5015,ROUND(MOD(MOD(SMALL(Transaksi!$X$16:$X$5015,245),1),0.01)*10000000,0))=$C$4,IF(INDEX(Transaksi!$D$1:$D$5015,ROUND(MOD(MOD(SMALL(Transaksi!$X$16:$X$5015,245),1),0.01)*10000000,0))="Masuk",1,-1),1)&lt;0,INDEX(Transaksi!$F$1:$F$5015,ROUND(MOD(MOD(SMALL(Transaksi!$X$16:$X$5015,245),1),0.01)*10000000,0)),""))</f>
        <v/>
      </c>
      <c r="G254" s="106">
        <f>IF(245&gt;COUNT(Transaksi!$X$16:$X$5015),"",N(G253)+N(E254)-N(F254))</f>
        <v/>
      </c>
      <c r="H254" s="137">
        <f>IF(245&gt;COUNT(Transaksi!$X$16:$X$5015),"",HYPERLINK("#Transaksi!B"&amp;A254,"Buka"))</f>
        <v/>
      </c>
    </row>
    <row r="255" ht="15" customHeight="1" s="94">
      <c r="A255" s="93">
        <f>IF(246&gt;COUNT(Transaksi!$X$16:$X$5015),"",ROUND(MOD(MOD(SMALL(Transaksi!$X$16:$X$5015,246),1),0.01)*10000000,0))</f>
        <v/>
      </c>
      <c r="B255" s="135">
        <f>IF(246&gt;COUNT(Transaksi!$X$16:$X$5015),"",IF(246=1,INDEX(Transaksi!$B$1:$B$5015,ROUND(MOD(MOD(SMALL(Transaksi!$X$16:$X$5015,246),1),0.01)*10000000,0)),IF(INDEX(Transaksi!$B$1:$B$5015,ROUND(MOD(MOD(SMALL(Transaksi!$X$16:$X$5015,246),1),0.01)*10000000,0))=INDEX(Transaksi!$B$1:$B$5015,A254),"",INDEX(Transaksi!$B$1:$B$5015,ROUND(MOD(MOD(SMALL(Transaksi!$X$16:$X$5015,246),1),0.01)*10000000,0)))))</f>
        <v/>
      </c>
      <c r="C255" s="136">
        <f>IF(246&gt;COUNT(Transaksi!$X$16:$X$5015),"",INDEX(Transaksi!$J$1:$J$5015,ROUND(MOD(MOD(SMALL(Transaksi!$X$16:$X$5015,246),1),0.01)*10000000,0))&amp;IF(INDEX(Transaksi!$D$1:$D$5015,ROUND(MOD(MOD(SMALL(Transaksi!$X$16:$X$5015,246),1),0.01)*10000000,0))="Pindah",IF(INDEX(Transaksi!$C$1:$C$5015,ROUND(MOD(MOD(SMALL(Transaksi!$X$16:$X$5015,246),1),0.01)*10000000,0))=$C$4," (ke "&amp;INDEX(Transaksi!$E$1:$E$5015,ROUND(MOD(MOD(SMALL(Transaksi!$X$16:$X$5015,246),1),0.01)*10000000,0))&amp;")"," (dari "&amp;INDEX(Transaksi!$C$1:$C$5015,ROUND(MOD(MOD(SMALL(Transaksi!$X$16:$X$5015,246),1),0.01)*10000000,0))&amp;")"),""))</f>
        <v/>
      </c>
      <c r="D255" s="137">
        <f>IF(246&gt;COUNT(Transaksi!$X$16:$X$5015),"",INDEX(Transaksi!$I$1:$I$5015,ROUND(MOD(MOD(SMALL(Transaksi!$X$16:$X$5015,246),1),0.01)*10000000,0)))</f>
        <v/>
      </c>
      <c r="E255" s="138">
        <f>IF(246&gt;COUNT(Transaksi!$X$16:$X$5015),"",IF(IF(INDEX(Transaksi!$C$1:$C$5015,ROUND(MOD(MOD(SMALL(Transaksi!$X$16:$X$5015,246),1),0.01)*10000000,0))=$C$4,IF(INDEX(Transaksi!$D$1:$D$5015,ROUND(MOD(MOD(SMALL(Transaksi!$X$16:$X$5015,246),1),0.01)*10000000,0))="Masuk",1,-1),1)&gt;0,INDEX(Transaksi!$F$1:$F$5015,ROUND(MOD(MOD(SMALL(Transaksi!$X$16:$X$5015,246),1),0.01)*10000000,0)),""))</f>
        <v/>
      </c>
      <c r="F255" s="139">
        <f>IF(246&gt;COUNT(Transaksi!$X$16:$X$5015),"",IF(IF(INDEX(Transaksi!$C$1:$C$5015,ROUND(MOD(MOD(SMALL(Transaksi!$X$16:$X$5015,246),1),0.01)*10000000,0))=$C$4,IF(INDEX(Transaksi!$D$1:$D$5015,ROUND(MOD(MOD(SMALL(Transaksi!$X$16:$X$5015,246),1),0.01)*10000000,0))="Masuk",1,-1),1)&lt;0,INDEX(Transaksi!$F$1:$F$5015,ROUND(MOD(MOD(SMALL(Transaksi!$X$16:$X$5015,246),1),0.01)*10000000,0)),""))</f>
        <v/>
      </c>
      <c r="G255" s="106">
        <f>IF(246&gt;COUNT(Transaksi!$X$16:$X$5015),"",N(G254)+N(E255)-N(F255))</f>
        <v/>
      </c>
      <c r="H255" s="137">
        <f>IF(246&gt;COUNT(Transaksi!$X$16:$X$5015),"",HYPERLINK("#Transaksi!B"&amp;A255,"Buka"))</f>
        <v/>
      </c>
    </row>
    <row r="256" ht="15" customHeight="1" s="94">
      <c r="A256" s="93">
        <f>IF(247&gt;COUNT(Transaksi!$X$16:$X$5015),"",ROUND(MOD(MOD(SMALL(Transaksi!$X$16:$X$5015,247),1),0.01)*10000000,0))</f>
        <v/>
      </c>
      <c r="B256" s="135">
        <f>IF(247&gt;COUNT(Transaksi!$X$16:$X$5015),"",IF(247=1,INDEX(Transaksi!$B$1:$B$5015,ROUND(MOD(MOD(SMALL(Transaksi!$X$16:$X$5015,247),1),0.01)*10000000,0)),IF(INDEX(Transaksi!$B$1:$B$5015,ROUND(MOD(MOD(SMALL(Transaksi!$X$16:$X$5015,247),1),0.01)*10000000,0))=INDEX(Transaksi!$B$1:$B$5015,A255),"",INDEX(Transaksi!$B$1:$B$5015,ROUND(MOD(MOD(SMALL(Transaksi!$X$16:$X$5015,247),1),0.01)*10000000,0)))))</f>
        <v/>
      </c>
      <c r="C256" s="136">
        <f>IF(247&gt;COUNT(Transaksi!$X$16:$X$5015),"",INDEX(Transaksi!$J$1:$J$5015,ROUND(MOD(MOD(SMALL(Transaksi!$X$16:$X$5015,247),1),0.01)*10000000,0))&amp;IF(INDEX(Transaksi!$D$1:$D$5015,ROUND(MOD(MOD(SMALL(Transaksi!$X$16:$X$5015,247),1),0.01)*10000000,0))="Pindah",IF(INDEX(Transaksi!$C$1:$C$5015,ROUND(MOD(MOD(SMALL(Transaksi!$X$16:$X$5015,247),1),0.01)*10000000,0))=$C$4," (ke "&amp;INDEX(Transaksi!$E$1:$E$5015,ROUND(MOD(MOD(SMALL(Transaksi!$X$16:$X$5015,247),1),0.01)*10000000,0))&amp;")"," (dari "&amp;INDEX(Transaksi!$C$1:$C$5015,ROUND(MOD(MOD(SMALL(Transaksi!$X$16:$X$5015,247),1),0.01)*10000000,0))&amp;")"),""))</f>
        <v/>
      </c>
      <c r="D256" s="137">
        <f>IF(247&gt;COUNT(Transaksi!$X$16:$X$5015),"",INDEX(Transaksi!$I$1:$I$5015,ROUND(MOD(MOD(SMALL(Transaksi!$X$16:$X$5015,247),1),0.01)*10000000,0)))</f>
        <v/>
      </c>
      <c r="E256" s="138">
        <f>IF(247&gt;COUNT(Transaksi!$X$16:$X$5015),"",IF(IF(INDEX(Transaksi!$C$1:$C$5015,ROUND(MOD(MOD(SMALL(Transaksi!$X$16:$X$5015,247),1),0.01)*10000000,0))=$C$4,IF(INDEX(Transaksi!$D$1:$D$5015,ROUND(MOD(MOD(SMALL(Transaksi!$X$16:$X$5015,247),1),0.01)*10000000,0))="Masuk",1,-1),1)&gt;0,INDEX(Transaksi!$F$1:$F$5015,ROUND(MOD(MOD(SMALL(Transaksi!$X$16:$X$5015,247),1),0.01)*10000000,0)),""))</f>
        <v/>
      </c>
      <c r="F256" s="139">
        <f>IF(247&gt;COUNT(Transaksi!$X$16:$X$5015),"",IF(IF(INDEX(Transaksi!$C$1:$C$5015,ROUND(MOD(MOD(SMALL(Transaksi!$X$16:$X$5015,247),1),0.01)*10000000,0))=$C$4,IF(INDEX(Transaksi!$D$1:$D$5015,ROUND(MOD(MOD(SMALL(Transaksi!$X$16:$X$5015,247),1),0.01)*10000000,0))="Masuk",1,-1),1)&lt;0,INDEX(Transaksi!$F$1:$F$5015,ROUND(MOD(MOD(SMALL(Transaksi!$X$16:$X$5015,247),1),0.01)*10000000,0)),""))</f>
        <v/>
      </c>
      <c r="G256" s="106">
        <f>IF(247&gt;COUNT(Transaksi!$X$16:$X$5015),"",N(G255)+N(E256)-N(F256))</f>
        <v/>
      </c>
      <c r="H256" s="137">
        <f>IF(247&gt;COUNT(Transaksi!$X$16:$X$5015),"",HYPERLINK("#Transaksi!B"&amp;A256,"Buka"))</f>
        <v/>
      </c>
    </row>
    <row r="257" ht="15" customHeight="1" s="94">
      <c r="A257" s="93">
        <f>IF(248&gt;COUNT(Transaksi!$X$16:$X$5015),"",ROUND(MOD(MOD(SMALL(Transaksi!$X$16:$X$5015,248),1),0.01)*10000000,0))</f>
        <v/>
      </c>
      <c r="B257" s="135">
        <f>IF(248&gt;COUNT(Transaksi!$X$16:$X$5015),"",IF(248=1,INDEX(Transaksi!$B$1:$B$5015,ROUND(MOD(MOD(SMALL(Transaksi!$X$16:$X$5015,248),1),0.01)*10000000,0)),IF(INDEX(Transaksi!$B$1:$B$5015,ROUND(MOD(MOD(SMALL(Transaksi!$X$16:$X$5015,248),1),0.01)*10000000,0))=INDEX(Transaksi!$B$1:$B$5015,A256),"",INDEX(Transaksi!$B$1:$B$5015,ROUND(MOD(MOD(SMALL(Transaksi!$X$16:$X$5015,248),1),0.01)*10000000,0)))))</f>
        <v/>
      </c>
      <c r="C257" s="136">
        <f>IF(248&gt;COUNT(Transaksi!$X$16:$X$5015),"",INDEX(Transaksi!$J$1:$J$5015,ROUND(MOD(MOD(SMALL(Transaksi!$X$16:$X$5015,248),1),0.01)*10000000,0))&amp;IF(INDEX(Transaksi!$D$1:$D$5015,ROUND(MOD(MOD(SMALL(Transaksi!$X$16:$X$5015,248),1),0.01)*10000000,0))="Pindah",IF(INDEX(Transaksi!$C$1:$C$5015,ROUND(MOD(MOD(SMALL(Transaksi!$X$16:$X$5015,248),1),0.01)*10000000,0))=$C$4," (ke "&amp;INDEX(Transaksi!$E$1:$E$5015,ROUND(MOD(MOD(SMALL(Transaksi!$X$16:$X$5015,248),1),0.01)*10000000,0))&amp;")"," (dari "&amp;INDEX(Transaksi!$C$1:$C$5015,ROUND(MOD(MOD(SMALL(Transaksi!$X$16:$X$5015,248),1),0.01)*10000000,0))&amp;")"),""))</f>
        <v/>
      </c>
      <c r="D257" s="137">
        <f>IF(248&gt;COUNT(Transaksi!$X$16:$X$5015),"",INDEX(Transaksi!$I$1:$I$5015,ROUND(MOD(MOD(SMALL(Transaksi!$X$16:$X$5015,248),1),0.01)*10000000,0)))</f>
        <v/>
      </c>
      <c r="E257" s="138">
        <f>IF(248&gt;COUNT(Transaksi!$X$16:$X$5015),"",IF(IF(INDEX(Transaksi!$C$1:$C$5015,ROUND(MOD(MOD(SMALL(Transaksi!$X$16:$X$5015,248),1),0.01)*10000000,0))=$C$4,IF(INDEX(Transaksi!$D$1:$D$5015,ROUND(MOD(MOD(SMALL(Transaksi!$X$16:$X$5015,248),1),0.01)*10000000,0))="Masuk",1,-1),1)&gt;0,INDEX(Transaksi!$F$1:$F$5015,ROUND(MOD(MOD(SMALL(Transaksi!$X$16:$X$5015,248),1),0.01)*10000000,0)),""))</f>
        <v/>
      </c>
      <c r="F257" s="139">
        <f>IF(248&gt;COUNT(Transaksi!$X$16:$X$5015),"",IF(IF(INDEX(Transaksi!$C$1:$C$5015,ROUND(MOD(MOD(SMALL(Transaksi!$X$16:$X$5015,248),1),0.01)*10000000,0))=$C$4,IF(INDEX(Transaksi!$D$1:$D$5015,ROUND(MOD(MOD(SMALL(Transaksi!$X$16:$X$5015,248),1),0.01)*10000000,0))="Masuk",1,-1),1)&lt;0,INDEX(Transaksi!$F$1:$F$5015,ROUND(MOD(MOD(SMALL(Transaksi!$X$16:$X$5015,248),1),0.01)*10000000,0)),""))</f>
        <v/>
      </c>
      <c r="G257" s="106">
        <f>IF(248&gt;COUNT(Transaksi!$X$16:$X$5015),"",N(G256)+N(E257)-N(F257))</f>
        <v/>
      </c>
      <c r="H257" s="137">
        <f>IF(248&gt;COUNT(Transaksi!$X$16:$X$5015),"",HYPERLINK("#Transaksi!B"&amp;A257,"Buka"))</f>
        <v/>
      </c>
    </row>
    <row r="258" ht="15" customHeight="1" s="94">
      <c r="A258" s="93">
        <f>IF(249&gt;COUNT(Transaksi!$X$16:$X$5015),"",ROUND(MOD(MOD(SMALL(Transaksi!$X$16:$X$5015,249),1),0.01)*10000000,0))</f>
        <v/>
      </c>
      <c r="B258" s="135">
        <f>IF(249&gt;COUNT(Transaksi!$X$16:$X$5015),"",IF(249=1,INDEX(Transaksi!$B$1:$B$5015,ROUND(MOD(MOD(SMALL(Transaksi!$X$16:$X$5015,249),1),0.01)*10000000,0)),IF(INDEX(Transaksi!$B$1:$B$5015,ROUND(MOD(MOD(SMALL(Transaksi!$X$16:$X$5015,249),1),0.01)*10000000,0))=INDEX(Transaksi!$B$1:$B$5015,A257),"",INDEX(Transaksi!$B$1:$B$5015,ROUND(MOD(MOD(SMALL(Transaksi!$X$16:$X$5015,249),1),0.01)*10000000,0)))))</f>
        <v/>
      </c>
      <c r="C258" s="136">
        <f>IF(249&gt;COUNT(Transaksi!$X$16:$X$5015),"",INDEX(Transaksi!$J$1:$J$5015,ROUND(MOD(MOD(SMALL(Transaksi!$X$16:$X$5015,249),1),0.01)*10000000,0))&amp;IF(INDEX(Transaksi!$D$1:$D$5015,ROUND(MOD(MOD(SMALL(Transaksi!$X$16:$X$5015,249),1),0.01)*10000000,0))="Pindah",IF(INDEX(Transaksi!$C$1:$C$5015,ROUND(MOD(MOD(SMALL(Transaksi!$X$16:$X$5015,249),1),0.01)*10000000,0))=$C$4," (ke "&amp;INDEX(Transaksi!$E$1:$E$5015,ROUND(MOD(MOD(SMALL(Transaksi!$X$16:$X$5015,249),1),0.01)*10000000,0))&amp;")"," (dari "&amp;INDEX(Transaksi!$C$1:$C$5015,ROUND(MOD(MOD(SMALL(Transaksi!$X$16:$X$5015,249),1),0.01)*10000000,0))&amp;")"),""))</f>
        <v/>
      </c>
      <c r="D258" s="137">
        <f>IF(249&gt;COUNT(Transaksi!$X$16:$X$5015),"",INDEX(Transaksi!$I$1:$I$5015,ROUND(MOD(MOD(SMALL(Transaksi!$X$16:$X$5015,249),1),0.01)*10000000,0)))</f>
        <v/>
      </c>
      <c r="E258" s="138">
        <f>IF(249&gt;COUNT(Transaksi!$X$16:$X$5015),"",IF(IF(INDEX(Transaksi!$C$1:$C$5015,ROUND(MOD(MOD(SMALL(Transaksi!$X$16:$X$5015,249),1),0.01)*10000000,0))=$C$4,IF(INDEX(Transaksi!$D$1:$D$5015,ROUND(MOD(MOD(SMALL(Transaksi!$X$16:$X$5015,249),1),0.01)*10000000,0))="Masuk",1,-1),1)&gt;0,INDEX(Transaksi!$F$1:$F$5015,ROUND(MOD(MOD(SMALL(Transaksi!$X$16:$X$5015,249),1),0.01)*10000000,0)),""))</f>
        <v/>
      </c>
      <c r="F258" s="139">
        <f>IF(249&gt;COUNT(Transaksi!$X$16:$X$5015),"",IF(IF(INDEX(Transaksi!$C$1:$C$5015,ROUND(MOD(MOD(SMALL(Transaksi!$X$16:$X$5015,249),1),0.01)*10000000,0))=$C$4,IF(INDEX(Transaksi!$D$1:$D$5015,ROUND(MOD(MOD(SMALL(Transaksi!$X$16:$X$5015,249),1),0.01)*10000000,0))="Masuk",1,-1),1)&lt;0,INDEX(Transaksi!$F$1:$F$5015,ROUND(MOD(MOD(SMALL(Transaksi!$X$16:$X$5015,249),1),0.01)*10000000,0)),""))</f>
        <v/>
      </c>
      <c r="G258" s="106">
        <f>IF(249&gt;COUNT(Transaksi!$X$16:$X$5015),"",N(G257)+N(E258)-N(F258))</f>
        <v/>
      </c>
      <c r="H258" s="137">
        <f>IF(249&gt;COUNT(Transaksi!$X$16:$X$5015),"",HYPERLINK("#Transaksi!B"&amp;A258,"Buka"))</f>
        <v/>
      </c>
    </row>
    <row r="259" ht="15" customHeight="1" s="94">
      <c r="A259" s="93">
        <f>IF(250&gt;COUNT(Transaksi!$X$16:$X$5015),"",ROUND(MOD(MOD(SMALL(Transaksi!$X$16:$X$5015,250),1),0.01)*10000000,0))</f>
        <v/>
      </c>
      <c r="B259" s="135">
        <f>IF(250&gt;COUNT(Transaksi!$X$16:$X$5015),"",IF(250=1,INDEX(Transaksi!$B$1:$B$5015,ROUND(MOD(MOD(SMALL(Transaksi!$X$16:$X$5015,250),1),0.01)*10000000,0)),IF(INDEX(Transaksi!$B$1:$B$5015,ROUND(MOD(MOD(SMALL(Transaksi!$X$16:$X$5015,250),1),0.01)*10000000,0))=INDEX(Transaksi!$B$1:$B$5015,A258),"",INDEX(Transaksi!$B$1:$B$5015,ROUND(MOD(MOD(SMALL(Transaksi!$X$16:$X$5015,250),1),0.01)*10000000,0)))))</f>
        <v/>
      </c>
      <c r="C259" s="136">
        <f>IF(250&gt;COUNT(Transaksi!$X$16:$X$5015),"",INDEX(Transaksi!$J$1:$J$5015,ROUND(MOD(MOD(SMALL(Transaksi!$X$16:$X$5015,250),1),0.01)*10000000,0))&amp;IF(INDEX(Transaksi!$D$1:$D$5015,ROUND(MOD(MOD(SMALL(Transaksi!$X$16:$X$5015,250),1),0.01)*10000000,0))="Pindah",IF(INDEX(Transaksi!$C$1:$C$5015,ROUND(MOD(MOD(SMALL(Transaksi!$X$16:$X$5015,250),1),0.01)*10000000,0))=$C$4," (ke "&amp;INDEX(Transaksi!$E$1:$E$5015,ROUND(MOD(MOD(SMALL(Transaksi!$X$16:$X$5015,250),1),0.01)*10000000,0))&amp;")"," (dari "&amp;INDEX(Transaksi!$C$1:$C$5015,ROUND(MOD(MOD(SMALL(Transaksi!$X$16:$X$5015,250),1),0.01)*10000000,0))&amp;")"),""))</f>
        <v/>
      </c>
      <c r="D259" s="137">
        <f>IF(250&gt;COUNT(Transaksi!$X$16:$X$5015),"",INDEX(Transaksi!$I$1:$I$5015,ROUND(MOD(MOD(SMALL(Transaksi!$X$16:$X$5015,250),1),0.01)*10000000,0)))</f>
        <v/>
      </c>
      <c r="E259" s="138">
        <f>IF(250&gt;COUNT(Transaksi!$X$16:$X$5015),"",IF(IF(INDEX(Transaksi!$C$1:$C$5015,ROUND(MOD(MOD(SMALL(Transaksi!$X$16:$X$5015,250),1),0.01)*10000000,0))=$C$4,IF(INDEX(Transaksi!$D$1:$D$5015,ROUND(MOD(MOD(SMALL(Transaksi!$X$16:$X$5015,250),1),0.01)*10000000,0))="Masuk",1,-1),1)&gt;0,INDEX(Transaksi!$F$1:$F$5015,ROUND(MOD(MOD(SMALL(Transaksi!$X$16:$X$5015,250),1),0.01)*10000000,0)),""))</f>
        <v/>
      </c>
      <c r="F259" s="139">
        <f>IF(250&gt;COUNT(Transaksi!$X$16:$X$5015),"",IF(IF(INDEX(Transaksi!$C$1:$C$5015,ROUND(MOD(MOD(SMALL(Transaksi!$X$16:$X$5015,250),1),0.01)*10000000,0))=$C$4,IF(INDEX(Transaksi!$D$1:$D$5015,ROUND(MOD(MOD(SMALL(Transaksi!$X$16:$X$5015,250),1),0.01)*10000000,0))="Masuk",1,-1),1)&lt;0,INDEX(Transaksi!$F$1:$F$5015,ROUND(MOD(MOD(SMALL(Transaksi!$X$16:$X$5015,250),1),0.01)*10000000,0)),""))</f>
        <v/>
      </c>
      <c r="G259" s="106">
        <f>IF(250&gt;COUNT(Transaksi!$X$16:$X$5015),"",N(G258)+N(E259)-N(F259))</f>
        <v/>
      </c>
      <c r="H259" s="137">
        <f>IF(250&gt;COUNT(Transaksi!$X$16:$X$5015),"",HYPERLINK("#Transaksi!B"&amp;A259,"Buka"))</f>
        <v/>
      </c>
    </row>
    <row r="260" ht="15" customHeight="1" s="94">
      <c r="A260" s="93">
        <f>IF(251&gt;COUNT(Transaksi!$X$16:$X$5015),"",ROUND(MOD(MOD(SMALL(Transaksi!$X$16:$X$5015,251),1),0.01)*10000000,0))</f>
        <v/>
      </c>
      <c r="B260" s="135">
        <f>IF(251&gt;COUNT(Transaksi!$X$16:$X$5015),"",IF(251=1,INDEX(Transaksi!$B$1:$B$5015,ROUND(MOD(MOD(SMALL(Transaksi!$X$16:$X$5015,251),1),0.01)*10000000,0)),IF(INDEX(Transaksi!$B$1:$B$5015,ROUND(MOD(MOD(SMALL(Transaksi!$X$16:$X$5015,251),1),0.01)*10000000,0))=INDEX(Transaksi!$B$1:$B$5015,A259),"",INDEX(Transaksi!$B$1:$B$5015,ROUND(MOD(MOD(SMALL(Transaksi!$X$16:$X$5015,251),1),0.01)*10000000,0)))))</f>
        <v/>
      </c>
      <c r="C260" s="136">
        <f>IF(251&gt;COUNT(Transaksi!$X$16:$X$5015),"",INDEX(Transaksi!$J$1:$J$5015,ROUND(MOD(MOD(SMALL(Transaksi!$X$16:$X$5015,251),1),0.01)*10000000,0))&amp;IF(INDEX(Transaksi!$D$1:$D$5015,ROUND(MOD(MOD(SMALL(Transaksi!$X$16:$X$5015,251),1),0.01)*10000000,0))="Pindah",IF(INDEX(Transaksi!$C$1:$C$5015,ROUND(MOD(MOD(SMALL(Transaksi!$X$16:$X$5015,251),1),0.01)*10000000,0))=$C$4," (ke "&amp;INDEX(Transaksi!$E$1:$E$5015,ROUND(MOD(MOD(SMALL(Transaksi!$X$16:$X$5015,251),1),0.01)*10000000,0))&amp;")"," (dari "&amp;INDEX(Transaksi!$C$1:$C$5015,ROUND(MOD(MOD(SMALL(Transaksi!$X$16:$X$5015,251),1),0.01)*10000000,0))&amp;")"),""))</f>
        <v/>
      </c>
      <c r="D260" s="137">
        <f>IF(251&gt;COUNT(Transaksi!$X$16:$X$5015),"",INDEX(Transaksi!$I$1:$I$5015,ROUND(MOD(MOD(SMALL(Transaksi!$X$16:$X$5015,251),1),0.01)*10000000,0)))</f>
        <v/>
      </c>
      <c r="E260" s="138">
        <f>IF(251&gt;COUNT(Transaksi!$X$16:$X$5015),"",IF(IF(INDEX(Transaksi!$C$1:$C$5015,ROUND(MOD(MOD(SMALL(Transaksi!$X$16:$X$5015,251),1),0.01)*10000000,0))=$C$4,IF(INDEX(Transaksi!$D$1:$D$5015,ROUND(MOD(MOD(SMALL(Transaksi!$X$16:$X$5015,251),1),0.01)*10000000,0))="Masuk",1,-1),1)&gt;0,INDEX(Transaksi!$F$1:$F$5015,ROUND(MOD(MOD(SMALL(Transaksi!$X$16:$X$5015,251),1),0.01)*10000000,0)),""))</f>
        <v/>
      </c>
      <c r="F260" s="139">
        <f>IF(251&gt;COUNT(Transaksi!$X$16:$X$5015),"",IF(IF(INDEX(Transaksi!$C$1:$C$5015,ROUND(MOD(MOD(SMALL(Transaksi!$X$16:$X$5015,251),1),0.01)*10000000,0))=$C$4,IF(INDEX(Transaksi!$D$1:$D$5015,ROUND(MOD(MOD(SMALL(Transaksi!$X$16:$X$5015,251),1),0.01)*10000000,0))="Masuk",1,-1),1)&lt;0,INDEX(Transaksi!$F$1:$F$5015,ROUND(MOD(MOD(SMALL(Transaksi!$X$16:$X$5015,251),1),0.01)*10000000,0)),""))</f>
        <v/>
      </c>
      <c r="G260" s="106">
        <f>IF(251&gt;COUNT(Transaksi!$X$16:$X$5015),"",N(G259)+N(E260)-N(F260))</f>
        <v/>
      </c>
      <c r="H260" s="137">
        <f>IF(251&gt;COUNT(Transaksi!$X$16:$X$5015),"",HYPERLINK("#Transaksi!B"&amp;A260,"Buka"))</f>
        <v/>
      </c>
    </row>
    <row r="261" ht="15" customHeight="1" s="94">
      <c r="A261" s="93">
        <f>IF(252&gt;COUNT(Transaksi!$X$16:$X$5015),"",ROUND(MOD(MOD(SMALL(Transaksi!$X$16:$X$5015,252),1),0.01)*10000000,0))</f>
        <v/>
      </c>
      <c r="B261" s="135">
        <f>IF(252&gt;COUNT(Transaksi!$X$16:$X$5015),"",IF(252=1,INDEX(Transaksi!$B$1:$B$5015,ROUND(MOD(MOD(SMALL(Transaksi!$X$16:$X$5015,252),1),0.01)*10000000,0)),IF(INDEX(Transaksi!$B$1:$B$5015,ROUND(MOD(MOD(SMALL(Transaksi!$X$16:$X$5015,252),1),0.01)*10000000,0))=INDEX(Transaksi!$B$1:$B$5015,A260),"",INDEX(Transaksi!$B$1:$B$5015,ROUND(MOD(MOD(SMALL(Transaksi!$X$16:$X$5015,252),1),0.01)*10000000,0)))))</f>
        <v/>
      </c>
      <c r="C261" s="136">
        <f>IF(252&gt;COUNT(Transaksi!$X$16:$X$5015),"",INDEX(Transaksi!$J$1:$J$5015,ROUND(MOD(MOD(SMALL(Transaksi!$X$16:$X$5015,252),1),0.01)*10000000,0))&amp;IF(INDEX(Transaksi!$D$1:$D$5015,ROUND(MOD(MOD(SMALL(Transaksi!$X$16:$X$5015,252),1),0.01)*10000000,0))="Pindah",IF(INDEX(Transaksi!$C$1:$C$5015,ROUND(MOD(MOD(SMALL(Transaksi!$X$16:$X$5015,252),1),0.01)*10000000,0))=$C$4," (ke "&amp;INDEX(Transaksi!$E$1:$E$5015,ROUND(MOD(MOD(SMALL(Transaksi!$X$16:$X$5015,252),1),0.01)*10000000,0))&amp;")"," (dari "&amp;INDEX(Transaksi!$C$1:$C$5015,ROUND(MOD(MOD(SMALL(Transaksi!$X$16:$X$5015,252),1),0.01)*10000000,0))&amp;")"),""))</f>
        <v/>
      </c>
      <c r="D261" s="137">
        <f>IF(252&gt;COUNT(Transaksi!$X$16:$X$5015),"",INDEX(Transaksi!$I$1:$I$5015,ROUND(MOD(MOD(SMALL(Transaksi!$X$16:$X$5015,252),1),0.01)*10000000,0)))</f>
        <v/>
      </c>
      <c r="E261" s="138">
        <f>IF(252&gt;COUNT(Transaksi!$X$16:$X$5015),"",IF(IF(INDEX(Transaksi!$C$1:$C$5015,ROUND(MOD(MOD(SMALL(Transaksi!$X$16:$X$5015,252),1),0.01)*10000000,0))=$C$4,IF(INDEX(Transaksi!$D$1:$D$5015,ROUND(MOD(MOD(SMALL(Transaksi!$X$16:$X$5015,252),1),0.01)*10000000,0))="Masuk",1,-1),1)&gt;0,INDEX(Transaksi!$F$1:$F$5015,ROUND(MOD(MOD(SMALL(Transaksi!$X$16:$X$5015,252),1),0.01)*10000000,0)),""))</f>
        <v/>
      </c>
      <c r="F261" s="139">
        <f>IF(252&gt;COUNT(Transaksi!$X$16:$X$5015),"",IF(IF(INDEX(Transaksi!$C$1:$C$5015,ROUND(MOD(MOD(SMALL(Transaksi!$X$16:$X$5015,252),1),0.01)*10000000,0))=$C$4,IF(INDEX(Transaksi!$D$1:$D$5015,ROUND(MOD(MOD(SMALL(Transaksi!$X$16:$X$5015,252),1),0.01)*10000000,0))="Masuk",1,-1),1)&lt;0,INDEX(Transaksi!$F$1:$F$5015,ROUND(MOD(MOD(SMALL(Transaksi!$X$16:$X$5015,252),1),0.01)*10000000,0)),""))</f>
        <v/>
      </c>
      <c r="G261" s="106">
        <f>IF(252&gt;COUNT(Transaksi!$X$16:$X$5015),"",N(G260)+N(E261)-N(F261))</f>
        <v/>
      </c>
      <c r="H261" s="137">
        <f>IF(252&gt;COUNT(Transaksi!$X$16:$X$5015),"",HYPERLINK("#Transaksi!B"&amp;A261,"Buka"))</f>
        <v/>
      </c>
    </row>
    <row r="262" ht="15" customHeight="1" s="94">
      <c r="A262" s="93">
        <f>IF(253&gt;COUNT(Transaksi!$X$16:$X$5015),"",ROUND(MOD(MOD(SMALL(Transaksi!$X$16:$X$5015,253),1),0.01)*10000000,0))</f>
        <v/>
      </c>
      <c r="B262" s="135">
        <f>IF(253&gt;COUNT(Transaksi!$X$16:$X$5015),"",IF(253=1,INDEX(Transaksi!$B$1:$B$5015,ROUND(MOD(MOD(SMALL(Transaksi!$X$16:$X$5015,253),1),0.01)*10000000,0)),IF(INDEX(Transaksi!$B$1:$B$5015,ROUND(MOD(MOD(SMALL(Transaksi!$X$16:$X$5015,253),1),0.01)*10000000,0))=INDEX(Transaksi!$B$1:$B$5015,A261),"",INDEX(Transaksi!$B$1:$B$5015,ROUND(MOD(MOD(SMALL(Transaksi!$X$16:$X$5015,253),1),0.01)*10000000,0)))))</f>
        <v/>
      </c>
      <c r="C262" s="136">
        <f>IF(253&gt;COUNT(Transaksi!$X$16:$X$5015),"",INDEX(Transaksi!$J$1:$J$5015,ROUND(MOD(MOD(SMALL(Transaksi!$X$16:$X$5015,253),1),0.01)*10000000,0))&amp;IF(INDEX(Transaksi!$D$1:$D$5015,ROUND(MOD(MOD(SMALL(Transaksi!$X$16:$X$5015,253),1),0.01)*10000000,0))="Pindah",IF(INDEX(Transaksi!$C$1:$C$5015,ROUND(MOD(MOD(SMALL(Transaksi!$X$16:$X$5015,253),1),0.01)*10000000,0))=$C$4," (ke "&amp;INDEX(Transaksi!$E$1:$E$5015,ROUND(MOD(MOD(SMALL(Transaksi!$X$16:$X$5015,253),1),0.01)*10000000,0))&amp;")"," (dari "&amp;INDEX(Transaksi!$C$1:$C$5015,ROUND(MOD(MOD(SMALL(Transaksi!$X$16:$X$5015,253),1),0.01)*10000000,0))&amp;")"),""))</f>
        <v/>
      </c>
      <c r="D262" s="137">
        <f>IF(253&gt;COUNT(Transaksi!$X$16:$X$5015),"",INDEX(Transaksi!$I$1:$I$5015,ROUND(MOD(MOD(SMALL(Transaksi!$X$16:$X$5015,253),1),0.01)*10000000,0)))</f>
        <v/>
      </c>
      <c r="E262" s="138">
        <f>IF(253&gt;COUNT(Transaksi!$X$16:$X$5015),"",IF(IF(INDEX(Transaksi!$C$1:$C$5015,ROUND(MOD(MOD(SMALL(Transaksi!$X$16:$X$5015,253),1),0.01)*10000000,0))=$C$4,IF(INDEX(Transaksi!$D$1:$D$5015,ROUND(MOD(MOD(SMALL(Transaksi!$X$16:$X$5015,253),1),0.01)*10000000,0))="Masuk",1,-1),1)&gt;0,INDEX(Transaksi!$F$1:$F$5015,ROUND(MOD(MOD(SMALL(Transaksi!$X$16:$X$5015,253),1),0.01)*10000000,0)),""))</f>
        <v/>
      </c>
      <c r="F262" s="139">
        <f>IF(253&gt;COUNT(Transaksi!$X$16:$X$5015),"",IF(IF(INDEX(Transaksi!$C$1:$C$5015,ROUND(MOD(MOD(SMALL(Transaksi!$X$16:$X$5015,253),1),0.01)*10000000,0))=$C$4,IF(INDEX(Transaksi!$D$1:$D$5015,ROUND(MOD(MOD(SMALL(Transaksi!$X$16:$X$5015,253),1),0.01)*10000000,0))="Masuk",1,-1),1)&lt;0,INDEX(Transaksi!$F$1:$F$5015,ROUND(MOD(MOD(SMALL(Transaksi!$X$16:$X$5015,253),1),0.01)*10000000,0)),""))</f>
        <v/>
      </c>
      <c r="G262" s="106">
        <f>IF(253&gt;COUNT(Transaksi!$X$16:$X$5015),"",N(G261)+N(E262)-N(F262))</f>
        <v/>
      </c>
      <c r="H262" s="137">
        <f>IF(253&gt;COUNT(Transaksi!$X$16:$X$5015),"",HYPERLINK("#Transaksi!B"&amp;A262,"Buka"))</f>
        <v/>
      </c>
    </row>
    <row r="263" ht="15" customHeight="1" s="94">
      <c r="A263" s="93">
        <f>IF(254&gt;COUNT(Transaksi!$X$16:$X$5015),"",ROUND(MOD(MOD(SMALL(Transaksi!$X$16:$X$5015,254),1),0.01)*10000000,0))</f>
        <v/>
      </c>
      <c r="B263" s="135">
        <f>IF(254&gt;COUNT(Transaksi!$X$16:$X$5015),"",IF(254=1,INDEX(Transaksi!$B$1:$B$5015,ROUND(MOD(MOD(SMALL(Transaksi!$X$16:$X$5015,254),1),0.01)*10000000,0)),IF(INDEX(Transaksi!$B$1:$B$5015,ROUND(MOD(MOD(SMALL(Transaksi!$X$16:$X$5015,254),1),0.01)*10000000,0))=INDEX(Transaksi!$B$1:$B$5015,A262),"",INDEX(Transaksi!$B$1:$B$5015,ROUND(MOD(MOD(SMALL(Transaksi!$X$16:$X$5015,254),1),0.01)*10000000,0)))))</f>
        <v/>
      </c>
      <c r="C263" s="136">
        <f>IF(254&gt;COUNT(Transaksi!$X$16:$X$5015),"",INDEX(Transaksi!$J$1:$J$5015,ROUND(MOD(MOD(SMALL(Transaksi!$X$16:$X$5015,254),1),0.01)*10000000,0))&amp;IF(INDEX(Transaksi!$D$1:$D$5015,ROUND(MOD(MOD(SMALL(Transaksi!$X$16:$X$5015,254),1),0.01)*10000000,0))="Pindah",IF(INDEX(Transaksi!$C$1:$C$5015,ROUND(MOD(MOD(SMALL(Transaksi!$X$16:$X$5015,254),1),0.01)*10000000,0))=$C$4," (ke "&amp;INDEX(Transaksi!$E$1:$E$5015,ROUND(MOD(MOD(SMALL(Transaksi!$X$16:$X$5015,254),1),0.01)*10000000,0))&amp;")"," (dari "&amp;INDEX(Transaksi!$C$1:$C$5015,ROUND(MOD(MOD(SMALL(Transaksi!$X$16:$X$5015,254),1),0.01)*10000000,0))&amp;")"),""))</f>
        <v/>
      </c>
      <c r="D263" s="137">
        <f>IF(254&gt;COUNT(Transaksi!$X$16:$X$5015),"",INDEX(Transaksi!$I$1:$I$5015,ROUND(MOD(MOD(SMALL(Transaksi!$X$16:$X$5015,254),1),0.01)*10000000,0)))</f>
        <v/>
      </c>
      <c r="E263" s="138">
        <f>IF(254&gt;COUNT(Transaksi!$X$16:$X$5015),"",IF(IF(INDEX(Transaksi!$C$1:$C$5015,ROUND(MOD(MOD(SMALL(Transaksi!$X$16:$X$5015,254),1),0.01)*10000000,0))=$C$4,IF(INDEX(Transaksi!$D$1:$D$5015,ROUND(MOD(MOD(SMALL(Transaksi!$X$16:$X$5015,254),1),0.01)*10000000,0))="Masuk",1,-1),1)&gt;0,INDEX(Transaksi!$F$1:$F$5015,ROUND(MOD(MOD(SMALL(Transaksi!$X$16:$X$5015,254),1),0.01)*10000000,0)),""))</f>
        <v/>
      </c>
      <c r="F263" s="139">
        <f>IF(254&gt;COUNT(Transaksi!$X$16:$X$5015),"",IF(IF(INDEX(Transaksi!$C$1:$C$5015,ROUND(MOD(MOD(SMALL(Transaksi!$X$16:$X$5015,254),1),0.01)*10000000,0))=$C$4,IF(INDEX(Transaksi!$D$1:$D$5015,ROUND(MOD(MOD(SMALL(Transaksi!$X$16:$X$5015,254),1),0.01)*10000000,0))="Masuk",1,-1),1)&lt;0,INDEX(Transaksi!$F$1:$F$5015,ROUND(MOD(MOD(SMALL(Transaksi!$X$16:$X$5015,254),1),0.01)*10000000,0)),""))</f>
        <v/>
      </c>
      <c r="G263" s="106">
        <f>IF(254&gt;COUNT(Transaksi!$X$16:$X$5015),"",N(G262)+N(E263)-N(F263))</f>
        <v/>
      </c>
      <c r="H263" s="137">
        <f>IF(254&gt;COUNT(Transaksi!$X$16:$X$5015),"",HYPERLINK("#Transaksi!B"&amp;A263,"Buka"))</f>
        <v/>
      </c>
    </row>
    <row r="264" ht="15" customHeight="1" s="94">
      <c r="A264" s="93">
        <f>IF(255&gt;COUNT(Transaksi!$X$16:$X$5015),"",ROUND(MOD(MOD(SMALL(Transaksi!$X$16:$X$5015,255),1),0.01)*10000000,0))</f>
        <v/>
      </c>
      <c r="B264" s="135">
        <f>IF(255&gt;COUNT(Transaksi!$X$16:$X$5015),"",IF(255=1,INDEX(Transaksi!$B$1:$B$5015,ROUND(MOD(MOD(SMALL(Transaksi!$X$16:$X$5015,255),1),0.01)*10000000,0)),IF(INDEX(Transaksi!$B$1:$B$5015,ROUND(MOD(MOD(SMALL(Transaksi!$X$16:$X$5015,255),1),0.01)*10000000,0))=INDEX(Transaksi!$B$1:$B$5015,A263),"",INDEX(Transaksi!$B$1:$B$5015,ROUND(MOD(MOD(SMALL(Transaksi!$X$16:$X$5015,255),1),0.01)*10000000,0)))))</f>
        <v/>
      </c>
      <c r="C264" s="136">
        <f>IF(255&gt;COUNT(Transaksi!$X$16:$X$5015),"",INDEX(Transaksi!$J$1:$J$5015,ROUND(MOD(MOD(SMALL(Transaksi!$X$16:$X$5015,255),1),0.01)*10000000,0))&amp;IF(INDEX(Transaksi!$D$1:$D$5015,ROUND(MOD(MOD(SMALL(Transaksi!$X$16:$X$5015,255),1),0.01)*10000000,0))="Pindah",IF(INDEX(Transaksi!$C$1:$C$5015,ROUND(MOD(MOD(SMALL(Transaksi!$X$16:$X$5015,255),1),0.01)*10000000,0))=$C$4," (ke "&amp;INDEX(Transaksi!$E$1:$E$5015,ROUND(MOD(MOD(SMALL(Transaksi!$X$16:$X$5015,255),1),0.01)*10000000,0))&amp;")"," (dari "&amp;INDEX(Transaksi!$C$1:$C$5015,ROUND(MOD(MOD(SMALL(Transaksi!$X$16:$X$5015,255),1),0.01)*10000000,0))&amp;")"),""))</f>
        <v/>
      </c>
      <c r="D264" s="137">
        <f>IF(255&gt;COUNT(Transaksi!$X$16:$X$5015),"",INDEX(Transaksi!$I$1:$I$5015,ROUND(MOD(MOD(SMALL(Transaksi!$X$16:$X$5015,255),1),0.01)*10000000,0)))</f>
        <v/>
      </c>
      <c r="E264" s="138">
        <f>IF(255&gt;COUNT(Transaksi!$X$16:$X$5015),"",IF(IF(INDEX(Transaksi!$C$1:$C$5015,ROUND(MOD(MOD(SMALL(Transaksi!$X$16:$X$5015,255),1),0.01)*10000000,0))=$C$4,IF(INDEX(Transaksi!$D$1:$D$5015,ROUND(MOD(MOD(SMALL(Transaksi!$X$16:$X$5015,255),1),0.01)*10000000,0))="Masuk",1,-1),1)&gt;0,INDEX(Transaksi!$F$1:$F$5015,ROUND(MOD(MOD(SMALL(Transaksi!$X$16:$X$5015,255),1),0.01)*10000000,0)),""))</f>
        <v/>
      </c>
      <c r="F264" s="139">
        <f>IF(255&gt;COUNT(Transaksi!$X$16:$X$5015),"",IF(IF(INDEX(Transaksi!$C$1:$C$5015,ROUND(MOD(MOD(SMALL(Transaksi!$X$16:$X$5015,255),1),0.01)*10000000,0))=$C$4,IF(INDEX(Transaksi!$D$1:$D$5015,ROUND(MOD(MOD(SMALL(Transaksi!$X$16:$X$5015,255),1),0.01)*10000000,0))="Masuk",1,-1),1)&lt;0,INDEX(Transaksi!$F$1:$F$5015,ROUND(MOD(MOD(SMALL(Transaksi!$X$16:$X$5015,255),1),0.01)*10000000,0)),""))</f>
        <v/>
      </c>
      <c r="G264" s="106">
        <f>IF(255&gt;COUNT(Transaksi!$X$16:$X$5015),"",N(G263)+N(E264)-N(F264))</f>
        <v/>
      </c>
      <c r="H264" s="137">
        <f>IF(255&gt;COUNT(Transaksi!$X$16:$X$5015),"",HYPERLINK("#Transaksi!B"&amp;A264,"Buka"))</f>
        <v/>
      </c>
    </row>
    <row r="265" ht="15" customHeight="1" s="94">
      <c r="A265" s="93">
        <f>IF(256&gt;COUNT(Transaksi!$X$16:$X$5015),"",ROUND(MOD(MOD(SMALL(Transaksi!$X$16:$X$5015,256),1),0.01)*10000000,0))</f>
        <v/>
      </c>
      <c r="B265" s="135">
        <f>IF(256&gt;COUNT(Transaksi!$X$16:$X$5015),"",IF(256=1,INDEX(Transaksi!$B$1:$B$5015,ROUND(MOD(MOD(SMALL(Transaksi!$X$16:$X$5015,256),1),0.01)*10000000,0)),IF(INDEX(Transaksi!$B$1:$B$5015,ROUND(MOD(MOD(SMALL(Transaksi!$X$16:$X$5015,256),1),0.01)*10000000,0))=INDEX(Transaksi!$B$1:$B$5015,A264),"",INDEX(Transaksi!$B$1:$B$5015,ROUND(MOD(MOD(SMALL(Transaksi!$X$16:$X$5015,256),1),0.01)*10000000,0)))))</f>
        <v/>
      </c>
      <c r="C265" s="136">
        <f>IF(256&gt;COUNT(Transaksi!$X$16:$X$5015),"",INDEX(Transaksi!$J$1:$J$5015,ROUND(MOD(MOD(SMALL(Transaksi!$X$16:$X$5015,256),1),0.01)*10000000,0))&amp;IF(INDEX(Transaksi!$D$1:$D$5015,ROUND(MOD(MOD(SMALL(Transaksi!$X$16:$X$5015,256),1),0.01)*10000000,0))="Pindah",IF(INDEX(Transaksi!$C$1:$C$5015,ROUND(MOD(MOD(SMALL(Transaksi!$X$16:$X$5015,256),1),0.01)*10000000,0))=$C$4," (ke "&amp;INDEX(Transaksi!$E$1:$E$5015,ROUND(MOD(MOD(SMALL(Transaksi!$X$16:$X$5015,256),1),0.01)*10000000,0))&amp;")"," (dari "&amp;INDEX(Transaksi!$C$1:$C$5015,ROUND(MOD(MOD(SMALL(Transaksi!$X$16:$X$5015,256),1),0.01)*10000000,0))&amp;")"),""))</f>
        <v/>
      </c>
      <c r="D265" s="137">
        <f>IF(256&gt;COUNT(Transaksi!$X$16:$X$5015),"",INDEX(Transaksi!$I$1:$I$5015,ROUND(MOD(MOD(SMALL(Transaksi!$X$16:$X$5015,256),1),0.01)*10000000,0)))</f>
        <v/>
      </c>
      <c r="E265" s="138">
        <f>IF(256&gt;COUNT(Transaksi!$X$16:$X$5015),"",IF(IF(INDEX(Transaksi!$C$1:$C$5015,ROUND(MOD(MOD(SMALL(Transaksi!$X$16:$X$5015,256),1),0.01)*10000000,0))=$C$4,IF(INDEX(Transaksi!$D$1:$D$5015,ROUND(MOD(MOD(SMALL(Transaksi!$X$16:$X$5015,256),1),0.01)*10000000,0))="Masuk",1,-1),1)&gt;0,INDEX(Transaksi!$F$1:$F$5015,ROUND(MOD(MOD(SMALL(Transaksi!$X$16:$X$5015,256),1),0.01)*10000000,0)),""))</f>
        <v/>
      </c>
      <c r="F265" s="139">
        <f>IF(256&gt;COUNT(Transaksi!$X$16:$X$5015),"",IF(IF(INDEX(Transaksi!$C$1:$C$5015,ROUND(MOD(MOD(SMALL(Transaksi!$X$16:$X$5015,256),1),0.01)*10000000,0))=$C$4,IF(INDEX(Transaksi!$D$1:$D$5015,ROUND(MOD(MOD(SMALL(Transaksi!$X$16:$X$5015,256),1),0.01)*10000000,0))="Masuk",1,-1),1)&lt;0,INDEX(Transaksi!$F$1:$F$5015,ROUND(MOD(MOD(SMALL(Transaksi!$X$16:$X$5015,256),1),0.01)*10000000,0)),""))</f>
        <v/>
      </c>
      <c r="G265" s="106">
        <f>IF(256&gt;COUNT(Transaksi!$X$16:$X$5015),"",N(G264)+N(E265)-N(F265))</f>
        <v/>
      </c>
      <c r="H265" s="137">
        <f>IF(256&gt;COUNT(Transaksi!$X$16:$X$5015),"",HYPERLINK("#Transaksi!B"&amp;A265,"Buka"))</f>
        <v/>
      </c>
    </row>
    <row r="266" ht="15" customHeight="1" s="94">
      <c r="A266" s="93">
        <f>IF(257&gt;COUNT(Transaksi!$X$16:$X$5015),"",ROUND(MOD(MOD(SMALL(Transaksi!$X$16:$X$5015,257),1),0.01)*10000000,0))</f>
        <v/>
      </c>
      <c r="B266" s="135">
        <f>IF(257&gt;COUNT(Transaksi!$X$16:$X$5015),"",IF(257=1,INDEX(Transaksi!$B$1:$B$5015,ROUND(MOD(MOD(SMALL(Transaksi!$X$16:$X$5015,257),1),0.01)*10000000,0)),IF(INDEX(Transaksi!$B$1:$B$5015,ROUND(MOD(MOD(SMALL(Transaksi!$X$16:$X$5015,257),1),0.01)*10000000,0))=INDEX(Transaksi!$B$1:$B$5015,A265),"",INDEX(Transaksi!$B$1:$B$5015,ROUND(MOD(MOD(SMALL(Transaksi!$X$16:$X$5015,257),1),0.01)*10000000,0)))))</f>
        <v/>
      </c>
      <c r="C266" s="136">
        <f>IF(257&gt;COUNT(Transaksi!$X$16:$X$5015),"",INDEX(Transaksi!$J$1:$J$5015,ROUND(MOD(MOD(SMALL(Transaksi!$X$16:$X$5015,257),1),0.01)*10000000,0))&amp;IF(INDEX(Transaksi!$D$1:$D$5015,ROUND(MOD(MOD(SMALL(Transaksi!$X$16:$X$5015,257),1),0.01)*10000000,0))="Pindah",IF(INDEX(Transaksi!$C$1:$C$5015,ROUND(MOD(MOD(SMALL(Transaksi!$X$16:$X$5015,257),1),0.01)*10000000,0))=$C$4," (ke "&amp;INDEX(Transaksi!$E$1:$E$5015,ROUND(MOD(MOD(SMALL(Transaksi!$X$16:$X$5015,257),1),0.01)*10000000,0))&amp;")"," (dari "&amp;INDEX(Transaksi!$C$1:$C$5015,ROUND(MOD(MOD(SMALL(Transaksi!$X$16:$X$5015,257),1),0.01)*10000000,0))&amp;")"),""))</f>
        <v/>
      </c>
      <c r="D266" s="137">
        <f>IF(257&gt;COUNT(Transaksi!$X$16:$X$5015),"",INDEX(Transaksi!$I$1:$I$5015,ROUND(MOD(MOD(SMALL(Transaksi!$X$16:$X$5015,257),1),0.01)*10000000,0)))</f>
        <v/>
      </c>
      <c r="E266" s="138">
        <f>IF(257&gt;COUNT(Transaksi!$X$16:$X$5015),"",IF(IF(INDEX(Transaksi!$C$1:$C$5015,ROUND(MOD(MOD(SMALL(Transaksi!$X$16:$X$5015,257),1),0.01)*10000000,0))=$C$4,IF(INDEX(Transaksi!$D$1:$D$5015,ROUND(MOD(MOD(SMALL(Transaksi!$X$16:$X$5015,257),1),0.01)*10000000,0))="Masuk",1,-1),1)&gt;0,INDEX(Transaksi!$F$1:$F$5015,ROUND(MOD(MOD(SMALL(Transaksi!$X$16:$X$5015,257),1),0.01)*10000000,0)),""))</f>
        <v/>
      </c>
      <c r="F266" s="139">
        <f>IF(257&gt;COUNT(Transaksi!$X$16:$X$5015),"",IF(IF(INDEX(Transaksi!$C$1:$C$5015,ROUND(MOD(MOD(SMALL(Transaksi!$X$16:$X$5015,257),1),0.01)*10000000,0))=$C$4,IF(INDEX(Transaksi!$D$1:$D$5015,ROUND(MOD(MOD(SMALL(Transaksi!$X$16:$X$5015,257),1),0.01)*10000000,0))="Masuk",1,-1),1)&lt;0,INDEX(Transaksi!$F$1:$F$5015,ROUND(MOD(MOD(SMALL(Transaksi!$X$16:$X$5015,257),1),0.01)*10000000,0)),""))</f>
        <v/>
      </c>
      <c r="G266" s="106">
        <f>IF(257&gt;COUNT(Transaksi!$X$16:$X$5015),"",N(G265)+N(E266)-N(F266))</f>
        <v/>
      </c>
      <c r="H266" s="137">
        <f>IF(257&gt;COUNT(Transaksi!$X$16:$X$5015),"",HYPERLINK("#Transaksi!B"&amp;A266,"Buka"))</f>
        <v/>
      </c>
    </row>
    <row r="267" ht="15" customHeight="1" s="94">
      <c r="A267" s="93">
        <f>IF(258&gt;COUNT(Transaksi!$X$16:$X$5015),"",ROUND(MOD(MOD(SMALL(Transaksi!$X$16:$X$5015,258),1),0.01)*10000000,0))</f>
        <v/>
      </c>
      <c r="B267" s="135">
        <f>IF(258&gt;COUNT(Transaksi!$X$16:$X$5015),"",IF(258=1,INDEX(Transaksi!$B$1:$B$5015,ROUND(MOD(MOD(SMALL(Transaksi!$X$16:$X$5015,258),1),0.01)*10000000,0)),IF(INDEX(Transaksi!$B$1:$B$5015,ROUND(MOD(MOD(SMALL(Transaksi!$X$16:$X$5015,258),1),0.01)*10000000,0))=INDEX(Transaksi!$B$1:$B$5015,A266),"",INDEX(Transaksi!$B$1:$B$5015,ROUND(MOD(MOD(SMALL(Transaksi!$X$16:$X$5015,258),1),0.01)*10000000,0)))))</f>
        <v/>
      </c>
      <c r="C267" s="136">
        <f>IF(258&gt;COUNT(Transaksi!$X$16:$X$5015),"",INDEX(Transaksi!$J$1:$J$5015,ROUND(MOD(MOD(SMALL(Transaksi!$X$16:$X$5015,258),1),0.01)*10000000,0))&amp;IF(INDEX(Transaksi!$D$1:$D$5015,ROUND(MOD(MOD(SMALL(Transaksi!$X$16:$X$5015,258),1),0.01)*10000000,0))="Pindah",IF(INDEX(Transaksi!$C$1:$C$5015,ROUND(MOD(MOD(SMALL(Transaksi!$X$16:$X$5015,258),1),0.01)*10000000,0))=$C$4," (ke "&amp;INDEX(Transaksi!$E$1:$E$5015,ROUND(MOD(MOD(SMALL(Transaksi!$X$16:$X$5015,258),1),0.01)*10000000,0))&amp;")"," (dari "&amp;INDEX(Transaksi!$C$1:$C$5015,ROUND(MOD(MOD(SMALL(Transaksi!$X$16:$X$5015,258),1),0.01)*10000000,0))&amp;")"),""))</f>
        <v/>
      </c>
      <c r="D267" s="137">
        <f>IF(258&gt;COUNT(Transaksi!$X$16:$X$5015),"",INDEX(Transaksi!$I$1:$I$5015,ROUND(MOD(MOD(SMALL(Transaksi!$X$16:$X$5015,258),1),0.01)*10000000,0)))</f>
        <v/>
      </c>
      <c r="E267" s="138">
        <f>IF(258&gt;COUNT(Transaksi!$X$16:$X$5015),"",IF(IF(INDEX(Transaksi!$C$1:$C$5015,ROUND(MOD(MOD(SMALL(Transaksi!$X$16:$X$5015,258),1),0.01)*10000000,0))=$C$4,IF(INDEX(Transaksi!$D$1:$D$5015,ROUND(MOD(MOD(SMALL(Transaksi!$X$16:$X$5015,258),1),0.01)*10000000,0))="Masuk",1,-1),1)&gt;0,INDEX(Transaksi!$F$1:$F$5015,ROUND(MOD(MOD(SMALL(Transaksi!$X$16:$X$5015,258),1),0.01)*10000000,0)),""))</f>
        <v/>
      </c>
      <c r="F267" s="139">
        <f>IF(258&gt;COUNT(Transaksi!$X$16:$X$5015),"",IF(IF(INDEX(Transaksi!$C$1:$C$5015,ROUND(MOD(MOD(SMALL(Transaksi!$X$16:$X$5015,258),1),0.01)*10000000,0))=$C$4,IF(INDEX(Transaksi!$D$1:$D$5015,ROUND(MOD(MOD(SMALL(Transaksi!$X$16:$X$5015,258),1),0.01)*10000000,0))="Masuk",1,-1),1)&lt;0,INDEX(Transaksi!$F$1:$F$5015,ROUND(MOD(MOD(SMALL(Transaksi!$X$16:$X$5015,258),1),0.01)*10000000,0)),""))</f>
        <v/>
      </c>
      <c r="G267" s="106">
        <f>IF(258&gt;COUNT(Transaksi!$X$16:$X$5015),"",N(G266)+N(E267)-N(F267))</f>
        <v/>
      </c>
      <c r="H267" s="137">
        <f>IF(258&gt;COUNT(Transaksi!$X$16:$X$5015),"",HYPERLINK("#Transaksi!B"&amp;A267,"Buka"))</f>
        <v/>
      </c>
    </row>
    <row r="268" ht="15" customHeight="1" s="94">
      <c r="A268" s="93">
        <f>IF(259&gt;COUNT(Transaksi!$X$16:$X$5015),"",ROUND(MOD(MOD(SMALL(Transaksi!$X$16:$X$5015,259),1),0.01)*10000000,0))</f>
        <v/>
      </c>
      <c r="B268" s="135">
        <f>IF(259&gt;COUNT(Transaksi!$X$16:$X$5015),"",IF(259=1,INDEX(Transaksi!$B$1:$B$5015,ROUND(MOD(MOD(SMALL(Transaksi!$X$16:$X$5015,259),1),0.01)*10000000,0)),IF(INDEX(Transaksi!$B$1:$B$5015,ROUND(MOD(MOD(SMALL(Transaksi!$X$16:$X$5015,259),1),0.01)*10000000,0))=INDEX(Transaksi!$B$1:$B$5015,A267),"",INDEX(Transaksi!$B$1:$B$5015,ROUND(MOD(MOD(SMALL(Transaksi!$X$16:$X$5015,259),1),0.01)*10000000,0)))))</f>
        <v/>
      </c>
      <c r="C268" s="136">
        <f>IF(259&gt;COUNT(Transaksi!$X$16:$X$5015),"",INDEX(Transaksi!$J$1:$J$5015,ROUND(MOD(MOD(SMALL(Transaksi!$X$16:$X$5015,259),1),0.01)*10000000,0))&amp;IF(INDEX(Transaksi!$D$1:$D$5015,ROUND(MOD(MOD(SMALL(Transaksi!$X$16:$X$5015,259),1),0.01)*10000000,0))="Pindah",IF(INDEX(Transaksi!$C$1:$C$5015,ROUND(MOD(MOD(SMALL(Transaksi!$X$16:$X$5015,259),1),0.01)*10000000,0))=$C$4," (ke "&amp;INDEX(Transaksi!$E$1:$E$5015,ROUND(MOD(MOD(SMALL(Transaksi!$X$16:$X$5015,259),1),0.01)*10000000,0))&amp;")"," (dari "&amp;INDEX(Transaksi!$C$1:$C$5015,ROUND(MOD(MOD(SMALL(Transaksi!$X$16:$X$5015,259),1),0.01)*10000000,0))&amp;")"),""))</f>
        <v/>
      </c>
      <c r="D268" s="137">
        <f>IF(259&gt;COUNT(Transaksi!$X$16:$X$5015),"",INDEX(Transaksi!$I$1:$I$5015,ROUND(MOD(MOD(SMALL(Transaksi!$X$16:$X$5015,259),1),0.01)*10000000,0)))</f>
        <v/>
      </c>
      <c r="E268" s="138">
        <f>IF(259&gt;COUNT(Transaksi!$X$16:$X$5015),"",IF(IF(INDEX(Transaksi!$C$1:$C$5015,ROUND(MOD(MOD(SMALL(Transaksi!$X$16:$X$5015,259),1),0.01)*10000000,0))=$C$4,IF(INDEX(Transaksi!$D$1:$D$5015,ROUND(MOD(MOD(SMALL(Transaksi!$X$16:$X$5015,259),1),0.01)*10000000,0))="Masuk",1,-1),1)&gt;0,INDEX(Transaksi!$F$1:$F$5015,ROUND(MOD(MOD(SMALL(Transaksi!$X$16:$X$5015,259),1),0.01)*10000000,0)),""))</f>
        <v/>
      </c>
      <c r="F268" s="139">
        <f>IF(259&gt;COUNT(Transaksi!$X$16:$X$5015),"",IF(IF(INDEX(Transaksi!$C$1:$C$5015,ROUND(MOD(MOD(SMALL(Transaksi!$X$16:$X$5015,259),1),0.01)*10000000,0))=$C$4,IF(INDEX(Transaksi!$D$1:$D$5015,ROUND(MOD(MOD(SMALL(Transaksi!$X$16:$X$5015,259),1),0.01)*10000000,0))="Masuk",1,-1),1)&lt;0,INDEX(Transaksi!$F$1:$F$5015,ROUND(MOD(MOD(SMALL(Transaksi!$X$16:$X$5015,259),1),0.01)*10000000,0)),""))</f>
        <v/>
      </c>
      <c r="G268" s="106">
        <f>IF(259&gt;COUNT(Transaksi!$X$16:$X$5015),"",N(G267)+N(E268)-N(F268))</f>
        <v/>
      </c>
      <c r="H268" s="137">
        <f>IF(259&gt;COUNT(Transaksi!$X$16:$X$5015),"",HYPERLINK("#Transaksi!B"&amp;A268,"Buka"))</f>
        <v/>
      </c>
    </row>
    <row r="269" ht="15" customHeight="1" s="94">
      <c r="A269" s="93">
        <f>IF(260&gt;COUNT(Transaksi!$X$16:$X$5015),"",ROUND(MOD(MOD(SMALL(Transaksi!$X$16:$X$5015,260),1),0.01)*10000000,0))</f>
        <v/>
      </c>
      <c r="B269" s="135">
        <f>IF(260&gt;COUNT(Transaksi!$X$16:$X$5015),"",IF(260=1,INDEX(Transaksi!$B$1:$B$5015,ROUND(MOD(MOD(SMALL(Transaksi!$X$16:$X$5015,260),1),0.01)*10000000,0)),IF(INDEX(Transaksi!$B$1:$B$5015,ROUND(MOD(MOD(SMALL(Transaksi!$X$16:$X$5015,260),1),0.01)*10000000,0))=INDEX(Transaksi!$B$1:$B$5015,A268),"",INDEX(Transaksi!$B$1:$B$5015,ROUND(MOD(MOD(SMALL(Transaksi!$X$16:$X$5015,260),1),0.01)*10000000,0)))))</f>
        <v/>
      </c>
      <c r="C269" s="136">
        <f>IF(260&gt;COUNT(Transaksi!$X$16:$X$5015),"",INDEX(Transaksi!$J$1:$J$5015,ROUND(MOD(MOD(SMALL(Transaksi!$X$16:$X$5015,260),1),0.01)*10000000,0))&amp;IF(INDEX(Transaksi!$D$1:$D$5015,ROUND(MOD(MOD(SMALL(Transaksi!$X$16:$X$5015,260),1),0.01)*10000000,0))="Pindah",IF(INDEX(Transaksi!$C$1:$C$5015,ROUND(MOD(MOD(SMALL(Transaksi!$X$16:$X$5015,260),1),0.01)*10000000,0))=$C$4," (ke "&amp;INDEX(Transaksi!$E$1:$E$5015,ROUND(MOD(MOD(SMALL(Transaksi!$X$16:$X$5015,260),1),0.01)*10000000,0))&amp;")"," (dari "&amp;INDEX(Transaksi!$C$1:$C$5015,ROUND(MOD(MOD(SMALL(Transaksi!$X$16:$X$5015,260),1),0.01)*10000000,0))&amp;")"),""))</f>
        <v/>
      </c>
      <c r="D269" s="137">
        <f>IF(260&gt;COUNT(Transaksi!$X$16:$X$5015),"",INDEX(Transaksi!$I$1:$I$5015,ROUND(MOD(MOD(SMALL(Transaksi!$X$16:$X$5015,260),1),0.01)*10000000,0)))</f>
        <v/>
      </c>
      <c r="E269" s="138">
        <f>IF(260&gt;COUNT(Transaksi!$X$16:$X$5015),"",IF(IF(INDEX(Transaksi!$C$1:$C$5015,ROUND(MOD(MOD(SMALL(Transaksi!$X$16:$X$5015,260),1),0.01)*10000000,0))=$C$4,IF(INDEX(Transaksi!$D$1:$D$5015,ROUND(MOD(MOD(SMALL(Transaksi!$X$16:$X$5015,260),1),0.01)*10000000,0))="Masuk",1,-1),1)&gt;0,INDEX(Transaksi!$F$1:$F$5015,ROUND(MOD(MOD(SMALL(Transaksi!$X$16:$X$5015,260),1),0.01)*10000000,0)),""))</f>
        <v/>
      </c>
      <c r="F269" s="139">
        <f>IF(260&gt;COUNT(Transaksi!$X$16:$X$5015),"",IF(IF(INDEX(Transaksi!$C$1:$C$5015,ROUND(MOD(MOD(SMALL(Transaksi!$X$16:$X$5015,260),1),0.01)*10000000,0))=$C$4,IF(INDEX(Transaksi!$D$1:$D$5015,ROUND(MOD(MOD(SMALL(Transaksi!$X$16:$X$5015,260),1),0.01)*10000000,0))="Masuk",1,-1),1)&lt;0,INDEX(Transaksi!$F$1:$F$5015,ROUND(MOD(MOD(SMALL(Transaksi!$X$16:$X$5015,260),1),0.01)*10000000,0)),""))</f>
        <v/>
      </c>
      <c r="G269" s="106">
        <f>IF(260&gt;COUNT(Transaksi!$X$16:$X$5015),"",N(G268)+N(E269)-N(F269))</f>
        <v/>
      </c>
      <c r="H269" s="137">
        <f>IF(260&gt;COUNT(Transaksi!$X$16:$X$5015),"",HYPERLINK("#Transaksi!B"&amp;A269,"Buka"))</f>
        <v/>
      </c>
    </row>
    <row r="270" ht="15" customHeight="1" s="94">
      <c r="A270" s="93">
        <f>IF(261&gt;COUNT(Transaksi!$X$16:$X$5015),"",ROUND(MOD(MOD(SMALL(Transaksi!$X$16:$X$5015,261),1),0.01)*10000000,0))</f>
        <v/>
      </c>
      <c r="B270" s="135">
        <f>IF(261&gt;COUNT(Transaksi!$X$16:$X$5015),"",IF(261=1,INDEX(Transaksi!$B$1:$B$5015,ROUND(MOD(MOD(SMALL(Transaksi!$X$16:$X$5015,261),1),0.01)*10000000,0)),IF(INDEX(Transaksi!$B$1:$B$5015,ROUND(MOD(MOD(SMALL(Transaksi!$X$16:$X$5015,261),1),0.01)*10000000,0))=INDEX(Transaksi!$B$1:$B$5015,A269),"",INDEX(Transaksi!$B$1:$B$5015,ROUND(MOD(MOD(SMALL(Transaksi!$X$16:$X$5015,261),1),0.01)*10000000,0)))))</f>
        <v/>
      </c>
      <c r="C270" s="136">
        <f>IF(261&gt;COUNT(Transaksi!$X$16:$X$5015),"",INDEX(Transaksi!$J$1:$J$5015,ROUND(MOD(MOD(SMALL(Transaksi!$X$16:$X$5015,261),1),0.01)*10000000,0))&amp;IF(INDEX(Transaksi!$D$1:$D$5015,ROUND(MOD(MOD(SMALL(Transaksi!$X$16:$X$5015,261),1),0.01)*10000000,0))="Pindah",IF(INDEX(Transaksi!$C$1:$C$5015,ROUND(MOD(MOD(SMALL(Transaksi!$X$16:$X$5015,261),1),0.01)*10000000,0))=$C$4," (ke "&amp;INDEX(Transaksi!$E$1:$E$5015,ROUND(MOD(MOD(SMALL(Transaksi!$X$16:$X$5015,261),1),0.01)*10000000,0))&amp;")"," (dari "&amp;INDEX(Transaksi!$C$1:$C$5015,ROUND(MOD(MOD(SMALL(Transaksi!$X$16:$X$5015,261),1),0.01)*10000000,0))&amp;")"),""))</f>
        <v/>
      </c>
      <c r="D270" s="137">
        <f>IF(261&gt;COUNT(Transaksi!$X$16:$X$5015),"",INDEX(Transaksi!$I$1:$I$5015,ROUND(MOD(MOD(SMALL(Transaksi!$X$16:$X$5015,261),1),0.01)*10000000,0)))</f>
        <v/>
      </c>
      <c r="E270" s="138">
        <f>IF(261&gt;COUNT(Transaksi!$X$16:$X$5015),"",IF(IF(INDEX(Transaksi!$C$1:$C$5015,ROUND(MOD(MOD(SMALL(Transaksi!$X$16:$X$5015,261),1),0.01)*10000000,0))=$C$4,IF(INDEX(Transaksi!$D$1:$D$5015,ROUND(MOD(MOD(SMALL(Transaksi!$X$16:$X$5015,261),1),0.01)*10000000,0))="Masuk",1,-1),1)&gt;0,INDEX(Transaksi!$F$1:$F$5015,ROUND(MOD(MOD(SMALL(Transaksi!$X$16:$X$5015,261),1),0.01)*10000000,0)),""))</f>
        <v/>
      </c>
      <c r="F270" s="139">
        <f>IF(261&gt;COUNT(Transaksi!$X$16:$X$5015),"",IF(IF(INDEX(Transaksi!$C$1:$C$5015,ROUND(MOD(MOD(SMALL(Transaksi!$X$16:$X$5015,261),1),0.01)*10000000,0))=$C$4,IF(INDEX(Transaksi!$D$1:$D$5015,ROUND(MOD(MOD(SMALL(Transaksi!$X$16:$X$5015,261),1),0.01)*10000000,0))="Masuk",1,-1),1)&lt;0,INDEX(Transaksi!$F$1:$F$5015,ROUND(MOD(MOD(SMALL(Transaksi!$X$16:$X$5015,261),1),0.01)*10000000,0)),""))</f>
        <v/>
      </c>
      <c r="G270" s="106">
        <f>IF(261&gt;COUNT(Transaksi!$X$16:$X$5015),"",N(G269)+N(E270)-N(F270))</f>
        <v/>
      </c>
      <c r="H270" s="137">
        <f>IF(261&gt;COUNT(Transaksi!$X$16:$X$5015),"",HYPERLINK("#Transaksi!B"&amp;A270,"Buka"))</f>
        <v/>
      </c>
    </row>
    <row r="271" ht="15" customHeight="1" s="94">
      <c r="A271" s="93">
        <f>IF(262&gt;COUNT(Transaksi!$X$16:$X$5015),"",ROUND(MOD(MOD(SMALL(Transaksi!$X$16:$X$5015,262),1),0.01)*10000000,0))</f>
        <v/>
      </c>
      <c r="B271" s="135">
        <f>IF(262&gt;COUNT(Transaksi!$X$16:$X$5015),"",IF(262=1,INDEX(Transaksi!$B$1:$B$5015,ROUND(MOD(MOD(SMALL(Transaksi!$X$16:$X$5015,262),1),0.01)*10000000,0)),IF(INDEX(Transaksi!$B$1:$B$5015,ROUND(MOD(MOD(SMALL(Transaksi!$X$16:$X$5015,262),1),0.01)*10000000,0))=INDEX(Transaksi!$B$1:$B$5015,A270),"",INDEX(Transaksi!$B$1:$B$5015,ROUND(MOD(MOD(SMALL(Transaksi!$X$16:$X$5015,262),1),0.01)*10000000,0)))))</f>
        <v/>
      </c>
      <c r="C271" s="136">
        <f>IF(262&gt;COUNT(Transaksi!$X$16:$X$5015),"",INDEX(Transaksi!$J$1:$J$5015,ROUND(MOD(MOD(SMALL(Transaksi!$X$16:$X$5015,262),1),0.01)*10000000,0))&amp;IF(INDEX(Transaksi!$D$1:$D$5015,ROUND(MOD(MOD(SMALL(Transaksi!$X$16:$X$5015,262),1),0.01)*10000000,0))="Pindah",IF(INDEX(Transaksi!$C$1:$C$5015,ROUND(MOD(MOD(SMALL(Transaksi!$X$16:$X$5015,262),1),0.01)*10000000,0))=$C$4," (ke "&amp;INDEX(Transaksi!$E$1:$E$5015,ROUND(MOD(MOD(SMALL(Transaksi!$X$16:$X$5015,262),1),0.01)*10000000,0))&amp;")"," (dari "&amp;INDEX(Transaksi!$C$1:$C$5015,ROUND(MOD(MOD(SMALL(Transaksi!$X$16:$X$5015,262),1),0.01)*10000000,0))&amp;")"),""))</f>
        <v/>
      </c>
      <c r="D271" s="137">
        <f>IF(262&gt;COUNT(Transaksi!$X$16:$X$5015),"",INDEX(Transaksi!$I$1:$I$5015,ROUND(MOD(MOD(SMALL(Transaksi!$X$16:$X$5015,262),1),0.01)*10000000,0)))</f>
        <v/>
      </c>
      <c r="E271" s="138">
        <f>IF(262&gt;COUNT(Transaksi!$X$16:$X$5015),"",IF(IF(INDEX(Transaksi!$C$1:$C$5015,ROUND(MOD(MOD(SMALL(Transaksi!$X$16:$X$5015,262),1),0.01)*10000000,0))=$C$4,IF(INDEX(Transaksi!$D$1:$D$5015,ROUND(MOD(MOD(SMALL(Transaksi!$X$16:$X$5015,262),1),0.01)*10000000,0))="Masuk",1,-1),1)&gt;0,INDEX(Transaksi!$F$1:$F$5015,ROUND(MOD(MOD(SMALL(Transaksi!$X$16:$X$5015,262),1),0.01)*10000000,0)),""))</f>
        <v/>
      </c>
      <c r="F271" s="139">
        <f>IF(262&gt;COUNT(Transaksi!$X$16:$X$5015),"",IF(IF(INDEX(Transaksi!$C$1:$C$5015,ROUND(MOD(MOD(SMALL(Transaksi!$X$16:$X$5015,262),1),0.01)*10000000,0))=$C$4,IF(INDEX(Transaksi!$D$1:$D$5015,ROUND(MOD(MOD(SMALL(Transaksi!$X$16:$X$5015,262),1),0.01)*10000000,0))="Masuk",1,-1),1)&lt;0,INDEX(Transaksi!$F$1:$F$5015,ROUND(MOD(MOD(SMALL(Transaksi!$X$16:$X$5015,262),1),0.01)*10000000,0)),""))</f>
        <v/>
      </c>
      <c r="G271" s="106">
        <f>IF(262&gt;COUNT(Transaksi!$X$16:$X$5015),"",N(G270)+N(E271)-N(F271))</f>
        <v/>
      </c>
      <c r="H271" s="137">
        <f>IF(262&gt;COUNT(Transaksi!$X$16:$X$5015),"",HYPERLINK("#Transaksi!B"&amp;A271,"Buka"))</f>
        <v/>
      </c>
    </row>
    <row r="272" ht="15" customHeight="1" s="94">
      <c r="A272" s="93">
        <f>IF(263&gt;COUNT(Transaksi!$X$16:$X$5015),"",ROUND(MOD(MOD(SMALL(Transaksi!$X$16:$X$5015,263),1),0.01)*10000000,0))</f>
        <v/>
      </c>
      <c r="B272" s="135">
        <f>IF(263&gt;COUNT(Transaksi!$X$16:$X$5015),"",IF(263=1,INDEX(Transaksi!$B$1:$B$5015,ROUND(MOD(MOD(SMALL(Transaksi!$X$16:$X$5015,263),1),0.01)*10000000,0)),IF(INDEX(Transaksi!$B$1:$B$5015,ROUND(MOD(MOD(SMALL(Transaksi!$X$16:$X$5015,263),1),0.01)*10000000,0))=INDEX(Transaksi!$B$1:$B$5015,A271),"",INDEX(Transaksi!$B$1:$B$5015,ROUND(MOD(MOD(SMALL(Transaksi!$X$16:$X$5015,263),1),0.01)*10000000,0)))))</f>
        <v/>
      </c>
      <c r="C272" s="136">
        <f>IF(263&gt;COUNT(Transaksi!$X$16:$X$5015),"",INDEX(Transaksi!$J$1:$J$5015,ROUND(MOD(MOD(SMALL(Transaksi!$X$16:$X$5015,263),1),0.01)*10000000,0))&amp;IF(INDEX(Transaksi!$D$1:$D$5015,ROUND(MOD(MOD(SMALL(Transaksi!$X$16:$X$5015,263),1),0.01)*10000000,0))="Pindah",IF(INDEX(Transaksi!$C$1:$C$5015,ROUND(MOD(MOD(SMALL(Transaksi!$X$16:$X$5015,263),1),0.01)*10000000,0))=$C$4," (ke "&amp;INDEX(Transaksi!$E$1:$E$5015,ROUND(MOD(MOD(SMALL(Transaksi!$X$16:$X$5015,263),1),0.01)*10000000,0))&amp;")"," (dari "&amp;INDEX(Transaksi!$C$1:$C$5015,ROUND(MOD(MOD(SMALL(Transaksi!$X$16:$X$5015,263),1),0.01)*10000000,0))&amp;")"),""))</f>
        <v/>
      </c>
      <c r="D272" s="137">
        <f>IF(263&gt;COUNT(Transaksi!$X$16:$X$5015),"",INDEX(Transaksi!$I$1:$I$5015,ROUND(MOD(MOD(SMALL(Transaksi!$X$16:$X$5015,263),1),0.01)*10000000,0)))</f>
        <v/>
      </c>
      <c r="E272" s="138">
        <f>IF(263&gt;COUNT(Transaksi!$X$16:$X$5015),"",IF(IF(INDEX(Transaksi!$C$1:$C$5015,ROUND(MOD(MOD(SMALL(Transaksi!$X$16:$X$5015,263),1),0.01)*10000000,0))=$C$4,IF(INDEX(Transaksi!$D$1:$D$5015,ROUND(MOD(MOD(SMALL(Transaksi!$X$16:$X$5015,263),1),0.01)*10000000,0))="Masuk",1,-1),1)&gt;0,INDEX(Transaksi!$F$1:$F$5015,ROUND(MOD(MOD(SMALL(Transaksi!$X$16:$X$5015,263),1),0.01)*10000000,0)),""))</f>
        <v/>
      </c>
      <c r="F272" s="139">
        <f>IF(263&gt;COUNT(Transaksi!$X$16:$X$5015),"",IF(IF(INDEX(Transaksi!$C$1:$C$5015,ROUND(MOD(MOD(SMALL(Transaksi!$X$16:$X$5015,263),1),0.01)*10000000,0))=$C$4,IF(INDEX(Transaksi!$D$1:$D$5015,ROUND(MOD(MOD(SMALL(Transaksi!$X$16:$X$5015,263),1),0.01)*10000000,0))="Masuk",1,-1),1)&lt;0,INDEX(Transaksi!$F$1:$F$5015,ROUND(MOD(MOD(SMALL(Transaksi!$X$16:$X$5015,263),1),0.01)*10000000,0)),""))</f>
        <v/>
      </c>
      <c r="G272" s="106">
        <f>IF(263&gt;COUNT(Transaksi!$X$16:$X$5015),"",N(G271)+N(E272)-N(F272))</f>
        <v/>
      </c>
      <c r="H272" s="137">
        <f>IF(263&gt;COUNT(Transaksi!$X$16:$X$5015),"",HYPERLINK("#Transaksi!B"&amp;A272,"Buka"))</f>
        <v/>
      </c>
    </row>
    <row r="273" ht="15" customHeight="1" s="94">
      <c r="A273" s="93">
        <f>IF(264&gt;COUNT(Transaksi!$X$16:$X$5015),"",ROUND(MOD(MOD(SMALL(Transaksi!$X$16:$X$5015,264),1),0.01)*10000000,0))</f>
        <v/>
      </c>
      <c r="B273" s="135">
        <f>IF(264&gt;COUNT(Transaksi!$X$16:$X$5015),"",IF(264=1,INDEX(Transaksi!$B$1:$B$5015,ROUND(MOD(MOD(SMALL(Transaksi!$X$16:$X$5015,264),1),0.01)*10000000,0)),IF(INDEX(Transaksi!$B$1:$B$5015,ROUND(MOD(MOD(SMALL(Transaksi!$X$16:$X$5015,264),1),0.01)*10000000,0))=INDEX(Transaksi!$B$1:$B$5015,A272),"",INDEX(Transaksi!$B$1:$B$5015,ROUND(MOD(MOD(SMALL(Transaksi!$X$16:$X$5015,264),1),0.01)*10000000,0)))))</f>
        <v/>
      </c>
      <c r="C273" s="136">
        <f>IF(264&gt;COUNT(Transaksi!$X$16:$X$5015),"",INDEX(Transaksi!$J$1:$J$5015,ROUND(MOD(MOD(SMALL(Transaksi!$X$16:$X$5015,264),1),0.01)*10000000,0))&amp;IF(INDEX(Transaksi!$D$1:$D$5015,ROUND(MOD(MOD(SMALL(Transaksi!$X$16:$X$5015,264),1),0.01)*10000000,0))="Pindah",IF(INDEX(Transaksi!$C$1:$C$5015,ROUND(MOD(MOD(SMALL(Transaksi!$X$16:$X$5015,264),1),0.01)*10000000,0))=$C$4," (ke "&amp;INDEX(Transaksi!$E$1:$E$5015,ROUND(MOD(MOD(SMALL(Transaksi!$X$16:$X$5015,264),1),0.01)*10000000,0))&amp;")"," (dari "&amp;INDEX(Transaksi!$C$1:$C$5015,ROUND(MOD(MOD(SMALL(Transaksi!$X$16:$X$5015,264),1),0.01)*10000000,0))&amp;")"),""))</f>
        <v/>
      </c>
      <c r="D273" s="137">
        <f>IF(264&gt;COUNT(Transaksi!$X$16:$X$5015),"",INDEX(Transaksi!$I$1:$I$5015,ROUND(MOD(MOD(SMALL(Transaksi!$X$16:$X$5015,264),1),0.01)*10000000,0)))</f>
        <v/>
      </c>
      <c r="E273" s="138">
        <f>IF(264&gt;COUNT(Transaksi!$X$16:$X$5015),"",IF(IF(INDEX(Transaksi!$C$1:$C$5015,ROUND(MOD(MOD(SMALL(Transaksi!$X$16:$X$5015,264),1),0.01)*10000000,0))=$C$4,IF(INDEX(Transaksi!$D$1:$D$5015,ROUND(MOD(MOD(SMALL(Transaksi!$X$16:$X$5015,264),1),0.01)*10000000,0))="Masuk",1,-1),1)&gt;0,INDEX(Transaksi!$F$1:$F$5015,ROUND(MOD(MOD(SMALL(Transaksi!$X$16:$X$5015,264),1),0.01)*10000000,0)),""))</f>
        <v/>
      </c>
      <c r="F273" s="139">
        <f>IF(264&gt;COUNT(Transaksi!$X$16:$X$5015),"",IF(IF(INDEX(Transaksi!$C$1:$C$5015,ROUND(MOD(MOD(SMALL(Transaksi!$X$16:$X$5015,264),1),0.01)*10000000,0))=$C$4,IF(INDEX(Transaksi!$D$1:$D$5015,ROUND(MOD(MOD(SMALL(Transaksi!$X$16:$X$5015,264),1),0.01)*10000000,0))="Masuk",1,-1),1)&lt;0,INDEX(Transaksi!$F$1:$F$5015,ROUND(MOD(MOD(SMALL(Transaksi!$X$16:$X$5015,264),1),0.01)*10000000,0)),""))</f>
        <v/>
      </c>
      <c r="G273" s="106">
        <f>IF(264&gt;COUNT(Transaksi!$X$16:$X$5015),"",N(G272)+N(E273)-N(F273))</f>
        <v/>
      </c>
      <c r="H273" s="137">
        <f>IF(264&gt;COUNT(Transaksi!$X$16:$X$5015),"",HYPERLINK("#Transaksi!B"&amp;A273,"Buka"))</f>
        <v/>
      </c>
    </row>
    <row r="274" ht="15" customHeight="1" s="94">
      <c r="A274" s="93">
        <f>IF(265&gt;COUNT(Transaksi!$X$16:$X$5015),"",ROUND(MOD(MOD(SMALL(Transaksi!$X$16:$X$5015,265),1),0.01)*10000000,0))</f>
        <v/>
      </c>
      <c r="B274" s="135">
        <f>IF(265&gt;COUNT(Transaksi!$X$16:$X$5015),"",IF(265=1,INDEX(Transaksi!$B$1:$B$5015,ROUND(MOD(MOD(SMALL(Transaksi!$X$16:$X$5015,265),1),0.01)*10000000,0)),IF(INDEX(Transaksi!$B$1:$B$5015,ROUND(MOD(MOD(SMALL(Transaksi!$X$16:$X$5015,265),1),0.01)*10000000,0))=INDEX(Transaksi!$B$1:$B$5015,A273),"",INDEX(Transaksi!$B$1:$B$5015,ROUND(MOD(MOD(SMALL(Transaksi!$X$16:$X$5015,265),1),0.01)*10000000,0)))))</f>
        <v/>
      </c>
      <c r="C274" s="136">
        <f>IF(265&gt;COUNT(Transaksi!$X$16:$X$5015),"",INDEX(Transaksi!$J$1:$J$5015,ROUND(MOD(MOD(SMALL(Transaksi!$X$16:$X$5015,265),1),0.01)*10000000,0))&amp;IF(INDEX(Transaksi!$D$1:$D$5015,ROUND(MOD(MOD(SMALL(Transaksi!$X$16:$X$5015,265),1),0.01)*10000000,0))="Pindah",IF(INDEX(Transaksi!$C$1:$C$5015,ROUND(MOD(MOD(SMALL(Transaksi!$X$16:$X$5015,265),1),0.01)*10000000,0))=$C$4," (ke "&amp;INDEX(Transaksi!$E$1:$E$5015,ROUND(MOD(MOD(SMALL(Transaksi!$X$16:$X$5015,265),1),0.01)*10000000,0))&amp;")"," (dari "&amp;INDEX(Transaksi!$C$1:$C$5015,ROUND(MOD(MOD(SMALL(Transaksi!$X$16:$X$5015,265),1),0.01)*10000000,0))&amp;")"),""))</f>
        <v/>
      </c>
      <c r="D274" s="137">
        <f>IF(265&gt;COUNT(Transaksi!$X$16:$X$5015),"",INDEX(Transaksi!$I$1:$I$5015,ROUND(MOD(MOD(SMALL(Transaksi!$X$16:$X$5015,265),1),0.01)*10000000,0)))</f>
        <v/>
      </c>
      <c r="E274" s="138">
        <f>IF(265&gt;COUNT(Transaksi!$X$16:$X$5015),"",IF(IF(INDEX(Transaksi!$C$1:$C$5015,ROUND(MOD(MOD(SMALL(Transaksi!$X$16:$X$5015,265),1),0.01)*10000000,0))=$C$4,IF(INDEX(Transaksi!$D$1:$D$5015,ROUND(MOD(MOD(SMALL(Transaksi!$X$16:$X$5015,265),1),0.01)*10000000,0))="Masuk",1,-1),1)&gt;0,INDEX(Transaksi!$F$1:$F$5015,ROUND(MOD(MOD(SMALL(Transaksi!$X$16:$X$5015,265),1),0.01)*10000000,0)),""))</f>
        <v/>
      </c>
      <c r="F274" s="139">
        <f>IF(265&gt;COUNT(Transaksi!$X$16:$X$5015),"",IF(IF(INDEX(Transaksi!$C$1:$C$5015,ROUND(MOD(MOD(SMALL(Transaksi!$X$16:$X$5015,265),1),0.01)*10000000,0))=$C$4,IF(INDEX(Transaksi!$D$1:$D$5015,ROUND(MOD(MOD(SMALL(Transaksi!$X$16:$X$5015,265),1),0.01)*10000000,0))="Masuk",1,-1),1)&lt;0,INDEX(Transaksi!$F$1:$F$5015,ROUND(MOD(MOD(SMALL(Transaksi!$X$16:$X$5015,265),1),0.01)*10000000,0)),""))</f>
        <v/>
      </c>
      <c r="G274" s="106">
        <f>IF(265&gt;COUNT(Transaksi!$X$16:$X$5015),"",N(G273)+N(E274)-N(F274))</f>
        <v/>
      </c>
      <c r="H274" s="137">
        <f>IF(265&gt;COUNT(Transaksi!$X$16:$X$5015),"",HYPERLINK("#Transaksi!B"&amp;A274,"Buka"))</f>
        <v/>
      </c>
    </row>
    <row r="275" ht="15" customHeight="1" s="94">
      <c r="A275" s="93">
        <f>IF(266&gt;COUNT(Transaksi!$X$16:$X$5015),"",ROUND(MOD(MOD(SMALL(Transaksi!$X$16:$X$5015,266),1),0.01)*10000000,0))</f>
        <v/>
      </c>
      <c r="B275" s="135">
        <f>IF(266&gt;COUNT(Transaksi!$X$16:$X$5015),"",IF(266=1,INDEX(Transaksi!$B$1:$B$5015,ROUND(MOD(MOD(SMALL(Transaksi!$X$16:$X$5015,266),1),0.01)*10000000,0)),IF(INDEX(Transaksi!$B$1:$B$5015,ROUND(MOD(MOD(SMALL(Transaksi!$X$16:$X$5015,266),1),0.01)*10000000,0))=INDEX(Transaksi!$B$1:$B$5015,A274),"",INDEX(Transaksi!$B$1:$B$5015,ROUND(MOD(MOD(SMALL(Transaksi!$X$16:$X$5015,266),1),0.01)*10000000,0)))))</f>
        <v/>
      </c>
      <c r="C275" s="136">
        <f>IF(266&gt;COUNT(Transaksi!$X$16:$X$5015),"",INDEX(Transaksi!$J$1:$J$5015,ROUND(MOD(MOD(SMALL(Transaksi!$X$16:$X$5015,266),1),0.01)*10000000,0))&amp;IF(INDEX(Transaksi!$D$1:$D$5015,ROUND(MOD(MOD(SMALL(Transaksi!$X$16:$X$5015,266),1),0.01)*10000000,0))="Pindah",IF(INDEX(Transaksi!$C$1:$C$5015,ROUND(MOD(MOD(SMALL(Transaksi!$X$16:$X$5015,266),1),0.01)*10000000,0))=$C$4," (ke "&amp;INDEX(Transaksi!$E$1:$E$5015,ROUND(MOD(MOD(SMALL(Transaksi!$X$16:$X$5015,266),1),0.01)*10000000,0))&amp;")"," (dari "&amp;INDEX(Transaksi!$C$1:$C$5015,ROUND(MOD(MOD(SMALL(Transaksi!$X$16:$X$5015,266),1),0.01)*10000000,0))&amp;")"),""))</f>
        <v/>
      </c>
      <c r="D275" s="137">
        <f>IF(266&gt;COUNT(Transaksi!$X$16:$X$5015),"",INDEX(Transaksi!$I$1:$I$5015,ROUND(MOD(MOD(SMALL(Transaksi!$X$16:$X$5015,266),1),0.01)*10000000,0)))</f>
        <v/>
      </c>
      <c r="E275" s="138">
        <f>IF(266&gt;COUNT(Transaksi!$X$16:$X$5015),"",IF(IF(INDEX(Transaksi!$C$1:$C$5015,ROUND(MOD(MOD(SMALL(Transaksi!$X$16:$X$5015,266),1),0.01)*10000000,0))=$C$4,IF(INDEX(Transaksi!$D$1:$D$5015,ROUND(MOD(MOD(SMALL(Transaksi!$X$16:$X$5015,266),1),0.01)*10000000,0))="Masuk",1,-1),1)&gt;0,INDEX(Transaksi!$F$1:$F$5015,ROUND(MOD(MOD(SMALL(Transaksi!$X$16:$X$5015,266),1),0.01)*10000000,0)),""))</f>
        <v/>
      </c>
      <c r="F275" s="139">
        <f>IF(266&gt;COUNT(Transaksi!$X$16:$X$5015),"",IF(IF(INDEX(Transaksi!$C$1:$C$5015,ROUND(MOD(MOD(SMALL(Transaksi!$X$16:$X$5015,266),1),0.01)*10000000,0))=$C$4,IF(INDEX(Transaksi!$D$1:$D$5015,ROUND(MOD(MOD(SMALL(Transaksi!$X$16:$X$5015,266),1),0.01)*10000000,0))="Masuk",1,-1),1)&lt;0,INDEX(Transaksi!$F$1:$F$5015,ROUND(MOD(MOD(SMALL(Transaksi!$X$16:$X$5015,266),1),0.01)*10000000,0)),""))</f>
        <v/>
      </c>
      <c r="G275" s="106">
        <f>IF(266&gt;COUNT(Transaksi!$X$16:$X$5015),"",N(G274)+N(E275)-N(F275))</f>
        <v/>
      </c>
      <c r="H275" s="137">
        <f>IF(266&gt;COUNT(Transaksi!$X$16:$X$5015),"",HYPERLINK("#Transaksi!B"&amp;A275,"Buka"))</f>
        <v/>
      </c>
    </row>
    <row r="276" ht="15" customHeight="1" s="94">
      <c r="A276" s="93">
        <f>IF(267&gt;COUNT(Transaksi!$X$16:$X$5015),"",ROUND(MOD(MOD(SMALL(Transaksi!$X$16:$X$5015,267),1),0.01)*10000000,0))</f>
        <v/>
      </c>
      <c r="B276" s="135">
        <f>IF(267&gt;COUNT(Transaksi!$X$16:$X$5015),"",IF(267=1,INDEX(Transaksi!$B$1:$B$5015,ROUND(MOD(MOD(SMALL(Transaksi!$X$16:$X$5015,267),1),0.01)*10000000,0)),IF(INDEX(Transaksi!$B$1:$B$5015,ROUND(MOD(MOD(SMALL(Transaksi!$X$16:$X$5015,267),1),0.01)*10000000,0))=INDEX(Transaksi!$B$1:$B$5015,A275),"",INDEX(Transaksi!$B$1:$B$5015,ROUND(MOD(MOD(SMALL(Transaksi!$X$16:$X$5015,267),1),0.01)*10000000,0)))))</f>
        <v/>
      </c>
      <c r="C276" s="136">
        <f>IF(267&gt;COUNT(Transaksi!$X$16:$X$5015),"",INDEX(Transaksi!$J$1:$J$5015,ROUND(MOD(MOD(SMALL(Transaksi!$X$16:$X$5015,267),1),0.01)*10000000,0))&amp;IF(INDEX(Transaksi!$D$1:$D$5015,ROUND(MOD(MOD(SMALL(Transaksi!$X$16:$X$5015,267),1),0.01)*10000000,0))="Pindah",IF(INDEX(Transaksi!$C$1:$C$5015,ROUND(MOD(MOD(SMALL(Transaksi!$X$16:$X$5015,267),1),0.01)*10000000,0))=$C$4," (ke "&amp;INDEX(Transaksi!$E$1:$E$5015,ROUND(MOD(MOD(SMALL(Transaksi!$X$16:$X$5015,267),1),0.01)*10000000,0))&amp;")"," (dari "&amp;INDEX(Transaksi!$C$1:$C$5015,ROUND(MOD(MOD(SMALL(Transaksi!$X$16:$X$5015,267),1),0.01)*10000000,0))&amp;")"),""))</f>
        <v/>
      </c>
      <c r="D276" s="137">
        <f>IF(267&gt;COUNT(Transaksi!$X$16:$X$5015),"",INDEX(Transaksi!$I$1:$I$5015,ROUND(MOD(MOD(SMALL(Transaksi!$X$16:$X$5015,267),1),0.01)*10000000,0)))</f>
        <v/>
      </c>
      <c r="E276" s="138">
        <f>IF(267&gt;COUNT(Transaksi!$X$16:$X$5015),"",IF(IF(INDEX(Transaksi!$C$1:$C$5015,ROUND(MOD(MOD(SMALL(Transaksi!$X$16:$X$5015,267),1),0.01)*10000000,0))=$C$4,IF(INDEX(Transaksi!$D$1:$D$5015,ROUND(MOD(MOD(SMALL(Transaksi!$X$16:$X$5015,267),1),0.01)*10000000,0))="Masuk",1,-1),1)&gt;0,INDEX(Transaksi!$F$1:$F$5015,ROUND(MOD(MOD(SMALL(Transaksi!$X$16:$X$5015,267),1),0.01)*10000000,0)),""))</f>
        <v/>
      </c>
      <c r="F276" s="139">
        <f>IF(267&gt;COUNT(Transaksi!$X$16:$X$5015),"",IF(IF(INDEX(Transaksi!$C$1:$C$5015,ROUND(MOD(MOD(SMALL(Transaksi!$X$16:$X$5015,267),1),0.01)*10000000,0))=$C$4,IF(INDEX(Transaksi!$D$1:$D$5015,ROUND(MOD(MOD(SMALL(Transaksi!$X$16:$X$5015,267),1),0.01)*10000000,0))="Masuk",1,-1),1)&lt;0,INDEX(Transaksi!$F$1:$F$5015,ROUND(MOD(MOD(SMALL(Transaksi!$X$16:$X$5015,267),1),0.01)*10000000,0)),""))</f>
        <v/>
      </c>
      <c r="G276" s="106">
        <f>IF(267&gt;COUNT(Transaksi!$X$16:$X$5015),"",N(G275)+N(E276)-N(F276))</f>
        <v/>
      </c>
      <c r="H276" s="137">
        <f>IF(267&gt;COUNT(Transaksi!$X$16:$X$5015),"",HYPERLINK("#Transaksi!B"&amp;A276,"Buka"))</f>
        <v/>
      </c>
    </row>
    <row r="277" ht="15" customHeight="1" s="94">
      <c r="A277" s="93">
        <f>IF(268&gt;COUNT(Transaksi!$X$16:$X$5015),"",ROUND(MOD(MOD(SMALL(Transaksi!$X$16:$X$5015,268),1),0.01)*10000000,0))</f>
        <v/>
      </c>
      <c r="B277" s="135">
        <f>IF(268&gt;COUNT(Transaksi!$X$16:$X$5015),"",IF(268=1,INDEX(Transaksi!$B$1:$B$5015,ROUND(MOD(MOD(SMALL(Transaksi!$X$16:$X$5015,268),1),0.01)*10000000,0)),IF(INDEX(Transaksi!$B$1:$B$5015,ROUND(MOD(MOD(SMALL(Transaksi!$X$16:$X$5015,268),1),0.01)*10000000,0))=INDEX(Transaksi!$B$1:$B$5015,A276),"",INDEX(Transaksi!$B$1:$B$5015,ROUND(MOD(MOD(SMALL(Transaksi!$X$16:$X$5015,268),1),0.01)*10000000,0)))))</f>
        <v/>
      </c>
      <c r="C277" s="136">
        <f>IF(268&gt;COUNT(Transaksi!$X$16:$X$5015),"",INDEX(Transaksi!$J$1:$J$5015,ROUND(MOD(MOD(SMALL(Transaksi!$X$16:$X$5015,268),1),0.01)*10000000,0))&amp;IF(INDEX(Transaksi!$D$1:$D$5015,ROUND(MOD(MOD(SMALL(Transaksi!$X$16:$X$5015,268),1),0.01)*10000000,0))="Pindah",IF(INDEX(Transaksi!$C$1:$C$5015,ROUND(MOD(MOD(SMALL(Transaksi!$X$16:$X$5015,268),1),0.01)*10000000,0))=$C$4," (ke "&amp;INDEX(Transaksi!$E$1:$E$5015,ROUND(MOD(MOD(SMALL(Transaksi!$X$16:$X$5015,268),1),0.01)*10000000,0))&amp;")"," (dari "&amp;INDEX(Transaksi!$C$1:$C$5015,ROUND(MOD(MOD(SMALL(Transaksi!$X$16:$X$5015,268),1),0.01)*10000000,0))&amp;")"),""))</f>
        <v/>
      </c>
      <c r="D277" s="137">
        <f>IF(268&gt;COUNT(Transaksi!$X$16:$X$5015),"",INDEX(Transaksi!$I$1:$I$5015,ROUND(MOD(MOD(SMALL(Transaksi!$X$16:$X$5015,268),1),0.01)*10000000,0)))</f>
        <v/>
      </c>
      <c r="E277" s="138">
        <f>IF(268&gt;COUNT(Transaksi!$X$16:$X$5015),"",IF(IF(INDEX(Transaksi!$C$1:$C$5015,ROUND(MOD(MOD(SMALL(Transaksi!$X$16:$X$5015,268),1),0.01)*10000000,0))=$C$4,IF(INDEX(Transaksi!$D$1:$D$5015,ROUND(MOD(MOD(SMALL(Transaksi!$X$16:$X$5015,268),1),0.01)*10000000,0))="Masuk",1,-1),1)&gt;0,INDEX(Transaksi!$F$1:$F$5015,ROUND(MOD(MOD(SMALL(Transaksi!$X$16:$X$5015,268),1),0.01)*10000000,0)),""))</f>
        <v/>
      </c>
      <c r="F277" s="139">
        <f>IF(268&gt;COUNT(Transaksi!$X$16:$X$5015),"",IF(IF(INDEX(Transaksi!$C$1:$C$5015,ROUND(MOD(MOD(SMALL(Transaksi!$X$16:$X$5015,268),1),0.01)*10000000,0))=$C$4,IF(INDEX(Transaksi!$D$1:$D$5015,ROUND(MOD(MOD(SMALL(Transaksi!$X$16:$X$5015,268),1),0.01)*10000000,0))="Masuk",1,-1),1)&lt;0,INDEX(Transaksi!$F$1:$F$5015,ROUND(MOD(MOD(SMALL(Transaksi!$X$16:$X$5015,268),1),0.01)*10000000,0)),""))</f>
        <v/>
      </c>
      <c r="G277" s="106">
        <f>IF(268&gt;COUNT(Transaksi!$X$16:$X$5015),"",N(G276)+N(E277)-N(F277))</f>
        <v/>
      </c>
      <c r="H277" s="137">
        <f>IF(268&gt;COUNT(Transaksi!$X$16:$X$5015),"",HYPERLINK("#Transaksi!B"&amp;A277,"Buka"))</f>
        <v/>
      </c>
    </row>
    <row r="278" ht="15" customHeight="1" s="94">
      <c r="A278" s="93">
        <f>IF(269&gt;COUNT(Transaksi!$X$16:$X$5015),"",ROUND(MOD(MOD(SMALL(Transaksi!$X$16:$X$5015,269),1),0.01)*10000000,0))</f>
        <v/>
      </c>
      <c r="B278" s="135">
        <f>IF(269&gt;COUNT(Transaksi!$X$16:$X$5015),"",IF(269=1,INDEX(Transaksi!$B$1:$B$5015,ROUND(MOD(MOD(SMALL(Transaksi!$X$16:$X$5015,269),1),0.01)*10000000,0)),IF(INDEX(Transaksi!$B$1:$B$5015,ROUND(MOD(MOD(SMALL(Transaksi!$X$16:$X$5015,269),1),0.01)*10000000,0))=INDEX(Transaksi!$B$1:$B$5015,A277),"",INDEX(Transaksi!$B$1:$B$5015,ROUND(MOD(MOD(SMALL(Transaksi!$X$16:$X$5015,269),1),0.01)*10000000,0)))))</f>
        <v/>
      </c>
      <c r="C278" s="136">
        <f>IF(269&gt;COUNT(Transaksi!$X$16:$X$5015),"",INDEX(Transaksi!$J$1:$J$5015,ROUND(MOD(MOD(SMALL(Transaksi!$X$16:$X$5015,269),1),0.01)*10000000,0))&amp;IF(INDEX(Transaksi!$D$1:$D$5015,ROUND(MOD(MOD(SMALL(Transaksi!$X$16:$X$5015,269),1),0.01)*10000000,0))="Pindah",IF(INDEX(Transaksi!$C$1:$C$5015,ROUND(MOD(MOD(SMALL(Transaksi!$X$16:$X$5015,269),1),0.01)*10000000,0))=$C$4," (ke "&amp;INDEX(Transaksi!$E$1:$E$5015,ROUND(MOD(MOD(SMALL(Transaksi!$X$16:$X$5015,269),1),0.01)*10000000,0))&amp;")"," (dari "&amp;INDEX(Transaksi!$C$1:$C$5015,ROUND(MOD(MOD(SMALL(Transaksi!$X$16:$X$5015,269),1),0.01)*10000000,0))&amp;")"),""))</f>
        <v/>
      </c>
      <c r="D278" s="137">
        <f>IF(269&gt;COUNT(Transaksi!$X$16:$X$5015),"",INDEX(Transaksi!$I$1:$I$5015,ROUND(MOD(MOD(SMALL(Transaksi!$X$16:$X$5015,269),1),0.01)*10000000,0)))</f>
        <v/>
      </c>
      <c r="E278" s="138">
        <f>IF(269&gt;COUNT(Transaksi!$X$16:$X$5015),"",IF(IF(INDEX(Transaksi!$C$1:$C$5015,ROUND(MOD(MOD(SMALL(Transaksi!$X$16:$X$5015,269),1),0.01)*10000000,0))=$C$4,IF(INDEX(Transaksi!$D$1:$D$5015,ROUND(MOD(MOD(SMALL(Transaksi!$X$16:$X$5015,269),1),0.01)*10000000,0))="Masuk",1,-1),1)&gt;0,INDEX(Transaksi!$F$1:$F$5015,ROUND(MOD(MOD(SMALL(Transaksi!$X$16:$X$5015,269),1),0.01)*10000000,0)),""))</f>
        <v/>
      </c>
      <c r="F278" s="139">
        <f>IF(269&gt;COUNT(Transaksi!$X$16:$X$5015),"",IF(IF(INDEX(Transaksi!$C$1:$C$5015,ROUND(MOD(MOD(SMALL(Transaksi!$X$16:$X$5015,269),1),0.01)*10000000,0))=$C$4,IF(INDEX(Transaksi!$D$1:$D$5015,ROUND(MOD(MOD(SMALL(Transaksi!$X$16:$X$5015,269),1),0.01)*10000000,0))="Masuk",1,-1),1)&lt;0,INDEX(Transaksi!$F$1:$F$5015,ROUND(MOD(MOD(SMALL(Transaksi!$X$16:$X$5015,269),1),0.01)*10000000,0)),""))</f>
        <v/>
      </c>
      <c r="G278" s="106">
        <f>IF(269&gt;COUNT(Transaksi!$X$16:$X$5015),"",N(G277)+N(E278)-N(F278))</f>
        <v/>
      </c>
      <c r="H278" s="137">
        <f>IF(269&gt;COUNT(Transaksi!$X$16:$X$5015),"",HYPERLINK("#Transaksi!B"&amp;A278,"Buka"))</f>
        <v/>
      </c>
    </row>
    <row r="279" ht="15" customHeight="1" s="94">
      <c r="A279" s="93">
        <f>IF(270&gt;COUNT(Transaksi!$X$16:$X$5015),"",ROUND(MOD(MOD(SMALL(Transaksi!$X$16:$X$5015,270),1),0.01)*10000000,0))</f>
        <v/>
      </c>
      <c r="B279" s="135">
        <f>IF(270&gt;COUNT(Transaksi!$X$16:$X$5015),"",IF(270=1,INDEX(Transaksi!$B$1:$B$5015,ROUND(MOD(MOD(SMALL(Transaksi!$X$16:$X$5015,270),1),0.01)*10000000,0)),IF(INDEX(Transaksi!$B$1:$B$5015,ROUND(MOD(MOD(SMALL(Transaksi!$X$16:$X$5015,270),1),0.01)*10000000,0))=INDEX(Transaksi!$B$1:$B$5015,A278),"",INDEX(Transaksi!$B$1:$B$5015,ROUND(MOD(MOD(SMALL(Transaksi!$X$16:$X$5015,270),1),0.01)*10000000,0)))))</f>
        <v/>
      </c>
      <c r="C279" s="136">
        <f>IF(270&gt;COUNT(Transaksi!$X$16:$X$5015),"",INDEX(Transaksi!$J$1:$J$5015,ROUND(MOD(MOD(SMALL(Transaksi!$X$16:$X$5015,270),1),0.01)*10000000,0))&amp;IF(INDEX(Transaksi!$D$1:$D$5015,ROUND(MOD(MOD(SMALL(Transaksi!$X$16:$X$5015,270),1),0.01)*10000000,0))="Pindah",IF(INDEX(Transaksi!$C$1:$C$5015,ROUND(MOD(MOD(SMALL(Transaksi!$X$16:$X$5015,270),1),0.01)*10000000,0))=$C$4," (ke "&amp;INDEX(Transaksi!$E$1:$E$5015,ROUND(MOD(MOD(SMALL(Transaksi!$X$16:$X$5015,270),1),0.01)*10000000,0))&amp;")"," (dari "&amp;INDEX(Transaksi!$C$1:$C$5015,ROUND(MOD(MOD(SMALL(Transaksi!$X$16:$X$5015,270),1),0.01)*10000000,0))&amp;")"),""))</f>
        <v/>
      </c>
      <c r="D279" s="137">
        <f>IF(270&gt;COUNT(Transaksi!$X$16:$X$5015),"",INDEX(Transaksi!$I$1:$I$5015,ROUND(MOD(MOD(SMALL(Transaksi!$X$16:$X$5015,270),1),0.01)*10000000,0)))</f>
        <v/>
      </c>
      <c r="E279" s="138">
        <f>IF(270&gt;COUNT(Transaksi!$X$16:$X$5015),"",IF(IF(INDEX(Transaksi!$C$1:$C$5015,ROUND(MOD(MOD(SMALL(Transaksi!$X$16:$X$5015,270),1),0.01)*10000000,0))=$C$4,IF(INDEX(Transaksi!$D$1:$D$5015,ROUND(MOD(MOD(SMALL(Transaksi!$X$16:$X$5015,270),1),0.01)*10000000,0))="Masuk",1,-1),1)&gt;0,INDEX(Transaksi!$F$1:$F$5015,ROUND(MOD(MOD(SMALL(Transaksi!$X$16:$X$5015,270),1),0.01)*10000000,0)),""))</f>
        <v/>
      </c>
      <c r="F279" s="139">
        <f>IF(270&gt;COUNT(Transaksi!$X$16:$X$5015),"",IF(IF(INDEX(Transaksi!$C$1:$C$5015,ROUND(MOD(MOD(SMALL(Transaksi!$X$16:$X$5015,270),1),0.01)*10000000,0))=$C$4,IF(INDEX(Transaksi!$D$1:$D$5015,ROUND(MOD(MOD(SMALL(Transaksi!$X$16:$X$5015,270),1),0.01)*10000000,0))="Masuk",1,-1),1)&lt;0,INDEX(Transaksi!$F$1:$F$5015,ROUND(MOD(MOD(SMALL(Transaksi!$X$16:$X$5015,270),1),0.01)*10000000,0)),""))</f>
        <v/>
      </c>
      <c r="G279" s="106">
        <f>IF(270&gt;COUNT(Transaksi!$X$16:$X$5015),"",N(G278)+N(E279)-N(F279))</f>
        <v/>
      </c>
      <c r="H279" s="137">
        <f>IF(270&gt;COUNT(Transaksi!$X$16:$X$5015),"",HYPERLINK("#Transaksi!B"&amp;A279,"Buka"))</f>
        <v/>
      </c>
    </row>
    <row r="280" ht="15" customHeight="1" s="94">
      <c r="A280" s="93">
        <f>IF(271&gt;COUNT(Transaksi!$X$16:$X$5015),"",ROUND(MOD(MOD(SMALL(Transaksi!$X$16:$X$5015,271),1),0.01)*10000000,0))</f>
        <v/>
      </c>
      <c r="B280" s="135">
        <f>IF(271&gt;COUNT(Transaksi!$X$16:$X$5015),"",IF(271=1,INDEX(Transaksi!$B$1:$B$5015,ROUND(MOD(MOD(SMALL(Transaksi!$X$16:$X$5015,271),1),0.01)*10000000,0)),IF(INDEX(Transaksi!$B$1:$B$5015,ROUND(MOD(MOD(SMALL(Transaksi!$X$16:$X$5015,271),1),0.01)*10000000,0))=INDEX(Transaksi!$B$1:$B$5015,A279),"",INDEX(Transaksi!$B$1:$B$5015,ROUND(MOD(MOD(SMALL(Transaksi!$X$16:$X$5015,271),1),0.01)*10000000,0)))))</f>
        <v/>
      </c>
      <c r="C280" s="136">
        <f>IF(271&gt;COUNT(Transaksi!$X$16:$X$5015),"",INDEX(Transaksi!$J$1:$J$5015,ROUND(MOD(MOD(SMALL(Transaksi!$X$16:$X$5015,271),1),0.01)*10000000,0))&amp;IF(INDEX(Transaksi!$D$1:$D$5015,ROUND(MOD(MOD(SMALL(Transaksi!$X$16:$X$5015,271),1),0.01)*10000000,0))="Pindah",IF(INDEX(Transaksi!$C$1:$C$5015,ROUND(MOD(MOD(SMALL(Transaksi!$X$16:$X$5015,271),1),0.01)*10000000,0))=$C$4," (ke "&amp;INDEX(Transaksi!$E$1:$E$5015,ROUND(MOD(MOD(SMALL(Transaksi!$X$16:$X$5015,271),1),0.01)*10000000,0))&amp;")"," (dari "&amp;INDEX(Transaksi!$C$1:$C$5015,ROUND(MOD(MOD(SMALL(Transaksi!$X$16:$X$5015,271),1),0.01)*10000000,0))&amp;")"),""))</f>
        <v/>
      </c>
      <c r="D280" s="137">
        <f>IF(271&gt;COUNT(Transaksi!$X$16:$X$5015),"",INDEX(Transaksi!$I$1:$I$5015,ROUND(MOD(MOD(SMALL(Transaksi!$X$16:$X$5015,271),1),0.01)*10000000,0)))</f>
        <v/>
      </c>
      <c r="E280" s="138">
        <f>IF(271&gt;COUNT(Transaksi!$X$16:$X$5015),"",IF(IF(INDEX(Transaksi!$C$1:$C$5015,ROUND(MOD(MOD(SMALL(Transaksi!$X$16:$X$5015,271),1),0.01)*10000000,0))=$C$4,IF(INDEX(Transaksi!$D$1:$D$5015,ROUND(MOD(MOD(SMALL(Transaksi!$X$16:$X$5015,271),1),0.01)*10000000,0))="Masuk",1,-1),1)&gt;0,INDEX(Transaksi!$F$1:$F$5015,ROUND(MOD(MOD(SMALL(Transaksi!$X$16:$X$5015,271),1),0.01)*10000000,0)),""))</f>
        <v/>
      </c>
      <c r="F280" s="139">
        <f>IF(271&gt;COUNT(Transaksi!$X$16:$X$5015),"",IF(IF(INDEX(Transaksi!$C$1:$C$5015,ROUND(MOD(MOD(SMALL(Transaksi!$X$16:$X$5015,271),1),0.01)*10000000,0))=$C$4,IF(INDEX(Transaksi!$D$1:$D$5015,ROUND(MOD(MOD(SMALL(Transaksi!$X$16:$X$5015,271),1),0.01)*10000000,0))="Masuk",1,-1),1)&lt;0,INDEX(Transaksi!$F$1:$F$5015,ROUND(MOD(MOD(SMALL(Transaksi!$X$16:$X$5015,271),1),0.01)*10000000,0)),""))</f>
        <v/>
      </c>
      <c r="G280" s="106">
        <f>IF(271&gt;COUNT(Transaksi!$X$16:$X$5015),"",N(G279)+N(E280)-N(F280))</f>
        <v/>
      </c>
      <c r="H280" s="137">
        <f>IF(271&gt;COUNT(Transaksi!$X$16:$X$5015),"",HYPERLINK("#Transaksi!B"&amp;A280,"Buka"))</f>
        <v/>
      </c>
    </row>
    <row r="281" ht="15" customHeight="1" s="94">
      <c r="A281" s="93">
        <f>IF(272&gt;COUNT(Transaksi!$X$16:$X$5015),"",ROUND(MOD(MOD(SMALL(Transaksi!$X$16:$X$5015,272),1),0.01)*10000000,0))</f>
        <v/>
      </c>
      <c r="B281" s="135">
        <f>IF(272&gt;COUNT(Transaksi!$X$16:$X$5015),"",IF(272=1,INDEX(Transaksi!$B$1:$B$5015,ROUND(MOD(MOD(SMALL(Transaksi!$X$16:$X$5015,272),1),0.01)*10000000,0)),IF(INDEX(Transaksi!$B$1:$B$5015,ROUND(MOD(MOD(SMALL(Transaksi!$X$16:$X$5015,272),1),0.01)*10000000,0))=INDEX(Transaksi!$B$1:$B$5015,A280),"",INDEX(Transaksi!$B$1:$B$5015,ROUND(MOD(MOD(SMALL(Transaksi!$X$16:$X$5015,272),1),0.01)*10000000,0)))))</f>
        <v/>
      </c>
      <c r="C281" s="136">
        <f>IF(272&gt;COUNT(Transaksi!$X$16:$X$5015),"",INDEX(Transaksi!$J$1:$J$5015,ROUND(MOD(MOD(SMALL(Transaksi!$X$16:$X$5015,272),1),0.01)*10000000,0))&amp;IF(INDEX(Transaksi!$D$1:$D$5015,ROUND(MOD(MOD(SMALL(Transaksi!$X$16:$X$5015,272),1),0.01)*10000000,0))="Pindah",IF(INDEX(Transaksi!$C$1:$C$5015,ROUND(MOD(MOD(SMALL(Transaksi!$X$16:$X$5015,272),1),0.01)*10000000,0))=$C$4," (ke "&amp;INDEX(Transaksi!$E$1:$E$5015,ROUND(MOD(MOD(SMALL(Transaksi!$X$16:$X$5015,272),1),0.01)*10000000,0))&amp;")"," (dari "&amp;INDEX(Transaksi!$C$1:$C$5015,ROUND(MOD(MOD(SMALL(Transaksi!$X$16:$X$5015,272),1),0.01)*10000000,0))&amp;")"),""))</f>
        <v/>
      </c>
      <c r="D281" s="137">
        <f>IF(272&gt;COUNT(Transaksi!$X$16:$X$5015),"",INDEX(Transaksi!$I$1:$I$5015,ROUND(MOD(MOD(SMALL(Transaksi!$X$16:$X$5015,272),1),0.01)*10000000,0)))</f>
        <v/>
      </c>
      <c r="E281" s="138">
        <f>IF(272&gt;COUNT(Transaksi!$X$16:$X$5015),"",IF(IF(INDEX(Transaksi!$C$1:$C$5015,ROUND(MOD(MOD(SMALL(Transaksi!$X$16:$X$5015,272),1),0.01)*10000000,0))=$C$4,IF(INDEX(Transaksi!$D$1:$D$5015,ROUND(MOD(MOD(SMALL(Transaksi!$X$16:$X$5015,272),1),0.01)*10000000,0))="Masuk",1,-1),1)&gt;0,INDEX(Transaksi!$F$1:$F$5015,ROUND(MOD(MOD(SMALL(Transaksi!$X$16:$X$5015,272),1),0.01)*10000000,0)),""))</f>
        <v/>
      </c>
      <c r="F281" s="139">
        <f>IF(272&gt;COUNT(Transaksi!$X$16:$X$5015),"",IF(IF(INDEX(Transaksi!$C$1:$C$5015,ROUND(MOD(MOD(SMALL(Transaksi!$X$16:$X$5015,272),1),0.01)*10000000,0))=$C$4,IF(INDEX(Transaksi!$D$1:$D$5015,ROUND(MOD(MOD(SMALL(Transaksi!$X$16:$X$5015,272),1),0.01)*10000000,0))="Masuk",1,-1),1)&lt;0,INDEX(Transaksi!$F$1:$F$5015,ROUND(MOD(MOD(SMALL(Transaksi!$X$16:$X$5015,272),1),0.01)*10000000,0)),""))</f>
        <v/>
      </c>
      <c r="G281" s="106">
        <f>IF(272&gt;COUNT(Transaksi!$X$16:$X$5015),"",N(G280)+N(E281)-N(F281))</f>
        <v/>
      </c>
      <c r="H281" s="137">
        <f>IF(272&gt;COUNT(Transaksi!$X$16:$X$5015),"",HYPERLINK("#Transaksi!B"&amp;A281,"Buka"))</f>
        <v/>
      </c>
    </row>
    <row r="282" ht="15" customHeight="1" s="94">
      <c r="A282" s="93">
        <f>IF(273&gt;COUNT(Transaksi!$X$16:$X$5015),"",ROUND(MOD(MOD(SMALL(Transaksi!$X$16:$X$5015,273),1),0.01)*10000000,0))</f>
        <v/>
      </c>
      <c r="B282" s="135">
        <f>IF(273&gt;COUNT(Transaksi!$X$16:$X$5015),"",IF(273=1,INDEX(Transaksi!$B$1:$B$5015,ROUND(MOD(MOD(SMALL(Transaksi!$X$16:$X$5015,273),1),0.01)*10000000,0)),IF(INDEX(Transaksi!$B$1:$B$5015,ROUND(MOD(MOD(SMALL(Transaksi!$X$16:$X$5015,273),1),0.01)*10000000,0))=INDEX(Transaksi!$B$1:$B$5015,A281),"",INDEX(Transaksi!$B$1:$B$5015,ROUND(MOD(MOD(SMALL(Transaksi!$X$16:$X$5015,273),1),0.01)*10000000,0)))))</f>
        <v/>
      </c>
      <c r="C282" s="136">
        <f>IF(273&gt;COUNT(Transaksi!$X$16:$X$5015),"",INDEX(Transaksi!$J$1:$J$5015,ROUND(MOD(MOD(SMALL(Transaksi!$X$16:$X$5015,273),1),0.01)*10000000,0))&amp;IF(INDEX(Transaksi!$D$1:$D$5015,ROUND(MOD(MOD(SMALL(Transaksi!$X$16:$X$5015,273),1),0.01)*10000000,0))="Pindah",IF(INDEX(Transaksi!$C$1:$C$5015,ROUND(MOD(MOD(SMALL(Transaksi!$X$16:$X$5015,273),1),0.01)*10000000,0))=$C$4," (ke "&amp;INDEX(Transaksi!$E$1:$E$5015,ROUND(MOD(MOD(SMALL(Transaksi!$X$16:$X$5015,273),1),0.01)*10000000,0))&amp;")"," (dari "&amp;INDEX(Transaksi!$C$1:$C$5015,ROUND(MOD(MOD(SMALL(Transaksi!$X$16:$X$5015,273),1),0.01)*10000000,0))&amp;")"),""))</f>
        <v/>
      </c>
      <c r="D282" s="137">
        <f>IF(273&gt;COUNT(Transaksi!$X$16:$X$5015),"",INDEX(Transaksi!$I$1:$I$5015,ROUND(MOD(MOD(SMALL(Transaksi!$X$16:$X$5015,273),1),0.01)*10000000,0)))</f>
        <v/>
      </c>
      <c r="E282" s="138">
        <f>IF(273&gt;COUNT(Transaksi!$X$16:$X$5015),"",IF(IF(INDEX(Transaksi!$C$1:$C$5015,ROUND(MOD(MOD(SMALL(Transaksi!$X$16:$X$5015,273),1),0.01)*10000000,0))=$C$4,IF(INDEX(Transaksi!$D$1:$D$5015,ROUND(MOD(MOD(SMALL(Transaksi!$X$16:$X$5015,273),1),0.01)*10000000,0))="Masuk",1,-1),1)&gt;0,INDEX(Transaksi!$F$1:$F$5015,ROUND(MOD(MOD(SMALL(Transaksi!$X$16:$X$5015,273),1),0.01)*10000000,0)),""))</f>
        <v/>
      </c>
      <c r="F282" s="139">
        <f>IF(273&gt;COUNT(Transaksi!$X$16:$X$5015),"",IF(IF(INDEX(Transaksi!$C$1:$C$5015,ROUND(MOD(MOD(SMALL(Transaksi!$X$16:$X$5015,273),1),0.01)*10000000,0))=$C$4,IF(INDEX(Transaksi!$D$1:$D$5015,ROUND(MOD(MOD(SMALL(Transaksi!$X$16:$X$5015,273),1),0.01)*10000000,0))="Masuk",1,-1),1)&lt;0,INDEX(Transaksi!$F$1:$F$5015,ROUND(MOD(MOD(SMALL(Transaksi!$X$16:$X$5015,273),1),0.01)*10000000,0)),""))</f>
        <v/>
      </c>
      <c r="G282" s="106">
        <f>IF(273&gt;COUNT(Transaksi!$X$16:$X$5015),"",N(G281)+N(E282)-N(F282))</f>
        <v/>
      </c>
      <c r="H282" s="137">
        <f>IF(273&gt;COUNT(Transaksi!$X$16:$X$5015),"",HYPERLINK("#Transaksi!B"&amp;A282,"Buka"))</f>
        <v/>
      </c>
    </row>
    <row r="283" ht="15" customHeight="1" s="94">
      <c r="A283" s="93">
        <f>IF(274&gt;COUNT(Transaksi!$X$16:$X$5015),"",ROUND(MOD(MOD(SMALL(Transaksi!$X$16:$X$5015,274),1),0.01)*10000000,0))</f>
        <v/>
      </c>
      <c r="B283" s="135">
        <f>IF(274&gt;COUNT(Transaksi!$X$16:$X$5015),"",IF(274=1,INDEX(Transaksi!$B$1:$B$5015,ROUND(MOD(MOD(SMALL(Transaksi!$X$16:$X$5015,274),1),0.01)*10000000,0)),IF(INDEX(Transaksi!$B$1:$B$5015,ROUND(MOD(MOD(SMALL(Transaksi!$X$16:$X$5015,274),1),0.01)*10000000,0))=INDEX(Transaksi!$B$1:$B$5015,A282),"",INDEX(Transaksi!$B$1:$B$5015,ROUND(MOD(MOD(SMALL(Transaksi!$X$16:$X$5015,274),1),0.01)*10000000,0)))))</f>
        <v/>
      </c>
      <c r="C283" s="136">
        <f>IF(274&gt;COUNT(Transaksi!$X$16:$X$5015),"",INDEX(Transaksi!$J$1:$J$5015,ROUND(MOD(MOD(SMALL(Transaksi!$X$16:$X$5015,274),1),0.01)*10000000,0))&amp;IF(INDEX(Transaksi!$D$1:$D$5015,ROUND(MOD(MOD(SMALL(Transaksi!$X$16:$X$5015,274),1),0.01)*10000000,0))="Pindah",IF(INDEX(Transaksi!$C$1:$C$5015,ROUND(MOD(MOD(SMALL(Transaksi!$X$16:$X$5015,274),1),0.01)*10000000,0))=$C$4," (ke "&amp;INDEX(Transaksi!$E$1:$E$5015,ROUND(MOD(MOD(SMALL(Transaksi!$X$16:$X$5015,274),1),0.01)*10000000,0))&amp;")"," (dari "&amp;INDEX(Transaksi!$C$1:$C$5015,ROUND(MOD(MOD(SMALL(Transaksi!$X$16:$X$5015,274),1),0.01)*10000000,0))&amp;")"),""))</f>
        <v/>
      </c>
      <c r="D283" s="137">
        <f>IF(274&gt;COUNT(Transaksi!$X$16:$X$5015),"",INDEX(Transaksi!$I$1:$I$5015,ROUND(MOD(MOD(SMALL(Transaksi!$X$16:$X$5015,274),1),0.01)*10000000,0)))</f>
        <v/>
      </c>
      <c r="E283" s="138">
        <f>IF(274&gt;COUNT(Transaksi!$X$16:$X$5015),"",IF(IF(INDEX(Transaksi!$C$1:$C$5015,ROUND(MOD(MOD(SMALL(Transaksi!$X$16:$X$5015,274),1),0.01)*10000000,0))=$C$4,IF(INDEX(Transaksi!$D$1:$D$5015,ROUND(MOD(MOD(SMALL(Transaksi!$X$16:$X$5015,274),1),0.01)*10000000,0))="Masuk",1,-1),1)&gt;0,INDEX(Transaksi!$F$1:$F$5015,ROUND(MOD(MOD(SMALL(Transaksi!$X$16:$X$5015,274),1),0.01)*10000000,0)),""))</f>
        <v/>
      </c>
      <c r="F283" s="139">
        <f>IF(274&gt;COUNT(Transaksi!$X$16:$X$5015),"",IF(IF(INDEX(Transaksi!$C$1:$C$5015,ROUND(MOD(MOD(SMALL(Transaksi!$X$16:$X$5015,274),1),0.01)*10000000,0))=$C$4,IF(INDEX(Transaksi!$D$1:$D$5015,ROUND(MOD(MOD(SMALL(Transaksi!$X$16:$X$5015,274),1),0.01)*10000000,0))="Masuk",1,-1),1)&lt;0,INDEX(Transaksi!$F$1:$F$5015,ROUND(MOD(MOD(SMALL(Transaksi!$X$16:$X$5015,274),1),0.01)*10000000,0)),""))</f>
        <v/>
      </c>
      <c r="G283" s="106">
        <f>IF(274&gt;COUNT(Transaksi!$X$16:$X$5015),"",N(G282)+N(E283)-N(F283))</f>
        <v/>
      </c>
      <c r="H283" s="137">
        <f>IF(274&gt;COUNT(Transaksi!$X$16:$X$5015),"",HYPERLINK("#Transaksi!B"&amp;A283,"Buka"))</f>
        <v/>
      </c>
    </row>
    <row r="284" ht="15" customHeight="1" s="94">
      <c r="A284" s="93">
        <f>IF(275&gt;COUNT(Transaksi!$X$16:$X$5015),"",ROUND(MOD(MOD(SMALL(Transaksi!$X$16:$X$5015,275),1),0.01)*10000000,0))</f>
        <v/>
      </c>
      <c r="B284" s="135">
        <f>IF(275&gt;COUNT(Transaksi!$X$16:$X$5015),"",IF(275=1,INDEX(Transaksi!$B$1:$B$5015,ROUND(MOD(MOD(SMALL(Transaksi!$X$16:$X$5015,275),1),0.01)*10000000,0)),IF(INDEX(Transaksi!$B$1:$B$5015,ROUND(MOD(MOD(SMALL(Transaksi!$X$16:$X$5015,275),1),0.01)*10000000,0))=INDEX(Transaksi!$B$1:$B$5015,A283),"",INDEX(Transaksi!$B$1:$B$5015,ROUND(MOD(MOD(SMALL(Transaksi!$X$16:$X$5015,275),1),0.01)*10000000,0)))))</f>
        <v/>
      </c>
      <c r="C284" s="136">
        <f>IF(275&gt;COUNT(Transaksi!$X$16:$X$5015),"",INDEX(Transaksi!$J$1:$J$5015,ROUND(MOD(MOD(SMALL(Transaksi!$X$16:$X$5015,275),1),0.01)*10000000,0))&amp;IF(INDEX(Transaksi!$D$1:$D$5015,ROUND(MOD(MOD(SMALL(Transaksi!$X$16:$X$5015,275),1),0.01)*10000000,0))="Pindah",IF(INDEX(Transaksi!$C$1:$C$5015,ROUND(MOD(MOD(SMALL(Transaksi!$X$16:$X$5015,275),1),0.01)*10000000,0))=$C$4," (ke "&amp;INDEX(Transaksi!$E$1:$E$5015,ROUND(MOD(MOD(SMALL(Transaksi!$X$16:$X$5015,275),1),0.01)*10000000,0))&amp;")"," (dari "&amp;INDEX(Transaksi!$C$1:$C$5015,ROUND(MOD(MOD(SMALL(Transaksi!$X$16:$X$5015,275),1),0.01)*10000000,0))&amp;")"),""))</f>
        <v/>
      </c>
      <c r="D284" s="137">
        <f>IF(275&gt;COUNT(Transaksi!$X$16:$X$5015),"",INDEX(Transaksi!$I$1:$I$5015,ROUND(MOD(MOD(SMALL(Transaksi!$X$16:$X$5015,275),1),0.01)*10000000,0)))</f>
        <v/>
      </c>
      <c r="E284" s="138">
        <f>IF(275&gt;COUNT(Transaksi!$X$16:$X$5015),"",IF(IF(INDEX(Transaksi!$C$1:$C$5015,ROUND(MOD(MOD(SMALL(Transaksi!$X$16:$X$5015,275),1),0.01)*10000000,0))=$C$4,IF(INDEX(Transaksi!$D$1:$D$5015,ROUND(MOD(MOD(SMALL(Transaksi!$X$16:$X$5015,275),1),0.01)*10000000,0))="Masuk",1,-1),1)&gt;0,INDEX(Transaksi!$F$1:$F$5015,ROUND(MOD(MOD(SMALL(Transaksi!$X$16:$X$5015,275),1),0.01)*10000000,0)),""))</f>
        <v/>
      </c>
      <c r="F284" s="139">
        <f>IF(275&gt;COUNT(Transaksi!$X$16:$X$5015),"",IF(IF(INDEX(Transaksi!$C$1:$C$5015,ROUND(MOD(MOD(SMALL(Transaksi!$X$16:$X$5015,275),1),0.01)*10000000,0))=$C$4,IF(INDEX(Transaksi!$D$1:$D$5015,ROUND(MOD(MOD(SMALL(Transaksi!$X$16:$X$5015,275),1),0.01)*10000000,0))="Masuk",1,-1),1)&lt;0,INDEX(Transaksi!$F$1:$F$5015,ROUND(MOD(MOD(SMALL(Transaksi!$X$16:$X$5015,275),1),0.01)*10000000,0)),""))</f>
        <v/>
      </c>
      <c r="G284" s="106">
        <f>IF(275&gt;COUNT(Transaksi!$X$16:$X$5015),"",N(G283)+N(E284)-N(F284))</f>
        <v/>
      </c>
      <c r="H284" s="137">
        <f>IF(275&gt;COUNT(Transaksi!$X$16:$X$5015),"",HYPERLINK("#Transaksi!B"&amp;A284,"Buka"))</f>
        <v/>
      </c>
    </row>
    <row r="285" ht="15" customHeight="1" s="94">
      <c r="A285" s="93">
        <f>IF(276&gt;COUNT(Transaksi!$X$16:$X$5015),"",ROUND(MOD(MOD(SMALL(Transaksi!$X$16:$X$5015,276),1),0.01)*10000000,0))</f>
        <v/>
      </c>
      <c r="B285" s="135">
        <f>IF(276&gt;COUNT(Transaksi!$X$16:$X$5015),"",IF(276=1,INDEX(Transaksi!$B$1:$B$5015,ROUND(MOD(MOD(SMALL(Transaksi!$X$16:$X$5015,276),1),0.01)*10000000,0)),IF(INDEX(Transaksi!$B$1:$B$5015,ROUND(MOD(MOD(SMALL(Transaksi!$X$16:$X$5015,276),1),0.01)*10000000,0))=INDEX(Transaksi!$B$1:$B$5015,A284),"",INDEX(Transaksi!$B$1:$B$5015,ROUND(MOD(MOD(SMALL(Transaksi!$X$16:$X$5015,276),1),0.01)*10000000,0)))))</f>
        <v/>
      </c>
      <c r="C285" s="136">
        <f>IF(276&gt;COUNT(Transaksi!$X$16:$X$5015),"",INDEX(Transaksi!$J$1:$J$5015,ROUND(MOD(MOD(SMALL(Transaksi!$X$16:$X$5015,276),1),0.01)*10000000,0))&amp;IF(INDEX(Transaksi!$D$1:$D$5015,ROUND(MOD(MOD(SMALL(Transaksi!$X$16:$X$5015,276),1),0.01)*10000000,0))="Pindah",IF(INDEX(Transaksi!$C$1:$C$5015,ROUND(MOD(MOD(SMALL(Transaksi!$X$16:$X$5015,276),1),0.01)*10000000,0))=$C$4," (ke "&amp;INDEX(Transaksi!$E$1:$E$5015,ROUND(MOD(MOD(SMALL(Transaksi!$X$16:$X$5015,276),1),0.01)*10000000,0))&amp;")"," (dari "&amp;INDEX(Transaksi!$C$1:$C$5015,ROUND(MOD(MOD(SMALL(Transaksi!$X$16:$X$5015,276),1),0.01)*10000000,0))&amp;")"),""))</f>
        <v/>
      </c>
      <c r="D285" s="137">
        <f>IF(276&gt;COUNT(Transaksi!$X$16:$X$5015),"",INDEX(Transaksi!$I$1:$I$5015,ROUND(MOD(MOD(SMALL(Transaksi!$X$16:$X$5015,276),1),0.01)*10000000,0)))</f>
        <v/>
      </c>
      <c r="E285" s="138">
        <f>IF(276&gt;COUNT(Transaksi!$X$16:$X$5015),"",IF(IF(INDEX(Transaksi!$C$1:$C$5015,ROUND(MOD(MOD(SMALL(Transaksi!$X$16:$X$5015,276),1),0.01)*10000000,0))=$C$4,IF(INDEX(Transaksi!$D$1:$D$5015,ROUND(MOD(MOD(SMALL(Transaksi!$X$16:$X$5015,276),1),0.01)*10000000,0))="Masuk",1,-1),1)&gt;0,INDEX(Transaksi!$F$1:$F$5015,ROUND(MOD(MOD(SMALL(Transaksi!$X$16:$X$5015,276),1),0.01)*10000000,0)),""))</f>
        <v/>
      </c>
      <c r="F285" s="139">
        <f>IF(276&gt;COUNT(Transaksi!$X$16:$X$5015),"",IF(IF(INDEX(Transaksi!$C$1:$C$5015,ROUND(MOD(MOD(SMALL(Transaksi!$X$16:$X$5015,276),1),0.01)*10000000,0))=$C$4,IF(INDEX(Transaksi!$D$1:$D$5015,ROUND(MOD(MOD(SMALL(Transaksi!$X$16:$X$5015,276),1),0.01)*10000000,0))="Masuk",1,-1),1)&lt;0,INDEX(Transaksi!$F$1:$F$5015,ROUND(MOD(MOD(SMALL(Transaksi!$X$16:$X$5015,276),1),0.01)*10000000,0)),""))</f>
        <v/>
      </c>
      <c r="G285" s="106">
        <f>IF(276&gt;COUNT(Transaksi!$X$16:$X$5015),"",N(G284)+N(E285)-N(F285))</f>
        <v/>
      </c>
      <c r="H285" s="137">
        <f>IF(276&gt;COUNT(Transaksi!$X$16:$X$5015),"",HYPERLINK("#Transaksi!B"&amp;A285,"Buka"))</f>
        <v/>
      </c>
    </row>
    <row r="286" ht="15" customHeight="1" s="94">
      <c r="A286" s="93">
        <f>IF(277&gt;COUNT(Transaksi!$X$16:$X$5015),"",ROUND(MOD(MOD(SMALL(Transaksi!$X$16:$X$5015,277),1),0.01)*10000000,0))</f>
        <v/>
      </c>
      <c r="B286" s="135">
        <f>IF(277&gt;COUNT(Transaksi!$X$16:$X$5015),"",IF(277=1,INDEX(Transaksi!$B$1:$B$5015,ROUND(MOD(MOD(SMALL(Transaksi!$X$16:$X$5015,277),1),0.01)*10000000,0)),IF(INDEX(Transaksi!$B$1:$B$5015,ROUND(MOD(MOD(SMALL(Transaksi!$X$16:$X$5015,277),1),0.01)*10000000,0))=INDEX(Transaksi!$B$1:$B$5015,A285),"",INDEX(Transaksi!$B$1:$B$5015,ROUND(MOD(MOD(SMALL(Transaksi!$X$16:$X$5015,277),1),0.01)*10000000,0)))))</f>
        <v/>
      </c>
      <c r="C286" s="136">
        <f>IF(277&gt;COUNT(Transaksi!$X$16:$X$5015),"",INDEX(Transaksi!$J$1:$J$5015,ROUND(MOD(MOD(SMALL(Transaksi!$X$16:$X$5015,277),1),0.01)*10000000,0))&amp;IF(INDEX(Transaksi!$D$1:$D$5015,ROUND(MOD(MOD(SMALL(Transaksi!$X$16:$X$5015,277),1),0.01)*10000000,0))="Pindah",IF(INDEX(Transaksi!$C$1:$C$5015,ROUND(MOD(MOD(SMALL(Transaksi!$X$16:$X$5015,277),1),0.01)*10000000,0))=$C$4," (ke "&amp;INDEX(Transaksi!$E$1:$E$5015,ROUND(MOD(MOD(SMALL(Transaksi!$X$16:$X$5015,277),1),0.01)*10000000,0))&amp;")"," (dari "&amp;INDEX(Transaksi!$C$1:$C$5015,ROUND(MOD(MOD(SMALL(Transaksi!$X$16:$X$5015,277),1),0.01)*10000000,0))&amp;")"),""))</f>
        <v/>
      </c>
      <c r="D286" s="137">
        <f>IF(277&gt;COUNT(Transaksi!$X$16:$X$5015),"",INDEX(Transaksi!$I$1:$I$5015,ROUND(MOD(MOD(SMALL(Transaksi!$X$16:$X$5015,277),1),0.01)*10000000,0)))</f>
        <v/>
      </c>
      <c r="E286" s="138">
        <f>IF(277&gt;COUNT(Transaksi!$X$16:$X$5015),"",IF(IF(INDEX(Transaksi!$C$1:$C$5015,ROUND(MOD(MOD(SMALL(Transaksi!$X$16:$X$5015,277),1),0.01)*10000000,0))=$C$4,IF(INDEX(Transaksi!$D$1:$D$5015,ROUND(MOD(MOD(SMALL(Transaksi!$X$16:$X$5015,277),1),0.01)*10000000,0))="Masuk",1,-1),1)&gt;0,INDEX(Transaksi!$F$1:$F$5015,ROUND(MOD(MOD(SMALL(Transaksi!$X$16:$X$5015,277),1),0.01)*10000000,0)),""))</f>
        <v/>
      </c>
      <c r="F286" s="139">
        <f>IF(277&gt;COUNT(Transaksi!$X$16:$X$5015),"",IF(IF(INDEX(Transaksi!$C$1:$C$5015,ROUND(MOD(MOD(SMALL(Transaksi!$X$16:$X$5015,277),1),0.01)*10000000,0))=$C$4,IF(INDEX(Transaksi!$D$1:$D$5015,ROUND(MOD(MOD(SMALL(Transaksi!$X$16:$X$5015,277),1),0.01)*10000000,0))="Masuk",1,-1),1)&lt;0,INDEX(Transaksi!$F$1:$F$5015,ROUND(MOD(MOD(SMALL(Transaksi!$X$16:$X$5015,277),1),0.01)*10000000,0)),""))</f>
        <v/>
      </c>
      <c r="G286" s="106">
        <f>IF(277&gt;COUNT(Transaksi!$X$16:$X$5015),"",N(G285)+N(E286)-N(F286))</f>
        <v/>
      </c>
      <c r="H286" s="137">
        <f>IF(277&gt;COUNT(Transaksi!$X$16:$X$5015),"",HYPERLINK("#Transaksi!B"&amp;A286,"Buka"))</f>
        <v/>
      </c>
    </row>
    <row r="287" ht="15" customHeight="1" s="94">
      <c r="A287" s="93">
        <f>IF(278&gt;COUNT(Transaksi!$X$16:$X$5015),"",ROUND(MOD(MOD(SMALL(Transaksi!$X$16:$X$5015,278),1),0.01)*10000000,0))</f>
        <v/>
      </c>
      <c r="B287" s="135">
        <f>IF(278&gt;COUNT(Transaksi!$X$16:$X$5015),"",IF(278=1,INDEX(Transaksi!$B$1:$B$5015,ROUND(MOD(MOD(SMALL(Transaksi!$X$16:$X$5015,278),1),0.01)*10000000,0)),IF(INDEX(Transaksi!$B$1:$B$5015,ROUND(MOD(MOD(SMALL(Transaksi!$X$16:$X$5015,278),1),0.01)*10000000,0))=INDEX(Transaksi!$B$1:$B$5015,A286),"",INDEX(Transaksi!$B$1:$B$5015,ROUND(MOD(MOD(SMALL(Transaksi!$X$16:$X$5015,278),1),0.01)*10000000,0)))))</f>
        <v/>
      </c>
      <c r="C287" s="136">
        <f>IF(278&gt;COUNT(Transaksi!$X$16:$X$5015),"",INDEX(Transaksi!$J$1:$J$5015,ROUND(MOD(MOD(SMALL(Transaksi!$X$16:$X$5015,278),1),0.01)*10000000,0))&amp;IF(INDEX(Transaksi!$D$1:$D$5015,ROUND(MOD(MOD(SMALL(Transaksi!$X$16:$X$5015,278),1),0.01)*10000000,0))="Pindah",IF(INDEX(Transaksi!$C$1:$C$5015,ROUND(MOD(MOD(SMALL(Transaksi!$X$16:$X$5015,278),1),0.01)*10000000,0))=$C$4," (ke "&amp;INDEX(Transaksi!$E$1:$E$5015,ROUND(MOD(MOD(SMALL(Transaksi!$X$16:$X$5015,278),1),0.01)*10000000,0))&amp;")"," (dari "&amp;INDEX(Transaksi!$C$1:$C$5015,ROUND(MOD(MOD(SMALL(Transaksi!$X$16:$X$5015,278),1),0.01)*10000000,0))&amp;")"),""))</f>
        <v/>
      </c>
      <c r="D287" s="137">
        <f>IF(278&gt;COUNT(Transaksi!$X$16:$X$5015),"",INDEX(Transaksi!$I$1:$I$5015,ROUND(MOD(MOD(SMALL(Transaksi!$X$16:$X$5015,278),1),0.01)*10000000,0)))</f>
        <v/>
      </c>
      <c r="E287" s="138">
        <f>IF(278&gt;COUNT(Transaksi!$X$16:$X$5015),"",IF(IF(INDEX(Transaksi!$C$1:$C$5015,ROUND(MOD(MOD(SMALL(Transaksi!$X$16:$X$5015,278),1),0.01)*10000000,0))=$C$4,IF(INDEX(Transaksi!$D$1:$D$5015,ROUND(MOD(MOD(SMALL(Transaksi!$X$16:$X$5015,278),1),0.01)*10000000,0))="Masuk",1,-1),1)&gt;0,INDEX(Transaksi!$F$1:$F$5015,ROUND(MOD(MOD(SMALL(Transaksi!$X$16:$X$5015,278),1),0.01)*10000000,0)),""))</f>
        <v/>
      </c>
      <c r="F287" s="139">
        <f>IF(278&gt;COUNT(Transaksi!$X$16:$X$5015),"",IF(IF(INDEX(Transaksi!$C$1:$C$5015,ROUND(MOD(MOD(SMALL(Transaksi!$X$16:$X$5015,278),1),0.01)*10000000,0))=$C$4,IF(INDEX(Transaksi!$D$1:$D$5015,ROUND(MOD(MOD(SMALL(Transaksi!$X$16:$X$5015,278),1),0.01)*10000000,0))="Masuk",1,-1),1)&lt;0,INDEX(Transaksi!$F$1:$F$5015,ROUND(MOD(MOD(SMALL(Transaksi!$X$16:$X$5015,278),1),0.01)*10000000,0)),""))</f>
        <v/>
      </c>
      <c r="G287" s="106">
        <f>IF(278&gt;COUNT(Transaksi!$X$16:$X$5015),"",N(G286)+N(E287)-N(F287))</f>
        <v/>
      </c>
      <c r="H287" s="137">
        <f>IF(278&gt;COUNT(Transaksi!$X$16:$X$5015),"",HYPERLINK("#Transaksi!B"&amp;A287,"Buka"))</f>
        <v/>
      </c>
    </row>
    <row r="288" ht="15" customHeight="1" s="94">
      <c r="A288" s="93">
        <f>IF(279&gt;COUNT(Transaksi!$X$16:$X$5015),"",ROUND(MOD(MOD(SMALL(Transaksi!$X$16:$X$5015,279),1),0.01)*10000000,0))</f>
        <v/>
      </c>
      <c r="B288" s="135">
        <f>IF(279&gt;COUNT(Transaksi!$X$16:$X$5015),"",IF(279=1,INDEX(Transaksi!$B$1:$B$5015,ROUND(MOD(MOD(SMALL(Transaksi!$X$16:$X$5015,279),1),0.01)*10000000,0)),IF(INDEX(Transaksi!$B$1:$B$5015,ROUND(MOD(MOD(SMALL(Transaksi!$X$16:$X$5015,279),1),0.01)*10000000,0))=INDEX(Transaksi!$B$1:$B$5015,A287),"",INDEX(Transaksi!$B$1:$B$5015,ROUND(MOD(MOD(SMALL(Transaksi!$X$16:$X$5015,279),1),0.01)*10000000,0)))))</f>
        <v/>
      </c>
      <c r="C288" s="136">
        <f>IF(279&gt;COUNT(Transaksi!$X$16:$X$5015),"",INDEX(Transaksi!$J$1:$J$5015,ROUND(MOD(MOD(SMALL(Transaksi!$X$16:$X$5015,279),1),0.01)*10000000,0))&amp;IF(INDEX(Transaksi!$D$1:$D$5015,ROUND(MOD(MOD(SMALL(Transaksi!$X$16:$X$5015,279),1),0.01)*10000000,0))="Pindah",IF(INDEX(Transaksi!$C$1:$C$5015,ROUND(MOD(MOD(SMALL(Transaksi!$X$16:$X$5015,279),1),0.01)*10000000,0))=$C$4," (ke "&amp;INDEX(Transaksi!$E$1:$E$5015,ROUND(MOD(MOD(SMALL(Transaksi!$X$16:$X$5015,279),1),0.01)*10000000,0))&amp;")"," (dari "&amp;INDEX(Transaksi!$C$1:$C$5015,ROUND(MOD(MOD(SMALL(Transaksi!$X$16:$X$5015,279),1),0.01)*10000000,0))&amp;")"),""))</f>
        <v/>
      </c>
      <c r="D288" s="137">
        <f>IF(279&gt;COUNT(Transaksi!$X$16:$X$5015),"",INDEX(Transaksi!$I$1:$I$5015,ROUND(MOD(MOD(SMALL(Transaksi!$X$16:$X$5015,279),1),0.01)*10000000,0)))</f>
        <v/>
      </c>
      <c r="E288" s="138">
        <f>IF(279&gt;COUNT(Transaksi!$X$16:$X$5015),"",IF(IF(INDEX(Transaksi!$C$1:$C$5015,ROUND(MOD(MOD(SMALL(Transaksi!$X$16:$X$5015,279),1),0.01)*10000000,0))=$C$4,IF(INDEX(Transaksi!$D$1:$D$5015,ROUND(MOD(MOD(SMALL(Transaksi!$X$16:$X$5015,279),1),0.01)*10000000,0))="Masuk",1,-1),1)&gt;0,INDEX(Transaksi!$F$1:$F$5015,ROUND(MOD(MOD(SMALL(Transaksi!$X$16:$X$5015,279),1),0.01)*10000000,0)),""))</f>
        <v/>
      </c>
      <c r="F288" s="139">
        <f>IF(279&gt;COUNT(Transaksi!$X$16:$X$5015),"",IF(IF(INDEX(Transaksi!$C$1:$C$5015,ROUND(MOD(MOD(SMALL(Transaksi!$X$16:$X$5015,279),1),0.01)*10000000,0))=$C$4,IF(INDEX(Transaksi!$D$1:$D$5015,ROUND(MOD(MOD(SMALL(Transaksi!$X$16:$X$5015,279),1),0.01)*10000000,0))="Masuk",1,-1),1)&lt;0,INDEX(Transaksi!$F$1:$F$5015,ROUND(MOD(MOD(SMALL(Transaksi!$X$16:$X$5015,279),1),0.01)*10000000,0)),""))</f>
        <v/>
      </c>
      <c r="G288" s="106">
        <f>IF(279&gt;COUNT(Transaksi!$X$16:$X$5015),"",N(G287)+N(E288)-N(F288))</f>
        <v/>
      </c>
      <c r="H288" s="137">
        <f>IF(279&gt;COUNT(Transaksi!$X$16:$X$5015),"",HYPERLINK("#Transaksi!B"&amp;A288,"Buka"))</f>
        <v/>
      </c>
    </row>
    <row r="289" ht="15" customHeight="1" s="94">
      <c r="A289" s="93">
        <f>IF(280&gt;COUNT(Transaksi!$X$16:$X$5015),"",ROUND(MOD(MOD(SMALL(Transaksi!$X$16:$X$5015,280),1),0.01)*10000000,0))</f>
        <v/>
      </c>
      <c r="B289" s="135">
        <f>IF(280&gt;COUNT(Transaksi!$X$16:$X$5015),"",IF(280=1,INDEX(Transaksi!$B$1:$B$5015,ROUND(MOD(MOD(SMALL(Transaksi!$X$16:$X$5015,280),1),0.01)*10000000,0)),IF(INDEX(Transaksi!$B$1:$B$5015,ROUND(MOD(MOD(SMALL(Transaksi!$X$16:$X$5015,280),1),0.01)*10000000,0))=INDEX(Transaksi!$B$1:$B$5015,A288),"",INDEX(Transaksi!$B$1:$B$5015,ROUND(MOD(MOD(SMALL(Transaksi!$X$16:$X$5015,280),1),0.01)*10000000,0)))))</f>
        <v/>
      </c>
      <c r="C289" s="136">
        <f>IF(280&gt;COUNT(Transaksi!$X$16:$X$5015),"",INDEX(Transaksi!$J$1:$J$5015,ROUND(MOD(MOD(SMALL(Transaksi!$X$16:$X$5015,280),1),0.01)*10000000,0))&amp;IF(INDEX(Transaksi!$D$1:$D$5015,ROUND(MOD(MOD(SMALL(Transaksi!$X$16:$X$5015,280),1),0.01)*10000000,0))="Pindah",IF(INDEX(Transaksi!$C$1:$C$5015,ROUND(MOD(MOD(SMALL(Transaksi!$X$16:$X$5015,280),1),0.01)*10000000,0))=$C$4," (ke "&amp;INDEX(Transaksi!$E$1:$E$5015,ROUND(MOD(MOD(SMALL(Transaksi!$X$16:$X$5015,280),1),0.01)*10000000,0))&amp;")"," (dari "&amp;INDEX(Transaksi!$C$1:$C$5015,ROUND(MOD(MOD(SMALL(Transaksi!$X$16:$X$5015,280),1),0.01)*10000000,0))&amp;")"),""))</f>
        <v/>
      </c>
      <c r="D289" s="137">
        <f>IF(280&gt;COUNT(Transaksi!$X$16:$X$5015),"",INDEX(Transaksi!$I$1:$I$5015,ROUND(MOD(MOD(SMALL(Transaksi!$X$16:$X$5015,280),1),0.01)*10000000,0)))</f>
        <v/>
      </c>
      <c r="E289" s="138">
        <f>IF(280&gt;COUNT(Transaksi!$X$16:$X$5015),"",IF(IF(INDEX(Transaksi!$C$1:$C$5015,ROUND(MOD(MOD(SMALL(Transaksi!$X$16:$X$5015,280),1),0.01)*10000000,0))=$C$4,IF(INDEX(Transaksi!$D$1:$D$5015,ROUND(MOD(MOD(SMALL(Transaksi!$X$16:$X$5015,280),1),0.01)*10000000,0))="Masuk",1,-1),1)&gt;0,INDEX(Transaksi!$F$1:$F$5015,ROUND(MOD(MOD(SMALL(Transaksi!$X$16:$X$5015,280),1),0.01)*10000000,0)),""))</f>
        <v/>
      </c>
      <c r="F289" s="139">
        <f>IF(280&gt;COUNT(Transaksi!$X$16:$X$5015),"",IF(IF(INDEX(Transaksi!$C$1:$C$5015,ROUND(MOD(MOD(SMALL(Transaksi!$X$16:$X$5015,280),1),0.01)*10000000,0))=$C$4,IF(INDEX(Transaksi!$D$1:$D$5015,ROUND(MOD(MOD(SMALL(Transaksi!$X$16:$X$5015,280),1),0.01)*10000000,0))="Masuk",1,-1),1)&lt;0,INDEX(Transaksi!$F$1:$F$5015,ROUND(MOD(MOD(SMALL(Transaksi!$X$16:$X$5015,280),1),0.01)*10000000,0)),""))</f>
        <v/>
      </c>
      <c r="G289" s="106">
        <f>IF(280&gt;COUNT(Transaksi!$X$16:$X$5015),"",N(G288)+N(E289)-N(F289))</f>
        <v/>
      </c>
      <c r="H289" s="137">
        <f>IF(280&gt;COUNT(Transaksi!$X$16:$X$5015),"",HYPERLINK("#Transaksi!B"&amp;A289,"Buka"))</f>
        <v/>
      </c>
    </row>
    <row r="290" ht="15" customHeight="1" s="94">
      <c r="A290" s="93">
        <f>IF(281&gt;COUNT(Transaksi!$X$16:$X$5015),"",ROUND(MOD(MOD(SMALL(Transaksi!$X$16:$X$5015,281),1),0.01)*10000000,0))</f>
        <v/>
      </c>
      <c r="B290" s="135">
        <f>IF(281&gt;COUNT(Transaksi!$X$16:$X$5015),"",IF(281=1,INDEX(Transaksi!$B$1:$B$5015,ROUND(MOD(MOD(SMALL(Transaksi!$X$16:$X$5015,281),1),0.01)*10000000,0)),IF(INDEX(Transaksi!$B$1:$B$5015,ROUND(MOD(MOD(SMALL(Transaksi!$X$16:$X$5015,281),1),0.01)*10000000,0))=INDEX(Transaksi!$B$1:$B$5015,A289),"",INDEX(Transaksi!$B$1:$B$5015,ROUND(MOD(MOD(SMALL(Transaksi!$X$16:$X$5015,281),1),0.01)*10000000,0)))))</f>
        <v/>
      </c>
      <c r="C290" s="136">
        <f>IF(281&gt;COUNT(Transaksi!$X$16:$X$5015),"",INDEX(Transaksi!$J$1:$J$5015,ROUND(MOD(MOD(SMALL(Transaksi!$X$16:$X$5015,281),1),0.01)*10000000,0))&amp;IF(INDEX(Transaksi!$D$1:$D$5015,ROUND(MOD(MOD(SMALL(Transaksi!$X$16:$X$5015,281),1),0.01)*10000000,0))="Pindah",IF(INDEX(Transaksi!$C$1:$C$5015,ROUND(MOD(MOD(SMALL(Transaksi!$X$16:$X$5015,281),1),0.01)*10000000,0))=$C$4," (ke "&amp;INDEX(Transaksi!$E$1:$E$5015,ROUND(MOD(MOD(SMALL(Transaksi!$X$16:$X$5015,281),1),0.01)*10000000,0))&amp;")"," (dari "&amp;INDEX(Transaksi!$C$1:$C$5015,ROUND(MOD(MOD(SMALL(Transaksi!$X$16:$X$5015,281),1),0.01)*10000000,0))&amp;")"),""))</f>
        <v/>
      </c>
      <c r="D290" s="137">
        <f>IF(281&gt;COUNT(Transaksi!$X$16:$X$5015),"",INDEX(Transaksi!$I$1:$I$5015,ROUND(MOD(MOD(SMALL(Transaksi!$X$16:$X$5015,281),1),0.01)*10000000,0)))</f>
        <v/>
      </c>
      <c r="E290" s="138">
        <f>IF(281&gt;COUNT(Transaksi!$X$16:$X$5015),"",IF(IF(INDEX(Transaksi!$C$1:$C$5015,ROUND(MOD(MOD(SMALL(Transaksi!$X$16:$X$5015,281),1),0.01)*10000000,0))=$C$4,IF(INDEX(Transaksi!$D$1:$D$5015,ROUND(MOD(MOD(SMALL(Transaksi!$X$16:$X$5015,281),1),0.01)*10000000,0))="Masuk",1,-1),1)&gt;0,INDEX(Transaksi!$F$1:$F$5015,ROUND(MOD(MOD(SMALL(Transaksi!$X$16:$X$5015,281),1),0.01)*10000000,0)),""))</f>
        <v/>
      </c>
      <c r="F290" s="139">
        <f>IF(281&gt;COUNT(Transaksi!$X$16:$X$5015),"",IF(IF(INDEX(Transaksi!$C$1:$C$5015,ROUND(MOD(MOD(SMALL(Transaksi!$X$16:$X$5015,281),1),0.01)*10000000,0))=$C$4,IF(INDEX(Transaksi!$D$1:$D$5015,ROUND(MOD(MOD(SMALL(Transaksi!$X$16:$X$5015,281),1),0.01)*10000000,0))="Masuk",1,-1),1)&lt;0,INDEX(Transaksi!$F$1:$F$5015,ROUND(MOD(MOD(SMALL(Transaksi!$X$16:$X$5015,281),1),0.01)*10000000,0)),""))</f>
        <v/>
      </c>
      <c r="G290" s="106">
        <f>IF(281&gt;COUNT(Transaksi!$X$16:$X$5015),"",N(G289)+N(E290)-N(F290))</f>
        <v/>
      </c>
      <c r="H290" s="137">
        <f>IF(281&gt;COUNT(Transaksi!$X$16:$X$5015),"",HYPERLINK("#Transaksi!B"&amp;A290,"Buka"))</f>
        <v/>
      </c>
    </row>
    <row r="291" ht="15" customHeight="1" s="94">
      <c r="A291" s="93">
        <f>IF(282&gt;COUNT(Transaksi!$X$16:$X$5015),"",ROUND(MOD(MOD(SMALL(Transaksi!$X$16:$X$5015,282),1),0.01)*10000000,0))</f>
        <v/>
      </c>
      <c r="B291" s="135">
        <f>IF(282&gt;COUNT(Transaksi!$X$16:$X$5015),"",IF(282=1,INDEX(Transaksi!$B$1:$B$5015,ROUND(MOD(MOD(SMALL(Transaksi!$X$16:$X$5015,282),1),0.01)*10000000,0)),IF(INDEX(Transaksi!$B$1:$B$5015,ROUND(MOD(MOD(SMALL(Transaksi!$X$16:$X$5015,282),1),0.01)*10000000,0))=INDEX(Transaksi!$B$1:$B$5015,A290),"",INDEX(Transaksi!$B$1:$B$5015,ROUND(MOD(MOD(SMALL(Transaksi!$X$16:$X$5015,282),1),0.01)*10000000,0)))))</f>
        <v/>
      </c>
      <c r="C291" s="136">
        <f>IF(282&gt;COUNT(Transaksi!$X$16:$X$5015),"",INDEX(Transaksi!$J$1:$J$5015,ROUND(MOD(MOD(SMALL(Transaksi!$X$16:$X$5015,282),1),0.01)*10000000,0))&amp;IF(INDEX(Transaksi!$D$1:$D$5015,ROUND(MOD(MOD(SMALL(Transaksi!$X$16:$X$5015,282),1),0.01)*10000000,0))="Pindah",IF(INDEX(Transaksi!$C$1:$C$5015,ROUND(MOD(MOD(SMALL(Transaksi!$X$16:$X$5015,282),1),0.01)*10000000,0))=$C$4," (ke "&amp;INDEX(Transaksi!$E$1:$E$5015,ROUND(MOD(MOD(SMALL(Transaksi!$X$16:$X$5015,282),1),0.01)*10000000,0))&amp;")"," (dari "&amp;INDEX(Transaksi!$C$1:$C$5015,ROUND(MOD(MOD(SMALL(Transaksi!$X$16:$X$5015,282),1),0.01)*10000000,0))&amp;")"),""))</f>
        <v/>
      </c>
      <c r="D291" s="137">
        <f>IF(282&gt;COUNT(Transaksi!$X$16:$X$5015),"",INDEX(Transaksi!$I$1:$I$5015,ROUND(MOD(MOD(SMALL(Transaksi!$X$16:$X$5015,282),1),0.01)*10000000,0)))</f>
        <v/>
      </c>
      <c r="E291" s="138">
        <f>IF(282&gt;COUNT(Transaksi!$X$16:$X$5015),"",IF(IF(INDEX(Transaksi!$C$1:$C$5015,ROUND(MOD(MOD(SMALL(Transaksi!$X$16:$X$5015,282),1),0.01)*10000000,0))=$C$4,IF(INDEX(Transaksi!$D$1:$D$5015,ROUND(MOD(MOD(SMALL(Transaksi!$X$16:$X$5015,282),1),0.01)*10000000,0))="Masuk",1,-1),1)&gt;0,INDEX(Transaksi!$F$1:$F$5015,ROUND(MOD(MOD(SMALL(Transaksi!$X$16:$X$5015,282),1),0.01)*10000000,0)),""))</f>
        <v/>
      </c>
      <c r="F291" s="139">
        <f>IF(282&gt;COUNT(Transaksi!$X$16:$X$5015),"",IF(IF(INDEX(Transaksi!$C$1:$C$5015,ROUND(MOD(MOD(SMALL(Transaksi!$X$16:$X$5015,282),1),0.01)*10000000,0))=$C$4,IF(INDEX(Transaksi!$D$1:$D$5015,ROUND(MOD(MOD(SMALL(Transaksi!$X$16:$X$5015,282),1),0.01)*10000000,0))="Masuk",1,-1),1)&lt;0,INDEX(Transaksi!$F$1:$F$5015,ROUND(MOD(MOD(SMALL(Transaksi!$X$16:$X$5015,282),1),0.01)*10000000,0)),""))</f>
        <v/>
      </c>
      <c r="G291" s="106">
        <f>IF(282&gt;COUNT(Transaksi!$X$16:$X$5015),"",N(G290)+N(E291)-N(F291))</f>
        <v/>
      </c>
      <c r="H291" s="137">
        <f>IF(282&gt;COUNT(Transaksi!$X$16:$X$5015),"",HYPERLINK("#Transaksi!B"&amp;A291,"Buka"))</f>
        <v/>
      </c>
    </row>
    <row r="292" ht="15" customHeight="1" s="94">
      <c r="A292" s="93">
        <f>IF(283&gt;COUNT(Transaksi!$X$16:$X$5015),"",ROUND(MOD(MOD(SMALL(Transaksi!$X$16:$X$5015,283),1),0.01)*10000000,0))</f>
        <v/>
      </c>
      <c r="B292" s="135">
        <f>IF(283&gt;COUNT(Transaksi!$X$16:$X$5015),"",IF(283=1,INDEX(Transaksi!$B$1:$B$5015,ROUND(MOD(MOD(SMALL(Transaksi!$X$16:$X$5015,283),1),0.01)*10000000,0)),IF(INDEX(Transaksi!$B$1:$B$5015,ROUND(MOD(MOD(SMALL(Transaksi!$X$16:$X$5015,283),1),0.01)*10000000,0))=INDEX(Transaksi!$B$1:$B$5015,A291),"",INDEX(Transaksi!$B$1:$B$5015,ROUND(MOD(MOD(SMALL(Transaksi!$X$16:$X$5015,283),1),0.01)*10000000,0)))))</f>
        <v/>
      </c>
      <c r="C292" s="136">
        <f>IF(283&gt;COUNT(Transaksi!$X$16:$X$5015),"",INDEX(Transaksi!$J$1:$J$5015,ROUND(MOD(MOD(SMALL(Transaksi!$X$16:$X$5015,283),1),0.01)*10000000,0))&amp;IF(INDEX(Transaksi!$D$1:$D$5015,ROUND(MOD(MOD(SMALL(Transaksi!$X$16:$X$5015,283),1),0.01)*10000000,0))="Pindah",IF(INDEX(Transaksi!$C$1:$C$5015,ROUND(MOD(MOD(SMALL(Transaksi!$X$16:$X$5015,283),1),0.01)*10000000,0))=$C$4," (ke "&amp;INDEX(Transaksi!$E$1:$E$5015,ROUND(MOD(MOD(SMALL(Transaksi!$X$16:$X$5015,283),1),0.01)*10000000,0))&amp;")"," (dari "&amp;INDEX(Transaksi!$C$1:$C$5015,ROUND(MOD(MOD(SMALL(Transaksi!$X$16:$X$5015,283),1),0.01)*10000000,0))&amp;")"),""))</f>
        <v/>
      </c>
      <c r="D292" s="137">
        <f>IF(283&gt;COUNT(Transaksi!$X$16:$X$5015),"",INDEX(Transaksi!$I$1:$I$5015,ROUND(MOD(MOD(SMALL(Transaksi!$X$16:$X$5015,283),1),0.01)*10000000,0)))</f>
        <v/>
      </c>
      <c r="E292" s="138">
        <f>IF(283&gt;COUNT(Transaksi!$X$16:$X$5015),"",IF(IF(INDEX(Transaksi!$C$1:$C$5015,ROUND(MOD(MOD(SMALL(Transaksi!$X$16:$X$5015,283),1),0.01)*10000000,0))=$C$4,IF(INDEX(Transaksi!$D$1:$D$5015,ROUND(MOD(MOD(SMALL(Transaksi!$X$16:$X$5015,283),1),0.01)*10000000,0))="Masuk",1,-1),1)&gt;0,INDEX(Transaksi!$F$1:$F$5015,ROUND(MOD(MOD(SMALL(Transaksi!$X$16:$X$5015,283),1),0.01)*10000000,0)),""))</f>
        <v/>
      </c>
      <c r="F292" s="139">
        <f>IF(283&gt;COUNT(Transaksi!$X$16:$X$5015),"",IF(IF(INDEX(Transaksi!$C$1:$C$5015,ROUND(MOD(MOD(SMALL(Transaksi!$X$16:$X$5015,283),1),0.01)*10000000,0))=$C$4,IF(INDEX(Transaksi!$D$1:$D$5015,ROUND(MOD(MOD(SMALL(Transaksi!$X$16:$X$5015,283),1),0.01)*10000000,0))="Masuk",1,-1),1)&lt;0,INDEX(Transaksi!$F$1:$F$5015,ROUND(MOD(MOD(SMALL(Transaksi!$X$16:$X$5015,283),1),0.01)*10000000,0)),""))</f>
        <v/>
      </c>
      <c r="G292" s="106">
        <f>IF(283&gt;COUNT(Transaksi!$X$16:$X$5015),"",N(G291)+N(E292)-N(F292))</f>
        <v/>
      </c>
      <c r="H292" s="137">
        <f>IF(283&gt;COUNT(Transaksi!$X$16:$X$5015),"",HYPERLINK("#Transaksi!B"&amp;A292,"Buka"))</f>
        <v/>
      </c>
    </row>
    <row r="293" ht="15" customHeight="1" s="94">
      <c r="A293" s="93">
        <f>IF(284&gt;COUNT(Transaksi!$X$16:$X$5015),"",ROUND(MOD(MOD(SMALL(Transaksi!$X$16:$X$5015,284),1),0.01)*10000000,0))</f>
        <v/>
      </c>
      <c r="B293" s="135">
        <f>IF(284&gt;COUNT(Transaksi!$X$16:$X$5015),"",IF(284=1,INDEX(Transaksi!$B$1:$B$5015,ROUND(MOD(MOD(SMALL(Transaksi!$X$16:$X$5015,284),1),0.01)*10000000,0)),IF(INDEX(Transaksi!$B$1:$B$5015,ROUND(MOD(MOD(SMALL(Transaksi!$X$16:$X$5015,284),1),0.01)*10000000,0))=INDEX(Transaksi!$B$1:$B$5015,A292),"",INDEX(Transaksi!$B$1:$B$5015,ROUND(MOD(MOD(SMALL(Transaksi!$X$16:$X$5015,284),1),0.01)*10000000,0)))))</f>
        <v/>
      </c>
      <c r="C293" s="136">
        <f>IF(284&gt;COUNT(Transaksi!$X$16:$X$5015),"",INDEX(Transaksi!$J$1:$J$5015,ROUND(MOD(MOD(SMALL(Transaksi!$X$16:$X$5015,284),1),0.01)*10000000,0))&amp;IF(INDEX(Transaksi!$D$1:$D$5015,ROUND(MOD(MOD(SMALL(Transaksi!$X$16:$X$5015,284),1),0.01)*10000000,0))="Pindah",IF(INDEX(Transaksi!$C$1:$C$5015,ROUND(MOD(MOD(SMALL(Transaksi!$X$16:$X$5015,284),1),0.01)*10000000,0))=$C$4," (ke "&amp;INDEX(Transaksi!$E$1:$E$5015,ROUND(MOD(MOD(SMALL(Transaksi!$X$16:$X$5015,284),1),0.01)*10000000,0))&amp;")"," (dari "&amp;INDEX(Transaksi!$C$1:$C$5015,ROUND(MOD(MOD(SMALL(Transaksi!$X$16:$X$5015,284),1),0.01)*10000000,0))&amp;")"),""))</f>
        <v/>
      </c>
      <c r="D293" s="137">
        <f>IF(284&gt;COUNT(Transaksi!$X$16:$X$5015),"",INDEX(Transaksi!$I$1:$I$5015,ROUND(MOD(MOD(SMALL(Transaksi!$X$16:$X$5015,284),1),0.01)*10000000,0)))</f>
        <v/>
      </c>
      <c r="E293" s="138">
        <f>IF(284&gt;COUNT(Transaksi!$X$16:$X$5015),"",IF(IF(INDEX(Transaksi!$C$1:$C$5015,ROUND(MOD(MOD(SMALL(Transaksi!$X$16:$X$5015,284),1),0.01)*10000000,0))=$C$4,IF(INDEX(Transaksi!$D$1:$D$5015,ROUND(MOD(MOD(SMALL(Transaksi!$X$16:$X$5015,284),1),0.01)*10000000,0))="Masuk",1,-1),1)&gt;0,INDEX(Transaksi!$F$1:$F$5015,ROUND(MOD(MOD(SMALL(Transaksi!$X$16:$X$5015,284),1),0.01)*10000000,0)),""))</f>
        <v/>
      </c>
      <c r="F293" s="139">
        <f>IF(284&gt;COUNT(Transaksi!$X$16:$X$5015),"",IF(IF(INDEX(Transaksi!$C$1:$C$5015,ROUND(MOD(MOD(SMALL(Transaksi!$X$16:$X$5015,284),1),0.01)*10000000,0))=$C$4,IF(INDEX(Transaksi!$D$1:$D$5015,ROUND(MOD(MOD(SMALL(Transaksi!$X$16:$X$5015,284),1),0.01)*10000000,0))="Masuk",1,-1),1)&lt;0,INDEX(Transaksi!$F$1:$F$5015,ROUND(MOD(MOD(SMALL(Transaksi!$X$16:$X$5015,284),1),0.01)*10000000,0)),""))</f>
        <v/>
      </c>
      <c r="G293" s="106">
        <f>IF(284&gt;COUNT(Transaksi!$X$16:$X$5015),"",N(G292)+N(E293)-N(F293))</f>
        <v/>
      </c>
      <c r="H293" s="137">
        <f>IF(284&gt;COUNT(Transaksi!$X$16:$X$5015),"",HYPERLINK("#Transaksi!B"&amp;A293,"Buka"))</f>
        <v/>
      </c>
    </row>
    <row r="294" ht="15" customHeight="1" s="94">
      <c r="A294" s="93">
        <f>IF(285&gt;COUNT(Transaksi!$X$16:$X$5015),"",ROUND(MOD(MOD(SMALL(Transaksi!$X$16:$X$5015,285),1),0.01)*10000000,0))</f>
        <v/>
      </c>
      <c r="B294" s="135">
        <f>IF(285&gt;COUNT(Transaksi!$X$16:$X$5015),"",IF(285=1,INDEX(Transaksi!$B$1:$B$5015,ROUND(MOD(MOD(SMALL(Transaksi!$X$16:$X$5015,285),1),0.01)*10000000,0)),IF(INDEX(Transaksi!$B$1:$B$5015,ROUND(MOD(MOD(SMALL(Transaksi!$X$16:$X$5015,285),1),0.01)*10000000,0))=INDEX(Transaksi!$B$1:$B$5015,A293),"",INDEX(Transaksi!$B$1:$B$5015,ROUND(MOD(MOD(SMALL(Transaksi!$X$16:$X$5015,285),1),0.01)*10000000,0)))))</f>
        <v/>
      </c>
      <c r="C294" s="136">
        <f>IF(285&gt;COUNT(Transaksi!$X$16:$X$5015),"",INDEX(Transaksi!$J$1:$J$5015,ROUND(MOD(MOD(SMALL(Transaksi!$X$16:$X$5015,285),1),0.01)*10000000,0))&amp;IF(INDEX(Transaksi!$D$1:$D$5015,ROUND(MOD(MOD(SMALL(Transaksi!$X$16:$X$5015,285),1),0.01)*10000000,0))="Pindah",IF(INDEX(Transaksi!$C$1:$C$5015,ROUND(MOD(MOD(SMALL(Transaksi!$X$16:$X$5015,285),1),0.01)*10000000,0))=$C$4," (ke "&amp;INDEX(Transaksi!$E$1:$E$5015,ROUND(MOD(MOD(SMALL(Transaksi!$X$16:$X$5015,285),1),0.01)*10000000,0))&amp;")"," (dari "&amp;INDEX(Transaksi!$C$1:$C$5015,ROUND(MOD(MOD(SMALL(Transaksi!$X$16:$X$5015,285),1),0.01)*10000000,0))&amp;")"),""))</f>
        <v/>
      </c>
      <c r="D294" s="137">
        <f>IF(285&gt;COUNT(Transaksi!$X$16:$X$5015),"",INDEX(Transaksi!$I$1:$I$5015,ROUND(MOD(MOD(SMALL(Transaksi!$X$16:$X$5015,285),1),0.01)*10000000,0)))</f>
        <v/>
      </c>
      <c r="E294" s="138">
        <f>IF(285&gt;COUNT(Transaksi!$X$16:$X$5015),"",IF(IF(INDEX(Transaksi!$C$1:$C$5015,ROUND(MOD(MOD(SMALL(Transaksi!$X$16:$X$5015,285),1),0.01)*10000000,0))=$C$4,IF(INDEX(Transaksi!$D$1:$D$5015,ROUND(MOD(MOD(SMALL(Transaksi!$X$16:$X$5015,285),1),0.01)*10000000,0))="Masuk",1,-1),1)&gt;0,INDEX(Transaksi!$F$1:$F$5015,ROUND(MOD(MOD(SMALL(Transaksi!$X$16:$X$5015,285),1),0.01)*10000000,0)),""))</f>
        <v/>
      </c>
      <c r="F294" s="139">
        <f>IF(285&gt;COUNT(Transaksi!$X$16:$X$5015),"",IF(IF(INDEX(Transaksi!$C$1:$C$5015,ROUND(MOD(MOD(SMALL(Transaksi!$X$16:$X$5015,285),1),0.01)*10000000,0))=$C$4,IF(INDEX(Transaksi!$D$1:$D$5015,ROUND(MOD(MOD(SMALL(Transaksi!$X$16:$X$5015,285),1),0.01)*10000000,0))="Masuk",1,-1),1)&lt;0,INDEX(Transaksi!$F$1:$F$5015,ROUND(MOD(MOD(SMALL(Transaksi!$X$16:$X$5015,285),1),0.01)*10000000,0)),""))</f>
        <v/>
      </c>
      <c r="G294" s="106">
        <f>IF(285&gt;COUNT(Transaksi!$X$16:$X$5015),"",N(G293)+N(E294)-N(F294))</f>
        <v/>
      </c>
      <c r="H294" s="137">
        <f>IF(285&gt;COUNT(Transaksi!$X$16:$X$5015),"",HYPERLINK("#Transaksi!B"&amp;A294,"Buka"))</f>
        <v/>
      </c>
    </row>
    <row r="295" ht="15" customHeight="1" s="94">
      <c r="A295" s="93">
        <f>IF(286&gt;COUNT(Transaksi!$X$16:$X$5015),"",ROUND(MOD(MOD(SMALL(Transaksi!$X$16:$X$5015,286),1),0.01)*10000000,0))</f>
        <v/>
      </c>
      <c r="B295" s="135">
        <f>IF(286&gt;COUNT(Transaksi!$X$16:$X$5015),"",IF(286=1,INDEX(Transaksi!$B$1:$B$5015,ROUND(MOD(MOD(SMALL(Transaksi!$X$16:$X$5015,286),1),0.01)*10000000,0)),IF(INDEX(Transaksi!$B$1:$B$5015,ROUND(MOD(MOD(SMALL(Transaksi!$X$16:$X$5015,286),1),0.01)*10000000,0))=INDEX(Transaksi!$B$1:$B$5015,A294),"",INDEX(Transaksi!$B$1:$B$5015,ROUND(MOD(MOD(SMALL(Transaksi!$X$16:$X$5015,286),1),0.01)*10000000,0)))))</f>
        <v/>
      </c>
      <c r="C295" s="136">
        <f>IF(286&gt;COUNT(Transaksi!$X$16:$X$5015),"",INDEX(Transaksi!$J$1:$J$5015,ROUND(MOD(MOD(SMALL(Transaksi!$X$16:$X$5015,286),1),0.01)*10000000,0))&amp;IF(INDEX(Transaksi!$D$1:$D$5015,ROUND(MOD(MOD(SMALL(Transaksi!$X$16:$X$5015,286),1),0.01)*10000000,0))="Pindah",IF(INDEX(Transaksi!$C$1:$C$5015,ROUND(MOD(MOD(SMALL(Transaksi!$X$16:$X$5015,286),1),0.01)*10000000,0))=$C$4," (ke "&amp;INDEX(Transaksi!$E$1:$E$5015,ROUND(MOD(MOD(SMALL(Transaksi!$X$16:$X$5015,286),1),0.01)*10000000,0))&amp;")"," (dari "&amp;INDEX(Transaksi!$C$1:$C$5015,ROUND(MOD(MOD(SMALL(Transaksi!$X$16:$X$5015,286),1),0.01)*10000000,0))&amp;")"),""))</f>
        <v/>
      </c>
      <c r="D295" s="137">
        <f>IF(286&gt;COUNT(Transaksi!$X$16:$X$5015),"",INDEX(Transaksi!$I$1:$I$5015,ROUND(MOD(MOD(SMALL(Transaksi!$X$16:$X$5015,286),1),0.01)*10000000,0)))</f>
        <v/>
      </c>
      <c r="E295" s="138">
        <f>IF(286&gt;COUNT(Transaksi!$X$16:$X$5015),"",IF(IF(INDEX(Transaksi!$C$1:$C$5015,ROUND(MOD(MOD(SMALL(Transaksi!$X$16:$X$5015,286),1),0.01)*10000000,0))=$C$4,IF(INDEX(Transaksi!$D$1:$D$5015,ROUND(MOD(MOD(SMALL(Transaksi!$X$16:$X$5015,286),1),0.01)*10000000,0))="Masuk",1,-1),1)&gt;0,INDEX(Transaksi!$F$1:$F$5015,ROUND(MOD(MOD(SMALL(Transaksi!$X$16:$X$5015,286),1),0.01)*10000000,0)),""))</f>
        <v/>
      </c>
      <c r="F295" s="139">
        <f>IF(286&gt;COUNT(Transaksi!$X$16:$X$5015),"",IF(IF(INDEX(Transaksi!$C$1:$C$5015,ROUND(MOD(MOD(SMALL(Transaksi!$X$16:$X$5015,286),1),0.01)*10000000,0))=$C$4,IF(INDEX(Transaksi!$D$1:$D$5015,ROUND(MOD(MOD(SMALL(Transaksi!$X$16:$X$5015,286),1),0.01)*10000000,0))="Masuk",1,-1),1)&lt;0,INDEX(Transaksi!$F$1:$F$5015,ROUND(MOD(MOD(SMALL(Transaksi!$X$16:$X$5015,286),1),0.01)*10000000,0)),""))</f>
        <v/>
      </c>
      <c r="G295" s="106">
        <f>IF(286&gt;COUNT(Transaksi!$X$16:$X$5015),"",N(G294)+N(E295)-N(F295))</f>
        <v/>
      </c>
      <c r="H295" s="137">
        <f>IF(286&gt;COUNT(Transaksi!$X$16:$X$5015),"",HYPERLINK("#Transaksi!B"&amp;A295,"Buka"))</f>
        <v/>
      </c>
    </row>
    <row r="296" ht="15" customHeight="1" s="94">
      <c r="A296" s="93">
        <f>IF(287&gt;COUNT(Transaksi!$X$16:$X$5015),"",ROUND(MOD(MOD(SMALL(Transaksi!$X$16:$X$5015,287),1),0.01)*10000000,0))</f>
        <v/>
      </c>
      <c r="B296" s="135">
        <f>IF(287&gt;COUNT(Transaksi!$X$16:$X$5015),"",IF(287=1,INDEX(Transaksi!$B$1:$B$5015,ROUND(MOD(MOD(SMALL(Transaksi!$X$16:$X$5015,287),1),0.01)*10000000,0)),IF(INDEX(Transaksi!$B$1:$B$5015,ROUND(MOD(MOD(SMALL(Transaksi!$X$16:$X$5015,287),1),0.01)*10000000,0))=INDEX(Transaksi!$B$1:$B$5015,A295),"",INDEX(Transaksi!$B$1:$B$5015,ROUND(MOD(MOD(SMALL(Transaksi!$X$16:$X$5015,287),1),0.01)*10000000,0)))))</f>
        <v/>
      </c>
      <c r="C296" s="136">
        <f>IF(287&gt;COUNT(Transaksi!$X$16:$X$5015),"",INDEX(Transaksi!$J$1:$J$5015,ROUND(MOD(MOD(SMALL(Transaksi!$X$16:$X$5015,287),1),0.01)*10000000,0))&amp;IF(INDEX(Transaksi!$D$1:$D$5015,ROUND(MOD(MOD(SMALL(Transaksi!$X$16:$X$5015,287),1),0.01)*10000000,0))="Pindah",IF(INDEX(Transaksi!$C$1:$C$5015,ROUND(MOD(MOD(SMALL(Transaksi!$X$16:$X$5015,287),1),0.01)*10000000,0))=$C$4," (ke "&amp;INDEX(Transaksi!$E$1:$E$5015,ROUND(MOD(MOD(SMALL(Transaksi!$X$16:$X$5015,287),1),0.01)*10000000,0))&amp;")"," (dari "&amp;INDEX(Transaksi!$C$1:$C$5015,ROUND(MOD(MOD(SMALL(Transaksi!$X$16:$X$5015,287),1),0.01)*10000000,0))&amp;")"),""))</f>
        <v/>
      </c>
      <c r="D296" s="137">
        <f>IF(287&gt;COUNT(Transaksi!$X$16:$X$5015),"",INDEX(Transaksi!$I$1:$I$5015,ROUND(MOD(MOD(SMALL(Transaksi!$X$16:$X$5015,287),1),0.01)*10000000,0)))</f>
        <v/>
      </c>
      <c r="E296" s="138">
        <f>IF(287&gt;COUNT(Transaksi!$X$16:$X$5015),"",IF(IF(INDEX(Transaksi!$C$1:$C$5015,ROUND(MOD(MOD(SMALL(Transaksi!$X$16:$X$5015,287),1),0.01)*10000000,0))=$C$4,IF(INDEX(Transaksi!$D$1:$D$5015,ROUND(MOD(MOD(SMALL(Transaksi!$X$16:$X$5015,287),1),0.01)*10000000,0))="Masuk",1,-1),1)&gt;0,INDEX(Transaksi!$F$1:$F$5015,ROUND(MOD(MOD(SMALL(Transaksi!$X$16:$X$5015,287),1),0.01)*10000000,0)),""))</f>
        <v/>
      </c>
      <c r="F296" s="139">
        <f>IF(287&gt;COUNT(Transaksi!$X$16:$X$5015),"",IF(IF(INDEX(Transaksi!$C$1:$C$5015,ROUND(MOD(MOD(SMALL(Transaksi!$X$16:$X$5015,287),1),0.01)*10000000,0))=$C$4,IF(INDEX(Transaksi!$D$1:$D$5015,ROUND(MOD(MOD(SMALL(Transaksi!$X$16:$X$5015,287),1),0.01)*10000000,0))="Masuk",1,-1),1)&lt;0,INDEX(Transaksi!$F$1:$F$5015,ROUND(MOD(MOD(SMALL(Transaksi!$X$16:$X$5015,287),1),0.01)*10000000,0)),""))</f>
        <v/>
      </c>
      <c r="G296" s="106">
        <f>IF(287&gt;COUNT(Transaksi!$X$16:$X$5015),"",N(G295)+N(E296)-N(F296))</f>
        <v/>
      </c>
      <c r="H296" s="137">
        <f>IF(287&gt;COUNT(Transaksi!$X$16:$X$5015),"",HYPERLINK("#Transaksi!B"&amp;A296,"Buka"))</f>
        <v/>
      </c>
    </row>
    <row r="297" ht="15" customHeight="1" s="94">
      <c r="A297" s="93">
        <f>IF(288&gt;COUNT(Transaksi!$X$16:$X$5015),"",ROUND(MOD(MOD(SMALL(Transaksi!$X$16:$X$5015,288),1),0.01)*10000000,0))</f>
        <v/>
      </c>
      <c r="B297" s="135">
        <f>IF(288&gt;COUNT(Transaksi!$X$16:$X$5015),"",IF(288=1,INDEX(Transaksi!$B$1:$B$5015,ROUND(MOD(MOD(SMALL(Transaksi!$X$16:$X$5015,288),1),0.01)*10000000,0)),IF(INDEX(Transaksi!$B$1:$B$5015,ROUND(MOD(MOD(SMALL(Transaksi!$X$16:$X$5015,288),1),0.01)*10000000,0))=INDEX(Transaksi!$B$1:$B$5015,A296),"",INDEX(Transaksi!$B$1:$B$5015,ROUND(MOD(MOD(SMALL(Transaksi!$X$16:$X$5015,288),1),0.01)*10000000,0)))))</f>
        <v/>
      </c>
      <c r="C297" s="136">
        <f>IF(288&gt;COUNT(Transaksi!$X$16:$X$5015),"",INDEX(Transaksi!$J$1:$J$5015,ROUND(MOD(MOD(SMALL(Transaksi!$X$16:$X$5015,288),1),0.01)*10000000,0))&amp;IF(INDEX(Transaksi!$D$1:$D$5015,ROUND(MOD(MOD(SMALL(Transaksi!$X$16:$X$5015,288),1),0.01)*10000000,0))="Pindah",IF(INDEX(Transaksi!$C$1:$C$5015,ROUND(MOD(MOD(SMALL(Transaksi!$X$16:$X$5015,288),1),0.01)*10000000,0))=$C$4," (ke "&amp;INDEX(Transaksi!$E$1:$E$5015,ROUND(MOD(MOD(SMALL(Transaksi!$X$16:$X$5015,288),1),0.01)*10000000,0))&amp;")"," (dari "&amp;INDEX(Transaksi!$C$1:$C$5015,ROUND(MOD(MOD(SMALL(Transaksi!$X$16:$X$5015,288),1),0.01)*10000000,0))&amp;")"),""))</f>
        <v/>
      </c>
      <c r="D297" s="137">
        <f>IF(288&gt;COUNT(Transaksi!$X$16:$X$5015),"",INDEX(Transaksi!$I$1:$I$5015,ROUND(MOD(MOD(SMALL(Transaksi!$X$16:$X$5015,288),1),0.01)*10000000,0)))</f>
        <v/>
      </c>
      <c r="E297" s="138">
        <f>IF(288&gt;COUNT(Transaksi!$X$16:$X$5015),"",IF(IF(INDEX(Transaksi!$C$1:$C$5015,ROUND(MOD(MOD(SMALL(Transaksi!$X$16:$X$5015,288),1),0.01)*10000000,0))=$C$4,IF(INDEX(Transaksi!$D$1:$D$5015,ROUND(MOD(MOD(SMALL(Transaksi!$X$16:$X$5015,288),1),0.01)*10000000,0))="Masuk",1,-1),1)&gt;0,INDEX(Transaksi!$F$1:$F$5015,ROUND(MOD(MOD(SMALL(Transaksi!$X$16:$X$5015,288),1),0.01)*10000000,0)),""))</f>
        <v/>
      </c>
      <c r="F297" s="139">
        <f>IF(288&gt;COUNT(Transaksi!$X$16:$X$5015),"",IF(IF(INDEX(Transaksi!$C$1:$C$5015,ROUND(MOD(MOD(SMALL(Transaksi!$X$16:$X$5015,288),1),0.01)*10000000,0))=$C$4,IF(INDEX(Transaksi!$D$1:$D$5015,ROUND(MOD(MOD(SMALL(Transaksi!$X$16:$X$5015,288),1),0.01)*10000000,0))="Masuk",1,-1),1)&lt;0,INDEX(Transaksi!$F$1:$F$5015,ROUND(MOD(MOD(SMALL(Transaksi!$X$16:$X$5015,288),1),0.01)*10000000,0)),""))</f>
        <v/>
      </c>
      <c r="G297" s="106">
        <f>IF(288&gt;COUNT(Transaksi!$X$16:$X$5015),"",N(G296)+N(E297)-N(F297))</f>
        <v/>
      </c>
      <c r="H297" s="137">
        <f>IF(288&gt;COUNT(Transaksi!$X$16:$X$5015),"",HYPERLINK("#Transaksi!B"&amp;A297,"Buka"))</f>
        <v/>
      </c>
    </row>
    <row r="298" ht="15" customHeight="1" s="94">
      <c r="A298" s="93">
        <f>IF(289&gt;COUNT(Transaksi!$X$16:$X$5015),"",ROUND(MOD(MOD(SMALL(Transaksi!$X$16:$X$5015,289),1),0.01)*10000000,0))</f>
        <v/>
      </c>
      <c r="B298" s="135">
        <f>IF(289&gt;COUNT(Transaksi!$X$16:$X$5015),"",IF(289=1,INDEX(Transaksi!$B$1:$B$5015,ROUND(MOD(MOD(SMALL(Transaksi!$X$16:$X$5015,289),1),0.01)*10000000,0)),IF(INDEX(Transaksi!$B$1:$B$5015,ROUND(MOD(MOD(SMALL(Transaksi!$X$16:$X$5015,289),1),0.01)*10000000,0))=INDEX(Transaksi!$B$1:$B$5015,A297),"",INDEX(Transaksi!$B$1:$B$5015,ROUND(MOD(MOD(SMALL(Transaksi!$X$16:$X$5015,289),1),0.01)*10000000,0)))))</f>
        <v/>
      </c>
      <c r="C298" s="136">
        <f>IF(289&gt;COUNT(Transaksi!$X$16:$X$5015),"",INDEX(Transaksi!$J$1:$J$5015,ROUND(MOD(MOD(SMALL(Transaksi!$X$16:$X$5015,289),1),0.01)*10000000,0))&amp;IF(INDEX(Transaksi!$D$1:$D$5015,ROUND(MOD(MOD(SMALL(Transaksi!$X$16:$X$5015,289),1),0.01)*10000000,0))="Pindah",IF(INDEX(Transaksi!$C$1:$C$5015,ROUND(MOD(MOD(SMALL(Transaksi!$X$16:$X$5015,289),1),0.01)*10000000,0))=$C$4," (ke "&amp;INDEX(Transaksi!$E$1:$E$5015,ROUND(MOD(MOD(SMALL(Transaksi!$X$16:$X$5015,289),1),0.01)*10000000,0))&amp;")"," (dari "&amp;INDEX(Transaksi!$C$1:$C$5015,ROUND(MOD(MOD(SMALL(Transaksi!$X$16:$X$5015,289),1),0.01)*10000000,0))&amp;")"),""))</f>
        <v/>
      </c>
      <c r="D298" s="137">
        <f>IF(289&gt;COUNT(Transaksi!$X$16:$X$5015),"",INDEX(Transaksi!$I$1:$I$5015,ROUND(MOD(MOD(SMALL(Transaksi!$X$16:$X$5015,289),1),0.01)*10000000,0)))</f>
        <v/>
      </c>
      <c r="E298" s="138">
        <f>IF(289&gt;COUNT(Transaksi!$X$16:$X$5015),"",IF(IF(INDEX(Transaksi!$C$1:$C$5015,ROUND(MOD(MOD(SMALL(Transaksi!$X$16:$X$5015,289),1),0.01)*10000000,0))=$C$4,IF(INDEX(Transaksi!$D$1:$D$5015,ROUND(MOD(MOD(SMALL(Transaksi!$X$16:$X$5015,289),1),0.01)*10000000,0))="Masuk",1,-1),1)&gt;0,INDEX(Transaksi!$F$1:$F$5015,ROUND(MOD(MOD(SMALL(Transaksi!$X$16:$X$5015,289),1),0.01)*10000000,0)),""))</f>
        <v/>
      </c>
      <c r="F298" s="139">
        <f>IF(289&gt;COUNT(Transaksi!$X$16:$X$5015),"",IF(IF(INDEX(Transaksi!$C$1:$C$5015,ROUND(MOD(MOD(SMALL(Transaksi!$X$16:$X$5015,289),1),0.01)*10000000,0))=$C$4,IF(INDEX(Transaksi!$D$1:$D$5015,ROUND(MOD(MOD(SMALL(Transaksi!$X$16:$X$5015,289),1),0.01)*10000000,0))="Masuk",1,-1),1)&lt;0,INDEX(Transaksi!$F$1:$F$5015,ROUND(MOD(MOD(SMALL(Transaksi!$X$16:$X$5015,289),1),0.01)*10000000,0)),""))</f>
        <v/>
      </c>
      <c r="G298" s="106">
        <f>IF(289&gt;COUNT(Transaksi!$X$16:$X$5015),"",N(G297)+N(E298)-N(F298))</f>
        <v/>
      </c>
      <c r="H298" s="137">
        <f>IF(289&gt;COUNT(Transaksi!$X$16:$X$5015),"",HYPERLINK("#Transaksi!B"&amp;A298,"Buka"))</f>
        <v/>
      </c>
    </row>
    <row r="299" ht="15" customHeight="1" s="94">
      <c r="A299" s="93">
        <f>IF(290&gt;COUNT(Transaksi!$X$16:$X$5015),"",ROUND(MOD(MOD(SMALL(Transaksi!$X$16:$X$5015,290),1),0.01)*10000000,0))</f>
        <v/>
      </c>
      <c r="B299" s="135">
        <f>IF(290&gt;COUNT(Transaksi!$X$16:$X$5015),"",IF(290=1,INDEX(Transaksi!$B$1:$B$5015,ROUND(MOD(MOD(SMALL(Transaksi!$X$16:$X$5015,290),1),0.01)*10000000,0)),IF(INDEX(Transaksi!$B$1:$B$5015,ROUND(MOD(MOD(SMALL(Transaksi!$X$16:$X$5015,290),1),0.01)*10000000,0))=INDEX(Transaksi!$B$1:$B$5015,A298),"",INDEX(Transaksi!$B$1:$B$5015,ROUND(MOD(MOD(SMALL(Transaksi!$X$16:$X$5015,290),1),0.01)*10000000,0)))))</f>
        <v/>
      </c>
      <c r="C299" s="136">
        <f>IF(290&gt;COUNT(Transaksi!$X$16:$X$5015),"",INDEX(Transaksi!$J$1:$J$5015,ROUND(MOD(MOD(SMALL(Transaksi!$X$16:$X$5015,290),1),0.01)*10000000,0))&amp;IF(INDEX(Transaksi!$D$1:$D$5015,ROUND(MOD(MOD(SMALL(Transaksi!$X$16:$X$5015,290),1),0.01)*10000000,0))="Pindah",IF(INDEX(Transaksi!$C$1:$C$5015,ROUND(MOD(MOD(SMALL(Transaksi!$X$16:$X$5015,290),1),0.01)*10000000,0))=$C$4," (ke "&amp;INDEX(Transaksi!$E$1:$E$5015,ROUND(MOD(MOD(SMALL(Transaksi!$X$16:$X$5015,290),1),0.01)*10000000,0))&amp;")"," (dari "&amp;INDEX(Transaksi!$C$1:$C$5015,ROUND(MOD(MOD(SMALL(Transaksi!$X$16:$X$5015,290),1),0.01)*10000000,0))&amp;")"),""))</f>
        <v/>
      </c>
      <c r="D299" s="137">
        <f>IF(290&gt;COUNT(Transaksi!$X$16:$X$5015),"",INDEX(Transaksi!$I$1:$I$5015,ROUND(MOD(MOD(SMALL(Transaksi!$X$16:$X$5015,290),1),0.01)*10000000,0)))</f>
        <v/>
      </c>
      <c r="E299" s="138">
        <f>IF(290&gt;COUNT(Transaksi!$X$16:$X$5015),"",IF(IF(INDEX(Transaksi!$C$1:$C$5015,ROUND(MOD(MOD(SMALL(Transaksi!$X$16:$X$5015,290),1),0.01)*10000000,0))=$C$4,IF(INDEX(Transaksi!$D$1:$D$5015,ROUND(MOD(MOD(SMALL(Transaksi!$X$16:$X$5015,290),1),0.01)*10000000,0))="Masuk",1,-1),1)&gt;0,INDEX(Transaksi!$F$1:$F$5015,ROUND(MOD(MOD(SMALL(Transaksi!$X$16:$X$5015,290),1),0.01)*10000000,0)),""))</f>
        <v/>
      </c>
      <c r="F299" s="139">
        <f>IF(290&gt;COUNT(Transaksi!$X$16:$X$5015),"",IF(IF(INDEX(Transaksi!$C$1:$C$5015,ROUND(MOD(MOD(SMALL(Transaksi!$X$16:$X$5015,290),1),0.01)*10000000,0))=$C$4,IF(INDEX(Transaksi!$D$1:$D$5015,ROUND(MOD(MOD(SMALL(Transaksi!$X$16:$X$5015,290),1),0.01)*10000000,0))="Masuk",1,-1),1)&lt;0,INDEX(Transaksi!$F$1:$F$5015,ROUND(MOD(MOD(SMALL(Transaksi!$X$16:$X$5015,290),1),0.01)*10000000,0)),""))</f>
        <v/>
      </c>
      <c r="G299" s="106">
        <f>IF(290&gt;COUNT(Transaksi!$X$16:$X$5015),"",N(G298)+N(E299)-N(F299))</f>
        <v/>
      </c>
      <c r="H299" s="137">
        <f>IF(290&gt;COUNT(Transaksi!$X$16:$X$5015),"",HYPERLINK("#Transaksi!B"&amp;A299,"Buka"))</f>
        <v/>
      </c>
    </row>
    <row r="300" ht="15" customHeight="1" s="94">
      <c r="A300" s="93">
        <f>IF(291&gt;COUNT(Transaksi!$X$16:$X$5015),"",ROUND(MOD(MOD(SMALL(Transaksi!$X$16:$X$5015,291),1),0.01)*10000000,0))</f>
        <v/>
      </c>
      <c r="B300" s="135">
        <f>IF(291&gt;COUNT(Transaksi!$X$16:$X$5015),"",IF(291=1,INDEX(Transaksi!$B$1:$B$5015,ROUND(MOD(MOD(SMALL(Transaksi!$X$16:$X$5015,291),1),0.01)*10000000,0)),IF(INDEX(Transaksi!$B$1:$B$5015,ROUND(MOD(MOD(SMALL(Transaksi!$X$16:$X$5015,291),1),0.01)*10000000,0))=INDEX(Transaksi!$B$1:$B$5015,A299),"",INDEX(Transaksi!$B$1:$B$5015,ROUND(MOD(MOD(SMALL(Transaksi!$X$16:$X$5015,291),1),0.01)*10000000,0)))))</f>
        <v/>
      </c>
      <c r="C300" s="136">
        <f>IF(291&gt;COUNT(Transaksi!$X$16:$X$5015),"",INDEX(Transaksi!$J$1:$J$5015,ROUND(MOD(MOD(SMALL(Transaksi!$X$16:$X$5015,291),1),0.01)*10000000,0))&amp;IF(INDEX(Transaksi!$D$1:$D$5015,ROUND(MOD(MOD(SMALL(Transaksi!$X$16:$X$5015,291),1),0.01)*10000000,0))="Pindah",IF(INDEX(Transaksi!$C$1:$C$5015,ROUND(MOD(MOD(SMALL(Transaksi!$X$16:$X$5015,291),1),0.01)*10000000,0))=$C$4," (ke "&amp;INDEX(Transaksi!$E$1:$E$5015,ROUND(MOD(MOD(SMALL(Transaksi!$X$16:$X$5015,291),1),0.01)*10000000,0))&amp;")"," (dari "&amp;INDEX(Transaksi!$C$1:$C$5015,ROUND(MOD(MOD(SMALL(Transaksi!$X$16:$X$5015,291),1),0.01)*10000000,0))&amp;")"),""))</f>
        <v/>
      </c>
      <c r="D300" s="137">
        <f>IF(291&gt;COUNT(Transaksi!$X$16:$X$5015),"",INDEX(Transaksi!$I$1:$I$5015,ROUND(MOD(MOD(SMALL(Transaksi!$X$16:$X$5015,291),1),0.01)*10000000,0)))</f>
        <v/>
      </c>
      <c r="E300" s="138">
        <f>IF(291&gt;COUNT(Transaksi!$X$16:$X$5015),"",IF(IF(INDEX(Transaksi!$C$1:$C$5015,ROUND(MOD(MOD(SMALL(Transaksi!$X$16:$X$5015,291),1),0.01)*10000000,0))=$C$4,IF(INDEX(Transaksi!$D$1:$D$5015,ROUND(MOD(MOD(SMALL(Transaksi!$X$16:$X$5015,291),1),0.01)*10000000,0))="Masuk",1,-1),1)&gt;0,INDEX(Transaksi!$F$1:$F$5015,ROUND(MOD(MOD(SMALL(Transaksi!$X$16:$X$5015,291),1),0.01)*10000000,0)),""))</f>
        <v/>
      </c>
      <c r="F300" s="139">
        <f>IF(291&gt;COUNT(Transaksi!$X$16:$X$5015),"",IF(IF(INDEX(Transaksi!$C$1:$C$5015,ROUND(MOD(MOD(SMALL(Transaksi!$X$16:$X$5015,291),1),0.01)*10000000,0))=$C$4,IF(INDEX(Transaksi!$D$1:$D$5015,ROUND(MOD(MOD(SMALL(Transaksi!$X$16:$X$5015,291),1),0.01)*10000000,0))="Masuk",1,-1),1)&lt;0,INDEX(Transaksi!$F$1:$F$5015,ROUND(MOD(MOD(SMALL(Transaksi!$X$16:$X$5015,291),1),0.01)*10000000,0)),""))</f>
        <v/>
      </c>
      <c r="G300" s="106">
        <f>IF(291&gt;COUNT(Transaksi!$X$16:$X$5015),"",N(G299)+N(E300)-N(F300))</f>
        <v/>
      </c>
      <c r="H300" s="137">
        <f>IF(291&gt;COUNT(Transaksi!$X$16:$X$5015),"",HYPERLINK("#Transaksi!B"&amp;A300,"Buka"))</f>
        <v/>
      </c>
    </row>
    <row r="301" ht="15" customHeight="1" s="94">
      <c r="A301" s="93">
        <f>IF(292&gt;COUNT(Transaksi!$X$16:$X$5015),"",ROUND(MOD(MOD(SMALL(Transaksi!$X$16:$X$5015,292),1),0.01)*10000000,0))</f>
        <v/>
      </c>
      <c r="B301" s="135">
        <f>IF(292&gt;COUNT(Transaksi!$X$16:$X$5015),"",IF(292=1,INDEX(Transaksi!$B$1:$B$5015,ROUND(MOD(MOD(SMALL(Transaksi!$X$16:$X$5015,292),1),0.01)*10000000,0)),IF(INDEX(Transaksi!$B$1:$B$5015,ROUND(MOD(MOD(SMALL(Transaksi!$X$16:$X$5015,292),1),0.01)*10000000,0))=INDEX(Transaksi!$B$1:$B$5015,A300),"",INDEX(Transaksi!$B$1:$B$5015,ROUND(MOD(MOD(SMALL(Transaksi!$X$16:$X$5015,292),1),0.01)*10000000,0)))))</f>
        <v/>
      </c>
      <c r="C301" s="136">
        <f>IF(292&gt;COUNT(Transaksi!$X$16:$X$5015),"",INDEX(Transaksi!$J$1:$J$5015,ROUND(MOD(MOD(SMALL(Transaksi!$X$16:$X$5015,292),1),0.01)*10000000,0))&amp;IF(INDEX(Transaksi!$D$1:$D$5015,ROUND(MOD(MOD(SMALL(Transaksi!$X$16:$X$5015,292),1),0.01)*10000000,0))="Pindah",IF(INDEX(Transaksi!$C$1:$C$5015,ROUND(MOD(MOD(SMALL(Transaksi!$X$16:$X$5015,292),1),0.01)*10000000,0))=$C$4," (ke "&amp;INDEX(Transaksi!$E$1:$E$5015,ROUND(MOD(MOD(SMALL(Transaksi!$X$16:$X$5015,292),1),0.01)*10000000,0))&amp;")"," (dari "&amp;INDEX(Transaksi!$C$1:$C$5015,ROUND(MOD(MOD(SMALL(Transaksi!$X$16:$X$5015,292),1),0.01)*10000000,0))&amp;")"),""))</f>
        <v/>
      </c>
      <c r="D301" s="137">
        <f>IF(292&gt;COUNT(Transaksi!$X$16:$X$5015),"",INDEX(Transaksi!$I$1:$I$5015,ROUND(MOD(MOD(SMALL(Transaksi!$X$16:$X$5015,292),1),0.01)*10000000,0)))</f>
        <v/>
      </c>
      <c r="E301" s="138">
        <f>IF(292&gt;COUNT(Transaksi!$X$16:$X$5015),"",IF(IF(INDEX(Transaksi!$C$1:$C$5015,ROUND(MOD(MOD(SMALL(Transaksi!$X$16:$X$5015,292),1),0.01)*10000000,0))=$C$4,IF(INDEX(Transaksi!$D$1:$D$5015,ROUND(MOD(MOD(SMALL(Transaksi!$X$16:$X$5015,292),1),0.01)*10000000,0))="Masuk",1,-1),1)&gt;0,INDEX(Transaksi!$F$1:$F$5015,ROUND(MOD(MOD(SMALL(Transaksi!$X$16:$X$5015,292),1),0.01)*10000000,0)),""))</f>
        <v/>
      </c>
      <c r="F301" s="139">
        <f>IF(292&gt;COUNT(Transaksi!$X$16:$X$5015),"",IF(IF(INDEX(Transaksi!$C$1:$C$5015,ROUND(MOD(MOD(SMALL(Transaksi!$X$16:$X$5015,292),1),0.01)*10000000,0))=$C$4,IF(INDEX(Transaksi!$D$1:$D$5015,ROUND(MOD(MOD(SMALL(Transaksi!$X$16:$X$5015,292),1),0.01)*10000000,0))="Masuk",1,-1),1)&lt;0,INDEX(Transaksi!$F$1:$F$5015,ROUND(MOD(MOD(SMALL(Transaksi!$X$16:$X$5015,292),1),0.01)*10000000,0)),""))</f>
        <v/>
      </c>
      <c r="G301" s="106">
        <f>IF(292&gt;COUNT(Transaksi!$X$16:$X$5015),"",N(G300)+N(E301)-N(F301))</f>
        <v/>
      </c>
      <c r="H301" s="137">
        <f>IF(292&gt;COUNT(Transaksi!$X$16:$X$5015),"",HYPERLINK("#Transaksi!B"&amp;A301,"Buka"))</f>
        <v/>
      </c>
    </row>
    <row r="302" ht="15" customHeight="1" s="94">
      <c r="A302" s="93">
        <f>IF(293&gt;COUNT(Transaksi!$X$16:$X$5015),"",ROUND(MOD(MOD(SMALL(Transaksi!$X$16:$X$5015,293),1),0.01)*10000000,0))</f>
        <v/>
      </c>
      <c r="B302" s="135">
        <f>IF(293&gt;COUNT(Transaksi!$X$16:$X$5015),"",IF(293=1,INDEX(Transaksi!$B$1:$B$5015,ROUND(MOD(MOD(SMALL(Transaksi!$X$16:$X$5015,293),1),0.01)*10000000,0)),IF(INDEX(Transaksi!$B$1:$B$5015,ROUND(MOD(MOD(SMALL(Transaksi!$X$16:$X$5015,293),1),0.01)*10000000,0))=INDEX(Transaksi!$B$1:$B$5015,A301),"",INDEX(Transaksi!$B$1:$B$5015,ROUND(MOD(MOD(SMALL(Transaksi!$X$16:$X$5015,293),1),0.01)*10000000,0)))))</f>
        <v/>
      </c>
      <c r="C302" s="136">
        <f>IF(293&gt;COUNT(Transaksi!$X$16:$X$5015),"",INDEX(Transaksi!$J$1:$J$5015,ROUND(MOD(MOD(SMALL(Transaksi!$X$16:$X$5015,293),1),0.01)*10000000,0))&amp;IF(INDEX(Transaksi!$D$1:$D$5015,ROUND(MOD(MOD(SMALL(Transaksi!$X$16:$X$5015,293),1),0.01)*10000000,0))="Pindah",IF(INDEX(Transaksi!$C$1:$C$5015,ROUND(MOD(MOD(SMALL(Transaksi!$X$16:$X$5015,293),1),0.01)*10000000,0))=$C$4," (ke "&amp;INDEX(Transaksi!$E$1:$E$5015,ROUND(MOD(MOD(SMALL(Transaksi!$X$16:$X$5015,293),1),0.01)*10000000,0))&amp;")"," (dari "&amp;INDEX(Transaksi!$C$1:$C$5015,ROUND(MOD(MOD(SMALL(Transaksi!$X$16:$X$5015,293),1),0.01)*10000000,0))&amp;")"),""))</f>
        <v/>
      </c>
      <c r="D302" s="137">
        <f>IF(293&gt;COUNT(Transaksi!$X$16:$X$5015),"",INDEX(Transaksi!$I$1:$I$5015,ROUND(MOD(MOD(SMALL(Transaksi!$X$16:$X$5015,293),1),0.01)*10000000,0)))</f>
        <v/>
      </c>
      <c r="E302" s="138">
        <f>IF(293&gt;COUNT(Transaksi!$X$16:$X$5015),"",IF(IF(INDEX(Transaksi!$C$1:$C$5015,ROUND(MOD(MOD(SMALL(Transaksi!$X$16:$X$5015,293),1),0.01)*10000000,0))=$C$4,IF(INDEX(Transaksi!$D$1:$D$5015,ROUND(MOD(MOD(SMALL(Transaksi!$X$16:$X$5015,293),1),0.01)*10000000,0))="Masuk",1,-1),1)&gt;0,INDEX(Transaksi!$F$1:$F$5015,ROUND(MOD(MOD(SMALL(Transaksi!$X$16:$X$5015,293),1),0.01)*10000000,0)),""))</f>
        <v/>
      </c>
      <c r="F302" s="139">
        <f>IF(293&gt;COUNT(Transaksi!$X$16:$X$5015),"",IF(IF(INDEX(Transaksi!$C$1:$C$5015,ROUND(MOD(MOD(SMALL(Transaksi!$X$16:$X$5015,293),1),0.01)*10000000,0))=$C$4,IF(INDEX(Transaksi!$D$1:$D$5015,ROUND(MOD(MOD(SMALL(Transaksi!$X$16:$X$5015,293),1),0.01)*10000000,0))="Masuk",1,-1),1)&lt;0,INDEX(Transaksi!$F$1:$F$5015,ROUND(MOD(MOD(SMALL(Transaksi!$X$16:$X$5015,293),1),0.01)*10000000,0)),""))</f>
        <v/>
      </c>
      <c r="G302" s="106">
        <f>IF(293&gt;COUNT(Transaksi!$X$16:$X$5015),"",N(G301)+N(E302)-N(F302))</f>
        <v/>
      </c>
      <c r="H302" s="137">
        <f>IF(293&gt;COUNT(Transaksi!$X$16:$X$5015),"",HYPERLINK("#Transaksi!B"&amp;A302,"Buka"))</f>
        <v/>
      </c>
    </row>
    <row r="303" ht="15" customHeight="1" s="94">
      <c r="A303" s="93">
        <f>IF(294&gt;COUNT(Transaksi!$X$16:$X$5015),"",ROUND(MOD(MOD(SMALL(Transaksi!$X$16:$X$5015,294),1),0.01)*10000000,0))</f>
        <v/>
      </c>
      <c r="B303" s="135">
        <f>IF(294&gt;COUNT(Transaksi!$X$16:$X$5015),"",IF(294=1,INDEX(Transaksi!$B$1:$B$5015,ROUND(MOD(MOD(SMALL(Transaksi!$X$16:$X$5015,294),1),0.01)*10000000,0)),IF(INDEX(Transaksi!$B$1:$B$5015,ROUND(MOD(MOD(SMALL(Transaksi!$X$16:$X$5015,294),1),0.01)*10000000,0))=INDEX(Transaksi!$B$1:$B$5015,A302),"",INDEX(Transaksi!$B$1:$B$5015,ROUND(MOD(MOD(SMALL(Transaksi!$X$16:$X$5015,294),1),0.01)*10000000,0)))))</f>
        <v/>
      </c>
      <c r="C303" s="136">
        <f>IF(294&gt;COUNT(Transaksi!$X$16:$X$5015),"",INDEX(Transaksi!$J$1:$J$5015,ROUND(MOD(MOD(SMALL(Transaksi!$X$16:$X$5015,294),1),0.01)*10000000,0))&amp;IF(INDEX(Transaksi!$D$1:$D$5015,ROUND(MOD(MOD(SMALL(Transaksi!$X$16:$X$5015,294),1),0.01)*10000000,0))="Pindah",IF(INDEX(Transaksi!$C$1:$C$5015,ROUND(MOD(MOD(SMALL(Transaksi!$X$16:$X$5015,294),1),0.01)*10000000,0))=$C$4," (ke "&amp;INDEX(Transaksi!$E$1:$E$5015,ROUND(MOD(MOD(SMALL(Transaksi!$X$16:$X$5015,294),1),0.01)*10000000,0))&amp;")"," (dari "&amp;INDEX(Transaksi!$C$1:$C$5015,ROUND(MOD(MOD(SMALL(Transaksi!$X$16:$X$5015,294),1),0.01)*10000000,0))&amp;")"),""))</f>
        <v/>
      </c>
      <c r="D303" s="137">
        <f>IF(294&gt;COUNT(Transaksi!$X$16:$X$5015),"",INDEX(Transaksi!$I$1:$I$5015,ROUND(MOD(MOD(SMALL(Transaksi!$X$16:$X$5015,294),1),0.01)*10000000,0)))</f>
        <v/>
      </c>
      <c r="E303" s="138">
        <f>IF(294&gt;COUNT(Transaksi!$X$16:$X$5015),"",IF(IF(INDEX(Transaksi!$C$1:$C$5015,ROUND(MOD(MOD(SMALL(Transaksi!$X$16:$X$5015,294),1),0.01)*10000000,0))=$C$4,IF(INDEX(Transaksi!$D$1:$D$5015,ROUND(MOD(MOD(SMALL(Transaksi!$X$16:$X$5015,294),1),0.01)*10000000,0))="Masuk",1,-1),1)&gt;0,INDEX(Transaksi!$F$1:$F$5015,ROUND(MOD(MOD(SMALL(Transaksi!$X$16:$X$5015,294),1),0.01)*10000000,0)),""))</f>
        <v/>
      </c>
      <c r="F303" s="139">
        <f>IF(294&gt;COUNT(Transaksi!$X$16:$X$5015),"",IF(IF(INDEX(Transaksi!$C$1:$C$5015,ROUND(MOD(MOD(SMALL(Transaksi!$X$16:$X$5015,294),1),0.01)*10000000,0))=$C$4,IF(INDEX(Transaksi!$D$1:$D$5015,ROUND(MOD(MOD(SMALL(Transaksi!$X$16:$X$5015,294),1),0.01)*10000000,0))="Masuk",1,-1),1)&lt;0,INDEX(Transaksi!$F$1:$F$5015,ROUND(MOD(MOD(SMALL(Transaksi!$X$16:$X$5015,294),1),0.01)*10000000,0)),""))</f>
        <v/>
      </c>
      <c r="G303" s="106">
        <f>IF(294&gt;COUNT(Transaksi!$X$16:$X$5015),"",N(G302)+N(E303)-N(F303))</f>
        <v/>
      </c>
      <c r="H303" s="137">
        <f>IF(294&gt;COUNT(Transaksi!$X$16:$X$5015),"",HYPERLINK("#Transaksi!B"&amp;A303,"Buka"))</f>
        <v/>
      </c>
    </row>
    <row r="304" ht="15" customHeight="1" s="94">
      <c r="A304" s="93">
        <f>IF(295&gt;COUNT(Transaksi!$X$16:$X$5015),"",ROUND(MOD(MOD(SMALL(Transaksi!$X$16:$X$5015,295),1),0.01)*10000000,0))</f>
        <v/>
      </c>
      <c r="B304" s="135">
        <f>IF(295&gt;COUNT(Transaksi!$X$16:$X$5015),"",IF(295=1,INDEX(Transaksi!$B$1:$B$5015,ROUND(MOD(MOD(SMALL(Transaksi!$X$16:$X$5015,295),1),0.01)*10000000,0)),IF(INDEX(Transaksi!$B$1:$B$5015,ROUND(MOD(MOD(SMALL(Transaksi!$X$16:$X$5015,295),1),0.01)*10000000,0))=INDEX(Transaksi!$B$1:$B$5015,A303),"",INDEX(Transaksi!$B$1:$B$5015,ROUND(MOD(MOD(SMALL(Transaksi!$X$16:$X$5015,295),1),0.01)*10000000,0)))))</f>
        <v/>
      </c>
      <c r="C304" s="136">
        <f>IF(295&gt;COUNT(Transaksi!$X$16:$X$5015),"",INDEX(Transaksi!$J$1:$J$5015,ROUND(MOD(MOD(SMALL(Transaksi!$X$16:$X$5015,295),1),0.01)*10000000,0))&amp;IF(INDEX(Transaksi!$D$1:$D$5015,ROUND(MOD(MOD(SMALL(Transaksi!$X$16:$X$5015,295),1),0.01)*10000000,0))="Pindah",IF(INDEX(Transaksi!$C$1:$C$5015,ROUND(MOD(MOD(SMALL(Transaksi!$X$16:$X$5015,295),1),0.01)*10000000,0))=$C$4," (ke "&amp;INDEX(Transaksi!$E$1:$E$5015,ROUND(MOD(MOD(SMALL(Transaksi!$X$16:$X$5015,295),1),0.01)*10000000,0))&amp;")"," (dari "&amp;INDEX(Transaksi!$C$1:$C$5015,ROUND(MOD(MOD(SMALL(Transaksi!$X$16:$X$5015,295),1),0.01)*10000000,0))&amp;")"),""))</f>
        <v/>
      </c>
      <c r="D304" s="137">
        <f>IF(295&gt;COUNT(Transaksi!$X$16:$X$5015),"",INDEX(Transaksi!$I$1:$I$5015,ROUND(MOD(MOD(SMALL(Transaksi!$X$16:$X$5015,295),1),0.01)*10000000,0)))</f>
        <v/>
      </c>
      <c r="E304" s="138">
        <f>IF(295&gt;COUNT(Transaksi!$X$16:$X$5015),"",IF(IF(INDEX(Transaksi!$C$1:$C$5015,ROUND(MOD(MOD(SMALL(Transaksi!$X$16:$X$5015,295),1),0.01)*10000000,0))=$C$4,IF(INDEX(Transaksi!$D$1:$D$5015,ROUND(MOD(MOD(SMALL(Transaksi!$X$16:$X$5015,295),1),0.01)*10000000,0))="Masuk",1,-1),1)&gt;0,INDEX(Transaksi!$F$1:$F$5015,ROUND(MOD(MOD(SMALL(Transaksi!$X$16:$X$5015,295),1),0.01)*10000000,0)),""))</f>
        <v/>
      </c>
      <c r="F304" s="139">
        <f>IF(295&gt;COUNT(Transaksi!$X$16:$X$5015),"",IF(IF(INDEX(Transaksi!$C$1:$C$5015,ROUND(MOD(MOD(SMALL(Transaksi!$X$16:$X$5015,295),1),0.01)*10000000,0))=$C$4,IF(INDEX(Transaksi!$D$1:$D$5015,ROUND(MOD(MOD(SMALL(Transaksi!$X$16:$X$5015,295),1),0.01)*10000000,0))="Masuk",1,-1),1)&lt;0,INDEX(Transaksi!$F$1:$F$5015,ROUND(MOD(MOD(SMALL(Transaksi!$X$16:$X$5015,295),1),0.01)*10000000,0)),""))</f>
        <v/>
      </c>
      <c r="G304" s="106">
        <f>IF(295&gt;COUNT(Transaksi!$X$16:$X$5015),"",N(G303)+N(E304)-N(F304))</f>
        <v/>
      </c>
      <c r="H304" s="137">
        <f>IF(295&gt;COUNT(Transaksi!$X$16:$X$5015),"",HYPERLINK("#Transaksi!B"&amp;A304,"Buka"))</f>
        <v/>
      </c>
    </row>
    <row r="305" ht="15" customHeight="1" s="94">
      <c r="A305" s="93">
        <f>IF(296&gt;COUNT(Transaksi!$X$16:$X$5015),"",ROUND(MOD(MOD(SMALL(Transaksi!$X$16:$X$5015,296),1),0.01)*10000000,0))</f>
        <v/>
      </c>
      <c r="B305" s="135">
        <f>IF(296&gt;COUNT(Transaksi!$X$16:$X$5015),"",IF(296=1,INDEX(Transaksi!$B$1:$B$5015,ROUND(MOD(MOD(SMALL(Transaksi!$X$16:$X$5015,296),1),0.01)*10000000,0)),IF(INDEX(Transaksi!$B$1:$B$5015,ROUND(MOD(MOD(SMALL(Transaksi!$X$16:$X$5015,296),1),0.01)*10000000,0))=INDEX(Transaksi!$B$1:$B$5015,A304),"",INDEX(Transaksi!$B$1:$B$5015,ROUND(MOD(MOD(SMALL(Transaksi!$X$16:$X$5015,296),1),0.01)*10000000,0)))))</f>
        <v/>
      </c>
      <c r="C305" s="136">
        <f>IF(296&gt;COUNT(Transaksi!$X$16:$X$5015),"",INDEX(Transaksi!$J$1:$J$5015,ROUND(MOD(MOD(SMALL(Transaksi!$X$16:$X$5015,296),1),0.01)*10000000,0))&amp;IF(INDEX(Transaksi!$D$1:$D$5015,ROUND(MOD(MOD(SMALL(Transaksi!$X$16:$X$5015,296),1),0.01)*10000000,0))="Pindah",IF(INDEX(Transaksi!$C$1:$C$5015,ROUND(MOD(MOD(SMALL(Transaksi!$X$16:$X$5015,296),1),0.01)*10000000,0))=$C$4," (ke "&amp;INDEX(Transaksi!$E$1:$E$5015,ROUND(MOD(MOD(SMALL(Transaksi!$X$16:$X$5015,296),1),0.01)*10000000,0))&amp;")"," (dari "&amp;INDEX(Transaksi!$C$1:$C$5015,ROUND(MOD(MOD(SMALL(Transaksi!$X$16:$X$5015,296),1),0.01)*10000000,0))&amp;")"),""))</f>
        <v/>
      </c>
      <c r="D305" s="137">
        <f>IF(296&gt;COUNT(Transaksi!$X$16:$X$5015),"",INDEX(Transaksi!$I$1:$I$5015,ROUND(MOD(MOD(SMALL(Transaksi!$X$16:$X$5015,296),1),0.01)*10000000,0)))</f>
        <v/>
      </c>
      <c r="E305" s="138">
        <f>IF(296&gt;COUNT(Transaksi!$X$16:$X$5015),"",IF(IF(INDEX(Transaksi!$C$1:$C$5015,ROUND(MOD(MOD(SMALL(Transaksi!$X$16:$X$5015,296),1),0.01)*10000000,0))=$C$4,IF(INDEX(Transaksi!$D$1:$D$5015,ROUND(MOD(MOD(SMALL(Transaksi!$X$16:$X$5015,296),1),0.01)*10000000,0))="Masuk",1,-1),1)&gt;0,INDEX(Transaksi!$F$1:$F$5015,ROUND(MOD(MOD(SMALL(Transaksi!$X$16:$X$5015,296),1),0.01)*10000000,0)),""))</f>
        <v/>
      </c>
      <c r="F305" s="139">
        <f>IF(296&gt;COUNT(Transaksi!$X$16:$X$5015),"",IF(IF(INDEX(Transaksi!$C$1:$C$5015,ROUND(MOD(MOD(SMALL(Transaksi!$X$16:$X$5015,296),1),0.01)*10000000,0))=$C$4,IF(INDEX(Transaksi!$D$1:$D$5015,ROUND(MOD(MOD(SMALL(Transaksi!$X$16:$X$5015,296),1),0.01)*10000000,0))="Masuk",1,-1),1)&lt;0,INDEX(Transaksi!$F$1:$F$5015,ROUND(MOD(MOD(SMALL(Transaksi!$X$16:$X$5015,296),1),0.01)*10000000,0)),""))</f>
        <v/>
      </c>
      <c r="G305" s="106">
        <f>IF(296&gt;COUNT(Transaksi!$X$16:$X$5015),"",N(G304)+N(E305)-N(F305))</f>
        <v/>
      </c>
      <c r="H305" s="137">
        <f>IF(296&gt;COUNT(Transaksi!$X$16:$X$5015),"",HYPERLINK("#Transaksi!B"&amp;A305,"Buka"))</f>
        <v/>
      </c>
    </row>
    <row r="306" ht="15" customHeight="1" s="94">
      <c r="A306" s="93">
        <f>IF(297&gt;COUNT(Transaksi!$X$16:$X$5015),"",ROUND(MOD(MOD(SMALL(Transaksi!$X$16:$X$5015,297),1),0.01)*10000000,0))</f>
        <v/>
      </c>
      <c r="B306" s="135">
        <f>IF(297&gt;COUNT(Transaksi!$X$16:$X$5015),"",IF(297=1,INDEX(Transaksi!$B$1:$B$5015,ROUND(MOD(MOD(SMALL(Transaksi!$X$16:$X$5015,297),1),0.01)*10000000,0)),IF(INDEX(Transaksi!$B$1:$B$5015,ROUND(MOD(MOD(SMALL(Transaksi!$X$16:$X$5015,297),1),0.01)*10000000,0))=INDEX(Transaksi!$B$1:$B$5015,A305),"",INDEX(Transaksi!$B$1:$B$5015,ROUND(MOD(MOD(SMALL(Transaksi!$X$16:$X$5015,297),1),0.01)*10000000,0)))))</f>
        <v/>
      </c>
      <c r="C306" s="136">
        <f>IF(297&gt;COUNT(Transaksi!$X$16:$X$5015),"",INDEX(Transaksi!$J$1:$J$5015,ROUND(MOD(MOD(SMALL(Transaksi!$X$16:$X$5015,297),1),0.01)*10000000,0))&amp;IF(INDEX(Transaksi!$D$1:$D$5015,ROUND(MOD(MOD(SMALL(Transaksi!$X$16:$X$5015,297),1),0.01)*10000000,0))="Pindah",IF(INDEX(Transaksi!$C$1:$C$5015,ROUND(MOD(MOD(SMALL(Transaksi!$X$16:$X$5015,297),1),0.01)*10000000,0))=$C$4," (ke "&amp;INDEX(Transaksi!$E$1:$E$5015,ROUND(MOD(MOD(SMALL(Transaksi!$X$16:$X$5015,297),1),0.01)*10000000,0))&amp;")"," (dari "&amp;INDEX(Transaksi!$C$1:$C$5015,ROUND(MOD(MOD(SMALL(Transaksi!$X$16:$X$5015,297),1),0.01)*10000000,0))&amp;")"),""))</f>
        <v/>
      </c>
      <c r="D306" s="137">
        <f>IF(297&gt;COUNT(Transaksi!$X$16:$X$5015),"",INDEX(Transaksi!$I$1:$I$5015,ROUND(MOD(MOD(SMALL(Transaksi!$X$16:$X$5015,297),1),0.01)*10000000,0)))</f>
        <v/>
      </c>
      <c r="E306" s="138">
        <f>IF(297&gt;COUNT(Transaksi!$X$16:$X$5015),"",IF(IF(INDEX(Transaksi!$C$1:$C$5015,ROUND(MOD(MOD(SMALL(Transaksi!$X$16:$X$5015,297),1),0.01)*10000000,0))=$C$4,IF(INDEX(Transaksi!$D$1:$D$5015,ROUND(MOD(MOD(SMALL(Transaksi!$X$16:$X$5015,297),1),0.01)*10000000,0))="Masuk",1,-1),1)&gt;0,INDEX(Transaksi!$F$1:$F$5015,ROUND(MOD(MOD(SMALL(Transaksi!$X$16:$X$5015,297),1),0.01)*10000000,0)),""))</f>
        <v/>
      </c>
      <c r="F306" s="139">
        <f>IF(297&gt;COUNT(Transaksi!$X$16:$X$5015),"",IF(IF(INDEX(Transaksi!$C$1:$C$5015,ROUND(MOD(MOD(SMALL(Transaksi!$X$16:$X$5015,297),1),0.01)*10000000,0))=$C$4,IF(INDEX(Transaksi!$D$1:$D$5015,ROUND(MOD(MOD(SMALL(Transaksi!$X$16:$X$5015,297),1),0.01)*10000000,0))="Masuk",1,-1),1)&lt;0,INDEX(Transaksi!$F$1:$F$5015,ROUND(MOD(MOD(SMALL(Transaksi!$X$16:$X$5015,297),1),0.01)*10000000,0)),""))</f>
        <v/>
      </c>
      <c r="G306" s="106">
        <f>IF(297&gt;COUNT(Transaksi!$X$16:$X$5015),"",N(G305)+N(E306)-N(F306))</f>
        <v/>
      </c>
      <c r="H306" s="137">
        <f>IF(297&gt;COUNT(Transaksi!$X$16:$X$5015),"",HYPERLINK("#Transaksi!B"&amp;A306,"Buka"))</f>
        <v/>
      </c>
    </row>
    <row r="307" ht="15" customHeight="1" s="94">
      <c r="A307" s="93">
        <f>IF(298&gt;COUNT(Transaksi!$X$16:$X$5015),"",ROUND(MOD(MOD(SMALL(Transaksi!$X$16:$X$5015,298),1),0.01)*10000000,0))</f>
        <v/>
      </c>
      <c r="B307" s="135">
        <f>IF(298&gt;COUNT(Transaksi!$X$16:$X$5015),"",IF(298=1,INDEX(Transaksi!$B$1:$B$5015,ROUND(MOD(MOD(SMALL(Transaksi!$X$16:$X$5015,298),1),0.01)*10000000,0)),IF(INDEX(Transaksi!$B$1:$B$5015,ROUND(MOD(MOD(SMALL(Transaksi!$X$16:$X$5015,298),1),0.01)*10000000,0))=INDEX(Transaksi!$B$1:$B$5015,A306),"",INDEX(Transaksi!$B$1:$B$5015,ROUND(MOD(MOD(SMALL(Transaksi!$X$16:$X$5015,298),1),0.01)*10000000,0)))))</f>
        <v/>
      </c>
      <c r="C307" s="136">
        <f>IF(298&gt;COUNT(Transaksi!$X$16:$X$5015),"",INDEX(Transaksi!$J$1:$J$5015,ROUND(MOD(MOD(SMALL(Transaksi!$X$16:$X$5015,298),1),0.01)*10000000,0))&amp;IF(INDEX(Transaksi!$D$1:$D$5015,ROUND(MOD(MOD(SMALL(Transaksi!$X$16:$X$5015,298),1),0.01)*10000000,0))="Pindah",IF(INDEX(Transaksi!$C$1:$C$5015,ROUND(MOD(MOD(SMALL(Transaksi!$X$16:$X$5015,298),1),0.01)*10000000,0))=$C$4," (ke "&amp;INDEX(Transaksi!$E$1:$E$5015,ROUND(MOD(MOD(SMALL(Transaksi!$X$16:$X$5015,298),1),0.01)*10000000,0))&amp;")"," (dari "&amp;INDEX(Transaksi!$C$1:$C$5015,ROUND(MOD(MOD(SMALL(Transaksi!$X$16:$X$5015,298),1),0.01)*10000000,0))&amp;")"),""))</f>
        <v/>
      </c>
      <c r="D307" s="137">
        <f>IF(298&gt;COUNT(Transaksi!$X$16:$X$5015),"",INDEX(Transaksi!$I$1:$I$5015,ROUND(MOD(MOD(SMALL(Transaksi!$X$16:$X$5015,298),1),0.01)*10000000,0)))</f>
        <v/>
      </c>
      <c r="E307" s="138">
        <f>IF(298&gt;COUNT(Transaksi!$X$16:$X$5015),"",IF(IF(INDEX(Transaksi!$C$1:$C$5015,ROUND(MOD(MOD(SMALL(Transaksi!$X$16:$X$5015,298),1),0.01)*10000000,0))=$C$4,IF(INDEX(Transaksi!$D$1:$D$5015,ROUND(MOD(MOD(SMALL(Transaksi!$X$16:$X$5015,298),1),0.01)*10000000,0))="Masuk",1,-1),1)&gt;0,INDEX(Transaksi!$F$1:$F$5015,ROUND(MOD(MOD(SMALL(Transaksi!$X$16:$X$5015,298),1),0.01)*10000000,0)),""))</f>
        <v/>
      </c>
      <c r="F307" s="139">
        <f>IF(298&gt;COUNT(Transaksi!$X$16:$X$5015),"",IF(IF(INDEX(Transaksi!$C$1:$C$5015,ROUND(MOD(MOD(SMALL(Transaksi!$X$16:$X$5015,298),1),0.01)*10000000,0))=$C$4,IF(INDEX(Transaksi!$D$1:$D$5015,ROUND(MOD(MOD(SMALL(Transaksi!$X$16:$X$5015,298),1),0.01)*10000000,0))="Masuk",1,-1),1)&lt;0,INDEX(Transaksi!$F$1:$F$5015,ROUND(MOD(MOD(SMALL(Transaksi!$X$16:$X$5015,298),1),0.01)*10000000,0)),""))</f>
        <v/>
      </c>
      <c r="G307" s="106">
        <f>IF(298&gt;COUNT(Transaksi!$X$16:$X$5015),"",N(G306)+N(E307)-N(F307))</f>
        <v/>
      </c>
      <c r="H307" s="137">
        <f>IF(298&gt;COUNT(Transaksi!$X$16:$X$5015),"",HYPERLINK("#Transaksi!B"&amp;A307,"Buka"))</f>
        <v/>
      </c>
    </row>
    <row r="308" ht="15" customHeight="1" s="94">
      <c r="A308" s="93">
        <f>IF(299&gt;COUNT(Transaksi!$X$16:$X$5015),"",ROUND(MOD(MOD(SMALL(Transaksi!$X$16:$X$5015,299),1),0.01)*10000000,0))</f>
        <v/>
      </c>
      <c r="B308" s="135">
        <f>IF(299&gt;COUNT(Transaksi!$X$16:$X$5015),"",IF(299=1,INDEX(Transaksi!$B$1:$B$5015,ROUND(MOD(MOD(SMALL(Transaksi!$X$16:$X$5015,299),1),0.01)*10000000,0)),IF(INDEX(Transaksi!$B$1:$B$5015,ROUND(MOD(MOD(SMALL(Transaksi!$X$16:$X$5015,299),1),0.01)*10000000,0))=INDEX(Transaksi!$B$1:$B$5015,A307),"",INDEX(Transaksi!$B$1:$B$5015,ROUND(MOD(MOD(SMALL(Transaksi!$X$16:$X$5015,299),1),0.01)*10000000,0)))))</f>
        <v/>
      </c>
      <c r="C308" s="136">
        <f>IF(299&gt;COUNT(Transaksi!$X$16:$X$5015),"",INDEX(Transaksi!$J$1:$J$5015,ROUND(MOD(MOD(SMALL(Transaksi!$X$16:$X$5015,299),1),0.01)*10000000,0))&amp;IF(INDEX(Transaksi!$D$1:$D$5015,ROUND(MOD(MOD(SMALL(Transaksi!$X$16:$X$5015,299),1),0.01)*10000000,0))="Pindah",IF(INDEX(Transaksi!$C$1:$C$5015,ROUND(MOD(MOD(SMALL(Transaksi!$X$16:$X$5015,299),1),0.01)*10000000,0))=$C$4," (ke "&amp;INDEX(Transaksi!$E$1:$E$5015,ROUND(MOD(MOD(SMALL(Transaksi!$X$16:$X$5015,299),1),0.01)*10000000,0))&amp;")"," (dari "&amp;INDEX(Transaksi!$C$1:$C$5015,ROUND(MOD(MOD(SMALL(Transaksi!$X$16:$X$5015,299),1),0.01)*10000000,0))&amp;")"),""))</f>
        <v/>
      </c>
      <c r="D308" s="137">
        <f>IF(299&gt;COUNT(Transaksi!$X$16:$X$5015),"",INDEX(Transaksi!$I$1:$I$5015,ROUND(MOD(MOD(SMALL(Transaksi!$X$16:$X$5015,299),1),0.01)*10000000,0)))</f>
        <v/>
      </c>
      <c r="E308" s="138">
        <f>IF(299&gt;COUNT(Transaksi!$X$16:$X$5015),"",IF(IF(INDEX(Transaksi!$C$1:$C$5015,ROUND(MOD(MOD(SMALL(Transaksi!$X$16:$X$5015,299),1),0.01)*10000000,0))=$C$4,IF(INDEX(Transaksi!$D$1:$D$5015,ROUND(MOD(MOD(SMALL(Transaksi!$X$16:$X$5015,299),1),0.01)*10000000,0))="Masuk",1,-1),1)&gt;0,INDEX(Transaksi!$F$1:$F$5015,ROUND(MOD(MOD(SMALL(Transaksi!$X$16:$X$5015,299),1),0.01)*10000000,0)),""))</f>
        <v/>
      </c>
      <c r="F308" s="139">
        <f>IF(299&gt;COUNT(Transaksi!$X$16:$X$5015),"",IF(IF(INDEX(Transaksi!$C$1:$C$5015,ROUND(MOD(MOD(SMALL(Transaksi!$X$16:$X$5015,299),1),0.01)*10000000,0))=$C$4,IF(INDEX(Transaksi!$D$1:$D$5015,ROUND(MOD(MOD(SMALL(Transaksi!$X$16:$X$5015,299),1),0.01)*10000000,0))="Masuk",1,-1),1)&lt;0,INDEX(Transaksi!$F$1:$F$5015,ROUND(MOD(MOD(SMALL(Transaksi!$X$16:$X$5015,299),1),0.01)*10000000,0)),""))</f>
        <v/>
      </c>
      <c r="G308" s="106">
        <f>IF(299&gt;COUNT(Transaksi!$X$16:$X$5015),"",N(G307)+N(E308)-N(F308))</f>
        <v/>
      </c>
      <c r="H308" s="137">
        <f>IF(299&gt;COUNT(Transaksi!$X$16:$X$5015),"",HYPERLINK("#Transaksi!B"&amp;A308,"Buka"))</f>
        <v/>
      </c>
    </row>
    <row r="309" ht="15" customHeight="1" s="94">
      <c r="A309" s="93">
        <f>IF(300&gt;COUNT(Transaksi!$X$16:$X$5015),"",ROUND(MOD(MOD(SMALL(Transaksi!$X$16:$X$5015,300),1),0.01)*10000000,0))</f>
        <v/>
      </c>
      <c r="B309" s="135">
        <f>IF(300&gt;COUNT(Transaksi!$X$16:$X$5015),"",IF(300=1,INDEX(Transaksi!$B$1:$B$5015,ROUND(MOD(MOD(SMALL(Transaksi!$X$16:$X$5015,300),1),0.01)*10000000,0)),IF(INDEX(Transaksi!$B$1:$B$5015,ROUND(MOD(MOD(SMALL(Transaksi!$X$16:$X$5015,300),1),0.01)*10000000,0))=INDEX(Transaksi!$B$1:$B$5015,A308),"",INDEX(Transaksi!$B$1:$B$5015,ROUND(MOD(MOD(SMALL(Transaksi!$X$16:$X$5015,300),1),0.01)*10000000,0)))))</f>
        <v/>
      </c>
      <c r="C309" s="136">
        <f>IF(300&gt;COUNT(Transaksi!$X$16:$X$5015),"",INDEX(Transaksi!$J$1:$J$5015,ROUND(MOD(MOD(SMALL(Transaksi!$X$16:$X$5015,300),1),0.01)*10000000,0))&amp;IF(INDEX(Transaksi!$D$1:$D$5015,ROUND(MOD(MOD(SMALL(Transaksi!$X$16:$X$5015,300),1),0.01)*10000000,0))="Pindah",IF(INDEX(Transaksi!$C$1:$C$5015,ROUND(MOD(MOD(SMALL(Transaksi!$X$16:$X$5015,300),1),0.01)*10000000,0))=$C$4," (ke "&amp;INDEX(Transaksi!$E$1:$E$5015,ROUND(MOD(MOD(SMALL(Transaksi!$X$16:$X$5015,300),1),0.01)*10000000,0))&amp;")"," (dari "&amp;INDEX(Transaksi!$C$1:$C$5015,ROUND(MOD(MOD(SMALL(Transaksi!$X$16:$X$5015,300),1),0.01)*10000000,0))&amp;")"),""))</f>
        <v/>
      </c>
      <c r="D309" s="137">
        <f>IF(300&gt;COUNT(Transaksi!$X$16:$X$5015),"",INDEX(Transaksi!$I$1:$I$5015,ROUND(MOD(MOD(SMALL(Transaksi!$X$16:$X$5015,300),1),0.01)*10000000,0)))</f>
        <v/>
      </c>
      <c r="E309" s="138">
        <f>IF(300&gt;COUNT(Transaksi!$X$16:$X$5015),"",IF(IF(INDEX(Transaksi!$C$1:$C$5015,ROUND(MOD(MOD(SMALL(Transaksi!$X$16:$X$5015,300),1),0.01)*10000000,0))=$C$4,IF(INDEX(Transaksi!$D$1:$D$5015,ROUND(MOD(MOD(SMALL(Transaksi!$X$16:$X$5015,300),1),0.01)*10000000,0))="Masuk",1,-1),1)&gt;0,INDEX(Transaksi!$F$1:$F$5015,ROUND(MOD(MOD(SMALL(Transaksi!$X$16:$X$5015,300),1),0.01)*10000000,0)),""))</f>
        <v/>
      </c>
      <c r="F309" s="139">
        <f>IF(300&gt;COUNT(Transaksi!$X$16:$X$5015),"",IF(IF(INDEX(Transaksi!$C$1:$C$5015,ROUND(MOD(MOD(SMALL(Transaksi!$X$16:$X$5015,300),1),0.01)*10000000,0))=$C$4,IF(INDEX(Transaksi!$D$1:$D$5015,ROUND(MOD(MOD(SMALL(Transaksi!$X$16:$X$5015,300),1),0.01)*10000000,0))="Masuk",1,-1),1)&lt;0,INDEX(Transaksi!$F$1:$F$5015,ROUND(MOD(MOD(SMALL(Transaksi!$X$16:$X$5015,300),1),0.01)*10000000,0)),""))</f>
        <v/>
      </c>
      <c r="G309" s="106">
        <f>IF(300&gt;COUNT(Transaksi!$X$16:$X$5015),"",N(G308)+N(E309)-N(F309))</f>
        <v/>
      </c>
      <c r="H309" s="137">
        <f>IF(300&gt;COUNT(Transaksi!$X$16:$X$5015),"",HYPERLINK("#Transaksi!B"&amp;A309,"Buka"))</f>
        <v/>
      </c>
    </row>
  </sheetData>
  <mergeCells count="2">
    <mergeCell ref="A2:H2"/>
    <mergeCell ref="A1:H1"/>
  </mergeCells>
  <dataValidations count="3">
    <dataValidation sqref="C4" showDropDown="0" showInputMessage="0" showErrorMessage="0" allowBlank="0" type="list" errorStyle="stop" operator="between">
      <formula1>Ref!$O$2:$O$101</formula1>
      <formula2>0</formula2>
    </dataValidation>
    <dataValidation sqref="C5" showDropDown="0" showInputMessage="0" showErrorMessage="0" allowBlank="0" type="list" errorStyle="stop" operator="between">
      <formula1>Ref!$A$1:$A$12</formula1>
      <formula2>0</formula2>
    </dataValidation>
    <dataValidation sqref="C6" showDropDown="0" showInputMessage="0" showErrorMessage="0" allowBlank="0" type="list" errorStyle="stop" operator="between">
      <formula1>Ref!$B$1:$B$17</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C100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93" min="1" max="1"/>
    <col width="24" customWidth="1" style="93" min="2" max="2"/>
    <col width="90" customWidth="1" style="93" min="3" max="3"/>
  </cols>
  <sheetData>
    <row r="1" ht="15.75" customHeight="1" s="94">
      <c r="A1" s="140" t="inlineStr">
        <is>
          <t>Catatan tanpa nominal (dari file asli Laporan_Keuangan_Randu_2025.xlsx)</t>
        </is>
      </c>
    </row>
    <row r="2" ht="15" customHeight="1" s="94">
      <c r="A2" s="93" t="inlineStr">
        <is>
          <t>Baris keterangan di file asli yang tidak punya angka. Tidak mengubah saldo, hanya penjelasan.</t>
        </is>
      </c>
    </row>
    <row r="3"/>
    <row r="4" ht="15" customHeight="1" s="94">
      <c r="A4" s="141" t="inlineStr">
        <is>
          <t>Tanggal</t>
        </is>
      </c>
      <c r="B4" s="141" t="inlineStr">
        <is>
          <t>Akun</t>
        </is>
      </c>
      <c r="C4" s="141" t="inlineStr">
        <is>
          <t>Catatan</t>
        </is>
      </c>
    </row>
    <row r="5" ht="15" customHeight="1" s="94">
      <c r="A5" s="129" t="n"/>
      <c r="B5" s="93" t="n"/>
      <c r="C5" s="142" t="n"/>
    </row>
    <row r="6" ht="15" customHeight="1" s="94">
      <c r="A6" s="129" t="n"/>
      <c r="B6" s="93" t="n"/>
      <c r="C6" s="142" t="n"/>
    </row>
    <row r="7" ht="15" customHeight="1" s="94">
      <c r="A7" s="129" t="n"/>
      <c r="B7" s="93" t="n"/>
      <c r="C7" s="142" t="n"/>
    </row>
    <row r="8" ht="15" customHeight="1" s="94">
      <c r="A8" s="129" t="n"/>
      <c r="B8" s="93" t="n"/>
      <c r="C8" s="142" t="n"/>
    </row>
    <row r="9" ht="15" customHeight="1" s="94">
      <c r="A9" s="129" t="n"/>
      <c r="B9" s="93" t="n"/>
      <c r="C9" s="142" t="n"/>
    </row>
    <row r="10" ht="15" customHeight="1" s="94">
      <c r="A10" s="129" t="n"/>
      <c r="B10" s="93" t="n"/>
      <c r="C10" s="142" t="n"/>
    </row>
    <row r="11" ht="15" customHeight="1" s="94">
      <c r="A11" s="129" t="n"/>
      <c r="B11" s="93" t="n"/>
      <c r="C11" s="142" t="n"/>
    </row>
    <row r="12" ht="15" customHeight="1" s="94">
      <c r="A12" s="129" t="n"/>
      <c r="B12" s="93" t="n"/>
      <c r="C12" s="142" t="n"/>
    </row>
    <row r="13" ht="15" customHeight="1" s="94">
      <c r="A13" s="129" t="n"/>
      <c r="B13" s="93" t="n"/>
      <c r="C13" s="142" t="n"/>
    </row>
    <row r="14" ht="15" customHeight="1" s="94">
      <c r="A14" s="129" t="n"/>
      <c r="B14" s="93" t="n"/>
      <c r="C14" s="142" t="n"/>
    </row>
    <row r="15" ht="15" customHeight="1" s="94">
      <c r="A15" s="129" t="n"/>
      <c r="B15" s="93" t="n"/>
      <c r="C15" s="142" t="n"/>
    </row>
    <row r="16" ht="15" customHeight="1" s="94">
      <c r="A16" s="129" t="n"/>
      <c r="B16" s="93" t="n"/>
      <c r="C16" s="142" t="n"/>
    </row>
    <row r="17" ht="15" customHeight="1" s="94">
      <c r="A17" s="129" t="n"/>
      <c r="B17" s="93" t="n"/>
      <c r="C17" s="142" t="n"/>
    </row>
    <row r="18" ht="15" customHeight="1" s="94">
      <c r="A18" s="129" t="n"/>
      <c r="B18" s="93" t="n"/>
      <c r="C18" s="142" t="n"/>
    </row>
    <row r="19" ht="15" customHeight="1" s="94">
      <c r="A19" s="129" t="n"/>
      <c r="B19" s="93" t="n"/>
      <c r="C19" s="142" t="n"/>
    </row>
    <row r="20" ht="15" customHeight="1" s="94">
      <c r="A20" s="129" t="n"/>
      <c r="B20" s="93" t="n"/>
      <c r="C20" s="142" t="n"/>
    </row>
    <row r="21" ht="15" customHeight="1" s="94">
      <c r="A21" s="129" t="n"/>
      <c r="B21" s="93" t="n"/>
      <c r="C21" s="142" t="n"/>
    </row>
    <row r="22" ht="15" customHeight="1" s="94">
      <c r="A22" s="129" t="n"/>
      <c r="B22" s="93" t="n"/>
      <c r="C22" s="142" t="n"/>
    </row>
    <row r="23" ht="15" customHeight="1" s="94">
      <c r="A23" s="129" t="n"/>
      <c r="B23" s="93" t="n"/>
      <c r="C23" s="142" t="n"/>
    </row>
    <row r="24" ht="15" customHeight="1" s="94">
      <c r="A24" s="129" t="n"/>
      <c r="B24" s="93" t="n"/>
      <c r="C24" s="142" t="n"/>
    </row>
    <row r="25" ht="27.75" customHeight="1" s="94">
      <c r="A25" s="129" t="n"/>
      <c r="B25" s="93" t="n"/>
      <c r="C25" s="142" t="n"/>
    </row>
    <row r="26" ht="15" customHeight="1" s="94">
      <c r="A26" s="129" t="n"/>
      <c r="B26" s="93" t="n"/>
      <c r="C26" s="142" t="n"/>
    </row>
    <row r="27" ht="27.75" customHeight="1" s="94">
      <c r="A27" s="129" t="n"/>
      <c r="B27" s="93" t="n"/>
      <c r="C27" s="142" t="n"/>
    </row>
    <row r="28" ht="27.75" customHeight="1" s="94">
      <c r="A28" s="129" t="n"/>
      <c r="B28" s="93" t="n"/>
      <c r="C28" s="142" t="n"/>
    </row>
    <row r="29" ht="15" customHeight="1" s="94">
      <c r="A29" s="129" t="n"/>
      <c r="B29" s="93" t="n"/>
      <c r="C29" s="142" t="n"/>
    </row>
    <row r="30" ht="15" customHeight="1" s="94">
      <c r="A30" s="129" t="n"/>
      <c r="B30" s="93" t="n"/>
      <c r="C30" s="142" t="n"/>
    </row>
    <row r="31" ht="15" customHeight="1" s="94">
      <c r="A31" s="129" t="n"/>
      <c r="B31" s="93" t="n"/>
      <c r="C31" s="142" t="n"/>
    </row>
    <row r="32" ht="15" customHeight="1" s="94">
      <c r="A32" s="129" t="n"/>
      <c r="B32" s="93" t="n"/>
      <c r="C32" s="142" t="n"/>
    </row>
    <row r="33" ht="15" customHeight="1" s="94">
      <c r="A33" s="129" t="n"/>
      <c r="B33" s="93" t="n"/>
      <c r="C33" s="142" t="n"/>
    </row>
    <row r="34" ht="15" customHeight="1" s="94">
      <c r="A34" s="129" t="n"/>
      <c r="B34" s="93" t="n"/>
      <c r="C34" s="142" t="n"/>
    </row>
    <row r="35" ht="15" customHeight="1" s="94">
      <c r="A35" s="129" t="n"/>
      <c r="B35" s="93" t="n"/>
      <c r="C35" s="142" t="n"/>
    </row>
    <row r="36" ht="15" customHeight="1" s="94">
      <c r="A36" s="129" t="n"/>
      <c r="B36" s="93" t="n"/>
      <c r="C36" s="142" t="n"/>
    </row>
    <row r="37" ht="15" customHeight="1" s="94">
      <c r="A37" s="129" t="n"/>
      <c r="B37" s="93" t="n"/>
      <c r="C37" s="142" t="n"/>
    </row>
    <row r="38" ht="15" customHeight="1" s="94">
      <c r="A38" s="129" t="n"/>
      <c r="B38" s="93" t="n"/>
      <c r="C38" s="142" t="n"/>
    </row>
    <row r="39" ht="15" customHeight="1" s="94">
      <c r="A39" s="129" t="n"/>
      <c r="B39" s="93" t="n"/>
      <c r="C39" s="142" t="n"/>
    </row>
    <row r="40" ht="15" customHeight="1" s="94">
      <c r="A40" s="129" t="n"/>
      <c r="B40" s="93" t="n"/>
      <c r="C40" s="142" t="n"/>
    </row>
    <row r="41" ht="15" customHeight="1" s="94">
      <c r="A41" s="129" t="n"/>
      <c r="B41" s="93" t="n"/>
      <c r="C41" s="142" t="n"/>
    </row>
    <row r="42" ht="15" customHeight="1" s="94">
      <c r="A42" s="129" t="n"/>
      <c r="B42" s="93" t="n"/>
      <c r="C42" s="142" t="n"/>
    </row>
    <row r="43" ht="15" customHeight="1" s="94">
      <c r="A43" s="129" t="n"/>
      <c r="B43" s="93" t="n"/>
      <c r="C43" s="142" t="n"/>
    </row>
    <row r="44" ht="15" customHeight="1" s="94">
      <c r="A44" s="129" t="n"/>
      <c r="B44" s="93" t="n"/>
      <c r="C44" s="142" t="n"/>
    </row>
    <row r="45" ht="15" customHeight="1" s="94">
      <c r="A45" s="129" t="n"/>
      <c r="B45" s="93" t="n"/>
      <c r="C45" s="142" t="n"/>
    </row>
    <row r="46" ht="15" customHeight="1" s="94">
      <c r="A46" s="129" t="n"/>
      <c r="B46" s="93" t="n"/>
      <c r="C46" s="142" t="n"/>
    </row>
    <row r="47" ht="15" customHeight="1" s="94">
      <c r="A47" s="129" t="n"/>
      <c r="B47" s="93" t="n"/>
      <c r="C47" s="142" t="n"/>
    </row>
    <row r="48" ht="15" customHeight="1" s="94">
      <c r="A48" s="129" t="n"/>
      <c r="B48" s="93" t="n"/>
      <c r="C48" s="142" t="n"/>
    </row>
    <row r="49" ht="15" customHeight="1" s="94">
      <c r="A49" s="129" t="n"/>
      <c r="B49" s="93" t="n"/>
      <c r="C49" s="142" t="n"/>
    </row>
    <row r="50" ht="27.75" customHeight="1" s="94">
      <c r="A50" s="129" t="n"/>
      <c r="B50" s="93" t="n"/>
      <c r="C50" s="142" t="n"/>
    </row>
    <row r="51" ht="15" customHeight="1" s="94">
      <c r="A51" s="129" t="n"/>
      <c r="B51" s="93" t="n"/>
      <c r="C51" s="142" t="n"/>
    </row>
    <row r="52">
      <c r="A52" s="129" t="n"/>
      <c r="B52" s="93" t="n"/>
      <c r="C52" s="142" t="n"/>
    </row>
    <row r="53">
      <c r="A53" s="129" t="n"/>
      <c r="B53" s="93" t="n"/>
      <c r="C53" s="142" t="n"/>
    </row>
    <row r="54">
      <c r="A54" s="129" t="n"/>
      <c r="B54" s="93" t="n"/>
      <c r="C54" s="142" t="n"/>
    </row>
    <row r="55">
      <c r="A55" s="129" t="n"/>
      <c r="B55" s="93" t="n"/>
      <c r="C55" s="142" t="n"/>
    </row>
    <row r="56">
      <c r="A56" s="129" t="n"/>
      <c r="B56" s="93" t="n"/>
      <c r="C56" s="142" t="n"/>
    </row>
    <row r="57">
      <c r="A57" s="129" t="n"/>
      <c r="B57" s="93" t="n"/>
      <c r="C57" s="142" t="n"/>
    </row>
    <row r="58">
      <c r="A58" s="129" t="n"/>
      <c r="B58" s="93" t="n"/>
      <c r="C58" s="142" t="n"/>
    </row>
    <row r="59">
      <c r="A59" s="129" t="n"/>
      <c r="B59" s="93" t="n"/>
      <c r="C59" s="142" t="n"/>
    </row>
    <row r="60">
      <c r="A60" s="129" t="n"/>
      <c r="B60" s="93" t="n"/>
      <c r="C60" s="142" t="n"/>
    </row>
    <row r="61">
      <c r="A61" s="129" t="n"/>
      <c r="B61" s="93" t="n"/>
      <c r="C61" s="142" t="n"/>
    </row>
    <row r="62">
      <c r="A62" s="129" t="n"/>
      <c r="B62" s="93" t="n"/>
      <c r="C62" s="142" t="n"/>
    </row>
    <row r="63">
      <c r="A63" s="129" t="n"/>
      <c r="B63" s="93" t="n"/>
      <c r="C63" s="142" t="n"/>
    </row>
    <row r="64">
      <c r="A64" s="129" t="n"/>
      <c r="B64" s="93" t="n"/>
      <c r="C64" s="142" t="n"/>
    </row>
    <row r="65">
      <c r="A65" s="129" t="n"/>
      <c r="B65" s="93" t="n"/>
      <c r="C65" s="142" t="n"/>
    </row>
    <row r="66">
      <c r="A66" s="129" t="n"/>
      <c r="B66" s="93" t="n"/>
      <c r="C66" s="142" t="n"/>
    </row>
    <row r="67">
      <c r="A67" s="129" t="n"/>
      <c r="B67" s="93" t="n"/>
      <c r="C67" s="142" t="n"/>
    </row>
    <row r="68">
      <c r="A68" s="129" t="n"/>
      <c r="B68" s="93" t="n"/>
      <c r="C68" s="142" t="n"/>
    </row>
    <row r="69">
      <c r="A69" s="129" t="n"/>
      <c r="B69" s="93" t="n"/>
      <c r="C69" s="142" t="n"/>
    </row>
    <row r="70">
      <c r="A70" s="129" t="n"/>
      <c r="B70" s="93" t="n"/>
      <c r="C70" s="142" t="n"/>
    </row>
    <row r="71">
      <c r="A71" s="129" t="n"/>
      <c r="B71" s="93" t="n"/>
      <c r="C71" s="142" t="n"/>
    </row>
    <row r="72">
      <c r="A72" s="129" t="n"/>
      <c r="B72" s="93" t="n"/>
      <c r="C72" s="142" t="n"/>
    </row>
    <row r="73">
      <c r="A73" s="129" t="n"/>
      <c r="B73" s="93" t="n"/>
      <c r="C73" s="142" t="n"/>
    </row>
    <row r="74">
      <c r="A74" s="129" t="n"/>
      <c r="B74" s="93" t="n"/>
      <c r="C74" s="142" t="n"/>
    </row>
    <row r="75">
      <c r="A75" s="129" t="n"/>
      <c r="B75" s="93" t="n"/>
      <c r="C75" s="142" t="n"/>
    </row>
    <row r="76">
      <c r="A76" s="129" t="n"/>
      <c r="B76" s="93" t="n"/>
      <c r="C76" s="142" t="n"/>
    </row>
    <row r="77">
      <c r="A77" s="129" t="n"/>
      <c r="B77" s="93" t="n"/>
      <c r="C77" s="142" t="n"/>
    </row>
    <row r="78">
      <c r="A78" s="129" t="n"/>
      <c r="B78" s="93" t="n"/>
      <c r="C78" s="142" t="n"/>
    </row>
    <row r="79">
      <c r="A79" s="129" t="n"/>
      <c r="B79" s="93" t="n"/>
      <c r="C79" s="142" t="n"/>
    </row>
    <row r="80">
      <c r="A80" s="129" t="n"/>
      <c r="B80" s="93" t="n"/>
      <c r="C80" s="142" t="n"/>
    </row>
    <row r="81">
      <c r="A81" s="129" t="n"/>
      <c r="B81" s="93" t="n"/>
      <c r="C81" s="142" t="n"/>
    </row>
    <row r="82">
      <c r="A82" s="129" t="n"/>
      <c r="B82" s="93" t="n"/>
      <c r="C82" s="142" t="n"/>
    </row>
    <row r="83">
      <c r="A83" s="129" t="n"/>
      <c r="B83" s="93" t="n"/>
      <c r="C83" s="142" t="n"/>
    </row>
    <row r="84">
      <c r="A84" s="129" t="n"/>
      <c r="B84" s="93" t="n"/>
      <c r="C84" s="142" t="n"/>
    </row>
    <row r="85">
      <c r="A85" s="129" t="n"/>
      <c r="B85" s="93" t="n"/>
      <c r="C85" s="142" t="n"/>
    </row>
    <row r="86">
      <c r="A86" s="129" t="n"/>
      <c r="B86" s="93" t="n"/>
      <c r="C86" s="142" t="n"/>
    </row>
    <row r="87">
      <c r="A87" s="129" t="n"/>
      <c r="B87" s="93" t="n"/>
      <c r="C87" s="142" t="n"/>
    </row>
    <row r="88">
      <c r="A88" s="129" t="n"/>
      <c r="B88" s="93" t="n"/>
      <c r="C88" s="142" t="n"/>
    </row>
    <row r="89">
      <c r="A89" s="129" t="n"/>
      <c r="B89" s="93" t="n"/>
      <c r="C89" s="142" t="n"/>
    </row>
    <row r="90">
      <c r="A90" s="129" t="n"/>
      <c r="B90" s="93" t="n"/>
      <c r="C90" s="142" t="n"/>
    </row>
    <row r="91">
      <c r="A91" s="129" t="n"/>
      <c r="B91" s="93" t="n"/>
      <c r="C91" s="142" t="n"/>
    </row>
    <row r="92">
      <c r="A92" s="129" t="n"/>
      <c r="B92" s="93" t="n"/>
      <c r="C92" s="142" t="n"/>
    </row>
    <row r="93">
      <c r="A93" s="129" t="n"/>
      <c r="B93" s="93" t="n"/>
      <c r="C93" s="142" t="n"/>
    </row>
    <row r="94">
      <c r="A94" s="129" t="n"/>
      <c r="B94" s="93" t="n"/>
      <c r="C94" s="142" t="n"/>
    </row>
    <row r="95">
      <c r="A95" s="129" t="n"/>
      <c r="B95" s="93" t="n"/>
      <c r="C95" s="142" t="n"/>
    </row>
    <row r="96">
      <c r="A96" s="129" t="n"/>
      <c r="B96" s="93" t="n"/>
      <c r="C96" s="142" t="n"/>
    </row>
    <row r="97">
      <c r="A97" s="129" t="n"/>
      <c r="B97" s="93" t="n"/>
      <c r="C97" s="142" t="n"/>
    </row>
    <row r="98">
      <c r="A98" s="129" t="n"/>
      <c r="B98" s="93" t="n"/>
      <c r="C98" s="142" t="n"/>
    </row>
    <row r="99">
      <c r="A99" s="129" t="n"/>
      <c r="B99" s="93" t="n"/>
      <c r="C99" s="142" t="n"/>
    </row>
    <row r="100">
      <c r="A100" s="129" t="n"/>
      <c r="B100" s="93" t="n"/>
      <c r="C100" s="142" t="n"/>
    </row>
    <row r="101">
      <c r="A101" s="129" t="n"/>
      <c r="B101" s="93" t="n"/>
      <c r="C101" s="142" t="n"/>
    </row>
    <row r="102">
      <c r="A102" s="129" t="n"/>
      <c r="B102" s="93" t="n"/>
      <c r="C102" s="142" t="n"/>
    </row>
    <row r="103">
      <c r="A103" s="129" t="n"/>
      <c r="B103" s="93" t="n"/>
      <c r="C103" s="142" t="n"/>
    </row>
    <row r="104">
      <c r="A104" s="129" t="n"/>
      <c r="B104" s="93" t="n"/>
      <c r="C104" s="142" t="n"/>
    </row>
    <row r="105">
      <c r="A105" s="129" t="n"/>
      <c r="B105" s="93" t="n"/>
      <c r="C105" s="142" t="n"/>
    </row>
    <row r="106">
      <c r="A106" s="129" t="n"/>
      <c r="B106" s="93" t="n"/>
      <c r="C106" s="142" t="n"/>
    </row>
    <row r="107">
      <c r="A107" s="129" t="n"/>
      <c r="B107" s="93" t="n"/>
      <c r="C107" s="142" t="n"/>
    </row>
    <row r="108">
      <c r="A108" s="129" t="n"/>
      <c r="B108" s="93" t="n"/>
      <c r="C108" s="142" t="n"/>
    </row>
    <row r="109">
      <c r="A109" s="129" t="n"/>
      <c r="B109" s="93" t="n"/>
      <c r="C109" s="142" t="n"/>
    </row>
    <row r="110">
      <c r="A110" s="129" t="n"/>
      <c r="B110" s="93" t="n"/>
      <c r="C110" s="142" t="n"/>
    </row>
    <row r="111">
      <c r="A111" s="129" t="n"/>
      <c r="B111" s="93" t="n"/>
      <c r="C111" s="142" t="n"/>
    </row>
    <row r="112">
      <c r="A112" s="129" t="n"/>
      <c r="B112" s="93" t="n"/>
      <c r="C112" s="142" t="n"/>
    </row>
    <row r="113">
      <c r="A113" s="129" t="n"/>
      <c r="B113" s="93" t="n"/>
      <c r="C113" s="142" t="n"/>
    </row>
    <row r="114">
      <c r="A114" s="129" t="n"/>
      <c r="B114" s="93" t="n"/>
      <c r="C114" s="142" t="n"/>
    </row>
    <row r="115">
      <c r="A115" s="129" t="n"/>
      <c r="B115" s="93" t="n"/>
      <c r="C115" s="142" t="n"/>
    </row>
    <row r="116">
      <c r="A116" s="129" t="n"/>
      <c r="B116" s="93" t="n"/>
      <c r="C116" s="142" t="n"/>
    </row>
    <row r="117">
      <c r="A117" s="129" t="n"/>
      <c r="B117" s="93" t="n"/>
      <c r="C117" s="142" t="n"/>
    </row>
    <row r="118">
      <c r="A118" s="129" t="n"/>
      <c r="B118" s="93" t="n"/>
      <c r="C118" s="142" t="n"/>
    </row>
    <row r="119">
      <c r="A119" s="129" t="n"/>
      <c r="B119" s="93" t="n"/>
      <c r="C119" s="142" t="n"/>
    </row>
    <row r="120">
      <c r="A120" s="129" t="n"/>
      <c r="B120" s="93" t="n"/>
      <c r="C120" s="142" t="n"/>
    </row>
    <row r="121">
      <c r="A121" s="129" t="n"/>
      <c r="B121" s="93" t="n"/>
      <c r="C121" s="142" t="n"/>
    </row>
    <row r="122">
      <c r="A122" s="129" t="n"/>
      <c r="B122" s="93" t="n"/>
      <c r="C122" s="142" t="n"/>
    </row>
    <row r="123">
      <c r="A123" s="129" t="n"/>
      <c r="B123" s="93" t="n"/>
      <c r="C123" s="142" t="n"/>
    </row>
    <row r="124">
      <c r="A124" s="129" t="n"/>
      <c r="B124" s="93" t="n"/>
      <c r="C124" s="142" t="n"/>
    </row>
    <row r="125">
      <c r="A125" s="129" t="n"/>
      <c r="B125" s="93" t="n"/>
      <c r="C125" s="142" t="n"/>
    </row>
    <row r="126">
      <c r="A126" s="129" t="n"/>
      <c r="B126" s="93" t="n"/>
      <c r="C126" s="142" t="n"/>
    </row>
    <row r="127">
      <c r="A127" s="129" t="n"/>
      <c r="B127" s="93" t="n"/>
      <c r="C127" s="142" t="n"/>
    </row>
    <row r="128">
      <c r="A128" s="129" t="n"/>
      <c r="B128" s="93" t="n"/>
      <c r="C128" s="142" t="n"/>
    </row>
    <row r="129">
      <c r="A129" s="129" t="n"/>
      <c r="B129" s="93" t="n"/>
      <c r="C129" s="142" t="n"/>
    </row>
    <row r="130">
      <c r="A130" s="129" t="n"/>
      <c r="B130" s="93" t="n"/>
      <c r="C130" s="142" t="n"/>
    </row>
    <row r="131">
      <c r="A131" s="129" t="n"/>
      <c r="B131" s="93" t="n"/>
      <c r="C131" s="142" t="n"/>
    </row>
    <row r="132">
      <c r="A132" s="129" t="n"/>
      <c r="B132" s="93" t="n"/>
      <c r="C132" s="142" t="n"/>
    </row>
    <row r="133">
      <c r="A133" s="129" t="n"/>
      <c r="B133" s="93" t="n"/>
      <c r="C133" s="142" t="n"/>
    </row>
    <row r="134">
      <c r="A134" s="129" t="n"/>
      <c r="B134" s="93" t="n"/>
      <c r="C134" s="142" t="n"/>
    </row>
    <row r="135">
      <c r="A135" s="129" t="n"/>
      <c r="B135" s="93" t="n"/>
      <c r="C135" s="142" t="n"/>
    </row>
    <row r="136">
      <c r="A136" s="129" t="n"/>
      <c r="B136" s="93" t="n"/>
      <c r="C136" s="142" t="n"/>
    </row>
    <row r="137">
      <c r="A137" s="129" t="n"/>
      <c r="B137" s="93" t="n"/>
      <c r="C137" s="142" t="n"/>
    </row>
    <row r="138">
      <c r="A138" s="129" t="n"/>
      <c r="B138" s="93" t="n"/>
      <c r="C138" s="142" t="n"/>
    </row>
    <row r="139">
      <c r="A139" s="129" t="n"/>
      <c r="B139" s="93" t="n"/>
      <c r="C139" s="142" t="n"/>
    </row>
    <row r="140">
      <c r="A140" s="129" t="n"/>
      <c r="B140" s="93" t="n"/>
      <c r="C140" s="142" t="n"/>
    </row>
    <row r="141">
      <c r="A141" s="129" t="n"/>
      <c r="B141" s="93" t="n"/>
      <c r="C141" s="142" t="n"/>
    </row>
    <row r="142">
      <c r="A142" s="129" t="n"/>
      <c r="B142" s="93" t="n"/>
      <c r="C142" s="142" t="n"/>
    </row>
    <row r="143">
      <c r="A143" s="129" t="n"/>
      <c r="B143" s="93" t="n"/>
      <c r="C143" s="142" t="n"/>
    </row>
    <row r="144">
      <c r="A144" s="129" t="n"/>
      <c r="B144" s="93" t="n"/>
      <c r="C144" s="142" t="n"/>
    </row>
    <row r="145">
      <c r="A145" s="129" t="n"/>
      <c r="B145" s="93" t="n"/>
      <c r="C145" s="142" t="n"/>
    </row>
    <row r="146">
      <c r="A146" s="129" t="n"/>
      <c r="B146" s="93" t="n"/>
      <c r="C146" s="142" t="n"/>
    </row>
    <row r="147">
      <c r="A147" s="129" t="n"/>
      <c r="B147" s="93" t="n"/>
      <c r="C147" s="142" t="n"/>
    </row>
    <row r="148">
      <c r="A148" s="129" t="n"/>
      <c r="B148" s="93" t="n"/>
      <c r="C148" s="142" t="n"/>
    </row>
    <row r="149">
      <c r="A149" s="129" t="n"/>
      <c r="B149" s="93" t="n"/>
      <c r="C149" s="142" t="n"/>
    </row>
    <row r="150">
      <c r="A150" s="129" t="n"/>
      <c r="B150" s="93" t="n"/>
      <c r="C150" s="142" t="n"/>
    </row>
    <row r="151">
      <c r="A151" s="129" t="n"/>
      <c r="B151" s="93" t="n"/>
      <c r="C151" s="142" t="n"/>
    </row>
    <row r="152">
      <c r="A152" s="129" t="n"/>
      <c r="B152" s="93" t="n"/>
      <c r="C152" s="142" t="n"/>
    </row>
    <row r="153">
      <c r="A153" s="129" t="n"/>
      <c r="B153" s="93" t="n"/>
      <c r="C153" s="142" t="n"/>
    </row>
    <row r="154">
      <c r="A154" s="129" t="n"/>
      <c r="B154" s="93" t="n"/>
      <c r="C154" s="142" t="n"/>
    </row>
    <row r="155">
      <c r="A155" s="129" t="n"/>
      <c r="B155" s="93" t="n"/>
      <c r="C155" s="142" t="n"/>
    </row>
    <row r="156">
      <c r="A156" s="129" t="n"/>
      <c r="B156" s="93" t="n"/>
      <c r="C156" s="142" t="n"/>
    </row>
    <row r="157">
      <c r="A157" s="129" t="n"/>
      <c r="B157" s="93" t="n"/>
      <c r="C157" s="142" t="n"/>
    </row>
    <row r="158">
      <c r="A158" s="129" t="n"/>
      <c r="B158" s="93" t="n"/>
      <c r="C158" s="142" t="n"/>
    </row>
    <row r="159">
      <c r="A159" s="129" t="n"/>
      <c r="B159" s="93" t="n"/>
      <c r="C159" s="142" t="n"/>
    </row>
    <row r="160">
      <c r="A160" s="129" t="n"/>
      <c r="B160" s="93" t="n"/>
      <c r="C160" s="142" t="n"/>
    </row>
    <row r="161">
      <c r="A161" s="129" t="n"/>
      <c r="B161" s="93" t="n"/>
      <c r="C161" s="142" t="n"/>
    </row>
    <row r="162">
      <c r="A162" s="129" t="n"/>
      <c r="B162" s="93" t="n"/>
      <c r="C162" s="142" t="n"/>
    </row>
    <row r="163">
      <c r="A163" s="129" t="n"/>
      <c r="B163" s="93" t="n"/>
      <c r="C163" s="142" t="n"/>
    </row>
    <row r="164">
      <c r="A164" s="129" t="n"/>
      <c r="B164" s="93" t="n"/>
      <c r="C164" s="142" t="n"/>
    </row>
    <row r="165">
      <c r="A165" s="129" t="n"/>
      <c r="B165" s="93" t="n"/>
      <c r="C165" s="142" t="n"/>
    </row>
    <row r="166">
      <c r="A166" s="129" t="n"/>
      <c r="B166" s="93" t="n"/>
      <c r="C166" s="142" t="n"/>
    </row>
    <row r="167">
      <c r="A167" s="129" t="n"/>
      <c r="B167" s="93" t="n"/>
      <c r="C167" s="142" t="n"/>
    </row>
    <row r="168">
      <c r="A168" s="129" t="n"/>
      <c r="B168" s="93" t="n"/>
      <c r="C168" s="142" t="n"/>
    </row>
    <row r="169">
      <c r="A169" s="129" t="n"/>
      <c r="B169" s="93" t="n"/>
      <c r="C169" s="142" t="n"/>
    </row>
    <row r="170">
      <c r="A170" s="129" t="n"/>
      <c r="B170" s="93" t="n"/>
      <c r="C170" s="142" t="n"/>
    </row>
    <row r="171">
      <c r="A171" s="129" t="n"/>
      <c r="B171" s="93" t="n"/>
      <c r="C171" s="142" t="n"/>
    </row>
    <row r="172">
      <c r="A172" s="129" t="n"/>
      <c r="B172" s="93" t="n"/>
      <c r="C172" s="142" t="n"/>
    </row>
    <row r="173">
      <c r="A173" s="129" t="n"/>
      <c r="B173" s="93" t="n"/>
      <c r="C173" s="142" t="n"/>
    </row>
    <row r="174">
      <c r="A174" s="129" t="n"/>
      <c r="B174" s="93" t="n"/>
      <c r="C174" s="142" t="n"/>
    </row>
    <row r="175">
      <c r="A175" s="129" t="n"/>
      <c r="B175" s="93" t="n"/>
      <c r="C175" s="142" t="n"/>
    </row>
    <row r="176">
      <c r="A176" s="129" t="n"/>
      <c r="B176" s="93" t="n"/>
      <c r="C176" s="142" t="n"/>
    </row>
    <row r="177">
      <c r="A177" s="129" t="n"/>
      <c r="B177" s="93" t="n"/>
      <c r="C177" s="142" t="n"/>
    </row>
    <row r="178">
      <c r="A178" s="129" t="n"/>
      <c r="B178" s="93" t="n"/>
      <c r="C178" s="142" t="n"/>
    </row>
    <row r="179">
      <c r="A179" s="129" t="n"/>
      <c r="B179" s="93" t="n"/>
      <c r="C179" s="142" t="n"/>
    </row>
    <row r="180">
      <c r="A180" s="129" t="n"/>
      <c r="B180" s="93" t="n"/>
      <c r="C180" s="142" t="n"/>
    </row>
    <row r="181">
      <c r="A181" s="129" t="n"/>
      <c r="B181" s="93" t="n"/>
      <c r="C181" s="142" t="n"/>
    </row>
    <row r="182">
      <c r="A182" s="129" t="n"/>
      <c r="B182" s="93" t="n"/>
      <c r="C182" s="142" t="n"/>
    </row>
    <row r="183">
      <c r="A183" s="129" t="n"/>
      <c r="B183" s="93" t="n"/>
      <c r="C183" s="142" t="n"/>
    </row>
    <row r="184">
      <c r="A184" s="129" t="n"/>
      <c r="B184" s="93" t="n"/>
      <c r="C184" s="142" t="n"/>
    </row>
    <row r="185">
      <c r="A185" s="129" t="n"/>
      <c r="B185" s="93" t="n"/>
      <c r="C185" s="142" t="n"/>
    </row>
    <row r="186">
      <c r="A186" s="129" t="n"/>
      <c r="B186" s="93" t="n"/>
      <c r="C186" s="142" t="n"/>
    </row>
    <row r="187">
      <c r="A187" s="129" t="n"/>
      <c r="B187" s="93" t="n"/>
      <c r="C187" s="142" t="n"/>
    </row>
    <row r="188">
      <c r="A188" s="129" t="n"/>
      <c r="B188" s="93" t="n"/>
      <c r="C188" s="142" t="n"/>
    </row>
    <row r="189">
      <c r="A189" s="129" t="n"/>
      <c r="B189" s="93" t="n"/>
      <c r="C189" s="142" t="n"/>
    </row>
    <row r="190">
      <c r="A190" s="129" t="n"/>
      <c r="B190" s="93" t="n"/>
      <c r="C190" s="142" t="n"/>
    </row>
    <row r="191">
      <c r="A191" s="129" t="n"/>
      <c r="B191" s="93" t="n"/>
      <c r="C191" s="142" t="n"/>
    </row>
    <row r="192">
      <c r="A192" s="129" t="n"/>
      <c r="B192" s="93" t="n"/>
      <c r="C192" s="142" t="n"/>
    </row>
    <row r="193">
      <c r="A193" s="129" t="n"/>
      <c r="B193" s="93" t="n"/>
      <c r="C193" s="142" t="n"/>
    </row>
    <row r="194">
      <c r="A194" s="129" t="n"/>
      <c r="B194" s="93" t="n"/>
      <c r="C194" s="142" t="n"/>
    </row>
    <row r="195">
      <c r="A195" s="129" t="n"/>
      <c r="B195" s="93" t="n"/>
      <c r="C195" s="142" t="n"/>
    </row>
    <row r="196">
      <c r="A196" s="129" t="n"/>
      <c r="B196" s="93" t="n"/>
      <c r="C196" s="142" t="n"/>
    </row>
    <row r="197">
      <c r="A197" s="129" t="n"/>
      <c r="B197" s="93" t="n"/>
      <c r="C197" s="142" t="n"/>
    </row>
    <row r="198">
      <c r="A198" s="129" t="n"/>
      <c r="B198" s="93" t="n"/>
      <c r="C198" s="142" t="n"/>
    </row>
    <row r="199">
      <c r="A199" s="129" t="n"/>
      <c r="B199" s="93" t="n"/>
      <c r="C199" s="142" t="n"/>
    </row>
    <row r="200">
      <c r="A200" s="129" t="n"/>
      <c r="B200" s="93" t="n"/>
      <c r="C200" s="142" t="n"/>
    </row>
    <row r="201">
      <c r="A201" s="129" t="n"/>
      <c r="B201" s="93" t="n"/>
      <c r="C201" s="142" t="n"/>
    </row>
    <row r="202">
      <c r="A202" s="129" t="n"/>
      <c r="B202" s="93" t="n"/>
      <c r="C202" s="142" t="n"/>
    </row>
    <row r="203">
      <c r="A203" s="129" t="n"/>
      <c r="B203" s="93" t="n"/>
      <c r="C203" s="142" t="n"/>
    </row>
    <row r="204">
      <c r="A204" s="129" t="n"/>
      <c r="B204" s="93" t="n"/>
      <c r="C204" s="142" t="n"/>
    </row>
    <row r="205">
      <c r="A205" s="129" t="n"/>
      <c r="B205" s="93" t="n"/>
      <c r="C205" s="142" t="n"/>
    </row>
    <row r="206">
      <c r="A206" s="129" t="n"/>
      <c r="B206" s="93" t="n"/>
      <c r="C206" s="142" t="n"/>
    </row>
    <row r="207">
      <c r="A207" s="129" t="n"/>
      <c r="B207" s="93" t="n"/>
      <c r="C207" s="142" t="n"/>
    </row>
    <row r="208">
      <c r="A208" s="129" t="n"/>
      <c r="B208" s="93" t="n"/>
      <c r="C208" s="142" t="n"/>
    </row>
    <row r="209">
      <c r="A209" s="129" t="n"/>
      <c r="B209" s="93" t="n"/>
      <c r="C209" s="142" t="n"/>
    </row>
    <row r="210">
      <c r="A210" s="129" t="n"/>
      <c r="B210" s="93" t="n"/>
      <c r="C210" s="142" t="n"/>
    </row>
    <row r="211">
      <c r="A211" s="129" t="n"/>
      <c r="B211" s="93" t="n"/>
      <c r="C211" s="142" t="n"/>
    </row>
    <row r="212">
      <c r="A212" s="129" t="n"/>
      <c r="B212" s="93" t="n"/>
      <c r="C212" s="142" t="n"/>
    </row>
    <row r="213">
      <c r="A213" s="129" t="n"/>
      <c r="B213" s="93" t="n"/>
      <c r="C213" s="142" t="n"/>
    </row>
    <row r="214">
      <c r="A214" s="129" t="n"/>
      <c r="B214" s="93" t="n"/>
      <c r="C214" s="142" t="n"/>
    </row>
    <row r="215">
      <c r="A215" s="129" t="n"/>
      <c r="B215" s="93" t="n"/>
      <c r="C215" s="142" t="n"/>
    </row>
    <row r="216">
      <c r="A216" s="129" t="n"/>
      <c r="B216" s="93" t="n"/>
      <c r="C216" s="142" t="n"/>
    </row>
    <row r="217">
      <c r="A217" s="129" t="n"/>
      <c r="B217" s="93" t="n"/>
      <c r="C217" s="142" t="n"/>
    </row>
    <row r="218">
      <c r="A218" s="129" t="n"/>
      <c r="B218" s="93" t="n"/>
      <c r="C218" s="142" t="n"/>
    </row>
    <row r="219">
      <c r="A219" s="129" t="n"/>
      <c r="B219" s="93" t="n"/>
      <c r="C219" s="142" t="n"/>
    </row>
    <row r="220">
      <c r="A220" s="129" t="n"/>
      <c r="B220" s="93" t="n"/>
      <c r="C220" s="142" t="n"/>
    </row>
    <row r="221">
      <c r="A221" s="129" t="n"/>
      <c r="B221" s="93" t="n"/>
      <c r="C221" s="142" t="n"/>
    </row>
    <row r="222">
      <c r="A222" s="129" t="n"/>
      <c r="B222" s="93" t="n"/>
      <c r="C222" s="142" t="n"/>
    </row>
    <row r="223">
      <c r="A223" s="129" t="n"/>
      <c r="B223" s="93" t="n"/>
      <c r="C223" s="142" t="n"/>
    </row>
    <row r="224">
      <c r="A224" s="129" t="n"/>
      <c r="B224" s="93" t="n"/>
      <c r="C224" s="142" t="n"/>
    </row>
    <row r="225">
      <c r="A225" s="129" t="n"/>
      <c r="B225" s="93" t="n"/>
      <c r="C225" s="142" t="n"/>
    </row>
    <row r="226">
      <c r="A226" s="129" t="n"/>
      <c r="B226" s="93" t="n"/>
      <c r="C226" s="142" t="n"/>
    </row>
    <row r="227">
      <c r="A227" s="129" t="n"/>
      <c r="B227" s="93" t="n"/>
      <c r="C227" s="142" t="n"/>
    </row>
    <row r="228">
      <c r="A228" s="129" t="n"/>
      <c r="B228" s="93" t="n"/>
      <c r="C228" s="142" t="n"/>
    </row>
    <row r="229">
      <c r="A229" s="129" t="n"/>
      <c r="B229" s="93" t="n"/>
      <c r="C229" s="142" t="n"/>
    </row>
    <row r="230">
      <c r="A230" s="129" t="n"/>
      <c r="B230" s="93" t="n"/>
      <c r="C230" s="142" t="n"/>
    </row>
    <row r="231">
      <c r="A231" s="129" t="n"/>
      <c r="B231" s="93" t="n"/>
      <c r="C231" s="142" t="n"/>
    </row>
    <row r="232">
      <c r="A232" s="129" t="n"/>
      <c r="B232" s="93" t="n"/>
      <c r="C232" s="142" t="n"/>
    </row>
    <row r="233">
      <c r="A233" s="129" t="n"/>
      <c r="B233" s="93" t="n"/>
      <c r="C233" s="142" t="n"/>
    </row>
    <row r="234">
      <c r="A234" s="129" t="n"/>
      <c r="B234" s="93" t="n"/>
      <c r="C234" s="142" t="n"/>
    </row>
    <row r="235">
      <c r="A235" s="129" t="n"/>
      <c r="B235" s="93" t="n"/>
      <c r="C235" s="142" t="n"/>
    </row>
    <row r="236">
      <c r="A236" s="129" t="n"/>
      <c r="B236" s="93" t="n"/>
      <c r="C236" s="142" t="n"/>
    </row>
    <row r="237">
      <c r="A237" s="129" t="n"/>
      <c r="B237" s="93" t="n"/>
      <c r="C237" s="142" t="n"/>
    </row>
    <row r="238">
      <c r="A238" s="129" t="n"/>
      <c r="B238" s="93" t="n"/>
      <c r="C238" s="142" t="n"/>
    </row>
    <row r="239">
      <c r="A239" s="129" t="n"/>
      <c r="B239" s="93" t="n"/>
      <c r="C239" s="142" t="n"/>
    </row>
    <row r="240">
      <c r="A240" s="129" t="n"/>
      <c r="B240" s="93" t="n"/>
      <c r="C240" s="142" t="n"/>
    </row>
    <row r="241">
      <c r="A241" s="129" t="n"/>
      <c r="B241" s="93" t="n"/>
      <c r="C241" s="142" t="n"/>
    </row>
    <row r="242">
      <c r="A242" s="129" t="n"/>
      <c r="B242" s="93" t="n"/>
      <c r="C242" s="142" t="n"/>
    </row>
    <row r="243">
      <c r="A243" s="129" t="n"/>
      <c r="B243" s="93" t="n"/>
      <c r="C243" s="142" t="n"/>
    </row>
    <row r="244">
      <c r="A244" s="129" t="n"/>
      <c r="B244" s="93" t="n"/>
      <c r="C244" s="142" t="n"/>
    </row>
    <row r="245">
      <c r="A245" s="129" t="n"/>
      <c r="B245" s="93" t="n"/>
      <c r="C245" s="142" t="n"/>
    </row>
    <row r="246">
      <c r="A246" s="129" t="n"/>
      <c r="B246" s="93" t="n"/>
      <c r="C246" s="142" t="n"/>
    </row>
    <row r="247">
      <c r="A247" s="129" t="n"/>
      <c r="B247" s="93" t="n"/>
      <c r="C247" s="142" t="n"/>
    </row>
    <row r="248">
      <c r="A248" s="129" t="n"/>
      <c r="B248" s="93" t="n"/>
      <c r="C248" s="142" t="n"/>
    </row>
    <row r="249">
      <c r="A249" s="129" t="n"/>
      <c r="B249" s="93" t="n"/>
      <c r="C249" s="142" t="n"/>
    </row>
    <row r="250">
      <c r="A250" s="129" t="n"/>
      <c r="B250" s="93" t="n"/>
      <c r="C250" s="142" t="n"/>
    </row>
    <row r="251">
      <c r="A251" s="129" t="n"/>
      <c r="B251" s="93" t="n"/>
      <c r="C251" s="142" t="n"/>
    </row>
    <row r="252">
      <c r="A252" s="129" t="n"/>
      <c r="B252" s="93" t="n"/>
      <c r="C252" s="142" t="n"/>
    </row>
    <row r="253">
      <c r="A253" s="129" t="n"/>
      <c r="B253" s="93" t="n"/>
      <c r="C253" s="142" t="n"/>
    </row>
    <row r="254">
      <c r="A254" s="129" t="n"/>
      <c r="B254" s="93" t="n"/>
      <c r="C254" s="142" t="n"/>
    </row>
    <row r="255">
      <c r="A255" s="129" t="n"/>
      <c r="B255" s="93" t="n"/>
      <c r="C255" s="142" t="n"/>
    </row>
    <row r="256">
      <c r="A256" s="129" t="n"/>
      <c r="B256" s="93" t="n"/>
      <c r="C256" s="142" t="n"/>
    </row>
    <row r="257">
      <c r="A257" s="129" t="n"/>
      <c r="B257" s="93" t="n"/>
      <c r="C257" s="142" t="n"/>
    </row>
    <row r="258">
      <c r="A258" s="129" t="n"/>
      <c r="B258" s="93" t="n"/>
      <c r="C258" s="142" t="n"/>
    </row>
    <row r="259">
      <c r="A259" s="129" t="n"/>
      <c r="B259" s="93" t="n"/>
      <c r="C259" s="142" t="n"/>
    </row>
    <row r="260">
      <c r="A260" s="129" t="n"/>
      <c r="B260" s="93" t="n"/>
      <c r="C260" s="142" t="n"/>
    </row>
    <row r="261">
      <c r="A261" s="129" t="n"/>
      <c r="B261" s="93" t="n"/>
      <c r="C261" s="142" t="n"/>
    </row>
    <row r="262">
      <c r="A262" s="129" t="n"/>
      <c r="B262" s="93" t="n"/>
      <c r="C262" s="142" t="n"/>
    </row>
    <row r="263">
      <c r="A263" s="129" t="n"/>
      <c r="B263" s="93" t="n"/>
      <c r="C263" s="142" t="n"/>
    </row>
    <row r="264">
      <c r="A264" s="129" t="n"/>
      <c r="B264" s="93" t="n"/>
      <c r="C264" s="142" t="n"/>
    </row>
    <row r="265">
      <c r="A265" s="129" t="n"/>
      <c r="B265" s="93" t="n"/>
      <c r="C265" s="142" t="n"/>
    </row>
    <row r="266">
      <c r="A266" s="129" t="n"/>
      <c r="B266" s="93" t="n"/>
      <c r="C266" s="142" t="n"/>
    </row>
    <row r="267">
      <c r="A267" s="129" t="n"/>
      <c r="B267" s="93" t="n"/>
      <c r="C267" s="142" t="n"/>
    </row>
    <row r="268">
      <c r="A268" s="129" t="n"/>
      <c r="B268" s="93" t="n"/>
      <c r="C268" s="142" t="n"/>
    </row>
    <row r="269">
      <c r="A269" s="129" t="n"/>
      <c r="B269" s="93" t="n"/>
      <c r="C269" s="142" t="n"/>
    </row>
    <row r="270">
      <c r="A270" s="129" t="n"/>
      <c r="B270" s="93" t="n"/>
      <c r="C270" s="142" t="n"/>
    </row>
    <row r="271">
      <c r="A271" s="129" t="n"/>
      <c r="B271" s="93" t="n"/>
      <c r="C271" s="142" t="n"/>
    </row>
    <row r="272">
      <c r="A272" s="129" t="n"/>
      <c r="B272" s="93" t="n"/>
      <c r="C272" s="142" t="n"/>
    </row>
    <row r="273">
      <c r="A273" s="129" t="n"/>
      <c r="B273" s="93" t="n"/>
      <c r="C273" s="142" t="n"/>
    </row>
    <row r="274">
      <c r="A274" s="129" t="n"/>
      <c r="B274" s="93" t="n"/>
      <c r="C274" s="142" t="n"/>
    </row>
    <row r="275">
      <c r="A275" s="129" t="n"/>
      <c r="B275" s="93" t="n"/>
      <c r="C275" s="142" t="n"/>
    </row>
    <row r="276">
      <c r="A276" s="129" t="n"/>
      <c r="B276" s="93" t="n"/>
      <c r="C276" s="142" t="n"/>
    </row>
    <row r="277">
      <c r="A277" s="129" t="n"/>
      <c r="B277" s="93" t="n"/>
      <c r="C277" s="142" t="n"/>
    </row>
    <row r="278">
      <c r="A278" s="129" t="n"/>
      <c r="B278" s="93" t="n"/>
      <c r="C278" s="142" t="n"/>
    </row>
    <row r="279">
      <c r="A279" s="129" t="n"/>
      <c r="B279" s="93" t="n"/>
      <c r="C279" s="142" t="n"/>
    </row>
    <row r="280">
      <c r="A280" s="129" t="n"/>
      <c r="B280" s="93" t="n"/>
      <c r="C280" s="142" t="n"/>
    </row>
    <row r="281">
      <c r="A281" s="129" t="n"/>
      <c r="B281" s="93" t="n"/>
      <c r="C281" s="142" t="n"/>
    </row>
    <row r="282">
      <c r="A282" s="129" t="n"/>
      <c r="B282" s="93" t="n"/>
      <c r="C282" s="142" t="n"/>
    </row>
    <row r="283">
      <c r="A283" s="129" t="n"/>
      <c r="B283" s="93" t="n"/>
      <c r="C283" s="142" t="n"/>
    </row>
    <row r="284">
      <c r="A284" s="129" t="n"/>
      <c r="B284" s="93" t="n"/>
      <c r="C284" s="142" t="n"/>
    </row>
    <row r="285">
      <c r="A285" s="129" t="n"/>
      <c r="B285" s="93" t="n"/>
      <c r="C285" s="142" t="n"/>
    </row>
    <row r="286">
      <c r="A286" s="129" t="n"/>
      <c r="B286" s="93" t="n"/>
      <c r="C286" s="142" t="n"/>
    </row>
    <row r="287">
      <c r="A287" s="129" t="n"/>
      <c r="B287" s="93" t="n"/>
      <c r="C287" s="142" t="n"/>
    </row>
    <row r="288">
      <c r="A288" s="129" t="n"/>
      <c r="B288" s="93" t="n"/>
      <c r="C288" s="142" t="n"/>
    </row>
    <row r="289">
      <c r="A289" s="129" t="n"/>
      <c r="B289" s="93" t="n"/>
      <c r="C289" s="142" t="n"/>
    </row>
    <row r="290">
      <c r="A290" s="129" t="n"/>
      <c r="B290" s="93" t="n"/>
      <c r="C290" s="142" t="n"/>
    </row>
    <row r="291">
      <c r="A291" s="129" t="n"/>
      <c r="B291" s="93" t="n"/>
      <c r="C291" s="142" t="n"/>
    </row>
    <row r="292">
      <c r="A292" s="129" t="n"/>
      <c r="B292" s="93" t="n"/>
      <c r="C292" s="142" t="n"/>
    </row>
    <row r="293">
      <c r="A293" s="129" t="n"/>
      <c r="B293" s="93" t="n"/>
      <c r="C293" s="142" t="n"/>
    </row>
    <row r="294">
      <c r="A294" s="129" t="n"/>
      <c r="B294" s="93" t="n"/>
      <c r="C294" s="142" t="n"/>
    </row>
    <row r="295">
      <c r="A295" s="129" t="n"/>
      <c r="B295" s="93" t="n"/>
      <c r="C295" s="142" t="n"/>
    </row>
    <row r="296">
      <c r="A296" s="129" t="n"/>
      <c r="B296" s="93" t="n"/>
      <c r="C296" s="142" t="n"/>
    </row>
    <row r="297">
      <c r="A297" s="129" t="n"/>
      <c r="B297" s="93" t="n"/>
      <c r="C297" s="142" t="n"/>
    </row>
    <row r="298">
      <c r="A298" s="129" t="n"/>
      <c r="B298" s="93" t="n"/>
      <c r="C298" s="142" t="n"/>
    </row>
    <row r="299">
      <c r="A299" s="129" t="n"/>
      <c r="B299" s="93" t="n"/>
      <c r="C299" s="142" t="n"/>
    </row>
    <row r="300">
      <c r="A300" s="129" t="n"/>
      <c r="B300" s="93" t="n"/>
      <c r="C300" s="142" t="n"/>
    </row>
    <row r="301">
      <c r="A301" s="129" t="n"/>
      <c r="B301" s="93" t="n"/>
      <c r="C301" s="142" t="n"/>
    </row>
    <row r="302">
      <c r="A302" s="129" t="n"/>
      <c r="B302" s="93" t="n"/>
      <c r="C302" s="142" t="n"/>
    </row>
    <row r="303">
      <c r="A303" s="129" t="n"/>
      <c r="B303" s="93" t="n"/>
      <c r="C303" s="142" t="n"/>
    </row>
    <row r="304">
      <c r="A304" s="129" t="n"/>
      <c r="B304" s="93" t="n"/>
      <c r="C304" s="142" t="n"/>
    </row>
    <row r="305">
      <c r="A305" s="129" t="n"/>
      <c r="B305" s="93" t="n"/>
      <c r="C305" s="142" t="n"/>
    </row>
    <row r="306">
      <c r="A306" s="129" t="n"/>
      <c r="B306" s="93" t="n"/>
      <c r="C306" s="142" t="n"/>
    </row>
    <row r="307">
      <c r="A307" s="129" t="n"/>
      <c r="B307" s="93" t="n"/>
      <c r="C307" s="142" t="n"/>
    </row>
    <row r="308">
      <c r="A308" s="129" t="n"/>
      <c r="B308" s="93" t="n"/>
      <c r="C308" s="142" t="n"/>
    </row>
    <row r="309">
      <c r="A309" s="129" t="n"/>
      <c r="B309" s="93" t="n"/>
      <c r="C309" s="142" t="n"/>
    </row>
    <row r="310">
      <c r="A310" s="129" t="n"/>
      <c r="B310" s="93" t="n"/>
      <c r="C310" s="142" t="n"/>
    </row>
    <row r="311">
      <c r="A311" s="129" t="n"/>
      <c r="B311" s="93" t="n"/>
      <c r="C311" s="142" t="n"/>
    </row>
    <row r="312">
      <c r="A312" s="129" t="n"/>
      <c r="B312" s="93" t="n"/>
      <c r="C312" s="142" t="n"/>
    </row>
    <row r="313">
      <c r="A313" s="129" t="n"/>
      <c r="B313" s="93" t="n"/>
      <c r="C313" s="142" t="n"/>
    </row>
    <row r="314">
      <c r="A314" s="129" t="n"/>
      <c r="B314" s="93" t="n"/>
      <c r="C314" s="142" t="n"/>
    </row>
    <row r="315">
      <c r="A315" s="129" t="n"/>
      <c r="B315" s="93" t="n"/>
      <c r="C315" s="142" t="n"/>
    </row>
    <row r="316">
      <c r="A316" s="129" t="n"/>
      <c r="B316" s="93" t="n"/>
      <c r="C316" s="142" t="n"/>
    </row>
    <row r="317">
      <c r="A317" s="129" t="n"/>
      <c r="B317" s="93" t="n"/>
      <c r="C317" s="142" t="n"/>
    </row>
    <row r="318">
      <c r="A318" s="129" t="n"/>
      <c r="B318" s="93" t="n"/>
      <c r="C318" s="142" t="n"/>
    </row>
    <row r="319">
      <c r="A319" s="129" t="n"/>
      <c r="B319" s="93" t="n"/>
      <c r="C319" s="142" t="n"/>
    </row>
    <row r="320">
      <c r="A320" s="129" t="n"/>
      <c r="B320" s="93" t="n"/>
      <c r="C320" s="142" t="n"/>
    </row>
    <row r="321">
      <c r="A321" s="129" t="n"/>
      <c r="B321" s="93" t="n"/>
      <c r="C321" s="142" t="n"/>
    </row>
    <row r="322">
      <c r="A322" s="129" t="n"/>
      <c r="B322" s="93" t="n"/>
      <c r="C322" s="142" t="n"/>
    </row>
    <row r="323">
      <c r="A323" s="129" t="n"/>
      <c r="B323" s="93" t="n"/>
      <c r="C323" s="142" t="n"/>
    </row>
    <row r="324">
      <c r="A324" s="129" t="n"/>
      <c r="B324" s="93" t="n"/>
      <c r="C324" s="142" t="n"/>
    </row>
    <row r="325">
      <c r="A325" s="129" t="n"/>
      <c r="B325" s="93" t="n"/>
      <c r="C325" s="142" t="n"/>
    </row>
    <row r="326">
      <c r="A326" s="129" t="n"/>
      <c r="B326" s="93" t="n"/>
      <c r="C326" s="142" t="n"/>
    </row>
    <row r="327">
      <c r="A327" s="129" t="n"/>
      <c r="B327" s="93" t="n"/>
      <c r="C327" s="142" t="n"/>
    </row>
    <row r="328">
      <c r="A328" s="129" t="n"/>
      <c r="B328" s="93" t="n"/>
      <c r="C328" s="142" t="n"/>
    </row>
    <row r="329">
      <c r="A329" s="129" t="n"/>
      <c r="B329" s="93" t="n"/>
      <c r="C329" s="142" t="n"/>
    </row>
    <row r="330">
      <c r="A330" s="129" t="n"/>
      <c r="B330" s="93" t="n"/>
      <c r="C330" s="142" t="n"/>
    </row>
    <row r="331">
      <c r="A331" s="129" t="n"/>
      <c r="B331" s="93" t="n"/>
      <c r="C331" s="142" t="n"/>
    </row>
    <row r="332">
      <c r="A332" s="129" t="n"/>
      <c r="B332" s="93" t="n"/>
      <c r="C332" s="142" t="n"/>
    </row>
    <row r="333">
      <c r="A333" s="129" t="n"/>
      <c r="B333" s="93" t="n"/>
      <c r="C333" s="142" t="n"/>
    </row>
    <row r="334">
      <c r="A334" s="129" t="n"/>
      <c r="B334" s="93" t="n"/>
      <c r="C334" s="142" t="n"/>
    </row>
    <row r="335">
      <c r="A335" s="129" t="n"/>
      <c r="B335" s="93" t="n"/>
      <c r="C335" s="142" t="n"/>
    </row>
    <row r="336">
      <c r="A336" s="129" t="n"/>
      <c r="B336" s="93" t="n"/>
      <c r="C336" s="142" t="n"/>
    </row>
    <row r="337">
      <c r="A337" s="129" t="n"/>
      <c r="B337" s="93" t="n"/>
      <c r="C337" s="142" t="n"/>
    </row>
    <row r="338">
      <c r="A338" s="129" t="n"/>
      <c r="B338" s="93" t="n"/>
      <c r="C338" s="142" t="n"/>
    </row>
    <row r="339">
      <c r="A339" s="129" t="n"/>
      <c r="B339" s="93" t="n"/>
      <c r="C339" s="142" t="n"/>
    </row>
    <row r="340">
      <c r="A340" s="129" t="n"/>
      <c r="B340" s="93" t="n"/>
      <c r="C340" s="142" t="n"/>
    </row>
    <row r="341">
      <c r="A341" s="129" t="n"/>
      <c r="B341" s="93" t="n"/>
      <c r="C341" s="142" t="n"/>
    </row>
    <row r="342">
      <c r="A342" s="129" t="n"/>
      <c r="B342" s="93" t="n"/>
      <c r="C342" s="142" t="n"/>
    </row>
    <row r="343">
      <c r="A343" s="129" t="n"/>
      <c r="B343" s="93" t="n"/>
      <c r="C343" s="142" t="n"/>
    </row>
    <row r="344">
      <c r="A344" s="129" t="n"/>
      <c r="B344" s="93" t="n"/>
      <c r="C344" s="142" t="n"/>
    </row>
    <row r="345">
      <c r="A345" s="129" t="n"/>
      <c r="B345" s="93" t="n"/>
      <c r="C345" s="142" t="n"/>
    </row>
    <row r="346">
      <c r="A346" s="129" t="n"/>
      <c r="B346" s="93" t="n"/>
      <c r="C346" s="142" t="n"/>
    </row>
    <row r="347">
      <c r="A347" s="129" t="n"/>
      <c r="B347" s="93" t="n"/>
      <c r="C347" s="142" t="n"/>
    </row>
    <row r="348">
      <c r="A348" s="129" t="n"/>
      <c r="B348" s="93" t="n"/>
      <c r="C348" s="142" t="n"/>
    </row>
    <row r="349">
      <c r="A349" s="129" t="n"/>
      <c r="B349" s="93" t="n"/>
      <c r="C349" s="142" t="n"/>
    </row>
    <row r="350">
      <c r="A350" s="129" t="n"/>
      <c r="B350" s="93" t="n"/>
      <c r="C350" s="142" t="n"/>
    </row>
    <row r="351">
      <c r="A351" s="129" t="n"/>
      <c r="B351" s="93" t="n"/>
      <c r="C351" s="142" t="n"/>
    </row>
    <row r="352">
      <c r="A352" s="129" t="n"/>
      <c r="B352" s="93" t="n"/>
      <c r="C352" s="142" t="n"/>
    </row>
    <row r="353">
      <c r="A353" s="129" t="n"/>
      <c r="B353" s="93" t="n"/>
      <c r="C353" s="142" t="n"/>
    </row>
    <row r="354">
      <c r="A354" s="129" t="n"/>
      <c r="B354" s="93" t="n"/>
      <c r="C354" s="142" t="n"/>
    </row>
    <row r="355">
      <c r="A355" s="129" t="n"/>
      <c r="B355" s="93" t="n"/>
      <c r="C355" s="142" t="n"/>
    </row>
    <row r="356">
      <c r="A356" s="129" t="n"/>
      <c r="B356" s="93" t="n"/>
      <c r="C356" s="142" t="n"/>
    </row>
    <row r="357">
      <c r="A357" s="129" t="n"/>
      <c r="B357" s="93" t="n"/>
      <c r="C357" s="142" t="n"/>
    </row>
    <row r="358">
      <c r="A358" s="129" t="n"/>
      <c r="B358" s="93" t="n"/>
      <c r="C358" s="142" t="n"/>
    </row>
    <row r="359">
      <c r="A359" s="129" t="n"/>
      <c r="B359" s="93" t="n"/>
      <c r="C359" s="142" t="n"/>
    </row>
    <row r="360">
      <c r="A360" s="129" t="n"/>
      <c r="B360" s="93" t="n"/>
      <c r="C360" s="142" t="n"/>
    </row>
    <row r="361">
      <c r="A361" s="129" t="n"/>
      <c r="B361" s="93" t="n"/>
      <c r="C361" s="142" t="n"/>
    </row>
    <row r="362">
      <c r="A362" s="129" t="n"/>
      <c r="B362" s="93" t="n"/>
      <c r="C362" s="142" t="n"/>
    </row>
    <row r="363">
      <c r="A363" s="129" t="n"/>
      <c r="B363" s="93" t="n"/>
      <c r="C363" s="142" t="n"/>
    </row>
    <row r="364">
      <c r="A364" s="129" t="n"/>
      <c r="B364" s="93" t="n"/>
      <c r="C364" s="142" t="n"/>
    </row>
    <row r="365">
      <c r="A365" s="129" t="n"/>
      <c r="B365" s="93" t="n"/>
      <c r="C365" s="142" t="n"/>
    </row>
    <row r="366">
      <c r="A366" s="129" t="n"/>
      <c r="B366" s="93" t="n"/>
      <c r="C366" s="142" t="n"/>
    </row>
    <row r="367">
      <c r="A367" s="129" t="n"/>
      <c r="B367" s="93" t="n"/>
      <c r="C367" s="142" t="n"/>
    </row>
    <row r="368">
      <c r="A368" s="129" t="n"/>
      <c r="B368" s="93" t="n"/>
      <c r="C368" s="142" t="n"/>
    </row>
    <row r="369">
      <c r="A369" s="129" t="n"/>
      <c r="B369" s="93" t="n"/>
      <c r="C369" s="142" t="n"/>
    </row>
    <row r="370">
      <c r="A370" s="129" t="n"/>
      <c r="B370" s="93" t="n"/>
      <c r="C370" s="142" t="n"/>
    </row>
    <row r="371">
      <c r="A371" s="129" t="n"/>
      <c r="B371" s="93" t="n"/>
      <c r="C371" s="142" t="n"/>
    </row>
    <row r="372">
      <c r="A372" s="129" t="n"/>
      <c r="B372" s="93" t="n"/>
      <c r="C372" s="142" t="n"/>
    </row>
    <row r="373">
      <c r="A373" s="129" t="n"/>
      <c r="B373" s="93" t="n"/>
      <c r="C373" s="142" t="n"/>
    </row>
    <row r="374">
      <c r="A374" s="129" t="n"/>
      <c r="B374" s="93" t="n"/>
      <c r="C374" s="142" t="n"/>
    </row>
    <row r="375">
      <c r="A375" s="129" t="n"/>
      <c r="B375" s="93" t="n"/>
      <c r="C375" s="142" t="n"/>
    </row>
    <row r="376">
      <c r="A376" s="129" t="n"/>
      <c r="B376" s="93" t="n"/>
      <c r="C376" s="142" t="n"/>
    </row>
    <row r="377">
      <c r="A377" s="129" t="n"/>
      <c r="B377" s="93" t="n"/>
      <c r="C377" s="142" t="n"/>
    </row>
    <row r="378">
      <c r="A378" s="129" t="n"/>
      <c r="B378" s="93" t="n"/>
      <c r="C378" s="142" t="n"/>
    </row>
    <row r="379">
      <c r="A379" s="129" t="n"/>
      <c r="B379" s="93" t="n"/>
      <c r="C379" s="142" t="n"/>
    </row>
    <row r="380">
      <c r="A380" s="129" t="n"/>
      <c r="B380" s="93" t="n"/>
      <c r="C380" s="142" t="n"/>
    </row>
    <row r="381">
      <c r="A381" s="129" t="n"/>
      <c r="B381" s="93" t="n"/>
      <c r="C381" s="142" t="n"/>
    </row>
    <row r="382">
      <c r="A382" s="129" t="n"/>
      <c r="B382" s="93" t="n"/>
      <c r="C382" s="142" t="n"/>
    </row>
    <row r="383">
      <c r="A383" s="129" t="n"/>
      <c r="B383" s="93" t="n"/>
      <c r="C383" s="142" t="n"/>
    </row>
    <row r="384">
      <c r="A384" s="129" t="n"/>
      <c r="B384" s="93" t="n"/>
      <c r="C384" s="142" t="n"/>
    </row>
    <row r="385">
      <c r="A385" s="129" t="n"/>
      <c r="B385" s="93" t="n"/>
      <c r="C385" s="142" t="n"/>
    </row>
    <row r="386">
      <c r="A386" s="129" t="n"/>
      <c r="B386" s="93" t="n"/>
      <c r="C386" s="142" t="n"/>
    </row>
    <row r="387">
      <c r="A387" s="129" t="n"/>
      <c r="B387" s="93" t="n"/>
      <c r="C387" s="142" t="n"/>
    </row>
    <row r="388">
      <c r="A388" s="129" t="n"/>
      <c r="B388" s="93" t="n"/>
      <c r="C388" s="142" t="n"/>
    </row>
    <row r="389">
      <c r="A389" s="129" t="n"/>
      <c r="B389" s="93" t="n"/>
      <c r="C389" s="142" t="n"/>
    </row>
    <row r="390">
      <c r="A390" s="129" t="n"/>
      <c r="B390" s="93" t="n"/>
      <c r="C390" s="142" t="n"/>
    </row>
    <row r="391">
      <c r="A391" s="129" t="n"/>
      <c r="B391" s="93" t="n"/>
      <c r="C391" s="142" t="n"/>
    </row>
    <row r="392">
      <c r="A392" s="129" t="n"/>
      <c r="B392" s="93" t="n"/>
      <c r="C392" s="142" t="n"/>
    </row>
    <row r="393">
      <c r="A393" s="129" t="n"/>
      <c r="B393" s="93" t="n"/>
      <c r="C393" s="142" t="n"/>
    </row>
    <row r="394">
      <c r="A394" s="129" t="n"/>
      <c r="B394" s="93" t="n"/>
      <c r="C394" s="142" t="n"/>
    </row>
    <row r="395">
      <c r="A395" s="129" t="n"/>
      <c r="B395" s="93" t="n"/>
      <c r="C395" s="142" t="n"/>
    </row>
    <row r="396">
      <c r="A396" s="129" t="n"/>
      <c r="B396" s="93" t="n"/>
      <c r="C396" s="142" t="n"/>
    </row>
    <row r="397">
      <c r="A397" s="129" t="n"/>
      <c r="B397" s="93" t="n"/>
      <c r="C397" s="142" t="n"/>
    </row>
    <row r="398">
      <c r="A398" s="129" t="n"/>
      <c r="B398" s="93" t="n"/>
      <c r="C398" s="142" t="n"/>
    </row>
    <row r="399">
      <c r="A399" s="129" t="n"/>
      <c r="B399" s="93" t="n"/>
      <c r="C399" s="142" t="n"/>
    </row>
    <row r="400">
      <c r="A400" s="129" t="n"/>
      <c r="B400" s="93" t="n"/>
      <c r="C400" s="142" t="n"/>
    </row>
    <row r="401">
      <c r="A401" s="129" t="n"/>
      <c r="B401" s="93" t="n"/>
      <c r="C401" s="142" t="n"/>
    </row>
    <row r="402">
      <c r="A402" s="129" t="n"/>
      <c r="B402" s="93" t="n"/>
      <c r="C402" s="142" t="n"/>
    </row>
    <row r="403">
      <c r="A403" s="129" t="n"/>
      <c r="B403" s="93" t="n"/>
      <c r="C403" s="142" t="n"/>
    </row>
    <row r="404">
      <c r="A404" s="129" t="n"/>
      <c r="B404" s="93" t="n"/>
      <c r="C404" s="142" t="n"/>
    </row>
    <row r="405">
      <c r="A405" s="129" t="n"/>
      <c r="B405" s="93" t="n"/>
      <c r="C405" s="142" t="n"/>
    </row>
    <row r="406">
      <c r="A406" s="129" t="n"/>
      <c r="B406" s="93" t="n"/>
      <c r="C406" s="142" t="n"/>
    </row>
    <row r="407">
      <c r="A407" s="129" t="n"/>
      <c r="B407" s="93" t="n"/>
      <c r="C407" s="142" t="n"/>
    </row>
    <row r="408">
      <c r="A408" s="129" t="n"/>
      <c r="B408" s="93" t="n"/>
      <c r="C408" s="142" t="n"/>
    </row>
    <row r="409">
      <c r="A409" s="129" t="n"/>
      <c r="B409" s="93" t="n"/>
      <c r="C409" s="142" t="n"/>
    </row>
    <row r="410">
      <c r="A410" s="129" t="n"/>
      <c r="B410" s="93" t="n"/>
      <c r="C410" s="142" t="n"/>
    </row>
    <row r="411">
      <c r="A411" s="129" t="n"/>
      <c r="B411" s="93" t="n"/>
      <c r="C411" s="142" t="n"/>
    </row>
    <row r="412">
      <c r="A412" s="129" t="n"/>
      <c r="B412" s="93" t="n"/>
      <c r="C412" s="142" t="n"/>
    </row>
    <row r="413">
      <c r="A413" s="129" t="n"/>
      <c r="B413" s="93" t="n"/>
      <c r="C413" s="142" t="n"/>
    </row>
    <row r="414">
      <c r="A414" s="129" t="n"/>
      <c r="B414" s="93" t="n"/>
      <c r="C414" s="142" t="n"/>
    </row>
    <row r="415">
      <c r="A415" s="129" t="n"/>
      <c r="B415" s="93" t="n"/>
      <c r="C415" s="142" t="n"/>
    </row>
    <row r="416">
      <c r="A416" s="129" t="n"/>
      <c r="B416" s="93" t="n"/>
      <c r="C416" s="142" t="n"/>
    </row>
    <row r="417">
      <c r="A417" s="129" t="n"/>
      <c r="B417" s="93" t="n"/>
      <c r="C417" s="142" t="n"/>
    </row>
    <row r="418">
      <c r="A418" s="129" t="n"/>
      <c r="B418" s="93" t="n"/>
      <c r="C418" s="142" t="n"/>
    </row>
    <row r="419">
      <c r="A419" s="129" t="n"/>
      <c r="B419" s="93" t="n"/>
      <c r="C419" s="142" t="n"/>
    </row>
    <row r="420">
      <c r="A420" s="129" t="n"/>
      <c r="B420" s="93" t="n"/>
      <c r="C420" s="142" t="n"/>
    </row>
    <row r="421">
      <c r="A421" s="129" t="n"/>
      <c r="B421" s="93" t="n"/>
      <c r="C421" s="142" t="n"/>
    </row>
    <row r="422">
      <c r="A422" s="129" t="n"/>
      <c r="B422" s="93" t="n"/>
      <c r="C422" s="142" t="n"/>
    </row>
    <row r="423">
      <c r="A423" s="129" t="n"/>
      <c r="B423" s="93" t="n"/>
      <c r="C423" s="142" t="n"/>
    </row>
    <row r="424">
      <c r="A424" s="129" t="n"/>
      <c r="B424" s="93" t="n"/>
      <c r="C424" s="142" t="n"/>
    </row>
    <row r="425">
      <c r="A425" s="129" t="n"/>
      <c r="B425" s="93" t="n"/>
      <c r="C425" s="142" t="n"/>
    </row>
    <row r="426">
      <c r="A426" s="129" t="n"/>
      <c r="B426" s="93" t="n"/>
      <c r="C426" s="142" t="n"/>
    </row>
    <row r="427">
      <c r="A427" s="129" t="n"/>
      <c r="B427" s="93" t="n"/>
      <c r="C427" s="142" t="n"/>
    </row>
    <row r="428">
      <c r="A428" s="129" t="n"/>
      <c r="B428" s="93" t="n"/>
      <c r="C428" s="142" t="n"/>
    </row>
    <row r="429">
      <c r="A429" s="129" t="n"/>
      <c r="B429" s="93" t="n"/>
      <c r="C429" s="142" t="n"/>
    </row>
    <row r="430">
      <c r="A430" s="129" t="n"/>
      <c r="B430" s="93" t="n"/>
      <c r="C430" s="142" t="n"/>
    </row>
    <row r="431">
      <c r="A431" s="129" t="n"/>
      <c r="B431" s="93" t="n"/>
      <c r="C431" s="142" t="n"/>
    </row>
    <row r="432">
      <c r="A432" s="129" t="n"/>
      <c r="B432" s="93" t="n"/>
      <c r="C432" s="142" t="n"/>
    </row>
    <row r="433">
      <c r="A433" s="129" t="n"/>
      <c r="B433" s="93" t="n"/>
      <c r="C433" s="142" t="n"/>
    </row>
    <row r="434">
      <c r="A434" s="129" t="n"/>
      <c r="B434" s="93" t="n"/>
      <c r="C434" s="142" t="n"/>
    </row>
    <row r="435">
      <c r="A435" s="129" t="n"/>
      <c r="B435" s="93" t="n"/>
      <c r="C435" s="142" t="n"/>
    </row>
    <row r="436">
      <c r="A436" s="129" t="n"/>
      <c r="B436" s="93" t="n"/>
      <c r="C436" s="142" t="n"/>
    </row>
    <row r="437">
      <c r="A437" s="129" t="n"/>
      <c r="B437" s="93" t="n"/>
      <c r="C437" s="142" t="n"/>
    </row>
    <row r="438">
      <c r="A438" s="129" t="n"/>
      <c r="B438" s="93" t="n"/>
      <c r="C438" s="142" t="n"/>
    </row>
    <row r="439">
      <c r="A439" s="129" t="n"/>
      <c r="B439" s="93" t="n"/>
      <c r="C439" s="142" t="n"/>
    </row>
    <row r="440">
      <c r="A440" s="129" t="n"/>
      <c r="B440" s="93" t="n"/>
      <c r="C440" s="142" t="n"/>
    </row>
    <row r="441">
      <c r="A441" s="129" t="n"/>
      <c r="B441" s="93" t="n"/>
      <c r="C441" s="142" t="n"/>
    </row>
    <row r="442">
      <c r="A442" s="129" t="n"/>
      <c r="B442" s="93" t="n"/>
      <c r="C442" s="142" t="n"/>
    </row>
    <row r="443">
      <c r="A443" s="129" t="n"/>
      <c r="B443" s="93" t="n"/>
      <c r="C443" s="142" t="n"/>
    </row>
    <row r="444">
      <c r="A444" s="129" t="n"/>
      <c r="B444" s="93" t="n"/>
      <c r="C444" s="142" t="n"/>
    </row>
    <row r="445">
      <c r="A445" s="129" t="n"/>
      <c r="B445" s="93" t="n"/>
      <c r="C445" s="142" t="n"/>
    </row>
    <row r="446">
      <c r="A446" s="129" t="n"/>
      <c r="B446" s="93" t="n"/>
      <c r="C446" s="142" t="n"/>
    </row>
    <row r="447">
      <c r="A447" s="129" t="n"/>
      <c r="B447" s="93" t="n"/>
      <c r="C447" s="142" t="n"/>
    </row>
    <row r="448">
      <c r="A448" s="129" t="n"/>
      <c r="B448" s="93" t="n"/>
      <c r="C448" s="142" t="n"/>
    </row>
    <row r="449">
      <c r="A449" s="129" t="n"/>
      <c r="B449" s="93" t="n"/>
      <c r="C449" s="142" t="n"/>
    </row>
    <row r="450">
      <c r="A450" s="129" t="n"/>
      <c r="B450" s="93" t="n"/>
      <c r="C450" s="142" t="n"/>
    </row>
    <row r="451">
      <c r="A451" s="129" t="n"/>
      <c r="B451" s="93" t="n"/>
      <c r="C451" s="142" t="n"/>
    </row>
    <row r="452">
      <c r="A452" s="129" t="n"/>
      <c r="B452" s="93" t="n"/>
      <c r="C452" s="142" t="n"/>
    </row>
    <row r="453">
      <c r="A453" s="129" t="n"/>
      <c r="B453" s="93" t="n"/>
      <c r="C453" s="142" t="n"/>
    </row>
    <row r="454">
      <c r="A454" s="129" t="n"/>
      <c r="B454" s="93" t="n"/>
      <c r="C454" s="142" t="n"/>
    </row>
    <row r="455">
      <c r="A455" s="129" t="n"/>
      <c r="B455" s="93" t="n"/>
      <c r="C455" s="142" t="n"/>
    </row>
    <row r="456">
      <c r="A456" s="129" t="n"/>
      <c r="B456" s="93" t="n"/>
      <c r="C456" s="142" t="n"/>
    </row>
    <row r="457">
      <c r="A457" s="129" t="n"/>
      <c r="B457" s="93" t="n"/>
      <c r="C457" s="142" t="n"/>
    </row>
    <row r="458">
      <c r="A458" s="129" t="n"/>
      <c r="B458" s="93" t="n"/>
      <c r="C458" s="142" t="n"/>
    </row>
    <row r="459">
      <c r="A459" s="129" t="n"/>
      <c r="B459" s="93" t="n"/>
      <c r="C459" s="142" t="n"/>
    </row>
    <row r="460">
      <c r="A460" s="129" t="n"/>
      <c r="B460" s="93" t="n"/>
      <c r="C460" s="142" t="n"/>
    </row>
    <row r="461">
      <c r="A461" s="129" t="n"/>
      <c r="B461" s="93" t="n"/>
      <c r="C461" s="142" t="n"/>
    </row>
    <row r="462">
      <c r="A462" s="129" t="n"/>
      <c r="B462" s="93" t="n"/>
      <c r="C462" s="142" t="n"/>
    </row>
    <row r="463">
      <c r="A463" s="129" t="n"/>
      <c r="B463" s="93" t="n"/>
      <c r="C463" s="142" t="n"/>
    </row>
    <row r="464">
      <c r="A464" s="129" t="n"/>
      <c r="B464" s="93" t="n"/>
      <c r="C464" s="142" t="n"/>
    </row>
    <row r="465">
      <c r="A465" s="129" t="n"/>
      <c r="B465" s="93" t="n"/>
      <c r="C465" s="142" t="n"/>
    </row>
    <row r="466">
      <c r="A466" s="129" t="n"/>
      <c r="B466" s="93" t="n"/>
      <c r="C466" s="142" t="n"/>
    </row>
    <row r="467">
      <c r="A467" s="129" t="n"/>
      <c r="B467" s="93" t="n"/>
      <c r="C467" s="142" t="n"/>
    </row>
    <row r="468">
      <c r="A468" s="129" t="n"/>
      <c r="B468" s="93" t="n"/>
      <c r="C468" s="142" t="n"/>
    </row>
    <row r="469">
      <c r="A469" s="129" t="n"/>
      <c r="B469" s="93" t="n"/>
      <c r="C469" s="142" t="n"/>
    </row>
    <row r="470">
      <c r="A470" s="129" t="n"/>
      <c r="B470" s="93" t="n"/>
      <c r="C470" s="142" t="n"/>
    </row>
    <row r="471">
      <c r="A471" s="129" t="n"/>
      <c r="B471" s="93" t="n"/>
      <c r="C471" s="142" t="n"/>
    </row>
    <row r="472">
      <c r="A472" s="129" t="n"/>
      <c r="B472" s="93" t="n"/>
      <c r="C472" s="142" t="n"/>
    </row>
    <row r="473">
      <c r="A473" s="129" t="n"/>
      <c r="B473" s="93" t="n"/>
      <c r="C473" s="142" t="n"/>
    </row>
    <row r="474">
      <c r="A474" s="129" t="n"/>
      <c r="B474" s="93" t="n"/>
      <c r="C474" s="142" t="n"/>
    </row>
    <row r="475">
      <c r="A475" s="129" t="n"/>
      <c r="B475" s="93" t="n"/>
      <c r="C475" s="142" t="n"/>
    </row>
    <row r="476">
      <c r="A476" s="129" t="n"/>
      <c r="B476" s="93" t="n"/>
      <c r="C476" s="142" t="n"/>
    </row>
    <row r="477">
      <c r="A477" s="129" t="n"/>
      <c r="B477" s="93" t="n"/>
      <c r="C477" s="142" t="n"/>
    </row>
    <row r="478">
      <c r="A478" s="129" t="n"/>
      <c r="B478" s="93" t="n"/>
      <c r="C478" s="142" t="n"/>
    </row>
    <row r="479">
      <c r="A479" s="129" t="n"/>
      <c r="B479" s="93" t="n"/>
      <c r="C479" s="142" t="n"/>
    </row>
    <row r="480">
      <c r="A480" s="129" t="n"/>
      <c r="B480" s="93" t="n"/>
      <c r="C480" s="142" t="n"/>
    </row>
    <row r="481">
      <c r="A481" s="129" t="n"/>
      <c r="B481" s="93" t="n"/>
      <c r="C481" s="142" t="n"/>
    </row>
    <row r="482">
      <c r="A482" s="129" t="n"/>
      <c r="B482" s="93" t="n"/>
      <c r="C482" s="142" t="n"/>
    </row>
    <row r="483">
      <c r="A483" s="129" t="n"/>
      <c r="B483" s="93" t="n"/>
      <c r="C483" s="142" t="n"/>
    </row>
    <row r="484">
      <c r="A484" s="129" t="n"/>
      <c r="B484" s="93" t="n"/>
      <c r="C484" s="142" t="n"/>
    </row>
    <row r="485">
      <c r="A485" s="129" t="n"/>
      <c r="B485" s="93" t="n"/>
      <c r="C485" s="142" t="n"/>
    </row>
    <row r="486">
      <c r="A486" s="129" t="n"/>
      <c r="B486" s="93" t="n"/>
      <c r="C486" s="142" t="n"/>
    </row>
    <row r="487">
      <c r="A487" s="129" t="n"/>
      <c r="B487" s="93" t="n"/>
      <c r="C487" s="142" t="n"/>
    </row>
    <row r="488">
      <c r="A488" s="129" t="n"/>
      <c r="B488" s="93" t="n"/>
      <c r="C488" s="142" t="n"/>
    </row>
    <row r="489">
      <c r="A489" s="129" t="n"/>
      <c r="B489" s="93" t="n"/>
      <c r="C489" s="142" t="n"/>
    </row>
    <row r="490">
      <c r="A490" s="129" t="n"/>
      <c r="B490" s="93" t="n"/>
      <c r="C490" s="142" t="n"/>
    </row>
    <row r="491">
      <c r="A491" s="129" t="n"/>
      <c r="B491" s="93" t="n"/>
      <c r="C491" s="142" t="n"/>
    </row>
    <row r="492">
      <c r="A492" s="129" t="n"/>
      <c r="B492" s="93" t="n"/>
      <c r="C492" s="142" t="n"/>
    </row>
    <row r="493">
      <c r="A493" s="129" t="n"/>
      <c r="B493" s="93" t="n"/>
      <c r="C493" s="142" t="n"/>
    </row>
    <row r="494">
      <c r="A494" s="129" t="n"/>
      <c r="B494" s="93" t="n"/>
      <c r="C494" s="142" t="n"/>
    </row>
    <row r="495">
      <c r="A495" s="129" t="n"/>
      <c r="B495" s="93" t="n"/>
      <c r="C495" s="142" t="n"/>
    </row>
    <row r="496">
      <c r="A496" s="129" t="n"/>
      <c r="B496" s="93" t="n"/>
      <c r="C496" s="142" t="n"/>
    </row>
    <row r="497">
      <c r="A497" s="129" t="n"/>
      <c r="B497" s="93" t="n"/>
      <c r="C497" s="142" t="n"/>
    </row>
    <row r="498">
      <c r="A498" s="129" t="n"/>
      <c r="B498" s="93" t="n"/>
      <c r="C498" s="142" t="n"/>
    </row>
    <row r="499">
      <c r="A499" s="129" t="n"/>
      <c r="B499" s="93" t="n"/>
      <c r="C499" s="142" t="n"/>
    </row>
    <row r="500">
      <c r="A500" s="129" t="n"/>
      <c r="B500" s="93" t="n"/>
      <c r="C500" s="142" t="n"/>
    </row>
    <row r="501">
      <c r="A501" s="129" t="n"/>
      <c r="B501" s="93" t="n"/>
      <c r="C501" s="142" t="n"/>
    </row>
    <row r="502">
      <c r="A502" s="129" t="n"/>
      <c r="B502" s="93" t="n"/>
      <c r="C502" s="142" t="n"/>
    </row>
    <row r="503">
      <c r="A503" s="129" t="n"/>
      <c r="B503" s="93" t="n"/>
      <c r="C503" s="142" t="n"/>
    </row>
    <row r="504">
      <c r="A504" s="129" t="n"/>
      <c r="B504" s="93" t="n"/>
      <c r="C504" s="142" t="n"/>
    </row>
    <row r="505">
      <c r="A505" s="129" t="n"/>
      <c r="B505" s="93" t="n"/>
      <c r="C505" s="142" t="n"/>
    </row>
    <row r="506">
      <c r="A506" s="129" t="n"/>
      <c r="B506" s="93" t="n"/>
      <c r="C506" s="142" t="n"/>
    </row>
    <row r="507">
      <c r="A507" s="129" t="n"/>
      <c r="B507" s="93" t="n"/>
      <c r="C507" s="142" t="n"/>
    </row>
    <row r="508">
      <c r="A508" s="129" t="n"/>
      <c r="B508" s="93" t="n"/>
      <c r="C508" s="142" t="n"/>
    </row>
    <row r="509">
      <c r="A509" s="129" t="n"/>
      <c r="B509" s="93" t="n"/>
      <c r="C509" s="142" t="n"/>
    </row>
    <row r="510">
      <c r="A510" s="129" t="n"/>
      <c r="B510" s="93" t="n"/>
      <c r="C510" s="142" t="n"/>
    </row>
    <row r="511">
      <c r="A511" s="129" t="n"/>
      <c r="B511" s="93" t="n"/>
      <c r="C511" s="142" t="n"/>
    </row>
    <row r="512">
      <c r="A512" s="129" t="n"/>
      <c r="B512" s="93" t="n"/>
      <c r="C512" s="142" t="n"/>
    </row>
    <row r="513">
      <c r="A513" s="129" t="n"/>
      <c r="B513" s="93" t="n"/>
      <c r="C513" s="142" t="n"/>
    </row>
    <row r="514">
      <c r="A514" s="129" t="n"/>
      <c r="B514" s="93" t="n"/>
      <c r="C514" s="142" t="n"/>
    </row>
    <row r="515">
      <c r="A515" s="129" t="n"/>
      <c r="B515" s="93" t="n"/>
      <c r="C515" s="142" t="n"/>
    </row>
    <row r="516">
      <c r="A516" s="129" t="n"/>
      <c r="B516" s="93" t="n"/>
      <c r="C516" s="142" t="n"/>
    </row>
    <row r="517">
      <c r="A517" s="129" t="n"/>
      <c r="B517" s="93" t="n"/>
      <c r="C517" s="142" t="n"/>
    </row>
    <row r="518">
      <c r="A518" s="129" t="n"/>
      <c r="B518" s="93" t="n"/>
      <c r="C518" s="142" t="n"/>
    </row>
    <row r="519">
      <c r="A519" s="129" t="n"/>
      <c r="B519" s="93" t="n"/>
      <c r="C519" s="142" t="n"/>
    </row>
    <row r="520">
      <c r="A520" s="129" t="n"/>
      <c r="B520" s="93" t="n"/>
      <c r="C520" s="142" t="n"/>
    </row>
    <row r="521">
      <c r="A521" s="129" t="n"/>
      <c r="B521" s="93" t="n"/>
      <c r="C521" s="142" t="n"/>
    </row>
    <row r="522">
      <c r="A522" s="129" t="n"/>
      <c r="B522" s="93" t="n"/>
      <c r="C522" s="142" t="n"/>
    </row>
    <row r="523">
      <c r="A523" s="129" t="n"/>
      <c r="B523" s="93" t="n"/>
      <c r="C523" s="142" t="n"/>
    </row>
    <row r="524">
      <c r="A524" s="129" t="n"/>
      <c r="B524" s="93" t="n"/>
      <c r="C524" s="142" t="n"/>
    </row>
    <row r="525">
      <c r="A525" s="129" t="n"/>
      <c r="B525" s="93" t="n"/>
      <c r="C525" s="142" t="n"/>
    </row>
    <row r="526">
      <c r="A526" s="129" t="n"/>
      <c r="B526" s="93" t="n"/>
      <c r="C526" s="142" t="n"/>
    </row>
    <row r="527">
      <c r="A527" s="129" t="n"/>
      <c r="B527" s="93" t="n"/>
      <c r="C527" s="142" t="n"/>
    </row>
    <row r="528">
      <c r="A528" s="129" t="n"/>
      <c r="B528" s="93" t="n"/>
      <c r="C528" s="142" t="n"/>
    </row>
    <row r="529">
      <c r="A529" s="129" t="n"/>
      <c r="B529" s="93" t="n"/>
      <c r="C529" s="142" t="n"/>
    </row>
    <row r="530">
      <c r="A530" s="129" t="n"/>
      <c r="B530" s="93" t="n"/>
      <c r="C530" s="142" t="n"/>
    </row>
    <row r="531">
      <c r="A531" s="129" t="n"/>
      <c r="B531" s="93" t="n"/>
      <c r="C531" s="142" t="n"/>
    </row>
    <row r="532">
      <c r="A532" s="129" t="n"/>
      <c r="B532" s="93" t="n"/>
      <c r="C532" s="142" t="n"/>
    </row>
    <row r="533">
      <c r="A533" s="129" t="n"/>
      <c r="B533" s="93" t="n"/>
      <c r="C533" s="142" t="n"/>
    </row>
    <row r="534">
      <c r="A534" s="129" t="n"/>
      <c r="B534" s="93" t="n"/>
      <c r="C534" s="142" t="n"/>
    </row>
    <row r="535">
      <c r="A535" s="129" t="n"/>
      <c r="B535" s="93" t="n"/>
      <c r="C535" s="142" t="n"/>
    </row>
    <row r="536">
      <c r="A536" s="129" t="n"/>
      <c r="B536" s="93" t="n"/>
      <c r="C536" s="142" t="n"/>
    </row>
    <row r="537">
      <c r="A537" s="129" t="n"/>
      <c r="B537" s="93" t="n"/>
      <c r="C537" s="142" t="n"/>
    </row>
    <row r="538">
      <c r="A538" s="129" t="n"/>
      <c r="B538" s="93" t="n"/>
      <c r="C538" s="142" t="n"/>
    </row>
    <row r="539">
      <c r="A539" s="129" t="n"/>
      <c r="B539" s="93" t="n"/>
      <c r="C539" s="142" t="n"/>
    </row>
    <row r="540">
      <c r="A540" s="129" t="n"/>
      <c r="B540" s="93" t="n"/>
      <c r="C540" s="142" t="n"/>
    </row>
    <row r="541">
      <c r="A541" s="129" t="n"/>
      <c r="B541" s="93" t="n"/>
      <c r="C541" s="142" t="n"/>
    </row>
    <row r="542">
      <c r="A542" s="129" t="n"/>
      <c r="B542" s="93" t="n"/>
      <c r="C542" s="142" t="n"/>
    </row>
    <row r="543">
      <c r="A543" s="129" t="n"/>
      <c r="B543" s="93" t="n"/>
      <c r="C543" s="142" t="n"/>
    </row>
    <row r="544">
      <c r="A544" s="129" t="n"/>
      <c r="B544" s="93" t="n"/>
      <c r="C544" s="142" t="n"/>
    </row>
    <row r="545">
      <c r="A545" s="129" t="n"/>
      <c r="B545" s="93" t="n"/>
      <c r="C545" s="142" t="n"/>
    </row>
    <row r="546">
      <c r="A546" s="129" t="n"/>
      <c r="B546" s="93" t="n"/>
      <c r="C546" s="142" t="n"/>
    </row>
    <row r="547">
      <c r="A547" s="129" t="n"/>
      <c r="B547" s="93" t="n"/>
      <c r="C547" s="142" t="n"/>
    </row>
    <row r="548">
      <c r="A548" s="129" t="n"/>
      <c r="B548" s="93" t="n"/>
      <c r="C548" s="142" t="n"/>
    </row>
    <row r="549">
      <c r="A549" s="129" t="n"/>
      <c r="B549" s="93" t="n"/>
      <c r="C549" s="142" t="n"/>
    </row>
    <row r="550">
      <c r="A550" s="129" t="n"/>
      <c r="B550" s="93" t="n"/>
      <c r="C550" s="142" t="n"/>
    </row>
    <row r="551">
      <c r="A551" s="129" t="n"/>
      <c r="B551" s="93" t="n"/>
      <c r="C551" s="142" t="n"/>
    </row>
    <row r="552">
      <c r="A552" s="129" t="n"/>
      <c r="B552" s="93" t="n"/>
      <c r="C552" s="142" t="n"/>
    </row>
    <row r="553">
      <c r="A553" s="129" t="n"/>
      <c r="B553" s="93" t="n"/>
      <c r="C553" s="142" t="n"/>
    </row>
    <row r="554">
      <c r="A554" s="129" t="n"/>
      <c r="B554" s="93" t="n"/>
      <c r="C554" s="142" t="n"/>
    </row>
    <row r="555">
      <c r="A555" s="129" t="n"/>
      <c r="B555" s="93" t="n"/>
      <c r="C555" s="142" t="n"/>
    </row>
    <row r="556">
      <c r="A556" s="129" t="n"/>
      <c r="B556" s="93" t="n"/>
      <c r="C556" s="142" t="n"/>
    </row>
    <row r="557">
      <c r="A557" s="129" t="n"/>
      <c r="B557" s="93" t="n"/>
      <c r="C557" s="142" t="n"/>
    </row>
    <row r="558">
      <c r="A558" s="129" t="n"/>
      <c r="B558" s="93" t="n"/>
      <c r="C558" s="142" t="n"/>
    </row>
    <row r="559">
      <c r="A559" s="129" t="n"/>
      <c r="B559" s="93" t="n"/>
      <c r="C559" s="142" t="n"/>
    </row>
    <row r="560">
      <c r="A560" s="129" t="n"/>
      <c r="B560" s="93" t="n"/>
      <c r="C560" s="142" t="n"/>
    </row>
    <row r="561">
      <c r="A561" s="129" t="n"/>
      <c r="B561" s="93" t="n"/>
      <c r="C561" s="142" t="n"/>
    </row>
    <row r="562">
      <c r="A562" s="129" t="n"/>
      <c r="B562" s="93" t="n"/>
      <c r="C562" s="142" t="n"/>
    </row>
    <row r="563">
      <c r="A563" s="129" t="n"/>
      <c r="B563" s="93" t="n"/>
      <c r="C563" s="142" t="n"/>
    </row>
    <row r="564">
      <c r="A564" s="129" t="n"/>
      <c r="B564" s="93" t="n"/>
      <c r="C564" s="142" t="n"/>
    </row>
    <row r="565">
      <c r="A565" s="129" t="n"/>
      <c r="B565" s="93" t="n"/>
      <c r="C565" s="142" t="n"/>
    </row>
    <row r="566">
      <c r="A566" s="129" t="n"/>
      <c r="B566" s="93" t="n"/>
      <c r="C566" s="142" t="n"/>
    </row>
    <row r="567">
      <c r="A567" s="129" t="n"/>
      <c r="B567" s="93" t="n"/>
      <c r="C567" s="142" t="n"/>
    </row>
    <row r="568">
      <c r="A568" s="129" t="n"/>
      <c r="B568" s="93" t="n"/>
      <c r="C568" s="142" t="n"/>
    </row>
    <row r="569">
      <c r="A569" s="129" t="n"/>
      <c r="B569" s="93" t="n"/>
      <c r="C569" s="142" t="n"/>
    </row>
    <row r="570">
      <c r="A570" s="129" t="n"/>
      <c r="B570" s="93" t="n"/>
      <c r="C570" s="142" t="n"/>
    </row>
    <row r="571">
      <c r="A571" s="129" t="n"/>
      <c r="B571" s="93" t="n"/>
      <c r="C571" s="142" t="n"/>
    </row>
    <row r="572">
      <c r="A572" s="129" t="n"/>
      <c r="B572" s="93" t="n"/>
      <c r="C572" s="142" t="n"/>
    </row>
    <row r="573">
      <c r="A573" s="129" t="n"/>
      <c r="B573" s="93" t="n"/>
      <c r="C573" s="142" t="n"/>
    </row>
    <row r="574">
      <c r="A574" s="129" t="n"/>
      <c r="B574" s="93" t="n"/>
      <c r="C574" s="142" t="n"/>
    </row>
    <row r="575">
      <c r="A575" s="129" t="n"/>
      <c r="B575" s="93" t="n"/>
      <c r="C575" s="142" t="n"/>
    </row>
    <row r="576">
      <c r="A576" s="129" t="n"/>
      <c r="B576" s="93" t="n"/>
      <c r="C576" s="142" t="n"/>
    </row>
    <row r="577">
      <c r="A577" s="129" t="n"/>
      <c r="B577" s="93" t="n"/>
      <c r="C577" s="142" t="n"/>
    </row>
    <row r="578">
      <c r="A578" s="129" t="n"/>
      <c r="B578" s="93" t="n"/>
      <c r="C578" s="142" t="n"/>
    </row>
    <row r="579">
      <c r="A579" s="129" t="n"/>
      <c r="B579" s="93" t="n"/>
      <c r="C579" s="142" t="n"/>
    </row>
    <row r="580">
      <c r="A580" s="129" t="n"/>
      <c r="B580" s="93" t="n"/>
      <c r="C580" s="142" t="n"/>
    </row>
    <row r="581">
      <c r="A581" s="129" t="n"/>
      <c r="B581" s="93" t="n"/>
      <c r="C581" s="142" t="n"/>
    </row>
    <row r="582">
      <c r="A582" s="129" t="n"/>
      <c r="B582" s="93" t="n"/>
      <c r="C582" s="142" t="n"/>
    </row>
    <row r="583">
      <c r="A583" s="129" t="n"/>
      <c r="B583" s="93" t="n"/>
      <c r="C583" s="142" t="n"/>
    </row>
    <row r="584">
      <c r="A584" s="129" t="n"/>
      <c r="B584" s="93" t="n"/>
      <c r="C584" s="142" t="n"/>
    </row>
    <row r="585">
      <c r="A585" s="129" t="n"/>
      <c r="B585" s="93" t="n"/>
      <c r="C585" s="142" t="n"/>
    </row>
    <row r="586">
      <c r="A586" s="129" t="n"/>
      <c r="B586" s="93" t="n"/>
      <c r="C586" s="142" t="n"/>
    </row>
    <row r="587">
      <c r="A587" s="129" t="n"/>
      <c r="B587" s="93" t="n"/>
      <c r="C587" s="142" t="n"/>
    </row>
    <row r="588">
      <c r="A588" s="129" t="n"/>
      <c r="B588" s="93" t="n"/>
      <c r="C588" s="142" t="n"/>
    </row>
    <row r="589">
      <c r="A589" s="129" t="n"/>
      <c r="B589" s="93" t="n"/>
      <c r="C589" s="142" t="n"/>
    </row>
    <row r="590">
      <c r="A590" s="129" t="n"/>
      <c r="B590" s="93" t="n"/>
      <c r="C590" s="142" t="n"/>
    </row>
    <row r="591">
      <c r="A591" s="129" t="n"/>
      <c r="B591" s="93" t="n"/>
      <c r="C591" s="142" t="n"/>
    </row>
    <row r="592">
      <c r="A592" s="129" t="n"/>
      <c r="B592" s="93" t="n"/>
      <c r="C592" s="142" t="n"/>
    </row>
    <row r="593">
      <c r="A593" s="129" t="n"/>
      <c r="B593" s="93" t="n"/>
      <c r="C593" s="142" t="n"/>
    </row>
    <row r="594">
      <c r="A594" s="129" t="n"/>
      <c r="B594" s="93" t="n"/>
      <c r="C594" s="142" t="n"/>
    </row>
    <row r="595">
      <c r="A595" s="129" t="n"/>
      <c r="B595" s="93" t="n"/>
      <c r="C595" s="142" t="n"/>
    </row>
    <row r="596">
      <c r="A596" s="129" t="n"/>
      <c r="B596" s="93" t="n"/>
      <c r="C596" s="142" t="n"/>
    </row>
    <row r="597">
      <c r="A597" s="129" t="n"/>
      <c r="B597" s="93" t="n"/>
      <c r="C597" s="142" t="n"/>
    </row>
    <row r="598">
      <c r="A598" s="129" t="n"/>
      <c r="B598" s="93" t="n"/>
      <c r="C598" s="142" t="n"/>
    </row>
    <row r="599">
      <c r="A599" s="129" t="n"/>
      <c r="B599" s="93" t="n"/>
      <c r="C599" s="142" t="n"/>
    </row>
    <row r="600">
      <c r="A600" s="129" t="n"/>
      <c r="B600" s="93" t="n"/>
      <c r="C600" s="142" t="n"/>
    </row>
    <row r="601">
      <c r="A601" s="129" t="n"/>
      <c r="B601" s="93" t="n"/>
      <c r="C601" s="142" t="n"/>
    </row>
    <row r="602">
      <c r="A602" s="129" t="n"/>
      <c r="B602" s="93" t="n"/>
      <c r="C602" s="142" t="n"/>
    </row>
    <row r="603">
      <c r="A603" s="129" t="n"/>
      <c r="B603" s="93" t="n"/>
      <c r="C603" s="142" t="n"/>
    </row>
    <row r="604">
      <c r="A604" s="129" t="n"/>
      <c r="B604" s="93" t="n"/>
      <c r="C604" s="142" t="n"/>
    </row>
    <row r="605">
      <c r="A605" s="129" t="n"/>
      <c r="B605" s="93" t="n"/>
      <c r="C605" s="142" t="n"/>
    </row>
    <row r="606">
      <c r="A606" s="129" t="n"/>
      <c r="B606" s="93" t="n"/>
      <c r="C606" s="142" t="n"/>
    </row>
    <row r="607">
      <c r="A607" s="129" t="n"/>
      <c r="B607" s="93" t="n"/>
      <c r="C607" s="142" t="n"/>
    </row>
    <row r="608">
      <c r="A608" s="129" t="n"/>
      <c r="B608" s="93" t="n"/>
      <c r="C608" s="142" t="n"/>
    </row>
    <row r="609">
      <c r="A609" s="129" t="n"/>
      <c r="B609" s="93" t="n"/>
      <c r="C609" s="142" t="n"/>
    </row>
    <row r="610">
      <c r="A610" s="129" t="n"/>
      <c r="B610" s="93" t="n"/>
      <c r="C610" s="142" t="n"/>
    </row>
    <row r="611">
      <c r="A611" s="129" t="n"/>
      <c r="B611" s="93" t="n"/>
      <c r="C611" s="142" t="n"/>
    </row>
    <row r="612">
      <c r="A612" s="129" t="n"/>
      <c r="B612" s="93" t="n"/>
      <c r="C612" s="142" t="n"/>
    </row>
    <row r="613">
      <c r="A613" s="129" t="n"/>
      <c r="B613" s="93" t="n"/>
      <c r="C613" s="142" t="n"/>
    </row>
    <row r="614">
      <c r="A614" s="129" t="n"/>
      <c r="B614" s="93" t="n"/>
      <c r="C614" s="142" t="n"/>
    </row>
    <row r="615">
      <c r="A615" s="129" t="n"/>
      <c r="B615" s="93" t="n"/>
      <c r="C615" s="142" t="n"/>
    </row>
    <row r="616">
      <c r="A616" s="129" t="n"/>
      <c r="B616" s="93" t="n"/>
      <c r="C616" s="142" t="n"/>
    </row>
    <row r="617">
      <c r="A617" s="129" t="n"/>
      <c r="B617" s="93" t="n"/>
      <c r="C617" s="142" t="n"/>
    </row>
    <row r="618">
      <c r="A618" s="129" t="n"/>
      <c r="B618" s="93" t="n"/>
      <c r="C618" s="142" t="n"/>
    </row>
    <row r="619">
      <c r="A619" s="129" t="n"/>
      <c r="B619" s="93" t="n"/>
      <c r="C619" s="142" t="n"/>
    </row>
    <row r="620">
      <c r="A620" s="129" t="n"/>
      <c r="B620" s="93" t="n"/>
      <c r="C620" s="142" t="n"/>
    </row>
    <row r="621">
      <c r="A621" s="129" t="n"/>
      <c r="B621" s="93" t="n"/>
      <c r="C621" s="142" t="n"/>
    </row>
    <row r="622">
      <c r="A622" s="129" t="n"/>
      <c r="B622" s="93" t="n"/>
      <c r="C622" s="142" t="n"/>
    </row>
    <row r="623">
      <c r="A623" s="129" t="n"/>
      <c r="B623" s="93" t="n"/>
      <c r="C623" s="142" t="n"/>
    </row>
    <row r="624">
      <c r="A624" s="129" t="n"/>
      <c r="B624" s="93" t="n"/>
      <c r="C624" s="142" t="n"/>
    </row>
    <row r="625">
      <c r="A625" s="129" t="n"/>
      <c r="B625" s="93" t="n"/>
      <c r="C625" s="142" t="n"/>
    </row>
    <row r="626">
      <c r="A626" s="129" t="n"/>
      <c r="B626" s="93" t="n"/>
      <c r="C626" s="142" t="n"/>
    </row>
    <row r="627">
      <c r="A627" s="129" t="n"/>
      <c r="B627" s="93" t="n"/>
      <c r="C627" s="142" t="n"/>
    </row>
    <row r="628">
      <c r="A628" s="129" t="n"/>
      <c r="B628" s="93" t="n"/>
      <c r="C628" s="142" t="n"/>
    </row>
    <row r="629">
      <c r="A629" s="129" t="n"/>
      <c r="B629" s="93" t="n"/>
      <c r="C629" s="142" t="n"/>
    </row>
    <row r="630">
      <c r="A630" s="129" t="n"/>
      <c r="B630" s="93" t="n"/>
      <c r="C630" s="142" t="n"/>
    </row>
    <row r="631">
      <c r="A631" s="129" t="n"/>
      <c r="B631" s="93" t="n"/>
      <c r="C631" s="142" t="n"/>
    </row>
    <row r="632">
      <c r="A632" s="129" t="n"/>
      <c r="B632" s="93" t="n"/>
      <c r="C632" s="142" t="n"/>
    </row>
    <row r="633">
      <c r="A633" s="129" t="n"/>
      <c r="B633" s="93" t="n"/>
      <c r="C633" s="142" t="n"/>
    </row>
    <row r="634">
      <c r="A634" s="129" t="n"/>
      <c r="B634" s="93" t="n"/>
      <c r="C634" s="142" t="n"/>
    </row>
    <row r="635">
      <c r="A635" s="129" t="n"/>
      <c r="B635" s="93" t="n"/>
      <c r="C635" s="142" t="n"/>
    </row>
    <row r="636">
      <c r="A636" s="129" t="n"/>
      <c r="B636" s="93" t="n"/>
      <c r="C636" s="142" t="n"/>
    </row>
    <row r="637">
      <c r="A637" s="129" t="n"/>
      <c r="B637" s="93" t="n"/>
      <c r="C637" s="142" t="n"/>
    </row>
    <row r="638">
      <c r="A638" s="129" t="n"/>
      <c r="B638" s="93" t="n"/>
      <c r="C638" s="142" t="n"/>
    </row>
    <row r="639">
      <c r="A639" s="129" t="n"/>
      <c r="B639" s="93" t="n"/>
      <c r="C639" s="142" t="n"/>
    </row>
    <row r="640">
      <c r="A640" s="129" t="n"/>
      <c r="B640" s="93" t="n"/>
      <c r="C640" s="142" t="n"/>
    </row>
    <row r="641">
      <c r="A641" s="129" t="n"/>
      <c r="B641" s="93" t="n"/>
      <c r="C641" s="142" t="n"/>
    </row>
    <row r="642">
      <c r="A642" s="129" t="n"/>
      <c r="B642" s="93" t="n"/>
      <c r="C642" s="142" t="n"/>
    </row>
    <row r="643">
      <c r="A643" s="129" t="n"/>
      <c r="B643" s="93" t="n"/>
      <c r="C643" s="142" t="n"/>
    </row>
    <row r="644">
      <c r="A644" s="129" t="n"/>
      <c r="B644" s="93" t="n"/>
      <c r="C644" s="142" t="n"/>
    </row>
    <row r="645">
      <c r="A645" s="129" t="n"/>
      <c r="B645" s="93" t="n"/>
      <c r="C645" s="142" t="n"/>
    </row>
    <row r="646">
      <c r="A646" s="129" t="n"/>
      <c r="B646" s="93" t="n"/>
      <c r="C646" s="142" t="n"/>
    </row>
    <row r="647">
      <c r="A647" s="129" t="n"/>
      <c r="B647" s="93" t="n"/>
      <c r="C647" s="142" t="n"/>
    </row>
    <row r="648">
      <c r="A648" s="129" t="n"/>
      <c r="B648" s="93" t="n"/>
      <c r="C648" s="142" t="n"/>
    </row>
    <row r="649">
      <c r="A649" s="129" t="n"/>
      <c r="B649" s="93" t="n"/>
      <c r="C649" s="142" t="n"/>
    </row>
    <row r="650">
      <c r="A650" s="129" t="n"/>
      <c r="B650" s="93" t="n"/>
      <c r="C650" s="142" t="n"/>
    </row>
    <row r="651">
      <c r="A651" s="129" t="n"/>
      <c r="B651" s="93" t="n"/>
      <c r="C651" s="142" t="n"/>
    </row>
    <row r="652">
      <c r="A652" s="129" t="n"/>
      <c r="B652" s="93" t="n"/>
      <c r="C652" s="142" t="n"/>
    </row>
    <row r="653">
      <c r="A653" s="129" t="n"/>
      <c r="B653" s="93" t="n"/>
      <c r="C653" s="142" t="n"/>
    </row>
    <row r="654">
      <c r="A654" s="129" t="n"/>
      <c r="B654" s="93" t="n"/>
      <c r="C654" s="142" t="n"/>
    </row>
    <row r="655">
      <c r="A655" s="129" t="n"/>
      <c r="B655" s="93" t="n"/>
      <c r="C655" s="142" t="n"/>
    </row>
    <row r="656">
      <c r="A656" s="129" t="n"/>
      <c r="B656" s="93" t="n"/>
      <c r="C656" s="142" t="n"/>
    </row>
    <row r="657">
      <c r="A657" s="129" t="n"/>
      <c r="B657" s="93" t="n"/>
      <c r="C657" s="142" t="n"/>
    </row>
    <row r="658">
      <c r="A658" s="129" t="n"/>
      <c r="B658" s="93" t="n"/>
      <c r="C658" s="142" t="n"/>
    </row>
    <row r="659">
      <c r="A659" s="129" t="n"/>
      <c r="B659" s="93" t="n"/>
      <c r="C659" s="142" t="n"/>
    </row>
    <row r="660">
      <c r="A660" s="129" t="n"/>
      <c r="B660" s="93" t="n"/>
      <c r="C660" s="142" t="n"/>
    </row>
    <row r="661">
      <c r="A661" s="129" t="n"/>
      <c r="B661" s="93" t="n"/>
      <c r="C661" s="142" t="n"/>
    </row>
    <row r="662">
      <c r="A662" s="129" t="n"/>
      <c r="B662" s="93" t="n"/>
      <c r="C662" s="142" t="n"/>
    </row>
    <row r="663">
      <c r="A663" s="129" t="n"/>
      <c r="B663" s="93" t="n"/>
      <c r="C663" s="142" t="n"/>
    </row>
    <row r="664">
      <c r="A664" s="129" t="n"/>
      <c r="B664" s="93" t="n"/>
      <c r="C664" s="142" t="n"/>
    </row>
    <row r="665">
      <c r="A665" s="129" t="n"/>
      <c r="B665" s="93" t="n"/>
      <c r="C665" s="142" t="n"/>
    </row>
    <row r="666">
      <c r="A666" s="129" t="n"/>
      <c r="B666" s="93" t="n"/>
      <c r="C666" s="142" t="n"/>
    </row>
    <row r="667">
      <c r="A667" s="129" t="n"/>
      <c r="B667" s="93" t="n"/>
      <c r="C667" s="142" t="n"/>
    </row>
    <row r="668">
      <c r="A668" s="129" t="n"/>
      <c r="B668" s="93" t="n"/>
      <c r="C668" s="142" t="n"/>
    </row>
    <row r="669">
      <c r="A669" s="129" t="n"/>
      <c r="B669" s="93" t="n"/>
      <c r="C669" s="142" t="n"/>
    </row>
    <row r="670">
      <c r="A670" s="129" t="n"/>
      <c r="B670" s="93" t="n"/>
      <c r="C670" s="142" t="n"/>
    </row>
    <row r="671">
      <c r="A671" s="129" t="n"/>
      <c r="B671" s="93" t="n"/>
      <c r="C671" s="142" t="n"/>
    </row>
    <row r="672">
      <c r="A672" s="129" t="n"/>
      <c r="B672" s="93" t="n"/>
      <c r="C672" s="142" t="n"/>
    </row>
    <row r="673">
      <c r="A673" s="129" t="n"/>
      <c r="B673" s="93" t="n"/>
      <c r="C673" s="142" t="n"/>
    </row>
    <row r="674">
      <c r="A674" s="129" t="n"/>
      <c r="B674" s="93" t="n"/>
      <c r="C674" s="142" t="n"/>
    </row>
    <row r="675">
      <c r="A675" s="129" t="n"/>
      <c r="B675" s="93" t="n"/>
      <c r="C675" s="142" t="n"/>
    </row>
    <row r="676">
      <c r="A676" s="129" t="n"/>
      <c r="B676" s="93" t="n"/>
      <c r="C676" s="142" t="n"/>
    </row>
    <row r="677">
      <c r="A677" s="129" t="n"/>
      <c r="B677" s="93" t="n"/>
      <c r="C677" s="142" t="n"/>
    </row>
    <row r="678">
      <c r="A678" s="129" t="n"/>
      <c r="B678" s="93" t="n"/>
      <c r="C678" s="142" t="n"/>
    </row>
    <row r="679">
      <c r="A679" s="129" t="n"/>
      <c r="B679" s="93" t="n"/>
      <c r="C679" s="142" t="n"/>
    </row>
    <row r="680">
      <c r="A680" s="129" t="n"/>
      <c r="B680" s="93" t="n"/>
      <c r="C680" s="142" t="n"/>
    </row>
    <row r="681">
      <c r="A681" s="129" t="n"/>
      <c r="B681" s="93" t="n"/>
      <c r="C681" s="142" t="n"/>
    </row>
    <row r="682">
      <c r="A682" s="129" t="n"/>
      <c r="B682" s="93" t="n"/>
      <c r="C682" s="142" t="n"/>
    </row>
    <row r="683">
      <c r="A683" s="129" t="n"/>
      <c r="B683" s="93" t="n"/>
      <c r="C683" s="142" t="n"/>
    </row>
    <row r="684">
      <c r="A684" s="129" t="n"/>
      <c r="B684" s="93" t="n"/>
      <c r="C684" s="142" t="n"/>
    </row>
    <row r="685">
      <c r="A685" s="129" t="n"/>
      <c r="B685" s="93" t="n"/>
      <c r="C685" s="142" t="n"/>
    </row>
    <row r="686">
      <c r="A686" s="129" t="n"/>
      <c r="B686" s="93" t="n"/>
      <c r="C686" s="142" t="n"/>
    </row>
    <row r="687">
      <c r="A687" s="129" t="n"/>
      <c r="B687" s="93" t="n"/>
      <c r="C687" s="142" t="n"/>
    </row>
    <row r="688">
      <c r="A688" s="129" t="n"/>
      <c r="B688" s="93" t="n"/>
      <c r="C688" s="142" t="n"/>
    </row>
    <row r="689">
      <c r="A689" s="129" t="n"/>
      <c r="B689" s="93" t="n"/>
      <c r="C689" s="142" t="n"/>
    </row>
    <row r="690">
      <c r="A690" s="129" t="n"/>
      <c r="B690" s="93" t="n"/>
      <c r="C690" s="142" t="n"/>
    </row>
    <row r="691">
      <c r="A691" s="129" t="n"/>
      <c r="B691" s="93" t="n"/>
      <c r="C691" s="142" t="n"/>
    </row>
    <row r="692">
      <c r="A692" s="129" t="n"/>
      <c r="B692" s="93" t="n"/>
      <c r="C692" s="142" t="n"/>
    </row>
    <row r="693">
      <c r="A693" s="129" t="n"/>
      <c r="B693" s="93" t="n"/>
      <c r="C693" s="142" t="n"/>
    </row>
    <row r="694">
      <c r="A694" s="129" t="n"/>
      <c r="B694" s="93" t="n"/>
      <c r="C694" s="142" t="n"/>
    </row>
    <row r="695">
      <c r="A695" s="129" t="n"/>
      <c r="B695" s="93" t="n"/>
      <c r="C695" s="142" t="n"/>
    </row>
    <row r="696">
      <c r="A696" s="129" t="n"/>
      <c r="B696" s="93" t="n"/>
      <c r="C696" s="142" t="n"/>
    </row>
    <row r="697">
      <c r="A697" s="129" t="n"/>
      <c r="B697" s="93" t="n"/>
      <c r="C697" s="142" t="n"/>
    </row>
    <row r="698">
      <c r="A698" s="129" t="n"/>
      <c r="B698" s="93" t="n"/>
      <c r="C698" s="142" t="n"/>
    </row>
    <row r="699">
      <c r="A699" s="129" t="n"/>
      <c r="B699" s="93" t="n"/>
      <c r="C699" s="142" t="n"/>
    </row>
    <row r="700">
      <c r="A700" s="129" t="n"/>
      <c r="B700" s="93" t="n"/>
      <c r="C700" s="142" t="n"/>
    </row>
    <row r="701">
      <c r="A701" s="129" t="n"/>
      <c r="B701" s="93" t="n"/>
      <c r="C701" s="142" t="n"/>
    </row>
    <row r="702">
      <c r="A702" s="129" t="n"/>
      <c r="B702" s="93" t="n"/>
      <c r="C702" s="142" t="n"/>
    </row>
    <row r="703">
      <c r="A703" s="129" t="n"/>
      <c r="B703" s="93" t="n"/>
      <c r="C703" s="142" t="n"/>
    </row>
    <row r="704">
      <c r="A704" s="129" t="n"/>
      <c r="B704" s="93" t="n"/>
      <c r="C704" s="142" t="n"/>
    </row>
    <row r="705">
      <c r="A705" s="129" t="n"/>
      <c r="B705" s="93" t="n"/>
      <c r="C705" s="142" t="n"/>
    </row>
    <row r="706">
      <c r="A706" s="129" t="n"/>
      <c r="B706" s="93" t="n"/>
      <c r="C706" s="142" t="n"/>
    </row>
    <row r="707">
      <c r="A707" s="129" t="n"/>
      <c r="B707" s="93" t="n"/>
      <c r="C707" s="142" t="n"/>
    </row>
    <row r="708">
      <c r="A708" s="129" t="n"/>
      <c r="B708" s="93" t="n"/>
      <c r="C708" s="142" t="n"/>
    </row>
    <row r="709">
      <c r="A709" s="129" t="n"/>
      <c r="B709" s="93" t="n"/>
      <c r="C709" s="142" t="n"/>
    </row>
    <row r="710">
      <c r="A710" s="129" t="n"/>
      <c r="B710" s="93" t="n"/>
      <c r="C710" s="142" t="n"/>
    </row>
    <row r="711">
      <c r="A711" s="129" t="n"/>
      <c r="B711" s="93" t="n"/>
      <c r="C711" s="142" t="n"/>
    </row>
    <row r="712">
      <c r="A712" s="129" t="n"/>
      <c r="B712" s="93" t="n"/>
      <c r="C712" s="142" t="n"/>
    </row>
    <row r="713">
      <c r="A713" s="129" t="n"/>
      <c r="B713" s="93" t="n"/>
      <c r="C713" s="142" t="n"/>
    </row>
    <row r="714">
      <c r="A714" s="129" t="n"/>
      <c r="B714" s="93" t="n"/>
      <c r="C714" s="142" t="n"/>
    </row>
    <row r="715">
      <c r="A715" s="129" t="n"/>
      <c r="B715" s="93" t="n"/>
      <c r="C715" s="142" t="n"/>
    </row>
    <row r="716">
      <c r="A716" s="129" t="n"/>
      <c r="B716" s="93" t="n"/>
      <c r="C716" s="142" t="n"/>
    </row>
    <row r="717">
      <c r="A717" s="129" t="n"/>
      <c r="B717" s="93" t="n"/>
      <c r="C717" s="142" t="n"/>
    </row>
    <row r="718">
      <c r="A718" s="129" t="n"/>
      <c r="B718" s="93" t="n"/>
      <c r="C718" s="142" t="n"/>
    </row>
    <row r="719">
      <c r="A719" s="129" t="n"/>
      <c r="B719" s="93" t="n"/>
      <c r="C719" s="142" t="n"/>
    </row>
    <row r="720">
      <c r="A720" s="129" t="n"/>
      <c r="B720" s="93" t="n"/>
      <c r="C720" s="142" t="n"/>
    </row>
    <row r="721">
      <c r="A721" s="129" t="n"/>
      <c r="B721" s="93" t="n"/>
      <c r="C721" s="142" t="n"/>
    </row>
    <row r="722">
      <c r="A722" s="129" t="n"/>
      <c r="B722" s="93" t="n"/>
      <c r="C722" s="142" t="n"/>
    </row>
    <row r="723">
      <c r="A723" s="129" t="n"/>
      <c r="B723" s="93" t="n"/>
      <c r="C723" s="142" t="n"/>
    </row>
    <row r="724">
      <c r="A724" s="129" t="n"/>
      <c r="B724" s="93" t="n"/>
      <c r="C724" s="142" t="n"/>
    </row>
    <row r="725">
      <c r="A725" s="129" t="n"/>
      <c r="B725" s="93" t="n"/>
      <c r="C725" s="142" t="n"/>
    </row>
    <row r="726">
      <c r="A726" s="129" t="n"/>
      <c r="B726" s="93" t="n"/>
      <c r="C726" s="142" t="n"/>
    </row>
    <row r="727">
      <c r="A727" s="129" t="n"/>
      <c r="B727" s="93" t="n"/>
      <c r="C727" s="142" t="n"/>
    </row>
    <row r="728">
      <c r="A728" s="129" t="n"/>
      <c r="B728" s="93" t="n"/>
      <c r="C728" s="142" t="n"/>
    </row>
    <row r="729">
      <c r="A729" s="129" t="n"/>
      <c r="B729" s="93" t="n"/>
      <c r="C729" s="142" t="n"/>
    </row>
    <row r="730">
      <c r="A730" s="129" t="n"/>
      <c r="B730" s="93" t="n"/>
      <c r="C730" s="142" t="n"/>
    </row>
    <row r="731">
      <c r="A731" s="129" t="n"/>
      <c r="B731" s="93" t="n"/>
      <c r="C731" s="142" t="n"/>
    </row>
    <row r="732">
      <c r="A732" s="129" t="n"/>
      <c r="B732" s="93" t="n"/>
      <c r="C732" s="142" t="n"/>
    </row>
    <row r="733">
      <c r="A733" s="129" t="n"/>
      <c r="B733" s="93" t="n"/>
      <c r="C733" s="142" t="n"/>
    </row>
    <row r="734">
      <c r="A734" s="129" t="n"/>
      <c r="B734" s="93" t="n"/>
      <c r="C734" s="142" t="n"/>
    </row>
    <row r="735">
      <c r="A735" s="129" t="n"/>
      <c r="B735" s="93" t="n"/>
      <c r="C735" s="142" t="n"/>
    </row>
    <row r="736">
      <c r="A736" s="129" t="n"/>
      <c r="B736" s="93" t="n"/>
      <c r="C736" s="142" t="n"/>
    </row>
    <row r="737">
      <c r="A737" s="129" t="n"/>
      <c r="B737" s="93" t="n"/>
      <c r="C737" s="142" t="n"/>
    </row>
    <row r="738">
      <c r="A738" s="129" t="n"/>
      <c r="B738" s="93" t="n"/>
      <c r="C738" s="142" t="n"/>
    </row>
    <row r="739">
      <c r="A739" s="129" t="n"/>
      <c r="B739" s="93" t="n"/>
      <c r="C739" s="142" t="n"/>
    </row>
    <row r="740">
      <c r="A740" s="129" t="n"/>
      <c r="B740" s="93" t="n"/>
      <c r="C740" s="142" t="n"/>
    </row>
    <row r="741">
      <c r="A741" s="129" t="n"/>
      <c r="B741" s="93" t="n"/>
      <c r="C741" s="142" t="n"/>
    </row>
    <row r="742">
      <c r="A742" s="129" t="n"/>
      <c r="B742" s="93" t="n"/>
      <c r="C742" s="142" t="n"/>
    </row>
    <row r="743">
      <c r="A743" s="129" t="n"/>
      <c r="B743" s="93" t="n"/>
      <c r="C743" s="142" t="n"/>
    </row>
    <row r="744">
      <c r="A744" s="129" t="n"/>
      <c r="B744" s="93" t="n"/>
      <c r="C744" s="142" t="n"/>
    </row>
    <row r="745">
      <c r="A745" s="129" t="n"/>
      <c r="B745" s="93" t="n"/>
      <c r="C745" s="142" t="n"/>
    </row>
    <row r="746">
      <c r="A746" s="129" t="n"/>
      <c r="B746" s="93" t="n"/>
      <c r="C746" s="142" t="n"/>
    </row>
    <row r="747">
      <c r="A747" s="129" t="n"/>
      <c r="B747" s="93" t="n"/>
      <c r="C747" s="142" t="n"/>
    </row>
    <row r="748">
      <c r="A748" s="129" t="n"/>
      <c r="B748" s="93" t="n"/>
      <c r="C748" s="142" t="n"/>
    </row>
    <row r="749">
      <c r="A749" s="129" t="n"/>
      <c r="B749" s="93" t="n"/>
      <c r="C749" s="142" t="n"/>
    </row>
    <row r="750">
      <c r="A750" s="129" t="n"/>
      <c r="B750" s="93" t="n"/>
      <c r="C750" s="142" t="n"/>
    </row>
    <row r="751">
      <c r="A751" s="129" t="n"/>
      <c r="B751" s="93" t="n"/>
      <c r="C751" s="142" t="n"/>
    </row>
    <row r="752">
      <c r="A752" s="129" t="n"/>
      <c r="B752" s="93" t="n"/>
      <c r="C752" s="142" t="n"/>
    </row>
    <row r="753">
      <c r="A753" s="129" t="n"/>
      <c r="B753" s="93" t="n"/>
      <c r="C753" s="142" t="n"/>
    </row>
    <row r="754">
      <c r="A754" s="129" t="n"/>
      <c r="B754" s="93" t="n"/>
      <c r="C754" s="142" t="n"/>
    </row>
    <row r="755">
      <c r="A755" s="129" t="n"/>
      <c r="B755" s="93" t="n"/>
      <c r="C755" s="142" t="n"/>
    </row>
    <row r="756">
      <c r="A756" s="129" t="n"/>
      <c r="B756" s="93" t="n"/>
      <c r="C756" s="142" t="n"/>
    </row>
    <row r="757">
      <c r="A757" s="129" t="n"/>
      <c r="B757" s="93" t="n"/>
      <c r="C757" s="142" t="n"/>
    </row>
    <row r="758">
      <c r="A758" s="129" t="n"/>
      <c r="B758" s="93" t="n"/>
      <c r="C758" s="142" t="n"/>
    </row>
    <row r="759">
      <c r="A759" s="129" t="n"/>
      <c r="B759" s="93" t="n"/>
      <c r="C759" s="142" t="n"/>
    </row>
    <row r="760">
      <c r="A760" s="129" t="n"/>
      <c r="B760" s="93" t="n"/>
      <c r="C760" s="142" t="n"/>
    </row>
    <row r="761">
      <c r="A761" s="129" t="n"/>
      <c r="B761" s="93" t="n"/>
      <c r="C761" s="142" t="n"/>
    </row>
    <row r="762">
      <c r="A762" s="129" t="n"/>
      <c r="B762" s="93" t="n"/>
      <c r="C762" s="142" t="n"/>
    </row>
    <row r="763">
      <c r="A763" s="129" t="n"/>
      <c r="B763" s="93" t="n"/>
      <c r="C763" s="142" t="n"/>
    </row>
    <row r="764">
      <c r="A764" s="129" t="n"/>
      <c r="B764" s="93" t="n"/>
      <c r="C764" s="142" t="n"/>
    </row>
    <row r="765">
      <c r="A765" s="129" t="n"/>
      <c r="B765" s="93" t="n"/>
      <c r="C765" s="142" t="n"/>
    </row>
    <row r="766">
      <c r="A766" s="129" t="n"/>
      <c r="B766" s="93" t="n"/>
      <c r="C766" s="142" t="n"/>
    </row>
    <row r="767">
      <c r="A767" s="129" t="n"/>
      <c r="B767" s="93" t="n"/>
      <c r="C767" s="142" t="n"/>
    </row>
    <row r="768">
      <c r="A768" s="129" t="n"/>
      <c r="B768" s="93" t="n"/>
      <c r="C768" s="142" t="n"/>
    </row>
    <row r="769">
      <c r="A769" s="129" t="n"/>
      <c r="B769" s="93" t="n"/>
      <c r="C769" s="142" t="n"/>
    </row>
    <row r="770">
      <c r="A770" s="129" t="n"/>
      <c r="B770" s="93" t="n"/>
      <c r="C770" s="142" t="n"/>
    </row>
    <row r="771">
      <c r="A771" s="129" t="n"/>
      <c r="B771" s="93" t="n"/>
      <c r="C771" s="142" t="n"/>
    </row>
    <row r="772">
      <c r="A772" s="129" t="n"/>
      <c r="B772" s="93" t="n"/>
      <c r="C772" s="142" t="n"/>
    </row>
    <row r="773">
      <c r="A773" s="129" t="n"/>
      <c r="B773" s="93" t="n"/>
      <c r="C773" s="142" t="n"/>
    </row>
    <row r="774">
      <c r="A774" s="129" t="n"/>
      <c r="B774" s="93" t="n"/>
      <c r="C774" s="142" t="n"/>
    </row>
    <row r="775">
      <c r="A775" s="129" t="n"/>
      <c r="B775" s="93" t="n"/>
      <c r="C775" s="142" t="n"/>
    </row>
    <row r="776">
      <c r="A776" s="129" t="n"/>
      <c r="B776" s="93" t="n"/>
      <c r="C776" s="142" t="n"/>
    </row>
    <row r="777">
      <c r="A777" s="129" t="n"/>
      <c r="B777" s="93" t="n"/>
      <c r="C777" s="142" t="n"/>
    </row>
    <row r="778">
      <c r="A778" s="129" t="n"/>
      <c r="B778" s="93" t="n"/>
      <c r="C778" s="142" t="n"/>
    </row>
    <row r="779">
      <c r="A779" s="129" t="n"/>
      <c r="B779" s="93" t="n"/>
      <c r="C779" s="142" t="n"/>
    </row>
    <row r="780">
      <c r="A780" s="129" t="n"/>
      <c r="B780" s="93" t="n"/>
      <c r="C780" s="142" t="n"/>
    </row>
    <row r="781">
      <c r="A781" s="129" t="n"/>
      <c r="B781" s="93" t="n"/>
      <c r="C781" s="142" t="n"/>
    </row>
    <row r="782">
      <c r="A782" s="129" t="n"/>
      <c r="B782" s="93" t="n"/>
      <c r="C782" s="142" t="n"/>
    </row>
    <row r="783">
      <c r="A783" s="129" t="n"/>
      <c r="B783" s="93" t="n"/>
      <c r="C783" s="142" t="n"/>
    </row>
    <row r="784">
      <c r="A784" s="129" t="n"/>
      <c r="B784" s="93" t="n"/>
      <c r="C784" s="142" t="n"/>
    </row>
    <row r="785">
      <c r="A785" s="129" t="n"/>
      <c r="B785" s="93" t="n"/>
      <c r="C785" s="142" t="n"/>
    </row>
    <row r="786">
      <c r="A786" s="129" t="n"/>
      <c r="B786" s="93" t="n"/>
      <c r="C786" s="142" t="n"/>
    </row>
    <row r="787">
      <c r="A787" s="129" t="n"/>
      <c r="B787" s="93" t="n"/>
      <c r="C787" s="142" t="n"/>
    </row>
    <row r="788">
      <c r="A788" s="129" t="n"/>
      <c r="B788" s="93" t="n"/>
      <c r="C788" s="142" t="n"/>
    </row>
    <row r="789">
      <c r="A789" s="129" t="n"/>
      <c r="B789" s="93" t="n"/>
      <c r="C789" s="142" t="n"/>
    </row>
    <row r="790">
      <c r="A790" s="129" t="n"/>
      <c r="B790" s="93" t="n"/>
      <c r="C790" s="142" t="n"/>
    </row>
    <row r="791">
      <c r="A791" s="129" t="n"/>
      <c r="B791" s="93" t="n"/>
      <c r="C791" s="142" t="n"/>
    </row>
    <row r="792">
      <c r="A792" s="129" t="n"/>
      <c r="B792" s="93" t="n"/>
      <c r="C792" s="142" t="n"/>
    </row>
    <row r="793">
      <c r="A793" s="129" t="n"/>
      <c r="B793" s="93" t="n"/>
      <c r="C793" s="142" t="n"/>
    </row>
    <row r="794">
      <c r="A794" s="129" t="n"/>
      <c r="B794" s="93" t="n"/>
      <c r="C794" s="142" t="n"/>
    </row>
    <row r="795">
      <c r="A795" s="129" t="n"/>
      <c r="B795" s="93" t="n"/>
      <c r="C795" s="142" t="n"/>
    </row>
    <row r="796">
      <c r="A796" s="129" t="n"/>
      <c r="B796" s="93" t="n"/>
      <c r="C796" s="142" t="n"/>
    </row>
    <row r="797">
      <c r="A797" s="129" t="n"/>
      <c r="B797" s="93" t="n"/>
      <c r="C797" s="142" t="n"/>
    </row>
    <row r="798">
      <c r="A798" s="129" t="n"/>
      <c r="B798" s="93" t="n"/>
      <c r="C798" s="142" t="n"/>
    </row>
    <row r="799">
      <c r="A799" s="129" t="n"/>
      <c r="B799" s="93" t="n"/>
      <c r="C799" s="142" t="n"/>
    </row>
    <row r="800">
      <c r="A800" s="129" t="n"/>
      <c r="B800" s="93" t="n"/>
      <c r="C800" s="142" t="n"/>
    </row>
    <row r="801">
      <c r="A801" s="129" t="n"/>
      <c r="B801" s="93" t="n"/>
      <c r="C801" s="142" t="n"/>
    </row>
    <row r="802">
      <c r="A802" s="129" t="n"/>
      <c r="B802" s="93" t="n"/>
      <c r="C802" s="142" t="n"/>
    </row>
    <row r="803">
      <c r="A803" s="129" t="n"/>
      <c r="B803" s="93" t="n"/>
      <c r="C803" s="142" t="n"/>
    </row>
    <row r="804">
      <c r="A804" s="129" t="n"/>
      <c r="B804" s="93" t="n"/>
      <c r="C804" s="142" t="n"/>
    </row>
    <row r="805">
      <c r="A805" s="129" t="n"/>
      <c r="B805" s="93" t="n"/>
      <c r="C805" s="142" t="n"/>
    </row>
    <row r="806">
      <c r="A806" s="129" t="n"/>
      <c r="B806" s="93" t="n"/>
      <c r="C806" s="142" t="n"/>
    </row>
    <row r="807">
      <c r="A807" s="129" t="n"/>
      <c r="B807" s="93" t="n"/>
      <c r="C807" s="142" t="n"/>
    </row>
    <row r="808">
      <c r="A808" s="129" t="n"/>
      <c r="B808" s="93" t="n"/>
      <c r="C808" s="142" t="n"/>
    </row>
    <row r="809">
      <c r="A809" s="129" t="n"/>
      <c r="B809" s="93" t="n"/>
      <c r="C809" s="142" t="n"/>
    </row>
    <row r="810">
      <c r="A810" s="129" t="n"/>
      <c r="B810" s="93" t="n"/>
      <c r="C810" s="142" t="n"/>
    </row>
    <row r="811">
      <c r="A811" s="129" t="n"/>
      <c r="B811" s="93" t="n"/>
      <c r="C811" s="142" t="n"/>
    </row>
    <row r="812">
      <c r="A812" s="129" t="n"/>
      <c r="B812" s="93" t="n"/>
      <c r="C812" s="142" t="n"/>
    </row>
    <row r="813">
      <c r="A813" s="129" t="n"/>
      <c r="B813" s="93" t="n"/>
      <c r="C813" s="142" t="n"/>
    </row>
    <row r="814">
      <c r="A814" s="129" t="n"/>
      <c r="B814" s="93" t="n"/>
      <c r="C814" s="142" t="n"/>
    </row>
    <row r="815">
      <c r="A815" s="129" t="n"/>
      <c r="B815" s="93" t="n"/>
      <c r="C815" s="142" t="n"/>
    </row>
    <row r="816">
      <c r="A816" s="129" t="n"/>
      <c r="B816" s="93" t="n"/>
      <c r="C816" s="142" t="n"/>
    </row>
    <row r="817">
      <c r="A817" s="129" t="n"/>
      <c r="B817" s="93" t="n"/>
      <c r="C817" s="142" t="n"/>
    </row>
    <row r="818">
      <c r="A818" s="129" t="n"/>
      <c r="B818" s="93" t="n"/>
      <c r="C818" s="142" t="n"/>
    </row>
    <row r="819">
      <c r="A819" s="129" t="n"/>
      <c r="B819" s="93" t="n"/>
      <c r="C819" s="142" t="n"/>
    </row>
    <row r="820">
      <c r="A820" s="129" t="n"/>
      <c r="B820" s="93" t="n"/>
      <c r="C820" s="142" t="n"/>
    </row>
    <row r="821">
      <c r="A821" s="129" t="n"/>
      <c r="B821" s="93" t="n"/>
      <c r="C821" s="142" t="n"/>
    </row>
    <row r="822">
      <c r="A822" s="129" t="n"/>
      <c r="B822" s="93" t="n"/>
      <c r="C822" s="142" t="n"/>
    </row>
    <row r="823">
      <c r="A823" s="129" t="n"/>
      <c r="B823" s="93" t="n"/>
      <c r="C823" s="142" t="n"/>
    </row>
    <row r="824">
      <c r="A824" s="129" t="n"/>
      <c r="B824" s="93" t="n"/>
      <c r="C824" s="142" t="n"/>
    </row>
    <row r="825">
      <c r="A825" s="129" t="n"/>
      <c r="B825" s="93" t="n"/>
      <c r="C825" s="142" t="n"/>
    </row>
    <row r="826">
      <c r="A826" s="129" t="n"/>
      <c r="B826" s="93" t="n"/>
      <c r="C826" s="142" t="n"/>
    </row>
    <row r="827">
      <c r="A827" s="129" t="n"/>
      <c r="B827" s="93" t="n"/>
      <c r="C827" s="142" t="n"/>
    </row>
    <row r="828">
      <c r="A828" s="129" t="n"/>
      <c r="B828" s="93" t="n"/>
      <c r="C828" s="142" t="n"/>
    </row>
    <row r="829">
      <c r="A829" s="129" t="n"/>
      <c r="B829" s="93" t="n"/>
      <c r="C829" s="142" t="n"/>
    </row>
    <row r="830">
      <c r="A830" s="129" t="n"/>
      <c r="B830" s="93" t="n"/>
      <c r="C830" s="142" t="n"/>
    </row>
    <row r="831">
      <c r="A831" s="129" t="n"/>
      <c r="B831" s="93" t="n"/>
      <c r="C831" s="142" t="n"/>
    </row>
    <row r="832">
      <c r="A832" s="129" t="n"/>
      <c r="B832" s="93" t="n"/>
      <c r="C832" s="142" t="n"/>
    </row>
    <row r="833">
      <c r="A833" s="129" t="n"/>
      <c r="B833" s="93" t="n"/>
      <c r="C833" s="142" t="n"/>
    </row>
    <row r="834">
      <c r="A834" s="129" t="n"/>
      <c r="B834" s="93" t="n"/>
      <c r="C834" s="142" t="n"/>
    </row>
    <row r="835">
      <c r="A835" s="129" t="n"/>
      <c r="B835" s="93" t="n"/>
      <c r="C835" s="142" t="n"/>
    </row>
    <row r="836">
      <c r="A836" s="129" t="n"/>
      <c r="B836" s="93" t="n"/>
      <c r="C836" s="142" t="n"/>
    </row>
    <row r="837">
      <c r="A837" s="129" t="n"/>
      <c r="B837" s="93" t="n"/>
      <c r="C837" s="142" t="n"/>
    </row>
    <row r="838">
      <c r="A838" s="129" t="n"/>
      <c r="B838" s="93" t="n"/>
      <c r="C838" s="142" t="n"/>
    </row>
    <row r="839">
      <c r="A839" s="129" t="n"/>
      <c r="B839" s="93" t="n"/>
      <c r="C839" s="142" t="n"/>
    </row>
    <row r="840">
      <c r="A840" s="129" t="n"/>
      <c r="B840" s="93" t="n"/>
      <c r="C840" s="142" t="n"/>
    </row>
    <row r="841">
      <c r="A841" s="129" t="n"/>
      <c r="B841" s="93" t="n"/>
      <c r="C841" s="142" t="n"/>
    </row>
    <row r="842">
      <c r="A842" s="129" t="n"/>
      <c r="B842" s="93" t="n"/>
      <c r="C842" s="142" t="n"/>
    </row>
    <row r="843">
      <c r="A843" s="129" t="n"/>
      <c r="B843" s="93" t="n"/>
      <c r="C843" s="142" t="n"/>
    </row>
    <row r="844">
      <c r="A844" s="129" t="n"/>
      <c r="B844" s="93" t="n"/>
      <c r="C844" s="142" t="n"/>
    </row>
    <row r="845">
      <c r="A845" s="129" t="n"/>
      <c r="B845" s="93" t="n"/>
      <c r="C845" s="142" t="n"/>
    </row>
    <row r="846">
      <c r="A846" s="129" t="n"/>
      <c r="B846" s="93" t="n"/>
      <c r="C846" s="142" t="n"/>
    </row>
    <row r="847">
      <c r="A847" s="129" t="n"/>
      <c r="B847" s="93" t="n"/>
      <c r="C847" s="142" t="n"/>
    </row>
    <row r="848">
      <c r="A848" s="129" t="n"/>
      <c r="B848" s="93" t="n"/>
      <c r="C848" s="142" t="n"/>
    </row>
    <row r="849">
      <c r="A849" s="129" t="n"/>
      <c r="B849" s="93" t="n"/>
      <c r="C849" s="142" t="n"/>
    </row>
    <row r="850">
      <c r="A850" s="129" t="n"/>
      <c r="B850" s="93" t="n"/>
      <c r="C850" s="142" t="n"/>
    </row>
    <row r="851">
      <c r="A851" s="129" t="n"/>
      <c r="B851" s="93" t="n"/>
      <c r="C851" s="142" t="n"/>
    </row>
    <row r="852">
      <c r="A852" s="129" t="n"/>
      <c r="B852" s="93" t="n"/>
      <c r="C852" s="142" t="n"/>
    </row>
    <row r="853">
      <c r="A853" s="129" t="n"/>
      <c r="B853" s="93" t="n"/>
      <c r="C853" s="142" t="n"/>
    </row>
    <row r="854">
      <c r="A854" s="129" t="n"/>
      <c r="B854" s="93" t="n"/>
      <c r="C854" s="142" t="n"/>
    </row>
    <row r="855">
      <c r="A855" s="129" t="n"/>
      <c r="B855" s="93" t="n"/>
      <c r="C855" s="142" t="n"/>
    </row>
    <row r="856">
      <c r="A856" s="129" t="n"/>
      <c r="B856" s="93" t="n"/>
      <c r="C856" s="142" t="n"/>
    </row>
    <row r="857">
      <c r="A857" s="129" t="n"/>
      <c r="B857" s="93" t="n"/>
      <c r="C857" s="142" t="n"/>
    </row>
    <row r="858">
      <c r="A858" s="129" t="n"/>
      <c r="B858" s="93" t="n"/>
      <c r="C858" s="142" t="n"/>
    </row>
    <row r="859">
      <c r="A859" s="129" t="n"/>
      <c r="B859" s="93" t="n"/>
      <c r="C859" s="142" t="n"/>
    </row>
    <row r="860">
      <c r="A860" s="129" t="n"/>
      <c r="B860" s="93" t="n"/>
      <c r="C860" s="142" t="n"/>
    </row>
    <row r="861">
      <c r="A861" s="129" t="n"/>
      <c r="B861" s="93" t="n"/>
      <c r="C861" s="142" t="n"/>
    </row>
    <row r="862">
      <c r="A862" s="129" t="n"/>
      <c r="B862" s="93" t="n"/>
      <c r="C862" s="142" t="n"/>
    </row>
    <row r="863">
      <c r="A863" s="129" t="n"/>
      <c r="B863" s="93" t="n"/>
      <c r="C863" s="142" t="n"/>
    </row>
    <row r="864">
      <c r="A864" s="129" t="n"/>
      <c r="B864" s="93" t="n"/>
      <c r="C864" s="142" t="n"/>
    </row>
    <row r="865">
      <c r="A865" s="129" t="n"/>
      <c r="B865" s="93" t="n"/>
      <c r="C865" s="142" t="n"/>
    </row>
    <row r="866">
      <c r="A866" s="129" t="n"/>
      <c r="B866" s="93" t="n"/>
      <c r="C866" s="142" t="n"/>
    </row>
    <row r="867">
      <c r="A867" s="129" t="n"/>
      <c r="B867" s="93" t="n"/>
      <c r="C867" s="142" t="n"/>
    </row>
    <row r="868">
      <c r="A868" s="129" t="n"/>
      <c r="B868" s="93" t="n"/>
      <c r="C868" s="142" t="n"/>
    </row>
    <row r="869">
      <c r="A869" s="129" t="n"/>
      <c r="B869" s="93" t="n"/>
      <c r="C869" s="142" t="n"/>
    </row>
    <row r="870">
      <c r="A870" s="129" t="n"/>
      <c r="B870" s="93" t="n"/>
      <c r="C870" s="142" t="n"/>
    </row>
    <row r="871">
      <c r="A871" s="129" t="n"/>
      <c r="B871" s="93" t="n"/>
      <c r="C871" s="142" t="n"/>
    </row>
    <row r="872">
      <c r="A872" s="129" t="n"/>
      <c r="B872" s="93" t="n"/>
      <c r="C872" s="142" t="n"/>
    </row>
    <row r="873">
      <c r="A873" s="129" t="n"/>
      <c r="B873" s="93" t="n"/>
      <c r="C873" s="142" t="n"/>
    </row>
    <row r="874">
      <c r="A874" s="129" t="n"/>
      <c r="B874" s="93" t="n"/>
      <c r="C874" s="142" t="n"/>
    </row>
    <row r="875">
      <c r="A875" s="129" t="n"/>
      <c r="B875" s="93" t="n"/>
      <c r="C875" s="142" t="n"/>
    </row>
    <row r="876">
      <c r="A876" s="129" t="n"/>
      <c r="B876" s="93" t="n"/>
      <c r="C876" s="142" t="n"/>
    </row>
    <row r="877">
      <c r="A877" s="129" t="n"/>
      <c r="B877" s="93" t="n"/>
      <c r="C877" s="142" t="n"/>
    </row>
    <row r="878">
      <c r="A878" s="129" t="n"/>
      <c r="B878" s="93" t="n"/>
      <c r="C878" s="142" t="n"/>
    </row>
    <row r="879">
      <c r="A879" s="129" t="n"/>
      <c r="B879" s="93" t="n"/>
      <c r="C879" s="142" t="n"/>
    </row>
    <row r="880">
      <c r="A880" s="129" t="n"/>
      <c r="B880" s="93" t="n"/>
      <c r="C880" s="142" t="n"/>
    </row>
    <row r="881">
      <c r="A881" s="129" t="n"/>
      <c r="B881" s="93" t="n"/>
      <c r="C881" s="142" t="n"/>
    </row>
    <row r="882">
      <c r="A882" s="129" t="n"/>
      <c r="B882" s="93" t="n"/>
      <c r="C882" s="142" t="n"/>
    </row>
    <row r="883">
      <c r="A883" s="129" t="n"/>
      <c r="B883" s="93" t="n"/>
      <c r="C883" s="142" t="n"/>
    </row>
    <row r="884">
      <c r="A884" s="129" t="n"/>
      <c r="B884" s="93" t="n"/>
      <c r="C884" s="142" t="n"/>
    </row>
    <row r="885">
      <c r="A885" s="129" t="n"/>
      <c r="B885" s="93" t="n"/>
      <c r="C885" s="142" t="n"/>
    </row>
    <row r="886">
      <c r="A886" s="129" t="n"/>
      <c r="B886" s="93" t="n"/>
      <c r="C886" s="142" t="n"/>
    </row>
    <row r="887">
      <c r="A887" s="129" t="n"/>
      <c r="B887" s="93" t="n"/>
      <c r="C887" s="142" t="n"/>
    </row>
    <row r="888">
      <c r="A888" s="129" t="n"/>
      <c r="B888" s="93" t="n"/>
      <c r="C888" s="142" t="n"/>
    </row>
    <row r="889">
      <c r="A889" s="129" t="n"/>
      <c r="B889" s="93" t="n"/>
      <c r="C889" s="142" t="n"/>
    </row>
    <row r="890">
      <c r="A890" s="129" t="n"/>
      <c r="B890" s="93" t="n"/>
      <c r="C890" s="142" t="n"/>
    </row>
    <row r="891">
      <c r="A891" s="129" t="n"/>
      <c r="B891" s="93" t="n"/>
      <c r="C891" s="142" t="n"/>
    </row>
    <row r="892">
      <c r="A892" s="129" t="n"/>
      <c r="B892" s="93" t="n"/>
      <c r="C892" s="142" t="n"/>
    </row>
    <row r="893">
      <c r="A893" s="129" t="n"/>
      <c r="B893" s="93" t="n"/>
      <c r="C893" s="142" t="n"/>
    </row>
    <row r="894">
      <c r="A894" s="129" t="n"/>
      <c r="B894" s="93" t="n"/>
      <c r="C894" s="142" t="n"/>
    </row>
    <row r="895">
      <c r="A895" s="129" t="n"/>
      <c r="B895" s="93" t="n"/>
      <c r="C895" s="142" t="n"/>
    </row>
    <row r="896">
      <c r="A896" s="129" t="n"/>
      <c r="B896" s="93" t="n"/>
      <c r="C896" s="142" t="n"/>
    </row>
    <row r="897">
      <c r="A897" s="129" t="n"/>
      <c r="B897" s="93" t="n"/>
      <c r="C897" s="142" t="n"/>
    </row>
    <row r="898">
      <c r="A898" s="129" t="n"/>
      <c r="B898" s="93" t="n"/>
      <c r="C898" s="142" t="n"/>
    </row>
    <row r="899">
      <c r="A899" s="129" t="n"/>
      <c r="B899" s="93" t="n"/>
      <c r="C899" s="142" t="n"/>
    </row>
    <row r="900">
      <c r="A900" s="129" t="n"/>
      <c r="B900" s="93" t="n"/>
      <c r="C900" s="142" t="n"/>
    </row>
    <row r="901">
      <c r="A901" s="129" t="n"/>
      <c r="B901" s="93" t="n"/>
      <c r="C901" s="142" t="n"/>
    </row>
    <row r="902">
      <c r="A902" s="129" t="n"/>
      <c r="B902" s="93" t="n"/>
      <c r="C902" s="142" t="n"/>
    </row>
    <row r="903">
      <c r="A903" s="129" t="n"/>
      <c r="B903" s="93" t="n"/>
      <c r="C903" s="142" t="n"/>
    </row>
    <row r="904">
      <c r="A904" s="129" t="n"/>
      <c r="B904" s="93" t="n"/>
      <c r="C904" s="142" t="n"/>
    </row>
    <row r="905">
      <c r="A905" s="129" t="n"/>
      <c r="B905" s="93" t="n"/>
      <c r="C905" s="142" t="n"/>
    </row>
    <row r="906">
      <c r="A906" s="129" t="n"/>
      <c r="B906" s="93" t="n"/>
      <c r="C906" s="142" t="n"/>
    </row>
    <row r="907">
      <c r="A907" s="129" t="n"/>
      <c r="B907" s="93" t="n"/>
      <c r="C907" s="142" t="n"/>
    </row>
    <row r="908">
      <c r="A908" s="129" t="n"/>
      <c r="B908" s="93" t="n"/>
      <c r="C908" s="142" t="n"/>
    </row>
    <row r="909">
      <c r="A909" s="129" t="n"/>
      <c r="B909" s="93" t="n"/>
      <c r="C909" s="142" t="n"/>
    </row>
    <row r="910">
      <c r="A910" s="129" t="n"/>
      <c r="B910" s="93" t="n"/>
      <c r="C910" s="142" t="n"/>
    </row>
    <row r="911">
      <c r="A911" s="129" t="n"/>
      <c r="B911" s="93" t="n"/>
      <c r="C911" s="142" t="n"/>
    </row>
    <row r="912">
      <c r="A912" s="129" t="n"/>
      <c r="B912" s="93" t="n"/>
      <c r="C912" s="142" t="n"/>
    </row>
    <row r="913">
      <c r="A913" s="129" t="n"/>
      <c r="B913" s="93" t="n"/>
      <c r="C913" s="142" t="n"/>
    </row>
    <row r="914">
      <c r="A914" s="129" t="n"/>
      <c r="B914" s="93" t="n"/>
      <c r="C914" s="142" t="n"/>
    </row>
    <row r="915">
      <c r="A915" s="129" t="n"/>
      <c r="B915" s="93" t="n"/>
      <c r="C915" s="142" t="n"/>
    </row>
    <row r="916">
      <c r="A916" s="129" t="n"/>
      <c r="B916" s="93" t="n"/>
      <c r="C916" s="142" t="n"/>
    </row>
    <row r="917">
      <c r="A917" s="129" t="n"/>
      <c r="B917" s="93" t="n"/>
      <c r="C917" s="142" t="n"/>
    </row>
    <row r="918">
      <c r="A918" s="129" t="n"/>
      <c r="B918" s="93" t="n"/>
      <c r="C918" s="142" t="n"/>
    </row>
    <row r="919">
      <c r="A919" s="129" t="n"/>
      <c r="B919" s="93" t="n"/>
      <c r="C919" s="142" t="n"/>
    </row>
    <row r="920">
      <c r="A920" s="129" t="n"/>
      <c r="B920" s="93" t="n"/>
      <c r="C920" s="142" t="n"/>
    </row>
    <row r="921">
      <c r="A921" s="129" t="n"/>
      <c r="B921" s="93" t="n"/>
      <c r="C921" s="142" t="n"/>
    </row>
    <row r="922">
      <c r="A922" s="129" t="n"/>
      <c r="B922" s="93" t="n"/>
      <c r="C922" s="142" t="n"/>
    </row>
    <row r="923">
      <c r="A923" s="129" t="n"/>
      <c r="B923" s="93" t="n"/>
      <c r="C923" s="142" t="n"/>
    </row>
    <row r="924">
      <c r="A924" s="129" t="n"/>
      <c r="B924" s="93" t="n"/>
      <c r="C924" s="142" t="n"/>
    </row>
    <row r="925">
      <c r="A925" s="129" t="n"/>
      <c r="B925" s="93" t="n"/>
      <c r="C925" s="142" t="n"/>
    </row>
    <row r="926">
      <c r="A926" s="129" t="n"/>
      <c r="B926" s="93" t="n"/>
      <c r="C926" s="142" t="n"/>
    </row>
    <row r="927">
      <c r="A927" s="129" t="n"/>
      <c r="B927" s="93" t="n"/>
      <c r="C927" s="142" t="n"/>
    </row>
    <row r="928">
      <c r="A928" s="129" t="n"/>
      <c r="B928" s="93" t="n"/>
      <c r="C928" s="142" t="n"/>
    </row>
    <row r="929">
      <c r="A929" s="129" t="n"/>
      <c r="B929" s="93" t="n"/>
      <c r="C929" s="142" t="n"/>
    </row>
    <row r="930">
      <c r="A930" s="129" t="n"/>
      <c r="B930" s="93" t="n"/>
      <c r="C930" s="142" t="n"/>
    </row>
    <row r="931">
      <c r="A931" s="129" t="n"/>
      <c r="B931" s="93" t="n"/>
      <c r="C931" s="142" t="n"/>
    </row>
    <row r="932">
      <c r="A932" s="129" t="n"/>
      <c r="B932" s="93" t="n"/>
      <c r="C932" s="142" t="n"/>
    </row>
    <row r="933">
      <c r="A933" s="129" t="n"/>
      <c r="B933" s="93" t="n"/>
      <c r="C933" s="142" t="n"/>
    </row>
    <row r="934">
      <c r="A934" s="129" t="n"/>
      <c r="B934" s="93" t="n"/>
      <c r="C934" s="142" t="n"/>
    </row>
    <row r="935">
      <c r="A935" s="129" t="n"/>
      <c r="B935" s="93" t="n"/>
      <c r="C935" s="142" t="n"/>
    </row>
    <row r="936">
      <c r="A936" s="129" t="n"/>
      <c r="B936" s="93" t="n"/>
      <c r="C936" s="142" t="n"/>
    </row>
    <row r="937">
      <c r="A937" s="129" t="n"/>
      <c r="B937" s="93" t="n"/>
      <c r="C937" s="142" t="n"/>
    </row>
    <row r="938">
      <c r="A938" s="129" t="n"/>
      <c r="B938" s="93" t="n"/>
      <c r="C938" s="142" t="n"/>
    </row>
    <row r="939">
      <c r="A939" s="129" t="n"/>
      <c r="B939" s="93" t="n"/>
      <c r="C939" s="142" t="n"/>
    </row>
    <row r="940">
      <c r="A940" s="129" t="n"/>
      <c r="B940" s="93" t="n"/>
      <c r="C940" s="142" t="n"/>
    </row>
    <row r="941">
      <c r="A941" s="129" t="n"/>
      <c r="B941" s="93" t="n"/>
      <c r="C941" s="142" t="n"/>
    </row>
    <row r="942">
      <c r="A942" s="129" t="n"/>
      <c r="B942" s="93" t="n"/>
      <c r="C942" s="142" t="n"/>
    </row>
    <row r="943">
      <c r="A943" s="129" t="n"/>
      <c r="B943" s="93" t="n"/>
      <c r="C943" s="142" t="n"/>
    </row>
    <row r="944">
      <c r="A944" s="129" t="n"/>
      <c r="B944" s="93" t="n"/>
      <c r="C944" s="142" t="n"/>
    </row>
    <row r="945">
      <c r="A945" s="129" t="n"/>
      <c r="B945" s="93" t="n"/>
      <c r="C945" s="142" t="n"/>
    </row>
    <row r="946">
      <c r="A946" s="129" t="n"/>
      <c r="B946" s="93" t="n"/>
      <c r="C946" s="142" t="n"/>
    </row>
    <row r="947">
      <c r="A947" s="129" t="n"/>
      <c r="B947" s="93" t="n"/>
      <c r="C947" s="142" t="n"/>
    </row>
    <row r="948">
      <c r="A948" s="129" t="n"/>
      <c r="B948" s="93" t="n"/>
      <c r="C948" s="142" t="n"/>
    </row>
    <row r="949">
      <c r="A949" s="129" t="n"/>
      <c r="B949" s="93" t="n"/>
      <c r="C949" s="142" t="n"/>
    </row>
    <row r="950">
      <c r="A950" s="129" t="n"/>
      <c r="B950" s="93" t="n"/>
      <c r="C950" s="142" t="n"/>
    </row>
    <row r="951">
      <c r="A951" s="129" t="n"/>
      <c r="B951" s="93" t="n"/>
      <c r="C951" s="142" t="n"/>
    </row>
    <row r="952">
      <c r="A952" s="129" t="n"/>
      <c r="B952" s="93" t="n"/>
      <c r="C952" s="142" t="n"/>
    </row>
    <row r="953">
      <c r="A953" s="129" t="n"/>
      <c r="B953" s="93" t="n"/>
      <c r="C953" s="142" t="n"/>
    </row>
    <row r="954">
      <c r="A954" s="129" t="n"/>
      <c r="B954" s="93" t="n"/>
      <c r="C954" s="142" t="n"/>
    </row>
    <row r="955">
      <c r="A955" s="129" t="n"/>
      <c r="B955" s="93" t="n"/>
      <c r="C955" s="142" t="n"/>
    </row>
    <row r="956">
      <c r="A956" s="129" t="n"/>
      <c r="B956" s="93" t="n"/>
      <c r="C956" s="142" t="n"/>
    </row>
    <row r="957">
      <c r="A957" s="129" t="n"/>
      <c r="B957" s="93" t="n"/>
      <c r="C957" s="142" t="n"/>
    </row>
    <row r="958">
      <c r="A958" s="129" t="n"/>
      <c r="B958" s="93" t="n"/>
      <c r="C958" s="142" t="n"/>
    </row>
    <row r="959">
      <c r="A959" s="129" t="n"/>
      <c r="B959" s="93" t="n"/>
      <c r="C959" s="142" t="n"/>
    </row>
    <row r="960">
      <c r="A960" s="129" t="n"/>
      <c r="B960" s="93" t="n"/>
      <c r="C960" s="142" t="n"/>
    </row>
    <row r="961">
      <c r="A961" s="129" t="n"/>
      <c r="B961" s="93" t="n"/>
      <c r="C961" s="142" t="n"/>
    </row>
    <row r="962">
      <c r="A962" s="129" t="n"/>
      <c r="B962" s="93" t="n"/>
      <c r="C962" s="142" t="n"/>
    </row>
    <row r="963">
      <c r="A963" s="129" t="n"/>
      <c r="B963" s="93" t="n"/>
      <c r="C963" s="142" t="n"/>
    </row>
    <row r="964">
      <c r="A964" s="129" t="n"/>
      <c r="B964" s="93" t="n"/>
      <c r="C964" s="142" t="n"/>
    </row>
    <row r="965">
      <c r="A965" s="129" t="n"/>
      <c r="B965" s="93" t="n"/>
      <c r="C965" s="142" t="n"/>
    </row>
    <row r="966">
      <c r="A966" s="129" t="n"/>
      <c r="B966" s="93" t="n"/>
      <c r="C966" s="142" t="n"/>
    </row>
    <row r="967">
      <c r="A967" s="129" t="n"/>
      <c r="B967" s="93" t="n"/>
      <c r="C967" s="142" t="n"/>
    </row>
    <row r="968">
      <c r="A968" s="129" t="n"/>
      <c r="B968" s="93" t="n"/>
      <c r="C968" s="142" t="n"/>
    </row>
    <row r="969">
      <c r="A969" s="129" t="n"/>
      <c r="B969" s="93" t="n"/>
      <c r="C969" s="142" t="n"/>
    </row>
    <row r="970">
      <c r="A970" s="129" t="n"/>
      <c r="B970" s="93" t="n"/>
      <c r="C970" s="142" t="n"/>
    </row>
    <row r="971">
      <c r="A971" s="129" t="n"/>
      <c r="B971" s="93" t="n"/>
      <c r="C971" s="142" t="n"/>
    </row>
    <row r="972">
      <c r="A972" s="129" t="n"/>
      <c r="B972" s="93" t="n"/>
      <c r="C972" s="142" t="n"/>
    </row>
    <row r="973">
      <c r="A973" s="129" t="n"/>
      <c r="B973" s="93" t="n"/>
      <c r="C973" s="142" t="n"/>
    </row>
    <row r="974">
      <c r="A974" s="129" t="n"/>
      <c r="B974" s="93" t="n"/>
      <c r="C974" s="142" t="n"/>
    </row>
    <row r="975">
      <c r="A975" s="129" t="n"/>
      <c r="B975" s="93" t="n"/>
      <c r="C975" s="142" t="n"/>
    </row>
    <row r="976">
      <c r="A976" s="129" t="n"/>
      <c r="B976" s="93" t="n"/>
      <c r="C976" s="142" t="n"/>
    </row>
    <row r="977">
      <c r="A977" s="129" t="n"/>
      <c r="B977" s="93" t="n"/>
      <c r="C977" s="142" t="n"/>
    </row>
    <row r="978">
      <c r="A978" s="129" t="n"/>
      <c r="B978" s="93" t="n"/>
      <c r="C978" s="142" t="n"/>
    </row>
    <row r="979">
      <c r="A979" s="129" t="n"/>
      <c r="B979" s="93" t="n"/>
      <c r="C979" s="142" t="n"/>
    </row>
    <row r="980">
      <c r="A980" s="129" t="n"/>
      <c r="B980" s="93" t="n"/>
      <c r="C980" s="142" t="n"/>
    </row>
    <row r="981">
      <c r="A981" s="129" t="n"/>
      <c r="B981" s="93" t="n"/>
      <c r="C981" s="142" t="n"/>
    </row>
    <row r="982">
      <c r="A982" s="129" t="n"/>
      <c r="B982" s="93" t="n"/>
      <c r="C982" s="142" t="n"/>
    </row>
    <row r="983">
      <c r="A983" s="129" t="n"/>
      <c r="B983" s="93" t="n"/>
      <c r="C983" s="142" t="n"/>
    </row>
    <row r="984">
      <c r="A984" s="129" t="n"/>
      <c r="B984" s="93" t="n"/>
      <c r="C984" s="142" t="n"/>
    </row>
    <row r="985">
      <c r="A985" s="129" t="n"/>
      <c r="B985" s="93" t="n"/>
      <c r="C985" s="142" t="n"/>
    </row>
    <row r="986">
      <c r="A986" s="129" t="n"/>
      <c r="B986" s="93" t="n"/>
      <c r="C986" s="142" t="n"/>
    </row>
    <row r="987">
      <c r="A987" s="129" t="n"/>
      <c r="B987" s="93" t="n"/>
      <c r="C987" s="142" t="n"/>
    </row>
    <row r="988">
      <c r="A988" s="129" t="n"/>
      <c r="B988" s="93" t="n"/>
      <c r="C988" s="142" t="n"/>
    </row>
    <row r="989">
      <c r="A989" s="129" t="n"/>
      <c r="B989" s="93" t="n"/>
      <c r="C989" s="142" t="n"/>
    </row>
    <row r="990">
      <c r="A990" s="129" t="n"/>
      <c r="B990" s="93" t="n"/>
      <c r="C990" s="142" t="n"/>
    </row>
    <row r="991">
      <c r="A991" s="129" t="n"/>
      <c r="B991" s="93" t="n"/>
      <c r="C991" s="142" t="n"/>
    </row>
    <row r="992">
      <c r="A992" s="129" t="n"/>
      <c r="B992" s="93" t="n"/>
      <c r="C992" s="142" t="n"/>
    </row>
    <row r="993">
      <c r="A993" s="129" t="n"/>
      <c r="B993" s="93" t="n"/>
      <c r="C993" s="142" t="n"/>
    </row>
    <row r="994">
      <c r="A994" s="129" t="n"/>
      <c r="B994" s="93" t="n"/>
      <c r="C994" s="142" t="n"/>
    </row>
    <row r="995">
      <c r="A995" s="129" t="n"/>
      <c r="B995" s="93" t="n"/>
      <c r="C995" s="142" t="n"/>
    </row>
    <row r="996">
      <c r="A996" s="129" t="n"/>
      <c r="B996" s="93" t="n"/>
      <c r="C996" s="142" t="n"/>
    </row>
    <row r="997">
      <c r="A997" s="129" t="n"/>
      <c r="B997" s="93" t="n"/>
      <c r="C997" s="142" t="n"/>
    </row>
    <row r="998">
      <c r="A998" s="129" t="n"/>
      <c r="B998" s="93" t="n"/>
      <c r="C998" s="142" t="n"/>
    </row>
    <row r="999">
      <c r="A999" s="129" t="n"/>
      <c r="B999" s="93" t="n"/>
      <c r="C999" s="142" t="n"/>
    </row>
    <row r="1000">
      <c r="A1000" s="129" t="n"/>
      <c r="B1000" s="93" t="n"/>
      <c r="C1000" s="142" t="n"/>
    </row>
    <row r="1001">
      <c r="A1001" s="129" t="n"/>
      <c r="B1001" s="93" t="n"/>
      <c r="C1001" s="142" t="n"/>
    </row>
    <row r="1002">
      <c r="A1002" s="129" t="n"/>
      <c r="B1002" s="93" t="n"/>
      <c r="C1002" s="142" t="n"/>
    </row>
    <row r="1003">
      <c r="A1003" s="129" t="n"/>
      <c r="B1003" s="93" t="n"/>
      <c r="C1003" s="142" t="n"/>
    </row>
    <row r="1004">
      <c r="A1004" s="129" t="n"/>
      <c r="B1004" s="93" t="n"/>
      <c r="C1004" s="142" t="n"/>
    </row>
  </sheetData>
  <autoFilter ref="A4:C100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O61"/>
  <sheetViews>
    <sheetView showFormulas="0" showGridLines="0" showRowColHeaders="1" showZeros="1" rightToLeft="0" tabSelected="0" showOutlineSymbols="1" defaultGridColor="1" view="normal" topLeftCell="A1" colorId="64" zoomScale="100" zoomScaleNormal="100" zoomScalePageLayoutView="100" workbookViewId="0">
      <pane xSplit="1" ySplit="5" topLeftCell="I14" activePane="bottomRight" state="frozen"/>
      <selection pane="topLeft" activeCell="A1" activeCellId="0" sqref="A1"/>
      <selection pane="topRight" activeCell="I1" activeCellId="0" sqref="I1"/>
      <selection pane="bottomLeft" activeCell="A14" activeCellId="0" sqref="A14"/>
      <selection pane="bottomRight" activeCell="J27" activeCellId="0" sqref="J27"/>
    </sheetView>
  </sheetViews>
  <sheetFormatPr baseColWidth="8" defaultColWidth="8.7421875" defaultRowHeight="15" zeroHeight="0" outlineLevelRow="0"/>
  <cols>
    <col width="25.97" customWidth="1" style="93" min="1" max="1"/>
    <col width="13.99" customWidth="1" style="93" min="2" max="8"/>
    <col width="69.95" customWidth="1" style="93" min="9" max="9"/>
    <col width="13.99" customWidth="1" style="93" min="10" max="15"/>
  </cols>
  <sheetData>
    <row r="1" ht="30" customHeight="1" s="94">
      <c r="A1" s="95" t="inlineStr">
        <is>
          <t>SALDO AKUN — ASAL-USUL SETIAP SALDO</t>
        </is>
      </c>
    </row>
    <row r="2" ht="30" customHeight="1" s="94">
      <c r="A2" s="98" t="inlineStr">
        <is>
          <t>Bagian A: dari mana saldo tiap akun terbentuk (sampai hari ini). Bagian B: saldo akhir tiap bulan (tahun di Dashboard). Bagian C: saldo akhir tiap tahun. Untuk melihat transaksinya: tab Transaksi → Akun = nama akun.</t>
        </is>
      </c>
    </row>
    <row r="3"/>
    <row r="4" ht="15" customHeight="1" s="94">
      <c r="A4" s="101" t="inlineStr">
        <is>
          <t>A. ASAL SALDO (sampai hari ini)</t>
        </is>
      </c>
      <c r="B4" s="102" t="n"/>
      <c r="C4" s="102" t="n"/>
      <c r="D4" s="102" t="n"/>
      <c r="E4" s="102" t="n"/>
      <c r="F4" s="102" t="n"/>
      <c r="G4" s="102" t="n"/>
      <c r="H4" s="102" t="n"/>
    </row>
    <row r="5" ht="24.75" customHeight="1" s="94">
      <c r="A5" s="103" t="inlineStr">
        <is>
          <t>Akun</t>
        </is>
      </c>
      <c r="B5" s="103" t="inlineStr">
        <is>
          <t>Saldo awal</t>
        </is>
      </c>
      <c r="C5" s="103" t="inlineStr">
        <is>
          <t>+ Uang masuk</t>
        </is>
      </c>
      <c r="D5" s="103" t="inlineStr">
        <is>
          <t>− Uang keluar</t>
        </is>
      </c>
      <c r="E5" s="103" t="inlineStr">
        <is>
          <t>+ Pindahan dari akun lain</t>
        </is>
      </c>
      <c r="F5" s="103" t="inlineStr">
        <is>
          <t>− Dipindah ke akun lain</t>
        </is>
      </c>
      <c r="G5" s="103" t="inlineStr">
        <is>
          <t>Saldo sekarang</t>
        </is>
      </c>
      <c r="H5" s="103" t="inlineStr">
        <is>
          <t>Cek</t>
        </is>
      </c>
      <c r="I5" s="103" t="inlineStr">
        <is>
          <t>Asal saldo awal</t>
        </is>
      </c>
    </row>
    <row r="6" ht="24.75" customHeight="1" s="94">
      <c r="A6" s="127">
        <f>Akun!A5</f>
        <v/>
      </c>
      <c r="B6" s="106">
        <f>SUMIFS(Akun!$C$5:$C$104,Akun!$A$5:$A$104,$A6,Akun!$D$5:$D$104,"&lt;="&amp;TODAY())</f>
        <v/>
      </c>
      <c r="C6" s="106">
        <f>SUMIFS(Transaksi!$F$16:$F$5015,Transaksi!$C$16:$C$5015,$A6,Transaksi!$D$16:$D$5015,"Masuk",Transaksi!$B$16:$B$5015,"&lt;="&amp;TODAY())</f>
        <v/>
      </c>
      <c r="D6" s="106">
        <f>SUMIFS(Transaksi!$F$16:$F$5015,Transaksi!$C$16:$C$5015,$A6,Transaksi!$D$16:$D$5015,"Keluar",Transaksi!$B$16:$B$5015,"&lt;="&amp;TODAY())</f>
        <v/>
      </c>
      <c r="E6" s="106">
        <f>SUMIFS(Transaksi!$F$16:$F$5015,Transaksi!$E$16:$E$5015,$A6,Transaksi!$D$16:$D$5015,"Pindah",Transaksi!$B$16:$B$5015,"&lt;="&amp;TODAY())</f>
        <v/>
      </c>
      <c r="F6" s="106">
        <f>SUMIFS(Transaksi!$F$16:$F$5015,Transaksi!$C$16:$C$5015,$A6,Transaksi!$D$16:$D$5015,"Pindah",Transaksi!$B$16:$B$5015,"&lt;="&amp;TODAY())</f>
        <v/>
      </c>
      <c r="G6" s="143">
        <f>B6+C6-D6+E6-F6</f>
        <v/>
      </c>
      <c r="H6" s="105">
        <f>IF(ABS(G6-Akun!E5)&lt;1,"✓ cocok","cek")</f>
        <v/>
      </c>
      <c r="I6" s="97">
        <f>"Mulai "&amp;TEXT(Akun!D5,"dd/mm/yyyy")&amp;" — "&amp;IF(Akun!F5="","saldo pertama yang tercatat",Akun!F5)</f>
        <v/>
      </c>
    </row>
    <row r="7" ht="15" customHeight="1" s="94">
      <c r="A7" s="127">
        <f>Akun!A6</f>
        <v/>
      </c>
      <c r="B7" s="106">
        <f>SUMIFS(Akun!$C$5:$C$104,Akun!$A$5:$A$104,$A7,Akun!$D$5:$D$104,"&lt;="&amp;TODAY())</f>
        <v/>
      </c>
      <c r="C7" s="106">
        <f>SUMIFS(Transaksi!$F$16:$F$5015,Transaksi!$C$16:$C$5015,$A7,Transaksi!$D$16:$D$5015,"Masuk",Transaksi!$B$16:$B$5015,"&lt;="&amp;TODAY())</f>
        <v/>
      </c>
      <c r="D7" s="106">
        <f>SUMIFS(Transaksi!$F$16:$F$5015,Transaksi!$C$16:$C$5015,$A7,Transaksi!$D$16:$D$5015,"Keluar",Transaksi!$B$16:$B$5015,"&lt;="&amp;TODAY())</f>
        <v/>
      </c>
      <c r="E7" s="106">
        <f>SUMIFS(Transaksi!$F$16:$F$5015,Transaksi!$E$16:$E$5015,$A7,Transaksi!$D$16:$D$5015,"Pindah",Transaksi!$B$16:$B$5015,"&lt;="&amp;TODAY())</f>
        <v/>
      </c>
      <c r="F7" s="106">
        <f>SUMIFS(Transaksi!$F$16:$F$5015,Transaksi!$C$16:$C$5015,$A7,Transaksi!$D$16:$D$5015,"Pindah",Transaksi!$B$16:$B$5015,"&lt;="&amp;TODAY())</f>
        <v/>
      </c>
      <c r="G7" s="143">
        <f>B7+C7-D7+E7-F7</f>
        <v/>
      </c>
      <c r="H7" s="105">
        <f>IF(ABS(G7-Akun!E6)&lt;1,"✓ cocok","cek")</f>
        <v/>
      </c>
      <c r="I7" s="97">
        <f>"Mulai "&amp;TEXT(Akun!D6,"dd/mm/yyyy")&amp;" — "&amp;IF(Akun!F6="","saldo pertama yang tercatat",Akun!F6)</f>
        <v/>
      </c>
    </row>
    <row r="8" ht="15" customHeight="1" s="94">
      <c r="A8" s="127">
        <f>Akun!A7</f>
        <v/>
      </c>
      <c r="B8" s="106">
        <f>SUMIFS(Akun!$C$5:$C$104,Akun!$A$5:$A$104,$A8,Akun!$D$5:$D$104,"&lt;="&amp;TODAY())</f>
        <v/>
      </c>
      <c r="C8" s="106">
        <f>SUMIFS(Transaksi!$F$16:$F$5015,Transaksi!$C$16:$C$5015,$A8,Transaksi!$D$16:$D$5015,"Masuk",Transaksi!$B$16:$B$5015,"&lt;="&amp;TODAY())</f>
        <v/>
      </c>
      <c r="D8" s="106">
        <f>SUMIFS(Transaksi!$F$16:$F$5015,Transaksi!$C$16:$C$5015,$A8,Transaksi!$D$16:$D$5015,"Keluar",Transaksi!$B$16:$B$5015,"&lt;="&amp;TODAY())</f>
        <v/>
      </c>
      <c r="E8" s="106">
        <f>SUMIFS(Transaksi!$F$16:$F$5015,Transaksi!$E$16:$E$5015,$A8,Transaksi!$D$16:$D$5015,"Pindah",Transaksi!$B$16:$B$5015,"&lt;="&amp;TODAY())</f>
        <v/>
      </c>
      <c r="F8" s="106">
        <f>SUMIFS(Transaksi!$F$16:$F$5015,Transaksi!$C$16:$C$5015,$A8,Transaksi!$D$16:$D$5015,"Pindah",Transaksi!$B$16:$B$5015,"&lt;="&amp;TODAY())</f>
        <v/>
      </c>
      <c r="G8" s="143">
        <f>B8+C8-D8+E8-F8</f>
        <v/>
      </c>
      <c r="H8" s="105">
        <f>IF(ABS(G8-Akun!E7)&lt;1,"✓ cocok","cek")</f>
        <v/>
      </c>
      <c r="I8" s="97">
        <f>"Mulai "&amp;TEXT(Akun!D7,"dd/mm/yyyy")&amp;" — "&amp;IF(Akun!F7="","saldo pertama yang tercatat",Akun!F7)</f>
        <v/>
      </c>
    </row>
    <row r="9" ht="24.75" customHeight="1" s="94">
      <c r="A9" s="127">
        <f>Akun!A8</f>
        <v/>
      </c>
      <c r="B9" s="106">
        <f>SUMIFS(Akun!$C$5:$C$104,Akun!$A$5:$A$104,$A9,Akun!$D$5:$D$104,"&lt;="&amp;TODAY())</f>
        <v/>
      </c>
      <c r="C9" s="106">
        <f>SUMIFS(Transaksi!$F$16:$F$5015,Transaksi!$C$16:$C$5015,$A9,Transaksi!$D$16:$D$5015,"Masuk",Transaksi!$B$16:$B$5015,"&lt;="&amp;TODAY())</f>
        <v/>
      </c>
      <c r="D9" s="106">
        <f>SUMIFS(Transaksi!$F$16:$F$5015,Transaksi!$C$16:$C$5015,$A9,Transaksi!$D$16:$D$5015,"Keluar",Transaksi!$B$16:$B$5015,"&lt;="&amp;TODAY())</f>
        <v/>
      </c>
      <c r="E9" s="106">
        <f>SUMIFS(Transaksi!$F$16:$F$5015,Transaksi!$E$16:$E$5015,$A9,Transaksi!$D$16:$D$5015,"Pindah",Transaksi!$B$16:$B$5015,"&lt;="&amp;TODAY())</f>
        <v/>
      </c>
      <c r="F9" s="106">
        <f>SUMIFS(Transaksi!$F$16:$F$5015,Transaksi!$C$16:$C$5015,$A9,Transaksi!$D$16:$D$5015,"Pindah",Transaksi!$B$16:$B$5015,"&lt;="&amp;TODAY())</f>
        <v/>
      </c>
      <c r="G9" s="143">
        <f>B9+C9-D9+E9-F9</f>
        <v/>
      </c>
      <c r="H9" s="105">
        <f>IF(ABS(G9-Akun!E8)&lt;1,"✓ cocok","cek")</f>
        <v/>
      </c>
      <c r="I9" s="97">
        <f>"Mulai "&amp;TEXT(Akun!D8,"dd/mm/yyyy")&amp;" — "&amp;IF(Akun!F8="","saldo pertama yang tercatat",Akun!F8)</f>
        <v/>
      </c>
    </row>
    <row r="10" ht="24.75" customHeight="1" s="94">
      <c r="A10" s="127">
        <f>Akun!A9</f>
        <v/>
      </c>
      <c r="B10" s="106">
        <f>SUMIFS(Akun!$C$5:$C$104,Akun!$A$5:$A$104,$A10,Akun!$D$5:$D$104,"&lt;="&amp;TODAY())</f>
        <v/>
      </c>
      <c r="C10" s="106">
        <f>SUMIFS(Transaksi!$F$16:$F$5015,Transaksi!$C$16:$C$5015,$A10,Transaksi!$D$16:$D$5015,"Masuk",Transaksi!$B$16:$B$5015,"&lt;="&amp;TODAY())</f>
        <v/>
      </c>
      <c r="D10" s="106">
        <f>SUMIFS(Transaksi!$F$16:$F$5015,Transaksi!$C$16:$C$5015,$A10,Transaksi!$D$16:$D$5015,"Keluar",Transaksi!$B$16:$B$5015,"&lt;="&amp;TODAY())</f>
        <v/>
      </c>
      <c r="E10" s="106">
        <f>SUMIFS(Transaksi!$F$16:$F$5015,Transaksi!$E$16:$E$5015,$A10,Transaksi!$D$16:$D$5015,"Pindah",Transaksi!$B$16:$B$5015,"&lt;="&amp;TODAY())</f>
        <v/>
      </c>
      <c r="F10" s="106">
        <f>SUMIFS(Transaksi!$F$16:$F$5015,Transaksi!$C$16:$C$5015,$A10,Transaksi!$D$16:$D$5015,"Pindah",Transaksi!$B$16:$B$5015,"&lt;="&amp;TODAY())</f>
        <v/>
      </c>
      <c r="G10" s="143">
        <f>B10+C10-D10+E10-F10</f>
        <v/>
      </c>
      <c r="H10" s="105">
        <f>IF(ABS(G10-Akun!E9)&lt;1,"✓ cocok","cek")</f>
        <v/>
      </c>
      <c r="I10" s="97">
        <f>"Mulai "&amp;TEXT(Akun!D9,"dd/mm/yyyy")&amp;" — "&amp;IF(Akun!F9="","saldo pertama yang tercatat",Akun!F9)</f>
        <v/>
      </c>
    </row>
    <row r="11" ht="24.75" customHeight="1" s="94">
      <c r="A11" s="127">
        <f>Akun!A10</f>
        <v/>
      </c>
      <c r="B11" s="106">
        <f>SUMIFS(Akun!$C$5:$C$104,Akun!$A$5:$A$104,$A11,Akun!$D$5:$D$104,"&lt;="&amp;TODAY())</f>
        <v/>
      </c>
      <c r="C11" s="106">
        <f>SUMIFS(Transaksi!$F$16:$F$5015,Transaksi!$C$16:$C$5015,$A11,Transaksi!$D$16:$D$5015,"Masuk",Transaksi!$B$16:$B$5015,"&lt;="&amp;TODAY())</f>
        <v/>
      </c>
      <c r="D11" s="106">
        <f>SUMIFS(Transaksi!$F$16:$F$5015,Transaksi!$C$16:$C$5015,$A11,Transaksi!$D$16:$D$5015,"Keluar",Transaksi!$B$16:$B$5015,"&lt;="&amp;TODAY())</f>
        <v/>
      </c>
      <c r="E11" s="106">
        <f>SUMIFS(Transaksi!$F$16:$F$5015,Transaksi!$E$16:$E$5015,$A11,Transaksi!$D$16:$D$5015,"Pindah",Transaksi!$B$16:$B$5015,"&lt;="&amp;TODAY())</f>
        <v/>
      </c>
      <c r="F11" s="106">
        <f>SUMIFS(Transaksi!$F$16:$F$5015,Transaksi!$C$16:$C$5015,$A11,Transaksi!$D$16:$D$5015,"Pindah",Transaksi!$B$16:$B$5015,"&lt;="&amp;TODAY())</f>
        <v/>
      </c>
      <c r="G11" s="143">
        <f>B11+C11-D11+E11-F11</f>
        <v/>
      </c>
      <c r="H11" s="105">
        <f>IF(ABS(G11-Akun!E10)&lt;1,"✓ cocok","cek")</f>
        <v/>
      </c>
      <c r="I11" s="97">
        <f>"Mulai "&amp;TEXT(Akun!D10,"dd/mm/yyyy")&amp;" — "&amp;IF(Akun!F10="","saldo pertama yang tercatat",Akun!F10)</f>
        <v/>
      </c>
    </row>
    <row r="12" ht="15" customHeight="1" s="94">
      <c r="A12" s="127">
        <f>Akun!A11</f>
        <v/>
      </c>
      <c r="B12" s="106">
        <f>SUMIFS(Akun!$C$5:$C$104,Akun!$A$5:$A$104,$A12,Akun!$D$5:$D$104,"&lt;="&amp;TODAY())</f>
        <v/>
      </c>
      <c r="C12" s="106">
        <f>SUMIFS(Transaksi!$F$16:$F$5015,Transaksi!$C$16:$C$5015,$A12,Transaksi!$D$16:$D$5015,"Masuk",Transaksi!$B$16:$B$5015,"&lt;="&amp;TODAY())</f>
        <v/>
      </c>
      <c r="D12" s="106">
        <f>SUMIFS(Transaksi!$F$16:$F$5015,Transaksi!$C$16:$C$5015,$A12,Transaksi!$D$16:$D$5015,"Keluar",Transaksi!$B$16:$B$5015,"&lt;="&amp;TODAY())</f>
        <v/>
      </c>
      <c r="E12" s="106">
        <f>SUMIFS(Transaksi!$F$16:$F$5015,Transaksi!$E$16:$E$5015,$A12,Transaksi!$D$16:$D$5015,"Pindah",Transaksi!$B$16:$B$5015,"&lt;="&amp;TODAY())</f>
        <v/>
      </c>
      <c r="F12" s="106">
        <f>SUMIFS(Transaksi!$F$16:$F$5015,Transaksi!$C$16:$C$5015,$A12,Transaksi!$D$16:$D$5015,"Pindah",Transaksi!$B$16:$B$5015,"&lt;="&amp;TODAY())</f>
        <v/>
      </c>
      <c r="G12" s="143">
        <f>B12+C12-D12+E12-F12</f>
        <v/>
      </c>
      <c r="H12" s="105">
        <f>IF(ABS(G12-Akun!E11)&lt;1,"✓ cocok","cek")</f>
        <v/>
      </c>
      <c r="I12" s="97">
        <f>"Mulai "&amp;TEXT(Akun!D11,"dd/mm/yyyy")&amp;" — "&amp;IF(Akun!F11="","saldo pertama yang tercatat",Akun!F11)</f>
        <v/>
      </c>
    </row>
    <row r="13" ht="15" customHeight="1" s="94">
      <c r="A13" s="127">
        <f>Akun!A12</f>
        <v/>
      </c>
      <c r="B13" s="106">
        <f>SUMIFS(Akun!$C$5:$C$104,Akun!$A$5:$A$104,$A13,Akun!$D$5:$D$104,"&lt;="&amp;TODAY())</f>
        <v/>
      </c>
      <c r="C13" s="106">
        <f>SUMIFS(Transaksi!$F$16:$F$5015,Transaksi!$C$16:$C$5015,$A13,Transaksi!$D$16:$D$5015,"Masuk",Transaksi!$B$16:$B$5015,"&lt;="&amp;TODAY())</f>
        <v/>
      </c>
      <c r="D13" s="106">
        <f>SUMIFS(Transaksi!$F$16:$F$5015,Transaksi!$C$16:$C$5015,$A13,Transaksi!$D$16:$D$5015,"Keluar",Transaksi!$B$16:$B$5015,"&lt;="&amp;TODAY())</f>
        <v/>
      </c>
      <c r="E13" s="106">
        <f>SUMIFS(Transaksi!$F$16:$F$5015,Transaksi!$E$16:$E$5015,$A13,Transaksi!$D$16:$D$5015,"Pindah",Transaksi!$B$16:$B$5015,"&lt;="&amp;TODAY())</f>
        <v/>
      </c>
      <c r="F13" s="106">
        <f>SUMIFS(Transaksi!$F$16:$F$5015,Transaksi!$C$16:$C$5015,$A13,Transaksi!$D$16:$D$5015,"Pindah",Transaksi!$B$16:$B$5015,"&lt;="&amp;TODAY())</f>
        <v/>
      </c>
      <c r="G13" s="143">
        <f>B13+C13-D13+E13-F13</f>
        <v/>
      </c>
      <c r="H13" s="105">
        <f>IF(ABS(G13-Akun!E12)&lt;1,"✓ cocok","cek")</f>
        <v/>
      </c>
      <c r="I13" s="97">
        <f>"Mulai "&amp;TEXT(Akun!D12,"dd/mm/yyyy")&amp;" — "&amp;IF(Akun!F12="","saldo pertama yang tercatat",Akun!F12)</f>
        <v/>
      </c>
    </row>
    <row r="14" ht="24.75" customHeight="1" s="94">
      <c r="A14" s="127">
        <f>Akun!A13</f>
        <v/>
      </c>
      <c r="B14" s="106">
        <f>SUMIFS(Akun!$C$5:$C$104,Akun!$A$5:$A$104,$A14,Akun!$D$5:$D$104,"&lt;="&amp;TODAY())</f>
        <v/>
      </c>
      <c r="C14" s="106">
        <f>SUMIFS(Transaksi!$F$16:$F$5015,Transaksi!$C$16:$C$5015,$A14,Transaksi!$D$16:$D$5015,"Masuk",Transaksi!$B$16:$B$5015,"&lt;="&amp;TODAY())</f>
        <v/>
      </c>
      <c r="D14" s="106">
        <f>SUMIFS(Transaksi!$F$16:$F$5015,Transaksi!$C$16:$C$5015,$A14,Transaksi!$D$16:$D$5015,"Keluar",Transaksi!$B$16:$B$5015,"&lt;="&amp;TODAY())</f>
        <v/>
      </c>
      <c r="E14" s="106">
        <f>SUMIFS(Transaksi!$F$16:$F$5015,Transaksi!$E$16:$E$5015,$A14,Transaksi!$D$16:$D$5015,"Pindah",Transaksi!$B$16:$B$5015,"&lt;="&amp;TODAY())</f>
        <v/>
      </c>
      <c r="F14" s="106">
        <f>SUMIFS(Transaksi!$F$16:$F$5015,Transaksi!$C$16:$C$5015,$A14,Transaksi!$D$16:$D$5015,"Pindah",Transaksi!$B$16:$B$5015,"&lt;="&amp;TODAY())</f>
        <v/>
      </c>
      <c r="G14" s="143">
        <f>B14+C14-D14+E14-F14</f>
        <v/>
      </c>
      <c r="H14" s="105">
        <f>IF(ABS(G14-Akun!E13)&lt;1,"✓ cocok","cek")</f>
        <v/>
      </c>
      <c r="I14" s="97">
        <f>"Mulai "&amp;TEXT(Akun!D13,"dd/mm/yyyy")&amp;" — "&amp;IF(Akun!F13="","saldo pertama yang tercatat",Akun!F13)</f>
        <v/>
      </c>
    </row>
    <row r="15" ht="15" customHeight="1" s="94">
      <c r="A15" s="127">
        <f>Akun!A14</f>
        <v/>
      </c>
      <c r="B15" s="106">
        <f>SUMIFS(Akun!$C$5:$C$104,Akun!$A$5:$A$104,$A15,Akun!$D$5:$D$104,"&lt;="&amp;TODAY())</f>
        <v/>
      </c>
      <c r="C15" s="106">
        <f>SUMIFS(Transaksi!$F$16:$F$5015,Transaksi!$C$16:$C$5015,$A15,Transaksi!$D$16:$D$5015,"Masuk",Transaksi!$B$16:$B$5015,"&lt;="&amp;TODAY())</f>
        <v/>
      </c>
      <c r="D15" s="106">
        <f>SUMIFS(Transaksi!$F$16:$F$5015,Transaksi!$C$16:$C$5015,$A15,Transaksi!$D$16:$D$5015,"Keluar",Transaksi!$B$16:$B$5015,"&lt;="&amp;TODAY())</f>
        <v/>
      </c>
      <c r="E15" s="106">
        <f>SUMIFS(Transaksi!$F$16:$F$5015,Transaksi!$E$16:$E$5015,$A15,Transaksi!$D$16:$D$5015,"Pindah",Transaksi!$B$16:$B$5015,"&lt;="&amp;TODAY())</f>
        <v/>
      </c>
      <c r="F15" s="106">
        <f>SUMIFS(Transaksi!$F$16:$F$5015,Transaksi!$C$16:$C$5015,$A15,Transaksi!$D$16:$D$5015,"Pindah",Transaksi!$B$16:$B$5015,"&lt;="&amp;TODAY())</f>
        <v/>
      </c>
      <c r="G15" s="143">
        <f>B15+C15-D15+E15-F15</f>
        <v/>
      </c>
      <c r="H15" s="105">
        <f>IF(ABS(G15-Akun!E14)&lt;1,"✓ cocok","cek")</f>
        <v/>
      </c>
      <c r="I15" s="97">
        <f>"Mulai "&amp;TEXT(Akun!D14,"dd/mm/yyyy")&amp;" — "&amp;IF(Akun!F14="","saldo pertama yang tercatat",Akun!F14)</f>
        <v/>
      </c>
    </row>
    <row r="16" ht="15" customHeight="1" s="94">
      <c r="A16" s="127">
        <f>Akun!A15</f>
        <v/>
      </c>
      <c r="B16" s="106">
        <f>SUMIFS(Akun!$C$5:$C$104,Akun!$A$5:$A$104,$A16,Akun!$D$5:$D$104,"&lt;="&amp;TODAY())</f>
        <v/>
      </c>
      <c r="C16" s="106">
        <f>SUMIFS(Transaksi!$F$16:$F$5015,Transaksi!$C$16:$C$5015,$A16,Transaksi!$D$16:$D$5015,"Masuk",Transaksi!$B$16:$B$5015,"&lt;="&amp;TODAY())</f>
        <v/>
      </c>
      <c r="D16" s="106">
        <f>SUMIFS(Transaksi!$F$16:$F$5015,Transaksi!$C$16:$C$5015,$A16,Transaksi!$D$16:$D$5015,"Keluar",Transaksi!$B$16:$B$5015,"&lt;="&amp;TODAY())</f>
        <v/>
      </c>
      <c r="E16" s="106">
        <f>SUMIFS(Transaksi!$F$16:$F$5015,Transaksi!$E$16:$E$5015,$A16,Transaksi!$D$16:$D$5015,"Pindah",Transaksi!$B$16:$B$5015,"&lt;="&amp;TODAY())</f>
        <v/>
      </c>
      <c r="F16" s="106">
        <f>SUMIFS(Transaksi!$F$16:$F$5015,Transaksi!$C$16:$C$5015,$A16,Transaksi!$D$16:$D$5015,"Pindah",Transaksi!$B$16:$B$5015,"&lt;="&amp;TODAY())</f>
        <v/>
      </c>
      <c r="G16" s="143">
        <f>B16+C16-D16+E16-F16</f>
        <v/>
      </c>
      <c r="H16" s="105">
        <f>IF(ABS(G16-Akun!E15)&lt;1,"✓ cocok","cek")</f>
        <v/>
      </c>
      <c r="I16" s="97">
        <f>"Mulai "&amp;TEXT(Akun!D15,"dd/mm/yyyy")&amp;" — "&amp;IF(Akun!F15="","saldo pertama yang tercatat",Akun!F15)</f>
        <v/>
      </c>
    </row>
    <row r="17" ht="15" customHeight="1" s="94">
      <c r="A17" s="127">
        <f>Akun!A16</f>
        <v/>
      </c>
      <c r="B17" s="106">
        <f>SUMIFS(Akun!$C$5:$C$104,Akun!$A$5:$A$104,$A17,Akun!$D$5:$D$104,"&lt;="&amp;TODAY())</f>
        <v/>
      </c>
      <c r="C17" s="106">
        <f>SUMIFS(Transaksi!$F$16:$F$5015,Transaksi!$C$16:$C$5015,$A17,Transaksi!$D$16:$D$5015,"Masuk",Transaksi!$B$16:$B$5015,"&lt;="&amp;TODAY())</f>
        <v/>
      </c>
      <c r="D17" s="106">
        <f>SUMIFS(Transaksi!$F$16:$F$5015,Transaksi!$C$16:$C$5015,$A17,Transaksi!$D$16:$D$5015,"Keluar",Transaksi!$B$16:$B$5015,"&lt;="&amp;TODAY())</f>
        <v/>
      </c>
      <c r="E17" s="106">
        <f>SUMIFS(Transaksi!$F$16:$F$5015,Transaksi!$E$16:$E$5015,$A17,Transaksi!$D$16:$D$5015,"Pindah",Transaksi!$B$16:$B$5015,"&lt;="&amp;TODAY())</f>
        <v/>
      </c>
      <c r="F17" s="106">
        <f>SUMIFS(Transaksi!$F$16:$F$5015,Transaksi!$C$16:$C$5015,$A17,Transaksi!$D$16:$D$5015,"Pindah",Transaksi!$B$16:$B$5015,"&lt;="&amp;TODAY())</f>
        <v/>
      </c>
      <c r="G17" s="143">
        <f>B17+C17-D17+E17-F17</f>
        <v/>
      </c>
      <c r="H17" s="105">
        <f>IF(ABS(G17-Akun!E16)&lt;1,"✓ cocok","cek")</f>
        <v/>
      </c>
      <c r="I17" s="97">
        <f>"Mulai "&amp;TEXT(Akun!D16,"dd/mm/yyyy")&amp;" — "&amp;IF(Akun!F16="","saldo pertama yang tercatat",Akun!F16)</f>
        <v/>
      </c>
    </row>
    <row r="18" ht="15" customHeight="1" s="94">
      <c r="A18" s="127">
        <f>Akun!A17</f>
        <v/>
      </c>
      <c r="B18" s="106">
        <f>SUMIFS(Akun!$C$5:$C$104,Akun!$A$5:$A$104,$A18,Akun!$D$5:$D$104,"&lt;="&amp;TODAY())</f>
        <v/>
      </c>
      <c r="C18" s="106">
        <f>SUMIFS(Transaksi!$F$16:$F$5015,Transaksi!$C$16:$C$5015,$A18,Transaksi!$D$16:$D$5015,"Masuk",Transaksi!$B$16:$B$5015,"&lt;="&amp;TODAY())</f>
        <v/>
      </c>
      <c r="D18" s="106">
        <f>SUMIFS(Transaksi!$F$16:$F$5015,Transaksi!$C$16:$C$5015,$A18,Transaksi!$D$16:$D$5015,"Keluar",Transaksi!$B$16:$B$5015,"&lt;="&amp;TODAY())</f>
        <v/>
      </c>
      <c r="E18" s="106">
        <f>SUMIFS(Transaksi!$F$16:$F$5015,Transaksi!$E$16:$E$5015,$A18,Transaksi!$D$16:$D$5015,"Pindah",Transaksi!$B$16:$B$5015,"&lt;="&amp;TODAY())</f>
        <v/>
      </c>
      <c r="F18" s="106">
        <f>SUMIFS(Transaksi!$F$16:$F$5015,Transaksi!$C$16:$C$5015,$A18,Transaksi!$D$16:$D$5015,"Pindah",Transaksi!$B$16:$B$5015,"&lt;="&amp;TODAY())</f>
        <v/>
      </c>
      <c r="G18" s="143">
        <f>B18+C18-D18+E18-F18</f>
        <v/>
      </c>
      <c r="H18" s="105">
        <f>IF(ABS(G18-Akun!E17)&lt;1,"✓ cocok","cek")</f>
        <v/>
      </c>
      <c r="I18" s="97">
        <f>"Mulai "&amp;TEXT(Akun!D17,"dd/mm/yyyy")&amp;" — "&amp;IF(Akun!F17="","saldo pertama yang tercatat",Akun!F17)</f>
        <v/>
      </c>
    </row>
    <row r="19" ht="15" customHeight="1" s="94">
      <c r="A19" s="127">
        <f>Akun!A18</f>
        <v/>
      </c>
      <c r="B19" s="106">
        <f>SUMIFS(Akun!$C$5:$C$104,Akun!$A$5:$A$104,$A19,Akun!$D$5:$D$104,"&lt;="&amp;TODAY())</f>
        <v/>
      </c>
      <c r="C19" s="106">
        <f>SUMIFS(Transaksi!$F$16:$F$5015,Transaksi!$C$16:$C$5015,$A19,Transaksi!$D$16:$D$5015,"Masuk",Transaksi!$B$16:$B$5015,"&lt;="&amp;TODAY())</f>
        <v/>
      </c>
      <c r="D19" s="106">
        <f>SUMIFS(Transaksi!$F$16:$F$5015,Transaksi!$C$16:$C$5015,$A19,Transaksi!$D$16:$D$5015,"Keluar",Transaksi!$B$16:$B$5015,"&lt;="&amp;TODAY())</f>
        <v/>
      </c>
      <c r="E19" s="106">
        <f>SUMIFS(Transaksi!$F$16:$F$5015,Transaksi!$E$16:$E$5015,$A19,Transaksi!$D$16:$D$5015,"Pindah",Transaksi!$B$16:$B$5015,"&lt;="&amp;TODAY())</f>
        <v/>
      </c>
      <c r="F19" s="106">
        <f>SUMIFS(Transaksi!$F$16:$F$5015,Transaksi!$C$16:$C$5015,$A19,Transaksi!$D$16:$D$5015,"Pindah",Transaksi!$B$16:$B$5015,"&lt;="&amp;TODAY())</f>
        <v/>
      </c>
      <c r="G19" s="143">
        <f>B19+C19-D19+E19-F19</f>
        <v/>
      </c>
      <c r="H19" s="105">
        <f>IF(ABS(G19-Akun!E18)&lt;1,"✓ cocok","cek")</f>
        <v/>
      </c>
      <c r="I19" s="97">
        <f>"Mulai "&amp;TEXT(Akun!D18,"dd/mm/yyyy")&amp;" — "&amp;IF(Akun!F18="","saldo pertama yang tercatat",Akun!F18)</f>
        <v/>
      </c>
    </row>
    <row r="20" ht="24.75" customHeight="1" s="94">
      <c r="A20" s="127">
        <f>Akun!A19</f>
        <v/>
      </c>
      <c r="B20" s="106">
        <f>SUMIFS(Akun!$C$5:$C$104,Akun!$A$5:$A$104,$A20,Akun!$D$5:$D$104,"&lt;="&amp;TODAY())</f>
        <v/>
      </c>
      <c r="C20" s="106">
        <f>SUMIFS(Transaksi!$F$16:$F$5015,Transaksi!$C$16:$C$5015,$A20,Transaksi!$D$16:$D$5015,"Masuk",Transaksi!$B$16:$B$5015,"&lt;="&amp;TODAY())</f>
        <v/>
      </c>
      <c r="D20" s="106">
        <f>SUMIFS(Transaksi!$F$16:$F$5015,Transaksi!$C$16:$C$5015,$A20,Transaksi!$D$16:$D$5015,"Keluar",Transaksi!$B$16:$B$5015,"&lt;="&amp;TODAY())</f>
        <v/>
      </c>
      <c r="E20" s="106">
        <f>SUMIFS(Transaksi!$F$16:$F$5015,Transaksi!$E$16:$E$5015,$A20,Transaksi!$D$16:$D$5015,"Pindah",Transaksi!$B$16:$B$5015,"&lt;="&amp;TODAY())</f>
        <v/>
      </c>
      <c r="F20" s="106">
        <f>SUMIFS(Transaksi!$F$16:$F$5015,Transaksi!$C$16:$C$5015,$A20,Transaksi!$D$16:$D$5015,"Pindah",Transaksi!$B$16:$B$5015,"&lt;="&amp;TODAY())</f>
        <v/>
      </c>
      <c r="G20" s="143">
        <f>B20+C20-D20+E20-F20</f>
        <v/>
      </c>
      <c r="H20" s="105">
        <f>IF(ABS(G20-Akun!E19)&lt;1,"✓ cocok","cek")</f>
        <v/>
      </c>
      <c r="I20" s="97">
        <f>"Mulai "&amp;TEXT(Akun!D19,"dd/mm/yyyy")&amp;" — "&amp;IF(Akun!F19="","saldo pertama yang tercatat",Akun!F19)</f>
        <v/>
      </c>
    </row>
    <row r="21" ht="15" customHeight="1" s="94">
      <c r="A21" s="127">
        <f>Akun!A20</f>
        <v/>
      </c>
      <c r="B21" s="106">
        <f>SUMIFS(Akun!$C$5:$C$104,Akun!$A$5:$A$104,$A21,Akun!$D$5:$D$104,"&lt;="&amp;TODAY())</f>
        <v/>
      </c>
      <c r="C21" s="106">
        <f>SUMIFS(Transaksi!$F$16:$F$5015,Transaksi!$C$16:$C$5015,$A21,Transaksi!$D$16:$D$5015,"Masuk",Transaksi!$B$16:$B$5015,"&lt;="&amp;TODAY())</f>
        <v/>
      </c>
      <c r="D21" s="106">
        <f>SUMIFS(Transaksi!$F$16:$F$5015,Transaksi!$C$16:$C$5015,$A21,Transaksi!$D$16:$D$5015,"Keluar",Transaksi!$B$16:$B$5015,"&lt;="&amp;TODAY())</f>
        <v/>
      </c>
      <c r="E21" s="106">
        <f>SUMIFS(Transaksi!$F$16:$F$5015,Transaksi!$E$16:$E$5015,$A21,Transaksi!$D$16:$D$5015,"Pindah",Transaksi!$B$16:$B$5015,"&lt;="&amp;TODAY())</f>
        <v/>
      </c>
      <c r="F21" s="106">
        <f>SUMIFS(Transaksi!$F$16:$F$5015,Transaksi!$C$16:$C$5015,$A21,Transaksi!$D$16:$D$5015,"Pindah",Transaksi!$B$16:$B$5015,"&lt;="&amp;TODAY())</f>
        <v/>
      </c>
      <c r="G21" s="143">
        <f>B21+C21-D21+E21-F21</f>
        <v/>
      </c>
      <c r="H21" s="105">
        <f>IF(ABS(G21-Akun!E20)&lt;1,"✓ cocok","cek")</f>
        <v/>
      </c>
      <c r="I21" s="97">
        <f>"Mulai "&amp;TEXT(Akun!D20,"dd/mm/yyyy")&amp;" — "&amp;IF(Akun!F20="","saldo pertama yang tercatat",Akun!F20)</f>
        <v/>
      </c>
    </row>
    <row r="22"/>
    <row r="23" ht="42" customHeight="1" s="94">
      <c r="A23" s="114" t="inlineStr">
        <is>
          <t>CARA MELACAK: saldo awal = tab Akun kolom C (sumbernya: catatan HP / saldo pertama di catatanmu, lihat kolom I). Uang masuk/keluar/pindah = tab Transaksi → Akun = nama akun. Saldo akhir bulan (bagian B) = tab Transaksi → Akun = nama akun + Sampai tanggal = akhir bulan itu → lihat "Saldo akun terpilih" (G11).</t>
        </is>
      </c>
    </row>
    <row r="24"/>
    <row r="25" ht="15" customHeight="1" s="94">
      <c r="A25" s="101">
        <f>"B. SALDO AKHIR BULAN — TAHUN "&amp;Dashboard!$C$4</f>
        <v/>
      </c>
      <c r="B25" s="102" t="n"/>
      <c r="C25" s="102" t="n"/>
      <c r="D25" s="102" t="n"/>
      <c r="E25" s="102" t="n"/>
      <c r="F25" s="102" t="n"/>
      <c r="G25" s="102" t="n"/>
      <c r="H25" s="102" t="n"/>
      <c r="I25" s="102" t="n"/>
      <c r="J25" s="102" t="n"/>
      <c r="K25" s="102" t="n"/>
      <c r="L25" s="102" t="n"/>
      <c r="M25" s="102" t="n"/>
    </row>
    <row r="26" ht="15" customHeight="1" s="94">
      <c r="A26" s="103" t="inlineStr">
        <is>
          <t>Akun</t>
        </is>
      </c>
      <c r="B26" s="103" t="inlineStr">
        <is>
          <t>Jan</t>
        </is>
      </c>
      <c r="C26" s="103" t="inlineStr">
        <is>
          <t>Feb</t>
        </is>
      </c>
      <c r="D26" s="103" t="inlineStr">
        <is>
          <t>Mar</t>
        </is>
      </c>
      <c r="E26" s="103" t="inlineStr">
        <is>
          <t>Apr</t>
        </is>
      </c>
      <c r="F26" s="103" t="inlineStr">
        <is>
          <t>Mei</t>
        </is>
      </c>
      <c r="G26" s="103" t="inlineStr">
        <is>
          <t>Jun</t>
        </is>
      </c>
      <c r="H26" s="103" t="inlineStr">
        <is>
          <t>Jul</t>
        </is>
      </c>
      <c r="I26" s="103" t="inlineStr">
        <is>
          <t>Agu</t>
        </is>
      </c>
      <c r="J26" s="103" t="inlineStr">
        <is>
          <t>Sep</t>
        </is>
      </c>
      <c r="K26" s="103" t="inlineStr">
        <is>
          <t>Okt</t>
        </is>
      </c>
      <c r="L26" s="103" t="inlineStr">
        <is>
          <t>Nov</t>
        </is>
      </c>
      <c r="M26" s="103" t="inlineStr">
        <is>
          <t>Des</t>
        </is>
      </c>
    </row>
    <row r="27" ht="15" customHeight="1" s="94">
      <c r="A27" s="127">
        <f>Akun!A5</f>
        <v/>
      </c>
      <c r="B27" s="106">
        <f>IF(DATE(Dashboard!$C$4,1,1)&gt;TODAY(),"",(SUMIFS(Akun!$C$5:$C$104,Akun!$A$5:$A$104,$A27,Akun!$D$5:$D$104,"&lt;="&amp;EOMONTH(DATE(Dashboard!$C$4,1,1),0))+SUMIFS(Transaksi!$F$16:$F$5015,Transaksi!$C$16:$C$5015,$A27,Transaksi!$D$16:$D$5015,"Masuk",Transaksi!$B$16:$B$5015,"&lt;="&amp;EOMONTH(DATE(Dashboard!$C$4,1,1),0))-SUMIFS(Transaksi!$F$16:$F$5015,Transaksi!$C$16:$C$5015,$A27,Transaksi!$D$16:$D$5015,"Keluar",Transaksi!$B$16:$B$5015,"&lt;="&amp;EOMONTH(DATE(Dashboard!$C$4,1,1),0))-SUMIFS(Transaksi!$F$16:$F$5015,Transaksi!$C$16:$C$5015,$A27,Transaksi!$D$16:$D$5015,"Pindah",Transaksi!$B$16:$B$5015,"&lt;="&amp;EOMONTH(DATE(Dashboard!$C$4,1,1),0))+SUMIFS(Transaksi!$F$16:$F$5015,Transaksi!$E$16:$E$5015,$A27,Transaksi!$D$16:$D$5015,"Pindah",Transaksi!$B$16:$B$5015,"&lt;="&amp;EOMONTH(DATE(Dashboard!$C$4,1,1),0))))</f>
        <v/>
      </c>
      <c r="C27" s="106">
        <f>IF(DATE(Dashboard!$C$4,2,1)&gt;TODAY(),"",(SUMIFS(Akun!$C$5:$C$104,Akun!$A$5:$A$104,$A27,Akun!$D$5:$D$104,"&lt;="&amp;EOMONTH(DATE(Dashboard!$C$4,2,1),0))+SUMIFS(Transaksi!$F$16:$F$5015,Transaksi!$C$16:$C$5015,$A27,Transaksi!$D$16:$D$5015,"Masuk",Transaksi!$B$16:$B$5015,"&lt;="&amp;EOMONTH(DATE(Dashboard!$C$4,2,1),0))-SUMIFS(Transaksi!$F$16:$F$5015,Transaksi!$C$16:$C$5015,$A27,Transaksi!$D$16:$D$5015,"Keluar",Transaksi!$B$16:$B$5015,"&lt;="&amp;EOMONTH(DATE(Dashboard!$C$4,2,1),0))-SUMIFS(Transaksi!$F$16:$F$5015,Transaksi!$C$16:$C$5015,$A27,Transaksi!$D$16:$D$5015,"Pindah",Transaksi!$B$16:$B$5015,"&lt;="&amp;EOMONTH(DATE(Dashboard!$C$4,2,1),0))+SUMIFS(Transaksi!$F$16:$F$5015,Transaksi!$E$16:$E$5015,$A27,Transaksi!$D$16:$D$5015,"Pindah",Transaksi!$B$16:$B$5015,"&lt;="&amp;EOMONTH(DATE(Dashboard!$C$4,2,1),0))))</f>
        <v/>
      </c>
      <c r="D27" s="106">
        <f>IF(DATE(Dashboard!$C$4,3,1)&gt;TODAY(),"",(SUMIFS(Akun!$C$5:$C$104,Akun!$A$5:$A$104,$A27,Akun!$D$5:$D$104,"&lt;="&amp;EOMONTH(DATE(Dashboard!$C$4,3,1),0))+SUMIFS(Transaksi!$F$16:$F$5015,Transaksi!$C$16:$C$5015,$A27,Transaksi!$D$16:$D$5015,"Masuk",Transaksi!$B$16:$B$5015,"&lt;="&amp;EOMONTH(DATE(Dashboard!$C$4,3,1),0))-SUMIFS(Transaksi!$F$16:$F$5015,Transaksi!$C$16:$C$5015,$A27,Transaksi!$D$16:$D$5015,"Keluar",Transaksi!$B$16:$B$5015,"&lt;="&amp;EOMONTH(DATE(Dashboard!$C$4,3,1),0))-SUMIFS(Transaksi!$F$16:$F$5015,Transaksi!$C$16:$C$5015,$A27,Transaksi!$D$16:$D$5015,"Pindah",Transaksi!$B$16:$B$5015,"&lt;="&amp;EOMONTH(DATE(Dashboard!$C$4,3,1),0))+SUMIFS(Transaksi!$F$16:$F$5015,Transaksi!$E$16:$E$5015,$A27,Transaksi!$D$16:$D$5015,"Pindah",Transaksi!$B$16:$B$5015,"&lt;="&amp;EOMONTH(DATE(Dashboard!$C$4,3,1),0))))</f>
        <v/>
      </c>
      <c r="E27" s="106">
        <f>IF(DATE(Dashboard!$C$4,4,1)&gt;TODAY(),"",(SUMIFS(Akun!$C$5:$C$104,Akun!$A$5:$A$104,$A27,Akun!$D$5:$D$104,"&lt;="&amp;EOMONTH(DATE(Dashboard!$C$4,4,1),0))+SUMIFS(Transaksi!$F$16:$F$5015,Transaksi!$C$16:$C$5015,$A27,Transaksi!$D$16:$D$5015,"Masuk",Transaksi!$B$16:$B$5015,"&lt;="&amp;EOMONTH(DATE(Dashboard!$C$4,4,1),0))-SUMIFS(Transaksi!$F$16:$F$5015,Transaksi!$C$16:$C$5015,$A27,Transaksi!$D$16:$D$5015,"Keluar",Transaksi!$B$16:$B$5015,"&lt;="&amp;EOMONTH(DATE(Dashboard!$C$4,4,1),0))-SUMIFS(Transaksi!$F$16:$F$5015,Transaksi!$C$16:$C$5015,$A27,Transaksi!$D$16:$D$5015,"Pindah",Transaksi!$B$16:$B$5015,"&lt;="&amp;EOMONTH(DATE(Dashboard!$C$4,4,1),0))+SUMIFS(Transaksi!$F$16:$F$5015,Transaksi!$E$16:$E$5015,$A27,Transaksi!$D$16:$D$5015,"Pindah",Transaksi!$B$16:$B$5015,"&lt;="&amp;EOMONTH(DATE(Dashboard!$C$4,4,1),0))))</f>
        <v/>
      </c>
      <c r="F27" s="106">
        <f>IF(DATE(Dashboard!$C$4,5,1)&gt;TODAY(),"",(SUMIFS(Akun!$C$5:$C$104,Akun!$A$5:$A$104,$A27,Akun!$D$5:$D$104,"&lt;="&amp;EOMONTH(DATE(Dashboard!$C$4,5,1),0))+SUMIFS(Transaksi!$F$16:$F$5015,Transaksi!$C$16:$C$5015,$A27,Transaksi!$D$16:$D$5015,"Masuk",Transaksi!$B$16:$B$5015,"&lt;="&amp;EOMONTH(DATE(Dashboard!$C$4,5,1),0))-SUMIFS(Transaksi!$F$16:$F$5015,Transaksi!$C$16:$C$5015,$A27,Transaksi!$D$16:$D$5015,"Keluar",Transaksi!$B$16:$B$5015,"&lt;="&amp;EOMONTH(DATE(Dashboard!$C$4,5,1),0))-SUMIFS(Transaksi!$F$16:$F$5015,Transaksi!$C$16:$C$5015,$A27,Transaksi!$D$16:$D$5015,"Pindah",Transaksi!$B$16:$B$5015,"&lt;="&amp;EOMONTH(DATE(Dashboard!$C$4,5,1),0))+SUMIFS(Transaksi!$F$16:$F$5015,Transaksi!$E$16:$E$5015,$A27,Transaksi!$D$16:$D$5015,"Pindah",Transaksi!$B$16:$B$5015,"&lt;="&amp;EOMONTH(DATE(Dashboard!$C$4,5,1),0))))</f>
        <v/>
      </c>
      <c r="G27" s="106">
        <f>IF(DATE(Dashboard!$C$4,6,1)&gt;TODAY(),"",(SUMIFS(Akun!$C$5:$C$104,Akun!$A$5:$A$104,$A27,Akun!$D$5:$D$104,"&lt;="&amp;EOMONTH(DATE(Dashboard!$C$4,6,1),0))+SUMIFS(Transaksi!$F$16:$F$5015,Transaksi!$C$16:$C$5015,$A27,Transaksi!$D$16:$D$5015,"Masuk",Transaksi!$B$16:$B$5015,"&lt;="&amp;EOMONTH(DATE(Dashboard!$C$4,6,1),0))-SUMIFS(Transaksi!$F$16:$F$5015,Transaksi!$C$16:$C$5015,$A27,Transaksi!$D$16:$D$5015,"Keluar",Transaksi!$B$16:$B$5015,"&lt;="&amp;EOMONTH(DATE(Dashboard!$C$4,6,1),0))-SUMIFS(Transaksi!$F$16:$F$5015,Transaksi!$C$16:$C$5015,$A27,Transaksi!$D$16:$D$5015,"Pindah",Transaksi!$B$16:$B$5015,"&lt;="&amp;EOMONTH(DATE(Dashboard!$C$4,6,1),0))+SUMIFS(Transaksi!$F$16:$F$5015,Transaksi!$E$16:$E$5015,$A27,Transaksi!$D$16:$D$5015,"Pindah",Transaksi!$B$16:$B$5015,"&lt;="&amp;EOMONTH(DATE(Dashboard!$C$4,6,1),0))))</f>
        <v/>
      </c>
      <c r="H27" s="106">
        <f>IF(DATE(Dashboard!$C$4,7,1)&gt;TODAY(),"",(SUMIFS(Akun!$C$5:$C$104,Akun!$A$5:$A$104,$A27,Akun!$D$5:$D$104,"&lt;="&amp;EOMONTH(DATE(Dashboard!$C$4,7,1),0))+SUMIFS(Transaksi!$F$16:$F$5015,Transaksi!$C$16:$C$5015,$A27,Transaksi!$D$16:$D$5015,"Masuk",Transaksi!$B$16:$B$5015,"&lt;="&amp;EOMONTH(DATE(Dashboard!$C$4,7,1),0))-SUMIFS(Transaksi!$F$16:$F$5015,Transaksi!$C$16:$C$5015,$A27,Transaksi!$D$16:$D$5015,"Keluar",Transaksi!$B$16:$B$5015,"&lt;="&amp;EOMONTH(DATE(Dashboard!$C$4,7,1),0))-SUMIFS(Transaksi!$F$16:$F$5015,Transaksi!$C$16:$C$5015,$A27,Transaksi!$D$16:$D$5015,"Pindah",Transaksi!$B$16:$B$5015,"&lt;="&amp;EOMONTH(DATE(Dashboard!$C$4,7,1),0))+SUMIFS(Transaksi!$F$16:$F$5015,Transaksi!$E$16:$E$5015,$A27,Transaksi!$D$16:$D$5015,"Pindah",Transaksi!$B$16:$B$5015,"&lt;="&amp;EOMONTH(DATE(Dashboard!$C$4,7,1),0))))</f>
        <v/>
      </c>
      <c r="I27" s="106">
        <f>IF(DATE(Dashboard!$C$4,8,1)&gt;TODAY(),"",(SUMIFS(Akun!$C$5:$C$104,Akun!$A$5:$A$104,$A27,Akun!$D$5:$D$104,"&lt;="&amp;EOMONTH(DATE(Dashboard!$C$4,8,1),0))+SUMIFS(Transaksi!$F$16:$F$5015,Transaksi!$C$16:$C$5015,$A27,Transaksi!$D$16:$D$5015,"Masuk",Transaksi!$B$16:$B$5015,"&lt;="&amp;EOMONTH(DATE(Dashboard!$C$4,8,1),0))-SUMIFS(Transaksi!$F$16:$F$5015,Transaksi!$C$16:$C$5015,$A27,Transaksi!$D$16:$D$5015,"Keluar",Transaksi!$B$16:$B$5015,"&lt;="&amp;EOMONTH(DATE(Dashboard!$C$4,8,1),0))-SUMIFS(Transaksi!$F$16:$F$5015,Transaksi!$C$16:$C$5015,$A27,Transaksi!$D$16:$D$5015,"Pindah",Transaksi!$B$16:$B$5015,"&lt;="&amp;EOMONTH(DATE(Dashboard!$C$4,8,1),0))+SUMIFS(Transaksi!$F$16:$F$5015,Transaksi!$E$16:$E$5015,$A27,Transaksi!$D$16:$D$5015,"Pindah",Transaksi!$B$16:$B$5015,"&lt;="&amp;EOMONTH(DATE(Dashboard!$C$4,8,1),0))))</f>
        <v/>
      </c>
      <c r="J27" s="106">
        <f>IF(DATE(Dashboard!$C$4,9,1)&gt;TODAY(),"",(SUMIFS(Akun!$C$5:$C$104,Akun!$A$5:$A$104,$A27,Akun!$D$5:$D$104,"&lt;="&amp;EOMONTH(DATE(Dashboard!$C$4,9,1),0))+SUMIFS(Transaksi!$F$16:$F$5015,Transaksi!$C$16:$C$5015,$A27,Transaksi!$D$16:$D$5015,"Masuk",Transaksi!$B$16:$B$5015,"&lt;="&amp;EOMONTH(DATE(Dashboard!$C$4,9,1),0))-SUMIFS(Transaksi!$F$16:$F$5015,Transaksi!$C$16:$C$5015,$A27,Transaksi!$D$16:$D$5015,"Keluar",Transaksi!$B$16:$B$5015,"&lt;="&amp;EOMONTH(DATE(Dashboard!$C$4,9,1),0))-SUMIFS(Transaksi!$F$16:$F$5015,Transaksi!$C$16:$C$5015,$A27,Transaksi!$D$16:$D$5015,"Pindah",Transaksi!$B$16:$B$5015,"&lt;="&amp;EOMONTH(DATE(Dashboard!$C$4,9,1),0))+SUMIFS(Transaksi!$F$16:$F$5015,Transaksi!$E$16:$E$5015,$A27,Transaksi!$D$16:$D$5015,"Pindah",Transaksi!$B$16:$B$5015,"&lt;="&amp;EOMONTH(DATE(Dashboard!$C$4,9,1),0))))</f>
        <v/>
      </c>
      <c r="K27" s="106">
        <f>IF(DATE(Dashboard!$C$4,10,1)&gt;TODAY(),"",(SUMIFS(Akun!$C$5:$C$104,Akun!$A$5:$A$104,$A27,Akun!$D$5:$D$104,"&lt;="&amp;EOMONTH(DATE(Dashboard!$C$4,10,1),0))+SUMIFS(Transaksi!$F$16:$F$5015,Transaksi!$C$16:$C$5015,$A27,Transaksi!$D$16:$D$5015,"Masuk",Transaksi!$B$16:$B$5015,"&lt;="&amp;EOMONTH(DATE(Dashboard!$C$4,10,1),0))-SUMIFS(Transaksi!$F$16:$F$5015,Transaksi!$C$16:$C$5015,$A27,Transaksi!$D$16:$D$5015,"Keluar",Transaksi!$B$16:$B$5015,"&lt;="&amp;EOMONTH(DATE(Dashboard!$C$4,10,1),0))-SUMIFS(Transaksi!$F$16:$F$5015,Transaksi!$C$16:$C$5015,$A27,Transaksi!$D$16:$D$5015,"Pindah",Transaksi!$B$16:$B$5015,"&lt;="&amp;EOMONTH(DATE(Dashboard!$C$4,10,1),0))+SUMIFS(Transaksi!$F$16:$F$5015,Transaksi!$E$16:$E$5015,$A27,Transaksi!$D$16:$D$5015,"Pindah",Transaksi!$B$16:$B$5015,"&lt;="&amp;EOMONTH(DATE(Dashboard!$C$4,10,1),0))))</f>
        <v/>
      </c>
      <c r="L27" s="106">
        <f>IF(DATE(Dashboard!$C$4,11,1)&gt;TODAY(),"",(SUMIFS(Akun!$C$5:$C$104,Akun!$A$5:$A$104,$A27,Akun!$D$5:$D$104,"&lt;="&amp;EOMONTH(DATE(Dashboard!$C$4,11,1),0))+SUMIFS(Transaksi!$F$16:$F$5015,Transaksi!$C$16:$C$5015,$A27,Transaksi!$D$16:$D$5015,"Masuk",Transaksi!$B$16:$B$5015,"&lt;="&amp;EOMONTH(DATE(Dashboard!$C$4,11,1),0))-SUMIFS(Transaksi!$F$16:$F$5015,Transaksi!$C$16:$C$5015,$A27,Transaksi!$D$16:$D$5015,"Keluar",Transaksi!$B$16:$B$5015,"&lt;="&amp;EOMONTH(DATE(Dashboard!$C$4,11,1),0))-SUMIFS(Transaksi!$F$16:$F$5015,Transaksi!$C$16:$C$5015,$A27,Transaksi!$D$16:$D$5015,"Pindah",Transaksi!$B$16:$B$5015,"&lt;="&amp;EOMONTH(DATE(Dashboard!$C$4,11,1),0))+SUMIFS(Transaksi!$F$16:$F$5015,Transaksi!$E$16:$E$5015,$A27,Transaksi!$D$16:$D$5015,"Pindah",Transaksi!$B$16:$B$5015,"&lt;="&amp;EOMONTH(DATE(Dashboard!$C$4,11,1),0))))</f>
        <v/>
      </c>
      <c r="M27" s="106">
        <f>IF(DATE(Dashboard!$C$4,12,1)&gt;TODAY(),"",(SUMIFS(Akun!$C$5:$C$104,Akun!$A$5:$A$104,$A27,Akun!$D$5:$D$104,"&lt;="&amp;EOMONTH(DATE(Dashboard!$C$4,12,1),0))+SUMIFS(Transaksi!$F$16:$F$5015,Transaksi!$C$16:$C$5015,$A27,Transaksi!$D$16:$D$5015,"Masuk",Transaksi!$B$16:$B$5015,"&lt;="&amp;EOMONTH(DATE(Dashboard!$C$4,12,1),0))-SUMIFS(Transaksi!$F$16:$F$5015,Transaksi!$C$16:$C$5015,$A27,Transaksi!$D$16:$D$5015,"Keluar",Transaksi!$B$16:$B$5015,"&lt;="&amp;EOMONTH(DATE(Dashboard!$C$4,12,1),0))-SUMIFS(Transaksi!$F$16:$F$5015,Transaksi!$C$16:$C$5015,$A27,Transaksi!$D$16:$D$5015,"Pindah",Transaksi!$B$16:$B$5015,"&lt;="&amp;EOMONTH(DATE(Dashboard!$C$4,12,1),0))+SUMIFS(Transaksi!$F$16:$F$5015,Transaksi!$E$16:$E$5015,$A27,Transaksi!$D$16:$D$5015,"Pindah",Transaksi!$B$16:$B$5015,"&lt;="&amp;EOMONTH(DATE(Dashboard!$C$4,12,1),0))))</f>
        <v/>
      </c>
    </row>
    <row r="28" ht="15" customHeight="1" s="94">
      <c r="A28" s="127">
        <f>Akun!A6</f>
        <v/>
      </c>
      <c r="B28" s="106">
        <f>IF(DATE(Dashboard!$C$4,1,1)&gt;TODAY(),"",(SUMIFS(Akun!$C$5:$C$104,Akun!$A$5:$A$104,$A28,Akun!$D$5:$D$104,"&lt;="&amp;EOMONTH(DATE(Dashboard!$C$4,1,1),0))+SUMIFS(Transaksi!$F$16:$F$5015,Transaksi!$C$16:$C$5015,$A28,Transaksi!$D$16:$D$5015,"Masuk",Transaksi!$B$16:$B$5015,"&lt;="&amp;EOMONTH(DATE(Dashboard!$C$4,1,1),0))-SUMIFS(Transaksi!$F$16:$F$5015,Transaksi!$C$16:$C$5015,$A28,Transaksi!$D$16:$D$5015,"Keluar",Transaksi!$B$16:$B$5015,"&lt;="&amp;EOMONTH(DATE(Dashboard!$C$4,1,1),0))-SUMIFS(Transaksi!$F$16:$F$5015,Transaksi!$C$16:$C$5015,$A28,Transaksi!$D$16:$D$5015,"Pindah",Transaksi!$B$16:$B$5015,"&lt;="&amp;EOMONTH(DATE(Dashboard!$C$4,1,1),0))+SUMIFS(Transaksi!$F$16:$F$5015,Transaksi!$E$16:$E$5015,$A28,Transaksi!$D$16:$D$5015,"Pindah",Transaksi!$B$16:$B$5015,"&lt;="&amp;EOMONTH(DATE(Dashboard!$C$4,1,1),0))))</f>
        <v/>
      </c>
      <c r="C28" s="106">
        <f>IF(DATE(Dashboard!$C$4,2,1)&gt;TODAY(),"",(SUMIFS(Akun!$C$5:$C$104,Akun!$A$5:$A$104,$A28,Akun!$D$5:$D$104,"&lt;="&amp;EOMONTH(DATE(Dashboard!$C$4,2,1),0))+SUMIFS(Transaksi!$F$16:$F$5015,Transaksi!$C$16:$C$5015,$A28,Transaksi!$D$16:$D$5015,"Masuk",Transaksi!$B$16:$B$5015,"&lt;="&amp;EOMONTH(DATE(Dashboard!$C$4,2,1),0))-SUMIFS(Transaksi!$F$16:$F$5015,Transaksi!$C$16:$C$5015,$A28,Transaksi!$D$16:$D$5015,"Keluar",Transaksi!$B$16:$B$5015,"&lt;="&amp;EOMONTH(DATE(Dashboard!$C$4,2,1),0))-SUMIFS(Transaksi!$F$16:$F$5015,Transaksi!$C$16:$C$5015,$A28,Transaksi!$D$16:$D$5015,"Pindah",Transaksi!$B$16:$B$5015,"&lt;="&amp;EOMONTH(DATE(Dashboard!$C$4,2,1),0))+SUMIFS(Transaksi!$F$16:$F$5015,Transaksi!$E$16:$E$5015,$A28,Transaksi!$D$16:$D$5015,"Pindah",Transaksi!$B$16:$B$5015,"&lt;="&amp;EOMONTH(DATE(Dashboard!$C$4,2,1),0))))</f>
        <v/>
      </c>
      <c r="D28" s="106">
        <f>IF(DATE(Dashboard!$C$4,3,1)&gt;TODAY(),"",(SUMIFS(Akun!$C$5:$C$104,Akun!$A$5:$A$104,$A28,Akun!$D$5:$D$104,"&lt;="&amp;EOMONTH(DATE(Dashboard!$C$4,3,1),0))+SUMIFS(Transaksi!$F$16:$F$5015,Transaksi!$C$16:$C$5015,$A28,Transaksi!$D$16:$D$5015,"Masuk",Transaksi!$B$16:$B$5015,"&lt;="&amp;EOMONTH(DATE(Dashboard!$C$4,3,1),0))-SUMIFS(Transaksi!$F$16:$F$5015,Transaksi!$C$16:$C$5015,$A28,Transaksi!$D$16:$D$5015,"Keluar",Transaksi!$B$16:$B$5015,"&lt;="&amp;EOMONTH(DATE(Dashboard!$C$4,3,1),0))-SUMIFS(Transaksi!$F$16:$F$5015,Transaksi!$C$16:$C$5015,$A28,Transaksi!$D$16:$D$5015,"Pindah",Transaksi!$B$16:$B$5015,"&lt;="&amp;EOMONTH(DATE(Dashboard!$C$4,3,1),0))+SUMIFS(Transaksi!$F$16:$F$5015,Transaksi!$E$16:$E$5015,$A28,Transaksi!$D$16:$D$5015,"Pindah",Transaksi!$B$16:$B$5015,"&lt;="&amp;EOMONTH(DATE(Dashboard!$C$4,3,1),0))))</f>
        <v/>
      </c>
      <c r="E28" s="106">
        <f>IF(DATE(Dashboard!$C$4,4,1)&gt;TODAY(),"",(SUMIFS(Akun!$C$5:$C$104,Akun!$A$5:$A$104,$A28,Akun!$D$5:$D$104,"&lt;="&amp;EOMONTH(DATE(Dashboard!$C$4,4,1),0))+SUMIFS(Transaksi!$F$16:$F$5015,Transaksi!$C$16:$C$5015,$A28,Transaksi!$D$16:$D$5015,"Masuk",Transaksi!$B$16:$B$5015,"&lt;="&amp;EOMONTH(DATE(Dashboard!$C$4,4,1),0))-SUMIFS(Transaksi!$F$16:$F$5015,Transaksi!$C$16:$C$5015,$A28,Transaksi!$D$16:$D$5015,"Keluar",Transaksi!$B$16:$B$5015,"&lt;="&amp;EOMONTH(DATE(Dashboard!$C$4,4,1),0))-SUMIFS(Transaksi!$F$16:$F$5015,Transaksi!$C$16:$C$5015,$A28,Transaksi!$D$16:$D$5015,"Pindah",Transaksi!$B$16:$B$5015,"&lt;="&amp;EOMONTH(DATE(Dashboard!$C$4,4,1),0))+SUMIFS(Transaksi!$F$16:$F$5015,Transaksi!$E$16:$E$5015,$A28,Transaksi!$D$16:$D$5015,"Pindah",Transaksi!$B$16:$B$5015,"&lt;="&amp;EOMONTH(DATE(Dashboard!$C$4,4,1),0))))</f>
        <v/>
      </c>
      <c r="F28" s="106">
        <f>IF(DATE(Dashboard!$C$4,5,1)&gt;TODAY(),"",(SUMIFS(Akun!$C$5:$C$104,Akun!$A$5:$A$104,$A28,Akun!$D$5:$D$104,"&lt;="&amp;EOMONTH(DATE(Dashboard!$C$4,5,1),0))+SUMIFS(Transaksi!$F$16:$F$5015,Transaksi!$C$16:$C$5015,$A28,Transaksi!$D$16:$D$5015,"Masuk",Transaksi!$B$16:$B$5015,"&lt;="&amp;EOMONTH(DATE(Dashboard!$C$4,5,1),0))-SUMIFS(Transaksi!$F$16:$F$5015,Transaksi!$C$16:$C$5015,$A28,Transaksi!$D$16:$D$5015,"Keluar",Transaksi!$B$16:$B$5015,"&lt;="&amp;EOMONTH(DATE(Dashboard!$C$4,5,1),0))-SUMIFS(Transaksi!$F$16:$F$5015,Transaksi!$C$16:$C$5015,$A28,Transaksi!$D$16:$D$5015,"Pindah",Transaksi!$B$16:$B$5015,"&lt;="&amp;EOMONTH(DATE(Dashboard!$C$4,5,1),0))+SUMIFS(Transaksi!$F$16:$F$5015,Transaksi!$E$16:$E$5015,$A28,Transaksi!$D$16:$D$5015,"Pindah",Transaksi!$B$16:$B$5015,"&lt;="&amp;EOMONTH(DATE(Dashboard!$C$4,5,1),0))))</f>
        <v/>
      </c>
      <c r="G28" s="106">
        <f>IF(DATE(Dashboard!$C$4,6,1)&gt;TODAY(),"",(SUMIFS(Akun!$C$5:$C$104,Akun!$A$5:$A$104,$A28,Akun!$D$5:$D$104,"&lt;="&amp;EOMONTH(DATE(Dashboard!$C$4,6,1),0))+SUMIFS(Transaksi!$F$16:$F$5015,Transaksi!$C$16:$C$5015,$A28,Transaksi!$D$16:$D$5015,"Masuk",Transaksi!$B$16:$B$5015,"&lt;="&amp;EOMONTH(DATE(Dashboard!$C$4,6,1),0))-SUMIFS(Transaksi!$F$16:$F$5015,Transaksi!$C$16:$C$5015,$A28,Transaksi!$D$16:$D$5015,"Keluar",Transaksi!$B$16:$B$5015,"&lt;="&amp;EOMONTH(DATE(Dashboard!$C$4,6,1),0))-SUMIFS(Transaksi!$F$16:$F$5015,Transaksi!$C$16:$C$5015,$A28,Transaksi!$D$16:$D$5015,"Pindah",Transaksi!$B$16:$B$5015,"&lt;="&amp;EOMONTH(DATE(Dashboard!$C$4,6,1),0))+SUMIFS(Transaksi!$F$16:$F$5015,Transaksi!$E$16:$E$5015,$A28,Transaksi!$D$16:$D$5015,"Pindah",Transaksi!$B$16:$B$5015,"&lt;="&amp;EOMONTH(DATE(Dashboard!$C$4,6,1),0))))</f>
        <v/>
      </c>
      <c r="H28" s="106">
        <f>IF(DATE(Dashboard!$C$4,7,1)&gt;TODAY(),"",(SUMIFS(Akun!$C$5:$C$104,Akun!$A$5:$A$104,$A28,Akun!$D$5:$D$104,"&lt;="&amp;EOMONTH(DATE(Dashboard!$C$4,7,1),0))+SUMIFS(Transaksi!$F$16:$F$5015,Transaksi!$C$16:$C$5015,$A28,Transaksi!$D$16:$D$5015,"Masuk",Transaksi!$B$16:$B$5015,"&lt;="&amp;EOMONTH(DATE(Dashboard!$C$4,7,1),0))-SUMIFS(Transaksi!$F$16:$F$5015,Transaksi!$C$16:$C$5015,$A28,Transaksi!$D$16:$D$5015,"Keluar",Transaksi!$B$16:$B$5015,"&lt;="&amp;EOMONTH(DATE(Dashboard!$C$4,7,1),0))-SUMIFS(Transaksi!$F$16:$F$5015,Transaksi!$C$16:$C$5015,$A28,Transaksi!$D$16:$D$5015,"Pindah",Transaksi!$B$16:$B$5015,"&lt;="&amp;EOMONTH(DATE(Dashboard!$C$4,7,1),0))+SUMIFS(Transaksi!$F$16:$F$5015,Transaksi!$E$16:$E$5015,$A28,Transaksi!$D$16:$D$5015,"Pindah",Transaksi!$B$16:$B$5015,"&lt;="&amp;EOMONTH(DATE(Dashboard!$C$4,7,1),0))))</f>
        <v/>
      </c>
      <c r="I28" s="106">
        <f>IF(DATE(Dashboard!$C$4,8,1)&gt;TODAY(),"",(SUMIFS(Akun!$C$5:$C$104,Akun!$A$5:$A$104,$A28,Akun!$D$5:$D$104,"&lt;="&amp;EOMONTH(DATE(Dashboard!$C$4,8,1),0))+SUMIFS(Transaksi!$F$16:$F$5015,Transaksi!$C$16:$C$5015,$A28,Transaksi!$D$16:$D$5015,"Masuk",Transaksi!$B$16:$B$5015,"&lt;="&amp;EOMONTH(DATE(Dashboard!$C$4,8,1),0))-SUMIFS(Transaksi!$F$16:$F$5015,Transaksi!$C$16:$C$5015,$A28,Transaksi!$D$16:$D$5015,"Keluar",Transaksi!$B$16:$B$5015,"&lt;="&amp;EOMONTH(DATE(Dashboard!$C$4,8,1),0))-SUMIFS(Transaksi!$F$16:$F$5015,Transaksi!$C$16:$C$5015,$A28,Transaksi!$D$16:$D$5015,"Pindah",Transaksi!$B$16:$B$5015,"&lt;="&amp;EOMONTH(DATE(Dashboard!$C$4,8,1),0))+SUMIFS(Transaksi!$F$16:$F$5015,Transaksi!$E$16:$E$5015,$A28,Transaksi!$D$16:$D$5015,"Pindah",Transaksi!$B$16:$B$5015,"&lt;="&amp;EOMONTH(DATE(Dashboard!$C$4,8,1),0))))</f>
        <v/>
      </c>
      <c r="J28" s="106">
        <f>IF(DATE(Dashboard!$C$4,9,1)&gt;TODAY(),"",(SUMIFS(Akun!$C$5:$C$104,Akun!$A$5:$A$104,$A28,Akun!$D$5:$D$104,"&lt;="&amp;EOMONTH(DATE(Dashboard!$C$4,9,1),0))+SUMIFS(Transaksi!$F$16:$F$5015,Transaksi!$C$16:$C$5015,$A28,Transaksi!$D$16:$D$5015,"Masuk",Transaksi!$B$16:$B$5015,"&lt;="&amp;EOMONTH(DATE(Dashboard!$C$4,9,1),0))-SUMIFS(Transaksi!$F$16:$F$5015,Transaksi!$C$16:$C$5015,$A28,Transaksi!$D$16:$D$5015,"Keluar",Transaksi!$B$16:$B$5015,"&lt;="&amp;EOMONTH(DATE(Dashboard!$C$4,9,1),0))-SUMIFS(Transaksi!$F$16:$F$5015,Transaksi!$C$16:$C$5015,$A28,Transaksi!$D$16:$D$5015,"Pindah",Transaksi!$B$16:$B$5015,"&lt;="&amp;EOMONTH(DATE(Dashboard!$C$4,9,1),0))+SUMIFS(Transaksi!$F$16:$F$5015,Transaksi!$E$16:$E$5015,$A28,Transaksi!$D$16:$D$5015,"Pindah",Transaksi!$B$16:$B$5015,"&lt;="&amp;EOMONTH(DATE(Dashboard!$C$4,9,1),0))))</f>
        <v/>
      </c>
      <c r="K28" s="106">
        <f>IF(DATE(Dashboard!$C$4,10,1)&gt;TODAY(),"",(SUMIFS(Akun!$C$5:$C$104,Akun!$A$5:$A$104,$A28,Akun!$D$5:$D$104,"&lt;="&amp;EOMONTH(DATE(Dashboard!$C$4,10,1),0))+SUMIFS(Transaksi!$F$16:$F$5015,Transaksi!$C$16:$C$5015,$A28,Transaksi!$D$16:$D$5015,"Masuk",Transaksi!$B$16:$B$5015,"&lt;="&amp;EOMONTH(DATE(Dashboard!$C$4,10,1),0))-SUMIFS(Transaksi!$F$16:$F$5015,Transaksi!$C$16:$C$5015,$A28,Transaksi!$D$16:$D$5015,"Keluar",Transaksi!$B$16:$B$5015,"&lt;="&amp;EOMONTH(DATE(Dashboard!$C$4,10,1),0))-SUMIFS(Transaksi!$F$16:$F$5015,Transaksi!$C$16:$C$5015,$A28,Transaksi!$D$16:$D$5015,"Pindah",Transaksi!$B$16:$B$5015,"&lt;="&amp;EOMONTH(DATE(Dashboard!$C$4,10,1),0))+SUMIFS(Transaksi!$F$16:$F$5015,Transaksi!$E$16:$E$5015,$A28,Transaksi!$D$16:$D$5015,"Pindah",Transaksi!$B$16:$B$5015,"&lt;="&amp;EOMONTH(DATE(Dashboard!$C$4,10,1),0))))</f>
        <v/>
      </c>
      <c r="L28" s="106">
        <f>IF(DATE(Dashboard!$C$4,11,1)&gt;TODAY(),"",(SUMIFS(Akun!$C$5:$C$104,Akun!$A$5:$A$104,$A28,Akun!$D$5:$D$104,"&lt;="&amp;EOMONTH(DATE(Dashboard!$C$4,11,1),0))+SUMIFS(Transaksi!$F$16:$F$5015,Transaksi!$C$16:$C$5015,$A28,Transaksi!$D$16:$D$5015,"Masuk",Transaksi!$B$16:$B$5015,"&lt;="&amp;EOMONTH(DATE(Dashboard!$C$4,11,1),0))-SUMIFS(Transaksi!$F$16:$F$5015,Transaksi!$C$16:$C$5015,$A28,Transaksi!$D$16:$D$5015,"Keluar",Transaksi!$B$16:$B$5015,"&lt;="&amp;EOMONTH(DATE(Dashboard!$C$4,11,1),0))-SUMIFS(Transaksi!$F$16:$F$5015,Transaksi!$C$16:$C$5015,$A28,Transaksi!$D$16:$D$5015,"Pindah",Transaksi!$B$16:$B$5015,"&lt;="&amp;EOMONTH(DATE(Dashboard!$C$4,11,1),0))+SUMIFS(Transaksi!$F$16:$F$5015,Transaksi!$E$16:$E$5015,$A28,Transaksi!$D$16:$D$5015,"Pindah",Transaksi!$B$16:$B$5015,"&lt;="&amp;EOMONTH(DATE(Dashboard!$C$4,11,1),0))))</f>
        <v/>
      </c>
      <c r="M28" s="106">
        <f>IF(DATE(Dashboard!$C$4,12,1)&gt;TODAY(),"",(SUMIFS(Akun!$C$5:$C$104,Akun!$A$5:$A$104,$A28,Akun!$D$5:$D$104,"&lt;="&amp;EOMONTH(DATE(Dashboard!$C$4,12,1),0))+SUMIFS(Transaksi!$F$16:$F$5015,Transaksi!$C$16:$C$5015,$A28,Transaksi!$D$16:$D$5015,"Masuk",Transaksi!$B$16:$B$5015,"&lt;="&amp;EOMONTH(DATE(Dashboard!$C$4,12,1),0))-SUMIFS(Transaksi!$F$16:$F$5015,Transaksi!$C$16:$C$5015,$A28,Transaksi!$D$16:$D$5015,"Keluar",Transaksi!$B$16:$B$5015,"&lt;="&amp;EOMONTH(DATE(Dashboard!$C$4,12,1),0))-SUMIFS(Transaksi!$F$16:$F$5015,Transaksi!$C$16:$C$5015,$A28,Transaksi!$D$16:$D$5015,"Pindah",Transaksi!$B$16:$B$5015,"&lt;="&amp;EOMONTH(DATE(Dashboard!$C$4,12,1),0))+SUMIFS(Transaksi!$F$16:$F$5015,Transaksi!$E$16:$E$5015,$A28,Transaksi!$D$16:$D$5015,"Pindah",Transaksi!$B$16:$B$5015,"&lt;="&amp;EOMONTH(DATE(Dashboard!$C$4,12,1),0))))</f>
        <v/>
      </c>
    </row>
    <row r="29" ht="15" customHeight="1" s="94">
      <c r="A29" s="127">
        <f>Akun!A7</f>
        <v/>
      </c>
      <c r="B29" s="106">
        <f>IF(DATE(Dashboard!$C$4,1,1)&gt;TODAY(),"",(SUMIFS(Akun!$C$5:$C$104,Akun!$A$5:$A$104,$A29,Akun!$D$5:$D$104,"&lt;="&amp;EOMONTH(DATE(Dashboard!$C$4,1,1),0))+SUMIFS(Transaksi!$F$16:$F$5015,Transaksi!$C$16:$C$5015,$A29,Transaksi!$D$16:$D$5015,"Masuk",Transaksi!$B$16:$B$5015,"&lt;="&amp;EOMONTH(DATE(Dashboard!$C$4,1,1),0))-SUMIFS(Transaksi!$F$16:$F$5015,Transaksi!$C$16:$C$5015,$A29,Transaksi!$D$16:$D$5015,"Keluar",Transaksi!$B$16:$B$5015,"&lt;="&amp;EOMONTH(DATE(Dashboard!$C$4,1,1),0))-SUMIFS(Transaksi!$F$16:$F$5015,Transaksi!$C$16:$C$5015,$A29,Transaksi!$D$16:$D$5015,"Pindah",Transaksi!$B$16:$B$5015,"&lt;="&amp;EOMONTH(DATE(Dashboard!$C$4,1,1),0))+SUMIFS(Transaksi!$F$16:$F$5015,Transaksi!$E$16:$E$5015,$A29,Transaksi!$D$16:$D$5015,"Pindah",Transaksi!$B$16:$B$5015,"&lt;="&amp;EOMONTH(DATE(Dashboard!$C$4,1,1),0))))</f>
        <v/>
      </c>
      <c r="C29" s="106">
        <f>IF(DATE(Dashboard!$C$4,2,1)&gt;TODAY(),"",(SUMIFS(Akun!$C$5:$C$104,Akun!$A$5:$A$104,$A29,Akun!$D$5:$D$104,"&lt;="&amp;EOMONTH(DATE(Dashboard!$C$4,2,1),0))+SUMIFS(Transaksi!$F$16:$F$5015,Transaksi!$C$16:$C$5015,$A29,Transaksi!$D$16:$D$5015,"Masuk",Transaksi!$B$16:$B$5015,"&lt;="&amp;EOMONTH(DATE(Dashboard!$C$4,2,1),0))-SUMIFS(Transaksi!$F$16:$F$5015,Transaksi!$C$16:$C$5015,$A29,Transaksi!$D$16:$D$5015,"Keluar",Transaksi!$B$16:$B$5015,"&lt;="&amp;EOMONTH(DATE(Dashboard!$C$4,2,1),0))-SUMIFS(Transaksi!$F$16:$F$5015,Transaksi!$C$16:$C$5015,$A29,Transaksi!$D$16:$D$5015,"Pindah",Transaksi!$B$16:$B$5015,"&lt;="&amp;EOMONTH(DATE(Dashboard!$C$4,2,1),0))+SUMIFS(Transaksi!$F$16:$F$5015,Transaksi!$E$16:$E$5015,$A29,Transaksi!$D$16:$D$5015,"Pindah",Transaksi!$B$16:$B$5015,"&lt;="&amp;EOMONTH(DATE(Dashboard!$C$4,2,1),0))))</f>
        <v/>
      </c>
      <c r="D29" s="106">
        <f>IF(DATE(Dashboard!$C$4,3,1)&gt;TODAY(),"",(SUMIFS(Akun!$C$5:$C$104,Akun!$A$5:$A$104,$A29,Akun!$D$5:$D$104,"&lt;="&amp;EOMONTH(DATE(Dashboard!$C$4,3,1),0))+SUMIFS(Transaksi!$F$16:$F$5015,Transaksi!$C$16:$C$5015,$A29,Transaksi!$D$16:$D$5015,"Masuk",Transaksi!$B$16:$B$5015,"&lt;="&amp;EOMONTH(DATE(Dashboard!$C$4,3,1),0))-SUMIFS(Transaksi!$F$16:$F$5015,Transaksi!$C$16:$C$5015,$A29,Transaksi!$D$16:$D$5015,"Keluar",Transaksi!$B$16:$B$5015,"&lt;="&amp;EOMONTH(DATE(Dashboard!$C$4,3,1),0))-SUMIFS(Transaksi!$F$16:$F$5015,Transaksi!$C$16:$C$5015,$A29,Transaksi!$D$16:$D$5015,"Pindah",Transaksi!$B$16:$B$5015,"&lt;="&amp;EOMONTH(DATE(Dashboard!$C$4,3,1),0))+SUMIFS(Transaksi!$F$16:$F$5015,Transaksi!$E$16:$E$5015,$A29,Transaksi!$D$16:$D$5015,"Pindah",Transaksi!$B$16:$B$5015,"&lt;="&amp;EOMONTH(DATE(Dashboard!$C$4,3,1),0))))</f>
        <v/>
      </c>
      <c r="E29" s="106">
        <f>IF(DATE(Dashboard!$C$4,4,1)&gt;TODAY(),"",(SUMIFS(Akun!$C$5:$C$104,Akun!$A$5:$A$104,$A29,Akun!$D$5:$D$104,"&lt;="&amp;EOMONTH(DATE(Dashboard!$C$4,4,1),0))+SUMIFS(Transaksi!$F$16:$F$5015,Transaksi!$C$16:$C$5015,$A29,Transaksi!$D$16:$D$5015,"Masuk",Transaksi!$B$16:$B$5015,"&lt;="&amp;EOMONTH(DATE(Dashboard!$C$4,4,1),0))-SUMIFS(Transaksi!$F$16:$F$5015,Transaksi!$C$16:$C$5015,$A29,Transaksi!$D$16:$D$5015,"Keluar",Transaksi!$B$16:$B$5015,"&lt;="&amp;EOMONTH(DATE(Dashboard!$C$4,4,1),0))-SUMIFS(Transaksi!$F$16:$F$5015,Transaksi!$C$16:$C$5015,$A29,Transaksi!$D$16:$D$5015,"Pindah",Transaksi!$B$16:$B$5015,"&lt;="&amp;EOMONTH(DATE(Dashboard!$C$4,4,1),0))+SUMIFS(Transaksi!$F$16:$F$5015,Transaksi!$E$16:$E$5015,$A29,Transaksi!$D$16:$D$5015,"Pindah",Transaksi!$B$16:$B$5015,"&lt;="&amp;EOMONTH(DATE(Dashboard!$C$4,4,1),0))))</f>
        <v/>
      </c>
      <c r="F29" s="106">
        <f>IF(DATE(Dashboard!$C$4,5,1)&gt;TODAY(),"",(SUMIFS(Akun!$C$5:$C$104,Akun!$A$5:$A$104,$A29,Akun!$D$5:$D$104,"&lt;="&amp;EOMONTH(DATE(Dashboard!$C$4,5,1),0))+SUMIFS(Transaksi!$F$16:$F$5015,Transaksi!$C$16:$C$5015,$A29,Transaksi!$D$16:$D$5015,"Masuk",Transaksi!$B$16:$B$5015,"&lt;="&amp;EOMONTH(DATE(Dashboard!$C$4,5,1),0))-SUMIFS(Transaksi!$F$16:$F$5015,Transaksi!$C$16:$C$5015,$A29,Transaksi!$D$16:$D$5015,"Keluar",Transaksi!$B$16:$B$5015,"&lt;="&amp;EOMONTH(DATE(Dashboard!$C$4,5,1),0))-SUMIFS(Transaksi!$F$16:$F$5015,Transaksi!$C$16:$C$5015,$A29,Transaksi!$D$16:$D$5015,"Pindah",Transaksi!$B$16:$B$5015,"&lt;="&amp;EOMONTH(DATE(Dashboard!$C$4,5,1),0))+SUMIFS(Transaksi!$F$16:$F$5015,Transaksi!$E$16:$E$5015,$A29,Transaksi!$D$16:$D$5015,"Pindah",Transaksi!$B$16:$B$5015,"&lt;="&amp;EOMONTH(DATE(Dashboard!$C$4,5,1),0))))</f>
        <v/>
      </c>
      <c r="G29" s="106">
        <f>IF(DATE(Dashboard!$C$4,6,1)&gt;TODAY(),"",(SUMIFS(Akun!$C$5:$C$104,Akun!$A$5:$A$104,$A29,Akun!$D$5:$D$104,"&lt;="&amp;EOMONTH(DATE(Dashboard!$C$4,6,1),0))+SUMIFS(Transaksi!$F$16:$F$5015,Transaksi!$C$16:$C$5015,$A29,Transaksi!$D$16:$D$5015,"Masuk",Transaksi!$B$16:$B$5015,"&lt;="&amp;EOMONTH(DATE(Dashboard!$C$4,6,1),0))-SUMIFS(Transaksi!$F$16:$F$5015,Transaksi!$C$16:$C$5015,$A29,Transaksi!$D$16:$D$5015,"Keluar",Transaksi!$B$16:$B$5015,"&lt;="&amp;EOMONTH(DATE(Dashboard!$C$4,6,1),0))-SUMIFS(Transaksi!$F$16:$F$5015,Transaksi!$C$16:$C$5015,$A29,Transaksi!$D$16:$D$5015,"Pindah",Transaksi!$B$16:$B$5015,"&lt;="&amp;EOMONTH(DATE(Dashboard!$C$4,6,1),0))+SUMIFS(Transaksi!$F$16:$F$5015,Transaksi!$E$16:$E$5015,$A29,Transaksi!$D$16:$D$5015,"Pindah",Transaksi!$B$16:$B$5015,"&lt;="&amp;EOMONTH(DATE(Dashboard!$C$4,6,1),0))))</f>
        <v/>
      </c>
      <c r="H29" s="106">
        <f>IF(DATE(Dashboard!$C$4,7,1)&gt;TODAY(),"",(SUMIFS(Akun!$C$5:$C$104,Akun!$A$5:$A$104,$A29,Akun!$D$5:$D$104,"&lt;="&amp;EOMONTH(DATE(Dashboard!$C$4,7,1),0))+SUMIFS(Transaksi!$F$16:$F$5015,Transaksi!$C$16:$C$5015,$A29,Transaksi!$D$16:$D$5015,"Masuk",Transaksi!$B$16:$B$5015,"&lt;="&amp;EOMONTH(DATE(Dashboard!$C$4,7,1),0))-SUMIFS(Transaksi!$F$16:$F$5015,Transaksi!$C$16:$C$5015,$A29,Transaksi!$D$16:$D$5015,"Keluar",Transaksi!$B$16:$B$5015,"&lt;="&amp;EOMONTH(DATE(Dashboard!$C$4,7,1),0))-SUMIFS(Transaksi!$F$16:$F$5015,Transaksi!$C$16:$C$5015,$A29,Transaksi!$D$16:$D$5015,"Pindah",Transaksi!$B$16:$B$5015,"&lt;="&amp;EOMONTH(DATE(Dashboard!$C$4,7,1),0))+SUMIFS(Transaksi!$F$16:$F$5015,Transaksi!$E$16:$E$5015,$A29,Transaksi!$D$16:$D$5015,"Pindah",Transaksi!$B$16:$B$5015,"&lt;="&amp;EOMONTH(DATE(Dashboard!$C$4,7,1),0))))</f>
        <v/>
      </c>
      <c r="I29" s="106">
        <f>IF(DATE(Dashboard!$C$4,8,1)&gt;TODAY(),"",(SUMIFS(Akun!$C$5:$C$104,Akun!$A$5:$A$104,$A29,Akun!$D$5:$D$104,"&lt;="&amp;EOMONTH(DATE(Dashboard!$C$4,8,1),0))+SUMIFS(Transaksi!$F$16:$F$5015,Transaksi!$C$16:$C$5015,$A29,Transaksi!$D$16:$D$5015,"Masuk",Transaksi!$B$16:$B$5015,"&lt;="&amp;EOMONTH(DATE(Dashboard!$C$4,8,1),0))-SUMIFS(Transaksi!$F$16:$F$5015,Transaksi!$C$16:$C$5015,$A29,Transaksi!$D$16:$D$5015,"Keluar",Transaksi!$B$16:$B$5015,"&lt;="&amp;EOMONTH(DATE(Dashboard!$C$4,8,1),0))-SUMIFS(Transaksi!$F$16:$F$5015,Transaksi!$C$16:$C$5015,$A29,Transaksi!$D$16:$D$5015,"Pindah",Transaksi!$B$16:$B$5015,"&lt;="&amp;EOMONTH(DATE(Dashboard!$C$4,8,1),0))+SUMIFS(Transaksi!$F$16:$F$5015,Transaksi!$E$16:$E$5015,$A29,Transaksi!$D$16:$D$5015,"Pindah",Transaksi!$B$16:$B$5015,"&lt;="&amp;EOMONTH(DATE(Dashboard!$C$4,8,1),0))))</f>
        <v/>
      </c>
      <c r="J29" s="106">
        <f>IF(DATE(Dashboard!$C$4,9,1)&gt;TODAY(),"",(SUMIFS(Akun!$C$5:$C$104,Akun!$A$5:$A$104,$A29,Akun!$D$5:$D$104,"&lt;="&amp;EOMONTH(DATE(Dashboard!$C$4,9,1),0))+SUMIFS(Transaksi!$F$16:$F$5015,Transaksi!$C$16:$C$5015,$A29,Transaksi!$D$16:$D$5015,"Masuk",Transaksi!$B$16:$B$5015,"&lt;="&amp;EOMONTH(DATE(Dashboard!$C$4,9,1),0))-SUMIFS(Transaksi!$F$16:$F$5015,Transaksi!$C$16:$C$5015,$A29,Transaksi!$D$16:$D$5015,"Keluar",Transaksi!$B$16:$B$5015,"&lt;="&amp;EOMONTH(DATE(Dashboard!$C$4,9,1),0))-SUMIFS(Transaksi!$F$16:$F$5015,Transaksi!$C$16:$C$5015,$A29,Transaksi!$D$16:$D$5015,"Pindah",Transaksi!$B$16:$B$5015,"&lt;="&amp;EOMONTH(DATE(Dashboard!$C$4,9,1),0))+SUMIFS(Transaksi!$F$16:$F$5015,Transaksi!$E$16:$E$5015,$A29,Transaksi!$D$16:$D$5015,"Pindah",Transaksi!$B$16:$B$5015,"&lt;="&amp;EOMONTH(DATE(Dashboard!$C$4,9,1),0))))</f>
        <v/>
      </c>
      <c r="K29" s="106">
        <f>IF(DATE(Dashboard!$C$4,10,1)&gt;TODAY(),"",(SUMIFS(Akun!$C$5:$C$104,Akun!$A$5:$A$104,$A29,Akun!$D$5:$D$104,"&lt;="&amp;EOMONTH(DATE(Dashboard!$C$4,10,1),0))+SUMIFS(Transaksi!$F$16:$F$5015,Transaksi!$C$16:$C$5015,$A29,Transaksi!$D$16:$D$5015,"Masuk",Transaksi!$B$16:$B$5015,"&lt;="&amp;EOMONTH(DATE(Dashboard!$C$4,10,1),0))-SUMIFS(Transaksi!$F$16:$F$5015,Transaksi!$C$16:$C$5015,$A29,Transaksi!$D$16:$D$5015,"Keluar",Transaksi!$B$16:$B$5015,"&lt;="&amp;EOMONTH(DATE(Dashboard!$C$4,10,1),0))-SUMIFS(Transaksi!$F$16:$F$5015,Transaksi!$C$16:$C$5015,$A29,Transaksi!$D$16:$D$5015,"Pindah",Transaksi!$B$16:$B$5015,"&lt;="&amp;EOMONTH(DATE(Dashboard!$C$4,10,1),0))+SUMIFS(Transaksi!$F$16:$F$5015,Transaksi!$E$16:$E$5015,$A29,Transaksi!$D$16:$D$5015,"Pindah",Transaksi!$B$16:$B$5015,"&lt;="&amp;EOMONTH(DATE(Dashboard!$C$4,10,1),0))))</f>
        <v/>
      </c>
      <c r="L29" s="106">
        <f>IF(DATE(Dashboard!$C$4,11,1)&gt;TODAY(),"",(SUMIFS(Akun!$C$5:$C$104,Akun!$A$5:$A$104,$A29,Akun!$D$5:$D$104,"&lt;="&amp;EOMONTH(DATE(Dashboard!$C$4,11,1),0))+SUMIFS(Transaksi!$F$16:$F$5015,Transaksi!$C$16:$C$5015,$A29,Transaksi!$D$16:$D$5015,"Masuk",Transaksi!$B$16:$B$5015,"&lt;="&amp;EOMONTH(DATE(Dashboard!$C$4,11,1),0))-SUMIFS(Transaksi!$F$16:$F$5015,Transaksi!$C$16:$C$5015,$A29,Transaksi!$D$16:$D$5015,"Keluar",Transaksi!$B$16:$B$5015,"&lt;="&amp;EOMONTH(DATE(Dashboard!$C$4,11,1),0))-SUMIFS(Transaksi!$F$16:$F$5015,Transaksi!$C$16:$C$5015,$A29,Transaksi!$D$16:$D$5015,"Pindah",Transaksi!$B$16:$B$5015,"&lt;="&amp;EOMONTH(DATE(Dashboard!$C$4,11,1),0))+SUMIFS(Transaksi!$F$16:$F$5015,Transaksi!$E$16:$E$5015,$A29,Transaksi!$D$16:$D$5015,"Pindah",Transaksi!$B$16:$B$5015,"&lt;="&amp;EOMONTH(DATE(Dashboard!$C$4,11,1),0))))</f>
        <v/>
      </c>
      <c r="M29" s="106">
        <f>IF(DATE(Dashboard!$C$4,12,1)&gt;TODAY(),"",(SUMIFS(Akun!$C$5:$C$104,Akun!$A$5:$A$104,$A29,Akun!$D$5:$D$104,"&lt;="&amp;EOMONTH(DATE(Dashboard!$C$4,12,1),0))+SUMIFS(Transaksi!$F$16:$F$5015,Transaksi!$C$16:$C$5015,$A29,Transaksi!$D$16:$D$5015,"Masuk",Transaksi!$B$16:$B$5015,"&lt;="&amp;EOMONTH(DATE(Dashboard!$C$4,12,1),0))-SUMIFS(Transaksi!$F$16:$F$5015,Transaksi!$C$16:$C$5015,$A29,Transaksi!$D$16:$D$5015,"Keluar",Transaksi!$B$16:$B$5015,"&lt;="&amp;EOMONTH(DATE(Dashboard!$C$4,12,1),0))-SUMIFS(Transaksi!$F$16:$F$5015,Transaksi!$C$16:$C$5015,$A29,Transaksi!$D$16:$D$5015,"Pindah",Transaksi!$B$16:$B$5015,"&lt;="&amp;EOMONTH(DATE(Dashboard!$C$4,12,1),0))+SUMIFS(Transaksi!$F$16:$F$5015,Transaksi!$E$16:$E$5015,$A29,Transaksi!$D$16:$D$5015,"Pindah",Transaksi!$B$16:$B$5015,"&lt;="&amp;EOMONTH(DATE(Dashboard!$C$4,12,1),0))))</f>
        <v/>
      </c>
    </row>
    <row r="30" ht="15" customHeight="1" s="94">
      <c r="A30" s="127">
        <f>Akun!A8</f>
        <v/>
      </c>
      <c r="B30" s="106">
        <f>IF(DATE(Dashboard!$C$4,1,1)&gt;TODAY(),"",(SUMIFS(Akun!$C$5:$C$104,Akun!$A$5:$A$104,$A30,Akun!$D$5:$D$104,"&lt;="&amp;EOMONTH(DATE(Dashboard!$C$4,1,1),0))+SUMIFS(Transaksi!$F$16:$F$5015,Transaksi!$C$16:$C$5015,$A30,Transaksi!$D$16:$D$5015,"Masuk",Transaksi!$B$16:$B$5015,"&lt;="&amp;EOMONTH(DATE(Dashboard!$C$4,1,1),0))-SUMIFS(Transaksi!$F$16:$F$5015,Transaksi!$C$16:$C$5015,$A30,Transaksi!$D$16:$D$5015,"Keluar",Transaksi!$B$16:$B$5015,"&lt;="&amp;EOMONTH(DATE(Dashboard!$C$4,1,1),0))-SUMIFS(Transaksi!$F$16:$F$5015,Transaksi!$C$16:$C$5015,$A30,Transaksi!$D$16:$D$5015,"Pindah",Transaksi!$B$16:$B$5015,"&lt;="&amp;EOMONTH(DATE(Dashboard!$C$4,1,1),0))+SUMIFS(Transaksi!$F$16:$F$5015,Transaksi!$E$16:$E$5015,$A30,Transaksi!$D$16:$D$5015,"Pindah",Transaksi!$B$16:$B$5015,"&lt;="&amp;EOMONTH(DATE(Dashboard!$C$4,1,1),0))))</f>
        <v/>
      </c>
      <c r="C30" s="106">
        <f>IF(DATE(Dashboard!$C$4,2,1)&gt;TODAY(),"",(SUMIFS(Akun!$C$5:$C$104,Akun!$A$5:$A$104,$A30,Akun!$D$5:$D$104,"&lt;="&amp;EOMONTH(DATE(Dashboard!$C$4,2,1),0))+SUMIFS(Transaksi!$F$16:$F$5015,Transaksi!$C$16:$C$5015,$A30,Transaksi!$D$16:$D$5015,"Masuk",Transaksi!$B$16:$B$5015,"&lt;="&amp;EOMONTH(DATE(Dashboard!$C$4,2,1),0))-SUMIFS(Transaksi!$F$16:$F$5015,Transaksi!$C$16:$C$5015,$A30,Transaksi!$D$16:$D$5015,"Keluar",Transaksi!$B$16:$B$5015,"&lt;="&amp;EOMONTH(DATE(Dashboard!$C$4,2,1),0))-SUMIFS(Transaksi!$F$16:$F$5015,Transaksi!$C$16:$C$5015,$A30,Transaksi!$D$16:$D$5015,"Pindah",Transaksi!$B$16:$B$5015,"&lt;="&amp;EOMONTH(DATE(Dashboard!$C$4,2,1),0))+SUMIFS(Transaksi!$F$16:$F$5015,Transaksi!$E$16:$E$5015,$A30,Transaksi!$D$16:$D$5015,"Pindah",Transaksi!$B$16:$B$5015,"&lt;="&amp;EOMONTH(DATE(Dashboard!$C$4,2,1),0))))</f>
        <v/>
      </c>
      <c r="D30" s="106">
        <f>IF(DATE(Dashboard!$C$4,3,1)&gt;TODAY(),"",(SUMIFS(Akun!$C$5:$C$104,Akun!$A$5:$A$104,$A30,Akun!$D$5:$D$104,"&lt;="&amp;EOMONTH(DATE(Dashboard!$C$4,3,1),0))+SUMIFS(Transaksi!$F$16:$F$5015,Transaksi!$C$16:$C$5015,$A30,Transaksi!$D$16:$D$5015,"Masuk",Transaksi!$B$16:$B$5015,"&lt;="&amp;EOMONTH(DATE(Dashboard!$C$4,3,1),0))-SUMIFS(Transaksi!$F$16:$F$5015,Transaksi!$C$16:$C$5015,$A30,Transaksi!$D$16:$D$5015,"Keluar",Transaksi!$B$16:$B$5015,"&lt;="&amp;EOMONTH(DATE(Dashboard!$C$4,3,1),0))-SUMIFS(Transaksi!$F$16:$F$5015,Transaksi!$C$16:$C$5015,$A30,Transaksi!$D$16:$D$5015,"Pindah",Transaksi!$B$16:$B$5015,"&lt;="&amp;EOMONTH(DATE(Dashboard!$C$4,3,1),0))+SUMIFS(Transaksi!$F$16:$F$5015,Transaksi!$E$16:$E$5015,$A30,Transaksi!$D$16:$D$5015,"Pindah",Transaksi!$B$16:$B$5015,"&lt;="&amp;EOMONTH(DATE(Dashboard!$C$4,3,1),0))))</f>
        <v/>
      </c>
      <c r="E30" s="106">
        <f>IF(DATE(Dashboard!$C$4,4,1)&gt;TODAY(),"",(SUMIFS(Akun!$C$5:$C$104,Akun!$A$5:$A$104,$A30,Akun!$D$5:$D$104,"&lt;="&amp;EOMONTH(DATE(Dashboard!$C$4,4,1),0))+SUMIFS(Transaksi!$F$16:$F$5015,Transaksi!$C$16:$C$5015,$A30,Transaksi!$D$16:$D$5015,"Masuk",Transaksi!$B$16:$B$5015,"&lt;="&amp;EOMONTH(DATE(Dashboard!$C$4,4,1),0))-SUMIFS(Transaksi!$F$16:$F$5015,Transaksi!$C$16:$C$5015,$A30,Transaksi!$D$16:$D$5015,"Keluar",Transaksi!$B$16:$B$5015,"&lt;="&amp;EOMONTH(DATE(Dashboard!$C$4,4,1),0))-SUMIFS(Transaksi!$F$16:$F$5015,Transaksi!$C$16:$C$5015,$A30,Transaksi!$D$16:$D$5015,"Pindah",Transaksi!$B$16:$B$5015,"&lt;="&amp;EOMONTH(DATE(Dashboard!$C$4,4,1),0))+SUMIFS(Transaksi!$F$16:$F$5015,Transaksi!$E$16:$E$5015,$A30,Transaksi!$D$16:$D$5015,"Pindah",Transaksi!$B$16:$B$5015,"&lt;="&amp;EOMONTH(DATE(Dashboard!$C$4,4,1),0))))</f>
        <v/>
      </c>
      <c r="F30" s="106">
        <f>IF(DATE(Dashboard!$C$4,5,1)&gt;TODAY(),"",(SUMIFS(Akun!$C$5:$C$104,Akun!$A$5:$A$104,$A30,Akun!$D$5:$D$104,"&lt;="&amp;EOMONTH(DATE(Dashboard!$C$4,5,1),0))+SUMIFS(Transaksi!$F$16:$F$5015,Transaksi!$C$16:$C$5015,$A30,Transaksi!$D$16:$D$5015,"Masuk",Transaksi!$B$16:$B$5015,"&lt;="&amp;EOMONTH(DATE(Dashboard!$C$4,5,1),0))-SUMIFS(Transaksi!$F$16:$F$5015,Transaksi!$C$16:$C$5015,$A30,Transaksi!$D$16:$D$5015,"Keluar",Transaksi!$B$16:$B$5015,"&lt;="&amp;EOMONTH(DATE(Dashboard!$C$4,5,1),0))-SUMIFS(Transaksi!$F$16:$F$5015,Transaksi!$C$16:$C$5015,$A30,Transaksi!$D$16:$D$5015,"Pindah",Transaksi!$B$16:$B$5015,"&lt;="&amp;EOMONTH(DATE(Dashboard!$C$4,5,1),0))+SUMIFS(Transaksi!$F$16:$F$5015,Transaksi!$E$16:$E$5015,$A30,Transaksi!$D$16:$D$5015,"Pindah",Transaksi!$B$16:$B$5015,"&lt;="&amp;EOMONTH(DATE(Dashboard!$C$4,5,1),0))))</f>
        <v/>
      </c>
      <c r="G30" s="106">
        <f>IF(DATE(Dashboard!$C$4,6,1)&gt;TODAY(),"",(SUMIFS(Akun!$C$5:$C$104,Akun!$A$5:$A$104,$A30,Akun!$D$5:$D$104,"&lt;="&amp;EOMONTH(DATE(Dashboard!$C$4,6,1),0))+SUMIFS(Transaksi!$F$16:$F$5015,Transaksi!$C$16:$C$5015,$A30,Transaksi!$D$16:$D$5015,"Masuk",Transaksi!$B$16:$B$5015,"&lt;="&amp;EOMONTH(DATE(Dashboard!$C$4,6,1),0))-SUMIFS(Transaksi!$F$16:$F$5015,Transaksi!$C$16:$C$5015,$A30,Transaksi!$D$16:$D$5015,"Keluar",Transaksi!$B$16:$B$5015,"&lt;="&amp;EOMONTH(DATE(Dashboard!$C$4,6,1),0))-SUMIFS(Transaksi!$F$16:$F$5015,Transaksi!$C$16:$C$5015,$A30,Transaksi!$D$16:$D$5015,"Pindah",Transaksi!$B$16:$B$5015,"&lt;="&amp;EOMONTH(DATE(Dashboard!$C$4,6,1),0))+SUMIFS(Transaksi!$F$16:$F$5015,Transaksi!$E$16:$E$5015,$A30,Transaksi!$D$16:$D$5015,"Pindah",Transaksi!$B$16:$B$5015,"&lt;="&amp;EOMONTH(DATE(Dashboard!$C$4,6,1),0))))</f>
        <v/>
      </c>
      <c r="H30" s="106">
        <f>IF(DATE(Dashboard!$C$4,7,1)&gt;TODAY(),"",(SUMIFS(Akun!$C$5:$C$104,Akun!$A$5:$A$104,$A30,Akun!$D$5:$D$104,"&lt;="&amp;EOMONTH(DATE(Dashboard!$C$4,7,1),0))+SUMIFS(Transaksi!$F$16:$F$5015,Transaksi!$C$16:$C$5015,$A30,Transaksi!$D$16:$D$5015,"Masuk",Transaksi!$B$16:$B$5015,"&lt;="&amp;EOMONTH(DATE(Dashboard!$C$4,7,1),0))-SUMIFS(Transaksi!$F$16:$F$5015,Transaksi!$C$16:$C$5015,$A30,Transaksi!$D$16:$D$5015,"Keluar",Transaksi!$B$16:$B$5015,"&lt;="&amp;EOMONTH(DATE(Dashboard!$C$4,7,1),0))-SUMIFS(Transaksi!$F$16:$F$5015,Transaksi!$C$16:$C$5015,$A30,Transaksi!$D$16:$D$5015,"Pindah",Transaksi!$B$16:$B$5015,"&lt;="&amp;EOMONTH(DATE(Dashboard!$C$4,7,1),0))+SUMIFS(Transaksi!$F$16:$F$5015,Transaksi!$E$16:$E$5015,$A30,Transaksi!$D$16:$D$5015,"Pindah",Transaksi!$B$16:$B$5015,"&lt;="&amp;EOMONTH(DATE(Dashboard!$C$4,7,1),0))))</f>
        <v/>
      </c>
      <c r="I30" s="106">
        <f>IF(DATE(Dashboard!$C$4,8,1)&gt;TODAY(),"",(SUMIFS(Akun!$C$5:$C$104,Akun!$A$5:$A$104,$A30,Akun!$D$5:$D$104,"&lt;="&amp;EOMONTH(DATE(Dashboard!$C$4,8,1),0))+SUMIFS(Transaksi!$F$16:$F$5015,Transaksi!$C$16:$C$5015,$A30,Transaksi!$D$16:$D$5015,"Masuk",Transaksi!$B$16:$B$5015,"&lt;="&amp;EOMONTH(DATE(Dashboard!$C$4,8,1),0))-SUMIFS(Transaksi!$F$16:$F$5015,Transaksi!$C$16:$C$5015,$A30,Transaksi!$D$16:$D$5015,"Keluar",Transaksi!$B$16:$B$5015,"&lt;="&amp;EOMONTH(DATE(Dashboard!$C$4,8,1),0))-SUMIFS(Transaksi!$F$16:$F$5015,Transaksi!$C$16:$C$5015,$A30,Transaksi!$D$16:$D$5015,"Pindah",Transaksi!$B$16:$B$5015,"&lt;="&amp;EOMONTH(DATE(Dashboard!$C$4,8,1),0))+SUMIFS(Transaksi!$F$16:$F$5015,Transaksi!$E$16:$E$5015,$A30,Transaksi!$D$16:$D$5015,"Pindah",Transaksi!$B$16:$B$5015,"&lt;="&amp;EOMONTH(DATE(Dashboard!$C$4,8,1),0))))</f>
        <v/>
      </c>
      <c r="J30" s="106">
        <f>IF(DATE(Dashboard!$C$4,9,1)&gt;TODAY(),"",(SUMIFS(Akun!$C$5:$C$104,Akun!$A$5:$A$104,$A30,Akun!$D$5:$D$104,"&lt;="&amp;EOMONTH(DATE(Dashboard!$C$4,9,1),0))+SUMIFS(Transaksi!$F$16:$F$5015,Transaksi!$C$16:$C$5015,$A30,Transaksi!$D$16:$D$5015,"Masuk",Transaksi!$B$16:$B$5015,"&lt;="&amp;EOMONTH(DATE(Dashboard!$C$4,9,1),0))-SUMIFS(Transaksi!$F$16:$F$5015,Transaksi!$C$16:$C$5015,$A30,Transaksi!$D$16:$D$5015,"Keluar",Transaksi!$B$16:$B$5015,"&lt;="&amp;EOMONTH(DATE(Dashboard!$C$4,9,1),0))-SUMIFS(Transaksi!$F$16:$F$5015,Transaksi!$C$16:$C$5015,$A30,Transaksi!$D$16:$D$5015,"Pindah",Transaksi!$B$16:$B$5015,"&lt;="&amp;EOMONTH(DATE(Dashboard!$C$4,9,1),0))+SUMIFS(Transaksi!$F$16:$F$5015,Transaksi!$E$16:$E$5015,$A30,Transaksi!$D$16:$D$5015,"Pindah",Transaksi!$B$16:$B$5015,"&lt;="&amp;EOMONTH(DATE(Dashboard!$C$4,9,1),0))))</f>
        <v/>
      </c>
      <c r="K30" s="106">
        <f>IF(DATE(Dashboard!$C$4,10,1)&gt;TODAY(),"",(SUMIFS(Akun!$C$5:$C$104,Akun!$A$5:$A$104,$A30,Akun!$D$5:$D$104,"&lt;="&amp;EOMONTH(DATE(Dashboard!$C$4,10,1),0))+SUMIFS(Transaksi!$F$16:$F$5015,Transaksi!$C$16:$C$5015,$A30,Transaksi!$D$16:$D$5015,"Masuk",Transaksi!$B$16:$B$5015,"&lt;="&amp;EOMONTH(DATE(Dashboard!$C$4,10,1),0))-SUMIFS(Transaksi!$F$16:$F$5015,Transaksi!$C$16:$C$5015,$A30,Transaksi!$D$16:$D$5015,"Keluar",Transaksi!$B$16:$B$5015,"&lt;="&amp;EOMONTH(DATE(Dashboard!$C$4,10,1),0))-SUMIFS(Transaksi!$F$16:$F$5015,Transaksi!$C$16:$C$5015,$A30,Transaksi!$D$16:$D$5015,"Pindah",Transaksi!$B$16:$B$5015,"&lt;="&amp;EOMONTH(DATE(Dashboard!$C$4,10,1),0))+SUMIFS(Transaksi!$F$16:$F$5015,Transaksi!$E$16:$E$5015,$A30,Transaksi!$D$16:$D$5015,"Pindah",Transaksi!$B$16:$B$5015,"&lt;="&amp;EOMONTH(DATE(Dashboard!$C$4,10,1),0))))</f>
        <v/>
      </c>
      <c r="L30" s="106">
        <f>IF(DATE(Dashboard!$C$4,11,1)&gt;TODAY(),"",(SUMIFS(Akun!$C$5:$C$104,Akun!$A$5:$A$104,$A30,Akun!$D$5:$D$104,"&lt;="&amp;EOMONTH(DATE(Dashboard!$C$4,11,1),0))+SUMIFS(Transaksi!$F$16:$F$5015,Transaksi!$C$16:$C$5015,$A30,Transaksi!$D$16:$D$5015,"Masuk",Transaksi!$B$16:$B$5015,"&lt;="&amp;EOMONTH(DATE(Dashboard!$C$4,11,1),0))-SUMIFS(Transaksi!$F$16:$F$5015,Transaksi!$C$16:$C$5015,$A30,Transaksi!$D$16:$D$5015,"Keluar",Transaksi!$B$16:$B$5015,"&lt;="&amp;EOMONTH(DATE(Dashboard!$C$4,11,1),0))-SUMIFS(Transaksi!$F$16:$F$5015,Transaksi!$C$16:$C$5015,$A30,Transaksi!$D$16:$D$5015,"Pindah",Transaksi!$B$16:$B$5015,"&lt;="&amp;EOMONTH(DATE(Dashboard!$C$4,11,1),0))+SUMIFS(Transaksi!$F$16:$F$5015,Transaksi!$E$16:$E$5015,$A30,Transaksi!$D$16:$D$5015,"Pindah",Transaksi!$B$16:$B$5015,"&lt;="&amp;EOMONTH(DATE(Dashboard!$C$4,11,1),0))))</f>
        <v/>
      </c>
      <c r="M30" s="106">
        <f>IF(DATE(Dashboard!$C$4,12,1)&gt;TODAY(),"",(SUMIFS(Akun!$C$5:$C$104,Akun!$A$5:$A$104,$A30,Akun!$D$5:$D$104,"&lt;="&amp;EOMONTH(DATE(Dashboard!$C$4,12,1),0))+SUMIFS(Transaksi!$F$16:$F$5015,Transaksi!$C$16:$C$5015,$A30,Transaksi!$D$16:$D$5015,"Masuk",Transaksi!$B$16:$B$5015,"&lt;="&amp;EOMONTH(DATE(Dashboard!$C$4,12,1),0))-SUMIFS(Transaksi!$F$16:$F$5015,Transaksi!$C$16:$C$5015,$A30,Transaksi!$D$16:$D$5015,"Keluar",Transaksi!$B$16:$B$5015,"&lt;="&amp;EOMONTH(DATE(Dashboard!$C$4,12,1),0))-SUMIFS(Transaksi!$F$16:$F$5015,Transaksi!$C$16:$C$5015,$A30,Transaksi!$D$16:$D$5015,"Pindah",Transaksi!$B$16:$B$5015,"&lt;="&amp;EOMONTH(DATE(Dashboard!$C$4,12,1),0))+SUMIFS(Transaksi!$F$16:$F$5015,Transaksi!$E$16:$E$5015,$A30,Transaksi!$D$16:$D$5015,"Pindah",Transaksi!$B$16:$B$5015,"&lt;="&amp;EOMONTH(DATE(Dashboard!$C$4,12,1),0))))</f>
        <v/>
      </c>
    </row>
    <row r="31" ht="15" customHeight="1" s="94">
      <c r="A31" s="127">
        <f>Akun!A9</f>
        <v/>
      </c>
      <c r="B31" s="106">
        <f>IF(DATE(Dashboard!$C$4,1,1)&gt;TODAY(),"",(SUMIFS(Akun!$C$5:$C$104,Akun!$A$5:$A$104,$A31,Akun!$D$5:$D$104,"&lt;="&amp;EOMONTH(DATE(Dashboard!$C$4,1,1),0))+SUMIFS(Transaksi!$F$16:$F$5015,Transaksi!$C$16:$C$5015,$A31,Transaksi!$D$16:$D$5015,"Masuk",Transaksi!$B$16:$B$5015,"&lt;="&amp;EOMONTH(DATE(Dashboard!$C$4,1,1),0))-SUMIFS(Transaksi!$F$16:$F$5015,Transaksi!$C$16:$C$5015,$A31,Transaksi!$D$16:$D$5015,"Keluar",Transaksi!$B$16:$B$5015,"&lt;="&amp;EOMONTH(DATE(Dashboard!$C$4,1,1),0))-SUMIFS(Transaksi!$F$16:$F$5015,Transaksi!$C$16:$C$5015,$A31,Transaksi!$D$16:$D$5015,"Pindah",Transaksi!$B$16:$B$5015,"&lt;="&amp;EOMONTH(DATE(Dashboard!$C$4,1,1),0))+SUMIFS(Transaksi!$F$16:$F$5015,Transaksi!$E$16:$E$5015,$A31,Transaksi!$D$16:$D$5015,"Pindah",Transaksi!$B$16:$B$5015,"&lt;="&amp;EOMONTH(DATE(Dashboard!$C$4,1,1),0))))</f>
        <v/>
      </c>
      <c r="C31" s="106">
        <f>IF(DATE(Dashboard!$C$4,2,1)&gt;TODAY(),"",(SUMIFS(Akun!$C$5:$C$104,Akun!$A$5:$A$104,$A31,Akun!$D$5:$D$104,"&lt;="&amp;EOMONTH(DATE(Dashboard!$C$4,2,1),0))+SUMIFS(Transaksi!$F$16:$F$5015,Transaksi!$C$16:$C$5015,$A31,Transaksi!$D$16:$D$5015,"Masuk",Transaksi!$B$16:$B$5015,"&lt;="&amp;EOMONTH(DATE(Dashboard!$C$4,2,1),0))-SUMIFS(Transaksi!$F$16:$F$5015,Transaksi!$C$16:$C$5015,$A31,Transaksi!$D$16:$D$5015,"Keluar",Transaksi!$B$16:$B$5015,"&lt;="&amp;EOMONTH(DATE(Dashboard!$C$4,2,1),0))-SUMIFS(Transaksi!$F$16:$F$5015,Transaksi!$C$16:$C$5015,$A31,Transaksi!$D$16:$D$5015,"Pindah",Transaksi!$B$16:$B$5015,"&lt;="&amp;EOMONTH(DATE(Dashboard!$C$4,2,1),0))+SUMIFS(Transaksi!$F$16:$F$5015,Transaksi!$E$16:$E$5015,$A31,Transaksi!$D$16:$D$5015,"Pindah",Transaksi!$B$16:$B$5015,"&lt;="&amp;EOMONTH(DATE(Dashboard!$C$4,2,1),0))))</f>
        <v/>
      </c>
      <c r="D31" s="106">
        <f>IF(DATE(Dashboard!$C$4,3,1)&gt;TODAY(),"",(SUMIFS(Akun!$C$5:$C$104,Akun!$A$5:$A$104,$A31,Akun!$D$5:$D$104,"&lt;="&amp;EOMONTH(DATE(Dashboard!$C$4,3,1),0))+SUMIFS(Transaksi!$F$16:$F$5015,Transaksi!$C$16:$C$5015,$A31,Transaksi!$D$16:$D$5015,"Masuk",Transaksi!$B$16:$B$5015,"&lt;="&amp;EOMONTH(DATE(Dashboard!$C$4,3,1),0))-SUMIFS(Transaksi!$F$16:$F$5015,Transaksi!$C$16:$C$5015,$A31,Transaksi!$D$16:$D$5015,"Keluar",Transaksi!$B$16:$B$5015,"&lt;="&amp;EOMONTH(DATE(Dashboard!$C$4,3,1),0))-SUMIFS(Transaksi!$F$16:$F$5015,Transaksi!$C$16:$C$5015,$A31,Transaksi!$D$16:$D$5015,"Pindah",Transaksi!$B$16:$B$5015,"&lt;="&amp;EOMONTH(DATE(Dashboard!$C$4,3,1),0))+SUMIFS(Transaksi!$F$16:$F$5015,Transaksi!$E$16:$E$5015,$A31,Transaksi!$D$16:$D$5015,"Pindah",Transaksi!$B$16:$B$5015,"&lt;="&amp;EOMONTH(DATE(Dashboard!$C$4,3,1),0))))</f>
        <v/>
      </c>
      <c r="E31" s="106">
        <f>IF(DATE(Dashboard!$C$4,4,1)&gt;TODAY(),"",(SUMIFS(Akun!$C$5:$C$104,Akun!$A$5:$A$104,$A31,Akun!$D$5:$D$104,"&lt;="&amp;EOMONTH(DATE(Dashboard!$C$4,4,1),0))+SUMIFS(Transaksi!$F$16:$F$5015,Transaksi!$C$16:$C$5015,$A31,Transaksi!$D$16:$D$5015,"Masuk",Transaksi!$B$16:$B$5015,"&lt;="&amp;EOMONTH(DATE(Dashboard!$C$4,4,1),0))-SUMIFS(Transaksi!$F$16:$F$5015,Transaksi!$C$16:$C$5015,$A31,Transaksi!$D$16:$D$5015,"Keluar",Transaksi!$B$16:$B$5015,"&lt;="&amp;EOMONTH(DATE(Dashboard!$C$4,4,1),0))-SUMIFS(Transaksi!$F$16:$F$5015,Transaksi!$C$16:$C$5015,$A31,Transaksi!$D$16:$D$5015,"Pindah",Transaksi!$B$16:$B$5015,"&lt;="&amp;EOMONTH(DATE(Dashboard!$C$4,4,1),0))+SUMIFS(Transaksi!$F$16:$F$5015,Transaksi!$E$16:$E$5015,$A31,Transaksi!$D$16:$D$5015,"Pindah",Transaksi!$B$16:$B$5015,"&lt;="&amp;EOMONTH(DATE(Dashboard!$C$4,4,1),0))))</f>
        <v/>
      </c>
      <c r="F31" s="106">
        <f>IF(DATE(Dashboard!$C$4,5,1)&gt;TODAY(),"",(SUMIFS(Akun!$C$5:$C$104,Akun!$A$5:$A$104,$A31,Akun!$D$5:$D$104,"&lt;="&amp;EOMONTH(DATE(Dashboard!$C$4,5,1),0))+SUMIFS(Transaksi!$F$16:$F$5015,Transaksi!$C$16:$C$5015,$A31,Transaksi!$D$16:$D$5015,"Masuk",Transaksi!$B$16:$B$5015,"&lt;="&amp;EOMONTH(DATE(Dashboard!$C$4,5,1),0))-SUMIFS(Transaksi!$F$16:$F$5015,Transaksi!$C$16:$C$5015,$A31,Transaksi!$D$16:$D$5015,"Keluar",Transaksi!$B$16:$B$5015,"&lt;="&amp;EOMONTH(DATE(Dashboard!$C$4,5,1),0))-SUMIFS(Transaksi!$F$16:$F$5015,Transaksi!$C$16:$C$5015,$A31,Transaksi!$D$16:$D$5015,"Pindah",Transaksi!$B$16:$B$5015,"&lt;="&amp;EOMONTH(DATE(Dashboard!$C$4,5,1),0))+SUMIFS(Transaksi!$F$16:$F$5015,Transaksi!$E$16:$E$5015,$A31,Transaksi!$D$16:$D$5015,"Pindah",Transaksi!$B$16:$B$5015,"&lt;="&amp;EOMONTH(DATE(Dashboard!$C$4,5,1),0))))</f>
        <v/>
      </c>
      <c r="G31" s="106">
        <f>IF(DATE(Dashboard!$C$4,6,1)&gt;TODAY(),"",(SUMIFS(Akun!$C$5:$C$104,Akun!$A$5:$A$104,$A31,Akun!$D$5:$D$104,"&lt;="&amp;EOMONTH(DATE(Dashboard!$C$4,6,1),0))+SUMIFS(Transaksi!$F$16:$F$5015,Transaksi!$C$16:$C$5015,$A31,Transaksi!$D$16:$D$5015,"Masuk",Transaksi!$B$16:$B$5015,"&lt;="&amp;EOMONTH(DATE(Dashboard!$C$4,6,1),0))-SUMIFS(Transaksi!$F$16:$F$5015,Transaksi!$C$16:$C$5015,$A31,Transaksi!$D$16:$D$5015,"Keluar",Transaksi!$B$16:$B$5015,"&lt;="&amp;EOMONTH(DATE(Dashboard!$C$4,6,1),0))-SUMIFS(Transaksi!$F$16:$F$5015,Transaksi!$C$16:$C$5015,$A31,Transaksi!$D$16:$D$5015,"Pindah",Transaksi!$B$16:$B$5015,"&lt;="&amp;EOMONTH(DATE(Dashboard!$C$4,6,1),0))+SUMIFS(Transaksi!$F$16:$F$5015,Transaksi!$E$16:$E$5015,$A31,Transaksi!$D$16:$D$5015,"Pindah",Transaksi!$B$16:$B$5015,"&lt;="&amp;EOMONTH(DATE(Dashboard!$C$4,6,1),0))))</f>
        <v/>
      </c>
      <c r="H31" s="106">
        <f>IF(DATE(Dashboard!$C$4,7,1)&gt;TODAY(),"",(SUMIFS(Akun!$C$5:$C$104,Akun!$A$5:$A$104,$A31,Akun!$D$5:$D$104,"&lt;="&amp;EOMONTH(DATE(Dashboard!$C$4,7,1),0))+SUMIFS(Transaksi!$F$16:$F$5015,Transaksi!$C$16:$C$5015,$A31,Transaksi!$D$16:$D$5015,"Masuk",Transaksi!$B$16:$B$5015,"&lt;="&amp;EOMONTH(DATE(Dashboard!$C$4,7,1),0))-SUMIFS(Transaksi!$F$16:$F$5015,Transaksi!$C$16:$C$5015,$A31,Transaksi!$D$16:$D$5015,"Keluar",Transaksi!$B$16:$B$5015,"&lt;="&amp;EOMONTH(DATE(Dashboard!$C$4,7,1),0))-SUMIFS(Transaksi!$F$16:$F$5015,Transaksi!$C$16:$C$5015,$A31,Transaksi!$D$16:$D$5015,"Pindah",Transaksi!$B$16:$B$5015,"&lt;="&amp;EOMONTH(DATE(Dashboard!$C$4,7,1),0))+SUMIFS(Transaksi!$F$16:$F$5015,Transaksi!$E$16:$E$5015,$A31,Transaksi!$D$16:$D$5015,"Pindah",Transaksi!$B$16:$B$5015,"&lt;="&amp;EOMONTH(DATE(Dashboard!$C$4,7,1),0))))</f>
        <v/>
      </c>
      <c r="I31" s="106">
        <f>IF(DATE(Dashboard!$C$4,8,1)&gt;TODAY(),"",(SUMIFS(Akun!$C$5:$C$104,Akun!$A$5:$A$104,$A31,Akun!$D$5:$D$104,"&lt;="&amp;EOMONTH(DATE(Dashboard!$C$4,8,1),0))+SUMIFS(Transaksi!$F$16:$F$5015,Transaksi!$C$16:$C$5015,$A31,Transaksi!$D$16:$D$5015,"Masuk",Transaksi!$B$16:$B$5015,"&lt;="&amp;EOMONTH(DATE(Dashboard!$C$4,8,1),0))-SUMIFS(Transaksi!$F$16:$F$5015,Transaksi!$C$16:$C$5015,$A31,Transaksi!$D$16:$D$5015,"Keluar",Transaksi!$B$16:$B$5015,"&lt;="&amp;EOMONTH(DATE(Dashboard!$C$4,8,1),0))-SUMIFS(Transaksi!$F$16:$F$5015,Transaksi!$C$16:$C$5015,$A31,Transaksi!$D$16:$D$5015,"Pindah",Transaksi!$B$16:$B$5015,"&lt;="&amp;EOMONTH(DATE(Dashboard!$C$4,8,1),0))+SUMIFS(Transaksi!$F$16:$F$5015,Transaksi!$E$16:$E$5015,$A31,Transaksi!$D$16:$D$5015,"Pindah",Transaksi!$B$16:$B$5015,"&lt;="&amp;EOMONTH(DATE(Dashboard!$C$4,8,1),0))))</f>
        <v/>
      </c>
      <c r="J31" s="106">
        <f>IF(DATE(Dashboard!$C$4,9,1)&gt;TODAY(),"",(SUMIFS(Akun!$C$5:$C$104,Akun!$A$5:$A$104,$A31,Akun!$D$5:$D$104,"&lt;="&amp;EOMONTH(DATE(Dashboard!$C$4,9,1),0))+SUMIFS(Transaksi!$F$16:$F$5015,Transaksi!$C$16:$C$5015,$A31,Transaksi!$D$16:$D$5015,"Masuk",Transaksi!$B$16:$B$5015,"&lt;="&amp;EOMONTH(DATE(Dashboard!$C$4,9,1),0))-SUMIFS(Transaksi!$F$16:$F$5015,Transaksi!$C$16:$C$5015,$A31,Transaksi!$D$16:$D$5015,"Keluar",Transaksi!$B$16:$B$5015,"&lt;="&amp;EOMONTH(DATE(Dashboard!$C$4,9,1),0))-SUMIFS(Transaksi!$F$16:$F$5015,Transaksi!$C$16:$C$5015,$A31,Transaksi!$D$16:$D$5015,"Pindah",Transaksi!$B$16:$B$5015,"&lt;="&amp;EOMONTH(DATE(Dashboard!$C$4,9,1),0))+SUMIFS(Transaksi!$F$16:$F$5015,Transaksi!$E$16:$E$5015,$A31,Transaksi!$D$16:$D$5015,"Pindah",Transaksi!$B$16:$B$5015,"&lt;="&amp;EOMONTH(DATE(Dashboard!$C$4,9,1),0))))</f>
        <v/>
      </c>
      <c r="K31" s="106">
        <f>IF(DATE(Dashboard!$C$4,10,1)&gt;TODAY(),"",(SUMIFS(Akun!$C$5:$C$104,Akun!$A$5:$A$104,$A31,Akun!$D$5:$D$104,"&lt;="&amp;EOMONTH(DATE(Dashboard!$C$4,10,1),0))+SUMIFS(Transaksi!$F$16:$F$5015,Transaksi!$C$16:$C$5015,$A31,Transaksi!$D$16:$D$5015,"Masuk",Transaksi!$B$16:$B$5015,"&lt;="&amp;EOMONTH(DATE(Dashboard!$C$4,10,1),0))-SUMIFS(Transaksi!$F$16:$F$5015,Transaksi!$C$16:$C$5015,$A31,Transaksi!$D$16:$D$5015,"Keluar",Transaksi!$B$16:$B$5015,"&lt;="&amp;EOMONTH(DATE(Dashboard!$C$4,10,1),0))-SUMIFS(Transaksi!$F$16:$F$5015,Transaksi!$C$16:$C$5015,$A31,Transaksi!$D$16:$D$5015,"Pindah",Transaksi!$B$16:$B$5015,"&lt;="&amp;EOMONTH(DATE(Dashboard!$C$4,10,1),0))+SUMIFS(Transaksi!$F$16:$F$5015,Transaksi!$E$16:$E$5015,$A31,Transaksi!$D$16:$D$5015,"Pindah",Transaksi!$B$16:$B$5015,"&lt;="&amp;EOMONTH(DATE(Dashboard!$C$4,10,1),0))))</f>
        <v/>
      </c>
      <c r="L31" s="106">
        <f>IF(DATE(Dashboard!$C$4,11,1)&gt;TODAY(),"",(SUMIFS(Akun!$C$5:$C$104,Akun!$A$5:$A$104,$A31,Akun!$D$5:$D$104,"&lt;="&amp;EOMONTH(DATE(Dashboard!$C$4,11,1),0))+SUMIFS(Transaksi!$F$16:$F$5015,Transaksi!$C$16:$C$5015,$A31,Transaksi!$D$16:$D$5015,"Masuk",Transaksi!$B$16:$B$5015,"&lt;="&amp;EOMONTH(DATE(Dashboard!$C$4,11,1),0))-SUMIFS(Transaksi!$F$16:$F$5015,Transaksi!$C$16:$C$5015,$A31,Transaksi!$D$16:$D$5015,"Keluar",Transaksi!$B$16:$B$5015,"&lt;="&amp;EOMONTH(DATE(Dashboard!$C$4,11,1),0))-SUMIFS(Transaksi!$F$16:$F$5015,Transaksi!$C$16:$C$5015,$A31,Transaksi!$D$16:$D$5015,"Pindah",Transaksi!$B$16:$B$5015,"&lt;="&amp;EOMONTH(DATE(Dashboard!$C$4,11,1),0))+SUMIFS(Transaksi!$F$16:$F$5015,Transaksi!$E$16:$E$5015,$A31,Transaksi!$D$16:$D$5015,"Pindah",Transaksi!$B$16:$B$5015,"&lt;="&amp;EOMONTH(DATE(Dashboard!$C$4,11,1),0))))</f>
        <v/>
      </c>
      <c r="M31" s="106">
        <f>IF(DATE(Dashboard!$C$4,12,1)&gt;TODAY(),"",(SUMIFS(Akun!$C$5:$C$104,Akun!$A$5:$A$104,$A31,Akun!$D$5:$D$104,"&lt;="&amp;EOMONTH(DATE(Dashboard!$C$4,12,1),0))+SUMIFS(Transaksi!$F$16:$F$5015,Transaksi!$C$16:$C$5015,$A31,Transaksi!$D$16:$D$5015,"Masuk",Transaksi!$B$16:$B$5015,"&lt;="&amp;EOMONTH(DATE(Dashboard!$C$4,12,1),0))-SUMIFS(Transaksi!$F$16:$F$5015,Transaksi!$C$16:$C$5015,$A31,Transaksi!$D$16:$D$5015,"Keluar",Transaksi!$B$16:$B$5015,"&lt;="&amp;EOMONTH(DATE(Dashboard!$C$4,12,1),0))-SUMIFS(Transaksi!$F$16:$F$5015,Transaksi!$C$16:$C$5015,$A31,Transaksi!$D$16:$D$5015,"Pindah",Transaksi!$B$16:$B$5015,"&lt;="&amp;EOMONTH(DATE(Dashboard!$C$4,12,1),0))+SUMIFS(Transaksi!$F$16:$F$5015,Transaksi!$E$16:$E$5015,$A31,Transaksi!$D$16:$D$5015,"Pindah",Transaksi!$B$16:$B$5015,"&lt;="&amp;EOMONTH(DATE(Dashboard!$C$4,12,1),0))))</f>
        <v/>
      </c>
    </row>
    <row r="32" ht="15" customHeight="1" s="94">
      <c r="A32" s="127">
        <f>Akun!A10</f>
        <v/>
      </c>
      <c r="B32" s="106">
        <f>IF(DATE(Dashboard!$C$4,1,1)&gt;TODAY(),"",(SUMIFS(Akun!$C$5:$C$104,Akun!$A$5:$A$104,$A32,Akun!$D$5:$D$104,"&lt;="&amp;EOMONTH(DATE(Dashboard!$C$4,1,1),0))+SUMIFS(Transaksi!$F$16:$F$5015,Transaksi!$C$16:$C$5015,$A32,Transaksi!$D$16:$D$5015,"Masuk",Transaksi!$B$16:$B$5015,"&lt;="&amp;EOMONTH(DATE(Dashboard!$C$4,1,1),0))-SUMIFS(Transaksi!$F$16:$F$5015,Transaksi!$C$16:$C$5015,$A32,Transaksi!$D$16:$D$5015,"Keluar",Transaksi!$B$16:$B$5015,"&lt;="&amp;EOMONTH(DATE(Dashboard!$C$4,1,1),0))-SUMIFS(Transaksi!$F$16:$F$5015,Transaksi!$C$16:$C$5015,$A32,Transaksi!$D$16:$D$5015,"Pindah",Transaksi!$B$16:$B$5015,"&lt;="&amp;EOMONTH(DATE(Dashboard!$C$4,1,1),0))+SUMIFS(Transaksi!$F$16:$F$5015,Transaksi!$E$16:$E$5015,$A32,Transaksi!$D$16:$D$5015,"Pindah",Transaksi!$B$16:$B$5015,"&lt;="&amp;EOMONTH(DATE(Dashboard!$C$4,1,1),0))))</f>
        <v/>
      </c>
      <c r="C32" s="106">
        <f>IF(DATE(Dashboard!$C$4,2,1)&gt;TODAY(),"",(SUMIFS(Akun!$C$5:$C$104,Akun!$A$5:$A$104,$A32,Akun!$D$5:$D$104,"&lt;="&amp;EOMONTH(DATE(Dashboard!$C$4,2,1),0))+SUMIFS(Transaksi!$F$16:$F$5015,Transaksi!$C$16:$C$5015,$A32,Transaksi!$D$16:$D$5015,"Masuk",Transaksi!$B$16:$B$5015,"&lt;="&amp;EOMONTH(DATE(Dashboard!$C$4,2,1),0))-SUMIFS(Transaksi!$F$16:$F$5015,Transaksi!$C$16:$C$5015,$A32,Transaksi!$D$16:$D$5015,"Keluar",Transaksi!$B$16:$B$5015,"&lt;="&amp;EOMONTH(DATE(Dashboard!$C$4,2,1),0))-SUMIFS(Transaksi!$F$16:$F$5015,Transaksi!$C$16:$C$5015,$A32,Transaksi!$D$16:$D$5015,"Pindah",Transaksi!$B$16:$B$5015,"&lt;="&amp;EOMONTH(DATE(Dashboard!$C$4,2,1),0))+SUMIFS(Transaksi!$F$16:$F$5015,Transaksi!$E$16:$E$5015,$A32,Transaksi!$D$16:$D$5015,"Pindah",Transaksi!$B$16:$B$5015,"&lt;="&amp;EOMONTH(DATE(Dashboard!$C$4,2,1),0))))</f>
        <v/>
      </c>
      <c r="D32" s="106">
        <f>IF(DATE(Dashboard!$C$4,3,1)&gt;TODAY(),"",(SUMIFS(Akun!$C$5:$C$104,Akun!$A$5:$A$104,$A32,Akun!$D$5:$D$104,"&lt;="&amp;EOMONTH(DATE(Dashboard!$C$4,3,1),0))+SUMIFS(Transaksi!$F$16:$F$5015,Transaksi!$C$16:$C$5015,$A32,Transaksi!$D$16:$D$5015,"Masuk",Transaksi!$B$16:$B$5015,"&lt;="&amp;EOMONTH(DATE(Dashboard!$C$4,3,1),0))-SUMIFS(Transaksi!$F$16:$F$5015,Transaksi!$C$16:$C$5015,$A32,Transaksi!$D$16:$D$5015,"Keluar",Transaksi!$B$16:$B$5015,"&lt;="&amp;EOMONTH(DATE(Dashboard!$C$4,3,1),0))-SUMIFS(Transaksi!$F$16:$F$5015,Transaksi!$C$16:$C$5015,$A32,Transaksi!$D$16:$D$5015,"Pindah",Transaksi!$B$16:$B$5015,"&lt;="&amp;EOMONTH(DATE(Dashboard!$C$4,3,1),0))+SUMIFS(Transaksi!$F$16:$F$5015,Transaksi!$E$16:$E$5015,$A32,Transaksi!$D$16:$D$5015,"Pindah",Transaksi!$B$16:$B$5015,"&lt;="&amp;EOMONTH(DATE(Dashboard!$C$4,3,1),0))))</f>
        <v/>
      </c>
      <c r="E32" s="106">
        <f>IF(DATE(Dashboard!$C$4,4,1)&gt;TODAY(),"",(SUMIFS(Akun!$C$5:$C$104,Akun!$A$5:$A$104,$A32,Akun!$D$5:$D$104,"&lt;="&amp;EOMONTH(DATE(Dashboard!$C$4,4,1),0))+SUMIFS(Transaksi!$F$16:$F$5015,Transaksi!$C$16:$C$5015,$A32,Transaksi!$D$16:$D$5015,"Masuk",Transaksi!$B$16:$B$5015,"&lt;="&amp;EOMONTH(DATE(Dashboard!$C$4,4,1),0))-SUMIFS(Transaksi!$F$16:$F$5015,Transaksi!$C$16:$C$5015,$A32,Transaksi!$D$16:$D$5015,"Keluar",Transaksi!$B$16:$B$5015,"&lt;="&amp;EOMONTH(DATE(Dashboard!$C$4,4,1),0))-SUMIFS(Transaksi!$F$16:$F$5015,Transaksi!$C$16:$C$5015,$A32,Transaksi!$D$16:$D$5015,"Pindah",Transaksi!$B$16:$B$5015,"&lt;="&amp;EOMONTH(DATE(Dashboard!$C$4,4,1),0))+SUMIFS(Transaksi!$F$16:$F$5015,Transaksi!$E$16:$E$5015,$A32,Transaksi!$D$16:$D$5015,"Pindah",Transaksi!$B$16:$B$5015,"&lt;="&amp;EOMONTH(DATE(Dashboard!$C$4,4,1),0))))</f>
        <v/>
      </c>
      <c r="F32" s="106">
        <f>IF(DATE(Dashboard!$C$4,5,1)&gt;TODAY(),"",(SUMIFS(Akun!$C$5:$C$104,Akun!$A$5:$A$104,$A32,Akun!$D$5:$D$104,"&lt;="&amp;EOMONTH(DATE(Dashboard!$C$4,5,1),0))+SUMIFS(Transaksi!$F$16:$F$5015,Transaksi!$C$16:$C$5015,$A32,Transaksi!$D$16:$D$5015,"Masuk",Transaksi!$B$16:$B$5015,"&lt;="&amp;EOMONTH(DATE(Dashboard!$C$4,5,1),0))-SUMIFS(Transaksi!$F$16:$F$5015,Transaksi!$C$16:$C$5015,$A32,Transaksi!$D$16:$D$5015,"Keluar",Transaksi!$B$16:$B$5015,"&lt;="&amp;EOMONTH(DATE(Dashboard!$C$4,5,1),0))-SUMIFS(Transaksi!$F$16:$F$5015,Transaksi!$C$16:$C$5015,$A32,Transaksi!$D$16:$D$5015,"Pindah",Transaksi!$B$16:$B$5015,"&lt;="&amp;EOMONTH(DATE(Dashboard!$C$4,5,1),0))+SUMIFS(Transaksi!$F$16:$F$5015,Transaksi!$E$16:$E$5015,$A32,Transaksi!$D$16:$D$5015,"Pindah",Transaksi!$B$16:$B$5015,"&lt;="&amp;EOMONTH(DATE(Dashboard!$C$4,5,1),0))))</f>
        <v/>
      </c>
      <c r="G32" s="106">
        <f>IF(DATE(Dashboard!$C$4,6,1)&gt;TODAY(),"",(SUMIFS(Akun!$C$5:$C$104,Akun!$A$5:$A$104,$A32,Akun!$D$5:$D$104,"&lt;="&amp;EOMONTH(DATE(Dashboard!$C$4,6,1),0))+SUMIFS(Transaksi!$F$16:$F$5015,Transaksi!$C$16:$C$5015,$A32,Transaksi!$D$16:$D$5015,"Masuk",Transaksi!$B$16:$B$5015,"&lt;="&amp;EOMONTH(DATE(Dashboard!$C$4,6,1),0))-SUMIFS(Transaksi!$F$16:$F$5015,Transaksi!$C$16:$C$5015,$A32,Transaksi!$D$16:$D$5015,"Keluar",Transaksi!$B$16:$B$5015,"&lt;="&amp;EOMONTH(DATE(Dashboard!$C$4,6,1),0))-SUMIFS(Transaksi!$F$16:$F$5015,Transaksi!$C$16:$C$5015,$A32,Transaksi!$D$16:$D$5015,"Pindah",Transaksi!$B$16:$B$5015,"&lt;="&amp;EOMONTH(DATE(Dashboard!$C$4,6,1),0))+SUMIFS(Transaksi!$F$16:$F$5015,Transaksi!$E$16:$E$5015,$A32,Transaksi!$D$16:$D$5015,"Pindah",Transaksi!$B$16:$B$5015,"&lt;="&amp;EOMONTH(DATE(Dashboard!$C$4,6,1),0))))</f>
        <v/>
      </c>
      <c r="H32" s="106">
        <f>IF(DATE(Dashboard!$C$4,7,1)&gt;TODAY(),"",(SUMIFS(Akun!$C$5:$C$104,Akun!$A$5:$A$104,$A32,Akun!$D$5:$D$104,"&lt;="&amp;EOMONTH(DATE(Dashboard!$C$4,7,1),0))+SUMIFS(Transaksi!$F$16:$F$5015,Transaksi!$C$16:$C$5015,$A32,Transaksi!$D$16:$D$5015,"Masuk",Transaksi!$B$16:$B$5015,"&lt;="&amp;EOMONTH(DATE(Dashboard!$C$4,7,1),0))-SUMIFS(Transaksi!$F$16:$F$5015,Transaksi!$C$16:$C$5015,$A32,Transaksi!$D$16:$D$5015,"Keluar",Transaksi!$B$16:$B$5015,"&lt;="&amp;EOMONTH(DATE(Dashboard!$C$4,7,1),0))-SUMIFS(Transaksi!$F$16:$F$5015,Transaksi!$C$16:$C$5015,$A32,Transaksi!$D$16:$D$5015,"Pindah",Transaksi!$B$16:$B$5015,"&lt;="&amp;EOMONTH(DATE(Dashboard!$C$4,7,1),0))+SUMIFS(Transaksi!$F$16:$F$5015,Transaksi!$E$16:$E$5015,$A32,Transaksi!$D$16:$D$5015,"Pindah",Transaksi!$B$16:$B$5015,"&lt;="&amp;EOMONTH(DATE(Dashboard!$C$4,7,1),0))))</f>
        <v/>
      </c>
      <c r="I32" s="106">
        <f>IF(DATE(Dashboard!$C$4,8,1)&gt;TODAY(),"",(SUMIFS(Akun!$C$5:$C$104,Akun!$A$5:$A$104,$A32,Akun!$D$5:$D$104,"&lt;="&amp;EOMONTH(DATE(Dashboard!$C$4,8,1),0))+SUMIFS(Transaksi!$F$16:$F$5015,Transaksi!$C$16:$C$5015,$A32,Transaksi!$D$16:$D$5015,"Masuk",Transaksi!$B$16:$B$5015,"&lt;="&amp;EOMONTH(DATE(Dashboard!$C$4,8,1),0))-SUMIFS(Transaksi!$F$16:$F$5015,Transaksi!$C$16:$C$5015,$A32,Transaksi!$D$16:$D$5015,"Keluar",Transaksi!$B$16:$B$5015,"&lt;="&amp;EOMONTH(DATE(Dashboard!$C$4,8,1),0))-SUMIFS(Transaksi!$F$16:$F$5015,Transaksi!$C$16:$C$5015,$A32,Transaksi!$D$16:$D$5015,"Pindah",Transaksi!$B$16:$B$5015,"&lt;="&amp;EOMONTH(DATE(Dashboard!$C$4,8,1),0))+SUMIFS(Transaksi!$F$16:$F$5015,Transaksi!$E$16:$E$5015,$A32,Transaksi!$D$16:$D$5015,"Pindah",Transaksi!$B$16:$B$5015,"&lt;="&amp;EOMONTH(DATE(Dashboard!$C$4,8,1),0))))</f>
        <v/>
      </c>
      <c r="J32" s="106">
        <f>IF(DATE(Dashboard!$C$4,9,1)&gt;TODAY(),"",(SUMIFS(Akun!$C$5:$C$104,Akun!$A$5:$A$104,$A32,Akun!$D$5:$D$104,"&lt;="&amp;EOMONTH(DATE(Dashboard!$C$4,9,1),0))+SUMIFS(Transaksi!$F$16:$F$5015,Transaksi!$C$16:$C$5015,$A32,Transaksi!$D$16:$D$5015,"Masuk",Transaksi!$B$16:$B$5015,"&lt;="&amp;EOMONTH(DATE(Dashboard!$C$4,9,1),0))-SUMIFS(Transaksi!$F$16:$F$5015,Transaksi!$C$16:$C$5015,$A32,Transaksi!$D$16:$D$5015,"Keluar",Transaksi!$B$16:$B$5015,"&lt;="&amp;EOMONTH(DATE(Dashboard!$C$4,9,1),0))-SUMIFS(Transaksi!$F$16:$F$5015,Transaksi!$C$16:$C$5015,$A32,Transaksi!$D$16:$D$5015,"Pindah",Transaksi!$B$16:$B$5015,"&lt;="&amp;EOMONTH(DATE(Dashboard!$C$4,9,1),0))+SUMIFS(Transaksi!$F$16:$F$5015,Transaksi!$E$16:$E$5015,$A32,Transaksi!$D$16:$D$5015,"Pindah",Transaksi!$B$16:$B$5015,"&lt;="&amp;EOMONTH(DATE(Dashboard!$C$4,9,1),0))))</f>
        <v/>
      </c>
      <c r="K32" s="106">
        <f>IF(DATE(Dashboard!$C$4,10,1)&gt;TODAY(),"",(SUMIFS(Akun!$C$5:$C$104,Akun!$A$5:$A$104,$A32,Akun!$D$5:$D$104,"&lt;="&amp;EOMONTH(DATE(Dashboard!$C$4,10,1),0))+SUMIFS(Transaksi!$F$16:$F$5015,Transaksi!$C$16:$C$5015,$A32,Transaksi!$D$16:$D$5015,"Masuk",Transaksi!$B$16:$B$5015,"&lt;="&amp;EOMONTH(DATE(Dashboard!$C$4,10,1),0))-SUMIFS(Transaksi!$F$16:$F$5015,Transaksi!$C$16:$C$5015,$A32,Transaksi!$D$16:$D$5015,"Keluar",Transaksi!$B$16:$B$5015,"&lt;="&amp;EOMONTH(DATE(Dashboard!$C$4,10,1),0))-SUMIFS(Transaksi!$F$16:$F$5015,Transaksi!$C$16:$C$5015,$A32,Transaksi!$D$16:$D$5015,"Pindah",Transaksi!$B$16:$B$5015,"&lt;="&amp;EOMONTH(DATE(Dashboard!$C$4,10,1),0))+SUMIFS(Transaksi!$F$16:$F$5015,Transaksi!$E$16:$E$5015,$A32,Transaksi!$D$16:$D$5015,"Pindah",Transaksi!$B$16:$B$5015,"&lt;="&amp;EOMONTH(DATE(Dashboard!$C$4,10,1),0))))</f>
        <v/>
      </c>
      <c r="L32" s="106">
        <f>IF(DATE(Dashboard!$C$4,11,1)&gt;TODAY(),"",(SUMIFS(Akun!$C$5:$C$104,Akun!$A$5:$A$104,$A32,Akun!$D$5:$D$104,"&lt;="&amp;EOMONTH(DATE(Dashboard!$C$4,11,1),0))+SUMIFS(Transaksi!$F$16:$F$5015,Transaksi!$C$16:$C$5015,$A32,Transaksi!$D$16:$D$5015,"Masuk",Transaksi!$B$16:$B$5015,"&lt;="&amp;EOMONTH(DATE(Dashboard!$C$4,11,1),0))-SUMIFS(Transaksi!$F$16:$F$5015,Transaksi!$C$16:$C$5015,$A32,Transaksi!$D$16:$D$5015,"Keluar",Transaksi!$B$16:$B$5015,"&lt;="&amp;EOMONTH(DATE(Dashboard!$C$4,11,1),0))-SUMIFS(Transaksi!$F$16:$F$5015,Transaksi!$C$16:$C$5015,$A32,Transaksi!$D$16:$D$5015,"Pindah",Transaksi!$B$16:$B$5015,"&lt;="&amp;EOMONTH(DATE(Dashboard!$C$4,11,1),0))+SUMIFS(Transaksi!$F$16:$F$5015,Transaksi!$E$16:$E$5015,$A32,Transaksi!$D$16:$D$5015,"Pindah",Transaksi!$B$16:$B$5015,"&lt;="&amp;EOMONTH(DATE(Dashboard!$C$4,11,1),0))))</f>
        <v/>
      </c>
      <c r="M32" s="106">
        <f>IF(DATE(Dashboard!$C$4,12,1)&gt;TODAY(),"",(SUMIFS(Akun!$C$5:$C$104,Akun!$A$5:$A$104,$A32,Akun!$D$5:$D$104,"&lt;="&amp;EOMONTH(DATE(Dashboard!$C$4,12,1),0))+SUMIFS(Transaksi!$F$16:$F$5015,Transaksi!$C$16:$C$5015,$A32,Transaksi!$D$16:$D$5015,"Masuk",Transaksi!$B$16:$B$5015,"&lt;="&amp;EOMONTH(DATE(Dashboard!$C$4,12,1),0))-SUMIFS(Transaksi!$F$16:$F$5015,Transaksi!$C$16:$C$5015,$A32,Transaksi!$D$16:$D$5015,"Keluar",Transaksi!$B$16:$B$5015,"&lt;="&amp;EOMONTH(DATE(Dashboard!$C$4,12,1),0))-SUMIFS(Transaksi!$F$16:$F$5015,Transaksi!$C$16:$C$5015,$A32,Transaksi!$D$16:$D$5015,"Pindah",Transaksi!$B$16:$B$5015,"&lt;="&amp;EOMONTH(DATE(Dashboard!$C$4,12,1),0))+SUMIFS(Transaksi!$F$16:$F$5015,Transaksi!$E$16:$E$5015,$A32,Transaksi!$D$16:$D$5015,"Pindah",Transaksi!$B$16:$B$5015,"&lt;="&amp;EOMONTH(DATE(Dashboard!$C$4,12,1),0))))</f>
        <v/>
      </c>
    </row>
    <row r="33" ht="15" customHeight="1" s="94">
      <c r="A33" s="127">
        <f>Akun!A11</f>
        <v/>
      </c>
      <c r="B33" s="106">
        <f>IF(DATE(Dashboard!$C$4,1,1)&gt;TODAY(),"",(SUMIFS(Akun!$C$5:$C$104,Akun!$A$5:$A$104,$A33,Akun!$D$5:$D$104,"&lt;="&amp;EOMONTH(DATE(Dashboard!$C$4,1,1),0))+SUMIFS(Transaksi!$F$16:$F$5015,Transaksi!$C$16:$C$5015,$A33,Transaksi!$D$16:$D$5015,"Masuk",Transaksi!$B$16:$B$5015,"&lt;="&amp;EOMONTH(DATE(Dashboard!$C$4,1,1),0))-SUMIFS(Transaksi!$F$16:$F$5015,Transaksi!$C$16:$C$5015,$A33,Transaksi!$D$16:$D$5015,"Keluar",Transaksi!$B$16:$B$5015,"&lt;="&amp;EOMONTH(DATE(Dashboard!$C$4,1,1),0))-SUMIFS(Transaksi!$F$16:$F$5015,Transaksi!$C$16:$C$5015,$A33,Transaksi!$D$16:$D$5015,"Pindah",Transaksi!$B$16:$B$5015,"&lt;="&amp;EOMONTH(DATE(Dashboard!$C$4,1,1),0))+SUMIFS(Transaksi!$F$16:$F$5015,Transaksi!$E$16:$E$5015,$A33,Transaksi!$D$16:$D$5015,"Pindah",Transaksi!$B$16:$B$5015,"&lt;="&amp;EOMONTH(DATE(Dashboard!$C$4,1,1),0))))</f>
        <v/>
      </c>
      <c r="C33" s="106">
        <f>IF(DATE(Dashboard!$C$4,2,1)&gt;TODAY(),"",(SUMIFS(Akun!$C$5:$C$104,Akun!$A$5:$A$104,$A33,Akun!$D$5:$D$104,"&lt;="&amp;EOMONTH(DATE(Dashboard!$C$4,2,1),0))+SUMIFS(Transaksi!$F$16:$F$5015,Transaksi!$C$16:$C$5015,$A33,Transaksi!$D$16:$D$5015,"Masuk",Transaksi!$B$16:$B$5015,"&lt;="&amp;EOMONTH(DATE(Dashboard!$C$4,2,1),0))-SUMIFS(Transaksi!$F$16:$F$5015,Transaksi!$C$16:$C$5015,$A33,Transaksi!$D$16:$D$5015,"Keluar",Transaksi!$B$16:$B$5015,"&lt;="&amp;EOMONTH(DATE(Dashboard!$C$4,2,1),0))-SUMIFS(Transaksi!$F$16:$F$5015,Transaksi!$C$16:$C$5015,$A33,Transaksi!$D$16:$D$5015,"Pindah",Transaksi!$B$16:$B$5015,"&lt;="&amp;EOMONTH(DATE(Dashboard!$C$4,2,1),0))+SUMIFS(Transaksi!$F$16:$F$5015,Transaksi!$E$16:$E$5015,$A33,Transaksi!$D$16:$D$5015,"Pindah",Transaksi!$B$16:$B$5015,"&lt;="&amp;EOMONTH(DATE(Dashboard!$C$4,2,1),0))))</f>
        <v/>
      </c>
      <c r="D33" s="106">
        <f>IF(DATE(Dashboard!$C$4,3,1)&gt;TODAY(),"",(SUMIFS(Akun!$C$5:$C$104,Akun!$A$5:$A$104,$A33,Akun!$D$5:$D$104,"&lt;="&amp;EOMONTH(DATE(Dashboard!$C$4,3,1),0))+SUMIFS(Transaksi!$F$16:$F$5015,Transaksi!$C$16:$C$5015,$A33,Transaksi!$D$16:$D$5015,"Masuk",Transaksi!$B$16:$B$5015,"&lt;="&amp;EOMONTH(DATE(Dashboard!$C$4,3,1),0))-SUMIFS(Transaksi!$F$16:$F$5015,Transaksi!$C$16:$C$5015,$A33,Transaksi!$D$16:$D$5015,"Keluar",Transaksi!$B$16:$B$5015,"&lt;="&amp;EOMONTH(DATE(Dashboard!$C$4,3,1),0))-SUMIFS(Transaksi!$F$16:$F$5015,Transaksi!$C$16:$C$5015,$A33,Transaksi!$D$16:$D$5015,"Pindah",Transaksi!$B$16:$B$5015,"&lt;="&amp;EOMONTH(DATE(Dashboard!$C$4,3,1),0))+SUMIFS(Transaksi!$F$16:$F$5015,Transaksi!$E$16:$E$5015,$A33,Transaksi!$D$16:$D$5015,"Pindah",Transaksi!$B$16:$B$5015,"&lt;="&amp;EOMONTH(DATE(Dashboard!$C$4,3,1),0))))</f>
        <v/>
      </c>
      <c r="E33" s="106">
        <f>IF(DATE(Dashboard!$C$4,4,1)&gt;TODAY(),"",(SUMIFS(Akun!$C$5:$C$104,Akun!$A$5:$A$104,$A33,Akun!$D$5:$D$104,"&lt;="&amp;EOMONTH(DATE(Dashboard!$C$4,4,1),0))+SUMIFS(Transaksi!$F$16:$F$5015,Transaksi!$C$16:$C$5015,$A33,Transaksi!$D$16:$D$5015,"Masuk",Transaksi!$B$16:$B$5015,"&lt;="&amp;EOMONTH(DATE(Dashboard!$C$4,4,1),0))-SUMIFS(Transaksi!$F$16:$F$5015,Transaksi!$C$16:$C$5015,$A33,Transaksi!$D$16:$D$5015,"Keluar",Transaksi!$B$16:$B$5015,"&lt;="&amp;EOMONTH(DATE(Dashboard!$C$4,4,1),0))-SUMIFS(Transaksi!$F$16:$F$5015,Transaksi!$C$16:$C$5015,$A33,Transaksi!$D$16:$D$5015,"Pindah",Transaksi!$B$16:$B$5015,"&lt;="&amp;EOMONTH(DATE(Dashboard!$C$4,4,1),0))+SUMIFS(Transaksi!$F$16:$F$5015,Transaksi!$E$16:$E$5015,$A33,Transaksi!$D$16:$D$5015,"Pindah",Transaksi!$B$16:$B$5015,"&lt;="&amp;EOMONTH(DATE(Dashboard!$C$4,4,1),0))))</f>
        <v/>
      </c>
      <c r="F33" s="106">
        <f>IF(DATE(Dashboard!$C$4,5,1)&gt;TODAY(),"",(SUMIFS(Akun!$C$5:$C$104,Akun!$A$5:$A$104,$A33,Akun!$D$5:$D$104,"&lt;="&amp;EOMONTH(DATE(Dashboard!$C$4,5,1),0))+SUMIFS(Transaksi!$F$16:$F$5015,Transaksi!$C$16:$C$5015,$A33,Transaksi!$D$16:$D$5015,"Masuk",Transaksi!$B$16:$B$5015,"&lt;="&amp;EOMONTH(DATE(Dashboard!$C$4,5,1),0))-SUMIFS(Transaksi!$F$16:$F$5015,Transaksi!$C$16:$C$5015,$A33,Transaksi!$D$16:$D$5015,"Keluar",Transaksi!$B$16:$B$5015,"&lt;="&amp;EOMONTH(DATE(Dashboard!$C$4,5,1),0))-SUMIFS(Transaksi!$F$16:$F$5015,Transaksi!$C$16:$C$5015,$A33,Transaksi!$D$16:$D$5015,"Pindah",Transaksi!$B$16:$B$5015,"&lt;="&amp;EOMONTH(DATE(Dashboard!$C$4,5,1),0))+SUMIFS(Transaksi!$F$16:$F$5015,Transaksi!$E$16:$E$5015,$A33,Transaksi!$D$16:$D$5015,"Pindah",Transaksi!$B$16:$B$5015,"&lt;="&amp;EOMONTH(DATE(Dashboard!$C$4,5,1),0))))</f>
        <v/>
      </c>
      <c r="G33" s="106">
        <f>IF(DATE(Dashboard!$C$4,6,1)&gt;TODAY(),"",(SUMIFS(Akun!$C$5:$C$104,Akun!$A$5:$A$104,$A33,Akun!$D$5:$D$104,"&lt;="&amp;EOMONTH(DATE(Dashboard!$C$4,6,1),0))+SUMIFS(Transaksi!$F$16:$F$5015,Transaksi!$C$16:$C$5015,$A33,Transaksi!$D$16:$D$5015,"Masuk",Transaksi!$B$16:$B$5015,"&lt;="&amp;EOMONTH(DATE(Dashboard!$C$4,6,1),0))-SUMIFS(Transaksi!$F$16:$F$5015,Transaksi!$C$16:$C$5015,$A33,Transaksi!$D$16:$D$5015,"Keluar",Transaksi!$B$16:$B$5015,"&lt;="&amp;EOMONTH(DATE(Dashboard!$C$4,6,1),0))-SUMIFS(Transaksi!$F$16:$F$5015,Transaksi!$C$16:$C$5015,$A33,Transaksi!$D$16:$D$5015,"Pindah",Transaksi!$B$16:$B$5015,"&lt;="&amp;EOMONTH(DATE(Dashboard!$C$4,6,1),0))+SUMIFS(Transaksi!$F$16:$F$5015,Transaksi!$E$16:$E$5015,$A33,Transaksi!$D$16:$D$5015,"Pindah",Transaksi!$B$16:$B$5015,"&lt;="&amp;EOMONTH(DATE(Dashboard!$C$4,6,1),0))))</f>
        <v/>
      </c>
      <c r="H33" s="106">
        <f>IF(DATE(Dashboard!$C$4,7,1)&gt;TODAY(),"",(SUMIFS(Akun!$C$5:$C$104,Akun!$A$5:$A$104,$A33,Akun!$D$5:$D$104,"&lt;="&amp;EOMONTH(DATE(Dashboard!$C$4,7,1),0))+SUMIFS(Transaksi!$F$16:$F$5015,Transaksi!$C$16:$C$5015,$A33,Transaksi!$D$16:$D$5015,"Masuk",Transaksi!$B$16:$B$5015,"&lt;="&amp;EOMONTH(DATE(Dashboard!$C$4,7,1),0))-SUMIFS(Transaksi!$F$16:$F$5015,Transaksi!$C$16:$C$5015,$A33,Transaksi!$D$16:$D$5015,"Keluar",Transaksi!$B$16:$B$5015,"&lt;="&amp;EOMONTH(DATE(Dashboard!$C$4,7,1),0))-SUMIFS(Transaksi!$F$16:$F$5015,Transaksi!$C$16:$C$5015,$A33,Transaksi!$D$16:$D$5015,"Pindah",Transaksi!$B$16:$B$5015,"&lt;="&amp;EOMONTH(DATE(Dashboard!$C$4,7,1),0))+SUMIFS(Transaksi!$F$16:$F$5015,Transaksi!$E$16:$E$5015,$A33,Transaksi!$D$16:$D$5015,"Pindah",Transaksi!$B$16:$B$5015,"&lt;="&amp;EOMONTH(DATE(Dashboard!$C$4,7,1),0))))</f>
        <v/>
      </c>
      <c r="I33" s="106">
        <f>IF(DATE(Dashboard!$C$4,8,1)&gt;TODAY(),"",(SUMIFS(Akun!$C$5:$C$104,Akun!$A$5:$A$104,$A33,Akun!$D$5:$D$104,"&lt;="&amp;EOMONTH(DATE(Dashboard!$C$4,8,1),0))+SUMIFS(Transaksi!$F$16:$F$5015,Transaksi!$C$16:$C$5015,$A33,Transaksi!$D$16:$D$5015,"Masuk",Transaksi!$B$16:$B$5015,"&lt;="&amp;EOMONTH(DATE(Dashboard!$C$4,8,1),0))-SUMIFS(Transaksi!$F$16:$F$5015,Transaksi!$C$16:$C$5015,$A33,Transaksi!$D$16:$D$5015,"Keluar",Transaksi!$B$16:$B$5015,"&lt;="&amp;EOMONTH(DATE(Dashboard!$C$4,8,1),0))-SUMIFS(Transaksi!$F$16:$F$5015,Transaksi!$C$16:$C$5015,$A33,Transaksi!$D$16:$D$5015,"Pindah",Transaksi!$B$16:$B$5015,"&lt;="&amp;EOMONTH(DATE(Dashboard!$C$4,8,1),0))+SUMIFS(Transaksi!$F$16:$F$5015,Transaksi!$E$16:$E$5015,$A33,Transaksi!$D$16:$D$5015,"Pindah",Transaksi!$B$16:$B$5015,"&lt;="&amp;EOMONTH(DATE(Dashboard!$C$4,8,1),0))))</f>
        <v/>
      </c>
      <c r="J33" s="106">
        <f>IF(DATE(Dashboard!$C$4,9,1)&gt;TODAY(),"",(SUMIFS(Akun!$C$5:$C$104,Akun!$A$5:$A$104,$A33,Akun!$D$5:$D$104,"&lt;="&amp;EOMONTH(DATE(Dashboard!$C$4,9,1),0))+SUMIFS(Transaksi!$F$16:$F$5015,Transaksi!$C$16:$C$5015,$A33,Transaksi!$D$16:$D$5015,"Masuk",Transaksi!$B$16:$B$5015,"&lt;="&amp;EOMONTH(DATE(Dashboard!$C$4,9,1),0))-SUMIFS(Transaksi!$F$16:$F$5015,Transaksi!$C$16:$C$5015,$A33,Transaksi!$D$16:$D$5015,"Keluar",Transaksi!$B$16:$B$5015,"&lt;="&amp;EOMONTH(DATE(Dashboard!$C$4,9,1),0))-SUMIFS(Transaksi!$F$16:$F$5015,Transaksi!$C$16:$C$5015,$A33,Transaksi!$D$16:$D$5015,"Pindah",Transaksi!$B$16:$B$5015,"&lt;="&amp;EOMONTH(DATE(Dashboard!$C$4,9,1),0))+SUMIFS(Transaksi!$F$16:$F$5015,Transaksi!$E$16:$E$5015,$A33,Transaksi!$D$16:$D$5015,"Pindah",Transaksi!$B$16:$B$5015,"&lt;="&amp;EOMONTH(DATE(Dashboard!$C$4,9,1),0))))</f>
        <v/>
      </c>
      <c r="K33" s="106">
        <f>IF(DATE(Dashboard!$C$4,10,1)&gt;TODAY(),"",(SUMIFS(Akun!$C$5:$C$104,Akun!$A$5:$A$104,$A33,Akun!$D$5:$D$104,"&lt;="&amp;EOMONTH(DATE(Dashboard!$C$4,10,1),0))+SUMIFS(Transaksi!$F$16:$F$5015,Transaksi!$C$16:$C$5015,$A33,Transaksi!$D$16:$D$5015,"Masuk",Transaksi!$B$16:$B$5015,"&lt;="&amp;EOMONTH(DATE(Dashboard!$C$4,10,1),0))-SUMIFS(Transaksi!$F$16:$F$5015,Transaksi!$C$16:$C$5015,$A33,Transaksi!$D$16:$D$5015,"Keluar",Transaksi!$B$16:$B$5015,"&lt;="&amp;EOMONTH(DATE(Dashboard!$C$4,10,1),0))-SUMIFS(Transaksi!$F$16:$F$5015,Transaksi!$C$16:$C$5015,$A33,Transaksi!$D$16:$D$5015,"Pindah",Transaksi!$B$16:$B$5015,"&lt;="&amp;EOMONTH(DATE(Dashboard!$C$4,10,1),0))+SUMIFS(Transaksi!$F$16:$F$5015,Transaksi!$E$16:$E$5015,$A33,Transaksi!$D$16:$D$5015,"Pindah",Transaksi!$B$16:$B$5015,"&lt;="&amp;EOMONTH(DATE(Dashboard!$C$4,10,1),0))))</f>
        <v/>
      </c>
      <c r="L33" s="106">
        <f>IF(DATE(Dashboard!$C$4,11,1)&gt;TODAY(),"",(SUMIFS(Akun!$C$5:$C$104,Akun!$A$5:$A$104,$A33,Akun!$D$5:$D$104,"&lt;="&amp;EOMONTH(DATE(Dashboard!$C$4,11,1),0))+SUMIFS(Transaksi!$F$16:$F$5015,Transaksi!$C$16:$C$5015,$A33,Transaksi!$D$16:$D$5015,"Masuk",Transaksi!$B$16:$B$5015,"&lt;="&amp;EOMONTH(DATE(Dashboard!$C$4,11,1),0))-SUMIFS(Transaksi!$F$16:$F$5015,Transaksi!$C$16:$C$5015,$A33,Transaksi!$D$16:$D$5015,"Keluar",Transaksi!$B$16:$B$5015,"&lt;="&amp;EOMONTH(DATE(Dashboard!$C$4,11,1),0))-SUMIFS(Transaksi!$F$16:$F$5015,Transaksi!$C$16:$C$5015,$A33,Transaksi!$D$16:$D$5015,"Pindah",Transaksi!$B$16:$B$5015,"&lt;="&amp;EOMONTH(DATE(Dashboard!$C$4,11,1),0))+SUMIFS(Transaksi!$F$16:$F$5015,Transaksi!$E$16:$E$5015,$A33,Transaksi!$D$16:$D$5015,"Pindah",Transaksi!$B$16:$B$5015,"&lt;="&amp;EOMONTH(DATE(Dashboard!$C$4,11,1),0))))</f>
        <v/>
      </c>
      <c r="M33" s="106">
        <f>IF(DATE(Dashboard!$C$4,12,1)&gt;TODAY(),"",(SUMIFS(Akun!$C$5:$C$104,Akun!$A$5:$A$104,$A33,Akun!$D$5:$D$104,"&lt;="&amp;EOMONTH(DATE(Dashboard!$C$4,12,1),0))+SUMIFS(Transaksi!$F$16:$F$5015,Transaksi!$C$16:$C$5015,$A33,Transaksi!$D$16:$D$5015,"Masuk",Transaksi!$B$16:$B$5015,"&lt;="&amp;EOMONTH(DATE(Dashboard!$C$4,12,1),0))-SUMIFS(Transaksi!$F$16:$F$5015,Transaksi!$C$16:$C$5015,$A33,Transaksi!$D$16:$D$5015,"Keluar",Transaksi!$B$16:$B$5015,"&lt;="&amp;EOMONTH(DATE(Dashboard!$C$4,12,1),0))-SUMIFS(Transaksi!$F$16:$F$5015,Transaksi!$C$16:$C$5015,$A33,Transaksi!$D$16:$D$5015,"Pindah",Transaksi!$B$16:$B$5015,"&lt;="&amp;EOMONTH(DATE(Dashboard!$C$4,12,1),0))+SUMIFS(Transaksi!$F$16:$F$5015,Transaksi!$E$16:$E$5015,$A33,Transaksi!$D$16:$D$5015,"Pindah",Transaksi!$B$16:$B$5015,"&lt;="&amp;EOMONTH(DATE(Dashboard!$C$4,12,1),0))))</f>
        <v/>
      </c>
    </row>
    <row r="34" ht="15" customHeight="1" s="94">
      <c r="A34" s="127">
        <f>Akun!A12</f>
        <v/>
      </c>
      <c r="B34" s="106">
        <f>IF(DATE(Dashboard!$C$4,1,1)&gt;TODAY(),"",(SUMIFS(Akun!$C$5:$C$104,Akun!$A$5:$A$104,$A34,Akun!$D$5:$D$104,"&lt;="&amp;EOMONTH(DATE(Dashboard!$C$4,1,1),0))+SUMIFS(Transaksi!$F$16:$F$5015,Transaksi!$C$16:$C$5015,$A34,Transaksi!$D$16:$D$5015,"Masuk",Transaksi!$B$16:$B$5015,"&lt;="&amp;EOMONTH(DATE(Dashboard!$C$4,1,1),0))-SUMIFS(Transaksi!$F$16:$F$5015,Transaksi!$C$16:$C$5015,$A34,Transaksi!$D$16:$D$5015,"Keluar",Transaksi!$B$16:$B$5015,"&lt;="&amp;EOMONTH(DATE(Dashboard!$C$4,1,1),0))-SUMIFS(Transaksi!$F$16:$F$5015,Transaksi!$C$16:$C$5015,$A34,Transaksi!$D$16:$D$5015,"Pindah",Transaksi!$B$16:$B$5015,"&lt;="&amp;EOMONTH(DATE(Dashboard!$C$4,1,1),0))+SUMIFS(Transaksi!$F$16:$F$5015,Transaksi!$E$16:$E$5015,$A34,Transaksi!$D$16:$D$5015,"Pindah",Transaksi!$B$16:$B$5015,"&lt;="&amp;EOMONTH(DATE(Dashboard!$C$4,1,1),0))))</f>
        <v/>
      </c>
      <c r="C34" s="106">
        <f>IF(DATE(Dashboard!$C$4,2,1)&gt;TODAY(),"",(SUMIFS(Akun!$C$5:$C$104,Akun!$A$5:$A$104,$A34,Akun!$D$5:$D$104,"&lt;="&amp;EOMONTH(DATE(Dashboard!$C$4,2,1),0))+SUMIFS(Transaksi!$F$16:$F$5015,Transaksi!$C$16:$C$5015,$A34,Transaksi!$D$16:$D$5015,"Masuk",Transaksi!$B$16:$B$5015,"&lt;="&amp;EOMONTH(DATE(Dashboard!$C$4,2,1),0))-SUMIFS(Transaksi!$F$16:$F$5015,Transaksi!$C$16:$C$5015,$A34,Transaksi!$D$16:$D$5015,"Keluar",Transaksi!$B$16:$B$5015,"&lt;="&amp;EOMONTH(DATE(Dashboard!$C$4,2,1),0))-SUMIFS(Transaksi!$F$16:$F$5015,Transaksi!$C$16:$C$5015,$A34,Transaksi!$D$16:$D$5015,"Pindah",Transaksi!$B$16:$B$5015,"&lt;="&amp;EOMONTH(DATE(Dashboard!$C$4,2,1),0))+SUMIFS(Transaksi!$F$16:$F$5015,Transaksi!$E$16:$E$5015,$A34,Transaksi!$D$16:$D$5015,"Pindah",Transaksi!$B$16:$B$5015,"&lt;="&amp;EOMONTH(DATE(Dashboard!$C$4,2,1),0))))</f>
        <v/>
      </c>
      <c r="D34" s="106">
        <f>IF(DATE(Dashboard!$C$4,3,1)&gt;TODAY(),"",(SUMIFS(Akun!$C$5:$C$104,Akun!$A$5:$A$104,$A34,Akun!$D$5:$D$104,"&lt;="&amp;EOMONTH(DATE(Dashboard!$C$4,3,1),0))+SUMIFS(Transaksi!$F$16:$F$5015,Transaksi!$C$16:$C$5015,$A34,Transaksi!$D$16:$D$5015,"Masuk",Transaksi!$B$16:$B$5015,"&lt;="&amp;EOMONTH(DATE(Dashboard!$C$4,3,1),0))-SUMIFS(Transaksi!$F$16:$F$5015,Transaksi!$C$16:$C$5015,$A34,Transaksi!$D$16:$D$5015,"Keluar",Transaksi!$B$16:$B$5015,"&lt;="&amp;EOMONTH(DATE(Dashboard!$C$4,3,1),0))-SUMIFS(Transaksi!$F$16:$F$5015,Transaksi!$C$16:$C$5015,$A34,Transaksi!$D$16:$D$5015,"Pindah",Transaksi!$B$16:$B$5015,"&lt;="&amp;EOMONTH(DATE(Dashboard!$C$4,3,1),0))+SUMIFS(Transaksi!$F$16:$F$5015,Transaksi!$E$16:$E$5015,$A34,Transaksi!$D$16:$D$5015,"Pindah",Transaksi!$B$16:$B$5015,"&lt;="&amp;EOMONTH(DATE(Dashboard!$C$4,3,1),0))))</f>
        <v/>
      </c>
      <c r="E34" s="106">
        <f>IF(DATE(Dashboard!$C$4,4,1)&gt;TODAY(),"",(SUMIFS(Akun!$C$5:$C$104,Akun!$A$5:$A$104,$A34,Akun!$D$5:$D$104,"&lt;="&amp;EOMONTH(DATE(Dashboard!$C$4,4,1),0))+SUMIFS(Transaksi!$F$16:$F$5015,Transaksi!$C$16:$C$5015,$A34,Transaksi!$D$16:$D$5015,"Masuk",Transaksi!$B$16:$B$5015,"&lt;="&amp;EOMONTH(DATE(Dashboard!$C$4,4,1),0))-SUMIFS(Transaksi!$F$16:$F$5015,Transaksi!$C$16:$C$5015,$A34,Transaksi!$D$16:$D$5015,"Keluar",Transaksi!$B$16:$B$5015,"&lt;="&amp;EOMONTH(DATE(Dashboard!$C$4,4,1),0))-SUMIFS(Transaksi!$F$16:$F$5015,Transaksi!$C$16:$C$5015,$A34,Transaksi!$D$16:$D$5015,"Pindah",Transaksi!$B$16:$B$5015,"&lt;="&amp;EOMONTH(DATE(Dashboard!$C$4,4,1),0))+SUMIFS(Transaksi!$F$16:$F$5015,Transaksi!$E$16:$E$5015,$A34,Transaksi!$D$16:$D$5015,"Pindah",Transaksi!$B$16:$B$5015,"&lt;="&amp;EOMONTH(DATE(Dashboard!$C$4,4,1),0))))</f>
        <v/>
      </c>
      <c r="F34" s="106">
        <f>IF(DATE(Dashboard!$C$4,5,1)&gt;TODAY(),"",(SUMIFS(Akun!$C$5:$C$104,Akun!$A$5:$A$104,$A34,Akun!$D$5:$D$104,"&lt;="&amp;EOMONTH(DATE(Dashboard!$C$4,5,1),0))+SUMIFS(Transaksi!$F$16:$F$5015,Transaksi!$C$16:$C$5015,$A34,Transaksi!$D$16:$D$5015,"Masuk",Transaksi!$B$16:$B$5015,"&lt;="&amp;EOMONTH(DATE(Dashboard!$C$4,5,1),0))-SUMIFS(Transaksi!$F$16:$F$5015,Transaksi!$C$16:$C$5015,$A34,Transaksi!$D$16:$D$5015,"Keluar",Transaksi!$B$16:$B$5015,"&lt;="&amp;EOMONTH(DATE(Dashboard!$C$4,5,1),0))-SUMIFS(Transaksi!$F$16:$F$5015,Transaksi!$C$16:$C$5015,$A34,Transaksi!$D$16:$D$5015,"Pindah",Transaksi!$B$16:$B$5015,"&lt;="&amp;EOMONTH(DATE(Dashboard!$C$4,5,1),0))+SUMIFS(Transaksi!$F$16:$F$5015,Transaksi!$E$16:$E$5015,$A34,Transaksi!$D$16:$D$5015,"Pindah",Transaksi!$B$16:$B$5015,"&lt;="&amp;EOMONTH(DATE(Dashboard!$C$4,5,1),0))))</f>
        <v/>
      </c>
      <c r="G34" s="106">
        <f>IF(DATE(Dashboard!$C$4,6,1)&gt;TODAY(),"",(SUMIFS(Akun!$C$5:$C$104,Akun!$A$5:$A$104,$A34,Akun!$D$5:$D$104,"&lt;="&amp;EOMONTH(DATE(Dashboard!$C$4,6,1),0))+SUMIFS(Transaksi!$F$16:$F$5015,Transaksi!$C$16:$C$5015,$A34,Transaksi!$D$16:$D$5015,"Masuk",Transaksi!$B$16:$B$5015,"&lt;="&amp;EOMONTH(DATE(Dashboard!$C$4,6,1),0))-SUMIFS(Transaksi!$F$16:$F$5015,Transaksi!$C$16:$C$5015,$A34,Transaksi!$D$16:$D$5015,"Keluar",Transaksi!$B$16:$B$5015,"&lt;="&amp;EOMONTH(DATE(Dashboard!$C$4,6,1),0))-SUMIFS(Transaksi!$F$16:$F$5015,Transaksi!$C$16:$C$5015,$A34,Transaksi!$D$16:$D$5015,"Pindah",Transaksi!$B$16:$B$5015,"&lt;="&amp;EOMONTH(DATE(Dashboard!$C$4,6,1),0))+SUMIFS(Transaksi!$F$16:$F$5015,Transaksi!$E$16:$E$5015,$A34,Transaksi!$D$16:$D$5015,"Pindah",Transaksi!$B$16:$B$5015,"&lt;="&amp;EOMONTH(DATE(Dashboard!$C$4,6,1),0))))</f>
        <v/>
      </c>
      <c r="H34" s="106">
        <f>IF(DATE(Dashboard!$C$4,7,1)&gt;TODAY(),"",(SUMIFS(Akun!$C$5:$C$104,Akun!$A$5:$A$104,$A34,Akun!$D$5:$D$104,"&lt;="&amp;EOMONTH(DATE(Dashboard!$C$4,7,1),0))+SUMIFS(Transaksi!$F$16:$F$5015,Transaksi!$C$16:$C$5015,$A34,Transaksi!$D$16:$D$5015,"Masuk",Transaksi!$B$16:$B$5015,"&lt;="&amp;EOMONTH(DATE(Dashboard!$C$4,7,1),0))-SUMIFS(Transaksi!$F$16:$F$5015,Transaksi!$C$16:$C$5015,$A34,Transaksi!$D$16:$D$5015,"Keluar",Transaksi!$B$16:$B$5015,"&lt;="&amp;EOMONTH(DATE(Dashboard!$C$4,7,1),0))-SUMIFS(Transaksi!$F$16:$F$5015,Transaksi!$C$16:$C$5015,$A34,Transaksi!$D$16:$D$5015,"Pindah",Transaksi!$B$16:$B$5015,"&lt;="&amp;EOMONTH(DATE(Dashboard!$C$4,7,1),0))+SUMIFS(Transaksi!$F$16:$F$5015,Transaksi!$E$16:$E$5015,$A34,Transaksi!$D$16:$D$5015,"Pindah",Transaksi!$B$16:$B$5015,"&lt;="&amp;EOMONTH(DATE(Dashboard!$C$4,7,1),0))))</f>
        <v/>
      </c>
      <c r="I34" s="106">
        <f>IF(DATE(Dashboard!$C$4,8,1)&gt;TODAY(),"",(SUMIFS(Akun!$C$5:$C$104,Akun!$A$5:$A$104,$A34,Akun!$D$5:$D$104,"&lt;="&amp;EOMONTH(DATE(Dashboard!$C$4,8,1),0))+SUMIFS(Transaksi!$F$16:$F$5015,Transaksi!$C$16:$C$5015,$A34,Transaksi!$D$16:$D$5015,"Masuk",Transaksi!$B$16:$B$5015,"&lt;="&amp;EOMONTH(DATE(Dashboard!$C$4,8,1),0))-SUMIFS(Transaksi!$F$16:$F$5015,Transaksi!$C$16:$C$5015,$A34,Transaksi!$D$16:$D$5015,"Keluar",Transaksi!$B$16:$B$5015,"&lt;="&amp;EOMONTH(DATE(Dashboard!$C$4,8,1),0))-SUMIFS(Transaksi!$F$16:$F$5015,Transaksi!$C$16:$C$5015,$A34,Transaksi!$D$16:$D$5015,"Pindah",Transaksi!$B$16:$B$5015,"&lt;="&amp;EOMONTH(DATE(Dashboard!$C$4,8,1),0))+SUMIFS(Transaksi!$F$16:$F$5015,Transaksi!$E$16:$E$5015,$A34,Transaksi!$D$16:$D$5015,"Pindah",Transaksi!$B$16:$B$5015,"&lt;="&amp;EOMONTH(DATE(Dashboard!$C$4,8,1),0))))</f>
        <v/>
      </c>
      <c r="J34" s="106">
        <f>IF(DATE(Dashboard!$C$4,9,1)&gt;TODAY(),"",(SUMIFS(Akun!$C$5:$C$104,Akun!$A$5:$A$104,$A34,Akun!$D$5:$D$104,"&lt;="&amp;EOMONTH(DATE(Dashboard!$C$4,9,1),0))+SUMIFS(Transaksi!$F$16:$F$5015,Transaksi!$C$16:$C$5015,$A34,Transaksi!$D$16:$D$5015,"Masuk",Transaksi!$B$16:$B$5015,"&lt;="&amp;EOMONTH(DATE(Dashboard!$C$4,9,1),0))-SUMIFS(Transaksi!$F$16:$F$5015,Transaksi!$C$16:$C$5015,$A34,Transaksi!$D$16:$D$5015,"Keluar",Transaksi!$B$16:$B$5015,"&lt;="&amp;EOMONTH(DATE(Dashboard!$C$4,9,1),0))-SUMIFS(Transaksi!$F$16:$F$5015,Transaksi!$C$16:$C$5015,$A34,Transaksi!$D$16:$D$5015,"Pindah",Transaksi!$B$16:$B$5015,"&lt;="&amp;EOMONTH(DATE(Dashboard!$C$4,9,1),0))+SUMIFS(Transaksi!$F$16:$F$5015,Transaksi!$E$16:$E$5015,$A34,Transaksi!$D$16:$D$5015,"Pindah",Transaksi!$B$16:$B$5015,"&lt;="&amp;EOMONTH(DATE(Dashboard!$C$4,9,1),0))))</f>
        <v/>
      </c>
      <c r="K34" s="106">
        <f>IF(DATE(Dashboard!$C$4,10,1)&gt;TODAY(),"",(SUMIFS(Akun!$C$5:$C$104,Akun!$A$5:$A$104,$A34,Akun!$D$5:$D$104,"&lt;="&amp;EOMONTH(DATE(Dashboard!$C$4,10,1),0))+SUMIFS(Transaksi!$F$16:$F$5015,Transaksi!$C$16:$C$5015,$A34,Transaksi!$D$16:$D$5015,"Masuk",Transaksi!$B$16:$B$5015,"&lt;="&amp;EOMONTH(DATE(Dashboard!$C$4,10,1),0))-SUMIFS(Transaksi!$F$16:$F$5015,Transaksi!$C$16:$C$5015,$A34,Transaksi!$D$16:$D$5015,"Keluar",Transaksi!$B$16:$B$5015,"&lt;="&amp;EOMONTH(DATE(Dashboard!$C$4,10,1),0))-SUMIFS(Transaksi!$F$16:$F$5015,Transaksi!$C$16:$C$5015,$A34,Transaksi!$D$16:$D$5015,"Pindah",Transaksi!$B$16:$B$5015,"&lt;="&amp;EOMONTH(DATE(Dashboard!$C$4,10,1),0))+SUMIFS(Transaksi!$F$16:$F$5015,Transaksi!$E$16:$E$5015,$A34,Transaksi!$D$16:$D$5015,"Pindah",Transaksi!$B$16:$B$5015,"&lt;="&amp;EOMONTH(DATE(Dashboard!$C$4,10,1),0))))</f>
        <v/>
      </c>
      <c r="L34" s="106">
        <f>IF(DATE(Dashboard!$C$4,11,1)&gt;TODAY(),"",(SUMIFS(Akun!$C$5:$C$104,Akun!$A$5:$A$104,$A34,Akun!$D$5:$D$104,"&lt;="&amp;EOMONTH(DATE(Dashboard!$C$4,11,1),0))+SUMIFS(Transaksi!$F$16:$F$5015,Transaksi!$C$16:$C$5015,$A34,Transaksi!$D$16:$D$5015,"Masuk",Transaksi!$B$16:$B$5015,"&lt;="&amp;EOMONTH(DATE(Dashboard!$C$4,11,1),0))-SUMIFS(Transaksi!$F$16:$F$5015,Transaksi!$C$16:$C$5015,$A34,Transaksi!$D$16:$D$5015,"Keluar",Transaksi!$B$16:$B$5015,"&lt;="&amp;EOMONTH(DATE(Dashboard!$C$4,11,1),0))-SUMIFS(Transaksi!$F$16:$F$5015,Transaksi!$C$16:$C$5015,$A34,Transaksi!$D$16:$D$5015,"Pindah",Transaksi!$B$16:$B$5015,"&lt;="&amp;EOMONTH(DATE(Dashboard!$C$4,11,1),0))+SUMIFS(Transaksi!$F$16:$F$5015,Transaksi!$E$16:$E$5015,$A34,Transaksi!$D$16:$D$5015,"Pindah",Transaksi!$B$16:$B$5015,"&lt;="&amp;EOMONTH(DATE(Dashboard!$C$4,11,1),0))))</f>
        <v/>
      </c>
      <c r="M34" s="106">
        <f>IF(DATE(Dashboard!$C$4,12,1)&gt;TODAY(),"",(SUMIFS(Akun!$C$5:$C$104,Akun!$A$5:$A$104,$A34,Akun!$D$5:$D$104,"&lt;="&amp;EOMONTH(DATE(Dashboard!$C$4,12,1),0))+SUMIFS(Transaksi!$F$16:$F$5015,Transaksi!$C$16:$C$5015,$A34,Transaksi!$D$16:$D$5015,"Masuk",Transaksi!$B$16:$B$5015,"&lt;="&amp;EOMONTH(DATE(Dashboard!$C$4,12,1),0))-SUMIFS(Transaksi!$F$16:$F$5015,Transaksi!$C$16:$C$5015,$A34,Transaksi!$D$16:$D$5015,"Keluar",Transaksi!$B$16:$B$5015,"&lt;="&amp;EOMONTH(DATE(Dashboard!$C$4,12,1),0))-SUMIFS(Transaksi!$F$16:$F$5015,Transaksi!$C$16:$C$5015,$A34,Transaksi!$D$16:$D$5015,"Pindah",Transaksi!$B$16:$B$5015,"&lt;="&amp;EOMONTH(DATE(Dashboard!$C$4,12,1),0))+SUMIFS(Transaksi!$F$16:$F$5015,Transaksi!$E$16:$E$5015,$A34,Transaksi!$D$16:$D$5015,"Pindah",Transaksi!$B$16:$B$5015,"&lt;="&amp;EOMONTH(DATE(Dashboard!$C$4,12,1),0))))</f>
        <v/>
      </c>
    </row>
    <row r="35" ht="15" customHeight="1" s="94">
      <c r="A35" s="127">
        <f>Akun!A13</f>
        <v/>
      </c>
      <c r="B35" s="106">
        <f>IF(DATE(Dashboard!$C$4,1,1)&gt;TODAY(),"",(SUMIFS(Akun!$C$5:$C$104,Akun!$A$5:$A$104,$A35,Akun!$D$5:$D$104,"&lt;="&amp;EOMONTH(DATE(Dashboard!$C$4,1,1),0))+SUMIFS(Transaksi!$F$16:$F$5015,Transaksi!$C$16:$C$5015,$A35,Transaksi!$D$16:$D$5015,"Masuk",Transaksi!$B$16:$B$5015,"&lt;="&amp;EOMONTH(DATE(Dashboard!$C$4,1,1),0))-SUMIFS(Transaksi!$F$16:$F$5015,Transaksi!$C$16:$C$5015,$A35,Transaksi!$D$16:$D$5015,"Keluar",Transaksi!$B$16:$B$5015,"&lt;="&amp;EOMONTH(DATE(Dashboard!$C$4,1,1),0))-SUMIFS(Transaksi!$F$16:$F$5015,Transaksi!$C$16:$C$5015,$A35,Transaksi!$D$16:$D$5015,"Pindah",Transaksi!$B$16:$B$5015,"&lt;="&amp;EOMONTH(DATE(Dashboard!$C$4,1,1),0))+SUMIFS(Transaksi!$F$16:$F$5015,Transaksi!$E$16:$E$5015,$A35,Transaksi!$D$16:$D$5015,"Pindah",Transaksi!$B$16:$B$5015,"&lt;="&amp;EOMONTH(DATE(Dashboard!$C$4,1,1),0))))</f>
        <v/>
      </c>
      <c r="C35" s="106">
        <f>IF(DATE(Dashboard!$C$4,2,1)&gt;TODAY(),"",(SUMIFS(Akun!$C$5:$C$104,Akun!$A$5:$A$104,$A35,Akun!$D$5:$D$104,"&lt;="&amp;EOMONTH(DATE(Dashboard!$C$4,2,1),0))+SUMIFS(Transaksi!$F$16:$F$5015,Transaksi!$C$16:$C$5015,$A35,Transaksi!$D$16:$D$5015,"Masuk",Transaksi!$B$16:$B$5015,"&lt;="&amp;EOMONTH(DATE(Dashboard!$C$4,2,1),0))-SUMIFS(Transaksi!$F$16:$F$5015,Transaksi!$C$16:$C$5015,$A35,Transaksi!$D$16:$D$5015,"Keluar",Transaksi!$B$16:$B$5015,"&lt;="&amp;EOMONTH(DATE(Dashboard!$C$4,2,1),0))-SUMIFS(Transaksi!$F$16:$F$5015,Transaksi!$C$16:$C$5015,$A35,Transaksi!$D$16:$D$5015,"Pindah",Transaksi!$B$16:$B$5015,"&lt;="&amp;EOMONTH(DATE(Dashboard!$C$4,2,1),0))+SUMIFS(Transaksi!$F$16:$F$5015,Transaksi!$E$16:$E$5015,$A35,Transaksi!$D$16:$D$5015,"Pindah",Transaksi!$B$16:$B$5015,"&lt;="&amp;EOMONTH(DATE(Dashboard!$C$4,2,1),0))))</f>
        <v/>
      </c>
      <c r="D35" s="106">
        <f>IF(DATE(Dashboard!$C$4,3,1)&gt;TODAY(),"",(SUMIFS(Akun!$C$5:$C$104,Akun!$A$5:$A$104,$A35,Akun!$D$5:$D$104,"&lt;="&amp;EOMONTH(DATE(Dashboard!$C$4,3,1),0))+SUMIFS(Transaksi!$F$16:$F$5015,Transaksi!$C$16:$C$5015,$A35,Transaksi!$D$16:$D$5015,"Masuk",Transaksi!$B$16:$B$5015,"&lt;="&amp;EOMONTH(DATE(Dashboard!$C$4,3,1),0))-SUMIFS(Transaksi!$F$16:$F$5015,Transaksi!$C$16:$C$5015,$A35,Transaksi!$D$16:$D$5015,"Keluar",Transaksi!$B$16:$B$5015,"&lt;="&amp;EOMONTH(DATE(Dashboard!$C$4,3,1),0))-SUMIFS(Transaksi!$F$16:$F$5015,Transaksi!$C$16:$C$5015,$A35,Transaksi!$D$16:$D$5015,"Pindah",Transaksi!$B$16:$B$5015,"&lt;="&amp;EOMONTH(DATE(Dashboard!$C$4,3,1),0))+SUMIFS(Transaksi!$F$16:$F$5015,Transaksi!$E$16:$E$5015,$A35,Transaksi!$D$16:$D$5015,"Pindah",Transaksi!$B$16:$B$5015,"&lt;="&amp;EOMONTH(DATE(Dashboard!$C$4,3,1),0))))</f>
        <v/>
      </c>
      <c r="E35" s="106">
        <f>IF(DATE(Dashboard!$C$4,4,1)&gt;TODAY(),"",(SUMIFS(Akun!$C$5:$C$104,Akun!$A$5:$A$104,$A35,Akun!$D$5:$D$104,"&lt;="&amp;EOMONTH(DATE(Dashboard!$C$4,4,1),0))+SUMIFS(Transaksi!$F$16:$F$5015,Transaksi!$C$16:$C$5015,$A35,Transaksi!$D$16:$D$5015,"Masuk",Transaksi!$B$16:$B$5015,"&lt;="&amp;EOMONTH(DATE(Dashboard!$C$4,4,1),0))-SUMIFS(Transaksi!$F$16:$F$5015,Transaksi!$C$16:$C$5015,$A35,Transaksi!$D$16:$D$5015,"Keluar",Transaksi!$B$16:$B$5015,"&lt;="&amp;EOMONTH(DATE(Dashboard!$C$4,4,1),0))-SUMIFS(Transaksi!$F$16:$F$5015,Transaksi!$C$16:$C$5015,$A35,Transaksi!$D$16:$D$5015,"Pindah",Transaksi!$B$16:$B$5015,"&lt;="&amp;EOMONTH(DATE(Dashboard!$C$4,4,1),0))+SUMIFS(Transaksi!$F$16:$F$5015,Transaksi!$E$16:$E$5015,$A35,Transaksi!$D$16:$D$5015,"Pindah",Transaksi!$B$16:$B$5015,"&lt;="&amp;EOMONTH(DATE(Dashboard!$C$4,4,1),0))))</f>
        <v/>
      </c>
      <c r="F35" s="106">
        <f>IF(DATE(Dashboard!$C$4,5,1)&gt;TODAY(),"",(SUMIFS(Akun!$C$5:$C$104,Akun!$A$5:$A$104,$A35,Akun!$D$5:$D$104,"&lt;="&amp;EOMONTH(DATE(Dashboard!$C$4,5,1),0))+SUMIFS(Transaksi!$F$16:$F$5015,Transaksi!$C$16:$C$5015,$A35,Transaksi!$D$16:$D$5015,"Masuk",Transaksi!$B$16:$B$5015,"&lt;="&amp;EOMONTH(DATE(Dashboard!$C$4,5,1),0))-SUMIFS(Transaksi!$F$16:$F$5015,Transaksi!$C$16:$C$5015,$A35,Transaksi!$D$16:$D$5015,"Keluar",Transaksi!$B$16:$B$5015,"&lt;="&amp;EOMONTH(DATE(Dashboard!$C$4,5,1),0))-SUMIFS(Transaksi!$F$16:$F$5015,Transaksi!$C$16:$C$5015,$A35,Transaksi!$D$16:$D$5015,"Pindah",Transaksi!$B$16:$B$5015,"&lt;="&amp;EOMONTH(DATE(Dashboard!$C$4,5,1),0))+SUMIFS(Transaksi!$F$16:$F$5015,Transaksi!$E$16:$E$5015,$A35,Transaksi!$D$16:$D$5015,"Pindah",Transaksi!$B$16:$B$5015,"&lt;="&amp;EOMONTH(DATE(Dashboard!$C$4,5,1),0))))</f>
        <v/>
      </c>
      <c r="G35" s="106">
        <f>IF(DATE(Dashboard!$C$4,6,1)&gt;TODAY(),"",(SUMIFS(Akun!$C$5:$C$104,Akun!$A$5:$A$104,$A35,Akun!$D$5:$D$104,"&lt;="&amp;EOMONTH(DATE(Dashboard!$C$4,6,1),0))+SUMIFS(Transaksi!$F$16:$F$5015,Transaksi!$C$16:$C$5015,$A35,Transaksi!$D$16:$D$5015,"Masuk",Transaksi!$B$16:$B$5015,"&lt;="&amp;EOMONTH(DATE(Dashboard!$C$4,6,1),0))-SUMIFS(Transaksi!$F$16:$F$5015,Transaksi!$C$16:$C$5015,$A35,Transaksi!$D$16:$D$5015,"Keluar",Transaksi!$B$16:$B$5015,"&lt;="&amp;EOMONTH(DATE(Dashboard!$C$4,6,1),0))-SUMIFS(Transaksi!$F$16:$F$5015,Transaksi!$C$16:$C$5015,$A35,Transaksi!$D$16:$D$5015,"Pindah",Transaksi!$B$16:$B$5015,"&lt;="&amp;EOMONTH(DATE(Dashboard!$C$4,6,1),0))+SUMIFS(Transaksi!$F$16:$F$5015,Transaksi!$E$16:$E$5015,$A35,Transaksi!$D$16:$D$5015,"Pindah",Transaksi!$B$16:$B$5015,"&lt;="&amp;EOMONTH(DATE(Dashboard!$C$4,6,1),0))))</f>
        <v/>
      </c>
      <c r="H35" s="106">
        <f>IF(DATE(Dashboard!$C$4,7,1)&gt;TODAY(),"",(SUMIFS(Akun!$C$5:$C$104,Akun!$A$5:$A$104,$A35,Akun!$D$5:$D$104,"&lt;="&amp;EOMONTH(DATE(Dashboard!$C$4,7,1),0))+SUMIFS(Transaksi!$F$16:$F$5015,Transaksi!$C$16:$C$5015,$A35,Transaksi!$D$16:$D$5015,"Masuk",Transaksi!$B$16:$B$5015,"&lt;="&amp;EOMONTH(DATE(Dashboard!$C$4,7,1),0))-SUMIFS(Transaksi!$F$16:$F$5015,Transaksi!$C$16:$C$5015,$A35,Transaksi!$D$16:$D$5015,"Keluar",Transaksi!$B$16:$B$5015,"&lt;="&amp;EOMONTH(DATE(Dashboard!$C$4,7,1),0))-SUMIFS(Transaksi!$F$16:$F$5015,Transaksi!$C$16:$C$5015,$A35,Transaksi!$D$16:$D$5015,"Pindah",Transaksi!$B$16:$B$5015,"&lt;="&amp;EOMONTH(DATE(Dashboard!$C$4,7,1),0))+SUMIFS(Transaksi!$F$16:$F$5015,Transaksi!$E$16:$E$5015,$A35,Transaksi!$D$16:$D$5015,"Pindah",Transaksi!$B$16:$B$5015,"&lt;="&amp;EOMONTH(DATE(Dashboard!$C$4,7,1),0))))</f>
        <v/>
      </c>
      <c r="I35" s="106">
        <f>IF(DATE(Dashboard!$C$4,8,1)&gt;TODAY(),"",(SUMIFS(Akun!$C$5:$C$104,Akun!$A$5:$A$104,$A35,Akun!$D$5:$D$104,"&lt;="&amp;EOMONTH(DATE(Dashboard!$C$4,8,1),0))+SUMIFS(Transaksi!$F$16:$F$5015,Transaksi!$C$16:$C$5015,$A35,Transaksi!$D$16:$D$5015,"Masuk",Transaksi!$B$16:$B$5015,"&lt;="&amp;EOMONTH(DATE(Dashboard!$C$4,8,1),0))-SUMIFS(Transaksi!$F$16:$F$5015,Transaksi!$C$16:$C$5015,$A35,Transaksi!$D$16:$D$5015,"Keluar",Transaksi!$B$16:$B$5015,"&lt;="&amp;EOMONTH(DATE(Dashboard!$C$4,8,1),0))-SUMIFS(Transaksi!$F$16:$F$5015,Transaksi!$C$16:$C$5015,$A35,Transaksi!$D$16:$D$5015,"Pindah",Transaksi!$B$16:$B$5015,"&lt;="&amp;EOMONTH(DATE(Dashboard!$C$4,8,1),0))+SUMIFS(Transaksi!$F$16:$F$5015,Transaksi!$E$16:$E$5015,$A35,Transaksi!$D$16:$D$5015,"Pindah",Transaksi!$B$16:$B$5015,"&lt;="&amp;EOMONTH(DATE(Dashboard!$C$4,8,1),0))))</f>
        <v/>
      </c>
      <c r="J35" s="106">
        <f>IF(DATE(Dashboard!$C$4,9,1)&gt;TODAY(),"",(SUMIFS(Akun!$C$5:$C$104,Akun!$A$5:$A$104,$A35,Akun!$D$5:$D$104,"&lt;="&amp;EOMONTH(DATE(Dashboard!$C$4,9,1),0))+SUMIFS(Transaksi!$F$16:$F$5015,Transaksi!$C$16:$C$5015,$A35,Transaksi!$D$16:$D$5015,"Masuk",Transaksi!$B$16:$B$5015,"&lt;="&amp;EOMONTH(DATE(Dashboard!$C$4,9,1),0))-SUMIFS(Transaksi!$F$16:$F$5015,Transaksi!$C$16:$C$5015,$A35,Transaksi!$D$16:$D$5015,"Keluar",Transaksi!$B$16:$B$5015,"&lt;="&amp;EOMONTH(DATE(Dashboard!$C$4,9,1),0))-SUMIFS(Transaksi!$F$16:$F$5015,Transaksi!$C$16:$C$5015,$A35,Transaksi!$D$16:$D$5015,"Pindah",Transaksi!$B$16:$B$5015,"&lt;="&amp;EOMONTH(DATE(Dashboard!$C$4,9,1),0))+SUMIFS(Transaksi!$F$16:$F$5015,Transaksi!$E$16:$E$5015,$A35,Transaksi!$D$16:$D$5015,"Pindah",Transaksi!$B$16:$B$5015,"&lt;="&amp;EOMONTH(DATE(Dashboard!$C$4,9,1),0))))</f>
        <v/>
      </c>
      <c r="K35" s="106">
        <f>IF(DATE(Dashboard!$C$4,10,1)&gt;TODAY(),"",(SUMIFS(Akun!$C$5:$C$104,Akun!$A$5:$A$104,$A35,Akun!$D$5:$D$104,"&lt;="&amp;EOMONTH(DATE(Dashboard!$C$4,10,1),0))+SUMIFS(Transaksi!$F$16:$F$5015,Transaksi!$C$16:$C$5015,$A35,Transaksi!$D$16:$D$5015,"Masuk",Transaksi!$B$16:$B$5015,"&lt;="&amp;EOMONTH(DATE(Dashboard!$C$4,10,1),0))-SUMIFS(Transaksi!$F$16:$F$5015,Transaksi!$C$16:$C$5015,$A35,Transaksi!$D$16:$D$5015,"Keluar",Transaksi!$B$16:$B$5015,"&lt;="&amp;EOMONTH(DATE(Dashboard!$C$4,10,1),0))-SUMIFS(Transaksi!$F$16:$F$5015,Transaksi!$C$16:$C$5015,$A35,Transaksi!$D$16:$D$5015,"Pindah",Transaksi!$B$16:$B$5015,"&lt;="&amp;EOMONTH(DATE(Dashboard!$C$4,10,1),0))+SUMIFS(Transaksi!$F$16:$F$5015,Transaksi!$E$16:$E$5015,$A35,Transaksi!$D$16:$D$5015,"Pindah",Transaksi!$B$16:$B$5015,"&lt;="&amp;EOMONTH(DATE(Dashboard!$C$4,10,1),0))))</f>
        <v/>
      </c>
      <c r="L35" s="106">
        <f>IF(DATE(Dashboard!$C$4,11,1)&gt;TODAY(),"",(SUMIFS(Akun!$C$5:$C$104,Akun!$A$5:$A$104,$A35,Akun!$D$5:$D$104,"&lt;="&amp;EOMONTH(DATE(Dashboard!$C$4,11,1),0))+SUMIFS(Transaksi!$F$16:$F$5015,Transaksi!$C$16:$C$5015,$A35,Transaksi!$D$16:$D$5015,"Masuk",Transaksi!$B$16:$B$5015,"&lt;="&amp;EOMONTH(DATE(Dashboard!$C$4,11,1),0))-SUMIFS(Transaksi!$F$16:$F$5015,Transaksi!$C$16:$C$5015,$A35,Transaksi!$D$16:$D$5015,"Keluar",Transaksi!$B$16:$B$5015,"&lt;="&amp;EOMONTH(DATE(Dashboard!$C$4,11,1),0))-SUMIFS(Transaksi!$F$16:$F$5015,Transaksi!$C$16:$C$5015,$A35,Transaksi!$D$16:$D$5015,"Pindah",Transaksi!$B$16:$B$5015,"&lt;="&amp;EOMONTH(DATE(Dashboard!$C$4,11,1),0))+SUMIFS(Transaksi!$F$16:$F$5015,Transaksi!$E$16:$E$5015,$A35,Transaksi!$D$16:$D$5015,"Pindah",Transaksi!$B$16:$B$5015,"&lt;="&amp;EOMONTH(DATE(Dashboard!$C$4,11,1),0))))</f>
        <v/>
      </c>
      <c r="M35" s="106">
        <f>IF(DATE(Dashboard!$C$4,12,1)&gt;TODAY(),"",(SUMIFS(Akun!$C$5:$C$104,Akun!$A$5:$A$104,$A35,Akun!$D$5:$D$104,"&lt;="&amp;EOMONTH(DATE(Dashboard!$C$4,12,1),0))+SUMIFS(Transaksi!$F$16:$F$5015,Transaksi!$C$16:$C$5015,$A35,Transaksi!$D$16:$D$5015,"Masuk",Transaksi!$B$16:$B$5015,"&lt;="&amp;EOMONTH(DATE(Dashboard!$C$4,12,1),0))-SUMIFS(Transaksi!$F$16:$F$5015,Transaksi!$C$16:$C$5015,$A35,Transaksi!$D$16:$D$5015,"Keluar",Transaksi!$B$16:$B$5015,"&lt;="&amp;EOMONTH(DATE(Dashboard!$C$4,12,1),0))-SUMIFS(Transaksi!$F$16:$F$5015,Transaksi!$C$16:$C$5015,$A35,Transaksi!$D$16:$D$5015,"Pindah",Transaksi!$B$16:$B$5015,"&lt;="&amp;EOMONTH(DATE(Dashboard!$C$4,12,1),0))+SUMIFS(Transaksi!$F$16:$F$5015,Transaksi!$E$16:$E$5015,$A35,Transaksi!$D$16:$D$5015,"Pindah",Transaksi!$B$16:$B$5015,"&lt;="&amp;EOMONTH(DATE(Dashboard!$C$4,12,1),0))))</f>
        <v/>
      </c>
    </row>
    <row r="36" ht="15" customHeight="1" s="94">
      <c r="A36" s="127">
        <f>Akun!A14</f>
        <v/>
      </c>
      <c r="B36" s="106">
        <f>IF(DATE(Dashboard!$C$4,1,1)&gt;TODAY(),"",(SUMIFS(Akun!$C$5:$C$104,Akun!$A$5:$A$104,$A36,Akun!$D$5:$D$104,"&lt;="&amp;EOMONTH(DATE(Dashboard!$C$4,1,1),0))+SUMIFS(Transaksi!$F$16:$F$5015,Transaksi!$C$16:$C$5015,$A36,Transaksi!$D$16:$D$5015,"Masuk",Transaksi!$B$16:$B$5015,"&lt;="&amp;EOMONTH(DATE(Dashboard!$C$4,1,1),0))-SUMIFS(Transaksi!$F$16:$F$5015,Transaksi!$C$16:$C$5015,$A36,Transaksi!$D$16:$D$5015,"Keluar",Transaksi!$B$16:$B$5015,"&lt;="&amp;EOMONTH(DATE(Dashboard!$C$4,1,1),0))-SUMIFS(Transaksi!$F$16:$F$5015,Transaksi!$C$16:$C$5015,$A36,Transaksi!$D$16:$D$5015,"Pindah",Transaksi!$B$16:$B$5015,"&lt;="&amp;EOMONTH(DATE(Dashboard!$C$4,1,1),0))+SUMIFS(Transaksi!$F$16:$F$5015,Transaksi!$E$16:$E$5015,$A36,Transaksi!$D$16:$D$5015,"Pindah",Transaksi!$B$16:$B$5015,"&lt;="&amp;EOMONTH(DATE(Dashboard!$C$4,1,1),0))))</f>
        <v/>
      </c>
      <c r="C36" s="106">
        <f>IF(DATE(Dashboard!$C$4,2,1)&gt;TODAY(),"",(SUMIFS(Akun!$C$5:$C$104,Akun!$A$5:$A$104,$A36,Akun!$D$5:$D$104,"&lt;="&amp;EOMONTH(DATE(Dashboard!$C$4,2,1),0))+SUMIFS(Transaksi!$F$16:$F$5015,Transaksi!$C$16:$C$5015,$A36,Transaksi!$D$16:$D$5015,"Masuk",Transaksi!$B$16:$B$5015,"&lt;="&amp;EOMONTH(DATE(Dashboard!$C$4,2,1),0))-SUMIFS(Transaksi!$F$16:$F$5015,Transaksi!$C$16:$C$5015,$A36,Transaksi!$D$16:$D$5015,"Keluar",Transaksi!$B$16:$B$5015,"&lt;="&amp;EOMONTH(DATE(Dashboard!$C$4,2,1),0))-SUMIFS(Transaksi!$F$16:$F$5015,Transaksi!$C$16:$C$5015,$A36,Transaksi!$D$16:$D$5015,"Pindah",Transaksi!$B$16:$B$5015,"&lt;="&amp;EOMONTH(DATE(Dashboard!$C$4,2,1),0))+SUMIFS(Transaksi!$F$16:$F$5015,Transaksi!$E$16:$E$5015,$A36,Transaksi!$D$16:$D$5015,"Pindah",Transaksi!$B$16:$B$5015,"&lt;="&amp;EOMONTH(DATE(Dashboard!$C$4,2,1),0))))</f>
        <v/>
      </c>
      <c r="D36" s="106">
        <f>IF(DATE(Dashboard!$C$4,3,1)&gt;TODAY(),"",(SUMIFS(Akun!$C$5:$C$104,Akun!$A$5:$A$104,$A36,Akun!$D$5:$D$104,"&lt;="&amp;EOMONTH(DATE(Dashboard!$C$4,3,1),0))+SUMIFS(Transaksi!$F$16:$F$5015,Transaksi!$C$16:$C$5015,$A36,Transaksi!$D$16:$D$5015,"Masuk",Transaksi!$B$16:$B$5015,"&lt;="&amp;EOMONTH(DATE(Dashboard!$C$4,3,1),0))-SUMIFS(Transaksi!$F$16:$F$5015,Transaksi!$C$16:$C$5015,$A36,Transaksi!$D$16:$D$5015,"Keluar",Transaksi!$B$16:$B$5015,"&lt;="&amp;EOMONTH(DATE(Dashboard!$C$4,3,1),0))-SUMIFS(Transaksi!$F$16:$F$5015,Transaksi!$C$16:$C$5015,$A36,Transaksi!$D$16:$D$5015,"Pindah",Transaksi!$B$16:$B$5015,"&lt;="&amp;EOMONTH(DATE(Dashboard!$C$4,3,1),0))+SUMIFS(Transaksi!$F$16:$F$5015,Transaksi!$E$16:$E$5015,$A36,Transaksi!$D$16:$D$5015,"Pindah",Transaksi!$B$16:$B$5015,"&lt;="&amp;EOMONTH(DATE(Dashboard!$C$4,3,1),0))))</f>
        <v/>
      </c>
      <c r="E36" s="106">
        <f>IF(DATE(Dashboard!$C$4,4,1)&gt;TODAY(),"",(SUMIFS(Akun!$C$5:$C$104,Akun!$A$5:$A$104,$A36,Akun!$D$5:$D$104,"&lt;="&amp;EOMONTH(DATE(Dashboard!$C$4,4,1),0))+SUMIFS(Transaksi!$F$16:$F$5015,Transaksi!$C$16:$C$5015,$A36,Transaksi!$D$16:$D$5015,"Masuk",Transaksi!$B$16:$B$5015,"&lt;="&amp;EOMONTH(DATE(Dashboard!$C$4,4,1),0))-SUMIFS(Transaksi!$F$16:$F$5015,Transaksi!$C$16:$C$5015,$A36,Transaksi!$D$16:$D$5015,"Keluar",Transaksi!$B$16:$B$5015,"&lt;="&amp;EOMONTH(DATE(Dashboard!$C$4,4,1),0))-SUMIFS(Transaksi!$F$16:$F$5015,Transaksi!$C$16:$C$5015,$A36,Transaksi!$D$16:$D$5015,"Pindah",Transaksi!$B$16:$B$5015,"&lt;="&amp;EOMONTH(DATE(Dashboard!$C$4,4,1),0))+SUMIFS(Transaksi!$F$16:$F$5015,Transaksi!$E$16:$E$5015,$A36,Transaksi!$D$16:$D$5015,"Pindah",Transaksi!$B$16:$B$5015,"&lt;="&amp;EOMONTH(DATE(Dashboard!$C$4,4,1),0))))</f>
        <v/>
      </c>
      <c r="F36" s="106">
        <f>IF(DATE(Dashboard!$C$4,5,1)&gt;TODAY(),"",(SUMIFS(Akun!$C$5:$C$104,Akun!$A$5:$A$104,$A36,Akun!$D$5:$D$104,"&lt;="&amp;EOMONTH(DATE(Dashboard!$C$4,5,1),0))+SUMIFS(Transaksi!$F$16:$F$5015,Transaksi!$C$16:$C$5015,$A36,Transaksi!$D$16:$D$5015,"Masuk",Transaksi!$B$16:$B$5015,"&lt;="&amp;EOMONTH(DATE(Dashboard!$C$4,5,1),0))-SUMIFS(Transaksi!$F$16:$F$5015,Transaksi!$C$16:$C$5015,$A36,Transaksi!$D$16:$D$5015,"Keluar",Transaksi!$B$16:$B$5015,"&lt;="&amp;EOMONTH(DATE(Dashboard!$C$4,5,1),0))-SUMIFS(Transaksi!$F$16:$F$5015,Transaksi!$C$16:$C$5015,$A36,Transaksi!$D$16:$D$5015,"Pindah",Transaksi!$B$16:$B$5015,"&lt;="&amp;EOMONTH(DATE(Dashboard!$C$4,5,1),0))+SUMIFS(Transaksi!$F$16:$F$5015,Transaksi!$E$16:$E$5015,$A36,Transaksi!$D$16:$D$5015,"Pindah",Transaksi!$B$16:$B$5015,"&lt;="&amp;EOMONTH(DATE(Dashboard!$C$4,5,1),0))))</f>
        <v/>
      </c>
      <c r="G36" s="106">
        <f>IF(DATE(Dashboard!$C$4,6,1)&gt;TODAY(),"",(SUMIFS(Akun!$C$5:$C$104,Akun!$A$5:$A$104,$A36,Akun!$D$5:$D$104,"&lt;="&amp;EOMONTH(DATE(Dashboard!$C$4,6,1),0))+SUMIFS(Transaksi!$F$16:$F$5015,Transaksi!$C$16:$C$5015,$A36,Transaksi!$D$16:$D$5015,"Masuk",Transaksi!$B$16:$B$5015,"&lt;="&amp;EOMONTH(DATE(Dashboard!$C$4,6,1),0))-SUMIFS(Transaksi!$F$16:$F$5015,Transaksi!$C$16:$C$5015,$A36,Transaksi!$D$16:$D$5015,"Keluar",Transaksi!$B$16:$B$5015,"&lt;="&amp;EOMONTH(DATE(Dashboard!$C$4,6,1),0))-SUMIFS(Transaksi!$F$16:$F$5015,Transaksi!$C$16:$C$5015,$A36,Transaksi!$D$16:$D$5015,"Pindah",Transaksi!$B$16:$B$5015,"&lt;="&amp;EOMONTH(DATE(Dashboard!$C$4,6,1),0))+SUMIFS(Transaksi!$F$16:$F$5015,Transaksi!$E$16:$E$5015,$A36,Transaksi!$D$16:$D$5015,"Pindah",Transaksi!$B$16:$B$5015,"&lt;="&amp;EOMONTH(DATE(Dashboard!$C$4,6,1),0))))</f>
        <v/>
      </c>
      <c r="H36" s="106">
        <f>IF(DATE(Dashboard!$C$4,7,1)&gt;TODAY(),"",(SUMIFS(Akun!$C$5:$C$104,Akun!$A$5:$A$104,$A36,Akun!$D$5:$D$104,"&lt;="&amp;EOMONTH(DATE(Dashboard!$C$4,7,1),0))+SUMIFS(Transaksi!$F$16:$F$5015,Transaksi!$C$16:$C$5015,$A36,Transaksi!$D$16:$D$5015,"Masuk",Transaksi!$B$16:$B$5015,"&lt;="&amp;EOMONTH(DATE(Dashboard!$C$4,7,1),0))-SUMIFS(Transaksi!$F$16:$F$5015,Transaksi!$C$16:$C$5015,$A36,Transaksi!$D$16:$D$5015,"Keluar",Transaksi!$B$16:$B$5015,"&lt;="&amp;EOMONTH(DATE(Dashboard!$C$4,7,1),0))-SUMIFS(Transaksi!$F$16:$F$5015,Transaksi!$C$16:$C$5015,$A36,Transaksi!$D$16:$D$5015,"Pindah",Transaksi!$B$16:$B$5015,"&lt;="&amp;EOMONTH(DATE(Dashboard!$C$4,7,1),0))+SUMIFS(Transaksi!$F$16:$F$5015,Transaksi!$E$16:$E$5015,$A36,Transaksi!$D$16:$D$5015,"Pindah",Transaksi!$B$16:$B$5015,"&lt;="&amp;EOMONTH(DATE(Dashboard!$C$4,7,1),0))))</f>
        <v/>
      </c>
      <c r="I36" s="106">
        <f>IF(DATE(Dashboard!$C$4,8,1)&gt;TODAY(),"",(SUMIFS(Akun!$C$5:$C$104,Akun!$A$5:$A$104,$A36,Akun!$D$5:$D$104,"&lt;="&amp;EOMONTH(DATE(Dashboard!$C$4,8,1),0))+SUMIFS(Transaksi!$F$16:$F$5015,Transaksi!$C$16:$C$5015,$A36,Transaksi!$D$16:$D$5015,"Masuk",Transaksi!$B$16:$B$5015,"&lt;="&amp;EOMONTH(DATE(Dashboard!$C$4,8,1),0))-SUMIFS(Transaksi!$F$16:$F$5015,Transaksi!$C$16:$C$5015,$A36,Transaksi!$D$16:$D$5015,"Keluar",Transaksi!$B$16:$B$5015,"&lt;="&amp;EOMONTH(DATE(Dashboard!$C$4,8,1),0))-SUMIFS(Transaksi!$F$16:$F$5015,Transaksi!$C$16:$C$5015,$A36,Transaksi!$D$16:$D$5015,"Pindah",Transaksi!$B$16:$B$5015,"&lt;="&amp;EOMONTH(DATE(Dashboard!$C$4,8,1),0))+SUMIFS(Transaksi!$F$16:$F$5015,Transaksi!$E$16:$E$5015,$A36,Transaksi!$D$16:$D$5015,"Pindah",Transaksi!$B$16:$B$5015,"&lt;="&amp;EOMONTH(DATE(Dashboard!$C$4,8,1),0))))</f>
        <v/>
      </c>
      <c r="J36" s="106">
        <f>IF(DATE(Dashboard!$C$4,9,1)&gt;TODAY(),"",(SUMIFS(Akun!$C$5:$C$104,Akun!$A$5:$A$104,$A36,Akun!$D$5:$D$104,"&lt;="&amp;EOMONTH(DATE(Dashboard!$C$4,9,1),0))+SUMIFS(Transaksi!$F$16:$F$5015,Transaksi!$C$16:$C$5015,$A36,Transaksi!$D$16:$D$5015,"Masuk",Transaksi!$B$16:$B$5015,"&lt;="&amp;EOMONTH(DATE(Dashboard!$C$4,9,1),0))-SUMIFS(Transaksi!$F$16:$F$5015,Transaksi!$C$16:$C$5015,$A36,Transaksi!$D$16:$D$5015,"Keluar",Transaksi!$B$16:$B$5015,"&lt;="&amp;EOMONTH(DATE(Dashboard!$C$4,9,1),0))-SUMIFS(Transaksi!$F$16:$F$5015,Transaksi!$C$16:$C$5015,$A36,Transaksi!$D$16:$D$5015,"Pindah",Transaksi!$B$16:$B$5015,"&lt;="&amp;EOMONTH(DATE(Dashboard!$C$4,9,1),0))+SUMIFS(Transaksi!$F$16:$F$5015,Transaksi!$E$16:$E$5015,$A36,Transaksi!$D$16:$D$5015,"Pindah",Transaksi!$B$16:$B$5015,"&lt;="&amp;EOMONTH(DATE(Dashboard!$C$4,9,1),0))))</f>
        <v/>
      </c>
      <c r="K36" s="106">
        <f>IF(DATE(Dashboard!$C$4,10,1)&gt;TODAY(),"",(SUMIFS(Akun!$C$5:$C$104,Akun!$A$5:$A$104,$A36,Akun!$D$5:$D$104,"&lt;="&amp;EOMONTH(DATE(Dashboard!$C$4,10,1),0))+SUMIFS(Transaksi!$F$16:$F$5015,Transaksi!$C$16:$C$5015,$A36,Transaksi!$D$16:$D$5015,"Masuk",Transaksi!$B$16:$B$5015,"&lt;="&amp;EOMONTH(DATE(Dashboard!$C$4,10,1),0))-SUMIFS(Transaksi!$F$16:$F$5015,Transaksi!$C$16:$C$5015,$A36,Transaksi!$D$16:$D$5015,"Keluar",Transaksi!$B$16:$B$5015,"&lt;="&amp;EOMONTH(DATE(Dashboard!$C$4,10,1),0))-SUMIFS(Transaksi!$F$16:$F$5015,Transaksi!$C$16:$C$5015,$A36,Transaksi!$D$16:$D$5015,"Pindah",Transaksi!$B$16:$B$5015,"&lt;="&amp;EOMONTH(DATE(Dashboard!$C$4,10,1),0))+SUMIFS(Transaksi!$F$16:$F$5015,Transaksi!$E$16:$E$5015,$A36,Transaksi!$D$16:$D$5015,"Pindah",Transaksi!$B$16:$B$5015,"&lt;="&amp;EOMONTH(DATE(Dashboard!$C$4,10,1),0))))</f>
        <v/>
      </c>
      <c r="L36" s="106">
        <f>IF(DATE(Dashboard!$C$4,11,1)&gt;TODAY(),"",(SUMIFS(Akun!$C$5:$C$104,Akun!$A$5:$A$104,$A36,Akun!$D$5:$D$104,"&lt;="&amp;EOMONTH(DATE(Dashboard!$C$4,11,1),0))+SUMIFS(Transaksi!$F$16:$F$5015,Transaksi!$C$16:$C$5015,$A36,Transaksi!$D$16:$D$5015,"Masuk",Transaksi!$B$16:$B$5015,"&lt;="&amp;EOMONTH(DATE(Dashboard!$C$4,11,1),0))-SUMIFS(Transaksi!$F$16:$F$5015,Transaksi!$C$16:$C$5015,$A36,Transaksi!$D$16:$D$5015,"Keluar",Transaksi!$B$16:$B$5015,"&lt;="&amp;EOMONTH(DATE(Dashboard!$C$4,11,1),0))-SUMIFS(Transaksi!$F$16:$F$5015,Transaksi!$C$16:$C$5015,$A36,Transaksi!$D$16:$D$5015,"Pindah",Transaksi!$B$16:$B$5015,"&lt;="&amp;EOMONTH(DATE(Dashboard!$C$4,11,1),0))+SUMIFS(Transaksi!$F$16:$F$5015,Transaksi!$E$16:$E$5015,$A36,Transaksi!$D$16:$D$5015,"Pindah",Transaksi!$B$16:$B$5015,"&lt;="&amp;EOMONTH(DATE(Dashboard!$C$4,11,1),0))))</f>
        <v/>
      </c>
      <c r="M36" s="106">
        <f>IF(DATE(Dashboard!$C$4,12,1)&gt;TODAY(),"",(SUMIFS(Akun!$C$5:$C$104,Akun!$A$5:$A$104,$A36,Akun!$D$5:$D$104,"&lt;="&amp;EOMONTH(DATE(Dashboard!$C$4,12,1),0))+SUMIFS(Transaksi!$F$16:$F$5015,Transaksi!$C$16:$C$5015,$A36,Transaksi!$D$16:$D$5015,"Masuk",Transaksi!$B$16:$B$5015,"&lt;="&amp;EOMONTH(DATE(Dashboard!$C$4,12,1),0))-SUMIFS(Transaksi!$F$16:$F$5015,Transaksi!$C$16:$C$5015,$A36,Transaksi!$D$16:$D$5015,"Keluar",Transaksi!$B$16:$B$5015,"&lt;="&amp;EOMONTH(DATE(Dashboard!$C$4,12,1),0))-SUMIFS(Transaksi!$F$16:$F$5015,Transaksi!$C$16:$C$5015,$A36,Transaksi!$D$16:$D$5015,"Pindah",Transaksi!$B$16:$B$5015,"&lt;="&amp;EOMONTH(DATE(Dashboard!$C$4,12,1),0))+SUMIFS(Transaksi!$F$16:$F$5015,Transaksi!$E$16:$E$5015,$A36,Transaksi!$D$16:$D$5015,"Pindah",Transaksi!$B$16:$B$5015,"&lt;="&amp;EOMONTH(DATE(Dashboard!$C$4,12,1),0))))</f>
        <v/>
      </c>
    </row>
    <row r="37" ht="15" customHeight="1" s="94">
      <c r="A37" s="127">
        <f>Akun!A15</f>
        <v/>
      </c>
      <c r="B37" s="106">
        <f>IF(DATE(Dashboard!$C$4,1,1)&gt;TODAY(),"",(SUMIFS(Akun!$C$5:$C$104,Akun!$A$5:$A$104,$A37,Akun!$D$5:$D$104,"&lt;="&amp;EOMONTH(DATE(Dashboard!$C$4,1,1),0))+SUMIFS(Transaksi!$F$16:$F$5015,Transaksi!$C$16:$C$5015,$A37,Transaksi!$D$16:$D$5015,"Masuk",Transaksi!$B$16:$B$5015,"&lt;="&amp;EOMONTH(DATE(Dashboard!$C$4,1,1),0))-SUMIFS(Transaksi!$F$16:$F$5015,Transaksi!$C$16:$C$5015,$A37,Transaksi!$D$16:$D$5015,"Keluar",Transaksi!$B$16:$B$5015,"&lt;="&amp;EOMONTH(DATE(Dashboard!$C$4,1,1),0))-SUMIFS(Transaksi!$F$16:$F$5015,Transaksi!$C$16:$C$5015,$A37,Transaksi!$D$16:$D$5015,"Pindah",Transaksi!$B$16:$B$5015,"&lt;="&amp;EOMONTH(DATE(Dashboard!$C$4,1,1),0))+SUMIFS(Transaksi!$F$16:$F$5015,Transaksi!$E$16:$E$5015,$A37,Transaksi!$D$16:$D$5015,"Pindah",Transaksi!$B$16:$B$5015,"&lt;="&amp;EOMONTH(DATE(Dashboard!$C$4,1,1),0))))</f>
        <v/>
      </c>
      <c r="C37" s="106">
        <f>IF(DATE(Dashboard!$C$4,2,1)&gt;TODAY(),"",(SUMIFS(Akun!$C$5:$C$104,Akun!$A$5:$A$104,$A37,Akun!$D$5:$D$104,"&lt;="&amp;EOMONTH(DATE(Dashboard!$C$4,2,1),0))+SUMIFS(Transaksi!$F$16:$F$5015,Transaksi!$C$16:$C$5015,$A37,Transaksi!$D$16:$D$5015,"Masuk",Transaksi!$B$16:$B$5015,"&lt;="&amp;EOMONTH(DATE(Dashboard!$C$4,2,1),0))-SUMIFS(Transaksi!$F$16:$F$5015,Transaksi!$C$16:$C$5015,$A37,Transaksi!$D$16:$D$5015,"Keluar",Transaksi!$B$16:$B$5015,"&lt;="&amp;EOMONTH(DATE(Dashboard!$C$4,2,1),0))-SUMIFS(Transaksi!$F$16:$F$5015,Transaksi!$C$16:$C$5015,$A37,Transaksi!$D$16:$D$5015,"Pindah",Transaksi!$B$16:$B$5015,"&lt;="&amp;EOMONTH(DATE(Dashboard!$C$4,2,1),0))+SUMIFS(Transaksi!$F$16:$F$5015,Transaksi!$E$16:$E$5015,$A37,Transaksi!$D$16:$D$5015,"Pindah",Transaksi!$B$16:$B$5015,"&lt;="&amp;EOMONTH(DATE(Dashboard!$C$4,2,1),0))))</f>
        <v/>
      </c>
      <c r="D37" s="106">
        <f>IF(DATE(Dashboard!$C$4,3,1)&gt;TODAY(),"",(SUMIFS(Akun!$C$5:$C$104,Akun!$A$5:$A$104,$A37,Akun!$D$5:$D$104,"&lt;="&amp;EOMONTH(DATE(Dashboard!$C$4,3,1),0))+SUMIFS(Transaksi!$F$16:$F$5015,Transaksi!$C$16:$C$5015,$A37,Transaksi!$D$16:$D$5015,"Masuk",Transaksi!$B$16:$B$5015,"&lt;="&amp;EOMONTH(DATE(Dashboard!$C$4,3,1),0))-SUMIFS(Transaksi!$F$16:$F$5015,Transaksi!$C$16:$C$5015,$A37,Transaksi!$D$16:$D$5015,"Keluar",Transaksi!$B$16:$B$5015,"&lt;="&amp;EOMONTH(DATE(Dashboard!$C$4,3,1),0))-SUMIFS(Transaksi!$F$16:$F$5015,Transaksi!$C$16:$C$5015,$A37,Transaksi!$D$16:$D$5015,"Pindah",Transaksi!$B$16:$B$5015,"&lt;="&amp;EOMONTH(DATE(Dashboard!$C$4,3,1),0))+SUMIFS(Transaksi!$F$16:$F$5015,Transaksi!$E$16:$E$5015,$A37,Transaksi!$D$16:$D$5015,"Pindah",Transaksi!$B$16:$B$5015,"&lt;="&amp;EOMONTH(DATE(Dashboard!$C$4,3,1),0))))</f>
        <v/>
      </c>
      <c r="E37" s="106">
        <f>IF(DATE(Dashboard!$C$4,4,1)&gt;TODAY(),"",(SUMIFS(Akun!$C$5:$C$104,Akun!$A$5:$A$104,$A37,Akun!$D$5:$D$104,"&lt;="&amp;EOMONTH(DATE(Dashboard!$C$4,4,1),0))+SUMIFS(Transaksi!$F$16:$F$5015,Transaksi!$C$16:$C$5015,$A37,Transaksi!$D$16:$D$5015,"Masuk",Transaksi!$B$16:$B$5015,"&lt;="&amp;EOMONTH(DATE(Dashboard!$C$4,4,1),0))-SUMIFS(Transaksi!$F$16:$F$5015,Transaksi!$C$16:$C$5015,$A37,Transaksi!$D$16:$D$5015,"Keluar",Transaksi!$B$16:$B$5015,"&lt;="&amp;EOMONTH(DATE(Dashboard!$C$4,4,1),0))-SUMIFS(Transaksi!$F$16:$F$5015,Transaksi!$C$16:$C$5015,$A37,Transaksi!$D$16:$D$5015,"Pindah",Transaksi!$B$16:$B$5015,"&lt;="&amp;EOMONTH(DATE(Dashboard!$C$4,4,1),0))+SUMIFS(Transaksi!$F$16:$F$5015,Transaksi!$E$16:$E$5015,$A37,Transaksi!$D$16:$D$5015,"Pindah",Transaksi!$B$16:$B$5015,"&lt;="&amp;EOMONTH(DATE(Dashboard!$C$4,4,1),0))))</f>
        <v/>
      </c>
      <c r="F37" s="106">
        <f>IF(DATE(Dashboard!$C$4,5,1)&gt;TODAY(),"",(SUMIFS(Akun!$C$5:$C$104,Akun!$A$5:$A$104,$A37,Akun!$D$5:$D$104,"&lt;="&amp;EOMONTH(DATE(Dashboard!$C$4,5,1),0))+SUMIFS(Transaksi!$F$16:$F$5015,Transaksi!$C$16:$C$5015,$A37,Transaksi!$D$16:$D$5015,"Masuk",Transaksi!$B$16:$B$5015,"&lt;="&amp;EOMONTH(DATE(Dashboard!$C$4,5,1),0))-SUMIFS(Transaksi!$F$16:$F$5015,Transaksi!$C$16:$C$5015,$A37,Transaksi!$D$16:$D$5015,"Keluar",Transaksi!$B$16:$B$5015,"&lt;="&amp;EOMONTH(DATE(Dashboard!$C$4,5,1),0))-SUMIFS(Transaksi!$F$16:$F$5015,Transaksi!$C$16:$C$5015,$A37,Transaksi!$D$16:$D$5015,"Pindah",Transaksi!$B$16:$B$5015,"&lt;="&amp;EOMONTH(DATE(Dashboard!$C$4,5,1),0))+SUMIFS(Transaksi!$F$16:$F$5015,Transaksi!$E$16:$E$5015,$A37,Transaksi!$D$16:$D$5015,"Pindah",Transaksi!$B$16:$B$5015,"&lt;="&amp;EOMONTH(DATE(Dashboard!$C$4,5,1),0))))</f>
        <v/>
      </c>
      <c r="G37" s="106">
        <f>IF(DATE(Dashboard!$C$4,6,1)&gt;TODAY(),"",(SUMIFS(Akun!$C$5:$C$104,Akun!$A$5:$A$104,$A37,Akun!$D$5:$D$104,"&lt;="&amp;EOMONTH(DATE(Dashboard!$C$4,6,1),0))+SUMIFS(Transaksi!$F$16:$F$5015,Transaksi!$C$16:$C$5015,$A37,Transaksi!$D$16:$D$5015,"Masuk",Transaksi!$B$16:$B$5015,"&lt;="&amp;EOMONTH(DATE(Dashboard!$C$4,6,1),0))-SUMIFS(Transaksi!$F$16:$F$5015,Transaksi!$C$16:$C$5015,$A37,Transaksi!$D$16:$D$5015,"Keluar",Transaksi!$B$16:$B$5015,"&lt;="&amp;EOMONTH(DATE(Dashboard!$C$4,6,1),0))-SUMIFS(Transaksi!$F$16:$F$5015,Transaksi!$C$16:$C$5015,$A37,Transaksi!$D$16:$D$5015,"Pindah",Transaksi!$B$16:$B$5015,"&lt;="&amp;EOMONTH(DATE(Dashboard!$C$4,6,1),0))+SUMIFS(Transaksi!$F$16:$F$5015,Transaksi!$E$16:$E$5015,$A37,Transaksi!$D$16:$D$5015,"Pindah",Transaksi!$B$16:$B$5015,"&lt;="&amp;EOMONTH(DATE(Dashboard!$C$4,6,1),0))))</f>
        <v/>
      </c>
      <c r="H37" s="106">
        <f>IF(DATE(Dashboard!$C$4,7,1)&gt;TODAY(),"",(SUMIFS(Akun!$C$5:$C$104,Akun!$A$5:$A$104,$A37,Akun!$D$5:$D$104,"&lt;="&amp;EOMONTH(DATE(Dashboard!$C$4,7,1),0))+SUMIFS(Transaksi!$F$16:$F$5015,Transaksi!$C$16:$C$5015,$A37,Transaksi!$D$16:$D$5015,"Masuk",Transaksi!$B$16:$B$5015,"&lt;="&amp;EOMONTH(DATE(Dashboard!$C$4,7,1),0))-SUMIFS(Transaksi!$F$16:$F$5015,Transaksi!$C$16:$C$5015,$A37,Transaksi!$D$16:$D$5015,"Keluar",Transaksi!$B$16:$B$5015,"&lt;="&amp;EOMONTH(DATE(Dashboard!$C$4,7,1),0))-SUMIFS(Transaksi!$F$16:$F$5015,Transaksi!$C$16:$C$5015,$A37,Transaksi!$D$16:$D$5015,"Pindah",Transaksi!$B$16:$B$5015,"&lt;="&amp;EOMONTH(DATE(Dashboard!$C$4,7,1),0))+SUMIFS(Transaksi!$F$16:$F$5015,Transaksi!$E$16:$E$5015,$A37,Transaksi!$D$16:$D$5015,"Pindah",Transaksi!$B$16:$B$5015,"&lt;="&amp;EOMONTH(DATE(Dashboard!$C$4,7,1),0))))</f>
        <v/>
      </c>
      <c r="I37" s="106">
        <f>IF(DATE(Dashboard!$C$4,8,1)&gt;TODAY(),"",(SUMIFS(Akun!$C$5:$C$104,Akun!$A$5:$A$104,$A37,Akun!$D$5:$D$104,"&lt;="&amp;EOMONTH(DATE(Dashboard!$C$4,8,1),0))+SUMIFS(Transaksi!$F$16:$F$5015,Transaksi!$C$16:$C$5015,$A37,Transaksi!$D$16:$D$5015,"Masuk",Transaksi!$B$16:$B$5015,"&lt;="&amp;EOMONTH(DATE(Dashboard!$C$4,8,1),0))-SUMIFS(Transaksi!$F$16:$F$5015,Transaksi!$C$16:$C$5015,$A37,Transaksi!$D$16:$D$5015,"Keluar",Transaksi!$B$16:$B$5015,"&lt;="&amp;EOMONTH(DATE(Dashboard!$C$4,8,1),0))-SUMIFS(Transaksi!$F$16:$F$5015,Transaksi!$C$16:$C$5015,$A37,Transaksi!$D$16:$D$5015,"Pindah",Transaksi!$B$16:$B$5015,"&lt;="&amp;EOMONTH(DATE(Dashboard!$C$4,8,1),0))+SUMIFS(Transaksi!$F$16:$F$5015,Transaksi!$E$16:$E$5015,$A37,Transaksi!$D$16:$D$5015,"Pindah",Transaksi!$B$16:$B$5015,"&lt;="&amp;EOMONTH(DATE(Dashboard!$C$4,8,1),0))))</f>
        <v/>
      </c>
      <c r="J37" s="106">
        <f>IF(DATE(Dashboard!$C$4,9,1)&gt;TODAY(),"",(SUMIFS(Akun!$C$5:$C$104,Akun!$A$5:$A$104,$A37,Akun!$D$5:$D$104,"&lt;="&amp;EOMONTH(DATE(Dashboard!$C$4,9,1),0))+SUMIFS(Transaksi!$F$16:$F$5015,Transaksi!$C$16:$C$5015,$A37,Transaksi!$D$16:$D$5015,"Masuk",Transaksi!$B$16:$B$5015,"&lt;="&amp;EOMONTH(DATE(Dashboard!$C$4,9,1),0))-SUMIFS(Transaksi!$F$16:$F$5015,Transaksi!$C$16:$C$5015,$A37,Transaksi!$D$16:$D$5015,"Keluar",Transaksi!$B$16:$B$5015,"&lt;="&amp;EOMONTH(DATE(Dashboard!$C$4,9,1),0))-SUMIFS(Transaksi!$F$16:$F$5015,Transaksi!$C$16:$C$5015,$A37,Transaksi!$D$16:$D$5015,"Pindah",Transaksi!$B$16:$B$5015,"&lt;="&amp;EOMONTH(DATE(Dashboard!$C$4,9,1),0))+SUMIFS(Transaksi!$F$16:$F$5015,Transaksi!$E$16:$E$5015,$A37,Transaksi!$D$16:$D$5015,"Pindah",Transaksi!$B$16:$B$5015,"&lt;="&amp;EOMONTH(DATE(Dashboard!$C$4,9,1),0))))</f>
        <v/>
      </c>
      <c r="K37" s="106">
        <f>IF(DATE(Dashboard!$C$4,10,1)&gt;TODAY(),"",(SUMIFS(Akun!$C$5:$C$104,Akun!$A$5:$A$104,$A37,Akun!$D$5:$D$104,"&lt;="&amp;EOMONTH(DATE(Dashboard!$C$4,10,1),0))+SUMIFS(Transaksi!$F$16:$F$5015,Transaksi!$C$16:$C$5015,$A37,Transaksi!$D$16:$D$5015,"Masuk",Transaksi!$B$16:$B$5015,"&lt;="&amp;EOMONTH(DATE(Dashboard!$C$4,10,1),0))-SUMIFS(Transaksi!$F$16:$F$5015,Transaksi!$C$16:$C$5015,$A37,Transaksi!$D$16:$D$5015,"Keluar",Transaksi!$B$16:$B$5015,"&lt;="&amp;EOMONTH(DATE(Dashboard!$C$4,10,1),0))-SUMIFS(Transaksi!$F$16:$F$5015,Transaksi!$C$16:$C$5015,$A37,Transaksi!$D$16:$D$5015,"Pindah",Transaksi!$B$16:$B$5015,"&lt;="&amp;EOMONTH(DATE(Dashboard!$C$4,10,1),0))+SUMIFS(Transaksi!$F$16:$F$5015,Transaksi!$E$16:$E$5015,$A37,Transaksi!$D$16:$D$5015,"Pindah",Transaksi!$B$16:$B$5015,"&lt;="&amp;EOMONTH(DATE(Dashboard!$C$4,10,1),0))))</f>
        <v/>
      </c>
      <c r="L37" s="106">
        <f>IF(DATE(Dashboard!$C$4,11,1)&gt;TODAY(),"",(SUMIFS(Akun!$C$5:$C$104,Akun!$A$5:$A$104,$A37,Akun!$D$5:$D$104,"&lt;="&amp;EOMONTH(DATE(Dashboard!$C$4,11,1),0))+SUMIFS(Transaksi!$F$16:$F$5015,Transaksi!$C$16:$C$5015,$A37,Transaksi!$D$16:$D$5015,"Masuk",Transaksi!$B$16:$B$5015,"&lt;="&amp;EOMONTH(DATE(Dashboard!$C$4,11,1),0))-SUMIFS(Transaksi!$F$16:$F$5015,Transaksi!$C$16:$C$5015,$A37,Transaksi!$D$16:$D$5015,"Keluar",Transaksi!$B$16:$B$5015,"&lt;="&amp;EOMONTH(DATE(Dashboard!$C$4,11,1),0))-SUMIFS(Transaksi!$F$16:$F$5015,Transaksi!$C$16:$C$5015,$A37,Transaksi!$D$16:$D$5015,"Pindah",Transaksi!$B$16:$B$5015,"&lt;="&amp;EOMONTH(DATE(Dashboard!$C$4,11,1),0))+SUMIFS(Transaksi!$F$16:$F$5015,Transaksi!$E$16:$E$5015,$A37,Transaksi!$D$16:$D$5015,"Pindah",Transaksi!$B$16:$B$5015,"&lt;="&amp;EOMONTH(DATE(Dashboard!$C$4,11,1),0))))</f>
        <v/>
      </c>
      <c r="M37" s="106">
        <f>IF(DATE(Dashboard!$C$4,12,1)&gt;TODAY(),"",(SUMIFS(Akun!$C$5:$C$104,Akun!$A$5:$A$104,$A37,Akun!$D$5:$D$104,"&lt;="&amp;EOMONTH(DATE(Dashboard!$C$4,12,1),0))+SUMIFS(Transaksi!$F$16:$F$5015,Transaksi!$C$16:$C$5015,$A37,Transaksi!$D$16:$D$5015,"Masuk",Transaksi!$B$16:$B$5015,"&lt;="&amp;EOMONTH(DATE(Dashboard!$C$4,12,1),0))-SUMIFS(Transaksi!$F$16:$F$5015,Transaksi!$C$16:$C$5015,$A37,Transaksi!$D$16:$D$5015,"Keluar",Transaksi!$B$16:$B$5015,"&lt;="&amp;EOMONTH(DATE(Dashboard!$C$4,12,1),0))-SUMIFS(Transaksi!$F$16:$F$5015,Transaksi!$C$16:$C$5015,$A37,Transaksi!$D$16:$D$5015,"Pindah",Transaksi!$B$16:$B$5015,"&lt;="&amp;EOMONTH(DATE(Dashboard!$C$4,12,1),0))+SUMIFS(Transaksi!$F$16:$F$5015,Transaksi!$E$16:$E$5015,$A37,Transaksi!$D$16:$D$5015,"Pindah",Transaksi!$B$16:$B$5015,"&lt;="&amp;EOMONTH(DATE(Dashboard!$C$4,12,1),0))))</f>
        <v/>
      </c>
    </row>
    <row r="38" ht="15" customHeight="1" s="94">
      <c r="A38" s="127">
        <f>Akun!A16</f>
        <v/>
      </c>
      <c r="B38" s="106">
        <f>IF(DATE(Dashboard!$C$4,1,1)&gt;TODAY(),"",(SUMIFS(Akun!$C$5:$C$104,Akun!$A$5:$A$104,$A38,Akun!$D$5:$D$104,"&lt;="&amp;EOMONTH(DATE(Dashboard!$C$4,1,1),0))+SUMIFS(Transaksi!$F$16:$F$5015,Transaksi!$C$16:$C$5015,$A38,Transaksi!$D$16:$D$5015,"Masuk",Transaksi!$B$16:$B$5015,"&lt;="&amp;EOMONTH(DATE(Dashboard!$C$4,1,1),0))-SUMIFS(Transaksi!$F$16:$F$5015,Transaksi!$C$16:$C$5015,$A38,Transaksi!$D$16:$D$5015,"Keluar",Transaksi!$B$16:$B$5015,"&lt;="&amp;EOMONTH(DATE(Dashboard!$C$4,1,1),0))-SUMIFS(Transaksi!$F$16:$F$5015,Transaksi!$C$16:$C$5015,$A38,Transaksi!$D$16:$D$5015,"Pindah",Transaksi!$B$16:$B$5015,"&lt;="&amp;EOMONTH(DATE(Dashboard!$C$4,1,1),0))+SUMIFS(Transaksi!$F$16:$F$5015,Transaksi!$E$16:$E$5015,$A38,Transaksi!$D$16:$D$5015,"Pindah",Transaksi!$B$16:$B$5015,"&lt;="&amp;EOMONTH(DATE(Dashboard!$C$4,1,1),0))))</f>
        <v/>
      </c>
      <c r="C38" s="106">
        <f>IF(DATE(Dashboard!$C$4,2,1)&gt;TODAY(),"",(SUMIFS(Akun!$C$5:$C$104,Akun!$A$5:$A$104,$A38,Akun!$D$5:$D$104,"&lt;="&amp;EOMONTH(DATE(Dashboard!$C$4,2,1),0))+SUMIFS(Transaksi!$F$16:$F$5015,Transaksi!$C$16:$C$5015,$A38,Transaksi!$D$16:$D$5015,"Masuk",Transaksi!$B$16:$B$5015,"&lt;="&amp;EOMONTH(DATE(Dashboard!$C$4,2,1),0))-SUMIFS(Transaksi!$F$16:$F$5015,Transaksi!$C$16:$C$5015,$A38,Transaksi!$D$16:$D$5015,"Keluar",Transaksi!$B$16:$B$5015,"&lt;="&amp;EOMONTH(DATE(Dashboard!$C$4,2,1),0))-SUMIFS(Transaksi!$F$16:$F$5015,Transaksi!$C$16:$C$5015,$A38,Transaksi!$D$16:$D$5015,"Pindah",Transaksi!$B$16:$B$5015,"&lt;="&amp;EOMONTH(DATE(Dashboard!$C$4,2,1),0))+SUMIFS(Transaksi!$F$16:$F$5015,Transaksi!$E$16:$E$5015,$A38,Transaksi!$D$16:$D$5015,"Pindah",Transaksi!$B$16:$B$5015,"&lt;="&amp;EOMONTH(DATE(Dashboard!$C$4,2,1),0))))</f>
        <v/>
      </c>
      <c r="D38" s="106">
        <f>IF(DATE(Dashboard!$C$4,3,1)&gt;TODAY(),"",(SUMIFS(Akun!$C$5:$C$104,Akun!$A$5:$A$104,$A38,Akun!$D$5:$D$104,"&lt;="&amp;EOMONTH(DATE(Dashboard!$C$4,3,1),0))+SUMIFS(Transaksi!$F$16:$F$5015,Transaksi!$C$16:$C$5015,$A38,Transaksi!$D$16:$D$5015,"Masuk",Transaksi!$B$16:$B$5015,"&lt;="&amp;EOMONTH(DATE(Dashboard!$C$4,3,1),0))-SUMIFS(Transaksi!$F$16:$F$5015,Transaksi!$C$16:$C$5015,$A38,Transaksi!$D$16:$D$5015,"Keluar",Transaksi!$B$16:$B$5015,"&lt;="&amp;EOMONTH(DATE(Dashboard!$C$4,3,1),0))-SUMIFS(Transaksi!$F$16:$F$5015,Transaksi!$C$16:$C$5015,$A38,Transaksi!$D$16:$D$5015,"Pindah",Transaksi!$B$16:$B$5015,"&lt;="&amp;EOMONTH(DATE(Dashboard!$C$4,3,1),0))+SUMIFS(Transaksi!$F$16:$F$5015,Transaksi!$E$16:$E$5015,$A38,Transaksi!$D$16:$D$5015,"Pindah",Transaksi!$B$16:$B$5015,"&lt;="&amp;EOMONTH(DATE(Dashboard!$C$4,3,1),0))))</f>
        <v/>
      </c>
      <c r="E38" s="106">
        <f>IF(DATE(Dashboard!$C$4,4,1)&gt;TODAY(),"",(SUMIFS(Akun!$C$5:$C$104,Akun!$A$5:$A$104,$A38,Akun!$D$5:$D$104,"&lt;="&amp;EOMONTH(DATE(Dashboard!$C$4,4,1),0))+SUMIFS(Transaksi!$F$16:$F$5015,Transaksi!$C$16:$C$5015,$A38,Transaksi!$D$16:$D$5015,"Masuk",Transaksi!$B$16:$B$5015,"&lt;="&amp;EOMONTH(DATE(Dashboard!$C$4,4,1),0))-SUMIFS(Transaksi!$F$16:$F$5015,Transaksi!$C$16:$C$5015,$A38,Transaksi!$D$16:$D$5015,"Keluar",Transaksi!$B$16:$B$5015,"&lt;="&amp;EOMONTH(DATE(Dashboard!$C$4,4,1),0))-SUMIFS(Transaksi!$F$16:$F$5015,Transaksi!$C$16:$C$5015,$A38,Transaksi!$D$16:$D$5015,"Pindah",Transaksi!$B$16:$B$5015,"&lt;="&amp;EOMONTH(DATE(Dashboard!$C$4,4,1),0))+SUMIFS(Transaksi!$F$16:$F$5015,Transaksi!$E$16:$E$5015,$A38,Transaksi!$D$16:$D$5015,"Pindah",Transaksi!$B$16:$B$5015,"&lt;="&amp;EOMONTH(DATE(Dashboard!$C$4,4,1),0))))</f>
        <v/>
      </c>
      <c r="F38" s="106">
        <f>IF(DATE(Dashboard!$C$4,5,1)&gt;TODAY(),"",(SUMIFS(Akun!$C$5:$C$104,Akun!$A$5:$A$104,$A38,Akun!$D$5:$D$104,"&lt;="&amp;EOMONTH(DATE(Dashboard!$C$4,5,1),0))+SUMIFS(Transaksi!$F$16:$F$5015,Transaksi!$C$16:$C$5015,$A38,Transaksi!$D$16:$D$5015,"Masuk",Transaksi!$B$16:$B$5015,"&lt;="&amp;EOMONTH(DATE(Dashboard!$C$4,5,1),0))-SUMIFS(Transaksi!$F$16:$F$5015,Transaksi!$C$16:$C$5015,$A38,Transaksi!$D$16:$D$5015,"Keluar",Transaksi!$B$16:$B$5015,"&lt;="&amp;EOMONTH(DATE(Dashboard!$C$4,5,1),0))-SUMIFS(Transaksi!$F$16:$F$5015,Transaksi!$C$16:$C$5015,$A38,Transaksi!$D$16:$D$5015,"Pindah",Transaksi!$B$16:$B$5015,"&lt;="&amp;EOMONTH(DATE(Dashboard!$C$4,5,1),0))+SUMIFS(Transaksi!$F$16:$F$5015,Transaksi!$E$16:$E$5015,$A38,Transaksi!$D$16:$D$5015,"Pindah",Transaksi!$B$16:$B$5015,"&lt;="&amp;EOMONTH(DATE(Dashboard!$C$4,5,1),0))))</f>
        <v/>
      </c>
      <c r="G38" s="106">
        <f>IF(DATE(Dashboard!$C$4,6,1)&gt;TODAY(),"",(SUMIFS(Akun!$C$5:$C$104,Akun!$A$5:$A$104,$A38,Akun!$D$5:$D$104,"&lt;="&amp;EOMONTH(DATE(Dashboard!$C$4,6,1),0))+SUMIFS(Transaksi!$F$16:$F$5015,Transaksi!$C$16:$C$5015,$A38,Transaksi!$D$16:$D$5015,"Masuk",Transaksi!$B$16:$B$5015,"&lt;="&amp;EOMONTH(DATE(Dashboard!$C$4,6,1),0))-SUMIFS(Transaksi!$F$16:$F$5015,Transaksi!$C$16:$C$5015,$A38,Transaksi!$D$16:$D$5015,"Keluar",Transaksi!$B$16:$B$5015,"&lt;="&amp;EOMONTH(DATE(Dashboard!$C$4,6,1),0))-SUMIFS(Transaksi!$F$16:$F$5015,Transaksi!$C$16:$C$5015,$A38,Transaksi!$D$16:$D$5015,"Pindah",Transaksi!$B$16:$B$5015,"&lt;="&amp;EOMONTH(DATE(Dashboard!$C$4,6,1),0))+SUMIFS(Transaksi!$F$16:$F$5015,Transaksi!$E$16:$E$5015,$A38,Transaksi!$D$16:$D$5015,"Pindah",Transaksi!$B$16:$B$5015,"&lt;="&amp;EOMONTH(DATE(Dashboard!$C$4,6,1),0))))</f>
        <v/>
      </c>
      <c r="H38" s="106">
        <f>IF(DATE(Dashboard!$C$4,7,1)&gt;TODAY(),"",(SUMIFS(Akun!$C$5:$C$104,Akun!$A$5:$A$104,$A38,Akun!$D$5:$D$104,"&lt;="&amp;EOMONTH(DATE(Dashboard!$C$4,7,1),0))+SUMIFS(Transaksi!$F$16:$F$5015,Transaksi!$C$16:$C$5015,$A38,Transaksi!$D$16:$D$5015,"Masuk",Transaksi!$B$16:$B$5015,"&lt;="&amp;EOMONTH(DATE(Dashboard!$C$4,7,1),0))-SUMIFS(Transaksi!$F$16:$F$5015,Transaksi!$C$16:$C$5015,$A38,Transaksi!$D$16:$D$5015,"Keluar",Transaksi!$B$16:$B$5015,"&lt;="&amp;EOMONTH(DATE(Dashboard!$C$4,7,1),0))-SUMIFS(Transaksi!$F$16:$F$5015,Transaksi!$C$16:$C$5015,$A38,Transaksi!$D$16:$D$5015,"Pindah",Transaksi!$B$16:$B$5015,"&lt;="&amp;EOMONTH(DATE(Dashboard!$C$4,7,1),0))+SUMIFS(Transaksi!$F$16:$F$5015,Transaksi!$E$16:$E$5015,$A38,Transaksi!$D$16:$D$5015,"Pindah",Transaksi!$B$16:$B$5015,"&lt;="&amp;EOMONTH(DATE(Dashboard!$C$4,7,1),0))))</f>
        <v/>
      </c>
      <c r="I38" s="106">
        <f>IF(DATE(Dashboard!$C$4,8,1)&gt;TODAY(),"",(SUMIFS(Akun!$C$5:$C$104,Akun!$A$5:$A$104,$A38,Akun!$D$5:$D$104,"&lt;="&amp;EOMONTH(DATE(Dashboard!$C$4,8,1),0))+SUMIFS(Transaksi!$F$16:$F$5015,Transaksi!$C$16:$C$5015,$A38,Transaksi!$D$16:$D$5015,"Masuk",Transaksi!$B$16:$B$5015,"&lt;="&amp;EOMONTH(DATE(Dashboard!$C$4,8,1),0))-SUMIFS(Transaksi!$F$16:$F$5015,Transaksi!$C$16:$C$5015,$A38,Transaksi!$D$16:$D$5015,"Keluar",Transaksi!$B$16:$B$5015,"&lt;="&amp;EOMONTH(DATE(Dashboard!$C$4,8,1),0))-SUMIFS(Transaksi!$F$16:$F$5015,Transaksi!$C$16:$C$5015,$A38,Transaksi!$D$16:$D$5015,"Pindah",Transaksi!$B$16:$B$5015,"&lt;="&amp;EOMONTH(DATE(Dashboard!$C$4,8,1),0))+SUMIFS(Transaksi!$F$16:$F$5015,Transaksi!$E$16:$E$5015,$A38,Transaksi!$D$16:$D$5015,"Pindah",Transaksi!$B$16:$B$5015,"&lt;="&amp;EOMONTH(DATE(Dashboard!$C$4,8,1),0))))</f>
        <v/>
      </c>
      <c r="J38" s="106">
        <f>IF(DATE(Dashboard!$C$4,9,1)&gt;TODAY(),"",(SUMIFS(Akun!$C$5:$C$104,Akun!$A$5:$A$104,$A38,Akun!$D$5:$D$104,"&lt;="&amp;EOMONTH(DATE(Dashboard!$C$4,9,1),0))+SUMIFS(Transaksi!$F$16:$F$5015,Transaksi!$C$16:$C$5015,$A38,Transaksi!$D$16:$D$5015,"Masuk",Transaksi!$B$16:$B$5015,"&lt;="&amp;EOMONTH(DATE(Dashboard!$C$4,9,1),0))-SUMIFS(Transaksi!$F$16:$F$5015,Transaksi!$C$16:$C$5015,$A38,Transaksi!$D$16:$D$5015,"Keluar",Transaksi!$B$16:$B$5015,"&lt;="&amp;EOMONTH(DATE(Dashboard!$C$4,9,1),0))-SUMIFS(Transaksi!$F$16:$F$5015,Transaksi!$C$16:$C$5015,$A38,Transaksi!$D$16:$D$5015,"Pindah",Transaksi!$B$16:$B$5015,"&lt;="&amp;EOMONTH(DATE(Dashboard!$C$4,9,1),0))+SUMIFS(Transaksi!$F$16:$F$5015,Transaksi!$E$16:$E$5015,$A38,Transaksi!$D$16:$D$5015,"Pindah",Transaksi!$B$16:$B$5015,"&lt;="&amp;EOMONTH(DATE(Dashboard!$C$4,9,1),0))))</f>
        <v/>
      </c>
      <c r="K38" s="106">
        <f>IF(DATE(Dashboard!$C$4,10,1)&gt;TODAY(),"",(SUMIFS(Akun!$C$5:$C$104,Akun!$A$5:$A$104,$A38,Akun!$D$5:$D$104,"&lt;="&amp;EOMONTH(DATE(Dashboard!$C$4,10,1),0))+SUMIFS(Transaksi!$F$16:$F$5015,Transaksi!$C$16:$C$5015,$A38,Transaksi!$D$16:$D$5015,"Masuk",Transaksi!$B$16:$B$5015,"&lt;="&amp;EOMONTH(DATE(Dashboard!$C$4,10,1),0))-SUMIFS(Transaksi!$F$16:$F$5015,Transaksi!$C$16:$C$5015,$A38,Transaksi!$D$16:$D$5015,"Keluar",Transaksi!$B$16:$B$5015,"&lt;="&amp;EOMONTH(DATE(Dashboard!$C$4,10,1),0))-SUMIFS(Transaksi!$F$16:$F$5015,Transaksi!$C$16:$C$5015,$A38,Transaksi!$D$16:$D$5015,"Pindah",Transaksi!$B$16:$B$5015,"&lt;="&amp;EOMONTH(DATE(Dashboard!$C$4,10,1),0))+SUMIFS(Transaksi!$F$16:$F$5015,Transaksi!$E$16:$E$5015,$A38,Transaksi!$D$16:$D$5015,"Pindah",Transaksi!$B$16:$B$5015,"&lt;="&amp;EOMONTH(DATE(Dashboard!$C$4,10,1),0))))</f>
        <v/>
      </c>
      <c r="L38" s="106">
        <f>IF(DATE(Dashboard!$C$4,11,1)&gt;TODAY(),"",(SUMIFS(Akun!$C$5:$C$104,Akun!$A$5:$A$104,$A38,Akun!$D$5:$D$104,"&lt;="&amp;EOMONTH(DATE(Dashboard!$C$4,11,1),0))+SUMIFS(Transaksi!$F$16:$F$5015,Transaksi!$C$16:$C$5015,$A38,Transaksi!$D$16:$D$5015,"Masuk",Transaksi!$B$16:$B$5015,"&lt;="&amp;EOMONTH(DATE(Dashboard!$C$4,11,1),0))-SUMIFS(Transaksi!$F$16:$F$5015,Transaksi!$C$16:$C$5015,$A38,Transaksi!$D$16:$D$5015,"Keluar",Transaksi!$B$16:$B$5015,"&lt;="&amp;EOMONTH(DATE(Dashboard!$C$4,11,1),0))-SUMIFS(Transaksi!$F$16:$F$5015,Transaksi!$C$16:$C$5015,$A38,Transaksi!$D$16:$D$5015,"Pindah",Transaksi!$B$16:$B$5015,"&lt;="&amp;EOMONTH(DATE(Dashboard!$C$4,11,1),0))+SUMIFS(Transaksi!$F$16:$F$5015,Transaksi!$E$16:$E$5015,$A38,Transaksi!$D$16:$D$5015,"Pindah",Transaksi!$B$16:$B$5015,"&lt;="&amp;EOMONTH(DATE(Dashboard!$C$4,11,1),0))))</f>
        <v/>
      </c>
      <c r="M38" s="106">
        <f>IF(DATE(Dashboard!$C$4,12,1)&gt;TODAY(),"",(SUMIFS(Akun!$C$5:$C$104,Akun!$A$5:$A$104,$A38,Akun!$D$5:$D$104,"&lt;="&amp;EOMONTH(DATE(Dashboard!$C$4,12,1),0))+SUMIFS(Transaksi!$F$16:$F$5015,Transaksi!$C$16:$C$5015,$A38,Transaksi!$D$16:$D$5015,"Masuk",Transaksi!$B$16:$B$5015,"&lt;="&amp;EOMONTH(DATE(Dashboard!$C$4,12,1),0))-SUMIFS(Transaksi!$F$16:$F$5015,Transaksi!$C$16:$C$5015,$A38,Transaksi!$D$16:$D$5015,"Keluar",Transaksi!$B$16:$B$5015,"&lt;="&amp;EOMONTH(DATE(Dashboard!$C$4,12,1),0))-SUMIFS(Transaksi!$F$16:$F$5015,Transaksi!$C$16:$C$5015,$A38,Transaksi!$D$16:$D$5015,"Pindah",Transaksi!$B$16:$B$5015,"&lt;="&amp;EOMONTH(DATE(Dashboard!$C$4,12,1),0))+SUMIFS(Transaksi!$F$16:$F$5015,Transaksi!$E$16:$E$5015,$A38,Transaksi!$D$16:$D$5015,"Pindah",Transaksi!$B$16:$B$5015,"&lt;="&amp;EOMONTH(DATE(Dashboard!$C$4,12,1),0))))</f>
        <v/>
      </c>
    </row>
    <row r="39" ht="15" customHeight="1" s="94">
      <c r="A39" s="127">
        <f>Akun!A17</f>
        <v/>
      </c>
      <c r="B39" s="106">
        <f>IF(DATE(Dashboard!$C$4,1,1)&gt;TODAY(),"",(SUMIFS(Akun!$C$5:$C$104,Akun!$A$5:$A$104,$A39,Akun!$D$5:$D$104,"&lt;="&amp;EOMONTH(DATE(Dashboard!$C$4,1,1),0))+SUMIFS(Transaksi!$F$16:$F$5015,Transaksi!$C$16:$C$5015,$A39,Transaksi!$D$16:$D$5015,"Masuk",Transaksi!$B$16:$B$5015,"&lt;="&amp;EOMONTH(DATE(Dashboard!$C$4,1,1),0))-SUMIFS(Transaksi!$F$16:$F$5015,Transaksi!$C$16:$C$5015,$A39,Transaksi!$D$16:$D$5015,"Keluar",Transaksi!$B$16:$B$5015,"&lt;="&amp;EOMONTH(DATE(Dashboard!$C$4,1,1),0))-SUMIFS(Transaksi!$F$16:$F$5015,Transaksi!$C$16:$C$5015,$A39,Transaksi!$D$16:$D$5015,"Pindah",Transaksi!$B$16:$B$5015,"&lt;="&amp;EOMONTH(DATE(Dashboard!$C$4,1,1),0))+SUMIFS(Transaksi!$F$16:$F$5015,Transaksi!$E$16:$E$5015,$A39,Transaksi!$D$16:$D$5015,"Pindah",Transaksi!$B$16:$B$5015,"&lt;="&amp;EOMONTH(DATE(Dashboard!$C$4,1,1),0))))</f>
        <v/>
      </c>
      <c r="C39" s="106">
        <f>IF(DATE(Dashboard!$C$4,2,1)&gt;TODAY(),"",(SUMIFS(Akun!$C$5:$C$104,Akun!$A$5:$A$104,$A39,Akun!$D$5:$D$104,"&lt;="&amp;EOMONTH(DATE(Dashboard!$C$4,2,1),0))+SUMIFS(Transaksi!$F$16:$F$5015,Transaksi!$C$16:$C$5015,$A39,Transaksi!$D$16:$D$5015,"Masuk",Transaksi!$B$16:$B$5015,"&lt;="&amp;EOMONTH(DATE(Dashboard!$C$4,2,1),0))-SUMIFS(Transaksi!$F$16:$F$5015,Transaksi!$C$16:$C$5015,$A39,Transaksi!$D$16:$D$5015,"Keluar",Transaksi!$B$16:$B$5015,"&lt;="&amp;EOMONTH(DATE(Dashboard!$C$4,2,1),0))-SUMIFS(Transaksi!$F$16:$F$5015,Transaksi!$C$16:$C$5015,$A39,Transaksi!$D$16:$D$5015,"Pindah",Transaksi!$B$16:$B$5015,"&lt;="&amp;EOMONTH(DATE(Dashboard!$C$4,2,1),0))+SUMIFS(Transaksi!$F$16:$F$5015,Transaksi!$E$16:$E$5015,$A39,Transaksi!$D$16:$D$5015,"Pindah",Transaksi!$B$16:$B$5015,"&lt;="&amp;EOMONTH(DATE(Dashboard!$C$4,2,1),0))))</f>
        <v/>
      </c>
      <c r="D39" s="106">
        <f>IF(DATE(Dashboard!$C$4,3,1)&gt;TODAY(),"",(SUMIFS(Akun!$C$5:$C$104,Akun!$A$5:$A$104,$A39,Akun!$D$5:$D$104,"&lt;="&amp;EOMONTH(DATE(Dashboard!$C$4,3,1),0))+SUMIFS(Transaksi!$F$16:$F$5015,Transaksi!$C$16:$C$5015,$A39,Transaksi!$D$16:$D$5015,"Masuk",Transaksi!$B$16:$B$5015,"&lt;="&amp;EOMONTH(DATE(Dashboard!$C$4,3,1),0))-SUMIFS(Transaksi!$F$16:$F$5015,Transaksi!$C$16:$C$5015,$A39,Transaksi!$D$16:$D$5015,"Keluar",Transaksi!$B$16:$B$5015,"&lt;="&amp;EOMONTH(DATE(Dashboard!$C$4,3,1),0))-SUMIFS(Transaksi!$F$16:$F$5015,Transaksi!$C$16:$C$5015,$A39,Transaksi!$D$16:$D$5015,"Pindah",Transaksi!$B$16:$B$5015,"&lt;="&amp;EOMONTH(DATE(Dashboard!$C$4,3,1),0))+SUMIFS(Transaksi!$F$16:$F$5015,Transaksi!$E$16:$E$5015,$A39,Transaksi!$D$16:$D$5015,"Pindah",Transaksi!$B$16:$B$5015,"&lt;="&amp;EOMONTH(DATE(Dashboard!$C$4,3,1),0))))</f>
        <v/>
      </c>
      <c r="E39" s="106">
        <f>IF(DATE(Dashboard!$C$4,4,1)&gt;TODAY(),"",(SUMIFS(Akun!$C$5:$C$104,Akun!$A$5:$A$104,$A39,Akun!$D$5:$D$104,"&lt;="&amp;EOMONTH(DATE(Dashboard!$C$4,4,1),0))+SUMIFS(Transaksi!$F$16:$F$5015,Transaksi!$C$16:$C$5015,$A39,Transaksi!$D$16:$D$5015,"Masuk",Transaksi!$B$16:$B$5015,"&lt;="&amp;EOMONTH(DATE(Dashboard!$C$4,4,1),0))-SUMIFS(Transaksi!$F$16:$F$5015,Transaksi!$C$16:$C$5015,$A39,Transaksi!$D$16:$D$5015,"Keluar",Transaksi!$B$16:$B$5015,"&lt;="&amp;EOMONTH(DATE(Dashboard!$C$4,4,1),0))-SUMIFS(Transaksi!$F$16:$F$5015,Transaksi!$C$16:$C$5015,$A39,Transaksi!$D$16:$D$5015,"Pindah",Transaksi!$B$16:$B$5015,"&lt;="&amp;EOMONTH(DATE(Dashboard!$C$4,4,1),0))+SUMIFS(Transaksi!$F$16:$F$5015,Transaksi!$E$16:$E$5015,$A39,Transaksi!$D$16:$D$5015,"Pindah",Transaksi!$B$16:$B$5015,"&lt;="&amp;EOMONTH(DATE(Dashboard!$C$4,4,1),0))))</f>
        <v/>
      </c>
      <c r="F39" s="106">
        <f>IF(DATE(Dashboard!$C$4,5,1)&gt;TODAY(),"",(SUMIFS(Akun!$C$5:$C$104,Akun!$A$5:$A$104,$A39,Akun!$D$5:$D$104,"&lt;="&amp;EOMONTH(DATE(Dashboard!$C$4,5,1),0))+SUMIFS(Transaksi!$F$16:$F$5015,Transaksi!$C$16:$C$5015,$A39,Transaksi!$D$16:$D$5015,"Masuk",Transaksi!$B$16:$B$5015,"&lt;="&amp;EOMONTH(DATE(Dashboard!$C$4,5,1),0))-SUMIFS(Transaksi!$F$16:$F$5015,Transaksi!$C$16:$C$5015,$A39,Transaksi!$D$16:$D$5015,"Keluar",Transaksi!$B$16:$B$5015,"&lt;="&amp;EOMONTH(DATE(Dashboard!$C$4,5,1),0))-SUMIFS(Transaksi!$F$16:$F$5015,Transaksi!$C$16:$C$5015,$A39,Transaksi!$D$16:$D$5015,"Pindah",Transaksi!$B$16:$B$5015,"&lt;="&amp;EOMONTH(DATE(Dashboard!$C$4,5,1),0))+SUMIFS(Transaksi!$F$16:$F$5015,Transaksi!$E$16:$E$5015,$A39,Transaksi!$D$16:$D$5015,"Pindah",Transaksi!$B$16:$B$5015,"&lt;="&amp;EOMONTH(DATE(Dashboard!$C$4,5,1),0))))</f>
        <v/>
      </c>
      <c r="G39" s="106">
        <f>IF(DATE(Dashboard!$C$4,6,1)&gt;TODAY(),"",(SUMIFS(Akun!$C$5:$C$104,Akun!$A$5:$A$104,$A39,Akun!$D$5:$D$104,"&lt;="&amp;EOMONTH(DATE(Dashboard!$C$4,6,1),0))+SUMIFS(Transaksi!$F$16:$F$5015,Transaksi!$C$16:$C$5015,$A39,Transaksi!$D$16:$D$5015,"Masuk",Transaksi!$B$16:$B$5015,"&lt;="&amp;EOMONTH(DATE(Dashboard!$C$4,6,1),0))-SUMIFS(Transaksi!$F$16:$F$5015,Transaksi!$C$16:$C$5015,$A39,Transaksi!$D$16:$D$5015,"Keluar",Transaksi!$B$16:$B$5015,"&lt;="&amp;EOMONTH(DATE(Dashboard!$C$4,6,1),0))-SUMIFS(Transaksi!$F$16:$F$5015,Transaksi!$C$16:$C$5015,$A39,Transaksi!$D$16:$D$5015,"Pindah",Transaksi!$B$16:$B$5015,"&lt;="&amp;EOMONTH(DATE(Dashboard!$C$4,6,1),0))+SUMIFS(Transaksi!$F$16:$F$5015,Transaksi!$E$16:$E$5015,$A39,Transaksi!$D$16:$D$5015,"Pindah",Transaksi!$B$16:$B$5015,"&lt;="&amp;EOMONTH(DATE(Dashboard!$C$4,6,1),0))))</f>
        <v/>
      </c>
      <c r="H39" s="106">
        <f>IF(DATE(Dashboard!$C$4,7,1)&gt;TODAY(),"",(SUMIFS(Akun!$C$5:$C$104,Akun!$A$5:$A$104,$A39,Akun!$D$5:$D$104,"&lt;="&amp;EOMONTH(DATE(Dashboard!$C$4,7,1),0))+SUMIFS(Transaksi!$F$16:$F$5015,Transaksi!$C$16:$C$5015,$A39,Transaksi!$D$16:$D$5015,"Masuk",Transaksi!$B$16:$B$5015,"&lt;="&amp;EOMONTH(DATE(Dashboard!$C$4,7,1),0))-SUMIFS(Transaksi!$F$16:$F$5015,Transaksi!$C$16:$C$5015,$A39,Transaksi!$D$16:$D$5015,"Keluar",Transaksi!$B$16:$B$5015,"&lt;="&amp;EOMONTH(DATE(Dashboard!$C$4,7,1),0))-SUMIFS(Transaksi!$F$16:$F$5015,Transaksi!$C$16:$C$5015,$A39,Transaksi!$D$16:$D$5015,"Pindah",Transaksi!$B$16:$B$5015,"&lt;="&amp;EOMONTH(DATE(Dashboard!$C$4,7,1),0))+SUMIFS(Transaksi!$F$16:$F$5015,Transaksi!$E$16:$E$5015,$A39,Transaksi!$D$16:$D$5015,"Pindah",Transaksi!$B$16:$B$5015,"&lt;="&amp;EOMONTH(DATE(Dashboard!$C$4,7,1),0))))</f>
        <v/>
      </c>
      <c r="I39" s="106">
        <f>IF(DATE(Dashboard!$C$4,8,1)&gt;TODAY(),"",(SUMIFS(Akun!$C$5:$C$104,Akun!$A$5:$A$104,$A39,Akun!$D$5:$D$104,"&lt;="&amp;EOMONTH(DATE(Dashboard!$C$4,8,1),0))+SUMIFS(Transaksi!$F$16:$F$5015,Transaksi!$C$16:$C$5015,$A39,Transaksi!$D$16:$D$5015,"Masuk",Transaksi!$B$16:$B$5015,"&lt;="&amp;EOMONTH(DATE(Dashboard!$C$4,8,1),0))-SUMIFS(Transaksi!$F$16:$F$5015,Transaksi!$C$16:$C$5015,$A39,Transaksi!$D$16:$D$5015,"Keluar",Transaksi!$B$16:$B$5015,"&lt;="&amp;EOMONTH(DATE(Dashboard!$C$4,8,1),0))-SUMIFS(Transaksi!$F$16:$F$5015,Transaksi!$C$16:$C$5015,$A39,Transaksi!$D$16:$D$5015,"Pindah",Transaksi!$B$16:$B$5015,"&lt;="&amp;EOMONTH(DATE(Dashboard!$C$4,8,1),0))+SUMIFS(Transaksi!$F$16:$F$5015,Transaksi!$E$16:$E$5015,$A39,Transaksi!$D$16:$D$5015,"Pindah",Transaksi!$B$16:$B$5015,"&lt;="&amp;EOMONTH(DATE(Dashboard!$C$4,8,1),0))))</f>
        <v/>
      </c>
      <c r="J39" s="106">
        <f>IF(DATE(Dashboard!$C$4,9,1)&gt;TODAY(),"",(SUMIFS(Akun!$C$5:$C$104,Akun!$A$5:$A$104,$A39,Akun!$D$5:$D$104,"&lt;="&amp;EOMONTH(DATE(Dashboard!$C$4,9,1),0))+SUMIFS(Transaksi!$F$16:$F$5015,Transaksi!$C$16:$C$5015,$A39,Transaksi!$D$16:$D$5015,"Masuk",Transaksi!$B$16:$B$5015,"&lt;="&amp;EOMONTH(DATE(Dashboard!$C$4,9,1),0))-SUMIFS(Transaksi!$F$16:$F$5015,Transaksi!$C$16:$C$5015,$A39,Transaksi!$D$16:$D$5015,"Keluar",Transaksi!$B$16:$B$5015,"&lt;="&amp;EOMONTH(DATE(Dashboard!$C$4,9,1),0))-SUMIFS(Transaksi!$F$16:$F$5015,Transaksi!$C$16:$C$5015,$A39,Transaksi!$D$16:$D$5015,"Pindah",Transaksi!$B$16:$B$5015,"&lt;="&amp;EOMONTH(DATE(Dashboard!$C$4,9,1),0))+SUMIFS(Transaksi!$F$16:$F$5015,Transaksi!$E$16:$E$5015,$A39,Transaksi!$D$16:$D$5015,"Pindah",Transaksi!$B$16:$B$5015,"&lt;="&amp;EOMONTH(DATE(Dashboard!$C$4,9,1),0))))</f>
        <v/>
      </c>
      <c r="K39" s="106">
        <f>IF(DATE(Dashboard!$C$4,10,1)&gt;TODAY(),"",(SUMIFS(Akun!$C$5:$C$104,Akun!$A$5:$A$104,$A39,Akun!$D$5:$D$104,"&lt;="&amp;EOMONTH(DATE(Dashboard!$C$4,10,1),0))+SUMIFS(Transaksi!$F$16:$F$5015,Transaksi!$C$16:$C$5015,$A39,Transaksi!$D$16:$D$5015,"Masuk",Transaksi!$B$16:$B$5015,"&lt;="&amp;EOMONTH(DATE(Dashboard!$C$4,10,1),0))-SUMIFS(Transaksi!$F$16:$F$5015,Transaksi!$C$16:$C$5015,$A39,Transaksi!$D$16:$D$5015,"Keluar",Transaksi!$B$16:$B$5015,"&lt;="&amp;EOMONTH(DATE(Dashboard!$C$4,10,1),0))-SUMIFS(Transaksi!$F$16:$F$5015,Transaksi!$C$16:$C$5015,$A39,Transaksi!$D$16:$D$5015,"Pindah",Transaksi!$B$16:$B$5015,"&lt;="&amp;EOMONTH(DATE(Dashboard!$C$4,10,1),0))+SUMIFS(Transaksi!$F$16:$F$5015,Transaksi!$E$16:$E$5015,$A39,Transaksi!$D$16:$D$5015,"Pindah",Transaksi!$B$16:$B$5015,"&lt;="&amp;EOMONTH(DATE(Dashboard!$C$4,10,1),0))))</f>
        <v/>
      </c>
      <c r="L39" s="106">
        <f>IF(DATE(Dashboard!$C$4,11,1)&gt;TODAY(),"",(SUMIFS(Akun!$C$5:$C$104,Akun!$A$5:$A$104,$A39,Akun!$D$5:$D$104,"&lt;="&amp;EOMONTH(DATE(Dashboard!$C$4,11,1),0))+SUMIFS(Transaksi!$F$16:$F$5015,Transaksi!$C$16:$C$5015,$A39,Transaksi!$D$16:$D$5015,"Masuk",Transaksi!$B$16:$B$5015,"&lt;="&amp;EOMONTH(DATE(Dashboard!$C$4,11,1),0))-SUMIFS(Transaksi!$F$16:$F$5015,Transaksi!$C$16:$C$5015,$A39,Transaksi!$D$16:$D$5015,"Keluar",Transaksi!$B$16:$B$5015,"&lt;="&amp;EOMONTH(DATE(Dashboard!$C$4,11,1),0))-SUMIFS(Transaksi!$F$16:$F$5015,Transaksi!$C$16:$C$5015,$A39,Transaksi!$D$16:$D$5015,"Pindah",Transaksi!$B$16:$B$5015,"&lt;="&amp;EOMONTH(DATE(Dashboard!$C$4,11,1),0))+SUMIFS(Transaksi!$F$16:$F$5015,Transaksi!$E$16:$E$5015,$A39,Transaksi!$D$16:$D$5015,"Pindah",Transaksi!$B$16:$B$5015,"&lt;="&amp;EOMONTH(DATE(Dashboard!$C$4,11,1),0))))</f>
        <v/>
      </c>
      <c r="M39" s="106">
        <f>IF(DATE(Dashboard!$C$4,12,1)&gt;TODAY(),"",(SUMIFS(Akun!$C$5:$C$104,Akun!$A$5:$A$104,$A39,Akun!$D$5:$D$104,"&lt;="&amp;EOMONTH(DATE(Dashboard!$C$4,12,1),0))+SUMIFS(Transaksi!$F$16:$F$5015,Transaksi!$C$16:$C$5015,$A39,Transaksi!$D$16:$D$5015,"Masuk",Transaksi!$B$16:$B$5015,"&lt;="&amp;EOMONTH(DATE(Dashboard!$C$4,12,1),0))-SUMIFS(Transaksi!$F$16:$F$5015,Transaksi!$C$16:$C$5015,$A39,Transaksi!$D$16:$D$5015,"Keluar",Transaksi!$B$16:$B$5015,"&lt;="&amp;EOMONTH(DATE(Dashboard!$C$4,12,1),0))-SUMIFS(Transaksi!$F$16:$F$5015,Transaksi!$C$16:$C$5015,$A39,Transaksi!$D$16:$D$5015,"Pindah",Transaksi!$B$16:$B$5015,"&lt;="&amp;EOMONTH(DATE(Dashboard!$C$4,12,1),0))+SUMIFS(Transaksi!$F$16:$F$5015,Transaksi!$E$16:$E$5015,$A39,Transaksi!$D$16:$D$5015,"Pindah",Transaksi!$B$16:$B$5015,"&lt;="&amp;EOMONTH(DATE(Dashboard!$C$4,12,1),0))))</f>
        <v/>
      </c>
    </row>
    <row r="40" ht="15" customHeight="1" s="94">
      <c r="A40" s="127">
        <f>Akun!A18</f>
        <v/>
      </c>
      <c r="B40" s="106">
        <f>IF(DATE(Dashboard!$C$4,1,1)&gt;TODAY(),"",(SUMIFS(Akun!$C$5:$C$104,Akun!$A$5:$A$104,$A40,Akun!$D$5:$D$104,"&lt;="&amp;EOMONTH(DATE(Dashboard!$C$4,1,1),0))+SUMIFS(Transaksi!$F$16:$F$5015,Transaksi!$C$16:$C$5015,$A40,Transaksi!$D$16:$D$5015,"Masuk",Transaksi!$B$16:$B$5015,"&lt;="&amp;EOMONTH(DATE(Dashboard!$C$4,1,1),0))-SUMIFS(Transaksi!$F$16:$F$5015,Transaksi!$C$16:$C$5015,$A40,Transaksi!$D$16:$D$5015,"Keluar",Transaksi!$B$16:$B$5015,"&lt;="&amp;EOMONTH(DATE(Dashboard!$C$4,1,1),0))-SUMIFS(Transaksi!$F$16:$F$5015,Transaksi!$C$16:$C$5015,$A40,Transaksi!$D$16:$D$5015,"Pindah",Transaksi!$B$16:$B$5015,"&lt;="&amp;EOMONTH(DATE(Dashboard!$C$4,1,1),0))+SUMIFS(Transaksi!$F$16:$F$5015,Transaksi!$E$16:$E$5015,$A40,Transaksi!$D$16:$D$5015,"Pindah",Transaksi!$B$16:$B$5015,"&lt;="&amp;EOMONTH(DATE(Dashboard!$C$4,1,1),0))))</f>
        <v/>
      </c>
      <c r="C40" s="106">
        <f>IF(DATE(Dashboard!$C$4,2,1)&gt;TODAY(),"",(SUMIFS(Akun!$C$5:$C$104,Akun!$A$5:$A$104,$A40,Akun!$D$5:$D$104,"&lt;="&amp;EOMONTH(DATE(Dashboard!$C$4,2,1),0))+SUMIFS(Transaksi!$F$16:$F$5015,Transaksi!$C$16:$C$5015,$A40,Transaksi!$D$16:$D$5015,"Masuk",Transaksi!$B$16:$B$5015,"&lt;="&amp;EOMONTH(DATE(Dashboard!$C$4,2,1),0))-SUMIFS(Transaksi!$F$16:$F$5015,Transaksi!$C$16:$C$5015,$A40,Transaksi!$D$16:$D$5015,"Keluar",Transaksi!$B$16:$B$5015,"&lt;="&amp;EOMONTH(DATE(Dashboard!$C$4,2,1),0))-SUMIFS(Transaksi!$F$16:$F$5015,Transaksi!$C$16:$C$5015,$A40,Transaksi!$D$16:$D$5015,"Pindah",Transaksi!$B$16:$B$5015,"&lt;="&amp;EOMONTH(DATE(Dashboard!$C$4,2,1),0))+SUMIFS(Transaksi!$F$16:$F$5015,Transaksi!$E$16:$E$5015,$A40,Transaksi!$D$16:$D$5015,"Pindah",Transaksi!$B$16:$B$5015,"&lt;="&amp;EOMONTH(DATE(Dashboard!$C$4,2,1),0))))</f>
        <v/>
      </c>
      <c r="D40" s="106">
        <f>IF(DATE(Dashboard!$C$4,3,1)&gt;TODAY(),"",(SUMIFS(Akun!$C$5:$C$104,Akun!$A$5:$A$104,$A40,Akun!$D$5:$D$104,"&lt;="&amp;EOMONTH(DATE(Dashboard!$C$4,3,1),0))+SUMIFS(Transaksi!$F$16:$F$5015,Transaksi!$C$16:$C$5015,$A40,Transaksi!$D$16:$D$5015,"Masuk",Transaksi!$B$16:$B$5015,"&lt;="&amp;EOMONTH(DATE(Dashboard!$C$4,3,1),0))-SUMIFS(Transaksi!$F$16:$F$5015,Transaksi!$C$16:$C$5015,$A40,Transaksi!$D$16:$D$5015,"Keluar",Transaksi!$B$16:$B$5015,"&lt;="&amp;EOMONTH(DATE(Dashboard!$C$4,3,1),0))-SUMIFS(Transaksi!$F$16:$F$5015,Transaksi!$C$16:$C$5015,$A40,Transaksi!$D$16:$D$5015,"Pindah",Transaksi!$B$16:$B$5015,"&lt;="&amp;EOMONTH(DATE(Dashboard!$C$4,3,1),0))+SUMIFS(Transaksi!$F$16:$F$5015,Transaksi!$E$16:$E$5015,$A40,Transaksi!$D$16:$D$5015,"Pindah",Transaksi!$B$16:$B$5015,"&lt;="&amp;EOMONTH(DATE(Dashboard!$C$4,3,1),0))))</f>
        <v/>
      </c>
      <c r="E40" s="106">
        <f>IF(DATE(Dashboard!$C$4,4,1)&gt;TODAY(),"",(SUMIFS(Akun!$C$5:$C$104,Akun!$A$5:$A$104,$A40,Akun!$D$5:$D$104,"&lt;="&amp;EOMONTH(DATE(Dashboard!$C$4,4,1),0))+SUMIFS(Transaksi!$F$16:$F$5015,Transaksi!$C$16:$C$5015,$A40,Transaksi!$D$16:$D$5015,"Masuk",Transaksi!$B$16:$B$5015,"&lt;="&amp;EOMONTH(DATE(Dashboard!$C$4,4,1),0))-SUMIFS(Transaksi!$F$16:$F$5015,Transaksi!$C$16:$C$5015,$A40,Transaksi!$D$16:$D$5015,"Keluar",Transaksi!$B$16:$B$5015,"&lt;="&amp;EOMONTH(DATE(Dashboard!$C$4,4,1),0))-SUMIFS(Transaksi!$F$16:$F$5015,Transaksi!$C$16:$C$5015,$A40,Transaksi!$D$16:$D$5015,"Pindah",Transaksi!$B$16:$B$5015,"&lt;="&amp;EOMONTH(DATE(Dashboard!$C$4,4,1),0))+SUMIFS(Transaksi!$F$16:$F$5015,Transaksi!$E$16:$E$5015,$A40,Transaksi!$D$16:$D$5015,"Pindah",Transaksi!$B$16:$B$5015,"&lt;="&amp;EOMONTH(DATE(Dashboard!$C$4,4,1),0))))</f>
        <v/>
      </c>
      <c r="F40" s="106">
        <f>IF(DATE(Dashboard!$C$4,5,1)&gt;TODAY(),"",(SUMIFS(Akun!$C$5:$C$104,Akun!$A$5:$A$104,$A40,Akun!$D$5:$D$104,"&lt;="&amp;EOMONTH(DATE(Dashboard!$C$4,5,1),0))+SUMIFS(Transaksi!$F$16:$F$5015,Transaksi!$C$16:$C$5015,$A40,Transaksi!$D$16:$D$5015,"Masuk",Transaksi!$B$16:$B$5015,"&lt;="&amp;EOMONTH(DATE(Dashboard!$C$4,5,1),0))-SUMIFS(Transaksi!$F$16:$F$5015,Transaksi!$C$16:$C$5015,$A40,Transaksi!$D$16:$D$5015,"Keluar",Transaksi!$B$16:$B$5015,"&lt;="&amp;EOMONTH(DATE(Dashboard!$C$4,5,1),0))-SUMIFS(Transaksi!$F$16:$F$5015,Transaksi!$C$16:$C$5015,$A40,Transaksi!$D$16:$D$5015,"Pindah",Transaksi!$B$16:$B$5015,"&lt;="&amp;EOMONTH(DATE(Dashboard!$C$4,5,1),0))+SUMIFS(Transaksi!$F$16:$F$5015,Transaksi!$E$16:$E$5015,$A40,Transaksi!$D$16:$D$5015,"Pindah",Transaksi!$B$16:$B$5015,"&lt;="&amp;EOMONTH(DATE(Dashboard!$C$4,5,1),0))))</f>
        <v/>
      </c>
      <c r="G40" s="106">
        <f>IF(DATE(Dashboard!$C$4,6,1)&gt;TODAY(),"",(SUMIFS(Akun!$C$5:$C$104,Akun!$A$5:$A$104,$A40,Akun!$D$5:$D$104,"&lt;="&amp;EOMONTH(DATE(Dashboard!$C$4,6,1),0))+SUMIFS(Transaksi!$F$16:$F$5015,Transaksi!$C$16:$C$5015,$A40,Transaksi!$D$16:$D$5015,"Masuk",Transaksi!$B$16:$B$5015,"&lt;="&amp;EOMONTH(DATE(Dashboard!$C$4,6,1),0))-SUMIFS(Transaksi!$F$16:$F$5015,Transaksi!$C$16:$C$5015,$A40,Transaksi!$D$16:$D$5015,"Keluar",Transaksi!$B$16:$B$5015,"&lt;="&amp;EOMONTH(DATE(Dashboard!$C$4,6,1),0))-SUMIFS(Transaksi!$F$16:$F$5015,Transaksi!$C$16:$C$5015,$A40,Transaksi!$D$16:$D$5015,"Pindah",Transaksi!$B$16:$B$5015,"&lt;="&amp;EOMONTH(DATE(Dashboard!$C$4,6,1),0))+SUMIFS(Transaksi!$F$16:$F$5015,Transaksi!$E$16:$E$5015,$A40,Transaksi!$D$16:$D$5015,"Pindah",Transaksi!$B$16:$B$5015,"&lt;="&amp;EOMONTH(DATE(Dashboard!$C$4,6,1),0))))</f>
        <v/>
      </c>
      <c r="H40" s="106">
        <f>IF(DATE(Dashboard!$C$4,7,1)&gt;TODAY(),"",(SUMIFS(Akun!$C$5:$C$104,Akun!$A$5:$A$104,$A40,Akun!$D$5:$D$104,"&lt;="&amp;EOMONTH(DATE(Dashboard!$C$4,7,1),0))+SUMIFS(Transaksi!$F$16:$F$5015,Transaksi!$C$16:$C$5015,$A40,Transaksi!$D$16:$D$5015,"Masuk",Transaksi!$B$16:$B$5015,"&lt;="&amp;EOMONTH(DATE(Dashboard!$C$4,7,1),0))-SUMIFS(Transaksi!$F$16:$F$5015,Transaksi!$C$16:$C$5015,$A40,Transaksi!$D$16:$D$5015,"Keluar",Transaksi!$B$16:$B$5015,"&lt;="&amp;EOMONTH(DATE(Dashboard!$C$4,7,1),0))-SUMIFS(Transaksi!$F$16:$F$5015,Transaksi!$C$16:$C$5015,$A40,Transaksi!$D$16:$D$5015,"Pindah",Transaksi!$B$16:$B$5015,"&lt;="&amp;EOMONTH(DATE(Dashboard!$C$4,7,1),0))+SUMIFS(Transaksi!$F$16:$F$5015,Transaksi!$E$16:$E$5015,$A40,Transaksi!$D$16:$D$5015,"Pindah",Transaksi!$B$16:$B$5015,"&lt;="&amp;EOMONTH(DATE(Dashboard!$C$4,7,1),0))))</f>
        <v/>
      </c>
      <c r="I40" s="106">
        <f>IF(DATE(Dashboard!$C$4,8,1)&gt;TODAY(),"",(SUMIFS(Akun!$C$5:$C$104,Akun!$A$5:$A$104,$A40,Akun!$D$5:$D$104,"&lt;="&amp;EOMONTH(DATE(Dashboard!$C$4,8,1),0))+SUMIFS(Transaksi!$F$16:$F$5015,Transaksi!$C$16:$C$5015,$A40,Transaksi!$D$16:$D$5015,"Masuk",Transaksi!$B$16:$B$5015,"&lt;="&amp;EOMONTH(DATE(Dashboard!$C$4,8,1),0))-SUMIFS(Transaksi!$F$16:$F$5015,Transaksi!$C$16:$C$5015,$A40,Transaksi!$D$16:$D$5015,"Keluar",Transaksi!$B$16:$B$5015,"&lt;="&amp;EOMONTH(DATE(Dashboard!$C$4,8,1),0))-SUMIFS(Transaksi!$F$16:$F$5015,Transaksi!$C$16:$C$5015,$A40,Transaksi!$D$16:$D$5015,"Pindah",Transaksi!$B$16:$B$5015,"&lt;="&amp;EOMONTH(DATE(Dashboard!$C$4,8,1),0))+SUMIFS(Transaksi!$F$16:$F$5015,Transaksi!$E$16:$E$5015,$A40,Transaksi!$D$16:$D$5015,"Pindah",Transaksi!$B$16:$B$5015,"&lt;="&amp;EOMONTH(DATE(Dashboard!$C$4,8,1),0))))</f>
        <v/>
      </c>
      <c r="J40" s="106">
        <f>IF(DATE(Dashboard!$C$4,9,1)&gt;TODAY(),"",(SUMIFS(Akun!$C$5:$C$104,Akun!$A$5:$A$104,$A40,Akun!$D$5:$D$104,"&lt;="&amp;EOMONTH(DATE(Dashboard!$C$4,9,1),0))+SUMIFS(Transaksi!$F$16:$F$5015,Transaksi!$C$16:$C$5015,$A40,Transaksi!$D$16:$D$5015,"Masuk",Transaksi!$B$16:$B$5015,"&lt;="&amp;EOMONTH(DATE(Dashboard!$C$4,9,1),0))-SUMIFS(Transaksi!$F$16:$F$5015,Transaksi!$C$16:$C$5015,$A40,Transaksi!$D$16:$D$5015,"Keluar",Transaksi!$B$16:$B$5015,"&lt;="&amp;EOMONTH(DATE(Dashboard!$C$4,9,1),0))-SUMIFS(Transaksi!$F$16:$F$5015,Transaksi!$C$16:$C$5015,$A40,Transaksi!$D$16:$D$5015,"Pindah",Transaksi!$B$16:$B$5015,"&lt;="&amp;EOMONTH(DATE(Dashboard!$C$4,9,1),0))+SUMIFS(Transaksi!$F$16:$F$5015,Transaksi!$E$16:$E$5015,$A40,Transaksi!$D$16:$D$5015,"Pindah",Transaksi!$B$16:$B$5015,"&lt;="&amp;EOMONTH(DATE(Dashboard!$C$4,9,1),0))))</f>
        <v/>
      </c>
      <c r="K40" s="106">
        <f>IF(DATE(Dashboard!$C$4,10,1)&gt;TODAY(),"",(SUMIFS(Akun!$C$5:$C$104,Akun!$A$5:$A$104,$A40,Akun!$D$5:$D$104,"&lt;="&amp;EOMONTH(DATE(Dashboard!$C$4,10,1),0))+SUMIFS(Transaksi!$F$16:$F$5015,Transaksi!$C$16:$C$5015,$A40,Transaksi!$D$16:$D$5015,"Masuk",Transaksi!$B$16:$B$5015,"&lt;="&amp;EOMONTH(DATE(Dashboard!$C$4,10,1),0))-SUMIFS(Transaksi!$F$16:$F$5015,Transaksi!$C$16:$C$5015,$A40,Transaksi!$D$16:$D$5015,"Keluar",Transaksi!$B$16:$B$5015,"&lt;="&amp;EOMONTH(DATE(Dashboard!$C$4,10,1),0))-SUMIFS(Transaksi!$F$16:$F$5015,Transaksi!$C$16:$C$5015,$A40,Transaksi!$D$16:$D$5015,"Pindah",Transaksi!$B$16:$B$5015,"&lt;="&amp;EOMONTH(DATE(Dashboard!$C$4,10,1),0))+SUMIFS(Transaksi!$F$16:$F$5015,Transaksi!$E$16:$E$5015,$A40,Transaksi!$D$16:$D$5015,"Pindah",Transaksi!$B$16:$B$5015,"&lt;="&amp;EOMONTH(DATE(Dashboard!$C$4,10,1),0))))</f>
        <v/>
      </c>
      <c r="L40" s="106">
        <f>IF(DATE(Dashboard!$C$4,11,1)&gt;TODAY(),"",(SUMIFS(Akun!$C$5:$C$104,Akun!$A$5:$A$104,$A40,Akun!$D$5:$D$104,"&lt;="&amp;EOMONTH(DATE(Dashboard!$C$4,11,1),0))+SUMIFS(Transaksi!$F$16:$F$5015,Transaksi!$C$16:$C$5015,$A40,Transaksi!$D$16:$D$5015,"Masuk",Transaksi!$B$16:$B$5015,"&lt;="&amp;EOMONTH(DATE(Dashboard!$C$4,11,1),0))-SUMIFS(Transaksi!$F$16:$F$5015,Transaksi!$C$16:$C$5015,$A40,Transaksi!$D$16:$D$5015,"Keluar",Transaksi!$B$16:$B$5015,"&lt;="&amp;EOMONTH(DATE(Dashboard!$C$4,11,1),0))-SUMIFS(Transaksi!$F$16:$F$5015,Transaksi!$C$16:$C$5015,$A40,Transaksi!$D$16:$D$5015,"Pindah",Transaksi!$B$16:$B$5015,"&lt;="&amp;EOMONTH(DATE(Dashboard!$C$4,11,1),0))+SUMIFS(Transaksi!$F$16:$F$5015,Transaksi!$E$16:$E$5015,$A40,Transaksi!$D$16:$D$5015,"Pindah",Transaksi!$B$16:$B$5015,"&lt;="&amp;EOMONTH(DATE(Dashboard!$C$4,11,1),0))))</f>
        <v/>
      </c>
      <c r="M40" s="106">
        <f>IF(DATE(Dashboard!$C$4,12,1)&gt;TODAY(),"",(SUMIFS(Akun!$C$5:$C$104,Akun!$A$5:$A$104,$A40,Akun!$D$5:$D$104,"&lt;="&amp;EOMONTH(DATE(Dashboard!$C$4,12,1),0))+SUMIFS(Transaksi!$F$16:$F$5015,Transaksi!$C$16:$C$5015,$A40,Transaksi!$D$16:$D$5015,"Masuk",Transaksi!$B$16:$B$5015,"&lt;="&amp;EOMONTH(DATE(Dashboard!$C$4,12,1),0))-SUMIFS(Transaksi!$F$16:$F$5015,Transaksi!$C$16:$C$5015,$A40,Transaksi!$D$16:$D$5015,"Keluar",Transaksi!$B$16:$B$5015,"&lt;="&amp;EOMONTH(DATE(Dashboard!$C$4,12,1),0))-SUMIFS(Transaksi!$F$16:$F$5015,Transaksi!$C$16:$C$5015,$A40,Transaksi!$D$16:$D$5015,"Pindah",Transaksi!$B$16:$B$5015,"&lt;="&amp;EOMONTH(DATE(Dashboard!$C$4,12,1),0))+SUMIFS(Transaksi!$F$16:$F$5015,Transaksi!$E$16:$E$5015,$A40,Transaksi!$D$16:$D$5015,"Pindah",Transaksi!$B$16:$B$5015,"&lt;="&amp;EOMONTH(DATE(Dashboard!$C$4,12,1),0))))</f>
        <v/>
      </c>
    </row>
    <row r="41" ht="15" customHeight="1" s="94">
      <c r="A41" s="127">
        <f>Akun!A19</f>
        <v/>
      </c>
      <c r="B41" s="106">
        <f>IF(DATE(Dashboard!$C$4,1,1)&gt;TODAY(),"",(SUMIFS(Akun!$C$5:$C$104,Akun!$A$5:$A$104,$A41,Akun!$D$5:$D$104,"&lt;="&amp;EOMONTH(DATE(Dashboard!$C$4,1,1),0))+SUMIFS(Transaksi!$F$16:$F$5015,Transaksi!$C$16:$C$5015,$A41,Transaksi!$D$16:$D$5015,"Masuk",Transaksi!$B$16:$B$5015,"&lt;="&amp;EOMONTH(DATE(Dashboard!$C$4,1,1),0))-SUMIFS(Transaksi!$F$16:$F$5015,Transaksi!$C$16:$C$5015,$A41,Transaksi!$D$16:$D$5015,"Keluar",Transaksi!$B$16:$B$5015,"&lt;="&amp;EOMONTH(DATE(Dashboard!$C$4,1,1),0))-SUMIFS(Transaksi!$F$16:$F$5015,Transaksi!$C$16:$C$5015,$A41,Transaksi!$D$16:$D$5015,"Pindah",Transaksi!$B$16:$B$5015,"&lt;="&amp;EOMONTH(DATE(Dashboard!$C$4,1,1),0))+SUMIFS(Transaksi!$F$16:$F$5015,Transaksi!$E$16:$E$5015,$A41,Transaksi!$D$16:$D$5015,"Pindah",Transaksi!$B$16:$B$5015,"&lt;="&amp;EOMONTH(DATE(Dashboard!$C$4,1,1),0))))</f>
        <v/>
      </c>
      <c r="C41" s="106">
        <f>IF(DATE(Dashboard!$C$4,2,1)&gt;TODAY(),"",(SUMIFS(Akun!$C$5:$C$104,Akun!$A$5:$A$104,$A41,Akun!$D$5:$D$104,"&lt;="&amp;EOMONTH(DATE(Dashboard!$C$4,2,1),0))+SUMIFS(Transaksi!$F$16:$F$5015,Transaksi!$C$16:$C$5015,$A41,Transaksi!$D$16:$D$5015,"Masuk",Transaksi!$B$16:$B$5015,"&lt;="&amp;EOMONTH(DATE(Dashboard!$C$4,2,1),0))-SUMIFS(Transaksi!$F$16:$F$5015,Transaksi!$C$16:$C$5015,$A41,Transaksi!$D$16:$D$5015,"Keluar",Transaksi!$B$16:$B$5015,"&lt;="&amp;EOMONTH(DATE(Dashboard!$C$4,2,1),0))-SUMIFS(Transaksi!$F$16:$F$5015,Transaksi!$C$16:$C$5015,$A41,Transaksi!$D$16:$D$5015,"Pindah",Transaksi!$B$16:$B$5015,"&lt;="&amp;EOMONTH(DATE(Dashboard!$C$4,2,1),0))+SUMIFS(Transaksi!$F$16:$F$5015,Transaksi!$E$16:$E$5015,$A41,Transaksi!$D$16:$D$5015,"Pindah",Transaksi!$B$16:$B$5015,"&lt;="&amp;EOMONTH(DATE(Dashboard!$C$4,2,1),0))))</f>
        <v/>
      </c>
      <c r="D41" s="106">
        <f>IF(DATE(Dashboard!$C$4,3,1)&gt;TODAY(),"",(SUMIFS(Akun!$C$5:$C$104,Akun!$A$5:$A$104,$A41,Akun!$D$5:$D$104,"&lt;="&amp;EOMONTH(DATE(Dashboard!$C$4,3,1),0))+SUMIFS(Transaksi!$F$16:$F$5015,Transaksi!$C$16:$C$5015,$A41,Transaksi!$D$16:$D$5015,"Masuk",Transaksi!$B$16:$B$5015,"&lt;="&amp;EOMONTH(DATE(Dashboard!$C$4,3,1),0))-SUMIFS(Transaksi!$F$16:$F$5015,Transaksi!$C$16:$C$5015,$A41,Transaksi!$D$16:$D$5015,"Keluar",Transaksi!$B$16:$B$5015,"&lt;="&amp;EOMONTH(DATE(Dashboard!$C$4,3,1),0))-SUMIFS(Transaksi!$F$16:$F$5015,Transaksi!$C$16:$C$5015,$A41,Transaksi!$D$16:$D$5015,"Pindah",Transaksi!$B$16:$B$5015,"&lt;="&amp;EOMONTH(DATE(Dashboard!$C$4,3,1),0))+SUMIFS(Transaksi!$F$16:$F$5015,Transaksi!$E$16:$E$5015,$A41,Transaksi!$D$16:$D$5015,"Pindah",Transaksi!$B$16:$B$5015,"&lt;="&amp;EOMONTH(DATE(Dashboard!$C$4,3,1),0))))</f>
        <v/>
      </c>
      <c r="E41" s="106">
        <f>IF(DATE(Dashboard!$C$4,4,1)&gt;TODAY(),"",(SUMIFS(Akun!$C$5:$C$104,Akun!$A$5:$A$104,$A41,Akun!$D$5:$D$104,"&lt;="&amp;EOMONTH(DATE(Dashboard!$C$4,4,1),0))+SUMIFS(Transaksi!$F$16:$F$5015,Transaksi!$C$16:$C$5015,$A41,Transaksi!$D$16:$D$5015,"Masuk",Transaksi!$B$16:$B$5015,"&lt;="&amp;EOMONTH(DATE(Dashboard!$C$4,4,1),0))-SUMIFS(Transaksi!$F$16:$F$5015,Transaksi!$C$16:$C$5015,$A41,Transaksi!$D$16:$D$5015,"Keluar",Transaksi!$B$16:$B$5015,"&lt;="&amp;EOMONTH(DATE(Dashboard!$C$4,4,1),0))-SUMIFS(Transaksi!$F$16:$F$5015,Transaksi!$C$16:$C$5015,$A41,Transaksi!$D$16:$D$5015,"Pindah",Transaksi!$B$16:$B$5015,"&lt;="&amp;EOMONTH(DATE(Dashboard!$C$4,4,1),0))+SUMIFS(Transaksi!$F$16:$F$5015,Transaksi!$E$16:$E$5015,$A41,Transaksi!$D$16:$D$5015,"Pindah",Transaksi!$B$16:$B$5015,"&lt;="&amp;EOMONTH(DATE(Dashboard!$C$4,4,1),0))))</f>
        <v/>
      </c>
      <c r="F41" s="106">
        <f>IF(DATE(Dashboard!$C$4,5,1)&gt;TODAY(),"",(SUMIFS(Akun!$C$5:$C$104,Akun!$A$5:$A$104,$A41,Akun!$D$5:$D$104,"&lt;="&amp;EOMONTH(DATE(Dashboard!$C$4,5,1),0))+SUMIFS(Transaksi!$F$16:$F$5015,Transaksi!$C$16:$C$5015,$A41,Transaksi!$D$16:$D$5015,"Masuk",Transaksi!$B$16:$B$5015,"&lt;="&amp;EOMONTH(DATE(Dashboard!$C$4,5,1),0))-SUMIFS(Transaksi!$F$16:$F$5015,Transaksi!$C$16:$C$5015,$A41,Transaksi!$D$16:$D$5015,"Keluar",Transaksi!$B$16:$B$5015,"&lt;="&amp;EOMONTH(DATE(Dashboard!$C$4,5,1),0))-SUMIFS(Transaksi!$F$16:$F$5015,Transaksi!$C$16:$C$5015,$A41,Transaksi!$D$16:$D$5015,"Pindah",Transaksi!$B$16:$B$5015,"&lt;="&amp;EOMONTH(DATE(Dashboard!$C$4,5,1),0))+SUMIFS(Transaksi!$F$16:$F$5015,Transaksi!$E$16:$E$5015,$A41,Transaksi!$D$16:$D$5015,"Pindah",Transaksi!$B$16:$B$5015,"&lt;="&amp;EOMONTH(DATE(Dashboard!$C$4,5,1),0))))</f>
        <v/>
      </c>
      <c r="G41" s="106">
        <f>IF(DATE(Dashboard!$C$4,6,1)&gt;TODAY(),"",(SUMIFS(Akun!$C$5:$C$104,Akun!$A$5:$A$104,$A41,Akun!$D$5:$D$104,"&lt;="&amp;EOMONTH(DATE(Dashboard!$C$4,6,1),0))+SUMIFS(Transaksi!$F$16:$F$5015,Transaksi!$C$16:$C$5015,$A41,Transaksi!$D$16:$D$5015,"Masuk",Transaksi!$B$16:$B$5015,"&lt;="&amp;EOMONTH(DATE(Dashboard!$C$4,6,1),0))-SUMIFS(Transaksi!$F$16:$F$5015,Transaksi!$C$16:$C$5015,$A41,Transaksi!$D$16:$D$5015,"Keluar",Transaksi!$B$16:$B$5015,"&lt;="&amp;EOMONTH(DATE(Dashboard!$C$4,6,1),0))-SUMIFS(Transaksi!$F$16:$F$5015,Transaksi!$C$16:$C$5015,$A41,Transaksi!$D$16:$D$5015,"Pindah",Transaksi!$B$16:$B$5015,"&lt;="&amp;EOMONTH(DATE(Dashboard!$C$4,6,1),0))+SUMIFS(Transaksi!$F$16:$F$5015,Transaksi!$E$16:$E$5015,$A41,Transaksi!$D$16:$D$5015,"Pindah",Transaksi!$B$16:$B$5015,"&lt;="&amp;EOMONTH(DATE(Dashboard!$C$4,6,1),0))))</f>
        <v/>
      </c>
      <c r="H41" s="106">
        <f>IF(DATE(Dashboard!$C$4,7,1)&gt;TODAY(),"",(SUMIFS(Akun!$C$5:$C$104,Akun!$A$5:$A$104,$A41,Akun!$D$5:$D$104,"&lt;="&amp;EOMONTH(DATE(Dashboard!$C$4,7,1),0))+SUMIFS(Transaksi!$F$16:$F$5015,Transaksi!$C$16:$C$5015,$A41,Transaksi!$D$16:$D$5015,"Masuk",Transaksi!$B$16:$B$5015,"&lt;="&amp;EOMONTH(DATE(Dashboard!$C$4,7,1),0))-SUMIFS(Transaksi!$F$16:$F$5015,Transaksi!$C$16:$C$5015,$A41,Transaksi!$D$16:$D$5015,"Keluar",Transaksi!$B$16:$B$5015,"&lt;="&amp;EOMONTH(DATE(Dashboard!$C$4,7,1),0))-SUMIFS(Transaksi!$F$16:$F$5015,Transaksi!$C$16:$C$5015,$A41,Transaksi!$D$16:$D$5015,"Pindah",Transaksi!$B$16:$B$5015,"&lt;="&amp;EOMONTH(DATE(Dashboard!$C$4,7,1),0))+SUMIFS(Transaksi!$F$16:$F$5015,Transaksi!$E$16:$E$5015,$A41,Transaksi!$D$16:$D$5015,"Pindah",Transaksi!$B$16:$B$5015,"&lt;="&amp;EOMONTH(DATE(Dashboard!$C$4,7,1),0))))</f>
        <v/>
      </c>
      <c r="I41" s="106">
        <f>IF(DATE(Dashboard!$C$4,8,1)&gt;TODAY(),"",(SUMIFS(Akun!$C$5:$C$104,Akun!$A$5:$A$104,$A41,Akun!$D$5:$D$104,"&lt;="&amp;EOMONTH(DATE(Dashboard!$C$4,8,1),0))+SUMIFS(Transaksi!$F$16:$F$5015,Transaksi!$C$16:$C$5015,$A41,Transaksi!$D$16:$D$5015,"Masuk",Transaksi!$B$16:$B$5015,"&lt;="&amp;EOMONTH(DATE(Dashboard!$C$4,8,1),0))-SUMIFS(Transaksi!$F$16:$F$5015,Transaksi!$C$16:$C$5015,$A41,Transaksi!$D$16:$D$5015,"Keluar",Transaksi!$B$16:$B$5015,"&lt;="&amp;EOMONTH(DATE(Dashboard!$C$4,8,1),0))-SUMIFS(Transaksi!$F$16:$F$5015,Transaksi!$C$16:$C$5015,$A41,Transaksi!$D$16:$D$5015,"Pindah",Transaksi!$B$16:$B$5015,"&lt;="&amp;EOMONTH(DATE(Dashboard!$C$4,8,1),0))+SUMIFS(Transaksi!$F$16:$F$5015,Transaksi!$E$16:$E$5015,$A41,Transaksi!$D$16:$D$5015,"Pindah",Transaksi!$B$16:$B$5015,"&lt;="&amp;EOMONTH(DATE(Dashboard!$C$4,8,1),0))))</f>
        <v/>
      </c>
      <c r="J41" s="106">
        <f>IF(DATE(Dashboard!$C$4,9,1)&gt;TODAY(),"",(SUMIFS(Akun!$C$5:$C$104,Akun!$A$5:$A$104,$A41,Akun!$D$5:$D$104,"&lt;="&amp;EOMONTH(DATE(Dashboard!$C$4,9,1),0))+SUMIFS(Transaksi!$F$16:$F$5015,Transaksi!$C$16:$C$5015,$A41,Transaksi!$D$16:$D$5015,"Masuk",Transaksi!$B$16:$B$5015,"&lt;="&amp;EOMONTH(DATE(Dashboard!$C$4,9,1),0))-SUMIFS(Transaksi!$F$16:$F$5015,Transaksi!$C$16:$C$5015,$A41,Transaksi!$D$16:$D$5015,"Keluar",Transaksi!$B$16:$B$5015,"&lt;="&amp;EOMONTH(DATE(Dashboard!$C$4,9,1),0))-SUMIFS(Transaksi!$F$16:$F$5015,Transaksi!$C$16:$C$5015,$A41,Transaksi!$D$16:$D$5015,"Pindah",Transaksi!$B$16:$B$5015,"&lt;="&amp;EOMONTH(DATE(Dashboard!$C$4,9,1),0))+SUMIFS(Transaksi!$F$16:$F$5015,Transaksi!$E$16:$E$5015,$A41,Transaksi!$D$16:$D$5015,"Pindah",Transaksi!$B$16:$B$5015,"&lt;="&amp;EOMONTH(DATE(Dashboard!$C$4,9,1),0))))</f>
        <v/>
      </c>
      <c r="K41" s="106">
        <f>IF(DATE(Dashboard!$C$4,10,1)&gt;TODAY(),"",(SUMIFS(Akun!$C$5:$C$104,Akun!$A$5:$A$104,$A41,Akun!$D$5:$D$104,"&lt;="&amp;EOMONTH(DATE(Dashboard!$C$4,10,1),0))+SUMIFS(Transaksi!$F$16:$F$5015,Transaksi!$C$16:$C$5015,$A41,Transaksi!$D$16:$D$5015,"Masuk",Transaksi!$B$16:$B$5015,"&lt;="&amp;EOMONTH(DATE(Dashboard!$C$4,10,1),0))-SUMIFS(Transaksi!$F$16:$F$5015,Transaksi!$C$16:$C$5015,$A41,Transaksi!$D$16:$D$5015,"Keluar",Transaksi!$B$16:$B$5015,"&lt;="&amp;EOMONTH(DATE(Dashboard!$C$4,10,1),0))-SUMIFS(Transaksi!$F$16:$F$5015,Transaksi!$C$16:$C$5015,$A41,Transaksi!$D$16:$D$5015,"Pindah",Transaksi!$B$16:$B$5015,"&lt;="&amp;EOMONTH(DATE(Dashboard!$C$4,10,1),0))+SUMIFS(Transaksi!$F$16:$F$5015,Transaksi!$E$16:$E$5015,$A41,Transaksi!$D$16:$D$5015,"Pindah",Transaksi!$B$16:$B$5015,"&lt;="&amp;EOMONTH(DATE(Dashboard!$C$4,10,1),0))))</f>
        <v/>
      </c>
      <c r="L41" s="106">
        <f>IF(DATE(Dashboard!$C$4,11,1)&gt;TODAY(),"",(SUMIFS(Akun!$C$5:$C$104,Akun!$A$5:$A$104,$A41,Akun!$D$5:$D$104,"&lt;="&amp;EOMONTH(DATE(Dashboard!$C$4,11,1),0))+SUMIFS(Transaksi!$F$16:$F$5015,Transaksi!$C$16:$C$5015,$A41,Transaksi!$D$16:$D$5015,"Masuk",Transaksi!$B$16:$B$5015,"&lt;="&amp;EOMONTH(DATE(Dashboard!$C$4,11,1),0))-SUMIFS(Transaksi!$F$16:$F$5015,Transaksi!$C$16:$C$5015,$A41,Transaksi!$D$16:$D$5015,"Keluar",Transaksi!$B$16:$B$5015,"&lt;="&amp;EOMONTH(DATE(Dashboard!$C$4,11,1),0))-SUMIFS(Transaksi!$F$16:$F$5015,Transaksi!$C$16:$C$5015,$A41,Transaksi!$D$16:$D$5015,"Pindah",Transaksi!$B$16:$B$5015,"&lt;="&amp;EOMONTH(DATE(Dashboard!$C$4,11,1),0))+SUMIFS(Transaksi!$F$16:$F$5015,Transaksi!$E$16:$E$5015,$A41,Transaksi!$D$16:$D$5015,"Pindah",Transaksi!$B$16:$B$5015,"&lt;="&amp;EOMONTH(DATE(Dashboard!$C$4,11,1),0))))</f>
        <v/>
      </c>
      <c r="M41" s="106">
        <f>IF(DATE(Dashboard!$C$4,12,1)&gt;TODAY(),"",(SUMIFS(Akun!$C$5:$C$104,Akun!$A$5:$A$104,$A41,Akun!$D$5:$D$104,"&lt;="&amp;EOMONTH(DATE(Dashboard!$C$4,12,1),0))+SUMIFS(Transaksi!$F$16:$F$5015,Transaksi!$C$16:$C$5015,$A41,Transaksi!$D$16:$D$5015,"Masuk",Transaksi!$B$16:$B$5015,"&lt;="&amp;EOMONTH(DATE(Dashboard!$C$4,12,1),0))-SUMIFS(Transaksi!$F$16:$F$5015,Transaksi!$C$16:$C$5015,$A41,Transaksi!$D$16:$D$5015,"Keluar",Transaksi!$B$16:$B$5015,"&lt;="&amp;EOMONTH(DATE(Dashboard!$C$4,12,1),0))-SUMIFS(Transaksi!$F$16:$F$5015,Transaksi!$C$16:$C$5015,$A41,Transaksi!$D$16:$D$5015,"Pindah",Transaksi!$B$16:$B$5015,"&lt;="&amp;EOMONTH(DATE(Dashboard!$C$4,12,1),0))+SUMIFS(Transaksi!$F$16:$F$5015,Transaksi!$E$16:$E$5015,$A41,Transaksi!$D$16:$D$5015,"Pindah",Transaksi!$B$16:$B$5015,"&lt;="&amp;EOMONTH(DATE(Dashboard!$C$4,12,1),0))))</f>
        <v/>
      </c>
    </row>
    <row r="42" ht="15" customHeight="1" s="94">
      <c r="A42" s="127">
        <f>Akun!A20</f>
        <v/>
      </c>
      <c r="B42" s="106">
        <f>IF(DATE(Dashboard!$C$4,1,1)&gt;TODAY(),"",(SUMIFS(Akun!$C$5:$C$104,Akun!$A$5:$A$104,$A42,Akun!$D$5:$D$104,"&lt;="&amp;EOMONTH(DATE(Dashboard!$C$4,1,1),0))+SUMIFS(Transaksi!$F$16:$F$5015,Transaksi!$C$16:$C$5015,$A42,Transaksi!$D$16:$D$5015,"Masuk",Transaksi!$B$16:$B$5015,"&lt;="&amp;EOMONTH(DATE(Dashboard!$C$4,1,1),0))-SUMIFS(Transaksi!$F$16:$F$5015,Transaksi!$C$16:$C$5015,$A42,Transaksi!$D$16:$D$5015,"Keluar",Transaksi!$B$16:$B$5015,"&lt;="&amp;EOMONTH(DATE(Dashboard!$C$4,1,1),0))-SUMIFS(Transaksi!$F$16:$F$5015,Transaksi!$C$16:$C$5015,$A42,Transaksi!$D$16:$D$5015,"Pindah",Transaksi!$B$16:$B$5015,"&lt;="&amp;EOMONTH(DATE(Dashboard!$C$4,1,1),0))+SUMIFS(Transaksi!$F$16:$F$5015,Transaksi!$E$16:$E$5015,$A42,Transaksi!$D$16:$D$5015,"Pindah",Transaksi!$B$16:$B$5015,"&lt;="&amp;EOMONTH(DATE(Dashboard!$C$4,1,1),0))))</f>
        <v/>
      </c>
      <c r="C42" s="106">
        <f>IF(DATE(Dashboard!$C$4,2,1)&gt;TODAY(),"",(SUMIFS(Akun!$C$5:$C$104,Akun!$A$5:$A$104,$A42,Akun!$D$5:$D$104,"&lt;="&amp;EOMONTH(DATE(Dashboard!$C$4,2,1),0))+SUMIFS(Transaksi!$F$16:$F$5015,Transaksi!$C$16:$C$5015,$A42,Transaksi!$D$16:$D$5015,"Masuk",Transaksi!$B$16:$B$5015,"&lt;="&amp;EOMONTH(DATE(Dashboard!$C$4,2,1),0))-SUMIFS(Transaksi!$F$16:$F$5015,Transaksi!$C$16:$C$5015,$A42,Transaksi!$D$16:$D$5015,"Keluar",Transaksi!$B$16:$B$5015,"&lt;="&amp;EOMONTH(DATE(Dashboard!$C$4,2,1),0))-SUMIFS(Transaksi!$F$16:$F$5015,Transaksi!$C$16:$C$5015,$A42,Transaksi!$D$16:$D$5015,"Pindah",Transaksi!$B$16:$B$5015,"&lt;="&amp;EOMONTH(DATE(Dashboard!$C$4,2,1),0))+SUMIFS(Transaksi!$F$16:$F$5015,Transaksi!$E$16:$E$5015,$A42,Transaksi!$D$16:$D$5015,"Pindah",Transaksi!$B$16:$B$5015,"&lt;="&amp;EOMONTH(DATE(Dashboard!$C$4,2,1),0))))</f>
        <v/>
      </c>
      <c r="D42" s="106">
        <f>IF(DATE(Dashboard!$C$4,3,1)&gt;TODAY(),"",(SUMIFS(Akun!$C$5:$C$104,Akun!$A$5:$A$104,$A42,Akun!$D$5:$D$104,"&lt;="&amp;EOMONTH(DATE(Dashboard!$C$4,3,1),0))+SUMIFS(Transaksi!$F$16:$F$5015,Transaksi!$C$16:$C$5015,$A42,Transaksi!$D$16:$D$5015,"Masuk",Transaksi!$B$16:$B$5015,"&lt;="&amp;EOMONTH(DATE(Dashboard!$C$4,3,1),0))-SUMIFS(Transaksi!$F$16:$F$5015,Transaksi!$C$16:$C$5015,$A42,Transaksi!$D$16:$D$5015,"Keluar",Transaksi!$B$16:$B$5015,"&lt;="&amp;EOMONTH(DATE(Dashboard!$C$4,3,1),0))-SUMIFS(Transaksi!$F$16:$F$5015,Transaksi!$C$16:$C$5015,$A42,Transaksi!$D$16:$D$5015,"Pindah",Transaksi!$B$16:$B$5015,"&lt;="&amp;EOMONTH(DATE(Dashboard!$C$4,3,1),0))+SUMIFS(Transaksi!$F$16:$F$5015,Transaksi!$E$16:$E$5015,$A42,Transaksi!$D$16:$D$5015,"Pindah",Transaksi!$B$16:$B$5015,"&lt;="&amp;EOMONTH(DATE(Dashboard!$C$4,3,1),0))))</f>
        <v/>
      </c>
      <c r="E42" s="106">
        <f>IF(DATE(Dashboard!$C$4,4,1)&gt;TODAY(),"",(SUMIFS(Akun!$C$5:$C$104,Akun!$A$5:$A$104,$A42,Akun!$D$5:$D$104,"&lt;="&amp;EOMONTH(DATE(Dashboard!$C$4,4,1),0))+SUMIFS(Transaksi!$F$16:$F$5015,Transaksi!$C$16:$C$5015,$A42,Transaksi!$D$16:$D$5015,"Masuk",Transaksi!$B$16:$B$5015,"&lt;="&amp;EOMONTH(DATE(Dashboard!$C$4,4,1),0))-SUMIFS(Transaksi!$F$16:$F$5015,Transaksi!$C$16:$C$5015,$A42,Transaksi!$D$16:$D$5015,"Keluar",Transaksi!$B$16:$B$5015,"&lt;="&amp;EOMONTH(DATE(Dashboard!$C$4,4,1),0))-SUMIFS(Transaksi!$F$16:$F$5015,Transaksi!$C$16:$C$5015,$A42,Transaksi!$D$16:$D$5015,"Pindah",Transaksi!$B$16:$B$5015,"&lt;="&amp;EOMONTH(DATE(Dashboard!$C$4,4,1),0))+SUMIFS(Transaksi!$F$16:$F$5015,Transaksi!$E$16:$E$5015,$A42,Transaksi!$D$16:$D$5015,"Pindah",Transaksi!$B$16:$B$5015,"&lt;="&amp;EOMONTH(DATE(Dashboard!$C$4,4,1),0))))</f>
        <v/>
      </c>
      <c r="F42" s="106">
        <f>IF(DATE(Dashboard!$C$4,5,1)&gt;TODAY(),"",(SUMIFS(Akun!$C$5:$C$104,Akun!$A$5:$A$104,$A42,Akun!$D$5:$D$104,"&lt;="&amp;EOMONTH(DATE(Dashboard!$C$4,5,1),0))+SUMIFS(Transaksi!$F$16:$F$5015,Transaksi!$C$16:$C$5015,$A42,Transaksi!$D$16:$D$5015,"Masuk",Transaksi!$B$16:$B$5015,"&lt;="&amp;EOMONTH(DATE(Dashboard!$C$4,5,1),0))-SUMIFS(Transaksi!$F$16:$F$5015,Transaksi!$C$16:$C$5015,$A42,Transaksi!$D$16:$D$5015,"Keluar",Transaksi!$B$16:$B$5015,"&lt;="&amp;EOMONTH(DATE(Dashboard!$C$4,5,1),0))-SUMIFS(Transaksi!$F$16:$F$5015,Transaksi!$C$16:$C$5015,$A42,Transaksi!$D$16:$D$5015,"Pindah",Transaksi!$B$16:$B$5015,"&lt;="&amp;EOMONTH(DATE(Dashboard!$C$4,5,1),0))+SUMIFS(Transaksi!$F$16:$F$5015,Transaksi!$E$16:$E$5015,$A42,Transaksi!$D$16:$D$5015,"Pindah",Transaksi!$B$16:$B$5015,"&lt;="&amp;EOMONTH(DATE(Dashboard!$C$4,5,1),0))))</f>
        <v/>
      </c>
      <c r="G42" s="106">
        <f>IF(DATE(Dashboard!$C$4,6,1)&gt;TODAY(),"",(SUMIFS(Akun!$C$5:$C$104,Akun!$A$5:$A$104,$A42,Akun!$D$5:$D$104,"&lt;="&amp;EOMONTH(DATE(Dashboard!$C$4,6,1),0))+SUMIFS(Transaksi!$F$16:$F$5015,Transaksi!$C$16:$C$5015,$A42,Transaksi!$D$16:$D$5015,"Masuk",Transaksi!$B$16:$B$5015,"&lt;="&amp;EOMONTH(DATE(Dashboard!$C$4,6,1),0))-SUMIFS(Transaksi!$F$16:$F$5015,Transaksi!$C$16:$C$5015,$A42,Transaksi!$D$16:$D$5015,"Keluar",Transaksi!$B$16:$B$5015,"&lt;="&amp;EOMONTH(DATE(Dashboard!$C$4,6,1),0))-SUMIFS(Transaksi!$F$16:$F$5015,Transaksi!$C$16:$C$5015,$A42,Transaksi!$D$16:$D$5015,"Pindah",Transaksi!$B$16:$B$5015,"&lt;="&amp;EOMONTH(DATE(Dashboard!$C$4,6,1),0))+SUMIFS(Transaksi!$F$16:$F$5015,Transaksi!$E$16:$E$5015,$A42,Transaksi!$D$16:$D$5015,"Pindah",Transaksi!$B$16:$B$5015,"&lt;="&amp;EOMONTH(DATE(Dashboard!$C$4,6,1),0))))</f>
        <v/>
      </c>
      <c r="H42" s="106">
        <f>IF(DATE(Dashboard!$C$4,7,1)&gt;TODAY(),"",(SUMIFS(Akun!$C$5:$C$104,Akun!$A$5:$A$104,$A42,Akun!$D$5:$D$104,"&lt;="&amp;EOMONTH(DATE(Dashboard!$C$4,7,1),0))+SUMIFS(Transaksi!$F$16:$F$5015,Transaksi!$C$16:$C$5015,$A42,Transaksi!$D$16:$D$5015,"Masuk",Transaksi!$B$16:$B$5015,"&lt;="&amp;EOMONTH(DATE(Dashboard!$C$4,7,1),0))-SUMIFS(Transaksi!$F$16:$F$5015,Transaksi!$C$16:$C$5015,$A42,Transaksi!$D$16:$D$5015,"Keluar",Transaksi!$B$16:$B$5015,"&lt;="&amp;EOMONTH(DATE(Dashboard!$C$4,7,1),0))-SUMIFS(Transaksi!$F$16:$F$5015,Transaksi!$C$16:$C$5015,$A42,Transaksi!$D$16:$D$5015,"Pindah",Transaksi!$B$16:$B$5015,"&lt;="&amp;EOMONTH(DATE(Dashboard!$C$4,7,1),0))+SUMIFS(Transaksi!$F$16:$F$5015,Transaksi!$E$16:$E$5015,$A42,Transaksi!$D$16:$D$5015,"Pindah",Transaksi!$B$16:$B$5015,"&lt;="&amp;EOMONTH(DATE(Dashboard!$C$4,7,1),0))))</f>
        <v/>
      </c>
      <c r="I42" s="106">
        <f>IF(DATE(Dashboard!$C$4,8,1)&gt;TODAY(),"",(SUMIFS(Akun!$C$5:$C$104,Akun!$A$5:$A$104,$A42,Akun!$D$5:$D$104,"&lt;="&amp;EOMONTH(DATE(Dashboard!$C$4,8,1),0))+SUMIFS(Transaksi!$F$16:$F$5015,Transaksi!$C$16:$C$5015,$A42,Transaksi!$D$16:$D$5015,"Masuk",Transaksi!$B$16:$B$5015,"&lt;="&amp;EOMONTH(DATE(Dashboard!$C$4,8,1),0))-SUMIFS(Transaksi!$F$16:$F$5015,Transaksi!$C$16:$C$5015,$A42,Transaksi!$D$16:$D$5015,"Keluar",Transaksi!$B$16:$B$5015,"&lt;="&amp;EOMONTH(DATE(Dashboard!$C$4,8,1),0))-SUMIFS(Transaksi!$F$16:$F$5015,Transaksi!$C$16:$C$5015,$A42,Transaksi!$D$16:$D$5015,"Pindah",Transaksi!$B$16:$B$5015,"&lt;="&amp;EOMONTH(DATE(Dashboard!$C$4,8,1),0))+SUMIFS(Transaksi!$F$16:$F$5015,Transaksi!$E$16:$E$5015,$A42,Transaksi!$D$16:$D$5015,"Pindah",Transaksi!$B$16:$B$5015,"&lt;="&amp;EOMONTH(DATE(Dashboard!$C$4,8,1),0))))</f>
        <v/>
      </c>
      <c r="J42" s="106">
        <f>IF(DATE(Dashboard!$C$4,9,1)&gt;TODAY(),"",(SUMIFS(Akun!$C$5:$C$104,Akun!$A$5:$A$104,$A42,Akun!$D$5:$D$104,"&lt;="&amp;EOMONTH(DATE(Dashboard!$C$4,9,1),0))+SUMIFS(Transaksi!$F$16:$F$5015,Transaksi!$C$16:$C$5015,$A42,Transaksi!$D$16:$D$5015,"Masuk",Transaksi!$B$16:$B$5015,"&lt;="&amp;EOMONTH(DATE(Dashboard!$C$4,9,1),0))-SUMIFS(Transaksi!$F$16:$F$5015,Transaksi!$C$16:$C$5015,$A42,Transaksi!$D$16:$D$5015,"Keluar",Transaksi!$B$16:$B$5015,"&lt;="&amp;EOMONTH(DATE(Dashboard!$C$4,9,1),0))-SUMIFS(Transaksi!$F$16:$F$5015,Transaksi!$C$16:$C$5015,$A42,Transaksi!$D$16:$D$5015,"Pindah",Transaksi!$B$16:$B$5015,"&lt;="&amp;EOMONTH(DATE(Dashboard!$C$4,9,1),0))+SUMIFS(Transaksi!$F$16:$F$5015,Transaksi!$E$16:$E$5015,$A42,Transaksi!$D$16:$D$5015,"Pindah",Transaksi!$B$16:$B$5015,"&lt;="&amp;EOMONTH(DATE(Dashboard!$C$4,9,1),0))))</f>
        <v/>
      </c>
      <c r="K42" s="106">
        <f>IF(DATE(Dashboard!$C$4,10,1)&gt;TODAY(),"",(SUMIFS(Akun!$C$5:$C$104,Akun!$A$5:$A$104,$A42,Akun!$D$5:$D$104,"&lt;="&amp;EOMONTH(DATE(Dashboard!$C$4,10,1),0))+SUMIFS(Transaksi!$F$16:$F$5015,Transaksi!$C$16:$C$5015,$A42,Transaksi!$D$16:$D$5015,"Masuk",Transaksi!$B$16:$B$5015,"&lt;="&amp;EOMONTH(DATE(Dashboard!$C$4,10,1),0))-SUMIFS(Transaksi!$F$16:$F$5015,Transaksi!$C$16:$C$5015,$A42,Transaksi!$D$16:$D$5015,"Keluar",Transaksi!$B$16:$B$5015,"&lt;="&amp;EOMONTH(DATE(Dashboard!$C$4,10,1),0))-SUMIFS(Transaksi!$F$16:$F$5015,Transaksi!$C$16:$C$5015,$A42,Transaksi!$D$16:$D$5015,"Pindah",Transaksi!$B$16:$B$5015,"&lt;="&amp;EOMONTH(DATE(Dashboard!$C$4,10,1),0))+SUMIFS(Transaksi!$F$16:$F$5015,Transaksi!$E$16:$E$5015,$A42,Transaksi!$D$16:$D$5015,"Pindah",Transaksi!$B$16:$B$5015,"&lt;="&amp;EOMONTH(DATE(Dashboard!$C$4,10,1),0))))</f>
        <v/>
      </c>
      <c r="L42" s="106">
        <f>IF(DATE(Dashboard!$C$4,11,1)&gt;TODAY(),"",(SUMIFS(Akun!$C$5:$C$104,Akun!$A$5:$A$104,$A42,Akun!$D$5:$D$104,"&lt;="&amp;EOMONTH(DATE(Dashboard!$C$4,11,1),0))+SUMIFS(Transaksi!$F$16:$F$5015,Transaksi!$C$16:$C$5015,$A42,Transaksi!$D$16:$D$5015,"Masuk",Transaksi!$B$16:$B$5015,"&lt;="&amp;EOMONTH(DATE(Dashboard!$C$4,11,1),0))-SUMIFS(Transaksi!$F$16:$F$5015,Transaksi!$C$16:$C$5015,$A42,Transaksi!$D$16:$D$5015,"Keluar",Transaksi!$B$16:$B$5015,"&lt;="&amp;EOMONTH(DATE(Dashboard!$C$4,11,1),0))-SUMIFS(Transaksi!$F$16:$F$5015,Transaksi!$C$16:$C$5015,$A42,Transaksi!$D$16:$D$5015,"Pindah",Transaksi!$B$16:$B$5015,"&lt;="&amp;EOMONTH(DATE(Dashboard!$C$4,11,1),0))+SUMIFS(Transaksi!$F$16:$F$5015,Transaksi!$E$16:$E$5015,$A42,Transaksi!$D$16:$D$5015,"Pindah",Transaksi!$B$16:$B$5015,"&lt;="&amp;EOMONTH(DATE(Dashboard!$C$4,11,1),0))))</f>
        <v/>
      </c>
      <c r="M42" s="106">
        <f>IF(DATE(Dashboard!$C$4,12,1)&gt;TODAY(),"",(SUMIFS(Akun!$C$5:$C$104,Akun!$A$5:$A$104,$A42,Akun!$D$5:$D$104,"&lt;="&amp;EOMONTH(DATE(Dashboard!$C$4,12,1),0))+SUMIFS(Transaksi!$F$16:$F$5015,Transaksi!$C$16:$C$5015,$A42,Transaksi!$D$16:$D$5015,"Masuk",Transaksi!$B$16:$B$5015,"&lt;="&amp;EOMONTH(DATE(Dashboard!$C$4,12,1),0))-SUMIFS(Transaksi!$F$16:$F$5015,Transaksi!$C$16:$C$5015,$A42,Transaksi!$D$16:$D$5015,"Keluar",Transaksi!$B$16:$B$5015,"&lt;="&amp;EOMONTH(DATE(Dashboard!$C$4,12,1),0))-SUMIFS(Transaksi!$F$16:$F$5015,Transaksi!$C$16:$C$5015,$A42,Transaksi!$D$16:$D$5015,"Pindah",Transaksi!$B$16:$B$5015,"&lt;="&amp;EOMONTH(DATE(Dashboard!$C$4,12,1),0))+SUMIFS(Transaksi!$F$16:$F$5015,Transaksi!$E$16:$E$5015,$A42,Transaksi!$D$16:$D$5015,"Pindah",Transaksi!$B$16:$B$5015,"&lt;="&amp;EOMONTH(DATE(Dashboard!$C$4,12,1),0))))</f>
        <v/>
      </c>
    </row>
    <row r="43"/>
    <row r="44" ht="15" customHeight="1" s="94">
      <c r="A44" s="101" t="inlineStr">
        <is>
          <t>C. SALDO AKHIR TAHUN</t>
        </is>
      </c>
      <c r="B44" s="102" t="n"/>
      <c r="C44" s="102" t="n"/>
      <c r="D44" s="102" t="n"/>
      <c r="E44" s="102" t="n"/>
      <c r="F44" s="102" t="n"/>
      <c r="G44" s="102" t="n"/>
      <c r="H44" s="102" t="n"/>
    </row>
    <row r="45" ht="15" customHeight="1" s="94">
      <c r="A45" s="103" t="inlineStr">
        <is>
          <t>Akun</t>
        </is>
      </c>
      <c r="B45" s="103" t="inlineStr">
        <is>
          <t>2024</t>
        </is>
      </c>
      <c r="C45" s="103" t="inlineStr">
        <is>
          <t>2025</t>
        </is>
      </c>
      <c r="D45" s="103" t="inlineStr">
        <is>
          <t>2026</t>
        </is>
      </c>
      <c r="E45" s="103" t="inlineStr">
        <is>
          <t>2027</t>
        </is>
      </c>
      <c r="F45" s="103" t="inlineStr">
        <is>
          <t>2028</t>
        </is>
      </c>
      <c r="G45" s="103" t="inlineStr">
        <is>
          <t>2029</t>
        </is>
      </c>
      <c r="H45" s="103" t="inlineStr">
        <is>
          <t>2030</t>
        </is>
      </c>
    </row>
    <row r="46" ht="15" customHeight="1" s="94">
      <c r="A46" s="127">
        <f>Akun!A5</f>
        <v/>
      </c>
      <c r="B46" s="106">
        <f>IF(DATE(2024,1,1)&gt;TODAY(),"",(SUMIFS(Akun!$C$5:$C$104,Akun!$A$5:$A$104,$A46,Akun!$D$5:$D$104,"&lt;="&amp;DATE(2024,12,31))+SUMIFS(Transaksi!$F$16:$F$5015,Transaksi!$C$16:$C$5015,$A46,Transaksi!$D$16:$D$5015,"Masuk",Transaksi!$B$16:$B$5015,"&lt;="&amp;DATE(2024,12,31))-SUMIFS(Transaksi!$F$16:$F$5015,Transaksi!$C$16:$C$5015,$A46,Transaksi!$D$16:$D$5015,"Keluar",Transaksi!$B$16:$B$5015,"&lt;="&amp;DATE(2024,12,31))-SUMIFS(Transaksi!$F$16:$F$5015,Transaksi!$C$16:$C$5015,$A46,Transaksi!$D$16:$D$5015,"Pindah",Transaksi!$B$16:$B$5015,"&lt;="&amp;DATE(2024,12,31))+SUMIFS(Transaksi!$F$16:$F$5015,Transaksi!$E$16:$E$5015,$A46,Transaksi!$D$16:$D$5015,"Pindah",Transaksi!$B$16:$B$5015,"&lt;="&amp;DATE(2024,12,31))))</f>
        <v/>
      </c>
      <c r="C46" s="106">
        <f>IF(DATE(2025,1,1)&gt;TODAY(),"",(SUMIFS(Akun!$C$5:$C$104,Akun!$A$5:$A$104,$A46,Akun!$D$5:$D$104,"&lt;="&amp;DATE(2025,12,31))+SUMIFS(Transaksi!$F$16:$F$5015,Transaksi!$C$16:$C$5015,$A46,Transaksi!$D$16:$D$5015,"Masuk",Transaksi!$B$16:$B$5015,"&lt;="&amp;DATE(2025,12,31))-SUMIFS(Transaksi!$F$16:$F$5015,Transaksi!$C$16:$C$5015,$A46,Transaksi!$D$16:$D$5015,"Keluar",Transaksi!$B$16:$B$5015,"&lt;="&amp;DATE(2025,12,31))-SUMIFS(Transaksi!$F$16:$F$5015,Transaksi!$C$16:$C$5015,$A46,Transaksi!$D$16:$D$5015,"Pindah",Transaksi!$B$16:$B$5015,"&lt;="&amp;DATE(2025,12,31))+SUMIFS(Transaksi!$F$16:$F$5015,Transaksi!$E$16:$E$5015,$A46,Transaksi!$D$16:$D$5015,"Pindah",Transaksi!$B$16:$B$5015,"&lt;="&amp;DATE(2025,12,31))))</f>
        <v/>
      </c>
      <c r="D46" s="106">
        <f>IF(DATE(2026,1,1)&gt;TODAY(),"",(SUMIFS(Akun!$C$5:$C$104,Akun!$A$5:$A$104,$A46,Akun!$D$5:$D$104,"&lt;="&amp;DATE(2026,12,31))+SUMIFS(Transaksi!$F$16:$F$5015,Transaksi!$C$16:$C$5015,$A46,Transaksi!$D$16:$D$5015,"Masuk",Transaksi!$B$16:$B$5015,"&lt;="&amp;DATE(2026,12,31))-SUMIFS(Transaksi!$F$16:$F$5015,Transaksi!$C$16:$C$5015,$A46,Transaksi!$D$16:$D$5015,"Keluar",Transaksi!$B$16:$B$5015,"&lt;="&amp;DATE(2026,12,31))-SUMIFS(Transaksi!$F$16:$F$5015,Transaksi!$C$16:$C$5015,$A46,Transaksi!$D$16:$D$5015,"Pindah",Transaksi!$B$16:$B$5015,"&lt;="&amp;DATE(2026,12,31))+SUMIFS(Transaksi!$F$16:$F$5015,Transaksi!$E$16:$E$5015,$A46,Transaksi!$D$16:$D$5015,"Pindah",Transaksi!$B$16:$B$5015,"&lt;="&amp;DATE(2026,12,31))))</f>
        <v/>
      </c>
      <c r="E46" s="106">
        <f>IF(DATE(2027,1,1)&gt;TODAY(),"",(SUMIFS(Akun!$C$5:$C$104,Akun!$A$5:$A$104,$A46,Akun!$D$5:$D$104,"&lt;="&amp;DATE(2027,12,31))+SUMIFS(Transaksi!$F$16:$F$5015,Transaksi!$C$16:$C$5015,$A46,Transaksi!$D$16:$D$5015,"Masuk",Transaksi!$B$16:$B$5015,"&lt;="&amp;DATE(2027,12,31))-SUMIFS(Transaksi!$F$16:$F$5015,Transaksi!$C$16:$C$5015,$A46,Transaksi!$D$16:$D$5015,"Keluar",Transaksi!$B$16:$B$5015,"&lt;="&amp;DATE(2027,12,31))-SUMIFS(Transaksi!$F$16:$F$5015,Transaksi!$C$16:$C$5015,$A46,Transaksi!$D$16:$D$5015,"Pindah",Transaksi!$B$16:$B$5015,"&lt;="&amp;DATE(2027,12,31))+SUMIFS(Transaksi!$F$16:$F$5015,Transaksi!$E$16:$E$5015,$A46,Transaksi!$D$16:$D$5015,"Pindah",Transaksi!$B$16:$B$5015,"&lt;="&amp;DATE(2027,12,31))))</f>
        <v/>
      </c>
      <c r="F46" s="106">
        <f>IF(DATE(2028,1,1)&gt;TODAY(),"",(SUMIFS(Akun!$C$5:$C$104,Akun!$A$5:$A$104,$A46,Akun!$D$5:$D$104,"&lt;="&amp;DATE(2028,12,31))+SUMIFS(Transaksi!$F$16:$F$5015,Transaksi!$C$16:$C$5015,$A46,Transaksi!$D$16:$D$5015,"Masuk",Transaksi!$B$16:$B$5015,"&lt;="&amp;DATE(2028,12,31))-SUMIFS(Transaksi!$F$16:$F$5015,Transaksi!$C$16:$C$5015,$A46,Transaksi!$D$16:$D$5015,"Keluar",Transaksi!$B$16:$B$5015,"&lt;="&amp;DATE(2028,12,31))-SUMIFS(Transaksi!$F$16:$F$5015,Transaksi!$C$16:$C$5015,$A46,Transaksi!$D$16:$D$5015,"Pindah",Transaksi!$B$16:$B$5015,"&lt;="&amp;DATE(2028,12,31))+SUMIFS(Transaksi!$F$16:$F$5015,Transaksi!$E$16:$E$5015,$A46,Transaksi!$D$16:$D$5015,"Pindah",Transaksi!$B$16:$B$5015,"&lt;="&amp;DATE(2028,12,31))))</f>
        <v/>
      </c>
      <c r="G46" s="106">
        <f>IF(DATE(2029,1,1)&gt;TODAY(),"",(SUMIFS(Akun!$C$5:$C$104,Akun!$A$5:$A$104,$A46,Akun!$D$5:$D$104,"&lt;="&amp;DATE(2029,12,31))+SUMIFS(Transaksi!$F$16:$F$5015,Transaksi!$C$16:$C$5015,$A46,Transaksi!$D$16:$D$5015,"Masuk",Transaksi!$B$16:$B$5015,"&lt;="&amp;DATE(2029,12,31))-SUMIFS(Transaksi!$F$16:$F$5015,Transaksi!$C$16:$C$5015,$A46,Transaksi!$D$16:$D$5015,"Keluar",Transaksi!$B$16:$B$5015,"&lt;="&amp;DATE(2029,12,31))-SUMIFS(Transaksi!$F$16:$F$5015,Transaksi!$C$16:$C$5015,$A46,Transaksi!$D$16:$D$5015,"Pindah",Transaksi!$B$16:$B$5015,"&lt;="&amp;DATE(2029,12,31))+SUMIFS(Transaksi!$F$16:$F$5015,Transaksi!$E$16:$E$5015,$A46,Transaksi!$D$16:$D$5015,"Pindah",Transaksi!$B$16:$B$5015,"&lt;="&amp;DATE(2029,12,31))))</f>
        <v/>
      </c>
      <c r="H46" s="106">
        <f>IF(DATE(2030,1,1)&gt;TODAY(),"",(SUMIFS(Akun!$C$5:$C$104,Akun!$A$5:$A$104,$A46,Akun!$D$5:$D$104,"&lt;="&amp;DATE(2030,12,31))+SUMIFS(Transaksi!$F$16:$F$5015,Transaksi!$C$16:$C$5015,$A46,Transaksi!$D$16:$D$5015,"Masuk",Transaksi!$B$16:$B$5015,"&lt;="&amp;DATE(2030,12,31))-SUMIFS(Transaksi!$F$16:$F$5015,Transaksi!$C$16:$C$5015,$A46,Transaksi!$D$16:$D$5015,"Keluar",Transaksi!$B$16:$B$5015,"&lt;="&amp;DATE(2030,12,31))-SUMIFS(Transaksi!$F$16:$F$5015,Transaksi!$C$16:$C$5015,$A46,Transaksi!$D$16:$D$5015,"Pindah",Transaksi!$B$16:$B$5015,"&lt;="&amp;DATE(2030,12,31))+SUMIFS(Transaksi!$F$16:$F$5015,Transaksi!$E$16:$E$5015,$A46,Transaksi!$D$16:$D$5015,"Pindah",Transaksi!$B$16:$B$5015,"&lt;="&amp;DATE(2030,12,31))))</f>
        <v/>
      </c>
    </row>
    <row r="47" ht="15" customHeight="1" s="94">
      <c r="A47" s="127">
        <f>Akun!A6</f>
        <v/>
      </c>
      <c r="B47" s="106">
        <f>IF(DATE(2024,1,1)&gt;TODAY(),"",(SUMIFS(Akun!$C$5:$C$104,Akun!$A$5:$A$104,$A47,Akun!$D$5:$D$104,"&lt;="&amp;DATE(2024,12,31))+SUMIFS(Transaksi!$F$16:$F$5015,Transaksi!$C$16:$C$5015,$A47,Transaksi!$D$16:$D$5015,"Masuk",Transaksi!$B$16:$B$5015,"&lt;="&amp;DATE(2024,12,31))-SUMIFS(Transaksi!$F$16:$F$5015,Transaksi!$C$16:$C$5015,$A47,Transaksi!$D$16:$D$5015,"Keluar",Transaksi!$B$16:$B$5015,"&lt;="&amp;DATE(2024,12,31))-SUMIFS(Transaksi!$F$16:$F$5015,Transaksi!$C$16:$C$5015,$A47,Transaksi!$D$16:$D$5015,"Pindah",Transaksi!$B$16:$B$5015,"&lt;="&amp;DATE(2024,12,31))+SUMIFS(Transaksi!$F$16:$F$5015,Transaksi!$E$16:$E$5015,$A47,Transaksi!$D$16:$D$5015,"Pindah",Transaksi!$B$16:$B$5015,"&lt;="&amp;DATE(2024,12,31))))</f>
        <v/>
      </c>
      <c r="C47" s="106">
        <f>IF(DATE(2025,1,1)&gt;TODAY(),"",(SUMIFS(Akun!$C$5:$C$104,Akun!$A$5:$A$104,$A47,Akun!$D$5:$D$104,"&lt;="&amp;DATE(2025,12,31))+SUMIFS(Transaksi!$F$16:$F$5015,Transaksi!$C$16:$C$5015,$A47,Transaksi!$D$16:$D$5015,"Masuk",Transaksi!$B$16:$B$5015,"&lt;="&amp;DATE(2025,12,31))-SUMIFS(Transaksi!$F$16:$F$5015,Transaksi!$C$16:$C$5015,$A47,Transaksi!$D$16:$D$5015,"Keluar",Transaksi!$B$16:$B$5015,"&lt;="&amp;DATE(2025,12,31))-SUMIFS(Transaksi!$F$16:$F$5015,Transaksi!$C$16:$C$5015,$A47,Transaksi!$D$16:$D$5015,"Pindah",Transaksi!$B$16:$B$5015,"&lt;="&amp;DATE(2025,12,31))+SUMIFS(Transaksi!$F$16:$F$5015,Transaksi!$E$16:$E$5015,$A47,Transaksi!$D$16:$D$5015,"Pindah",Transaksi!$B$16:$B$5015,"&lt;="&amp;DATE(2025,12,31))))</f>
        <v/>
      </c>
      <c r="D47" s="106">
        <f>IF(DATE(2026,1,1)&gt;TODAY(),"",(SUMIFS(Akun!$C$5:$C$104,Akun!$A$5:$A$104,$A47,Akun!$D$5:$D$104,"&lt;="&amp;DATE(2026,12,31))+SUMIFS(Transaksi!$F$16:$F$5015,Transaksi!$C$16:$C$5015,$A47,Transaksi!$D$16:$D$5015,"Masuk",Transaksi!$B$16:$B$5015,"&lt;="&amp;DATE(2026,12,31))-SUMIFS(Transaksi!$F$16:$F$5015,Transaksi!$C$16:$C$5015,$A47,Transaksi!$D$16:$D$5015,"Keluar",Transaksi!$B$16:$B$5015,"&lt;="&amp;DATE(2026,12,31))-SUMIFS(Transaksi!$F$16:$F$5015,Transaksi!$C$16:$C$5015,$A47,Transaksi!$D$16:$D$5015,"Pindah",Transaksi!$B$16:$B$5015,"&lt;="&amp;DATE(2026,12,31))+SUMIFS(Transaksi!$F$16:$F$5015,Transaksi!$E$16:$E$5015,$A47,Transaksi!$D$16:$D$5015,"Pindah",Transaksi!$B$16:$B$5015,"&lt;="&amp;DATE(2026,12,31))))</f>
        <v/>
      </c>
      <c r="E47" s="106">
        <f>IF(DATE(2027,1,1)&gt;TODAY(),"",(SUMIFS(Akun!$C$5:$C$104,Akun!$A$5:$A$104,$A47,Akun!$D$5:$D$104,"&lt;="&amp;DATE(2027,12,31))+SUMIFS(Transaksi!$F$16:$F$5015,Transaksi!$C$16:$C$5015,$A47,Transaksi!$D$16:$D$5015,"Masuk",Transaksi!$B$16:$B$5015,"&lt;="&amp;DATE(2027,12,31))-SUMIFS(Transaksi!$F$16:$F$5015,Transaksi!$C$16:$C$5015,$A47,Transaksi!$D$16:$D$5015,"Keluar",Transaksi!$B$16:$B$5015,"&lt;="&amp;DATE(2027,12,31))-SUMIFS(Transaksi!$F$16:$F$5015,Transaksi!$C$16:$C$5015,$A47,Transaksi!$D$16:$D$5015,"Pindah",Transaksi!$B$16:$B$5015,"&lt;="&amp;DATE(2027,12,31))+SUMIFS(Transaksi!$F$16:$F$5015,Transaksi!$E$16:$E$5015,$A47,Transaksi!$D$16:$D$5015,"Pindah",Transaksi!$B$16:$B$5015,"&lt;="&amp;DATE(2027,12,31))))</f>
        <v/>
      </c>
      <c r="F47" s="106">
        <f>IF(DATE(2028,1,1)&gt;TODAY(),"",(SUMIFS(Akun!$C$5:$C$104,Akun!$A$5:$A$104,$A47,Akun!$D$5:$D$104,"&lt;="&amp;DATE(2028,12,31))+SUMIFS(Transaksi!$F$16:$F$5015,Transaksi!$C$16:$C$5015,$A47,Transaksi!$D$16:$D$5015,"Masuk",Transaksi!$B$16:$B$5015,"&lt;="&amp;DATE(2028,12,31))-SUMIFS(Transaksi!$F$16:$F$5015,Transaksi!$C$16:$C$5015,$A47,Transaksi!$D$16:$D$5015,"Keluar",Transaksi!$B$16:$B$5015,"&lt;="&amp;DATE(2028,12,31))-SUMIFS(Transaksi!$F$16:$F$5015,Transaksi!$C$16:$C$5015,$A47,Transaksi!$D$16:$D$5015,"Pindah",Transaksi!$B$16:$B$5015,"&lt;="&amp;DATE(2028,12,31))+SUMIFS(Transaksi!$F$16:$F$5015,Transaksi!$E$16:$E$5015,$A47,Transaksi!$D$16:$D$5015,"Pindah",Transaksi!$B$16:$B$5015,"&lt;="&amp;DATE(2028,12,31))))</f>
        <v/>
      </c>
      <c r="G47" s="106">
        <f>IF(DATE(2029,1,1)&gt;TODAY(),"",(SUMIFS(Akun!$C$5:$C$104,Akun!$A$5:$A$104,$A47,Akun!$D$5:$D$104,"&lt;="&amp;DATE(2029,12,31))+SUMIFS(Transaksi!$F$16:$F$5015,Transaksi!$C$16:$C$5015,$A47,Transaksi!$D$16:$D$5015,"Masuk",Transaksi!$B$16:$B$5015,"&lt;="&amp;DATE(2029,12,31))-SUMIFS(Transaksi!$F$16:$F$5015,Transaksi!$C$16:$C$5015,$A47,Transaksi!$D$16:$D$5015,"Keluar",Transaksi!$B$16:$B$5015,"&lt;="&amp;DATE(2029,12,31))-SUMIFS(Transaksi!$F$16:$F$5015,Transaksi!$C$16:$C$5015,$A47,Transaksi!$D$16:$D$5015,"Pindah",Transaksi!$B$16:$B$5015,"&lt;="&amp;DATE(2029,12,31))+SUMIFS(Transaksi!$F$16:$F$5015,Transaksi!$E$16:$E$5015,$A47,Transaksi!$D$16:$D$5015,"Pindah",Transaksi!$B$16:$B$5015,"&lt;="&amp;DATE(2029,12,31))))</f>
        <v/>
      </c>
      <c r="H47" s="106">
        <f>IF(DATE(2030,1,1)&gt;TODAY(),"",(SUMIFS(Akun!$C$5:$C$104,Akun!$A$5:$A$104,$A47,Akun!$D$5:$D$104,"&lt;="&amp;DATE(2030,12,31))+SUMIFS(Transaksi!$F$16:$F$5015,Transaksi!$C$16:$C$5015,$A47,Transaksi!$D$16:$D$5015,"Masuk",Transaksi!$B$16:$B$5015,"&lt;="&amp;DATE(2030,12,31))-SUMIFS(Transaksi!$F$16:$F$5015,Transaksi!$C$16:$C$5015,$A47,Transaksi!$D$16:$D$5015,"Keluar",Transaksi!$B$16:$B$5015,"&lt;="&amp;DATE(2030,12,31))-SUMIFS(Transaksi!$F$16:$F$5015,Transaksi!$C$16:$C$5015,$A47,Transaksi!$D$16:$D$5015,"Pindah",Transaksi!$B$16:$B$5015,"&lt;="&amp;DATE(2030,12,31))+SUMIFS(Transaksi!$F$16:$F$5015,Transaksi!$E$16:$E$5015,$A47,Transaksi!$D$16:$D$5015,"Pindah",Transaksi!$B$16:$B$5015,"&lt;="&amp;DATE(2030,12,31))))</f>
        <v/>
      </c>
    </row>
    <row r="48" ht="15" customHeight="1" s="94">
      <c r="A48" s="127">
        <f>Akun!A7</f>
        <v/>
      </c>
      <c r="B48" s="106">
        <f>IF(DATE(2024,1,1)&gt;TODAY(),"",(SUMIFS(Akun!$C$5:$C$104,Akun!$A$5:$A$104,$A48,Akun!$D$5:$D$104,"&lt;="&amp;DATE(2024,12,31))+SUMIFS(Transaksi!$F$16:$F$5015,Transaksi!$C$16:$C$5015,$A48,Transaksi!$D$16:$D$5015,"Masuk",Transaksi!$B$16:$B$5015,"&lt;="&amp;DATE(2024,12,31))-SUMIFS(Transaksi!$F$16:$F$5015,Transaksi!$C$16:$C$5015,$A48,Transaksi!$D$16:$D$5015,"Keluar",Transaksi!$B$16:$B$5015,"&lt;="&amp;DATE(2024,12,31))-SUMIFS(Transaksi!$F$16:$F$5015,Transaksi!$C$16:$C$5015,$A48,Transaksi!$D$16:$D$5015,"Pindah",Transaksi!$B$16:$B$5015,"&lt;="&amp;DATE(2024,12,31))+SUMIFS(Transaksi!$F$16:$F$5015,Transaksi!$E$16:$E$5015,$A48,Transaksi!$D$16:$D$5015,"Pindah",Transaksi!$B$16:$B$5015,"&lt;="&amp;DATE(2024,12,31))))</f>
        <v/>
      </c>
      <c r="C48" s="106">
        <f>IF(DATE(2025,1,1)&gt;TODAY(),"",(SUMIFS(Akun!$C$5:$C$104,Akun!$A$5:$A$104,$A48,Akun!$D$5:$D$104,"&lt;="&amp;DATE(2025,12,31))+SUMIFS(Transaksi!$F$16:$F$5015,Transaksi!$C$16:$C$5015,$A48,Transaksi!$D$16:$D$5015,"Masuk",Transaksi!$B$16:$B$5015,"&lt;="&amp;DATE(2025,12,31))-SUMIFS(Transaksi!$F$16:$F$5015,Transaksi!$C$16:$C$5015,$A48,Transaksi!$D$16:$D$5015,"Keluar",Transaksi!$B$16:$B$5015,"&lt;="&amp;DATE(2025,12,31))-SUMIFS(Transaksi!$F$16:$F$5015,Transaksi!$C$16:$C$5015,$A48,Transaksi!$D$16:$D$5015,"Pindah",Transaksi!$B$16:$B$5015,"&lt;="&amp;DATE(2025,12,31))+SUMIFS(Transaksi!$F$16:$F$5015,Transaksi!$E$16:$E$5015,$A48,Transaksi!$D$16:$D$5015,"Pindah",Transaksi!$B$16:$B$5015,"&lt;="&amp;DATE(2025,12,31))))</f>
        <v/>
      </c>
      <c r="D48" s="106">
        <f>IF(DATE(2026,1,1)&gt;TODAY(),"",(SUMIFS(Akun!$C$5:$C$104,Akun!$A$5:$A$104,$A48,Akun!$D$5:$D$104,"&lt;="&amp;DATE(2026,12,31))+SUMIFS(Transaksi!$F$16:$F$5015,Transaksi!$C$16:$C$5015,$A48,Transaksi!$D$16:$D$5015,"Masuk",Transaksi!$B$16:$B$5015,"&lt;="&amp;DATE(2026,12,31))-SUMIFS(Transaksi!$F$16:$F$5015,Transaksi!$C$16:$C$5015,$A48,Transaksi!$D$16:$D$5015,"Keluar",Transaksi!$B$16:$B$5015,"&lt;="&amp;DATE(2026,12,31))-SUMIFS(Transaksi!$F$16:$F$5015,Transaksi!$C$16:$C$5015,$A48,Transaksi!$D$16:$D$5015,"Pindah",Transaksi!$B$16:$B$5015,"&lt;="&amp;DATE(2026,12,31))+SUMIFS(Transaksi!$F$16:$F$5015,Transaksi!$E$16:$E$5015,$A48,Transaksi!$D$16:$D$5015,"Pindah",Transaksi!$B$16:$B$5015,"&lt;="&amp;DATE(2026,12,31))))</f>
        <v/>
      </c>
      <c r="E48" s="106">
        <f>IF(DATE(2027,1,1)&gt;TODAY(),"",(SUMIFS(Akun!$C$5:$C$104,Akun!$A$5:$A$104,$A48,Akun!$D$5:$D$104,"&lt;="&amp;DATE(2027,12,31))+SUMIFS(Transaksi!$F$16:$F$5015,Transaksi!$C$16:$C$5015,$A48,Transaksi!$D$16:$D$5015,"Masuk",Transaksi!$B$16:$B$5015,"&lt;="&amp;DATE(2027,12,31))-SUMIFS(Transaksi!$F$16:$F$5015,Transaksi!$C$16:$C$5015,$A48,Transaksi!$D$16:$D$5015,"Keluar",Transaksi!$B$16:$B$5015,"&lt;="&amp;DATE(2027,12,31))-SUMIFS(Transaksi!$F$16:$F$5015,Transaksi!$C$16:$C$5015,$A48,Transaksi!$D$16:$D$5015,"Pindah",Transaksi!$B$16:$B$5015,"&lt;="&amp;DATE(2027,12,31))+SUMIFS(Transaksi!$F$16:$F$5015,Transaksi!$E$16:$E$5015,$A48,Transaksi!$D$16:$D$5015,"Pindah",Transaksi!$B$16:$B$5015,"&lt;="&amp;DATE(2027,12,31))))</f>
        <v/>
      </c>
      <c r="F48" s="106">
        <f>IF(DATE(2028,1,1)&gt;TODAY(),"",(SUMIFS(Akun!$C$5:$C$104,Akun!$A$5:$A$104,$A48,Akun!$D$5:$D$104,"&lt;="&amp;DATE(2028,12,31))+SUMIFS(Transaksi!$F$16:$F$5015,Transaksi!$C$16:$C$5015,$A48,Transaksi!$D$16:$D$5015,"Masuk",Transaksi!$B$16:$B$5015,"&lt;="&amp;DATE(2028,12,31))-SUMIFS(Transaksi!$F$16:$F$5015,Transaksi!$C$16:$C$5015,$A48,Transaksi!$D$16:$D$5015,"Keluar",Transaksi!$B$16:$B$5015,"&lt;="&amp;DATE(2028,12,31))-SUMIFS(Transaksi!$F$16:$F$5015,Transaksi!$C$16:$C$5015,$A48,Transaksi!$D$16:$D$5015,"Pindah",Transaksi!$B$16:$B$5015,"&lt;="&amp;DATE(2028,12,31))+SUMIFS(Transaksi!$F$16:$F$5015,Transaksi!$E$16:$E$5015,$A48,Transaksi!$D$16:$D$5015,"Pindah",Transaksi!$B$16:$B$5015,"&lt;="&amp;DATE(2028,12,31))))</f>
        <v/>
      </c>
      <c r="G48" s="106">
        <f>IF(DATE(2029,1,1)&gt;TODAY(),"",(SUMIFS(Akun!$C$5:$C$104,Akun!$A$5:$A$104,$A48,Akun!$D$5:$D$104,"&lt;="&amp;DATE(2029,12,31))+SUMIFS(Transaksi!$F$16:$F$5015,Transaksi!$C$16:$C$5015,$A48,Transaksi!$D$16:$D$5015,"Masuk",Transaksi!$B$16:$B$5015,"&lt;="&amp;DATE(2029,12,31))-SUMIFS(Transaksi!$F$16:$F$5015,Transaksi!$C$16:$C$5015,$A48,Transaksi!$D$16:$D$5015,"Keluar",Transaksi!$B$16:$B$5015,"&lt;="&amp;DATE(2029,12,31))-SUMIFS(Transaksi!$F$16:$F$5015,Transaksi!$C$16:$C$5015,$A48,Transaksi!$D$16:$D$5015,"Pindah",Transaksi!$B$16:$B$5015,"&lt;="&amp;DATE(2029,12,31))+SUMIFS(Transaksi!$F$16:$F$5015,Transaksi!$E$16:$E$5015,$A48,Transaksi!$D$16:$D$5015,"Pindah",Transaksi!$B$16:$B$5015,"&lt;="&amp;DATE(2029,12,31))))</f>
        <v/>
      </c>
      <c r="H48" s="106">
        <f>IF(DATE(2030,1,1)&gt;TODAY(),"",(SUMIFS(Akun!$C$5:$C$104,Akun!$A$5:$A$104,$A48,Akun!$D$5:$D$104,"&lt;="&amp;DATE(2030,12,31))+SUMIFS(Transaksi!$F$16:$F$5015,Transaksi!$C$16:$C$5015,$A48,Transaksi!$D$16:$D$5015,"Masuk",Transaksi!$B$16:$B$5015,"&lt;="&amp;DATE(2030,12,31))-SUMIFS(Transaksi!$F$16:$F$5015,Transaksi!$C$16:$C$5015,$A48,Transaksi!$D$16:$D$5015,"Keluar",Transaksi!$B$16:$B$5015,"&lt;="&amp;DATE(2030,12,31))-SUMIFS(Transaksi!$F$16:$F$5015,Transaksi!$C$16:$C$5015,$A48,Transaksi!$D$16:$D$5015,"Pindah",Transaksi!$B$16:$B$5015,"&lt;="&amp;DATE(2030,12,31))+SUMIFS(Transaksi!$F$16:$F$5015,Transaksi!$E$16:$E$5015,$A48,Transaksi!$D$16:$D$5015,"Pindah",Transaksi!$B$16:$B$5015,"&lt;="&amp;DATE(2030,12,31))))</f>
        <v/>
      </c>
    </row>
    <row r="49" ht="15" customHeight="1" s="94">
      <c r="A49" s="127">
        <f>Akun!A8</f>
        <v/>
      </c>
      <c r="B49" s="106">
        <f>IF(DATE(2024,1,1)&gt;TODAY(),"",(SUMIFS(Akun!$C$5:$C$104,Akun!$A$5:$A$104,$A49,Akun!$D$5:$D$104,"&lt;="&amp;DATE(2024,12,31))+SUMIFS(Transaksi!$F$16:$F$5015,Transaksi!$C$16:$C$5015,$A49,Transaksi!$D$16:$D$5015,"Masuk",Transaksi!$B$16:$B$5015,"&lt;="&amp;DATE(2024,12,31))-SUMIFS(Transaksi!$F$16:$F$5015,Transaksi!$C$16:$C$5015,$A49,Transaksi!$D$16:$D$5015,"Keluar",Transaksi!$B$16:$B$5015,"&lt;="&amp;DATE(2024,12,31))-SUMIFS(Transaksi!$F$16:$F$5015,Transaksi!$C$16:$C$5015,$A49,Transaksi!$D$16:$D$5015,"Pindah",Transaksi!$B$16:$B$5015,"&lt;="&amp;DATE(2024,12,31))+SUMIFS(Transaksi!$F$16:$F$5015,Transaksi!$E$16:$E$5015,$A49,Transaksi!$D$16:$D$5015,"Pindah",Transaksi!$B$16:$B$5015,"&lt;="&amp;DATE(2024,12,31))))</f>
        <v/>
      </c>
      <c r="C49" s="106">
        <f>IF(DATE(2025,1,1)&gt;TODAY(),"",(SUMIFS(Akun!$C$5:$C$104,Akun!$A$5:$A$104,$A49,Akun!$D$5:$D$104,"&lt;="&amp;DATE(2025,12,31))+SUMIFS(Transaksi!$F$16:$F$5015,Transaksi!$C$16:$C$5015,$A49,Transaksi!$D$16:$D$5015,"Masuk",Transaksi!$B$16:$B$5015,"&lt;="&amp;DATE(2025,12,31))-SUMIFS(Transaksi!$F$16:$F$5015,Transaksi!$C$16:$C$5015,$A49,Transaksi!$D$16:$D$5015,"Keluar",Transaksi!$B$16:$B$5015,"&lt;="&amp;DATE(2025,12,31))-SUMIFS(Transaksi!$F$16:$F$5015,Transaksi!$C$16:$C$5015,$A49,Transaksi!$D$16:$D$5015,"Pindah",Transaksi!$B$16:$B$5015,"&lt;="&amp;DATE(2025,12,31))+SUMIFS(Transaksi!$F$16:$F$5015,Transaksi!$E$16:$E$5015,$A49,Transaksi!$D$16:$D$5015,"Pindah",Transaksi!$B$16:$B$5015,"&lt;="&amp;DATE(2025,12,31))))</f>
        <v/>
      </c>
      <c r="D49" s="106">
        <f>IF(DATE(2026,1,1)&gt;TODAY(),"",(SUMIFS(Akun!$C$5:$C$104,Akun!$A$5:$A$104,$A49,Akun!$D$5:$D$104,"&lt;="&amp;DATE(2026,12,31))+SUMIFS(Transaksi!$F$16:$F$5015,Transaksi!$C$16:$C$5015,$A49,Transaksi!$D$16:$D$5015,"Masuk",Transaksi!$B$16:$B$5015,"&lt;="&amp;DATE(2026,12,31))-SUMIFS(Transaksi!$F$16:$F$5015,Transaksi!$C$16:$C$5015,$A49,Transaksi!$D$16:$D$5015,"Keluar",Transaksi!$B$16:$B$5015,"&lt;="&amp;DATE(2026,12,31))-SUMIFS(Transaksi!$F$16:$F$5015,Transaksi!$C$16:$C$5015,$A49,Transaksi!$D$16:$D$5015,"Pindah",Transaksi!$B$16:$B$5015,"&lt;="&amp;DATE(2026,12,31))+SUMIFS(Transaksi!$F$16:$F$5015,Transaksi!$E$16:$E$5015,$A49,Transaksi!$D$16:$D$5015,"Pindah",Transaksi!$B$16:$B$5015,"&lt;="&amp;DATE(2026,12,31))))</f>
        <v/>
      </c>
      <c r="E49" s="106">
        <f>IF(DATE(2027,1,1)&gt;TODAY(),"",(SUMIFS(Akun!$C$5:$C$104,Akun!$A$5:$A$104,$A49,Akun!$D$5:$D$104,"&lt;="&amp;DATE(2027,12,31))+SUMIFS(Transaksi!$F$16:$F$5015,Transaksi!$C$16:$C$5015,$A49,Transaksi!$D$16:$D$5015,"Masuk",Transaksi!$B$16:$B$5015,"&lt;="&amp;DATE(2027,12,31))-SUMIFS(Transaksi!$F$16:$F$5015,Transaksi!$C$16:$C$5015,$A49,Transaksi!$D$16:$D$5015,"Keluar",Transaksi!$B$16:$B$5015,"&lt;="&amp;DATE(2027,12,31))-SUMIFS(Transaksi!$F$16:$F$5015,Transaksi!$C$16:$C$5015,$A49,Transaksi!$D$16:$D$5015,"Pindah",Transaksi!$B$16:$B$5015,"&lt;="&amp;DATE(2027,12,31))+SUMIFS(Transaksi!$F$16:$F$5015,Transaksi!$E$16:$E$5015,$A49,Transaksi!$D$16:$D$5015,"Pindah",Transaksi!$B$16:$B$5015,"&lt;="&amp;DATE(2027,12,31))))</f>
        <v/>
      </c>
      <c r="F49" s="106">
        <f>IF(DATE(2028,1,1)&gt;TODAY(),"",(SUMIFS(Akun!$C$5:$C$104,Akun!$A$5:$A$104,$A49,Akun!$D$5:$D$104,"&lt;="&amp;DATE(2028,12,31))+SUMIFS(Transaksi!$F$16:$F$5015,Transaksi!$C$16:$C$5015,$A49,Transaksi!$D$16:$D$5015,"Masuk",Transaksi!$B$16:$B$5015,"&lt;="&amp;DATE(2028,12,31))-SUMIFS(Transaksi!$F$16:$F$5015,Transaksi!$C$16:$C$5015,$A49,Transaksi!$D$16:$D$5015,"Keluar",Transaksi!$B$16:$B$5015,"&lt;="&amp;DATE(2028,12,31))-SUMIFS(Transaksi!$F$16:$F$5015,Transaksi!$C$16:$C$5015,$A49,Transaksi!$D$16:$D$5015,"Pindah",Transaksi!$B$16:$B$5015,"&lt;="&amp;DATE(2028,12,31))+SUMIFS(Transaksi!$F$16:$F$5015,Transaksi!$E$16:$E$5015,$A49,Transaksi!$D$16:$D$5015,"Pindah",Transaksi!$B$16:$B$5015,"&lt;="&amp;DATE(2028,12,31))))</f>
        <v/>
      </c>
      <c r="G49" s="106">
        <f>IF(DATE(2029,1,1)&gt;TODAY(),"",(SUMIFS(Akun!$C$5:$C$104,Akun!$A$5:$A$104,$A49,Akun!$D$5:$D$104,"&lt;="&amp;DATE(2029,12,31))+SUMIFS(Transaksi!$F$16:$F$5015,Transaksi!$C$16:$C$5015,$A49,Transaksi!$D$16:$D$5015,"Masuk",Transaksi!$B$16:$B$5015,"&lt;="&amp;DATE(2029,12,31))-SUMIFS(Transaksi!$F$16:$F$5015,Transaksi!$C$16:$C$5015,$A49,Transaksi!$D$16:$D$5015,"Keluar",Transaksi!$B$16:$B$5015,"&lt;="&amp;DATE(2029,12,31))-SUMIFS(Transaksi!$F$16:$F$5015,Transaksi!$C$16:$C$5015,$A49,Transaksi!$D$16:$D$5015,"Pindah",Transaksi!$B$16:$B$5015,"&lt;="&amp;DATE(2029,12,31))+SUMIFS(Transaksi!$F$16:$F$5015,Transaksi!$E$16:$E$5015,$A49,Transaksi!$D$16:$D$5015,"Pindah",Transaksi!$B$16:$B$5015,"&lt;="&amp;DATE(2029,12,31))))</f>
        <v/>
      </c>
      <c r="H49" s="106">
        <f>IF(DATE(2030,1,1)&gt;TODAY(),"",(SUMIFS(Akun!$C$5:$C$104,Akun!$A$5:$A$104,$A49,Akun!$D$5:$D$104,"&lt;="&amp;DATE(2030,12,31))+SUMIFS(Transaksi!$F$16:$F$5015,Transaksi!$C$16:$C$5015,$A49,Transaksi!$D$16:$D$5015,"Masuk",Transaksi!$B$16:$B$5015,"&lt;="&amp;DATE(2030,12,31))-SUMIFS(Transaksi!$F$16:$F$5015,Transaksi!$C$16:$C$5015,$A49,Transaksi!$D$16:$D$5015,"Keluar",Transaksi!$B$16:$B$5015,"&lt;="&amp;DATE(2030,12,31))-SUMIFS(Transaksi!$F$16:$F$5015,Transaksi!$C$16:$C$5015,$A49,Transaksi!$D$16:$D$5015,"Pindah",Transaksi!$B$16:$B$5015,"&lt;="&amp;DATE(2030,12,31))+SUMIFS(Transaksi!$F$16:$F$5015,Transaksi!$E$16:$E$5015,$A49,Transaksi!$D$16:$D$5015,"Pindah",Transaksi!$B$16:$B$5015,"&lt;="&amp;DATE(2030,12,31))))</f>
        <v/>
      </c>
    </row>
    <row r="50" ht="15" customHeight="1" s="94">
      <c r="A50" s="127">
        <f>Akun!A9</f>
        <v/>
      </c>
      <c r="B50" s="106">
        <f>IF(DATE(2024,1,1)&gt;TODAY(),"",(SUMIFS(Akun!$C$5:$C$104,Akun!$A$5:$A$104,$A50,Akun!$D$5:$D$104,"&lt;="&amp;DATE(2024,12,31))+SUMIFS(Transaksi!$F$16:$F$5015,Transaksi!$C$16:$C$5015,$A50,Transaksi!$D$16:$D$5015,"Masuk",Transaksi!$B$16:$B$5015,"&lt;="&amp;DATE(2024,12,31))-SUMIFS(Transaksi!$F$16:$F$5015,Transaksi!$C$16:$C$5015,$A50,Transaksi!$D$16:$D$5015,"Keluar",Transaksi!$B$16:$B$5015,"&lt;="&amp;DATE(2024,12,31))-SUMIFS(Transaksi!$F$16:$F$5015,Transaksi!$C$16:$C$5015,$A50,Transaksi!$D$16:$D$5015,"Pindah",Transaksi!$B$16:$B$5015,"&lt;="&amp;DATE(2024,12,31))+SUMIFS(Transaksi!$F$16:$F$5015,Transaksi!$E$16:$E$5015,$A50,Transaksi!$D$16:$D$5015,"Pindah",Transaksi!$B$16:$B$5015,"&lt;="&amp;DATE(2024,12,31))))</f>
        <v/>
      </c>
      <c r="C50" s="106">
        <f>IF(DATE(2025,1,1)&gt;TODAY(),"",(SUMIFS(Akun!$C$5:$C$104,Akun!$A$5:$A$104,$A50,Akun!$D$5:$D$104,"&lt;="&amp;DATE(2025,12,31))+SUMIFS(Transaksi!$F$16:$F$5015,Transaksi!$C$16:$C$5015,$A50,Transaksi!$D$16:$D$5015,"Masuk",Transaksi!$B$16:$B$5015,"&lt;="&amp;DATE(2025,12,31))-SUMIFS(Transaksi!$F$16:$F$5015,Transaksi!$C$16:$C$5015,$A50,Transaksi!$D$16:$D$5015,"Keluar",Transaksi!$B$16:$B$5015,"&lt;="&amp;DATE(2025,12,31))-SUMIFS(Transaksi!$F$16:$F$5015,Transaksi!$C$16:$C$5015,$A50,Transaksi!$D$16:$D$5015,"Pindah",Transaksi!$B$16:$B$5015,"&lt;="&amp;DATE(2025,12,31))+SUMIFS(Transaksi!$F$16:$F$5015,Transaksi!$E$16:$E$5015,$A50,Transaksi!$D$16:$D$5015,"Pindah",Transaksi!$B$16:$B$5015,"&lt;="&amp;DATE(2025,12,31))))</f>
        <v/>
      </c>
      <c r="D50" s="106">
        <f>IF(DATE(2026,1,1)&gt;TODAY(),"",(SUMIFS(Akun!$C$5:$C$104,Akun!$A$5:$A$104,$A50,Akun!$D$5:$D$104,"&lt;="&amp;DATE(2026,12,31))+SUMIFS(Transaksi!$F$16:$F$5015,Transaksi!$C$16:$C$5015,$A50,Transaksi!$D$16:$D$5015,"Masuk",Transaksi!$B$16:$B$5015,"&lt;="&amp;DATE(2026,12,31))-SUMIFS(Transaksi!$F$16:$F$5015,Transaksi!$C$16:$C$5015,$A50,Transaksi!$D$16:$D$5015,"Keluar",Transaksi!$B$16:$B$5015,"&lt;="&amp;DATE(2026,12,31))-SUMIFS(Transaksi!$F$16:$F$5015,Transaksi!$C$16:$C$5015,$A50,Transaksi!$D$16:$D$5015,"Pindah",Transaksi!$B$16:$B$5015,"&lt;="&amp;DATE(2026,12,31))+SUMIFS(Transaksi!$F$16:$F$5015,Transaksi!$E$16:$E$5015,$A50,Transaksi!$D$16:$D$5015,"Pindah",Transaksi!$B$16:$B$5015,"&lt;="&amp;DATE(2026,12,31))))</f>
        <v/>
      </c>
      <c r="E50" s="106">
        <f>IF(DATE(2027,1,1)&gt;TODAY(),"",(SUMIFS(Akun!$C$5:$C$104,Akun!$A$5:$A$104,$A50,Akun!$D$5:$D$104,"&lt;="&amp;DATE(2027,12,31))+SUMIFS(Transaksi!$F$16:$F$5015,Transaksi!$C$16:$C$5015,$A50,Transaksi!$D$16:$D$5015,"Masuk",Transaksi!$B$16:$B$5015,"&lt;="&amp;DATE(2027,12,31))-SUMIFS(Transaksi!$F$16:$F$5015,Transaksi!$C$16:$C$5015,$A50,Transaksi!$D$16:$D$5015,"Keluar",Transaksi!$B$16:$B$5015,"&lt;="&amp;DATE(2027,12,31))-SUMIFS(Transaksi!$F$16:$F$5015,Transaksi!$C$16:$C$5015,$A50,Transaksi!$D$16:$D$5015,"Pindah",Transaksi!$B$16:$B$5015,"&lt;="&amp;DATE(2027,12,31))+SUMIFS(Transaksi!$F$16:$F$5015,Transaksi!$E$16:$E$5015,$A50,Transaksi!$D$16:$D$5015,"Pindah",Transaksi!$B$16:$B$5015,"&lt;="&amp;DATE(2027,12,31))))</f>
        <v/>
      </c>
      <c r="F50" s="106">
        <f>IF(DATE(2028,1,1)&gt;TODAY(),"",(SUMIFS(Akun!$C$5:$C$104,Akun!$A$5:$A$104,$A50,Akun!$D$5:$D$104,"&lt;="&amp;DATE(2028,12,31))+SUMIFS(Transaksi!$F$16:$F$5015,Transaksi!$C$16:$C$5015,$A50,Transaksi!$D$16:$D$5015,"Masuk",Transaksi!$B$16:$B$5015,"&lt;="&amp;DATE(2028,12,31))-SUMIFS(Transaksi!$F$16:$F$5015,Transaksi!$C$16:$C$5015,$A50,Transaksi!$D$16:$D$5015,"Keluar",Transaksi!$B$16:$B$5015,"&lt;="&amp;DATE(2028,12,31))-SUMIFS(Transaksi!$F$16:$F$5015,Transaksi!$C$16:$C$5015,$A50,Transaksi!$D$16:$D$5015,"Pindah",Transaksi!$B$16:$B$5015,"&lt;="&amp;DATE(2028,12,31))+SUMIFS(Transaksi!$F$16:$F$5015,Transaksi!$E$16:$E$5015,$A50,Transaksi!$D$16:$D$5015,"Pindah",Transaksi!$B$16:$B$5015,"&lt;="&amp;DATE(2028,12,31))))</f>
        <v/>
      </c>
      <c r="G50" s="106">
        <f>IF(DATE(2029,1,1)&gt;TODAY(),"",(SUMIFS(Akun!$C$5:$C$104,Akun!$A$5:$A$104,$A50,Akun!$D$5:$D$104,"&lt;="&amp;DATE(2029,12,31))+SUMIFS(Transaksi!$F$16:$F$5015,Transaksi!$C$16:$C$5015,$A50,Transaksi!$D$16:$D$5015,"Masuk",Transaksi!$B$16:$B$5015,"&lt;="&amp;DATE(2029,12,31))-SUMIFS(Transaksi!$F$16:$F$5015,Transaksi!$C$16:$C$5015,$A50,Transaksi!$D$16:$D$5015,"Keluar",Transaksi!$B$16:$B$5015,"&lt;="&amp;DATE(2029,12,31))-SUMIFS(Transaksi!$F$16:$F$5015,Transaksi!$C$16:$C$5015,$A50,Transaksi!$D$16:$D$5015,"Pindah",Transaksi!$B$16:$B$5015,"&lt;="&amp;DATE(2029,12,31))+SUMIFS(Transaksi!$F$16:$F$5015,Transaksi!$E$16:$E$5015,$A50,Transaksi!$D$16:$D$5015,"Pindah",Transaksi!$B$16:$B$5015,"&lt;="&amp;DATE(2029,12,31))))</f>
        <v/>
      </c>
      <c r="H50" s="106">
        <f>IF(DATE(2030,1,1)&gt;TODAY(),"",(SUMIFS(Akun!$C$5:$C$104,Akun!$A$5:$A$104,$A50,Akun!$D$5:$D$104,"&lt;="&amp;DATE(2030,12,31))+SUMIFS(Transaksi!$F$16:$F$5015,Transaksi!$C$16:$C$5015,$A50,Transaksi!$D$16:$D$5015,"Masuk",Transaksi!$B$16:$B$5015,"&lt;="&amp;DATE(2030,12,31))-SUMIFS(Transaksi!$F$16:$F$5015,Transaksi!$C$16:$C$5015,$A50,Transaksi!$D$16:$D$5015,"Keluar",Transaksi!$B$16:$B$5015,"&lt;="&amp;DATE(2030,12,31))-SUMIFS(Transaksi!$F$16:$F$5015,Transaksi!$C$16:$C$5015,$A50,Transaksi!$D$16:$D$5015,"Pindah",Transaksi!$B$16:$B$5015,"&lt;="&amp;DATE(2030,12,31))+SUMIFS(Transaksi!$F$16:$F$5015,Transaksi!$E$16:$E$5015,$A50,Transaksi!$D$16:$D$5015,"Pindah",Transaksi!$B$16:$B$5015,"&lt;="&amp;DATE(2030,12,31))))</f>
        <v/>
      </c>
    </row>
    <row r="51" ht="15" customHeight="1" s="94">
      <c r="A51" s="127">
        <f>Akun!A10</f>
        <v/>
      </c>
      <c r="B51" s="106">
        <f>IF(DATE(2024,1,1)&gt;TODAY(),"",(SUMIFS(Akun!$C$5:$C$104,Akun!$A$5:$A$104,$A51,Akun!$D$5:$D$104,"&lt;="&amp;DATE(2024,12,31))+SUMIFS(Transaksi!$F$16:$F$5015,Transaksi!$C$16:$C$5015,$A51,Transaksi!$D$16:$D$5015,"Masuk",Transaksi!$B$16:$B$5015,"&lt;="&amp;DATE(2024,12,31))-SUMIFS(Transaksi!$F$16:$F$5015,Transaksi!$C$16:$C$5015,$A51,Transaksi!$D$16:$D$5015,"Keluar",Transaksi!$B$16:$B$5015,"&lt;="&amp;DATE(2024,12,31))-SUMIFS(Transaksi!$F$16:$F$5015,Transaksi!$C$16:$C$5015,$A51,Transaksi!$D$16:$D$5015,"Pindah",Transaksi!$B$16:$B$5015,"&lt;="&amp;DATE(2024,12,31))+SUMIFS(Transaksi!$F$16:$F$5015,Transaksi!$E$16:$E$5015,$A51,Transaksi!$D$16:$D$5015,"Pindah",Transaksi!$B$16:$B$5015,"&lt;="&amp;DATE(2024,12,31))))</f>
        <v/>
      </c>
      <c r="C51" s="106">
        <f>IF(DATE(2025,1,1)&gt;TODAY(),"",(SUMIFS(Akun!$C$5:$C$104,Akun!$A$5:$A$104,$A51,Akun!$D$5:$D$104,"&lt;="&amp;DATE(2025,12,31))+SUMIFS(Transaksi!$F$16:$F$5015,Transaksi!$C$16:$C$5015,$A51,Transaksi!$D$16:$D$5015,"Masuk",Transaksi!$B$16:$B$5015,"&lt;="&amp;DATE(2025,12,31))-SUMIFS(Transaksi!$F$16:$F$5015,Transaksi!$C$16:$C$5015,$A51,Transaksi!$D$16:$D$5015,"Keluar",Transaksi!$B$16:$B$5015,"&lt;="&amp;DATE(2025,12,31))-SUMIFS(Transaksi!$F$16:$F$5015,Transaksi!$C$16:$C$5015,$A51,Transaksi!$D$16:$D$5015,"Pindah",Transaksi!$B$16:$B$5015,"&lt;="&amp;DATE(2025,12,31))+SUMIFS(Transaksi!$F$16:$F$5015,Transaksi!$E$16:$E$5015,$A51,Transaksi!$D$16:$D$5015,"Pindah",Transaksi!$B$16:$B$5015,"&lt;="&amp;DATE(2025,12,31))))</f>
        <v/>
      </c>
      <c r="D51" s="106">
        <f>IF(DATE(2026,1,1)&gt;TODAY(),"",(SUMIFS(Akun!$C$5:$C$104,Akun!$A$5:$A$104,$A51,Akun!$D$5:$D$104,"&lt;="&amp;DATE(2026,12,31))+SUMIFS(Transaksi!$F$16:$F$5015,Transaksi!$C$16:$C$5015,$A51,Transaksi!$D$16:$D$5015,"Masuk",Transaksi!$B$16:$B$5015,"&lt;="&amp;DATE(2026,12,31))-SUMIFS(Transaksi!$F$16:$F$5015,Transaksi!$C$16:$C$5015,$A51,Transaksi!$D$16:$D$5015,"Keluar",Transaksi!$B$16:$B$5015,"&lt;="&amp;DATE(2026,12,31))-SUMIFS(Transaksi!$F$16:$F$5015,Transaksi!$C$16:$C$5015,$A51,Transaksi!$D$16:$D$5015,"Pindah",Transaksi!$B$16:$B$5015,"&lt;="&amp;DATE(2026,12,31))+SUMIFS(Transaksi!$F$16:$F$5015,Transaksi!$E$16:$E$5015,$A51,Transaksi!$D$16:$D$5015,"Pindah",Transaksi!$B$16:$B$5015,"&lt;="&amp;DATE(2026,12,31))))</f>
        <v/>
      </c>
      <c r="E51" s="106">
        <f>IF(DATE(2027,1,1)&gt;TODAY(),"",(SUMIFS(Akun!$C$5:$C$104,Akun!$A$5:$A$104,$A51,Akun!$D$5:$D$104,"&lt;="&amp;DATE(2027,12,31))+SUMIFS(Transaksi!$F$16:$F$5015,Transaksi!$C$16:$C$5015,$A51,Transaksi!$D$16:$D$5015,"Masuk",Transaksi!$B$16:$B$5015,"&lt;="&amp;DATE(2027,12,31))-SUMIFS(Transaksi!$F$16:$F$5015,Transaksi!$C$16:$C$5015,$A51,Transaksi!$D$16:$D$5015,"Keluar",Transaksi!$B$16:$B$5015,"&lt;="&amp;DATE(2027,12,31))-SUMIFS(Transaksi!$F$16:$F$5015,Transaksi!$C$16:$C$5015,$A51,Transaksi!$D$16:$D$5015,"Pindah",Transaksi!$B$16:$B$5015,"&lt;="&amp;DATE(2027,12,31))+SUMIFS(Transaksi!$F$16:$F$5015,Transaksi!$E$16:$E$5015,$A51,Transaksi!$D$16:$D$5015,"Pindah",Transaksi!$B$16:$B$5015,"&lt;="&amp;DATE(2027,12,31))))</f>
        <v/>
      </c>
      <c r="F51" s="106">
        <f>IF(DATE(2028,1,1)&gt;TODAY(),"",(SUMIFS(Akun!$C$5:$C$104,Akun!$A$5:$A$104,$A51,Akun!$D$5:$D$104,"&lt;="&amp;DATE(2028,12,31))+SUMIFS(Transaksi!$F$16:$F$5015,Transaksi!$C$16:$C$5015,$A51,Transaksi!$D$16:$D$5015,"Masuk",Transaksi!$B$16:$B$5015,"&lt;="&amp;DATE(2028,12,31))-SUMIFS(Transaksi!$F$16:$F$5015,Transaksi!$C$16:$C$5015,$A51,Transaksi!$D$16:$D$5015,"Keluar",Transaksi!$B$16:$B$5015,"&lt;="&amp;DATE(2028,12,31))-SUMIFS(Transaksi!$F$16:$F$5015,Transaksi!$C$16:$C$5015,$A51,Transaksi!$D$16:$D$5015,"Pindah",Transaksi!$B$16:$B$5015,"&lt;="&amp;DATE(2028,12,31))+SUMIFS(Transaksi!$F$16:$F$5015,Transaksi!$E$16:$E$5015,$A51,Transaksi!$D$16:$D$5015,"Pindah",Transaksi!$B$16:$B$5015,"&lt;="&amp;DATE(2028,12,31))))</f>
        <v/>
      </c>
      <c r="G51" s="106">
        <f>IF(DATE(2029,1,1)&gt;TODAY(),"",(SUMIFS(Akun!$C$5:$C$104,Akun!$A$5:$A$104,$A51,Akun!$D$5:$D$104,"&lt;="&amp;DATE(2029,12,31))+SUMIFS(Transaksi!$F$16:$F$5015,Transaksi!$C$16:$C$5015,$A51,Transaksi!$D$16:$D$5015,"Masuk",Transaksi!$B$16:$B$5015,"&lt;="&amp;DATE(2029,12,31))-SUMIFS(Transaksi!$F$16:$F$5015,Transaksi!$C$16:$C$5015,$A51,Transaksi!$D$16:$D$5015,"Keluar",Transaksi!$B$16:$B$5015,"&lt;="&amp;DATE(2029,12,31))-SUMIFS(Transaksi!$F$16:$F$5015,Transaksi!$C$16:$C$5015,$A51,Transaksi!$D$16:$D$5015,"Pindah",Transaksi!$B$16:$B$5015,"&lt;="&amp;DATE(2029,12,31))+SUMIFS(Transaksi!$F$16:$F$5015,Transaksi!$E$16:$E$5015,$A51,Transaksi!$D$16:$D$5015,"Pindah",Transaksi!$B$16:$B$5015,"&lt;="&amp;DATE(2029,12,31))))</f>
        <v/>
      </c>
      <c r="H51" s="106">
        <f>IF(DATE(2030,1,1)&gt;TODAY(),"",(SUMIFS(Akun!$C$5:$C$104,Akun!$A$5:$A$104,$A51,Akun!$D$5:$D$104,"&lt;="&amp;DATE(2030,12,31))+SUMIFS(Transaksi!$F$16:$F$5015,Transaksi!$C$16:$C$5015,$A51,Transaksi!$D$16:$D$5015,"Masuk",Transaksi!$B$16:$B$5015,"&lt;="&amp;DATE(2030,12,31))-SUMIFS(Transaksi!$F$16:$F$5015,Transaksi!$C$16:$C$5015,$A51,Transaksi!$D$16:$D$5015,"Keluar",Transaksi!$B$16:$B$5015,"&lt;="&amp;DATE(2030,12,31))-SUMIFS(Transaksi!$F$16:$F$5015,Transaksi!$C$16:$C$5015,$A51,Transaksi!$D$16:$D$5015,"Pindah",Transaksi!$B$16:$B$5015,"&lt;="&amp;DATE(2030,12,31))+SUMIFS(Transaksi!$F$16:$F$5015,Transaksi!$E$16:$E$5015,$A51,Transaksi!$D$16:$D$5015,"Pindah",Transaksi!$B$16:$B$5015,"&lt;="&amp;DATE(2030,12,31))))</f>
        <v/>
      </c>
    </row>
    <row r="52" ht="15" customHeight="1" s="94">
      <c r="A52" s="127">
        <f>Akun!A11</f>
        <v/>
      </c>
      <c r="B52" s="106">
        <f>IF(DATE(2024,1,1)&gt;TODAY(),"",(SUMIFS(Akun!$C$5:$C$104,Akun!$A$5:$A$104,$A52,Akun!$D$5:$D$104,"&lt;="&amp;DATE(2024,12,31))+SUMIFS(Transaksi!$F$16:$F$5015,Transaksi!$C$16:$C$5015,$A52,Transaksi!$D$16:$D$5015,"Masuk",Transaksi!$B$16:$B$5015,"&lt;="&amp;DATE(2024,12,31))-SUMIFS(Transaksi!$F$16:$F$5015,Transaksi!$C$16:$C$5015,$A52,Transaksi!$D$16:$D$5015,"Keluar",Transaksi!$B$16:$B$5015,"&lt;="&amp;DATE(2024,12,31))-SUMIFS(Transaksi!$F$16:$F$5015,Transaksi!$C$16:$C$5015,$A52,Transaksi!$D$16:$D$5015,"Pindah",Transaksi!$B$16:$B$5015,"&lt;="&amp;DATE(2024,12,31))+SUMIFS(Transaksi!$F$16:$F$5015,Transaksi!$E$16:$E$5015,$A52,Transaksi!$D$16:$D$5015,"Pindah",Transaksi!$B$16:$B$5015,"&lt;="&amp;DATE(2024,12,31))))</f>
        <v/>
      </c>
      <c r="C52" s="106">
        <f>IF(DATE(2025,1,1)&gt;TODAY(),"",(SUMIFS(Akun!$C$5:$C$104,Akun!$A$5:$A$104,$A52,Akun!$D$5:$D$104,"&lt;="&amp;DATE(2025,12,31))+SUMIFS(Transaksi!$F$16:$F$5015,Transaksi!$C$16:$C$5015,$A52,Transaksi!$D$16:$D$5015,"Masuk",Transaksi!$B$16:$B$5015,"&lt;="&amp;DATE(2025,12,31))-SUMIFS(Transaksi!$F$16:$F$5015,Transaksi!$C$16:$C$5015,$A52,Transaksi!$D$16:$D$5015,"Keluar",Transaksi!$B$16:$B$5015,"&lt;="&amp;DATE(2025,12,31))-SUMIFS(Transaksi!$F$16:$F$5015,Transaksi!$C$16:$C$5015,$A52,Transaksi!$D$16:$D$5015,"Pindah",Transaksi!$B$16:$B$5015,"&lt;="&amp;DATE(2025,12,31))+SUMIFS(Transaksi!$F$16:$F$5015,Transaksi!$E$16:$E$5015,$A52,Transaksi!$D$16:$D$5015,"Pindah",Transaksi!$B$16:$B$5015,"&lt;="&amp;DATE(2025,12,31))))</f>
        <v/>
      </c>
      <c r="D52" s="106">
        <f>IF(DATE(2026,1,1)&gt;TODAY(),"",(SUMIFS(Akun!$C$5:$C$104,Akun!$A$5:$A$104,$A52,Akun!$D$5:$D$104,"&lt;="&amp;DATE(2026,12,31))+SUMIFS(Transaksi!$F$16:$F$5015,Transaksi!$C$16:$C$5015,$A52,Transaksi!$D$16:$D$5015,"Masuk",Transaksi!$B$16:$B$5015,"&lt;="&amp;DATE(2026,12,31))-SUMIFS(Transaksi!$F$16:$F$5015,Transaksi!$C$16:$C$5015,$A52,Transaksi!$D$16:$D$5015,"Keluar",Transaksi!$B$16:$B$5015,"&lt;="&amp;DATE(2026,12,31))-SUMIFS(Transaksi!$F$16:$F$5015,Transaksi!$C$16:$C$5015,$A52,Transaksi!$D$16:$D$5015,"Pindah",Transaksi!$B$16:$B$5015,"&lt;="&amp;DATE(2026,12,31))+SUMIFS(Transaksi!$F$16:$F$5015,Transaksi!$E$16:$E$5015,$A52,Transaksi!$D$16:$D$5015,"Pindah",Transaksi!$B$16:$B$5015,"&lt;="&amp;DATE(2026,12,31))))</f>
        <v/>
      </c>
      <c r="E52" s="106">
        <f>IF(DATE(2027,1,1)&gt;TODAY(),"",(SUMIFS(Akun!$C$5:$C$104,Akun!$A$5:$A$104,$A52,Akun!$D$5:$D$104,"&lt;="&amp;DATE(2027,12,31))+SUMIFS(Transaksi!$F$16:$F$5015,Transaksi!$C$16:$C$5015,$A52,Transaksi!$D$16:$D$5015,"Masuk",Transaksi!$B$16:$B$5015,"&lt;="&amp;DATE(2027,12,31))-SUMIFS(Transaksi!$F$16:$F$5015,Transaksi!$C$16:$C$5015,$A52,Transaksi!$D$16:$D$5015,"Keluar",Transaksi!$B$16:$B$5015,"&lt;="&amp;DATE(2027,12,31))-SUMIFS(Transaksi!$F$16:$F$5015,Transaksi!$C$16:$C$5015,$A52,Transaksi!$D$16:$D$5015,"Pindah",Transaksi!$B$16:$B$5015,"&lt;="&amp;DATE(2027,12,31))+SUMIFS(Transaksi!$F$16:$F$5015,Transaksi!$E$16:$E$5015,$A52,Transaksi!$D$16:$D$5015,"Pindah",Transaksi!$B$16:$B$5015,"&lt;="&amp;DATE(2027,12,31))))</f>
        <v/>
      </c>
      <c r="F52" s="106">
        <f>IF(DATE(2028,1,1)&gt;TODAY(),"",(SUMIFS(Akun!$C$5:$C$104,Akun!$A$5:$A$104,$A52,Akun!$D$5:$D$104,"&lt;="&amp;DATE(2028,12,31))+SUMIFS(Transaksi!$F$16:$F$5015,Transaksi!$C$16:$C$5015,$A52,Transaksi!$D$16:$D$5015,"Masuk",Transaksi!$B$16:$B$5015,"&lt;="&amp;DATE(2028,12,31))-SUMIFS(Transaksi!$F$16:$F$5015,Transaksi!$C$16:$C$5015,$A52,Transaksi!$D$16:$D$5015,"Keluar",Transaksi!$B$16:$B$5015,"&lt;="&amp;DATE(2028,12,31))-SUMIFS(Transaksi!$F$16:$F$5015,Transaksi!$C$16:$C$5015,$A52,Transaksi!$D$16:$D$5015,"Pindah",Transaksi!$B$16:$B$5015,"&lt;="&amp;DATE(2028,12,31))+SUMIFS(Transaksi!$F$16:$F$5015,Transaksi!$E$16:$E$5015,$A52,Transaksi!$D$16:$D$5015,"Pindah",Transaksi!$B$16:$B$5015,"&lt;="&amp;DATE(2028,12,31))))</f>
        <v/>
      </c>
      <c r="G52" s="106">
        <f>IF(DATE(2029,1,1)&gt;TODAY(),"",(SUMIFS(Akun!$C$5:$C$104,Akun!$A$5:$A$104,$A52,Akun!$D$5:$D$104,"&lt;="&amp;DATE(2029,12,31))+SUMIFS(Transaksi!$F$16:$F$5015,Transaksi!$C$16:$C$5015,$A52,Transaksi!$D$16:$D$5015,"Masuk",Transaksi!$B$16:$B$5015,"&lt;="&amp;DATE(2029,12,31))-SUMIFS(Transaksi!$F$16:$F$5015,Transaksi!$C$16:$C$5015,$A52,Transaksi!$D$16:$D$5015,"Keluar",Transaksi!$B$16:$B$5015,"&lt;="&amp;DATE(2029,12,31))-SUMIFS(Transaksi!$F$16:$F$5015,Transaksi!$C$16:$C$5015,$A52,Transaksi!$D$16:$D$5015,"Pindah",Transaksi!$B$16:$B$5015,"&lt;="&amp;DATE(2029,12,31))+SUMIFS(Transaksi!$F$16:$F$5015,Transaksi!$E$16:$E$5015,$A52,Transaksi!$D$16:$D$5015,"Pindah",Transaksi!$B$16:$B$5015,"&lt;="&amp;DATE(2029,12,31))))</f>
        <v/>
      </c>
      <c r="H52" s="106">
        <f>IF(DATE(2030,1,1)&gt;TODAY(),"",(SUMIFS(Akun!$C$5:$C$104,Akun!$A$5:$A$104,$A52,Akun!$D$5:$D$104,"&lt;="&amp;DATE(2030,12,31))+SUMIFS(Transaksi!$F$16:$F$5015,Transaksi!$C$16:$C$5015,$A52,Transaksi!$D$16:$D$5015,"Masuk",Transaksi!$B$16:$B$5015,"&lt;="&amp;DATE(2030,12,31))-SUMIFS(Transaksi!$F$16:$F$5015,Transaksi!$C$16:$C$5015,$A52,Transaksi!$D$16:$D$5015,"Keluar",Transaksi!$B$16:$B$5015,"&lt;="&amp;DATE(2030,12,31))-SUMIFS(Transaksi!$F$16:$F$5015,Transaksi!$C$16:$C$5015,$A52,Transaksi!$D$16:$D$5015,"Pindah",Transaksi!$B$16:$B$5015,"&lt;="&amp;DATE(2030,12,31))+SUMIFS(Transaksi!$F$16:$F$5015,Transaksi!$E$16:$E$5015,$A52,Transaksi!$D$16:$D$5015,"Pindah",Transaksi!$B$16:$B$5015,"&lt;="&amp;DATE(2030,12,31))))</f>
        <v/>
      </c>
    </row>
    <row r="53" ht="15" customHeight="1" s="94">
      <c r="A53" s="127">
        <f>Akun!A12</f>
        <v/>
      </c>
      <c r="B53" s="106">
        <f>IF(DATE(2024,1,1)&gt;TODAY(),"",(SUMIFS(Akun!$C$5:$C$104,Akun!$A$5:$A$104,$A53,Akun!$D$5:$D$104,"&lt;="&amp;DATE(2024,12,31))+SUMIFS(Transaksi!$F$16:$F$5015,Transaksi!$C$16:$C$5015,$A53,Transaksi!$D$16:$D$5015,"Masuk",Transaksi!$B$16:$B$5015,"&lt;="&amp;DATE(2024,12,31))-SUMIFS(Transaksi!$F$16:$F$5015,Transaksi!$C$16:$C$5015,$A53,Transaksi!$D$16:$D$5015,"Keluar",Transaksi!$B$16:$B$5015,"&lt;="&amp;DATE(2024,12,31))-SUMIFS(Transaksi!$F$16:$F$5015,Transaksi!$C$16:$C$5015,$A53,Transaksi!$D$16:$D$5015,"Pindah",Transaksi!$B$16:$B$5015,"&lt;="&amp;DATE(2024,12,31))+SUMIFS(Transaksi!$F$16:$F$5015,Transaksi!$E$16:$E$5015,$A53,Transaksi!$D$16:$D$5015,"Pindah",Transaksi!$B$16:$B$5015,"&lt;="&amp;DATE(2024,12,31))))</f>
        <v/>
      </c>
      <c r="C53" s="106">
        <f>IF(DATE(2025,1,1)&gt;TODAY(),"",(SUMIFS(Akun!$C$5:$C$104,Akun!$A$5:$A$104,$A53,Akun!$D$5:$D$104,"&lt;="&amp;DATE(2025,12,31))+SUMIFS(Transaksi!$F$16:$F$5015,Transaksi!$C$16:$C$5015,$A53,Transaksi!$D$16:$D$5015,"Masuk",Transaksi!$B$16:$B$5015,"&lt;="&amp;DATE(2025,12,31))-SUMIFS(Transaksi!$F$16:$F$5015,Transaksi!$C$16:$C$5015,$A53,Transaksi!$D$16:$D$5015,"Keluar",Transaksi!$B$16:$B$5015,"&lt;="&amp;DATE(2025,12,31))-SUMIFS(Transaksi!$F$16:$F$5015,Transaksi!$C$16:$C$5015,$A53,Transaksi!$D$16:$D$5015,"Pindah",Transaksi!$B$16:$B$5015,"&lt;="&amp;DATE(2025,12,31))+SUMIFS(Transaksi!$F$16:$F$5015,Transaksi!$E$16:$E$5015,$A53,Transaksi!$D$16:$D$5015,"Pindah",Transaksi!$B$16:$B$5015,"&lt;="&amp;DATE(2025,12,31))))</f>
        <v/>
      </c>
      <c r="D53" s="106">
        <f>IF(DATE(2026,1,1)&gt;TODAY(),"",(SUMIFS(Akun!$C$5:$C$104,Akun!$A$5:$A$104,$A53,Akun!$D$5:$D$104,"&lt;="&amp;DATE(2026,12,31))+SUMIFS(Transaksi!$F$16:$F$5015,Transaksi!$C$16:$C$5015,$A53,Transaksi!$D$16:$D$5015,"Masuk",Transaksi!$B$16:$B$5015,"&lt;="&amp;DATE(2026,12,31))-SUMIFS(Transaksi!$F$16:$F$5015,Transaksi!$C$16:$C$5015,$A53,Transaksi!$D$16:$D$5015,"Keluar",Transaksi!$B$16:$B$5015,"&lt;="&amp;DATE(2026,12,31))-SUMIFS(Transaksi!$F$16:$F$5015,Transaksi!$C$16:$C$5015,$A53,Transaksi!$D$16:$D$5015,"Pindah",Transaksi!$B$16:$B$5015,"&lt;="&amp;DATE(2026,12,31))+SUMIFS(Transaksi!$F$16:$F$5015,Transaksi!$E$16:$E$5015,$A53,Transaksi!$D$16:$D$5015,"Pindah",Transaksi!$B$16:$B$5015,"&lt;="&amp;DATE(2026,12,31))))</f>
        <v/>
      </c>
      <c r="E53" s="106">
        <f>IF(DATE(2027,1,1)&gt;TODAY(),"",(SUMIFS(Akun!$C$5:$C$104,Akun!$A$5:$A$104,$A53,Akun!$D$5:$D$104,"&lt;="&amp;DATE(2027,12,31))+SUMIFS(Transaksi!$F$16:$F$5015,Transaksi!$C$16:$C$5015,$A53,Transaksi!$D$16:$D$5015,"Masuk",Transaksi!$B$16:$B$5015,"&lt;="&amp;DATE(2027,12,31))-SUMIFS(Transaksi!$F$16:$F$5015,Transaksi!$C$16:$C$5015,$A53,Transaksi!$D$16:$D$5015,"Keluar",Transaksi!$B$16:$B$5015,"&lt;="&amp;DATE(2027,12,31))-SUMIFS(Transaksi!$F$16:$F$5015,Transaksi!$C$16:$C$5015,$A53,Transaksi!$D$16:$D$5015,"Pindah",Transaksi!$B$16:$B$5015,"&lt;="&amp;DATE(2027,12,31))+SUMIFS(Transaksi!$F$16:$F$5015,Transaksi!$E$16:$E$5015,$A53,Transaksi!$D$16:$D$5015,"Pindah",Transaksi!$B$16:$B$5015,"&lt;="&amp;DATE(2027,12,31))))</f>
        <v/>
      </c>
      <c r="F53" s="106">
        <f>IF(DATE(2028,1,1)&gt;TODAY(),"",(SUMIFS(Akun!$C$5:$C$104,Akun!$A$5:$A$104,$A53,Akun!$D$5:$D$104,"&lt;="&amp;DATE(2028,12,31))+SUMIFS(Transaksi!$F$16:$F$5015,Transaksi!$C$16:$C$5015,$A53,Transaksi!$D$16:$D$5015,"Masuk",Transaksi!$B$16:$B$5015,"&lt;="&amp;DATE(2028,12,31))-SUMIFS(Transaksi!$F$16:$F$5015,Transaksi!$C$16:$C$5015,$A53,Transaksi!$D$16:$D$5015,"Keluar",Transaksi!$B$16:$B$5015,"&lt;="&amp;DATE(2028,12,31))-SUMIFS(Transaksi!$F$16:$F$5015,Transaksi!$C$16:$C$5015,$A53,Transaksi!$D$16:$D$5015,"Pindah",Transaksi!$B$16:$B$5015,"&lt;="&amp;DATE(2028,12,31))+SUMIFS(Transaksi!$F$16:$F$5015,Transaksi!$E$16:$E$5015,$A53,Transaksi!$D$16:$D$5015,"Pindah",Transaksi!$B$16:$B$5015,"&lt;="&amp;DATE(2028,12,31))))</f>
        <v/>
      </c>
      <c r="G53" s="106">
        <f>IF(DATE(2029,1,1)&gt;TODAY(),"",(SUMIFS(Akun!$C$5:$C$104,Akun!$A$5:$A$104,$A53,Akun!$D$5:$D$104,"&lt;="&amp;DATE(2029,12,31))+SUMIFS(Transaksi!$F$16:$F$5015,Transaksi!$C$16:$C$5015,$A53,Transaksi!$D$16:$D$5015,"Masuk",Transaksi!$B$16:$B$5015,"&lt;="&amp;DATE(2029,12,31))-SUMIFS(Transaksi!$F$16:$F$5015,Transaksi!$C$16:$C$5015,$A53,Transaksi!$D$16:$D$5015,"Keluar",Transaksi!$B$16:$B$5015,"&lt;="&amp;DATE(2029,12,31))-SUMIFS(Transaksi!$F$16:$F$5015,Transaksi!$C$16:$C$5015,$A53,Transaksi!$D$16:$D$5015,"Pindah",Transaksi!$B$16:$B$5015,"&lt;="&amp;DATE(2029,12,31))+SUMIFS(Transaksi!$F$16:$F$5015,Transaksi!$E$16:$E$5015,$A53,Transaksi!$D$16:$D$5015,"Pindah",Transaksi!$B$16:$B$5015,"&lt;="&amp;DATE(2029,12,31))))</f>
        <v/>
      </c>
      <c r="H53" s="106">
        <f>IF(DATE(2030,1,1)&gt;TODAY(),"",(SUMIFS(Akun!$C$5:$C$104,Akun!$A$5:$A$104,$A53,Akun!$D$5:$D$104,"&lt;="&amp;DATE(2030,12,31))+SUMIFS(Transaksi!$F$16:$F$5015,Transaksi!$C$16:$C$5015,$A53,Transaksi!$D$16:$D$5015,"Masuk",Transaksi!$B$16:$B$5015,"&lt;="&amp;DATE(2030,12,31))-SUMIFS(Transaksi!$F$16:$F$5015,Transaksi!$C$16:$C$5015,$A53,Transaksi!$D$16:$D$5015,"Keluar",Transaksi!$B$16:$B$5015,"&lt;="&amp;DATE(2030,12,31))-SUMIFS(Transaksi!$F$16:$F$5015,Transaksi!$C$16:$C$5015,$A53,Transaksi!$D$16:$D$5015,"Pindah",Transaksi!$B$16:$B$5015,"&lt;="&amp;DATE(2030,12,31))+SUMIFS(Transaksi!$F$16:$F$5015,Transaksi!$E$16:$E$5015,$A53,Transaksi!$D$16:$D$5015,"Pindah",Transaksi!$B$16:$B$5015,"&lt;="&amp;DATE(2030,12,31))))</f>
        <v/>
      </c>
    </row>
    <row r="54" ht="15" customHeight="1" s="94">
      <c r="A54" s="127">
        <f>Akun!A13</f>
        <v/>
      </c>
      <c r="B54" s="106">
        <f>IF(DATE(2024,1,1)&gt;TODAY(),"",(SUMIFS(Akun!$C$5:$C$104,Akun!$A$5:$A$104,$A54,Akun!$D$5:$D$104,"&lt;="&amp;DATE(2024,12,31))+SUMIFS(Transaksi!$F$16:$F$5015,Transaksi!$C$16:$C$5015,$A54,Transaksi!$D$16:$D$5015,"Masuk",Transaksi!$B$16:$B$5015,"&lt;="&amp;DATE(2024,12,31))-SUMIFS(Transaksi!$F$16:$F$5015,Transaksi!$C$16:$C$5015,$A54,Transaksi!$D$16:$D$5015,"Keluar",Transaksi!$B$16:$B$5015,"&lt;="&amp;DATE(2024,12,31))-SUMIFS(Transaksi!$F$16:$F$5015,Transaksi!$C$16:$C$5015,$A54,Transaksi!$D$16:$D$5015,"Pindah",Transaksi!$B$16:$B$5015,"&lt;="&amp;DATE(2024,12,31))+SUMIFS(Transaksi!$F$16:$F$5015,Transaksi!$E$16:$E$5015,$A54,Transaksi!$D$16:$D$5015,"Pindah",Transaksi!$B$16:$B$5015,"&lt;="&amp;DATE(2024,12,31))))</f>
        <v/>
      </c>
      <c r="C54" s="106">
        <f>IF(DATE(2025,1,1)&gt;TODAY(),"",(SUMIFS(Akun!$C$5:$C$104,Akun!$A$5:$A$104,$A54,Akun!$D$5:$D$104,"&lt;="&amp;DATE(2025,12,31))+SUMIFS(Transaksi!$F$16:$F$5015,Transaksi!$C$16:$C$5015,$A54,Transaksi!$D$16:$D$5015,"Masuk",Transaksi!$B$16:$B$5015,"&lt;="&amp;DATE(2025,12,31))-SUMIFS(Transaksi!$F$16:$F$5015,Transaksi!$C$16:$C$5015,$A54,Transaksi!$D$16:$D$5015,"Keluar",Transaksi!$B$16:$B$5015,"&lt;="&amp;DATE(2025,12,31))-SUMIFS(Transaksi!$F$16:$F$5015,Transaksi!$C$16:$C$5015,$A54,Transaksi!$D$16:$D$5015,"Pindah",Transaksi!$B$16:$B$5015,"&lt;="&amp;DATE(2025,12,31))+SUMIFS(Transaksi!$F$16:$F$5015,Transaksi!$E$16:$E$5015,$A54,Transaksi!$D$16:$D$5015,"Pindah",Transaksi!$B$16:$B$5015,"&lt;="&amp;DATE(2025,12,31))))</f>
        <v/>
      </c>
      <c r="D54" s="106">
        <f>IF(DATE(2026,1,1)&gt;TODAY(),"",(SUMIFS(Akun!$C$5:$C$104,Akun!$A$5:$A$104,$A54,Akun!$D$5:$D$104,"&lt;="&amp;DATE(2026,12,31))+SUMIFS(Transaksi!$F$16:$F$5015,Transaksi!$C$16:$C$5015,$A54,Transaksi!$D$16:$D$5015,"Masuk",Transaksi!$B$16:$B$5015,"&lt;="&amp;DATE(2026,12,31))-SUMIFS(Transaksi!$F$16:$F$5015,Transaksi!$C$16:$C$5015,$A54,Transaksi!$D$16:$D$5015,"Keluar",Transaksi!$B$16:$B$5015,"&lt;="&amp;DATE(2026,12,31))-SUMIFS(Transaksi!$F$16:$F$5015,Transaksi!$C$16:$C$5015,$A54,Transaksi!$D$16:$D$5015,"Pindah",Transaksi!$B$16:$B$5015,"&lt;="&amp;DATE(2026,12,31))+SUMIFS(Transaksi!$F$16:$F$5015,Transaksi!$E$16:$E$5015,$A54,Transaksi!$D$16:$D$5015,"Pindah",Transaksi!$B$16:$B$5015,"&lt;="&amp;DATE(2026,12,31))))</f>
        <v/>
      </c>
      <c r="E54" s="106">
        <f>IF(DATE(2027,1,1)&gt;TODAY(),"",(SUMIFS(Akun!$C$5:$C$104,Akun!$A$5:$A$104,$A54,Akun!$D$5:$D$104,"&lt;="&amp;DATE(2027,12,31))+SUMIFS(Transaksi!$F$16:$F$5015,Transaksi!$C$16:$C$5015,$A54,Transaksi!$D$16:$D$5015,"Masuk",Transaksi!$B$16:$B$5015,"&lt;="&amp;DATE(2027,12,31))-SUMIFS(Transaksi!$F$16:$F$5015,Transaksi!$C$16:$C$5015,$A54,Transaksi!$D$16:$D$5015,"Keluar",Transaksi!$B$16:$B$5015,"&lt;="&amp;DATE(2027,12,31))-SUMIFS(Transaksi!$F$16:$F$5015,Transaksi!$C$16:$C$5015,$A54,Transaksi!$D$16:$D$5015,"Pindah",Transaksi!$B$16:$B$5015,"&lt;="&amp;DATE(2027,12,31))+SUMIFS(Transaksi!$F$16:$F$5015,Transaksi!$E$16:$E$5015,$A54,Transaksi!$D$16:$D$5015,"Pindah",Transaksi!$B$16:$B$5015,"&lt;="&amp;DATE(2027,12,31))))</f>
        <v/>
      </c>
      <c r="F54" s="106">
        <f>IF(DATE(2028,1,1)&gt;TODAY(),"",(SUMIFS(Akun!$C$5:$C$104,Akun!$A$5:$A$104,$A54,Akun!$D$5:$D$104,"&lt;="&amp;DATE(2028,12,31))+SUMIFS(Transaksi!$F$16:$F$5015,Transaksi!$C$16:$C$5015,$A54,Transaksi!$D$16:$D$5015,"Masuk",Transaksi!$B$16:$B$5015,"&lt;="&amp;DATE(2028,12,31))-SUMIFS(Transaksi!$F$16:$F$5015,Transaksi!$C$16:$C$5015,$A54,Transaksi!$D$16:$D$5015,"Keluar",Transaksi!$B$16:$B$5015,"&lt;="&amp;DATE(2028,12,31))-SUMIFS(Transaksi!$F$16:$F$5015,Transaksi!$C$16:$C$5015,$A54,Transaksi!$D$16:$D$5015,"Pindah",Transaksi!$B$16:$B$5015,"&lt;="&amp;DATE(2028,12,31))+SUMIFS(Transaksi!$F$16:$F$5015,Transaksi!$E$16:$E$5015,$A54,Transaksi!$D$16:$D$5015,"Pindah",Transaksi!$B$16:$B$5015,"&lt;="&amp;DATE(2028,12,31))))</f>
        <v/>
      </c>
      <c r="G54" s="106">
        <f>IF(DATE(2029,1,1)&gt;TODAY(),"",(SUMIFS(Akun!$C$5:$C$104,Akun!$A$5:$A$104,$A54,Akun!$D$5:$D$104,"&lt;="&amp;DATE(2029,12,31))+SUMIFS(Transaksi!$F$16:$F$5015,Transaksi!$C$16:$C$5015,$A54,Transaksi!$D$16:$D$5015,"Masuk",Transaksi!$B$16:$B$5015,"&lt;="&amp;DATE(2029,12,31))-SUMIFS(Transaksi!$F$16:$F$5015,Transaksi!$C$16:$C$5015,$A54,Transaksi!$D$16:$D$5015,"Keluar",Transaksi!$B$16:$B$5015,"&lt;="&amp;DATE(2029,12,31))-SUMIFS(Transaksi!$F$16:$F$5015,Transaksi!$C$16:$C$5015,$A54,Transaksi!$D$16:$D$5015,"Pindah",Transaksi!$B$16:$B$5015,"&lt;="&amp;DATE(2029,12,31))+SUMIFS(Transaksi!$F$16:$F$5015,Transaksi!$E$16:$E$5015,$A54,Transaksi!$D$16:$D$5015,"Pindah",Transaksi!$B$16:$B$5015,"&lt;="&amp;DATE(2029,12,31))))</f>
        <v/>
      </c>
      <c r="H54" s="106">
        <f>IF(DATE(2030,1,1)&gt;TODAY(),"",(SUMIFS(Akun!$C$5:$C$104,Akun!$A$5:$A$104,$A54,Akun!$D$5:$D$104,"&lt;="&amp;DATE(2030,12,31))+SUMIFS(Transaksi!$F$16:$F$5015,Transaksi!$C$16:$C$5015,$A54,Transaksi!$D$16:$D$5015,"Masuk",Transaksi!$B$16:$B$5015,"&lt;="&amp;DATE(2030,12,31))-SUMIFS(Transaksi!$F$16:$F$5015,Transaksi!$C$16:$C$5015,$A54,Transaksi!$D$16:$D$5015,"Keluar",Transaksi!$B$16:$B$5015,"&lt;="&amp;DATE(2030,12,31))-SUMIFS(Transaksi!$F$16:$F$5015,Transaksi!$C$16:$C$5015,$A54,Transaksi!$D$16:$D$5015,"Pindah",Transaksi!$B$16:$B$5015,"&lt;="&amp;DATE(2030,12,31))+SUMIFS(Transaksi!$F$16:$F$5015,Transaksi!$E$16:$E$5015,$A54,Transaksi!$D$16:$D$5015,"Pindah",Transaksi!$B$16:$B$5015,"&lt;="&amp;DATE(2030,12,31))))</f>
        <v/>
      </c>
    </row>
    <row r="55" ht="15" customHeight="1" s="94">
      <c r="A55" s="127">
        <f>Akun!A14</f>
        <v/>
      </c>
      <c r="B55" s="106">
        <f>IF(DATE(2024,1,1)&gt;TODAY(),"",(SUMIFS(Akun!$C$5:$C$104,Akun!$A$5:$A$104,$A55,Akun!$D$5:$D$104,"&lt;="&amp;DATE(2024,12,31))+SUMIFS(Transaksi!$F$16:$F$5015,Transaksi!$C$16:$C$5015,$A55,Transaksi!$D$16:$D$5015,"Masuk",Transaksi!$B$16:$B$5015,"&lt;="&amp;DATE(2024,12,31))-SUMIFS(Transaksi!$F$16:$F$5015,Transaksi!$C$16:$C$5015,$A55,Transaksi!$D$16:$D$5015,"Keluar",Transaksi!$B$16:$B$5015,"&lt;="&amp;DATE(2024,12,31))-SUMIFS(Transaksi!$F$16:$F$5015,Transaksi!$C$16:$C$5015,$A55,Transaksi!$D$16:$D$5015,"Pindah",Transaksi!$B$16:$B$5015,"&lt;="&amp;DATE(2024,12,31))+SUMIFS(Transaksi!$F$16:$F$5015,Transaksi!$E$16:$E$5015,$A55,Transaksi!$D$16:$D$5015,"Pindah",Transaksi!$B$16:$B$5015,"&lt;="&amp;DATE(2024,12,31))))</f>
        <v/>
      </c>
      <c r="C55" s="106">
        <f>IF(DATE(2025,1,1)&gt;TODAY(),"",(SUMIFS(Akun!$C$5:$C$104,Akun!$A$5:$A$104,$A55,Akun!$D$5:$D$104,"&lt;="&amp;DATE(2025,12,31))+SUMIFS(Transaksi!$F$16:$F$5015,Transaksi!$C$16:$C$5015,$A55,Transaksi!$D$16:$D$5015,"Masuk",Transaksi!$B$16:$B$5015,"&lt;="&amp;DATE(2025,12,31))-SUMIFS(Transaksi!$F$16:$F$5015,Transaksi!$C$16:$C$5015,$A55,Transaksi!$D$16:$D$5015,"Keluar",Transaksi!$B$16:$B$5015,"&lt;="&amp;DATE(2025,12,31))-SUMIFS(Transaksi!$F$16:$F$5015,Transaksi!$C$16:$C$5015,$A55,Transaksi!$D$16:$D$5015,"Pindah",Transaksi!$B$16:$B$5015,"&lt;="&amp;DATE(2025,12,31))+SUMIFS(Transaksi!$F$16:$F$5015,Transaksi!$E$16:$E$5015,$A55,Transaksi!$D$16:$D$5015,"Pindah",Transaksi!$B$16:$B$5015,"&lt;="&amp;DATE(2025,12,31))))</f>
        <v/>
      </c>
      <c r="D55" s="106">
        <f>IF(DATE(2026,1,1)&gt;TODAY(),"",(SUMIFS(Akun!$C$5:$C$104,Akun!$A$5:$A$104,$A55,Akun!$D$5:$D$104,"&lt;="&amp;DATE(2026,12,31))+SUMIFS(Transaksi!$F$16:$F$5015,Transaksi!$C$16:$C$5015,$A55,Transaksi!$D$16:$D$5015,"Masuk",Transaksi!$B$16:$B$5015,"&lt;="&amp;DATE(2026,12,31))-SUMIFS(Transaksi!$F$16:$F$5015,Transaksi!$C$16:$C$5015,$A55,Transaksi!$D$16:$D$5015,"Keluar",Transaksi!$B$16:$B$5015,"&lt;="&amp;DATE(2026,12,31))-SUMIFS(Transaksi!$F$16:$F$5015,Transaksi!$C$16:$C$5015,$A55,Transaksi!$D$16:$D$5015,"Pindah",Transaksi!$B$16:$B$5015,"&lt;="&amp;DATE(2026,12,31))+SUMIFS(Transaksi!$F$16:$F$5015,Transaksi!$E$16:$E$5015,$A55,Transaksi!$D$16:$D$5015,"Pindah",Transaksi!$B$16:$B$5015,"&lt;="&amp;DATE(2026,12,31))))</f>
        <v/>
      </c>
      <c r="E55" s="106">
        <f>IF(DATE(2027,1,1)&gt;TODAY(),"",(SUMIFS(Akun!$C$5:$C$104,Akun!$A$5:$A$104,$A55,Akun!$D$5:$D$104,"&lt;="&amp;DATE(2027,12,31))+SUMIFS(Transaksi!$F$16:$F$5015,Transaksi!$C$16:$C$5015,$A55,Transaksi!$D$16:$D$5015,"Masuk",Transaksi!$B$16:$B$5015,"&lt;="&amp;DATE(2027,12,31))-SUMIFS(Transaksi!$F$16:$F$5015,Transaksi!$C$16:$C$5015,$A55,Transaksi!$D$16:$D$5015,"Keluar",Transaksi!$B$16:$B$5015,"&lt;="&amp;DATE(2027,12,31))-SUMIFS(Transaksi!$F$16:$F$5015,Transaksi!$C$16:$C$5015,$A55,Transaksi!$D$16:$D$5015,"Pindah",Transaksi!$B$16:$B$5015,"&lt;="&amp;DATE(2027,12,31))+SUMIFS(Transaksi!$F$16:$F$5015,Transaksi!$E$16:$E$5015,$A55,Transaksi!$D$16:$D$5015,"Pindah",Transaksi!$B$16:$B$5015,"&lt;="&amp;DATE(2027,12,31))))</f>
        <v/>
      </c>
      <c r="F55" s="106">
        <f>IF(DATE(2028,1,1)&gt;TODAY(),"",(SUMIFS(Akun!$C$5:$C$104,Akun!$A$5:$A$104,$A55,Akun!$D$5:$D$104,"&lt;="&amp;DATE(2028,12,31))+SUMIFS(Transaksi!$F$16:$F$5015,Transaksi!$C$16:$C$5015,$A55,Transaksi!$D$16:$D$5015,"Masuk",Transaksi!$B$16:$B$5015,"&lt;="&amp;DATE(2028,12,31))-SUMIFS(Transaksi!$F$16:$F$5015,Transaksi!$C$16:$C$5015,$A55,Transaksi!$D$16:$D$5015,"Keluar",Transaksi!$B$16:$B$5015,"&lt;="&amp;DATE(2028,12,31))-SUMIFS(Transaksi!$F$16:$F$5015,Transaksi!$C$16:$C$5015,$A55,Transaksi!$D$16:$D$5015,"Pindah",Transaksi!$B$16:$B$5015,"&lt;="&amp;DATE(2028,12,31))+SUMIFS(Transaksi!$F$16:$F$5015,Transaksi!$E$16:$E$5015,$A55,Transaksi!$D$16:$D$5015,"Pindah",Transaksi!$B$16:$B$5015,"&lt;="&amp;DATE(2028,12,31))))</f>
        <v/>
      </c>
      <c r="G55" s="106">
        <f>IF(DATE(2029,1,1)&gt;TODAY(),"",(SUMIFS(Akun!$C$5:$C$104,Akun!$A$5:$A$104,$A55,Akun!$D$5:$D$104,"&lt;="&amp;DATE(2029,12,31))+SUMIFS(Transaksi!$F$16:$F$5015,Transaksi!$C$16:$C$5015,$A55,Transaksi!$D$16:$D$5015,"Masuk",Transaksi!$B$16:$B$5015,"&lt;="&amp;DATE(2029,12,31))-SUMIFS(Transaksi!$F$16:$F$5015,Transaksi!$C$16:$C$5015,$A55,Transaksi!$D$16:$D$5015,"Keluar",Transaksi!$B$16:$B$5015,"&lt;="&amp;DATE(2029,12,31))-SUMIFS(Transaksi!$F$16:$F$5015,Transaksi!$C$16:$C$5015,$A55,Transaksi!$D$16:$D$5015,"Pindah",Transaksi!$B$16:$B$5015,"&lt;="&amp;DATE(2029,12,31))+SUMIFS(Transaksi!$F$16:$F$5015,Transaksi!$E$16:$E$5015,$A55,Transaksi!$D$16:$D$5015,"Pindah",Transaksi!$B$16:$B$5015,"&lt;="&amp;DATE(2029,12,31))))</f>
        <v/>
      </c>
      <c r="H55" s="106">
        <f>IF(DATE(2030,1,1)&gt;TODAY(),"",(SUMIFS(Akun!$C$5:$C$104,Akun!$A$5:$A$104,$A55,Akun!$D$5:$D$104,"&lt;="&amp;DATE(2030,12,31))+SUMIFS(Transaksi!$F$16:$F$5015,Transaksi!$C$16:$C$5015,$A55,Transaksi!$D$16:$D$5015,"Masuk",Transaksi!$B$16:$B$5015,"&lt;="&amp;DATE(2030,12,31))-SUMIFS(Transaksi!$F$16:$F$5015,Transaksi!$C$16:$C$5015,$A55,Transaksi!$D$16:$D$5015,"Keluar",Transaksi!$B$16:$B$5015,"&lt;="&amp;DATE(2030,12,31))-SUMIFS(Transaksi!$F$16:$F$5015,Transaksi!$C$16:$C$5015,$A55,Transaksi!$D$16:$D$5015,"Pindah",Transaksi!$B$16:$B$5015,"&lt;="&amp;DATE(2030,12,31))+SUMIFS(Transaksi!$F$16:$F$5015,Transaksi!$E$16:$E$5015,$A55,Transaksi!$D$16:$D$5015,"Pindah",Transaksi!$B$16:$B$5015,"&lt;="&amp;DATE(2030,12,31))))</f>
        <v/>
      </c>
    </row>
    <row r="56" ht="15" customHeight="1" s="94">
      <c r="A56" s="127">
        <f>Akun!A15</f>
        <v/>
      </c>
      <c r="B56" s="106">
        <f>IF(DATE(2024,1,1)&gt;TODAY(),"",(SUMIFS(Akun!$C$5:$C$104,Akun!$A$5:$A$104,$A56,Akun!$D$5:$D$104,"&lt;="&amp;DATE(2024,12,31))+SUMIFS(Transaksi!$F$16:$F$5015,Transaksi!$C$16:$C$5015,$A56,Transaksi!$D$16:$D$5015,"Masuk",Transaksi!$B$16:$B$5015,"&lt;="&amp;DATE(2024,12,31))-SUMIFS(Transaksi!$F$16:$F$5015,Transaksi!$C$16:$C$5015,$A56,Transaksi!$D$16:$D$5015,"Keluar",Transaksi!$B$16:$B$5015,"&lt;="&amp;DATE(2024,12,31))-SUMIFS(Transaksi!$F$16:$F$5015,Transaksi!$C$16:$C$5015,$A56,Transaksi!$D$16:$D$5015,"Pindah",Transaksi!$B$16:$B$5015,"&lt;="&amp;DATE(2024,12,31))+SUMIFS(Transaksi!$F$16:$F$5015,Transaksi!$E$16:$E$5015,$A56,Transaksi!$D$16:$D$5015,"Pindah",Transaksi!$B$16:$B$5015,"&lt;="&amp;DATE(2024,12,31))))</f>
        <v/>
      </c>
      <c r="C56" s="106">
        <f>IF(DATE(2025,1,1)&gt;TODAY(),"",(SUMIFS(Akun!$C$5:$C$104,Akun!$A$5:$A$104,$A56,Akun!$D$5:$D$104,"&lt;="&amp;DATE(2025,12,31))+SUMIFS(Transaksi!$F$16:$F$5015,Transaksi!$C$16:$C$5015,$A56,Transaksi!$D$16:$D$5015,"Masuk",Transaksi!$B$16:$B$5015,"&lt;="&amp;DATE(2025,12,31))-SUMIFS(Transaksi!$F$16:$F$5015,Transaksi!$C$16:$C$5015,$A56,Transaksi!$D$16:$D$5015,"Keluar",Transaksi!$B$16:$B$5015,"&lt;="&amp;DATE(2025,12,31))-SUMIFS(Transaksi!$F$16:$F$5015,Transaksi!$C$16:$C$5015,$A56,Transaksi!$D$16:$D$5015,"Pindah",Transaksi!$B$16:$B$5015,"&lt;="&amp;DATE(2025,12,31))+SUMIFS(Transaksi!$F$16:$F$5015,Transaksi!$E$16:$E$5015,$A56,Transaksi!$D$16:$D$5015,"Pindah",Transaksi!$B$16:$B$5015,"&lt;="&amp;DATE(2025,12,31))))</f>
        <v/>
      </c>
      <c r="D56" s="106">
        <f>IF(DATE(2026,1,1)&gt;TODAY(),"",(SUMIFS(Akun!$C$5:$C$104,Akun!$A$5:$A$104,$A56,Akun!$D$5:$D$104,"&lt;="&amp;DATE(2026,12,31))+SUMIFS(Transaksi!$F$16:$F$5015,Transaksi!$C$16:$C$5015,$A56,Transaksi!$D$16:$D$5015,"Masuk",Transaksi!$B$16:$B$5015,"&lt;="&amp;DATE(2026,12,31))-SUMIFS(Transaksi!$F$16:$F$5015,Transaksi!$C$16:$C$5015,$A56,Transaksi!$D$16:$D$5015,"Keluar",Transaksi!$B$16:$B$5015,"&lt;="&amp;DATE(2026,12,31))-SUMIFS(Transaksi!$F$16:$F$5015,Transaksi!$C$16:$C$5015,$A56,Transaksi!$D$16:$D$5015,"Pindah",Transaksi!$B$16:$B$5015,"&lt;="&amp;DATE(2026,12,31))+SUMIFS(Transaksi!$F$16:$F$5015,Transaksi!$E$16:$E$5015,$A56,Transaksi!$D$16:$D$5015,"Pindah",Transaksi!$B$16:$B$5015,"&lt;="&amp;DATE(2026,12,31))))</f>
        <v/>
      </c>
      <c r="E56" s="106">
        <f>IF(DATE(2027,1,1)&gt;TODAY(),"",(SUMIFS(Akun!$C$5:$C$104,Akun!$A$5:$A$104,$A56,Akun!$D$5:$D$104,"&lt;="&amp;DATE(2027,12,31))+SUMIFS(Transaksi!$F$16:$F$5015,Transaksi!$C$16:$C$5015,$A56,Transaksi!$D$16:$D$5015,"Masuk",Transaksi!$B$16:$B$5015,"&lt;="&amp;DATE(2027,12,31))-SUMIFS(Transaksi!$F$16:$F$5015,Transaksi!$C$16:$C$5015,$A56,Transaksi!$D$16:$D$5015,"Keluar",Transaksi!$B$16:$B$5015,"&lt;="&amp;DATE(2027,12,31))-SUMIFS(Transaksi!$F$16:$F$5015,Transaksi!$C$16:$C$5015,$A56,Transaksi!$D$16:$D$5015,"Pindah",Transaksi!$B$16:$B$5015,"&lt;="&amp;DATE(2027,12,31))+SUMIFS(Transaksi!$F$16:$F$5015,Transaksi!$E$16:$E$5015,$A56,Transaksi!$D$16:$D$5015,"Pindah",Transaksi!$B$16:$B$5015,"&lt;="&amp;DATE(2027,12,31))))</f>
        <v/>
      </c>
      <c r="F56" s="106">
        <f>IF(DATE(2028,1,1)&gt;TODAY(),"",(SUMIFS(Akun!$C$5:$C$104,Akun!$A$5:$A$104,$A56,Akun!$D$5:$D$104,"&lt;="&amp;DATE(2028,12,31))+SUMIFS(Transaksi!$F$16:$F$5015,Transaksi!$C$16:$C$5015,$A56,Transaksi!$D$16:$D$5015,"Masuk",Transaksi!$B$16:$B$5015,"&lt;="&amp;DATE(2028,12,31))-SUMIFS(Transaksi!$F$16:$F$5015,Transaksi!$C$16:$C$5015,$A56,Transaksi!$D$16:$D$5015,"Keluar",Transaksi!$B$16:$B$5015,"&lt;="&amp;DATE(2028,12,31))-SUMIFS(Transaksi!$F$16:$F$5015,Transaksi!$C$16:$C$5015,$A56,Transaksi!$D$16:$D$5015,"Pindah",Transaksi!$B$16:$B$5015,"&lt;="&amp;DATE(2028,12,31))+SUMIFS(Transaksi!$F$16:$F$5015,Transaksi!$E$16:$E$5015,$A56,Transaksi!$D$16:$D$5015,"Pindah",Transaksi!$B$16:$B$5015,"&lt;="&amp;DATE(2028,12,31))))</f>
        <v/>
      </c>
      <c r="G56" s="106">
        <f>IF(DATE(2029,1,1)&gt;TODAY(),"",(SUMIFS(Akun!$C$5:$C$104,Akun!$A$5:$A$104,$A56,Akun!$D$5:$D$104,"&lt;="&amp;DATE(2029,12,31))+SUMIFS(Transaksi!$F$16:$F$5015,Transaksi!$C$16:$C$5015,$A56,Transaksi!$D$16:$D$5015,"Masuk",Transaksi!$B$16:$B$5015,"&lt;="&amp;DATE(2029,12,31))-SUMIFS(Transaksi!$F$16:$F$5015,Transaksi!$C$16:$C$5015,$A56,Transaksi!$D$16:$D$5015,"Keluar",Transaksi!$B$16:$B$5015,"&lt;="&amp;DATE(2029,12,31))-SUMIFS(Transaksi!$F$16:$F$5015,Transaksi!$C$16:$C$5015,$A56,Transaksi!$D$16:$D$5015,"Pindah",Transaksi!$B$16:$B$5015,"&lt;="&amp;DATE(2029,12,31))+SUMIFS(Transaksi!$F$16:$F$5015,Transaksi!$E$16:$E$5015,$A56,Transaksi!$D$16:$D$5015,"Pindah",Transaksi!$B$16:$B$5015,"&lt;="&amp;DATE(2029,12,31))))</f>
        <v/>
      </c>
      <c r="H56" s="106">
        <f>IF(DATE(2030,1,1)&gt;TODAY(),"",(SUMIFS(Akun!$C$5:$C$104,Akun!$A$5:$A$104,$A56,Akun!$D$5:$D$104,"&lt;="&amp;DATE(2030,12,31))+SUMIFS(Transaksi!$F$16:$F$5015,Transaksi!$C$16:$C$5015,$A56,Transaksi!$D$16:$D$5015,"Masuk",Transaksi!$B$16:$B$5015,"&lt;="&amp;DATE(2030,12,31))-SUMIFS(Transaksi!$F$16:$F$5015,Transaksi!$C$16:$C$5015,$A56,Transaksi!$D$16:$D$5015,"Keluar",Transaksi!$B$16:$B$5015,"&lt;="&amp;DATE(2030,12,31))-SUMIFS(Transaksi!$F$16:$F$5015,Transaksi!$C$16:$C$5015,$A56,Transaksi!$D$16:$D$5015,"Pindah",Transaksi!$B$16:$B$5015,"&lt;="&amp;DATE(2030,12,31))+SUMIFS(Transaksi!$F$16:$F$5015,Transaksi!$E$16:$E$5015,$A56,Transaksi!$D$16:$D$5015,"Pindah",Transaksi!$B$16:$B$5015,"&lt;="&amp;DATE(2030,12,31))))</f>
        <v/>
      </c>
    </row>
    <row r="57" ht="15" customHeight="1" s="94">
      <c r="A57" s="127">
        <f>Akun!A16</f>
        <v/>
      </c>
      <c r="B57" s="106">
        <f>IF(DATE(2024,1,1)&gt;TODAY(),"",(SUMIFS(Akun!$C$5:$C$104,Akun!$A$5:$A$104,$A57,Akun!$D$5:$D$104,"&lt;="&amp;DATE(2024,12,31))+SUMIFS(Transaksi!$F$16:$F$5015,Transaksi!$C$16:$C$5015,$A57,Transaksi!$D$16:$D$5015,"Masuk",Transaksi!$B$16:$B$5015,"&lt;="&amp;DATE(2024,12,31))-SUMIFS(Transaksi!$F$16:$F$5015,Transaksi!$C$16:$C$5015,$A57,Transaksi!$D$16:$D$5015,"Keluar",Transaksi!$B$16:$B$5015,"&lt;="&amp;DATE(2024,12,31))-SUMIFS(Transaksi!$F$16:$F$5015,Transaksi!$C$16:$C$5015,$A57,Transaksi!$D$16:$D$5015,"Pindah",Transaksi!$B$16:$B$5015,"&lt;="&amp;DATE(2024,12,31))+SUMIFS(Transaksi!$F$16:$F$5015,Transaksi!$E$16:$E$5015,$A57,Transaksi!$D$16:$D$5015,"Pindah",Transaksi!$B$16:$B$5015,"&lt;="&amp;DATE(2024,12,31))))</f>
        <v/>
      </c>
      <c r="C57" s="106">
        <f>IF(DATE(2025,1,1)&gt;TODAY(),"",(SUMIFS(Akun!$C$5:$C$104,Akun!$A$5:$A$104,$A57,Akun!$D$5:$D$104,"&lt;="&amp;DATE(2025,12,31))+SUMIFS(Transaksi!$F$16:$F$5015,Transaksi!$C$16:$C$5015,$A57,Transaksi!$D$16:$D$5015,"Masuk",Transaksi!$B$16:$B$5015,"&lt;="&amp;DATE(2025,12,31))-SUMIFS(Transaksi!$F$16:$F$5015,Transaksi!$C$16:$C$5015,$A57,Transaksi!$D$16:$D$5015,"Keluar",Transaksi!$B$16:$B$5015,"&lt;="&amp;DATE(2025,12,31))-SUMIFS(Transaksi!$F$16:$F$5015,Transaksi!$C$16:$C$5015,$A57,Transaksi!$D$16:$D$5015,"Pindah",Transaksi!$B$16:$B$5015,"&lt;="&amp;DATE(2025,12,31))+SUMIFS(Transaksi!$F$16:$F$5015,Transaksi!$E$16:$E$5015,$A57,Transaksi!$D$16:$D$5015,"Pindah",Transaksi!$B$16:$B$5015,"&lt;="&amp;DATE(2025,12,31))))</f>
        <v/>
      </c>
      <c r="D57" s="106">
        <f>IF(DATE(2026,1,1)&gt;TODAY(),"",(SUMIFS(Akun!$C$5:$C$104,Akun!$A$5:$A$104,$A57,Akun!$D$5:$D$104,"&lt;="&amp;DATE(2026,12,31))+SUMIFS(Transaksi!$F$16:$F$5015,Transaksi!$C$16:$C$5015,$A57,Transaksi!$D$16:$D$5015,"Masuk",Transaksi!$B$16:$B$5015,"&lt;="&amp;DATE(2026,12,31))-SUMIFS(Transaksi!$F$16:$F$5015,Transaksi!$C$16:$C$5015,$A57,Transaksi!$D$16:$D$5015,"Keluar",Transaksi!$B$16:$B$5015,"&lt;="&amp;DATE(2026,12,31))-SUMIFS(Transaksi!$F$16:$F$5015,Transaksi!$C$16:$C$5015,$A57,Transaksi!$D$16:$D$5015,"Pindah",Transaksi!$B$16:$B$5015,"&lt;="&amp;DATE(2026,12,31))+SUMIFS(Transaksi!$F$16:$F$5015,Transaksi!$E$16:$E$5015,$A57,Transaksi!$D$16:$D$5015,"Pindah",Transaksi!$B$16:$B$5015,"&lt;="&amp;DATE(2026,12,31))))</f>
        <v/>
      </c>
      <c r="E57" s="106">
        <f>IF(DATE(2027,1,1)&gt;TODAY(),"",(SUMIFS(Akun!$C$5:$C$104,Akun!$A$5:$A$104,$A57,Akun!$D$5:$D$104,"&lt;="&amp;DATE(2027,12,31))+SUMIFS(Transaksi!$F$16:$F$5015,Transaksi!$C$16:$C$5015,$A57,Transaksi!$D$16:$D$5015,"Masuk",Transaksi!$B$16:$B$5015,"&lt;="&amp;DATE(2027,12,31))-SUMIFS(Transaksi!$F$16:$F$5015,Transaksi!$C$16:$C$5015,$A57,Transaksi!$D$16:$D$5015,"Keluar",Transaksi!$B$16:$B$5015,"&lt;="&amp;DATE(2027,12,31))-SUMIFS(Transaksi!$F$16:$F$5015,Transaksi!$C$16:$C$5015,$A57,Transaksi!$D$16:$D$5015,"Pindah",Transaksi!$B$16:$B$5015,"&lt;="&amp;DATE(2027,12,31))+SUMIFS(Transaksi!$F$16:$F$5015,Transaksi!$E$16:$E$5015,$A57,Transaksi!$D$16:$D$5015,"Pindah",Transaksi!$B$16:$B$5015,"&lt;="&amp;DATE(2027,12,31))))</f>
        <v/>
      </c>
      <c r="F57" s="106">
        <f>IF(DATE(2028,1,1)&gt;TODAY(),"",(SUMIFS(Akun!$C$5:$C$104,Akun!$A$5:$A$104,$A57,Akun!$D$5:$D$104,"&lt;="&amp;DATE(2028,12,31))+SUMIFS(Transaksi!$F$16:$F$5015,Transaksi!$C$16:$C$5015,$A57,Transaksi!$D$16:$D$5015,"Masuk",Transaksi!$B$16:$B$5015,"&lt;="&amp;DATE(2028,12,31))-SUMIFS(Transaksi!$F$16:$F$5015,Transaksi!$C$16:$C$5015,$A57,Transaksi!$D$16:$D$5015,"Keluar",Transaksi!$B$16:$B$5015,"&lt;="&amp;DATE(2028,12,31))-SUMIFS(Transaksi!$F$16:$F$5015,Transaksi!$C$16:$C$5015,$A57,Transaksi!$D$16:$D$5015,"Pindah",Transaksi!$B$16:$B$5015,"&lt;="&amp;DATE(2028,12,31))+SUMIFS(Transaksi!$F$16:$F$5015,Transaksi!$E$16:$E$5015,$A57,Transaksi!$D$16:$D$5015,"Pindah",Transaksi!$B$16:$B$5015,"&lt;="&amp;DATE(2028,12,31))))</f>
        <v/>
      </c>
      <c r="G57" s="106">
        <f>IF(DATE(2029,1,1)&gt;TODAY(),"",(SUMIFS(Akun!$C$5:$C$104,Akun!$A$5:$A$104,$A57,Akun!$D$5:$D$104,"&lt;="&amp;DATE(2029,12,31))+SUMIFS(Transaksi!$F$16:$F$5015,Transaksi!$C$16:$C$5015,$A57,Transaksi!$D$16:$D$5015,"Masuk",Transaksi!$B$16:$B$5015,"&lt;="&amp;DATE(2029,12,31))-SUMIFS(Transaksi!$F$16:$F$5015,Transaksi!$C$16:$C$5015,$A57,Transaksi!$D$16:$D$5015,"Keluar",Transaksi!$B$16:$B$5015,"&lt;="&amp;DATE(2029,12,31))-SUMIFS(Transaksi!$F$16:$F$5015,Transaksi!$C$16:$C$5015,$A57,Transaksi!$D$16:$D$5015,"Pindah",Transaksi!$B$16:$B$5015,"&lt;="&amp;DATE(2029,12,31))+SUMIFS(Transaksi!$F$16:$F$5015,Transaksi!$E$16:$E$5015,$A57,Transaksi!$D$16:$D$5015,"Pindah",Transaksi!$B$16:$B$5015,"&lt;="&amp;DATE(2029,12,31))))</f>
        <v/>
      </c>
      <c r="H57" s="106">
        <f>IF(DATE(2030,1,1)&gt;TODAY(),"",(SUMIFS(Akun!$C$5:$C$104,Akun!$A$5:$A$104,$A57,Akun!$D$5:$D$104,"&lt;="&amp;DATE(2030,12,31))+SUMIFS(Transaksi!$F$16:$F$5015,Transaksi!$C$16:$C$5015,$A57,Transaksi!$D$16:$D$5015,"Masuk",Transaksi!$B$16:$B$5015,"&lt;="&amp;DATE(2030,12,31))-SUMIFS(Transaksi!$F$16:$F$5015,Transaksi!$C$16:$C$5015,$A57,Transaksi!$D$16:$D$5015,"Keluar",Transaksi!$B$16:$B$5015,"&lt;="&amp;DATE(2030,12,31))-SUMIFS(Transaksi!$F$16:$F$5015,Transaksi!$C$16:$C$5015,$A57,Transaksi!$D$16:$D$5015,"Pindah",Transaksi!$B$16:$B$5015,"&lt;="&amp;DATE(2030,12,31))+SUMIFS(Transaksi!$F$16:$F$5015,Transaksi!$E$16:$E$5015,$A57,Transaksi!$D$16:$D$5015,"Pindah",Transaksi!$B$16:$B$5015,"&lt;="&amp;DATE(2030,12,31))))</f>
        <v/>
      </c>
    </row>
    <row r="58" ht="15" customHeight="1" s="94">
      <c r="A58" s="127">
        <f>Akun!A17</f>
        <v/>
      </c>
      <c r="B58" s="106">
        <f>IF(DATE(2024,1,1)&gt;TODAY(),"",(SUMIFS(Akun!$C$5:$C$104,Akun!$A$5:$A$104,$A58,Akun!$D$5:$D$104,"&lt;="&amp;DATE(2024,12,31))+SUMIFS(Transaksi!$F$16:$F$5015,Transaksi!$C$16:$C$5015,$A58,Transaksi!$D$16:$D$5015,"Masuk",Transaksi!$B$16:$B$5015,"&lt;="&amp;DATE(2024,12,31))-SUMIFS(Transaksi!$F$16:$F$5015,Transaksi!$C$16:$C$5015,$A58,Transaksi!$D$16:$D$5015,"Keluar",Transaksi!$B$16:$B$5015,"&lt;="&amp;DATE(2024,12,31))-SUMIFS(Transaksi!$F$16:$F$5015,Transaksi!$C$16:$C$5015,$A58,Transaksi!$D$16:$D$5015,"Pindah",Transaksi!$B$16:$B$5015,"&lt;="&amp;DATE(2024,12,31))+SUMIFS(Transaksi!$F$16:$F$5015,Transaksi!$E$16:$E$5015,$A58,Transaksi!$D$16:$D$5015,"Pindah",Transaksi!$B$16:$B$5015,"&lt;="&amp;DATE(2024,12,31))))</f>
        <v/>
      </c>
      <c r="C58" s="106">
        <f>IF(DATE(2025,1,1)&gt;TODAY(),"",(SUMIFS(Akun!$C$5:$C$104,Akun!$A$5:$A$104,$A58,Akun!$D$5:$D$104,"&lt;="&amp;DATE(2025,12,31))+SUMIFS(Transaksi!$F$16:$F$5015,Transaksi!$C$16:$C$5015,$A58,Transaksi!$D$16:$D$5015,"Masuk",Transaksi!$B$16:$B$5015,"&lt;="&amp;DATE(2025,12,31))-SUMIFS(Transaksi!$F$16:$F$5015,Transaksi!$C$16:$C$5015,$A58,Transaksi!$D$16:$D$5015,"Keluar",Transaksi!$B$16:$B$5015,"&lt;="&amp;DATE(2025,12,31))-SUMIFS(Transaksi!$F$16:$F$5015,Transaksi!$C$16:$C$5015,$A58,Transaksi!$D$16:$D$5015,"Pindah",Transaksi!$B$16:$B$5015,"&lt;="&amp;DATE(2025,12,31))+SUMIFS(Transaksi!$F$16:$F$5015,Transaksi!$E$16:$E$5015,$A58,Transaksi!$D$16:$D$5015,"Pindah",Transaksi!$B$16:$B$5015,"&lt;="&amp;DATE(2025,12,31))))</f>
        <v/>
      </c>
      <c r="D58" s="106">
        <f>IF(DATE(2026,1,1)&gt;TODAY(),"",(SUMIFS(Akun!$C$5:$C$104,Akun!$A$5:$A$104,$A58,Akun!$D$5:$D$104,"&lt;="&amp;DATE(2026,12,31))+SUMIFS(Transaksi!$F$16:$F$5015,Transaksi!$C$16:$C$5015,$A58,Transaksi!$D$16:$D$5015,"Masuk",Transaksi!$B$16:$B$5015,"&lt;="&amp;DATE(2026,12,31))-SUMIFS(Transaksi!$F$16:$F$5015,Transaksi!$C$16:$C$5015,$A58,Transaksi!$D$16:$D$5015,"Keluar",Transaksi!$B$16:$B$5015,"&lt;="&amp;DATE(2026,12,31))-SUMIFS(Transaksi!$F$16:$F$5015,Transaksi!$C$16:$C$5015,$A58,Transaksi!$D$16:$D$5015,"Pindah",Transaksi!$B$16:$B$5015,"&lt;="&amp;DATE(2026,12,31))+SUMIFS(Transaksi!$F$16:$F$5015,Transaksi!$E$16:$E$5015,$A58,Transaksi!$D$16:$D$5015,"Pindah",Transaksi!$B$16:$B$5015,"&lt;="&amp;DATE(2026,12,31))))</f>
        <v/>
      </c>
      <c r="E58" s="106">
        <f>IF(DATE(2027,1,1)&gt;TODAY(),"",(SUMIFS(Akun!$C$5:$C$104,Akun!$A$5:$A$104,$A58,Akun!$D$5:$D$104,"&lt;="&amp;DATE(2027,12,31))+SUMIFS(Transaksi!$F$16:$F$5015,Transaksi!$C$16:$C$5015,$A58,Transaksi!$D$16:$D$5015,"Masuk",Transaksi!$B$16:$B$5015,"&lt;="&amp;DATE(2027,12,31))-SUMIFS(Transaksi!$F$16:$F$5015,Transaksi!$C$16:$C$5015,$A58,Transaksi!$D$16:$D$5015,"Keluar",Transaksi!$B$16:$B$5015,"&lt;="&amp;DATE(2027,12,31))-SUMIFS(Transaksi!$F$16:$F$5015,Transaksi!$C$16:$C$5015,$A58,Transaksi!$D$16:$D$5015,"Pindah",Transaksi!$B$16:$B$5015,"&lt;="&amp;DATE(2027,12,31))+SUMIFS(Transaksi!$F$16:$F$5015,Transaksi!$E$16:$E$5015,$A58,Transaksi!$D$16:$D$5015,"Pindah",Transaksi!$B$16:$B$5015,"&lt;="&amp;DATE(2027,12,31))))</f>
        <v/>
      </c>
      <c r="F58" s="106">
        <f>IF(DATE(2028,1,1)&gt;TODAY(),"",(SUMIFS(Akun!$C$5:$C$104,Akun!$A$5:$A$104,$A58,Akun!$D$5:$D$104,"&lt;="&amp;DATE(2028,12,31))+SUMIFS(Transaksi!$F$16:$F$5015,Transaksi!$C$16:$C$5015,$A58,Transaksi!$D$16:$D$5015,"Masuk",Transaksi!$B$16:$B$5015,"&lt;="&amp;DATE(2028,12,31))-SUMIFS(Transaksi!$F$16:$F$5015,Transaksi!$C$16:$C$5015,$A58,Transaksi!$D$16:$D$5015,"Keluar",Transaksi!$B$16:$B$5015,"&lt;="&amp;DATE(2028,12,31))-SUMIFS(Transaksi!$F$16:$F$5015,Transaksi!$C$16:$C$5015,$A58,Transaksi!$D$16:$D$5015,"Pindah",Transaksi!$B$16:$B$5015,"&lt;="&amp;DATE(2028,12,31))+SUMIFS(Transaksi!$F$16:$F$5015,Transaksi!$E$16:$E$5015,$A58,Transaksi!$D$16:$D$5015,"Pindah",Transaksi!$B$16:$B$5015,"&lt;="&amp;DATE(2028,12,31))))</f>
        <v/>
      </c>
      <c r="G58" s="106">
        <f>IF(DATE(2029,1,1)&gt;TODAY(),"",(SUMIFS(Akun!$C$5:$C$104,Akun!$A$5:$A$104,$A58,Akun!$D$5:$D$104,"&lt;="&amp;DATE(2029,12,31))+SUMIFS(Transaksi!$F$16:$F$5015,Transaksi!$C$16:$C$5015,$A58,Transaksi!$D$16:$D$5015,"Masuk",Transaksi!$B$16:$B$5015,"&lt;="&amp;DATE(2029,12,31))-SUMIFS(Transaksi!$F$16:$F$5015,Transaksi!$C$16:$C$5015,$A58,Transaksi!$D$16:$D$5015,"Keluar",Transaksi!$B$16:$B$5015,"&lt;="&amp;DATE(2029,12,31))-SUMIFS(Transaksi!$F$16:$F$5015,Transaksi!$C$16:$C$5015,$A58,Transaksi!$D$16:$D$5015,"Pindah",Transaksi!$B$16:$B$5015,"&lt;="&amp;DATE(2029,12,31))+SUMIFS(Transaksi!$F$16:$F$5015,Transaksi!$E$16:$E$5015,$A58,Transaksi!$D$16:$D$5015,"Pindah",Transaksi!$B$16:$B$5015,"&lt;="&amp;DATE(2029,12,31))))</f>
        <v/>
      </c>
      <c r="H58" s="106">
        <f>IF(DATE(2030,1,1)&gt;TODAY(),"",(SUMIFS(Akun!$C$5:$C$104,Akun!$A$5:$A$104,$A58,Akun!$D$5:$D$104,"&lt;="&amp;DATE(2030,12,31))+SUMIFS(Transaksi!$F$16:$F$5015,Transaksi!$C$16:$C$5015,$A58,Transaksi!$D$16:$D$5015,"Masuk",Transaksi!$B$16:$B$5015,"&lt;="&amp;DATE(2030,12,31))-SUMIFS(Transaksi!$F$16:$F$5015,Transaksi!$C$16:$C$5015,$A58,Transaksi!$D$16:$D$5015,"Keluar",Transaksi!$B$16:$B$5015,"&lt;="&amp;DATE(2030,12,31))-SUMIFS(Transaksi!$F$16:$F$5015,Transaksi!$C$16:$C$5015,$A58,Transaksi!$D$16:$D$5015,"Pindah",Transaksi!$B$16:$B$5015,"&lt;="&amp;DATE(2030,12,31))+SUMIFS(Transaksi!$F$16:$F$5015,Transaksi!$E$16:$E$5015,$A58,Transaksi!$D$16:$D$5015,"Pindah",Transaksi!$B$16:$B$5015,"&lt;="&amp;DATE(2030,12,31))))</f>
        <v/>
      </c>
    </row>
    <row r="59" ht="15" customHeight="1" s="94">
      <c r="A59" s="127">
        <f>Akun!A18</f>
        <v/>
      </c>
      <c r="B59" s="106">
        <f>IF(DATE(2024,1,1)&gt;TODAY(),"",(SUMIFS(Akun!$C$5:$C$104,Akun!$A$5:$A$104,$A59,Akun!$D$5:$D$104,"&lt;="&amp;DATE(2024,12,31))+SUMIFS(Transaksi!$F$16:$F$5015,Transaksi!$C$16:$C$5015,$A59,Transaksi!$D$16:$D$5015,"Masuk",Transaksi!$B$16:$B$5015,"&lt;="&amp;DATE(2024,12,31))-SUMIFS(Transaksi!$F$16:$F$5015,Transaksi!$C$16:$C$5015,$A59,Transaksi!$D$16:$D$5015,"Keluar",Transaksi!$B$16:$B$5015,"&lt;="&amp;DATE(2024,12,31))-SUMIFS(Transaksi!$F$16:$F$5015,Transaksi!$C$16:$C$5015,$A59,Transaksi!$D$16:$D$5015,"Pindah",Transaksi!$B$16:$B$5015,"&lt;="&amp;DATE(2024,12,31))+SUMIFS(Transaksi!$F$16:$F$5015,Transaksi!$E$16:$E$5015,$A59,Transaksi!$D$16:$D$5015,"Pindah",Transaksi!$B$16:$B$5015,"&lt;="&amp;DATE(2024,12,31))))</f>
        <v/>
      </c>
      <c r="C59" s="106">
        <f>IF(DATE(2025,1,1)&gt;TODAY(),"",(SUMIFS(Akun!$C$5:$C$104,Akun!$A$5:$A$104,$A59,Akun!$D$5:$D$104,"&lt;="&amp;DATE(2025,12,31))+SUMIFS(Transaksi!$F$16:$F$5015,Transaksi!$C$16:$C$5015,$A59,Transaksi!$D$16:$D$5015,"Masuk",Transaksi!$B$16:$B$5015,"&lt;="&amp;DATE(2025,12,31))-SUMIFS(Transaksi!$F$16:$F$5015,Transaksi!$C$16:$C$5015,$A59,Transaksi!$D$16:$D$5015,"Keluar",Transaksi!$B$16:$B$5015,"&lt;="&amp;DATE(2025,12,31))-SUMIFS(Transaksi!$F$16:$F$5015,Transaksi!$C$16:$C$5015,$A59,Transaksi!$D$16:$D$5015,"Pindah",Transaksi!$B$16:$B$5015,"&lt;="&amp;DATE(2025,12,31))+SUMIFS(Transaksi!$F$16:$F$5015,Transaksi!$E$16:$E$5015,$A59,Transaksi!$D$16:$D$5015,"Pindah",Transaksi!$B$16:$B$5015,"&lt;="&amp;DATE(2025,12,31))))</f>
        <v/>
      </c>
      <c r="D59" s="106">
        <f>IF(DATE(2026,1,1)&gt;TODAY(),"",(SUMIFS(Akun!$C$5:$C$104,Akun!$A$5:$A$104,$A59,Akun!$D$5:$D$104,"&lt;="&amp;DATE(2026,12,31))+SUMIFS(Transaksi!$F$16:$F$5015,Transaksi!$C$16:$C$5015,$A59,Transaksi!$D$16:$D$5015,"Masuk",Transaksi!$B$16:$B$5015,"&lt;="&amp;DATE(2026,12,31))-SUMIFS(Transaksi!$F$16:$F$5015,Transaksi!$C$16:$C$5015,$A59,Transaksi!$D$16:$D$5015,"Keluar",Transaksi!$B$16:$B$5015,"&lt;="&amp;DATE(2026,12,31))-SUMIFS(Transaksi!$F$16:$F$5015,Transaksi!$C$16:$C$5015,$A59,Transaksi!$D$16:$D$5015,"Pindah",Transaksi!$B$16:$B$5015,"&lt;="&amp;DATE(2026,12,31))+SUMIFS(Transaksi!$F$16:$F$5015,Transaksi!$E$16:$E$5015,$A59,Transaksi!$D$16:$D$5015,"Pindah",Transaksi!$B$16:$B$5015,"&lt;="&amp;DATE(2026,12,31))))</f>
        <v/>
      </c>
      <c r="E59" s="106">
        <f>IF(DATE(2027,1,1)&gt;TODAY(),"",(SUMIFS(Akun!$C$5:$C$104,Akun!$A$5:$A$104,$A59,Akun!$D$5:$D$104,"&lt;="&amp;DATE(2027,12,31))+SUMIFS(Transaksi!$F$16:$F$5015,Transaksi!$C$16:$C$5015,$A59,Transaksi!$D$16:$D$5015,"Masuk",Transaksi!$B$16:$B$5015,"&lt;="&amp;DATE(2027,12,31))-SUMIFS(Transaksi!$F$16:$F$5015,Transaksi!$C$16:$C$5015,$A59,Transaksi!$D$16:$D$5015,"Keluar",Transaksi!$B$16:$B$5015,"&lt;="&amp;DATE(2027,12,31))-SUMIFS(Transaksi!$F$16:$F$5015,Transaksi!$C$16:$C$5015,$A59,Transaksi!$D$16:$D$5015,"Pindah",Transaksi!$B$16:$B$5015,"&lt;="&amp;DATE(2027,12,31))+SUMIFS(Transaksi!$F$16:$F$5015,Transaksi!$E$16:$E$5015,$A59,Transaksi!$D$16:$D$5015,"Pindah",Transaksi!$B$16:$B$5015,"&lt;="&amp;DATE(2027,12,31))))</f>
        <v/>
      </c>
      <c r="F59" s="106">
        <f>IF(DATE(2028,1,1)&gt;TODAY(),"",(SUMIFS(Akun!$C$5:$C$104,Akun!$A$5:$A$104,$A59,Akun!$D$5:$D$104,"&lt;="&amp;DATE(2028,12,31))+SUMIFS(Transaksi!$F$16:$F$5015,Transaksi!$C$16:$C$5015,$A59,Transaksi!$D$16:$D$5015,"Masuk",Transaksi!$B$16:$B$5015,"&lt;="&amp;DATE(2028,12,31))-SUMIFS(Transaksi!$F$16:$F$5015,Transaksi!$C$16:$C$5015,$A59,Transaksi!$D$16:$D$5015,"Keluar",Transaksi!$B$16:$B$5015,"&lt;="&amp;DATE(2028,12,31))-SUMIFS(Transaksi!$F$16:$F$5015,Transaksi!$C$16:$C$5015,$A59,Transaksi!$D$16:$D$5015,"Pindah",Transaksi!$B$16:$B$5015,"&lt;="&amp;DATE(2028,12,31))+SUMIFS(Transaksi!$F$16:$F$5015,Transaksi!$E$16:$E$5015,$A59,Transaksi!$D$16:$D$5015,"Pindah",Transaksi!$B$16:$B$5015,"&lt;="&amp;DATE(2028,12,31))))</f>
        <v/>
      </c>
      <c r="G59" s="106">
        <f>IF(DATE(2029,1,1)&gt;TODAY(),"",(SUMIFS(Akun!$C$5:$C$104,Akun!$A$5:$A$104,$A59,Akun!$D$5:$D$104,"&lt;="&amp;DATE(2029,12,31))+SUMIFS(Transaksi!$F$16:$F$5015,Transaksi!$C$16:$C$5015,$A59,Transaksi!$D$16:$D$5015,"Masuk",Transaksi!$B$16:$B$5015,"&lt;="&amp;DATE(2029,12,31))-SUMIFS(Transaksi!$F$16:$F$5015,Transaksi!$C$16:$C$5015,$A59,Transaksi!$D$16:$D$5015,"Keluar",Transaksi!$B$16:$B$5015,"&lt;="&amp;DATE(2029,12,31))-SUMIFS(Transaksi!$F$16:$F$5015,Transaksi!$C$16:$C$5015,$A59,Transaksi!$D$16:$D$5015,"Pindah",Transaksi!$B$16:$B$5015,"&lt;="&amp;DATE(2029,12,31))+SUMIFS(Transaksi!$F$16:$F$5015,Transaksi!$E$16:$E$5015,$A59,Transaksi!$D$16:$D$5015,"Pindah",Transaksi!$B$16:$B$5015,"&lt;="&amp;DATE(2029,12,31))))</f>
        <v/>
      </c>
      <c r="H59" s="106">
        <f>IF(DATE(2030,1,1)&gt;TODAY(),"",(SUMIFS(Akun!$C$5:$C$104,Akun!$A$5:$A$104,$A59,Akun!$D$5:$D$104,"&lt;="&amp;DATE(2030,12,31))+SUMIFS(Transaksi!$F$16:$F$5015,Transaksi!$C$16:$C$5015,$A59,Transaksi!$D$16:$D$5015,"Masuk",Transaksi!$B$16:$B$5015,"&lt;="&amp;DATE(2030,12,31))-SUMIFS(Transaksi!$F$16:$F$5015,Transaksi!$C$16:$C$5015,$A59,Transaksi!$D$16:$D$5015,"Keluar",Transaksi!$B$16:$B$5015,"&lt;="&amp;DATE(2030,12,31))-SUMIFS(Transaksi!$F$16:$F$5015,Transaksi!$C$16:$C$5015,$A59,Transaksi!$D$16:$D$5015,"Pindah",Transaksi!$B$16:$B$5015,"&lt;="&amp;DATE(2030,12,31))+SUMIFS(Transaksi!$F$16:$F$5015,Transaksi!$E$16:$E$5015,$A59,Transaksi!$D$16:$D$5015,"Pindah",Transaksi!$B$16:$B$5015,"&lt;="&amp;DATE(2030,12,31))))</f>
        <v/>
      </c>
    </row>
    <row r="60" ht="15" customHeight="1" s="94">
      <c r="A60" s="127">
        <f>Akun!A19</f>
        <v/>
      </c>
      <c r="B60" s="106">
        <f>IF(DATE(2024,1,1)&gt;TODAY(),"",(SUMIFS(Akun!$C$5:$C$104,Akun!$A$5:$A$104,$A60,Akun!$D$5:$D$104,"&lt;="&amp;DATE(2024,12,31))+SUMIFS(Transaksi!$F$16:$F$5015,Transaksi!$C$16:$C$5015,$A60,Transaksi!$D$16:$D$5015,"Masuk",Transaksi!$B$16:$B$5015,"&lt;="&amp;DATE(2024,12,31))-SUMIFS(Transaksi!$F$16:$F$5015,Transaksi!$C$16:$C$5015,$A60,Transaksi!$D$16:$D$5015,"Keluar",Transaksi!$B$16:$B$5015,"&lt;="&amp;DATE(2024,12,31))-SUMIFS(Transaksi!$F$16:$F$5015,Transaksi!$C$16:$C$5015,$A60,Transaksi!$D$16:$D$5015,"Pindah",Transaksi!$B$16:$B$5015,"&lt;="&amp;DATE(2024,12,31))+SUMIFS(Transaksi!$F$16:$F$5015,Transaksi!$E$16:$E$5015,$A60,Transaksi!$D$16:$D$5015,"Pindah",Transaksi!$B$16:$B$5015,"&lt;="&amp;DATE(2024,12,31))))</f>
        <v/>
      </c>
      <c r="C60" s="106">
        <f>IF(DATE(2025,1,1)&gt;TODAY(),"",(SUMIFS(Akun!$C$5:$C$104,Akun!$A$5:$A$104,$A60,Akun!$D$5:$D$104,"&lt;="&amp;DATE(2025,12,31))+SUMIFS(Transaksi!$F$16:$F$5015,Transaksi!$C$16:$C$5015,$A60,Transaksi!$D$16:$D$5015,"Masuk",Transaksi!$B$16:$B$5015,"&lt;="&amp;DATE(2025,12,31))-SUMIFS(Transaksi!$F$16:$F$5015,Transaksi!$C$16:$C$5015,$A60,Transaksi!$D$16:$D$5015,"Keluar",Transaksi!$B$16:$B$5015,"&lt;="&amp;DATE(2025,12,31))-SUMIFS(Transaksi!$F$16:$F$5015,Transaksi!$C$16:$C$5015,$A60,Transaksi!$D$16:$D$5015,"Pindah",Transaksi!$B$16:$B$5015,"&lt;="&amp;DATE(2025,12,31))+SUMIFS(Transaksi!$F$16:$F$5015,Transaksi!$E$16:$E$5015,$A60,Transaksi!$D$16:$D$5015,"Pindah",Transaksi!$B$16:$B$5015,"&lt;="&amp;DATE(2025,12,31))))</f>
        <v/>
      </c>
      <c r="D60" s="106">
        <f>IF(DATE(2026,1,1)&gt;TODAY(),"",(SUMIFS(Akun!$C$5:$C$104,Akun!$A$5:$A$104,$A60,Akun!$D$5:$D$104,"&lt;="&amp;DATE(2026,12,31))+SUMIFS(Transaksi!$F$16:$F$5015,Transaksi!$C$16:$C$5015,$A60,Transaksi!$D$16:$D$5015,"Masuk",Transaksi!$B$16:$B$5015,"&lt;="&amp;DATE(2026,12,31))-SUMIFS(Transaksi!$F$16:$F$5015,Transaksi!$C$16:$C$5015,$A60,Transaksi!$D$16:$D$5015,"Keluar",Transaksi!$B$16:$B$5015,"&lt;="&amp;DATE(2026,12,31))-SUMIFS(Transaksi!$F$16:$F$5015,Transaksi!$C$16:$C$5015,$A60,Transaksi!$D$16:$D$5015,"Pindah",Transaksi!$B$16:$B$5015,"&lt;="&amp;DATE(2026,12,31))+SUMIFS(Transaksi!$F$16:$F$5015,Transaksi!$E$16:$E$5015,$A60,Transaksi!$D$16:$D$5015,"Pindah",Transaksi!$B$16:$B$5015,"&lt;="&amp;DATE(2026,12,31))))</f>
        <v/>
      </c>
      <c r="E60" s="106">
        <f>IF(DATE(2027,1,1)&gt;TODAY(),"",(SUMIFS(Akun!$C$5:$C$104,Akun!$A$5:$A$104,$A60,Akun!$D$5:$D$104,"&lt;="&amp;DATE(2027,12,31))+SUMIFS(Transaksi!$F$16:$F$5015,Transaksi!$C$16:$C$5015,$A60,Transaksi!$D$16:$D$5015,"Masuk",Transaksi!$B$16:$B$5015,"&lt;="&amp;DATE(2027,12,31))-SUMIFS(Transaksi!$F$16:$F$5015,Transaksi!$C$16:$C$5015,$A60,Transaksi!$D$16:$D$5015,"Keluar",Transaksi!$B$16:$B$5015,"&lt;="&amp;DATE(2027,12,31))-SUMIFS(Transaksi!$F$16:$F$5015,Transaksi!$C$16:$C$5015,$A60,Transaksi!$D$16:$D$5015,"Pindah",Transaksi!$B$16:$B$5015,"&lt;="&amp;DATE(2027,12,31))+SUMIFS(Transaksi!$F$16:$F$5015,Transaksi!$E$16:$E$5015,$A60,Transaksi!$D$16:$D$5015,"Pindah",Transaksi!$B$16:$B$5015,"&lt;="&amp;DATE(2027,12,31))))</f>
        <v/>
      </c>
      <c r="F60" s="106">
        <f>IF(DATE(2028,1,1)&gt;TODAY(),"",(SUMIFS(Akun!$C$5:$C$104,Akun!$A$5:$A$104,$A60,Akun!$D$5:$D$104,"&lt;="&amp;DATE(2028,12,31))+SUMIFS(Transaksi!$F$16:$F$5015,Transaksi!$C$16:$C$5015,$A60,Transaksi!$D$16:$D$5015,"Masuk",Transaksi!$B$16:$B$5015,"&lt;="&amp;DATE(2028,12,31))-SUMIFS(Transaksi!$F$16:$F$5015,Transaksi!$C$16:$C$5015,$A60,Transaksi!$D$16:$D$5015,"Keluar",Transaksi!$B$16:$B$5015,"&lt;="&amp;DATE(2028,12,31))-SUMIFS(Transaksi!$F$16:$F$5015,Transaksi!$C$16:$C$5015,$A60,Transaksi!$D$16:$D$5015,"Pindah",Transaksi!$B$16:$B$5015,"&lt;="&amp;DATE(2028,12,31))+SUMIFS(Transaksi!$F$16:$F$5015,Transaksi!$E$16:$E$5015,$A60,Transaksi!$D$16:$D$5015,"Pindah",Transaksi!$B$16:$B$5015,"&lt;="&amp;DATE(2028,12,31))))</f>
        <v/>
      </c>
      <c r="G60" s="106">
        <f>IF(DATE(2029,1,1)&gt;TODAY(),"",(SUMIFS(Akun!$C$5:$C$104,Akun!$A$5:$A$104,$A60,Akun!$D$5:$D$104,"&lt;="&amp;DATE(2029,12,31))+SUMIFS(Transaksi!$F$16:$F$5015,Transaksi!$C$16:$C$5015,$A60,Transaksi!$D$16:$D$5015,"Masuk",Transaksi!$B$16:$B$5015,"&lt;="&amp;DATE(2029,12,31))-SUMIFS(Transaksi!$F$16:$F$5015,Transaksi!$C$16:$C$5015,$A60,Transaksi!$D$16:$D$5015,"Keluar",Transaksi!$B$16:$B$5015,"&lt;="&amp;DATE(2029,12,31))-SUMIFS(Transaksi!$F$16:$F$5015,Transaksi!$C$16:$C$5015,$A60,Transaksi!$D$16:$D$5015,"Pindah",Transaksi!$B$16:$B$5015,"&lt;="&amp;DATE(2029,12,31))+SUMIFS(Transaksi!$F$16:$F$5015,Transaksi!$E$16:$E$5015,$A60,Transaksi!$D$16:$D$5015,"Pindah",Transaksi!$B$16:$B$5015,"&lt;="&amp;DATE(2029,12,31))))</f>
        <v/>
      </c>
      <c r="H60" s="106">
        <f>IF(DATE(2030,1,1)&gt;TODAY(),"",(SUMIFS(Akun!$C$5:$C$104,Akun!$A$5:$A$104,$A60,Akun!$D$5:$D$104,"&lt;="&amp;DATE(2030,12,31))+SUMIFS(Transaksi!$F$16:$F$5015,Transaksi!$C$16:$C$5015,$A60,Transaksi!$D$16:$D$5015,"Masuk",Transaksi!$B$16:$B$5015,"&lt;="&amp;DATE(2030,12,31))-SUMIFS(Transaksi!$F$16:$F$5015,Transaksi!$C$16:$C$5015,$A60,Transaksi!$D$16:$D$5015,"Keluar",Transaksi!$B$16:$B$5015,"&lt;="&amp;DATE(2030,12,31))-SUMIFS(Transaksi!$F$16:$F$5015,Transaksi!$C$16:$C$5015,$A60,Transaksi!$D$16:$D$5015,"Pindah",Transaksi!$B$16:$B$5015,"&lt;="&amp;DATE(2030,12,31))+SUMIFS(Transaksi!$F$16:$F$5015,Transaksi!$E$16:$E$5015,$A60,Transaksi!$D$16:$D$5015,"Pindah",Transaksi!$B$16:$B$5015,"&lt;="&amp;DATE(2030,12,31))))</f>
        <v/>
      </c>
    </row>
    <row r="61" ht="15" customHeight="1" s="94">
      <c r="A61" s="127">
        <f>Akun!A20</f>
        <v/>
      </c>
      <c r="B61" s="106">
        <f>IF(DATE(2024,1,1)&gt;TODAY(),"",(SUMIFS(Akun!$C$5:$C$104,Akun!$A$5:$A$104,$A61,Akun!$D$5:$D$104,"&lt;="&amp;DATE(2024,12,31))+SUMIFS(Transaksi!$F$16:$F$5015,Transaksi!$C$16:$C$5015,$A61,Transaksi!$D$16:$D$5015,"Masuk",Transaksi!$B$16:$B$5015,"&lt;="&amp;DATE(2024,12,31))-SUMIFS(Transaksi!$F$16:$F$5015,Transaksi!$C$16:$C$5015,$A61,Transaksi!$D$16:$D$5015,"Keluar",Transaksi!$B$16:$B$5015,"&lt;="&amp;DATE(2024,12,31))-SUMIFS(Transaksi!$F$16:$F$5015,Transaksi!$C$16:$C$5015,$A61,Transaksi!$D$16:$D$5015,"Pindah",Transaksi!$B$16:$B$5015,"&lt;="&amp;DATE(2024,12,31))+SUMIFS(Transaksi!$F$16:$F$5015,Transaksi!$E$16:$E$5015,$A61,Transaksi!$D$16:$D$5015,"Pindah",Transaksi!$B$16:$B$5015,"&lt;="&amp;DATE(2024,12,31))))</f>
        <v/>
      </c>
      <c r="C61" s="106">
        <f>IF(DATE(2025,1,1)&gt;TODAY(),"",(SUMIFS(Akun!$C$5:$C$104,Akun!$A$5:$A$104,$A61,Akun!$D$5:$D$104,"&lt;="&amp;DATE(2025,12,31))+SUMIFS(Transaksi!$F$16:$F$5015,Transaksi!$C$16:$C$5015,$A61,Transaksi!$D$16:$D$5015,"Masuk",Transaksi!$B$16:$B$5015,"&lt;="&amp;DATE(2025,12,31))-SUMIFS(Transaksi!$F$16:$F$5015,Transaksi!$C$16:$C$5015,$A61,Transaksi!$D$16:$D$5015,"Keluar",Transaksi!$B$16:$B$5015,"&lt;="&amp;DATE(2025,12,31))-SUMIFS(Transaksi!$F$16:$F$5015,Transaksi!$C$16:$C$5015,$A61,Transaksi!$D$16:$D$5015,"Pindah",Transaksi!$B$16:$B$5015,"&lt;="&amp;DATE(2025,12,31))+SUMIFS(Transaksi!$F$16:$F$5015,Transaksi!$E$16:$E$5015,$A61,Transaksi!$D$16:$D$5015,"Pindah",Transaksi!$B$16:$B$5015,"&lt;="&amp;DATE(2025,12,31))))</f>
        <v/>
      </c>
      <c r="D61" s="106">
        <f>IF(DATE(2026,1,1)&gt;TODAY(),"",(SUMIFS(Akun!$C$5:$C$104,Akun!$A$5:$A$104,$A61,Akun!$D$5:$D$104,"&lt;="&amp;DATE(2026,12,31))+SUMIFS(Transaksi!$F$16:$F$5015,Transaksi!$C$16:$C$5015,$A61,Transaksi!$D$16:$D$5015,"Masuk",Transaksi!$B$16:$B$5015,"&lt;="&amp;DATE(2026,12,31))-SUMIFS(Transaksi!$F$16:$F$5015,Transaksi!$C$16:$C$5015,$A61,Transaksi!$D$16:$D$5015,"Keluar",Transaksi!$B$16:$B$5015,"&lt;="&amp;DATE(2026,12,31))-SUMIFS(Transaksi!$F$16:$F$5015,Transaksi!$C$16:$C$5015,$A61,Transaksi!$D$16:$D$5015,"Pindah",Transaksi!$B$16:$B$5015,"&lt;="&amp;DATE(2026,12,31))+SUMIFS(Transaksi!$F$16:$F$5015,Transaksi!$E$16:$E$5015,$A61,Transaksi!$D$16:$D$5015,"Pindah",Transaksi!$B$16:$B$5015,"&lt;="&amp;DATE(2026,12,31))))</f>
        <v/>
      </c>
      <c r="E61" s="106">
        <f>IF(DATE(2027,1,1)&gt;TODAY(),"",(SUMIFS(Akun!$C$5:$C$104,Akun!$A$5:$A$104,$A61,Akun!$D$5:$D$104,"&lt;="&amp;DATE(2027,12,31))+SUMIFS(Transaksi!$F$16:$F$5015,Transaksi!$C$16:$C$5015,$A61,Transaksi!$D$16:$D$5015,"Masuk",Transaksi!$B$16:$B$5015,"&lt;="&amp;DATE(2027,12,31))-SUMIFS(Transaksi!$F$16:$F$5015,Transaksi!$C$16:$C$5015,$A61,Transaksi!$D$16:$D$5015,"Keluar",Transaksi!$B$16:$B$5015,"&lt;="&amp;DATE(2027,12,31))-SUMIFS(Transaksi!$F$16:$F$5015,Transaksi!$C$16:$C$5015,$A61,Transaksi!$D$16:$D$5015,"Pindah",Transaksi!$B$16:$B$5015,"&lt;="&amp;DATE(2027,12,31))+SUMIFS(Transaksi!$F$16:$F$5015,Transaksi!$E$16:$E$5015,$A61,Transaksi!$D$16:$D$5015,"Pindah",Transaksi!$B$16:$B$5015,"&lt;="&amp;DATE(2027,12,31))))</f>
        <v/>
      </c>
      <c r="F61" s="106">
        <f>IF(DATE(2028,1,1)&gt;TODAY(),"",(SUMIFS(Akun!$C$5:$C$104,Akun!$A$5:$A$104,$A61,Akun!$D$5:$D$104,"&lt;="&amp;DATE(2028,12,31))+SUMIFS(Transaksi!$F$16:$F$5015,Transaksi!$C$16:$C$5015,$A61,Transaksi!$D$16:$D$5015,"Masuk",Transaksi!$B$16:$B$5015,"&lt;="&amp;DATE(2028,12,31))-SUMIFS(Transaksi!$F$16:$F$5015,Transaksi!$C$16:$C$5015,$A61,Transaksi!$D$16:$D$5015,"Keluar",Transaksi!$B$16:$B$5015,"&lt;="&amp;DATE(2028,12,31))-SUMIFS(Transaksi!$F$16:$F$5015,Transaksi!$C$16:$C$5015,$A61,Transaksi!$D$16:$D$5015,"Pindah",Transaksi!$B$16:$B$5015,"&lt;="&amp;DATE(2028,12,31))+SUMIFS(Transaksi!$F$16:$F$5015,Transaksi!$E$16:$E$5015,$A61,Transaksi!$D$16:$D$5015,"Pindah",Transaksi!$B$16:$B$5015,"&lt;="&amp;DATE(2028,12,31))))</f>
        <v/>
      </c>
      <c r="G61" s="106">
        <f>IF(DATE(2029,1,1)&gt;TODAY(),"",(SUMIFS(Akun!$C$5:$C$104,Akun!$A$5:$A$104,$A61,Akun!$D$5:$D$104,"&lt;="&amp;DATE(2029,12,31))+SUMIFS(Transaksi!$F$16:$F$5015,Transaksi!$C$16:$C$5015,$A61,Transaksi!$D$16:$D$5015,"Masuk",Transaksi!$B$16:$B$5015,"&lt;="&amp;DATE(2029,12,31))-SUMIFS(Transaksi!$F$16:$F$5015,Transaksi!$C$16:$C$5015,$A61,Transaksi!$D$16:$D$5015,"Keluar",Transaksi!$B$16:$B$5015,"&lt;="&amp;DATE(2029,12,31))-SUMIFS(Transaksi!$F$16:$F$5015,Transaksi!$C$16:$C$5015,$A61,Transaksi!$D$16:$D$5015,"Pindah",Transaksi!$B$16:$B$5015,"&lt;="&amp;DATE(2029,12,31))+SUMIFS(Transaksi!$F$16:$F$5015,Transaksi!$E$16:$E$5015,$A61,Transaksi!$D$16:$D$5015,"Pindah",Transaksi!$B$16:$B$5015,"&lt;="&amp;DATE(2029,12,31))))</f>
        <v/>
      </c>
      <c r="H61" s="106">
        <f>IF(DATE(2030,1,1)&gt;TODAY(),"",(SUMIFS(Akun!$C$5:$C$104,Akun!$A$5:$A$104,$A61,Akun!$D$5:$D$104,"&lt;="&amp;DATE(2030,12,31))+SUMIFS(Transaksi!$F$16:$F$5015,Transaksi!$C$16:$C$5015,$A61,Transaksi!$D$16:$D$5015,"Masuk",Transaksi!$B$16:$B$5015,"&lt;="&amp;DATE(2030,12,31))-SUMIFS(Transaksi!$F$16:$F$5015,Transaksi!$C$16:$C$5015,$A61,Transaksi!$D$16:$D$5015,"Keluar",Transaksi!$B$16:$B$5015,"&lt;="&amp;DATE(2030,12,31))-SUMIFS(Transaksi!$F$16:$F$5015,Transaksi!$C$16:$C$5015,$A61,Transaksi!$D$16:$D$5015,"Pindah",Transaksi!$B$16:$B$5015,"&lt;="&amp;DATE(2030,12,31))+SUMIFS(Transaksi!$F$16:$F$5015,Transaksi!$E$16:$E$5015,$A61,Transaksi!$D$16:$D$5015,"Pindah",Transaksi!$B$16:$B$5015,"&lt;="&amp;DATE(2030,12,31))))</f>
        <v/>
      </c>
    </row>
  </sheetData>
  <mergeCells count="6">
    <mergeCell ref="A4:H4"/>
    <mergeCell ref="A2:O2"/>
    <mergeCell ref="A1:O1"/>
    <mergeCell ref="A23:I23"/>
    <mergeCell ref="A44:H44"/>
    <mergeCell ref="A25:M25"/>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E76F51"/>
    <outlinePr summaryBelow="1" summaryRight="1"/>
    <pageSetUpPr fitToPage="0"/>
  </sheetPr>
  <dimension ref="A1:L28"/>
  <sheetViews>
    <sheetView showFormulas="0" showGridLines="0" showRowColHeaders="1" showZeros="1" rightToLeft="0" tabSelected="0" showOutlineSymbols="1" defaultGridColor="1" view="normal" topLeftCell="H1" colorId="64" zoomScale="100" zoomScaleNormal="100" zoomScalePageLayoutView="100" workbookViewId="0">
      <selection pane="topLeft" activeCell="I9" activeCellId="0" sqref="I9"/>
    </sheetView>
  </sheetViews>
  <sheetFormatPr baseColWidth="8" defaultColWidth="8.7421875" defaultRowHeight="15" zeroHeight="0" outlineLevelRow="0"/>
  <cols>
    <col width="2.96" customWidth="1" style="93" min="1" max="1"/>
    <col width="11.97" customWidth="1" style="93" min="2" max="2"/>
    <col width="14.93" customWidth="1" style="93" min="3" max="6"/>
    <col width="16.95" customWidth="1" style="93" min="7" max="7"/>
    <col width="18.03" customWidth="1" style="93" min="8" max="10"/>
    <col width="14.93" customWidth="1" style="93" min="11" max="11"/>
    <col width="2.96" customWidth="1" style="93" min="12" max="12"/>
  </cols>
  <sheetData>
    <row r="1" ht="30" customHeight="1" s="94">
      <c r="A1" s="95" t="inlineStr">
        <is>
          <t>UANG MAMA (KOS &amp; KEDAI) — SISA &amp; DI MANA UANGNYA</t>
        </is>
      </c>
    </row>
    <row r="2" ht="30" customHeight="1" s="94">
      <c r="A2" s="98" t="inlineStr">
        <is>
          <t>Tahun mengikuti Dashboard. Setiap baris bisa ditelusuri: Sisa bulan ini = sisa bulan lalu + uang masuk − uang keluar − yang disetor ke reksadana uang kos mama. Transaksinya: tab Transaksi → Sumber = Uang Kos Mama / Uang Kedai / Pengeluaran Uang Kos / Pengeluaran Uang Kedai, atau Tujuan = Tabungan + Sumber = Reksadana uang kos mama.</t>
        </is>
      </c>
    </row>
    <row r="3"/>
    <row r="4" ht="15" customHeight="1" s="94">
      <c r="B4" s="108" t="inlineStr">
        <is>
          <t>Uang mama sebelum Feb 2024 (isi jika ada)</t>
        </is>
      </c>
      <c r="F4" s="144" t="n">
        <v>0</v>
      </c>
    </row>
    <row r="5"/>
    <row r="6" ht="15" customHeight="1" s="94">
      <c r="B6" s="101">
        <f>"A. PER BULAN — TAHUN "&amp;Dashboard!$C$4</f>
        <v/>
      </c>
      <c r="C6" s="102" t="n"/>
      <c r="D6" s="102" t="n"/>
      <c r="E6" s="102" t="n"/>
      <c r="F6" s="102" t="n"/>
      <c r="G6" s="102" t="n"/>
      <c r="H6" s="102" t="n"/>
      <c r="I6" s="102" t="n"/>
      <c r="J6" s="102" t="n"/>
      <c r="K6" s="102" t="n"/>
    </row>
    <row r="7" ht="43.5" customHeight="1" s="94">
      <c r="B7" s="103" t="inlineStr">
        <is>
          <t>Bulan</t>
        </is>
      </c>
      <c r="C7" s="103" t="inlineStr">
        <is>
          <t>Uang kos masuk</t>
        </is>
      </c>
      <c r="D7" s="103" t="inlineStr">
        <is>
          <t>Uang kedai masuk</t>
        </is>
      </c>
      <c r="E7" s="103" t="inlineStr">
        <is>
          <t>Pengeluaran kos</t>
        </is>
      </c>
      <c r="F7" s="103" t="inlineStr">
        <is>
          <t>Pengeluaran kedai</t>
        </is>
      </c>
      <c r="G7" s="103" t="inlineStr">
        <is>
          <t>Masuk investasi bersih (minus = lebih banyak dicairkan)</t>
        </is>
      </c>
      <c r="H7" s="103" t="inlineStr">
        <is>
          <t>Selisih catatan sejak Feb 2024 (bukan uang di akun pribadi)</t>
        </is>
      </c>
      <c r="I7" s="103" t="inlineStr">
        <is>
          <t>Ada di Kantong/Cash Uang Kos Mama</t>
        </is>
      </c>
      <c r="J7" s="103" t="inlineStr">
        <is>
          <t>Masih di akun pribadimu</t>
        </is>
      </c>
      <c r="K7" s="103" t="inlineStr">
        <is>
          <t>Status</t>
        </is>
      </c>
    </row>
    <row r="8" ht="15" customHeight="1" s="94">
      <c r="B8" s="108" t="inlineStr">
        <is>
          <t>Sisa akhir tahun lalu</t>
        </is>
      </c>
      <c r="H8" s="145">
        <f>$F$4+(SUMIFS(Transaksi!$F$16:$F$5015,Transaksi!$G$16:$G$5015,"Pendapatan",Transaksi!$B$16:$B$5015,"&gt;="&amp;DATE(2000,1,1),Transaksi!$B$16:$B$5015,"&lt;="&amp;DATE(Dashboard!$C$4-1,12,31),Transaksi!$H$16:$H$5015,"Uang Kos Mama")+SUMIFS(Transaksi!$F$16:$F$5015,Transaksi!$G$16:$G$5015,"Pendapatan",Transaksi!$B$16:$B$5015,"&gt;="&amp;DATE(2000,1,1),Transaksi!$B$16:$B$5015,"&lt;="&amp;DATE(Dashboard!$C$4-1,12,31),Transaksi!$H$16:$H$5015,"Uang Kedai"))-(SUMIFS(Transaksi!$F$16:$F$5015,Transaksi!$G$16:$G$5015,"Pengeluaran",Transaksi!$B$16:$B$5015,"&gt;="&amp;DATE(2000,1,1),Transaksi!$B$16:$B$5015,"&lt;="&amp;DATE(Dashboard!$C$4-1,12,31),Transaksi!$H$16:$H$5015,"Pengeluaran Uang Kos")+SUMIFS(Transaksi!$F$16:$F$5015,Transaksi!$G$16:$G$5015,"Pengeluaran",Transaksi!$B$16:$B$5015,"&gt;="&amp;DATE(2000,1,1),Transaksi!$B$16:$B$5015,"&lt;="&amp;DATE(Dashboard!$C$4-1,12,31),Transaksi!$H$16:$H$5015,"Pengeluaran Uang Kedai")+(SUMIFS(Transaksi!$F$16:$F$5015,Transaksi!$G$16:$G$5015,"Tabungan",Transaksi!$D$16:$D$5015,"Keluar",Transaksi!$H$16:$H$5015,"Reksadana uang kos mama",Transaksi!$B$16:$B$5015,"&gt;="&amp;DATE(2000,1,1),Transaksi!$B$16:$B$5015,"&lt;="&amp;DATE(Dashboard!$C$4-1,12,31))-SUMIFS(Transaksi!$F$16:$F$5015,Transaksi!$G$16:$G$5015,"Tabungan",Transaksi!$D$16:$D$5015,"Masuk",Transaksi!$H$16:$H$5015,"Reksadana uang kos mama",Transaksi!$B$16:$B$5015,"&gt;="&amp;DATE(2000,1,1),Transaksi!$B$16:$B$5015,"&lt;="&amp;DATE(Dashboard!$C$4-1,12,31))))</f>
        <v/>
      </c>
    </row>
    <row r="9" ht="15" customHeight="1" s="94">
      <c r="B9" s="127" t="inlineStr">
        <is>
          <t>Januari</t>
        </is>
      </c>
      <c r="C9" s="106">
        <f>SUMIFS(Transaksi!$F$16:$F$5015,Transaksi!$G$16:$G$5015,"Pendapatan",Transaksi!$B$16:$B$5015,"&gt;="&amp;DATE(Dashboard!$C$4,1,1),Transaksi!$B$16:$B$5015,"&lt;="&amp;EOMONTH(DATE(Dashboard!$C$4,1,1),0),Transaksi!$H$16:$H$5015,"Uang Kos Mama")</f>
        <v/>
      </c>
      <c r="D9" s="106">
        <f>SUMIFS(Transaksi!$F$16:$F$5015,Transaksi!$G$16:$G$5015,"Pendapatan",Transaksi!$B$16:$B$5015,"&gt;="&amp;DATE(Dashboard!$C$4,1,1),Transaksi!$B$16:$B$5015,"&lt;="&amp;EOMONTH(DATE(Dashboard!$C$4,1,1),0),Transaksi!$H$16:$H$5015,"Uang Kedai")</f>
        <v/>
      </c>
      <c r="E9" s="106">
        <f>SUMIFS(Transaksi!$F$16:$F$5015,Transaksi!$G$16:$G$5015,"Pengeluaran",Transaksi!$B$16:$B$5015,"&gt;="&amp;DATE(Dashboard!$C$4,1,1),Transaksi!$B$16:$B$5015,"&lt;="&amp;EOMONTH(DATE(Dashboard!$C$4,1,1),0),Transaksi!$H$16:$H$5015,"Pengeluaran Uang Kos")</f>
        <v/>
      </c>
      <c r="F9" s="106">
        <f>SUMIFS(Transaksi!$F$16:$F$5015,Transaksi!$G$16:$G$5015,"Pengeluaran",Transaksi!$B$16:$B$5015,"&gt;="&amp;DATE(Dashboard!$C$4,1,1),Transaksi!$B$16:$B$5015,"&lt;="&amp;EOMONTH(DATE(Dashboard!$C$4,1,1),0),Transaksi!$H$16:$H$5015,"Pengeluaran Uang Kedai")</f>
        <v/>
      </c>
      <c r="G9" s="146">
        <f>(SUMIFS(Transaksi!$F$16:$F$5015,Transaksi!$G$16:$G$5015,"Tabungan",Transaksi!$D$16:$D$5015,"Keluar",Transaksi!$H$16:$H$5015,"Reksadana uang kos mama",Transaksi!$B$16:$B$5015,"&gt;="&amp;DATE(Dashboard!$C$4,1,1),Transaksi!$B$16:$B$5015,"&lt;="&amp;EOMONTH(DATE(Dashboard!$C$4,1,1),0))-SUMIFS(Transaksi!$F$16:$F$5015,Transaksi!$G$16:$G$5015,"Tabungan",Transaksi!$D$16:$D$5015,"Masuk",Transaksi!$H$16:$H$5015,"Reksadana uang kos mama",Transaksi!$B$16:$B$5015,"&gt;="&amp;DATE(Dashboard!$C$4,1,1),Transaksi!$B$16:$B$5015,"&lt;="&amp;EOMONTH(DATE(Dashboard!$C$4,1,1),0)))</f>
        <v/>
      </c>
      <c r="H9" s="147">
        <f>IF(DATE(Dashboard!$C$4,1,1)&gt;TODAY(),"",H8+C9+D9-E9-F9-G9)</f>
        <v/>
      </c>
      <c r="I9" s="106">
        <f>IF(DATE(Dashboard!$C$4,1,1)&gt;TODAY(),"",(SUMIFS(Akun!$C$5:$C$104,Akun!$A$5:$A$104,"Uang Kos Mama Cash",Akun!$D$5:$D$104,"&lt;="&amp;EOMONTH(DATE(Dashboard!$C$4,1,1),0))+SUMIFS(Transaksi!$F$16:$F$5015,Transaksi!$C$16:$C$5015,"Uang Kos Mama Cash",Transaksi!$D$16:$D$5015,"Masuk",Transaksi!$B$16:$B$5015,"&lt;="&amp;EOMONTH(DATE(Dashboard!$C$4,1,1),0))-SUMIFS(Transaksi!$F$16:$F$5015,Transaksi!$C$16:$C$5015,"Uang Kos Mama Cash",Transaksi!$D$16:$D$5015,"Keluar",Transaksi!$B$16:$B$5015,"&lt;="&amp;EOMONTH(DATE(Dashboard!$C$4,1,1),0))-SUMIFS(Transaksi!$F$16:$F$5015,Transaksi!$C$16:$C$5015,"Uang Kos Mama Cash",Transaksi!$D$16:$D$5015,"Pindah",Transaksi!$B$16:$B$5015,"&lt;="&amp;EOMONTH(DATE(Dashboard!$C$4,1,1),0))+SUMIFS(Transaksi!$F$16:$F$5015,Transaksi!$E$16:$E$5015,"Uang Kos Mama Cash",Transaksi!$D$16:$D$5015,"Pindah",Transaksi!$B$16:$B$5015,"&lt;="&amp;EOMONTH(DATE(Dashboard!$C$4,1,1),0)))+(SUMIFS(Akun!$C$5:$C$104,Akun!$A$5:$A$104,"Jago - Uang Kos Mama",Akun!$D$5:$D$104,"&lt;="&amp;EOMONTH(DATE(Dashboard!$C$4,1,1),0))+SUMIFS(Transaksi!$F$16:$F$5015,Transaksi!$C$16:$C$5015,"Jago - Uang Kos Mama",Transaksi!$D$16:$D$5015,"Masuk",Transaksi!$B$16:$B$5015,"&lt;="&amp;EOMONTH(DATE(Dashboard!$C$4,1,1),0))-SUMIFS(Transaksi!$F$16:$F$5015,Transaksi!$C$16:$C$5015,"Jago - Uang Kos Mama",Transaksi!$D$16:$D$5015,"Keluar",Transaksi!$B$16:$B$5015,"&lt;="&amp;EOMONTH(DATE(Dashboard!$C$4,1,1),0))-SUMIFS(Transaksi!$F$16:$F$5015,Transaksi!$C$16:$C$5015,"Jago - Uang Kos Mama",Transaksi!$D$16:$D$5015,"Pindah",Transaksi!$B$16:$B$5015,"&lt;="&amp;EOMONTH(DATE(Dashboard!$C$4,1,1),0))+SUMIFS(Transaksi!$F$16:$F$5015,Transaksi!$E$16:$E$5015,"Jago - Uang Kos Mama",Transaksi!$D$16:$D$5015,"Pindah",Transaksi!$B$16:$B$5015,"&lt;="&amp;EOMONTH(DATE(Dashboard!$C$4,1,1),0))))</f>
        <v/>
      </c>
      <c r="J9" s="113">
        <f>IF(DATE(Dashboard!$C$4,1,1)&gt;TODAY(),"",MAX(0,H9-I9))</f>
        <v/>
      </c>
      <c r="K9" s="127">
        <f>IF(DATE(Dashboard!$C$4,1,1)&gt;TODAY(),"",IF(J9=0,"Aman ✓","Pindahkan"))</f>
        <v/>
      </c>
    </row>
    <row r="10" ht="15" customHeight="1" s="94">
      <c r="B10" s="127" t="inlineStr">
        <is>
          <t>Februari</t>
        </is>
      </c>
      <c r="C10" s="106">
        <f>SUMIFS(Transaksi!$F$16:$F$5015,Transaksi!$G$16:$G$5015,"Pendapatan",Transaksi!$B$16:$B$5015,"&gt;="&amp;DATE(Dashboard!$C$4,2,1),Transaksi!$B$16:$B$5015,"&lt;="&amp;EOMONTH(DATE(Dashboard!$C$4,2,1),0),Transaksi!$H$16:$H$5015,"Uang Kos Mama")</f>
        <v/>
      </c>
      <c r="D10" s="106">
        <f>SUMIFS(Transaksi!$F$16:$F$5015,Transaksi!$G$16:$G$5015,"Pendapatan",Transaksi!$B$16:$B$5015,"&gt;="&amp;DATE(Dashboard!$C$4,2,1),Transaksi!$B$16:$B$5015,"&lt;="&amp;EOMONTH(DATE(Dashboard!$C$4,2,1),0),Transaksi!$H$16:$H$5015,"Uang Kedai")</f>
        <v/>
      </c>
      <c r="E10" s="106">
        <f>SUMIFS(Transaksi!$F$16:$F$5015,Transaksi!$G$16:$G$5015,"Pengeluaran",Transaksi!$B$16:$B$5015,"&gt;="&amp;DATE(Dashboard!$C$4,2,1),Transaksi!$B$16:$B$5015,"&lt;="&amp;EOMONTH(DATE(Dashboard!$C$4,2,1),0),Transaksi!$H$16:$H$5015,"Pengeluaran Uang Kos")</f>
        <v/>
      </c>
      <c r="F10" s="106">
        <f>SUMIFS(Transaksi!$F$16:$F$5015,Transaksi!$G$16:$G$5015,"Pengeluaran",Transaksi!$B$16:$B$5015,"&gt;="&amp;DATE(Dashboard!$C$4,2,1),Transaksi!$B$16:$B$5015,"&lt;="&amp;EOMONTH(DATE(Dashboard!$C$4,2,1),0),Transaksi!$H$16:$H$5015,"Pengeluaran Uang Kedai")</f>
        <v/>
      </c>
      <c r="G10" s="146">
        <f>(SUMIFS(Transaksi!$F$16:$F$5015,Transaksi!$G$16:$G$5015,"Tabungan",Transaksi!$D$16:$D$5015,"Keluar",Transaksi!$H$16:$H$5015,"Reksadana uang kos mama",Transaksi!$B$16:$B$5015,"&gt;="&amp;DATE(Dashboard!$C$4,2,1),Transaksi!$B$16:$B$5015,"&lt;="&amp;EOMONTH(DATE(Dashboard!$C$4,2,1),0))-SUMIFS(Transaksi!$F$16:$F$5015,Transaksi!$G$16:$G$5015,"Tabungan",Transaksi!$D$16:$D$5015,"Masuk",Transaksi!$H$16:$H$5015,"Reksadana uang kos mama",Transaksi!$B$16:$B$5015,"&gt;="&amp;DATE(Dashboard!$C$4,2,1),Transaksi!$B$16:$B$5015,"&lt;="&amp;EOMONTH(DATE(Dashboard!$C$4,2,1),0)))</f>
        <v/>
      </c>
      <c r="H10" s="147">
        <f>IF(DATE(Dashboard!$C$4,2,1)&gt;TODAY(),"",H9+C10+D10-E10-F10-G10)</f>
        <v/>
      </c>
      <c r="I10" s="106">
        <f>IF(DATE(Dashboard!$C$4,2,1)&gt;TODAY(),"",(SUMIFS(Akun!$C$5:$C$104,Akun!$A$5:$A$104,"Uang Kos Mama Cash",Akun!$D$5:$D$104,"&lt;="&amp;EOMONTH(DATE(Dashboard!$C$4,2,1),0))+SUMIFS(Transaksi!$F$16:$F$5015,Transaksi!$C$16:$C$5015,"Uang Kos Mama Cash",Transaksi!$D$16:$D$5015,"Masuk",Transaksi!$B$16:$B$5015,"&lt;="&amp;EOMONTH(DATE(Dashboard!$C$4,2,1),0))-SUMIFS(Transaksi!$F$16:$F$5015,Transaksi!$C$16:$C$5015,"Uang Kos Mama Cash",Transaksi!$D$16:$D$5015,"Keluar",Transaksi!$B$16:$B$5015,"&lt;="&amp;EOMONTH(DATE(Dashboard!$C$4,2,1),0))-SUMIFS(Transaksi!$F$16:$F$5015,Transaksi!$C$16:$C$5015,"Uang Kos Mama Cash",Transaksi!$D$16:$D$5015,"Pindah",Transaksi!$B$16:$B$5015,"&lt;="&amp;EOMONTH(DATE(Dashboard!$C$4,2,1),0))+SUMIFS(Transaksi!$F$16:$F$5015,Transaksi!$E$16:$E$5015,"Uang Kos Mama Cash",Transaksi!$D$16:$D$5015,"Pindah",Transaksi!$B$16:$B$5015,"&lt;="&amp;EOMONTH(DATE(Dashboard!$C$4,2,1),0)))+(SUMIFS(Akun!$C$5:$C$104,Akun!$A$5:$A$104,"Jago - Uang Kos Mama",Akun!$D$5:$D$104,"&lt;="&amp;EOMONTH(DATE(Dashboard!$C$4,2,1),0))+SUMIFS(Transaksi!$F$16:$F$5015,Transaksi!$C$16:$C$5015,"Jago - Uang Kos Mama",Transaksi!$D$16:$D$5015,"Masuk",Transaksi!$B$16:$B$5015,"&lt;="&amp;EOMONTH(DATE(Dashboard!$C$4,2,1),0))-SUMIFS(Transaksi!$F$16:$F$5015,Transaksi!$C$16:$C$5015,"Jago - Uang Kos Mama",Transaksi!$D$16:$D$5015,"Keluar",Transaksi!$B$16:$B$5015,"&lt;="&amp;EOMONTH(DATE(Dashboard!$C$4,2,1),0))-SUMIFS(Transaksi!$F$16:$F$5015,Transaksi!$C$16:$C$5015,"Jago - Uang Kos Mama",Transaksi!$D$16:$D$5015,"Pindah",Transaksi!$B$16:$B$5015,"&lt;="&amp;EOMONTH(DATE(Dashboard!$C$4,2,1),0))+SUMIFS(Transaksi!$F$16:$F$5015,Transaksi!$E$16:$E$5015,"Jago - Uang Kos Mama",Transaksi!$D$16:$D$5015,"Pindah",Transaksi!$B$16:$B$5015,"&lt;="&amp;EOMONTH(DATE(Dashboard!$C$4,2,1),0))))</f>
        <v/>
      </c>
      <c r="J10" s="113">
        <f>IF(DATE(Dashboard!$C$4,2,1)&gt;TODAY(),"",MAX(0,H10-I10))</f>
        <v/>
      </c>
      <c r="K10" s="127">
        <f>IF(DATE(Dashboard!$C$4,2,1)&gt;TODAY(),"",IF(J10=0,"Aman ✓","Pindahkan"))</f>
        <v/>
      </c>
    </row>
    <row r="11" ht="15" customHeight="1" s="94">
      <c r="B11" s="127" t="inlineStr">
        <is>
          <t>Maret</t>
        </is>
      </c>
      <c r="C11" s="106">
        <f>SUMIFS(Transaksi!$F$16:$F$5015,Transaksi!$G$16:$G$5015,"Pendapatan",Transaksi!$B$16:$B$5015,"&gt;="&amp;DATE(Dashboard!$C$4,3,1),Transaksi!$B$16:$B$5015,"&lt;="&amp;EOMONTH(DATE(Dashboard!$C$4,3,1),0),Transaksi!$H$16:$H$5015,"Uang Kos Mama")</f>
        <v/>
      </c>
      <c r="D11" s="106">
        <f>SUMIFS(Transaksi!$F$16:$F$5015,Transaksi!$G$16:$G$5015,"Pendapatan",Transaksi!$B$16:$B$5015,"&gt;="&amp;DATE(Dashboard!$C$4,3,1),Transaksi!$B$16:$B$5015,"&lt;="&amp;EOMONTH(DATE(Dashboard!$C$4,3,1),0),Transaksi!$H$16:$H$5015,"Uang Kedai")</f>
        <v/>
      </c>
      <c r="E11" s="106">
        <f>SUMIFS(Transaksi!$F$16:$F$5015,Transaksi!$G$16:$G$5015,"Pengeluaran",Transaksi!$B$16:$B$5015,"&gt;="&amp;DATE(Dashboard!$C$4,3,1),Transaksi!$B$16:$B$5015,"&lt;="&amp;EOMONTH(DATE(Dashboard!$C$4,3,1),0),Transaksi!$H$16:$H$5015,"Pengeluaran Uang Kos")</f>
        <v/>
      </c>
      <c r="F11" s="106">
        <f>SUMIFS(Transaksi!$F$16:$F$5015,Transaksi!$G$16:$G$5015,"Pengeluaran",Transaksi!$B$16:$B$5015,"&gt;="&amp;DATE(Dashboard!$C$4,3,1),Transaksi!$B$16:$B$5015,"&lt;="&amp;EOMONTH(DATE(Dashboard!$C$4,3,1),0),Transaksi!$H$16:$H$5015,"Pengeluaran Uang Kedai")</f>
        <v/>
      </c>
      <c r="G11" s="146">
        <f>(SUMIFS(Transaksi!$F$16:$F$5015,Transaksi!$G$16:$G$5015,"Tabungan",Transaksi!$D$16:$D$5015,"Keluar",Transaksi!$H$16:$H$5015,"Reksadana uang kos mama",Transaksi!$B$16:$B$5015,"&gt;="&amp;DATE(Dashboard!$C$4,3,1),Transaksi!$B$16:$B$5015,"&lt;="&amp;EOMONTH(DATE(Dashboard!$C$4,3,1),0))-SUMIFS(Transaksi!$F$16:$F$5015,Transaksi!$G$16:$G$5015,"Tabungan",Transaksi!$D$16:$D$5015,"Masuk",Transaksi!$H$16:$H$5015,"Reksadana uang kos mama",Transaksi!$B$16:$B$5015,"&gt;="&amp;DATE(Dashboard!$C$4,3,1),Transaksi!$B$16:$B$5015,"&lt;="&amp;EOMONTH(DATE(Dashboard!$C$4,3,1),0)))</f>
        <v/>
      </c>
      <c r="H11" s="147">
        <f>IF(DATE(Dashboard!$C$4,3,1)&gt;TODAY(),"",H10+C11+D11-E11-F11-G11)</f>
        <v/>
      </c>
      <c r="I11" s="106">
        <f>IF(DATE(Dashboard!$C$4,3,1)&gt;TODAY(),"",(SUMIFS(Akun!$C$5:$C$104,Akun!$A$5:$A$104,"Uang Kos Mama Cash",Akun!$D$5:$D$104,"&lt;="&amp;EOMONTH(DATE(Dashboard!$C$4,3,1),0))+SUMIFS(Transaksi!$F$16:$F$5015,Transaksi!$C$16:$C$5015,"Uang Kos Mama Cash",Transaksi!$D$16:$D$5015,"Masuk",Transaksi!$B$16:$B$5015,"&lt;="&amp;EOMONTH(DATE(Dashboard!$C$4,3,1),0))-SUMIFS(Transaksi!$F$16:$F$5015,Transaksi!$C$16:$C$5015,"Uang Kos Mama Cash",Transaksi!$D$16:$D$5015,"Keluar",Transaksi!$B$16:$B$5015,"&lt;="&amp;EOMONTH(DATE(Dashboard!$C$4,3,1),0))-SUMIFS(Transaksi!$F$16:$F$5015,Transaksi!$C$16:$C$5015,"Uang Kos Mama Cash",Transaksi!$D$16:$D$5015,"Pindah",Transaksi!$B$16:$B$5015,"&lt;="&amp;EOMONTH(DATE(Dashboard!$C$4,3,1),0))+SUMIFS(Transaksi!$F$16:$F$5015,Transaksi!$E$16:$E$5015,"Uang Kos Mama Cash",Transaksi!$D$16:$D$5015,"Pindah",Transaksi!$B$16:$B$5015,"&lt;="&amp;EOMONTH(DATE(Dashboard!$C$4,3,1),0)))+(SUMIFS(Akun!$C$5:$C$104,Akun!$A$5:$A$104,"Jago - Uang Kos Mama",Akun!$D$5:$D$104,"&lt;="&amp;EOMONTH(DATE(Dashboard!$C$4,3,1),0))+SUMIFS(Transaksi!$F$16:$F$5015,Transaksi!$C$16:$C$5015,"Jago - Uang Kos Mama",Transaksi!$D$16:$D$5015,"Masuk",Transaksi!$B$16:$B$5015,"&lt;="&amp;EOMONTH(DATE(Dashboard!$C$4,3,1),0))-SUMIFS(Transaksi!$F$16:$F$5015,Transaksi!$C$16:$C$5015,"Jago - Uang Kos Mama",Transaksi!$D$16:$D$5015,"Keluar",Transaksi!$B$16:$B$5015,"&lt;="&amp;EOMONTH(DATE(Dashboard!$C$4,3,1),0))-SUMIFS(Transaksi!$F$16:$F$5015,Transaksi!$C$16:$C$5015,"Jago - Uang Kos Mama",Transaksi!$D$16:$D$5015,"Pindah",Transaksi!$B$16:$B$5015,"&lt;="&amp;EOMONTH(DATE(Dashboard!$C$4,3,1),0))+SUMIFS(Transaksi!$F$16:$F$5015,Transaksi!$E$16:$E$5015,"Jago - Uang Kos Mama",Transaksi!$D$16:$D$5015,"Pindah",Transaksi!$B$16:$B$5015,"&lt;="&amp;EOMONTH(DATE(Dashboard!$C$4,3,1),0))))</f>
        <v/>
      </c>
      <c r="J11" s="113">
        <f>IF(DATE(Dashboard!$C$4,3,1)&gt;TODAY(),"",MAX(0,H11-I11))</f>
        <v/>
      </c>
      <c r="K11" s="127">
        <f>IF(DATE(Dashboard!$C$4,3,1)&gt;TODAY(),"",IF(J11=0,"Aman ✓","Pindahkan"))</f>
        <v/>
      </c>
    </row>
    <row r="12" ht="15" customHeight="1" s="94">
      <c r="B12" s="127" t="inlineStr">
        <is>
          <t>April</t>
        </is>
      </c>
      <c r="C12" s="106">
        <f>SUMIFS(Transaksi!$F$16:$F$5015,Transaksi!$G$16:$G$5015,"Pendapatan",Transaksi!$B$16:$B$5015,"&gt;="&amp;DATE(Dashboard!$C$4,4,1),Transaksi!$B$16:$B$5015,"&lt;="&amp;EOMONTH(DATE(Dashboard!$C$4,4,1),0),Transaksi!$H$16:$H$5015,"Uang Kos Mama")</f>
        <v/>
      </c>
      <c r="D12" s="106">
        <f>SUMIFS(Transaksi!$F$16:$F$5015,Transaksi!$G$16:$G$5015,"Pendapatan",Transaksi!$B$16:$B$5015,"&gt;="&amp;DATE(Dashboard!$C$4,4,1),Transaksi!$B$16:$B$5015,"&lt;="&amp;EOMONTH(DATE(Dashboard!$C$4,4,1),0),Transaksi!$H$16:$H$5015,"Uang Kedai")</f>
        <v/>
      </c>
      <c r="E12" s="106">
        <f>SUMIFS(Transaksi!$F$16:$F$5015,Transaksi!$G$16:$G$5015,"Pengeluaran",Transaksi!$B$16:$B$5015,"&gt;="&amp;DATE(Dashboard!$C$4,4,1),Transaksi!$B$16:$B$5015,"&lt;="&amp;EOMONTH(DATE(Dashboard!$C$4,4,1),0),Transaksi!$H$16:$H$5015,"Pengeluaran Uang Kos")</f>
        <v/>
      </c>
      <c r="F12" s="106">
        <f>SUMIFS(Transaksi!$F$16:$F$5015,Transaksi!$G$16:$G$5015,"Pengeluaran",Transaksi!$B$16:$B$5015,"&gt;="&amp;DATE(Dashboard!$C$4,4,1),Transaksi!$B$16:$B$5015,"&lt;="&amp;EOMONTH(DATE(Dashboard!$C$4,4,1),0),Transaksi!$H$16:$H$5015,"Pengeluaran Uang Kedai")</f>
        <v/>
      </c>
      <c r="G12" s="146">
        <f>(SUMIFS(Transaksi!$F$16:$F$5015,Transaksi!$G$16:$G$5015,"Tabungan",Transaksi!$D$16:$D$5015,"Keluar",Transaksi!$H$16:$H$5015,"Reksadana uang kos mama",Transaksi!$B$16:$B$5015,"&gt;="&amp;DATE(Dashboard!$C$4,4,1),Transaksi!$B$16:$B$5015,"&lt;="&amp;EOMONTH(DATE(Dashboard!$C$4,4,1),0))-SUMIFS(Transaksi!$F$16:$F$5015,Transaksi!$G$16:$G$5015,"Tabungan",Transaksi!$D$16:$D$5015,"Masuk",Transaksi!$H$16:$H$5015,"Reksadana uang kos mama",Transaksi!$B$16:$B$5015,"&gt;="&amp;DATE(Dashboard!$C$4,4,1),Transaksi!$B$16:$B$5015,"&lt;="&amp;EOMONTH(DATE(Dashboard!$C$4,4,1),0)))</f>
        <v/>
      </c>
      <c r="H12" s="147">
        <f>IF(DATE(Dashboard!$C$4,4,1)&gt;TODAY(),"",H11+C12+D12-E12-F12-G12)</f>
        <v/>
      </c>
      <c r="I12" s="106">
        <f>IF(DATE(Dashboard!$C$4,4,1)&gt;TODAY(),"",(SUMIFS(Akun!$C$5:$C$104,Akun!$A$5:$A$104,"Uang Kos Mama Cash",Akun!$D$5:$D$104,"&lt;="&amp;EOMONTH(DATE(Dashboard!$C$4,4,1),0))+SUMIFS(Transaksi!$F$16:$F$5015,Transaksi!$C$16:$C$5015,"Uang Kos Mama Cash",Transaksi!$D$16:$D$5015,"Masuk",Transaksi!$B$16:$B$5015,"&lt;="&amp;EOMONTH(DATE(Dashboard!$C$4,4,1),0))-SUMIFS(Transaksi!$F$16:$F$5015,Transaksi!$C$16:$C$5015,"Uang Kos Mama Cash",Transaksi!$D$16:$D$5015,"Keluar",Transaksi!$B$16:$B$5015,"&lt;="&amp;EOMONTH(DATE(Dashboard!$C$4,4,1),0))-SUMIFS(Transaksi!$F$16:$F$5015,Transaksi!$C$16:$C$5015,"Uang Kos Mama Cash",Transaksi!$D$16:$D$5015,"Pindah",Transaksi!$B$16:$B$5015,"&lt;="&amp;EOMONTH(DATE(Dashboard!$C$4,4,1),0))+SUMIFS(Transaksi!$F$16:$F$5015,Transaksi!$E$16:$E$5015,"Uang Kos Mama Cash",Transaksi!$D$16:$D$5015,"Pindah",Transaksi!$B$16:$B$5015,"&lt;="&amp;EOMONTH(DATE(Dashboard!$C$4,4,1),0)))+(SUMIFS(Akun!$C$5:$C$104,Akun!$A$5:$A$104,"Jago - Uang Kos Mama",Akun!$D$5:$D$104,"&lt;="&amp;EOMONTH(DATE(Dashboard!$C$4,4,1),0))+SUMIFS(Transaksi!$F$16:$F$5015,Transaksi!$C$16:$C$5015,"Jago - Uang Kos Mama",Transaksi!$D$16:$D$5015,"Masuk",Transaksi!$B$16:$B$5015,"&lt;="&amp;EOMONTH(DATE(Dashboard!$C$4,4,1),0))-SUMIFS(Transaksi!$F$16:$F$5015,Transaksi!$C$16:$C$5015,"Jago - Uang Kos Mama",Transaksi!$D$16:$D$5015,"Keluar",Transaksi!$B$16:$B$5015,"&lt;="&amp;EOMONTH(DATE(Dashboard!$C$4,4,1),0))-SUMIFS(Transaksi!$F$16:$F$5015,Transaksi!$C$16:$C$5015,"Jago - Uang Kos Mama",Transaksi!$D$16:$D$5015,"Pindah",Transaksi!$B$16:$B$5015,"&lt;="&amp;EOMONTH(DATE(Dashboard!$C$4,4,1),0))+SUMIFS(Transaksi!$F$16:$F$5015,Transaksi!$E$16:$E$5015,"Jago - Uang Kos Mama",Transaksi!$D$16:$D$5015,"Pindah",Transaksi!$B$16:$B$5015,"&lt;="&amp;EOMONTH(DATE(Dashboard!$C$4,4,1),0))))</f>
        <v/>
      </c>
      <c r="J12" s="113">
        <f>IF(DATE(Dashboard!$C$4,4,1)&gt;TODAY(),"",MAX(0,H12-I12))</f>
        <v/>
      </c>
      <c r="K12" s="127">
        <f>IF(DATE(Dashboard!$C$4,4,1)&gt;TODAY(),"",IF(J12=0,"Aman ✓","Pindahkan"))</f>
        <v/>
      </c>
    </row>
    <row r="13" ht="15" customHeight="1" s="94">
      <c r="B13" s="127" t="inlineStr">
        <is>
          <t>Mei</t>
        </is>
      </c>
      <c r="C13" s="106">
        <f>SUMIFS(Transaksi!$F$16:$F$5015,Transaksi!$G$16:$G$5015,"Pendapatan",Transaksi!$B$16:$B$5015,"&gt;="&amp;DATE(Dashboard!$C$4,5,1),Transaksi!$B$16:$B$5015,"&lt;="&amp;EOMONTH(DATE(Dashboard!$C$4,5,1),0),Transaksi!$H$16:$H$5015,"Uang Kos Mama")</f>
        <v/>
      </c>
      <c r="D13" s="106">
        <f>SUMIFS(Transaksi!$F$16:$F$5015,Transaksi!$G$16:$G$5015,"Pendapatan",Transaksi!$B$16:$B$5015,"&gt;="&amp;DATE(Dashboard!$C$4,5,1),Transaksi!$B$16:$B$5015,"&lt;="&amp;EOMONTH(DATE(Dashboard!$C$4,5,1),0),Transaksi!$H$16:$H$5015,"Uang Kedai")</f>
        <v/>
      </c>
      <c r="E13" s="106">
        <f>SUMIFS(Transaksi!$F$16:$F$5015,Transaksi!$G$16:$G$5015,"Pengeluaran",Transaksi!$B$16:$B$5015,"&gt;="&amp;DATE(Dashboard!$C$4,5,1),Transaksi!$B$16:$B$5015,"&lt;="&amp;EOMONTH(DATE(Dashboard!$C$4,5,1),0),Transaksi!$H$16:$H$5015,"Pengeluaran Uang Kos")</f>
        <v/>
      </c>
      <c r="F13" s="106">
        <f>SUMIFS(Transaksi!$F$16:$F$5015,Transaksi!$G$16:$G$5015,"Pengeluaran",Transaksi!$B$16:$B$5015,"&gt;="&amp;DATE(Dashboard!$C$4,5,1),Transaksi!$B$16:$B$5015,"&lt;="&amp;EOMONTH(DATE(Dashboard!$C$4,5,1),0),Transaksi!$H$16:$H$5015,"Pengeluaran Uang Kedai")</f>
        <v/>
      </c>
      <c r="G13" s="146">
        <f>(SUMIFS(Transaksi!$F$16:$F$5015,Transaksi!$G$16:$G$5015,"Tabungan",Transaksi!$D$16:$D$5015,"Keluar",Transaksi!$H$16:$H$5015,"Reksadana uang kos mama",Transaksi!$B$16:$B$5015,"&gt;="&amp;DATE(Dashboard!$C$4,5,1),Transaksi!$B$16:$B$5015,"&lt;="&amp;EOMONTH(DATE(Dashboard!$C$4,5,1),0))-SUMIFS(Transaksi!$F$16:$F$5015,Transaksi!$G$16:$G$5015,"Tabungan",Transaksi!$D$16:$D$5015,"Masuk",Transaksi!$H$16:$H$5015,"Reksadana uang kos mama",Transaksi!$B$16:$B$5015,"&gt;="&amp;DATE(Dashboard!$C$4,5,1),Transaksi!$B$16:$B$5015,"&lt;="&amp;EOMONTH(DATE(Dashboard!$C$4,5,1),0)))</f>
        <v/>
      </c>
      <c r="H13" s="147">
        <f>IF(DATE(Dashboard!$C$4,5,1)&gt;TODAY(),"",H12+C13+D13-E13-F13-G13)</f>
        <v/>
      </c>
      <c r="I13" s="106">
        <f>IF(DATE(Dashboard!$C$4,5,1)&gt;TODAY(),"",(SUMIFS(Akun!$C$5:$C$104,Akun!$A$5:$A$104,"Uang Kos Mama Cash",Akun!$D$5:$D$104,"&lt;="&amp;EOMONTH(DATE(Dashboard!$C$4,5,1),0))+SUMIFS(Transaksi!$F$16:$F$5015,Transaksi!$C$16:$C$5015,"Uang Kos Mama Cash",Transaksi!$D$16:$D$5015,"Masuk",Transaksi!$B$16:$B$5015,"&lt;="&amp;EOMONTH(DATE(Dashboard!$C$4,5,1),0))-SUMIFS(Transaksi!$F$16:$F$5015,Transaksi!$C$16:$C$5015,"Uang Kos Mama Cash",Transaksi!$D$16:$D$5015,"Keluar",Transaksi!$B$16:$B$5015,"&lt;="&amp;EOMONTH(DATE(Dashboard!$C$4,5,1),0))-SUMIFS(Transaksi!$F$16:$F$5015,Transaksi!$C$16:$C$5015,"Uang Kos Mama Cash",Transaksi!$D$16:$D$5015,"Pindah",Transaksi!$B$16:$B$5015,"&lt;="&amp;EOMONTH(DATE(Dashboard!$C$4,5,1),0))+SUMIFS(Transaksi!$F$16:$F$5015,Transaksi!$E$16:$E$5015,"Uang Kos Mama Cash",Transaksi!$D$16:$D$5015,"Pindah",Transaksi!$B$16:$B$5015,"&lt;="&amp;EOMONTH(DATE(Dashboard!$C$4,5,1),0)))+(SUMIFS(Akun!$C$5:$C$104,Akun!$A$5:$A$104,"Jago - Uang Kos Mama",Akun!$D$5:$D$104,"&lt;="&amp;EOMONTH(DATE(Dashboard!$C$4,5,1),0))+SUMIFS(Transaksi!$F$16:$F$5015,Transaksi!$C$16:$C$5015,"Jago - Uang Kos Mama",Transaksi!$D$16:$D$5015,"Masuk",Transaksi!$B$16:$B$5015,"&lt;="&amp;EOMONTH(DATE(Dashboard!$C$4,5,1),0))-SUMIFS(Transaksi!$F$16:$F$5015,Transaksi!$C$16:$C$5015,"Jago - Uang Kos Mama",Transaksi!$D$16:$D$5015,"Keluar",Transaksi!$B$16:$B$5015,"&lt;="&amp;EOMONTH(DATE(Dashboard!$C$4,5,1),0))-SUMIFS(Transaksi!$F$16:$F$5015,Transaksi!$C$16:$C$5015,"Jago - Uang Kos Mama",Transaksi!$D$16:$D$5015,"Pindah",Transaksi!$B$16:$B$5015,"&lt;="&amp;EOMONTH(DATE(Dashboard!$C$4,5,1),0))+SUMIFS(Transaksi!$F$16:$F$5015,Transaksi!$E$16:$E$5015,"Jago - Uang Kos Mama",Transaksi!$D$16:$D$5015,"Pindah",Transaksi!$B$16:$B$5015,"&lt;="&amp;EOMONTH(DATE(Dashboard!$C$4,5,1),0))))</f>
        <v/>
      </c>
      <c r="J13" s="113">
        <f>IF(DATE(Dashboard!$C$4,5,1)&gt;TODAY(),"",MAX(0,H13-I13))</f>
        <v/>
      </c>
      <c r="K13" s="127">
        <f>IF(DATE(Dashboard!$C$4,5,1)&gt;TODAY(),"",IF(J13=0,"Aman ✓","Pindahkan"))</f>
        <v/>
      </c>
    </row>
    <row r="14" ht="15" customHeight="1" s="94">
      <c r="B14" s="127" t="inlineStr">
        <is>
          <t>Juni</t>
        </is>
      </c>
      <c r="C14" s="106">
        <f>SUMIFS(Transaksi!$F$16:$F$5015,Transaksi!$G$16:$G$5015,"Pendapatan",Transaksi!$B$16:$B$5015,"&gt;="&amp;DATE(Dashboard!$C$4,6,1),Transaksi!$B$16:$B$5015,"&lt;="&amp;EOMONTH(DATE(Dashboard!$C$4,6,1),0),Transaksi!$H$16:$H$5015,"Uang Kos Mama")</f>
        <v/>
      </c>
      <c r="D14" s="106">
        <f>SUMIFS(Transaksi!$F$16:$F$5015,Transaksi!$G$16:$G$5015,"Pendapatan",Transaksi!$B$16:$B$5015,"&gt;="&amp;DATE(Dashboard!$C$4,6,1),Transaksi!$B$16:$B$5015,"&lt;="&amp;EOMONTH(DATE(Dashboard!$C$4,6,1),0),Transaksi!$H$16:$H$5015,"Uang Kedai")</f>
        <v/>
      </c>
      <c r="E14" s="106">
        <f>SUMIFS(Transaksi!$F$16:$F$5015,Transaksi!$G$16:$G$5015,"Pengeluaran",Transaksi!$B$16:$B$5015,"&gt;="&amp;DATE(Dashboard!$C$4,6,1),Transaksi!$B$16:$B$5015,"&lt;="&amp;EOMONTH(DATE(Dashboard!$C$4,6,1),0),Transaksi!$H$16:$H$5015,"Pengeluaran Uang Kos")</f>
        <v/>
      </c>
      <c r="F14" s="106">
        <f>SUMIFS(Transaksi!$F$16:$F$5015,Transaksi!$G$16:$G$5015,"Pengeluaran",Transaksi!$B$16:$B$5015,"&gt;="&amp;DATE(Dashboard!$C$4,6,1),Transaksi!$B$16:$B$5015,"&lt;="&amp;EOMONTH(DATE(Dashboard!$C$4,6,1),0),Transaksi!$H$16:$H$5015,"Pengeluaran Uang Kedai")</f>
        <v/>
      </c>
      <c r="G14" s="146">
        <f>(SUMIFS(Transaksi!$F$16:$F$5015,Transaksi!$G$16:$G$5015,"Tabungan",Transaksi!$D$16:$D$5015,"Keluar",Transaksi!$H$16:$H$5015,"Reksadana uang kos mama",Transaksi!$B$16:$B$5015,"&gt;="&amp;DATE(Dashboard!$C$4,6,1),Transaksi!$B$16:$B$5015,"&lt;="&amp;EOMONTH(DATE(Dashboard!$C$4,6,1),0))-SUMIFS(Transaksi!$F$16:$F$5015,Transaksi!$G$16:$G$5015,"Tabungan",Transaksi!$D$16:$D$5015,"Masuk",Transaksi!$H$16:$H$5015,"Reksadana uang kos mama",Transaksi!$B$16:$B$5015,"&gt;="&amp;DATE(Dashboard!$C$4,6,1),Transaksi!$B$16:$B$5015,"&lt;="&amp;EOMONTH(DATE(Dashboard!$C$4,6,1),0)))</f>
        <v/>
      </c>
      <c r="H14" s="147">
        <f>IF(DATE(Dashboard!$C$4,6,1)&gt;TODAY(),"",H13+C14+D14-E14-F14-G14)</f>
        <v/>
      </c>
      <c r="I14" s="106">
        <f>IF(DATE(Dashboard!$C$4,6,1)&gt;TODAY(),"",(SUMIFS(Akun!$C$5:$C$104,Akun!$A$5:$A$104,"Uang Kos Mama Cash",Akun!$D$5:$D$104,"&lt;="&amp;EOMONTH(DATE(Dashboard!$C$4,6,1),0))+SUMIFS(Transaksi!$F$16:$F$5015,Transaksi!$C$16:$C$5015,"Uang Kos Mama Cash",Transaksi!$D$16:$D$5015,"Masuk",Transaksi!$B$16:$B$5015,"&lt;="&amp;EOMONTH(DATE(Dashboard!$C$4,6,1),0))-SUMIFS(Transaksi!$F$16:$F$5015,Transaksi!$C$16:$C$5015,"Uang Kos Mama Cash",Transaksi!$D$16:$D$5015,"Keluar",Transaksi!$B$16:$B$5015,"&lt;="&amp;EOMONTH(DATE(Dashboard!$C$4,6,1),0))-SUMIFS(Transaksi!$F$16:$F$5015,Transaksi!$C$16:$C$5015,"Uang Kos Mama Cash",Transaksi!$D$16:$D$5015,"Pindah",Transaksi!$B$16:$B$5015,"&lt;="&amp;EOMONTH(DATE(Dashboard!$C$4,6,1),0))+SUMIFS(Transaksi!$F$16:$F$5015,Transaksi!$E$16:$E$5015,"Uang Kos Mama Cash",Transaksi!$D$16:$D$5015,"Pindah",Transaksi!$B$16:$B$5015,"&lt;="&amp;EOMONTH(DATE(Dashboard!$C$4,6,1),0)))+(SUMIFS(Akun!$C$5:$C$104,Akun!$A$5:$A$104,"Jago - Uang Kos Mama",Akun!$D$5:$D$104,"&lt;="&amp;EOMONTH(DATE(Dashboard!$C$4,6,1),0))+SUMIFS(Transaksi!$F$16:$F$5015,Transaksi!$C$16:$C$5015,"Jago - Uang Kos Mama",Transaksi!$D$16:$D$5015,"Masuk",Transaksi!$B$16:$B$5015,"&lt;="&amp;EOMONTH(DATE(Dashboard!$C$4,6,1),0))-SUMIFS(Transaksi!$F$16:$F$5015,Transaksi!$C$16:$C$5015,"Jago - Uang Kos Mama",Transaksi!$D$16:$D$5015,"Keluar",Transaksi!$B$16:$B$5015,"&lt;="&amp;EOMONTH(DATE(Dashboard!$C$4,6,1),0))-SUMIFS(Transaksi!$F$16:$F$5015,Transaksi!$C$16:$C$5015,"Jago - Uang Kos Mama",Transaksi!$D$16:$D$5015,"Pindah",Transaksi!$B$16:$B$5015,"&lt;="&amp;EOMONTH(DATE(Dashboard!$C$4,6,1),0))+SUMIFS(Transaksi!$F$16:$F$5015,Transaksi!$E$16:$E$5015,"Jago - Uang Kos Mama",Transaksi!$D$16:$D$5015,"Pindah",Transaksi!$B$16:$B$5015,"&lt;="&amp;EOMONTH(DATE(Dashboard!$C$4,6,1),0))))</f>
        <v/>
      </c>
      <c r="J14" s="113">
        <f>IF(DATE(Dashboard!$C$4,6,1)&gt;TODAY(),"",MAX(0,H14-I14))</f>
        <v/>
      </c>
      <c r="K14" s="127">
        <f>IF(DATE(Dashboard!$C$4,6,1)&gt;TODAY(),"",IF(J14=0,"Aman ✓","Pindahkan"))</f>
        <v/>
      </c>
    </row>
    <row r="15" ht="15" customHeight="1" s="94">
      <c r="B15" s="127" t="inlineStr">
        <is>
          <t>Juli</t>
        </is>
      </c>
      <c r="C15" s="106">
        <f>SUMIFS(Transaksi!$F$16:$F$5015,Transaksi!$G$16:$G$5015,"Pendapatan",Transaksi!$B$16:$B$5015,"&gt;="&amp;DATE(Dashboard!$C$4,7,1),Transaksi!$B$16:$B$5015,"&lt;="&amp;EOMONTH(DATE(Dashboard!$C$4,7,1),0),Transaksi!$H$16:$H$5015,"Uang Kos Mama")</f>
        <v/>
      </c>
      <c r="D15" s="106">
        <f>SUMIFS(Transaksi!$F$16:$F$5015,Transaksi!$G$16:$G$5015,"Pendapatan",Transaksi!$B$16:$B$5015,"&gt;="&amp;DATE(Dashboard!$C$4,7,1),Transaksi!$B$16:$B$5015,"&lt;="&amp;EOMONTH(DATE(Dashboard!$C$4,7,1),0),Transaksi!$H$16:$H$5015,"Uang Kedai")</f>
        <v/>
      </c>
      <c r="E15" s="106">
        <f>SUMIFS(Transaksi!$F$16:$F$5015,Transaksi!$G$16:$G$5015,"Pengeluaran",Transaksi!$B$16:$B$5015,"&gt;="&amp;DATE(Dashboard!$C$4,7,1),Transaksi!$B$16:$B$5015,"&lt;="&amp;EOMONTH(DATE(Dashboard!$C$4,7,1),0),Transaksi!$H$16:$H$5015,"Pengeluaran Uang Kos")</f>
        <v/>
      </c>
      <c r="F15" s="106">
        <f>SUMIFS(Transaksi!$F$16:$F$5015,Transaksi!$G$16:$G$5015,"Pengeluaran",Transaksi!$B$16:$B$5015,"&gt;="&amp;DATE(Dashboard!$C$4,7,1),Transaksi!$B$16:$B$5015,"&lt;="&amp;EOMONTH(DATE(Dashboard!$C$4,7,1),0),Transaksi!$H$16:$H$5015,"Pengeluaran Uang Kedai")</f>
        <v/>
      </c>
      <c r="G15" s="146">
        <f>(SUMIFS(Transaksi!$F$16:$F$5015,Transaksi!$G$16:$G$5015,"Tabungan",Transaksi!$D$16:$D$5015,"Keluar",Transaksi!$H$16:$H$5015,"Reksadana uang kos mama",Transaksi!$B$16:$B$5015,"&gt;="&amp;DATE(Dashboard!$C$4,7,1),Transaksi!$B$16:$B$5015,"&lt;="&amp;EOMONTH(DATE(Dashboard!$C$4,7,1),0))-SUMIFS(Transaksi!$F$16:$F$5015,Transaksi!$G$16:$G$5015,"Tabungan",Transaksi!$D$16:$D$5015,"Masuk",Transaksi!$H$16:$H$5015,"Reksadana uang kos mama",Transaksi!$B$16:$B$5015,"&gt;="&amp;DATE(Dashboard!$C$4,7,1),Transaksi!$B$16:$B$5015,"&lt;="&amp;EOMONTH(DATE(Dashboard!$C$4,7,1),0)))</f>
        <v/>
      </c>
      <c r="H15" s="147">
        <f>IF(DATE(Dashboard!$C$4,7,1)&gt;TODAY(),"",H14+C15+D15-E15-F15-G15)</f>
        <v/>
      </c>
      <c r="I15" s="106">
        <f>IF(DATE(Dashboard!$C$4,7,1)&gt;TODAY(),"",(SUMIFS(Akun!$C$5:$C$104,Akun!$A$5:$A$104,"Uang Kos Mama Cash",Akun!$D$5:$D$104,"&lt;="&amp;EOMONTH(DATE(Dashboard!$C$4,7,1),0))+SUMIFS(Transaksi!$F$16:$F$5015,Transaksi!$C$16:$C$5015,"Uang Kos Mama Cash",Transaksi!$D$16:$D$5015,"Masuk",Transaksi!$B$16:$B$5015,"&lt;="&amp;EOMONTH(DATE(Dashboard!$C$4,7,1),0))-SUMIFS(Transaksi!$F$16:$F$5015,Transaksi!$C$16:$C$5015,"Uang Kos Mama Cash",Transaksi!$D$16:$D$5015,"Keluar",Transaksi!$B$16:$B$5015,"&lt;="&amp;EOMONTH(DATE(Dashboard!$C$4,7,1),0))-SUMIFS(Transaksi!$F$16:$F$5015,Transaksi!$C$16:$C$5015,"Uang Kos Mama Cash",Transaksi!$D$16:$D$5015,"Pindah",Transaksi!$B$16:$B$5015,"&lt;="&amp;EOMONTH(DATE(Dashboard!$C$4,7,1),0))+SUMIFS(Transaksi!$F$16:$F$5015,Transaksi!$E$16:$E$5015,"Uang Kos Mama Cash",Transaksi!$D$16:$D$5015,"Pindah",Transaksi!$B$16:$B$5015,"&lt;="&amp;EOMONTH(DATE(Dashboard!$C$4,7,1),0)))+(SUMIFS(Akun!$C$5:$C$104,Akun!$A$5:$A$104,"Jago - Uang Kos Mama",Akun!$D$5:$D$104,"&lt;="&amp;EOMONTH(DATE(Dashboard!$C$4,7,1),0))+SUMIFS(Transaksi!$F$16:$F$5015,Transaksi!$C$16:$C$5015,"Jago - Uang Kos Mama",Transaksi!$D$16:$D$5015,"Masuk",Transaksi!$B$16:$B$5015,"&lt;="&amp;EOMONTH(DATE(Dashboard!$C$4,7,1),0))-SUMIFS(Transaksi!$F$16:$F$5015,Transaksi!$C$16:$C$5015,"Jago - Uang Kos Mama",Transaksi!$D$16:$D$5015,"Keluar",Transaksi!$B$16:$B$5015,"&lt;="&amp;EOMONTH(DATE(Dashboard!$C$4,7,1),0))-SUMIFS(Transaksi!$F$16:$F$5015,Transaksi!$C$16:$C$5015,"Jago - Uang Kos Mama",Transaksi!$D$16:$D$5015,"Pindah",Transaksi!$B$16:$B$5015,"&lt;="&amp;EOMONTH(DATE(Dashboard!$C$4,7,1),0))+SUMIFS(Transaksi!$F$16:$F$5015,Transaksi!$E$16:$E$5015,"Jago - Uang Kos Mama",Transaksi!$D$16:$D$5015,"Pindah",Transaksi!$B$16:$B$5015,"&lt;="&amp;EOMONTH(DATE(Dashboard!$C$4,7,1),0))))</f>
        <v/>
      </c>
      <c r="J15" s="113">
        <f>IF(DATE(Dashboard!$C$4,7,1)&gt;TODAY(),"",MAX(0,H15-I15))</f>
        <v/>
      </c>
      <c r="K15" s="127">
        <f>IF(DATE(Dashboard!$C$4,7,1)&gt;TODAY(),"",IF(J15=0,"Aman ✓","Pindahkan"))</f>
        <v/>
      </c>
    </row>
    <row r="16" ht="15" customHeight="1" s="94">
      <c r="B16" s="127" t="inlineStr">
        <is>
          <t>Agustus</t>
        </is>
      </c>
      <c r="C16" s="106">
        <f>SUMIFS(Transaksi!$F$16:$F$5015,Transaksi!$G$16:$G$5015,"Pendapatan",Transaksi!$B$16:$B$5015,"&gt;="&amp;DATE(Dashboard!$C$4,8,1),Transaksi!$B$16:$B$5015,"&lt;="&amp;EOMONTH(DATE(Dashboard!$C$4,8,1),0),Transaksi!$H$16:$H$5015,"Uang Kos Mama")</f>
        <v/>
      </c>
      <c r="D16" s="106">
        <f>SUMIFS(Transaksi!$F$16:$F$5015,Transaksi!$G$16:$G$5015,"Pendapatan",Transaksi!$B$16:$B$5015,"&gt;="&amp;DATE(Dashboard!$C$4,8,1),Transaksi!$B$16:$B$5015,"&lt;="&amp;EOMONTH(DATE(Dashboard!$C$4,8,1),0),Transaksi!$H$16:$H$5015,"Uang Kedai")</f>
        <v/>
      </c>
      <c r="E16" s="106">
        <f>SUMIFS(Transaksi!$F$16:$F$5015,Transaksi!$G$16:$G$5015,"Pengeluaran",Transaksi!$B$16:$B$5015,"&gt;="&amp;DATE(Dashboard!$C$4,8,1),Transaksi!$B$16:$B$5015,"&lt;="&amp;EOMONTH(DATE(Dashboard!$C$4,8,1),0),Transaksi!$H$16:$H$5015,"Pengeluaran Uang Kos")</f>
        <v/>
      </c>
      <c r="F16" s="106">
        <f>SUMIFS(Transaksi!$F$16:$F$5015,Transaksi!$G$16:$G$5015,"Pengeluaran",Transaksi!$B$16:$B$5015,"&gt;="&amp;DATE(Dashboard!$C$4,8,1),Transaksi!$B$16:$B$5015,"&lt;="&amp;EOMONTH(DATE(Dashboard!$C$4,8,1),0),Transaksi!$H$16:$H$5015,"Pengeluaran Uang Kedai")</f>
        <v/>
      </c>
      <c r="G16" s="146">
        <f>(SUMIFS(Transaksi!$F$16:$F$5015,Transaksi!$G$16:$G$5015,"Tabungan",Transaksi!$D$16:$D$5015,"Keluar",Transaksi!$H$16:$H$5015,"Reksadana uang kos mama",Transaksi!$B$16:$B$5015,"&gt;="&amp;DATE(Dashboard!$C$4,8,1),Transaksi!$B$16:$B$5015,"&lt;="&amp;EOMONTH(DATE(Dashboard!$C$4,8,1),0))-SUMIFS(Transaksi!$F$16:$F$5015,Transaksi!$G$16:$G$5015,"Tabungan",Transaksi!$D$16:$D$5015,"Masuk",Transaksi!$H$16:$H$5015,"Reksadana uang kos mama",Transaksi!$B$16:$B$5015,"&gt;="&amp;DATE(Dashboard!$C$4,8,1),Transaksi!$B$16:$B$5015,"&lt;="&amp;EOMONTH(DATE(Dashboard!$C$4,8,1),0)))</f>
        <v/>
      </c>
      <c r="H16" s="147">
        <f>IF(DATE(Dashboard!$C$4,8,1)&gt;TODAY(),"",H15+C16+D16-E16-F16-G16)</f>
        <v/>
      </c>
      <c r="I16" s="106">
        <f>IF(DATE(Dashboard!$C$4,8,1)&gt;TODAY(),"",(SUMIFS(Akun!$C$5:$C$104,Akun!$A$5:$A$104,"Uang Kos Mama Cash",Akun!$D$5:$D$104,"&lt;="&amp;EOMONTH(DATE(Dashboard!$C$4,8,1),0))+SUMIFS(Transaksi!$F$16:$F$5015,Transaksi!$C$16:$C$5015,"Uang Kos Mama Cash",Transaksi!$D$16:$D$5015,"Masuk",Transaksi!$B$16:$B$5015,"&lt;="&amp;EOMONTH(DATE(Dashboard!$C$4,8,1),0))-SUMIFS(Transaksi!$F$16:$F$5015,Transaksi!$C$16:$C$5015,"Uang Kos Mama Cash",Transaksi!$D$16:$D$5015,"Keluar",Transaksi!$B$16:$B$5015,"&lt;="&amp;EOMONTH(DATE(Dashboard!$C$4,8,1),0))-SUMIFS(Transaksi!$F$16:$F$5015,Transaksi!$C$16:$C$5015,"Uang Kos Mama Cash",Transaksi!$D$16:$D$5015,"Pindah",Transaksi!$B$16:$B$5015,"&lt;="&amp;EOMONTH(DATE(Dashboard!$C$4,8,1),0))+SUMIFS(Transaksi!$F$16:$F$5015,Transaksi!$E$16:$E$5015,"Uang Kos Mama Cash",Transaksi!$D$16:$D$5015,"Pindah",Transaksi!$B$16:$B$5015,"&lt;="&amp;EOMONTH(DATE(Dashboard!$C$4,8,1),0)))+(SUMIFS(Akun!$C$5:$C$104,Akun!$A$5:$A$104,"Jago - Uang Kos Mama",Akun!$D$5:$D$104,"&lt;="&amp;EOMONTH(DATE(Dashboard!$C$4,8,1),0))+SUMIFS(Transaksi!$F$16:$F$5015,Transaksi!$C$16:$C$5015,"Jago - Uang Kos Mama",Transaksi!$D$16:$D$5015,"Masuk",Transaksi!$B$16:$B$5015,"&lt;="&amp;EOMONTH(DATE(Dashboard!$C$4,8,1),0))-SUMIFS(Transaksi!$F$16:$F$5015,Transaksi!$C$16:$C$5015,"Jago - Uang Kos Mama",Transaksi!$D$16:$D$5015,"Keluar",Transaksi!$B$16:$B$5015,"&lt;="&amp;EOMONTH(DATE(Dashboard!$C$4,8,1),0))-SUMIFS(Transaksi!$F$16:$F$5015,Transaksi!$C$16:$C$5015,"Jago - Uang Kos Mama",Transaksi!$D$16:$D$5015,"Pindah",Transaksi!$B$16:$B$5015,"&lt;="&amp;EOMONTH(DATE(Dashboard!$C$4,8,1),0))+SUMIFS(Transaksi!$F$16:$F$5015,Transaksi!$E$16:$E$5015,"Jago - Uang Kos Mama",Transaksi!$D$16:$D$5015,"Pindah",Transaksi!$B$16:$B$5015,"&lt;="&amp;EOMONTH(DATE(Dashboard!$C$4,8,1),0))))</f>
        <v/>
      </c>
      <c r="J16" s="113">
        <f>IF(DATE(Dashboard!$C$4,8,1)&gt;TODAY(),"",MAX(0,H16-I16))</f>
        <v/>
      </c>
      <c r="K16" s="127">
        <f>IF(DATE(Dashboard!$C$4,8,1)&gt;TODAY(),"",IF(J16=0,"Aman ✓","Pindahkan"))</f>
        <v/>
      </c>
    </row>
    <row r="17" ht="15" customHeight="1" s="94">
      <c r="B17" s="127" t="inlineStr">
        <is>
          <t>September</t>
        </is>
      </c>
      <c r="C17" s="106">
        <f>SUMIFS(Transaksi!$F$16:$F$5015,Transaksi!$G$16:$G$5015,"Pendapatan",Transaksi!$B$16:$B$5015,"&gt;="&amp;DATE(Dashboard!$C$4,9,1),Transaksi!$B$16:$B$5015,"&lt;="&amp;EOMONTH(DATE(Dashboard!$C$4,9,1),0),Transaksi!$H$16:$H$5015,"Uang Kos Mama")</f>
        <v/>
      </c>
      <c r="D17" s="106">
        <f>SUMIFS(Transaksi!$F$16:$F$5015,Transaksi!$G$16:$G$5015,"Pendapatan",Transaksi!$B$16:$B$5015,"&gt;="&amp;DATE(Dashboard!$C$4,9,1),Transaksi!$B$16:$B$5015,"&lt;="&amp;EOMONTH(DATE(Dashboard!$C$4,9,1),0),Transaksi!$H$16:$H$5015,"Uang Kedai")</f>
        <v/>
      </c>
      <c r="E17" s="106">
        <f>SUMIFS(Transaksi!$F$16:$F$5015,Transaksi!$G$16:$G$5015,"Pengeluaran",Transaksi!$B$16:$B$5015,"&gt;="&amp;DATE(Dashboard!$C$4,9,1),Transaksi!$B$16:$B$5015,"&lt;="&amp;EOMONTH(DATE(Dashboard!$C$4,9,1),0),Transaksi!$H$16:$H$5015,"Pengeluaran Uang Kos")</f>
        <v/>
      </c>
      <c r="F17" s="106">
        <f>SUMIFS(Transaksi!$F$16:$F$5015,Transaksi!$G$16:$G$5015,"Pengeluaran",Transaksi!$B$16:$B$5015,"&gt;="&amp;DATE(Dashboard!$C$4,9,1),Transaksi!$B$16:$B$5015,"&lt;="&amp;EOMONTH(DATE(Dashboard!$C$4,9,1),0),Transaksi!$H$16:$H$5015,"Pengeluaran Uang Kedai")</f>
        <v/>
      </c>
      <c r="G17" s="146">
        <f>(SUMIFS(Transaksi!$F$16:$F$5015,Transaksi!$G$16:$G$5015,"Tabungan",Transaksi!$D$16:$D$5015,"Keluar",Transaksi!$H$16:$H$5015,"Reksadana uang kos mama",Transaksi!$B$16:$B$5015,"&gt;="&amp;DATE(Dashboard!$C$4,9,1),Transaksi!$B$16:$B$5015,"&lt;="&amp;EOMONTH(DATE(Dashboard!$C$4,9,1),0))-SUMIFS(Transaksi!$F$16:$F$5015,Transaksi!$G$16:$G$5015,"Tabungan",Transaksi!$D$16:$D$5015,"Masuk",Transaksi!$H$16:$H$5015,"Reksadana uang kos mama",Transaksi!$B$16:$B$5015,"&gt;="&amp;DATE(Dashboard!$C$4,9,1),Transaksi!$B$16:$B$5015,"&lt;="&amp;EOMONTH(DATE(Dashboard!$C$4,9,1),0)))</f>
        <v/>
      </c>
      <c r="H17" s="147">
        <f>IF(DATE(Dashboard!$C$4,9,1)&gt;TODAY(),"",H16+C17+D17-E17-F17-G17)</f>
        <v/>
      </c>
      <c r="I17" s="106">
        <f>IF(DATE(Dashboard!$C$4,9,1)&gt;TODAY(),"",(SUMIFS(Akun!$C$5:$C$104,Akun!$A$5:$A$104,"Uang Kos Mama Cash",Akun!$D$5:$D$104,"&lt;="&amp;EOMONTH(DATE(Dashboard!$C$4,9,1),0))+SUMIFS(Transaksi!$F$16:$F$5015,Transaksi!$C$16:$C$5015,"Uang Kos Mama Cash",Transaksi!$D$16:$D$5015,"Masuk",Transaksi!$B$16:$B$5015,"&lt;="&amp;EOMONTH(DATE(Dashboard!$C$4,9,1),0))-SUMIFS(Transaksi!$F$16:$F$5015,Transaksi!$C$16:$C$5015,"Uang Kos Mama Cash",Transaksi!$D$16:$D$5015,"Keluar",Transaksi!$B$16:$B$5015,"&lt;="&amp;EOMONTH(DATE(Dashboard!$C$4,9,1),0))-SUMIFS(Transaksi!$F$16:$F$5015,Transaksi!$C$16:$C$5015,"Uang Kos Mama Cash",Transaksi!$D$16:$D$5015,"Pindah",Transaksi!$B$16:$B$5015,"&lt;="&amp;EOMONTH(DATE(Dashboard!$C$4,9,1),0))+SUMIFS(Transaksi!$F$16:$F$5015,Transaksi!$E$16:$E$5015,"Uang Kos Mama Cash",Transaksi!$D$16:$D$5015,"Pindah",Transaksi!$B$16:$B$5015,"&lt;="&amp;EOMONTH(DATE(Dashboard!$C$4,9,1),0)))+(SUMIFS(Akun!$C$5:$C$104,Akun!$A$5:$A$104,"Jago - Uang Kos Mama",Akun!$D$5:$D$104,"&lt;="&amp;EOMONTH(DATE(Dashboard!$C$4,9,1),0))+SUMIFS(Transaksi!$F$16:$F$5015,Transaksi!$C$16:$C$5015,"Jago - Uang Kos Mama",Transaksi!$D$16:$D$5015,"Masuk",Transaksi!$B$16:$B$5015,"&lt;="&amp;EOMONTH(DATE(Dashboard!$C$4,9,1),0))-SUMIFS(Transaksi!$F$16:$F$5015,Transaksi!$C$16:$C$5015,"Jago - Uang Kos Mama",Transaksi!$D$16:$D$5015,"Keluar",Transaksi!$B$16:$B$5015,"&lt;="&amp;EOMONTH(DATE(Dashboard!$C$4,9,1),0))-SUMIFS(Transaksi!$F$16:$F$5015,Transaksi!$C$16:$C$5015,"Jago - Uang Kos Mama",Transaksi!$D$16:$D$5015,"Pindah",Transaksi!$B$16:$B$5015,"&lt;="&amp;EOMONTH(DATE(Dashboard!$C$4,9,1),0))+SUMIFS(Transaksi!$F$16:$F$5015,Transaksi!$E$16:$E$5015,"Jago - Uang Kos Mama",Transaksi!$D$16:$D$5015,"Pindah",Transaksi!$B$16:$B$5015,"&lt;="&amp;EOMONTH(DATE(Dashboard!$C$4,9,1),0))))</f>
        <v/>
      </c>
      <c r="J17" s="113">
        <f>IF(DATE(Dashboard!$C$4,9,1)&gt;TODAY(),"",MAX(0,H17-I17))</f>
        <v/>
      </c>
      <c r="K17" s="127">
        <f>IF(DATE(Dashboard!$C$4,9,1)&gt;TODAY(),"",IF(J17=0,"Aman ✓","Pindahkan"))</f>
        <v/>
      </c>
    </row>
    <row r="18" ht="15" customHeight="1" s="94">
      <c r="B18" s="127" t="inlineStr">
        <is>
          <t>Oktober</t>
        </is>
      </c>
      <c r="C18" s="106">
        <f>SUMIFS(Transaksi!$F$16:$F$5015,Transaksi!$G$16:$G$5015,"Pendapatan",Transaksi!$B$16:$B$5015,"&gt;="&amp;DATE(Dashboard!$C$4,10,1),Transaksi!$B$16:$B$5015,"&lt;="&amp;EOMONTH(DATE(Dashboard!$C$4,10,1),0),Transaksi!$H$16:$H$5015,"Uang Kos Mama")</f>
        <v/>
      </c>
      <c r="D18" s="106">
        <f>SUMIFS(Transaksi!$F$16:$F$5015,Transaksi!$G$16:$G$5015,"Pendapatan",Transaksi!$B$16:$B$5015,"&gt;="&amp;DATE(Dashboard!$C$4,10,1),Transaksi!$B$16:$B$5015,"&lt;="&amp;EOMONTH(DATE(Dashboard!$C$4,10,1),0),Transaksi!$H$16:$H$5015,"Uang Kedai")</f>
        <v/>
      </c>
      <c r="E18" s="106">
        <f>SUMIFS(Transaksi!$F$16:$F$5015,Transaksi!$G$16:$G$5015,"Pengeluaran",Transaksi!$B$16:$B$5015,"&gt;="&amp;DATE(Dashboard!$C$4,10,1),Transaksi!$B$16:$B$5015,"&lt;="&amp;EOMONTH(DATE(Dashboard!$C$4,10,1),0),Transaksi!$H$16:$H$5015,"Pengeluaran Uang Kos")</f>
        <v/>
      </c>
      <c r="F18" s="106">
        <f>SUMIFS(Transaksi!$F$16:$F$5015,Transaksi!$G$16:$G$5015,"Pengeluaran",Transaksi!$B$16:$B$5015,"&gt;="&amp;DATE(Dashboard!$C$4,10,1),Transaksi!$B$16:$B$5015,"&lt;="&amp;EOMONTH(DATE(Dashboard!$C$4,10,1),0),Transaksi!$H$16:$H$5015,"Pengeluaran Uang Kedai")</f>
        <v/>
      </c>
      <c r="G18" s="146">
        <f>(SUMIFS(Transaksi!$F$16:$F$5015,Transaksi!$G$16:$G$5015,"Tabungan",Transaksi!$D$16:$D$5015,"Keluar",Transaksi!$H$16:$H$5015,"Reksadana uang kos mama",Transaksi!$B$16:$B$5015,"&gt;="&amp;DATE(Dashboard!$C$4,10,1),Transaksi!$B$16:$B$5015,"&lt;="&amp;EOMONTH(DATE(Dashboard!$C$4,10,1),0))-SUMIFS(Transaksi!$F$16:$F$5015,Transaksi!$G$16:$G$5015,"Tabungan",Transaksi!$D$16:$D$5015,"Masuk",Transaksi!$H$16:$H$5015,"Reksadana uang kos mama",Transaksi!$B$16:$B$5015,"&gt;="&amp;DATE(Dashboard!$C$4,10,1),Transaksi!$B$16:$B$5015,"&lt;="&amp;EOMONTH(DATE(Dashboard!$C$4,10,1),0)))</f>
        <v/>
      </c>
      <c r="H18" s="147">
        <f>IF(DATE(Dashboard!$C$4,10,1)&gt;TODAY(),"",H17+C18+D18-E18-F18-G18)</f>
        <v/>
      </c>
      <c r="I18" s="106">
        <f>IF(DATE(Dashboard!$C$4,10,1)&gt;TODAY(),"",(SUMIFS(Akun!$C$5:$C$104,Akun!$A$5:$A$104,"Uang Kos Mama Cash",Akun!$D$5:$D$104,"&lt;="&amp;EOMONTH(DATE(Dashboard!$C$4,10,1),0))+SUMIFS(Transaksi!$F$16:$F$5015,Transaksi!$C$16:$C$5015,"Uang Kos Mama Cash",Transaksi!$D$16:$D$5015,"Masuk",Transaksi!$B$16:$B$5015,"&lt;="&amp;EOMONTH(DATE(Dashboard!$C$4,10,1),0))-SUMIFS(Transaksi!$F$16:$F$5015,Transaksi!$C$16:$C$5015,"Uang Kos Mama Cash",Transaksi!$D$16:$D$5015,"Keluar",Transaksi!$B$16:$B$5015,"&lt;="&amp;EOMONTH(DATE(Dashboard!$C$4,10,1),0))-SUMIFS(Transaksi!$F$16:$F$5015,Transaksi!$C$16:$C$5015,"Uang Kos Mama Cash",Transaksi!$D$16:$D$5015,"Pindah",Transaksi!$B$16:$B$5015,"&lt;="&amp;EOMONTH(DATE(Dashboard!$C$4,10,1),0))+SUMIFS(Transaksi!$F$16:$F$5015,Transaksi!$E$16:$E$5015,"Uang Kos Mama Cash",Transaksi!$D$16:$D$5015,"Pindah",Transaksi!$B$16:$B$5015,"&lt;="&amp;EOMONTH(DATE(Dashboard!$C$4,10,1),0)))+(SUMIFS(Akun!$C$5:$C$104,Akun!$A$5:$A$104,"Jago - Uang Kos Mama",Akun!$D$5:$D$104,"&lt;="&amp;EOMONTH(DATE(Dashboard!$C$4,10,1),0))+SUMIFS(Transaksi!$F$16:$F$5015,Transaksi!$C$16:$C$5015,"Jago - Uang Kos Mama",Transaksi!$D$16:$D$5015,"Masuk",Transaksi!$B$16:$B$5015,"&lt;="&amp;EOMONTH(DATE(Dashboard!$C$4,10,1),0))-SUMIFS(Transaksi!$F$16:$F$5015,Transaksi!$C$16:$C$5015,"Jago - Uang Kos Mama",Transaksi!$D$16:$D$5015,"Keluar",Transaksi!$B$16:$B$5015,"&lt;="&amp;EOMONTH(DATE(Dashboard!$C$4,10,1),0))-SUMIFS(Transaksi!$F$16:$F$5015,Transaksi!$C$16:$C$5015,"Jago - Uang Kos Mama",Transaksi!$D$16:$D$5015,"Pindah",Transaksi!$B$16:$B$5015,"&lt;="&amp;EOMONTH(DATE(Dashboard!$C$4,10,1),0))+SUMIFS(Transaksi!$F$16:$F$5015,Transaksi!$E$16:$E$5015,"Jago - Uang Kos Mama",Transaksi!$D$16:$D$5015,"Pindah",Transaksi!$B$16:$B$5015,"&lt;="&amp;EOMONTH(DATE(Dashboard!$C$4,10,1),0))))</f>
        <v/>
      </c>
      <c r="J18" s="113">
        <f>IF(DATE(Dashboard!$C$4,10,1)&gt;TODAY(),"",MAX(0,H18-I18))</f>
        <v/>
      </c>
      <c r="K18" s="127">
        <f>IF(DATE(Dashboard!$C$4,10,1)&gt;TODAY(),"",IF(J18=0,"Aman ✓","Pindahkan"))</f>
        <v/>
      </c>
    </row>
    <row r="19" ht="15" customHeight="1" s="94">
      <c r="B19" s="127" t="inlineStr">
        <is>
          <t>November</t>
        </is>
      </c>
      <c r="C19" s="106">
        <f>SUMIFS(Transaksi!$F$16:$F$5015,Transaksi!$G$16:$G$5015,"Pendapatan",Transaksi!$B$16:$B$5015,"&gt;="&amp;DATE(Dashboard!$C$4,11,1),Transaksi!$B$16:$B$5015,"&lt;="&amp;EOMONTH(DATE(Dashboard!$C$4,11,1),0),Transaksi!$H$16:$H$5015,"Uang Kos Mama")</f>
        <v/>
      </c>
      <c r="D19" s="106">
        <f>SUMIFS(Transaksi!$F$16:$F$5015,Transaksi!$G$16:$G$5015,"Pendapatan",Transaksi!$B$16:$B$5015,"&gt;="&amp;DATE(Dashboard!$C$4,11,1),Transaksi!$B$16:$B$5015,"&lt;="&amp;EOMONTH(DATE(Dashboard!$C$4,11,1),0),Transaksi!$H$16:$H$5015,"Uang Kedai")</f>
        <v/>
      </c>
      <c r="E19" s="106">
        <f>SUMIFS(Transaksi!$F$16:$F$5015,Transaksi!$G$16:$G$5015,"Pengeluaran",Transaksi!$B$16:$B$5015,"&gt;="&amp;DATE(Dashboard!$C$4,11,1),Transaksi!$B$16:$B$5015,"&lt;="&amp;EOMONTH(DATE(Dashboard!$C$4,11,1),0),Transaksi!$H$16:$H$5015,"Pengeluaran Uang Kos")</f>
        <v/>
      </c>
      <c r="F19" s="106">
        <f>SUMIFS(Transaksi!$F$16:$F$5015,Transaksi!$G$16:$G$5015,"Pengeluaran",Transaksi!$B$16:$B$5015,"&gt;="&amp;DATE(Dashboard!$C$4,11,1),Transaksi!$B$16:$B$5015,"&lt;="&amp;EOMONTH(DATE(Dashboard!$C$4,11,1),0),Transaksi!$H$16:$H$5015,"Pengeluaran Uang Kedai")</f>
        <v/>
      </c>
      <c r="G19" s="146">
        <f>(SUMIFS(Transaksi!$F$16:$F$5015,Transaksi!$G$16:$G$5015,"Tabungan",Transaksi!$D$16:$D$5015,"Keluar",Transaksi!$H$16:$H$5015,"Reksadana uang kos mama",Transaksi!$B$16:$B$5015,"&gt;="&amp;DATE(Dashboard!$C$4,11,1),Transaksi!$B$16:$B$5015,"&lt;="&amp;EOMONTH(DATE(Dashboard!$C$4,11,1),0))-SUMIFS(Transaksi!$F$16:$F$5015,Transaksi!$G$16:$G$5015,"Tabungan",Transaksi!$D$16:$D$5015,"Masuk",Transaksi!$H$16:$H$5015,"Reksadana uang kos mama",Transaksi!$B$16:$B$5015,"&gt;="&amp;DATE(Dashboard!$C$4,11,1),Transaksi!$B$16:$B$5015,"&lt;="&amp;EOMONTH(DATE(Dashboard!$C$4,11,1),0)))</f>
        <v/>
      </c>
      <c r="H19" s="147">
        <f>IF(DATE(Dashboard!$C$4,11,1)&gt;TODAY(),"",H18+C19+D19-E19-F19-G19)</f>
        <v/>
      </c>
      <c r="I19" s="106">
        <f>IF(DATE(Dashboard!$C$4,11,1)&gt;TODAY(),"",(SUMIFS(Akun!$C$5:$C$104,Akun!$A$5:$A$104,"Uang Kos Mama Cash",Akun!$D$5:$D$104,"&lt;="&amp;EOMONTH(DATE(Dashboard!$C$4,11,1),0))+SUMIFS(Transaksi!$F$16:$F$5015,Transaksi!$C$16:$C$5015,"Uang Kos Mama Cash",Transaksi!$D$16:$D$5015,"Masuk",Transaksi!$B$16:$B$5015,"&lt;="&amp;EOMONTH(DATE(Dashboard!$C$4,11,1),0))-SUMIFS(Transaksi!$F$16:$F$5015,Transaksi!$C$16:$C$5015,"Uang Kos Mama Cash",Transaksi!$D$16:$D$5015,"Keluar",Transaksi!$B$16:$B$5015,"&lt;="&amp;EOMONTH(DATE(Dashboard!$C$4,11,1),0))-SUMIFS(Transaksi!$F$16:$F$5015,Transaksi!$C$16:$C$5015,"Uang Kos Mama Cash",Transaksi!$D$16:$D$5015,"Pindah",Transaksi!$B$16:$B$5015,"&lt;="&amp;EOMONTH(DATE(Dashboard!$C$4,11,1),0))+SUMIFS(Transaksi!$F$16:$F$5015,Transaksi!$E$16:$E$5015,"Uang Kos Mama Cash",Transaksi!$D$16:$D$5015,"Pindah",Transaksi!$B$16:$B$5015,"&lt;="&amp;EOMONTH(DATE(Dashboard!$C$4,11,1),0)))+(SUMIFS(Akun!$C$5:$C$104,Akun!$A$5:$A$104,"Jago - Uang Kos Mama",Akun!$D$5:$D$104,"&lt;="&amp;EOMONTH(DATE(Dashboard!$C$4,11,1),0))+SUMIFS(Transaksi!$F$16:$F$5015,Transaksi!$C$16:$C$5015,"Jago - Uang Kos Mama",Transaksi!$D$16:$D$5015,"Masuk",Transaksi!$B$16:$B$5015,"&lt;="&amp;EOMONTH(DATE(Dashboard!$C$4,11,1),0))-SUMIFS(Transaksi!$F$16:$F$5015,Transaksi!$C$16:$C$5015,"Jago - Uang Kos Mama",Transaksi!$D$16:$D$5015,"Keluar",Transaksi!$B$16:$B$5015,"&lt;="&amp;EOMONTH(DATE(Dashboard!$C$4,11,1),0))-SUMIFS(Transaksi!$F$16:$F$5015,Transaksi!$C$16:$C$5015,"Jago - Uang Kos Mama",Transaksi!$D$16:$D$5015,"Pindah",Transaksi!$B$16:$B$5015,"&lt;="&amp;EOMONTH(DATE(Dashboard!$C$4,11,1),0))+SUMIFS(Transaksi!$F$16:$F$5015,Transaksi!$E$16:$E$5015,"Jago - Uang Kos Mama",Transaksi!$D$16:$D$5015,"Pindah",Transaksi!$B$16:$B$5015,"&lt;="&amp;EOMONTH(DATE(Dashboard!$C$4,11,1),0))))</f>
        <v/>
      </c>
      <c r="J19" s="113">
        <f>IF(DATE(Dashboard!$C$4,11,1)&gt;TODAY(),"",MAX(0,H19-I19))</f>
        <v/>
      </c>
      <c r="K19" s="127">
        <f>IF(DATE(Dashboard!$C$4,11,1)&gt;TODAY(),"",IF(J19=0,"Aman ✓","Pindahkan"))</f>
        <v/>
      </c>
    </row>
    <row r="20" ht="15" customHeight="1" s="94">
      <c r="B20" s="127" t="inlineStr">
        <is>
          <t>Desember</t>
        </is>
      </c>
      <c r="C20" s="106">
        <f>SUMIFS(Transaksi!$F$16:$F$5015,Transaksi!$G$16:$G$5015,"Pendapatan",Transaksi!$B$16:$B$5015,"&gt;="&amp;DATE(Dashboard!$C$4,12,1),Transaksi!$B$16:$B$5015,"&lt;="&amp;EOMONTH(DATE(Dashboard!$C$4,12,1),0),Transaksi!$H$16:$H$5015,"Uang Kos Mama")</f>
        <v/>
      </c>
      <c r="D20" s="106">
        <f>SUMIFS(Transaksi!$F$16:$F$5015,Transaksi!$G$16:$G$5015,"Pendapatan",Transaksi!$B$16:$B$5015,"&gt;="&amp;DATE(Dashboard!$C$4,12,1),Transaksi!$B$16:$B$5015,"&lt;="&amp;EOMONTH(DATE(Dashboard!$C$4,12,1),0),Transaksi!$H$16:$H$5015,"Uang Kedai")</f>
        <v/>
      </c>
      <c r="E20" s="106">
        <f>SUMIFS(Transaksi!$F$16:$F$5015,Transaksi!$G$16:$G$5015,"Pengeluaran",Transaksi!$B$16:$B$5015,"&gt;="&amp;DATE(Dashboard!$C$4,12,1),Transaksi!$B$16:$B$5015,"&lt;="&amp;EOMONTH(DATE(Dashboard!$C$4,12,1),0),Transaksi!$H$16:$H$5015,"Pengeluaran Uang Kos")</f>
        <v/>
      </c>
      <c r="F20" s="106">
        <f>SUMIFS(Transaksi!$F$16:$F$5015,Transaksi!$G$16:$G$5015,"Pengeluaran",Transaksi!$B$16:$B$5015,"&gt;="&amp;DATE(Dashboard!$C$4,12,1),Transaksi!$B$16:$B$5015,"&lt;="&amp;EOMONTH(DATE(Dashboard!$C$4,12,1),0),Transaksi!$H$16:$H$5015,"Pengeluaran Uang Kedai")</f>
        <v/>
      </c>
      <c r="G20" s="146">
        <f>(SUMIFS(Transaksi!$F$16:$F$5015,Transaksi!$G$16:$G$5015,"Tabungan",Transaksi!$D$16:$D$5015,"Keluar",Transaksi!$H$16:$H$5015,"Reksadana uang kos mama",Transaksi!$B$16:$B$5015,"&gt;="&amp;DATE(Dashboard!$C$4,12,1),Transaksi!$B$16:$B$5015,"&lt;="&amp;EOMONTH(DATE(Dashboard!$C$4,12,1),0))-SUMIFS(Transaksi!$F$16:$F$5015,Transaksi!$G$16:$G$5015,"Tabungan",Transaksi!$D$16:$D$5015,"Masuk",Transaksi!$H$16:$H$5015,"Reksadana uang kos mama",Transaksi!$B$16:$B$5015,"&gt;="&amp;DATE(Dashboard!$C$4,12,1),Transaksi!$B$16:$B$5015,"&lt;="&amp;EOMONTH(DATE(Dashboard!$C$4,12,1),0)))</f>
        <v/>
      </c>
      <c r="H20" s="147">
        <f>IF(DATE(Dashboard!$C$4,12,1)&gt;TODAY(),"",H19+C20+D20-E20-F20-G20)</f>
        <v/>
      </c>
      <c r="I20" s="106">
        <f>IF(DATE(Dashboard!$C$4,12,1)&gt;TODAY(),"",(SUMIFS(Akun!$C$5:$C$104,Akun!$A$5:$A$104,"Uang Kos Mama Cash",Akun!$D$5:$D$104,"&lt;="&amp;EOMONTH(DATE(Dashboard!$C$4,12,1),0))+SUMIFS(Transaksi!$F$16:$F$5015,Transaksi!$C$16:$C$5015,"Uang Kos Mama Cash",Transaksi!$D$16:$D$5015,"Masuk",Transaksi!$B$16:$B$5015,"&lt;="&amp;EOMONTH(DATE(Dashboard!$C$4,12,1),0))-SUMIFS(Transaksi!$F$16:$F$5015,Transaksi!$C$16:$C$5015,"Uang Kos Mama Cash",Transaksi!$D$16:$D$5015,"Keluar",Transaksi!$B$16:$B$5015,"&lt;="&amp;EOMONTH(DATE(Dashboard!$C$4,12,1),0))-SUMIFS(Transaksi!$F$16:$F$5015,Transaksi!$C$16:$C$5015,"Uang Kos Mama Cash",Transaksi!$D$16:$D$5015,"Pindah",Transaksi!$B$16:$B$5015,"&lt;="&amp;EOMONTH(DATE(Dashboard!$C$4,12,1),0))+SUMIFS(Transaksi!$F$16:$F$5015,Transaksi!$E$16:$E$5015,"Uang Kos Mama Cash",Transaksi!$D$16:$D$5015,"Pindah",Transaksi!$B$16:$B$5015,"&lt;="&amp;EOMONTH(DATE(Dashboard!$C$4,12,1),0)))+(SUMIFS(Akun!$C$5:$C$104,Akun!$A$5:$A$104,"Jago - Uang Kos Mama",Akun!$D$5:$D$104,"&lt;="&amp;EOMONTH(DATE(Dashboard!$C$4,12,1),0))+SUMIFS(Transaksi!$F$16:$F$5015,Transaksi!$C$16:$C$5015,"Jago - Uang Kos Mama",Transaksi!$D$16:$D$5015,"Masuk",Transaksi!$B$16:$B$5015,"&lt;="&amp;EOMONTH(DATE(Dashboard!$C$4,12,1),0))-SUMIFS(Transaksi!$F$16:$F$5015,Transaksi!$C$16:$C$5015,"Jago - Uang Kos Mama",Transaksi!$D$16:$D$5015,"Keluar",Transaksi!$B$16:$B$5015,"&lt;="&amp;EOMONTH(DATE(Dashboard!$C$4,12,1),0))-SUMIFS(Transaksi!$F$16:$F$5015,Transaksi!$C$16:$C$5015,"Jago - Uang Kos Mama",Transaksi!$D$16:$D$5015,"Pindah",Transaksi!$B$16:$B$5015,"&lt;="&amp;EOMONTH(DATE(Dashboard!$C$4,12,1),0))+SUMIFS(Transaksi!$F$16:$F$5015,Transaksi!$E$16:$E$5015,"Jago - Uang Kos Mama",Transaksi!$D$16:$D$5015,"Pindah",Transaksi!$B$16:$B$5015,"&lt;="&amp;EOMONTH(DATE(Dashboard!$C$4,12,1),0))))</f>
        <v/>
      </c>
      <c r="J20" s="113">
        <f>IF(DATE(Dashboard!$C$4,12,1)&gt;TODAY(),"",MAX(0,H20-I20))</f>
        <v/>
      </c>
      <c r="K20" s="127">
        <f>IF(DATE(Dashboard!$C$4,12,1)&gt;TODAY(),"",IF(J20=0,"Aman ✓","Pindahkan"))</f>
        <v/>
      </c>
    </row>
    <row r="21" ht="15" customHeight="1" s="94">
      <c r="B21" s="108" t="inlineStr">
        <is>
          <t>TOTAL</t>
        </is>
      </c>
      <c r="C21" s="109">
        <f>SUM(C9:C20)</f>
        <v/>
      </c>
      <c r="D21" s="109">
        <f>SUM(D9:D20)</f>
        <v/>
      </c>
      <c r="E21" s="109">
        <f>SUM(E9:E20)</f>
        <v/>
      </c>
      <c r="F21" s="109">
        <f>SUM(F9:F20)</f>
        <v/>
      </c>
      <c r="G21" s="145">
        <f>SUM(G9:G20)</f>
        <v/>
      </c>
      <c r="H21" s="148" t="n"/>
    </row>
    <row r="22"/>
    <row r="23" ht="15.75" customHeight="1" s="94">
      <c r="B23" s="149" t="inlineStr">
        <is>
          <t>CARA MEMBACA:</t>
        </is>
      </c>
    </row>
    <row r="24" ht="27.75" customHeight="1" s="94">
      <c r="B24" s="114" t="inlineStr">
        <is>
          <t>• Kolom H = selisih catatan: uang mama masuk − dipakai − disetor ke reksadana, dihitung sejak Feb 2024. Minus BUKAN berarti uang mama ada di akun pribadimu; minus terjadi karena uang mama sebelum Feb 2024 (yang ikut diinvestasikan) belum tercatat.</t>
        </is>
      </c>
    </row>
    <row r="25" ht="27.75" customHeight="1" s="94">
      <c r="B25" s="114" t="inlineStr">
        <is>
          <t>• Kolom I = isi akun "Uang Kos Mama Cash" + "Jago - Uang Kos Mama" pada akhir bulan (tab Saldo Akun).</t>
        </is>
      </c>
    </row>
    <row r="26" ht="27.75" customHeight="1" s="94">
      <c r="B26" s="114" t="inlineStr">
        <is>
          <t>• Yang menunjukkan uang mama tertinggal di akun pribadimu adalah kolom J ("Masih di akun pribadimu"). Selama J = 0 dan status "Aman ✓", tidak ada uang mama di akun pribadimu.</t>
        </is>
      </c>
    </row>
    <row r="27" ht="27.75" customHeight="1" s="94">
      <c r="B27" s="114" t="inlineStr">
        <is>
          <t>• Sisa bisa minus: artinya yang dikeluarkan/disetor ke reksadana lebih besar dari uang mama yang tercatat masuk sejak Feb 2024 — biasanya karena uang mama dari sebelum Feb 2024 (isi di sel F4).</t>
        </is>
      </c>
    </row>
    <row r="28" ht="27.75" customHeight="1" s="94">
      <c r="B28" s="114" t="inlineStr">
        <is>
          <t>• Riwayat: Jan–Jun 2025 berstatus "Pindahkan" karena uang kos saat itu masih ditampung di Bank Mandiri (Kantong Uang Kos Mama baru dipakai sejak Juli 2025). Sejak Juli 2025 semuanya "Aman ✓".</t>
        </is>
      </c>
    </row>
  </sheetData>
  <mergeCells count="11">
    <mergeCell ref="A2:L2"/>
    <mergeCell ref="B23:K23"/>
    <mergeCell ref="B4:E4"/>
    <mergeCell ref="B26:K26"/>
    <mergeCell ref="B27:K27"/>
    <mergeCell ref="A1:L1"/>
    <mergeCell ref="B8:G8"/>
    <mergeCell ref="B25:K25"/>
    <mergeCell ref="B6:K6"/>
    <mergeCell ref="B24:K24"/>
    <mergeCell ref="B28:K28"/>
  </mergeCells>
  <conditionalFormatting sqref="K9:K20">
    <cfRule type="expression" rank="0" priority="2" equalAverage="0" aboveAverage="0" dxfId="21" text="" percent="0" bottom="0">
      <formula>LEFT($K9,4)="Aman"</formula>
    </cfRule>
    <cfRule type="expression" rank="0" priority="3" equalAverage="0" aboveAverage="0" dxfId="24" text="" percent="0" bottom="0">
      <formula>$K9="Pindahkan"</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I5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95" customWidth="1" style="93" min="1" max="1"/>
    <col width="12" customWidth="1" style="93" min="2" max="2"/>
    <col width="17" customWidth="1" style="93" min="3" max="7"/>
    <col width="45" customWidth="1" style="94" min="5" max="5"/>
    <col width="13" customWidth="1" style="93" min="8" max="8"/>
    <col width="2.95" customWidth="1" style="93" min="9" max="9"/>
  </cols>
  <sheetData>
    <row r="1" ht="30" customHeight="1" s="94">
      <c r="A1" s="95" t="inlineStr">
        <is>
          <t>UANG DISAN — MASUK, KELUAR &amp; SISA PER BULAN</t>
        </is>
      </c>
    </row>
    <row r="2" ht="30" customHeight="1" s="94">
      <c r="A2" s="98" t="inlineStr">
        <is>
          <t>Tahun mengikuti Dashboard. Masuk = uang untuk Disan yang kamu terima (dari kk Lisa). Keluar = uang yang sudah diberikan/dipakai untuk Disan. Sisa = uang Disan yang masih kamu pegang. Transaksinya: tab Transaksi → Sumber = Uang Disan / Pengeluaran Uang Disan.</t>
        </is>
      </c>
    </row>
    <row r="3"/>
    <row r="4" ht="15" customHeight="1" s="94">
      <c r="B4" s="101">
        <f>"A. PER BULAN — TAHUN "&amp;Dashboard!$C$4</f>
        <v/>
      </c>
    </row>
    <row r="5" ht="43.5" customHeight="1" s="94">
      <c r="B5" s="103" t="inlineStr">
        <is>
          <t>Bulan</t>
        </is>
      </c>
      <c r="C5" s="103" t="inlineStr">
        <is>
          <t>Uang untuk Disan masuk</t>
        </is>
      </c>
      <c r="D5" s="103" t="inlineStr">
        <is>
          <t>Diberikan / dipakai untuk Disan</t>
        </is>
      </c>
      <c r="E5" s="103" t="inlineStr">
        <is>
          <t>Sisa uang Disan (akhir bulan)</t>
        </is>
      </c>
      <c r="F5" s="103" t="inlineStr">
        <is>
          <t>Ada di akun Uang Disan</t>
        </is>
      </c>
      <c r="G5" s="103" t="inlineStr">
        <is>
          <t>Masih di akun pribadimu</t>
        </is>
      </c>
      <c r="H5" s="103" t="inlineStr">
        <is>
          <t>Status</t>
        </is>
      </c>
    </row>
    <row r="6" ht="15" customHeight="1" s="94">
      <c r="B6" s="108" t="inlineStr">
        <is>
          <t>Sisa akhir tahun lalu</t>
        </is>
      </c>
      <c r="E6" s="109">
        <f>SUMIFS(Transaksi!$F$16:$F$5015,Transaksi!$G$16:$G$5015,"Pendapatan",Transaksi!$H$16:$H$5015,"Uang Disan",Transaksi!$B$16:$B$5015,"&gt;="&amp;DATE(2000,1,1),Transaksi!$B$16:$B$5015,"&lt;="&amp;DATE(Dashboard!$C$4-1,12,31))-SUMIFS(Transaksi!$F$16:$F$5015,Transaksi!$G$16:$G$5015,"Pengeluaran",Transaksi!$H$16:$H$5015,"Pengeluaran Uang Disan",Transaksi!$B$16:$B$5015,"&gt;="&amp;DATE(2000,1,1),Transaksi!$B$16:$B$5015,"&lt;="&amp;DATE(Dashboard!$C$4-1,12,31))</f>
        <v/>
      </c>
    </row>
    <row r="7" ht="15" customHeight="1" s="94">
      <c r="B7" s="127" t="inlineStr">
        <is>
          <t>Januari</t>
        </is>
      </c>
      <c r="C7" s="106">
        <f>SUMIFS(Transaksi!$F$16:$F$5015,Transaksi!$G$16:$G$5015,"Pendapatan",Transaksi!$H$16:$H$5015,"Uang Disan",Transaksi!$B$16:$B$5015,"&gt;="&amp;DATE(Dashboard!$C$4,1,1),Transaksi!$B$16:$B$5015,"&lt;="&amp;EOMONTH(DATE(Dashboard!$C$4,1,1),0))</f>
        <v/>
      </c>
      <c r="D7" s="106">
        <f>SUMIFS(Transaksi!$F$16:$F$5015,Transaksi!$G$16:$G$5015,"Pengeluaran",Transaksi!$H$16:$H$5015,"Pengeluaran Uang Disan",Transaksi!$B$16:$B$5015,"&gt;="&amp;DATE(Dashboard!$C$4,1,1),Transaksi!$B$16:$B$5015,"&lt;="&amp;EOMONTH(DATE(Dashboard!$C$4,1,1),0))</f>
        <v/>
      </c>
      <c r="E7" s="113">
        <f>IF(DATE(Dashboard!$C$4,1,1)&gt;TODAY(),"",E6+C7-D7)</f>
        <v/>
      </c>
      <c r="F7" s="106">
        <f>IF(DATE(Dashboard!$C$4,1,1)&gt;TODAY(),"",SUMIFS(Akun!$C$5:$C$104,Akun!$A$5:$A$104,"Uang Disan",Akun!$D$5:$D$104,"&lt;="&amp;EOMONTH(DATE(Dashboard!$C$4,1,1),0))+SUMIFS(Transaksi!$F$16:$F$5015,Transaksi!$C$16:$C$5015,"Uang Disan",Transaksi!$D$16:$D$5015,"Masuk",Transaksi!$B$16:$B$5015,"&lt;="&amp;EOMONTH(DATE(Dashboard!$C$4,1,1),0))-SUMIFS(Transaksi!$F$16:$F$5015,Transaksi!$C$16:$C$5015,"Uang Disan",Transaksi!$D$16:$D$5015,"Keluar",Transaksi!$B$16:$B$5015,"&lt;="&amp;EOMONTH(DATE(Dashboard!$C$4,1,1),0))-SUMIFS(Transaksi!$F$16:$F$5015,Transaksi!$C$16:$C$5015,"Uang Disan",Transaksi!$D$16:$D$5015,"Pindah",Transaksi!$B$16:$B$5015,"&lt;="&amp;EOMONTH(DATE(Dashboard!$C$4,1,1),0))+SUMIFS(Transaksi!$F$16:$F$5015,Transaksi!$E$16:$E$5015,"Uang Disan",Transaksi!$D$16:$D$5015,"Pindah",Transaksi!$B$16:$B$5015,"&lt;="&amp;EOMONTH(DATE(Dashboard!$C$4,1,1),0)))</f>
        <v/>
      </c>
      <c r="G7" s="113">
        <f>IF(DATE(Dashboard!$C$4,1,1)&gt;TODAY(),"",MAX(0,E7-F7))</f>
        <v/>
      </c>
      <c r="H7" s="127">
        <f>IF(DATE(Dashboard!$C$4,1,1)&gt;TODAY(),"",IF(E7=0,"Sudah diberikan semua ✓","Tertahan "&amp;TEXT(E7,"#,##0")&amp;" (belum sampai ke Disan)"))</f>
        <v/>
      </c>
    </row>
    <row r="8" ht="15" customHeight="1" s="94">
      <c r="B8" s="127" t="inlineStr">
        <is>
          <t>Februari</t>
        </is>
      </c>
      <c r="C8" s="106">
        <f>SUMIFS(Transaksi!$F$16:$F$5015,Transaksi!$G$16:$G$5015,"Pendapatan",Transaksi!$H$16:$H$5015,"Uang Disan",Transaksi!$B$16:$B$5015,"&gt;="&amp;DATE(Dashboard!$C$4,2,1),Transaksi!$B$16:$B$5015,"&lt;="&amp;EOMONTH(DATE(Dashboard!$C$4,2,1),0))</f>
        <v/>
      </c>
      <c r="D8" s="106">
        <f>SUMIFS(Transaksi!$F$16:$F$5015,Transaksi!$G$16:$G$5015,"Pengeluaran",Transaksi!$H$16:$H$5015,"Pengeluaran Uang Disan",Transaksi!$B$16:$B$5015,"&gt;="&amp;DATE(Dashboard!$C$4,2,1),Transaksi!$B$16:$B$5015,"&lt;="&amp;EOMONTH(DATE(Dashboard!$C$4,2,1),0))</f>
        <v/>
      </c>
      <c r="E8" s="113">
        <f>IF(DATE(Dashboard!$C$4,2,1)&gt;TODAY(),"",E7+C8-D8)</f>
        <v/>
      </c>
      <c r="F8" s="106">
        <f>IF(DATE(Dashboard!$C$4,2,1)&gt;TODAY(),"",SUMIFS(Akun!$C$5:$C$104,Akun!$A$5:$A$104,"Uang Disan",Akun!$D$5:$D$104,"&lt;="&amp;EOMONTH(DATE(Dashboard!$C$4,2,1),0))+SUMIFS(Transaksi!$F$16:$F$5015,Transaksi!$C$16:$C$5015,"Uang Disan",Transaksi!$D$16:$D$5015,"Masuk",Transaksi!$B$16:$B$5015,"&lt;="&amp;EOMONTH(DATE(Dashboard!$C$4,2,1),0))-SUMIFS(Transaksi!$F$16:$F$5015,Transaksi!$C$16:$C$5015,"Uang Disan",Transaksi!$D$16:$D$5015,"Keluar",Transaksi!$B$16:$B$5015,"&lt;="&amp;EOMONTH(DATE(Dashboard!$C$4,2,1),0))-SUMIFS(Transaksi!$F$16:$F$5015,Transaksi!$C$16:$C$5015,"Uang Disan",Transaksi!$D$16:$D$5015,"Pindah",Transaksi!$B$16:$B$5015,"&lt;="&amp;EOMONTH(DATE(Dashboard!$C$4,2,1),0))+SUMIFS(Transaksi!$F$16:$F$5015,Transaksi!$E$16:$E$5015,"Uang Disan",Transaksi!$D$16:$D$5015,"Pindah",Transaksi!$B$16:$B$5015,"&lt;="&amp;EOMONTH(DATE(Dashboard!$C$4,2,1),0)))</f>
        <v/>
      </c>
      <c r="G8" s="113">
        <f>IF(DATE(Dashboard!$C$4,2,1)&gt;TODAY(),"",MAX(0,E8-F8))</f>
        <v/>
      </c>
      <c r="H8" s="127">
        <f>IF(DATE(Dashboard!$C$4,2,1)&gt;TODAY(),"",IF(E8=0,"Sudah diberikan semua ✓","Tertahan "&amp;TEXT(E8,"#,##0")&amp;" (belum sampai ke Disan)"))</f>
        <v/>
      </c>
    </row>
    <row r="9" ht="15" customHeight="1" s="94">
      <c r="B9" s="127" t="inlineStr">
        <is>
          <t>Maret</t>
        </is>
      </c>
      <c r="C9" s="106">
        <f>SUMIFS(Transaksi!$F$16:$F$5015,Transaksi!$G$16:$G$5015,"Pendapatan",Transaksi!$H$16:$H$5015,"Uang Disan",Transaksi!$B$16:$B$5015,"&gt;="&amp;DATE(Dashboard!$C$4,3,1),Transaksi!$B$16:$B$5015,"&lt;="&amp;EOMONTH(DATE(Dashboard!$C$4,3,1),0))</f>
        <v/>
      </c>
      <c r="D9" s="106">
        <f>SUMIFS(Transaksi!$F$16:$F$5015,Transaksi!$G$16:$G$5015,"Pengeluaran",Transaksi!$H$16:$H$5015,"Pengeluaran Uang Disan",Transaksi!$B$16:$B$5015,"&gt;="&amp;DATE(Dashboard!$C$4,3,1),Transaksi!$B$16:$B$5015,"&lt;="&amp;EOMONTH(DATE(Dashboard!$C$4,3,1),0))</f>
        <v/>
      </c>
      <c r="E9" s="113">
        <f>IF(DATE(Dashboard!$C$4,3,1)&gt;TODAY(),"",E8+C9-D9)</f>
        <v/>
      </c>
      <c r="F9" s="106">
        <f>IF(DATE(Dashboard!$C$4,3,1)&gt;TODAY(),"",SUMIFS(Akun!$C$5:$C$104,Akun!$A$5:$A$104,"Uang Disan",Akun!$D$5:$D$104,"&lt;="&amp;EOMONTH(DATE(Dashboard!$C$4,3,1),0))+SUMIFS(Transaksi!$F$16:$F$5015,Transaksi!$C$16:$C$5015,"Uang Disan",Transaksi!$D$16:$D$5015,"Masuk",Transaksi!$B$16:$B$5015,"&lt;="&amp;EOMONTH(DATE(Dashboard!$C$4,3,1),0))-SUMIFS(Transaksi!$F$16:$F$5015,Transaksi!$C$16:$C$5015,"Uang Disan",Transaksi!$D$16:$D$5015,"Keluar",Transaksi!$B$16:$B$5015,"&lt;="&amp;EOMONTH(DATE(Dashboard!$C$4,3,1),0))-SUMIFS(Transaksi!$F$16:$F$5015,Transaksi!$C$16:$C$5015,"Uang Disan",Transaksi!$D$16:$D$5015,"Pindah",Transaksi!$B$16:$B$5015,"&lt;="&amp;EOMONTH(DATE(Dashboard!$C$4,3,1),0))+SUMIFS(Transaksi!$F$16:$F$5015,Transaksi!$E$16:$E$5015,"Uang Disan",Transaksi!$D$16:$D$5015,"Pindah",Transaksi!$B$16:$B$5015,"&lt;="&amp;EOMONTH(DATE(Dashboard!$C$4,3,1),0)))</f>
        <v/>
      </c>
      <c r="G9" s="113">
        <f>IF(DATE(Dashboard!$C$4,3,1)&gt;TODAY(),"",MAX(0,E9-F9))</f>
        <v/>
      </c>
      <c r="H9" s="127">
        <f>IF(DATE(Dashboard!$C$4,3,1)&gt;TODAY(),"",IF(E9=0,"Sudah diberikan semua ✓","Tertahan "&amp;TEXT(E9,"#,##0")&amp;" (belum sampai ke Disan)"))</f>
        <v/>
      </c>
    </row>
    <row r="10" ht="15" customHeight="1" s="94">
      <c r="B10" s="127" t="inlineStr">
        <is>
          <t>April</t>
        </is>
      </c>
      <c r="C10" s="106">
        <f>SUMIFS(Transaksi!$F$16:$F$5015,Transaksi!$G$16:$G$5015,"Pendapatan",Transaksi!$H$16:$H$5015,"Uang Disan",Transaksi!$B$16:$B$5015,"&gt;="&amp;DATE(Dashboard!$C$4,4,1),Transaksi!$B$16:$B$5015,"&lt;="&amp;EOMONTH(DATE(Dashboard!$C$4,4,1),0))</f>
        <v/>
      </c>
      <c r="D10" s="106">
        <f>SUMIFS(Transaksi!$F$16:$F$5015,Transaksi!$G$16:$G$5015,"Pengeluaran",Transaksi!$H$16:$H$5015,"Pengeluaran Uang Disan",Transaksi!$B$16:$B$5015,"&gt;="&amp;DATE(Dashboard!$C$4,4,1),Transaksi!$B$16:$B$5015,"&lt;="&amp;EOMONTH(DATE(Dashboard!$C$4,4,1),0))</f>
        <v/>
      </c>
      <c r="E10" s="113">
        <f>IF(DATE(Dashboard!$C$4,4,1)&gt;TODAY(),"",E9+C10-D10)</f>
        <v/>
      </c>
      <c r="F10" s="106">
        <f>IF(DATE(Dashboard!$C$4,4,1)&gt;TODAY(),"",SUMIFS(Akun!$C$5:$C$104,Akun!$A$5:$A$104,"Uang Disan",Akun!$D$5:$D$104,"&lt;="&amp;EOMONTH(DATE(Dashboard!$C$4,4,1),0))+SUMIFS(Transaksi!$F$16:$F$5015,Transaksi!$C$16:$C$5015,"Uang Disan",Transaksi!$D$16:$D$5015,"Masuk",Transaksi!$B$16:$B$5015,"&lt;="&amp;EOMONTH(DATE(Dashboard!$C$4,4,1),0))-SUMIFS(Transaksi!$F$16:$F$5015,Transaksi!$C$16:$C$5015,"Uang Disan",Transaksi!$D$16:$D$5015,"Keluar",Transaksi!$B$16:$B$5015,"&lt;="&amp;EOMONTH(DATE(Dashboard!$C$4,4,1),0))-SUMIFS(Transaksi!$F$16:$F$5015,Transaksi!$C$16:$C$5015,"Uang Disan",Transaksi!$D$16:$D$5015,"Pindah",Transaksi!$B$16:$B$5015,"&lt;="&amp;EOMONTH(DATE(Dashboard!$C$4,4,1),0))+SUMIFS(Transaksi!$F$16:$F$5015,Transaksi!$E$16:$E$5015,"Uang Disan",Transaksi!$D$16:$D$5015,"Pindah",Transaksi!$B$16:$B$5015,"&lt;="&amp;EOMONTH(DATE(Dashboard!$C$4,4,1),0)))</f>
        <v/>
      </c>
      <c r="G10" s="113">
        <f>IF(DATE(Dashboard!$C$4,4,1)&gt;TODAY(),"",MAX(0,E10-F10))</f>
        <v/>
      </c>
      <c r="H10" s="127">
        <f>IF(DATE(Dashboard!$C$4,4,1)&gt;TODAY(),"",IF(E10=0,"Sudah diberikan semua ✓","Tertahan "&amp;TEXT(E10,"#,##0")&amp;" (belum sampai ke Disan)"))</f>
        <v/>
      </c>
    </row>
    <row r="11" ht="15" customHeight="1" s="94">
      <c r="B11" s="127" t="inlineStr">
        <is>
          <t>Mei</t>
        </is>
      </c>
      <c r="C11" s="106">
        <f>SUMIFS(Transaksi!$F$16:$F$5015,Transaksi!$G$16:$G$5015,"Pendapatan",Transaksi!$H$16:$H$5015,"Uang Disan",Transaksi!$B$16:$B$5015,"&gt;="&amp;DATE(Dashboard!$C$4,5,1),Transaksi!$B$16:$B$5015,"&lt;="&amp;EOMONTH(DATE(Dashboard!$C$4,5,1),0))</f>
        <v/>
      </c>
      <c r="D11" s="106">
        <f>SUMIFS(Transaksi!$F$16:$F$5015,Transaksi!$G$16:$G$5015,"Pengeluaran",Transaksi!$H$16:$H$5015,"Pengeluaran Uang Disan",Transaksi!$B$16:$B$5015,"&gt;="&amp;DATE(Dashboard!$C$4,5,1),Transaksi!$B$16:$B$5015,"&lt;="&amp;EOMONTH(DATE(Dashboard!$C$4,5,1),0))</f>
        <v/>
      </c>
      <c r="E11" s="113">
        <f>IF(DATE(Dashboard!$C$4,5,1)&gt;TODAY(),"",E10+C11-D11)</f>
        <v/>
      </c>
      <c r="F11" s="106">
        <f>IF(DATE(Dashboard!$C$4,5,1)&gt;TODAY(),"",SUMIFS(Akun!$C$5:$C$104,Akun!$A$5:$A$104,"Uang Disan",Akun!$D$5:$D$104,"&lt;="&amp;EOMONTH(DATE(Dashboard!$C$4,5,1),0))+SUMIFS(Transaksi!$F$16:$F$5015,Transaksi!$C$16:$C$5015,"Uang Disan",Transaksi!$D$16:$D$5015,"Masuk",Transaksi!$B$16:$B$5015,"&lt;="&amp;EOMONTH(DATE(Dashboard!$C$4,5,1),0))-SUMIFS(Transaksi!$F$16:$F$5015,Transaksi!$C$16:$C$5015,"Uang Disan",Transaksi!$D$16:$D$5015,"Keluar",Transaksi!$B$16:$B$5015,"&lt;="&amp;EOMONTH(DATE(Dashboard!$C$4,5,1),0))-SUMIFS(Transaksi!$F$16:$F$5015,Transaksi!$C$16:$C$5015,"Uang Disan",Transaksi!$D$16:$D$5015,"Pindah",Transaksi!$B$16:$B$5015,"&lt;="&amp;EOMONTH(DATE(Dashboard!$C$4,5,1),0))+SUMIFS(Transaksi!$F$16:$F$5015,Transaksi!$E$16:$E$5015,"Uang Disan",Transaksi!$D$16:$D$5015,"Pindah",Transaksi!$B$16:$B$5015,"&lt;="&amp;EOMONTH(DATE(Dashboard!$C$4,5,1),0)))</f>
        <v/>
      </c>
      <c r="G11" s="113">
        <f>IF(DATE(Dashboard!$C$4,5,1)&gt;TODAY(),"",MAX(0,E11-F11))</f>
        <v/>
      </c>
      <c r="H11" s="127">
        <f>IF(DATE(Dashboard!$C$4,5,1)&gt;TODAY(),"",IF(E11=0,"Sudah diberikan semua ✓","Tertahan "&amp;TEXT(E11,"#,##0")&amp;" (belum sampai ke Disan)"))</f>
        <v/>
      </c>
    </row>
    <row r="12" ht="15" customHeight="1" s="94">
      <c r="B12" s="127" t="inlineStr">
        <is>
          <t>Juni</t>
        </is>
      </c>
      <c r="C12" s="106">
        <f>SUMIFS(Transaksi!$F$16:$F$5015,Transaksi!$G$16:$G$5015,"Pendapatan",Transaksi!$H$16:$H$5015,"Uang Disan",Transaksi!$B$16:$B$5015,"&gt;="&amp;DATE(Dashboard!$C$4,6,1),Transaksi!$B$16:$B$5015,"&lt;="&amp;EOMONTH(DATE(Dashboard!$C$4,6,1),0))</f>
        <v/>
      </c>
      <c r="D12" s="106">
        <f>SUMIFS(Transaksi!$F$16:$F$5015,Transaksi!$G$16:$G$5015,"Pengeluaran",Transaksi!$H$16:$H$5015,"Pengeluaran Uang Disan",Transaksi!$B$16:$B$5015,"&gt;="&amp;DATE(Dashboard!$C$4,6,1),Transaksi!$B$16:$B$5015,"&lt;="&amp;EOMONTH(DATE(Dashboard!$C$4,6,1),0))</f>
        <v/>
      </c>
      <c r="E12" s="113">
        <f>IF(DATE(Dashboard!$C$4,6,1)&gt;TODAY(),"",E11+C12-D12)</f>
        <v/>
      </c>
      <c r="F12" s="106">
        <f>IF(DATE(Dashboard!$C$4,6,1)&gt;TODAY(),"",SUMIFS(Akun!$C$5:$C$104,Akun!$A$5:$A$104,"Uang Disan",Akun!$D$5:$D$104,"&lt;="&amp;EOMONTH(DATE(Dashboard!$C$4,6,1),0))+SUMIFS(Transaksi!$F$16:$F$5015,Transaksi!$C$16:$C$5015,"Uang Disan",Transaksi!$D$16:$D$5015,"Masuk",Transaksi!$B$16:$B$5015,"&lt;="&amp;EOMONTH(DATE(Dashboard!$C$4,6,1),0))-SUMIFS(Transaksi!$F$16:$F$5015,Transaksi!$C$16:$C$5015,"Uang Disan",Transaksi!$D$16:$D$5015,"Keluar",Transaksi!$B$16:$B$5015,"&lt;="&amp;EOMONTH(DATE(Dashboard!$C$4,6,1),0))-SUMIFS(Transaksi!$F$16:$F$5015,Transaksi!$C$16:$C$5015,"Uang Disan",Transaksi!$D$16:$D$5015,"Pindah",Transaksi!$B$16:$B$5015,"&lt;="&amp;EOMONTH(DATE(Dashboard!$C$4,6,1),0))+SUMIFS(Transaksi!$F$16:$F$5015,Transaksi!$E$16:$E$5015,"Uang Disan",Transaksi!$D$16:$D$5015,"Pindah",Transaksi!$B$16:$B$5015,"&lt;="&amp;EOMONTH(DATE(Dashboard!$C$4,6,1),0)))</f>
        <v/>
      </c>
      <c r="G12" s="113">
        <f>IF(DATE(Dashboard!$C$4,6,1)&gt;TODAY(),"",MAX(0,E12-F12))</f>
        <v/>
      </c>
      <c r="H12" s="127">
        <f>IF(DATE(Dashboard!$C$4,6,1)&gt;TODAY(),"",IF(E12=0,"Sudah diberikan semua ✓","Tertahan "&amp;TEXT(E12,"#,##0")&amp;" (belum sampai ke Disan)"))</f>
        <v/>
      </c>
    </row>
    <row r="13" ht="15" customHeight="1" s="94">
      <c r="B13" s="127" t="inlineStr">
        <is>
          <t>Juli</t>
        </is>
      </c>
      <c r="C13" s="106">
        <f>SUMIFS(Transaksi!$F$16:$F$5015,Transaksi!$G$16:$G$5015,"Pendapatan",Transaksi!$H$16:$H$5015,"Uang Disan",Transaksi!$B$16:$B$5015,"&gt;="&amp;DATE(Dashboard!$C$4,7,1),Transaksi!$B$16:$B$5015,"&lt;="&amp;EOMONTH(DATE(Dashboard!$C$4,7,1),0))</f>
        <v/>
      </c>
      <c r="D13" s="106">
        <f>SUMIFS(Transaksi!$F$16:$F$5015,Transaksi!$G$16:$G$5015,"Pengeluaran",Transaksi!$H$16:$H$5015,"Pengeluaran Uang Disan",Transaksi!$B$16:$B$5015,"&gt;="&amp;DATE(Dashboard!$C$4,7,1),Transaksi!$B$16:$B$5015,"&lt;="&amp;EOMONTH(DATE(Dashboard!$C$4,7,1),0))</f>
        <v/>
      </c>
      <c r="E13" s="113">
        <f>IF(DATE(Dashboard!$C$4,7,1)&gt;TODAY(),"",E12+C13-D13)</f>
        <v/>
      </c>
      <c r="F13" s="106">
        <f>IF(DATE(Dashboard!$C$4,7,1)&gt;TODAY(),"",SUMIFS(Akun!$C$5:$C$104,Akun!$A$5:$A$104,"Uang Disan",Akun!$D$5:$D$104,"&lt;="&amp;EOMONTH(DATE(Dashboard!$C$4,7,1),0))+SUMIFS(Transaksi!$F$16:$F$5015,Transaksi!$C$16:$C$5015,"Uang Disan",Transaksi!$D$16:$D$5015,"Masuk",Transaksi!$B$16:$B$5015,"&lt;="&amp;EOMONTH(DATE(Dashboard!$C$4,7,1),0))-SUMIFS(Transaksi!$F$16:$F$5015,Transaksi!$C$16:$C$5015,"Uang Disan",Transaksi!$D$16:$D$5015,"Keluar",Transaksi!$B$16:$B$5015,"&lt;="&amp;EOMONTH(DATE(Dashboard!$C$4,7,1),0))-SUMIFS(Transaksi!$F$16:$F$5015,Transaksi!$C$16:$C$5015,"Uang Disan",Transaksi!$D$16:$D$5015,"Pindah",Transaksi!$B$16:$B$5015,"&lt;="&amp;EOMONTH(DATE(Dashboard!$C$4,7,1),0))+SUMIFS(Transaksi!$F$16:$F$5015,Transaksi!$E$16:$E$5015,"Uang Disan",Transaksi!$D$16:$D$5015,"Pindah",Transaksi!$B$16:$B$5015,"&lt;="&amp;EOMONTH(DATE(Dashboard!$C$4,7,1),0)))</f>
        <v/>
      </c>
      <c r="G13" s="113">
        <f>IF(DATE(Dashboard!$C$4,7,1)&gt;TODAY(),"",MAX(0,E13-F13))</f>
        <v/>
      </c>
      <c r="H13" s="127">
        <f>IF(DATE(Dashboard!$C$4,7,1)&gt;TODAY(),"",IF(E13=0,"Sudah diberikan semua ✓","Tertahan "&amp;TEXT(E13,"#,##0")&amp;" (belum sampai ke Disan)"))</f>
        <v/>
      </c>
    </row>
    <row r="14" ht="15" customHeight="1" s="94">
      <c r="B14" s="127" t="inlineStr">
        <is>
          <t>Agustus</t>
        </is>
      </c>
      <c r="C14" s="106">
        <f>SUMIFS(Transaksi!$F$16:$F$5015,Transaksi!$G$16:$G$5015,"Pendapatan",Transaksi!$H$16:$H$5015,"Uang Disan",Transaksi!$B$16:$B$5015,"&gt;="&amp;DATE(Dashboard!$C$4,8,1),Transaksi!$B$16:$B$5015,"&lt;="&amp;EOMONTH(DATE(Dashboard!$C$4,8,1),0))</f>
        <v/>
      </c>
      <c r="D14" s="106">
        <f>SUMIFS(Transaksi!$F$16:$F$5015,Transaksi!$G$16:$G$5015,"Pengeluaran",Transaksi!$H$16:$H$5015,"Pengeluaran Uang Disan",Transaksi!$B$16:$B$5015,"&gt;="&amp;DATE(Dashboard!$C$4,8,1),Transaksi!$B$16:$B$5015,"&lt;="&amp;EOMONTH(DATE(Dashboard!$C$4,8,1),0))</f>
        <v/>
      </c>
      <c r="E14" s="113">
        <f>IF(DATE(Dashboard!$C$4,8,1)&gt;TODAY(),"",E13+C14-D14)</f>
        <v/>
      </c>
      <c r="F14" s="106">
        <f>IF(DATE(Dashboard!$C$4,8,1)&gt;TODAY(),"",SUMIFS(Akun!$C$5:$C$104,Akun!$A$5:$A$104,"Uang Disan",Akun!$D$5:$D$104,"&lt;="&amp;EOMONTH(DATE(Dashboard!$C$4,8,1),0))+SUMIFS(Transaksi!$F$16:$F$5015,Transaksi!$C$16:$C$5015,"Uang Disan",Transaksi!$D$16:$D$5015,"Masuk",Transaksi!$B$16:$B$5015,"&lt;="&amp;EOMONTH(DATE(Dashboard!$C$4,8,1),0))-SUMIFS(Transaksi!$F$16:$F$5015,Transaksi!$C$16:$C$5015,"Uang Disan",Transaksi!$D$16:$D$5015,"Keluar",Transaksi!$B$16:$B$5015,"&lt;="&amp;EOMONTH(DATE(Dashboard!$C$4,8,1),0))-SUMIFS(Transaksi!$F$16:$F$5015,Transaksi!$C$16:$C$5015,"Uang Disan",Transaksi!$D$16:$D$5015,"Pindah",Transaksi!$B$16:$B$5015,"&lt;="&amp;EOMONTH(DATE(Dashboard!$C$4,8,1),0))+SUMIFS(Transaksi!$F$16:$F$5015,Transaksi!$E$16:$E$5015,"Uang Disan",Transaksi!$D$16:$D$5015,"Pindah",Transaksi!$B$16:$B$5015,"&lt;="&amp;EOMONTH(DATE(Dashboard!$C$4,8,1),0)))</f>
        <v/>
      </c>
      <c r="G14" s="113">
        <f>IF(DATE(Dashboard!$C$4,8,1)&gt;TODAY(),"",MAX(0,E14-F14))</f>
        <v/>
      </c>
      <c r="H14" s="127">
        <f>IF(DATE(Dashboard!$C$4,8,1)&gt;TODAY(),"",IF(E14=0,"Sudah diberikan semua ✓","Tertahan "&amp;TEXT(E14,"#,##0")&amp;" (belum sampai ke Disan)"))</f>
        <v/>
      </c>
    </row>
    <row r="15" ht="15" customHeight="1" s="94">
      <c r="B15" s="127" t="inlineStr">
        <is>
          <t>September</t>
        </is>
      </c>
      <c r="C15" s="106">
        <f>SUMIFS(Transaksi!$F$16:$F$5015,Transaksi!$G$16:$G$5015,"Pendapatan",Transaksi!$H$16:$H$5015,"Uang Disan",Transaksi!$B$16:$B$5015,"&gt;="&amp;DATE(Dashboard!$C$4,9,1),Transaksi!$B$16:$B$5015,"&lt;="&amp;EOMONTH(DATE(Dashboard!$C$4,9,1),0))</f>
        <v/>
      </c>
      <c r="D15" s="106">
        <f>SUMIFS(Transaksi!$F$16:$F$5015,Transaksi!$G$16:$G$5015,"Pengeluaran",Transaksi!$H$16:$H$5015,"Pengeluaran Uang Disan",Transaksi!$B$16:$B$5015,"&gt;="&amp;DATE(Dashboard!$C$4,9,1),Transaksi!$B$16:$B$5015,"&lt;="&amp;EOMONTH(DATE(Dashboard!$C$4,9,1),0))</f>
        <v/>
      </c>
      <c r="E15" s="113">
        <f>IF(DATE(Dashboard!$C$4,9,1)&gt;TODAY(),"",E14+C15-D15)</f>
        <v/>
      </c>
      <c r="F15" s="106">
        <f>IF(DATE(Dashboard!$C$4,9,1)&gt;TODAY(),"",SUMIFS(Akun!$C$5:$C$104,Akun!$A$5:$A$104,"Uang Disan",Akun!$D$5:$D$104,"&lt;="&amp;EOMONTH(DATE(Dashboard!$C$4,9,1),0))+SUMIFS(Transaksi!$F$16:$F$5015,Transaksi!$C$16:$C$5015,"Uang Disan",Transaksi!$D$16:$D$5015,"Masuk",Transaksi!$B$16:$B$5015,"&lt;="&amp;EOMONTH(DATE(Dashboard!$C$4,9,1),0))-SUMIFS(Transaksi!$F$16:$F$5015,Transaksi!$C$16:$C$5015,"Uang Disan",Transaksi!$D$16:$D$5015,"Keluar",Transaksi!$B$16:$B$5015,"&lt;="&amp;EOMONTH(DATE(Dashboard!$C$4,9,1),0))-SUMIFS(Transaksi!$F$16:$F$5015,Transaksi!$C$16:$C$5015,"Uang Disan",Transaksi!$D$16:$D$5015,"Pindah",Transaksi!$B$16:$B$5015,"&lt;="&amp;EOMONTH(DATE(Dashboard!$C$4,9,1),0))+SUMIFS(Transaksi!$F$16:$F$5015,Transaksi!$E$16:$E$5015,"Uang Disan",Transaksi!$D$16:$D$5015,"Pindah",Transaksi!$B$16:$B$5015,"&lt;="&amp;EOMONTH(DATE(Dashboard!$C$4,9,1),0)))</f>
        <v/>
      </c>
      <c r="G15" s="113">
        <f>IF(DATE(Dashboard!$C$4,9,1)&gt;TODAY(),"",MAX(0,E15-F15))</f>
        <v/>
      </c>
      <c r="H15" s="127">
        <f>IF(DATE(Dashboard!$C$4,9,1)&gt;TODAY(),"",IF(E15=0,"Sudah diberikan semua ✓","Tertahan "&amp;TEXT(E15,"#,##0")&amp;" (belum sampai ke Disan)"))</f>
        <v/>
      </c>
    </row>
    <row r="16" ht="15" customHeight="1" s="94">
      <c r="B16" s="127" t="inlineStr">
        <is>
          <t>Oktober</t>
        </is>
      </c>
      <c r="C16" s="106">
        <f>SUMIFS(Transaksi!$F$16:$F$5015,Transaksi!$G$16:$G$5015,"Pendapatan",Transaksi!$H$16:$H$5015,"Uang Disan",Transaksi!$B$16:$B$5015,"&gt;="&amp;DATE(Dashboard!$C$4,10,1),Transaksi!$B$16:$B$5015,"&lt;="&amp;EOMONTH(DATE(Dashboard!$C$4,10,1),0))</f>
        <v/>
      </c>
      <c r="D16" s="106">
        <f>SUMIFS(Transaksi!$F$16:$F$5015,Transaksi!$G$16:$G$5015,"Pengeluaran",Transaksi!$H$16:$H$5015,"Pengeluaran Uang Disan",Transaksi!$B$16:$B$5015,"&gt;="&amp;DATE(Dashboard!$C$4,10,1),Transaksi!$B$16:$B$5015,"&lt;="&amp;EOMONTH(DATE(Dashboard!$C$4,10,1),0))</f>
        <v/>
      </c>
      <c r="E16" s="113">
        <f>IF(DATE(Dashboard!$C$4,10,1)&gt;TODAY(),"",E15+C16-D16)</f>
        <v/>
      </c>
      <c r="F16" s="106">
        <f>IF(DATE(Dashboard!$C$4,10,1)&gt;TODAY(),"",SUMIFS(Akun!$C$5:$C$104,Akun!$A$5:$A$104,"Uang Disan",Akun!$D$5:$D$104,"&lt;="&amp;EOMONTH(DATE(Dashboard!$C$4,10,1),0))+SUMIFS(Transaksi!$F$16:$F$5015,Transaksi!$C$16:$C$5015,"Uang Disan",Transaksi!$D$16:$D$5015,"Masuk",Transaksi!$B$16:$B$5015,"&lt;="&amp;EOMONTH(DATE(Dashboard!$C$4,10,1),0))-SUMIFS(Transaksi!$F$16:$F$5015,Transaksi!$C$16:$C$5015,"Uang Disan",Transaksi!$D$16:$D$5015,"Keluar",Transaksi!$B$16:$B$5015,"&lt;="&amp;EOMONTH(DATE(Dashboard!$C$4,10,1),0))-SUMIFS(Transaksi!$F$16:$F$5015,Transaksi!$C$16:$C$5015,"Uang Disan",Transaksi!$D$16:$D$5015,"Pindah",Transaksi!$B$16:$B$5015,"&lt;="&amp;EOMONTH(DATE(Dashboard!$C$4,10,1),0))+SUMIFS(Transaksi!$F$16:$F$5015,Transaksi!$E$16:$E$5015,"Uang Disan",Transaksi!$D$16:$D$5015,"Pindah",Transaksi!$B$16:$B$5015,"&lt;="&amp;EOMONTH(DATE(Dashboard!$C$4,10,1),0)))</f>
        <v/>
      </c>
      <c r="G16" s="113">
        <f>IF(DATE(Dashboard!$C$4,10,1)&gt;TODAY(),"",MAX(0,E16-F16))</f>
        <v/>
      </c>
      <c r="H16" s="127">
        <f>IF(DATE(Dashboard!$C$4,10,1)&gt;TODAY(),"",IF(E16=0,"Sudah diberikan semua ✓","Tertahan "&amp;TEXT(E16,"#,##0")&amp;" (belum sampai ke Disan)"))</f>
        <v/>
      </c>
    </row>
    <row r="17" ht="15" customHeight="1" s="94">
      <c r="B17" s="127" t="inlineStr">
        <is>
          <t>November</t>
        </is>
      </c>
      <c r="C17" s="106">
        <f>SUMIFS(Transaksi!$F$16:$F$5015,Transaksi!$G$16:$G$5015,"Pendapatan",Transaksi!$H$16:$H$5015,"Uang Disan",Transaksi!$B$16:$B$5015,"&gt;="&amp;DATE(Dashboard!$C$4,11,1),Transaksi!$B$16:$B$5015,"&lt;="&amp;EOMONTH(DATE(Dashboard!$C$4,11,1),0))</f>
        <v/>
      </c>
      <c r="D17" s="106">
        <f>SUMIFS(Transaksi!$F$16:$F$5015,Transaksi!$G$16:$G$5015,"Pengeluaran",Transaksi!$H$16:$H$5015,"Pengeluaran Uang Disan",Transaksi!$B$16:$B$5015,"&gt;="&amp;DATE(Dashboard!$C$4,11,1),Transaksi!$B$16:$B$5015,"&lt;="&amp;EOMONTH(DATE(Dashboard!$C$4,11,1),0))</f>
        <v/>
      </c>
      <c r="E17" s="113">
        <f>IF(DATE(Dashboard!$C$4,11,1)&gt;TODAY(),"",E16+C17-D17)</f>
        <v/>
      </c>
      <c r="F17" s="106">
        <f>IF(DATE(Dashboard!$C$4,11,1)&gt;TODAY(),"",SUMIFS(Akun!$C$5:$C$104,Akun!$A$5:$A$104,"Uang Disan",Akun!$D$5:$D$104,"&lt;="&amp;EOMONTH(DATE(Dashboard!$C$4,11,1),0))+SUMIFS(Transaksi!$F$16:$F$5015,Transaksi!$C$16:$C$5015,"Uang Disan",Transaksi!$D$16:$D$5015,"Masuk",Transaksi!$B$16:$B$5015,"&lt;="&amp;EOMONTH(DATE(Dashboard!$C$4,11,1),0))-SUMIFS(Transaksi!$F$16:$F$5015,Transaksi!$C$16:$C$5015,"Uang Disan",Transaksi!$D$16:$D$5015,"Keluar",Transaksi!$B$16:$B$5015,"&lt;="&amp;EOMONTH(DATE(Dashboard!$C$4,11,1),0))-SUMIFS(Transaksi!$F$16:$F$5015,Transaksi!$C$16:$C$5015,"Uang Disan",Transaksi!$D$16:$D$5015,"Pindah",Transaksi!$B$16:$B$5015,"&lt;="&amp;EOMONTH(DATE(Dashboard!$C$4,11,1),0))+SUMIFS(Transaksi!$F$16:$F$5015,Transaksi!$E$16:$E$5015,"Uang Disan",Transaksi!$D$16:$D$5015,"Pindah",Transaksi!$B$16:$B$5015,"&lt;="&amp;EOMONTH(DATE(Dashboard!$C$4,11,1),0)))</f>
        <v/>
      </c>
      <c r="G17" s="113">
        <f>IF(DATE(Dashboard!$C$4,11,1)&gt;TODAY(),"",MAX(0,E17-F17))</f>
        <v/>
      </c>
      <c r="H17" s="127">
        <f>IF(DATE(Dashboard!$C$4,11,1)&gt;TODAY(),"",IF(E17=0,"Sudah diberikan semua ✓","Tertahan "&amp;TEXT(E17,"#,##0")&amp;" (belum sampai ke Disan)"))</f>
        <v/>
      </c>
    </row>
    <row r="18" ht="15" customHeight="1" s="94">
      <c r="B18" s="127" t="inlineStr">
        <is>
          <t>Desember</t>
        </is>
      </c>
      <c r="C18" s="106">
        <f>SUMIFS(Transaksi!$F$16:$F$5015,Transaksi!$G$16:$G$5015,"Pendapatan",Transaksi!$H$16:$H$5015,"Uang Disan",Transaksi!$B$16:$B$5015,"&gt;="&amp;DATE(Dashboard!$C$4,12,1),Transaksi!$B$16:$B$5015,"&lt;="&amp;EOMONTH(DATE(Dashboard!$C$4,12,1),0))</f>
        <v/>
      </c>
      <c r="D18" s="106">
        <f>SUMIFS(Transaksi!$F$16:$F$5015,Transaksi!$G$16:$G$5015,"Pengeluaran",Transaksi!$H$16:$H$5015,"Pengeluaran Uang Disan",Transaksi!$B$16:$B$5015,"&gt;="&amp;DATE(Dashboard!$C$4,12,1),Transaksi!$B$16:$B$5015,"&lt;="&amp;EOMONTH(DATE(Dashboard!$C$4,12,1),0))</f>
        <v/>
      </c>
      <c r="E18" s="113">
        <f>IF(DATE(Dashboard!$C$4,12,1)&gt;TODAY(),"",E17+C18-D18)</f>
        <v/>
      </c>
      <c r="F18" s="106">
        <f>IF(DATE(Dashboard!$C$4,12,1)&gt;TODAY(),"",SUMIFS(Akun!$C$5:$C$104,Akun!$A$5:$A$104,"Uang Disan",Akun!$D$5:$D$104,"&lt;="&amp;EOMONTH(DATE(Dashboard!$C$4,12,1),0))+SUMIFS(Transaksi!$F$16:$F$5015,Transaksi!$C$16:$C$5015,"Uang Disan",Transaksi!$D$16:$D$5015,"Masuk",Transaksi!$B$16:$B$5015,"&lt;="&amp;EOMONTH(DATE(Dashboard!$C$4,12,1),0))-SUMIFS(Transaksi!$F$16:$F$5015,Transaksi!$C$16:$C$5015,"Uang Disan",Transaksi!$D$16:$D$5015,"Keluar",Transaksi!$B$16:$B$5015,"&lt;="&amp;EOMONTH(DATE(Dashboard!$C$4,12,1),0))-SUMIFS(Transaksi!$F$16:$F$5015,Transaksi!$C$16:$C$5015,"Uang Disan",Transaksi!$D$16:$D$5015,"Pindah",Transaksi!$B$16:$B$5015,"&lt;="&amp;EOMONTH(DATE(Dashboard!$C$4,12,1),0))+SUMIFS(Transaksi!$F$16:$F$5015,Transaksi!$E$16:$E$5015,"Uang Disan",Transaksi!$D$16:$D$5015,"Pindah",Transaksi!$B$16:$B$5015,"&lt;="&amp;EOMONTH(DATE(Dashboard!$C$4,12,1),0)))</f>
        <v/>
      </c>
      <c r="G18" s="113">
        <f>IF(DATE(Dashboard!$C$4,12,1)&gt;TODAY(),"",MAX(0,E18-F18))</f>
        <v/>
      </c>
      <c r="H18" s="127">
        <f>IF(DATE(Dashboard!$C$4,12,1)&gt;TODAY(),"",IF(E18=0,"Sudah diberikan semua ✓","Tertahan "&amp;TEXT(E18,"#,##0")&amp;" (belum sampai ke Disan)"))</f>
        <v/>
      </c>
    </row>
    <row r="19" ht="15" customHeight="1" s="94">
      <c r="B19" s="108" t="inlineStr">
        <is>
          <t>TOTAL</t>
        </is>
      </c>
      <c r="C19" s="109">
        <f>SUM(C7:C18)</f>
        <v/>
      </c>
      <c r="D19" s="109">
        <f>SUM(D7:D18)</f>
        <v/>
      </c>
    </row>
    <row r="20"/>
    <row r="21" ht="15" customHeight="1" s="94">
      <c r="B21" s="101" t="inlineStr">
        <is>
          <t>B. CATATAN PELACAKAN UANG DISAN (semua sudah terlacak di file asli — klik "Buka" untuk ke barisnya)</t>
        </is>
      </c>
    </row>
    <row r="22" ht="15" customHeight="1" s="94">
      <c r="B22" s="103" t="inlineStr">
        <is>
          <t>Tanggal</t>
        </is>
      </c>
      <c r="C22" s="103" t="inlineStr">
        <is>
          <t>Akun</t>
        </is>
      </c>
      <c r="D22" s="103" t="inlineStr">
        <is>
          <t>Jumlah</t>
        </is>
      </c>
      <c r="E22" s="103" t="inlineStr">
        <is>
          <t>Keterangan</t>
        </is>
      </c>
      <c r="F22" s="150" t="n"/>
      <c r="G22" s="103" t="inlineStr">
        <is>
          <t>Catatan</t>
        </is>
      </c>
      <c r="H22" s="103" t="inlineStr">
        <is>
          <t>Buka</t>
        </is>
      </c>
    </row>
    <row r="23" ht="45" customHeight="1" s="94">
      <c r="B23" s="151">
        <f>Transaksi!B1847</f>
        <v/>
      </c>
      <c r="C23" s="152">
        <f>Transaksi!C1847</f>
        <v/>
      </c>
      <c r="D23" s="153">
        <f>Transaksi!F1847</f>
        <v/>
      </c>
      <c r="E23" s="152">
        <f>Transaksi!J1847</f>
        <v/>
      </c>
      <c r="G23" s="152" t="inlineStr">
        <is>
          <t>Sudah terlacak: pengganti uang kos mama yang dipinjam untuk belanja Disan 28/01/2026 (bukan uang Disan baru)</t>
        </is>
      </c>
      <c r="H23" s="154">
        <f>HYPERLINK("#Transaksi!A1847","Buka")</f>
        <v/>
      </c>
    </row>
    <row r="24" ht="45" customHeight="1" s="94">
      <c r="B24" s="151">
        <f>Transaksi!B2089</f>
        <v/>
      </c>
      <c r="C24" s="152">
        <f>Transaksi!C2089</f>
        <v/>
      </c>
      <c r="D24" s="153">
        <f>Transaksi!F2089</f>
        <v/>
      </c>
      <c r="E24" s="152">
        <f>Transaksi!J2089</f>
        <v/>
      </c>
      <c r="G24" s="152" t="inlineStr">
        <is>
          <t>Sudah terlacak: diberikan 14/03/2026 lewat tarik tunai Bank Mandiri Rp600.000 (THR untuk Disan diberikan)</t>
        </is>
      </c>
      <c r="H24" s="154">
        <f>HYPERLINK("#Transaksi!A2089","Buka")</f>
        <v/>
      </c>
    </row>
    <row r="25" ht="45" customHeight="1" s="94">
      <c r="B25" s="151">
        <f>Transaksi!B2260</f>
        <v/>
      </c>
      <c r="C25" s="152">
        <f>Transaksi!C2260</f>
        <v/>
      </c>
      <c r="D25" s="153">
        <f>Transaksi!F2260</f>
        <v/>
      </c>
      <c r="E25" s="152">
        <f>Transaksi!J2260</f>
        <v/>
      </c>
      <c r="G25" s="152" t="inlineStr">
        <is>
          <t>Sudah terlacak: 11/05/2026 masuk ke uang Disan Rp150.000 (perbaikan HP), diberikan 19/05/2026 bersama uang belanja (total Rp250.000)</t>
        </is>
      </c>
      <c r="H25" s="154">
        <f>HYPERLINK("#Transaksi!A2260","Buka")</f>
        <v/>
      </c>
    </row>
    <row r="26" ht="45" customHeight="1" s="94">
      <c r="B26" s="151">
        <f>Transaksi!B2679</f>
        <v/>
      </c>
      <c r="C26" s="152">
        <f>Transaksi!C2679</f>
        <v/>
      </c>
      <c r="D26" s="153">
        <f>Transaksi!F2679</f>
        <v/>
      </c>
      <c r="E26" s="152">
        <f>Transaksi!J2679</f>
        <v/>
      </c>
      <c r="G26" s="152" t="inlineStr">
        <is>
          <t>Sudah terlacak: 15/08/2026 Bank Mandiri keluar Rp150.000, tukar tf dengan uang tunai (Mirna IGD) untuk belanja Disan</t>
        </is>
      </c>
      <c r="H26" s="154">
        <f>HYPERLINK("#Transaksi!A2679","Buka")</f>
        <v/>
      </c>
    </row>
    <row r="27"/>
    <row r="28" ht="18" customHeight="1" s="94">
      <c r="B28" s="149" t="inlineStr">
        <is>
          <t>CARA MEMBACA:</t>
        </is>
      </c>
    </row>
    <row r="29" ht="30" customHeight="1" s="94">
      <c r="B29" s="114" t="inlineStr">
        <is>
          <t>• Kolom E (Sisa) = sisa bulan lalu + kolom C − kolom D. Ini uang Disan yang seharusnya masih kamu pegang.</t>
        </is>
      </c>
    </row>
    <row r="30" ht="30" customHeight="1" s="94">
      <c r="B30" s="114" t="inlineStr">
        <is>
          <t>• Kolom F = isi akun "Uang Disan" (uang Disan yang sudah dipisah) pada akhir bulan.</t>
        </is>
      </c>
    </row>
    <row r="31" ht="30" customHeight="1" s="94">
      <c r="B31" s="114" t="inlineStr">
        <is>
          <t>• Status "Tertahan" = di akhir bulan itu masih ada uang Disan yang belum sampai ke Disan (masih di akun Uang Disan atau akun pribadimu). Lihat bagian C untuk jejak lengkap tiap uang.</t>
        </is>
      </c>
    </row>
    <row r="32" ht="30" customHeight="1" s="94">
      <c r="B32" s="114" t="inlineStr">
        <is>
          <t>• Uang dari kk Lisa untuk Disan dulu tercatat sebagai Gaji › Lain-lain. Sekarang dipindah ke Uang Disan › Uang untuk Disan, jadi gajimu tidak lagi terlihat lebih besar dari sebenarnya.</t>
        </is>
      </c>
    </row>
    <row r="33" ht="30" customHeight="1" s="94">
      <c r="B33" s="114" t="inlineStr">
        <is>
          <t>• Tarik tunai Mandiri ke akun Uang Disan dicatat sebagai pindah uang (bukan pendapatan), supaya tidak terhitung dua kali.</t>
        </is>
      </c>
    </row>
    <row r="34"/>
    <row r="35"/>
    <row r="36">
      <c r="B36" s="182" t="inlineStr">
        <is>
          <t>C. JEJAK UANG DISAN — setiap uang masuk &amp; ke mana perginya (hasil lacak file asli)</t>
        </is>
      </c>
    </row>
    <row r="37">
      <c r="B37" s="183" t="inlineStr">
        <is>
          <t>Tanggal masuk</t>
        </is>
      </c>
      <c r="C37" s="183" t="inlineStr">
        <is>
          <t>Dari</t>
        </is>
      </c>
      <c r="D37" s="183" t="inlineStr">
        <is>
          <t>Jumlah</t>
        </is>
      </c>
      <c r="E37" s="183" t="inlineStr">
        <is>
          <t>Pergi ke mana</t>
        </is>
      </c>
    </row>
    <row r="38">
      <c r="B38" s="184" t="inlineStr">
        <is>
          <t>09/12/2025</t>
        </is>
      </c>
      <c r="C38" s="184" t="inlineStr">
        <is>
          <t>Bank Mandiri · kk Lisa</t>
        </is>
      </c>
      <c r="D38" s="185" t="n">
        <v>100000</v>
      </c>
      <c r="E38" s="184" t="inlineStr">
        <is>
          <t>10/12/2025 tarik tunai → diberikan (Belanja disan)</t>
        </is>
      </c>
    </row>
    <row r="39">
      <c r="B39" s="184" t="inlineStr">
        <is>
          <t>15/12/2025</t>
        </is>
      </c>
      <c r="C39" s="184" t="inlineStr">
        <is>
          <t>Bank Mandiri · kk Lisa</t>
        </is>
      </c>
      <c r="D39" s="185" t="n">
        <v>100000</v>
      </c>
      <c r="E39" s="184" t="inlineStr">
        <is>
          <t>17/12/2025 dikembalikan ke kk Lisa (diminta orang tua Edo)</t>
        </is>
      </c>
    </row>
    <row r="40">
      <c r="B40" s="184" t="inlineStr">
        <is>
          <t>28/01/2026</t>
        </is>
      </c>
      <c r="C40" s="184" t="inlineStr">
        <is>
          <t>Uang kos mama dipinjam kk Lisa</t>
        </is>
      </c>
      <c r="D40" s="185" t="n">
        <v>100000</v>
      </c>
      <c r="E40" s="184" t="inlineStr">
        <is>
          <t>28/01/2026 tarik tunai → diberikan (kk Lisa mengganti uang kos 02/02/2026)</t>
        </is>
      </c>
    </row>
    <row r="41">
      <c r="B41" s="184" t="inlineStr">
        <is>
          <t>05/02/2026</t>
        </is>
      </c>
      <c r="C41" s="184" t="inlineStr">
        <is>
          <t>Bank Mandiri · kk Lisa</t>
        </is>
      </c>
      <c r="D41" s="185" t="n">
        <v>100000</v>
      </c>
      <c r="E41" s="184" t="inlineStr">
        <is>
          <t>11/02/2026 tarik tunai → 15/02/2026 diberikan</t>
        </is>
      </c>
    </row>
    <row r="42">
      <c r="B42" s="184" t="inlineStr">
        <is>
          <t>13/02/2026</t>
        </is>
      </c>
      <c r="C42" s="184" t="inlineStr">
        <is>
          <t>Bank Mandiri · kk Lisa</t>
        </is>
      </c>
      <c r="D42" s="185" t="n">
        <v>100000</v>
      </c>
      <c r="E42" s="184" t="inlineStr">
        <is>
          <t>Tertahan di Bank Mandiri → 11/03/2026 tarik ke Uang Disan → 16/03/2026 dipinjam untuk zakat fitrah → diganti 18/03/2026 (Disti Rp50.000) &amp; 08/04/2026 (Rp50.000) → 06/05/2026 dipinjam untuk uang masak → diganti 11/05/2026 → 19/05/2026 diberikan (bagian dari Rp250.000)</t>
        </is>
      </c>
    </row>
    <row r="43">
      <c r="B43" s="184" t="inlineStr">
        <is>
          <t>23/02/2026</t>
        </is>
      </c>
      <c r="C43" s="184" t="inlineStr">
        <is>
          <t>Uang kos mama dipinjam kk Lisa</t>
        </is>
      </c>
      <c r="D43" s="185" t="n">
        <v>100000</v>
      </c>
      <c r="E43" s="184" t="inlineStr">
        <is>
          <t>23/02/2026 tarik tunai → 24/02/2026 diambil Disan (kk Lisa mengganti uang kos 02/03/2026)</t>
        </is>
      </c>
    </row>
    <row r="44">
      <c r="B44" s="184" t="inlineStr">
        <is>
          <t>02/03/2026</t>
        </is>
      </c>
      <c r="C44" s="184" t="inlineStr">
        <is>
          <t>Bank Mandiri · kk Lisa (bagian dari Rp550.000)</t>
        </is>
      </c>
      <c r="D44" s="185" t="n">
        <v>100000</v>
      </c>
      <c r="E44" s="184" t="inlineStr">
        <is>
          <t>03/03/2026 tarik tunai → diberikan</t>
        </is>
      </c>
    </row>
    <row r="45">
      <c r="B45" s="184" t="inlineStr">
        <is>
          <t>13/03/2026</t>
        </is>
      </c>
      <c r="C45" s="184" t="inlineStr">
        <is>
          <t>Bank Mandiri · THR kk Lisa</t>
        </is>
      </c>
      <c r="D45" s="185" t="n">
        <v>600000</v>
      </c>
      <c r="E45" s="184" t="inlineStr">
        <is>
          <t>14/03/2026 tarik tunai → diberikan</t>
        </is>
      </c>
    </row>
    <row r="46">
      <c r="B46" s="184" t="inlineStr">
        <is>
          <t>01/04/2026</t>
        </is>
      </c>
      <c r="C46" s="184" t="inlineStr">
        <is>
          <t>Bank Mandiri · kk Lisa</t>
        </is>
      </c>
      <c r="D46" s="185" t="n">
        <v>200000</v>
      </c>
      <c r="E46" s="184" t="inlineStr">
        <is>
          <t>02/04/2026 tarik tunai Rp100.000 → diberikan; 08/04/2026 tarik tunai Rp100.000 → Uang Disan → 10/04/2026 diberikan</t>
        </is>
      </c>
    </row>
    <row r="47">
      <c r="B47" s="184" t="inlineStr">
        <is>
          <t>05/05/2026</t>
        </is>
      </c>
      <c r="C47" s="184" t="inlineStr">
        <is>
          <t>Bank Mandiri · kk Lisa (perbaikan HP)</t>
        </is>
      </c>
      <c r="D47" s="185" t="n">
        <v>150000</v>
      </c>
      <c r="E47" s="184" t="inlineStr">
        <is>
          <t>11/05/2026 ke Uang Disan → 19/05/2026 diberikan (bagian dari Rp250.000)</t>
        </is>
      </c>
    </row>
    <row r="48">
      <c r="B48" s="184" t="inlineStr">
        <is>
          <t>05/06/2026</t>
        </is>
      </c>
      <c r="C48" s="184" t="inlineStr">
        <is>
          <t>Bank Mandiri · kk Lisa (uang sekolah)</t>
        </is>
      </c>
      <c r="D48" s="185" t="n">
        <v>500000</v>
      </c>
      <c r="E48" s="184" t="inlineStr">
        <is>
          <t>05/06/2026 diberikan pakai Uang Kos Mama Cash (ditukar tf)</t>
        </is>
      </c>
    </row>
    <row r="49">
      <c r="B49" s="184" t="inlineStr">
        <is>
          <t>10/07/2026</t>
        </is>
      </c>
      <c r="C49" s="184" t="inlineStr">
        <is>
          <t>Bank Mandiri · kk Lisa</t>
        </is>
      </c>
      <c r="D49" s="185" t="n">
        <v>150000</v>
      </c>
      <c r="E49" s="184" t="inlineStr">
        <is>
          <t>11/07/2026 diberikan pakai Uang Jasa (ditukar tf)</t>
        </is>
      </c>
    </row>
    <row r="50">
      <c r="B50" s="184" t="inlineStr">
        <is>
          <t>16/07/2026</t>
        </is>
      </c>
      <c r="C50" s="184" t="inlineStr">
        <is>
          <t>Bank Mandiri · kk Lisa</t>
        </is>
      </c>
      <c r="D50" s="185" t="n">
        <v>100000</v>
      </c>
      <c r="E50" s="184" t="inlineStr">
        <is>
          <t>16/07/2026 tarik tunai → diberikan</t>
        </is>
      </c>
    </row>
    <row r="51">
      <c r="B51" s="184" t="inlineStr">
        <is>
          <t>03/08/2026</t>
        </is>
      </c>
      <c r="C51" s="184" t="inlineStr">
        <is>
          <t>Bank Mandiri · kk Lisa</t>
        </is>
      </c>
      <c r="D51" s="185" t="n">
        <v>150000</v>
      </c>
      <c r="E51" s="184" t="inlineStr">
        <is>
          <t>05/08/2026 diberikan pakai Uang Kos Mama Cash (dipinjam)</t>
        </is>
      </c>
    </row>
    <row r="52">
      <c r="B52" s="184" t="inlineStr">
        <is>
          <t>14/08/2026</t>
        </is>
      </c>
      <c r="C52" s="184" t="inlineStr">
        <is>
          <t>Bank Mandiri · kk Lisa</t>
        </is>
      </c>
      <c r="D52" s="185" t="n">
        <v>150000</v>
      </c>
      <c r="E52" s="184" t="inlineStr">
        <is>
          <t>15/08/2026 diberikan (tukar tf dengan uang tunai)</t>
        </is>
      </c>
    </row>
    <row r="53">
      <c r="B53" s="184" t="inlineStr">
        <is>
          <t>01/09/2026 + 06/09/2026</t>
        </is>
      </c>
      <c r="C53" s="184" t="inlineStr">
        <is>
          <t>Bank Mandiri · kk Lisa</t>
        </is>
      </c>
      <c r="D53" s="185" t="n">
        <v>400000</v>
      </c>
      <c r="E53" s="184" t="inlineStr">
        <is>
          <t>04/09/2026 tarik Rp300.000 → diberikan Rp150.000; 06/09/2026 tambah Rp100.000 dari dompet → diberikan Rp250.000 (beli celana)</t>
        </is>
      </c>
    </row>
    <row r="54">
      <c r="B54" s="186" t="inlineStr">
        <is>
          <t>TOTAL masuk</t>
        </is>
      </c>
      <c r="D54" s="187">
        <f>SUM(D38:D53)</f>
        <v/>
      </c>
      <c r="E54" s="93" t="inlineStr">
        <is>
          <t>Semua sudah diberikan ke Disan (kecuali Rp100.000 dikembalikan ke kk Lisa 17/12/2025). Sisa sekarang Rp0.</t>
        </is>
      </c>
    </row>
  </sheetData>
  <mergeCells count="13">
    <mergeCell ref="B32:H32"/>
    <mergeCell ref="B28:H28"/>
    <mergeCell ref="A2:I2"/>
    <mergeCell ref="E24:F24"/>
    <mergeCell ref="E25:F25"/>
    <mergeCell ref="A1:I1"/>
    <mergeCell ref="E23:F23"/>
    <mergeCell ref="B30:H30"/>
    <mergeCell ref="E22:F22"/>
    <mergeCell ref="B29:H29"/>
    <mergeCell ref="B33:H33"/>
    <mergeCell ref="E26:F26"/>
    <mergeCell ref="B31:H3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tabColor rgb="FF8A5A00"/>
    <outlinePr summaryBelow="1" summaryRight="1"/>
    <pageSetUpPr fitToPage="0"/>
  </sheetPr>
  <dimension ref="A1:L115"/>
  <sheetViews>
    <sheetView showFormulas="0" showGridLines="1" showRowColHeaders="1" showZeros="1" rightToLeft="0" tabSelected="0" showOutlineSymbols="1" defaultGridColor="1" view="normal" topLeftCell="A1" colorId="64" zoomScale="100" zoomScaleNormal="100" zoomScalePageLayoutView="100" workbookViewId="0">
      <pane xSplit="2" ySplit="12" topLeftCell="C13" activePane="bottomRight" state="frozen"/>
      <selection pane="topLeft" activeCell="A1" activeCellId="0" sqref="A1"/>
      <selection pane="topRight" activeCell="C1" activeCellId="0" sqref="C1"/>
      <selection pane="bottomLeft" activeCell="A13" activeCellId="0" sqref="A13"/>
      <selection pane="bottomRight" activeCell="A1" activeCellId="0" sqref="A1"/>
    </sheetView>
  </sheetViews>
  <sheetFormatPr baseColWidth="8" defaultColWidth="8.6796875" defaultRowHeight="15" zeroHeight="0" outlineLevelRow="0"/>
  <cols>
    <col width="2" customWidth="1" style="93" min="1" max="1"/>
    <col width="14" customWidth="1" style="93" min="2" max="2"/>
    <col width="16" customWidth="1" style="93" min="3" max="10"/>
  </cols>
  <sheetData>
    <row r="1" ht="18" customHeight="1" s="94">
      <c r="A1" s="95" t="inlineStr">
        <is>
          <t>UANG RIBA — MASUK, DIPINJAM, DIGANTI &amp; SISA UTANG</t>
        </is>
      </c>
    </row>
    <row r="2" ht="42" customHeight="1" s="94">
      <c r="A2" s="98" t="inlineStr">
        <is>
          <t>Tahun mengikuti Dashboard. Riba masuk = bunga bank + dividen bank (Pindah Uang › Dana riba). Dipinjam = uang keluar dari Kantong Uang Riba dengan kategori "Pinjam dari uang riba", atau pengeluaran yang dibayar langsung dari Kantong Uang Riba. Diganti = kategori "Ganti uang riba" ke Kantong Uang Riba. Sama dengan menu Amanah › Riba di aplikasi.</t>
        </is>
      </c>
    </row>
    <row r="3"/>
    <row r="4" ht="15" customHeight="1" s="94">
      <c r="B4" s="101" t="inlineStr">
        <is>
          <t>A. POSISI HARI INI</t>
        </is>
      </c>
    </row>
    <row r="5" ht="15" customHeight="1" s="94">
      <c r="B5" s="127" t="inlineStr">
        <is>
          <t>Utang ke uang riba (belum diganti)</t>
        </is>
      </c>
      <c r="C5" s="117" t="n"/>
      <c r="D5" s="150" t="n"/>
      <c r="E5" s="113">
        <f>SUMIFS(Transaksi!$F$16:$F$5015,Transaksi!$C$16:$C$5015,"Kantong Uang Riba",Transaksi!$D$16:$D$5015,"Keluar",Transaksi!$I$16:$I$5015,"Pinjam dari uang riba",Transaksi!$B$16:$B$5015,"&gt;="&amp;DATE(2000,1,1),Transaksi!$B$16:$B$5015,"&lt;="&amp;TODAY())+SUMIFS(Transaksi!$F$16:$F$5015,Transaksi!$C$16:$C$5015,"Kantong Uang Riba",Transaksi!$D$16:$D$5015,"Keluar",Transaksi!$I$16:$I$5015,"Kelebihan ganti dikembalikan",Transaksi!$B$16:$B$5015,"&gt;="&amp;DATE(2000,1,1),Transaksi!$B$16:$B$5015,"&lt;="&amp;TODAY())+SUMIFS(Transaksi!$F$16:$F$5015,Transaksi!$C$16:$C$5015,"Kantong Uang Riba",Transaksi!$D$16:$D$5015,"Pindah",Transaksi!$I$16:$I$5015,"Kelebihan ganti dikembalikan",Transaksi!$B$16:$B$5015,"&gt;="&amp;DATE(2000,1,1),Transaksi!$B$16:$B$5015,"&lt;="&amp;TODAY())+SUMIFS(Transaksi!$F$16:$F$5015,Transaksi!$C$16:$C$5015,"Kantong Uang Riba",Transaksi!$D$16:$D$5015,"Keluar",Transaksi!$G$16:$G$5015,"Pengeluaran",Transaksi!$I$16:$I$5015,"&lt;&gt;Pinjam dari uang riba",Transaksi!$B$16:$B$5015,"&gt;="&amp;DATE(2000,1,1),Transaksi!$B$16:$B$5015,"&lt;="&amp;TODAY())+SUMIFS(Transaksi!$F$16:$F$5015,Transaksi!$C$16:$C$5015,"Kantong Uang Riba",Transaksi!$D$16:$D$5015,"Pindah",Transaksi!$I$16:$I$5015,"Pinjam dari uang riba",Transaksi!$B$16:$B$5015,"&gt;="&amp;DATE(2000,1,1),Transaksi!$B$16:$B$5015,"&lt;="&amp;TODAY())-(SUMIFS(Transaksi!$F$16:$F$5015,Transaksi!$C$16:$C$5015,"Kantong Uang Riba",Transaksi!$D$16:$D$5015,"Masuk",Transaksi!$I$16:$I$5015,"Ganti uang riba",Transaksi!$B$16:$B$5015,"&gt;="&amp;DATE(2000,1,1),Transaksi!$B$16:$B$5015,"&lt;="&amp;TODAY())+SUMIFS(Transaksi!$F$16:$F$5015,Transaksi!$E$16:$E$5015,"Kantong Uang Riba",Transaksi!$D$16:$D$5015,"Pindah",Transaksi!$I$16:$I$5015,"Ganti uang riba",Transaksi!$B$16:$B$5015,"&gt;="&amp;DATE(2000,1,1),Transaksi!$B$16:$B$5015,"&lt;="&amp;TODAY()))</f>
        <v/>
      </c>
      <c r="F5" s="127">
        <f>IF(E5&gt;0,"Masih ada yang belum diganti","Lunas ✓")</f>
        <v/>
      </c>
    </row>
    <row r="6" ht="15" customHeight="1" s="94">
      <c r="B6" s="127" t="inlineStr">
        <is>
          <t>Saldo Kantong Uang Riba</t>
        </is>
      </c>
      <c r="C6" s="117" t="n"/>
      <c r="D6" s="150" t="n"/>
      <c r="E6" s="113">
        <f>SUMIFS(Akun!$C$5:$C$104,Akun!$A$5:$A$104,"Kantong Uang Riba",Akun!$D$5:$D$104,"&lt;="&amp;TODAY())+SUMIFS(Transaksi!$F$16:$F$5015,Transaksi!$C$16:$C$5015,"Kantong Uang Riba",Transaksi!$D$16:$D$5015,"Masuk",Transaksi!$B$16:$B$5015,"&lt;="&amp;TODAY())-SUMIFS(Transaksi!$F$16:$F$5015,Transaksi!$C$16:$C$5015,"Kantong Uang Riba",Transaksi!$D$16:$D$5015,"Keluar",Transaksi!$B$16:$B$5015,"&lt;="&amp;TODAY())-SUMIFS(Transaksi!$F$16:$F$5015,Transaksi!$C$16:$C$5015,"Kantong Uang Riba",Transaksi!$D$16:$D$5015,"Pindah",Transaksi!$B$16:$B$5015,"&lt;="&amp;TODAY())+SUMIFS(Transaksi!$F$16:$F$5015,Transaksi!$E$16:$E$5015,"Kantong Uang Riba",Transaksi!$D$16:$D$5015,"Pindah",Transaksi!$B$16:$B$5015,"&lt;="&amp;TODAY())</f>
        <v/>
      </c>
    </row>
    <row r="7" ht="15" customHeight="1" s="94">
      <c r="B7" s="127" t="inlineStr">
        <is>
          <t>Total pernah dipinjam</t>
        </is>
      </c>
      <c r="C7" s="117" t="n"/>
      <c r="D7" s="150" t="n"/>
      <c r="E7" s="113">
        <f>SUMIFS(Transaksi!$F$16:$F$5015,Transaksi!$C$16:$C$5015,"Kantong Uang Riba",Transaksi!$D$16:$D$5015,"Keluar",Transaksi!$I$16:$I$5015,"Pinjam dari uang riba",Transaksi!$B$16:$B$5015,"&gt;="&amp;DATE(2000,1,1),Transaksi!$B$16:$B$5015,"&lt;="&amp;TODAY())+SUMIFS(Transaksi!$F$16:$F$5015,Transaksi!$C$16:$C$5015,"Kantong Uang Riba",Transaksi!$D$16:$D$5015,"Keluar",Transaksi!$I$16:$I$5015,"Kelebihan ganti dikembalikan",Transaksi!$B$16:$B$5015,"&gt;="&amp;DATE(2000,1,1),Transaksi!$B$16:$B$5015,"&lt;="&amp;TODAY())+SUMIFS(Transaksi!$F$16:$F$5015,Transaksi!$C$16:$C$5015,"Kantong Uang Riba",Transaksi!$D$16:$D$5015,"Pindah",Transaksi!$I$16:$I$5015,"Kelebihan ganti dikembalikan",Transaksi!$B$16:$B$5015,"&gt;="&amp;DATE(2000,1,1),Transaksi!$B$16:$B$5015,"&lt;="&amp;TODAY())+SUMIFS(Transaksi!$F$16:$F$5015,Transaksi!$C$16:$C$5015,"Kantong Uang Riba",Transaksi!$D$16:$D$5015,"Keluar",Transaksi!$G$16:$G$5015,"Pengeluaran",Transaksi!$I$16:$I$5015,"&lt;&gt;Pinjam dari uang riba",Transaksi!$B$16:$B$5015,"&gt;="&amp;DATE(2000,1,1),Transaksi!$B$16:$B$5015,"&lt;="&amp;TODAY())+SUMIFS(Transaksi!$F$16:$F$5015,Transaksi!$C$16:$C$5015,"Kantong Uang Riba",Transaksi!$D$16:$D$5015,"Pindah",Transaksi!$I$16:$I$5015,"Pinjam dari uang riba",Transaksi!$B$16:$B$5015,"&gt;="&amp;DATE(2000,1,1),Transaksi!$B$16:$B$5015,"&lt;="&amp;TODAY())</f>
        <v/>
      </c>
    </row>
    <row r="8" ht="15" customHeight="1" s="94">
      <c r="B8" s="127" t="inlineStr">
        <is>
          <t>Total sudah diganti</t>
        </is>
      </c>
      <c r="C8" s="117" t="n"/>
      <c r="D8" s="150" t="n"/>
      <c r="E8" s="113">
        <f>SUMIFS(Transaksi!$F$16:$F$5015,Transaksi!$C$16:$C$5015,"Kantong Uang Riba",Transaksi!$D$16:$D$5015,"Masuk",Transaksi!$I$16:$I$5015,"Ganti uang riba",Transaksi!$B$16:$B$5015,"&gt;="&amp;DATE(2000,1,1),Transaksi!$B$16:$B$5015,"&lt;="&amp;TODAY())+SUMIFS(Transaksi!$F$16:$F$5015,Transaksi!$E$16:$E$5015,"Kantong Uang Riba",Transaksi!$D$16:$D$5015,"Pindah",Transaksi!$I$16:$I$5015,"Ganti uang riba",Transaksi!$B$16:$B$5015,"&gt;="&amp;DATE(2000,1,1),Transaksi!$B$16:$B$5015,"&lt;="&amp;TODAY())</f>
        <v/>
      </c>
    </row>
    <row r="9" ht="15" customHeight="1" s="94">
      <c r="B9" s="127" t="inlineStr">
        <is>
          <t>Selisih bunga bersih (semua waktu)</t>
        </is>
      </c>
      <c r="C9" s="117" t="n"/>
      <c r="D9" s="150" t="n"/>
      <c r="E9" s="113">
        <f>SUMIFS(Transaksi!$F$16:$F$5015,Transaksi!$I$16:$I$5015,"Selisih bunga",Transaksi!$D$16:$D$5015,"Masuk")-SUMIFS(Transaksi!$F$16:$F$5015,Transaksi!$I$16:$I$5015,"Selisih bunga",Transaksi!$D$16:$D$5015,"Keluar")</f>
        <v/>
      </c>
    </row>
    <row r="10"/>
    <row r="11" ht="15" customHeight="1" s="94">
      <c r="B11" s="101">
        <f>"B. PER BULAN — TAHUN "&amp;Dashboard!$C$4</f>
        <v/>
      </c>
    </row>
    <row r="12" ht="43.5" customHeight="1" s="94">
      <c r="B12" s="155" t="inlineStr">
        <is>
          <t>Bulan</t>
        </is>
      </c>
      <c r="C12" s="155" t="inlineStr">
        <is>
          <t>Bunga &amp; dividen masuk</t>
        </is>
      </c>
      <c r="D12" s="155" t="inlineStr">
        <is>
          <t>Pajak (bunga &amp; dividen)</t>
        </is>
      </c>
      <c r="E12" s="155" t="inlineStr">
        <is>
          <t>Selisih bunga (pembulatan setelah pajak)</t>
        </is>
      </c>
      <c r="F12" s="155" t="inlineStr">
        <is>
          <t>Riba bersih</t>
        </is>
      </c>
      <c r="G12" s="155" t="inlineStr">
        <is>
          <t>Dipinjam</t>
        </is>
      </c>
      <c r="H12" s="155" t="inlineStr">
        <is>
          <t>Diganti</t>
        </is>
      </c>
      <c r="I12" s="155" t="inlineStr">
        <is>
          <t>Utang ke uang riba (akhir bulan)</t>
        </is>
      </c>
      <c r="J12" s="155" t="inlineStr">
        <is>
          <t>Saldo Kantong Uang Riba (akhir bulan)</t>
        </is>
      </c>
    </row>
    <row r="13" ht="15" customHeight="1" s="94">
      <c r="B13" s="127" t="inlineStr">
        <is>
          <t>Januari</t>
        </is>
      </c>
      <c r="C13" s="106">
        <f>IF(DATE(Dashboard!$C$4,1,1)&gt;TODAY(),"",SUMIFS(Transaksi!$F$16:$F$5015,Transaksi!$H$16:$H$5015,"Dana riba",Transaksi!$D$16:$D$5015,"Masuk",Transaksi!$I$16:$I$5015,"&lt;&gt;Selisih bunga",Transaksi!$B$16:$B$5015,"&gt;="&amp;DATE(Dashboard!$C$4,1,1),Transaksi!$B$16:$B$5015,"&lt;="&amp;EOMONTH(DATE(Dashboard!$C$4,1,1),0)))</f>
        <v/>
      </c>
      <c r="D13" s="106">
        <f>IF(DATE(Dashboard!$C$4,1,1)&gt;TODAY(),"",SUMIFS(Transaksi!$F$16:$F$5015,Transaksi!$H$16:$H$5015,"Dana riba",Transaksi!$I$16:$I$5015,"Pajak*",Transaksi!$B$16:$B$5015,"&gt;="&amp;DATE(Dashboard!$C$4,1,1),Transaksi!$B$16:$B$5015,"&lt;="&amp;EOMONTH(DATE(Dashboard!$C$4,1,1),0)))</f>
        <v/>
      </c>
      <c r="E13" s="106">
        <f>IF(DATE(Dashboard!$C$4,1,1)&gt;TODAY(),"",SUMIFS(Transaksi!$F$16:$F$5015,Transaksi!$I$16:$I$5015,"Selisih bunga",Transaksi!$D$16:$D$5015,"Masuk",Transaksi!$B$16:$B$5015,"&gt;="&amp;DATE(Dashboard!$C$4,1,1),Transaksi!$B$16:$B$5015,"&lt;="&amp;EOMONTH(DATE(Dashboard!$C$4,1,1),0))-SUMIFS(Transaksi!$F$16:$F$5015,Transaksi!$I$16:$I$5015,"Selisih bunga",Transaksi!$D$16:$D$5015,"Keluar",Transaksi!$B$16:$B$5015,"&gt;="&amp;DATE(Dashboard!$C$4,1,1),Transaksi!$B$16:$B$5015,"&lt;="&amp;EOMONTH(DATE(Dashboard!$C$4,1,1),0)))</f>
        <v/>
      </c>
      <c r="F13" s="113">
        <f>IF(DATE(Dashboard!$C$4,1,1)&gt;TODAY(),"",C13-D13+E13)</f>
        <v/>
      </c>
      <c r="G13" s="106">
        <f>IF(DATE(Dashboard!$C$4,1,1)&gt;TODAY(),"",SUMIFS(Transaksi!$F$16:$F$5015,Transaksi!$C$16:$C$5015,"Kantong Uang Riba",Transaksi!$D$16:$D$5015,"Keluar",Transaksi!$I$16:$I$5015,"Pinjam dari uang riba",Transaksi!$B$16:$B$5015,"&gt;="&amp;DATE(Dashboard!$C$4,1,1),Transaksi!$B$16:$B$5015,"&lt;="&amp;EOMONTH(DATE(Dashboard!$C$4,1,1),0))+SUMIFS(Transaksi!$F$16:$F$5015,Transaksi!$C$16:$C$5015,"Kantong Uang Riba",Transaksi!$D$16:$D$5015,"Keluar",Transaksi!$I$16:$I$5015,"Kelebihan ganti dikembalikan",Transaksi!$B$16:$B$5015,"&gt;="&amp;DATE(Dashboard!$C$4,1,1),Transaksi!$B$16:$B$5015,"&lt;="&amp;EOMONTH(DATE(Dashboard!$C$4,1,1),0))+SUMIFS(Transaksi!$F$16:$F$5015,Transaksi!$C$16:$C$5015,"Kantong Uang Riba",Transaksi!$D$16:$D$5015,"Pindah",Transaksi!$I$16:$I$5015,"Kelebihan ganti dikembalikan",Transaksi!$B$16:$B$5015,"&gt;="&amp;DATE(Dashboard!$C$4,1,1),Transaksi!$B$16:$B$5015,"&lt;="&amp;EOMONTH(DATE(Dashboard!$C$4,1,1),0))+SUMIFS(Transaksi!$F$16:$F$5015,Transaksi!$C$16:$C$5015,"Kantong Uang Riba",Transaksi!$D$16:$D$5015,"Keluar",Transaksi!$G$16:$G$5015,"Pengeluaran",Transaksi!$I$16:$I$5015,"&lt;&gt;Pinjam dari uang riba",Transaksi!$B$16:$B$5015,"&gt;="&amp;DATE(Dashboard!$C$4,1,1),Transaksi!$B$16:$B$5015,"&lt;="&amp;EOMONTH(DATE(Dashboard!$C$4,1,1),0))+SUMIFS(Transaksi!$F$16:$F$5015,Transaksi!$C$16:$C$5015,"Kantong Uang Riba",Transaksi!$D$16:$D$5015,"Pindah",Transaksi!$I$16:$I$5015,"Pinjam dari uang riba",Transaksi!$B$16:$B$5015,"&gt;="&amp;DATE(Dashboard!$C$4,1,1),Transaksi!$B$16:$B$5015,"&lt;="&amp;EOMONTH(DATE(Dashboard!$C$4,1,1),0)))</f>
        <v/>
      </c>
      <c r="H13" s="106">
        <f>IF(DATE(Dashboard!$C$4,1,1)&gt;TODAY(),"",SUMIFS(Transaksi!$F$16:$F$5015,Transaksi!$C$16:$C$5015,"Kantong Uang Riba",Transaksi!$D$16:$D$5015,"Masuk",Transaksi!$I$16:$I$5015,"Ganti uang riba",Transaksi!$B$16:$B$5015,"&gt;="&amp;DATE(Dashboard!$C$4,1,1),Transaksi!$B$16:$B$5015,"&lt;="&amp;EOMONTH(DATE(Dashboard!$C$4,1,1),0))+SUMIFS(Transaksi!$F$16:$F$5015,Transaksi!$E$16:$E$5015,"Kantong Uang Riba",Transaksi!$D$16:$D$5015,"Pindah",Transaksi!$I$16:$I$5015,"Ganti uang riba",Transaksi!$B$16:$B$5015,"&gt;="&amp;DATE(Dashboard!$C$4,1,1),Transaksi!$B$16:$B$5015,"&lt;="&amp;EOMONTH(DATE(Dashboard!$C$4,1,1),0)))</f>
        <v/>
      </c>
      <c r="I13" s="113">
        <f>IF(DATE(Dashboard!$C$4,1,1)&gt;TODAY(),"",SUMIFS(Transaksi!$F$16:$F$5015,Transaksi!$C$16:$C$5015,"Kantong Uang Riba",Transaksi!$D$16:$D$5015,"Keluar",Transaksi!$I$16:$I$5015,"Pinjam dari uang riba",Transaksi!$B$16:$B$5015,"&gt;="&amp;DATE(2000,1,1),Transaksi!$B$16:$B$5015,"&lt;="&amp;MIN(EOMONTH(DATE(Dashboard!$C$4,1,1),0),TODAY()))+SUMIFS(Transaksi!$F$16:$F$5015,Transaksi!$C$16:$C$5015,"Kantong Uang Riba",Transaksi!$D$16:$D$5015,"Keluar",Transaksi!$I$16:$I$5015,"Kelebihan ganti dikembalikan",Transaksi!$B$16:$B$5015,"&gt;="&amp;DATE(2000,1,1),Transaksi!$B$16:$B$5015,"&lt;="&amp;MIN(EOMONTH(DATE(Dashboard!$C$4,1,1),0),TODAY()))+SUMIFS(Transaksi!$F$16:$F$5015,Transaksi!$C$16:$C$5015,"Kantong Uang Riba",Transaksi!$D$16:$D$5015,"Pindah",Transaksi!$I$16:$I$5015,"Kelebihan ganti dikembalikan",Transaksi!$B$16:$B$5015,"&gt;="&amp;DATE(2000,1,1),Transaksi!$B$16:$B$5015,"&lt;="&amp;MIN(EOMONTH(DATE(Dashboard!$C$4,1,1),0),TODAY()))+SUMIFS(Transaksi!$F$16:$F$5015,Transaksi!$C$16:$C$5015,"Kantong Uang Riba",Transaksi!$D$16:$D$5015,"Keluar",Transaksi!$G$16:$G$5015,"Pengeluaran",Transaksi!$I$16:$I$5015,"&lt;&gt;Pinjam dari uang riba",Transaksi!$B$16:$B$5015,"&gt;="&amp;DATE(2000,1,1),Transaksi!$B$16:$B$5015,"&lt;="&amp;MIN(EOMONTH(DATE(Dashboard!$C$4,1,1),0),TODAY()))+SUMIFS(Transaksi!$F$16:$F$5015,Transaksi!$C$16:$C$5015,"Kantong Uang Riba",Transaksi!$D$16:$D$5015,"Pindah",Transaksi!$I$16:$I$5015,"Pinjam dari uang riba",Transaksi!$B$16:$B$5015,"&gt;="&amp;DATE(2000,1,1),Transaksi!$B$16:$B$5015,"&lt;="&amp;MIN(EOMONTH(DATE(Dashboard!$C$4,1,1),0),TODAY()))-(SUMIFS(Transaksi!$F$16:$F$5015,Transaksi!$C$16:$C$5015,"Kantong Uang Riba",Transaksi!$D$16:$D$5015,"Masuk",Transaksi!$I$16:$I$5015,"Ganti uang riba",Transaksi!$B$16:$B$5015,"&gt;="&amp;DATE(2000,1,1),Transaksi!$B$16:$B$5015,"&lt;="&amp;MIN(EOMONTH(DATE(Dashboard!$C$4,1,1),0),TODAY()))+SUMIFS(Transaksi!$F$16:$F$5015,Transaksi!$E$16:$E$5015,"Kantong Uang Riba",Transaksi!$D$16:$D$5015,"Pindah",Transaksi!$I$16:$I$5015,"Ganti uang riba",Transaksi!$B$16:$B$5015,"&gt;="&amp;DATE(2000,1,1),Transaksi!$B$16:$B$5015,"&lt;="&amp;MIN(EOMONTH(DATE(Dashboard!$C$4,1,1),0),TODAY()))))</f>
        <v/>
      </c>
      <c r="J13" s="106">
        <f>IF(DATE(Dashboard!$C$4,1,1)&gt;TODAY(),"",SUMIFS(Akun!$C$5:$C$104,Akun!$A$5:$A$104,"Kantong Uang Riba",Akun!$D$5:$D$104,"&lt;="&amp;MIN(EOMONTH(DATE(Dashboard!$C$4,1,1),0),TODAY()))+SUMIFS(Transaksi!$F$16:$F$5015,Transaksi!$C$16:$C$5015,"Kantong Uang Riba",Transaksi!$D$16:$D$5015,"Masuk",Transaksi!$B$16:$B$5015,"&lt;="&amp;MIN(EOMONTH(DATE(Dashboard!$C$4,1,1),0),TODAY()))-SUMIFS(Transaksi!$F$16:$F$5015,Transaksi!$C$16:$C$5015,"Kantong Uang Riba",Transaksi!$D$16:$D$5015,"Keluar",Transaksi!$B$16:$B$5015,"&lt;="&amp;MIN(EOMONTH(DATE(Dashboard!$C$4,1,1),0),TODAY()))-SUMIFS(Transaksi!$F$16:$F$5015,Transaksi!$C$16:$C$5015,"Kantong Uang Riba",Transaksi!$D$16:$D$5015,"Pindah",Transaksi!$B$16:$B$5015,"&lt;="&amp;MIN(EOMONTH(DATE(Dashboard!$C$4,1,1),0),TODAY()))+SUMIFS(Transaksi!$F$16:$F$5015,Transaksi!$E$16:$E$5015,"Kantong Uang Riba",Transaksi!$D$16:$D$5015,"Pindah",Transaksi!$B$16:$B$5015,"&lt;="&amp;MIN(EOMONTH(DATE(Dashboard!$C$4,1,1),0),TODAY())))</f>
        <v/>
      </c>
    </row>
    <row r="14" ht="15" customHeight="1" s="94">
      <c r="B14" s="127" t="inlineStr">
        <is>
          <t>Februari</t>
        </is>
      </c>
      <c r="C14" s="106">
        <f>IF(DATE(Dashboard!$C$4,2,1)&gt;TODAY(),"",SUMIFS(Transaksi!$F$16:$F$5015,Transaksi!$H$16:$H$5015,"Dana riba",Transaksi!$D$16:$D$5015,"Masuk",Transaksi!$I$16:$I$5015,"&lt;&gt;Selisih bunga",Transaksi!$B$16:$B$5015,"&gt;="&amp;DATE(Dashboard!$C$4,2,1),Transaksi!$B$16:$B$5015,"&lt;="&amp;EOMONTH(DATE(Dashboard!$C$4,2,1),0)))</f>
        <v/>
      </c>
      <c r="D14" s="106">
        <f>IF(DATE(Dashboard!$C$4,2,1)&gt;TODAY(),"",SUMIFS(Transaksi!$F$16:$F$5015,Transaksi!$H$16:$H$5015,"Dana riba",Transaksi!$I$16:$I$5015,"Pajak*",Transaksi!$B$16:$B$5015,"&gt;="&amp;DATE(Dashboard!$C$4,2,1),Transaksi!$B$16:$B$5015,"&lt;="&amp;EOMONTH(DATE(Dashboard!$C$4,2,1),0)))</f>
        <v/>
      </c>
      <c r="E14" s="106">
        <f>IF(DATE(Dashboard!$C$4,2,1)&gt;TODAY(),"",SUMIFS(Transaksi!$F$16:$F$5015,Transaksi!$I$16:$I$5015,"Selisih bunga",Transaksi!$D$16:$D$5015,"Masuk",Transaksi!$B$16:$B$5015,"&gt;="&amp;DATE(Dashboard!$C$4,2,1),Transaksi!$B$16:$B$5015,"&lt;="&amp;EOMONTH(DATE(Dashboard!$C$4,2,1),0))-SUMIFS(Transaksi!$F$16:$F$5015,Transaksi!$I$16:$I$5015,"Selisih bunga",Transaksi!$D$16:$D$5015,"Keluar",Transaksi!$B$16:$B$5015,"&gt;="&amp;DATE(Dashboard!$C$4,2,1),Transaksi!$B$16:$B$5015,"&lt;="&amp;EOMONTH(DATE(Dashboard!$C$4,2,1),0)))</f>
        <v/>
      </c>
      <c r="F14" s="113">
        <f>IF(DATE(Dashboard!$C$4,2,1)&gt;TODAY(),"",C14-D14+E14)</f>
        <v/>
      </c>
      <c r="G14" s="106">
        <f>IF(DATE(Dashboard!$C$4,2,1)&gt;TODAY(),"",SUMIFS(Transaksi!$F$16:$F$5015,Transaksi!$C$16:$C$5015,"Kantong Uang Riba",Transaksi!$D$16:$D$5015,"Keluar",Transaksi!$I$16:$I$5015,"Pinjam dari uang riba",Transaksi!$B$16:$B$5015,"&gt;="&amp;DATE(Dashboard!$C$4,2,1),Transaksi!$B$16:$B$5015,"&lt;="&amp;EOMONTH(DATE(Dashboard!$C$4,2,1),0))+SUMIFS(Transaksi!$F$16:$F$5015,Transaksi!$C$16:$C$5015,"Kantong Uang Riba",Transaksi!$D$16:$D$5015,"Keluar",Transaksi!$I$16:$I$5015,"Kelebihan ganti dikembalikan",Transaksi!$B$16:$B$5015,"&gt;="&amp;DATE(Dashboard!$C$4,2,1),Transaksi!$B$16:$B$5015,"&lt;="&amp;EOMONTH(DATE(Dashboard!$C$4,2,1),0))+SUMIFS(Transaksi!$F$16:$F$5015,Transaksi!$C$16:$C$5015,"Kantong Uang Riba",Transaksi!$D$16:$D$5015,"Pindah",Transaksi!$I$16:$I$5015,"Kelebihan ganti dikembalikan",Transaksi!$B$16:$B$5015,"&gt;="&amp;DATE(Dashboard!$C$4,2,1),Transaksi!$B$16:$B$5015,"&lt;="&amp;EOMONTH(DATE(Dashboard!$C$4,2,1),0))+SUMIFS(Transaksi!$F$16:$F$5015,Transaksi!$C$16:$C$5015,"Kantong Uang Riba",Transaksi!$D$16:$D$5015,"Keluar",Transaksi!$G$16:$G$5015,"Pengeluaran",Transaksi!$I$16:$I$5015,"&lt;&gt;Pinjam dari uang riba",Transaksi!$B$16:$B$5015,"&gt;="&amp;DATE(Dashboard!$C$4,2,1),Transaksi!$B$16:$B$5015,"&lt;="&amp;EOMONTH(DATE(Dashboard!$C$4,2,1),0))+SUMIFS(Transaksi!$F$16:$F$5015,Transaksi!$C$16:$C$5015,"Kantong Uang Riba",Transaksi!$D$16:$D$5015,"Pindah",Transaksi!$I$16:$I$5015,"Pinjam dari uang riba",Transaksi!$B$16:$B$5015,"&gt;="&amp;DATE(Dashboard!$C$4,2,1),Transaksi!$B$16:$B$5015,"&lt;="&amp;EOMONTH(DATE(Dashboard!$C$4,2,1),0)))</f>
        <v/>
      </c>
      <c r="H14" s="106">
        <f>IF(DATE(Dashboard!$C$4,2,1)&gt;TODAY(),"",SUMIFS(Transaksi!$F$16:$F$5015,Transaksi!$C$16:$C$5015,"Kantong Uang Riba",Transaksi!$D$16:$D$5015,"Masuk",Transaksi!$I$16:$I$5015,"Ganti uang riba",Transaksi!$B$16:$B$5015,"&gt;="&amp;DATE(Dashboard!$C$4,2,1),Transaksi!$B$16:$B$5015,"&lt;="&amp;EOMONTH(DATE(Dashboard!$C$4,2,1),0))+SUMIFS(Transaksi!$F$16:$F$5015,Transaksi!$E$16:$E$5015,"Kantong Uang Riba",Transaksi!$D$16:$D$5015,"Pindah",Transaksi!$I$16:$I$5015,"Ganti uang riba",Transaksi!$B$16:$B$5015,"&gt;="&amp;DATE(Dashboard!$C$4,2,1),Transaksi!$B$16:$B$5015,"&lt;="&amp;EOMONTH(DATE(Dashboard!$C$4,2,1),0)))</f>
        <v/>
      </c>
      <c r="I14" s="113">
        <f>IF(DATE(Dashboard!$C$4,2,1)&gt;TODAY(),"",SUMIFS(Transaksi!$F$16:$F$5015,Transaksi!$C$16:$C$5015,"Kantong Uang Riba",Transaksi!$D$16:$D$5015,"Keluar",Transaksi!$I$16:$I$5015,"Pinjam dari uang riba",Transaksi!$B$16:$B$5015,"&gt;="&amp;DATE(2000,1,1),Transaksi!$B$16:$B$5015,"&lt;="&amp;MIN(EOMONTH(DATE(Dashboard!$C$4,2,1),0),TODAY()))+SUMIFS(Transaksi!$F$16:$F$5015,Transaksi!$C$16:$C$5015,"Kantong Uang Riba",Transaksi!$D$16:$D$5015,"Keluar",Transaksi!$I$16:$I$5015,"Kelebihan ganti dikembalikan",Transaksi!$B$16:$B$5015,"&gt;="&amp;DATE(2000,1,1),Transaksi!$B$16:$B$5015,"&lt;="&amp;MIN(EOMONTH(DATE(Dashboard!$C$4,2,1),0),TODAY()))+SUMIFS(Transaksi!$F$16:$F$5015,Transaksi!$C$16:$C$5015,"Kantong Uang Riba",Transaksi!$D$16:$D$5015,"Pindah",Transaksi!$I$16:$I$5015,"Kelebihan ganti dikembalikan",Transaksi!$B$16:$B$5015,"&gt;="&amp;DATE(2000,1,1),Transaksi!$B$16:$B$5015,"&lt;="&amp;MIN(EOMONTH(DATE(Dashboard!$C$4,2,1),0),TODAY()))+SUMIFS(Transaksi!$F$16:$F$5015,Transaksi!$C$16:$C$5015,"Kantong Uang Riba",Transaksi!$D$16:$D$5015,"Keluar",Transaksi!$G$16:$G$5015,"Pengeluaran",Transaksi!$I$16:$I$5015,"&lt;&gt;Pinjam dari uang riba",Transaksi!$B$16:$B$5015,"&gt;="&amp;DATE(2000,1,1),Transaksi!$B$16:$B$5015,"&lt;="&amp;MIN(EOMONTH(DATE(Dashboard!$C$4,2,1),0),TODAY()))+SUMIFS(Transaksi!$F$16:$F$5015,Transaksi!$C$16:$C$5015,"Kantong Uang Riba",Transaksi!$D$16:$D$5015,"Pindah",Transaksi!$I$16:$I$5015,"Pinjam dari uang riba",Transaksi!$B$16:$B$5015,"&gt;="&amp;DATE(2000,1,1),Transaksi!$B$16:$B$5015,"&lt;="&amp;MIN(EOMONTH(DATE(Dashboard!$C$4,2,1),0),TODAY()))-(SUMIFS(Transaksi!$F$16:$F$5015,Transaksi!$C$16:$C$5015,"Kantong Uang Riba",Transaksi!$D$16:$D$5015,"Masuk",Transaksi!$I$16:$I$5015,"Ganti uang riba",Transaksi!$B$16:$B$5015,"&gt;="&amp;DATE(2000,1,1),Transaksi!$B$16:$B$5015,"&lt;="&amp;MIN(EOMONTH(DATE(Dashboard!$C$4,2,1),0),TODAY()))+SUMIFS(Transaksi!$F$16:$F$5015,Transaksi!$E$16:$E$5015,"Kantong Uang Riba",Transaksi!$D$16:$D$5015,"Pindah",Transaksi!$I$16:$I$5015,"Ganti uang riba",Transaksi!$B$16:$B$5015,"&gt;="&amp;DATE(2000,1,1),Transaksi!$B$16:$B$5015,"&lt;="&amp;MIN(EOMONTH(DATE(Dashboard!$C$4,2,1),0),TODAY()))))</f>
        <v/>
      </c>
      <c r="J14" s="106">
        <f>IF(DATE(Dashboard!$C$4,2,1)&gt;TODAY(),"",SUMIFS(Akun!$C$5:$C$104,Akun!$A$5:$A$104,"Kantong Uang Riba",Akun!$D$5:$D$104,"&lt;="&amp;MIN(EOMONTH(DATE(Dashboard!$C$4,2,1),0),TODAY()))+SUMIFS(Transaksi!$F$16:$F$5015,Transaksi!$C$16:$C$5015,"Kantong Uang Riba",Transaksi!$D$16:$D$5015,"Masuk",Transaksi!$B$16:$B$5015,"&lt;="&amp;MIN(EOMONTH(DATE(Dashboard!$C$4,2,1),0),TODAY()))-SUMIFS(Transaksi!$F$16:$F$5015,Transaksi!$C$16:$C$5015,"Kantong Uang Riba",Transaksi!$D$16:$D$5015,"Keluar",Transaksi!$B$16:$B$5015,"&lt;="&amp;MIN(EOMONTH(DATE(Dashboard!$C$4,2,1),0),TODAY()))-SUMIFS(Transaksi!$F$16:$F$5015,Transaksi!$C$16:$C$5015,"Kantong Uang Riba",Transaksi!$D$16:$D$5015,"Pindah",Transaksi!$B$16:$B$5015,"&lt;="&amp;MIN(EOMONTH(DATE(Dashboard!$C$4,2,1),0),TODAY()))+SUMIFS(Transaksi!$F$16:$F$5015,Transaksi!$E$16:$E$5015,"Kantong Uang Riba",Transaksi!$D$16:$D$5015,"Pindah",Transaksi!$B$16:$B$5015,"&lt;="&amp;MIN(EOMONTH(DATE(Dashboard!$C$4,2,1),0),TODAY())))</f>
        <v/>
      </c>
    </row>
    <row r="15" ht="15" customHeight="1" s="94">
      <c r="B15" s="127" t="inlineStr">
        <is>
          <t>Maret</t>
        </is>
      </c>
      <c r="C15" s="106">
        <f>IF(DATE(Dashboard!$C$4,3,1)&gt;TODAY(),"",SUMIFS(Transaksi!$F$16:$F$5015,Transaksi!$H$16:$H$5015,"Dana riba",Transaksi!$D$16:$D$5015,"Masuk",Transaksi!$I$16:$I$5015,"&lt;&gt;Selisih bunga",Transaksi!$B$16:$B$5015,"&gt;="&amp;DATE(Dashboard!$C$4,3,1),Transaksi!$B$16:$B$5015,"&lt;="&amp;EOMONTH(DATE(Dashboard!$C$4,3,1),0)))</f>
        <v/>
      </c>
      <c r="D15" s="106">
        <f>IF(DATE(Dashboard!$C$4,3,1)&gt;TODAY(),"",SUMIFS(Transaksi!$F$16:$F$5015,Transaksi!$H$16:$H$5015,"Dana riba",Transaksi!$I$16:$I$5015,"Pajak*",Transaksi!$B$16:$B$5015,"&gt;="&amp;DATE(Dashboard!$C$4,3,1),Transaksi!$B$16:$B$5015,"&lt;="&amp;EOMONTH(DATE(Dashboard!$C$4,3,1),0)))</f>
        <v/>
      </c>
      <c r="E15" s="106">
        <f>IF(DATE(Dashboard!$C$4,3,1)&gt;TODAY(),"",SUMIFS(Transaksi!$F$16:$F$5015,Transaksi!$I$16:$I$5015,"Selisih bunga",Transaksi!$D$16:$D$5015,"Masuk",Transaksi!$B$16:$B$5015,"&gt;="&amp;DATE(Dashboard!$C$4,3,1),Transaksi!$B$16:$B$5015,"&lt;="&amp;EOMONTH(DATE(Dashboard!$C$4,3,1),0))-SUMIFS(Transaksi!$F$16:$F$5015,Transaksi!$I$16:$I$5015,"Selisih bunga",Transaksi!$D$16:$D$5015,"Keluar",Transaksi!$B$16:$B$5015,"&gt;="&amp;DATE(Dashboard!$C$4,3,1),Transaksi!$B$16:$B$5015,"&lt;="&amp;EOMONTH(DATE(Dashboard!$C$4,3,1),0)))</f>
        <v/>
      </c>
      <c r="F15" s="113">
        <f>IF(DATE(Dashboard!$C$4,3,1)&gt;TODAY(),"",C15-D15+E15)</f>
        <v/>
      </c>
      <c r="G15" s="106">
        <f>IF(DATE(Dashboard!$C$4,3,1)&gt;TODAY(),"",SUMIFS(Transaksi!$F$16:$F$5015,Transaksi!$C$16:$C$5015,"Kantong Uang Riba",Transaksi!$D$16:$D$5015,"Keluar",Transaksi!$I$16:$I$5015,"Pinjam dari uang riba",Transaksi!$B$16:$B$5015,"&gt;="&amp;DATE(Dashboard!$C$4,3,1),Transaksi!$B$16:$B$5015,"&lt;="&amp;EOMONTH(DATE(Dashboard!$C$4,3,1),0))+SUMIFS(Transaksi!$F$16:$F$5015,Transaksi!$C$16:$C$5015,"Kantong Uang Riba",Transaksi!$D$16:$D$5015,"Keluar",Transaksi!$I$16:$I$5015,"Kelebihan ganti dikembalikan",Transaksi!$B$16:$B$5015,"&gt;="&amp;DATE(Dashboard!$C$4,3,1),Transaksi!$B$16:$B$5015,"&lt;="&amp;EOMONTH(DATE(Dashboard!$C$4,3,1),0))+SUMIFS(Transaksi!$F$16:$F$5015,Transaksi!$C$16:$C$5015,"Kantong Uang Riba",Transaksi!$D$16:$D$5015,"Pindah",Transaksi!$I$16:$I$5015,"Kelebihan ganti dikembalikan",Transaksi!$B$16:$B$5015,"&gt;="&amp;DATE(Dashboard!$C$4,3,1),Transaksi!$B$16:$B$5015,"&lt;="&amp;EOMONTH(DATE(Dashboard!$C$4,3,1),0))+SUMIFS(Transaksi!$F$16:$F$5015,Transaksi!$C$16:$C$5015,"Kantong Uang Riba",Transaksi!$D$16:$D$5015,"Keluar",Transaksi!$G$16:$G$5015,"Pengeluaran",Transaksi!$I$16:$I$5015,"&lt;&gt;Pinjam dari uang riba",Transaksi!$B$16:$B$5015,"&gt;="&amp;DATE(Dashboard!$C$4,3,1),Transaksi!$B$16:$B$5015,"&lt;="&amp;EOMONTH(DATE(Dashboard!$C$4,3,1),0))+SUMIFS(Transaksi!$F$16:$F$5015,Transaksi!$C$16:$C$5015,"Kantong Uang Riba",Transaksi!$D$16:$D$5015,"Pindah",Transaksi!$I$16:$I$5015,"Pinjam dari uang riba",Transaksi!$B$16:$B$5015,"&gt;="&amp;DATE(Dashboard!$C$4,3,1),Transaksi!$B$16:$B$5015,"&lt;="&amp;EOMONTH(DATE(Dashboard!$C$4,3,1),0)))</f>
        <v/>
      </c>
      <c r="H15" s="106">
        <f>IF(DATE(Dashboard!$C$4,3,1)&gt;TODAY(),"",SUMIFS(Transaksi!$F$16:$F$5015,Transaksi!$C$16:$C$5015,"Kantong Uang Riba",Transaksi!$D$16:$D$5015,"Masuk",Transaksi!$I$16:$I$5015,"Ganti uang riba",Transaksi!$B$16:$B$5015,"&gt;="&amp;DATE(Dashboard!$C$4,3,1),Transaksi!$B$16:$B$5015,"&lt;="&amp;EOMONTH(DATE(Dashboard!$C$4,3,1),0))+SUMIFS(Transaksi!$F$16:$F$5015,Transaksi!$E$16:$E$5015,"Kantong Uang Riba",Transaksi!$D$16:$D$5015,"Pindah",Transaksi!$I$16:$I$5015,"Ganti uang riba",Transaksi!$B$16:$B$5015,"&gt;="&amp;DATE(Dashboard!$C$4,3,1),Transaksi!$B$16:$B$5015,"&lt;="&amp;EOMONTH(DATE(Dashboard!$C$4,3,1),0)))</f>
        <v/>
      </c>
      <c r="I15" s="113">
        <f>IF(DATE(Dashboard!$C$4,3,1)&gt;TODAY(),"",SUMIFS(Transaksi!$F$16:$F$5015,Transaksi!$C$16:$C$5015,"Kantong Uang Riba",Transaksi!$D$16:$D$5015,"Keluar",Transaksi!$I$16:$I$5015,"Pinjam dari uang riba",Transaksi!$B$16:$B$5015,"&gt;="&amp;DATE(2000,1,1),Transaksi!$B$16:$B$5015,"&lt;="&amp;MIN(EOMONTH(DATE(Dashboard!$C$4,3,1),0),TODAY()))+SUMIFS(Transaksi!$F$16:$F$5015,Transaksi!$C$16:$C$5015,"Kantong Uang Riba",Transaksi!$D$16:$D$5015,"Keluar",Transaksi!$I$16:$I$5015,"Kelebihan ganti dikembalikan",Transaksi!$B$16:$B$5015,"&gt;="&amp;DATE(2000,1,1),Transaksi!$B$16:$B$5015,"&lt;="&amp;MIN(EOMONTH(DATE(Dashboard!$C$4,3,1),0),TODAY()))+SUMIFS(Transaksi!$F$16:$F$5015,Transaksi!$C$16:$C$5015,"Kantong Uang Riba",Transaksi!$D$16:$D$5015,"Pindah",Transaksi!$I$16:$I$5015,"Kelebihan ganti dikembalikan",Transaksi!$B$16:$B$5015,"&gt;="&amp;DATE(2000,1,1),Transaksi!$B$16:$B$5015,"&lt;="&amp;MIN(EOMONTH(DATE(Dashboard!$C$4,3,1),0),TODAY()))+SUMIFS(Transaksi!$F$16:$F$5015,Transaksi!$C$16:$C$5015,"Kantong Uang Riba",Transaksi!$D$16:$D$5015,"Keluar",Transaksi!$G$16:$G$5015,"Pengeluaran",Transaksi!$I$16:$I$5015,"&lt;&gt;Pinjam dari uang riba",Transaksi!$B$16:$B$5015,"&gt;="&amp;DATE(2000,1,1),Transaksi!$B$16:$B$5015,"&lt;="&amp;MIN(EOMONTH(DATE(Dashboard!$C$4,3,1),0),TODAY()))+SUMIFS(Transaksi!$F$16:$F$5015,Transaksi!$C$16:$C$5015,"Kantong Uang Riba",Transaksi!$D$16:$D$5015,"Pindah",Transaksi!$I$16:$I$5015,"Pinjam dari uang riba",Transaksi!$B$16:$B$5015,"&gt;="&amp;DATE(2000,1,1),Transaksi!$B$16:$B$5015,"&lt;="&amp;MIN(EOMONTH(DATE(Dashboard!$C$4,3,1),0),TODAY()))-(SUMIFS(Transaksi!$F$16:$F$5015,Transaksi!$C$16:$C$5015,"Kantong Uang Riba",Transaksi!$D$16:$D$5015,"Masuk",Transaksi!$I$16:$I$5015,"Ganti uang riba",Transaksi!$B$16:$B$5015,"&gt;="&amp;DATE(2000,1,1),Transaksi!$B$16:$B$5015,"&lt;="&amp;MIN(EOMONTH(DATE(Dashboard!$C$4,3,1),0),TODAY()))+SUMIFS(Transaksi!$F$16:$F$5015,Transaksi!$E$16:$E$5015,"Kantong Uang Riba",Transaksi!$D$16:$D$5015,"Pindah",Transaksi!$I$16:$I$5015,"Ganti uang riba",Transaksi!$B$16:$B$5015,"&gt;="&amp;DATE(2000,1,1),Transaksi!$B$16:$B$5015,"&lt;="&amp;MIN(EOMONTH(DATE(Dashboard!$C$4,3,1),0),TODAY()))))</f>
        <v/>
      </c>
      <c r="J15" s="106">
        <f>IF(DATE(Dashboard!$C$4,3,1)&gt;TODAY(),"",SUMIFS(Akun!$C$5:$C$104,Akun!$A$5:$A$104,"Kantong Uang Riba",Akun!$D$5:$D$104,"&lt;="&amp;MIN(EOMONTH(DATE(Dashboard!$C$4,3,1),0),TODAY()))+SUMIFS(Transaksi!$F$16:$F$5015,Transaksi!$C$16:$C$5015,"Kantong Uang Riba",Transaksi!$D$16:$D$5015,"Masuk",Transaksi!$B$16:$B$5015,"&lt;="&amp;MIN(EOMONTH(DATE(Dashboard!$C$4,3,1),0),TODAY()))-SUMIFS(Transaksi!$F$16:$F$5015,Transaksi!$C$16:$C$5015,"Kantong Uang Riba",Transaksi!$D$16:$D$5015,"Keluar",Transaksi!$B$16:$B$5015,"&lt;="&amp;MIN(EOMONTH(DATE(Dashboard!$C$4,3,1),0),TODAY()))-SUMIFS(Transaksi!$F$16:$F$5015,Transaksi!$C$16:$C$5015,"Kantong Uang Riba",Transaksi!$D$16:$D$5015,"Pindah",Transaksi!$B$16:$B$5015,"&lt;="&amp;MIN(EOMONTH(DATE(Dashboard!$C$4,3,1),0),TODAY()))+SUMIFS(Transaksi!$F$16:$F$5015,Transaksi!$E$16:$E$5015,"Kantong Uang Riba",Transaksi!$D$16:$D$5015,"Pindah",Transaksi!$B$16:$B$5015,"&lt;="&amp;MIN(EOMONTH(DATE(Dashboard!$C$4,3,1),0),TODAY())))</f>
        <v/>
      </c>
    </row>
    <row r="16" ht="15" customHeight="1" s="94">
      <c r="B16" s="127" t="inlineStr">
        <is>
          <t>April</t>
        </is>
      </c>
      <c r="C16" s="106">
        <f>IF(DATE(Dashboard!$C$4,4,1)&gt;TODAY(),"",SUMIFS(Transaksi!$F$16:$F$5015,Transaksi!$H$16:$H$5015,"Dana riba",Transaksi!$D$16:$D$5015,"Masuk",Transaksi!$I$16:$I$5015,"&lt;&gt;Selisih bunga",Transaksi!$B$16:$B$5015,"&gt;="&amp;DATE(Dashboard!$C$4,4,1),Transaksi!$B$16:$B$5015,"&lt;="&amp;EOMONTH(DATE(Dashboard!$C$4,4,1),0)))</f>
        <v/>
      </c>
      <c r="D16" s="106">
        <f>IF(DATE(Dashboard!$C$4,4,1)&gt;TODAY(),"",SUMIFS(Transaksi!$F$16:$F$5015,Transaksi!$H$16:$H$5015,"Dana riba",Transaksi!$I$16:$I$5015,"Pajak*",Transaksi!$B$16:$B$5015,"&gt;="&amp;DATE(Dashboard!$C$4,4,1),Transaksi!$B$16:$B$5015,"&lt;="&amp;EOMONTH(DATE(Dashboard!$C$4,4,1),0)))</f>
        <v/>
      </c>
      <c r="E16" s="106">
        <f>IF(DATE(Dashboard!$C$4,4,1)&gt;TODAY(),"",SUMIFS(Transaksi!$F$16:$F$5015,Transaksi!$I$16:$I$5015,"Selisih bunga",Transaksi!$D$16:$D$5015,"Masuk",Transaksi!$B$16:$B$5015,"&gt;="&amp;DATE(Dashboard!$C$4,4,1),Transaksi!$B$16:$B$5015,"&lt;="&amp;EOMONTH(DATE(Dashboard!$C$4,4,1),0))-SUMIFS(Transaksi!$F$16:$F$5015,Transaksi!$I$16:$I$5015,"Selisih bunga",Transaksi!$D$16:$D$5015,"Keluar",Transaksi!$B$16:$B$5015,"&gt;="&amp;DATE(Dashboard!$C$4,4,1),Transaksi!$B$16:$B$5015,"&lt;="&amp;EOMONTH(DATE(Dashboard!$C$4,4,1),0)))</f>
        <v/>
      </c>
      <c r="F16" s="113">
        <f>IF(DATE(Dashboard!$C$4,4,1)&gt;TODAY(),"",C16-D16+E16)</f>
        <v/>
      </c>
      <c r="G16" s="106">
        <f>IF(DATE(Dashboard!$C$4,4,1)&gt;TODAY(),"",SUMIFS(Transaksi!$F$16:$F$5015,Transaksi!$C$16:$C$5015,"Kantong Uang Riba",Transaksi!$D$16:$D$5015,"Keluar",Transaksi!$I$16:$I$5015,"Pinjam dari uang riba",Transaksi!$B$16:$B$5015,"&gt;="&amp;DATE(Dashboard!$C$4,4,1),Transaksi!$B$16:$B$5015,"&lt;="&amp;EOMONTH(DATE(Dashboard!$C$4,4,1),0))+SUMIFS(Transaksi!$F$16:$F$5015,Transaksi!$C$16:$C$5015,"Kantong Uang Riba",Transaksi!$D$16:$D$5015,"Keluar",Transaksi!$I$16:$I$5015,"Kelebihan ganti dikembalikan",Transaksi!$B$16:$B$5015,"&gt;="&amp;DATE(Dashboard!$C$4,4,1),Transaksi!$B$16:$B$5015,"&lt;="&amp;EOMONTH(DATE(Dashboard!$C$4,4,1),0))+SUMIFS(Transaksi!$F$16:$F$5015,Transaksi!$C$16:$C$5015,"Kantong Uang Riba",Transaksi!$D$16:$D$5015,"Pindah",Transaksi!$I$16:$I$5015,"Kelebihan ganti dikembalikan",Transaksi!$B$16:$B$5015,"&gt;="&amp;DATE(Dashboard!$C$4,4,1),Transaksi!$B$16:$B$5015,"&lt;="&amp;EOMONTH(DATE(Dashboard!$C$4,4,1),0))+SUMIFS(Transaksi!$F$16:$F$5015,Transaksi!$C$16:$C$5015,"Kantong Uang Riba",Transaksi!$D$16:$D$5015,"Keluar",Transaksi!$G$16:$G$5015,"Pengeluaran",Transaksi!$I$16:$I$5015,"&lt;&gt;Pinjam dari uang riba",Transaksi!$B$16:$B$5015,"&gt;="&amp;DATE(Dashboard!$C$4,4,1),Transaksi!$B$16:$B$5015,"&lt;="&amp;EOMONTH(DATE(Dashboard!$C$4,4,1),0))+SUMIFS(Transaksi!$F$16:$F$5015,Transaksi!$C$16:$C$5015,"Kantong Uang Riba",Transaksi!$D$16:$D$5015,"Pindah",Transaksi!$I$16:$I$5015,"Pinjam dari uang riba",Transaksi!$B$16:$B$5015,"&gt;="&amp;DATE(Dashboard!$C$4,4,1),Transaksi!$B$16:$B$5015,"&lt;="&amp;EOMONTH(DATE(Dashboard!$C$4,4,1),0)))</f>
        <v/>
      </c>
      <c r="H16" s="106">
        <f>IF(DATE(Dashboard!$C$4,4,1)&gt;TODAY(),"",SUMIFS(Transaksi!$F$16:$F$5015,Transaksi!$C$16:$C$5015,"Kantong Uang Riba",Transaksi!$D$16:$D$5015,"Masuk",Transaksi!$I$16:$I$5015,"Ganti uang riba",Transaksi!$B$16:$B$5015,"&gt;="&amp;DATE(Dashboard!$C$4,4,1),Transaksi!$B$16:$B$5015,"&lt;="&amp;EOMONTH(DATE(Dashboard!$C$4,4,1),0))+SUMIFS(Transaksi!$F$16:$F$5015,Transaksi!$E$16:$E$5015,"Kantong Uang Riba",Transaksi!$D$16:$D$5015,"Pindah",Transaksi!$I$16:$I$5015,"Ganti uang riba",Transaksi!$B$16:$B$5015,"&gt;="&amp;DATE(Dashboard!$C$4,4,1),Transaksi!$B$16:$B$5015,"&lt;="&amp;EOMONTH(DATE(Dashboard!$C$4,4,1),0)))</f>
        <v/>
      </c>
      <c r="I16" s="113">
        <f>IF(DATE(Dashboard!$C$4,4,1)&gt;TODAY(),"",SUMIFS(Transaksi!$F$16:$F$5015,Transaksi!$C$16:$C$5015,"Kantong Uang Riba",Transaksi!$D$16:$D$5015,"Keluar",Transaksi!$I$16:$I$5015,"Pinjam dari uang riba",Transaksi!$B$16:$B$5015,"&gt;="&amp;DATE(2000,1,1),Transaksi!$B$16:$B$5015,"&lt;="&amp;MIN(EOMONTH(DATE(Dashboard!$C$4,4,1),0),TODAY()))+SUMIFS(Transaksi!$F$16:$F$5015,Transaksi!$C$16:$C$5015,"Kantong Uang Riba",Transaksi!$D$16:$D$5015,"Keluar",Transaksi!$I$16:$I$5015,"Kelebihan ganti dikembalikan",Transaksi!$B$16:$B$5015,"&gt;="&amp;DATE(2000,1,1),Transaksi!$B$16:$B$5015,"&lt;="&amp;MIN(EOMONTH(DATE(Dashboard!$C$4,4,1),0),TODAY()))+SUMIFS(Transaksi!$F$16:$F$5015,Transaksi!$C$16:$C$5015,"Kantong Uang Riba",Transaksi!$D$16:$D$5015,"Pindah",Transaksi!$I$16:$I$5015,"Kelebihan ganti dikembalikan",Transaksi!$B$16:$B$5015,"&gt;="&amp;DATE(2000,1,1),Transaksi!$B$16:$B$5015,"&lt;="&amp;MIN(EOMONTH(DATE(Dashboard!$C$4,4,1),0),TODAY()))+SUMIFS(Transaksi!$F$16:$F$5015,Transaksi!$C$16:$C$5015,"Kantong Uang Riba",Transaksi!$D$16:$D$5015,"Keluar",Transaksi!$G$16:$G$5015,"Pengeluaran",Transaksi!$I$16:$I$5015,"&lt;&gt;Pinjam dari uang riba",Transaksi!$B$16:$B$5015,"&gt;="&amp;DATE(2000,1,1),Transaksi!$B$16:$B$5015,"&lt;="&amp;MIN(EOMONTH(DATE(Dashboard!$C$4,4,1),0),TODAY()))+SUMIFS(Transaksi!$F$16:$F$5015,Transaksi!$C$16:$C$5015,"Kantong Uang Riba",Transaksi!$D$16:$D$5015,"Pindah",Transaksi!$I$16:$I$5015,"Pinjam dari uang riba",Transaksi!$B$16:$B$5015,"&gt;="&amp;DATE(2000,1,1),Transaksi!$B$16:$B$5015,"&lt;="&amp;MIN(EOMONTH(DATE(Dashboard!$C$4,4,1),0),TODAY()))-(SUMIFS(Transaksi!$F$16:$F$5015,Transaksi!$C$16:$C$5015,"Kantong Uang Riba",Transaksi!$D$16:$D$5015,"Masuk",Transaksi!$I$16:$I$5015,"Ganti uang riba",Transaksi!$B$16:$B$5015,"&gt;="&amp;DATE(2000,1,1),Transaksi!$B$16:$B$5015,"&lt;="&amp;MIN(EOMONTH(DATE(Dashboard!$C$4,4,1),0),TODAY()))+SUMIFS(Transaksi!$F$16:$F$5015,Transaksi!$E$16:$E$5015,"Kantong Uang Riba",Transaksi!$D$16:$D$5015,"Pindah",Transaksi!$I$16:$I$5015,"Ganti uang riba",Transaksi!$B$16:$B$5015,"&gt;="&amp;DATE(2000,1,1),Transaksi!$B$16:$B$5015,"&lt;="&amp;MIN(EOMONTH(DATE(Dashboard!$C$4,4,1),0),TODAY()))))</f>
        <v/>
      </c>
      <c r="J16" s="106">
        <f>IF(DATE(Dashboard!$C$4,4,1)&gt;TODAY(),"",SUMIFS(Akun!$C$5:$C$104,Akun!$A$5:$A$104,"Kantong Uang Riba",Akun!$D$5:$D$104,"&lt;="&amp;MIN(EOMONTH(DATE(Dashboard!$C$4,4,1),0),TODAY()))+SUMIFS(Transaksi!$F$16:$F$5015,Transaksi!$C$16:$C$5015,"Kantong Uang Riba",Transaksi!$D$16:$D$5015,"Masuk",Transaksi!$B$16:$B$5015,"&lt;="&amp;MIN(EOMONTH(DATE(Dashboard!$C$4,4,1),0),TODAY()))-SUMIFS(Transaksi!$F$16:$F$5015,Transaksi!$C$16:$C$5015,"Kantong Uang Riba",Transaksi!$D$16:$D$5015,"Keluar",Transaksi!$B$16:$B$5015,"&lt;="&amp;MIN(EOMONTH(DATE(Dashboard!$C$4,4,1),0),TODAY()))-SUMIFS(Transaksi!$F$16:$F$5015,Transaksi!$C$16:$C$5015,"Kantong Uang Riba",Transaksi!$D$16:$D$5015,"Pindah",Transaksi!$B$16:$B$5015,"&lt;="&amp;MIN(EOMONTH(DATE(Dashboard!$C$4,4,1),0),TODAY()))+SUMIFS(Transaksi!$F$16:$F$5015,Transaksi!$E$16:$E$5015,"Kantong Uang Riba",Transaksi!$D$16:$D$5015,"Pindah",Transaksi!$B$16:$B$5015,"&lt;="&amp;MIN(EOMONTH(DATE(Dashboard!$C$4,4,1),0),TODAY())))</f>
        <v/>
      </c>
    </row>
    <row r="17" ht="15" customHeight="1" s="94">
      <c r="B17" s="127" t="inlineStr">
        <is>
          <t>Mei</t>
        </is>
      </c>
      <c r="C17" s="106">
        <f>IF(DATE(Dashboard!$C$4,5,1)&gt;TODAY(),"",SUMIFS(Transaksi!$F$16:$F$5015,Transaksi!$H$16:$H$5015,"Dana riba",Transaksi!$D$16:$D$5015,"Masuk",Transaksi!$I$16:$I$5015,"&lt;&gt;Selisih bunga",Transaksi!$B$16:$B$5015,"&gt;="&amp;DATE(Dashboard!$C$4,5,1),Transaksi!$B$16:$B$5015,"&lt;="&amp;EOMONTH(DATE(Dashboard!$C$4,5,1),0)))</f>
        <v/>
      </c>
      <c r="D17" s="106">
        <f>IF(DATE(Dashboard!$C$4,5,1)&gt;TODAY(),"",SUMIFS(Transaksi!$F$16:$F$5015,Transaksi!$H$16:$H$5015,"Dana riba",Transaksi!$I$16:$I$5015,"Pajak*",Transaksi!$B$16:$B$5015,"&gt;="&amp;DATE(Dashboard!$C$4,5,1),Transaksi!$B$16:$B$5015,"&lt;="&amp;EOMONTH(DATE(Dashboard!$C$4,5,1),0)))</f>
        <v/>
      </c>
      <c r="E17" s="106">
        <f>IF(DATE(Dashboard!$C$4,5,1)&gt;TODAY(),"",SUMIFS(Transaksi!$F$16:$F$5015,Transaksi!$I$16:$I$5015,"Selisih bunga",Transaksi!$D$16:$D$5015,"Masuk",Transaksi!$B$16:$B$5015,"&gt;="&amp;DATE(Dashboard!$C$4,5,1),Transaksi!$B$16:$B$5015,"&lt;="&amp;EOMONTH(DATE(Dashboard!$C$4,5,1),0))-SUMIFS(Transaksi!$F$16:$F$5015,Transaksi!$I$16:$I$5015,"Selisih bunga",Transaksi!$D$16:$D$5015,"Keluar",Transaksi!$B$16:$B$5015,"&gt;="&amp;DATE(Dashboard!$C$4,5,1),Transaksi!$B$16:$B$5015,"&lt;="&amp;EOMONTH(DATE(Dashboard!$C$4,5,1),0)))</f>
        <v/>
      </c>
      <c r="F17" s="113">
        <f>IF(DATE(Dashboard!$C$4,5,1)&gt;TODAY(),"",C17-D17+E17)</f>
        <v/>
      </c>
      <c r="G17" s="106">
        <f>IF(DATE(Dashboard!$C$4,5,1)&gt;TODAY(),"",SUMIFS(Transaksi!$F$16:$F$5015,Transaksi!$C$16:$C$5015,"Kantong Uang Riba",Transaksi!$D$16:$D$5015,"Keluar",Transaksi!$I$16:$I$5015,"Pinjam dari uang riba",Transaksi!$B$16:$B$5015,"&gt;="&amp;DATE(Dashboard!$C$4,5,1),Transaksi!$B$16:$B$5015,"&lt;="&amp;EOMONTH(DATE(Dashboard!$C$4,5,1),0))+SUMIFS(Transaksi!$F$16:$F$5015,Transaksi!$C$16:$C$5015,"Kantong Uang Riba",Transaksi!$D$16:$D$5015,"Keluar",Transaksi!$I$16:$I$5015,"Kelebihan ganti dikembalikan",Transaksi!$B$16:$B$5015,"&gt;="&amp;DATE(Dashboard!$C$4,5,1),Transaksi!$B$16:$B$5015,"&lt;="&amp;EOMONTH(DATE(Dashboard!$C$4,5,1),0))+SUMIFS(Transaksi!$F$16:$F$5015,Transaksi!$C$16:$C$5015,"Kantong Uang Riba",Transaksi!$D$16:$D$5015,"Pindah",Transaksi!$I$16:$I$5015,"Kelebihan ganti dikembalikan",Transaksi!$B$16:$B$5015,"&gt;="&amp;DATE(Dashboard!$C$4,5,1),Transaksi!$B$16:$B$5015,"&lt;="&amp;EOMONTH(DATE(Dashboard!$C$4,5,1),0))+SUMIFS(Transaksi!$F$16:$F$5015,Transaksi!$C$16:$C$5015,"Kantong Uang Riba",Transaksi!$D$16:$D$5015,"Keluar",Transaksi!$G$16:$G$5015,"Pengeluaran",Transaksi!$I$16:$I$5015,"&lt;&gt;Pinjam dari uang riba",Transaksi!$B$16:$B$5015,"&gt;="&amp;DATE(Dashboard!$C$4,5,1),Transaksi!$B$16:$B$5015,"&lt;="&amp;EOMONTH(DATE(Dashboard!$C$4,5,1),0))+SUMIFS(Transaksi!$F$16:$F$5015,Transaksi!$C$16:$C$5015,"Kantong Uang Riba",Transaksi!$D$16:$D$5015,"Pindah",Transaksi!$I$16:$I$5015,"Pinjam dari uang riba",Transaksi!$B$16:$B$5015,"&gt;="&amp;DATE(Dashboard!$C$4,5,1),Transaksi!$B$16:$B$5015,"&lt;="&amp;EOMONTH(DATE(Dashboard!$C$4,5,1),0)))</f>
        <v/>
      </c>
      <c r="H17" s="106">
        <f>IF(DATE(Dashboard!$C$4,5,1)&gt;TODAY(),"",SUMIFS(Transaksi!$F$16:$F$5015,Transaksi!$C$16:$C$5015,"Kantong Uang Riba",Transaksi!$D$16:$D$5015,"Masuk",Transaksi!$I$16:$I$5015,"Ganti uang riba",Transaksi!$B$16:$B$5015,"&gt;="&amp;DATE(Dashboard!$C$4,5,1),Transaksi!$B$16:$B$5015,"&lt;="&amp;EOMONTH(DATE(Dashboard!$C$4,5,1),0))+SUMIFS(Transaksi!$F$16:$F$5015,Transaksi!$E$16:$E$5015,"Kantong Uang Riba",Transaksi!$D$16:$D$5015,"Pindah",Transaksi!$I$16:$I$5015,"Ganti uang riba",Transaksi!$B$16:$B$5015,"&gt;="&amp;DATE(Dashboard!$C$4,5,1),Transaksi!$B$16:$B$5015,"&lt;="&amp;EOMONTH(DATE(Dashboard!$C$4,5,1),0)))</f>
        <v/>
      </c>
      <c r="I17" s="113">
        <f>IF(DATE(Dashboard!$C$4,5,1)&gt;TODAY(),"",SUMIFS(Transaksi!$F$16:$F$5015,Transaksi!$C$16:$C$5015,"Kantong Uang Riba",Transaksi!$D$16:$D$5015,"Keluar",Transaksi!$I$16:$I$5015,"Pinjam dari uang riba",Transaksi!$B$16:$B$5015,"&gt;="&amp;DATE(2000,1,1),Transaksi!$B$16:$B$5015,"&lt;="&amp;MIN(EOMONTH(DATE(Dashboard!$C$4,5,1),0),TODAY()))+SUMIFS(Transaksi!$F$16:$F$5015,Transaksi!$C$16:$C$5015,"Kantong Uang Riba",Transaksi!$D$16:$D$5015,"Keluar",Transaksi!$I$16:$I$5015,"Kelebihan ganti dikembalikan",Transaksi!$B$16:$B$5015,"&gt;="&amp;DATE(2000,1,1),Transaksi!$B$16:$B$5015,"&lt;="&amp;MIN(EOMONTH(DATE(Dashboard!$C$4,5,1),0),TODAY()))+SUMIFS(Transaksi!$F$16:$F$5015,Transaksi!$C$16:$C$5015,"Kantong Uang Riba",Transaksi!$D$16:$D$5015,"Pindah",Transaksi!$I$16:$I$5015,"Kelebihan ganti dikembalikan",Transaksi!$B$16:$B$5015,"&gt;="&amp;DATE(2000,1,1),Transaksi!$B$16:$B$5015,"&lt;="&amp;MIN(EOMONTH(DATE(Dashboard!$C$4,5,1),0),TODAY()))+SUMIFS(Transaksi!$F$16:$F$5015,Transaksi!$C$16:$C$5015,"Kantong Uang Riba",Transaksi!$D$16:$D$5015,"Keluar",Transaksi!$G$16:$G$5015,"Pengeluaran",Transaksi!$I$16:$I$5015,"&lt;&gt;Pinjam dari uang riba",Transaksi!$B$16:$B$5015,"&gt;="&amp;DATE(2000,1,1),Transaksi!$B$16:$B$5015,"&lt;="&amp;MIN(EOMONTH(DATE(Dashboard!$C$4,5,1),0),TODAY()))+SUMIFS(Transaksi!$F$16:$F$5015,Transaksi!$C$16:$C$5015,"Kantong Uang Riba",Transaksi!$D$16:$D$5015,"Pindah",Transaksi!$I$16:$I$5015,"Pinjam dari uang riba",Transaksi!$B$16:$B$5015,"&gt;="&amp;DATE(2000,1,1),Transaksi!$B$16:$B$5015,"&lt;="&amp;MIN(EOMONTH(DATE(Dashboard!$C$4,5,1),0),TODAY()))-(SUMIFS(Transaksi!$F$16:$F$5015,Transaksi!$C$16:$C$5015,"Kantong Uang Riba",Transaksi!$D$16:$D$5015,"Masuk",Transaksi!$I$16:$I$5015,"Ganti uang riba",Transaksi!$B$16:$B$5015,"&gt;="&amp;DATE(2000,1,1),Transaksi!$B$16:$B$5015,"&lt;="&amp;MIN(EOMONTH(DATE(Dashboard!$C$4,5,1),0),TODAY()))+SUMIFS(Transaksi!$F$16:$F$5015,Transaksi!$E$16:$E$5015,"Kantong Uang Riba",Transaksi!$D$16:$D$5015,"Pindah",Transaksi!$I$16:$I$5015,"Ganti uang riba",Transaksi!$B$16:$B$5015,"&gt;="&amp;DATE(2000,1,1),Transaksi!$B$16:$B$5015,"&lt;="&amp;MIN(EOMONTH(DATE(Dashboard!$C$4,5,1),0),TODAY()))))</f>
        <v/>
      </c>
      <c r="J17" s="106">
        <f>IF(DATE(Dashboard!$C$4,5,1)&gt;TODAY(),"",SUMIFS(Akun!$C$5:$C$104,Akun!$A$5:$A$104,"Kantong Uang Riba",Akun!$D$5:$D$104,"&lt;="&amp;MIN(EOMONTH(DATE(Dashboard!$C$4,5,1),0),TODAY()))+SUMIFS(Transaksi!$F$16:$F$5015,Transaksi!$C$16:$C$5015,"Kantong Uang Riba",Transaksi!$D$16:$D$5015,"Masuk",Transaksi!$B$16:$B$5015,"&lt;="&amp;MIN(EOMONTH(DATE(Dashboard!$C$4,5,1),0),TODAY()))-SUMIFS(Transaksi!$F$16:$F$5015,Transaksi!$C$16:$C$5015,"Kantong Uang Riba",Transaksi!$D$16:$D$5015,"Keluar",Transaksi!$B$16:$B$5015,"&lt;="&amp;MIN(EOMONTH(DATE(Dashboard!$C$4,5,1),0),TODAY()))-SUMIFS(Transaksi!$F$16:$F$5015,Transaksi!$C$16:$C$5015,"Kantong Uang Riba",Transaksi!$D$16:$D$5015,"Pindah",Transaksi!$B$16:$B$5015,"&lt;="&amp;MIN(EOMONTH(DATE(Dashboard!$C$4,5,1),0),TODAY()))+SUMIFS(Transaksi!$F$16:$F$5015,Transaksi!$E$16:$E$5015,"Kantong Uang Riba",Transaksi!$D$16:$D$5015,"Pindah",Transaksi!$B$16:$B$5015,"&lt;="&amp;MIN(EOMONTH(DATE(Dashboard!$C$4,5,1),0),TODAY())))</f>
        <v/>
      </c>
    </row>
    <row r="18" ht="15" customHeight="1" s="94">
      <c r="B18" s="127" t="inlineStr">
        <is>
          <t>Juni</t>
        </is>
      </c>
      <c r="C18" s="106">
        <f>IF(DATE(Dashboard!$C$4,6,1)&gt;TODAY(),"",SUMIFS(Transaksi!$F$16:$F$5015,Transaksi!$H$16:$H$5015,"Dana riba",Transaksi!$D$16:$D$5015,"Masuk",Transaksi!$I$16:$I$5015,"&lt;&gt;Selisih bunga",Transaksi!$B$16:$B$5015,"&gt;="&amp;DATE(Dashboard!$C$4,6,1),Transaksi!$B$16:$B$5015,"&lt;="&amp;EOMONTH(DATE(Dashboard!$C$4,6,1),0)))</f>
        <v/>
      </c>
      <c r="D18" s="106">
        <f>IF(DATE(Dashboard!$C$4,6,1)&gt;TODAY(),"",SUMIFS(Transaksi!$F$16:$F$5015,Transaksi!$H$16:$H$5015,"Dana riba",Transaksi!$I$16:$I$5015,"Pajak*",Transaksi!$B$16:$B$5015,"&gt;="&amp;DATE(Dashboard!$C$4,6,1),Transaksi!$B$16:$B$5015,"&lt;="&amp;EOMONTH(DATE(Dashboard!$C$4,6,1),0)))</f>
        <v/>
      </c>
      <c r="E18" s="106">
        <f>IF(DATE(Dashboard!$C$4,6,1)&gt;TODAY(),"",SUMIFS(Transaksi!$F$16:$F$5015,Transaksi!$I$16:$I$5015,"Selisih bunga",Transaksi!$D$16:$D$5015,"Masuk",Transaksi!$B$16:$B$5015,"&gt;="&amp;DATE(Dashboard!$C$4,6,1),Transaksi!$B$16:$B$5015,"&lt;="&amp;EOMONTH(DATE(Dashboard!$C$4,6,1),0))-SUMIFS(Transaksi!$F$16:$F$5015,Transaksi!$I$16:$I$5015,"Selisih bunga",Transaksi!$D$16:$D$5015,"Keluar",Transaksi!$B$16:$B$5015,"&gt;="&amp;DATE(Dashboard!$C$4,6,1),Transaksi!$B$16:$B$5015,"&lt;="&amp;EOMONTH(DATE(Dashboard!$C$4,6,1),0)))</f>
        <v/>
      </c>
      <c r="F18" s="113">
        <f>IF(DATE(Dashboard!$C$4,6,1)&gt;TODAY(),"",C18-D18+E18)</f>
        <v/>
      </c>
      <c r="G18" s="106">
        <f>IF(DATE(Dashboard!$C$4,6,1)&gt;TODAY(),"",SUMIFS(Transaksi!$F$16:$F$5015,Transaksi!$C$16:$C$5015,"Kantong Uang Riba",Transaksi!$D$16:$D$5015,"Keluar",Transaksi!$I$16:$I$5015,"Pinjam dari uang riba",Transaksi!$B$16:$B$5015,"&gt;="&amp;DATE(Dashboard!$C$4,6,1),Transaksi!$B$16:$B$5015,"&lt;="&amp;EOMONTH(DATE(Dashboard!$C$4,6,1),0))+SUMIFS(Transaksi!$F$16:$F$5015,Transaksi!$C$16:$C$5015,"Kantong Uang Riba",Transaksi!$D$16:$D$5015,"Keluar",Transaksi!$I$16:$I$5015,"Kelebihan ganti dikembalikan",Transaksi!$B$16:$B$5015,"&gt;="&amp;DATE(Dashboard!$C$4,6,1),Transaksi!$B$16:$B$5015,"&lt;="&amp;EOMONTH(DATE(Dashboard!$C$4,6,1),0))+SUMIFS(Transaksi!$F$16:$F$5015,Transaksi!$C$16:$C$5015,"Kantong Uang Riba",Transaksi!$D$16:$D$5015,"Pindah",Transaksi!$I$16:$I$5015,"Kelebihan ganti dikembalikan",Transaksi!$B$16:$B$5015,"&gt;="&amp;DATE(Dashboard!$C$4,6,1),Transaksi!$B$16:$B$5015,"&lt;="&amp;EOMONTH(DATE(Dashboard!$C$4,6,1),0))+SUMIFS(Transaksi!$F$16:$F$5015,Transaksi!$C$16:$C$5015,"Kantong Uang Riba",Transaksi!$D$16:$D$5015,"Keluar",Transaksi!$G$16:$G$5015,"Pengeluaran",Transaksi!$I$16:$I$5015,"&lt;&gt;Pinjam dari uang riba",Transaksi!$B$16:$B$5015,"&gt;="&amp;DATE(Dashboard!$C$4,6,1),Transaksi!$B$16:$B$5015,"&lt;="&amp;EOMONTH(DATE(Dashboard!$C$4,6,1),0))+SUMIFS(Transaksi!$F$16:$F$5015,Transaksi!$C$16:$C$5015,"Kantong Uang Riba",Transaksi!$D$16:$D$5015,"Pindah",Transaksi!$I$16:$I$5015,"Pinjam dari uang riba",Transaksi!$B$16:$B$5015,"&gt;="&amp;DATE(Dashboard!$C$4,6,1),Transaksi!$B$16:$B$5015,"&lt;="&amp;EOMONTH(DATE(Dashboard!$C$4,6,1),0)))</f>
        <v/>
      </c>
      <c r="H18" s="106">
        <f>IF(DATE(Dashboard!$C$4,6,1)&gt;TODAY(),"",SUMIFS(Transaksi!$F$16:$F$5015,Transaksi!$C$16:$C$5015,"Kantong Uang Riba",Transaksi!$D$16:$D$5015,"Masuk",Transaksi!$I$16:$I$5015,"Ganti uang riba",Transaksi!$B$16:$B$5015,"&gt;="&amp;DATE(Dashboard!$C$4,6,1),Transaksi!$B$16:$B$5015,"&lt;="&amp;EOMONTH(DATE(Dashboard!$C$4,6,1),0))+SUMIFS(Transaksi!$F$16:$F$5015,Transaksi!$E$16:$E$5015,"Kantong Uang Riba",Transaksi!$D$16:$D$5015,"Pindah",Transaksi!$I$16:$I$5015,"Ganti uang riba",Transaksi!$B$16:$B$5015,"&gt;="&amp;DATE(Dashboard!$C$4,6,1),Transaksi!$B$16:$B$5015,"&lt;="&amp;EOMONTH(DATE(Dashboard!$C$4,6,1),0)))</f>
        <v/>
      </c>
      <c r="I18" s="113">
        <f>IF(DATE(Dashboard!$C$4,6,1)&gt;TODAY(),"",SUMIFS(Transaksi!$F$16:$F$5015,Transaksi!$C$16:$C$5015,"Kantong Uang Riba",Transaksi!$D$16:$D$5015,"Keluar",Transaksi!$I$16:$I$5015,"Pinjam dari uang riba",Transaksi!$B$16:$B$5015,"&gt;="&amp;DATE(2000,1,1),Transaksi!$B$16:$B$5015,"&lt;="&amp;MIN(EOMONTH(DATE(Dashboard!$C$4,6,1),0),TODAY()))+SUMIFS(Transaksi!$F$16:$F$5015,Transaksi!$C$16:$C$5015,"Kantong Uang Riba",Transaksi!$D$16:$D$5015,"Keluar",Transaksi!$I$16:$I$5015,"Kelebihan ganti dikembalikan",Transaksi!$B$16:$B$5015,"&gt;="&amp;DATE(2000,1,1),Transaksi!$B$16:$B$5015,"&lt;="&amp;MIN(EOMONTH(DATE(Dashboard!$C$4,6,1),0),TODAY()))+SUMIFS(Transaksi!$F$16:$F$5015,Transaksi!$C$16:$C$5015,"Kantong Uang Riba",Transaksi!$D$16:$D$5015,"Pindah",Transaksi!$I$16:$I$5015,"Kelebihan ganti dikembalikan",Transaksi!$B$16:$B$5015,"&gt;="&amp;DATE(2000,1,1),Transaksi!$B$16:$B$5015,"&lt;="&amp;MIN(EOMONTH(DATE(Dashboard!$C$4,6,1),0),TODAY()))+SUMIFS(Transaksi!$F$16:$F$5015,Transaksi!$C$16:$C$5015,"Kantong Uang Riba",Transaksi!$D$16:$D$5015,"Keluar",Transaksi!$G$16:$G$5015,"Pengeluaran",Transaksi!$I$16:$I$5015,"&lt;&gt;Pinjam dari uang riba",Transaksi!$B$16:$B$5015,"&gt;="&amp;DATE(2000,1,1),Transaksi!$B$16:$B$5015,"&lt;="&amp;MIN(EOMONTH(DATE(Dashboard!$C$4,6,1),0),TODAY()))+SUMIFS(Transaksi!$F$16:$F$5015,Transaksi!$C$16:$C$5015,"Kantong Uang Riba",Transaksi!$D$16:$D$5015,"Pindah",Transaksi!$I$16:$I$5015,"Pinjam dari uang riba",Transaksi!$B$16:$B$5015,"&gt;="&amp;DATE(2000,1,1),Transaksi!$B$16:$B$5015,"&lt;="&amp;MIN(EOMONTH(DATE(Dashboard!$C$4,6,1),0),TODAY()))-(SUMIFS(Transaksi!$F$16:$F$5015,Transaksi!$C$16:$C$5015,"Kantong Uang Riba",Transaksi!$D$16:$D$5015,"Masuk",Transaksi!$I$16:$I$5015,"Ganti uang riba",Transaksi!$B$16:$B$5015,"&gt;="&amp;DATE(2000,1,1),Transaksi!$B$16:$B$5015,"&lt;="&amp;MIN(EOMONTH(DATE(Dashboard!$C$4,6,1),0),TODAY()))+SUMIFS(Transaksi!$F$16:$F$5015,Transaksi!$E$16:$E$5015,"Kantong Uang Riba",Transaksi!$D$16:$D$5015,"Pindah",Transaksi!$I$16:$I$5015,"Ganti uang riba",Transaksi!$B$16:$B$5015,"&gt;="&amp;DATE(2000,1,1),Transaksi!$B$16:$B$5015,"&lt;="&amp;MIN(EOMONTH(DATE(Dashboard!$C$4,6,1),0),TODAY()))))</f>
        <v/>
      </c>
      <c r="J18" s="106">
        <f>IF(DATE(Dashboard!$C$4,6,1)&gt;TODAY(),"",SUMIFS(Akun!$C$5:$C$104,Akun!$A$5:$A$104,"Kantong Uang Riba",Akun!$D$5:$D$104,"&lt;="&amp;MIN(EOMONTH(DATE(Dashboard!$C$4,6,1),0),TODAY()))+SUMIFS(Transaksi!$F$16:$F$5015,Transaksi!$C$16:$C$5015,"Kantong Uang Riba",Transaksi!$D$16:$D$5015,"Masuk",Transaksi!$B$16:$B$5015,"&lt;="&amp;MIN(EOMONTH(DATE(Dashboard!$C$4,6,1),0),TODAY()))-SUMIFS(Transaksi!$F$16:$F$5015,Transaksi!$C$16:$C$5015,"Kantong Uang Riba",Transaksi!$D$16:$D$5015,"Keluar",Transaksi!$B$16:$B$5015,"&lt;="&amp;MIN(EOMONTH(DATE(Dashboard!$C$4,6,1),0),TODAY()))-SUMIFS(Transaksi!$F$16:$F$5015,Transaksi!$C$16:$C$5015,"Kantong Uang Riba",Transaksi!$D$16:$D$5015,"Pindah",Transaksi!$B$16:$B$5015,"&lt;="&amp;MIN(EOMONTH(DATE(Dashboard!$C$4,6,1),0),TODAY()))+SUMIFS(Transaksi!$F$16:$F$5015,Transaksi!$E$16:$E$5015,"Kantong Uang Riba",Transaksi!$D$16:$D$5015,"Pindah",Transaksi!$B$16:$B$5015,"&lt;="&amp;MIN(EOMONTH(DATE(Dashboard!$C$4,6,1),0),TODAY())))</f>
        <v/>
      </c>
    </row>
    <row r="19" ht="15" customHeight="1" s="94">
      <c r="B19" s="127" t="inlineStr">
        <is>
          <t>Juli</t>
        </is>
      </c>
      <c r="C19" s="106">
        <f>IF(DATE(Dashboard!$C$4,7,1)&gt;TODAY(),"",SUMIFS(Transaksi!$F$16:$F$5015,Transaksi!$H$16:$H$5015,"Dana riba",Transaksi!$D$16:$D$5015,"Masuk",Transaksi!$I$16:$I$5015,"&lt;&gt;Selisih bunga",Transaksi!$B$16:$B$5015,"&gt;="&amp;DATE(Dashboard!$C$4,7,1),Transaksi!$B$16:$B$5015,"&lt;="&amp;EOMONTH(DATE(Dashboard!$C$4,7,1),0)))</f>
        <v/>
      </c>
      <c r="D19" s="106">
        <f>IF(DATE(Dashboard!$C$4,7,1)&gt;TODAY(),"",SUMIFS(Transaksi!$F$16:$F$5015,Transaksi!$H$16:$H$5015,"Dana riba",Transaksi!$I$16:$I$5015,"Pajak*",Transaksi!$B$16:$B$5015,"&gt;="&amp;DATE(Dashboard!$C$4,7,1),Transaksi!$B$16:$B$5015,"&lt;="&amp;EOMONTH(DATE(Dashboard!$C$4,7,1),0)))</f>
        <v/>
      </c>
      <c r="E19" s="106">
        <f>IF(DATE(Dashboard!$C$4,7,1)&gt;TODAY(),"",SUMIFS(Transaksi!$F$16:$F$5015,Transaksi!$I$16:$I$5015,"Selisih bunga",Transaksi!$D$16:$D$5015,"Masuk",Transaksi!$B$16:$B$5015,"&gt;="&amp;DATE(Dashboard!$C$4,7,1),Transaksi!$B$16:$B$5015,"&lt;="&amp;EOMONTH(DATE(Dashboard!$C$4,7,1),0))-SUMIFS(Transaksi!$F$16:$F$5015,Transaksi!$I$16:$I$5015,"Selisih bunga",Transaksi!$D$16:$D$5015,"Keluar",Transaksi!$B$16:$B$5015,"&gt;="&amp;DATE(Dashboard!$C$4,7,1),Transaksi!$B$16:$B$5015,"&lt;="&amp;EOMONTH(DATE(Dashboard!$C$4,7,1),0)))</f>
        <v/>
      </c>
      <c r="F19" s="113">
        <f>IF(DATE(Dashboard!$C$4,7,1)&gt;TODAY(),"",C19-D19+E19)</f>
        <v/>
      </c>
      <c r="G19" s="106">
        <f>IF(DATE(Dashboard!$C$4,7,1)&gt;TODAY(),"",SUMIFS(Transaksi!$F$16:$F$5015,Transaksi!$C$16:$C$5015,"Kantong Uang Riba",Transaksi!$D$16:$D$5015,"Keluar",Transaksi!$I$16:$I$5015,"Pinjam dari uang riba",Transaksi!$B$16:$B$5015,"&gt;="&amp;DATE(Dashboard!$C$4,7,1),Transaksi!$B$16:$B$5015,"&lt;="&amp;EOMONTH(DATE(Dashboard!$C$4,7,1),0))+SUMIFS(Transaksi!$F$16:$F$5015,Transaksi!$C$16:$C$5015,"Kantong Uang Riba",Transaksi!$D$16:$D$5015,"Keluar",Transaksi!$I$16:$I$5015,"Kelebihan ganti dikembalikan",Transaksi!$B$16:$B$5015,"&gt;="&amp;DATE(Dashboard!$C$4,7,1),Transaksi!$B$16:$B$5015,"&lt;="&amp;EOMONTH(DATE(Dashboard!$C$4,7,1),0))+SUMIFS(Transaksi!$F$16:$F$5015,Transaksi!$C$16:$C$5015,"Kantong Uang Riba",Transaksi!$D$16:$D$5015,"Pindah",Transaksi!$I$16:$I$5015,"Kelebihan ganti dikembalikan",Transaksi!$B$16:$B$5015,"&gt;="&amp;DATE(Dashboard!$C$4,7,1),Transaksi!$B$16:$B$5015,"&lt;="&amp;EOMONTH(DATE(Dashboard!$C$4,7,1),0))+SUMIFS(Transaksi!$F$16:$F$5015,Transaksi!$C$16:$C$5015,"Kantong Uang Riba",Transaksi!$D$16:$D$5015,"Keluar",Transaksi!$G$16:$G$5015,"Pengeluaran",Transaksi!$I$16:$I$5015,"&lt;&gt;Pinjam dari uang riba",Transaksi!$B$16:$B$5015,"&gt;="&amp;DATE(Dashboard!$C$4,7,1),Transaksi!$B$16:$B$5015,"&lt;="&amp;EOMONTH(DATE(Dashboard!$C$4,7,1),0))+SUMIFS(Transaksi!$F$16:$F$5015,Transaksi!$C$16:$C$5015,"Kantong Uang Riba",Transaksi!$D$16:$D$5015,"Pindah",Transaksi!$I$16:$I$5015,"Pinjam dari uang riba",Transaksi!$B$16:$B$5015,"&gt;="&amp;DATE(Dashboard!$C$4,7,1),Transaksi!$B$16:$B$5015,"&lt;="&amp;EOMONTH(DATE(Dashboard!$C$4,7,1),0)))</f>
        <v/>
      </c>
      <c r="H19" s="106">
        <f>IF(DATE(Dashboard!$C$4,7,1)&gt;TODAY(),"",SUMIFS(Transaksi!$F$16:$F$5015,Transaksi!$C$16:$C$5015,"Kantong Uang Riba",Transaksi!$D$16:$D$5015,"Masuk",Transaksi!$I$16:$I$5015,"Ganti uang riba",Transaksi!$B$16:$B$5015,"&gt;="&amp;DATE(Dashboard!$C$4,7,1),Transaksi!$B$16:$B$5015,"&lt;="&amp;EOMONTH(DATE(Dashboard!$C$4,7,1),0))+SUMIFS(Transaksi!$F$16:$F$5015,Transaksi!$E$16:$E$5015,"Kantong Uang Riba",Transaksi!$D$16:$D$5015,"Pindah",Transaksi!$I$16:$I$5015,"Ganti uang riba",Transaksi!$B$16:$B$5015,"&gt;="&amp;DATE(Dashboard!$C$4,7,1),Transaksi!$B$16:$B$5015,"&lt;="&amp;EOMONTH(DATE(Dashboard!$C$4,7,1),0)))</f>
        <v/>
      </c>
      <c r="I19" s="113">
        <f>IF(DATE(Dashboard!$C$4,7,1)&gt;TODAY(),"",SUMIFS(Transaksi!$F$16:$F$5015,Transaksi!$C$16:$C$5015,"Kantong Uang Riba",Transaksi!$D$16:$D$5015,"Keluar",Transaksi!$I$16:$I$5015,"Pinjam dari uang riba",Transaksi!$B$16:$B$5015,"&gt;="&amp;DATE(2000,1,1),Transaksi!$B$16:$B$5015,"&lt;="&amp;MIN(EOMONTH(DATE(Dashboard!$C$4,7,1),0),TODAY()))+SUMIFS(Transaksi!$F$16:$F$5015,Transaksi!$C$16:$C$5015,"Kantong Uang Riba",Transaksi!$D$16:$D$5015,"Keluar",Transaksi!$I$16:$I$5015,"Kelebihan ganti dikembalikan",Transaksi!$B$16:$B$5015,"&gt;="&amp;DATE(2000,1,1),Transaksi!$B$16:$B$5015,"&lt;="&amp;MIN(EOMONTH(DATE(Dashboard!$C$4,7,1),0),TODAY()))+SUMIFS(Transaksi!$F$16:$F$5015,Transaksi!$C$16:$C$5015,"Kantong Uang Riba",Transaksi!$D$16:$D$5015,"Pindah",Transaksi!$I$16:$I$5015,"Kelebihan ganti dikembalikan",Transaksi!$B$16:$B$5015,"&gt;="&amp;DATE(2000,1,1),Transaksi!$B$16:$B$5015,"&lt;="&amp;MIN(EOMONTH(DATE(Dashboard!$C$4,7,1),0),TODAY()))+SUMIFS(Transaksi!$F$16:$F$5015,Transaksi!$C$16:$C$5015,"Kantong Uang Riba",Transaksi!$D$16:$D$5015,"Keluar",Transaksi!$G$16:$G$5015,"Pengeluaran",Transaksi!$I$16:$I$5015,"&lt;&gt;Pinjam dari uang riba",Transaksi!$B$16:$B$5015,"&gt;="&amp;DATE(2000,1,1),Transaksi!$B$16:$B$5015,"&lt;="&amp;MIN(EOMONTH(DATE(Dashboard!$C$4,7,1),0),TODAY()))+SUMIFS(Transaksi!$F$16:$F$5015,Transaksi!$C$16:$C$5015,"Kantong Uang Riba",Transaksi!$D$16:$D$5015,"Pindah",Transaksi!$I$16:$I$5015,"Pinjam dari uang riba",Transaksi!$B$16:$B$5015,"&gt;="&amp;DATE(2000,1,1),Transaksi!$B$16:$B$5015,"&lt;="&amp;MIN(EOMONTH(DATE(Dashboard!$C$4,7,1),0),TODAY()))-(SUMIFS(Transaksi!$F$16:$F$5015,Transaksi!$C$16:$C$5015,"Kantong Uang Riba",Transaksi!$D$16:$D$5015,"Masuk",Transaksi!$I$16:$I$5015,"Ganti uang riba",Transaksi!$B$16:$B$5015,"&gt;="&amp;DATE(2000,1,1),Transaksi!$B$16:$B$5015,"&lt;="&amp;MIN(EOMONTH(DATE(Dashboard!$C$4,7,1),0),TODAY()))+SUMIFS(Transaksi!$F$16:$F$5015,Transaksi!$E$16:$E$5015,"Kantong Uang Riba",Transaksi!$D$16:$D$5015,"Pindah",Transaksi!$I$16:$I$5015,"Ganti uang riba",Transaksi!$B$16:$B$5015,"&gt;="&amp;DATE(2000,1,1),Transaksi!$B$16:$B$5015,"&lt;="&amp;MIN(EOMONTH(DATE(Dashboard!$C$4,7,1),0),TODAY()))))</f>
        <v/>
      </c>
      <c r="J19" s="106">
        <f>IF(DATE(Dashboard!$C$4,7,1)&gt;TODAY(),"",SUMIFS(Akun!$C$5:$C$104,Akun!$A$5:$A$104,"Kantong Uang Riba",Akun!$D$5:$D$104,"&lt;="&amp;MIN(EOMONTH(DATE(Dashboard!$C$4,7,1),0),TODAY()))+SUMIFS(Transaksi!$F$16:$F$5015,Transaksi!$C$16:$C$5015,"Kantong Uang Riba",Transaksi!$D$16:$D$5015,"Masuk",Transaksi!$B$16:$B$5015,"&lt;="&amp;MIN(EOMONTH(DATE(Dashboard!$C$4,7,1),0),TODAY()))-SUMIFS(Transaksi!$F$16:$F$5015,Transaksi!$C$16:$C$5015,"Kantong Uang Riba",Transaksi!$D$16:$D$5015,"Keluar",Transaksi!$B$16:$B$5015,"&lt;="&amp;MIN(EOMONTH(DATE(Dashboard!$C$4,7,1),0),TODAY()))-SUMIFS(Transaksi!$F$16:$F$5015,Transaksi!$C$16:$C$5015,"Kantong Uang Riba",Transaksi!$D$16:$D$5015,"Pindah",Transaksi!$B$16:$B$5015,"&lt;="&amp;MIN(EOMONTH(DATE(Dashboard!$C$4,7,1),0),TODAY()))+SUMIFS(Transaksi!$F$16:$F$5015,Transaksi!$E$16:$E$5015,"Kantong Uang Riba",Transaksi!$D$16:$D$5015,"Pindah",Transaksi!$B$16:$B$5015,"&lt;="&amp;MIN(EOMONTH(DATE(Dashboard!$C$4,7,1),0),TODAY())))</f>
        <v/>
      </c>
    </row>
    <row r="20" ht="15" customHeight="1" s="94">
      <c r="B20" s="127" t="inlineStr">
        <is>
          <t>Agustus</t>
        </is>
      </c>
      <c r="C20" s="106">
        <f>IF(DATE(Dashboard!$C$4,8,1)&gt;TODAY(),"",SUMIFS(Transaksi!$F$16:$F$5015,Transaksi!$H$16:$H$5015,"Dana riba",Transaksi!$D$16:$D$5015,"Masuk",Transaksi!$I$16:$I$5015,"&lt;&gt;Selisih bunga",Transaksi!$B$16:$B$5015,"&gt;="&amp;DATE(Dashboard!$C$4,8,1),Transaksi!$B$16:$B$5015,"&lt;="&amp;EOMONTH(DATE(Dashboard!$C$4,8,1),0)))</f>
        <v/>
      </c>
      <c r="D20" s="106">
        <f>IF(DATE(Dashboard!$C$4,8,1)&gt;TODAY(),"",SUMIFS(Transaksi!$F$16:$F$5015,Transaksi!$H$16:$H$5015,"Dana riba",Transaksi!$I$16:$I$5015,"Pajak*",Transaksi!$B$16:$B$5015,"&gt;="&amp;DATE(Dashboard!$C$4,8,1),Transaksi!$B$16:$B$5015,"&lt;="&amp;EOMONTH(DATE(Dashboard!$C$4,8,1),0)))</f>
        <v/>
      </c>
      <c r="E20" s="106">
        <f>IF(DATE(Dashboard!$C$4,8,1)&gt;TODAY(),"",SUMIFS(Transaksi!$F$16:$F$5015,Transaksi!$I$16:$I$5015,"Selisih bunga",Transaksi!$D$16:$D$5015,"Masuk",Transaksi!$B$16:$B$5015,"&gt;="&amp;DATE(Dashboard!$C$4,8,1),Transaksi!$B$16:$B$5015,"&lt;="&amp;EOMONTH(DATE(Dashboard!$C$4,8,1),0))-SUMIFS(Transaksi!$F$16:$F$5015,Transaksi!$I$16:$I$5015,"Selisih bunga",Transaksi!$D$16:$D$5015,"Keluar",Transaksi!$B$16:$B$5015,"&gt;="&amp;DATE(Dashboard!$C$4,8,1),Transaksi!$B$16:$B$5015,"&lt;="&amp;EOMONTH(DATE(Dashboard!$C$4,8,1),0)))</f>
        <v/>
      </c>
      <c r="F20" s="113">
        <f>IF(DATE(Dashboard!$C$4,8,1)&gt;TODAY(),"",C20-D20+E20)</f>
        <v/>
      </c>
      <c r="G20" s="106">
        <f>IF(DATE(Dashboard!$C$4,8,1)&gt;TODAY(),"",SUMIFS(Transaksi!$F$16:$F$5015,Transaksi!$C$16:$C$5015,"Kantong Uang Riba",Transaksi!$D$16:$D$5015,"Keluar",Transaksi!$I$16:$I$5015,"Pinjam dari uang riba",Transaksi!$B$16:$B$5015,"&gt;="&amp;DATE(Dashboard!$C$4,8,1),Transaksi!$B$16:$B$5015,"&lt;="&amp;EOMONTH(DATE(Dashboard!$C$4,8,1),0))+SUMIFS(Transaksi!$F$16:$F$5015,Transaksi!$C$16:$C$5015,"Kantong Uang Riba",Transaksi!$D$16:$D$5015,"Keluar",Transaksi!$I$16:$I$5015,"Kelebihan ganti dikembalikan",Transaksi!$B$16:$B$5015,"&gt;="&amp;DATE(Dashboard!$C$4,8,1),Transaksi!$B$16:$B$5015,"&lt;="&amp;EOMONTH(DATE(Dashboard!$C$4,8,1),0))+SUMIFS(Transaksi!$F$16:$F$5015,Transaksi!$C$16:$C$5015,"Kantong Uang Riba",Transaksi!$D$16:$D$5015,"Pindah",Transaksi!$I$16:$I$5015,"Kelebihan ganti dikembalikan",Transaksi!$B$16:$B$5015,"&gt;="&amp;DATE(Dashboard!$C$4,8,1),Transaksi!$B$16:$B$5015,"&lt;="&amp;EOMONTH(DATE(Dashboard!$C$4,8,1),0))+SUMIFS(Transaksi!$F$16:$F$5015,Transaksi!$C$16:$C$5015,"Kantong Uang Riba",Transaksi!$D$16:$D$5015,"Keluar",Transaksi!$G$16:$G$5015,"Pengeluaran",Transaksi!$I$16:$I$5015,"&lt;&gt;Pinjam dari uang riba",Transaksi!$B$16:$B$5015,"&gt;="&amp;DATE(Dashboard!$C$4,8,1),Transaksi!$B$16:$B$5015,"&lt;="&amp;EOMONTH(DATE(Dashboard!$C$4,8,1),0))+SUMIFS(Transaksi!$F$16:$F$5015,Transaksi!$C$16:$C$5015,"Kantong Uang Riba",Transaksi!$D$16:$D$5015,"Pindah",Transaksi!$I$16:$I$5015,"Pinjam dari uang riba",Transaksi!$B$16:$B$5015,"&gt;="&amp;DATE(Dashboard!$C$4,8,1),Transaksi!$B$16:$B$5015,"&lt;="&amp;EOMONTH(DATE(Dashboard!$C$4,8,1),0)))</f>
        <v/>
      </c>
      <c r="H20" s="106">
        <f>IF(DATE(Dashboard!$C$4,8,1)&gt;TODAY(),"",SUMIFS(Transaksi!$F$16:$F$5015,Transaksi!$C$16:$C$5015,"Kantong Uang Riba",Transaksi!$D$16:$D$5015,"Masuk",Transaksi!$I$16:$I$5015,"Ganti uang riba",Transaksi!$B$16:$B$5015,"&gt;="&amp;DATE(Dashboard!$C$4,8,1),Transaksi!$B$16:$B$5015,"&lt;="&amp;EOMONTH(DATE(Dashboard!$C$4,8,1),0))+SUMIFS(Transaksi!$F$16:$F$5015,Transaksi!$E$16:$E$5015,"Kantong Uang Riba",Transaksi!$D$16:$D$5015,"Pindah",Transaksi!$I$16:$I$5015,"Ganti uang riba",Transaksi!$B$16:$B$5015,"&gt;="&amp;DATE(Dashboard!$C$4,8,1),Transaksi!$B$16:$B$5015,"&lt;="&amp;EOMONTH(DATE(Dashboard!$C$4,8,1),0)))</f>
        <v/>
      </c>
      <c r="I20" s="113">
        <f>IF(DATE(Dashboard!$C$4,8,1)&gt;TODAY(),"",SUMIFS(Transaksi!$F$16:$F$5015,Transaksi!$C$16:$C$5015,"Kantong Uang Riba",Transaksi!$D$16:$D$5015,"Keluar",Transaksi!$I$16:$I$5015,"Pinjam dari uang riba",Transaksi!$B$16:$B$5015,"&gt;="&amp;DATE(2000,1,1),Transaksi!$B$16:$B$5015,"&lt;="&amp;MIN(EOMONTH(DATE(Dashboard!$C$4,8,1),0),TODAY()))+SUMIFS(Transaksi!$F$16:$F$5015,Transaksi!$C$16:$C$5015,"Kantong Uang Riba",Transaksi!$D$16:$D$5015,"Keluar",Transaksi!$I$16:$I$5015,"Kelebihan ganti dikembalikan",Transaksi!$B$16:$B$5015,"&gt;="&amp;DATE(2000,1,1),Transaksi!$B$16:$B$5015,"&lt;="&amp;MIN(EOMONTH(DATE(Dashboard!$C$4,8,1),0),TODAY()))+SUMIFS(Transaksi!$F$16:$F$5015,Transaksi!$C$16:$C$5015,"Kantong Uang Riba",Transaksi!$D$16:$D$5015,"Pindah",Transaksi!$I$16:$I$5015,"Kelebihan ganti dikembalikan",Transaksi!$B$16:$B$5015,"&gt;="&amp;DATE(2000,1,1),Transaksi!$B$16:$B$5015,"&lt;="&amp;MIN(EOMONTH(DATE(Dashboard!$C$4,8,1),0),TODAY()))+SUMIFS(Transaksi!$F$16:$F$5015,Transaksi!$C$16:$C$5015,"Kantong Uang Riba",Transaksi!$D$16:$D$5015,"Keluar",Transaksi!$G$16:$G$5015,"Pengeluaran",Transaksi!$I$16:$I$5015,"&lt;&gt;Pinjam dari uang riba",Transaksi!$B$16:$B$5015,"&gt;="&amp;DATE(2000,1,1),Transaksi!$B$16:$B$5015,"&lt;="&amp;MIN(EOMONTH(DATE(Dashboard!$C$4,8,1),0),TODAY()))+SUMIFS(Transaksi!$F$16:$F$5015,Transaksi!$C$16:$C$5015,"Kantong Uang Riba",Transaksi!$D$16:$D$5015,"Pindah",Transaksi!$I$16:$I$5015,"Pinjam dari uang riba",Transaksi!$B$16:$B$5015,"&gt;="&amp;DATE(2000,1,1),Transaksi!$B$16:$B$5015,"&lt;="&amp;MIN(EOMONTH(DATE(Dashboard!$C$4,8,1),0),TODAY()))-(SUMIFS(Transaksi!$F$16:$F$5015,Transaksi!$C$16:$C$5015,"Kantong Uang Riba",Transaksi!$D$16:$D$5015,"Masuk",Transaksi!$I$16:$I$5015,"Ganti uang riba",Transaksi!$B$16:$B$5015,"&gt;="&amp;DATE(2000,1,1),Transaksi!$B$16:$B$5015,"&lt;="&amp;MIN(EOMONTH(DATE(Dashboard!$C$4,8,1),0),TODAY()))+SUMIFS(Transaksi!$F$16:$F$5015,Transaksi!$E$16:$E$5015,"Kantong Uang Riba",Transaksi!$D$16:$D$5015,"Pindah",Transaksi!$I$16:$I$5015,"Ganti uang riba",Transaksi!$B$16:$B$5015,"&gt;="&amp;DATE(2000,1,1),Transaksi!$B$16:$B$5015,"&lt;="&amp;MIN(EOMONTH(DATE(Dashboard!$C$4,8,1),0),TODAY()))))</f>
        <v/>
      </c>
      <c r="J20" s="106">
        <f>IF(DATE(Dashboard!$C$4,8,1)&gt;TODAY(),"",SUMIFS(Akun!$C$5:$C$104,Akun!$A$5:$A$104,"Kantong Uang Riba",Akun!$D$5:$D$104,"&lt;="&amp;MIN(EOMONTH(DATE(Dashboard!$C$4,8,1),0),TODAY()))+SUMIFS(Transaksi!$F$16:$F$5015,Transaksi!$C$16:$C$5015,"Kantong Uang Riba",Transaksi!$D$16:$D$5015,"Masuk",Transaksi!$B$16:$B$5015,"&lt;="&amp;MIN(EOMONTH(DATE(Dashboard!$C$4,8,1),0),TODAY()))-SUMIFS(Transaksi!$F$16:$F$5015,Transaksi!$C$16:$C$5015,"Kantong Uang Riba",Transaksi!$D$16:$D$5015,"Keluar",Transaksi!$B$16:$B$5015,"&lt;="&amp;MIN(EOMONTH(DATE(Dashboard!$C$4,8,1),0),TODAY()))-SUMIFS(Transaksi!$F$16:$F$5015,Transaksi!$C$16:$C$5015,"Kantong Uang Riba",Transaksi!$D$16:$D$5015,"Pindah",Transaksi!$B$16:$B$5015,"&lt;="&amp;MIN(EOMONTH(DATE(Dashboard!$C$4,8,1),0),TODAY()))+SUMIFS(Transaksi!$F$16:$F$5015,Transaksi!$E$16:$E$5015,"Kantong Uang Riba",Transaksi!$D$16:$D$5015,"Pindah",Transaksi!$B$16:$B$5015,"&lt;="&amp;MIN(EOMONTH(DATE(Dashboard!$C$4,8,1),0),TODAY())))</f>
        <v/>
      </c>
    </row>
    <row r="21" ht="15" customHeight="1" s="94">
      <c r="B21" s="127" t="inlineStr">
        <is>
          <t>September</t>
        </is>
      </c>
      <c r="C21" s="106">
        <f>IF(DATE(Dashboard!$C$4,9,1)&gt;TODAY(),"",SUMIFS(Transaksi!$F$16:$F$5015,Transaksi!$H$16:$H$5015,"Dana riba",Transaksi!$D$16:$D$5015,"Masuk",Transaksi!$I$16:$I$5015,"&lt;&gt;Selisih bunga",Transaksi!$B$16:$B$5015,"&gt;="&amp;DATE(Dashboard!$C$4,9,1),Transaksi!$B$16:$B$5015,"&lt;="&amp;EOMONTH(DATE(Dashboard!$C$4,9,1),0)))</f>
        <v/>
      </c>
      <c r="D21" s="106">
        <f>IF(DATE(Dashboard!$C$4,9,1)&gt;TODAY(),"",SUMIFS(Transaksi!$F$16:$F$5015,Transaksi!$H$16:$H$5015,"Dana riba",Transaksi!$I$16:$I$5015,"Pajak*",Transaksi!$B$16:$B$5015,"&gt;="&amp;DATE(Dashboard!$C$4,9,1),Transaksi!$B$16:$B$5015,"&lt;="&amp;EOMONTH(DATE(Dashboard!$C$4,9,1),0)))</f>
        <v/>
      </c>
      <c r="E21" s="106">
        <f>IF(DATE(Dashboard!$C$4,9,1)&gt;TODAY(),"",SUMIFS(Transaksi!$F$16:$F$5015,Transaksi!$I$16:$I$5015,"Selisih bunga",Transaksi!$D$16:$D$5015,"Masuk",Transaksi!$B$16:$B$5015,"&gt;="&amp;DATE(Dashboard!$C$4,9,1),Transaksi!$B$16:$B$5015,"&lt;="&amp;EOMONTH(DATE(Dashboard!$C$4,9,1),0))-SUMIFS(Transaksi!$F$16:$F$5015,Transaksi!$I$16:$I$5015,"Selisih bunga",Transaksi!$D$16:$D$5015,"Keluar",Transaksi!$B$16:$B$5015,"&gt;="&amp;DATE(Dashboard!$C$4,9,1),Transaksi!$B$16:$B$5015,"&lt;="&amp;EOMONTH(DATE(Dashboard!$C$4,9,1),0)))</f>
        <v/>
      </c>
      <c r="F21" s="113">
        <f>IF(DATE(Dashboard!$C$4,9,1)&gt;TODAY(),"",C21-D21+E21)</f>
        <v/>
      </c>
      <c r="G21" s="106">
        <f>IF(DATE(Dashboard!$C$4,9,1)&gt;TODAY(),"",SUMIFS(Transaksi!$F$16:$F$5015,Transaksi!$C$16:$C$5015,"Kantong Uang Riba",Transaksi!$D$16:$D$5015,"Keluar",Transaksi!$I$16:$I$5015,"Pinjam dari uang riba",Transaksi!$B$16:$B$5015,"&gt;="&amp;DATE(Dashboard!$C$4,9,1),Transaksi!$B$16:$B$5015,"&lt;="&amp;EOMONTH(DATE(Dashboard!$C$4,9,1),0))+SUMIFS(Transaksi!$F$16:$F$5015,Transaksi!$C$16:$C$5015,"Kantong Uang Riba",Transaksi!$D$16:$D$5015,"Keluar",Transaksi!$I$16:$I$5015,"Kelebihan ganti dikembalikan",Transaksi!$B$16:$B$5015,"&gt;="&amp;DATE(Dashboard!$C$4,9,1),Transaksi!$B$16:$B$5015,"&lt;="&amp;EOMONTH(DATE(Dashboard!$C$4,9,1),0))+SUMIFS(Transaksi!$F$16:$F$5015,Transaksi!$C$16:$C$5015,"Kantong Uang Riba",Transaksi!$D$16:$D$5015,"Pindah",Transaksi!$I$16:$I$5015,"Kelebihan ganti dikembalikan",Transaksi!$B$16:$B$5015,"&gt;="&amp;DATE(Dashboard!$C$4,9,1),Transaksi!$B$16:$B$5015,"&lt;="&amp;EOMONTH(DATE(Dashboard!$C$4,9,1),0))+SUMIFS(Transaksi!$F$16:$F$5015,Transaksi!$C$16:$C$5015,"Kantong Uang Riba",Transaksi!$D$16:$D$5015,"Keluar",Transaksi!$G$16:$G$5015,"Pengeluaran",Transaksi!$I$16:$I$5015,"&lt;&gt;Pinjam dari uang riba",Transaksi!$B$16:$B$5015,"&gt;="&amp;DATE(Dashboard!$C$4,9,1),Transaksi!$B$16:$B$5015,"&lt;="&amp;EOMONTH(DATE(Dashboard!$C$4,9,1),0))+SUMIFS(Transaksi!$F$16:$F$5015,Transaksi!$C$16:$C$5015,"Kantong Uang Riba",Transaksi!$D$16:$D$5015,"Pindah",Transaksi!$I$16:$I$5015,"Pinjam dari uang riba",Transaksi!$B$16:$B$5015,"&gt;="&amp;DATE(Dashboard!$C$4,9,1),Transaksi!$B$16:$B$5015,"&lt;="&amp;EOMONTH(DATE(Dashboard!$C$4,9,1),0)))</f>
        <v/>
      </c>
      <c r="H21" s="106">
        <f>IF(DATE(Dashboard!$C$4,9,1)&gt;TODAY(),"",SUMIFS(Transaksi!$F$16:$F$5015,Transaksi!$C$16:$C$5015,"Kantong Uang Riba",Transaksi!$D$16:$D$5015,"Masuk",Transaksi!$I$16:$I$5015,"Ganti uang riba",Transaksi!$B$16:$B$5015,"&gt;="&amp;DATE(Dashboard!$C$4,9,1),Transaksi!$B$16:$B$5015,"&lt;="&amp;EOMONTH(DATE(Dashboard!$C$4,9,1),0))+SUMIFS(Transaksi!$F$16:$F$5015,Transaksi!$E$16:$E$5015,"Kantong Uang Riba",Transaksi!$D$16:$D$5015,"Pindah",Transaksi!$I$16:$I$5015,"Ganti uang riba",Transaksi!$B$16:$B$5015,"&gt;="&amp;DATE(Dashboard!$C$4,9,1),Transaksi!$B$16:$B$5015,"&lt;="&amp;EOMONTH(DATE(Dashboard!$C$4,9,1),0)))</f>
        <v/>
      </c>
      <c r="I21" s="113">
        <f>IF(DATE(Dashboard!$C$4,9,1)&gt;TODAY(),"",SUMIFS(Transaksi!$F$16:$F$5015,Transaksi!$C$16:$C$5015,"Kantong Uang Riba",Transaksi!$D$16:$D$5015,"Keluar",Transaksi!$I$16:$I$5015,"Pinjam dari uang riba",Transaksi!$B$16:$B$5015,"&gt;="&amp;DATE(2000,1,1),Transaksi!$B$16:$B$5015,"&lt;="&amp;MIN(EOMONTH(DATE(Dashboard!$C$4,9,1),0),TODAY()))+SUMIFS(Transaksi!$F$16:$F$5015,Transaksi!$C$16:$C$5015,"Kantong Uang Riba",Transaksi!$D$16:$D$5015,"Keluar",Transaksi!$I$16:$I$5015,"Kelebihan ganti dikembalikan",Transaksi!$B$16:$B$5015,"&gt;="&amp;DATE(2000,1,1),Transaksi!$B$16:$B$5015,"&lt;="&amp;MIN(EOMONTH(DATE(Dashboard!$C$4,9,1),0),TODAY()))+SUMIFS(Transaksi!$F$16:$F$5015,Transaksi!$C$16:$C$5015,"Kantong Uang Riba",Transaksi!$D$16:$D$5015,"Pindah",Transaksi!$I$16:$I$5015,"Kelebihan ganti dikembalikan",Transaksi!$B$16:$B$5015,"&gt;="&amp;DATE(2000,1,1),Transaksi!$B$16:$B$5015,"&lt;="&amp;MIN(EOMONTH(DATE(Dashboard!$C$4,9,1),0),TODAY()))+SUMIFS(Transaksi!$F$16:$F$5015,Transaksi!$C$16:$C$5015,"Kantong Uang Riba",Transaksi!$D$16:$D$5015,"Keluar",Transaksi!$G$16:$G$5015,"Pengeluaran",Transaksi!$I$16:$I$5015,"&lt;&gt;Pinjam dari uang riba",Transaksi!$B$16:$B$5015,"&gt;="&amp;DATE(2000,1,1),Transaksi!$B$16:$B$5015,"&lt;="&amp;MIN(EOMONTH(DATE(Dashboard!$C$4,9,1),0),TODAY()))+SUMIFS(Transaksi!$F$16:$F$5015,Transaksi!$C$16:$C$5015,"Kantong Uang Riba",Transaksi!$D$16:$D$5015,"Pindah",Transaksi!$I$16:$I$5015,"Pinjam dari uang riba",Transaksi!$B$16:$B$5015,"&gt;="&amp;DATE(2000,1,1),Transaksi!$B$16:$B$5015,"&lt;="&amp;MIN(EOMONTH(DATE(Dashboard!$C$4,9,1),0),TODAY()))-(SUMIFS(Transaksi!$F$16:$F$5015,Transaksi!$C$16:$C$5015,"Kantong Uang Riba",Transaksi!$D$16:$D$5015,"Masuk",Transaksi!$I$16:$I$5015,"Ganti uang riba",Transaksi!$B$16:$B$5015,"&gt;="&amp;DATE(2000,1,1),Transaksi!$B$16:$B$5015,"&lt;="&amp;MIN(EOMONTH(DATE(Dashboard!$C$4,9,1),0),TODAY()))+SUMIFS(Transaksi!$F$16:$F$5015,Transaksi!$E$16:$E$5015,"Kantong Uang Riba",Transaksi!$D$16:$D$5015,"Pindah",Transaksi!$I$16:$I$5015,"Ganti uang riba",Transaksi!$B$16:$B$5015,"&gt;="&amp;DATE(2000,1,1),Transaksi!$B$16:$B$5015,"&lt;="&amp;MIN(EOMONTH(DATE(Dashboard!$C$4,9,1),0),TODAY()))))</f>
        <v/>
      </c>
      <c r="J21" s="106">
        <f>IF(DATE(Dashboard!$C$4,9,1)&gt;TODAY(),"",SUMIFS(Akun!$C$5:$C$104,Akun!$A$5:$A$104,"Kantong Uang Riba",Akun!$D$5:$D$104,"&lt;="&amp;MIN(EOMONTH(DATE(Dashboard!$C$4,9,1),0),TODAY()))+SUMIFS(Transaksi!$F$16:$F$5015,Transaksi!$C$16:$C$5015,"Kantong Uang Riba",Transaksi!$D$16:$D$5015,"Masuk",Transaksi!$B$16:$B$5015,"&lt;="&amp;MIN(EOMONTH(DATE(Dashboard!$C$4,9,1),0),TODAY()))-SUMIFS(Transaksi!$F$16:$F$5015,Transaksi!$C$16:$C$5015,"Kantong Uang Riba",Transaksi!$D$16:$D$5015,"Keluar",Transaksi!$B$16:$B$5015,"&lt;="&amp;MIN(EOMONTH(DATE(Dashboard!$C$4,9,1),0),TODAY()))-SUMIFS(Transaksi!$F$16:$F$5015,Transaksi!$C$16:$C$5015,"Kantong Uang Riba",Transaksi!$D$16:$D$5015,"Pindah",Transaksi!$B$16:$B$5015,"&lt;="&amp;MIN(EOMONTH(DATE(Dashboard!$C$4,9,1),0),TODAY()))+SUMIFS(Transaksi!$F$16:$F$5015,Transaksi!$E$16:$E$5015,"Kantong Uang Riba",Transaksi!$D$16:$D$5015,"Pindah",Transaksi!$B$16:$B$5015,"&lt;="&amp;MIN(EOMONTH(DATE(Dashboard!$C$4,9,1),0),TODAY())))</f>
        <v/>
      </c>
    </row>
    <row r="22" ht="15" customHeight="1" s="94">
      <c r="B22" s="127" t="inlineStr">
        <is>
          <t>Oktober</t>
        </is>
      </c>
      <c r="C22" s="106">
        <f>IF(DATE(Dashboard!$C$4,10,1)&gt;TODAY(),"",SUMIFS(Transaksi!$F$16:$F$5015,Transaksi!$H$16:$H$5015,"Dana riba",Transaksi!$D$16:$D$5015,"Masuk",Transaksi!$I$16:$I$5015,"&lt;&gt;Selisih bunga",Transaksi!$B$16:$B$5015,"&gt;="&amp;DATE(Dashboard!$C$4,10,1),Transaksi!$B$16:$B$5015,"&lt;="&amp;EOMONTH(DATE(Dashboard!$C$4,10,1),0)))</f>
        <v/>
      </c>
      <c r="D22" s="106">
        <f>IF(DATE(Dashboard!$C$4,10,1)&gt;TODAY(),"",SUMIFS(Transaksi!$F$16:$F$5015,Transaksi!$H$16:$H$5015,"Dana riba",Transaksi!$I$16:$I$5015,"Pajak*",Transaksi!$B$16:$B$5015,"&gt;="&amp;DATE(Dashboard!$C$4,10,1),Transaksi!$B$16:$B$5015,"&lt;="&amp;EOMONTH(DATE(Dashboard!$C$4,10,1),0)))</f>
        <v/>
      </c>
      <c r="E22" s="106">
        <f>IF(DATE(Dashboard!$C$4,10,1)&gt;TODAY(),"",SUMIFS(Transaksi!$F$16:$F$5015,Transaksi!$I$16:$I$5015,"Selisih bunga",Transaksi!$D$16:$D$5015,"Masuk",Transaksi!$B$16:$B$5015,"&gt;="&amp;DATE(Dashboard!$C$4,10,1),Transaksi!$B$16:$B$5015,"&lt;="&amp;EOMONTH(DATE(Dashboard!$C$4,10,1),0))-SUMIFS(Transaksi!$F$16:$F$5015,Transaksi!$I$16:$I$5015,"Selisih bunga",Transaksi!$D$16:$D$5015,"Keluar",Transaksi!$B$16:$B$5015,"&gt;="&amp;DATE(Dashboard!$C$4,10,1),Transaksi!$B$16:$B$5015,"&lt;="&amp;EOMONTH(DATE(Dashboard!$C$4,10,1),0)))</f>
        <v/>
      </c>
      <c r="F22" s="113">
        <f>IF(DATE(Dashboard!$C$4,10,1)&gt;TODAY(),"",C22-D22+E22)</f>
        <v/>
      </c>
      <c r="G22" s="106">
        <f>IF(DATE(Dashboard!$C$4,10,1)&gt;TODAY(),"",SUMIFS(Transaksi!$F$16:$F$5015,Transaksi!$C$16:$C$5015,"Kantong Uang Riba",Transaksi!$D$16:$D$5015,"Keluar",Transaksi!$I$16:$I$5015,"Pinjam dari uang riba",Transaksi!$B$16:$B$5015,"&gt;="&amp;DATE(Dashboard!$C$4,10,1),Transaksi!$B$16:$B$5015,"&lt;="&amp;EOMONTH(DATE(Dashboard!$C$4,10,1),0))+SUMIFS(Transaksi!$F$16:$F$5015,Transaksi!$C$16:$C$5015,"Kantong Uang Riba",Transaksi!$D$16:$D$5015,"Keluar",Transaksi!$I$16:$I$5015,"Kelebihan ganti dikembalikan",Transaksi!$B$16:$B$5015,"&gt;="&amp;DATE(Dashboard!$C$4,10,1),Transaksi!$B$16:$B$5015,"&lt;="&amp;EOMONTH(DATE(Dashboard!$C$4,10,1),0))+SUMIFS(Transaksi!$F$16:$F$5015,Transaksi!$C$16:$C$5015,"Kantong Uang Riba",Transaksi!$D$16:$D$5015,"Pindah",Transaksi!$I$16:$I$5015,"Kelebihan ganti dikembalikan",Transaksi!$B$16:$B$5015,"&gt;="&amp;DATE(Dashboard!$C$4,10,1),Transaksi!$B$16:$B$5015,"&lt;="&amp;EOMONTH(DATE(Dashboard!$C$4,10,1),0))+SUMIFS(Transaksi!$F$16:$F$5015,Transaksi!$C$16:$C$5015,"Kantong Uang Riba",Transaksi!$D$16:$D$5015,"Keluar",Transaksi!$G$16:$G$5015,"Pengeluaran",Transaksi!$I$16:$I$5015,"&lt;&gt;Pinjam dari uang riba",Transaksi!$B$16:$B$5015,"&gt;="&amp;DATE(Dashboard!$C$4,10,1),Transaksi!$B$16:$B$5015,"&lt;="&amp;EOMONTH(DATE(Dashboard!$C$4,10,1),0))+SUMIFS(Transaksi!$F$16:$F$5015,Transaksi!$C$16:$C$5015,"Kantong Uang Riba",Transaksi!$D$16:$D$5015,"Pindah",Transaksi!$I$16:$I$5015,"Pinjam dari uang riba",Transaksi!$B$16:$B$5015,"&gt;="&amp;DATE(Dashboard!$C$4,10,1),Transaksi!$B$16:$B$5015,"&lt;="&amp;EOMONTH(DATE(Dashboard!$C$4,10,1),0)))</f>
        <v/>
      </c>
      <c r="H22" s="106">
        <f>IF(DATE(Dashboard!$C$4,10,1)&gt;TODAY(),"",SUMIFS(Transaksi!$F$16:$F$5015,Transaksi!$C$16:$C$5015,"Kantong Uang Riba",Transaksi!$D$16:$D$5015,"Masuk",Transaksi!$I$16:$I$5015,"Ganti uang riba",Transaksi!$B$16:$B$5015,"&gt;="&amp;DATE(Dashboard!$C$4,10,1),Transaksi!$B$16:$B$5015,"&lt;="&amp;EOMONTH(DATE(Dashboard!$C$4,10,1),0))+SUMIFS(Transaksi!$F$16:$F$5015,Transaksi!$E$16:$E$5015,"Kantong Uang Riba",Transaksi!$D$16:$D$5015,"Pindah",Transaksi!$I$16:$I$5015,"Ganti uang riba",Transaksi!$B$16:$B$5015,"&gt;="&amp;DATE(Dashboard!$C$4,10,1),Transaksi!$B$16:$B$5015,"&lt;="&amp;EOMONTH(DATE(Dashboard!$C$4,10,1),0)))</f>
        <v/>
      </c>
      <c r="I22" s="113">
        <f>IF(DATE(Dashboard!$C$4,10,1)&gt;TODAY(),"",SUMIFS(Transaksi!$F$16:$F$5015,Transaksi!$C$16:$C$5015,"Kantong Uang Riba",Transaksi!$D$16:$D$5015,"Keluar",Transaksi!$I$16:$I$5015,"Pinjam dari uang riba",Transaksi!$B$16:$B$5015,"&gt;="&amp;DATE(2000,1,1),Transaksi!$B$16:$B$5015,"&lt;="&amp;MIN(EOMONTH(DATE(Dashboard!$C$4,10,1),0),TODAY()))+SUMIFS(Transaksi!$F$16:$F$5015,Transaksi!$C$16:$C$5015,"Kantong Uang Riba",Transaksi!$D$16:$D$5015,"Keluar",Transaksi!$I$16:$I$5015,"Kelebihan ganti dikembalikan",Transaksi!$B$16:$B$5015,"&gt;="&amp;DATE(2000,1,1),Transaksi!$B$16:$B$5015,"&lt;="&amp;MIN(EOMONTH(DATE(Dashboard!$C$4,10,1),0),TODAY()))+SUMIFS(Transaksi!$F$16:$F$5015,Transaksi!$C$16:$C$5015,"Kantong Uang Riba",Transaksi!$D$16:$D$5015,"Pindah",Transaksi!$I$16:$I$5015,"Kelebihan ganti dikembalikan",Transaksi!$B$16:$B$5015,"&gt;="&amp;DATE(2000,1,1),Transaksi!$B$16:$B$5015,"&lt;="&amp;MIN(EOMONTH(DATE(Dashboard!$C$4,10,1),0),TODAY()))+SUMIFS(Transaksi!$F$16:$F$5015,Transaksi!$C$16:$C$5015,"Kantong Uang Riba",Transaksi!$D$16:$D$5015,"Keluar",Transaksi!$G$16:$G$5015,"Pengeluaran",Transaksi!$I$16:$I$5015,"&lt;&gt;Pinjam dari uang riba",Transaksi!$B$16:$B$5015,"&gt;="&amp;DATE(2000,1,1),Transaksi!$B$16:$B$5015,"&lt;="&amp;MIN(EOMONTH(DATE(Dashboard!$C$4,10,1),0),TODAY()))+SUMIFS(Transaksi!$F$16:$F$5015,Transaksi!$C$16:$C$5015,"Kantong Uang Riba",Transaksi!$D$16:$D$5015,"Pindah",Transaksi!$I$16:$I$5015,"Pinjam dari uang riba",Transaksi!$B$16:$B$5015,"&gt;="&amp;DATE(2000,1,1),Transaksi!$B$16:$B$5015,"&lt;="&amp;MIN(EOMONTH(DATE(Dashboard!$C$4,10,1),0),TODAY()))-(SUMIFS(Transaksi!$F$16:$F$5015,Transaksi!$C$16:$C$5015,"Kantong Uang Riba",Transaksi!$D$16:$D$5015,"Masuk",Transaksi!$I$16:$I$5015,"Ganti uang riba",Transaksi!$B$16:$B$5015,"&gt;="&amp;DATE(2000,1,1),Transaksi!$B$16:$B$5015,"&lt;="&amp;MIN(EOMONTH(DATE(Dashboard!$C$4,10,1),0),TODAY()))+SUMIFS(Transaksi!$F$16:$F$5015,Transaksi!$E$16:$E$5015,"Kantong Uang Riba",Transaksi!$D$16:$D$5015,"Pindah",Transaksi!$I$16:$I$5015,"Ganti uang riba",Transaksi!$B$16:$B$5015,"&gt;="&amp;DATE(2000,1,1),Transaksi!$B$16:$B$5015,"&lt;="&amp;MIN(EOMONTH(DATE(Dashboard!$C$4,10,1),0),TODAY()))))</f>
        <v/>
      </c>
      <c r="J22" s="106">
        <f>IF(DATE(Dashboard!$C$4,10,1)&gt;TODAY(),"",SUMIFS(Akun!$C$5:$C$104,Akun!$A$5:$A$104,"Kantong Uang Riba",Akun!$D$5:$D$104,"&lt;="&amp;MIN(EOMONTH(DATE(Dashboard!$C$4,10,1),0),TODAY()))+SUMIFS(Transaksi!$F$16:$F$5015,Transaksi!$C$16:$C$5015,"Kantong Uang Riba",Transaksi!$D$16:$D$5015,"Masuk",Transaksi!$B$16:$B$5015,"&lt;="&amp;MIN(EOMONTH(DATE(Dashboard!$C$4,10,1),0),TODAY()))-SUMIFS(Transaksi!$F$16:$F$5015,Transaksi!$C$16:$C$5015,"Kantong Uang Riba",Transaksi!$D$16:$D$5015,"Keluar",Transaksi!$B$16:$B$5015,"&lt;="&amp;MIN(EOMONTH(DATE(Dashboard!$C$4,10,1),0),TODAY()))-SUMIFS(Transaksi!$F$16:$F$5015,Transaksi!$C$16:$C$5015,"Kantong Uang Riba",Transaksi!$D$16:$D$5015,"Pindah",Transaksi!$B$16:$B$5015,"&lt;="&amp;MIN(EOMONTH(DATE(Dashboard!$C$4,10,1),0),TODAY()))+SUMIFS(Transaksi!$F$16:$F$5015,Transaksi!$E$16:$E$5015,"Kantong Uang Riba",Transaksi!$D$16:$D$5015,"Pindah",Transaksi!$B$16:$B$5015,"&lt;="&amp;MIN(EOMONTH(DATE(Dashboard!$C$4,10,1),0),TODAY())))</f>
        <v/>
      </c>
    </row>
    <row r="23" ht="15" customHeight="1" s="94">
      <c r="B23" s="127" t="inlineStr">
        <is>
          <t>November</t>
        </is>
      </c>
      <c r="C23" s="106">
        <f>IF(DATE(Dashboard!$C$4,11,1)&gt;TODAY(),"",SUMIFS(Transaksi!$F$16:$F$5015,Transaksi!$H$16:$H$5015,"Dana riba",Transaksi!$D$16:$D$5015,"Masuk",Transaksi!$I$16:$I$5015,"&lt;&gt;Selisih bunga",Transaksi!$B$16:$B$5015,"&gt;="&amp;DATE(Dashboard!$C$4,11,1),Transaksi!$B$16:$B$5015,"&lt;="&amp;EOMONTH(DATE(Dashboard!$C$4,11,1),0)))</f>
        <v/>
      </c>
      <c r="D23" s="106">
        <f>IF(DATE(Dashboard!$C$4,11,1)&gt;TODAY(),"",SUMIFS(Transaksi!$F$16:$F$5015,Transaksi!$H$16:$H$5015,"Dana riba",Transaksi!$I$16:$I$5015,"Pajak*",Transaksi!$B$16:$B$5015,"&gt;="&amp;DATE(Dashboard!$C$4,11,1),Transaksi!$B$16:$B$5015,"&lt;="&amp;EOMONTH(DATE(Dashboard!$C$4,11,1),0)))</f>
        <v/>
      </c>
      <c r="E23" s="106">
        <f>IF(DATE(Dashboard!$C$4,11,1)&gt;TODAY(),"",SUMIFS(Transaksi!$F$16:$F$5015,Transaksi!$I$16:$I$5015,"Selisih bunga",Transaksi!$D$16:$D$5015,"Masuk",Transaksi!$B$16:$B$5015,"&gt;="&amp;DATE(Dashboard!$C$4,11,1),Transaksi!$B$16:$B$5015,"&lt;="&amp;EOMONTH(DATE(Dashboard!$C$4,11,1),0))-SUMIFS(Transaksi!$F$16:$F$5015,Transaksi!$I$16:$I$5015,"Selisih bunga",Transaksi!$D$16:$D$5015,"Keluar",Transaksi!$B$16:$B$5015,"&gt;="&amp;DATE(Dashboard!$C$4,11,1),Transaksi!$B$16:$B$5015,"&lt;="&amp;EOMONTH(DATE(Dashboard!$C$4,11,1),0)))</f>
        <v/>
      </c>
      <c r="F23" s="113">
        <f>IF(DATE(Dashboard!$C$4,11,1)&gt;TODAY(),"",C23-D23+E23)</f>
        <v/>
      </c>
      <c r="G23" s="106">
        <f>IF(DATE(Dashboard!$C$4,11,1)&gt;TODAY(),"",SUMIFS(Transaksi!$F$16:$F$5015,Transaksi!$C$16:$C$5015,"Kantong Uang Riba",Transaksi!$D$16:$D$5015,"Keluar",Transaksi!$I$16:$I$5015,"Pinjam dari uang riba",Transaksi!$B$16:$B$5015,"&gt;="&amp;DATE(Dashboard!$C$4,11,1),Transaksi!$B$16:$B$5015,"&lt;="&amp;EOMONTH(DATE(Dashboard!$C$4,11,1),0))+SUMIFS(Transaksi!$F$16:$F$5015,Transaksi!$C$16:$C$5015,"Kantong Uang Riba",Transaksi!$D$16:$D$5015,"Keluar",Transaksi!$I$16:$I$5015,"Kelebihan ganti dikembalikan",Transaksi!$B$16:$B$5015,"&gt;="&amp;DATE(Dashboard!$C$4,11,1),Transaksi!$B$16:$B$5015,"&lt;="&amp;EOMONTH(DATE(Dashboard!$C$4,11,1),0))+SUMIFS(Transaksi!$F$16:$F$5015,Transaksi!$C$16:$C$5015,"Kantong Uang Riba",Transaksi!$D$16:$D$5015,"Pindah",Transaksi!$I$16:$I$5015,"Kelebihan ganti dikembalikan",Transaksi!$B$16:$B$5015,"&gt;="&amp;DATE(Dashboard!$C$4,11,1),Transaksi!$B$16:$B$5015,"&lt;="&amp;EOMONTH(DATE(Dashboard!$C$4,11,1),0))+SUMIFS(Transaksi!$F$16:$F$5015,Transaksi!$C$16:$C$5015,"Kantong Uang Riba",Transaksi!$D$16:$D$5015,"Keluar",Transaksi!$G$16:$G$5015,"Pengeluaran",Transaksi!$I$16:$I$5015,"&lt;&gt;Pinjam dari uang riba",Transaksi!$B$16:$B$5015,"&gt;="&amp;DATE(Dashboard!$C$4,11,1),Transaksi!$B$16:$B$5015,"&lt;="&amp;EOMONTH(DATE(Dashboard!$C$4,11,1),0))+SUMIFS(Transaksi!$F$16:$F$5015,Transaksi!$C$16:$C$5015,"Kantong Uang Riba",Transaksi!$D$16:$D$5015,"Pindah",Transaksi!$I$16:$I$5015,"Pinjam dari uang riba",Transaksi!$B$16:$B$5015,"&gt;="&amp;DATE(Dashboard!$C$4,11,1),Transaksi!$B$16:$B$5015,"&lt;="&amp;EOMONTH(DATE(Dashboard!$C$4,11,1),0)))</f>
        <v/>
      </c>
      <c r="H23" s="106">
        <f>IF(DATE(Dashboard!$C$4,11,1)&gt;TODAY(),"",SUMIFS(Transaksi!$F$16:$F$5015,Transaksi!$C$16:$C$5015,"Kantong Uang Riba",Transaksi!$D$16:$D$5015,"Masuk",Transaksi!$I$16:$I$5015,"Ganti uang riba",Transaksi!$B$16:$B$5015,"&gt;="&amp;DATE(Dashboard!$C$4,11,1),Transaksi!$B$16:$B$5015,"&lt;="&amp;EOMONTH(DATE(Dashboard!$C$4,11,1),0))+SUMIFS(Transaksi!$F$16:$F$5015,Transaksi!$E$16:$E$5015,"Kantong Uang Riba",Transaksi!$D$16:$D$5015,"Pindah",Transaksi!$I$16:$I$5015,"Ganti uang riba",Transaksi!$B$16:$B$5015,"&gt;="&amp;DATE(Dashboard!$C$4,11,1),Transaksi!$B$16:$B$5015,"&lt;="&amp;EOMONTH(DATE(Dashboard!$C$4,11,1),0)))</f>
        <v/>
      </c>
      <c r="I23" s="113">
        <f>IF(DATE(Dashboard!$C$4,11,1)&gt;TODAY(),"",SUMIFS(Transaksi!$F$16:$F$5015,Transaksi!$C$16:$C$5015,"Kantong Uang Riba",Transaksi!$D$16:$D$5015,"Keluar",Transaksi!$I$16:$I$5015,"Pinjam dari uang riba",Transaksi!$B$16:$B$5015,"&gt;="&amp;DATE(2000,1,1),Transaksi!$B$16:$B$5015,"&lt;="&amp;MIN(EOMONTH(DATE(Dashboard!$C$4,11,1),0),TODAY()))+SUMIFS(Transaksi!$F$16:$F$5015,Transaksi!$C$16:$C$5015,"Kantong Uang Riba",Transaksi!$D$16:$D$5015,"Keluar",Transaksi!$I$16:$I$5015,"Kelebihan ganti dikembalikan",Transaksi!$B$16:$B$5015,"&gt;="&amp;DATE(2000,1,1),Transaksi!$B$16:$B$5015,"&lt;="&amp;MIN(EOMONTH(DATE(Dashboard!$C$4,11,1),0),TODAY()))+SUMIFS(Transaksi!$F$16:$F$5015,Transaksi!$C$16:$C$5015,"Kantong Uang Riba",Transaksi!$D$16:$D$5015,"Pindah",Transaksi!$I$16:$I$5015,"Kelebihan ganti dikembalikan",Transaksi!$B$16:$B$5015,"&gt;="&amp;DATE(2000,1,1),Transaksi!$B$16:$B$5015,"&lt;="&amp;MIN(EOMONTH(DATE(Dashboard!$C$4,11,1),0),TODAY()))+SUMIFS(Transaksi!$F$16:$F$5015,Transaksi!$C$16:$C$5015,"Kantong Uang Riba",Transaksi!$D$16:$D$5015,"Keluar",Transaksi!$G$16:$G$5015,"Pengeluaran",Transaksi!$I$16:$I$5015,"&lt;&gt;Pinjam dari uang riba",Transaksi!$B$16:$B$5015,"&gt;="&amp;DATE(2000,1,1),Transaksi!$B$16:$B$5015,"&lt;="&amp;MIN(EOMONTH(DATE(Dashboard!$C$4,11,1),0),TODAY()))+SUMIFS(Transaksi!$F$16:$F$5015,Transaksi!$C$16:$C$5015,"Kantong Uang Riba",Transaksi!$D$16:$D$5015,"Pindah",Transaksi!$I$16:$I$5015,"Pinjam dari uang riba",Transaksi!$B$16:$B$5015,"&gt;="&amp;DATE(2000,1,1),Transaksi!$B$16:$B$5015,"&lt;="&amp;MIN(EOMONTH(DATE(Dashboard!$C$4,11,1),0),TODAY()))-(SUMIFS(Transaksi!$F$16:$F$5015,Transaksi!$C$16:$C$5015,"Kantong Uang Riba",Transaksi!$D$16:$D$5015,"Masuk",Transaksi!$I$16:$I$5015,"Ganti uang riba",Transaksi!$B$16:$B$5015,"&gt;="&amp;DATE(2000,1,1),Transaksi!$B$16:$B$5015,"&lt;="&amp;MIN(EOMONTH(DATE(Dashboard!$C$4,11,1),0),TODAY()))+SUMIFS(Transaksi!$F$16:$F$5015,Transaksi!$E$16:$E$5015,"Kantong Uang Riba",Transaksi!$D$16:$D$5015,"Pindah",Transaksi!$I$16:$I$5015,"Ganti uang riba",Transaksi!$B$16:$B$5015,"&gt;="&amp;DATE(2000,1,1),Transaksi!$B$16:$B$5015,"&lt;="&amp;MIN(EOMONTH(DATE(Dashboard!$C$4,11,1),0),TODAY()))))</f>
        <v/>
      </c>
      <c r="J23" s="106">
        <f>IF(DATE(Dashboard!$C$4,11,1)&gt;TODAY(),"",SUMIFS(Akun!$C$5:$C$104,Akun!$A$5:$A$104,"Kantong Uang Riba",Akun!$D$5:$D$104,"&lt;="&amp;MIN(EOMONTH(DATE(Dashboard!$C$4,11,1),0),TODAY()))+SUMIFS(Transaksi!$F$16:$F$5015,Transaksi!$C$16:$C$5015,"Kantong Uang Riba",Transaksi!$D$16:$D$5015,"Masuk",Transaksi!$B$16:$B$5015,"&lt;="&amp;MIN(EOMONTH(DATE(Dashboard!$C$4,11,1),0),TODAY()))-SUMIFS(Transaksi!$F$16:$F$5015,Transaksi!$C$16:$C$5015,"Kantong Uang Riba",Transaksi!$D$16:$D$5015,"Keluar",Transaksi!$B$16:$B$5015,"&lt;="&amp;MIN(EOMONTH(DATE(Dashboard!$C$4,11,1),0),TODAY()))-SUMIFS(Transaksi!$F$16:$F$5015,Transaksi!$C$16:$C$5015,"Kantong Uang Riba",Transaksi!$D$16:$D$5015,"Pindah",Transaksi!$B$16:$B$5015,"&lt;="&amp;MIN(EOMONTH(DATE(Dashboard!$C$4,11,1),0),TODAY()))+SUMIFS(Transaksi!$F$16:$F$5015,Transaksi!$E$16:$E$5015,"Kantong Uang Riba",Transaksi!$D$16:$D$5015,"Pindah",Transaksi!$B$16:$B$5015,"&lt;="&amp;MIN(EOMONTH(DATE(Dashboard!$C$4,11,1),0),TODAY())))</f>
        <v/>
      </c>
    </row>
    <row r="24" ht="15" customHeight="1" s="94">
      <c r="B24" s="127" t="inlineStr">
        <is>
          <t>Desember</t>
        </is>
      </c>
      <c r="C24" s="106">
        <f>IF(DATE(Dashboard!$C$4,12,1)&gt;TODAY(),"",SUMIFS(Transaksi!$F$16:$F$5015,Transaksi!$H$16:$H$5015,"Dana riba",Transaksi!$D$16:$D$5015,"Masuk",Transaksi!$I$16:$I$5015,"&lt;&gt;Selisih bunga",Transaksi!$B$16:$B$5015,"&gt;="&amp;DATE(Dashboard!$C$4,12,1),Transaksi!$B$16:$B$5015,"&lt;="&amp;EOMONTH(DATE(Dashboard!$C$4,12,1),0)))</f>
        <v/>
      </c>
      <c r="D24" s="106">
        <f>IF(DATE(Dashboard!$C$4,12,1)&gt;TODAY(),"",SUMIFS(Transaksi!$F$16:$F$5015,Transaksi!$H$16:$H$5015,"Dana riba",Transaksi!$I$16:$I$5015,"Pajak*",Transaksi!$B$16:$B$5015,"&gt;="&amp;DATE(Dashboard!$C$4,12,1),Transaksi!$B$16:$B$5015,"&lt;="&amp;EOMONTH(DATE(Dashboard!$C$4,12,1),0)))</f>
        <v/>
      </c>
      <c r="E24" s="106">
        <f>IF(DATE(Dashboard!$C$4,12,1)&gt;TODAY(),"",SUMIFS(Transaksi!$F$16:$F$5015,Transaksi!$I$16:$I$5015,"Selisih bunga",Transaksi!$D$16:$D$5015,"Masuk",Transaksi!$B$16:$B$5015,"&gt;="&amp;DATE(Dashboard!$C$4,12,1),Transaksi!$B$16:$B$5015,"&lt;="&amp;EOMONTH(DATE(Dashboard!$C$4,12,1),0))-SUMIFS(Transaksi!$F$16:$F$5015,Transaksi!$I$16:$I$5015,"Selisih bunga",Transaksi!$D$16:$D$5015,"Keluar",Transaksi!$B$16:$B$5015,"&gt;="&amp;DATE(Dashboard!$C$4,12,1),Transaksi!$B$16:$B$5015,"&lt;="&amp;EOMONTH(DATE(Dashboard!$C$4,12,1),0)))</f>
        <v/>
      </c>
      <c r="F24" s="113">
        <f>IF(DATE(Dashboard!$C$4,12,1)&gt;TODAY(),"",C24-D24+E24)</f>
        <v/>
      </c>
      <c r="G24" s="106">
        <f>IF(DATE(Dashboard!$C$4,12,1)&gt;TODAY(),"",SUMIFS(Transaksi!$F$16:$F$5015,Transaksi!$C$16:$C$5015,"Kantong Uang Riba",Transaksi!$D$16:$D$5015,"Keluar",Transaksi!$I$16:$I$5015,"Pinjam dari uang riba",Transaksi!$B$16:$B$5015,"&gt;="&amp;DATE(Dashboard!$C$4,12,1),Transaksi!$B$16:$B$5015,"&lt;="&amp;EOMONTH(DATE(Dashboard!$C$4,12,1),0))+SUMIFS(Transaksi!$F$16:$F$5015,Transaksi!$C$16:$C$5015,"Kantong Uang Riba",Transaksi!$D$16:$D$5015,"Keluar",Transaksi!$I$16:$I$5015,"Kelebihan ganti dikembalikan",Transaksi!$B$16:$B$5015,"&gt;="&amp;DATE(Dashboard!$C$4,12,1),Transaksi!$B$16:$B$5015,"&lt;="&amp;EOMONTH(DATE(Dashboard!$C$4,12,1),0))+SUMIFS(Transaksi!$F$16:$F$5015,Transaksi!$C$16:$C$5015,"Kantong Uang Riba",Transaksi!$D$16:$D$5015,"Pindah",Transaksi!$I$16:$I$5015,"Kelebihan ganti dikembalikan",Transaksi!$B$16:$B$5015,"&gt;="&amp;DATE(Dashboard!$C$4,12,1),Transaksi!$B$16:$B$5015,"&lt;="&amp;EOMONTH(DATE(Dashboard!$C$4,12,1),0))+SUMIFS(Transaksi!$F$16:$F$5015,Transaksi!$C$16:$C$5015,"Kantong Uang Riba",Transaksi!$D$16:$D$5015,"Keluar",Transaksi!$G$16:$G$5015,"Pengeluaran",Transaksi!$I$16:$I$5015,"&lt;&gt;Pinjam dari uang riba",Transaksi!$B$16:$B$5015,"&gt;="&amp;DATE(Dashboard!$C$4,12,1),Transaksi!$B$16:$B$5015,"&lt;="&amp;EOMONTH(DATE(Dashboard!$C$4,12,1),0))+SUMIFS(Transaksi!$F$16:$F$5015,Transaksi!$C$16:$C$5015,"Kantong Uang Riba",Transaksi!$D$16:$D$5015,"Pindah",Transaksi!$I$16:$I$5015,"Pinjam dari uang riba",Transaksi!$B$16:$B$5015,"&gt;="&amp;DATE(Dashboard!$C$4,12,1),Transaksi!$B$16:$B$5015,"&lt;="&amp;EOMONTH(DATE(Dashboard!$C$4,12,1),0)))</f>
        <v/>
      </c>
      <c r="H24" s="106">
        <f>IF(DATE(Dashboard!$C$4,12,1)&gt;TODAY(),"",SUMIFS(Transaksi!$F$16:$F$5015,Transaksi!$C$16:$C$5015,"Kantong Uang Riba",Transaksi!$D$16:$D$5015,"Masuk",Transaksi!$I$16:$I$5015,"Ganti uang riba",Transaksi!$B$16:$B$5015,"&gt;="&amp;DATE(Dashboard!$C$4,12,1),Transaksi!$B$16:$B$5015,"&lt;="&amp;EOMONTH(DATE(Dashboard!$C$4,12,1),0))+SUMIFS(Transaksi!$F$16:$F$5015,Transaksi!$E$16:$E$5015,"Kantong Uang Riba",Transaksi!$D$16:$D$5015,"Pindah",Transaksi!$I$16:$I$5015,"Ganti uang riba",Transaksi!$B$16:$B$5015,"&gt;="&amp;DATE(Dashboard!$C$4,12,1),Transaksi!$B$16:$B$5015,"&lt;="&amp;EOMONTH(DATE(Dashboard!$C$4,12,1),0)))</f>
        <v/>
      </c>
      <c r="I24" s="113">
        <f>IF(DATE(Dashboard!$C$4,12,1)&gt;TODAY(),"",SUMIFS(Transaksi!$F$16:$F$5015,Transaksi!$C$16:$C$5015,"Kantong Uang Riba",Transaksi!$D$16:$D$5015,"Keluar",Transaksi!$I$16:$I$5015,"Pinjam dari uang riba",Transaksi!$B$16:$B$5015,"&gt;="&amp;DATE(2000,1,1),Transaksi!$B$16:$B$5015,"&lt;="&amp;MIN(EOMONTH(DATE(Dashboard!$C$4,12,1),0),TODAY()))+SUMIFS(Transaksi!$F$16:$F$5015,Transaksi!$C$16:$C$5015,"Kantong Uang Riba",Transaksi!$D$16:$D$5015,"Keluar",Transaksi!$I$16:$I$5015,"Kelebihan ganti dikembalikan",Transaksi!$B$16:$B$5015,"&gt;="&amp;DATE(2000,1,1),Transaksi!$B$16:$B$5015,"&lt;="&amp;MIN(EOMONTH(DATE(Dashboard!$C$4,12,1),0),TODAY()))+SUMIFS(Transaksi!$F$16:$F$5015,Transaksi!$C$16:$C$5015,"Kantong Uang Riba",Transaksi!$D$16:$D$5015,"Pindah",Transaksi!$I$16:$I$5015,"Kelebihan ganti dikembalikan",Transaksi!$B$16:$B$5015,"&gt;="&amp;DATE(2000,1,1),Transaksi!$B$16:$B$5015,"&lt;="&amp;MIN(EOMONTH(DATE(Dashboard!$C$4,12,1),0),TODAY()))+SUMIFS(Transaksi!$F$16:$F$5015,Transaksi!$C$16:$C$5015,"Kantong Uang Riba",Transaksi!$D$16:$D$5015,"Keluar",Transaksi!$G$16:$G$5015,"Pengeluaran",Transaksi!$I$16:$I$5015,"&lt;&gt;Pinjam dari uang riba",Transaksi!$B$16:$B$5015,"&gt;="&amp;DATE(2000,1,1),Transaksi!$B$16:$B$5015,"&lt;="&amp;MIN(EOMONTH(DATE(Dashboard!$C$4,12,1),0),TODAY()))+SUMIFS(Transaksi!$F$16:$F$5015,Transaksi!$C$16:$C$5015,"Kantong Uang Riba",Transaksi!$D$16:$D$5015,"Pindah",Transaksi!$I$16:$I$5015,"Pinjam dari uang riba",Transaksi!$B$16:$B$5015,"&gt;="&amp;DATE(2000,1,1),Transaksi!$B$16:$B$5015,"&lt;="&amp;MIN(EOMONTH(DATE(Dashboard!$C$4,12,1),0),TODAY()))-(SUMIFS(Transaksi!$F$16:$F$5015,Transaksi!$C$16:$C$5015,"Kantong Uang Riba",Transaksi!$D$16:$D$5015,"Masuk",Transaksi!$I$16:$I$5015,"Ganti uang riba",Transaksi!$B$16:$B$5015,"&gt;="&amp;DATE(2000,1,1),Transaksi!$B$16:$B$5015,"&lt;="&amp;MIN(EOMONTH(DATE(Dashboard!$C$4,12,1),0),TODAY()))+SUMIFS(Transaksi!$F$16:$F$5015,Transaksi!$E$16:$E$5015,"Kantong Uang Riba",Transaksi!$D$16:$D$5015,"Pindah",Transaksi!$I$16:$I$5015,"Ganti uang riba",Transaksi!$B$16:$B$5015,"&gt;="&amp;DATE(2000,1,1),Transaksi!$B$16:$B$5015,"&lt;="&amp;MIN(EOMONTH(DATE(Dashboard!$C$4,12,1),0),TODAY()))))</f>
        <v/>
      </c>
      <c r="J24" s="106">
        <f>IF(DATE(Dashboard!$C$4,12,1)&gt;TODAY(),"",SUMIFS(Akun!$C$5:$C$104,Akun!$A$5:$A$104,"Kantong Uang Riba",Akun!$D$5:$D$104,"&lt;="&amp;MIN(EOMONTH(DATE(Dashboard!$C$4,12,1),0),TODAY()))+SUMIFS(Transaksi!$F$16:$F$5015,Transaksi!$C$16:$C$5015,"Kantong Uang Riba",Transaksi!$D$16:$D$5015,"Masuk",Transaksi!$B$16:$B$5015,"&lt;="&amp;MIN(EOMONTH(DATE(Dashboard!$C$4,12,1),0),TODAY()))-SUMIFS(Transaksi!$F$16:$F$5015,Transaksi!$C$16:$C$5015,"Kantong Uang Riba",Transaksi!$D$16:$D$5015,"Keluar",Transaksi!$B$16:$B$5015,"&lt;="&amp;MIN(EOMONTH(DATE(Dashboard!$C$4,12,1),0),TODAY()))-SUMIFS(Transaksi!$F$16:$F$5015,Transaksi!$C$16:$C$5015,"Kantong Uang Riba",Transaksi!$D$16:$D$5015,"Pindah",Transaksi!$B$16:$B$5015,"&lt;="&amp;MIN(EOMONTH(DATE(Dashboard!$C$4,12,1),0),TODAY()))+SUMIFS(Transaksi!$F$16:$F$5015,Transaksi!$E$16:$E$5015,"Kantong Uang Riba",Transaksi!$D$16:$D$5015,"Pindah",Transaksi!$B$16:$B$5015,"&lt;="&amp;MIN(EOMONTH(DATE(Dashboard!$C$4,12,1),0),TODAY())))</f>
        <v/>
      </c>
    </row>
    <row r="25" ht="15" customHeight="1" s="94">
      <c r="B25" s="127" t="inlineStr">
        <is>
          <t>Total tahun</t>
        </is>
      </c>
      <c r="C25" s="113">
        <f>SUM(C13:C24)</f>
        <v/>
      </c>
      <c r="D25" s="113">
        <f>SUM(D13:D24)</f>
        <v/>
      </c>
      <c r="E25" s="113">
        <f>SUM(E13:E24)</f>
        <v/>
      </c>
      <c r="F25" s="113">
        <f>SUM(F13:F24)</f>
        <v/>
      </c>
      <c r="G25" s="113">
        <f>SUM(G13:G24)</f>
        <v/>
      </c>
      <c r="H25" s="113">
        <f>SUM(H13:H24)</f>
        <v/>
      </c>
    </row>
    <row r="26"/>
    <row r="27" ht="39.75" customHeight="1" s="94">
      <c r="B27" s="98" t="inlineStr">
        <is>
          <t>Cara melihat daftarnya: tab Transaksi › panel pencarian › Kategori = "Pinjam dari uang riba" atau "Ganti uang riba" (Akun = Kantong Uang Riba). Pengeluaran yang dibayar langsung dari Kantong Uang Riba (mis. langganan Claude 23 Sep 2026) otomatis dihitung sebagai pinjaman.</t>
        </is>
      </c>
    </row>
    <row r="28"/>
    <row r="29" ht="15" customHeight="1" s="94">
      <c r="B29" s="101" t="inlineStr">
        <is>
          <t>C. RINCIAN SATU BULAN — PILIH BULAN DI SEL KUNING</t>
        </is>
      </c>
    </row>
    <row r="30" ht="15" customHeight="1" s="94">
      <c r="B30" s="127" t="inlineStr">
        <is>
          <t>Bulan</t>
        </is>
      </c>
      <c r="C30" s="128" t="inlineStr">
        <is>
          <t>September</t>
        </is>
      </c>
      <c r="D30" s="127">
        <f>"Tahun "&amp;Dashboard!$C$4</f>
        <v/>
      </c>
      <c r="G30" s="93" t="inlineStr">
        <is>
          <t>Tanggal awal/akhir:</t>
        </is>
      </c>
      <c r="H30" s="129">
        <f>DATE(Dashboard!$C$4,MATCH($C$30,Ref!$A$1:$A$12,0),1)</f>
        <v/>
      </c>
      <c r="I30" s="129">
        <f>EOMONTH(H30,0)</f>
        <v/>
      </c>
    </row>
    <row r="31" ht="34.5" customHeight="1" s="94">
      <c r="B31" s="98">
        <f>"Jumlah transaksi riba bulan ini: "&amp;MAX(Transaksi!$O$16:$O$5015)&amp;IF(MAX(Transaksi!$O$16:$O$5015)&gt;80," (ditampilkan 80 pertama)","")</f>
        <v/>
      </c>
    </row>
    <row r="32" ht="15" customHeight="1" s="94">
      <c r="B32" s="155" t="inlineStr">
        <is>
          <t>No</t>
        </is>
      </c>
      <c r="C32" s="155" t="inlineStr">
        <is>
          <t>Tanggal</t>
        </is>
      </c>
      <c r="D32" s="155" t="inlineStr">
        <is>
          <t>Akun</t>
        </is>
      </c>
      <c r="E32" s="155" t="inlineStr">
        <is>
          <t>Masuk/Keluar</t>
        </is>
      </c>
      <c r="F32" s="155" t="inlineStr">
        <is>
          <t>Jenis (kategori)</t>
        </is>
      </c>
      <c r="G32" s="155" t="inlineStr">
        <is>
          <t>Jumlah</t>
        </is>
      </c>
      <c r="H32" s="155" t="inlineStr">
        <is>
          <t>Keterangan</t>
        </is>
      </c>
    </row>
    <row r="33" ht="57" customHeight="1" s="94">
      <c r="B33" s="105">
        <f>IF(1&gt;MAX(Transaksi!$O$16:$O$5015),"",1)</f>
        <v/>
      </c>
      <c r="C33" s="119">
        <f>IF(1&gt;MAX(Transaksi!$O$16:$O$5015),"",INDEX(Transaksi!$B$16:$B$5015,MATCH(ROW()-32,Transaksi!$O$16:$O$5015,0)))</f>
        <v/>
      </c>
      <c r="D33" s="105">
        <f>IF(1&gt;MAX(Transaksi!$O$16:$O$5015),"",INDEX(Transaksi!$C$16:$C$5015,MATCH(ROW()-32,Transaksi!$O$16:$O$5015,0))&amp;IF(INDEX(Transaksi!$E$16:$E$5015,MATCH(ROW()-32,Transaksi!$O$16:$O$5015,0))="",""," → "&amp;INDEX(Transaksi!$E$16:$E$5015,MATCH(ROW()-32,Transaksi!$O$16:$O$5015,0))))</f>
        <v/>
      </c>
      <c r="E33" s="105">
        <f>IF(1&gt;MAX(Transaksi!$O$16:$O$5015),"",INDEX(Transaksi!$D$16:$D$5015,MATCH(ROW()-32,Transaksi!$O$16:$O$5015,0)))</f>
        <v/>
      </c>
      <c r="F33" s="105">
        <f>IF(1&gt;MAX(Transaksi!$O$16:$O$5015),"",INDEX(Transaksi!$I$16:$I$5015,MATCH(ROW()-32,Transaksi!$O$16:$O$5015,0)))</f>
        <v/>
      </c>
      <c r="G33" s="106">
        <f>IF(1&gt;MAX(Transaksi!$O$16:$O$5015),"",INDEX(Transaksi!$F$16:$F$5015,MATCH(ROW()-32,Transaksi!$O$16:$O$5015,0)))</f>
        <v/>
      </c>
      <c r="H33" s="156">
        <f>IF(1&gt;MAX(Transaksi!$O$16:$O$5015),"",INDEX(Transaksi!$J$16:$J$5015,MATCH(ROW()-32,Transaksi!$O$16:$O$5015,0)))</f>
        <v/>
      </c>
    </row>
    <row r="34" ht="102" customHeight="1" s="94">
      <c r="B34" s="105">
        <f>IF(2&gt;MAX(Transaksi!$O$16:$O$5015),"",2)</f>
        <v/>
      </c>
      <c r="C34" s="119">
        <f>IF(2&gt;MAX(Transaksi!$O$16:$O$5015),"",INDEX(Transaksi!$B$16:$B$5015,MATCH(ROW()-32,Transaksi!$O$16:$O$5015,0)))</f>
        <v/>
      </c>
      <c r="D34" s="105">
        <f>IF(2&gt;MAX(Transaksi!$O$16:$O$5015),"",INDEX(Transaksi!$C$16:$C$5015,MATCH(ROW()-32,Transaksi!$O$16:$O$5015,0))&amp;IF(INDEX(Transaksi!$E$16:$E$5015,MATCH(ROW()-32,Transaksi!$O$16:$O$5015,0))="",""," → "&amp;INDEX(Transaksi!$E$16:$E$5015,MATCH(ROW()-32,Transaksi!$O$16:$O$5015,0))))</f>
        <v/>
      </c>
      <c r="E34" s="105">
        <f>IF(2&gt;MAX(Transaksi!$O$16:$O$5015),"",INDEX(Transaksi!$D$16:$D$5015,MATCH(ROW()-32,Transaksi!$O$16:$O$5015,0)))</f>
        <v/>
      </c>
      <c r="F34" s="105">
        <f>IF(2&gt;MAX(Transaksi!$O$16:$O$5015),"",INDEX(Transaksi!$I$16:$I$5015,MATCH(ROW()-32,Transaksi!$O$16:$O$5015,0)))</f>
        <v/>
      </c>
      <c r="G34" s="106">
        <f>IF(2&gt;MAX(Transaksi!$O$16:$O$5015),"",INDEX(Transaksi!$F$16:$F$5015,MATCH(ROW()-32,Transaksi!$O$16:$O$5015,0)))</f>
        <v/>
      </c>
      <c r="H34" s="156">
        <f>IF(2&gt;MAX(Transaksi!$O$16:$O$5015),"",INDEX(Transaksi!$J$16:$J$5015,MATCH(ROW()-32,Transaksi!$O$16:$O$5015,0)))</f>
        <v/>
      </c>
    </row>
    <row r="35" ht="113.25" customHeight="1" s="94">
      <c r="B35" s="105">
        <f>IF(3&gt;MAX(Transaksi!$O$16:$O$5015),"",3)</f>
        <v/>
      </c>
      <c r="C35" s="119">
        <f>IF(3&gt;MAX(Transaksi!$O$16:$O$5015),"",INDEX(Transaksi!$B$16:$B$5015,MATCH(ROW()-32,Transaksi!$O$16:$O$5015,0)))</f>
        <v/>
      </c>
      <c r="D35" s="105">
        <f>IF(3&gt;MAX(Transaksi!$O$16:$O$5015),"",INDEX(Transaksi!$C$16:$C$5015,MATCH(ROW()-32,Transaksi!$O$16:$O$5015,0))&amp;IF(INDEX(Transaksi!$E$16:$E$5015,MATCH(ROW()-32,Transaksi!$O$16:$O$5015,0))="",""," → "&amp;INDEX(Transaksi!$E$16:$E$5015,MATCH(ROW()-32,Transaksi!$O$16:$O$5015,0))))</f>
        <v/>
      </c>
      <c r="E35" s="105">
        <f>IF(3&gt;MAX(Transaksi!$O$16:$O$5015),"",INDEX(Transaksi!$D$16:$D$5015,MATCH(ROW()-32,Transaksi!$O$16:$O$5015,0)))</f>
        <v/>
      </c>
      <c r="F35" s="105">
        <f>IF(3&gt;MAX(Transaksi!$O$16:$O$5015),"",INDEX(Transaksi!$I$16:$I$5015,MATCH(ROW()-32,Transaksi!$O$16:$O$5015,0)))</f>
        <v/>
      </c>
      <c r="G35" s="106">
        <f>IF(3&gt;MAX(Transaksi!$O$16:$O$5015),"",INDEX(Transaksi!$F$16:$F$5015,MATCH(ROW()-32,Transaksi!$O$16:$O$5015,0)))</f>
        <v/>
      </c>
      <c r="H35" s="156">
        <f>IF(3&gt;MAX(Transaksi!$O$16:$O$5015),"",INDEX(Transaksi!$J$16:$J$5015,MATCH(ROW()-32,Transaksi!$O$16:$O$5015,0)))</f>
        <v/>
      </c>
    </row>
    <row r="36" ht="90.75" customHeight="1" s="94">
      <c r="B36" s="105">
        <f>IF(4&gt;MAX(Transaksi!$O$16:$O$5015),"",4)</f>
        <v/>
      </c>
      <c r="C36" s="119">
        <f>IF(4&gt;MAX(Transaksi!$O$16:$O$5015),"",INDEX(Transaksi!$B$16:$B$5015,MATCH(ROW()-32,Transaksi!$O$16:$O$5015,0)))</f>
        <v/>
      </c>
      <c r="D36" s="105">
        <f>IF(4&gt;MAX(Transaksi!$O$16:$O$5015),"",INDEX(Transaksi!$C$16:$C$5015,MATCH(ROW()-32,Transaksi!$O$16:$O$5015,0))&amp;IF(INDEX(Transaksi!$E$16:$E$5015,MATCH(ROW()-32,Transaksi!$O$16:$O$5015,0))="",""," → "&amp;INDEX(Transaksi!$E$16:$E$5015,MATCH(ROW()-32,Transaksi!$O$16:$O$5015,0))))</f>
        <v/>
      </c>
      <c r="E36" s="105">
        <f>IF(4&gt;MAX(Transaksi!$O$16:$O$5015),"",INDEX(Transaksi!$D$16:$D$5015,MATCH(ROW()-32,Transaksi!$O$16:$O$5015,0)))</f>
        <v/>
      </c>
      <c r="F36" s="105">
        <f>IF(4&gt;MAX(Transaksi!$O$16:$O$5015),"",INDEX(Transaksi!$I$16:$I$5015,MATCH(ROW()-32,Transaksi!$O$16:$O$5015,0)))</f>
        <v/>
      </c>
      <c r="G36" s="106">
        <f>IF(4&gt;MAX(Transaksi!$O$16:$O$5015),"",INDEX(Transaksi!$F$16:$F$5015,MATCH(ROW()-32,Transaksi!$O$16:$O$5015,0)))</f>
        <v/>
      </c>
      <c r="H36" s="156">
        <f>IF(4&gt;MAX(Transaksi!$O$16:$O$5015),"",INDEX(Transaksi!$J$16:$J$5015,MATCH(ROW()-32,Transaksi!$O$16:$O$5015,0)))</f>
        <v/>
      </c>
    </row>
    <row r="37" ht="113.25" customHeight="1" s="94">
      <c r="B37" s="105">
        <f>IF(5&gt;MAX(Transaksi!$O$16:$O$5015),"",5)</f>
        <v/>
      </c>
      <c r="C37" s="119">
        <f>IF(5&gt;MAX(Transaksi!$O$16:$O$5015),"",INDEX(Transaksi!$B$16:$B$5015,MATCH(ROW()-32,Transaksi!$O$16:$O$5015,0)))</f>
        <v/>
      </c>
      <c r="D37" s="105">
        <f>IF(5&gt;MAX(Transaksi!$O$16:$O$5015),"",INDEX(Transaksi!$C$16:$C$5015,MATCH(ROW()-32,Transaksi!$O$16:$O$5015,0))&amp;IF(INDEX(Transaksi!$E$16:$E$5015,MATCH(ROW()-32,Transaksi!$O$16:$O$5015,0))="",""," → "&amp;INDEX(Transaksi!$E$16:$E$5015,MATCH(ROW()-32,Transaksi!$O$16:$O$5015,0))))</f>
        <v/>
      </c>
      <c r="E37" s="105">
        <f>IF(5&gt;MAX(Transaksi!$O$16:$O$5015),"",INDEX(Transaksi!$D$16:$D$5015,MATCH(ROW()-32,Transaksi!$O$16:$O$5015,0)))</f>
        <v/>
      </c>
      <c r="F37" s="105">
        <f>IF(5&gt;MAX(Transaksi!$O$16:$O$5015),"",INDEX(Transaksi!$I$16:$I$5015,MATCH(ROW()-32,Transaksi!$O$16:$O$5015,0)))</f>
        <v/>
      </c>
      <c r="G37" s="106">
        <f>IF(5&gt;MAX(Transaksi!$O$16:$O$5015),"",INDEX(Transaksi!$F$16:$F$5015,MATCH(ROW()-32,Transaksi!$O$16:$O$5015,0)))</f>
        <v/>
      </c>
      <c r="H37" s="156">
        <f>IF(5&gt;MAX(Transaksi!$O$16:$O$5015),"",INDEX(Transaksi!$J$16:$J$5015,MATCH(ROW()-32,Transaksi!$O$16:$O$5015,0)))</f>
        <v/>
      </c>
    </row>
    <row r="38" ht="147" customHeight="1" s="94">
      <c r="B38" s="105">
        <f>IF(6&gt;MAX(Transaksi!$O$16:$O$5015),"",6)</f>
        <v/>
      </c>
      <c r="C38" s="119">
        <f>IF(6&gt;MAX(Transaksi!$O$16:$O$5015),"",INDEX(Transaksi!$B$16:$B$5015,MATCH(ROW()-32,Transaksi!$O$16:$O$5015,0)))</f>
        <v/>
      </c>
      <c r="D38" s="105">
        <f>IF(6&gt;MAX(Transaksi!$O$16:$O$5015),"",INDEX(Transaksi!$C$16:$C$5015,MATCH(ROW()-32,Transaksi!$O$16:$O$5015,0))&amp;IF(INDEX(Transaksi!$E$16:$E$5015,MATCH(ROW()-32,Transaksi!$O$16:$O$5015,0))="",""," → "&amp;INDEX(Transaksi!$E$16:$E$5015,MATCH(ROW()-32,Transaksi!$O$16:$O$5015,0))))</f>
        <v/>
      </c>
      <c r="E38" s="105">
        <f>IF(6&gt;MAX(Transaksi!$O$16:$O$5015),"",INDEX(Transaksi!$D$16:$D$5015,MATCH(ROW()-32,Transaksi!$O$16:$O$5015,0)))</f>
        <v/>
      </c>
      <c r="F38" s="105">
        <f>IF(6&gt;MAX(Transaksi!$O$16:$O$5015),"",INDEX(Transaksi!$I$16:$I$5015,MATCH(ROW()-32,Transaksi!$O$16:$O$5015,0)))</f>
        <v/>
      </c>
      <c r="G38" s="106">
        <f>IF(6&gt;MAX(Transaksi!$O$16:$O$5015),"",INDEX(Transaksi!$F$16:$F$5015,MATCH(ROW()-32,Transaksi!$O$16:$O$5015,0)))</f>
        <v/>
      </c>
      <c r="H38" s="156">
        <f>IF(6&gt;MAX(Transaksi!$O$16:$O$5015),"",INDEX(Transaksi!$J$16:$J$5015,MATCH(ROW()-32,Transaksi!$O$16:$O$5015,0)))</f>
        <v/>
      </c>
    </row>
    <row r="39" ht="34.5" customHeight="1" s="94">
      <c r="B39" s="105">
        <f>IF(7&gt;MAX(Transaksi!$O$16:$O$5015),"",7)</f>
        <v/>
      </c>
      <c r="C39" s="119">
        <f>IF(7&gt;MAX(Transaksi!$O$16:$O$5015),"",INDEX(Transaksi!$B$16:$B$5015,MATCH(ROW()-32,Transaksi!$O$16:$O$5015,0)))</f>
        <v/>
      </c>
      <c r="D39" s="105">
        <f>IF(7&gt;MAX(Transaksi!$O$16:$O$5015),"",INDEX(Transaksi!$C$16:$C$5015,MATCH(ROW()-32,Transaksi!$O$16:$O$5015,0))&amp;IF(INDEX(Transaksi!$E$16:$E$5015,MATCH(ROW()-32,Transaksi!$O$16:$O$5015,0))="",""," → "&amp;INDEX(Transaksi!$E$16:$E$5015,MATCH(ROW()-32,Transaksi!$O$16:$O$5015,0))))</f>
        <v/>
      </c>
      <c r="E39" s="105">
        <f>IF(7&gt;MAX(Transaksi!$O$16:$O$5015),"",INDEX(Transaksi!$D$16:$D$5015,MATCH(ROW()-32,Transaksi!$O$16:$O$5015,0)))</f>
        <v/>
      </c>
      <c r="F39" s="105">
        <f>IF(7&gt;MAX(Transaksi!$O$16:$O$5015),"",INDEX(Transaksi!$I$16:$I$5015,MATCH(ROW()-32,Transaksi!$O$16:$O$5015,0)))</f>
        <v/>
      </c>
      <c r="G39" s="106">
        <f>IF(7&gt;MAX(Transaksi!$O$16:$O$5015),"",INDEX(Transaksi!$F$16:$F$5015,MATCH(ROW()-32,Transaksi!$O$16:$O$5015,0)))</f>
        <v/>
      </c>
      <c r="H39" s="156">
        <f>IF(7&gt;MAX(Transaksi!$O$16:$O$5015),"",INDEX(Transaksi!$J$16:$J$5015,MATCH(ROW()-32,Transaksi!$O$16:$O$5015,0)))</f>
        <v/>
      </c>
    </row>
    <row r="40" ht="68.25" customHeight="1" s="94">
      <c r="B40" s="105">
        <f>IF(8&gt;MAX(Transaksi!$O$16:$O$5015),"",8)</f>
        <v/>
      </c>
      <c r="C40" s="119">
        <f>IF(8&gt;MAX(Transaksi!$O$16:$O$5015),"",INDEX(Transaksi!$B$16:$B$5015,MATCH(ROW()-32,Transaksi!$O$16:$O$5015,0)))</f>
        <v/>
      </c>
      <c r="D40" s="105">
        <f>IF(8&gt;MAX(Transaksi!$O$16:$O$5015),"",INDEX(Transaksi!$C$16:$C$5015,MATCH(ROW()-32,Transaksi!$O$16:$O$5015,0))&amp;IF(INDEX(Transaksi!$E$16:$E$5015,MATCH(ROW()-32,Transaksi!$O$16:$O$5015,0))="",""," → "&amp;INDEX(Transaksi!$E$16:$E$5015,MATCH(ROW()-32,Transaksi!$O$16:$O$5015,0))))</f>
        <v/>
      </c>
      <c r="E40" s="105">
        <f>IF(8&gt;MAX(Transaksi!$O$16:$O$5015),"",INDEX(Transaksi!$D$16:$D$5015,MATCH(ROW()-32,Transaksi!$O$16:$O$5015,0)))</f>
        <v/>
      </c>
      <c r="F40" s="105">
        <f>IF(8&gt;MAX(Transaksi!$O$16:$O$5015),"",INDEX(Transaksi!$I$16:$I$5015,MATCH(ROW()-32,Transaksi!$O$16:$O$5015,0)))</f>
        <v/>
      </c>
      <c r="G40" s="106">
        <f>IF(8&gt;MAX(Transaksi!$O$16:$O$5015),"",INDEX(Transaksi!$F$16:$F$5015,MATCH(ROW()-32,Transaksi!$O$16:$O$5015,0)))</f>
        <v/>
      </c>
      <c r="H40" s="156">
        <f>IF(8&gt;MAX(Transaksi!$O$16:$O$5015),"",INDEX(Transaksi!$J$16:$J$5015,MATCH(ROW()-32,Transaksi!$O$16:$O$5015,0)))</f>
        <v/>
      </c>
    </row>
    <row r="41" ht="68.25" customHeight="1" s="94">
      <c r="B41" s="105">
        <f>IF(9&gt;MAX(Transaksi!$O$16:$O$5015),"",9)</f>
        <v/>
      </c>
      <c r="C41" s="119">
        <f>IF(9&gt;MAX(Transaksi!$O$16:$O$5015),"",INDEX(Transaksi!$B$16:$B$5015,MATCH(ROW()-32,Transaksi!$O$16:$O$5015,0)))</f>
        <v/>
      </c>
      <c r="D41" s="105">
        <f>IF(9&gt;MAX(Transaksi!$O$16:$O$5015),"",INDEX(Transaksi!$C$16:$C$5015,MATCH(ROW()-32,Transaksi!$O$16:$O$5015,0))&amp;IF(INDEX(Transaksi!$E$16:$E$5015,MATCH(ROW()-32,Transaksi!$O$16:$O$5015,0))="",""," → "&amp;INDEX(Transaksi!$E$16:$E$5015,MATCH(ROW()-32,Transaksi!$O$16:$O$5015,0))))</f>
        <v/>
      </c>
      <c r="E41" s="105">
        <f>IF(9&gt;MAX(Transaksi!$O$16:$O$5015),"",INDEX(Transaksi!$D$16:$D$5015,MATCH(ROW()-32,Transaksi!$O$16:$O$5015,0)))</f>
        <v/>
      </c>
      <c r="F41" s="105">
        <f>IF(9&gt;MAX(Transaksi!$O$16:$O$5015),"",INDEX(Transaksi!$I$16:$I$5015,MATCH(ROW()-32,Transaksi!$O$16:$O$5015,0)))</f>
        <v/>
      </c>
      <c r="G41" s="106">
        <f>IF(9&gt;MAX(Transaksi!$O$16:$O$5015),"",INDEX(Transaksi!$F$16:$F$5015,MATCH(ROW()-32,Transaksi!$O$16:$O$5015,0)))</f>
        <v/>
      </c>
      <c r="H41" s="156">
        <f>IF(9&gt;MAX(Transaksi!$O$16:$O$5015),"",INDEX(Transaksi!$J$16:$J$5015,MATCH(ROW()-32,Transaksi!$O$16:$O$5015,0)))</f>
        <v/>
      </c>
    </row>
    <row r="42" ht="34.5" customHeight="1" s="94">
      <c r="B42" s="105">
        <f>IF(10&gt;MAX(Transaksi!$O$16:$O$5015),"",10)</f>
        <v/>
      </c>
      <c r="C42" s="119">
        <f>IF(10&gt;MAX(Transaksi!$O$16:$O$5015),"",INDEX(Transaksi!$B$16:$B$5015,MATCH(ROW()-32,Transaksi!$O$16:$O$5015,0)))</f>
        <v/>
      </c>
      <c r="D42" s="105">
        <f>IF(10&gt;MAX(Transaksi!$O$16:$O$5015),"",INDEX(Transaksi!$C$16:$C$5015,MATCH(ROW()-32,Transaksi!$O$16:$O$5015,0))&amp;IF(INDEX(Transaksi!$E$16:$E$5015,MATCH(ROW()-32,Transaksi!$O$16:$O$5015,0))="",""," → "&amp;INDEX(Transaksi!$E$16:$E$5015,MATCH(ROW()-32,Transaksi!$O$16:$O$5015,0))))</f>
        <v/>
      </c>
      <c r="E42" s="105">
        <f>IF(10&gt;MAX(Transaksi!$O$16:$O$5015),"",INDEX(Transaksi!$D$16:$D$5015,MATCH(ROW()-32,Transaksi!$O$16:$O$5015,0)))</f>
        <v/>
      </c>
      <c r="F42" s="105">
        <f>IF(10&gt;MAX(Transaksi!$O$16:$O$5015),"",INDEX(Transaksi!$I$16:$I$5015,MATCH(ROW()-32,Transaksi!$O$16:$O$5015,0)))</f>
        <v/>
      </c>
      <c r="G42" s="106">
        <f>IF(10&gt;MAX(Transaksi!$O$16:$O$5015),"",INDEX(Transaksi!$F$16:$F$5015,MATCH(ROW()-32,Transaksi!$O$16:$O$5015,0)))</f>
        <v/>
      </c>
      <c r="H42" s="156">
        <f>IF(10&gt;MAX(Transaksi!$O$16:$O$5015),"",INDEX(Transaksi!$J$16:$J$5015,MATCH(ROW()-32,Transaksi!$O$16:$O$5015,0)))</f>
        <v/>
      </c>
    </row>
    <row r="43" ht="15" customHeight="1" s="94">
      <c r="B43" s="105">
        <f>IF(11&gt;MAX(Transaksi!$O$16:$O$5015),"",11)</f>
        <v/>
      </c>
      <c r="C43" s="119">
        <f>IF(11&gt;MAX(Transaksi!$O$16:$O$5015),"",INDEX(Transaksi!$B$16:$B$5015,MATCH(ROW()-32,Transaksi!$O$16:$O$5015,0)))</f>
        <v/>
      </c>
      <c r="D43" s="105">
        <f>IF(11&gt;MAX(Transaksi!$O$16:$O$5015),"",INDEX(Transaksi!$C$16:$C$5015,MATCH(ROW()-32,Transaksi!$O$16:$O$5015,0))&amp;IF(INDEX(Transaksi!$E$16:$E$5015,MATCH(ROW()-32,Transaksi!$O$16:$O$5015,0))="",""," → "&amp;INDEX(Transaksi!$E$16:$E$5015,MATCH(ROW()-32,Transaksi!$O$16:$O$5015,0))))</f>
        <v/>
      </c>
      <c r="E43" s="105">
        <f>IF(11&gt;MAX(Transaksi!$O$16:$O$5015),"",INDEX(Transaksi!$D$16:$D$5015,MATCH(ROW()-32,Transaksi!$O$16:$O$5015,0)))</f>
        <v/>
      </c>
      <c r="F43" s="105">
        <f>IF(11&gt;MAX(Transaksi!$O$16:$O$5015),"",INDEX(Transaksi!$I$16:$I$5015,MATCH(ROW()-32,Transaksi!$O$16:$O$5015,0)))</f>
        <v/>
      </c>
      <c r="G43" s="106">
        <f>IF(11&gt;MAX(Transaksi!$O$16:$O$5015),"",INDEX(Transaksi!$F$16:$F$5015,MATCH(ROW()-32,Transaksi!$O$16:$O$5015,0)))</f>
        <v/>
      </c>
      <c r="H43" s="156">
        <f>IF(11&gt;MAX(Transaksi!$O$16:$O$5015),"",INDEX(Transaksi!$J$16:$J$5015,MATCH(ROW()-32,Transaksi!$O$16:$O$5015,0)))</f>
        <v/>
      </c>
    </row>
    <row r="44" ht="15" customHeight="1" s="94">
      <c r="B44" s="105">
        <f>IF(12&gt;MAX(Transaksi!$O$16:$O$5015),"",12)</f>
        <v/>
      </c>
      <c r="C44" s="119">
        <f>IF(12&gt;MAX(Transaksi!$O$16:$O$5015),"",INDEX(Transaksi!$B$16:$B$5015,MATCH(ROW()-32,Transaksi!$O$16:$O$5015,0)))</f>
        <v/>
      </c>
      <c r="D44" s="105">
        <f>IF(12&gt;MAX(Transaksi!$O$16:$O$5015),"",INDEX(Transaksi!$C$16:$C$5015,MATCH(ROW()-32,Transaksi!$O$16:$O$5015,0))&amp;IF(INDEX(Transaksi!$E$16:$E$5015,MATCH(ROW()-32,Transaksi!$O$16:$O$5015,0))="",""," → "&amp;INDEX(Transaksi!$E$16:$E$5015,MATCH(ROW()-32,Transaksi!$O$16:$O$5015,0))))</f>
        <v/>
      </c>
      <c r="E44" s="105">
        <f>IF(12&gt;MAX(Transaksi!$O$16:$O$5015),"",INDEX(Transaksi!$D$16:$D$5015,MATCH(ROW()-32,Transaksi!$O$16:$O$5015,0)))</f>
        <v/>
      </c>
      <c r="F44" s="105">
        <f>IF(12&gt;MAX(Transaksi!$O$16:$O$5015),"",INDEX(Transaksi!$I$16:$I$5015,MATCH(ROW()-32,Transaksi!$O$16:$O$5015,0)))</f>
        <v/>
      </c>
      <c r="G44" s="106">
        <f>IF(12&gt;MAX(Transaksi!$O$16:$O$5015),"",INDEX(Transaksi!$F$16:$F$5015,MATCH(ROW()-32,Transaksi!$O$16:$O$5015,0)))</f>
        <v/>
      </c>
      <c r="H44" s="156">
        <f>IF(12&gt;MAX(Transaksi!$O$16:$O$5015),"",INDEX(Transaksi!$J$16:$J$5015,MATCH(ROW()-32,Transaksi!$O$16:$O$5015,0)))</f>
        <v/>
      </c>
    </row>
    <row r="45" ht="15" customHeight="1" s="94">
      <c r="B45" s="105">
        <f>IF(13&gt;MAX(Transaksi!$O$16:$O$5015),"",13)</f>
        <v/>
      </c>
      <c r="C45" s="119">
        <f>IF(13&gt;MAX(Transaksi!$O$16:$O$5015),"",INDEX(Transaksi!$B$16:$B$5015,MATCH(ROW()-32,Transaksi!$O$16:$O$5015,0)))</f>
        <v/>
      </c>
      <c r="D45" s="105">
        <f>IF(13&gt;MAX(Transaksi!$O$16:$O$5015),"",INDEX(Transaksi!$C$16:$C$5015,MATCH(ROW()-32,Transaksi!$O$16:$O$5015,0))&amp;IF(INDEX(Transaksi!$E$16:$E$5015,MATCH(ROW()-32,Transaksi!$O$16:$O$5015,0))="",""," → "&amp;INDEX(Transaksi!$E$16:$E$5015,MATCH(ROW()-32,Transaksi!$O$16:$O$5015,0))))</f>
        <v/>
      </c>
      <c r="E45" s="105">
        <f>IF(13&gt;MAX(Transaksi!$O$16:$O$5015),"",INDEX(Transaksi!$D$16:$D$5015,MATCH(ROW()-32,Transaksi!$O$16:$O$5015,0)))</f>
        <v/>
      </c>
      <c r="F45" s="105">
        <f>IF(13&gt;MAX(Transaksi!$O$16:$O$5015),"",INDEX(Transaksi!$I$16:$I$5015,MATCH(ROW()-32,Transaksi!$O$16:$O$5015,0)))</f>
        <v/>
      </c>
      <c r="G45" s="106">
        <f>IF(13&gt;MAX(Transaksi!$O$16:$O$5015),"",INDEX(Transaksi!$F$16:$F$5015,MATCH(ROW()-32,Transaksi!$O$16:$O$5015,0)))</f>
        <v/>
      </c>
      <c r="H45" s="156">
        <f>IF(13&gt;MAX(Transaksi!$O$16:$O$5015),"",INDEX(Transaksi!$J$16:$J$5015,MATCH(ROW()-32,Transaksi!$O$16:$O$5015,0)))</f>
        <v/>
      </c>
    </row>
    <row r="46" ht="15" customHeight="1" s="94">
      <c r="B46" s="105">
        <f>IF(14&gt;MAX(Transaksi!$O$16:$O$5015),"",14)</f>
        <v/>
      </c>
      <c r="C46" s="119">
        <f>IF(14&gt;MAX(Transaksi!$O$16:$O$5015),"",INDEX(Transaksi!$B$16:$B$5015,MATCH(ROW()-32,Transaksi!$O$16:$O$5015,0)))</f>
        <v/>
      </c>
      <c r="D46" s="105">
        <f>IF(14&gt;MAX(Transaksi!$O$16:$O$5015),"",INDEX(Transaksi!$C$16:$C$5015,MATCH(ROW()-32,Transaksi!$O$16:$O$5015,0))&amp;IF(INDEX(Transaksi!$E$16:$E$5015,MATCH(ROW()-32,Transaksi!$O$16:$O$5015,0))="",""," → "&amp;INDEX(Transaksi!$E$16:$E$5015,MATCH(ROW()-32,Transaksi!$O$16:$O$5015,0))))</f>
        <v/>
      </c>
      <c r="E46" s="105">
        <f>IF(14&gt;MAX(Transaksi!$O$16:$O$5015),"",INDEX(Transaksi!$D$16:$D$5015,MATCH(ROW()-32,Transaksi!$O$16:$O$5015,0)))</f>
        <v/>
      </c>
      <c r="F46" s="105">
        <f>IF(14&gt;MAX(Transaksi!$O$16:$O$5015),"",INDEX(Transaksi!$I$16:$I$5015,MATCH(ROW()-32,Transaksi!$O$16:$O$5015,0)))</f>
        <v/>
      </c>
      <c r="G46" s="106">
        <f>IF(14&gt;MAX(Transaksi!$O$16:$O$5015),"",INDEX(Transaksi!$F$16:$F$5015,MATCH(ROW()-32,Transaksi!$O$16:$O$5015,0)))</f>
        <v/>
      </c>
      <c r="H46" s="156">
        <f>IF(14&gt;MAX(Transaksi!$O$16:$O$5015),"",INDEX(Transaksi!$J$16:$J$5015,MATCH(ROW()-32,Transaksi!$O$16:$O$5015,0)))</f>
        <v/>
      </c>
    </row>
    <row r="47" ht="15" customHeight="1" s="94">
      <c r="B47" s="105">
        <f>IF(15&gt;MAX(Transaksi!$O$16:$O$5015),"",15)</f>
        <v/>
      </c>
      <c r="C47" s="119">
        <f>IF(15&gt;MAX(Transaksi!$O$16:$O$5015),"",INDEX(Transaksi!$B$16:$B$5015,MATCH(ROW()-32,Transaksi!$O$16:$O$5015,0)))</f>
        <v/>
      </c>
      <c r="D47" s="105">
        <f>IF(15&gt;MAX(Transaksi!$O$16:$O$5015),"",INDEX(Transaksi!$C$16:$C$5015,MATCH(ROW()-32,Transaksi!$O$16:$O$5015,0))&amp;IF(INDEX(Transaksi!$E$16:$E$5015,MATCH(ROW()-32,Transaksi!$O$16:$O$5015,0))="",""," → "&amp;INDEX(Transaksi!$E$16:$E$5015,MATCH(ROW()-32,Transaksi!$O$16:$O$5015,0))))</f>
        <v/>
      </c>
      <c r="E47" s="105">
        <f>IF(15&gt;MAX(Transaksi!$O$16:$O$5015),"",INDEX(Transaksi!$D$16:$D$5015,MATCH(ROW()-32,Transaksi!$O$16:$O$5015,0)))</f>
        <v/>
      </c>
      <c r="F47" s="105">
        <f>IF(15&gt;MAX(Transaksi!$O$16:$O$5015),"",INDEX(Transaksi!$I$16:$I$5015,MATCH(ROW()-32,Transaksi!$O$16:$O$5015,0)))</f>
        <v/>
      </c>
      <c r="G47" s="106">
        <f>IF(15&gt;MAX(Transaksi!$O$16:$O$5015),"",INDEX(Transaksi!$F$16:$F$5015,MATCH(ROW()-32,Transaksi!$O$16:$O$5015,0)))</f>
        <v/>
      </c>
      <c r="H47" s="156">
        <f>IF(15&gt;MAX(Transaksi!$O$16:$O$5015),"",INDEX(Transaksi!$J$16:$J$5015,MATCH(ROW()-32,Transaksi!$O$16:$O$5015,0)))</f>
        <v/>
      </c>
    </row>
    <row r="48" ht="15" customHeight="1" s="94">
      <c r="B48" s="105">
        <f>IF(16&gt;MAX(Transaksi!$O$16:$O$5015),"",16)</f>
        <v/>
      </c>
      <c r="C48" s="119">
        <f>IF(16&gt;MAX(Transaksi!$O$16:$O$5015),"",INDEX(Transaksi!$B$16:$B$5015,MATCH(ROW()-32,Transaksi!$O$16:$O$5015,0)))</f>
        <v/>
      </c>
      <c r="D48" s="105">
        <f>IF(16&gt;MAX(Transaksi!$O$16:$O$5015),"",INDEX(Transaksi!$C$16:$C$5015,MATCH(ROW()-32,Transaksi!$O$16:$O$5015,0))&amp;IF(INDEX(Transaksi!$E$16:$E$5015,MATCH(ROW()-32,Transaksi!$O$16:$O$5015,0))="",""," → "&amp;INDEX(Transaksi!$E$16:$E$5015,MATCH(ROW()-32,Transaksi!$O$16:$O$5015,0))))</f>
        <v/>
      </c>
      <c r="E48" s="105">
        <f>IF(16&gt;MAX(Transaksi!$O$16:$O$5015),"",INDEX(Transaksi!$D$16:$D$5015,MATCH(ROW()-32,Transaksi!$O$16:$O$5015,0)))</f>
        <v/>
      </c>
      <c r="F48" s="105">
        <f>IF(16&gt;MAX(Transaksi!$O$16:$O$5015),"",INDEX(Transaksi!$I$16:$I$5015,MATCH(ROW()-32,Transaksi!$O$16:$O$5015,0)))</f>
        <v/>
      </c>
      <c r="G48" s="106">
        <f>IF(16&gt;MAX(Transaksi!$O$16:$O$5015),"",INDEX(Transaksi!$F$16:$F$5015,MATCH(ROW()-32,Transaksi!$O$16:$O$5015,0)))</f>
        <v/>
      </c>
      <c r="H48" s="156">
        <f>IF(16&gt;MAX(Transaksi!$O$16:$O$5015),"",INDEX(Transaksi!$J$16:$J$5015,MATCH(ROW()-32,Transaksi!$O$16:$O$5015,0)))</f>
        <v/>
      </c>
    </row>
    <row r="49" ht="15" customHeight="1" s="94">
      <c r="B49" s="105">
        <f>IF(17&gt;MAX(Transaksi!$O$16:$O$5015),"",17)</f>
        <v/>
      </c>
      <c r="C49" s="119">
        <f>IF(17&gt;MAX(Transaksi!$O$16:$O$5015),"",INDEX(Transaksi!$B$16:$B$5015,MATCH(ROW()-32,Transaksi!$O$16:$O$5015,0)))</f>
        <v/>
      </c>
      <c r="D49" s="105">
        <f>IF(17&gt;MAX(Transaksi!$O$16:$O$5015),"",INDEX(Transaksi!$C$16:$C$5015,MATCH(ROW()-32,Transaksi!$O$16:$O$5015,0))&amp;IF(INDEX(Transaksi!$E$16:$E$5015,MATCH(ROW()-32,Transaksi!$O$16:$O$5015,0))="",""," → "&amp;INDEX(Transaksi!$E$16:$E$5015,MATCH(ROW()-32,Transaksi!$O$16:$O$5015,0))))</f>
        <v/>
      </c>
      <c r="E49" s="105">
        <f>IF(17&gt;MAX(Transaksi!$O$16:$O$5015),"",INDEX(Transaksi!$D$16:$D$5015,MATCH(ROW()-32,Transaksi!$O$16:$O$5015,0)))</f>
        <v/>
      </c>
      <c r="F49" s="105">
        <f>IF(17&gt;MAX(Transaksi!$O$16:$O$5015),"",INDEX(Transaksi!$I$16:$I$5015,MATCH(ROW()-32,Transaksi!$O$16:$O$5015,0)))</f>
        <v/>
      </c>
      <c r="G49" s="106">
        <f>IF(17&gt;MAX(Transaksi!$O$16:$O$5015),"",INDEX(Transaksi!$F$16:$F$5015,MATCH(ROW()-32,Transaksi!$O$16:$O$5015,0)))</f>
        <v/>
      </c>
      <c r="H49" s="156">
        <f>IF(17&gt;MAX(Transaksi!$O$16:$O$5015),"",INDEX(Transaksi!$J$16:$J$5015,MATCH(ROW()-32,Transaksi!$O$16:$O$5015,0)))</f>
        <v/>
      </c>
    </row>
    <row r="50" ht="15" customHeight="1" s="94">
      <c r="B50" s="105">
        <f>IF(18&gt;MAX(Transaksi!$O$16:$O$5015),"",18)</f>
        <v/>
      </c>
      <c r="C50" s="119">
        <f>IF(18&gt;MAX(Transaksi!$O$16:$O$5015),"",INDEX(Transaksi!$B$16:$B$5015,MATCH(ROW()-32,Transaksi!$O$16:$O$5015,0)))</f>
        <v/>
      </c>
      <c r="D50" s="105">
        <f>IF(18&gt;MAX(Transaksi!$O$16:$O$5015),"",INDEX(Transaksi!$C$16:$C$5015,MATCH(ROW()-32,Transaksi!$O$16:$O$5015,0))&amp;IF(INDEX(Transaksi!$E$16:$E$5015,MATCH(ROW()-32,Transaksi!$O$16:$O$5015,0))="",""," → "&amp;INDEX(Transaksi!$E$16:$E$5015,MATCH(ROW()-32,Transaksi!$O$16:$O$5015,0))))</f>
        <v/>
      </c>
      <c r="E50" s="105">
        <f>IF(18&gt;MAX(Transaksi!$O$16:$O$5015),"",INDEX(Transaksi!$D$16:$D$5015,MATCH(ROW()-32,Transaksi!$O$16:$O$5015,0)))</f>
        <v/>
      </c>
      <c r="F50" s="105">
        <f>IF(18&gt;MAX(Transaksi!$O$16:$O$5015),"",INDEX(Transaksi!$I$16:$I$5015,MATCH(ROW()-32,Transaksi!$O$16:$O$5015,0)))</f>
        <v/>
      </c>
      <c r="G50" s="106">
        <f>IF(18&gt;MAX(Transaksi!$O$16:$O$5015),"",INDEX(Transaksi!$F$16:$F$5015,MATCH(ROW()-32,Transaksi!$O$16:$O$5015,0)))</f>
        <v/>
      </c>
      <c r="H50" s="156">
        <f>IF(18&gt;MAX(Transaksi!$O$16:$O$5015),"",INDEX(Transaksi!$J$16:$J$5015,MATCH(ROW()-32,Transaksi!$O$16:$O$5015,0)))</f>
        <v/>
      </c>
    </row>
    <row r="51" ht="15" customHeight="1" s="94">
      <c r="B51" s="105">
        <f>IF(19&gt;MAX(Transaksi!$O$16:$O$5015),"",19)</f>
        <v/>
      </c>
      <c r="C51" s="119">
        <f>IF(19&gt;MAX(Transaksi!$O$16:$O$5015),"",INDEX(Transaksi!$B$16:$B$5015,MATCH(ROW()-32,Transaksi!$O$16:$O$5015,0)))</f>
        <v/>
      </c>
      <c r="D51" s="105">
        <f>IF(19&gt;MAX(Transaksi!$O$16:$O$5015),"",INDEX(Transaksi!$C$16:$C$5015,MATCH(ROW()-32,Transaksi!$O$16:$O$5015,0))&amp;IF(INDEX(Transaksi!$E$16:$E$5015,MATCH(ROW()-32,Transaksi!$O$16:$O$5015,0))="",""," → "&amp;INDEX(Transaksi!$E$16:$E$5015,MATCH(ROW()-32,Transaksi!$O$16:$O$5015,0))))</f>
        <v/>
      </c>
      <c r="E51" s="105">
        <f>IF(19&gt;MAX(Transaksi!$O$16:$O$5015),"",INDEX(Transaksi!$D$16:$D$5015,MATCH(ROW()-32,Transaksi!$O$16:$O$5015,0)))</f>
        <v/>
      </c>
      <c r="F51" s="105">
        <f>IF(19&gt;MAX(Transaksi!$O$16:$O$5015),"",INDEX(Transaksi!$I$16:$I$5015,MATCH(ROW()-32,Transaksi!$O$16:$O$5015,0)))</f>
        <v/>
      </c>
      <c r="G51" s="106">
        <f>IF(19&gt;MAX(Transaksi!$O$16:$O$5015),"",INDEX(Transaksi!$F$16:$F$5015,MATCH(ROW()-32,Transaksi!$O$16:$O$5015,0)))</f>
        <v/>
      </c>
      <c r="H51" s="156">
        <f>IF(19&gt;MAX(Transaksi!$O$16:$O$5015),"",INDEX(Transaksi!$J$16:$J$5015,MATCH(ROW()-32,Transaksi!$O$16:$O$5015,0)))</f>
        <v/>
      </c>
    </row>
    <row r="52" ht="15" customHeight="1" s="94">
      <c r="B52" s="105">
        <f>IF(20&gt;MAX(Transaksi!$O$16:$O$5015),"",20)</f>
        <v/>
      </c>
      <c r="C52" s="119">
        <f>IF(20&gt;MAX(Transaksi!$O$16:$O$5015),"",INDEX(Transaksi!$B$16:$B$5015,MATCH(ROW()-32,Transaksi!$O$16:$O$5015,0)))</f>
        <v/>
      </c>
      <c r="D52" s="105">
        <f>IF(20&gt;MAX(Transaksi!$O$16:$O$5015),"",INDEX(Transaksi!$C$16:$C$5015,MATCH(ROW()-32,Transaksi!$O$16:$O$5015,0))&amp;IF(INDEX(Transaksi!$E$16:$E$5015,MATCH(ROW()-32,Transaksi!$O$16:$O$5015,0))="",""," → "&amp;INDEX(Transaksi!$E$16:$E$5015,MATCH(ROW()-32,Transaksi!$O$16:$O$5015,0))))</f>
        <v/>
      </c>
      <c r="E52" s="105">
        <f>IF(20&gt;MAX(Transaksi!$O$16:$O$5015),"",INDEX(Transaksi!$D$16:$D$5015,MATCH(ROW()-32,Transaksi!$O$16:$O$5015,0)))</f>
        <v/>
      </c>
      <c r="F52" s="105">
        <f>IF(20&gt;MAX(Transaksi!$O$16:$O$5015),"",INDEX(Transaksi!$I$16:$I$5015,MATCH(ROW()-32,Transaksi!$O$16:$O$5015,0)))</f>
        <v/>
      </c>
      <c r="G52" s="106">
        <f>IF(20&gt;MAX(Transaksi!$O$16:$O$5015),"",INDEX(Transaksi!$F$16:$F$5015,MATCH(ROW()-32,Transaksi!$O$16:$O$5015,0)))</f>
        <v/>
      </c>
      <c r="H52" s="156">
        <f>IF(20&gt;MAX(Transaksi!$O$16:$O$5015),"",INDEX(Transaksi!$J$16:$J$5015,MATCH(ROW()-32,Transaksi!$O$16:$O$5015,0)))</f>
        <v/>
      </c>
    </row>
    <row r="53" ht="15" customHeight="1" s="94">
      <c r="B53" s="105">
        <f>IF(21&gt;MAX(Transaksi!$O$16:$O$5015),"",21)</f>
        <v/>
      </c>
      <c r="C53" s="119">
        <f>IF(21&gt;MAX(Transaksi!$O$16:$O$5015),"",INDEX(Transaksi!$B$16:$B$5015,MATCH(ROW()-32,Transaksi!$O$16:$O$5015,0)))</f>
        <v/>
      </c>
      <c r="D53" s="105">
        <f>IF(21&gt;MAX(Transaksi!$O$16:$O$5015),"",INDEX(Transaksi!$C$16:$C$5015,MATCH(ROW()-32,Transaksi!$O$16:$O$5015,0))&amp;IF(INDEX(Transaksi!$E$16:$E$5015,MATCH(ROW()-32,Transaksi!$O$16:$O$5015,0))="",""," → "&amp;INDEX(Transaksi!$E$16:$E$5015,MATCH(ROW()-32,Transaksi!$O$16:$O$5015,0))))</f>
        <v/>
      </c>
      <c r="E53" s="105">
        <f>IF(21&gt;MAX(Transaksi!$O$16:$O$5015),"",INDEX(Transaksi!$D$16:$D$5015,MATCH(ROW()-32,Transaksi!$O$16:$O$5015,0)))</f>
        <v/>
      </c>
      <c r="F53" s="105">
        <f>IF(21&gt;MAX(Transaksi!$O$16:$O$5015),"",INDEX(Transaksi!$I$16:$I$5015,MATCH(ROW()-32,Transaksi!$O$16:$O$5015,0)))</f>
        <v/>
      </c>
      <c r="G53" s="106">
        <f>IF(21&gt;MAX(Transaksi!$O$16:$O$5015),"",INDEX(Transaksi!$F$16:$F$5015,MATCH(ROW()-32,Transaksi!$O$16:$O$5015,0)))</f>
        <v/>
      </c>
      <c r="H53" s="156">
        <f>IF(21&gt;MAX(Transaksi!$O$16:$O$5015),"",INDEX(Transaksi!$J$16:$J$5015,MATCH(ROW()-32,Transaksi!$O$16:$O$5015,0)))</f>
        <v/>
      </c>
    </row>
    <row r="54" ht="15" customHeight="1" s="94">
      <c r="B54" s="105">
        <f>IF(22&gt;MAX(Transaksi!$O$16:$O$5015),"",22)</f>
        <v/>
      </c>
      <c r="C54" s="119">
        <f>IF(22&gt;MAX(Transaksi!$O$16:$O$5015),"",INDEX(Transaksi!$B$16:$B$5015,MATCH(ROW()-32,Transaksi!$O$16:$O$5015,0)))</f>
        <v/>
      </c>
      <c r="D54" s="105">
        <f>IF(22&gt;MAX(Transaksi!$O$16:$O$5015),"",INDEX(Transaksi!$C$16:$C$5015,MATCH(ROW()-32,Transaksi!$O$16:$O$5015,0))&amp;IF(INDEX(Transaksi!$E$16:$E$5015,MATCH(ROW()-32,Transaksi!$O$16:$O$5015,0))="",""," → "&amp;INDEX(Transaksi!$E$16:$E$5015,MATCH(ROW()-32,Transaksi!$O$16:$O$5015,0))))</f>
        <v/>
      </c>
      <c r="E54" s="105">
        <f>IF(22&gt;MAX(Transaksi!$O$16:$O$5015),"",INDEX(Transaksi!$D$16:$D$5015,MATCH(ROW()-32,Transaksi!$O$16:$O$5015,0)))</f>
        <v/>
      </c>
      <c r="F54" s="105">
        <f>IF(22&gt;MAX(Transaksi!$O$16:$O$5015),"",INDEX(Transaksi!$I$16:$I$5015,MATCH(ROW()-32,Transaksi!$O$16:$O$5015,0)))</f>
        <v/>
      </c>
      <c r="G54" s="106">
        <f>IF(22&gt;MAX(Transaksi!$O$16:$O$5015),"",INDEX(Transaksi!$F$16:$F$5015,MATCH(ROW()-32,Transaksi!$O$16:$O$5015,0)))</f>
        <v/>
      </c>
      <c r="H54" s="156">
        <f>IF(22&gt;MAX(Transaksi!$O$16:$O$5015),"",INDEX(Transaksi!$J$16:$J$5015,MATCH(ROW()-32,Transaksi!$O$16:$O$5015,0)))</f>
        <v/>
      </c>
    </row>
    <row r="55" ht="15" customHeight="1" s="94">
      <c r="B55" s="105">
        <f>IF(23&gt;MAX(Transaksi!$O$16:$O$5015),"",23)</f>
        <v/>
      </c>
      <c r="C55" s="119">
        <f>IF(23&gt;MAX(Transaksi!$O$16:$O$5015),"",INDEX(Transaksi!$B$16:$B$5015,MATCH(ROW()-32,Transaksi!$O$16:$O$5015,0)))</f>
        <v/>
      </c>
      <c r="D55" s="105">
        <f>IF(23&gt;MAX(Transaksi!$O$16:$O$5015),"",INDEX(Transaksi!$C$16:$C$5015,MATCH(ROW()-32,Transaksi!$O$16:$O$5015,0))&amp;IF(INDEX(Transaksi!$E$16:$E$5015,MATCH(ROW()-32,Transaksi!$O$16:$O$5015,0))="",""," → "&amp;INDEX(Transaksi!$E$16:$E$5015,MATCH(ROW()-32,Transaksi!$O$16:$O$5015,0))))</f>
        <v/>
      </c>
      <c r="E55" s="105">
        <f>IF(23&gt;MAX(Transaksi!$O$16:$O$5015),"",INDEX(Transaksi!$D$16:$D$5015,MATCH(ROW()-32,Transaksi!$O$16:$O$5015,0)))</f>
        <v/>
      </c>
      <c r="F55" s="105">
        <f>IF(23&gt;MAX(Transaksi!$O$16:$O$5015),"",INDEX(Transaksi!$I$16:$I$5015,MATCH(ROW()-32,Transaksi!$O$16:$O$5015,0)))</f>
        <v/>
      </c>
      <c r="G55" s="106">
        <f>IF(23&gt;MAX(Transaksi!$O$16:$O$5015),"",INDEX(Transaksi!$F$16:$F$5015,MATCH(ROW()-32,Transaksi!$O$16:$O$5015,0)))</f>
        <v/>
      </c>
      <c r="H55" s="156">
        <f>IF(23&gt;MAX(Transaksi!$O$16:$O$5015),"",INDEX(Transaksi!$J$16:$J$5015,MATCH(ROW()-32,Transaksi!$O$16:$O$5015,0)))</f>
        <v/>
      </c>
    </row>
    <row r="56" ht="15" customHeight="1" s="94">
      <c r="B56" s="105">
        <f>IF(24&gt;MAX(Transaksi!$O$16:$O$5015),"",24)</f>
        <v/>
      </c>
      <c r="C56" s="119">
        <f>IF(24&gt;MAX(Transaksi!$O$16:$O$5015),"",INDEX(Transaksi!$B$16:$B$5015,MATCH(ROW()-32,Transaksi!$O$16:$O$5015,0)))</f>
        <v/>
      </c>
      <c r="D56" s="105">
        <f>IF(24&gt;MAX(Transaksi!$O$16:$O$5015),"",INDEX(Transaksi!$C$16:$C$5015,MATCH(ROW()-32,Transaksi!$O$16:$O$5015,0))&amp;IF(INDEX(Transaksi!$E$16:$E$5015,MATCH(ROW()-32,Transaksi!$O$16:$O$5015,0))="",""," → "&amp;INDEX(Transaksi!$E$16:$E$5015,MATCH(ROW()-32,Transaksi!$O$16:$O$5015,0))))</f>
        <v/>
      </c>
      <c r="E56" s="105">
        <f>IF(24&gt;MAX(Transaksi!$O$16:$O$5015),"",INDEX(Transaksi!$D$16:$D$5015,MATCH(ROW()-32,Transaksi!$O$16:$O$5015,0)))</f>
        <v/>
      </c>
      <c r="F56" s="105">
        <f>IF(24&gt;MAX(Transaksi!$O$16:$O$5015),"",INDEX(Transaksi!$I$16:$I$5015,MATCH(ROW()-32,Transaksi!$O$16:$O$5015,0)))</f>
        <v/>
      </c>
      <c r="G56" s="106">
        <f>IF(24&gt;MAX(Transaksi!$O$16:$O$5015),"",INDEX(Transaksi!$F$16:$F$5015,MATCH(ROW()-32,Transaksi!$O$16:$O$5015,0)))</f>
        <v/>
      </c>
      <c r="H56" s="156">
        <f>IF(24&gt;MAX(Transaksi!$O$16:$O$5015),"",INDEX(Transaksi!$J$16:$J$5015,MATCH(ROW()-32,Transaksi!$O$16:$O$5015,0)))</f>
        <v/>
      </c>
    </row>
    <row r="57" ht="15" customHeight="1" s="94">
      <c r="B57" s="105">
        <f>IF(25&gt;MAX(Transaksi!$O$16:$O$5015),"",25)</f>
        <v/>
      </c>
      <c r="C57" s="119">
        <f>IF(25&gt;MAX(Transaksi!$O$16:$O$5015),"",INDEX(Transaksi!$B$16:$B$5015,MATCH(ROW()-32,Transaksi!$O$16:$O$5015,0)))</f>
        <v/>
      </c>
      <c r="D57" s="105">
        <f>IF(25&gt;MAX(Transaksi!$O$16:$O$5015),"",INDEX(Transaksi!$C$16:$C$5015,MATCH(ROW()-32,Transaksi!$O$16:$O$5015,0))&amp;IF(INDEX(Transaksi!$E$16:$E$5015,MATCH(ROW()-32,Transaksi!$O$16:$O$5015,0))="",""," → "&amp;INDEX(Transaksi!$E$16:$E$5015,MATCH(ROW()-32,Transaksi!$O$16:$O$5015,0))))</f>
        <v/>
      </c>
      <c r="E57" s="105">
        <f>IF(25&gt;MAX(Transaksi!$O$16:$O$5015),"",INDEX(Transaksi!$D$16:$D$5015,MATCH(ROW()-32,Transaksi!$O$16:$O$5015,0)))</f>
        <v/>
      </c>
      <c r="F57" s="105">
        <f>IF(25&gt;MAX(Transaksi!$O$16:$O$5015),"",INDEX(Transaksi!$I$16:$I$5015,MATCH(ROW()-32,Transaksi!$O$16:$O$5015,0)))</f>
        <v/>
      </c>
      <c r="G57" s="106">
        <f>IF(25&gt;MAX(Transaksi!$O$16:$O$5015),"",INDEX(Transaksi!$F$16:$F$5015,MATCH(ROW()-32,Transaksi!$O$16:$O$5015,0)))</f>
        <v/>
      </c>
      <c r="H57" s="156">
        <f>IF(25&gt;MAX(Transaksi!$O$16:$O$5015),"",INDEX(Transaksi!$J$16:$J$5015,MATCH(ROW()-32,Transaksi!$O$16:$O$5015,0)))</f>
        <v/>
      </c>
    </row>
    <row r="58" ht="15" customHeight="1" s="94">
      <c r="B58" s="105">
        <f>IF(26&gt;MAX(Transaksi!$O$16:$O$5015),"",26)</f>
        <v/>
      </c>
      <c r="C58" s="119">
        <f>IF(26&gt;MAX(Transaksi!$O$16:$O$5015),"",INDEX(Transaksi!$B$16:$B$5015,MATCH(ROW()-32,Transaksi!$O$16:$O$5015,0)))</f>
        <v/>
      </c>
      <c r="D58" s="105">
        <f>IF(26&gt;MAX(Transaksi!$O$16:$O$5015),"",INDEX(Transaksi!$C$16:$C$5015,MATCH(ROW()-32,Transaksi!$O$16:$O$5015,0))&amp;IF(INDEX(Transaksi!$E$16:$E$5015,MATCH(ROW()-32,Transaksi!$O$16:$O$5015,0))="",""," → "&amp;INDEX(Transaksi!$E$16:$E$5015,MATCH(ROW()-32,Transaksi!$O$16:$O$5015,0))))</f>
        <v/>
      </c>
      <c r="E58" s="105">
        <f>IF(26&gt;MAX(Transaksi!$O$16:$O$5015),"",INDEX(Transaksi!$D$16:$D$5015,MATCH(ROW()-32,Transaksi!$O$16:$O$5015,0)))</f>
        <v/>
      </c>
      <c r="F58" s="105">
        <f>IF(26&gt;MAX(Transaksi!$O$16:$O$5015),"",INDEX(Transaksi!$I$16:$I$5015,MATCH(ROW()-32,Transaksi!$O$16:$O$5015,0)))</f>
        <v/>
      </c>
      <c r="G58" s="106">
        <f>IF(26&gt;MAX(Transaksi!$O$16:$O$5015),"",INDEX(Transaksi!$F$16:$F$5015,MATCH(ROW()-32,Transaksi!$O$16:$O$5015,0)))</f>
        <v/>
      </c>
      <c r="H58" s="156">
        <f>IF(26&gt;MAX(Transaksi!$O$16:$O$5015),"",INDEX(Transaksi!$J$16:$J$5015,MATCH(ROW()-32,Transaksi!$O$16:$O$5015,0)))</f>
        <v/>
      </c>
    </row>
    <row r="59" ht="15" customHeight="1" s="94">
      <c r="B59" s="105">
        <f>IF(27&gt;MAX(Transaksi!$O$16:$O$5015),"",27)</f>
        <v/>
      </c>
      <c r="C59" s="119">
        <f>IF(27&gt;MAX(Transaksi!$O$16:$O$5015),"",INDEX(Transaksi!$B$16:$B$5015,MATCH(ROW()-32,Transaksi!$O$16:$O$5015,0)))</f>
        <v/>
      </c>
      <c r="D59" s="105">
        <f>IF(27&gt;MAX(Transaksi!$O$16:$O$5015),"",INDEX(Transaksi!$C$16:$C$5015,MATCH(ROW()-32,Transaksi!$O$16:$O$5015,0))&amp;IF(INDEX(Transaksi!$E$16:$E$5015,MATCH(ROW()-32,Transaksi!$O$16:$O$5015,0))="",""," → "&amp;INDEX(Transaksi!$E$16:$E$5015,MATCH(ROW()-32,Transaksi!$O$16:$O$5015,0))))</f>
        <v/>
      </c>
      <c r="E59" s="105">
        <f>IF(27&gt;MAX(Transaksi!$O$16:$O$5015),"",INDEX(Transaksi!$D$16:$D$5015,MATCH(ROW()-32,Transaksi!$O$16:$O$5015,0)))</f>
        <v/>
      </c>
      <c r="F59" s="105">
        <f>IF(27&gt;MAX(Transaksi!$O$16:$O$5015),"",INDEX(Transaksi!$I$16:$I$5015,MATCH(ROW()-32,Transaksi!$O$16:$O$5015,0)))</f>
        <v/>
      </c>
      <c r="G59" s="106">
        <f>IF(27&gt;MAX(Transaksi!$O$16:$O$5015),"",INDEX(Transaksi!$F$16:$F$5015,MATCH(ROW()-32,Transaksi!$O$16:$O$5015,0)))</f>
        <v/>
      </c>
      <c r="H59" s="156">
        <f>IF(27&gt;MAX(Transaksi!$O$16:$O$5015),"",INDEX(Transaksi!$J$16:$J$5015,MATCH(ROW()-32,Transaksi!$O$16:$O$5015,0)))</f>
        <v/>
      </c>
    </row>
    <row r="60" ht="15" customHeight="1" s="94">
      <c r="B60" s="105">
        <f>IF(28&gt;MAX(Transaksi!$O$16:$O$5015),"",28)</f>
        <v/>
      </c>
      <c r="C60" s="119">
        <f>IF(28&gt;MAX(Transaksi!$O$16:$O$5015),"",INDEX(Transaksi!$B$16:$B$5015,MATCH(ROW()-32,Transaksi!$O$16:$O$5015,0)))</f>
        <v/>
      </c>
      <c r="D60" s="105">
        <f>IF(28&gt;MAX(Transaksi!$O$16:$O$5015),"",INDEX(Transaksi!$C$16:$C$5015,MATCH(ROW()-32,Transaksi!$O$16:$O$5015,0))&amp;IF(INDEX(Transaksi!$E$16:$E$5015,MATCH(ROW()-32,Transaksi!$O$16:$O$5015,0))="",""," → "&amp;INDEX(Transaksi!$E$16:$E$5015,MATCH(ROW()-32,Transaksi!$O$16:$O$5015,0))))</f>
        <v/>
      </c>
      <c r="E60" s="105">
        <f>IF(28&gt;MAX(Transaksi!$O$16:$O$5015),"",INDEX(Transaksi!$D$16:$D$5015,MATCH(ROW()-32,Transaksi!$O$16:$O$5015,0)))</f>
        <v/>
      </c>
      <c r="F60" s="105">
        <f>IF(28&gt;MAX(Transaksi!$O$16:$O$5015),"",INDEX(Transaksi!$I$16:$I$5015,MATCH(ROW()-32,Transaksi!$O$16:$O$5015,0)))</f>
        <v/>
      </c>
      <c r="G60" s="106">
        <f>IF(28&gt;MAX(Transaksi!$O$16:$O$5015),"",INDEX(Transaksi!$F$16:$F$5015,MATCH(ROW()-32,Transaksi!$O$16:$O$5015,0)))</f>
        <v/>
      </c>
      <c r="H60" s="156">
        <f>IF(28&gt;MAX(Transaksi!$O$16:$O$5015),"",INDEX(Transaksi!$J$16:$J$5015,MATCH(ROW()-32,Transaksi!$O$16:$O$5015,0)))</f>
        <v/>
      </c>
    </row>
    <row r="61" ht="15" customHeight="1" s="94">
      <c r="B61" s="105">
        <f>IF(29&gt;MAX(Transaksi!$O$16:$O$5015),"",29)</f>
        <v/>
      </c>
      <c r="C61" s="119">
        <f>IF(29&gt;MAX(Transaksi!$O$16:$O$5015),"",INDEX(Transaksi!$B$16:$B$5015,MATCH(ROW()-32,Transaksi!$O$16:$O$5015,0)))</f>
        <v/>
      </c>
      <c r="D61" s="105">
        <f>IF(29&gt;MAX(Transaksi!$O$16:$O$5015),"",INDEX(Transaksi!$C$16:$C$5015,MATCH(ROW()-32,Transaksi!$O$16:$O$5015,0))&amp;IF(INDEX(Transaksi!$E$16:$E$5015,MATCH(ROW()-32,Transaksi!$O$16:$O$5015,0))="",""," → "&amp;INDEX(Transaksi!$E$16:$E$5015,MATCH(ROW()-32,Transaksi!$O$16:$O$5015,0))))</f>
        <v/>
      </c>
      <c r="E61" s="105">
        <f>IF(29&gt;MAX(Transaksi!$O$16:$O$5015),"",INDEX(Transaksi!$D$16:$D$5015,MATCH(ROW()-32,Transaksi!$O$16:$O$5015,0)))</f>
        <v/>
      </c>
      <c r="F61" s="105">
        <f>IF(29&gt;MAX(Transaksi!$O$16:$O$5015),"",INDEX(Transaksi!$I$16:$I$5015,MATCH(ROW()-32,Transaksi!$O$16:$O$5015,0)))</f>
        <v/>
      </c>
      <c r="G61" s="106">
        <f>IF(29&gt;MAX(Transaksi!$O$16:$O$5015),"",INDEX(Transaksi!$F$16:$F$5015,MATCH(ROW()-32,Transaksi!$O$16:$O$5015,0)))</f>
        <v/>
      </c>
      <c r="H61" s="156">
        <f>IF(29&gt;MAX(Transaksi!$O$16:$O$5015),"",INDEX(Transaksi!$J$16:$J$5015,MATCH(ROW()-32,Transaksi!$O$16:$O$5015,0)))</f>
        <v/>
      </c>
    </row>
    <row r="62" ht="15" customHeight="1" s="94">
      <c r="B62" s="105">
        <f>IF(30&gt;MAX(Transaksi!$O$16:$O$5015),"",30)</f>
        <v/>
      </c>
      <c r="C62" s="119">
        <f>IF(30&gt;MAX(Transaksi!$O$16:$O$5015),"",INDEX(Transaksi!$B$16:$B$5015,MATCH(ROW()-32,Transaksi!$O$16:$O$5015,0)))</f>
        <v/>
      </c>
      <c r="D62" s="105">
        <f>IF(30&gt;MAX(Transaksi!$O$16:$O$5015),"",INDEX(Transaksi!$C$16:$C$5015,MATCH(ROW()-32,Transaksi!$O$16:$O$5015,0))&amp;IF(INDEX(Transaksi!$E$16:$E$5015,MATCH(ROW()-32,Transaksi!$O$16:$O$5015,0))="",""," → "&amp;INDEX(Transaksi!$E$16:$E$5015,MATCH(ROW()-32,Transaksi!$O$16:$O$5015,0))))</f>
        <v/>
      </c>
      <c r="E62" s="105">
        <f>IF(30&gt;MAX(Transaksi!$O$16:$O$5015),"",INDEX(Transaksi!$D$16:$D$5015,MATCH(ROW()-32,Transaksi!$O$16:$O$5015,0)))</f>
        <v/>
      </c>
      <c r="F62" s="105">
        <f>IF(30&gt;MAX(Transaksi!$O$16:$O$5015),"",INDEX(Transaksi!$I$16:$I$5015,MATCH(ROW()-32,Transaksi!$O$16:$O$5015,0)))</f>
        <v/>
      </c>
      <c r="G62" s="106">
        <f>IF(30&gt;MAX(Transaksi!$O$16:$O$5015),"",INDEX(Transaksi!$F$16:$F$5015,MATCH(ROW()-32,Transaksi!$O$16:$O$5015,0)))</f>
        <v/>
      </c>
      <c r="H62" s="156">
        <f>IF(30&gt;MAX(Transaksi!$O$16:$O$5015),"",INDEX(Transaksi!$J$16:$J$5015,MATCH(ROW()-32,Transaksi!$O$16:$O$5015,0)))</f>
        <v/>
      </c>
    </row>
    <row r="63" ht="15" customHeight="1" s="94">
      <c r="B63" s="105">
        <f>IF(31&gt;MAX(Transaksi!$O$16:$O$5015),"",31)</f>
        <v/>
      </c>
      <c r="C63" s="119">
        <f>IF(31&gt;MAX(Transaksi!$O$16:$O$5015),"",INDEX(Transaksi!$B$16:$B$5015,MATCH(ROW()-32,Transaksi!$O$16:$O$5015,0)))</f>
        <v/>
      </c>
      <c r="D63" s="105">
        <f>IF(31&gt;MAX(Transaksi!$O$16:$O$5015),"",INDEX(Transaksi!$C$16:$C$5015,MATCH(ROW()-32,Transaksi!$O$16:$O$5015,0))&amp;IF(INDEX(Transaksi!$E$16:$E$5015,MATCH(ROW()-32,Transaksi!$O$16:$O$5015,0))="",""," → "&amp;INDEX(Transaksi!$E$16:$E$5015,MATCH(ROW()-32,Transaksi!$O$16:$O$5015,0))))</f>
        <v/>
      </c>
      <c r="E63" s="105">
        <f>IF(31&gt;MAX(Transaksi!$O$16:$O$5015),"",INDEX(Transaksi!$D$16:$D$5015,MATCH(ROW()-32,Transaksi!$O$16:$O$5015,0)))</f>
        <v/>
      </c>
      <c r="F63" s="105">
        <f>IF(31&gt;MAX(Transaksi!$O$16:$O$5015),"",INDEX(Transaksi!$I$16:$I$5015,MATCH(ROW()-32,Transaksi!$O$16:$O$5015,0)))</f>
        <v/>
      </c>
      <c r="G63" s="106">
        <f>IF(31&gt;MAX(Transaksi!$O$16:$O$5015),"",INDEX(Transaksi!$F$16:$F$5015,MATCH(ROW()-32,Transaksi!$O$16:$O$5015,0)))</f>
        <v/>
      </c>
      <c r="H63" s="156">
        <f>IF(31&gt;MAX(Transaksi!$O$16:$O$5015),"",INDEX(Transaksi!$J$16:$J$5015,MATCH(ROW()-32,Transaksi!$O$16:$O$5015,0)))</f>
        <v/>
      </c>
    </row>
    <row r="64" ht="15" customHeight="1" s="94">
      <c r="B64" s="105">
        <f>IF(32&gt;MAX(Transaksi!$O$16:$O$5015),"",32)</f>
        <v/>
      </c>
      <c r="C64" s="119">
        <f>IF(32&gt;MAX(Transaksi!$O$16:$O$5015),"",INDEX(Transaksi!$B$16:$B$5015,MATCH(ROW()-32,Transaksi!$O$16:$O$5015,0)))</f>
        <v/>
      </c>
      <c r="D64" s="105">
        <f>IF(32&gt;MAX(Transaksi!$O$16:$O$5015),"",INDEX(Transaksi!$C$16:$C$5015,MATCH(ROW()-32,Transaksi!$O$16:$O$5015,0))&amp;IF(INDEX(Transaksi!$E$16:$E$5015,MATCH(ROW()-32,Transaksi!$O$16:$O$5015,0))="",""," → "&amp;INDEX(Transaksi!$E$16:$E$5015,MATCH(ROW()-32,Transaksi!$O$16:$O$5015,0))))</f>
        <v/>
      </c>
      <c r="E64" s="105">
        <f>IF(32&gt;MAX(Transaksi!$O$16:$O$5015),"",INDEX(Transaksi!$D$16:$D$5015,MATCH(ROW()-32,Transaksi!$O$16:$O$5015,0)))</f>
        <v/>
      </c>
      <c r="F64" s="105">
        <f>IF(32&gt;MAX(Transaksi!$O$16:$O$5015),"",INDEX(Transaksi!$I$16:$I$5015,MATCH(ROW()-32,Transaksi!$O$16:$O$5015,0)))</f>
        <v/>
      </c>
      <c r="G64" s="106">
        <f>IF(32&gt;MAX(Transaksi!$O$16:$O$5015),"",INDEX(Transaksi!$F$16:$F$5015,MATCH(ROW()-32,Transaksi!$O$16:$O$5015,0)))</f>
        <v/>
      </c>
      <c r="H64" s="156">
        <f>IF(32&gt;MAX(Transaksi!$O$16:$O$5015),"",INDEX(Transaksi!$J$16:$J$5015,MATCH(ROW()-32,Transaksi!$O$16:$O$5015,0)))</f>
        <v/>
      </c>
    </row>
    <row r="65" ht="15" customHeight="1" s="94">
      <c r="B65" s="105">
        <f>IF(33&gt;MAX(Transaksi!$O$16:$O$5015),"",33)</f>
        <v/>
      </c>
      <c r="C65" s="119">
        <f>IF(33&gt;MAX(Transaksi!$O$16:$O$5015),"",INDEX(Transaksi!$B$16:$B$5015,MATCH(ROW()-32,Transaksi!$O$16:$O$5015,0)))</f>
        <v/>
      </c>
      <c r="D65" s="105">
        <f>IF(33&gt;MAX(Transaksi!$O$16:$O$5015),"",INDEX(Transaksi!$C$16:$C$5015,MATCH(ROW()-32,Transaksi!$O$16:$O$5015,0))&amp;IF(INDEX(Transaksi!$E$16:$E$5015,MATCH(ROW()-32,Transaksi!$O$16:$O$5015,0))="",""," → "&amp;INDEX(Transaksi!$E$16:$E$5015,MATCH(ROW()-32,Transaksi!$O$16:$O$5015,0))))</f>
        <v/>
      </c>
      <c r="E65" s="105">
        <f>IF(33&gt;MAX(Transaksi!$O$16:$O$5015),"",INDEX(Transaksi!$D$16:$D$5015,MATCH(ROW()-32,Transaksi!$O$16:$O$5015,0)))</f>
        <v/>
      </c>
      <c r="F65" s="105">
        <f>IF(33&gt;MAX(Transaksi!$O$16:$O$5015),"",INDEX(Transaksi!$I$16:$I$5015,MATCH(ROW()-32,Transaksi!$O$16:$O$5015,0)))</f>
        <v/>
      </c>
      <c r="G65" s="106">
        <f>IF(33&gt;MAX(Transaksi!$O$16:$O$5015),"",INDEX(Transaksi!$F$16:$F$5015,MATCH(ROW()-32,Transaksi!$O$16:$O$5015,0)))</f>
        <v/>
      </c>
      <c r="H65" s="156">
        <f>IF(33&gt;MAX(Transaksi!$O$16:$O$5015),"",INDEX(Transaksi!$J$16:$J$5015,MATCH(ROW()-32,Transaksi!$O$16:$O$5015,0)))</f>
        <v/>
      </c>
    </row>
    <row r="66" ht="15" customHeight="1" s="94">
      <c r="B66" s="105">
        <f>IF(34&gt;MAX(Transaksi!$O$16:$O$5015),"",34)</f>
        <v/>
      </c>
      <c r="C66" s="119">
        <f>IF(34&gt;MAX(Transaksi!$O$16:$O$5015),"",INDEX(Transaksi!$B$16:$B$5015,MATCH(ROW()-32,Transaksi!$O$16:$O$5015,0)))</f>
        <v/>
      </c>
      <c r="D66" s="105">
        <f>IF(34&gt;MAX(Transaksi!$O$16:$O$5015),"",INDEX(Transaksi!$C$16:$C$5015,MATCH(ROW()-32,Transaksi!$O$16:$O$5015,0))&amp;IF(INDEX(Transaksi!$E$16:$E$5015,MATCH(ROW()-32,Transaksi!$O$16:$O$5015,0))="",""," → "&amp;INDEX(Transaksi!$E$16:$E$5015,MATCH(ROW()-32,Transaksi!$O$16:$O$5015,0))))</f>
        <v/>
      </c>
      <c r="E66" s="105">
        <f>IF(34&gt;MAX(Transaksi!$O$16:$O$5015),"",INDEX(Transaksi!$D$16:$D$5015,MATCH(ROW()-32,Transaksi!$O$16:$O$5015,0)))</f>
        <v/>
      </c>
      <c r="F66" s="105">
        <f>IF(34&gt;MAX(Transaksi!$O$16:$O$5015),"",INDEX(Transaksi!$I$16:$I$5015,MATCH(ROW()-32,Transaksi!$O$16:$O$5015,0)))</f>
        <v/>
      </c>
      <c r="G66" s="106">
        <f>IF(34&gt;MAX(Transaksi!$O$16:$O$5015),"",INDEX(Transaksi!$F$16:$F$5015,MATCH(ROW()-32,Transaksi!$O$16:$O$5015,0)))</f>
        <v/>
      </c>
      <c r="H66" s="156">
        <f>IF(34&gt;MAX(Transaksi!$O$16:$O$5015),"",INDEX(Transaksi!$J$16:$J$5015,MATCH(ROW()-32,Transaksi!$O$16:$O$5015,0)))</f>
        <v/>
      </c>
    </row>
    <row r="67" ht="15" customHeight="1" s="94">
      <c r="B67" s="105">
        <f>IF(35&gt;MAX(Transaksi!$O$16:$O$5015),"",35)</f>
        <v/>
      </c>
      <c r="C67" s="119">
        <f>IF(35&gt;MAX(Transaksi!$O$16:$O$5015),"",INDEX(Transaksi!$B$16:$B$5015,MATCH(ROW()-32,Transaksi!$O$16:$O$5015,0)))</f>
        <v/>
      </c>
      <c r="D67" s="105">
        <f>IF(35&gt;MAX(Transaksi!$O$16:$O$5015),"",INDEX(Transaksi!$C$16:$C$5015,MATCH(ROW()-32,Transaksi!$O$16:$O$5015,0))&amp;IF(INDEX(Transaksi!$E$16:$E$5015,MATCH(ROW()-32,Transaksi!$O$16:$O$5015,0))="",""," → "&amp;INDEX(Transaksi!$E$16:$E$5015,MATCH(ROW()-32,Transaksi!$O$16:$O$5015,0))))</f>
        <v/>
      </c>
      <c r="E67" s="105">
        <f>IF(35&gt;MAX(Transaksi!$O$16:$O$5015),"",INDEX(Transaksi!$D$16:$D$5015,MATCH(ROW()-32,Transaksi!$O$16:$O$5015,0)))</f>
        <v/>
      </c>
      <c r="F67" s="105">
        <f>IF(35&gt;MAX(Transaksi!$O$16:$O$5015),"",INDEX(Transaksi!$I$16:$I$5015,MATCH(ROW()-32,Transaksi!$O$16:$O$5015,0)))</f>
        <v/>
      </c>
      <c r="G67" s="106">
        <f>IF(35&gt;MAX(Transaksi!$O$16:$O$5015),"",INDEX(Transaksi!$F$16:$F$5015,MATCH(ROW()-32,Transaksi!$O$16:$O$5015,0)))</f>
        <v/>
      </c>
      <c r="H67" s="156">
        <f>IF(35&gt;MAX(Transaksi!$O$16:$O$5015),"",INDEX(Transaksi!$J$16:$J$5015,MATCH(ROW()-32,Transaksi!$O$16:$O$5015,0)))</f>
        <v/>
      </c>
    </row>
    <row r="68" ht="15" customHeight="1" s="94">
      <c r="B68" s="105">
        <f>IF(36&gt;MAX(Transaksi!$O$16:$O$5015),"",36)</f>
        <v/>
      </c>
      <c r="C68" s="119">
        <f>IF(36&gt;MAX(Transaksi!$O$16:$O$5015),"",INDEX(Transaksi!$B$16:$B$5015,MATCH(ROW()-32,Transaksi!$O$16:$O$5015,0)))</f>
        <v/>
      </c>
      <c r="D68" s="105">
        <f>IF(36&gt;MAX(Transaksi!$O$16:$O$5015),"",INDEX(Transaksi!$C$16:$C$5015,MATCH(ROW()-32,Transaksi!$O$16:$O$5015,0))&amp;IF(INDEX(Transaksi!$E$16:$E$5015,MATCH(ROW()-32,Transaksi!$O$16:$O$5015,0))="",""," → "&amp;INDEX(Transaksi!$E$16:$E$5015,MATCH(ROW()-32,Transaksi!$O$16:$O$5015,0))))</f>
        <v/>
      </c>
      <c r="E68" s="105">
        <f>IF(36&gt;MAX(Transaksi!$O$16:$O$5015),"",INDEX(Transaksi!$D$16:$D$5015,MATCH(ROW()-32,Transaksi!$O$16:$O$5015,0)))</f>
        <v/>
      </c>
      <c r="F68" s="105">
        <f>IF(36&gt;MAX(Transaksi!$O$16:$O$5015),"",INDEX(Transaksi!$I$16:$I$5015,MATCH(ROW()-32,Transaksi!$O$16:$O$5015,0)))</f>
        <v/>
      </c>
      <c r="G68" s="106">
        <f>IF(36&gt;MAX(Transaksi!$O$16:$O$5015),"",INDEX(Transaksi!$F$16:$F$5015,MATCH(ROW()-32,Transaksi!$O$16:$O$5015,0)))</f>
        <v/>
      </c>
      <c r="H68" s="156">
        <f>IF(36&gt;MAX(Transaksi!$O$16:$O$5015),"",INDEX(Transaksi!$J$16:$J$5015,MATCH(ROW()-32,Transaksi!$O$16:$O$5015,0)))</f>
        <v/>
      </c>
    </row>
    <row r="69" ht="15" customHeight="1" s="94">
      <c r="B69" s="105">
        <f>IF(37&gt;MAX(Transaksi!$O$16:$O$5015),"",37)</f>
        <v/>
      </c>
      <c r="C69" s="119">
        <f>IF(37&gt;MAX(Transaksi!$O$16:$O$5015),"",INDEX(Transaksi!$B$16:$B$5015,MATCH(ROW()-32,Transaksi!$O$16:$O$5015,0)))</f>
        <v/>
      </c>
      <c r="D69" s="105">
        <f>IF(37&gt;MAX(Transaksi!$O$16:$O$5015),"",INDEX(Transaksi!$C$16:$C$5015,MATCH(ROW()-32,Transaksi!$O$16:$O$5015,0))&amp;IF(INDEX(Transaksi!$E$16:$E$5015,MATCH(ROW()-32,Transaksi!$O$16:$O$5015,0))="",""," → "&amp;INDEX(Transaksi!$E$16:$E$5015,MATCH(ROW()-32,Transaksi!$O$16:$O$5015,0))))</f>
        <v/>
      </c>
      <c r="E69" s="105">
        <f>IF(37&gt;MAX(Transaksi!$O$16:$O$5015),"",INDEX(Transaksi!$D$16:$D$5015,MATCH(ROW()-32,Transaksi!$O$16:$O$5015,0)))</f>
        <v/>
      </c>
      <c r="F69" s="105">
        <f>IF(37&gt;MAX(Transaksi!$O$16:$O$5015),"",INDEX(Transaksi!$I$16:$I$5015,MATCH(ROW()-32,Transaksi!$O$16:$O$5015,0)))</f>
        <v/>
      </c>
      <c r="G69" s="106">
        <f>IF(37&gt;MAX(Transaksi!$O$16:$O$5015),"",INDEX(Transaksi!$F$16:$F$5015,MATCH(ROW()-32,Transaksi!$O$16:$O$5015,0)))</f>
        <v/>
      </c>
      <c r="H69" s="156">
        <f>IF(37&gt;MAX(Transaksi!$O$16:$O$5015),"",INDEX(Transaksi!$J$16:$J$5015,MATCH(ROW()-32,Transaksi!$O$16:$O$5015,0)))</f>
        <v/>
      </c>
    </row>
    <row r="70" ht="15" customHeight="1" s="94">
      <c r="B70" s="105">
        <f>IF(38&gt;MAX(Transaksi!$O$16:$O$5015),"",38)</f>
        <v/>
      </c>
      <c r="C70" s="119">
        <f>IF(38&gt;MAX(Transaksi!$O$16:$O$5015),"",INDEX(Transaksi!$B$16:$B$5015,MATCH(ROW()-32,Transaksi!$O$16:$O$5015,0)))</f>
        <v/>
      </c>
      <c r="D70" s="105">
        <f>IF(38&gt;MAX(Transaksi!$O$16:$O$5015),"",INDEX(Transaksi!$C$16:$C$5015,MATCH(ROW()-32,Transaksi!$O$16:$O$5015,0))&amp;IF(INDEX(Transaksi!$E$16:$E$5015,MATCH(ROW()-32,Transaksi!$O$16:$O$5015,0))="",""," → "&amp;INDEX(Transaksi!$E$16:$E$5015,MATCH(ROW()-32,Transaksi!$O$16:$O$5015,0))))</f>
        <v/>
      </c>
      <c r="E70" s="105">
        <f>IF(38&gt;MAX(Transaksi!$O$16:$O$5015),"",INDEX(Transaksi!$D$16:$D$5015,MATCH(ROW()-32,Transaksi!$O$16:$O$5015,0)))</f>
        <v/>
      </c>
      <c r="F70" s="105">
        <f>IF(38&gt;MAX(Transaksi!$O$16:$O$5015),"",INDEX(Transaksi!$I$16:$I$5015,MATCH(ROW()-32,Transaksi!$O$16:$O$5015,0)))</f>
        <v/>
      </c>
      <c r="G70" s="106">
        <f>IF(38&gt;MAX(Transaksi!$O$16:$O$5015),"",INDEX(Transaksi!$F$16:$F$5015,MATCH(ROW()-32,Transaksi!$O$16:$O$5015,0)))</f>
        <v/>
      </c>
      <c r="H70" s="156">
        <f>IF(38&gt;MAX(Transaksi!$O$16:$O$5015),"",INDEX(Transaksi!$J$16:$J$5015,MATCH(ROW()-32,Transaksi!$O$16:$O$5015,0)))</f>
        <v/>
      </c>
    </row>
    <row r="71" ht="15" customHeight="1" s="94">
      <c r="B71" s="105">
        <f>IF(39&gt;MAX(Transaksi!$O$16:$O$5015),"",39)</f>
        <v/>
      </c>
      <c r="C71" s="119">
        <f>IF(39&gt;MAX(Transaksi!$O$16:$O$5015),"",INDEX(Transaksi!$B$16:$B$5015,MATCH(ROW()-32,Transaksi!$O$16:$O$5015,0)))</f>
        <v/>
      </c>
      <c r="D71" s="105">
        <f>IF(39&gt;MAX(Transaksi!$O$16:$O$5015),"",INDEX(Transaksi!$C$16:$C$5015,MATCH(ROW()-32,Transaksi!$O$16:$O$5015,0))&amp;IF(INDEX(Transaksi!$E$16:$E$5015,MATCH(ROW()-32,Transaksi!$O$16:$O$5015,0))="",""," → "&amp;INDEX(Transaksi!$E$16:$E$5015,MATCH(ROW()-32,Transaksi!$O$16:$O$5015,0))))</f>
        <v/>
      </c>
      <c r="E71" s="105">
        <f>IF(39&gt;MAX(Transaksi!$O$16:$O$5015),"",INDEX(Transaksi!$D$16:$D$5015,MATCH(ROW()-32,Transaksi!$O$16:$O$5015,0)))</f>
        <v/>
      </c>
      <c r="F71" s="105">
        <f>IF(39&gt;MAX(Transaksi!$O$16:$O$5015),"",INDEX(Transaksi!$I$16:$I$5015,MATCH(ROW()-32,Transaksi!$O$16:$O$5015,0)))</f>
        <v/>
      </c>
      <c r="G71" s="106">
        <f>IF(39&gt;MAX(Transaksi!$O$16:$O$5015),"",INDEX(Transaksi!$F$16:$F$5015,MATCH(ROW()-32,Transaksi!$O$16:$O$5015,0)))</f>
        <v/>
      </c>
      <c r="H71" s="156">
        <f>IF(39&gt;MAX(Transaksi!$O$16:$O$5015),"",INDEX(Transaksi!$J$16:$J$5015,MATCH(ROW()-32,Transaksi!$O$16:$O$5015,0)))</f>
        <v/>
      </c>
    </row>
    <row r="72" ht="15" customHeight="1" s="94">
      <c r="B72" s="105">
        <f>IF(40&gt;MAX(Transaksi!$O$16:$O$5015),"",40)</f>
        <v/>
      </c>
      <c r="C72" s="119">
        <f>IF(40&gt;MAX(Transaksi!$O$16:$O$5015),"",INDEX(Transaksi!$B$16:$B$5015,MATCH(ROW()-32,Transaksi!$O$16:$O$5015,0)))</f>
        <v/>
      </c>
      <c r="D72" s="105">
        <f>IF(40&gt;MAX(Transaksi!$O$16:$O$5015),"",INDEX(Transaksi!$C$16:$C$5015,MATCH(ROW()-32,Transaksi!$O$16:$O$5015,0))&amp;IF(INDEX(Transaksi!$E$16:$E$5015,MATCH(ROW()-32,Transaksi!$O$16:$O$5015,0))="",""," → "&amp;INDEX(Transaksi!$E$16:$E$5015,MATCH(ROW()-32,Transaksi!$O$16:$O$5015,0))))</f>
        <v/>
      </c>
      <c r="E72" s="105">
        <f>IF(40&gt;MAX(Transaksi!$O$16:$O$5015),"",INDEX(Transaksi!$D$16:$D$5015,MATCH(ROW()-32,Transaksi!$O$16:$O$5015,0)))</f>
        <v/>
      </c>
      <c r="F72" s="105">
        <f>IF(40&gt;MAX(Transaksi!$O$16:$O$5015),"",INDEX(Transaksi!$I$16:$I$5015,MATCH(ROW()-32,Transaksi!$O$16:$O$5015,0)))</f>
        <v/>
      </c>
      <c r="G72" s="106">
        <f>IF(40&gt;MAX(Transaksi!$O$16:$O$5015),"",INDEX(Transaksi!$F$16:$F$5015,MATCH(ROW()-32,Transaksi!$O$16:$O$5015,0)))</f>
        <v/>
      </c>
      <c r="H72" s="156">
        <f>IF(40&gt;MAX(Transaksi!$O$16:$O$5015),"",INDEX(Transaksi!$J$16:$J$5015,MATCH(ROW()-32,Transaksi!$O$16:$O$5015,0)))</f>
        <v/>
      </c>
    </row>
    <row r="73" ht="15" customHeight="1" s="94">
      <c r="B73" s="105">
        <f>IF(41&gt;MAX(Transaksi!$O$16:$O$5015),"",41)</f>
        <v/>
      </c>
      <c r="C73" s="119">
        <f>IF(41&gt;MAX(Transaksi!$O$16:$O$5015),"",INDEX(Transaksi!$B$16:$B$5015,MATCH(ROW()-32,Transaksi!$O$16:$O$5015,0)))</f>
        <v/>
      </c>
      <c r="D73" s="105">
        <f>IF(41&gt;MAX(Transaksi!$O$16:$O$5015),"",INDEX(Transaksi!$C$16:$C$5015,MATCH(ROW()-32,Transaksi!$O$16:$O$5015,0))&amp;IF(INDEX(Transaksi!$E$16:$E$5015,MATCH(ROW()-32,Transaksi!$O$16:$O$5015,0))="",""," → "&amp;INDEX(Transaksi!$E$16:$E$5015,MATCH(ROW()-32,Transaksi!$O$16:$O$5015,0))))</f>
        <v/>
      </c>
      <c r="E73" s="105">
        <f>IF(41&gt;MAX(Transaksi!$O$16:$O$5015),"",INDEX(Transaksi!$D$16:$D$5015,MATCH(ROW()-32,Transaksi!$O$16:$O$5015,0)))</f>
        <v/>
      </c>
      <c r="F73" s="105">
        <f>IF(41&gt;MAX(Transaksi!$O$16:$O$5015),"",INDEX(Transaksi!$I$16:$I$5015,MATCH(ROW()-32,Transaksi!$O$16:$O$5015,0)))</f>
        <v/>
      </c>
      <c r="G73" s="106">
        <f>IF(41&gt;MAX(Transaksi!$O$16:$O$5015),"",INDEX(Transaksi!$F$16:$F$5015,MATCH(ROW()-32,Transaksi!$O$16:$O$5015,0)))</f>
        <v/>
      </c>
      <c r="H73" s="156">
        <f>IF(41&gt;MAX(Transaksi!$O$16:$O$5015),"",INDEX(Transaksi!$J$16:$J$5015,MATCH(ROW()-32,Transaksi!$O$16:$O$5015,0)))</f>
        <v/>
      </c>
    </row>
    <row r="74" ht="15" customHeight="1" s="94">
      <c r="B74" s="105">
        <f>IF(42&gt;MAX(Transaksi!$O$16:$O$5015),"",42)</f>
        <v/>
      </c>
      <c r="C74" s="119">
        <f>IF(42&gt;MAX(Transaksi!$O$16:$O$5015),"",INDEX(Transaksi!$B$16:$B$5015,MATCH(ROW()-32,Transaksi!$O$16:$O$5015,0)))</f>
        <v/>
      </c>
      <c r="D74" s="105">
        <f>IF(42&gt;MAX(Transaksi!$O$16:$O$5015),"",INDEX(Transaksi!$C$16:$C$5015,MATCH(ROW()-32,Transaksi!$O$16:$O$5015,0))&amp;IF(INDEX(Transaksi!$E$16:$E$5015,MATCH(ROW()-32,Transaksi!$O$16:$O$5015,0))="",""," → "&amp;INDEX(Transaksi!$E$16:$E$5015,MATCH(ROW()-32,Transaksi!$O$16:$O$5015,0))))</f>
        <v/>
      </c>
      <c r="E74" s="105">
        <f>IF(42&gt;MAX(Transaksi!$O$16:$O$5015),"",INDEX(Transaksi!$D$16:$D$5015,MATCH(ROW()-32,Transaksi!$O$16:$O$5015,0)))</f>
        <v/>
      </c>
      <c r="F74" s="105">
        <f>IF(42&gt;MAX(Transaksi!$O$16:$O$5015),"",INDEX(Transaksi!$I$16:$I$5015,MATCH(ROW()-32,Transaksi!$O$16:$O$5015,0)))</f>
        <v/>
      </c>
      <c r="G74" s="106">
        <f>IF(42&gt;MAX(Transaksi!$O$16:$O$5015),"",INDEX(Transaksi!$F$16:$F$5015,MATCH(ROW()-32,Transaksi!$O$16:$O$5015,0)))</f>
        <v/>
      </c>
      <c r="H74" s="156">
        <f>IF(42&gt;MAX(Transaksi!$O$16:$O$5015),"",INDEX(Transaksi!$J$16:$J$5015,MATCH(ROW()-32,Transaksi!$O$16:$O$5015,0)))</f>
        <v/>
      </c>
    </row>
    <row r="75" ht="15" customHeight="1" s="94">
      <c r="B75" s="105">
        <f>IF(43&gt;MAX(Transaksi!$O$16:$O$5015),"",43)</f>
        <v/>
      </c>
      <c r="C75" s="119">
        <f>IF(43&gt;MAX(Transaksi!$O$16:$O$5015),"",INDEX(Transaksi!$B$16:$B$5015,MATCH(ROW()-32,Transaksi!$O$16:$O$5015,0)))</f>
        <v/>
      </c>
      <c r="D75" s="105">
        <f>IF(43&gt;MAX(Transaksi!$O$16:$O$5015),"",INDEX(Transaksi!$C$16:$C$5015,MATCH(ROW()-32,Transaksi!$O$16:$O$5015,0))&amp;IF(INDEX(Transaksi!$E$16:$E$5015,MATCH(ROW()-32,Transaksi!$O$16:$O$5015,0))="",""," → "&amp;INDEX(Transaksi!$E$16:$E$5015,MATCH(ROW()-32,Transaksi!$O$16:$O$5015,0))))</f>
        <v/>
      </c>
      <c r="E75" s="105">
        <f>IF(43&gt;MAX(Transaksi!$O$16:$O$5015),"",INDEX(Transaksi!$D$16:$D$5015,MATCH(ROW()-32,Transaksi!$O$16:$O$5015,0)))</f>
        <v/>
      </c>
      <c r="F75" s="105">
        <f>IF(43&gt;MAX(Transaksi!$O$16:$O$5015),"",INDEX(Transaksi!$I$16:$I$5015,MATCH(ROW()-32,Transaksi!$O$16:$O$5015,0)))</f>
        <v/>
      </c>
      <c r="G75" s="106">
        <f>IF(43&gt;MAX(Transaksi!$O$16:$O$5015),"",INDEX(Transaksi!$F$16:$F$5015,MATCH(ROW()-32,Transaksi!$O$16:$O$5015,0)))</f>
        <v/>
      </c>
      <c r="H75" s="156">
        <f>IF(43&gt;MAX(Transaksi!$O$16:$O$5015),"",INDEX(Transaksi!$J$16:$J$5015,MATCH(ROW()-32,Transaksi!$O$16:$O$5015,0)))</f>
        <v/>
      </c>
    </row>
    <row r="76" ht="15" customHeight="1" s="94">
      <c r="B76" s="105">
        <f>IF(44&gt;MAX(Transaksi!$O$16:$O$5015),"",44)</f>
        <v/>
      </c>
      <c r="C76" s="119">
        <f>IF(44&gt;MAX(Transaksi!$O$16:$O$5015),"",INDEX(Transaksi!$B$16:$B$5015,MATCH(ROW()-32,Transaksi!$O$16:$O$5015,0)))</f>
        <v/>
      </c>
      <c r="D76" s="105">
        <f>IF(44&gt;MAX(Transaksi!$O$16:$O$5015),"",INDEX(Transaksi!$C$16:$C$5015,MATCH(ROW()-32,Transaksi!$O$16:$O$5015,0))&amp;IF(INDEX(Transaksi!$E$16:$E$5015,MATCH(ROW()-32,Transaksi!$O$16:$O$5015,0))="",""," → "&amp;INDEX(Transaksi!$E$16:$E$5015,MATCH(ROW()-32,Transaksi!$O$16:$O$5015,0))))</f>
        <v/>
      </c>
      <c r="E76" s="105">
        <f>IF(44&gt;MAX(Transaksi!$O$16:$O$5015),"",INDEX(Transaksi!$D$16:$D$5015,MATCH(ROW()-32,Transaksi!$O$16:$O$5015,0)))</f>
        <v/>
      </c>
      <c r="F76" s="105">
        <f>IF(44&gt;MAX(Transaksi!$O$16:$O$5015),"",INDEX(Transaksi!$I$16:$I$5015,MATCH(ROW()-32,Transaksi!$O$16:$O$5015,0)))</f>
        <v/>
      </c>
      <c r="G76" s="106">
        <f>IF(44&gt;MAX(Transaksi!$O$16:$O$5015),"",INDEX(Transaksi!$F$16:$F$5015,MATCH(ROW()-32,Transaksi!$O$16:$O$5015,0)))</f>
        <v/>
      </c>
      <c r="H76" s="156">
        <f>IF(44&gt;MAX(Transaksi!$O$16:$O$5015),"",INDEX(Transaksi!$J$16:$J$5015,MATCH(ROW()-32,Transaksi!$O$16:$O$5015,0)))</f>
        <v/>
      </c>
    </row>
    <row r="77" ht="15" customHeight="1" s="94">
      <c r="B77" s="105">
        <f>IF(45&gt;MAX(Transaksi!$O$16:$O$5015),"",45)</f>
        <v/>
      </c>
      <c r="C77" s="119">
        <f>IF(45&gt;MAX(Transaksi!$O$16:$O$5015),"",INDEX(Transaksi!$B$16:$B$5015,MATCH(ROW()-32,Transaksi!$O$16:$O$5015,0)))</f>
        <v/>
      </c>
      <c r="D77" s="105">
        <f>IF(45&gt;MAX(Transaksi!$O$16:$O$5015),"",INDEX(Transaksi!$C$16:$C$5015,MATCH(ROW()-32,Transaksi!$O$16:$O$5015,0))&amp;IF(INDEX(Transaksi!$E$16:$E$5015,MATCH(ROW()-32,Transaksi!$O$16:$O$5015,0))="",""," → "&amp;INDEX(Transaksi!$E$16:$E$5015,MATCH(ROW()-32,Transaksi!$O$16:$O$5015,0))))</f>
        <v/>
      </c>
      <c r="E77" s="105">
        <f>IF(45&gt;MAX(Transaksi!$O$16:$O$5015),"",INDEX(Transaksi!$D$16:$D$5015,MATCH(ROW()-32,Transaksi!$O$16:$O$5015,0)))</f>
        <v/>
      </c>
      <c r="F77" s="105">
        <f>IF(45&gt;MAX(Transaksi!$O$16:$O$5015),"",INDEX(Transaksi!$I$16:$I$5015,MATCH(ROW()-32,Transaksi!$O$16:$O$5015,0)))</f>
        <v/>
      </c>
      <c r="G77" s="106">
        <f>IF(45&gt;MAX(Transaksi!$O$16:$O$5015),"",INDEX(Transaksi!$F$16:$F$5015,MATCH(ROW()-32,Transaksi!$O$16:$O$5015,0)))</f>
        <v/>
      </c>
      <c r="H77" s="156">
        <f>IF(45&gt;MAX(Transaksi!$O$16:$O$5015),"",INDEX(Transaksi!$J$16:$J$5015,MATCH(ROW()-32,Transaksi!$O$16:$O$5015,0)))</f>
        <v/>
      </c>
    </row>
    <row r="78" ht="15" customHeight="1" s="94">
      <c r="B78" s="105">
        <f>IF(46&gt;MAX(Transaksi!$O$16:$O$5015),"",46)</f>
        <v/>
      </c>
      <c r="C78" s="119">
        <f>IF(46&gt;MAX(Transaksi!$O$16:$O$5015),"",INDEX(Transaksi!$B$16:$B$5015,MATCH(ROW()-32,Transaksi!$O$16:$O$5015,0)))</f>
        <v/>
      </c>
      <c r="D78" s="105">
        <f>IF(46&gt;MAX(Transaksi!$O$16:$O$5015),"",INDEX(Transaksi!$C$16:$C$5015,MATCH(ROW()-32,Transaksi!$O$16:$O$5015,0))&amp;IF(INDEX(Transaksi!$E$16:$E$5015,MATCH(ROW()-32,Transaksi!$O$16:$O$5015,0))="",""," → "&amp;INDEX(Transaksi!$E$16:$E$5015,MATCH(ROW()-32,Transaksi!$O$16:$O$5015,0))))</f>
        <v/>
      </c>
      <c r="E78" s="105">
        <f>IF(46&gt;MAX(Transaksi!$O$16:$O$5015),"",INDEX(Transaksi!$D$16:$D$5015,MATCH(ROW()-32,Transaksi!$O$16:$O$5015,0)))</f>
        <v/>
      </c>
      <c r="F78" s="105">
        <f>IF(46&gt;MAX(Transaksi!$O$16:$O$5015),"",INDEX(Transaksi!$I$16:$I$5015,MATCH(ROW()-32,Transaksi!$O$16:$O$5015,0)))</f>
        <v/>
      </c>
      <c r="G78" s="106">
        <f>IF(46&gt;MAX(Transaksi!$O$16:$O$5015),"",INDEX(Transaksi!$F$16:$F$5015,MATCH(ROW()-32,Transaksi!$O$16:$O$5015,0)))</f>
        <v/>
      </c>
      <c r="H78" s="156">
        <f>IF(46&gt;MAX(Transaksi!$O$16:$O$5015),"",INDEX(Transaksi!$J$16:$J$5015,MATCH(ROW()-32,Transaksi!$O$16:$O$5015,0)))</f>
        <v/>
      </c>
    </row>
    <row r="79" ht="15" customHeight="1" s="94">
      <c r="B79" s="105">
        <f>IF(47&gt;MAX(Transaksi!$O$16:$O$5015),"",47)</f>
        <v/>
      </c>
      <c r="C79" s="119">
        <f>IF(47&gt;MAX(Transaksi!$O$16:$O$5015),"",INDEX(Transaksi!$B$16:$B$5015,MATCH(ROW()-32,Transaksi!$O$16:$O$5015,0)))</f>
        <v/>
      </c>
      <c r="D79" s="105">
        <f>IF(47&gt;MAX(Transaksi!$O$16:$O$5015),"",INDEX(Transaksi!$C$16:$C$5015,MATCH(ROW()-32,Transaksi!$O$16:$O$5015,0))&amp;IF(INDEX(Transaksi!$E$16:$E$5015,MATCH(ROW()-32,Transaksi!$O$16:$O$5015,0))="",""," → "&amp;INDEX(Transaksi!$E$16:$E$5015,MATCH(ROW()-32,Transaksi!$O$16:$O$5015,0))))</f>
        <v/>
      </c>
      <c r="E79" s="105">
        <f>IF(47&gt;MAX(Transaksi!$O$16:$O$5015),"",INDEX(Transaksi!$D$16:$D$5015,MATCH(ROW()-32,Transaksi!$O$16:$O$5015,0)))</f>
        <v/>
      </c>
      <c r="F79" s="105">
        <f>IF(47&gt;MAX(Transaksi!$O$16:$O$5015),"",INDEX(Transaksi!$I$16:$I$5015,MATCH(ROW()-32,Transaksi!$O$16:$O$5015,0)))</f>
        <v/>
      </c>
      <c r="G79" s="106">
        <f>IF(47&gt;MAX(Transaksi!$O$16:$O$5015),"",INDEX(Transaksi!$F$16:$F$5015,MATCH(ROW()-32,Transaksi!$O$16:$O$5015,0)))</f>
        <v/>
      </c>
      <c r="H79" s="156">
        <f>IF(47&gt;MAX(Transaksi!$O$16:$O$5015),"",INDEX(Transaksi!$J$16:$J$5015,MATCH(ROW()-32,Transaksi!$O$16:$O$5015,0)))</f>
        <v/>
      </c>
    </row>
    <row r="80" ht="15" customHeight="1" s="94">
      <c r="B80" s="105">
        <f>IF(48&gt;MAX(Transaksi!$O$16:$O$5015),"",48)</f>
        <v/>
      </c>
      <c r="C80" s="119">
        <f>IF(48&gt;MAX(Transaksi!$O$16:$O$5015),"",INDEX(Transaksi!$B$16:$B$5015,MATCH(ROW()-32,Transaksi!$O$16:$O$5015,0)))</f>
        <v/>
      </c>
      <c r="D80" s="105">
        <f>IF(48&gt;MAX(Transaksi!$O$16:$O$5015),"",INDEX(Transaksi!$C$16:$C$5015,MATCH(ROW()-32,Transaksi!$O$16:$O$5015,0))&amp;IF(INDEX(Transaksi!$E$16:$E$5015,MATCH(ROW()-32,Transaksi!$O$16:$O$5015,0))="",""," → "&amp;INDEX(Transaksi!$E$16:$E$5015,MATCH(ROW()-32,Transaksi!$O$16:$O$5015,0))))</f>
        <v/>
      </c>
      <c r="E80" s="105">
        <f>IF(48&gt;MAX(Transaksi!$O$16:$O$5015),"",INDEX(Transaksi!$D$16:$D$5015,MATCH(ROW()-32,Transaksi!$O$16:$O$5015,0)))</f>
        <v/>
      </c>
      <c r="F80" s="105">
        <f>IF(48&gt;MAX(Transaksi!$O$16:$O$5015),"",INDEX(Transaksi!$I$16:$I$5015,MATCH(ROW()-32,Transaksi!$O$16:$O$5015,0)))</f>
        <v/>
      </c>
      <c r="G80" s="106">
        <f>IF(48&gt;MAX(Transaksi!$O$16:$O$5015),"",INDEX(Transaksi!$F$16:$F$5015,MATCH(ROW()-32,Transaksi!$O$16:$O$5015,0)))</f>
        <v/>
      </c>
      <c r="H80" s="156">
        <f>IF(48&gt;MAX(Transaksi!$O$16:$O$5015),"",INDEX(Transaksi!$J$16:$J$5015,MATCH(ROW()-32,Transaksi!$O$16:$O$5015,0)))</f>
        <v/>
      </c>
    </row>
    <row r="81" ht="15" customHeight="1" s="94">
      <c r="B81" s="105">
        <f>IF(49&gt;MAX(Transaksi!$O$16:$O$5015),"",49)</f>
        <v/>
      </c>
      <c r="C81" s="119">
        <f>IF(49&gt;MAX(Transaksi!$O$16:$O$5015),"",INDEX(Transaksi!$B$16:$B$5015,MATCH(ROW()-32,Transaksi!$O$16:$O$5015,0)))</f>
        <v/>
      </c>
      <c r="D81" s="105">
        <f>IF(49&gt;MAX(Transaksi!$O$16:$O$5015),"",INDEX(Transaksi!$C$16:$C$5015,MATCH(ROW()-32,Transaksi!$O$16:$O$5015,0))&amp;IF(INDEX(Transaksi!$E$16:$E$5015,MATCH(ROW()-32,Transaksi!$O$16:$O$5015,0))="",""," → "&amp;INDEX(Transaksi!$E$16:$E$5015,MATCH(ROW()-32,Transaksi!$O$16:$O$5015,0))))</f>
        <v/>
      </c>
      <c r="E81" s="105">
        <f>IF(49&gt;MAX(Transaksi!$O$16:$O$5015),"",INDEX(Transaksi!$D$16:$D$5015,MATCH(ROW()-32,Transaksi!$O$16:$O$5015,0)))</f>
        <v/>
      </c>
      <c r="F81" s="105">
        <f>IF(49&gt;MAX(Transaksi!$O$16:$O$5015),"",INDEX(Transaksi!$I$16:$I$5015,MATCH(ROW()-32,Transaksi!$O$16:$O$5015,0)))</f>
        <v/>
      </c>
      <c r="G81" s="106">
        <f>IF(49&gt;MAX(Transaksi!$O$16:$O$5015),"",INDEX(Transaksi!$F$16:$F$5015,MATCH(ROW()-32,Transaksi!$O$16:$O$5015,0)))</f>
        <v/>
      </c>
      <c r="H81" s="156">
        <f>IF(49&gt;MAX(Transaksi!$O$16:$O$5015),"",INDEX(Transaksi!$J$16:$J$5015,MATCH(ROW()-32,Transaksi!$O$16:$O$5015,0)))</f>
        <v/>
      </c>
    </row>
    <row r="82" ht="15" customHeight="1" s="94">
      <c r="B82" s="105">
        <f>IF(50&gt;MAX(Transaksi!$O$16:$O$5015),"",50)</f>
        <v/>
      </c>
      <c r="C82" s="119">
        <f>IF(50&gt;MAX(Transaksi!$O$16:$O$5015),"",INDEX(Transaksi!$B$16:$B$5015,MATCH(ROW()-32,Transaksi!$O$16:$O$5015,0)))</f>
        <v/>
      </c>
      <c r="D82" s="105">
        <f>IF(50&gt;MAX(Transaksi!$O$16:$O$5015),"",INDEX(Transaksi!$C$16:$C$5015,MATCH(ROW()-32,Transaksi!$O$16:$O$5015,0))&amp;IF(INDEX(Transaksi!$E$16:$E$5015,MATCH(ROW()-32,Transaksi!$O$16:$O$5015,0))="",""," → "&amp;INDEX(Transaksi!$E$16:$E$5015,MATCH(ROW()-32,Transaksi!$O$16:$O$5015,0))))</f>
        <v/>
      </c>
      <c r="E82" s="105">
        <f>IF(50&gt;MAX(Transaksi!$O$16:$O$5015),"",INDEX(Transaksi!$D$16:$D$5015,MATCH(ROW()-32,Transaksi!$O$16:$O$5015,0)))</f>
        <v/>
      </c>
      <c r="F82" s="105">
        <f>IF(50&gt;MAX(Transaksi!$O$16:$O$5015),"",INDEX(Transaksi!$I$16:$I$5015,MATCH(ROW()-32,Transaksi!$O$16:$O$5015,0)))</f>
        <v/>
      </c>
      <c r="G82" s="106">
        <f>IF(50&gt;MAX(Transaksi!$O$16:$O$5015),"",INDEX(Transaksi!$F$16:$F$5015,MATCH(ROW()-32,Transaksi!$O$16:$O$5015,0)))</f>
        <v/>
      </c>
      <c r="H82" s="156">
        <f>IF(50&gt;MAX(Transaksi!$O$16:$O$5015),"",INDEX(Transaksi!$J$16:$J$5015,MATCH(ROW()-32,Transaksi!$O$16:$O$5015,0)))</f>
        <v/>
      </c>
    </row>
    <row r="83" ht="15" customHeight="1" s="94">
      <c r="B83" s="105">
        <f>IF(51&gt;MAX(Transaksi!$O$16:$O$5015),"",51)</f>
        <v/>
      </c>
      <c r="C83" s="119">
        <f>IF(51&gt;MAX(Transaksi!$O$16:$O$5015),"",INDEX(Transaksi!$B$16:$B$5015,MATCH(ROW()-32,Transaksi!$O$16:$O$5015,0)))</f>
        <v/>
      </c>
      <c r="D83" s="105">
        <f>IF(51&gt;MAX(Transaksi!$O$16:$O$5015),"",INDEX(Transaksi!$C$16:$C$5015,MATCH(ROW()-32,Transaksi!$O$16:$O$5015,0))&amp;IF(INDEX(Transaksi!$E$16:$E$5015,MATCH(ROW()-32,Transaksi!$O$16:$O$5015,0))="",""," → "&amp;INDEX(Transaksi!$E$16:$E$5015,MATCH(ROW()-32,Transaksi!$O$16:$O$5015,0))))</f>
        <v/>
      </c>
      <c r="E83" s="105">
        <f>IF(51&gt;MAX(Transaksi!$O$16:$O$5015),"",INDEX(Transaksi!$D$16:$D$5015,MATCH(ROW()-32,Transaksi!$O$16:$O$5015,0)))</f>
        <v/>
      </c>
      <c r="F83" s="105">
        <f>IF(51&gt;MAX(Transaksi!$O$16:$O$5015),"",INDEX(Transaksi!$I$16:$I$5015,MATCH(ROW()-32,Transaksi!$O$16:$O$5015,0)))</f>
        <v/>
      </c>
      <c r="G83" s="106">
        <f>IF(51&gt;MAX(Transaksi!$O$16:$O$5015),"",INDEX(Transaksi!$F$16:$F$5015,MATCH(ROW()-32,Transaksi!$O$16:$O$5015,0)))</f>
        <v/>
      </c>
      <c r="H83" s="156">
        <f>IF(51&gt;MAX(Transaksi!$O$16:$O$5015),"",INDEX(Transaksi!$J$16:$J$5015,MATCH(ROW()-32,Transaksi!$O$16:$O$5015,0)))</f>
        <v/>
      </c>
    </row>
    <row r="84" ht="15" customHeight="1" s="94">
      <c r="B84" s="105">
        <f>IF(52&gt;MAX(Transaksi!$O$16:$O$5015),"",52)</f>
        <v/>
      </c>
      <c r="C84" s="119">
        <f>IF(52&gt;MAX(Transaksi!$O$16:$O$5015),"",INDEX(Transaksi!$B$16:$B$5015,MATCH(ROW()-32,Transaksi!$O$16:$O$5015,0)))</f>
        <v/>
      </c>
      <c r="D84" s="105">
        <f>IF(52&gt;MAX(Transaksi!$O$16:$O$5015),"",INDEX(Transaksi!$C$16:$C$5015,MATCH(ROW()-32,Transaksi!$O$16:$O$5015,0))&amp;IF(INDEX(Transaksi!$E$16:$E$5015,MATCH(ROW()-32,Transaksi!$O$16:$O$5015,0))="",""," → "&amp;INDEX(Transaksi!$E$16:$E$5015,MATCH(ROW()-32,Transaksi!$O$16:$O$5015,0))))</f>
        <v/>
      </c>
      <c r="E84" s="105">
        <f>IF(52&gt;MAX(Transaksi!$O$16:$O$5015),"",INDEX(Transaksi!$D$16:$D$5015,MATCH(ROW()-32,Transaksi!$O$16:$O$5015,0)))</f>
        <v/>
      </c>
      <c r="F84" s="105">
        <f>IF(52&gt;MAX(Transaksi!$O$16:$O$5015),"",INDEX(Transaksi!$I$16:$I$5015,MATCH(ROW()-32,Transaksi!$O$16:$O$5015,0)))</f>
        <v/>
      </c>
      <c r="G84" s="106">
        <f>IF(52&gt;MAX(Transaksi!$O$16:$O$5015),"",INDEX(Transaksi!$F$16:$F$5015,MATCH(ROW()-32,Transaksi!$O$16:$O$5015,0)))</f>
        <v/>
      </c>
      <c r="H84" s="156">
        <f>IF(52&gt;MAX(Transaksi!$O$16:$O$5015),"",INDEX(Transaksi!$J$16:$J$5015,MATCH(ROW()-32,Transaksi!$O$16:$O$5015,0)))</f>
        <v/>
      </c>
    </row>
    <row r="85" ht="15" customHeight="1" s="94">
      <c r="B85" s="105">
        <f>IF(53&gt;MAX(Transaksi!$O$16:$O$5015),"",53)</f>
        <v/>
      </c>
      <c r="C85" s="119">
        <f>IF(53&gt;MAX(Transaksi!$O$16:$O$5015),"",INDEX(Transaksi!$B$16:$B$5015,MATCH(ROW()-32,Transaksi!$O$16:$O$5015,0)))</f>
        <v/>
      </c>
      <c r="D85" s="105">
        <f>IF(53&gt;MAX(Transaksi!$O$16:$O$5015),"",INDEX(Transaksi!$C$16:$C$5015,MATCH(ROW()-32,Transaksi!$O$16:$O$5015,0))&amp;IF(INDEX(Transaksi!$E$16:$E$5015,MATCH(ROW()-32,Transaksi!$O$16:$O$5015,0))="",""," → "&amp;INDEX(Transaksi!$E$16:$E$5015,MATCH(ROW()-32,Transaksi!$O$16:$O$5015,0))))</f>
        <v/>
      </c>
      <c r="E85" s="105">
        <f>IF(53&gt;MAX(Transaksi!$O$16:$O$5015),"",INDEX(Transaksi!$D$16:$D$5015,MATCH(ROW()-32,Transaksi!$O$16:$O$5015,0)))</f>
        <v/>
      </c>
      <c r="F85" s="105">
        <f>IF(53&gt;MAX(Transaksi!$O$16:$O$5015),"",INDEX(Transaksi!$I$16:$I$5015,MATCH(ROW()-32,Transaksi!$O$16:$O$5015,0)))</f>
        <v/>
      </c>
      <c r="G85" s="106">
        <f>IF(53&gt;MAX(Transaksi!$O$16:$O$5015),"",INDEX(Transaksi!$F$16:$F$5015,MATCH(ROW()-32,Transaksi!$O$16:$O$5015,0)))</f>
        <v/>
      </c>
      <c r="H85" s="156">
        <f>IF(53&gt;MAX(Transaksi!$O$16:$O$5015),"",INDEX(Transaksi!$J$16:$J$5015,MATCH(ROW()-32,Transaksi!$O$16:$O$5015,0)))</f>
        <v/>
      </c>
    </row>
    <row r="86" ht="15" customHeight="1" s="94">
      <c r="B86" s="105">
        <f>IF(54&gt;MAX(Transaksi!$O$16:$O$5015),"",54)</f>
        <v/>
      </c>
      <c r="C86" s="119">
        <f>IF(54&gt;MAX(Transaksi!$O$16:$O$5015),"",INDEX(Transaksi!$B$16:$B$5015,MATCH(ROW()-32,Transaksi!$O$16:$O$5015,0)))</f>
        <v/>
      </c>
      <c r="D86" s="105">
        <f>IF(54&gt;MAX(Transaksi!$O$16:$O$5015),"",INDEX(Transaksi!$C$16:$C$5015,MATCH(ROW()-32,Transaksi!$O$16:$O$5015,0))&amp;IF(INDEX(Transaksi!$E$16:$E$5015,MATCH(ROW()-32,Transaksi!$O$16:$O$5015,0))="",""," → "&amp;INDEX(Transaksi!$E$16:$E$5015,MATCH(ROW()-32,Transaksi!$O$16:$O$5015,0))))</f>
        <v/>
      </c>
      <c r="E86" s="105">
        <f>IF(54&gt;MAX(Transaksi!$O$16:$O$5015),"",INDEX(Transaksi!$D$16:$D$5015,MATCH(ROW()-32,Transaksi!$O$16:$O$5015,0)))</f>
        <v/>
      </c>
      <c r="F86" s="105">
        <f>IF(54&gt;MAX(Transaksi!$O$16:$O$5015),"",INDEX(Transaksi!$I$16:$I$5015,MATCH(ROW()-32,Transaksi!$O$16:$O$5015,0)))</f>
        <v/>
      </c>
      <c r="G86" s="106">
        <f>IF(54&gt;MAX(Transaksi!$O$16:$O$5015),"",INDEX(Transaksi!$F$16:$F$5015,MATCH(ROW()-32,Transaksi!$O$16:$O$5015,0)))</f>
        <v/>
      </c>
      <c r="H86" s="156">
        <f>IF(54&gt;MAX(Transaksi!$O$16:$O$5015),"",INDEX(Transaksi!$J$16:$J$5015,MATCH(ROW()-32,Transaksi!$O$16:$O$5015,0)))</f>
        <v/>
      </c>
    </row>
    <row r="87" ht="15" customHeight="1" s="94">
      <c r="B87" s="105">
        <f>IF(55&gt;MAX(Transaksi!$O$16:$O$5015),"",55)</f>
        <v/>
      </c>
      <c r="C87" s="119">
        <f>IF(55&gt;MAX(Transaksi!$O$16:$O$5015),"",INDEX(Transaksi!$B$16:$B$5015,MATCH(ROW()-32,Transaksi!$O$16:$O$5015,0)))</f>
        <v/>
      </c>
      <c r="D87" s="105">
        <f>IF(55&gt;MAX(Transaksi!$O$16:$O$5015),"",INDEX(Transaksi!$C$16:$C$5015,MATCH(ROW()-32,Transaksi!$O$16:$O$5015,0))&amp;IF(INDEX(Transaksi!$E$16:$E$5015,MATCH(ROW()-32,Transaksi!$O$16:$O$5015,0))="",""," → "&amp;INDEX(Transaksi!$E$16:$E$5015,MATCH(ROW()-32,Transaksi!$O$16:$O$5015,0))))</f>
        <v/>
      </c>
      <c r="E87" s="105">
        <f>IF(55&gt;MAX(Transaksi!$O$16:$O$5015),"",INDEX(Transaksi!$D$16:$D$5015,MATCH(ROW()-32,Transaksi!$O$16:$O$5015,0)))</f>
        <v/>
      </c>
      <c r="F87" s="105">
        <f>IF(55&gt;MAX(Transaksi!$O$16:$O$5015),"",INDEX(Transaksi!$I$16:$I$5015,MATCH(ROW()-32,Transaksi!$O$16:$O$5015,0)))</f>
        <v/>
      </c>
      <c r="G87" s="106">
        <f>IF(55&gt;MAX(Transaksi!$O$16:$O$5015),"",INDEX(Transaksi!$F$16:$F$5015,MATCH(ROW()-32,Transaksi!$O$16:$O$5015,0)))</f>
        <v/>
      </c>
      <c r="H87" s="156">
        <f>IF(55&gt;MAX(Transaksi!$O$16:$O$5015),"",INDEX(Transaksi!$J$16:$J$5015,MATCH(ROW()-32,Transaksi!$O$16:$O$5015,0)))</f>
        <v/>
      </c>
    </row>
    <row r="88" ht="15" customHeight="1" s="94">
      <c r="B88" s="105">
        <f>IF(56&gt;MAX(Transaksi!$O$16:$O$5015),"",56)</f>
        <v/>
      </c>
      <c r="C88" s="119">
        <f>IF(56&gt;MAX(Transaksi!$O$16:$O$5015),"",INDEX(Transaksi!$B$16:$B$5015,MATCH(ROW()-32,Transaksi!$O$16:$O$5015,0)))</f>
        <v/>
      </c>
      <c r="D88" s="105">
        <f>IF(56&gt;MAX(Transaksi!$O$16:$O$5015),"",INDEX(Transaksi!$C$16:$C$5015,MATCH(ROW()-32,Transaksi!$O$16:$O$5015,0))&amp;IF(INDEX(Transaksi!$E$16:$E$5015,MATCH(ROW()-32,Transaksi!$O$16:$O$5015,0))="",""," → "&amp;INDEX(Transaksi!$E$16:$E$5015,MATCH(ROW()-32,Transaksi!$O$16:$O$5015,0))))</f>
        <v/>
      </c>
      <c r="E88" s="105">
        <f>IF(56&gt;MAX(Transaksi!$O$16:$O$5015),"",INDEX(Transaksi!$D$16:$D$5015,MATCH(ROW()-32,Transaksi!$O$16:$O$5015,0)))</f>
        <v/>
      </c>
      <c r="F88" s="105">
        <f>IF(56&gt;MAX(Transaksi!$O$16:$O$5015),"",INDEX(Transaksi!$I$16:$I$5015,MATCH(ROW()-32,Transaksi!$O$16:$O$5015,0)))</f>
        <v/>
      </c>
      <c r="G88" s="106">
        <f>IF(56&gt;MAX(Transaksi!$O$16:$O$5015),"",INDEX(Transaksi!$F$16:$F$5015,MATCH(ROW()-32,Transaksi!$O$16:$O$5015,0)))</f>
        <v/>
      </c>
      <c r="H88" s="156">
        <f>IF(56&gt;MAX(Transaksi!$O$16:$O$5015),"",INDEX(Transaksi!$J$16:$J$5015,MATCH(ROW()-32,Transaksi!$O$16:$O$5015,0)))</f>
        <v/>
      </c>
    </row>
    <row r="89" ht="15" customHeight="1" s="94">
      <c r="B89" s="105">
        <f>IF(57&gt;MAX(Transaksi!$O$16:$O$5015),"",57)</f>
        <v/>
      </c>
      <c r="C89" s="119">
        <f>IF(57&gt;MAX(Transaksi!$O$16:$O$5015),"",INDEX(Transaksi!$B$16:$B$5015,MATCH(ROW()-32,Transaksi!$O$16:$O$5015,0)))</f>
        <v/>
      </c>
      <c r="D89" s="105">
        <f>IF(57&gt;MAX(Transaksi!$O$16:$O$5015),"",INDEX(Transaksi!$C$16:$C$5015,MATCH(ROW()-32,Transaksi!$O$16:$O$5015,0))&amp;IF(INDEX(Transaksi!$E$16:$E$5015,MATCH(ROW()-32,Transaksi!$O$16:$O$5015,0))="",""," → "&amp;INDEX(Transaksi!$E$16:$E$5015,MATCH(ROW()-32,Transaksi!$O$16:$O$5015,0))))</f>
        <v/>
      </c>
      <c r="E89" s="105">
        <f>IF(57&gt;MAX(Transaksi!$O$16:$O$5015),"",INDEX(Transaksi!$D$16:$D$5015,MATCH(ROW()-32,Transaksi!$O$16:$O$5015,0)))</f>
        <v/>
      </c>
      <c r="F89" s="105">
        <f>IF(57&gt;MAX(Transaksi!$O$16:$O$5015),"",INDEX(Transaksi!$I$16:$I$5015,MATCH(ROW()-32,Transaksi!$O$16:$O$5015,0)))</f>
        <v/>
      </c>
      <c r="G89" s="106">
        <f>IF(57&gt;MAX(Transaksi!$O$16:$O$5015),"",INDEX(Transaksi!$F$16:$F$5015,MATCH(ROW()-32,Transaksi!$O$16:$O$5015,0)))</f>
        <v/>
      </c>
      <c r="H89" s="156">
        <f>IF(57&gt;MAX(Transaksi!$O$16:$O$5015),"",INDEX(Transaksi!$J$16:$J$5015,MATCH(ROW()-32,Transaksi!$O$16:$O$5015,0)))</f>
        <v/>
      </c>
    </row>
    <row r="90" ht="15" customHeight="1" s="94">
      <c r="B90" s="105">
        <f>IF(58&gt;MAX(Transaksi!$O$16:$O$5015),"",58)</f>
        <v/>
      </c>
      <c r="C90" s="119">
        <f>IF(58&gt;MAX(Transaksi!$O$16:$O$5015),"",INDEX(Transaksi!$B$16:$B$5015,MATCH(ROW()-32,Transaksi!$O$16:$O$5015,0)))</f>
        <v/>
      </c>
      <c r="D90" s="105">
        <f>IF(58&gt;MAX(Transaksi!$O$16:$O$5015),"",INDEX(Transaksi!$C$16:$C$5015,MATCH(ROW()-32,Transaksi!$O$16:$O$5015,0))&amp;IF(INDEX(Transaksi!$E$16:$E$5015,MATCH(ROW()-32,Transaksi!$O$16:$O$5015,0))="",""," → "&amp;INDEX(Transaksi!$E$16:$E$5015,MATCH(ROW()-32,Transaksi!$O$16:$O$5015,0))))</f>
        <v/>
      </c>
      <c r="E90" s="105">
        <f>IF(58&gt;MAX(Transaksi!$O$16:$O$5015),"",INDEX(Transaksi!$D$16:$D$5015,MATCH(ROW()-32,Transaksi!$O$16:$O$5015,0)))</f>
        <v/>
      </c>
      <c r="F90" s="105">
        <f>IF(58&gt;MAX(Transaksi!$O$16:$O$5015),"",INDEX(Transaksi!$I$16:$I$5015,MATCH(ROW()-32,Transaksi!$O$16:$O$5015,0)))</f>
        <v/>
      </c>
      <c r="G90" s="106">
        <f>IF(58&gt;MAX(Transaksi!$O$16:$O$5015),"",INDEX(Transaksi!$F$16:$F$5015,MATCH(ROW()-32,Transaksi!$O$16:$O$5015,0)))</f>
        <v/>
      </c>
      <c r="H90" s="156">
        <f>IF(58&gt;MAX(Transaksi!$O$16:$O$5015),"",INDEX(Transaksi!$J$16:$J$5015,MATCH(ROW()-32,Transaksi!$O$16:$O$5015,0)))</f>
        <v/>
      </c>
    </row>
    <row r="91" ht="15" customHeight="1" s="94">
      <c r="B91" s="105">
        <f>IF(59&gt;MAX(Transaksi!$O$16:$O$5015),"",59)</f>
        <v/>
      </c>
      <c r="C91" s="119">
        <f>IF(59&gt;MAX(Transaksi!$O$16:$O$5015),"",INDEX(Transaksi!$B$16:$B$5015,MATCH(ROW()-32,Transaksi!$O$16:$O$5015,0)))</f>
        <v/>
      </c>
      <c r="D91" s="105">
        <f>IF(59&gt;MAX(Transaksi!$O$16:$O$5015),"",INDEX(Transaksi!$C$16:$C$5015,MATCH(ROW()-32,Transaksi!$O$16:$O$5015,0))&amp;IF(INDEX(Transaksi!$E$16:$E$5015,MATCH(ROW()-32,Transaksi!$O$16:$O$5015,0))="",""," → "&amp;INDEX(Transaksi!$E$16:$E$5015,MATCH(ROW()-32,Transaksi!$O$16:$O$5015,0))))</f>
        <v/>
      </c>
      <c r="E91" s="105">
        <f>IF(59&gt;MAX(Transaksi!$O$16:$O$5015),"",INDEX(Transaksi!$D$16:$D$5015,MATCH(ROW()-32,Transaksi!$O$16:$O$5015,0)))</f>
        <v/>
      </c>
      <c r="F91" s="105">
        <f>IF(59&gt;MAX(Transaksi!$O$16:$O$5015),"",INDEX(Transaksi!$I$16:$I$5015,MATCH(ROW()-32,Transaksi!$O$16:$O$5015,0)))</f>
        <v/>
      </c>
      <c r="G91" s="106">
        <f>IF(59&gt;MAX(Transaksi!$O$16:$O$5015),"",INDEX(Transaksi!$F$16:$F$5015,MATCH(ROW()-32,Transaksi!$O$16:$O$5015,0)))</f>
        <v/>
      </c>
      <c r="H91" s="156">
        <f>IF(59&gt;MAX(Transaksi!$O$16:$O$5015),"",INDEX(Transaksi!$J$16:$J$5015,MATCH(ROW()-32,Transaksi!$O$16:$O$5015,0)))</f>
        <v/>
      </c>
    </row>
    <row r="92" ht="15" customHeight="1" s="94">
      <c r="B92" s="105">
        <f>IF(60&gt;MAX(Transaksi!$O$16:$O$5015),"",60)</f>
        <v/>
      </c>
      <c r="C92" s="119">
        <f>IF(60&gt;MAX(Transaksi!$O$16:$O$5015),"",INDEX(Transaksi!$B$16:$B$5015,MATCH(ROW()-32,Transaksi!$O$16:$O$5015,0)))</f>
        <v/>
      </c>
      <c r="D92" s="105">
        <f>IF(60&gt;MAX(Transaksi!$O$16:$O$5015),"",INDEX(Transaksi!$C$16:$C$5015,MATCH(ROW()-32,Transaksi!$O$16:$O$5015,0))&amp;IF(INDEX(Transaksi!$E$16:$E$5015,MATCH(ROW()-32,Transaksi!$O$16:$O$5015,0))="",""," → "&amp;INDEX(Transaksi!$E$16:$E$5015,MATCH(ROW()-32,Transaksi!$O$16:$O$5015,0))))</f>
        <v/>
      </c>
      <c r="E92" s="105">
        <f>IF(60&gt;MAX(Transaksi!$O$16:$O$5015),"",INDEX(Transaksi!$D$16:$D$5015,MATCH(ROW()-32,Transaksi!$O$16:$O$5015,0)))</f>
        <v/>
      </c>
      <c r="F92" s="105">
        <f>IF(60&gt;MAX(Transaksi!$O$16:$O$5015),"",INDEX(Transaksi!$I$16:$I$5015,MATCH(ROW()-32,Transaksi!$O$16:$O$5015,0)))</f>
        <v/>
      </c>
      <c r="G92" s="106">
        <f>IF(60&gt;MAX(Transaksi!$O$16:$O$5015),"",INDEX(Transaksi!$F$16:$F$5015,MATCH(ROW()-32,Transaksi!$O$16:$O$5015,0)))</f>
        <v/>
      </c>
      <c r="H92" s="156">
        <f>IF(60&gt;MAX(Transaksi!$O$16:$O$5015),"",INDEX(Transaksi!$J$16:$J$5015,MATCH(ROW()-32,Transaksi!$O$16:$O$5015,0)))</f>
        <v/>
      </c>
    </row>
    <row r="93" ht="15" customHeight="1" s="94">
      <c r="B93" s="105">
        <f>IF(61&gt;MAX(Transaksi!$O$16:$O$5015),"",61)</f>
        <v/>
      </c>
      <c r="C93" s="119">
        <f>IF(61&gt;MAX(Transaksi!$O$16:$O$5015),"",INDEX(Transaksi!$B$16:$B$5015,MATCH(ROW()-32,Transaksi!$O$16:$O$5015,0)))</f>
        <v/>
      </c>
      <c r="D93" s="105">
        <f>IF(61&gt;MAX(Transaksi!$O$16:$O$5015),"",INDEX(Transaksi!$C$16:$C$5015,MATCH(ROW()-32,Transaksi!$O$16:$O$5015,0))&amp;IF(INDEX(Transaksi!$E$16:$E$5015,MATCH(ROW()-32,Transaksi!$O$16:$O$5015,0))="",""," → "&amp;INDEX(Transaksi!$E$16:$E$5015,MATCH(ROW()-32,Transaksi!$O$16:$O$5015,0))))</f>
        <v/>
      </c>
      <c r="E93" s="105">
        <f>IF(61&gt;MAX(Transaksi!$O$16:$O$5015),"",INDEX(Transaksi!$D$16:$D$5015,MATCH(ROW()-32,Transaksi!$O$16:$O$5015,0)))</f>
        <v/>
      </c>
      <c r="F93" s="105">
        <f>IF(61&gt;MAX(Transaksi!$O$16:$O$5015),"",INDEX(Transaksi!$I$16:$I$5015,MATCH(ROW()-32,Transaksi!$O$16:$O$5015,0)))</f>
        <v/>
      </c>
      <c r="G93" s="106">
        <f>IF(61&gt;MAX(Transaksi!$O$16:$O$5015),"",INDEX(Transaksi!$F$16:$F$5015,MATCH(ROW()-32,Transaksi!$O$16:$O$5015,0)))</f>
        <v/>
      </c>
      <c r="H93" s="156">
        <f>IF(61&gt;MAX(Transaksi!$O$16:$O$5015),"",INDEX(Transaksi!$J$16:$J$5015,MATCH(ROW()-32,Transaksi!$O$16:$O$5015,0)))</f>
        <v/>
      </c>
    </row>
    <row r="94" ht="15" customHeight="1" s="94">
      <c r="B94" s="105">
        <f>IF(62&gt;MAX(Transaksi!$O$16:$O$5015),"",62)</f>
        <v/>
      </c>
      <c r="C94" s="119">
        <f>IF(62&gt;MAX(Transaksi!$O$16:$O$5015),"",INDEX(Transaksi!$B$16:$B$5015,MATCH(ROW()-32,Transaksi!$O$16:$O$5015,0)))</f>
        <v/>
      </c>
      <c r="D94" s="105">
        <f>IF(62&gt;MAX(Transaksi!$O$16:$O$5015),"",INDEX(Transaksi!$C$16:$C$5015,MATCH(ROW()-32,Transaksi!$O$16:$O$5015,0))&amp;IF(INDEX(Transaksi!$E$16:$E$5015,MATCH(ROW()-32,Transaksi!$O$16:$O$5015,0))="",""," → "&amp;INDEX(Transaksi!$E$16:$E$5015,MATCH(ROW()-32,Transaksi!$O$16:$O$5015,0))))</f>
        <v/>
      </c>
      <c r="E94" s="105">
        <f>IF(62&gt;MAX(Transaksi!$O$16:$O$5015),"",INDEX(Transaksi!$D$16:$D$5015,MATCH(ROW()-32,Transaksi!$O$16:$O$5015,0)))</f>
        <v/>
      </c>
      <c r="F94" s="105">
        <f>IF(62&gt;MAX(Transaksi!$O$16:$O$5015),"",INDEX(Transaksi!$I$16:$I$5015,MATCH(ROW()-32,Transaksi!$O$16:$O$5015,0)))</f>
        <v/>
      </c>
      <c r="G94" s="106">
        <f>IF(62&gt;MAX(Transaksi!$O$16:$O$5015),"",INDEX(Transaksi!$F$16:$F$5015,MATCH(ROW()-32,Transaksi!$O$16:$O$5015,0)))</f>
        <v/>
      </c>
      <c r="H94" s="156">
        <f>IF(62&gt;MAX(Transaksi!$O$16:$O$5015),"",INDEX(Transaksi!$J$16:$J$5015,MATCH(ROW()-32,Transaksi!$O$16:$O$5015,0)))</f>
        <v/>
      </c>
    </row>
    <row r="95" ht="15" customHeight="1" s="94">
      <c r="B95" s="105">
        <f>IF(63&gt;MAX(Transaksi!$O$16:$O$5015),"",63)</f>
        <v/>
      </c>
      <c r="C95" s="119">
        <f>IF(63&gt;MAX(Transaksi!$O$16:$O$5015),"",INDEX(Transaksi!$B$16:$B$5015,MATCH(ROW()-32,Transaksi!$O$16:$O$5015,0)))</f>
        <v/>
      </c>
      <c r="D95" s="105">
        <f>IF(63&gt;MAX(Transaksi!$O$16:$O$5015),"",INDEX(Transaksi!$C$16:$C$5015,MATCH(ROW()-32,Transaksi!$O$16:$O$5015,0))&amp;IF(INDEX(Transaksi!$E$16:$E$5015,MATCH(ROW()-32,Transaksi!$O$16:$O$5015,0))="",""," → "&amp;INDEX(Transaksi!$E$16:$E$5015,MATCH(ROW()-32,Transaksi!$O$16:$O$5015,0))))</f>
        <v/>
      </c>
      <c r="E95" s="105">
        <f>IF(63&gt;MAX(Transaksi!$O$16:$O$5015),"",INDEX(Transaksi!$D$16:$D$5015,MATCH(ROW()-32,Transaksi!$O$16:$O$5015,0)))</f>
        <v/>
      </c>
      <c r="F95" s="105">
        <f>IF(63&gt;MAX(Transaksi!$O$16:$O$5015),"",INDEX(Transaksi!$I$16:$I$5015,MATCH(ROW()-32,Transaksi!$O$16:$O$5015,0)))</f>
        <v/>
      </c>
      <c r="G95" s="106">
        <f>IF(63&gt;MAX(Transaksi!$O$16:$O$5015),"",INDEX(Transaksi!$F$16:$F$5015,MATCH(ROW()-32,Transaksi!$O$16:$O$5015,0)))</f>
        <v/>
      </c>
      <c r="H95" s="156">
        <f>IF(63&gt;MAX(Transaksi!$O$16:$O$5015),"",INDEX(Transaksi!$J$16:$J$5015,MATCH(ROW()-32,Transaksi!$O$16:$O$5015,0)))</f>
        <v/>
      </c>
    </row>
    <row r="96" ht="15" customHeight="1" s="94">
      <c r="B96" s="105">
        <f>IF(64&gt;MAX(Transaksi!$O$16:$O$5015),"",64)</f>
        <v/>
      </c>
      <c r="C96" s="119">
        <f>IF(64&gt;MAX(Transaksi!$O$16:$O$5015),"",INDEX(Transaksi!$B$16:$B$5015,MATCH(ROW()-32,Transaksi!$O$16:$O$5015,0)))</f>
        <v/>
      </c>
      <c r="D96" s="105">
        <f>IF(64&gt;MAX(Transaksi!$O$16:$O$5015),"",INDEX(Transaksi!$C$16:$C$5015,MATCH(ROW()-32,Transaksi!$O$16:$O$5015,0))&amp;IF(INDEX(Transaksi!$E$16:$E$5015,MATCH(ROW()-32,Transaksi!$O$16:$O$5015,0))="",""," → "&amp;INDEX(Transaksi!$E$16:$E$5015,MATCH(ROW()-32,Transaksi!$O$16:$O$5015,0))))</f>
        <v/>
      </c>
      <c r="E96" s="105">
        <f>IF(64&gt;MAX(Transaksi!$O$16:$O$5015),"",INDEX(Transaksi!$D$16:$D$5015,MATCH(ROW()-32,Transaksi!$O$16:$O$5015,0)))</f>
        <v/>
      </c>
      <c r="F96" s="105">
        <f>IF(64&gt;MAX(Transaksi!$O$16:$O$5015),"",INDEX(Transaksi!$I$16:$I$5015,MATCH(ROW()-32,Transaksi!$O$16:$O$5015,0)))</f>
        <v/>
      </c>
      <c r="G96" s="106">
        <f>IF(64&gt;MAX(Transaksi!$O$16:$O$5015),"",INDEX(Transaksi!$F$16:$F$5015,MATCH(ROW()-32,Transaksi!$O$16:$O$5015,0)))</f>
        <v/>
      </c>
      <c r="H96" s="156">
        <f>IF(64&gt;MAX(Transaksi!$O$16:$O$5015),"",INDEX(Transaksi!$J$16:$J$5015,MATCH(ROW()-32,Transaksi!$O$16:$O$5015,0)))</f>
        <v/>
      </c>
    </row>
    <row r="97" ht="15" customHeight="1" s="94">
      <c r="B97" s="105">
        <f>IF(65&gt;MAX(Transaksi!$O$16:$O$5015),"",65)</f>
        <v/>
      </c>
      <c r="C97" s="119">
        <f>IF(65&gt;MAX(Transaksi!$O$16:$O$5015),"",INDEX(Transaksi!$B$16:$B$5015,MATCH(ROW()-32,Transaksi!$O$16:$O$5015,0)))</f>
        <v/>
      </c>
      <c r="D97" s="105">
        <f>IF(65&gt;MAX(Transaksi!$O$16:$O$5015),"",INDEX(Transaksi!$C$16:$C$5015,MATCH(ROW()-32,Transaksi!$O$16:$O$5015,0))&amp;IF(INDEX(Transaksi!$E$16:$E$5015,MATCH(ROW()-32,Transaksi!$O$16:$O$5015,0))="",""," → "&amp;INDEX(Transaksi!$E$16:$E$5015,MATCH(ROW()-32,Transaksi!$O$16:$O$5015,0))))</f>
        <v/>
      </c>
      <c r="E97" s="105">
        <f>IF(65&gt;MAX(Transaksi!$O$16:$O$5015),"",INDEX(Transaksi!$D$16:$D$5015,MATCH(ROW()-32,Transaksi!$O$16:$O$5015,0)))</f>
        <v/>
      </c>
      <c r="F97" s="105">
        <f>IF(65&gt;MAX(Transaksi!$O$16:$O$5015),"",INDEX(Transaksi!$I$16:$I$5015,MATCH(ROW()-32,Transaksi!$O$16:$O$5015,0)))</f>
        <v/>
      </c>
      <c r="G97" s="106">
        <f>IF(65&gt;MAX(Transaksi!$O$16:$O$5015),"",INDEX(Transaksi!$F$16:$F$5015,MATCH(ROW()-32,Transaksi!$O$16:$O$5015,0)))</f>
        <v/>
      </c>
      <c r="H97" s="156">
        <f>IF(65&gt;MAX(Transaksi!$O$16:$O$5015),"",INDEX(Transaksi!$J$16:$J$5015,MATCH(ROW()-32,Transaksi!$O$16:$O$5015,0)))</f>
        <v/>
      </c>
    </row>
    <row r="98" ht="15" customHeight="1" s="94">
      <c r="B98" s="105">
        <f>IF(66&gt;MAX(Transaksi!$O$16:$O$5015),"",66)</f>
        <v/>
      </c>
      <c r="C98" s="119">
        <f>IF(66&gt;MAX(Transaksi!$O$16:$O$5015),"",INDEX(Transaksi!$B$16:$B$5015,MATCH(ROW()-32,Transaksi!$O$16:$O$5015,0)))</f>
        <v/>
      </c>
      <c r="D98" s="105">
        <f>IF(66&gt;MAX(Transaksi!$O$16:$O$5015),"",INDEX(Transaksi!$C$16:$C$5015,MATCH(ROW()-32,Transaksi!$O$16:$O$5015,0))&amp;IF(INDEX(Transaksi!$E$16:$E$5015,MATCH(ROW()-32,Transaksi!$O$16:$O$5015,0))="",""," → "&amp;INDEX(Transaksi!$E$16:$E$5015,MATCH(ROW()-32,Transaksi!$O$16:$O$5015,0))))</f>
        <v/>
      </c>
      <c r="E98" s="105">
        <f>IF(66&gt;MAX(Transaksi!$O$16:$O$5015),"",INDEX(Transaksi!$D$16:$D$5015,MATCH(ROW()-32,Transaksi!$O$16:$O$5015,0)))</f>
        <v/>
      </c>
      <c r="F98" s="105">
        <f>IF(66&gt;MAX(Transaksi!$O$16:$O$5015),"",INDEX(Transaksi!$I$16:$I$5015,MATCH(ROW()-32,Transaksi!$O$16:$O$5015,0)))</f>
        <v/>
      </c>
      <c r="G98" s="106">
        <f>IF(66&gt;MAX(Transaksi!$O$16:$O$5015),"",INDEX(Transaksi!$F$16:$F$5015,MATCH(ROW()-32,Transaksi!$O$16:$O$5015,0)))</f>
        <v/>
      </c>
      <c r="H98" s="156">
        <f>IF(66&gt;MAX(Transaksi!$O$16:$O$5015),"",INDEX(Transaksi!$J$16:$J$5015,MATCH(ROW()-32,Transaksi!$O$16:$O$5015,0)))</f>
        <v/>
      </c>
    </row>
    <row r="99" ht="15" customHeight="1" s="94">
      <c r="B99" s="105">
        <f>IF(67&gt;MAX(Transaksi!$O$16:$O$5015),"",67)</f>
        <v/>
      </c>
      <c r="C99" s="119">
        <f>IF(67&gt;MAX(Transaksi!$O$16:$O$5015),"",INDEX(Transaksi!$B$16:$B$5015,MATCH(ROW()-32,Transaksi!$O$16:$O$5015,0)))</f>
        <v/>
      </c>
      <c r="D99" s="105">
        <f>IF(67&gt;MAX(Transaksi!$O$16:$O$5015),"",INDEX(Transaksi!$C$16:$C$5015,MATCH(ROW()-32,Transaksi!$O$16:$O$5015,0))&amp;IF(INDEX(Transaksi!$E$16:$E$5015,MATCH(ROW()-32,Transaksi!$O$16:$O$5015,0))="",""," → "&amp;INDEX(Transaksi!$E$16:$E$5015,MATCH(ROW()-32,Transaksi!$O$16:$O$5015,0))))</f>
        <v/>
      </c>
      <c r="E99" s="105">
        <f>IF(67&gt;MAX(Transaksi!$O$16:$O$5015),"",INDEX(Transaksi!$D$16:$D$5015,MATCH(ROW()-32,Transaksi!$O$16:$O$5015,0)))</f>
        <v/>
      </c>
      <c r="F99" s="105">
        <f>IF(67&gt;MAX(Transaksi!$O$16:$O$5015),"",INDEX(Transaksi!$I$16:$I$5015,MATCH(ROW()-32,Transaksi!$O$16:$O$5015,0)))</f>
        <v/>
      </c>
      <c r="G99" s="106">
        <f>IF(67&gt;MAX(Transaksi!$O$16:$O$5015),"",INDEX(Transaksi!$F$16:$F$5015,MATCH(ROW()-32,Transaksi!$O$16:$O$5015,0)))</f>
        <v/>
      </c>
      <c r="H99" s="156">
        <f>IF(67&gt;MAX(Transaksi!$O$16:$O$5015),"",INDEX(Transaksi!$J$16:$J$5015,MATCH(ROW()-32,Transaksi!$O$16:$O$5015,0)))</f>
        <v/>
      </c>
    </row>
    <row r="100" ht="15" customHeight="1" s="94">
      <c r="B100" s="105">
        <f>IF(68&gt;MAX(Transaksi!$O$16:$O$5015),"",68)</f>
        <v/>
      </c>
      <c r="C100" s="119">
        <f>IF(68&gt;MAX(Transaksi!$O$16:$O$5015),"",INDEX(Transaksi!$B$16:$B$5015,MATCH(ROW()-32,Transaksi!$O$16:$O$5015,0)))</f>
        <v/>
      </c>
      <c r="D100" s="105">
        <f>IF(68&gt;MAX(Transaksi!$O$16:$O$5015),"",INDEX(Transaksi!$C$16:$C$5015,MATCH(ROW()-32,Transaksi!$O$16:$O$5015,0))&amp;IF(INDEX(Transaksi!$E$16:$E$5015,MATCH(ROW()-32,Transaksi!$O$16:$O$5015,0))="",""," → "&amp;INDEX(Transaksi!$E$16:$E$5015,MATCH(ROW()-32,Transaksi!$O$16:$O$5015,0))))</f>
        <v/>
      </c>
      <c r="E100" s="105">
        <f>IF(68&gt;MAX(Transaksi!$O$16:$O$5015),"",INDEX(Transaksi!$D$16:$D$5015,MATCH(ROW()-32,Transaksi!$O$16:$O$5015,0)))</f>
        <v/>
      </c>
      <c r="F100" s="105">
        <f>IF(68&gt;MAX(Transaksi!$O$16:$O$5015),"",INDEX(Transaksi!$I$16:$I$5015,MATCH(ROW()-32,Transaksi!$O$16:$O$5015,0)))</f>
        <v/>
      </c>
      <c r="G100" s="106">
        <f>IF(68&gt;MAX(Transaksi!$O$16:$O$5015),"",INDEX(Transaksi!$F$16:$F$5015,MATCH(ROW()-32,Transaksi!$O$16:$O$5015,0)))</f>
        <v/>
      </c>
      <c r="H100" s="156">
        <f>IF(68&gt;MAX(Transaksi!$O$16:$O$5015),"",INDEX(Transaksi!$J$16:$J$5015,MATCH(ROW()-32,Transaksi!$O$16:$O$5015,0)))</f>
        <v/>
      </c>
    </row>
    <row r="101" ht="15" customHeight="1" s="94">
      <c r="B101" s="105">
        <f>IF(69&gt;MAX(Transaksi!$O$16:$O$5015),"",69)</f>
        <v/>
      </c>
      <c r="C101" s="119">
        <f>IF(69&gt;MAX(Transaksi!$O$16:$O$5015),"",INDEX(Transaksi!$B$16:$B$5015,MATCH(ROW()-32,Transaksi!$O$16:$O$5015,0)))</f>
        <v/>
      </c>
      <c r="D101" s="105">
        <f>IF(69&gt;MAX(Transaksi!$O$16:$O$5015),"",INDEX(Transaksi!$C$16:$C$5015,MATCH(ROW()-32,Transaksi!$O$16:$O$5015,0))&amp;IF(INDEX(Transaksi!$E$16:$E$5015,MATCH(ROW()-32,Transaksi!$O$16:$O$5015,0))="",""," → "&amp;INDEX(Transaksi!$E$16:$E$5015,MATCH(ROW()-32,Transaksi!$O$16:$O$5015,0))))</f>
        <v/>
      </c>
      <c r="E101" s="105">
        <f>IF(69&gt;MAX(Transaksi!$O$16:$O$5015),"",INDEX(Transaksi!$D$16:$D$5015,MATCH(ROW()-32,Transaksi!$O$16:$O$5015,0)))</f>
        <v/>
      </c>
      <c r="F101" s="105">
        <f>IF(69&gt;MAX(Transaksi!$O$16:$O$5015),"",INDEX(Transaksi!$I$16:$I$5015,MATCH(ROW()-32,Transaksi!$O$16:$O$5015,0)))</f>
        <v/>
      </c>
      <c r="G101" s="106">
        <f>IF(69&gt;MAX(Transaksi!$O$16:$O$5015),"",INDEX(Transaksi!$F$16:$F$5015,MATCH(ROW()-32,Transaksi!$O$16:$O$5015,0)))</f>
        <v/>
      </c>
      <c r="H101" s="156">
        <f>IF(69&gt;MAX(Transaksi!$O$16:$O$5015),"",INDEX(Transaksi!$J$16:$J$5015,MATCH(ROW()-32,Transaksi!$O$16:$O$5015,0)))</f>
        <v/>
      </c>
    </row>
    <row r="102" ht="15" customHeight="1" s="94">
      <c r="B102" s="105">
        <f>IF(70&gt;MAX(Transaksi!$O$16:$O$5015),"",70)</f>
        <v/>
      </c>
      <c r="C102" s="119">
        <f>IF(70&gt;MAX(Transaksi!$O$16:$O$5015),"",INDEX(Transaksi!$B$16:$B$5015,MATCH(ROW()-32,Transaksi!$O$16:$O$5015,0)))</f>
        <v/>
      </c>
      <c r="D102" s="105">
        <f>IF(70&gt;MAX(Transaksi!$O$16:$O$5015),"",INDEX(Transaksi!$C$16:$C$5015,MATCH(ROW()-32,Transaksi!$O$16:$O$5015,0))&amp;IF(INDEX(Transaksi!$E$16:$E$5015,MATCH(ROW()-32,Transaksi!$O$16:$O$5015,0))="",""," → "&amp;INDEX(Transaksi!$E$16:$E$5015,MATCH(ROW()-32,Transaksi!$O$16:$O$5015,0))))</f>
        <v/>
      </c>
      <c r="E102" s="105">
        <f>IF(70&gt;MAX(Transaksi!$O$16:$O$5015),"",INDEX(Transaksi!$D$16:$D$5015,MATCH(ROW()-32,Transaksi!$O$16:$O$5015,0)))</f>
        <v/>
      </c>
      <c r="F102" s="105">
        <f>IF(70&gt;MAX(Transaksi!$O$16:$O$5015),"",INDEX(Transaksi!$I$16:$I$5015,MATCH(ROW()-32,Transaksi!$O$16:$O$5015,0)))</f>
        <v/>
      </c>
      <c r="G102" s="106">
        <f>IF(70&gt;MAX(Transaksi!$O$16:$O$5015),"",INDEX(Transaksi!$F$16:$F$5015,MATCH(ROW()-32,Transaksi!$O$16:$O$5015,0)))</f>
        <v/>
      </c>
      <c r="H102" s="156">
        <f>IF(70&gt;MAX(Transaksi!$O$16:$O$5015),"",INDEX(Transaksi!$J$16:$J$5015,MATCH(ROW()-32,Transaksi!$O$16:$O$5015,0)))</f>
        <v/>
      </c>
    </row>
    <row r="103" ht="15" customHeight="1" s="94">
      <c r="B103" s="105">
        <f>IF(71&gt;MAX(Transaksi!$O$16:$O$5015),"",71)</f>
        <v/>
      </c>
      <c r="C103" s="119">
        <f>IF(71&gt;MAX(Transaksi!$O$16:$O$5015),"",INDEX(Transaksi!$B$16:$B$5015,MATCH(ROW()-32,Transaksi!$O$16:$O$5015,0)))</f>
        <v/>
      </c>
      <c r="D103" s="105">
        <f>IF(71&gt;MAX(Transaksi!$O$16:$O$5015),"",INDEX(Transaksi!$C$16:$C$5015,MATCH(ROW()-32,Transaksi!$O$16:$O$5015,0))&amp;IF(INDEX(Transaksi!$E$16:$E$5015,MATCH(ROW()-32,Transaksi!$O$16:$O$5015,0))="",""," → "&amp;INDEX(Transaksi!$E$16:$E$5015,MATCH(ROW()-32,Transaksi!$O$16:$O$5015,0))))</f>
        <v/>
      </c>
      <c r="E103" s="105">
        <f>IF(71&gt;MAX(Transaksi!$O$16:$O$5015),"",INDEX(Transaksi!$D$16:$D$5015,MATCH(ROW()-32,Transaksi!$O$16:$O$5015,0)))</f>
        <v/>
      </c>
      <c r="F103" s="105">
        <f>IF(71&gt;MAX(Transaksi!$O$16:$O$5015),"",INDEX(Transaksi!$I$16:$I$5015,MATCH(ROW()-32,Transaksi!$O$16:$O$5015,0)))</f>
        <v/>
      </c>
      <c r="G103" s="106">
        <f>IF(71&gt;MAX(Transaksi!$O$16:$O$5015),"",INDEX(Transaksi!$F$16:$F$5015,MATCH(ROW()-32,Transaksi!$O$16:$O$5015,0)))</f>
        <v/>
      </c>
      <c r="H103" s="156">
        <f>IF(71&gt;MAX(Transaksi!$O$16:$O$5015),"",INDEX(Transaksi!$J$16:$J$5015,MATCH(ROW()-32,Transaksi!$O$16:$O$5015,0)))</f>
        <v/>
      </c>
    </row>
    <row r="104" ht="15" customHeight="1" s="94">
      <c r="B104" s="105">
        <f>IF(72&gt;MAX(Transaksi!$O$16:$O$5015),"",72)</f>
        <v/>
      </c>
      <c r="C104" s="119">
        <f>IF(72&gt;MAX(Transaksi!$O$16:$O$5015),"",INDEX(Transaksi!$B$16:$B$5015,MATCH(ROW()-32,Transaksi!$O$16:$O$5015,0)))</f>
        <v/>
      </c>
      <c r="D104" s="105">
        <f>IF(72&gt;MAX(Transaksi!$O$16:$O$5015),"",INDEX(Transaksi!$C$16:$C$5015,MATCH(ROW()-32,Transaksi!$O$16:$O$5015,0))&amp;IF(INDEX(Transaksi!$E$16:$E$5015,MATCH(ROW()-32,Transaksi!$O$16:$O$5015,0))="",""," → "&amp;INDEX(Transaksi!$E$16:$E$5015,MATCH(ROW()-32,Transaksi!$O$16:$O$5015,0))))</f>
        <v/>
      </c>
      <c r="E104" s="105">
        <f>IF(72&gt;MAX(Transaksi!$O$16:$O$5015),"",INDEX(Transaksi!$D$16:$D$5015,MATCH(ROW()-32,Transaksi!$O$16:$O$5015,0)))</f>
        <v/>
      </c>
      <c r="F104" s="105">
        <f>IF(72&gt;MAX(Transaksi!$O$16:$O$5015),"",INDEX(Transaksi!$I$16:$I$5015,MATCH(ROW()-32,Transaksi!$O$16:$O$5015,0)))</f>
        <v/>
      </c>
      <c r="G104" s="106">
        <f>IF(72&gt;MAX(Transaksi!$O$16:$O$5015),"",INDEX(Transaksi!$F$16:$F$5015,MATCH(ROW()-32,Transaksi!$O$16:$O$5015,0)))</f>
        <v/>
      </c>
      <c r="H104" s="156">
        <f>IF(72&gt;MAX(Transaksi!$O$16:$O$5015),"",INDEX(Transaksi!$J$16:$J$5015,MATCH(ROW()-32,Transaksi!$O$16:$O$5015,0)))</f>
        <v/>
      </c>
    </row>
    <row r="105" ht="15" customHeight="1" s="94">
      <c r="B105" s="105">
        <f>IF(73&gt;MAX(Transaksi!$O$16:$O$5015),"",73)</f>
        <v/>
      </c>
      <c r="C105" s="119">
        <f>IF(73&gt;MAX(Transaksi!$O$16:$O$5015),"",INDEX(Transaksi!$B$16:$B$5015,MATCH(ROW()-32,Transaksi!$O$16:$O$5015,0)))</f>
        <v/>
      </c>
      <c r="D105" s="105">
        <f>IF(73&gt;MAX(Transaksi!$O$16:$O$5015),"",INDEX(Transaksi!$C$16:$C$5015,MATCH(ROW()-32,Transaksi!$O$16:$O$5015,0))&amp;IF(INDEX(Transaksi!$E$16:$E$5015,MATCH(ROW()-32,Transaksi!$O$16:$O$5015,0))="",""," → "&amp;INDEX(Transaksi!$E$16:$E$5015,MATCH(ROW()-32,Transaksi!$O$16:$O$5015,0))))</f>
        <v/>
      </c>
      <c r="E105" s="105">
        <f>IF(73&gt;MAX(Transaksi!$O$16:$O$5015),"",INDEX(Transaksi!$D$16:$D$5015,MATCH(ROW()-32,Transaksi!$O$16:$O$5015,0)))</f>
        <v/>
      </c>
      <c r="F105" s="105">
        <f>IF(73&gt;MAX(Transaksi!$O$16:$O$5015),"",INDEX(Transaksi!$I$16:$I$5015,MATCH(ROW()-32,Transaksi!$O$16:$O$5015,0)))</f>
        <v/>
      </c>
      <c r="G105" s="106">
        <f>IF(73&gt;MAX(Transaksi!$O$16:$O$5015),"",INDEX(Transaksi!$F$16:$F$5015,MATCH(ROW()-32,Transaksi!$O$16:$O$5015,0)))</f>
        <v/>
      </c>
      <c r="H105" s="156">
        <f>IF(73&gt;MAX(Transaksi!$O$16:$O$5015),"",INDEX(Transaksi!$J$16:$J$5015,MATCH(ROW()-32,Transaksi!$O$16:$O$5015,0)))</f>
        <v/>
      </c>
    </row>
    <row r="106" ht="15" customHeight="1" s="94">
      <c r="B106" s="105">
        <f>IF(74&gt;MAX(Transaksi!$O$16:$O$5015),"",74)</f>
        <v/>
      </c>
      <c r="C106" s="119">
        <f>IF(74&gt;MAX(Transaksi!$O$16:$O$5015),"",INDEX(Transaksi!$B$16:$B$5015,MATCH(ROW()-32,Transaksi!$O$16:$O$5015,0)))</f>
        <v/>
      </c>
      <c r="D106" s="105">
        <f>IF(74&gt;MAX(Transaksi!$O$16:$O$5015),"",INDEX(Transaksi!$C$16:$C$5015,MATCH(ROW()-32,Transaksi!$O$16:$O$5015,0))&amp;IF(INDEX(Transaksi!$E$16:$E$5015,MATCH(ROW()-32,Transaksi!$O$16:$O$5015,0))="",""," → "&amp;INDEX(Transaksi!$E$16:$E$5015,MATCH(ROW()-32,Transaksi!$O$16:$O$5015,0))))</f>
        <v/>
      </c>
      <c r="E106" s="105">
        <f>IF(74&gt;MAX(Transaksi!$O$16:$O$5015),"",INDEX(Transaksi!$D$16:$D$5015,MATCH(ROW()-32,Transaksi!$O$16:$O$5015,0)))</f>
        <v/>
      </c>
      <c r="F106" s="105">
        <f>IF(74&gt;MAX(Transaksi!$O$16:$O$5015),"",INDEX(Transaksi!$I$16:$I$5015,MATCH(ROW()-32,Transaksi!$O$16:$O$5015,0)))</f>
        <v/>
      </c>
      <c r="G106" s="106">
        <f>IF(74&gt;MAX(Transaksi!$O$16:$O$5015),"",INDEX(Transaksi!$F$16:$F$5015,MATCH(ROW()-32,Transaksi!$O$16:$O$5015,0)))</f>
        <v/>
      </c>
      <c r="H106" s="156">
        <f>IF(74&gt;MAX(Transaksi!$O$16:$O$5015),"",INDEX(Transaksi!$J$16:$J$5015,MATCH(ROW()-32,Transaksi!$O$16:$O$5015,0)))</f>
        <v/>
      </c>
    </row>
    <row r="107" ht="15" customHeight="1" s="94">
      <c r="B107" s="105">
        <f>IF(75&gt;MAX(Transaksi!$O$16:$O$5015),"",75)</f>
        <v/>
      </c>
      <c r="C107" s="119">
        <f>IF(75&gt;MAX(Transaksi!$O$16:$O$5015),"",INDEX(Transaksi!$B$16:$B$5015,MATCH(ROW()-32,Transaksi!$O$16:$O$5015,0)))</f>
        <v/>
      </c>
      <c r="D107" s="105">
        <f>IF(75&gt;MAX(Transaksi!$O$16:$O$5015),"",INDEX(Transaksi!$C$16:$C$5015,MATCH(ROW()-32,Transaksi!$O$16:$O$5015,0))&amp;IF(INDEX(Transaksi!$E$16:$E$5015,MATCH(ROW()-32,Transaksi!$O$16:$O$5015,0))="",""," → "&amp;INDEX(Transaksi!$E$16:$E$5015,MATCH(ROW()-32,Transaksi!$O$16:$O$5015,0))))</f>
        <v/>
      </c>
      <c r="E107" s="105">
        <f>IF(75&gt;MAX(Transaksi!$O$16:$O$5015),"",INDEX(Transaksi!$D$16:$D$5015,MATCH(ROW()-32,Transaksi!$O$16:$O$5015,0)))</f>
        <v/>
      </c>
      <c r="F107" s="105">
        <f>IF(75&gt;MAX(Transaksi!$O$16:$O$5015),"",INDEX(Transaksi!$I$16:$I$5015,MATCH(ROW()-32,Transaksi!$O$16:$O$5015,0)))</f>
        <v/>
      </c>
      <c r="G107" s="106">
        <f>IF(75&gt;MAX(Transaksi!$O$16:$O$5015),"",INDEX(Transaksi!$F$16:$F$5015,MATCH(ROW()-32,Transaksi!$O$16:$O$5015,0)))</f>
        <v/>
      </c>
      <c r="H107" s="156">
        <f>IF(75&gt;MAX(Transaksi!$O$16:$O$5015),"",INDEX(Transaksi!$J$16:$J$5015,MATCH(ROW()-32,Transaksi!$O$16:$O$5015,0)))</f>
        <v/>
      </c>
    </row>
    <row r="108" ht="15" customHeight="1" s="94">
      <c r="B108" s="105">
        <f>IF(76&gt;MAX(Transaksi!$O$16:$O$5015),"",76)</f>
        <v/>
      </c>
      <c r="C108" s="119">
        <f>IF(76&gt;MAX(Transaksi!$O$16:$O$5015),"",INDEX(Transaksi!$B$16:$B$5015,MATCH(ROW()-32,Transaksi!$O$16:$O$5015,0)))</f>
        <v/>
      </c>
      <c r="D108" s="105">
        <f>IF(76&gt;MAX(Transaksi!$O$16:$O$5015),"",INDEX(Transaksi!$C$16:$C$5015,MATCH(ROW()-32,Transaksi!$O$16:$O$5015,0))&amp;IF(INDEX(Transaksi!$E$16:$E$5015,MATCH(ROW()-32,Transaksi!$O$16:$O$5015,0))="",""," → "&amp;INDEX(Transaksi!$E$16:$E$5015,MATCH(ROW()-32,Transaksi!$O$16:$O$5015,0))))</f>
        <v/>
      </c>
      <c r="E108" s="105">
        <f>IF(76&gt;MAX(Transaksi!$O$16:$O$5015),"",INDEX(Transaksi!$D$16:$D$5015,MATCH(ROW()-32,Transaksi!$O$16:$O$5015,0)))</f>
        <v/>
      </c>
      <c r="F108" s="105">
        <f>IF(76&gt;MAX(Transaksi!$O$16:$O$5015),"",INDEX(Transaksi!$I$16:$I$5015,MATCH(ROW()-32,Transaksi!$O$16:$O$5015,0)))</f>
        <v/>
      </c>
      <c r="G108" s="106">
        <f>IF(76&gt;MAX(Transaksi!$O$16:$O$5015),"",INDEX(Transaksi!$F$16:$F$5015,MATCH(ROW()-32,Transaksi!$O$16:$O$5015,0)))</f>
        <v/>
      </c>
      <c r="H108" s="156">
        <f>IF(76&gt;MAX(Transaksi!$O$16:$O$5015),"",INDEX(Transaksi!$J$16:$J$5015,MATCH(ROW()-32,Transaksi!$O$16:$O$5015,0)))</f>
        <v/>
      </c>
    </row>
    <row r="109" ht="15" customHeight="1" s="94">
      <c r="B109" s="105">
        <f>IF(77&gt;MAX(Transaksi!$O$16:$O$5015),"",77)</f>
        <v/>
      </c>
      <c r="C109" s="119">
        <f>IF(77&gt;MAX(Transaksi!$O$16:$O$5015),"",INDEX(Transaksi!$B$16:$B$5015,MATCH(ROW()-32,Transaksi!$O$16:$O$5015,0)))</f>
        <v/>
      </c>
      <c r="D109" s="105">
        <f>IF(77&gt;MAX(Transaksi!$O$16:$O$5015),"",INDEX(Transaksi!$C$16:$C$5015,MATCH(ROW()-32,Transaksi!$O$16:$O$5015,0))&amp;IF(INDEX(Transaksi!$E$16:$E$5015,MATCH(ROW()-32,Transaksi!$O$16:$O$5015,0))="",""," → "&amp;INDEX(Transaksi!$E$16:$E$5015,MATCH(ROW()-32,Transaksi!$O$16:$O$5015,0))))</f>
        <v/>
      </c>
      <c r="E109" s="105">
        <f>IF(77&gt;MAX(Transaksi!$O$16:$O$5015),"",INDEX(Transaksi!$D$16:$D$5015,MATCH(ROW()-32,Transaksi!$O$16:$O$5015,0)))</f>
        <v/>
      </c>
      <c r="F109" s="105">
        <f>IF(77&gt;MAX(Transaksi!$O$16:$O$5015),"",INDEX(Transaksi!$I$16:$I$5015,MATCH(ROW()-32,Transaksi!$O$16:$O$5015,0)))</f>
        <v/>
      </c>
      <c r="G109" s="106">
        <f>IF(77&gt;MAX(Transaksi!$O$16:$O$5015),"",INDEX(Transaksi!$F$16:$F$5015,MATCH(ROW()-32,Transaksi!$O$16:$O$5015,0)))</f>
        <v/>
      </c>
      <c r="H109" s="156">
        <f>IF(77&gt;MAX(Transaksi!$O$16:$O$5015),"",INDEX(Transaksi!$J$16:$J$5015,MATCH(ROW()-32,Transaksi!$O$16:$O$5015,0)))</f>
        <v/>
      </c>
    </row>
    <row r="110" ht="15" customHeight="1" s="94">
      <c r="B110" s="105">
        <f>IF(78&gt;MAX(Transaksi!$O$16:$O$5015),"",78)</f>
        <v/>
      </c>
      <c r="C110" s="119">
        <f>IF(78&gt;MAX(Transaksi!$O$16:$O$5015),"",INDEX(Transaksi!$B$16:$B$5015,MATCH(ROW()-32,Transaksi!$O$16:$O$5015,0)))</f>
        <v/>
      </c>
      <c r="D110" s="105">
        <f>IF(78&gt;MAX(Transaksi!$O$16:$O$5015),"",INDEX(Transaksi!$C$16:$C$5015,MATCH(ROW()-32,Transaksi!$O$16:$O$5015,0))&amp;IF(INDEX(Transaksi!$E$16:$E$5015,MATCH(ROW()-32,Transaksi!$O$16:$O$5015,0))="",""," → "&amp;INDEX(Transaksi!$E$16:$E$5015,MATCH(ROW()-32,Transaksi!$O$16:$O$5015,0))))</f>
        <v/>
      </c>
      <c r="E110" s="105">
        <f>IF(78&gt;MAX(Transaksi!$O$16:$O$5015),"",INDEX(Transaksi!$D$16:$D$5015,MATCH(ROW()-32,Transaksi!$O$16:$O$5015,0)))</f>
        <v/>
      </c>
      <c r="F110" s="105">
        <f>IF(78&gt;MAX(Transaksi!$O$16:$O$5015),"",INDEX(Transaksi!$I$16:$I$5015,MATCH(ROW()-32,Transaksi!$O$16:$O$5015,0)))</f>
        <v/>
      </c>
      <c r="G110" s="106">
        <f>IF(78&gt;MAX(Transaksi!$O$16:$O$5015),"",INDEX(Transaksi!$F$16:$F$5015,MATCH(ROW()-32,Transaksi!$O$16:$O$5015,0)))</f>
        <v/>
      </c>
      <c r="H110" s="156">
        <f>IF(78&gt;MAX(Transaksi!$O$16:$O$5015),"",INDEX(Transaksi!$J$16:$J$5015,MATCH(ROW()-32,Transaksi!$O$16:$O$5015,0)))</f>
        <v/>
      </c>
    </row>
    <row r="111" ht="15" customHeight="1" s="94">
      <c r="B111" s="105">
        <f>IF(79&gt;MAX(Transaksi!$O$16:$O$5015),"",79)</f>
        <v/>
      </c>
      <c r="C111" s="119">
        <f>IF(79&gt;MAX(Transaksi!$O$16:$O$5015),"",INDEX(Transaksi!$B$16:$B$5015,MATCH(ROW()-32,Transaksi!$O$16:$O$5015,0)))</f>
        <v/>
      </c>
      <c r="D111" s="105">
        <f>IF(79&gt;MAX(Transaksi!$O$16:$O$5015),"",INDEX(Transaksi!$C$16:$C$5015,MATCH(ROW()-32,Transaksi!$O$16:$O$5015,0))&amp;IF(INDEX(Transaksi!$E$16:$E$5015,MATCH(ROW()-32,Transaksi!$O$16:$O$5015,0))="",""," → "&amp;INDEX(Transaksi!$E$16:$E$5015,MATCH(ROW()-32,Transaksi!$O$16:$O$5015,0))))</f>
        <v/>
      </c>
      <c r="E111" s="105">
        <f>IF(79&gt;MAX(Transaksi!$O$16:$O$5015),"",INDEX(Transaksi!$D$16:$D$5015,MATCH(ROW()-32,Transaksi!$O$16:$O$5015,0)))</f>
        <v/>
      </c>
      <c r="F111" s="105">
        <f>IF(79&gt;MAX(Transaksi!$O$16:$O$5015),"",INDEX(Transaksi!$I$16:$I$5015,MATCH(ROW()-32,Transaksi!$O$16:$O$5015,0)))</f>
        <v/>
      </c>
      <c r="G111" s="106">
        <f>IF(79&gt;MAX(Transaksi!$O$16:$O$5015),"",INDEX(Transaksi!$F$16:$F$5015,MATCH(ROW()-32,Transaksi!$O$16:$O$5015,0)))</f>
        <v/>
      </c>
      <c r="H111" s="156">
        <f>IF(79&gt;MAX(Transaksi!$O$16:$O$5015),"",INDEX(Transaksi!$J$16:$J$5015,MATCH(ROW()-32,Transaksi!$O$16:$O$5015,0)))</f>
        <v/>
      </c>
    </row>
    <row r="112" ht="15" customHeight="1" s="94">
      <c r="B112" s="105">
        <f>IF(80&gt;MAX(Transaksi!$O$16:$O$5015),"",80)</f>
        <v/>
      </c>
      <c r="C112" s="119">
        <f>IF(80&gt;MAX(Transaksi!$O$16:$O$5015),"",INDEX(Transaksi!$B$16:$B$5015,MATCH(ROW()-32,Transaksi!$O$16:$O$5015,0)))</f>
        <v/>
      </c>
      <c r="D112" s="105">
        <f>IF(80&gt;MAX(Transaksi!$O$16:$O$5015),"",INDEX(Transaksi!$C$16:$C$5015,MATCH(ROW()-32,Transaksi!$O$16:$O$5015,0))&amp;IF(INDEX(Transaksi!$E$16:$E$5015,MATCH(ROW()-32,Transaksi!$O$16:$O$5015,0))="",""," → "&amp;INDEX(Transaksi!$E$16:$E$5015,MATCH(ROW()-32,Transaksi!$O$16:$O$5015,0))))</f>
        <v/>
      </c>
      <c r="E112" s="105">
        <f>IF(80&gt;MAX(Transaksi!$O$16:$O$5015),"",INDEX(Transaksi!$D$16:$D$5015,MATCH(ROW()-32,Transaksi!$O$16:$O$5015,0)))</f>
        <v/>
      </c>
      <c r="F112" s="105">
        <f>IF(80&gt;MAX(Transaksi!$O$16:$O$5015),"",INDEX(Transaksi!$I$16:$I$5015,MATCH(ROW()-32,Transaksi!$O$16:$O$5015,0)))</f>
        <v/>
      </c>
      <c r="G112" s="106">
        <f>IF(80&gt;MAX(Transaksi!$O$16:$O$5015),"",INDEX(Transaksi!$F$16:$F$5015,MATCH(ROW()-32,Transaksi!$O$16:$O$5015,0)))</f>
        <v/>
      </c>
      <c r="H112" s="156">
        <f>IF(80&gt;MAX(Transaksi!$O$16:$O$5015),"",INDEX(Transaksi!$J$16:$J$5015,MATCH(ROW()-32,Transaksi!$O$16:$O$5015,0)))</f>
        <v/>
      </c>
    </row>
    <row r="113"/>
    <row r="114"/>
    <row r="115" ht="15" customHeight="1" s="94">
      <c r="B115" s="98" t="inlineStr">
        <is>
          <t>Selisih bunga = selisih Rp1-an karena bunga bank Jago setelah dipotong pajak dibulatkan (kadang kurang, kadang lebih). Sudah ikut dihitung di "Riba bersih".</t>
        </is>
      </c>
    </row>
  </sheetData>
  <mergeCells count="9">
    <mergeCell ref="A2:L2"/>
    <mergeCell ref="B5:D5"/>
    <mergeCell ref="B8:D8"/>
    <mergeCell ref="A1:L1"/>
    <mergeCell ref="B115:J115"/>
    <mergeCell ref="B9:D9"/>
    <mergeCell ref="B27:J27"/>
    <mergeCell ref="B7:D7"/>
    <mergeCell ref="B6:D6"/>
  </mergeCells>
  <dataValidations count="1">
    <dataValidation sqref="C30" showDropDown="0" showInputMessage="0" showErrorMessage="0" allowBlank="0" type="list" errorStyle="stop" operator="between">
      <formula1>Ref!$A$1:$A$12</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tabColor rgb="FFE76F51"/>
    <outlinePr summaryBelow="1" summaryRight="1"/>
    <pageSetUpPr fitToPage="0"/>
  </sheetPr>
  <dimension ref="A1:P70"/>
  <sheetViews>
    <sheetView showFormulas="0" showGridLines="0"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baseColWidth="8" defaultColWidth="8.7421875" defaultRowHeight="15" zeroHeight="0" outlineLevelRow="0"/>
  <cols>
    <col width="2.96" customWidth="1" style="93" min="1" max="1"/>
    <col width="34.03" customWidth="1" style="93" min="2" max="2"/>
    <col width="11.97" customWidth="1" style="93" min="3" max="15"/>
  </cols>
  <sheetData>
    <row r="1" ht="30" customHeight="1" s="94">
      <c r="A1" s="95" t="inlineStr">
        <is>
          <t>UANG KOS MAMA — KOS COWOK (5 KAMAR) &amp; KOS CEWEK (7 KAMAR)</t>
        </is>
      </c>
    </row>
    <row r="2" ht="30" customHeight="1" s="94">
      <c r="A2" s="98" t="inlineStr">
        <is>
          <t>Tahun mengikuti Dashboard. Uang masuk dari setiap kamar, sumber masuk lainnya, dan ke mana uang kos dipakai. Transaksinya: tab Transaksi → Kos / Kamar (C13) atau Sumber = Uang Kos Mama / Pengeluaran Uang Kos.</t>
        </is>
      </c>
    </row>
    <row r="3"/>
    <row r="4" ht="15" customHeight="1" s="94">
      <c r="B4" s="101">
        <f>"A. UANG MASUK PER KAMAR — TAHUN "&amp;Dashboard!$C$4</f>
        <v/>
      </c>
      <c r="C4" s="102" t="n"/>
      <c r="D4" s="102" t="n"/>
      <c r="E4" s="102" t="n"/>
      <c r="F4" s="102" t="n"/>
      <c r="G4" s="102" t="n"/>
      <c r="H4" s="102" t="n"/>
      <c r="I4" s="102" t="n"/>
      <c r="J4" s="102" t="n"/>
      <c r="K4" s="102" t="n"/>
      <c r="L4" s="102" t="n"/>
      <c r="M4" s="102" t="n"/>
      <c r="N4" s="102" t="n"/>
      <c r="O4" s="102" t="n"/>
    </row>
    <row r="5" ht="15" customHeight="1" s="94">
      <c r="B5" s="103" t="inlineStr">
        <is>
          <t>Kos / Kamar</t>
        </is>
      </c>
      <c r="C5" s="103" t="inlineStr">
        <is>
          <t>Jan</t>
        </is>
      </c>
      <c r="D5" s="103" t="inlineStr">
        <is>
          <t>Feb</t>
        </is>
      </c>
      <c r="E5" s="103" t="inlineStr">
        <is>
          <t>Mar</t>
        </is>
      </c>
      <c r="F5" s="103" t="inlineStr">
        <is>
          <t>Apr</t>
        </is>
      </c>
      <c r="G5" s="103" t="inlineStr">
        <is>
          <t>Mei</t>
        </is>
      </c>
      <c r="H5" s="103" t="inlineStr">
        <is>
          <t>Jun</t>
        </is>
      </c>
      <c r="I5" s="103" t="inlineStr">
        <is>
          <t>Jul</t>
        </is>
      </c>
      <c r="J5" s="103" t="inlineStr">
        <is>
          <t>Agu</t>
        </is>
      </c>
      <c r="K5" s="103" t="inlineStr">
        <is>
          <t>Sep</t>
        </is>
      </c>
      <c r="L5" s="103" t="inlineStr">
        <is>
          <t>Okt</t>
        </is>
      </c>
      <c r="M5" s="103" t="inlineStr">
        <is>
          <t>Nov</t>
        </is>
      </c>
      <c r="N5" s="103" t="inlineStr">
        <is>
          <t>Des</t>
        </is>
      </c>
      <c r="O5" s="103" t="inlineStr">
        <is>
          <t>Total</t>
        </is>
      </c>
    </row>
    <row r="6" ht="15" customHeight="1" s="94">
      <c r="B6" s="96" t="inlineStr">
        <is>
          <t>KOS COWOK</t>
        </is>
      </c>
    </row>
    <row r="7" ht="15" customHeight="1" s="94">
      <c r="B7" s="105" t="inlineStr">
        <is>
          <t>Kos cowok · Kamar 1</t>
        </is>
      </c>
      <c r="C7" s="106">
        <f>SUMIFS(Transaksi!$F$16:$F$5015,Transaksi!$H$16:$H$5015,"Uang Kos Mama",Transaksi!$L$16:$L$5015,"Kos cowok · Kamar 1",Transaksi!$B$16:$B$5015,"&gt;="&amp;DATE(Dashboard!$C$4,1,1),Transaksi!$B$16:$B$5015,"&lt;="&amp;EOMONTH(DATE(Dashboard!$C$4,1,1),0))</f>
        <v/>
      </c>
      <c r="D7" s="106">
        <f>SUMIFS(Transaksi!$F$16:$F$5015,Transaksi!$H$16:$H$5015,"Uang Kos Mama",Transaksi!$L$16:$L$5015,"Kos cowok · Kamar 1",Transaksi!$B$16:$B$5015,"&gt;="&amp;DATE(Dashboard!$C$4,2,1),Transaksi!$B$16:$B$5015,"&lt;="&amp;EOMONTH(DATE(Dashboard!$C$4,2,1),0))</f>
        <v/>
      </c>
      <c r="E7" s="106">
        <f>SUMIFS(Transaksi!$F$16:$F$5015,Transaksi!$H$16:$H$5015,"Uang Kos Mama",Transaksi!$L$16:$L$5015,"Kos cowok · Kamar 1",Transaksi!$B$16:$B$5015,"&gt;="&amp;DATE(Dashboard!$C$4,3,1),Transaksi!$B$16:$B$5015,"&lt;="&amp;EOMONTH(DATE(Dashboard!$C$4,3,1),0))</f>
        <v/>
      </c>
      <c r="F7" s="106">
        <f>SUMIFS(Transaksi!$F$16:$F$5015,Transaksi!$H$16:$H$5015,"Uang Kos Mama",Transaksi!$L$16:$L$5015,"Kos cowok · Kamar 1",Transaksi!$B$16:$B$5015,"&gt;="&amp;DATE(Dashboard!$C$4,4,1),Transaksi!$B$16:$B$5015,"&lt;="&amp;EOMONTH(DATE(Dashboard!$C$4,4,1),0))</f>
        <v/>
      </c>
      <c r="G7" s="106">
        <f>SUMIFS(Transaksi!$F$16:$F$5015,Transaksi!$H$16:$H$5015,"Uang Kos Mama",Transaksi!$L$16:$L$5015,"Kos cowok · Kamar 1",Transaksi!$B$16:$B$5015,"&gt;="&amp;DATE(Dashboard!$C$4,5,1),Transaksi!$B$16:$B$5015,"&lt;="&amp;EOMONTH(DATE(Dashboard!$C$4,5,1),0))</f>
        <v/>
      </c>
      <c r="H7" s="106">
        <f>SUMIFS(Transaksi!$F$16:$F$5015,Transaksi!$H$16:$H$5015,"Uang Kos Mama",Transaksi!$L$16:$L$5015,"Kos cowok · Kamar 1",Transaksi!$B$16:$B$5015,"&gt;="&amp;DATE(Dashboard!$C$4,6,1),Transaksi!$B$16:$B$5015,"&lt;="&amp;EOMONTH(DATE(Dashboard!$C$4,6,1),0))</f>
        <v/>
      </c>
      <c r="I7" s="106">
        <f>SUMIFS(Transaksi!$F$16:$F$5015,Transaksi!$H$16:$H$5015,"Uang Kos Mama",Transaksi!$L$16:$L$5015,"Kos cowok · Kamar 1",Transaksi!$B$16:$B$5015,"&gt;="&amp;DATE(Dashboard!$C$4,7,1),Transaksi!$B$16:$B$5015,"&lt;="&amp;EOMONTH(DATE(Dashboard!$C$4,7,1),0))</f>
        <v/>
      </c>
      <c r="J7" s="106">
        <f>SUMIFS(Transaksi!$F$16:$F$5015,Transaksi!$H$16:$H$5015,"Uang Kos Mama",Transaksi!$L$16:$L$5015,"Kos cowok · Kamar 1",Transaksi!$B$16:$B$5015,"&gt;="&amp;DATE(Dashboard!$C$4,8,1),Transaksi!$B$16:$B$5015,"&lt;="&amp;EOMONTH(DATE(Dashboard!$C$4,8,1),0))</f>
        <v/>
      </c>
      <c r="K7" s="106">
        <f>SUMIFS(Transaksi!$F$16:$F$5015,Transaksi!$H$16:$H$5015,"Uang Kos Mama",Transaksi!$L$16:$L$5015,"Kos cowok · Kamar 1",Transaksi!$B$16:$B$5015,"&gt;="&amp;DATE(Dashboard!$C$4,9,1),Transaksi!$B$16:$B$5015,"&lt;="&amp;EOMONTH(DATE(Dashboard!$C$4,9,1),0))</f>
        <v/>
      </c>
      <c r="L7" s="106">
        <f>SUMIFS(Transaksi!$F$16:$F$5015,Transaksi!$H$16:$H$5015,"Uang Kos Mama",Transaksi!$L$16:$L$5015,"Kos cowok · Kamar 1",Transaksi!$B$16:$B$5015,"&gt;="&amp;DATE(Dashboard!$C$4,10,1),Transaksi!$B$16:$B$5015,"&lt;="&amp;EOMONTH(DATE(Dashboard!$C$4,10,1),0))</f>
        <v/>
      </c>
      <c r="M7" s="106">
        <f>SUMIFS(Transaksi!$F$16:$F$5015,Transaksi!$H$16:$H$5015,"Uang Kos Mama",Transaksi!$L$16:$L$5015,"Kos cowok · Kamar 1",Transaksi!$B$16:$B$5015,"&gt;="&amp;DATE(Dashboard!$C$4,11,1),Transaksi!$B$16:$B$5015,"&lt;="&amp;EOMONTH(DATE(Dashboard!$C$4,11,1),0))</f>
        <v/>
      </c>
      <c r="N7" s="106">
        <f>SUMIFS(Transaksi!$F$16:$F$5015,Transaksi!$H$16:$H$5015,"Uang Kos Mama",Transaksi!$L$16:$L$5015,"Kos cowok · Kamar 1",Transaksi!$B$16:$B$5015,"&gt;="&amp;DATE(Dashboard!$C$4,12,1),Transaksi!$B$16:$B$5015,"&lt;="&amp;EOMONTH(DATE(Dashboard!$C$4,12,1),0))</f>
        <v/>
      </c>
      <c r="O7" s="143">
        <f>SUM(C7:N7)</f>
        <v/>
      </c>
    </row>
    <row r="8" ht="15" customHeight="1" s="94">
      <c r="B8" s="105" t="inlineStr">
        <is>
          <t>Kos cowok · Kamar 2</t>
        </is>
      </c>
      <c r="C8" s="106">
        <f>SUMIFS(Transaksi!$F$16:$F$5015,Transaksi!$H$16:$H$5015,"Uang Kos Mama",Transaksi!$L$16:$L$5015,"Kos cowok · Kamar 2",Transaksi!$B$16:$B$5015,"&gt;="&amp;DATE(Dashboard!$C$4,1,1),Transaksi!$B$16:$B$5015,"&lt;="&amp;EOMONTH(DATE(Dashboard!$C$4,1,1),0))</f>
        <v/>
      </c>
      <c r="D8" s="106">
        <f>SUMIFS(Transaksi!$F$16:$F$5015,Transaksi!$H$16:$H$5015,"Uang Kos Mama",Transaksi!$L$16:$L$5015,"Kos cowok · Kamar 2",Transaksi!$B$16:$B$5015,"&gt;="&amp;DATE(Dashboard!$C$4,2,1),Transaksi!$B$16:$B$5015,"&lt;="&amp;EOMONTH(DATE(Dashboard!$C$4,2,1),0))</f>
        <v/>
      </c>
      <c r="E8" s="106">
        <f>SUMIFS(Transaksi!$F$16:$F$5015,Transaksi!$H$16:$H$5015,"Uang Kos Mama",Transaksi!$L$16:$L$5015,"Kos cowok · Kamar 2",Transaksi!$B$16:$B$5015,"&gt;="&amp;DATE(Dashboard!$C$4,3,1),Transaksi!$B$16:$B$5015,"&lt;="&amp;EOMONTH(DATE(Dashboard!$C$4,3,1),0))</f>
        <v/>
      </c>
      <c r="F8" s="106">
        <f>SUMIFS(Transaksi!$F$16:$F$5015,Transaksi!$H$16:$H$5015,"Uang Kos Mama",Transaksi!$L$16:$L$5015,"Kos cowok · Kamar 2",Transaksi!$B$16:$B$5015,"&gt;="&amp;DATE(Dashboard!$C$4,4,1),Transaksi!$B$16:$B$5015,"&lt;="&amp;EOMONTH(DATE(Dashboard!$C$4,4,1),0))</f>
        <v/>
      </c>
      <c r="G8" s="106">
        <f>SUMIFS(Transaksi!$F$16:$F$5015,Transaksi!$H$16:$H$5015,"Uang Kos Mama",Transaksi!$L$16:$L$5015,"Kos cowok · Kamar 2",Transaksi!$B$16:$B$5015,"&gt;="&amp;DATE(Dashboard!$C$4,5,1),Transaksi!$B$16:$B$5015,"&lt;="&amp;EOMONTH(DATE(Dashboard!$C$4,5,1),0))</f>
        <v/>
      </c>
      <c r="H8" s="106">
        <f>SUMIFS(Transaksi!$F$16:$F$5015,Transaksi!$H$16:$H$5015,"Uang Kos Mama",Transaksi!$L$16:$L$5015,"Kos cowok · Kamar 2",Transaksi!$B$16:$B$5015,"&gt;="&amp;DATE(Dashboard!$C$4,6,1),Transaksi!$B$16:$B$5015,"&lt;="&amp;EOMONTH(DATE(Dashboard!$C$4,6,1),0))</f>
        <v/>
      </c>
      <c r="I8" s="106">
        <f>SUMIFS(Transaksi!$F$16:$F$5015,Transaksi!$H$16:$H$5015,"Uang Kos Mama",Transaksi!$L$16:$L$5015,"Kos cowok · Kamar 2",Transaksi!$B$16:$B$5015,"&gt;="&amp;DATE(Dashboard!$C$4,7,1),Transaksi!$B$16:$B$5015,"&lt;="&amp;EOMONTH(DATE(Dashboard!$C$4,7,1),0))</f>
        <v/>
      </c>
      <c r="J8" s="106">
        <f>SUMIFS(Transaksi!$F$16:$F$5015,Transaksi!$H$16:$H$5015,"Uang Kos Mama",Transaksi!$L$16:$L$5015,"Kos cowok · Kamar 2",Transaksi!$B$16:$B$5015,"&gt;="&amp;DATE(Dashboard!$C$4,8,1),Transaksi!$B$16:$B$5015,"&lt;="&amp;EOMONTH(DATE(Dashboard!$C$4,8,1),0))</f>
        <v/>
      </c>
      <c r="K8" s="106">
        <f>SUMIFS(Transaksi!$F$16:$F$5015,Transaksi!$H$16:$H$5015,"Uang Kos Mama",Transaksi!$L$16:$L$5015,"Kos cowok · Kamar 2",Transaksi!$B$16:$B$5015,"&gt;="&amp;DATE(Dashboard!$C$4,9,1),Transaksi!$B$16:$B$5015,"&lt;="&amp;EOMONTH(DATE(Dashboard!$C$4,9,1),0))</f>
        <v/>
      </c>
      <c r="L8" s="106">
        <f>SUMIFS(Transaksi!$F$16:$F$5015,Transaksi!$H$16:$H$5015,"Uang Kos Mama",Transaksi!$L$16:$L$5015,"Kos cowok · Kamar 2",Transaksi!$B$16:$B$5015,"&gt;="&amp;DATE(Dashboard!$C$4,10,1),Transaksi!$B$16:$B$5015,"&lt;="&amp;EOMONTH(DATE(Dashboard!$C$4,10,1),0))</f>
        <v/>
      </c>
      <c r="M8" s="106">
        <f>SUMIFS(Transaksi!$F$16:$F$5015,Transaksi!$H$16:$H$5015,"Uang Kos Mama",Transaksi!$L$16:$L$5015,"Kos cowok · Kamar 2",Transaksi!$B$16:$B$5015,"&gt;="&amp;DATE(Dashboard!$C$4,11,1),Transaksi!$B$16:$B$5015,"&lt;="&amp;EOMONTH(DATE(Dashboard!$C$4,11,1),0))</f>
        <v/>
      </c>
      <c r="N8" s="106">
        <f>SUMIFS(Transaksi!$F$16:$F$5015,Transaksi!$H$16:$H$5015,"Uang Kos Mama",Transaksi!$L$16:$L$5015,"Kos cowok · Kamar 2",Transaksi!$B$16:$B$5015,"&gt;="&amp;DATE(Dashboard!$C$4,12,1),Transaksi!$B$16:$B$5015,"&lt;="&amp;EOMONTH(DATE(Dashboard!$C$4,12,1),0))</f>
        <v/>
      </c>
      <c r="O8" s="143">
        <f>SUM(C8:N8)</f>
        <v/>
      </c>
    </row>
    <row r="9" ht="15" customHeight="1" s="94">
      <c r="B9" s="105" t="inlineStr">
        <is>
          <t>Kos cowok · Kamar 3</t>
        </is>
      </c>
      <c r="C9" s="106">
        <f>SUMIFS(Transaksi!$F$16:$F$5015,Transaksi!$H$16:$H$5015,"Uang Kos Mama",Transaksi!$L$16:$L$5015,"Kos cowok · Kamar 3",Transaksi!$B$16:$B$5015,"&gt;="&amp;DATE(Dashboard!$C$4,1,1),Transaksi!$B$16:$B$5015,"&lt;="&amp;EOMONTH(DATE(Dashboard!$C$4,1,1),0))</f>
        <v/>
      </c>
      <c r="D9" s="106">
        <f>SUMIFS(Transaksi!$F$16:$F$5015,Transaksi!$H$16:$H$5015,"Uang Kos Mama",Transaksi!$L$16:$L$5015,"Kos cowok · Kamar 3",Transaksi!$B$16:$B$5015,"&gt;="&amp;DATE(Dashboard!$C$4,2,1),Transaksi!$B$16:$B$5015,"&lt;="&amp;EOMONTH(DATE(Dashboard!$C$4,2,1),0))</f>
        <v/>
      </c>
      <c r="E9" s="106">
        <f>SUMIFS(Transaksi!$F$16:$F$5015,Transaksi!$H$16:$H$5015,"Uang Kos Mama",Transaksi!$L$16:$L$5015,"Kos cowok · Kamar 3",Transaksi!$B$16:$B$5015,"&gt;="&amp;DATE(Dashboard!$C$4,3,1),Transaksi!$B$16:$B$5015,"&lt;="&amp;EOMONTH(DATE(Dashboard!$C$4,3,1),0))</f>
        <v/>
      </c>
      <c r="F9" s="106">
        <f>SUMIFS(Transaksi!$F$16:$F$5015,Transaksi!$H$16:$H$5015,"Uang Kos Mama",Transaksi!$L$16:$L$5015,"Kos cowok · Kamar 3",Transaksi!$B$16:$B$5015,"&gt;="&amp;DATE(Dashboard!$C$4,4,1),Transaksi!$B$16:$B$5015,"&lt;="&amp;EOMONTH(DATE(Dashboard!$C$4,4,1),0))</f>
        <v/>
      </c>
      <c r="G9" s="106">
        <f>SUMIFS(Transaksi!$F$16:$F$5015,Transaksi!$H$16:$H$5015,"Uang Kos Mama",Transaksi!$L$16:$L$5015,"Kos cowok · Kamar 3",Transaksi!$B$16:$B$5015,"&gt;="&amp;DATE(Dashboard!$C$4,5,1),Transaksi!$B$16:$B$5015,"&lt;="&amp;EOMONTH(DATE(Dashboard!$C$4,5,1),0))</f>
        <v/>
      </c>
      <c r="H9" s="106">
        <f>SUMIFS(Transaksi!$F$16:$F$5015,Transaksi!$H$16:$H$5015,"Uang Kos Mama",Transaksi!$L$16:$L$5015,"Kos cowok · Kamar 3",Transaksi!$B$16:$B$5015,"&gt;="&amp;DATE(Dashboard!$C$4,6,1),Transaksi!$B$16:$B$5015,"&lt;="&amp;EOMONTH(DATE(Dashboard!$C$4,6,1),0))</f>
        <v/>
      </c>
      <c r="I9" s="106">
        <f>SUMIFS(Transaksi!$F$16:$F$5015,Transaksi!$H$16:$H$5015,"Uang Kos Mama",Transaksi!$L$16:$L$5015,"Kos cowok · Kamar 3",Transaksi!$B$16:$B$5015,"&gt;="&amp;DATE(Dashboard!$C$4,7,1),Transaksi!$B$16:$B$5015,"&lt;="&amp;EOMONTH(DATE(Dashboard!$C$4,7,1),0))</f>
        <v/>
      </c>
      <c r="J9" s="106">
        <f>SUMIFS(Transaksi!$F$16:$F$5015,Transaksi!$H$16:$H$5015,"Uang Kos Mama",Transaksi!$L$16:$L$5015,"Kos cowok · Kamar 3",Transaksi!$B$16:$B$5015,"&gt;="&amp;DATE(Dashboard!$C$4,8,1),Transaksi!$B$16:$B$5015,"&lt;="&amp;EOMONTH(DATE(Dashboard!$C$4,8,1),0))</f>
        <v/>
      </c>
      <c r="K9" s="106">
        <f>SUMIFS(Transaksi!$F$16:$F$5015,Transaksi!$H$16:$H$5015,"Uang Kos Mama",Transaksi!$L$16:$L$5015,"Kos cowok · Kamar 3",Transaksi!$B$16:$B$5015,"&gt;="&amp;DATE(Dashboard!$C$4,9,1),Transaksi!$B$16:$B$5015,"&lt;="&amp;EOMONTH(DATE(Dashboard!$C$4,9,1),0))</f>
        <v/>
      </c>
      <c r="L9" s="106">
        <f>SUMIFS(Transaksi!$F$16:$F$5015,Transaksi!$H$16:$H$5015,"Uang Kos Mama",Transaksi!$L$16:$L$5015,"Kos cowok · Kamar 3",Transaksi!$B$16:$B$5015,"&gt;="&amp;DATE(Dashboard!$C$4,10,1),Transaksi!$B$16:$B$5015,"&lt;="&amp;EOMONTH(DATE(Dashboard!$C$4,10,1),0))</f>
        <v/>
      </c>
      <c r="M9" s="106">
        <f>SUMIFS(Transaksi!$F$16:$F$5015,Transaksi!$H$16:$H$5015,"Uang Kos Mama",Transaksi!$L$16:$L$5015,"Kos cowok · Kamar 3",Transaksi!$B$16:$B$5015,"&gt;="&amp;DATE(Dashboard!$C$4,11,1),Transaksi!$B$16:$B$5015,"&lt;="&amp;EOMONTH(DATE(Dashboard!$C$4,11,1),0))</f>
        <v/>
      </c>
      <c r="N9" s="106">
        <f>SUMIFS(Transaksi!$F$16:$F$5015,Transaksi!$H$16:$H$5015,"Uang Kos Mama",Transaksi!$L$16:$L$5015,"Kos cowok · Kamar 3",Transaksi!$B$16:$B$5015,"&gt;="&amp;DATE(Dashboard!$C$4,12,1),Transaksi!$B$16:$B$5015,"&lt;="&amp;EOMONTH(DATE(Dashboard!$C$4,12,1),0))</f>
        <v/>
      </c>
      <c r="O9" s="143">
        <f>SUM(C9:N9)</f>
        <v/>
      </c>
    </row>
    <row r="10" ht="15" customHeight="1" s="94">
      <c r="B10" s="105" t="inlineStr">
        <is>
          <t>Kos cowok · Kamar 4</t>
        </is>
      </c>
      <c r="C10" s="106">
        <f>SUMIFS(Transaksi!$F$16:$F$5015,Transaksi!$H$16:$H$5015,"Uang Kos Mama",Transaksi!$L$16:$L$5015,"Kos cowok · Kamar 4",Transaksi!$B$16:$B$5015,"&gt;="&amp;DATE(Dashboard!$C$4,1,1),Transaksi!$B$16:$B$5015,"&lt;="&amp;EOMONTH(DATE(Dashboard!$C$4,1,1),0))</f>
        <v/>
      </c>
      <c r="D10" s="106">
        <f>SUMIFS(Transaksi!$F$16:$F$5015,Transaksi!$H$16:$H$5015,"Uang Kos Mama",Transaksi!$L$16:$L$5015,"Kos cowok · Kamar 4",Transaksi!$B$16:$B$5015,"&gt;="&amp;DATE(Dashboard!$C$4,2,1),Transaksi!$B$16:$B$5015,"&lt;="&amp;EOMONTH(DATE(Dashboard!$C$4,2,1),0))</f>
        <v/>
      </c>
      <c r="E10" s="106">
        <f>SUMIFS(Transaksi!$F$16:$F$5015,Transaksi!$H$16:$H$5015,"Uang Kos Mama",Transaksi!$L$16:$L$5015,"Kos cowok · Kamar 4",Transaksi!$B$16:$B$5015,"&gt;="&amp;DATE(Dashboard!$C$4,3,1),Transaksi!$B$16:$B$5015,"&lt;="&amp;EOMONTH(DATE(Dashboard!$C$4,3,1),0))</f>
        <v/>
      </c>
      <c r="F10" s="106">
        <f>SUMIFS(Transaksi!$F$16:$F$5015,Transaksi!$H$16:$H$5015,"Uang Kos Mama",Transaksi!$L$16:$L$5015,"Kos cowok · Kamar 4",Transaksi!$B$16:$B$5015,"&gt;="&amp;DATE(Dashboard!$C$4,4,1),Transaksi!$B$16:$B$5015,"&lt;="&amp;EOMONTH(DATE(Dashboard!$C$4,4,1),0))</f>
        <v/>
      </c>
      <c r="G10" s="106">
        <f>SUMIFS(Transaksi!$F$16:$F$5015,Transaksi!$H$16:$H$5015,"Uang Kos Mama",Transaksi!$L$16:$L$5015,"Kos cowok · Kamar 4",Transaksi!$B$16:$B$5015,"&gt;="&amp;DATE(Dashboard!$C$4,5,1),Transaksi!$B$16:$B$5015,"&lt;="&amp;EOMONTH(DATE(Dashboard!$C$4,5,1),0))</f>
        <v/>
      </c>
      <c r="H10" s="106">
        <f>SUMIFS(Transaksi!$F$16:$F$5015,Transaksi!$H$16:$H$5015,"Uang Kos Mama",Transaksi!$L$16:$L$5015,"Kos cowok · Kamar 4",Transaksi!$B$16:$B$5015,"&gt;="&amp;DATE(Dashboard!$C$4,6,1),Transaksi!$B$16:$B$5015,"&lt;="&amp;EOMONTH(DATE(Dashboard!$C$4,6,1),0))</f>
        <v/>
      </c>
      <c r="I10" s="106">
        <f>SUMIFS(Transaksi!$F$16:$F$5015,Transaksi!$H$16:$H$5015,"Uang Kos Mama",Transaksi!$L$16:$L$5015,"Kos cowok · Kamar 4",Transaksi!$B$16:$B$5015,"&gt;="&amp;DATE(Dashboard!$C$4,7,1),Transaksi!$B$16:$B$5015,"&lt;="&amp;EOMONTH(DATE(Dashboard!$C$4,7,1),0))</f>
        <v/>
      </c>
      <c r="J10" s="106">
        <f>SUMIFS(Transaksi!$F$16:$F$5015,Transaksi!$H$16:$H$5015,"Uang Kos Mama",Transaksi!$L$16:$L$5015,"Kos cowok · Kamar 4",Transaksi!$B$16:$B$5015,"&gt;="&amp;DATE(Dashboard!$C$4,8,1),Transaksi!$B$16:$B$5015,"&lt;="&amp;EOMONTH(DATE(Dashboard!$C$4,8,1),0))</f>
        <v/>
      </c>
      <c r="K10" s="106">
        <f>SUMIFS(Transaksi!$F$16:$F$5015,Transaksi!$H$16:$H$5015,"Uang Kos Mama",Transaksi!$L$16:$L$5015,"Kos cowok · Kamar 4",Transaksi!$B$16:$B$5015,"&gt;="&amp;DATE(Dashboard!$C$4,9,1),Transaksi!$B$16:$B$5015,"&lt;="&amp;EOMONTH(DATE(Dashboard!$C$4,9,1),0))</f>
        <v/>
      </c>
      <c r="L10" s="106">
        <f>SUMIFS(Transaksi!$F$16:$F$5015,Transaksi!$H$16:$H$5015,"Uang Kos Mama",Transaksi!$L$16:$L$5015,"Kos cowok · Kamar 4",Transaksi!$B$16:$B$5015,"&gt;="&amp;DATE(Dashboard!$C$4,10,1),Transaksi!$B$16:$B$5015,"&lt;="&amp;EOMONTH(DATE(Dashboard!$C$4,10,1),0))</f>
        <v/>
      </c>
      <c r="M10" s="106">
        <f>SUMIFS(Transaksi!$F$16:$F$5015,Transaksi!$H$16:$H$5015,"Uang Kos Mama",Transaksi!$L$16:$L$5015,"Kos cowok · Kamar 4",Transaksi!$B$16:$B$5015,"&gt;="&amp;DATE(Dashboard!$C$4,11,1),Transaksi!$B$16:$B$5015,"&lt;="&amp;EOMONTH(DATE(Dashboard!$C$4,11,1),0))</f>
        <v/>
      </c>
      <c r="N10" s="106">
        <f>SUMIFS(Transaksi!$F$16:$F$5015,Transaksi!$H$16:$H$5015,"Uang Kos Mama",Transaksi!$L$16:$L$5015,"Kos cowok · Kamar 4",Transaksi!$B$16:$B$5015,"&gt;="&amp;DATE(Dashboard!$C$4,12,1),Transaksi!$B$16:$B$5015,"&lt;="&amp;EOMONTH(DATE(Dashboard!$C$4,12,1),0))</f>
        <v/>
      </c>
      <c r="O10" s="143">
        <f>SUM(C10:N10)</f>
        <v/>
      </c>
    </row>
    <row r="11" ht="15" customHeight="1" s="94">
      <c r="B11" s="105" t="inlineStr">
        <is>
          <t>Kos cowok · Kamar 5</t>
        </is>
      </c>
      <c r="C11" s="106">
        <f>SUMIFS(Transaksi!$F$16:$F$5015,Transaksi!$H$16:$H$5015,"Uang Kos Mama",Transaksi!$L$16:$L$5015,"Kos cowok · Kamar 5",Transaksi!$B$16:$B$5015,"&gt;="&amp;DATE(Dashboard!$C$4,1,1),Transaksi!$B$16:$B$5015,"&lt;="&amp;EOMONTH(DATE(Dashboard!$C$4,1,1),0))</f>
        <v/>
      </c>
      <c r="D11" s="106">
        <f>SUMIFS(Transaksi!$F$16:$F$5015,Transaksi!$H$16:$H$5015,"Uang Kos Mama",Transaksi!$L$16:$L$5015,"Kos cowok · Kamar 5",Transaksi!$B$16:$B$5015,"&gt;="&amp;DATE(Dashboard!$C$4,2,1),Transaksi!$B$16:$B$5015,"&lt;="&amp;EOMONTH(DATE(Dashboard!$C$4,2,1),0))</f>
        <v/>
      </c>
      <c r="E11" s="106">
        <f>SUMIFS(Transaksi!$F$16:$F$5015,Transaksi!$H$16:$H$5015,"Uang Kos Mama",Transaksi!$L$16:$L$5015,"Kos cowok · Kamar 5",Transaksi!$B$16:$B$5015,"&gt;="&amp;DATE(Dashboard!$C$4,3,1),Transaksi!$B$16:$B$5015,"&lt;="&amp;EOMONTH(DATE(Dashboard!$C$4,3,1),0))</f>
        <v/>
      </c>
      <c r="F11" s="106">
        <f>SUMIFS(Transaksi!$F$16:$F$5015,Transaksi!$H$16:$H$5015,"Uang Kos Mama",Transaksi!$L$16:$L$5015,"Kos cowok · Kamar 5",Transaksi!$B$16:$B$5015,"&gt;="&amp;DATE(Dashboard!$C$4,4,1),Transaksi!$B$16:$B$5015,"&lt;="&amp;EOMONTH(DATE(Dashboard!$C$4,4,1),0))</f>
        <v/>
      </c>
      <c r="G11" s="106">
        <f>SUMIFS(Transaksi!$F$16:$F$5015,Transaksi!$H$16:$H$5015,"Uang Kos Mama",Transaksi!$L$16:$L$5015,"Kos cowok · Kamar 5",Transaksi!$B$16:$B$5015,"&gt;="&amp;DATE(Dashboard!$C$4,5,1),Transaksi!$B$16:$B$5015,"&lt;="&amp;EOMONTH(DATE(Dashboard!$C$4,5,1),0))</f>
        <v/>
      </c>
      <c r="H11" s="106">
        <f>SUMIFS(Transaksi!$F$16:$F$5015,Transaksi!$H$16:$H$5015,"Uang Kos Mama",Transaksi!$L$16:$L$5015,"Kos cowok · Kamar 5",Transaksi!$B$16:$B$5015,"&gt;="&amp;DATE(Dashboard!$C$4,6,1),Transaksi!$B$16:$B$5015,"&lt;="&amp;EOMONTH(DATE(Dashboard!$C$4,6,1),0))</f>
        <v/>
      </c>
      <c r="I11" s="106">
        <f>SUMIFS(Transaksi!$F$16:$F$5015,Transaksi!$H$16:$H$5015,"Uang Kos Mama",Transaksi!$L$16:$L$5015,"Kos cowok · Kamar 5",Transaksi!$B$16:$B$5015,"&gt;="&amp;DATE(Dashboard!$C$4,7,1),Transaksi!$B$16:$B$5015,"&lt;="&amp;EOMONTH(DATE(Dashboard!$C$4,7,1),0))</f>
        <v/>
      </c>
      <c r="J11" s="106">
        <f>SUMIFS(Transaksi!$F$16:$F$5015,Transaksi!$H$16:$H$5015,"Uang Kos Mama",Transaksi!$L$16:$L$5015,"Kos cowok · Kamar 5",Transaksi!$B$16:$B$5015,"&gt;="&amp;DATE(Dashboard!$C$4,8,1),Transaksi!$B$16:$B$5015,"&lt;="&amp;EOMONTH(DATE(Dashboard!$C$4,8,1),0))</f>
        <v/>
      </c>
      <c r="K11" s="106">
        <f>SUMIFS(Transaksi!$F$16:$F$5015,Transaksi!$H$16:$H$5015,"Uang Kos Mama",Transaksi!$L$16:$L$5015,"Kos cowok · Kamar 5",Transaksi!$B$16:$B$5015,"&gt;="&amp;DATE(Dashboard!$C$4,9,1),Transaksi!$B$16:$B$5015,"&lt;="&amp;EOMONTH(DATE(Dashboard!$C$4,9,1),0))</f>
        <v/>
      </c>
      <c r="L11" s="106">
        <f>SUMIFS(Transaksi!$F$16:$F$5015,Transaksi!$H$16:$H$5015,"Uang Kos Mama",Transaksi!$L$16:$L$5015,"Kos cowok · Kamar 5",Transaksi!$B$16:$B$5015,"&gt;="&amp;DATE(Dashboard!$C$4,10,1),Transaksi!$B$16:$B$5015,"&lt;="&amp;EOMONTH(DATE(Dashboard!$C$4,10,1),0))</f>
        <v/>
      </c>
      <c r="M11" s="106">
        <f>SUMIFS(Transaksi!$F$16:$F$5015,Transaksi!$H$16:$H$5015,"Uang Kos Mama",Transaksi!$L$16:$L$5015,"Kos cowok · Kamar 5",Transaksi!$B$16:$B$5015,"&gt;="&amp;DATE(Dashboard!$C$4,11,1),Transaksi!$B$16:$B$5015,"&lt;="&amp;EOMONTH(DATE(Dashboard!$C$4,11,1),0))</f>
        <v/>
      </c>
      <c r="N11" s="106">
        <f>SUMIFS(Transaksi!$F$16:$F$5015,Transaksi!$H$16:$H$5015,"Uang Kos Mama",Transaksi!$L$16:$L$5015,"Kos cowok · Kamar 5",Transaksi!$B$16:$B$5015,"&gt;="&amp;DATE(Dashboard!$C$4,12,1),Transaksi!$B$16:$B$5015,"&lt;="&amp;EOMONTH(DATE(Dashboard!$C$4,12,1),0))</f>
        <v/>
      </c>
      <c r="O11" s="143">
        <f>SUM(C11:N11)</f>
        <v/>
      </c>
    </row>
    <row r="12" ht="15" customHeight="1" s="94">
      <c r="B12" s="105" t="inlineStr">
        <is>
          <t>Kos cowok · Kamar ? (kamar belum tercatat)</t>
        </is>
      </c>
      <c r="C12" s="106">
        <f>SUMIFS(Transaksi!$F$16:$F$5015,Transaksi!$H$16:$H$5015,"Uang Kos Mama",Transaksi!$L$16:$L$5015,"Kos cowok · Kamar ~?",Transaksi!$B$16:$B$5015,"&gt;="&amp;DATE(Dashboard!$C$4,1,1),Transaksi!$B$16:$B$5015,"&lt;="&amp;EOMONTH(DATE(Dashboard!$C$4,1,1),0))</f>
        <v/>
      </c>
      <c r="D12" s="106">
        <f>SUMIFS(Transaksi!$F$16:$F$5015,Transaksi!$H$16:$H$5015,"Uang Kos Mama",Transaksi!$L$16:$L$5015,"Kos cowok · Kamar ~?",Transaksi!$B$16:$B$5015,"&gt;="&amp;DATE(Dashboard!$C$4,2,1),Transaksi!$B$16:$B$5015,"&lt;="&amp;EOMONTH(DATE(Dashboard!$C$4,2,1),0))</f>
        <v/>
      </c>
      <c r="E12" s="106">
        <f>SUMIFS(Transaksi!$F$16:$F$5015,Transaksi!$H$16:$H$5015,"Uang Kos Mama",Transaksi!$L$16:$L$5015,"Kos cowok · Kamar ~?",Transaksi!$B$16:$B$5015,"&gt;="&amp;DATE(Dashboard!$C$4,3,1),Transaksi!$B$16:$B$5015,"&lt;="&amp;EOMONTH(DATE(Dashboard!$C$4,3,1),0))</f>
        <v/>
      </c>
      <c r="F12" s="106">
        <f>SUMIFS(Transaksi!$F$16:$F$5015,Transaksi!$H$16:$H$5015,"Uang Kos Mama",Transaksi!$L$16:$L$5015,"Kos cowok · Kamar ~?",Transaksi!$B$16:$B$5015,"&gt;="&amp;DATE(Dashboard!$C$4,4,1),Transaksi!$B$16:$B$5015,"&lt;="&amp;EOMONTH(DATE(Dashboard!$C$4,4,1),0))</f>
        <v/>
      </c>
      <c r="G12" s="106">
        <f>SUMIFS(Transaksi!$F$16:$F$5015,Transaksi!$H$16:$H$5015,"Uang Kos Mama",Transaksi!$L$16:$L$5015,"Kos cowok · Kamar ~?",Transaksi!$B$16:$B$5015,"&gt;="&amp;DATE(Dashboard!$C$4,5,1),Transaksi!$B$16:$B$5015,"&lt;="&amp;EOMONTH(DATE(Dashboard!$C$4,5,1),0))</f>
        <v/>
      </c>
      <c r="H12" s="106">
        <f>SUMIFS(Transaksi!$F$16:$F$5015,Transaksi!$H$16:$H$5015,"Uang Kos Mama",Transaksi!$L$16:$L$5015,"Kos cowok · Kamar ~?",Transaksi!$B$16:$B$5015,"&gt;="&amp;DATE(Dashboard!$C$4,6,1),Transaksi!$B$16:$B$5015,"&lt;="&amp;EOMONTH(DATE(Dashboard!$C$4,6,1),0))</f>
        <v/>
      </c>
      <c r="I12" s="106">
        <f>SUMIFS(Transaksi!$F$16:$F$5015,Transaksi!$H$16:$H$5015,"Uang Kos Mama",Transaksi!$L$16:$L$5015,"Kos cowok · Kamar ~?",Transaksi!$B$16:$B$5015,"&gt;="&amp;DATE(Dashboard!$C$4,7,1),Transaksi!$B$16:$B$5015,"&lt;="&amp;EOMONTH(DATE(Dashboard!$C$4,7,1),0))</f>
        <v/>
      </c>
      <c r="J12" s="106">
        <f>SUMIFS(Transaksi!$F$16:$F$5015,Transaksi!$H$16:$H$5015,"Uang Kos Mama",Transaksi!$L$16:$L$5015,"Kos cowok · Kamar ~?",Transaksi!$B$16:$B$5015,"&gt;="&amp;DATE(Dashboard!$C$4,8,1),Transaksi!$B$16:$B$5015,"&lt;="&amp;EOMONTH(DATE(Dashboard!$C$4,8,1),0))</f>
        <v/>
      </c>
      <c r="K12" s="106">
        <f>SUMIFS(Transaksi!$F$16:$F$5015,Transaksi!$H$16:$H$5015,"Uang Kos Mama",Transaksi!$L$16:$L$5015,"Kos cowok · Kamar ~?",Transaksi!$B$16:$B$5015,"&gt;="&amp;DATE(Dashboard!$C$4,9,1),Transaksi!$B$16:$B$5015,"&lt;="&amp;EOMONTH(DATE(Dashboard!$C$4,9,1),0))</f>
        <v/>
      </c>
      <c r="L12" s="106">
        <f>SUMIFS(Transaksi!$F$16:$F$5015,Transaksi!$H$16:$H$5015,"Uang Kos Mama",Transaksi!$L$16:$L$5015,"Kos cowok · Kamar ~?",Transaksi!$B$16:$B$5015,"&gt;="&amp;DATE(Dashboard!$C$4,10,1),Transaksi!$B$16:$B$5015,"&lt;="&amp;EOMONTH(DATE(Dashboard!$C$4,10,1),0))</f>
        <v/>
      </c>
      <c r="M12" s="106">
        <f>SUMIFS(Transaksi!$F$16:$F$5015,Transaksi!$H$16:$H$5015,"Uang Kos Mama",Transaksi!$L$16:$L$5015,"Kos cowok · Kamar ~?",Transaksi!$B$16:$B$5015,"&gt;="&amp;DATE(Dashboard!$C$4,11,1),Transaksi!$B$16:$B$5015,"&lt;="&amp;EOMONTH(DATE(Dashboard!$C$4,11,1),0))</f>
        <v/>
      </c>
      <c r="N12" s="106">
        <f>SUMIFS(Transaksi!$F$16:$F$5015,Transaksi!$H$16:$H$5015,"Uang Kos Mama",Transaksi!$L$16:$L$5015,"Kos cowok · Kamar ~?",Transaksi!$B$16:$B$5015,"&gt;="&amp;DATE(Dashboard!$C$4,12,1),Transaksi!$B$16:$B$5015,"&lt;="&amp;EOMONTH(DATE(Dashboard!$C$4,12,1),0))</f>
        <v/>
      </c>
      <c r="O12" s="143">
        <f>SUM(C12:N12)</f>
        <v/>
      </c>
    </row>
    <row r="13" ht="15" customHeight="1" s="94">
      <c r="B13" s="157" t="inlineStr">
        <is>
          <t>Total kos cowok</t>
        </is>
      </c>
      <c r="C13" s="158">
        <f>SUMIFS(Transaksi!$F$16:$F$5015,Transaksi!$H$16:$H$5015,"Uang Kos Mama",Transaksi!$L$16:$L$5015,"Kos cowok*",Transaksi!$B$16:$B$5015,"&gt;="&amp;DATE(Dashboard!$C$4,1,1),Transaksi!$B$16:$B$5015,"&lt;="&amp;EOMONTH(DATE(Dashboard!$C$4,1,1),0))</f>
        <v/>
      </c>
      <c r="D13" s="158">
        <f>SUMIFS(Transaksi!$F$16:$F$5015,Transaksi!$H$16:$H$5015,"Uang Kos Mama",Transaksi!$L$16:$L$5015,"Kos cowok*",Transaksi!$B$16:$B$5015,"&gt;="&amp;DATE(Dashboard!$C$4,2,1),Transaksi!$B$16:$B$5015,"&lt;="&amp;EOMONTH(DATE(Dashboard!$C$4,2,1),0))</f>
        <v/>
      </c>
      <c r="E13" s="158">
        <f>SUMIFS(Transaksi!$F$16:$F$5015,Transaksi!$H$16:$H$5015,"Uang Kos Mama",Transaksi!$L$16:$L$5015,"Kos cowok*",Transaksi!$B$16:$B$5015,"&gt;="&amp;DATE(Dashboard!$C$4,3,1),Transaksi!$B$16:$B$5015,"&lt;="&amp;EOMONTH(DATE(Dashboard!$C$4,3,1),0))</f>
        <v/>
      </c>
      <c r="F13" s="158">
        <f>SUMIFS(Transaksi!$F$16:$F$5015,Transaksi!$H$16:$H$5015,"Uang Kos Mama",Transaksi!$L$16:$L$5015,"Kos cowok*",Transaksi!$B$16:$B$5015,"&gt;="&amp;DATE(Dashboard!$C$4,4,1),Transaksi!$B$16:$B$5015,"&lt;="&amp;EOMONTH(DATE(Dashboard!$C$4,4,1),0))</f>
        <v/>
      </c>
      <c r="G13" s="158">
        <f>SUMIFS(Transaksi!$F$16:$F$5015,Transaksi!$H$16:$H$5015,"Uang Kos Mama",Transaksi!$L$16:$L$5015,"Kos cowok*",Transaksi!$B$16:$B$5015,"&gt;="&amp;DATE(Dashboard!$C$4,5,1),Transaksi!$B$16:$B$5015,"&lt;="&amp;EOMONTH(DATE(Dashboard!$C$4,5,1),0))</f>
        <v/>
      </c>
      <c r="H13" s="158">
        <f>SUMIFS(Transaksi!$F$16:$F$5015,Transaksi!$H$16:$H$5015,"Uang Kos Mama",Transaksi!$L$16:$L$5015,"Kos cowok*",Transaksi!$B$16:$B$5015,"&gt;="&amp;DATE(Dashboard!$C$4,6,1),Transaksi!$B$16:$B$5015,"&lt;="&amp;EOMONTH(DATE(Dashboard!$C$4,6,1),0))</f>
        <v/>
      </c>
      <c r="I13" s="158">
        <f>SUMIFS(Transaksi!$F$16:$F$5015,Transaksi!$H$16:$H$5015,"Uang Kos Mama",Transaksi!$L$16:$L$5015,"Kos cowok*",Transaksi!$B$16:$B$5015,"&gt;="&amp;DATE(Dashboard!$C$4,7,1),Transaksi!$B$16:$B$5015,"&lt;="&amp;EOMONTH(DATE(Dashboard!$C$4,7,1),0))</f>
        <v/>
      </c>
      <c r="J13" s="158">
        <f>SUMIFS(Transaksi!$F$16:$F$5015,Transaksi!$H$16:$H$5015,"Uang Kos Mama",Transaksi!$L$16:$L$5015,"Kos cowok*",Transaksi!$B$16:$B$5015,"&gt;="&amp;DATE(Dashboard!$C$4,8,1),Transaksi!$B$16:$B$5015,"&lt;="&amp;EOMONTH(DATE(Dashboard!$C$4,8,1),0))</f>
        <v/>
      </c>
      <c r="K13" s="158">
        <f>SUMIFS(Transaksi!$F$16:$F$5015,Transaksi!$H$16:$H$5015,"Uang Kos Mama",Transaksi!$L$16:$L$5015,"Kos cowok*",Transaksi!$B$16:$B$5015,"&gt;="&amp;DATE(Dashboard!$C$4,9,1),Transaksi!$B$16:$B$5015,"&lt;="&amp;EOMONTH(DATE(Dashboard!$C$4,9,1),0))</f>
        <v/>
      </c>
      <c r="L13" s="158">
        <f>SUMIFS(Transaksi!$F$16:$F$5015,Transaksi!$H$16:$H$5015,"Uang Kos Mama",Transaksi!$L$16:$L$5015,"Kos cowok*",Transaksi!$B$16:$B$5015,"&gt;="&amp;DATE(Dashboard!$C$4,10,1),Transaksi!$B$16:$B$5015,"&lt;="&amp;EOMONTH(DATE(Dashboard!$C$4,10,1),0))</f>
        <v/>
      </c>
      <c r="M13" s="158">
        <f>SUMIFS(Transaksi!$F$16:$F$5015,Transaksi!$H$16:$H$5015,"Uang Kos Mama",Transaksi!$L$16:$L$5015,"Kos cowok*",Transaksi!$B$16:$B$5015,"&gt;="&amp;DATE(Dashboard!$C$4,11,1),Transaksi!$B$16:$B$5015,"&lt;="&amp;EOMONTH(DATE(Dashboard!$C$4,11,1),0))</f>
        <v/>
      </c>
      <c r="N13" s="158">
        <f>SUMIFS(Transaksi!$F$16:$F$5015,Transaksi!$H$16:$H$5015,"Uang Kos Mama",Transaksi!$L$16:$L$5015,"Kos cowok*",Transaksi!$B$16:$B$5015,"&gt;="&amp;DATE(Dashboard!$C$4,12,1),Transaksi!$B$16:$B$5015,"&lt;="&amp;EOMONTH(DATE(Dashboard!$C$4,12,1),0))</f>
        <v/>
      </c>
      <c r="O13" s="143">
        <f>SUM(C13:N13)</f>
        <v/>
      </c>
    </row>
    <row r="14"/>
    <row r="15" ht="15" customHeight="1" s="94">
      <c r="B15" s="96" t="inlineStr">
        <is>
          <t>KOS CEWEK</t>
        </is>
      </c>
    </row>
    <row r="16" ht="15" customHeight="1" s="94">
      <c r="B16" s="105" t="inlineStr">
        <is>
          <t>Kos cewek · Kamar 1</t>
        </is>
      </c>
      <c r="C16" s="106">
        <f>SUMIFS(Transaksi!$F$16:$F$5015,Transaksi!$H$16:$H$5015,"Uang Kos Mama",Transaksi!$L$16:$L$5015,"Kos cewek · Kamar 1",Transaksi!$B$16:$B$5015,"&gt;="&amp;DATE(Dashboard!$C$4,1,1),Transaksi!$B$16:$B$5015,"&lt;="&amp;EOMONTH(DATE(Dashboard!$C$4,1,1),0))</f>
        <v/>
      </c>
      <c r="D16" s="106">
        <f>SUMIFS(Transaksi!$F$16:$F$5015,Transaksi!$H$16:$H$5015,"Uang Kos Mama",Transaksi!$L$16:$L$5015,"Kos cewek · Kamar 1",Transaksi!$B$16:$B$5015,"&gt;="&amp;DATE(Dashboard!$C$4,2,1),Transaksi!$B$16:$B$5015,"&lt;="&amp;EOMONTH(DATE(Dashboard!$C$4,2,1),0))</f>
        <v/>
      </c>
      <c r="E16" s="106">
        <f>SUMIFS(Transaksi!$F$16:$F$5015,Transaksi!$H$16:$H$5015,"Uang Kos Mama",Transaksi!$L$16:$L$5015,"Kos cewek · Kamar 1",Transaksi!$B$16:$B$5015,"&gt;="&amp;DATE(Dashboard!$C$4,3,1),Transaksi!$B$16:$B$5015,"&lt;="&amp;EOMONTH(DATE(Dashboard!$C$4,3,1),0))</f>
        <v/>
      </c>
      <c r="F16" s="106">
        <f>SUMIFS(Transaksi!$F$16:$F$5015,Transaksi!$H$16:$H$5015,"Uang Kos Mama",Transaksi!$L$16:$L$5015,"Kos cewek · Kamar 1",Transaksi!$B$16:$B$5015,"&gt;="&amp;DATE(Dashboard!$C$4,4,1),Transaksi!$B$16:$B$5015,"&lt;="&amp;EOMONTH(DATE(Dashboard!$C$4,4,1),0))</f>
        <v/>
      </c>
      <c r="G16" s="106">
        <f>SUMIFS(Transaksi!$F$16:$F$5015,Transaksi!$H$16:$H$5015,"Uang Kos Mama",Transaksi!$L$16:$L$5015,"Kos cewek · Kamar 1",Transaksi!$B$16:$B$5015,"&gt;="&amp;DATE(Dashboard!$C$4,5,1),Transaksi!$B$16:$B$5015,"&lt;="&amp;EOMONTH(DATE(Dashboard!$C$4,5,1),0))</f>
        <v/>
      </c>
      <c r="H16" s="106">
        <f>SUMIFS(Transaksi!$F$16:$F$5015,Transaksi!$H$16:$H$5015,"Uang Kos Mama",Transaksi!$L$16:$L$5015,"Kos cewek · Kamar 1",Transaksi!$B$16:$B$5015,"&gt;="&amp;DATE(Dashboard!$C$4,6,1),Transaksi!$B$16:$B$5015,"&lt;="&amp;EOMONTH(DATE(Dashboard!$C$4,6,1),0))</f>
        <v/>
      </c>
      <c r="I16" s="106">
        <f>SUMIFS(Transaksi!$F$16:$F$5015,Transaksi!$H$16:$H$5015,"Uang Kos Mama",Transaksi!$L$16:$L$5015,"Kos cewek · Kamar 1",Transaksi!$B$16:$B$5015,"&gt;="&amp;DATE(Dashboard!$C$4,7,1),Transaksi!$B$16:$B$5015,"&lt;="&amp;EOMONTH(DATE(Dashboard!$C$4,7,1),0))</f>
        <v/>
      </c>
      <c r="J16" s="106">
        <f>SUMIFS(Transaksi!$F$16:$F$5015,Transaksi!$H$16:$H$5015,"Uang Kos Mama",Transaksi!$L$16:$L$5015,"Kos cewek · Kamar 1",Transaksi!$B$16:$B$5015,"&gt;="&amp;DATE(Dashboard!$C$4,8,1),Transaksi!$B$16:$B$5015,"&lt;="&amp;EOMONTH(DATE(Dashboard!$C$4,8,1),0))</f>
        <v/>
      </c>
      <c r="K16" s="106">
        <f>SUMIFS(Transaksi!$F$16:$F$5015,Transaksi!$H$16:$H$5015,"Uang Kos Mama",Transaksi!$L$16:$L$5015,"Kos cewek · Kamar 1",Transaksi!$B$16:$B$5015,"&gt;="&amp;DATE(Dashboard!$C$4,9,1),Transaksi!$B$16:$B$5015,"&lt;="&amp;EOMONTH(DATE(Dashboard!$C$4,9,1),0))</f>
        <v/>
      </c>
      <c r="L16" s="106">
        <f>SUMIFS(Transaksi!$F$16:$F$5015,Transaksi!$H$16:$H$5015,"Uang Kos Mama",Transaksi!$L$16:$L$5015,"Kos cewek · Kamar 1",Transaksi!$B$16:$B$5015,"&gt;="&amp;DATE(Dashboard!$C$4,10,1),Transaksi!$B$16:$B$5015,"&lt;="&amp;EOMONTH(DATE(Dashboard!$C$4,10,1),0))</f>
        <v/>
      </c>
      <c r="M16" s="106">
        <f>SUMIFS(Transaksi!$F$16:$F$5015,Transaksi!$H$16:$H$5015,"Uang Kos Mama",Transaksi!$L$16:$L$5015,"Kos cewek · Kamar 1",Transaksi!$B$16:$B$5015,"&gt;="&amp;DATE(Dashboard!$C$4,11,1),Transaksi!$B$16:$B$5015,"&lt;="&amp;EOMONTH(DATE(Dashboard!$C$4,11,1),0))</f>
        <v/>
      </c>
      <c r="N16" s="106">
        <f>SUMIFS(Transaksi!$F$16:$F$5015,Transaksi!$H$16:$H$5015,"Uang Kos Mama",Transaksi!$L$16:$L$5015,"Kos cewek · Kamar 1",Transaksi!$B$16:$B$5015,"&gt;="&amp;DATE(Dashboard!$C$4,12,1),Transaksi!$B$16:$B$5015,"&lt;="&amp;EOMONTH(DATE(Dashboard!$C$4,12,1),0))</f>
        <v/>
      </c>
      <c r="O16" s="143">
        <f>SUM(C16:N16)</f>
        <v/>
      </c>
    </row>
    <row r="17" ht="15" customHeight="1" s="94">
      <c r="B17" s="105" t="inlineStr">
        <is>
          <t>Kos cewek · Kamar 2</t>
        </is>
      </c>
      <c r="C17" s="106">
        <f>SUMIFS(Transaksi!$F$16:$F$5015,Transaksi!$H$16:$H$5015,"Uang Kos Mama",Transaksi!$L$16:$L$5015,"Kos cewek · Kamar 2",Transaksi!$B$16:$B$5015,"&gt;="&amp;DATE(Dashboard!$C$4,1,1),Transaksi!$B$16:$B$5015,"&lt;="&amp;EOMONTH(DATE(Dashboard!$C$4,1,1),0))</f>
        <v/>
      </c>
      <c r="D17" s="106">
        <f>SUMIFS(Transaksi!$F$16:$F$5015,Transaksi!$H$16:$H$5015,"Uang Kos Mama",Transaksi!$L$16:$L$5015,"Kos cewek · Kamar 2",Transaksi!$B$16:$B$5015,"&gt;="&amp;DATE(Dashboard!$C$4,2,1),Transaksi!$B$16:$B$5015,"&lt;="&amp;EOMONTH(DATE(Dashboard!$C$4,2,1),0))</f>
        <v/>
      </c>
      <c r="E17" s="106">
        <f>SUMIFS(Transaksi!$F$16:$F$5015,Transaksi!$H$16:$H$5015,"Uang Kos Mama",Transaksi!$L$16:$L$5015,"Kos cewek · Kamar 2",Transaksi!$B$16:$B$5015,"&gt;="&amp;DATE(Dashboard!$C$4,3,1),Transaksi!$B$16:$B$5015,"&lt;="&amp;EOMONTH(DATE(Dashboard!$C$4,3,1),0))</f>
        <v/>
      </c>
      <c r="F17" s="106">
        <f>SUMIFS(Transaksi!$F$16:$F$5015,Transaksi!$H$16:$H$5015,"Uang Kos Mama",Transaksi!$L$16:$L$5015,"Kos cewek · Kamar 2",Transaksi!$B$16:$B$5015,"&gt;="&amp;DATE(Dashboard!$C$4,4,1),Transaksi!$B$16:$B$5015,"&lt;="&amp;EOMONTH(DATE(Dashboard!$C$4,4,1),0))</f>
        <v/>
      </c>
      <c r="G17" s="106">
        <f>SUMIFS(Transaksi!$F$16:$F$5015,Transaksi!$H$16:$H$5015,"Uang Kos Mama",Transaksi!$L$16:$L$5015,"Kos cewek · Kamar 2",Transaksi!$B$16:$B$5015,"&gt;="&amp;DATE(Dashboard!$C$4,5,1),Transaksi!$B$16:$B$5015,"&lt;="&amp;EOMONTH(DATE(Dashboard!$C$4,5,1),0))</f>
        <v/>
      </c>
      <c r="H17" s="106">
        <f>SUMIFS(Transaksi!$F$16:$F$5015,Transaksi!$H$16:$H$5015,"Uang Kos Mama",Transaksi!$L$16:$L$5015,"Kos cewek · Kamar 2",Transaksi!$B$16:$B$5015,"&gt;="&amp;DATE(Dashboard!$C$4,6,1),Transaksi!$B$16:$B$5015,"&lt;="&amp;EOMONTH(DATE(Dashboard!$C$4,6,1),0))</f>
        <v/>
      </c>
      <c r="I17" s="106">
        <f>SUMIFS(Transaksi!$F$16:$F$5015,Transaksi!$H$16:$H$5015,"Uang Kos Mama",Transaksi!$L$16:$L$5015,"Kos cewek · Kamar 2",Transaksi!$B$16:$B$5015,"&gt;="&amp;DATE(Dashboard!$C$4,7,1),Transaksi!$B$16:$B$5015,"&lt;="&amp;EOMONTH(DATE(Dashboard!$C$4,7,1),0))</f>
        <v/>
      </c>
      <c r="J17" s="106">
        <f>SUMIFS(Transaksi!$F$16:$F$5015,Transaksi!$H$16:$H$5015,"Uang Kos Mama",Transaksi!$L$16:$L$5015,"Kos cewek · Kamar 2",Transaksi!$B$16:$B$5015,"&gt;="&amp;DATE(Dashboard!$C$4,8,1),Transaksi!$B$16:$B$5015,"&lt;="&amp;EOMONTH(DATE(Dashboard!$C$4,8,1),0))</f>
        <v/>
      </c>
      <c r="K17" s="106">
        <f>SUMIFS(Transaksi!$F$16:$F$5015,Transaksi!$H$16:$H$5015,"Uang Kos Mama",Transaksi!$L$16:$L$5015,"Kos cewek · Kamar 2",Transaksi!$B$16:$B$5015,"&gt;="&amp;DATE(Dashboard!$C$4,9,1),Transaksi!$B$16:$B$5015,"&lt;="&amp;EOMONTH(DATE(Dashboard!$C$4,9,1),0))</f>
        <v/>
      </c>
      <c r="L17" s="106">
        <f>SUMIFS(Transaksi!$F$16:$F$5015,Transaksi!$H$16:$H$5015,"Uang Kos Mama",Transaksi!$L$16:$L$5015,"Kos cewek · Kamar 2",Transaksi!$B$16:$B$5015,"&gt;="&amp;DATE(Dashboard!$C$4,10,1),Transaksi!$B$16:$B$5015,"&lt;="&amp;EOMONTH(DATE(Dashboard!$C$4,10,1),0))</f>
        <v/>
      </c>
      <c r="M17" s="106">
        <f>SUMIFS(Transaksi!$F$16:$F$5015,Transaksi!$H$16:$H$5015,"Uang Kos Mama",Transaksi!$L$16:$L$5015,"Kos cewek · Kamar 2",Transaksi!$B$16:$B$5015,"&gt;="&amp;DATE(Dashboard!$C$4,11,1),Transaksi!$B$16:$B$5015,"&lt;="&amp;EOMONTH(DATE(Dashboard!$C$4,11,1),0))</f>
        <v/>
      </c>
      <c r="N17" s="106">
        <f>SUMIFS(Transaksi!$F$16:$F$5015,Transaksi!$H$16:$H$5015,"Uang Kos Mama",Transaksi!$L$16:$L$5015,"Kos cewek · Kamar 2",Transaksi!$B$16:$B$5015,"&gt;="&amp;DATE(Dashboard!$C$4,12,1),Transaksi!$B$16:$B$5015,"&lt;="&amp;EOMONTH(DATE(Dashboard!$C$4,12,1),0))</f>
        <v/>
      </c>
      <c r="O17" s="143">
        <f>SUM(C17:N17)</f>
        <v/>
      </c>
    </row>
    <row r="18" ht="15" customHeight="1" s="94">
      <c r="B18" s="105" t="inlineStr">
        <is>
          <t>Kos cewek · Kamar 3</t>
        </is>
      </c>
      <c r="C18" s="106">
        <f>SUMIFS(Transaksi!$F$16:$F$5015,Transaksi!$H$16:$H$5015,"Uang Kos Mama",Transaksi!$L$16:$L$5015,"Kos cewek · Kamar 3",Transaksi!$B$16:$B$5015,"&gt;="&amp;DATE(Dashboard!$C$4,1,1),Transaksi!$B$16:$B$5015,"&lt;="&amp;EOMONTH(DATE(Dashboard!$C$4,1,1),0))</f>
        <v/>
      </c>
      <c r="D18" s="106">
        <f>SUMIFS(Transaksi!$F$16:$F$5015,Transaksi!$H$16:$H$5015,"Uang Kos Mama",Transaksi!$L$16:$L$5015,"Kos cewek · Kamar 3",Transaksi!$B$16:$B$5015,"&gt;="&amp;DATE(Dashboard!$C$4,2,1),Transaksi!$B$16:$B$5015,"&lt;="&amp;EOMONTH(DATE(Dashboard!$C$4,2,1),0))</f>
        <v/>
      </c>
      <c r="E18" s="106">
        <f>SUMIFS(Transaksi!$F$16:$F$5015,Transaksi!$H$16:$H$5015,"Uang Kos Mama",Transaksi!$L$16:$L$5015,"Kos cewek · Kamar 3",Transaksi!$B$16:$B$5015,"&gt;="&amp;DATE(Dashboard!$C$4,3,1),Transaksi!$B$16:$B$5015,"&lt;="&amp;EOMONTH(DATE(Dashboard!$C$4,3,1),0))</f>
        <v/>
      </c>
      <c r="F18" s="106">
        <f>SUMIFS(Transaksi!$F$16:$F$5015,Transaksi!$H$16:$H$5015,"Uang Kos Mama",Transaksi!$L$16:$L$5015,"Kos cewek · Kamar 3",Transaksi!$B$16:$B$5015,"&gt;="&amp;DATE(Dashboard!$C$4,4,1),Transaksi!$B$16:$B$5015,"&lt;="&amp;EOMONTH(DATE(Dashboard!$C$4,4,1),0))</f>
        <v/>
      </c>
      <c r="G18" s="106">
        <f>SUMIFS(Transaksi!$F$16:$F$5015,Transaksi!$H$16:$H$5015,"Uang Kos Mama",Transaksi!$L$16:$L$5015,"Kos cewek · Kamar 3",Transaksi!$B$16:$B$5015,"&gt;="&amp;DATE(Dashboard!$C$4,5,1),Transaksi!$B$16:$B$5015,"&lt;="&amp;EOMONTH(DATE(Dashboard!$C$4,5,1),0))</f>
        <v/>
      </c>
      <c r="H18" s="106">
        <f>SUMIFS(Transaksi!$F$16:$F$5015,Transaksi!$H$16:$H$5015,"Uang Kos Mama",Transaksi!$L$16:$L$5015,"Kos cewek · Kamar 3",Transaksi!$B$16:$B$5015,"&gt;="&amp;DATE(Dashboard!$C$4,6,1),Transaksi!$B$16:$B$5015,"&lt;="&amp;EOMONTH(DATE(Dashboard!$C$4,6,1),0))</f>
        <v/>
      </c>
      <c r="I18" s="106">
        <f>SUMIFS(Transaksi!$F$16:$F$5015,Transaksi!$H$16:$H$5015,"Uang Kos Mama",Transaksi!$L$16:$L$5015,"Kos cewek · Kamar 3",Transaksi!$B$16:$B$5015,"&gt;="&amp;DATE(Dashboard!$C$4,7,1),Transaksi!$B$16:$B$5015,"&lt;="&amp;EOMONTH(DATE(Dashboard!$C$4,7,1),0))</f>
        <v/>
      </c>
      <c r="J18" s="106">
        <f>SUMIFS(Transaksi!$F$16:$F$5015,Transaksi!$H$16:$H$5015,"Uang Kos Mama",Transaksi!$L$16:$L$5015,"Kos cewek · Kamar 3",Transaksi!$B$16:$B$5015,"&gt;="&amp;DATE(Dashboard!$C$4,8,1),Transaksi!$B$16:$B$5015,"&lt;="&amp;EOMONTH(DATE(Dashboard!$C$4,8,1),0))</f>
        <v/>
      </c>
      <c r="K18" s="106">
        <f>SUMIFS(Transaksi!$F$16:$F$5015,Transaksi!$H$16:$H$5015,"Uang Kos Mama",Transaksi!$L$16:$L$5015,"Kos cewek · Kamar 3",Transaksi!$B$16:$B$5015,"&gt;="&amp;DATE(Dashboard!$C$4,9,1),Transaksi!$B$16:$B$5015,"&lt;="&amp;EOMONTH(DATE(Dashboard!$C$4,9,1),0))</f>
        <v/>
      </c>
      <c r="L18" s="106">
        <f>SUMIFS(Transaksi!$F$16:$F$5015,Transaksi!$H$16:$H$5015,"Uang Kos Mama",Transaksi!$L$16:$L$5015,"Kos cewek · Kamar 3",Transaksi!$B$16:$B$5015,"&gt;="&amp;DATE(Dashboard!$C$4,10,1),Transaksi!$B$16:$B$5015,"&lt;="&amp;EOMONTH(DATE(Dashboard!$C$4,10,1),0))</f>
        <v/>
      </c>
      <c r="M18" s="106">
        <f>SUMIFS(Transaksi!$F$16:$F$5015,Transaksi!$H$16:$H$5015,"Uang Kos Mama",Transaksi!$L$16:$L$5015,"Kos cewek · Kamar 3",Transaksi!$B$16:$B$5015,"&gt;="&amp;DATE(Dashboard!$C$4,11,1),Transaksi!$B$16:$B$5015,"&lt;="&amp;EOMONTH(DATE(Dashboard!$C$4,11,1),0))</f>
        <v/>
      </c>
      <c r="N18" s="106">
        <f>SUMIFS(Transaksi!$F$16:$F$5015,Transaksi!$H$16:$H$5015,"Uang Kos Mama",Transaksi!$L$16:$L$5015,"Kos cewek · Kamar 3",Transaksi!$B$16:$B$5015,"&gt;="&amp;DATE(Dashboard!$C$4,12,1),Transaksi!$B$16:$B$5015,"&lt;="&amp;EOMONTH(DATE(Dashboard!$C$4,12,1),0))</f>
        <v/>
      </c>
      <c r="O18" s="143">
        <f>SUM(C18:N18)</f>
        <v/>
      </c>
    </row>
    <row r="19" ht="15" customHeight="1" s="94">
      <c r="B19" s="105" t="inlineStr">
        <is>
          <t>Kos cewek · Kamar 4</t>
        </is>
      </c>
      <c r="C19" s="106">
        <f>SUMIFS(Transaksi!$F$16:$F$5015,Transaksi!$H$16:$H$5015,"Uang Kos Mama",Transaksi!$L$16:$L$5015,"Kos cewek · Kamar 4",Transaksi!$B$16:$B$5015,"&gt;="&amp;DATE(Dashboard!$C$4,1,1),Transaksi!$B$16:$B$5015,"&lt;="&amp;EOMONTH(DATE(Dashboard!$C$4,1,1),0))</f>
        <v/>
      </c>
      <c r="D19" s="106">
        <f>SUMIFS(Transaksi!$F$16:$F$5015,Transaksi!$H$16:$H$5015,"Uang Kos Mama",Transaksi!$L$16:$L$5015,"Kos cewek · Kamar 4",Transaksi!$B$16:$B$5015,"&gt;="&amp;DATE(Dashboard!$C$4,2,1),Transaksi!$B$16:$B$5015,"&lt;="&amp;EOMONTH(DATE(Dashboard!$C$4,2,1),0))</f>
        <v/>
      </c>
      <c r="E19" s="106">
        <f>SUMIFS(Transaksi!$F$16:$F$5015,Transaksi!$H$16:$H$5015,"Uang Kos Mama",Transaksi!$L$16:$L$5015,"Kos cewek · Kamar 4",Transaksi!$B$16:$B$5015,"&gt;="&amp;DATE(Dashboard!$C$4,3,1),Transaksi!$B$16:$B$5015,"&lt;="&amp;EOMONTH(DATE(Dashboard!$C$4,3,1),0))</f>
        <v/>
      </c>
      <c r="F19" s="106">
        <f>SUMIFS(Transaksi!$F$16:$F$5015,Transaksi!$H$16:$H$5015,"Uang Kos Mama",Transaksi!$L$16:$L$5015,"Kos cewek · Kamar 4",Transaksi!$B$16:$B$5015,"&gt;="&amp;DATE(Dashboard!$C$4,4,1),Transaksi!$B$16:$B$5015,"&lt;="&amp;EOMONTH(DATE(Dashboard!$C$4,4,1),0))</f>
        <v/>
      </c>
      <c r="G19" s="106">
        <f>SUMIFS(Transaksi!$F$16:$F$5015,Transaksi!$H$16:$H$5015,"Uang Kos Mama",Transaksi!$L$16:$L$5015,"Kos cewek · Kamar 4",Transaksi!$B$16:$B$5015,"&gt;="&amp;DATE(Dashboard!$C$4,5,1),Transaksi!$B$16:$B$5015,"&lt;="&amp;EOMONTH(DATE(Dashboard!$C$4,5,1),0))</f>
        <v/>
      </c>
      <c r="H19" s="106">
        <f>SUMIFS(Transaksi!$F$16:$F$5015,Transaksi!$H$16:$H$5015,"Uang Kos Mama",Transaksi!$L$16:$L$5015,"Kos cewek · Kamar 4",Transaksi!$B$16:$B$5015,"&gt;="&amp;DATE(Dashboard!$C$4,6,1),Transaksi!$B$16:$B$5015,"&lt;="&amp;EOMONTH(DATE(Dashboard!$C$4,6,1),0))</f>
        <v/>
      </c>
      <c r="I19" s="106">
        <f>SUMIFS(Transaksi!$F$16:$F$5015,Transaksi!$H$16:$H$5015,"Uang Kos Mama",Transaksi!$L$16:$L$5015,"Kos cewek · Kamar 4",Transaksi!$B$16:$B$5015,"&gt;="&amp;DATE(Dashboard!$C$4,7,1),Transaksi!$B$16:$B$5015,"&lt;="&amp;EOMONTH(DATE(Dashboard!$C$4,7,1),0))</f>
        <v/>
      </c>
      <c r="J19" s="106">
        <f>SUMIFS(Transaksi!$F$16:$F$5015,Transaksi!$H$16:$H$5015,"Uang Kos Mama",Transaksi!$L$16:$L$5015,"Kos cewek · Kamar 4",Transaksi!$B$16:$B$5015,"&gt;="&amp;DATE(Dashboard!$C$4,8,1),Transaksi!$B$16:$B$5015,"&lt;="&amp;EOMONTH(DATE(Dashboard!$C$4,8,1),0))</f>
        <v/>
      </c>
      <c r="K19" s="106">
        <f>SUMIFS(Transaksi!$F$16:$F$5015,Transaksi!$H$16:$H$5015,"Uang Kos Mama",Transaksi!$L$16:$L$5015,"Kos cewek · Kamar 4",Transaksi!$B$16:$B$5015,"&gt;="&amp;DATE(Dashboard!$C$4,9,1),Transaksi!$B$16:$B$5015,"&lt;="&amp;EOMONTH(DATE(Dashboard!$C$4,9,1),0))</f>
        <v/>
      </c>
      <c r="L19" s="106">
        <f>SUMIFS(Transaksi!$F$16:$F$5015,Transaksi!$H$16:$H$5015,"Uang Kos Mama",Transaksi!$L$16:$L$5015,"Kos cewek · Kamar 4",Transaksi!$B$16:$B$5015,"&gt;="&amp;DATE(Dashboard!$C$4,10,1),Transaksi!$B$16:$B$5015,"&lt;="&amp;EOMONTH(DATE(Dashboard!$C$4,10,1),0))</f>
        <v/>
      </c>
      <c r="M19" s="106">
        <f>SUMIFS(Transaksi!$F$16:$F$5015,Transaksi!$H$16:$H$5015,"Uang Kos Mama",Transaksi!$L$16:$L$5015,"Kos cewek · Kamar 4",Transaksi!$B$16:$B$5015,"&gt;="&amp;DATE(Dashboard!$C$4,11,1),Transaksi!$B$16:$B$5015,"&lt;="&amp;EOMONTH(DATE(Dashboard!$C$4,11,1),0))</f>
        <v/>
      </c>
      <c r="N19" s="106">
        <f>SUMIFS(Transaksi!$F$16:$F$5015,Transaksi!$H$16:$H$5015,"Uang Kos Mama",Transaksi!$L$16:$L$5015,"Kos cewek · Kamar 4",Transaksi!$B$16:$B$5015,"&gt;="&amp;DATE(Dashboard!$C$4,12,1),Transaksi!$B$16:$B$5015,"&lt;="&amp;EOMONTH(DATE(Dashboard!$C$4,12,1),0))</f>
        <v/>
      </c>
      <c r="O19" s="143">
        <f>SUM(C19:N19)</f>
        <v/>
      </c>
    </row>
    <row r="20" ht="15" customHeight="1" s="94">
      <c r="B20" s="105" t="inlineStr">
        <is>
          <t>Kos cewek · Kamar 5</t>
        </is>
      </c>
      <c r="C20" s="106">
        <f>SUMIFS(Transaksi!$F$16:$F$5015,Transaksi!$H$16:$H$5015,"Uang Kos Mama",Transaksi!$L$16:$L$5015,"Kos cewek · Kamar 5",Transaksi!$B$16:$B$5015,"&gt;="&amp;DATE(Dashboard!$C$4,1,1),Transaksi!$B$16:$B$5015,"&lt;="&amp;EOMONTH(DATE(Dashboard!$C$4,1,1),0))</f>
        <v/>
      </c>
      <c r="D20" s="106">
        <f>SUMIFS(Transaksi!$F$16:$F$5015,Transaksi!$H$16:$H$5015,"Uang Kos Mama",Transaksi!$L$16:$L$5015,"Kos cewek · Kamar 5",Transaksi!$B$16:$B$5015,"&gt;="&amp;DATE(Dashboard!$C$4,2,1),Transaksi!$B$16:$B$5015,"&lt;="&amp;EOMONTH(DATE(Dashboard!$C$4,2,1),0))</f>
        <v/>
      </c>
      <c r="E20" s="106">
        <f>SUMIFS(Transaksi!$F$16:$F$5015,Transaksi!$H$16:$H$5015,"Uang Kos Mama",Transaksi!$L$16:$L$5015,"Kos cewek · Kamar 5",Transaksi!$B$16:$B$5015,"&gt;="&amp;DATE(Dashboard!$C$4,3,1),Transaksi!$B$16:$B$5015,"&lt;="&amp;EOMONTH(DATE(Dashboard!$C$4,3,1),0))</f>
        <v/>
      </c>
      <c r="F20" s="106">
        <f>SUMIFS(Transaksi!$F$16:$F$5015,Transaksi!$H$16:$H$5015,"Uang Kos Mama",Transaksi!$L$16:$L$5015,"Kos cewek · Kamar 5",Transaksi!$B$16:$B$5015,"&gt;="&amp;DATE(Dashboard!$C$4,4,1),Transaksi!$B$16:$B$5015,"&lt;="&amp;EOMONTH(DATE(Dashboard!$C$4,4,1),0))</f>
        <v/>
      </c>
      <c r="G20" s="106">
        <f>SUMIFS(Transaksi!$F$16:$F$5015,Transaksi!$H$16:$H$5015,"Uang Kos Mama",Transaksi!$L$16:$L$5015,"Kos cewek · Kamar 5",Transaksi!$B$16:$B$5015,"&gt;="&amp;DATE(Dashboard!$C$4,5,1),Transaksi!$B$16:$B$5015,"&lt;="&amp;EOMONTH(DATE(Dashboard!$C$4,5,1),0))</f>
        <v/>
      </c>
      <c r="H20" s="106">
        <f>SUMIFS(Transaksi!$F$16:$F$5015,Transaksi!$H$16:$H$5015,"Uang Kos Mama",Transaksi!$L$16:$L$5015,"Kos cewek · Kamar 5",Transaksi!$B$16:$B$5015,"&gt;="&amp;DATE(Dashboard!$C$4,6,1),Transaksi!$B$16:$B$5015,"&lt;="&amp;EOMONTH(DATE(Dashboard!$C$4,6,1),0))</f>
        <v/>
      </c>
      <c r="I20" s="106">
        <f>SUMIFS(Transaksi!$F$16:$F$5015,Transaksi!$H$16:$H$5015,"Uang Kos Mama",Transaksi!$L$16:$L$5015,"Kos cewek · Kamar 5",Transaksi!$B$16:$B$5015,"&gt;="&amp;DATE(Dashboard!$C$4,7,1),Transaksi!$B$16:$B$5015,"&lt;="&amp;EOMONTH(DATE(Dashboard!$C$4,7,1),0))</f>
        <v/>
      </c>
      <c r="J20" s="106">
        <f>SUMIFS(Transaksi!$F$16:$F$5015,Transaksi!$H$16:$H$5015,"Uang Kos Mama",Transaksi!$L$16:$L$5015,"Kos cewek · Kamar 5",Transaksi!$B$16:$B$5015,"&gt;="&amp;DATE(Dashboard!$C$4,8,1),Transaksi!$B$16:$B$5015,"&lt;="&amp;EOMONTH(DATE(Dashboard!$C$4,8,1),0))</f>
        <v/>
      </c>
      <c r="K20" s="106">
        <f>SUMIFS(Transaksi!$F$16:$F$5015,Transaksi!$H$16:$H$5015,"Uang Kos Mama",Transaksi!$L$16:$L$5015,"Kos cewek · Kamar 5",Transaksi!$B$16:$B$5015,"&gt;="&amp;DATE(Dashboard!$C$4,9,1),Transaksi!$B$16:$B$5015,"&lt;="&amp;EOMONTH(DATE(Dashboard!$C$4,9,1),0))</f>
        <v/>
      </c>
      <c r="L20" s="106">
        <f>SUMIFS(Transaksi!$F$16:$F$5015,Transaksi!$H$16:$H$5015,"Uang Kos Mama",Transaksi!$L$16:$L$5015,"Kos cewek · Kamar 5",Transaksi!$B$16:$B$5015,"&gt;="&amp;DATE(Dashboard!$C$4,10,1),Transaksi!$B$16:$B$5015,"&lt;="&amp;EOMONTH(DATE(Dashboard!$C$4,10,1),0))</f>
        <v/>
      </c>
      <c r="M20" s="106">
        <f>SUMIFS(Transaksi!$F$16:$F$5015,Transaksi!$H$16:$H$5015,"Uang Kos Mama",Transaksi!$L$16:$L$5015,"Kos cewek · Kamar 5",Transaksi!$B$16:$B$5015,"&gt;="&amp;DATE(Dashboard!$C$4,11,1),Transaksi!$B$16:$B$5015,"&lt;="&amp;EOMONTH(DATE(Dashboard!$C$4,11,1),0))</f>
        <v/>
      </c>
      <c r="N20" s="106">
        <f>SUMIFS(Transaksi!$F$16:$F$5015,Transaksi!$H$16:$H$5015,"Uang Kos Mama",Transaksi!$L$16:$L$5015,"Kos cewek · Kamar 5",Transaksi!$B$16:$B$5015,"&gt;="&amp;DATE(Dashboard!$C$4,12,1),Transaksi!$B$16:$B$5015,"&lt;="&amp;EOMONTH(DATE(Dashboard!$C$4,12,1),0))</f>
        <v/>
      </c>
      <c r="O20" s="143">
        <f>SUM(C20:N20)</f>
        <v/>
      </c>
    </row>
    <row r="21" ht="15" customHeight="1" s="94">
      <c r="B21" s="105" t="inlineStr">
        <is>
          <t>Kos cewek · Kamar 6</t>
        </is>
      </c>
      <c r="C21" s="106">
        <f>SUMIFS(Transaksi!$F$16:$F$5015,Transaksi!$H$16:$H$5015,"Uang Kos Mama",Transaksi!$L$16:$L$5015,"Kos cewek · Kamar 6",Transaksi!$B$16:$B$5015,"&gt;="&amp;DATE(Dashboard!$C$4,1,1),Transaksi!$B$16:$B$5015,"&lt;="&amp;EOMONTH(DATE(Dashboard!$C$4,1,1),0))</f>
        <v/>
      </c>
      <c r="D21" s="106">
        <f>SUMIFS(Transaksi!$F$16:$F$5015,Transaksi!$H$16:$H$5015,"Uang Kos Mama",Transaksi!$L$16:$L$5015,"Kos cewek · Kamar 6",Transaksi!$B$16:$B$5015,"&gt;="&amp;DATE(Dashboard!$C$4,2,1),Transaksi!$B$16:$B$5015,"&lt;="&amp;EOMONTH(DATE(Dashboard!$C$4,2,1),0))</f>
        <v/>
      </c>
      <c r="E21" s="106">
        <f>SUMIFS(Transaksi!$F$16:$F$5015,Transaksi!$H$16:$H$5015,"Uang Kos Mama",Transaksi!$L$16:$L$5015,"Kos cewek · Kamar 6",Transaksi!$B$16:$B$5015,"&gt;="&amp;DATE(Dashboard!$C$4,3,1),Transaksi!$B$16:$B$5015,"&lt;="&amp;EOMONTH(DATE(Dashboard!$C$4,3,1),0))</f>
        <v/>
      </c>
      <c r="F21" s="106">
        <f>SUMIFS(Transaksi!$F$16:$F$5015,Transaksi!$H$16:$H$5015,"Uang Kos Mama",Transaksi!$L$16:$L$5015,"Kos cewek · Kamar 6",Transaksi!$B$16:$B$5015,"&gt;="&amp;DATE(Dashboard!$C$4,4,1),Transaksi!$B$16:$B$5015,"&lt;="&amp;EOMONTH(DATE(Dashboard!$C$4,4,1),0))</f>
        <v/>
      </c>
      <c r="G21" s="106">
        <f>SUMIFS(Transaksi!$F$16:$F$5015,Transaksi!$H$16:$H$5015,"Uang Kos Mama",Transaksi!$L$16:$L$5015,"Kos cewek · Kamar 6",Transaksi!$B$16:$B$5015,"&gt;="&amp;DATE(Dashboard!$C$4,5,1),Transaksi!$B$16:$B$5015,"&lt;="&amp;EOMONTH(DATE(Dashboard!$C$4,5,1),0))</f>
        <v/>
      </c>
      <c r="H21" s="106">
        <f>SUMIFS(Transaksi!$F$16:$F$5015,Transaksi!$H$16:$H$5015,"Uang Kos Mama",Transaksi!$L$16:$L$5015,"Kos cewek · Kamar 6",Transaksi!$B$16:$B$5015,"&gt;="&amp;DATE(Dashboard!$C$4,6,1),Transaksi!$B$16:$B$5015,"&lt;="&amp;EOMONTH(DATE(Dashboard!$C$4,6,1),0))</f>
        <v/>
      </c>
      <c r="I21" s="106">
        <f>SUMIFS(Transaksi!$F$16:$F$5015,Transaksi!$H$16:$H$5015,"Uang Kos Mama",Transaksi!$L$16:$L$5015,"Kos cewek · Kamar 6",Transaksi!$B$16:$B$5015,"&gt;="&amp;DATE(Dashboard!$C$4,7,1),Transaksi!$B$16:$B$5015,"&lt;="&amp;EOMONTH(DATE(Dashboard!$C$4,7,1),0))</f>
        <v/>
      </c>
      <c r="J21" s="106">
        <f>SUMIFS(Transaksi!$F$16:$F$5015,Transaksi!$H$16:$H$5015,"Uang Kos Mama",Transaksi!$L$16:$L$5015,"Kos cewek · Kamar 6",Transaksi!$B$16:$B$5015,"&gt;="&amp;DATE(Dashboard!$C$4,8,1),Transaksi!$B$16:$B$5015,"&lt;="&amp;EOMONTH(DATE(Dashboard!$C$4,8,1),0))</f>
        <v/>
      </c>
      <c r="K21" s="106">
        <f>SUMIFS(Transaksi!$F$16:$F$5015,Transaksi!$H$16:$H$5015,"Uang Kos Mama",Transaksi!$L$16:$L$5015,"Kos cewek · Kamar 6",Transaksi!$B$16:$B$5015,"&gt;="&amp;DATE(Dashboard!$C$4,9,1),Transaksi!$B$16:$B$5015,"&lt;="&amp;EOMONTH(DATE(Dashboard!$C$4,9,1),0))</f>
        <v/>
      </c>
      <c r="L21" s="106">
        <f>SUMIFS(Transaksi!$F$16:$F$5015,Transaksi!$H$16:$H$5015,"Uang Kos Mama",Transaksi!$L$16:$L$5015,"Kos cewek · Kamar 6",Transaksi!$B$16:$B$5015,"&gt;="&amp;DATE(Dashboard!$C$4,10,1),Transaksi!$B$16:$B$5015,"&lt;="&amp;EOMONTH(DATE(Dashboard!$C$4,10,1),0))</f>
        <v/>
      </c>
      <c r="M21" s="106">
        <f>SUMIFS(Transaksi!$F$16:$F$5015,Transaksi!$H$16:$H$5015,"Uang Kos Mama",Transaksi!$L$16:$L$5015,"Kos cewek · Kamar 6",Transaksi!$B$16:$B$5015,"&gt;="&amp;DATE(Dashboard!$C$4,11,1),Transaksi!$B$16:$B$5015,"&lt;="&amp;EOMONTH(DATE(Dashboard!$C$4,11,1),0))</f>
        <v/>
      </c>
      <c r="N21" s="106">
        <f>SUMIFS(Transaksi!$F$16:$F$5015,Transaksi!$H$16:$H$5015,"Uang Kos Mama",Transaksi!$L$16:$L$5015,"Kos cewek · Kamar 6",Transaksi!$B$16:$B$5015,"&gt;="&amp;DATE(Dashboard!$C$4,12,1),Transaksi!$B$16:$B$5015,"&lt;="&amp;EOMONTH(DATE(Dashboard!$C$4,12,1),0))</f>
        <v/>
      </c>
      <c r="O21" s="143">
        <f>SUM(C21:N21)</f>
        <v/>
      </c>
    </row>
    <row r="22" ht="15" customHeight="1" s="94">
      <c r="B22" s="105" t="inlineStr">
        <is>
          <t>Kos cewek · Kamar 7</t>
        </is>
      </c>
      <c r="C22" s="106">
        <f>SUMIFS(Transaksi!$F$16:$F$5015,Transaksi!$H$16:$H$5015,"Uang Kos Mama",Transaksi!$L$16:$L$5015,"Kos cewek · Kamar 7",Transaksi!$B$16:$B$5015,"&gt;="&amp;DATE(Dashboard!$C$4,1,1),Transaksi!$B$16:$B$5015,"&lt;="&amp;EOMONTH(DATE(Dashboard!$C$4,1,1),0))</f>
        <v/>
      </c>
      <c r="D22" s="106">
        <f>SUMIFS(Transaksi!$F$16:$F$5015,Transaksi!$H$16:$H$5015,"Uang Kos Mama",Transaksi!$L$16:$L$5015,"Kos cewek · Kamar 7",Transaksi!$B$16:$B$5015,"&gt;="&amp;DATE(Dashboard!$C$4,2,1),Transaksi!$B$16:$B$5015,"&lt;="&amp;EOMONTH(DATE(Dashboard!$C$4,2,1),0))</f>
        <v/>
      </c>
      <c r="E22" s="106">
        <f>SUMIFS(Transaksi!$F$16:$F$5015,Transaksi!$H$16:$H$5015,"Uang Kos Mama",Transaksi!$L$16:$L$5015,"Kos cewek · Kamar 7",Transaksi!$B$16:$B$5015,"&gt;="&amp;DATE(Dashboard!$C$4,3,1),Transaksi!$B$16:$B$5015,"&lt;="&amp;EOMONTH(DATE(Dashboard!$C$4,3,1),0))</f>
        <v/>
      </c>
      <c r="F22" s="106">
        <f>SUMIFS(Transaksi!$F$16:$F$5015,Transaksi!$H$16:$H$5015,"Uang Kos Mama",Transaksi!$L$16:$L$5015,"Kos cewek · Kamar 7",Transaksi!$B$16:$B$5015,"&gt;="&amp;DATE(Dashboard!$C$4,4,1),Transaksi!$B$16:$B$5015,"&lt;="&amp;EOMONTH(DATE(Dashboard!$C$4,4,1),0))</f>
        <v/>
      </c>
      <c r="G22" s="106">
        <f>SUMIFS(Transaksi!$F$16:$F$5015,Transaksi!$H$16:$H$5015,"Uang Kos Mama",Transaksi!$L$16:$L$5015,"Kos cewek · Kamar 7",Transaksi!$B$16:$B$5015,"&gt;="&amp;DATE(Dashboard!$C$4,5,1),Transaksi!$B$16:$B$5015,"&lt;="&amp;EOMONTH(DATE(Dashboard!$C$4,5,1),0))</f>
        <v/>
      </c>
      <c r="H22" s="106">
        <f>SUMIFS(Transaksi!$F$16:$F$5015,Transaksi!$H$16:$H$5015,"Uang Kos Mama",Transaksi!$L$16:$L$5015,"Kos cewek · Kamar 7",Transaksi!$B$16:$B$5015,"&gt;="&amp;DATE(Dashboard!$C$4,6,1),Transaksi!$B$16:$B$5015,"&lt;="&amp;EOMONTH(DATE(Dashboard!$C$4,6,1),0))</f>
        <v/>
      </c>
      <c r="I22" s="106">
        <f>SUMIFS(Transaksi!$F$16:$F$5015,Transaksi!$H$16:$H$5015,"Uang Kos Mama",Transaksi!$L$16:$L$5015,"Kos cewek · Kamar 7",Transaksi!$B$16:$B$5015,"&gt;="&amp;DATE(Dashboard!$C$4,7,1),Transaksi!$B$16:$B$5015,"&lt;="&amp;EOMONTH(DATE(Dashboard!$C$4,7,1),0))</f>
        <v/>
      </c>
      <c r="J22" s="106">
        <f>SUMIFS(Transaksi!$F$16:$F$5015,Transaksi!$H$16:$H$5015,"Uang Kos Mama",Transaksi!$L$16:$L$5015,"Kos cewek · Kamar 7",Transaksi!$B$16:$B$5015,"&gt;="&amp;DATE(Dashboard!$C$4,8,1),Transaksi!$B$16:$B$5015,"&lt;="&amp;EOMONTH(DATE(Dashboard!$C$4,8,1),0))</f>
        <v/>
      </c>
      <c r="K22" s="106">
        <f>SUMIFS(Transaksi!$F$16:$F$5015,Transaksi!$H$16:$H$5015,"Uang Kos Mama",Transaksi!$L$16:$L$5015,"Kos cewek · Kamar 7",Transaksi!$B$16:$B$5015,"&gt;="&amp;DATE(Dashboard!$C$4,9,1),Transaksi!$B$16:$B$5015,"&lt;="&amp;EOMONTH(DATE(Dashboard!$C$4,9,1),0))</f>
        <v/>
      </c>
      <c r="L22" s="106">
        <f>SUMIFS(Transaksi!$F$16:$F$5015,Transaksi!$H$16:$H$5015,"Uang Kos Mama",Transaksi!$L$16:$L$5015,"Kos cewek · Kamar 7",Transaksi!$B$16:$B$5015,"&gt;="&amp;DATE(Dashboard!$C$4,10,1),Transaksi!$B$16:$B$5015,"&lt;="&amp;EOMONTH(DATE(Dashboard!$C$4,10,1),0))</f>
        <v/>
      </c>
      <c r="M22" s="106">
        <f>SUMIFS(Transaksi!$F$16:$F$5015,Transaksi!$H$16:$H$5015,"Uang Kos Mama",Transaksi!$L$16:$L$5015,"Kos cewek · Kamar 7",Transaksi!$B$16:$B$5015,"&gt;="&amp;DATE(Dashboard!$C$4,11,1),Transaksi!$B$16:$B$5015,"&lt;="&amp;EOMONTH(DATE(Dashboard!$C$4,11,1),0))</f>
        <v/>
      </c>
      <c r="N22" s="106">
        <f>SUMIFS(Transaksi!$F$16:$F$5015,Transaksi!$H$16:$H$5015,"Uang Kos Mama",Transaksi!$L$16:$L$5015,"Kos cewek · Kamar 7",Transaksi!$B$16:$B$5015,"&gt;="&amp;DATE(Dashboard!$C$4,12,1),Transaksi!$B$16:$B$5015,"&lt;="&amp;EOMONTH(DATE(Dashboard!$C$4,12,1),0))</f>
        <v/>
      </c>
      <c r="O22" s="143">
        <f>SUM(C22:N22)</f>
        <v/>
      </c>
    </row>
    <row r="23" ht="15" customHeight="1" s="94">
      <c r="B23" s="105" t="inlineStr">
        <is>
          <t>Kos cewek · Kamar 2&amp;4 (beberapa kamar)</t>
        </is>
      </c>
      <c r="C23" s="106">
        <f>SUMIFS(Transaksi!$F$16:$F$5015,Transaksi!$H$16:$H$5015,"Uang Kos Mama",Transaksi!$L$16:$L$5015,"Kos cewek · Kamar 2&amp;4",Transaksi!$B$16:$B$5015,"&gt;="&amp;DATE(Dashboard!$C$4,1,1),Transaksi!$B$16:$B$5015,"&lt;="&amp;EOMONTH(DATE(Dashboard!$C$4,1,1),0))</f>
        <v/>
      </c>
      <c r="D23" s="106">
        <f>SUMIFS(Transaksi!$F$16:$F$5015,Transaksi!$H$16:$H$5015,"Uang Kos Mama",Transaksi!$L$16:$L$5015,"Kos cewek · Kamar 2&amp;4",Transaksi!$B$16:$B$5015,"&gt;="&amp;DATE(Dashboard!$C$4,2,1),Transaksi!$B$16:$B$5015,"&lt;="&amp;EOMONTH(DATE(Dashboard!$C$4,2,1),0))</f>
        <v/>
      </c>
      <c r="E23" s="106">
        <f>SUMIFS(Transaksi!$F$16:$F$5015,Transaksi!$H$16:$H$5015,"Uang Kos Mama",Transaksi!$L$16:$L$5015,"Kos cewek · Kamar 2&amp;4",Transaksi!$B$16:$B$5015,"&gt;="&amp;DATE(Dashboard!$C$4,3,1),Transaksi!$B$16:$B$5015,"&lt;="&amp;EOMONTH(DATE(Dashboard!$C$4,3,1),0))</f>
        <v/>
      </c>
      <c r="F23" s="106">
        <f>SUMIFS(Transaksi!$F$16:$F$5015,Transaksi!$H$16:$H$5015,"Uang Kos Mama",Transaksi!$L$16:$L$5015,"Kos cewek · Kamar 2&amp;4",Transaksi!$B$16:$B$5015,"&gt;="&amp;DATE(Dashboard!$C$4,4,1),Transaksi!$B$16:$B$5015,"&lt;="&amp;EOMONTH(DATE(Dashboard!$C$4,4,1),0))</f>
        <v/>
      </c>
      <c r="G23" s="106">
        <f>SUMIFS(Transaksi!$F$16:$F$5015,Transaksi!$H$16:$H$5015,"Uang Kos Mama",Transaksi!$L$16:$L$5015,"Kos cewek · Kamar 2&amp;4",Transaksi!$B$16:$B$5015,"&gt;="&amp;DATE(Dashboard!$C$4,5,1),Transaksi!$B$16:$B$5015,"&lt;="&amp;EOMONTH(DATE(Dashboard!$C$4,5,1),0))</f>
        <v/>
      </c>
      <c r="H23" s="106">
        <f>SUMIFS(Transaksi!$F$16:$F$5015,Transaksi!$H$16:$H$5015,"Uang Kos Mama",Transaksi!$L$16:$L$5015,"Kos cewek · Kamar 2&amp;4",Transaksi!$B$16:$B$5015,"&gt;="&amp;DATE(Dashboard!$C$4,6,1),Transaksi!$B$16:$B$5015,"&lt;="&amp;EOMONTH(DATE(Dashboard!$C$4,6,1),0))</f>
        <v/>
      </c>
      <c r="I23" s="106">
        <f>SUMIFS(Transaksi!$F$16:$F$5015,Transaksi!$H$16:$H$5015,"Uang Kos Mama",Transaksi!$L$16:$L$5015,"Kos cewek · Kamar 2&amp;4",Transaksi!$B$16:$B$5015,"&gt;="&amp;DATE(Dashboard!$C$4,7,1),Transaksi!$B$16:$B$5015,"&lt;="&amp;EOMONTH(DATE(Dashboard!$C$4,7,1),0))</f>
        <v/>
      </c>
      <c r="J23" s="106">
        <f>SUMIFS(Transaksi!$F$16:$F$5015,Transaksi!$H$16:$H$5015,"Uang Kos Mama",Transaksi!$L$16:$L$5015,"Kos cewek · Kamar 2&amp;4",Transaksi!$B$16:$B$5015,"&gt;="&amp;DATE(Dashboard!$C$4,8,1),Transaksi!$B$16:$B$5015,"&lt;="&amp;EOMONTH(DATE(Dashboard!$C$4,8,1),0))</f>
        <v/>
      </c>
      <c r="K23" s="106">
        <f>SUMIFS(Transaksi!$F$16:$F$5015,Transaksi!$H$16:$H$5015,"Uang Kos Mama",Transaksi!$L$16:$L$5015,"Kos cewek · Kamar 2&amp;4",Transaksi!$B$16:$B$5015,"&gt;="&amp;DATE(Dashboard!$C$4,9,1),Transaksi!$B$16:$B$5015,"&lt;="&amp;EOMONTH(DATE(Dashboard!$C$4,9,1),0))</f>
        <v/>
      </c>
      <c r="L23" s="106">
        <f>SUMIFS(Transaksi!$F$16:$F$5015,Transaksi!$H$16:$H$5015,"Uang Kos Mama",Transaksi!$L$16:$L$5015,"Kos cewek · Kamar 2&amp;4",Transaksi!$B$16:$B$5015,"&gt;="&amp;DATE(Dashboard!$C$4,10,1),Transaksi!$B$16:$B$5015,"&lt;="&amp;EOMONTH(DATE(Dashboard!$C$4,10,1),0))</f>
        <v/>
      </c>
      <c r="M23" s="106">
        <f>SUMIFS(Transaksi!$F$16:$F$5015,Transaksi!$H$16:$H$5015,"Uang Kos Mama",Transaksi!$L$16:$L$5015,"Kos cewek · Kamar 2&amp;4",Transaksi!$B$16:$B$5015,"&gt;="&amp;DATE(Dashboard!$C$4,11,1),Transaksi!$B$16:$B$5015,"&lt;="&amp;EOMONTH(DATE(Dashboard!$C$4,11,1),0))</f>
        <v/>
      </c>
      <c r="N23" s="106">
        <f>SUMIFS(Transaksi!$F$16:$F$5015,Transaksi!$H$16:$H$5015,"Uang Kos Mama",Transaksi!$L$16:$L$5015,"Kos cewek · Kamar 2&amp;4",Transaksi!$B$16:$B$5015,"&gt;="&amp;DATE(Dashboard!$C$4,12,1),Transaksi!$B$16:$B$5015,"&lt;="&amp;EOMONTH(DATE(Dashboard!$C$4,12,1),0))</f>
        <v/>
      </c>
      <c r="O23" s="143">
        <f>SUM(C23:N23)</f>
        <v/>
      </c>
    </row>
    <row r="24" ht="15" customHeight="1" s="94">
      <c r="B24" s="105" t="inlineStr">
        <is>
          <t>Kos cewek · Kamar 2&amp;7 (beberapa kamar)</t>
        </is>
      </c>
      <c r="C24" s="106">
        <f>SUMIFS(Transaksi!$F$16:$F$5015,Transaksi!$H$16:$H$5015,"Uang Kos Mama",Transaksi!$L$16:$L$5015,"Kos cewek · Kamar 2&amp;7",Transaksi!$B$16:$B$5015,"&gt;="&amp;DATE(Dashboard!$C$4,1,1),Transaksi!$B$16:$B$5015,"&lt;="&amp;EOMONTH(DATE(Dashboard!$C$4,1,1),0))</f>
        <v/>
      </c>
      <c r="D24" s="106">
        <f>SUMIFS(Transaksi!$F$16:$F$5015,Transaksi!$H$16:$H$5015,"Uang Kos Mama",Transaksi!$L$16:$L$5015,"Kos cewek · Kamar 2&amp;7",Transaksi!$B$16:$B$5015,"&gt;="&amp;DATE(Dashboard!$C$4,2,1),Transaksi!$B$16:$B$5015,"&lt;="&amp;EOMONTH(DATE(Dashboard!$C$4,2,1),0))</f>
        <v/>
      </c>
      <c r="E24" s="106">
        <f>SUMIFS(Transaksi!$F$16:$F$5015,Transaksi!$H$16:$H$5015,"Uang Kos Mama",Transaksi!$L$16:$L$5015,"Kos cewek · Kamar 2&amp;7",Transaksi!$B$16:$B$5015,"&gt;="&amp;DATE(Dashboard!$C$4,3,1),Transaksi!$B$16:$B$5015,"&lt;="&amp;EOMONTH(DATE(Dashboard!$C$4,3,1),0))</f>
        <v/>
      </c>
      <c r="F24" s="106">
        <f>SUMIFS(Transaksi!$F$16:$F$5015,Transaksi!$H$16:$H$5015,"Uang Kos Mama",Transaksi!$L$16:$L$5015,"Kos cewek · Kamar 2&amp;7",Transaksi!$B$16:$B$5015,"&gt;="&amp;DATE(Dashboard!$C$4,4,1),Transaksi!$B$16:$B$5015,"&lt;="&amp;EOMONTH(DATE(Dashboard!$C$4,4,1),0))</f>
        <v/>
      </c>
      <c r="G24" s="106">
        <f>SUMIFS(Transaksi!$F$16:$F$5015,Transaksi!$H$16:$H$5015,"Uang Kos Mama",Transaksi!$L$16:$L$5015,"Kos cewek · Kamar 2&amp;7",Transaksi!$B$16:$B$5015,"&gt;="&amp;DATE(Dashboard!$C$4,5,1),Transaksi!$B$16:$B$5015,"&lt;="&amp;EOMONTH(DATE(Dashboard!$C$4,5,1),0))</f>
        <v/>
      </c>
      <c r="H24" s="106">
        <f>SUMIFS(Transaksi!$F$16:$F$5015,Transaksi!$H$16:$H$5015,"Uang Kos Mama",Transaksi!$L$16:$L$5015,"Kos cewek · Kamar 2&amp;7",Transaksi!$B$16:$B$5015,"&gt;="&amp;DATE(Dashboard!$C$4,6,1),Transaksi!$B$16:$B$5015,"&lt;="&amp;EOMONTH(DATE(Dashboard!$C$4,6,1),0))</f>
        <v/>
      </c>
      <c r="I24" s="106">
        <f>SUMIFS(Transaksi!$F$16:$F$5015,Transaksi!$H$16:$H$5015,"Uang Kos Mama",Transaksi!$L$16:$L$5015,"Kos cewek · Kamar 2&amp;7",Transaksi!$B$16:$B$5015,"&gt;="&amp;DATE(Dashboard!$C$4,7,1),Transaksi!$B$16:$B$5015,"&lt;="&amp;EOMONTH(DATE(Dashboard!$C$4,7,1),0))</f>
        <v/>
      </c>
      <c r="J24" s="106">
        <f>SUMIFS(Transaksi!$F$16:$F$5015,Transaksi!$H$16:$H$5015,"Uang Kos Mama",Transaksi!$L$16:$L$5015,"Kos cewek · Kamar 2&amp;7",Transaksi!$B$16:$B$5015,"&gt;="&amp;DATE(Dashboard!$C$4,8,1),Transaksi!$B$16:$B$5015,"&lt;="&amp;EOMONTH(DATE(Dashboard!$C$4,8,1),0))</f>
        <v/>
      </c>
      <c r="K24" s="106">
        <f>SUMIFS(Transaksi!$F$16:$F$5015,Transaksi!$H$16:$H$5015,"Uang Kos Mama",Transaksi!$L$16:$L$5015,"Kos cewek · Kamar 2&amp;7",Transaksi!$B$16:$B$5015,"&gt;="&amp;DATE(Dashboard!$C$4,9,1),Transaksi!$B$16:$B$5015,"&lt;="&amp;EOMONTH(DATE(Dashboard!$C$4,9,1),0))</f>
        <v/>
      </c>
      <c r="L24" s="106">
        <f>SUMIFS(Transaksi!$F$16:$F$5015,Transaksi!$H$16:$H$5015,"Uang Kos Mama",Transaksi!$L$16:$L$5015,"Kos cewek · Kamar 2&amp;7",Transaksi!$B$16:$B$5015,"&gt;="&amp;DATE(Dashboard!$C$4,10,1),Transaksi!$B$16:$B$5015,"&lt;="&amp;EOMONTH(DATE(Dashboard!$C$4,10,1),0))</f>
        <v/>
      </c>
      <c r="M24" s="106">
        <f>SUMIFS(Transaksi!$F$16:$F$5015,Transaksi!$H$16:$H$5015,"Uang Kos Mama",Transaksi!$L$16:$L$5015,"Kos cewek · Kamar 2&amp;7",Transaksi!$B$16:$B$5015,"&gt;="&amp;DATE(Dashboard!$C$4,11,1),Transaksi!$B$16:$B$5015,"&lt;="&amp;EOMONTH(DATE(Dashboard!$C$4,11,1),0))</f>
        <v/>
      </c>
      <c r="N24" s="106">
        <f>SUMIFS(Transaksi!$F$16:$F$5015,Transaksi!$H$16:$H$5015,"Uang Kos Mama",Transaksi!$L$16:$L$5015,"Kos cewek · Kamar 2&amp;7",Transaksi!$B$16:$B$5015,"&gt;="&amp;DATE(Dashboard!$C$4,12,1),Transaksi!$B$16:$B$5015,"&lt;="&amp;EOMONTH(DATE(Dashboard!$C$4,12,1),0))</f>
        <v/>
      </c>
      <c r="O24" s="143">
        <f>SUM(C24:N24)</f>
        <v/>
      </c>
    </row>
    <row r="25" ht="15" customHeight="1" s="94">
      <c r="B25" s="105" t="inlineStr">
        <is>
          <t>Kos cewek · Kamar ? (kamar belum tercatat)</t>
        </is>
      </c>
      <c r="C25" s="106">
        <f>SUMIFS(Transaksi!$F$16:$F$5015,Transaksi!$H$16:$H$5015,"Uang Kos Mama",Transaksi!$L$16:$L$5015,"Kos cewek · Kamar ~?",Transaksi!$B$16:$B$5015,"&gt;="&amp;DATE(Dashboard!$C$4,1,1),Transaksi!$B$16:$B$5015,"&lt;="&amp;EOMONTH(DATE(Dashboard!$C$4,1,1),0))</f>
        <v/>
      </c>
      <c r="D25" s="106">
        <f>SUMIFS(Transaksi!$F$16:$F$5015,Transaksi!$H$16:$H$5015,"Uang Kos Mama",Transaksi!$L$16:$L$5015,"Kos cewek · Kamar ~?",Transaksi!$B$16:$B$5015,"&gt;="&amp;DATE(Dashboard!$C$4,2,1),Transaksi!$B$16:$B$5015,"&lt;="&amp;EOMONTH(DATE(Dashboard!$C$4,2,1),0))</f>
        <v/>
      </c>
      <c r="E25" s="106">
        <f>SUMIFS(Transaksi!$F$16:$F$5015,Transaksi!$H$16:$H$5015,"Uang Kos Mama",Transaksi!$L$16:$L$5015,"Kos cewek · Kamar ~?",Transaksi!$B$16:$B$5015,"&gt;="&amp;DATE(Dashboard!$C$4,3,1),Transaksi!$B$16:$B$5015,"&lt;="&amp;EOMONTH(DATE(Dashboard!$C$4,3,1),0))</f>
        <v/>
      </c>
      <c r="F25" s="106">
        <f>SUMIFS(Transaksi!$F$16:$F$5015,Transaksi!$H$16:$H$5015,"Uang Kos Mama",Transaksi!$L$16:$L$5015,"Kos cewek · Kamar ~?",Transaksi!$B$16:$B$5015,"&gt;="&amp;DATE(Dashboard!$C$4,4,1),Transaksi!$B$16:$B$5015,"&lt;="&amp;EOMONTH(DATE(Dashboard!$C$4,4,1),0))</f>
        <v/>
      </c>
      <c r="G25" s="106">
        <f>SUMIFS(Transaksi!$F$16:$F$5015,Transaksi!$H$16:$H$5015,"Uang Kos Mama",Transaksi!$L$16:$L$5015,"Kos cewek · Kamar ~?",Transaksi!$B$16:$B$5015,"&gt;="&amp;DATE(Dashboard!$C$4,5,1),Transaksi!$B$16:$B$5015,"&lt;="&amp;EOMONTH(DATE(Dashboard!$C$4,5,1),0))</f>
        <v/>
      </c>
      <c r="H25" s="106">
        <f>SUMIFS(Transaksi!$F$16:$F$5015,Transaksi!$H$16:$H$5015,"Uang Kos Mama",Transaksi!$L$16:$L$5015,"Kos cewek · Kamar ~?",Transaksi!$B$16:$B$5015,"&gt;="&amp;DATE(Dashboard!$C$4,6,1),Transaksi!$B$16:$B$5015,"&lt;="&amp;EOMONTH(DATE(Dashboard!$C$4,6,1),0))</f>
        <v/>
      </c>
      <c r="I25" s="106">
        <f>SUMIFS(Transaksi!$F$16:$F$5015,Transaksi!$H$16:$H$5015,"Uang Kos Mama",Transaksi!$L$16:$L$5015,"Kos cewek · Kamar ~?",Transaksi!$B$16:$B$5015,"&gt;="&amp;DATE(Dashboard!$C$4,7,1),Transaksi!$B$16:$B$5015,"&lt;="&amp;EOMONTH(DATE(Dashboard!$C$4,7,1),0))</f>
        <v/>
      </c>
      <c r="J25" s="106">
        <f>SUMIFS(Transaksi!$F$16:$F$5015,Transaksi!$H$16:$H$5015,"Uang Kos Mama",Transaksi!$L$16:$L$5015,"Kos cewek · Kamar ~?",Transaksi!$B$16:$B$5015,"&gt;="&amp;DATE(Dashboard!$C$4,8,1),Transaksi!$B$16:$B$5015,"&lt;="&amp;EOMONTH(DATE(Dashboard!$C$4,8,1),0))</f>
        <v/>
      </c>
      <c r="K25" s="106">
        <f>SUMIFS(Transaksi!$F$16:$F$5015,Transaksi!$H$16:$H$5015,"Uang Kos Mama",Transaksi!$L$16:$L$5015,"Kos cewek · Kamar ~?",Transaksi!$B$16:$B$5015,"&gt;="&amp;DATE(Dashboard!$C$4,9,1),Transaksi!$B$16:$B$5015,"&lt;="&amp;EOMONTH(DATE(Dashboard!$C$4,9,1),0))</f>
        <v/>
      </c>
      <c r="L25" s="106">
        <f>SUMIFS(Transaksi!$F$16:$F$5015,Transaksi!$H$16:$H$5015,"Uang Kos Mama",Transaksi!$L$16:$L$5015,"Kos cewek · Kamar ~?",Transaksi!$B$16:$B$5015,"&gt;="&amp;DATE(Dashboard!$C$4,10,1),Transaksi!$B$16:$B$5015,"&lt;="&amp;EOMONTH(DATE(Dashboard!$C$4,10,1),0))</f>
        <v/>
      </c>
      <c r="M25" s="106">
        <f>SUMIFS(Transaksi!$F$16:$F$5015,Transaksi!$H$16:$H$5015,"Uang Kos Mama",Transaksi!$L$16:$L$5015,"Kos cewek · Kamar ~?",Transaksi!$B$16:$B$5015,"&gt;="&amp;DATE(Dashboard!$C$4,11,1),Transaksi!$B$16:$B$5015,"&lt;="&amp;EOMONTH(DATE(Dashboard!$C$4,11,1),0))</f>
        <v/>
      </c>
      <c r="N25" s="106">
        <f>SUMIFS(Transaksi!$F$16:$F$5015,Transaksi!$H$16:$H$5015,"Uang Kos Mama",Transaksi!$L$16:$L$5015,"Kos cewek · Kamar ~?",Transaksi!$B$16:$B$5015,"&gt;="&amp;DATE(Dashboard!$C$4,12,1),Transaksi!$B$16:$B$5015,"&lt;="&amp;EOMONTH(DATE(Dashboard!$C$4,12,1),0))</f>
        <v/>
      </c>
      <c r="O25" s="143">
        <f>SUM(C25:N25)</f>
        <v/>
      </c>
    </row>
    <row r="26" ht="15" customHeight="1" s="94">
      <c r="B26" s="157" t="inlineStr">
        <is>
          <t>Total kos cewek</t>
        </is>
      </c>
      <c r="C26" s="158">
        <f>SUMIFS(Transaksi!$F$16:$F$5015,Transaksi!$H$16:$H$5015,"Uang Kos Mama",Transaksi!$L$16:$L$5015,"Kos cewek*",Transaksi!$B$16:$B$5015,"&gt;="&amp;DATE(Dashboard!$C$4,1,1),Transaksi!$B$16:$B$5015,"&lt;="&amp;EOMONTH(DATE(Dashboard!$C$4,1,1),0))</f>
        <v/>
      </c>
      <c r="D26" s="158">
        <f>SUMIFS(Transaksi!$F$16:$F$5015,Transaksi!$H$16:$H$5015,"Uang Kos Mama",Transaksi!$L$16:$L$5015,"Kos cewek*",Transaksi!$B$16:$B$5015,"&gt;="&amp;DATE(Dashboard!$C$4,2,1),Transaksi!$B$16:$B$5015,"&lt;="&amp;EOMONTH(DATE(Dashboard!$C$4,2,1),0))</f>
        <v/>
      </c>
      <c r="E26" s="158">
        <f>SUMIFS(Transaksi!$F$16:$F$5015,Transaksi!$H$16:$H$5015,"Uang Kos Mama",Transaksi!$L$16:$L$5015,"Kos cewek*",Transaksi!$B$16:$B$5015,"&gt;="&amp;DATE(Dashboard!$C$4,3,1),Transaksi!$B$16:$B$5015,"&lt;="&amp;EOMONTH(DATE(Dashboard!$C$4,3,1),0))</f>
        <v/>
      </c>
      <c r="F26" s="158">
        <f>SUMIFS(Transaksi!$F$16:$F$5015,Transaksi!$H$16:$H$5015,"Uang Kos Mama",Transaksi!$L$16:$L$5015,"Kos cewek*",Transaksi!$B$16:$B$5015,"&gt;="&amp;DATE(Dashboard!$C$4,4,1),Transaksi!$B$16:$B$5015,"&lt;="&amp;EOMONTH(DATE(Dashboard!$C$4,4,1),0))</f>
        <v/>
      </c>
      <c r="G26" s="158">
        <f>SUMIFS(Transaksi!$F$16:$F$5015,Transaksi!$H$16:$H$5015,"Uang Kos Mama",Transaksi!$L$16:$L$5015,"Kos cewek*",Transaksi!$B$16:$B$5015,"&gt;="&amp;DATE(Dashboard!$C$4,5,1),Transaksi!$B$16:$B$5015,"&lt;="&amp;EOMONTH(DATE(Dashboard!$C$4,5,1),0))</f>
        <v/>
      </c>
      <c r="H26" s="158">
        <f>SUMIFS(Transaksi!$F$16:$F$5015,Transaksi!$H$16:$H$5015,"Uang Kos Mama",Transaksi!$L$16:$L$5015,"Kos cewek*",Transaksi!$B$16:$B$5015,"&gt;="&amp;DATE(Dashboard!$C$4,6,1),Transaksi!$B$16:$B$5015,"&lt;="&amp;EOMONTH(DATE(Dashboard!$C$4,6,1),0))</f>
        <v/>
      </c>
      <c r="I26" s="158">
        <f>SUMIFS(Transaksi!$F$16:$F$5015,Transaksi!$H$16:$H$5015,"Uang Kos Mama",Transaksi!$L$16:$L$5015,"Kos cewek*",Transaksi!$B$16:$B$5015,"&gt;="&amp;DATE(Dashboard!$C$4,7,1),Transaksi!$B$16:$B$5015,"&lt;="&amp;EOMONTH(DATE(Dashboard!$C$4,7,1),0))</f>
        <v/>
      </c>
      <c r="J26" s="158">
        <f>SUMIFS(Transaksi!$F$16:$F$5015,Transaksi!$H$16:$H$5015,"Uang Kos Mama",Transaksi!$L$16:$L$5015,"Kos cewek*",Transaksi!$B$16:$B$5015,"&gt;="&amp;DATE(Dashboard!$C$4,8,1),Transaksi!$B$16:$B$5015,"&lt;="&amp;EOMONTH(DATE(Dashboard!$C$4,8,1),0))</f>
        <v/>
      </c>
      <c r="K26" s="158">
        <f>SUMIFS(Transaksi!$F$16:$F$5015,Transaksi!$H$16:$H$5015,"Uang Kos Mama",Transaksi!$L$16:$L$5015,"Kos cewek*",Transaksi!$B$16:$B$5015,"&gt;="&amp;DATE(Dashboard!$C$4,9,1),Transaksi!$B$16:$B$5015,"&lt;="&amp;EOMONTH(DATE(Dashboard!$C$4,9,1),0))</f>
        <v/>
      </c>
      <c r="L26" s="158">
        <f>SUMIFS(Transaksi!$F$16:$F$5015,Transaksi!$H$16:$H$5015,"Uang Kos Mama",Transaksi!$L$16:$L$5015,"Kos cewek*",Transaksi!$B$16:$B$5015,"&gt;="&amp;DATE(Dashboard!$C$4,10,1),Transaksi!$B$16:$B$5015,"&lt;="&amp;EOMONTH(DATE(Dashboard!$C$4,10,1),0))</f>
        <v/>
      </c>
      <c r="M26" s="158">
        <f>SUMIFS(Transaksi!$F$16:$F$5015,Transaksi!$H$16:$H$5015,"Uang Kos Mama",Transaksi!$L$16:$L$5015,"Kos cewek*",Transaksi!$B$16:$B$5015,"&gt;="&amp;DATE(Dashboard!$C$4,11,1),Transaksi!$B$16:$B$5015,"&lt;="&amp;EOMONTH(DATE(Dashboard!$C$4,11,1),0))</f>
        <v/>
      </c>
      <c r="N26" s="158">
        <f>SUMIFS(Transaksi!$F$16:$F$5015,Transaksi!$H$16:$H$5015,"Uang Kos Mama",Transaksi!$L$16:$L$5015,"Kos cewek*",Transaksi!$B$16:$B$5015,"&gt;="&amp;DATE(Dashboard!$C$4,12,1),Transaksi!$B$16:$B$5015,"&lt;="&amp;EOMONTH(DATE(Dashboard!$C$4,12,1),0))</f>
        <v/>
      </c>
      <c r="O26" s="143">
        <f>SUM(C26:N26)</f>
        <v/>
      </c>
    </row>
    <row r="27"/>
    <row r="28" ht="15" customHeight="1" s="94">
      <c r="B28" s="101" t="inlineStr">
        <is>
          <t>B. SUMBER UANG MASUK</t>
        </is>
      </c>
      <c r="C28" s="102" t="n"/>
      <c r="D28" s="102" t="n"/>
      <c r="E28" s="102" t="n"/>
      <c r="F28" s="102" t="n"/>
      <c r="G28" s="102" t="n"/>
      <c r="H28" s="102" t="n"/>
      <c r="I28" s="102" t="n"/>
      <c r="J28" s="102" t="n"/>
      <c r="K28" s="102" t="n"/>
      <c r="L28" s="102" t="n"/>
      <c r="M28" s="102" t="n"/>
      <c r="N28" s="102" t="n"/>
      <c r="O28" s="102" t="n"/>
    </row>
    <row r="29" ht="15" customHeight="1" s="94">
      <c r="B29" s="103" t="inlineStr">
        <is>
          <t>Sumber</t>
        </is>
      </c>
      <c r="C29" s="103" t="inlineStr">
        <is>
          <t>Jan</t>
        </is>
      </c>
      <c r="D29" s="103" t="inlineStr">
        <is>
          <t>Feb</t>
        </is>
      </c>
      <c r="E29" s="103" t="inlineStr">
        <is>
          <t>Mar</t>
        </is>
      </c>
      <c r="F29" s="103" t="inlineStr">
        <is>
          <t>Apr</t>
        </is>
      </c>
      <c r="G29" s="103" t="inlineStr">
        <is>
          <t>Mei</t>
        </is>
      </c>
      <c r="H29" s="103" t="inlineStr">
        <is>
          <t>Jun</t>
        </is>
      </c>
      <c r="I29" s="103" t="inlineStr">
        <is>
          <t>Jul</t>
        </is>
      </c>
      <c r="J29" s="103" t="inlineStr">
        <is>
          <t>Agu</t>
        </is>
      </c>
      <c r="K29" s="103" t="inlineStr">
        <is>
          <t>Sep</t>
        </is>
      </c>
      <c r="L29" s="103" t="inlineStr">
        <is>
          <t>Okt</t>
        </is>
      </c>
      <c r="M29" s="103" t="inlineStr">
        <is>
          <t>Nov</t>
        </is>
      </c>
      <c r="N29" s="103" t="inlineStr">
        <is>
          <t>Des</t>
        </is>
      </c>
      <c r="O29" s="103" t="inlineStr">
        <is>
          <t>Total</t>
        </is>
      </c>
    </row>
    <row r="30" ht="15" customHeight="1" s="94">
      <c r="B30" s="105" t="inlineStr">
        <is>
          <t>Kos cowok</t>
        </is>
      </c>
      <c r="C30" s="106">
        <f>SUMIFS(Transaksi!$F$16:$F$5015,Transaksi!$H$16:$H$5015,"Uang Kos Mama",Transaksi!$L$16:$L$5015,"Kos cowok*",Transaksi!$B$16:$B$5015,"&gt;="&amp;DATE(Dashboard!$C$4,1,1),Transaksi!$B$16:$B$5015,"&lt;="&amp;EOMONTH(DATE(Dashboard!$C$4,1,1),0))</f>
        <v/>
      </c>
      <c r="D30" s="106">
        <f>SUMIFS(Transaksi!$F$16:$F$5015,Transaksi!$H$16:$H$5015,"Uang Kos Mama",Transaksi!$L$16:$L$5015,"Kos cowok*",Transaksi!$B$16:$B$5015,"&gt;="&amp;DATE(Dashboard!$C$4,2,1),Transaksi!$B$16:$B$5015,"&lt;="&amp;EOMONTH(DATE(Dashboard!$C$4,2,1),0))</f>
        <v/>
      </c>
      <c r="E30" s="106">
        <f>SUMIFS(Transaksi!$F$16:$F$5015,Transaksi!$H$16:$H$5015,"Uang Kos Mama",Transaksi!$L$16:$L$5015,"Kos cowok*",Transaksi!$B$16:$B$5015,"&gt;="&amp;DATE(Dashboard!$C$4,3,1),Transaksi!$B$16:$B$5015,"&lt;="&amp;EOMONTH(DATE(Dashboard!$C$4,3,1),0))</f>
        <v/>
      </c>
      <c r="F30" s="106">
        <f>SUMIFS(Transaksi!$F$16:$F$5015,Transaksi!$H$16:$H$5015,"Uang Kos Mama",Transaksi!$L$16:$L$5015,"Kos cowok*",Transaksi!$B$16:$B$5015,"&gt;="&amp;DATE(Dashboard!$C$4,4,1),Transaksi!$B$16:$B$5015,"&lt;="&amp;EOMONTH(DATE(Dashboard!$C$4,4,1),0))</f>
        <v/>
      </c>
      <c r="G30" s="106">
        <f>SUMIFS(Transaksi!$F$16:$F$5015,Transaksi!$H$16:$H$5015,"Uang Kos Mama",Transaksi!$L$16:$L$5015,"Kos cowok*",Transaksi!$B$16:$B$5015,"&gt;="&amp;DATE(Dashboard!$C$4,5,1),Transaksi!$B$16:$B$5015,"&lt;="&amp;EOMONTH(DATE(Dashboard!$C$4,5,1),0))</f>
        <v/>
      </c>
      <c r="H30" s="106">
        <f>SUMIFS(Transaksi!$F$16:$F$5015,Transaksi!$H$16:$H$5015,"Uang Kos Mama",Transaksi!$L$16:$L$5015,"Kos cowok*",Transaksi!$B$16:$B$5015,"&gt;="&amp;DATE(Dashboard!$C$4,6,1),Transaksi!$B$16:$B$5015,"&lt;="&amp;EOMONTH(DATE(Dashboard!$C$4,6,1),0))</f>
        <v/>
      </c>
      <c r="I30" s="106">
        <f>SUMIFS(Transaksi!$F$16:$F$5015,Transaksi!$H$16:$H$5015,"Uang Kos Mama",Transaksi!$L$16:$L$5015,"Kos cowok*",Transaksi!$B$16:$B$5015,"&gt;="&amp;DATE(Dashboard!$C$4,7,1),Transaksi!$B$16:$B$5015,"&lt;="&amp;EOMONTH(DATE(Dashboard!$C$4,7,1),0))</f>
        <v/>
      </c>
      <c r="J30" s="106">
        <f>SUMIFS(Transaksi!$F$16:$F$5015,Transaksi!$H$16:$H$5015,"Uang Kos Mama",Transaksi!$L$16:$L$5015,"Kos cowok*",Transaksi!$B$16:$B$5015,"&gt;="&amp;DATE(Dashboard!$C$4,8,1),Transaksi!$B$16:$B$5015,"&lt;="&amp;EOMONTH(DATE(Dashboard!$C$4,8,1),0))</f>
        <v/>
      </c>
      <c r="K30" s="106">
        <f>SUMIFS(Transaksi!$F$16:$F$5015,Transaksi!$H$16:$H$5015,"Uang Kos Mama",Transaksi!$L$16:$L$5015,"Kos cowok*",Transaksi!$B$16:$B$5015,"&gt;="&amp;DATE(Dashboard!$C$4,9,1),Transaksi!$B$16:$B$5015,"&lt;="&amp;EOMONTH(DATE(Dashboard!$C$4,9,1),0))</f>
        <v/>
      </c>
      <c r="L30" s="106">
        <f>SUMIFS(Transaksi!$F$16:$F$5015,Transaksi!$H$16:$H$5015,"Uang Kos Mama",Transaksi!$L$16:$L$5015,"Kos cowok*",Transaksi!$B$16:$B$5015,"&gt;="&amp;DATE(Dashboard!$C$4,10,1),Transaksi!$B$16:$B$5015,"&lt;="&amp;EOMONTH(DATE(Dashboard!$C$4,10,1),0))</f>
        <v/>
      </c>
      <c r="M30" s="106">
        <f>SUMIFS(Transaksi!$F$16:$F$5015,Transaksi!$H$16:$H$5015,"Uang Kos Mama",Transaksi!$L$16:$L$5015,"Kos cowok*",Transaksi!$B$16:$B$5015,"&gt;="&amp;DATE(Dashboard!$C$4,11,1),Transaksi!$B$16:$B$5015,"&lt;="&amp;EOMONTH(DATE(Dashboard!$C$4,11,1),0))</f>
        <v/>
      </c>
      <c r="N30" s="106">
        <f>SUMIFS(Transaksi!$F$16:$F$5015,Transaksi!$H$16:$H$5015,"Uang Kos Mama",Transaksi!$L$16:$L$5015,"Kos cowok*",Transaksi!$B$16:$B$5015,"&gt;="&amp;DATE(Dashboard!$C$4,12,1),Transaksi!$B$16:$B$5015,"&lt;="&amp;EOMONTH(DATE(Dashboard!$C$4,12,1),0))</f>
        <v/>
      </c>
      <c r="O30" s="143">
        <f>SUM(C30:N30)</f>
        <v/>
      </c>
    </row>
    <row r="31" ht="15" customHeight="1" s="94">
      <c r="B31" s="105" t="inlineStr">
        <is>
          <t>Kos cewek</t>
        </is>
      </c>
      <c r="C31" s="106">
        <f>SUMIFS(Transaksi!$F$16:$F$5015,Transaksi!$H$16:$H$5015,"Uang Kos Mama",Transaksi!$L$16:$L$5015,"Kos cewek*",Transaksi!$B$16:$B$5015,"&gt;="&amp;DATE(Dashboard!$C$4,1,1),Transaksi!$B$16:$B$5015,"&lt;="&amp;EOMONTH(DATE(Dashboard!$C$4,1,1),0))</f>
        <v/>
      </c>
      <c r="D31" s="106">
        <f>SUMIFS(Transaksi!$F$16:$F$5015,Transaksi!$H$16:$H$5015,"Uang Kos Mama",Transaksi!$L$16:$L$5015,"Kos cewek*",Transaksi!$B$16:$B$5015,"&gt;="&amp;DATE(Dashboard!$C$4,2,1),Transaksi!$B$16:$B$5015,"&lt;="&amp;EOMONTH(DATE(Dashboard!$C$4,2,1),0))</f>
        <v/>
      </c>
      <c r="E31" s="106">
        <f>SUMIFS(Transaksi!$F$16:$F$5015,Transaksi!$H$16:$H$5015,"Uang Kos Mama",Transaksi!$L$16:$L$5015,"Kos cewek*",Transaksi!$B$16:$B$5015,"&gt;="&amp;DATE(Dashboard!$C$4,3,1),Transaksi!$B$16:$B$5015,"&lt;="&amp;EOMONTH(DATE(Dashboard!$C$4,3,1),0))</f>
        <v/>
      </c>
      <c r="F31" s="106">
        <f>SUMIFS(Transaksi!$F$16:$F$5015,Transaksi!$H$16:$H$5015,"Uang Kos Mama",Transaksi!$L$16:$L$5015,"Kos cewek*",Transaksi!$B$16:$B$5015,"&gt;="&amp;DATE(Dashboard!$C$4,4,1),Transaksi!$B$16:$B$5015,"&lt;="&amp;EOMONTH(DATE(Dashboard!$C$4,4,1),0))</f>
        <v/>
      </c>
      <c r="G31" s="106">
        <f>SUMIFS(Transaksi!$F$16:$F$5015,Transaksi!$H$16:$H$5015,"Uang Kos Mama",Transaksi!$L$16:$L$5015,"Kos cewek*",Transaksi!$B$16:$B$5015,"&gt;="&amp;DATE(Dashboard!$C$4,5,1),Transaksi!$B$16:$B$5015,"&lt;="&amp;EOMONTH(DATE(Dashboard!$C$4,5,1),0))</f>
        <v/>
      </c>
      <c r="H31" s="106">
        <f>SUMIFS(Transaksi!$F$16:$F$5015,Transaksi!$H$16:$H$5015,"Uang Kos Mama",Transaksi!$L$16:$L$5015,"Kos cewek*",Transaksi!$B$16:$B$5015,"&gt;="&amp;DATE(Dashboard!$C$4,6,1),Transaksi!$B$16:$B$5015,"&lt;="&amp;EOMONTH(DATE(Dashboard!$C$4,6,1),0))</f>
        <v/>
      </c>
      <c r="I31" s="106">
        <f>SUMIFS(Transaksi!$F$16:$F$5015,Transaksi!$H$16:$H$5015,"Uang Kos Mama",Transaksi!$L$16:$L$5015,"Kos cewek*",Transaksi!$B$16:$B$5015,"&gt;="&amp;DATE(Dashboard!$C$4,7,1),Transaksi!$B$16:$B$5015,"&lt;="&amp;EOMONTH(DATE(Dashboard!$C$4,7,1),0))</f>
        <v/>
      </c>
      <c r="J31" s="106">
        <f>SUMIFS(Transaksi!$F$16:$F$5015,Transaksi!$H$16:$H$5015,"Uang Kos Mama",Transaksi!$L$16:$L$5015,"Kos cewek*",Transaksi!$B$16:$B$5015,"&gt;="&amp;DATE(Dashboard!$C$4,8,1),Transaksi!$B$16:$B$5015,"&lt;="&amp;EOMONTH(DATE(Dashboard!$C$4,8,1),0))</f>
        <v/>
      </c>
      <c r="K31" s="106">
        <f>SUMIFS(Transaksi!$F$16:$F$5015,Transaksi!$H$16:$H$5015,"Uang Kos Mama",Transaksi!$L$16:$L$5015,"Kos cewek*",Transaksi!$B$16:$B$5015,"&gt;="&amp;DATE(Dashboard!$C$4,9,1),Transaksi!$B$16:$B$5015,"&lt;="&amp;EOMONTH(DATE(Dashboard!$C$4,9,1),0))</f>
        <v/>
      </c>
      <c r="L31" s="106">
        <f>SUMIFS(Transaksi!$F$16:$F$5015,Transaksi!$H$16:$H$5015,"Uang Kos Mama",Transaksi!$L$16:$L$5015,"Kos cewek*",Transaksi!$B$16:$B$5015,"&gt;="&amp;DATE(Dashboard!$C$4,10,1),Transaksi!$B$16:$B$5015,"&lt;="&amp;EOMONTH(DATE(Dashboard!$C$4,10,1),0))</f>
        <v/>
      </c>
      <c r="M31" s="106">
        <f>SUMIFS(Transaksi!$F$16:$F$5015,Transaksi!$H$16:$H$5015,"Uang Kos Mama",Transaksi!$L$16:$L$5015,"Kos cewek*",Transaksi!$B$16:$B$5015,"&gt;="&amp;DATE(Dashboard!$C$4,11,1),Transaksi!$B$16:$B$5015,"&lt;="&amp;EOMONTH(DATE(Dashboard!$C$4,11,1),0))</f>
        <v/>
      </c>
      <c r="N31" s="106">
        <f>SUMIFS(Transaksi!$F$16:$F$5015,Transaksi!$H$16:$H$5015,"Uang Kos Mama",Transaksi!$L$16:$L$5015,"Kos cewek*",Transaksi!$B$16:$B$5015,"&gt;="&amp;DATE(Dashboard!$C$4,12,1),Transaksi!$B$16:$B$5015,"&lt;="&amp;EOMONTH(DATE(Dashboard!$C$4,12,1),0))</f>
        <v/>
      </c>
      <c r="O31" s="143">
        <f>SUM(C31:N31)</f>
        <v/>
      </c>
    </row>
    <row r="32" ht="15" customHeight="1" s="94">
      <c r="B32" s="105" t="inlineStr">
        <is>
          <t>Campuran (cewek &amp; cowok)</t>
        </is>
      </c>
      <c r="C32" s="106">
        <f>SUMIFS(Transaksi!$F$16:$F$5015,Transaksi!$H$16:$H$5015,"Uang Kos Mama",Transaksi!$L$16:$L$5015,"Campuran (cewek &amp; cowok)",Transaksi!$B$16:$B$5015,"&gt;="&amp;DATE(Dashboard!$C$4,1,1),Transaksi!$B$16:$B$5015,"&lt;="&amp;EOMONTH(DATE(Dashboard!$C$4,1,1),0))</f>
        <v/>
      </c>
      <c r="D32" s="106">
        <f>SUMIFS(Transaksi!$F$16:$F$5015,Transaksi!$H$16:$H$5015,"Uang Kos Mama",Transaksi!$L$16:$L$5015,"Campuran (cewek &amp; cowok)",Transaksi!$B$16:$B$5015,"&gt;="&amp;DATE(Dashboard!$C$4,2,1),Transaksi!$B$16:$B$5015,"&lt;="&amp;EOMONTH(DATE(Dashboard!$C$4,2,1),0))</f>
        <v/>
      </c>
      <c r="E32" s="106">
        <f>SUMIFS(Transaksi!$F$16:$F$5015,Transaksi!$H$16:$H$5015,"Uang Kos Mama",Transaksi!$L$16:$L$5015,"Campuran (cewek &amp; cowok)",Transaksi!$B$16:$B$5015,"&gt;="&amp;DATE(Dashboard!$C$4,3,1),Transaksi!$B$16:$B$5015,"&lt;="&amp;EOMONTH(DATE(Dashboard!$C$4,3,1),0))</f>
        <v/>
      </c>
      <c r="F32" s="106">
        <f>SUMIFS(Transaksi!$F$16:$F$5015,Transaksi!$H$16:$H$5015,"Uang Kos Mama",Transaksi!$L$16:$L$5015,"Campuran (cewek &amp; cowok)",Transaksi!$B$16:$B$5015,"&gt;="&amp;DATE(Dashboard!$C$4,4,1),Transaksi!$B$16:$B$5015,"&lt;="&amp;EOMONTH(DATE(Dashboard!$C$4,4,1),0))</f>
        <v/>
      </c>
      <c r="G32" s="106">
        <f>SUMIFS(Transaksi!$F$16:$F$5015,Transaksi!$H$16:$H$5015,"Uang Kos Mama",Transaksi!$L$16:$L$5015,"Campuran (cewek &amp; cowok)",Transaksi!$B$16:$B$5015,"&gt;="&amp;DATE(Dashboard!$C$4,5,1),Transaksi!$B$16:$B$5015,"&lt;="&amp;EOMONTH(DATE(Dashboard!$C$4,5,1),0))</f>
        <v/>
      </c>
      <c r="H32" s="106">
        <f>SUMIFS(Transaksi!$F$16:$F$5015,Transaksi!$H$16:$H$5015,"Uang Kos Mama",Transaksi!$L$16:$L$5015,"Campuran (cewek &amp; cowok)",Transaksi!$B$16:$B$5015,"&gt;="&amp;DATE(Dashboard!$C$4,6,1),Transaksi!$B$16:$B$5015,"&lt;="&amp;EOMONTH(DATE(Dashboard!$C$4,6,1),0))</f>
        <v/>
      </c>
      <c r="I32" s="106">
        <f>SUMIFS(Transaksi!$F$16:$F$5015,Transaksi!$H$16:$H$5015,"Uang Kos Mama",Transaksi!$L$16:$L$5015,"Campuran (cewek &amp; cowok)",Transaksi!$B$16:$B$5015,"&gt;="&amp;DATE(Dashboard!$C$4,7,1),Transaksi!$B$16:$B$5015,"&lt;="&amp;EOMONTH(DATE(Dashboard!$C$4,7,1),0))</f>
        <v/>
      </c>
      <c r="J32" s="106">
        <f>SUMIFS(Transaksi!$F$16:$F$5015,Transaksi!$H$16:$H$5015,"Uang Kos Mama",Transaksi!$L$16:$L$5015,"Campuran (cewek &amp; cowok)",Transaksi!$B$16:$B$5015,"&gt;="&amp;DATE(Dashboard!$C$4,8,1),Transaksi!$B$16:$B$5015,"&lt;="&amp;EOMONTH(DATE(Dashboard!$C$4,8,1),0))</f>
        <v/>
      </c>
      <c r="K32" s="106">
        <f>SUMIFS(Transaksi!$F$16:$F$5015,Transaksi!$H$16:$H$5015,"Uang Kos Mama",Transaksi!$L$16:$L$5015,"Campuran (cewek &amp; cowok)",Transaksi!$B$16:$B$5015,"&gt;="&amp;DATE(Dashboard!$C$4,9,1),Transaksi!$B$16:$B$5015,"&lt;="&amp;EOMONTH(DATE(Dashboard!$C$4,9,1),0))</f>
        <v/>
      </c>
      <c r="L32" s="106">
        <f>SUMIFS(Transaksi!$F$16:$F$5015,Transaksi!$H$16:$H$5015,"Uang Kos Mama",Transaksi!$L$16:$L$5015,"Campuran (cewek &amp; cowok)",Transaksi!$B$16:$B$5015,"&gt;="&amp;DATE(Dashboard!$C$4,10,1),Transaksi!$B$16:$B$5015,"&lt;="&amp;EOMONTH(DATE(Dashboard!$C$4,10,1),0))</f>
        <v/>
      </c>
      <c r="M32" s="106">
        <f>SUMIFS(Transaksi!$F$16:$F$5015,Transaksi!$H$16:$H$5015,"Uang Kos Mama",Transaksi!$L$16:$L$5015,"Campuran (cewek &amp; cowok)",Transaksi!$B$16:$B$5015,"&gt;="&amp;DATE(Dashboard!$C$4,11,1),Transaksi!$B$16:$B$5015,"&lt;="&amp;EOMONTH(DATE(Dashboard!$C$4,11,1),0))</f>
        <v/>
      </c>
      <c r="N32" s="106">
        <f>SUMIFS(Transaksi!$F$16:$F$5015,Transaksi!$H$16:$H$5015,"Uang Kos Mama",Transaksi!$L$16:$L$5015,"Campuran (cewek &amp; cowok)",Transaksi!$B$16:$B$5015,"&gt;="&amp;DATE(Dashboard!$C$4,12,1),Transaksi!$B$16:$B$5015,"&lt;="&amp;EOMONTH(DATE(Dashboard!$C$4,12,1),0))</f>
        <v/>
      </c>
      <c r="O32" s="143">
        <f>SUM(C32:N32)</f>
        <v/>
      </c>
    </row>
    <row r="33" ht="15" customHeight="1" s="94">
      <c r="B33" s="105" t="inlineStr">
        <is>
          <t>Sewa lapak pasar</t>
        </is>
      </c>
      <c r="C33" s="106">
        <f>SUMIFS(Transaksi!$F$16:$F$5015,Transaksi!$H$16:$H$5015,"Uang Kos Mama",Transaksi!$L$16:$L$5015,"Sewa lapak pasar",Transaksi!$B$16:$B$5015,"&gt;="&amp;DATE(Dashboard!$C$4,1,1),Transaksi!$B$16:$B$5015,"&lt;="&amp;EOMONTH(DATE(Dashboard!$C$4,1,1),0))</f>
        <v/>
      </c>
      <c r="D33" s="106">
        <f>SUMIFS(Transaksi!$F$16:$F$5015,Transaksi!$H$16:$H$5015,"Uang Kos Mama",Transaksi!$L$16:$L$5015,"Sewa lapak pasar",Transaksi!$B$16:$B$5015,"&gt;="&amp;DATE(Dashboard!$C$4,2,1),Transaksi!$B$16:$B$5015,"&lt;="&amp;EOMONTH(DATE(Dashboard!$C$4,2,1),0))</f>
        <v/>
      </c>
      <c r="E33" s="106">
        <f>SUMIFS(Transaksi!$F$16:$F$5015,Transaksi!$H$16:$H$5015,"Uang Kos Mama",Transaksi!$L$16:$L$5015,"Sewa lapak pasar",Transaksi!$B$16:$B$5015,"&gt;="&amp;DATE(Dashboard!$C$4,3,1),Transaksi!$B$16:$B$5015,"&lt;="&amp;EOMONTH(DATE(Dashboard!$C$4,3,1),0))</f>
        <v/>
      </c>
      <c r="F33" s="106">
        <f>SUMIFS(Transaksi!$F$16:$F$5015,Transaksi!$H$16:$H$5015,"Uang Kos Mama",Transaksi!$L$16:$L$5015,"Sewa lapak pasar",Transaksi!$B$16:$B$5015,"&gt;="&amp;DATE(Dashboard!$C$4,4,1),Transaksi!$B$16:$B$5015,"&lt;="&amp;EOMONTH(DATE(Dashboard!$C$4,4,1),0))</f>
        <v/>
      </c>
      <c r="G33" s="106">
        <f>SUMIFS(Transaksi!$F$16:$F$5015,Transaksi!$H$16:$H$5015,"Uang Kos Mama",Transaksi!$L$16:$L$5015,"Sewa lapak pasar",Transaksi!$B$16:$B$5015,"&gt;="&amp;DATE(Dashboard!$C$4,5,1),Transaksi!$B$16:$B$5015,"&lt;="&amp;EOMONTH(DATE(Dashboard!$C$4,5,1),0))</f>
        <v/>
      </c>
      <c r="H33" s="106">
        <f>SUMIFS(Transaksi!$F$16:$F$5015,Transaksi!$H$16:$H$5015,"Uang Kos Mama",Transaksi!$L$16:$L$5015,"Sewa lapak pasar",Transaksi!$B$16:$B$5015,"&gt;="&amp;DATE(Dashboard!$C$4,6,1),Transaksi!$B$16:$B$5015,"&lt;="&amp;EOMONTH(DATE(Dashboard!$C$4,6,1),0))</f>
        <v/>
      </c>
      <c r="I33" s="106">
        <f>SUMIFS(Transaksi!$F$16:$F$5015,Transaksi!$H$16:$H$5015,"Uang Kos Mama",Transaksi!$L$16:$L$5015,"Sewa lapak pasar",Transaksi!$B$16:$B$5015,"&gt;="&amp;DATE(Dashboard!$C$4,7,1),Transaksi!$B$16:$B$5015,"&lt;="&amp;EOMONTH(DATE(Dashboard!$C$4,7,1),0))</f>
        <v/>
      </c>
      <c r="J33" s="106">
        <f>SUMIFS(Transaksi!$F$16:$F$5015,Transaksi!$H$16:$H$5015,"Uang Kos Mama",Transaksi!$L$16:$L$5015,"Sewa lapak pasar",Transaksi!$B$16:$B$5015,"&gt;="&amp;DATE(Dashboard!$C$4,8,1),Transaksi!$B$16:$B$5015,"&lt;="&amp;EOMONTH(DATE(Dashboard!$C$4,8,1),0))</f>
        <v/>
      </c>
      <c r="K33" s="106">
        <f>SUMIFS(Transaksi!$F$16:$F$5015,Transaksi!$H$16:$H$5015,"Uang Kos Mama",Transaksi!$L$16:$L$5015,"Sewa lapak pasar",Transaksi!$B$16:$B$5015,"&gt;="&amp;DATE(Dashboard!$C$4,9,1),Transaksi!$B$16:$B$5015,"&lt;="&amp;EOMONTH(DATE(Dashboard!$C$4,9,1),0))</f>
        <v/>
      </c>
      <c r="L33" s="106">
        <f>SUMIFS(Transaksi!$F$16:$F$5015,Transaksi!$H$16:$H$5015,"Uang Kos Mama",Transaksi!$L$16:$L$5015,"Sewa lapak pasar",Transaksi!$B$16:$B$5015,"&gt;="&amp;DATE(Dashboard!$C$4,10,1),Transaksi!$B$16:$B$5015,"&lt;="&amp;EOMONTH(DATE(Dashboard!$C$4,10,1),0))</f>
        <v/>
      </c>
      <c r="M33" s="106">
        <f>SUMIFS(Transaksi!$F$16:$F$5015,Transaksi!$H$16:$H$5015,"Uang Kos Mama",Transaksi!$L$16:$L$5015,"Sewa lapak pasar",Transaksi!$B$16:$B$5015,"&gt;="&amp;DATE(Dashboard!$C$4,11,1),Transaksi!$B$16:$B$5015,"&lt;="&amp;EOMONTH(DATE(Dashboard!$C$4,11,1),0))</f>
        <v/>
      </c>
      <c r="N33" s="106">
        <f>SUMIFS(Transaksi!$F$16:$F$5015,Transaksi!$H$16:$H$5015,"Uang Kos Mama",Transaksi!$L$16:$L$5015,"Sewa lapak pasar",Transaksi!$B$16:$B$5015,"&gt;="&amp;DATE(Dashboard!$C$4,12,1),Transaksi!$B$16:$B$5015,"&lt;="&amp;EOMONTH(DATE(Dashboard!$C$4,12,1),0))</f>
        <v/>
      </c>
      <c r="O33" s="143">
        <f>SUM(C33:N33)</f>
        <v/>
      </c>
    </row>
    <row r="34" ht="15" customHeight="1" s="94">
      <c r="B34" s="105" t="inlineStr">
        <is>
          <t>Penggantian / lainnya</t>
        </is>
      </c>
      <c r="C34" s="106">
        <f>SUMIFS(Transaksi!$F$16:$F$5015,Transaksi!$H$16:$H$5015,"Uang Kos Mama",Transaksi!$L$16:$L$5015,"Penggantian / lainnya",Transaksi!$B$16:$B$5015,"&gt;="&amp;DATE(Dashboard!$C$4,1,1),Transaksi!$B$16:$B$5015,"&lt;="&amp;EOMONTH(DATE(Dashboard!$C$4,1,1),0))</f>
        <v/>
      </c>
      <c r="D34" s="106">
        <f>SUMIFS(Transaksi!$F$16:$F$5015,Transaksi!$H$16:$H$5015,"Uang Kos Mama",Transaksi!$L$16:$L$5015,"Penggantian / lainnya",Transaksi!$B$16:$B$5015,"&gt;="&amp;DATE(Dashboard!$C$4,2,1),Transaksi!$B$16:$B$5015,"&lt;="&amp;EOMONTH(DATE(Dashboard!$C$4,2,1),0))</f>
        <v/>
      </c>
      <c r="E34" s="106">
        <f>SUMIFS(Transaksi!$F$16:$F$5015,Transaksi!$H$16:$H$5015,"Uang Kos Mama",Transaksi!$L$16:$L$5015,"Penggantian / lainnya",Transaksi!$B$16:$B$5015,"&gt;="&amp;DATE(Dashboard!$C$4,3,1),Transaksi!$B$16:$B$5015,"&lt;="&amp;EOMONTH(DATE(Dashboard!$C$4,3,1),0))</f>
        <v/>
      </c>
      <c r="F34" s="106">
        <f>SUMIFS(Transaksi!$F$16:$F$5015,Transaksi!$H$16:$H$5015,"Uang Kos Mama",Transaksi!$L$16:$L$5015,"Penggantian / lainnya",Transaksi!$B$16:$B$5015,"&gt;="&amp;DATE(Dashboard!$C$4,4,1),Transaksi!$B$16:$B$5015,"&lt;="&amp;EOMONTH(DATE(Dashboard!$C$4,4,1),0))</f>
        <v/>
      </c>
      <c r="G34" s="106">
        <f>SUMIFS(Transaksi!$F$16:$F$5015,Transaksi!$H$16:$H$5015,"Uang Kos Mama",Transaksi!$L$16:$L$5015,"Penggantian / lainnya",Transaksi!$B$16:$B$5015,"&gt;="&amp;DATE(Dashboard!$C$4,5,1),Transaksi!$B$16:$B$5015,"&lt;="&amp;EOMONTH(DATE(Dashboard!$C$4,5,1),0))</f>
        <v/>
      </c>
      <c r="H34" s="106">
        <f>SUMIFS(Transaksi!$F$16:$F$5015,Transaksi!$H$16:$H$5015,"Uang Kos Mama",Transaksi!$L$16:$L$5015,"Penggantian / lainnya",Transaksi!$B$16:$B$5015,"&gt;="&amp;DATE(Dashboard!$C$4,6,1),Transaksi!$B$16:$B$5015,"&lt;="&amp;EOMONTH(DATE(Dashboard!$C$4,6,1),0))</f>
        <v/>
      </c>
      <c r="I34" s="106">
        <f>SUMIFS(Transaksi!$F$16:$F$5015,Transaksi!$H$16:$H$5015,"Uang Kos Mama",Transaksi!$L$16:$L$5015,"Penggantian / lainnya",Transaksi!$B$16:$B$5015,"&gt;="&amp;DATE(Dashboard!$C$4,7,1),Transaksi!$B$16:$B$5015,"&lt;="&amp;EOMONTH(DATE(Dashboard!$C$4,7,1),0))</f>
        <v/>
      </c>
      <c r="J34" s="106">
        <f>SUMIFS(Transaksi!$F$16:$F$5015,Transaksi!$H$16:$H$5015,"Uang Kos Mama",Transaksi!$L$16:$L$5015,"Penggantian / lainnya",Transaksi!$B$16:$B$5015,"&gt;="&amp;DATE(Dashboard!$C$4,8,1),Transaksi!$B$16:$B$5015,"&lt;="&amp;EOMONTH(DATE(Dashboard!$C$4,8,1),0))</f>
        <v/>
      </c>
      <c r="K34" s="106">
        <f>SUMIFS(Transaksi!$F$16:$F$5015,Transaksi!$H$16:$H$5015,"Uang Kos Mama",Transaksi!$L$16:$L$5015,"Penggantian / lainnya",Transaksi!$B$16:$B$5015,"&gt;="&amp;DATE(Dashboard!$C$4,9,1),Transaksi!$B$16:$B$5015,"&lt;="&amp;EOMONTH(DATE(Dashboard!$C$4,9,1),0))</f>
        <v/>
      </c>
      <c r="L34" s="106">
        <f>SUMIFS(Transaksi!$F$16:$F$5015,Transaksi!$H$16:$H$5015,"Uang Kos Mama",Transaksi!$L$16:$L$5015,"Penggantian / lainnya",Transaksi!$B$16:$B$5015,"&gt;="&amp;DATE(Dashboard!$C$4,10,1),Transaksi!$B$16:$B$5015,"&lt;="&amp;EOMONTH(DATE(Dashboard!$C$4,10,1),0))</f>
        <v/>
      </c>
      <c r="M34" s="106">
        <f>SUMIFS(Transaksi!$F$16:$F$5015,Transaksi!$H$16:$H$5015,"Uang Kos Mama",Transaksi!$L$16:$L$5015,"Penggantian / lainnya",Transaksi!$B$16:$B$5015,"&gt;="&amp;DATE(Dashboard!$C$4,11,1),Transaksi!$B$16:$B$5015,"&lt;="&amp;EOMONTH(DATE(Dashboard!$C$4,11,1),0))</f>
        <v/>
      </c>
      <c r="N34" s="106">
        <f>SUMIFS(Transaksi!$F$16:$F$5015,Transaksi!$H$16:$H$5015,"Uang Kos Mama",Transaksi!$L$16:$L$5015,"Penggantian / lainnya",Transaksi!$B$16:$B$5015,"&gt;="&amp;DATE(Dashboard!$C$4,12,1),Transaksi!$B$16:$B$5015,"&lt;="&amp;EOMONTH(DATE(Dashboard!$C$4,12,1),0))</f>
        <v/>
      </c>
      <c r="O34" s="143">
        <f>SUM(C34:N34)</f>
        <v/>
      </c>
    </row>
    <row r="35" ht="15" customHeight="1" s="94">
      <c r="B35" s="105" t="inlineStr">
        <is>
          <t>Belum diketahui (perlu dicek)</t>
        </is>
      </c>
      <c r="C35" s="106">
        <f>SUMIFS(Transaksi!$F$16:$F$5015,Transaksi!$H$16:$H$5015,"Uang Kos Mama",Transaksi!$L$16:$L$5015,"Belum diketahui",Transaksi!$B$16:$B$5015,"&gt;="&amp;DATE(Dashboard!$C$4,1,1),Transaksi!$B$16:$B$5015,"&lt;="&amp;EOMONTH(DATE(Dashboard!$C$4,1,1),0))</f>
        <v/>
      </c>
      <c r="D35" s="106">
        <f>SUMIFS(Transaksi!$F$16:$F$5015,Transaksi!$H$16:$H$5015,"Uang Kos Mama",Transaksi!$L$16:$L$5015,"Belum diketahui",Transaksi!$B$16:$B$5015,"&gt;="&amp;DATE(Dashboard!$C$4,2,1),Transaksi!$B$16:$B$5015,"&lt;="&amp;EOMONTH(DATE(Dashboard!$C$4,2,1),0))</f>
        <v/>
      </c>
      <c r="E35" s="106">
        <f>SUMIFS(Transaksi!$F$16:$F$5015,Transaksi!$H$16:$H$5015,"Uang Kos Mama",Transaksi!$L$16:$L$5015,"Belum diketahui",Transaksi!$B$16:$B$5015,"&gt;="&amp;DATE(Dashboard!$C$4,3,1),Transaksi!$B$16:$B$5015,"&lt;="&amp;EOMONTH(DATE(Dashboard!$C$4,3,1),0))</f>
        <v/>
      </c>
      <c r="F35" s="106">
        <f>SUMIFS(Transaksi!$F$16:$F$5015,Transaksi!$H$16:$H$5015,"Uang Kos Mama",Transaksi!$L$16:$L$5015,"Belum diketahui",Transaksi!$B$16:$B$5015,"&gt;="&amp;DATE(Dashboard!$C$4,4,1),Transaksi!$B$16:$B$5015,"&lt;="&amp;EOMONTH(DATE(Dashboard!$C$4,4,1),0))</f>
        <v/>
      </c>
      <c r="G35" s="106">
        <f>SUMIFS(Transaksi!$F$16:$F$5015,Transaksi!$H$16:$H$5015,"Uang Kos Mama",Transaksi!$L$16:$L$5015,"Belum diketahui",Transaksi!$B$16:$B$5015,"&gt;="&amp;DATE(Dashboard!$C$4,5,1),Transaksi!$B$16:$B$5015,"&lt;="&amp;EOMONTH(DATE(Dashboard!$C$4,5,1),0))</f>
        <v/>
      </c>
      <c r="H35" s="106">
        <f>SUMIFS(Transaksi!$F$16:$F$5015,Transaksi!$H$16:$H$5015,"Uang Kos Mama",Transaksi!$L$16:$L$5015,"Belum diketahui",Transaksi!$B$16:$B$5015,"&gt;="&amp;DATE(Dashboard!$C$4,6,1),Transaksi!$B$16:$B$5015,"&lt;="&amp;EOMONTH(DATE(Dashboard!$C$4,6,1),0))</f>
        <v/>
      </c>
      <c r="I35" s="106">
        <f>SUMIFS(Transaksi!$F$16:$F$5015,Transaksi!$H$16:$H$5015,"Uang Kos Mama",Transaksi!$L$16:$L$5015,"Belum diketahui",Transaksi!$B$16:$B$5015,"&gt;="&amp;DATE(Dashboard!$C$4,7,1),Transaksi!$B$16:$B$5015,"&lt;="&amp;EOMONTH(DATE(Dashboard!$C$4,7,1),0))</f>
        <v/>
      </c>
      <c r="J35" s="106">
        <f>SUMIFS(Transaksi!$F$16:$F$5015,Transaksi!$H$16:$H$5015,"Uang Kos Mama",Transaksi!$L$16:$L$5015,"Belum diketahui",Transaksi!$B$16:$B$5015,"&gt;="&amp;DATE(Dashboard!$C$4,8,1),Transaksi!$B$16:$B$5015,"&lt;="&amp;EOMONTH(DATE(Dashboard!$C$4,8,1),0))</f>
        <v/>
      </c>
      <c r="K35" s="106">
        <f>SUMIFS(Transaksi!$F$16:$F$5015,Transaksi!$H$16:$H$5015,"Uang Kos Mama",Transaksi!$L$16:$L$5015,"Belum diketahui",Transaksi!$B$16:$B$5015,"&gt;="&amp;DATE(Dashboard!$C$4,9,1),Transaksi!$B$16:$B$5015,"&lt;="&amp;EOMONTH(DATE(Dashboard!$C$4,9,1),0))</f>
        <v/>
      </c>
      <c r="L35" s="106">
        <f>SUMIFS(Transaksi!$F$16:$F$5015,Transaksi!$H$16:$H$5015,"Uang Kos Mama",Transaksi!$L$16:$L$5015,"Belum diketahui",Transaksi!$B$16:$B$5015,"&gt;="&amp;DATE(Dashboard!$C$4,10,1),Transaksi!$B$16:$B$5015,"&lt;="&amp;EOMONTH(DATE(Dashboard!$C$4,10,1),0))</f>
        <v/>
      </c>
      <c r="M35" s="106">
        <f>SUMIFS(Transaksi!$F$16:$F$5015,Transaksi!$H$16:$H$5015,"Uang Kos Mama",Transaksi!$L$16:$L$5015,"Belum diketahui",Transaksi!$B$16:$B$5015,"&gt;="&amp;DATE(Dashboard!$C$4,11,1),Transaksi!$B$16:$B$5015,"&lt;="&amp;EOMONTH(DATE(Dashboard!$C$4,11,1),0))</f>
        <v/>
      </c>
      <c r="N35" s="106">
        <f>SUMIFS(Transaksi!$F$16:$F$5015,Transaksi!$H$16:$H$5015,"Uang Kos Mama",Transaksi!$L$16:$L$5015,"Belum diketahui",Transaksi!$B$16:$B$5015,"&gt;="&amp;DATE(Dashboard!$C$4,12,1),Transaksi!$B$16:$B$5015,"&lt;="&amp;EOMONTH(DATE(Dashboard!$C$4,12,1),0))</f>
        <v/>
      </c>
      <c r="O35" s="143">
        <f>SUM(C35:N35)</f>
        <v/>
      </c>
    </row>
    <row r="36" ht="15" customHeight="1" s="94">
      <c r="B36" s="105" t="inlineStr">
        <is>
          <t>Pencairan reksadana uang kos mama</t>
        </is>
      </c>
      <c r="C36" s="106">
        <f>SUMIFS(Transaksi!$F$16:$F$5015,Transaksi!$G$16:$G$5015,"Tabungan",Transaksi!$H$16:$H$5015,"Reksadana uang kos mama",Transaksi!$D$16:$D$5015,"Masuk",Transaksi!$B$16:$B$5015,"&gt;="&amp;DATE(Dashboard!$C$4,1,1),Transaksi!$B$16:$B$5015,"&lt;="&amp;EOMONTH(DATE(Dashboard!$C$4,1,1),0))</f>
        <v/>
      </c>
      <c r="D36" s="106">
        <f>SUMIFS(Transaksi!$F$16:$F$5015,Transaksi!$G$16:$G$5015,"Tabungan",Transaksi!$H$16:$H$5015,"Reksadana uang kos mama",Transaksi!$D$16:$D$5015,"Masuk",Transaksi!$B$16:$B$5015,"&gt;="&amp;DATE(Dashboard!$C$4,2,1),Transaksi!$B$16:$B$5015,"&lt;="&amp;EOMONTH(DATE(Dashboard!$C$4,2,1),0))</f>
        <v/>
      </c>
      <c r="E36" s="106">
        <f>SUMIFS(Transaksi!$F$16:$F$5015,Transaksi!$G$16:$G$5015,"Tabungan",Transaksi!$H$16:$H$5015,"Reksadana uang kos mama",Transaksi!$D$16:$D$5015,"Masuk",Transaksi!$B$16:$B$5015,"&gt;="&amp;DATE(Dashboard!$C$4,3,1),Transaksi!$B$16:$B$5015,"&lt;="&amp;EOMONTH(DATE(Dashboard!$C$4,3,1),0))</f>
        <v/>
      </c>
      <c r="F36" s="106">
        <f>SUMIFS(Transaksi!$F$16:$F$5015,Transaksi!$G$16:$G$5015,"Tabungan",Transaksi!$H$16:$H$5015,"Reksadana uang kos mama",Transaksi!$D$16:$D$5015,"Masuk",Transaksi!$B$16:$B$5015,"&gt;="&amp;DATE(Dashboard!$C$4,4,1),Transaksi!$B$16:$B$5015,"&lt;="&amp;EOMONTH(DATE(Dashboard!$C$4,4,1),0))</f>
        <v/>
      </c>
      <c r="G36" s="106">
        <f>SUMIFS(Transaksi!$F$16:$F$5015,Transaksi!$G$16:$G$5015,"Tabungan",Transaksi!$H$16:$H$5015,"Reksadana uang kos mama",Transaksi!$D$16:$D$5015,"Masuk",Transaksi!$B$16:$B$5015,"&gt;="&amp;DATE(Dashboard!$C$4,5,1),Transaksi!$B$16:$B$5015,"&lt;="&amp;EOMONTH(DATE(Dashboard!$C$4,5,1),0))</f>
        <v/>
      </c>
      <c r="H36" s="106">
        <f>SUMIFS(Transaksi!$F$16:$F$5015,Transaksi!$G$16:$G$5015,"Tabungan",Transaksi!$H$16:$H$5015,"Reksadana uang kos mama",Transaksi!$D$16:$D$5015,"Masuk",Transaksi!$B$16:$B$5015,"&gt;="&amp;DATE(Dashboard!$C$4,6,1),Transaksi!$B$16:$B$5015,"&lt;="&amp;EOMONTH(DATE(Dashboard!$C$4,6,1),0))</f>
        <v/>
      </c>
      <c r="I36" s="106">
        <f>SUMIFS(Transaksi!$F$16:$F$5015,Transaksi!$G$16:$G$5015,"Tabungan",Transaksi!$H$16:$H$5015,"Reksadana uang kos mama",Transaksi!$D$16:$D$5015,"Masuk",Transaksi!$B$16:$B$5015,"&gt;="&amp;DATE(Dashboard!$C$4,7,1),Transaksi!$B$16:$B$5015,"&lt;="&amp;EOMONTH(DATE(Dashboard!$C$4,7,1),0))</f>
        <v/>
      </c>
      <c r="J36" s="106">
        <f>SUMIFS(Transaksi!$F$16:$F$5015,Transaksi!$G$16:$G$5015,"Tabungan",Transaksi!$H$16:$H$5015,"Reksadana uang kos mama",Transaksi!$D$16:$D$5015,"Masuk",Transaksi!$B$16:$B$5015,"&gt;="&amp;DATE(Dashboard!$C$4,8,1),Transaksi!$B$16:$B$5015,"&lt;="&amp;EOMONTH(DATE(Dashboard!$C$4,8,1),0))</f>
        <v/>
      </c>
      <c r="K36" s="106">
        <f>SUMIFS(Transaksi!$F$16:$F$5015,Transaksi!$G$16:$G$5015,"Tabungan",Transaksi!$H$16:$H$5015,"Reksadana uang kos mama",Transaksi!$D$16:$D$5015,"Masuk",Transaksi!$B$16:$B$5015,"&gt;="&amp;DATE(Dashboard!$C$4,9,1),Transaksi!$B$16:$B$5015,"&lt;="&amp;EOMONTH(DATE(Dashboard!$C$4,9,1),0))</f>
        <v/>
      </c>
      <c r="L36" s="106">
        <f>SUMIFS(Transaksi!$F$16:$F$5015,Transaksi!$G$16:$G$5015,"Tabungan",Transaksi!$H$16:$H$5015,"Reksadana uang kos mama",Transaksi!$D$16:$D$5015,"Masuk",Transaksi!$B$16:$B$5015,"&gt;="&amp;DATE(Dashboard!$C$4,10,1),Transaksi!$B$16:$B$5015,"&lt;="&amp;EOMONTH(DATE(Dashboard!$C$4,10,1),0))</f>
        <v/>
      </c>
      <c r="M36" s="106">
        <f>SUMIFS(Transaksi!$F$16:$F$5015,Transaksi!$G$16:$G$5015,"Tabungan",Transaksi!$H$16:$H$5015,"Reksadana uang kos mama",Transaksi!$D$16:$D$5015,"Masuk",Transaksi!$B$16:$B$5015,"&gt;="&amp;DATE(Dashboard!$C$4,11,1),Transaksi!$B$16:$B$5015,"&lt;="&amp;EOMONTH(DATE(Dashboard!$C$4,11,1),0))</f>
        <v/>
      </c>
      <c r="N36" s="106">
        <f>SUMIFS(Transaksi!$F$16:$F$5015,Transaksi!$G$16:$G$5015,"Tabungan",Transaksi!$H$16:$H$5015,"Reksadana uang kos mama",Transaksi!$D$16:$D$5015,"Masuk",Transaksi!$B$16:$B$5015,"&gt;="&amp;DATE(Dashboard!$C$4,12,1),Transaksi!$B$16:$B$5015,"&lt;="&amp;EOMONTH(DATE(Dashboard!$C$4,12,1),0))</f>
        <v/>
      </c>
      <c r="O36" s="143">
        <f>SUM(C36:N36)</f>
        <v/>
      </c>
    </row>
    <row r="37" ht="15" customHeight="1" s="94">
      <c r="B37" s="157" t="inlineStr">
        <is>
          <t>TOTAL UANG KOS MASUK</t>
        </is>
      </c>
      <c r="C37" s="158">
        <f>SUMIFS(Transaksi!$F$16:$F$5015,Transaksi!$G$16:$G$5015,"Pendapatan",Transaksi!$B$16:$B$5015,"&gt;="&amp;DATE(Dashboard!$C$4,1,1),Transaksi!$B$16:$B$5015,"&lt;="&amp;EOMONTH(DATE(Dashboard!$C$4,1,1),0),Transaksi!$H$16:$H$5015,"Uang Kos Mama")+SUMIFS(Transaksi!$F$16:$F$5015,Transaksi!$G$16:$G$5015,"Tabungan",Transaksi!$H$16:$H$5015,"Reksadana uang kos mama",Transaksi!$D$16:$D$5015,"Masuk",Transaksi!$B$16:$B$5015,"&gt;="&amp;DATE(Dashboard!$C$4,1,1),Transaksi!$B$16:$B$5015,"&lt;="&amp;EOMONTH(DATE(Dashboard!$C$4,1,1),0))</f>
        <v/>
      </c>
      <c r="D37" s="158">
        <f>SUMIFS(Transaksi!$F$16:$F$5015,Transaksi!$G$16:$G$5015,"Pendapatan",Transaksi!$B$16:$B$5015,"&gt;="&amp;DATE(Dashboard!$C$4,2,1),Transaksi!$B$16:$B$5015,"&lt;="&amp;EOMONTH(DATE(Dashboard!$C$4,2,1),0),Transaksi!$H$16:$H$5015,"Uang Kos Mama")+SUMIFS(Transaksi!$F$16:$F$5015,Transaksi!$G$16:$G$5015,"Tabungan",Transaksi!$H$16:$H$5015,"Reksadana uang kos mama",Transaksi!$D$16:$D$5015,"Masuk",Transaksi!$B$16:$B$5015,"&gt;="&amp;DATE(Dashboard!$C$4,2,1),Transaksi!$B$16:$B$5015,"&lt;="&amp;EOMONTH(DATE(Dashboard!$C$4,2,1),0))</f>
        <v/>
      </c>
      <c r="E37" s="158">
        <f>SUMIFS(Transaksi!$F$16:$F$5015,Transaksi!$G$16:$G$5015,"Pendapatan",Transaksi!$B$16:$B$5015,"&gt;="&amp;DATE(Dashboard!$C$4,3,1),Transaksi!$B$16:$B$5015,"&lt;="&amp;EOMONTH(DATE(Dashboard!$C$4,3,1),0),Transaksi!$H$16:$H$5015,"Uang Kos Mama")+SUMIFS(Transaksi!$F$16:$F$5015,Transaksi!$G$16:$G$5015,"Tabungan",Transaksi!$H$16:$H$5015,"Reksadana uang kos mama",Transaksi!$D$16:$D$5015,"Masuk",Transaksi!$B$16:$B$5015,"&gt;="&amp;DATE(Dashboard!$C$4,3,1),Transaksi!$B$16:$B$5015,"&lt;="&amp;EOMONTH(DATE(Dashboard!$C$4,3,1),0))</f>
        <v/>
      </c>
      <c r="F37" s="158">
        <f>SUMIFS(Transaksi!$F$16:$F$5015,Transaksi!$G$16:$G$5015,"Pendapatan",Transaksi!$B$16:$B$5015,"&gt;="&amp;DATE(Dashboard!$C$4,4,1),Transaksi!$B$16:$B$5015,"&lt;="&amp;EOMONTH(DATE(Dashboard!$C$4,4,1),0),Transaksi!$H$16:$H$5015,"Uang Kos Mama")+SUMIFS(Transaksi!$F$16:$F$5015,Transaksi!$G$16:$G$5015,"Tabungan",Transaksi!$H$16:$H$5015,"Reksadana uang kos mama",Transaksi!$D$16:$D$5015,"Masuk",Transaksi!$B$16:$B$5015,"&gt;="&amp;DATE(Dashboard!$C$4,4,1),Transaksi!$B$16:$B$5015,"&lt;="&amp;EOMONTH(DATE(Dashboard!$C$4,4,1),0))</f>
        <v/>
      </c>
      <c r="G37" s="158">
        <f>SUMIFS(Transaksi!$F$16:$F$5015,Transaksi!$G$16:$G$5015,"Pendapatan",Transaksi!$B$16:$B$5015,"&gt;="&amp;DATE(Dashboard!$C$4,5,1),Transaksi!$B$16:$B$5015,"&lt;="&amp;EOMONTH(DATE(Dashboard!$C$4,5,1),0),Transaksi!$H$16:$H$5015,"Uang Kos Mama")+SUMIFS(Transaksi!$F$16:$F$5015,Transaksi!$G$16:$G$5015,"Tabungan",Transaksi!$H$16:$H$5015,"Reksadana uang kos mama",Transaksi!$D$16:$D$5015,"Masuk",Transaksi!$B$16:$B$5015,"&gt;="&amp;DATE(Dashboard!$C$4,5,1),Transaksi!$B$16:$B$5015,"&lt;="&amp;EOMONTH(DATE(Dashboard!$C$4,5,1),0))</f>
        <v/>
      </c>
      <c r="H37" s="158">
        <f>SUMIFS(Transaksi!$F$16:$F$5015,Transaksi!$G$16:$G$5015,"Pendapatan",Transaksi!$B$16:$B$5015,"&gt;="&amp;DATE(Dashboard!$C$4,6,1),Transaksi!$B$16:$B$5015,"&lt;="&amp;EOMONTH(DATE(Dashboard!$C$4,6,1),0),Transaksi!$H$16:$H$5015,"Uang Kos Mama")+SUMIFS(Transaksi!$F$16:$F$5015,Transaksi!$G$16:$G$5015,"Tabungan",Transaksi!$H$16:$H$5015,"Reksadana uang kos mama",Transaksi!$D$16:$D$5015,"Masuk",Transaksi!$B$16:$B$5015,"&gt;="&amp;DATE(Dashboard!$C$4,6,1),Transaksi!$B$16:$B$5015,"&lt;="&amp;EOMONTH(DATE(Dashboard!$C$4,6,1),0))</f>
        <v/>
      </c>
      <c r="I37" s="158">
        <f>SUMIFS(Transaksi!$F$16:$F$5015,Transaksi!$G$16:$G$5015,"Pendapatan",Transaksi!$B$16:$B$5015,"&gt;="&amp;DATE(Dashboard!$C$4,7,1),Transaksi!$B$16:$B$5015,"&lt;="&amp;EOMONTH(DATE(Dashboard!$C$4,7,1),0),Transaksi!$H$16:$H$5015,"Uang Kos Mama")+SUMIFS(Transaksi!$F$16:$F$5015,Transaksi!$G$16:$G$5015,"Tabungan",Transaksi!$H$16:$H$5015,"Reksadana uang kos mama",Transaksi!$D$16:$D$5015,"Masuk",Transaksi!$B$16:$B$5015,"&gt;="&amp;DATE(Dashboard!$C$4,7,1),Transaksi!$B$16:$B$5015,"&lt;="&amp;EOMONTH(DATE(Dashboard!$C$4,7,1),0))</f>
        <v/>
      </c>
      <c r="J37" s="158">
        <f>SUMIFS(Transaksi!$F$16:$F$5015,Transaksi!$G$16:$G$5015,"Pendapatan",Transaksi!$B$16:$B$5015,"&gt;="&amp;DATE(Dashboard!$C$4,8,1),Transaksi!$B$16:$B$5015,"&lt;="&amp;EOMONTH(DATE(Dashboard!$C$4,8,1),0),Transaksi!$H$16:$H$5015,"Uang Kos Mama")+SUMIFS(Transaksi!$F$16:$F$5015,Transaksi!$G$16:$G$5015,"Tabungan",Transaksi!$H$16:$H$5015,"Reksadana uang kos mama",Transaksi!$D$16:$D$5015,"Masuk",Transaksi!$B$16:$B$5015,"&gt;="&amp;DATE(Dashboard!$C$4,8,1),Transaksi!$B$16:$B$5015,"&lt;="&amp;EOMONTH(DATE(Dashboard!$C$4,8,1),0))</f>
        <v/>
      </c>
      <c r="K37" s="158">
        <f>SUMIFS(Transaksi!$F$16:$F$5015,Transaksi!$G$16:$G$5015,"Pendapatan",Transaksi!$B$16:$B$5015,"&gt;="&amp;DATE(Dashboard!$C$4,9,1),Transaksi!$B$16:$B$5015,"&lt;="&amp;EOMONTH(DATE(Dashboard!$C$4,9,1),0),Transaksi!$H$16:$H$5015,"Uang Kos Mama")+SUMIFS(Transaksi!$F$16:$F$5015,Transaksi!$G$16:$G$5015,"Tabungan",Transaksi!$H$16:$H$5015,"Reksadana uang kos mama",Transaksi!$D$16:$D$5015,"Masuk",Transaksi!$B$16:$B$5015,"&gt;="&amp;DATE(Dashboard!$C$4,9,1),Transaksi!$B$16:$B$5015,"&lt;="&amp;EOMONTH(DATE(Dashboard!$C$4,9,1),0))</f>
        <v/>
      </c>
      <c r="L37" s="158">
        <f>SUMIFS(Transaksi!$F$16:$F$5015,Transaksi!$G$16:$G$5015,"Pendapatan",Transaksi!$B$16:$B$5015,"&gt;="&amp;DATE(Dashboard!$C$4,10,1),Transaksi!$B$16:$B$5015,"&lt;="&amp;EOMONTH(DATE(Dashboard!$C$4,10,1),0),Transaksi!$H$16:$H$5015,"Uang Kos Mama")+SUMIFS(Transaksi!$F$16:$F$5015,Transaksi!$G$16:$G$5015,"Tabungan",Transaksi!$H$16:$H$5015,"Reksadana uang kos mama",Transaksi!$D$16:$D$5015,"Masuk",Transaksi!$B$16:$B$5015,"&gt;="&amp;DATE(Dashboard!$C$4,10,1),Transaksi!$B$16:$B$5015,"&lt;="&amp;EOMONTH(DATE(Dashboard!$C$4,10,1),0))</f>
        <v/>
      </c>
      <c r="M37" s="158">
        <f>SUMIFS(Transaksi!$F$16:$F$5015,Transaksi!$G$16:$G$5015,"Pendapatan",Transaksi!$B$16:$B$5015,"&gt;="&amp;DATE(Dashboard!$C$4,11,1),Transaksi!$B$16:$B$5015,"&lt;="&amp;EOMONTH(DATE(Dashboard!$C$4,11,1),0),Transaksi!$H$16:$H$5015,"Uang Kos Mama")+SUMIFS(Transaksi!$F$16:$F$5015,Transaksi!$G$16:$G$5015,"Tabungan",Transaksi!$H$16:$H$5015,"Reksadana uang kos mama",Transaksi!$D$16:$D$5015,"Masuk",Transaksi!$B$16:$B$5015,"&gt;="&amp;DATE(Dashboard!$C$4,11,1),Transaksi!$B$16:$B$5015,"&lt;="&amp;EOMONTH(DATE(Dashboard!$C$4,11,1),0))</f>
        <v/>
      </c>
      <c r="N37" s="158">
        <f>SUMIFS(Transaksi!$F$16:$F$5015,Transaksi!$G$16:$G$5015,"Pendapatan",Transaksi!$B$16:$B$5015,"&gt;="&amp;DATE(Dashboard!$C$4,12,1),Transaksi!$B$16:$B$5015,"&lt;="&amp;EOMONTH(DATE(Dashboard!$C$4,12,1),0),Transaksi!$H$16:$H$5015,"Uang Kos Mama")+SUMIFS(Transaksi!$F$16:$F$5015,Transaksi!$G$16:$G$5015,"Tabungan",Transaksi!$H$16:$H$5015,"Reksadana uang kos mama",Transaksi!$D$16:$D$5015,"Masuk",Transaksi!$B$16:$B$5015,"&gt;="&amp;DATE(Dashboard!$C$4,12,1),Transaksi!$B$16:$B$5015,"&lt;="&amp;EOMONTH(DATE(Dashboard!$C$4,12,1),0))</f>
        <v/>
      </c>
      <c r="O37" s="143">
        <f>SUM(C37:N37)</f>
        <v/>
      </c>
    </row>
    <row r="38"/>
    <row r="39" ht="15" customHeight="1" s="94">
      <c r="B39" s="101" t="inlineStr">
        <is>
          <t>C. KE MANA UANG KOS DIPAKAI (TUJUAN PENGELUARAN)</t>
        </is>
      </c>
      <c r="C39" s="102" t="n"/>
      <c r="D39" s="102" t="n"/>
      <c r="E39" s="102" t="n"/>
      <c r="F39" s="102" t="n"/>
      <c r="G39" s="102" t="n"/>
      <c r="H39" s="102" t="n"/>
      <c r="I39" s="102" t="n"/>
      <c r="J39" s="102" t="n"/>
      <c r="K39" s="102" t="n"/>
      <c r="L39" s="102" t="n"/>
      <c r="M39" s="102" t="n"/>
      <c r="N39" s="102" t="n"/>
      <c r="O39" s="102" t="n"/>
    </row>
    <row r="40" ht="15" customHeight="1" s="94">
      <c r="B40" s="103" t="inlineStr">
        <is>
          <t>Tujuan</t>
        </is>
      </c>
      <c r="C40" s="103" t="inlineStr">
        <is>
          <t>Jan</t>
        </is>
      </c>
      <c r="D40" s="103" t="inlineStr">
        <is>
          <t>Feb</t>
        </is>
      </c>
      <c r="E40" s="103" t="inlineStr">
        <is>
          <t>Mar</t>
        </is>
      </c>
      <c r="F40" s="103" t="inlineStr">
        <is>
          <t>Apr</t>
        </is>
      </c>
      <c r="G40" s="103" t="inlineStr">
        <is>
          <t>Mei</t>
        </is>
      </c>
      <c r="H40" s="103" t="inlineStr">
        <is>
          <t>Jun</t>
        </is>
      </c>
      <c r="I40" s="103" t="inlineStr">
        <is>
          <t>Jul</t>
        </is>
      </c>
      <c r="J40" s="103" t="inlineStr">
        <is>
          <t>Agu</t>
        </is>
      </c>
      <c r="K40" s="103" t="inlineStr">
        <is>
          <t>Sep</t>
        </is>
      </c>
      <c r="L40" s="103" t="inlineStr">
        <is>
          <t>Okt</t>
        </is>
      </c>
      <c r="M40" s="103" t="inlineStr">
        <is>
          <t>Nov</t>
        </is>
      </c>
      <c r="N40" s="103" t="inlineStr">
        <is>
          <t>Des</t>
        </is>
      </c>
      <c r="O40" s="103" t="inlineStr">
        <is>
          <t>Total</t>
        </is>
      </c>
    </row>
    <row r="41" ht="15" customHeight="1" s="94">
      <c r="B41" s="105" t="inlineStr">
        <is>
          <t>Biaya Admin Transaksi</t>
        </is>
      </c>
      <c r="C41" s="106">
        <f>SUMIFS(Transaksi!$F$16:$F$5015,Transaksi!$G$16:$G$5015,"Pengeluaran",Transaksi!$B$16:$B$5015,"&gt;="&amp;DATE(Dashboard!$C$4,1,1),Transaksi!$B$16:$B$5015,"&lt;="&amp;EOMONTH(DATE(Dashboard!$C$4,1,1),0),Transaksi!$H$16:$H$5015,"Pengeluaran Uang Kos",Transaksi!$I$16:$I$5015,"Biaya Admin Transaksi")</f>
        <v/>
      </c>
      <c r="D41" s="106">
        <f>SUMIFS(Transaksi!$F$16:$F$5015,Transaksi!$G$16:$G$5015,"Pengeluaran",Transaksi!$B$16:$B$5015,"&gt;="&amp;DATE(Dashboard!$C$4,2,1),Transaksi!$B$16:$B$5015,"&lt;="&amp;EOMONTH(DATE(Dashboard!$C$4,2,1),0),Transaksi!$H$16:$H$5015,"Pengeluaran Uang Kos",Transaksi!$I$16:$I$5015,"Biaya Admin Transaksi")</f>
        <v/>
      </c>
      <c r="E41" s="106">
        <f>SUMIFS(Transaksi!$F$16:$F$5015,Transaksi!$G$16:$G$5015,"Pengeluaran",Transaksi!$B$16:$B$5015,"&gt;="&amp;DATE(Dashboard!$C$4,3,1),Transaksi!$B$16:$B$5015,"&lt;="&amp;EOMONTH(DATE(Dashboard!$C$4,3,1),0),Transaksi!$H$16:$H$5015,"Pengeluaran Uang Kos",Transaksi!$I$16:$I$5015,"Biaya Admin Transaksi")</f>
        <v/>
      </c>
      <c r="F41" s="106">
        <f>SUMIFS(Transaksi!$F$16:$F$5015,Transaksi!$G$16:$G$5015,"Pengeluaran",Transaksi!$B$16:$B$5015,"&gt;="&amp;DATE(Dashboard!$C$4,4,1),Transaksi!$B$16:$B$5015,"&lt;="&amp;EOMONTH(DATE(Dashboard!$C$4,4,1),0),Transaksi!$H$16:$H$5015,"Pengeluaran Uang Kos",Transaksi!$I$16:$I$5015,"Biaya Admin Transaksi")</f>
        <v/>
      </c>
      <c r="G41" s="106">
        <f>SUMIFS(Transaksi!$F$16:$F$5015,Transaksi!$G$16:$G$5015,"Pengeluaran",Transaksi!$B$16:$B$5015,"&gt;="&amp;DATE(Dashboard!$C$4,5,1),Transaksi!$B$16:$B$5015,"&lt;="&amp;EOMONTH(DATE(Dashboard!$C$4,5,1),0),Transaksi!$H$16:$H$5015,"Pengeluaran Uang Kos",Transaksi!$I$16:$I$5015,"Biaya Admin Transaksi")</f>
        <v/>
      </c>
      <c r="H41" s="106">
        <f>SUMIFS(Transaksi!$F$16:$F$5015,Transaksi!$G$16:$G$5015,"Pengeluaran",Transaksi!$B$16:$B$5015,"&gt;="&amp;DATE(Dashboard!$C$4,6,1),Transaksi!$B$16:$B$5015,"&lt;="&amp;EOMONTH(DATE(Dashboard!$C$4,6,1),0),Transaksi!$H$16:$H$5015,"Pengeluaran Uang Kos",Transaksi!$I$16:$I$5015,"Biaya Admin Transaksi")</f>
        <v/>
      </c>
      <c r="I41" s="106">
        <f>SUMIFS(Transaksi!$F$16:$F$5015,Transaksi!$G$16:$G$5015,"Pengeluaran",Transaksi!$B$16:$B$5015,"&gt;="&amp;DATE(Dashboard!$C$4,7,1),Transaksi!$B$16:$B$5015,"&lt;="&amp;EOMONTH(DATE(Dashboard!$C$4,7,1),0),Transaksi!$H$16:$H$5015,"Pengeluaran Uang Kos",Transaksi!$I$16:$I$5015,"Biaya Admin Transaksi")</f>
        <v/>
      </c>
      <c r="J41" s="106">
        <f>SUMIFS(Transaksi!$F$16:$F$5015,Transaksi!$G$16:$G$5015,"Pengeluaran",Transaksi!$B$16:$B$5015,"&gt;="&amp;DATE(Dashboard!$C$4,8,1),Transaksi!$B$16:$B$5015,"&lt;="&amp;EOMONTH(DATE(Dashboard!$C$4,8,1),0),Transaksi!$H$16:$H$5015,"Pengeluaran Uang Kos",Transaksi!$I$16:$I$5015,"Biaya Admin Transaksi")</f>
        <v/>
      </c>
      <c r="K41" s="106">
        <f>SUMIFS(Transaksi!$F$16:$F$5015,Transaksi!$G$16:$G$5015,"Pengeluaran",Transaksi!$B$16:$B$5015,"&gt;="&amp;DATE(Dashboard!$C$4,9,1),Transaksi!$B$16:$B$5015,"&lt;="&amp;EOMONTH(DATE(Dashboard!$C$4,9,1),0),Transaksi!$H$16:$H$5015,"Pengeluaran Uang Kos",Transaksi!$I$16:$I$5015,"Biaya Admin Transaksi")</f>
        <v/>
      </c>
      <c r="L41" s="106">
        <f>SUMIFS(Transaksi!$F$16:$F$5015,Transaksi!$G$16:$G$5015,"Pengeluaran",Transaksi!$B$16:$B$5015,"&gt;="&amp;DATE(Dashboard!$C$4,10,1),Transaksi!$B$16:$B$5015,"&lt;="&amp;EOMONTH(DATE(Dashboard!$C$4,10,1),0),Transaksi!$H$16:$H$5015,"Pengeluaran Uang Kos",Transaksi!$I$16:$I$5015,"Biaya Admin Transaksi")</f>
        <v/>
      </c>
      <c r="M41" s="106">
        <f>SUMIFS(Transaksi!$F$16:$F$5015,Transaksi!$G$16:$G$5015,"Pengeluaran",Transaksi!$B$16:$B$5015,"&gt;="&amp;DATE(Dashboard!$C$4,11,1),Transaksi!$B$16:$B$5015,"&lt;="&amp;EOMONTH(DATE(Dashboard!$C$4,11,1),0),Transaksi!$H$16:$H$5015,"Pengeluaran Uang Kos",Transaksi!$I$16:$I$5015,"Biaya Admin Transaksi")</f>
        <v/>
      </c>
      <c r="N41" s="106">
        <f>SUMIFS(Transaksi!$F$16:$F$5015,Transaksi!$G$16:$G$5015,"Pengeluaran",Transaksi!$B$16:$B$5015,"&gt;="&amp;DATE(Dashboard!$C$4,12,1),Transaksi!$B$16:$B$5015,"&lt;="&amp;EOMONTH(DATE(Dashboard!$C$4,12,1),0),Transaksi!$H$16:$H$5015,"Pengeluaran Uang Kos",Transaksi!$I$16:$I$5015,"Biaya Admin Transaksi")</f>
        <v/>
      </c>
      <c r="O41" s="143">
        <f>SUM(C41:N41)</f>
        <v/>
      </c>
    </row>
    <row r="42" ht="15" customHeight="1" s="94">
      <c r="B42" s="105" t="inlineStr">
        <is>
          <t>Cicilan BRI &amp; pegadaian mama</t>
        </is>
      </c>
      <c r="C42" s="106">
        <f>SUMIFS(Transaksi!$F$16:$F$5015,Transaksi!$G$16:$G$5015,"Pengeluaran",Transaksi!$B$16:$B$5015,"&gt;="&amp;DATE(Dashboard!$C$4,1,1),Transaksi!$B$16:$B$5015,"&lt;="&amp;EOMONTH(DATE(Dashboard!$C$4,1,1),0),Transaksi!$H$16:$H$5015,"Pengeluaran Uang Kos",Transaksi!$I$16:$I$5015,"Cicilan BRI &amp; pegadaian mama")</f>
        <v/>
      </c>
      <c r="D42" s="106">
        <f>SUMIFS(Transaksi!$F$16:$F$5015,Transaksi!$G$16:$G$5015,"Pengeluaran",Transaksi!$B$16:$B$5015,"&gt;="&amp;DATE(Dashboard!$C$4,2,1),Transaksi!$B$16:$B$5015,"&lt;="&amp;EOMONTH(DATE(Dashboard!$C$4,2,1),0),Transaksi!$H$16:$H$5015,"Pengeluaran Uang Kos",Transaksi!$I$16:$I$5015,"Cicilan BRI &amp; pegadaian mama")</f>
        <v/>
      </c>
      <c r="E42" s="106">
        <f>SUMIFS(Transaksi!$F$16:$F$5015,Transaksi!$G$16:$G$5015,"Pengeluaran",Transaksi!$B$16:$B$5015,"&gt;="&amp;DATE(Dashboard!$C$4,3,1),Transaksi!$B$16:$B$5015,"&lt;="&amp;EOMONTH(DATE(Dashboard!$C$4,3,1),0),Transaksi!$H$16:$H$5015,"Pengeluaran Uang Kos",Transaksi!$I$16:$I$5015,"Cicilan BRI &amp; pegadaian mama")</f>
        <v/>
      </c>
      <c r="F42" s="106">
        <f>SUMIFS(Transaksi!$F$16:$F$5015,Transaksi!$G$16:$G$5015,"Pengeluaran",Transaksi!$B$16:$B$5015,"&gt;="&amp;DATE(Dashboard!$C$4,4,1),Transaksi!$B$16:$B$5015,"&lt;="&amp;EOMONTH(DATE(Dashboard!$C$4,4,1),0),Transaksi!$H$16:$H$5015,"Pengeluaran Uang Kos",Transaksi!$I$16:$I$5015,"Cicilan BRI &amp; pegadaian mama")</f>
        <v/>
      </c>
      <c r="G42" s="106">
        <f>SUMIFS(Transaksi!$F$16:$F$5015,Transaksi!$G$16:$G$5015,"Pengeluaran",Transaksi!$B$16:$B$5015,"&gt;="&amp;DATE(Dashboard!$C$4,5,1),Transaksi!$B$16:$B$5015,"&lt;="&amp;EOMONTH(DATE(Dashboard!$C$4,5,1),0),Transaksi!$H$16:$H$5015,"Pengeluaran Uang Kos",Transaksi!$I$16:$I$5015,"Cicilan BRI &amp; pegadaian mama")</f>
        <v/>
      </c>
      <c r="H42" s="106">
        <f>SUMIFS(Transaksi!$F$16:$F$5015,Transaksi!$G$16:$G$5015,"Pengeluaran",Transaksi!$B$16:$B$5015,"&gt;="&amp;DATE(Dashboard!$C$4,6,1),Transaksi!$B$16:$B$5015,"&lt;="&amp;EOMONTH(DATE(Dashboard!$C$4,6,1),0),Transaksi!$H$16:$H$5015,"Pengeluaran Uang Kos",Transaksi!$I$16:$I$5015,"Cicilan BRI &amp; pegadaian mama")</f>
        <v/>
      </c>
      <c r="I42" s="106">
        <f>SUMIFS(Transaksi!$F$16:$F$5015,Transaksi!$G$16:$G$5015,"Pengeluaran",Transaksi!$B$16:$B$5015,"&gt;="&amp;DATE(Dashboard!$C$4,7,1),Transaksi!$B$16:$B$5015,"&lt;="&amp;EOMONTH(DATE(Dashboard!$C$4,7,1),0),Transaksi!$H$16:$H$5015,"Pengeluaran Uang Kos",Transaksi!$I$16:$I$5015,"Cicilan BRI &amp; pegadaian mama")</f>
        <v/>
      </c>
      <c r="J42" s="106">
        <f>SUMIFS(Transaksi!$F$16:$F$5015,Transaksi!$G$16:$G$5015,"Pengeluaran",Transaksi!$B$16:$B$5015,"&gt;="&amp;DATE(Dashboard!$C$4,8,1),Transaksi!$B$16:$B$5015,"&lt;="&amp;EOMONTH(DATE(Dashboard!$C$4,8,1),0),Transaksi!$H$16:$H$5015,"Pengeluaran Uang Kos",Transaksi!$I$16:$I$5015,"Cicilan BRI &amp; pegadaian mama")</f>
        <v/>
      </c>
      <c r="K42" s="106">
        <f>SUMIFS(Transaksi!$F$16:$F$5015,Transaksi!$G$16:$G$5015,"Pengeluaran",Transaksi!$B$16:$B$5015,"&gt;="&amp;DATE(Dashboard!$C$4,9,1),Transaksi!$B$16:$B$5015,"&lt;="&amp;EOMONTH(DATE(Dashboard!$C$4,9,1),0),Transaksi!$H$16:$H$5015,"Pengeluaran Uang Kos",Transaksi!$I$16:$I$5015,"Cicilan BRI &amp; pegadaian mama")</f>
        <v/>
      </c>
      <c r="L42" s="106">
        <f>SUMIFS(Transaksi!$F$16:$F$5015,Transaksi!$G$16:$G$5015,"Pengeluaran",Transaksi!$B$16:$B$5015,"&gt;="&amp;DATE(Dashboard!$C$4,10,1),Transaksi!$B$16:$B$5015,"&lt;="&amp;EOMONTH(DATE(Dashboard!$C$4,10,1),0),Transaksi!$H$16:$H$5015,"Pengeluaran Uang Kos",Transaksi!$I$16:$I$5015,"Cicilan BRI &amp; pegadaian mama")</f>
        <v/>
      </c>
      <c r="M42" s="106">
        <f>SUMIFS(Transaksi!$F$16:$F$5015,Transaksi!$G$16:$G$5015,"Pengeluaran",Transaksi!$B$16:$B$5015,"&gt;="&amp;DATE(Dashboard!$C$4,11,1),Transaksi!$B$16:$B$5015,"&lt;="&amp;EOMONTH(DATE(Dashboard!$C$4,11,1),0),Transaksi!$H$16:$H$5015,"Pengeluaran Uang Kos",Transaksi!$I$16:$I$5015,"Cicilan BRI &amp; pegadaian mama")</f>
        <v/>
      </c>
      <c r="N42" s="106">
        <f>SUMIFS(Transaksi!$F$16:$F$5015,Transaksi!$G$16:$G$5015,"Pengeluaran",Transaksi!$B$16:$B$5015,"&gt;="&amp;DATE(Dashboard!$C$4,12,1),Transaksi!$B$16:$B$5015,"&lt;="&amp;EOMONTH(DATE(Dashboard!$C$4,12,1),0),Transaksi!$H$16:$H$5015,"Pengeluaran Uang Kos",Transaksi!$I$16:$I$5015,"Cicilan BRI &amp; pegadaian mama")</f>
        <v/>
      </c>
      <c r="O42" s="143">
        <f>SUM(C42:N42)</f>
        <v/>
      </c>
    </row>
    <row r="43" ht="15" customHeight="1" s="94">
      <c r="B43" s="105" t="inlineStr">
        <is>
          <t>Diserahkan / disimpan di dompet kos</t>
        </is>
      </c>
      <c r="C43" s="106">
        <f>SUMIFS(Transaksi!$F$16:$F$5015,Transaksi!$G$16:$G$5015,"Pengeluaran",Transaksi!$B$16:$B$5015,"&gt;="&amp;DATE(Dashboard!$C$4,1,1),Transaksi!$B$16:$B$5015,"&lt;="&amp;EOMONTH(DATE(Dashboard!$C$4,1,1),0),Transaksi!$H$16:$H$5015,"Pengeluaran Uang Kos",Transaksi!$I$16:$I$5015,"Diserahkan / disimpan di dompet kos")</f>
        <v/>
      </c>
      <c r="D43" s="106">
        <f>SUMIFS(Transaksi!$F$16:$F$5015,Transaksi!$G$16:$G$5015,"Pengeluaran",Transaksi!$B$16:$B$5015,"&gt;="&amp;DATE(Dashboard!$C$4,2,1),Transaksi!$B$16:$B$5015,"&lt;="&amp;EOMONTH(DATE(Dashboard!$C$4,2,1),0),Transaksi!$H$16:$H$5015,"Pengeluaran Uang Kos",Transaksi!$I$16:$I$5015,"Diserahkan / disimpan di dompet kos")</f>
        <v/>
      </c>
      <c r="E43" s="106">
        <f>SUMIFS(Transaksi!$F$16:$F$5015,Transaksi!$G$16:$G$5015,"Pengeluaran",Transaksi!$B$16:$B$5015,"&gt;="&amp;DATE(Dashboard!$C$4,3,1),Transaksi!$B$16:$B$5015,"&lt;="&amp;EOMONTH(DATE(Dashboard!$C$4,3,1),0),Transaksi!$H$16:$H$5015,"Pengeluaran Uang Kos",Transaksi!$I$16:$I$5015,"Diserahkan / disimpan di dompet kos")</f>
        <v/>
      </c>
      <c r="F43" s="106">
        <f>SUMIFS(Transaksi!$F$16:$F$5015,Transaksi!$G$16:$G$5015,"Pengeluaran",Transaksi!$B$16:$B$5015,"&gt;="&amp;DATE(Dashboard!$C$4,4,1),Transaksi!$B$16:$B$5015,"&lt;="&amp;EOMONTH(DATE(Dashboard!$C$4,4,1),0),Transaksi!$H$16:$H$5015,"Pengeluaran Uang Kos",Transaksi!$I$16:$I$5015,"Diserahkan / disimpan di dompet kos")</f>
        <v/>
      </c>
      <c r="G43" s="106">
        <f>SUMIFS(Transaksi!$F$16:$F$5015,Transaksi!$G$16:$G$5015,"Pengeluaran",Transaksi!$B$16:$B$5015,"&gt;="&amp;DATE(Dashboard!$C$4,5,1),Transaksi!$B$16:$B$5015,"&lt;="&amp;EOMONTH(DATE(Dashboard!$C$4,5,1),0),Transaksi!$H$16:$H$5015,"Pengeluaran Uang Kos",Transaksi!$I$16:$I$5015,"Diserahkan / disimpan di dompet kos")</f>
        <v/>
      </c>
      <c r="H43" s="106">
        <f>SUMIFS(Transaksi!$F$16:$F$5015,Transaksi!$G$16:$G$5015,"Pengeluaran",Transaksi!$B$16:$B$5015,"&gt;="&amp;DATE(Dashboard!$C$4,6,1),Transaksi!$B$16:$B$5015,"&lt;="&amp;EOMONTH(DATE(Dashboard!$C$4,6,1),0),Transaksi!$H$16:$H$5015,"Pengeluaran Uang Kos",Transaksi!$I$16:$I$5015,"Diserahkan / disimpan di dompet kos")</f>
        <v/>
      </c>
      <c r="I43" s="106">
        <f>SUMIFS(Transaksi!$F$16:$F$5015,Transaksi!$G$16:$G$5015,"Pengeluaran",Transaksi!$B$16:$B$5015,"&gt;="&amp;DATE(Dashboard!$C$4,7,1),Transaksi!$B$16:$B$5015,"&lt;="&amp;EOMONTH(DATE(Dashboard!$C$4,7,1),0),Transaksi!$H$16:$H$5015,"Pengeluaran Uang Kos",Transaksi!$I$16:$I$5015,"Diserahkan / disimpan di dompet kos")</f>
        <v/>
      </c>
      <c r="J43" s="106">
        <f>SUMIFS(Transaksi!$F$16:$F$5015,Transaksi!$G$16:$G$5015,"Pengeluaran",Transaksi!$B$16:$B$5015,"&gt;="&amp;DATE(Dashboard!$C$4,8,1),Transaksi!$B$16:$B$5015,"&lt;="&amp;EOMONTH(DATE(Dashboard!$C$4,8,1),0),Transaksi!$H$16:$H$5015,"Pengeluaran Uang Kos",Transaksi!$I$16:$I$5015,"Diserahkan / disimpan di dompet kos")</f>
        <v/>
      </c>
      <c r="K43" s="106">
        <f>SUMIFS(Transaksi!$F$16:$F$5015,Transaksi!$G$16:$G$5015,"Pengeluaran",Transaksi!$B$16:$B$5015,"&gt;="&amp;DATE(Dashboard!$C$4,9,1),Transaksi!$B$16:$B$5015,"&lt;="&amp;EOMONTH(DATE(Dashboard!$C$4,9,1),0),Transaksi!$H$16:$H$5015,"Pengeluaran Uang Kos",Transaksi!$I$16:$I$5015,"Diserahkan / disimpan di dompet kos")</f>
        <v/>
      </c>
      <c r="L43" s="106">
        <f>SUMIFS(Transaksi!$F$16:$F$5015,Transaksi!$G$16:$G$5015,"Pengeluaran",Transaksi!$B$16:$B$5015,"&gt;="&amp;DATE(Dashboard!$C$4,10,1),Transaksi!$B$16:$B$5015,"&lt;="&amp;EOMONTH(DATE(Dashboard!$C$4,10,1),0),Transaksi!$H$16:$H$5015,"Pengeluaran Uang Kos",Transaksi!$I$16:$I$5015,"Diserahkan / disimpan di dompet kos")</f>
        <v/>
      </c>
      <c r="M43" s="106">
        <f>SUMIFS(Transaksi!$F$16:$F$5015,Transaksi!$G$16:$G$5015,"Pengeluaran",Transaksi!$B$16:$B$5015,"&gt;="&amp;DATE(Dashboard!$C$4,11,1),Transaksi!$B$16:$B$5015,"&lt;="&amp;EOMONTH(DATE(Dashboard!$C$4,11,1),0),Transaksi!$H$16:$H$5015,"Pengeluaran Uang Kos",Transaksi!$I$16:$I$5015,"Diserahkan / disimpan di dompet kos")</f>
        <v/>
      </c>
      <c r="N43" s="106">
        <f>SUMIFS(Transaksi!$F$16:$F$5015,Transaksi!$G$16:$G$5015,"Pengeluaran",Transaksi!$B$16:$B$5015,"&gt;="&amp;DATE(Dashboard!$C$4,12,1),Transaksi!$B$16:$B$5015,"&lt;="&amp;EOMONTH(DATE(Dashboard!$C$4,12,1),0),Transaksi!$H$16:$H$5015,"Pengeluaran Uang Kos",Transaksi!$I$16:$I$5015,"Diserahkan / disimpan di dompet kos")</f>
        <v/>
      </c>
      <c r="O43" s="143">
        <f>SUM(C43:N43)</f>
        <v/>
      </c>
    </row>
    <row r="44" ht="15" customHeight="1" s="94">
      <c r="B44" s="105" t="inlineStr">
        <is>
          <t>Kebutuhan &amp; perbaikan kosan</t>
        </is>
      </c>
      <c r="C44" s="106">
        <f>SUMIFS(Transaksi!$F$16:$F$5015,Transaksi!$G$16:$G$5015,"Pengeluaran",Transaksi!$B$16:$B$5015,"&gt;="&amp;DATE(Dashboard!$C$4,1,1),Transaksi!$B$16:$B$5015,"&lt;="&amp;EOMONTH(DATE(Dashboard!$C$4,1,1),0),Transaksi!$H$16:$H$5015,"Pengeluaran Uang Kos",Transaksi!$I$16:$I$5015,"Kebutuhan &amp; perbaikan kosan")</f>
        <v/>
      </c>
      <c r="D44" s="106">
        <f>SUMIFS(Transaksi!$F$16:$F$5015,Transaksi!$G$16:$G$5015,"Pengeluaran",Transaksi!$B$16:$B$5015,"&gt;="&amp;DATE(Dashboard!$C$4,2,1),Transaksi!$B$16:$B$5015,"&lt;="&amp;EOMONTH(DATE(Dashboard!$C$4,2,1),0),Transaksi!$H$16:$H$5015,"Pengeluaran Uang Kos",Transaksi!$I$16:$I$5015,"Kebutuhan &amp; perbaikan kosan")</f>
        <v/>
      </c>
      <c r="E44" s="106">
        <f>SUMIFS(Transaksi!$F$16:$F$5015,Transaksi!$G$16:$G$5015,"Pengeluaran",Transaksi!$B$16:$B$5015,"&gt;="&amp;DATE(Dashboard!$C$4,3,1),Transaksi!$B$16:$B$5015,"&lt;="&amp;EOMONTH(DATE(Dashboard!$C$4,3,1),0),Transaksi!$H$16:$H$5015,"Pengeluaran Uang Kos",Transaksi!$I$16:$I$5015,"Kebutuhan &amp; perbaikan kosan")</f>
        <v/>
      </c>
      <c r="F44" s="106">
        <f>SUMIFS(Transaksi!$F$16:$F$5015,Transaksi!$G$16:$G$5015,"Pengeluaran",Transaksi!$B$16:$B$5015,"&gt;="&amp;DATE(Dashboard!$C$4,4,1),Transaksi!$B$16:$B$5015,"&lt;="&amp;EOMONTH(DATE(Dashboard!$C$4,4,1),0),Transaksi!$H$16:$H$5015,"Pengeluaran Uang Kos",Transaksi!$I$16:$I$5015,"Kebutuhan &amp; perbaikan kosan")</f>
        <v/>
      </c>
      <c r="G44" s="106">
        <f>SUMIFS(Transaksi!$F$16:$F$5015,Transaksi!$G$16:$G$5015,"Pengeluaran",Transaksi!$B$16:$B$5015,"&gt;="&amp;DATE(Dashboard!$C$4,5,1),Transaksi!$B$16:$B$5015,"&lt;="&amp;EOMONTH(DATE(Dashboard!$C$4,5,1),0),Transaksi!$H$16:$H$5015,"Pengeluaran Uang Kos",Transaksi!$I$16:$I$5015,"Kebutuhan &amp; perbaikan kosan")</f>
        <v/>
      </c>
      <c r="H44" s="106">
        <f>SUMIFS(Transaksi!$F$16:$F$5015,Transaksi!$G$16:$G$5015,"Pengeluaran",Transaksi!$B$16:$B$5015,"&gt;="&amp;DATE(Dashboard!$C$4,6,1),Transaksi!$B$16:$B$5015,"&lt;="&amp;EOMONTH(DATE(Dashboard!$C$4,6,1),0),Transaksi!$H$16:$H$5015,"Pengeluaran Uang Kos",Transaksi!$I$16:$I$5015,"Kebutuhan &amp; perbaikan kosan")</f>
        <v/>
      </c>
      <c r="I44" s="106">
        <f>SUMIFS(Transaksi!$F$16:$F$5015,Transaksi!$G$16:$G$5015,"Pengeluaran",Transaksi!$B$16:$B$5015,"&gt;="&amp;DATE(Dashboard!$C$4,7,1),Transaksi!$B$16:$B$5015,"&lt;="&amp;EOMONTH(DATE(Dashboard!$C$4,7,1),0),Transaksi!$H$16:$H$5015,"Pengeluaran Uang Kos",Transaksi!$I$16:$I$5015,"Kebutuhan &amp; perbaikan kosan")</f>
        <v/>
      </c>
      <c r="J44" s="106">
        <f>SUMIFS(Transaksi!$F$16:$F$5015,Transaksi!$G$16:$G$5015,"Pengeluaran",Transaksi!$B$16:$B$5015,"&gt;="&amp;DATE(Dashboard!$C$4,8,1),Transaksi!$B$16:$B$5015,"&lt;="&amp;EOMONTH(DATE(Dashboard!$C$4,8,1),0),Transaksi!$H$16:$H$5015,"Pengeluaran Uang Kos",Transaksi!$I$16:$I$5015,"Kebutuhan &amp; perbaikan kosan")</f>
        <v/>
      </c>
      <c r="K44" s="106">
        <f>SUMIFS(Transaksi!$F$16:$F$5015,Transaksi!$G$16:$G$5015,"Pengeluaran",Transaksi!$B$16:$B$5015,"&gt;="&amp;DATE(Dashboard!$C$4,9,1),Transaksi!$B$16:$B$5015,"&lt;="&amp;EOMONTH(DATE(Dashboard!$C$4,9,1),0),Transaksi!$H$16:$H$5015,"Pengeluaran Uang Kos",Transaksi!$I$16:$I$5015,"Kebutuhan &amp; perbaikan kosan")</f>
        <v/>
      </c>
      <c r="L44" s="106">
        <f>SUMIFS(Transaksi!$F$16:$F$5015,Transaksi!$G$16:$G$5015,"Pengeluaran",Transaksi!$B$16:$B$5015,"&gt;="&amp;DATE(Dashboard!$C$4,10,1),Transaksi!$B$16:$B$5015,"&lt;="&amp;EOMONTH(DATE(Dashboard!$C$4,10,1),0),Transaksi!$H$16:$H$5015,"Pengeluaran Uang Kos",Transaksi!$I$16:$I$5015,"Kebutuhan &amp; perbaikan kosan")</f>
        <v/>
      </c>
      <c r="M44" s="106">
        <f>SUMIFS(Transaksi!$F$16:$F$5015,Transaksi!$G$16:$G$5015,"Pengeluaran",Transaksi!$B$16:$B$5015,"&gt;="&amp;DATE(Dashboard!$C$4,11,1),Transaksi!$B$16:$B$5015,"&lt;="&amp;EOMONTH(DATE(Dashboard!$C$4,11,1),0),Transaksi!$H$16:$H$5015,"Pengeluaran Uang Kos",Transaksi!$I$16:$I$5015,"Kebutuhan &amp; perbaikan kosan")</f>
        <v/>
      </c>
      <c r="N44" s="106">
        <f>SUMIFS(Transaksi!$F$16:$F$5015,Transaksi!$G$16:$G$5015,"Pengeluaran",Transaksi!$B$16:$B$5015,"&gt;="&amp;DATE(Dashboard!$C$4,12,1),Transaksi!$B$16:$B$5015,"&lt;="&amp;EOMONTH(DATE(Dashboard!$C$4,12,1),0),Transaksi!$H$16:$H$5015,"Pengeluaran Uang Kos",Transaksi!$I$16:$I$5015,"Kebutuhan &amp; perbaikan kosan")</f>
        <v/>
      </c>
      <c r="O44" s="143">
        <f>SUM(C44:N44)</f>
        <v/>
      </c>
    </row>
    <row r="45" ht="15" customHeight="1" s="94">
      <c r="B45" s="105" t="inlineStr">
        <is>
          <t>Listrik kos</t>
        </is>
      </c>
      <c r="C45" s="106">
        <f>SUMIFS(Transaksi!$F$16:$F$5015,Transaksi!$G$16:$G$5015,"Pengeluaran",Transaksi!$B$16:$B$5015,"&gt;="&amp;DATE(Dashboard!$C$4,1,1),Transaksi!$B$16:$B$5015,"&lt;="&amp;EOMONTH(DATE(Dashboard!$C$4,1,1),0),Transaksi!$H$16:$H$5015,"Pengeluaran Uang Kos",Transaksi!$I$16:$I$5015,"Listrik kos")</f>
        <v/>
      </c>
      <c r="D45" s="106">
        <f>SUMIFS(Transaksi!$F$16:$F$5015,Transaksi!$G$16:$G$5015,"Pengeluaran",Transaksi!$B$16:$B$5015,"&gt;="&amp;DATE(Dashboard!$C$4,2,1),Transaksi!$B$16:$B$5015,"&lt;="&amp;EOMONTH(DATE(Dashboard!$C$4,2,1),0),Transaksi!$H$16:$H$5015,"Pengeluaran Uang Kos",Transaksi!$I$16:$I$5015,"Listrik kos")</f>
        <v/>
      </c>
      <c r="E45" s="106">
        <f>SUMIFS(Transaksi!$F$16:$F$5015,Transaksi!$G$16:$G$5015,"Pengeluaran",Transaksi!$B$16:$B$5015,"&gt;="&amp;DATE(Dashboard!$C$4,3,1),Transaksi!$B$16:$B$5015,"&lt;="&amp;EOMONTH(DATE(Dashboard!$C$4,3,1),0),Transaksi!$H$16:$H$5015,"Pengeluaran Uang Kos",Transaksi!$I$16:$I$5015,"Listrik kos")</f>
        <v/>
      </c>
      <c r="F45" s="106">
        <f>SUMIFS(Transaksi!$F$16:$F$5015,Transaksi!$G$16:$G$5015,"Pengeluaran",Transaksi!$B$16:$B$5015,"&gt;="&amp;DATE(Dashboard!$C$4,4,1),Transaksi!$B$16:$B$5015,"&lt;="&amp;EOMONTH(DATE(Dashboard!$C$4,4,1),0),Transaksi!$H$16:$H$5015,"Pengeluaran Uang Kos",Transaksi!$I$16:$I$5015,"Listrik kos")</f>
        <v/>
      </c>
      <c r="G45" s="106">
        <f>SUMIFS(Transaksi!$F$16:$F$5015,Transaksi!$G$16:$G$5015,"Pengeluaran",Transaksi!$B$16:$B$5015,"&gt;="&amp;DATE(Dashboard!$C$4,5,1),Transaksi!$B$16:$B$5015,"&lt;="&amp;EOMONTH(DATE(Dashboard!$C$4,5,1),0),Transaksi!$H$16:$H$5015,"Pengeluaran Uang Kos",Transaksi!$I$16:$I$5015,"Listrik kos")</f>
        <v/>
      </c>
      <c r="H45" s="106">
        <f>SUMIFS(Transaksi!$F$16:$F$5015,Transaksi!$G$16:$G$5015,"Pengeluaran",Transaksi!$B$16:$B$5015,"&gt;="&amp;DATE(Dashboard!$C$4,6,1),Transaksi!$B$16:$B$5015,"&lt;="&amp;EOMONTH(DATE(Dashboard!$C$4,6,1),0),Transaksi!$H$16:$H$5015,"Pengeluaran Uang Kos",Transaksi!$I$16:$I$5015,"Listrik kos")</f>
        <v/>
      </c>
      <c r="I45" s="106">
        <f>SUMIFS(Transaksi!$F$16:$F$5015,Transaksi!$G$16:$G$5015,"Pengeluaran",Transaksi!$B$16:$B$5015,"&gt;="&amp;DATE(Dashboard!$C$4,7,1),Transaksi!$B$16:$B$5015,"&lt;="&amp;EOMONTH(DATE(Dashboard!$C$4,7,1),0),Transaksi!$H$16:$H$5015,"Pengeluaran Uang Kos",Transaksi!$I$16:$I$5015,"Listrik kos")</f>
        <v/>
      </c>
      <c r="J45" s="106">
        <f>SUMIFS(Transaksi!$F$16:$F$5015,Transaksi!$G$16:$G$5015,"Pengeluaran",Transaksi!$B$16:$B$5015,"&gt;="&amp;DATE(Dashboard!$C$4,8,1),Transaksi!$B$16:$B$5015,"&lt;="&amp;EOMONTH(DATE(Dashboard!$C$4,8,1),0),Transaksi!$H$16:$H$5015,"Pengeluaran Uang Kos",Transaksi!$I$16:$I$5015,"Listrik kos")</f>
        <v/>
      </c>
      <c r="K45" s="106">
        <f>SUMIFS(Transaksi!$F$16:$F$5015,Transaksi!$G$16:$G$5015,"Pengeluaran",Transaksi!$B$16:$B$5015,"&gt;="&amp;DATE(Dashboard!$C$4,9,1),Transaksi!$B$16:$B$5015,"&lt;="&amp;EOMONTH(DATE(Dashboard!$C$4,9,1),0),Transaksi!$H$16:$H$5015,"Pengeluaran Uang Kos",Transaksi!$I$16:$I$5015,"Listrik kos")</f>
        <v/>
      </c>
      <c r="L45" s="106">
        <f>SUMIFS(Transaksi!$F$16:$F$5015,Transaksi!$G$16:$G$5015,"Pengeluaran",Transaksi!$B$16:$B$5015,"&gt;="&amp;DATE(Dashboard!$C$4,10,1),Transaksi!$B$16:$B$5015,"&lt;="&amp;EOMONTH(DATE(Dashboard!$C$4,10,1),0),Transaksi!$H$16:$H$5015,"Pengeluaran Uang Kos",Transaksi!$I$16:$I$5015,"Listrik kos")</f>
        <v/>
      </c>
      <c r="M45" s="106">
        <f>SUMIFS(Transaksi!$F$16:$F$5015,Transaksi!$G$16:$G$5015,"Pengeluaran",Transaksi!$B$16:$B$5015,"&gt;="&amp;DATE(Dashboard!$C$4,11,1),Transaksi!$B$16:$B$5015,"&lt;="&amp;EOMONTH(DATE(Dashboard!$C$4,11,1),0),Transaksi!$H$16:$H$5015,"Pengeluaran Uang Kos",Transaksi!$I$16:$I$5015,"Listrik kos")</f>
        <v/>
      </c>
      <c r="N45" s="106">
        <f>SUMIFS(Transaksi!$F$16:$F$5015,Transaksi!$G$16:$G$5015,"Pengeluaran",Transaksi!$B$16:$B$5015,"&gt;="&amp;DATE(Dashboard!$C$4,12,1),Transaksi!$B$16:$B$5015,"&lt;="&amp;EOMONTH(DATE(Dashboard!$C$4,12,1),0),Transaksi!$H$16:$H$5015,"Pengeluaran Uang Kos",Transaksi!$I$16:$I$5015,"Listrik kos")</f>
        <v/>
      </c>
      <c r="O45" s="143">
        <f>SUM(C45:N45)</f>
        <v/>
      </c>
    </row>
    <row r="46" ht="15" customHeight="1" s="94">
      <c r="B46" s="105" t="inlineStr">
        <is>
          <t>Pengeluaran kos lain-lain + pinjam dari uang riba</t>
        </is>
      </c>
      <c r="C46" s="106">
        <f>SUMIFS(Transaksi!$F$16:$F$5015,Transaksi!$G$16:$G$5015,"Pengeluaran",Transaksi!$B$16:$B$5015,"&gt;="&amp;DATE(Dashboard!$C$4,1,1),Transaksi!$B$16:$B$5015,"&lt;="&amp;EOMONTH(DATE(Dashboard!$C$4,1,1),0),Transaksi!$H$16:$H$5015,"Pengeluaran Uang Kos",Transaksi!$I$16:$I$5015,"Pengeluaran kos lain-lain")+SUMIFS(Transaksi!$F$16:$F$5015,Transaksi!$G$16:$G$5015,"Pengeluaran",Transaksi!$B$16:$B$5015,"&gt;="&amp;DATE(Dashboard!$C$4,1,1),Transaksi!$B$16:$B$5015,"&lt;="&amp;EOMONTH(DATE(Dashboard!$C$4,1,1),0),Transaksi!$H$16:$H$5015,"Pengeluaran Uang Kos",Transaksi!$I$16:$I$5015,"Pinjam dari uang riba")</f>
        <v/>
      </c>
      <c r="D46" s="106">
        <f>SUMIFS(Transaksi!$F$16:$F$5015,Transaksi!$G$16:$G$5015,"Pengeluaran",Transaksi!$B$16:$B$5015,"&gt;="&amp;DATE(Dashboard!$C$4,2,1),Transaksi!$B$16:$B$5015,"&lt;="&amp;EOMONTH(DATE(Dashboard!$C$4,2,1),0),Transaksi!$H$16:$H$5015,"Pengeluaran Uang Kos",Transaksi!$I$16:$I$5015,"Pengeluaran kos lain-lain")+SUMIFS(Transaksi!$F$16:$F$5015,Transaksi!$G$16:$G$5015,"Pengeluaran",Transaksi!$B$16:$B$5015,"&gt;="&amp;DATE(Dashboard!$C$4,2,1),Transaksi!$B$16:$B$5015,"&lt;="&amp;EOMONTH(DATE(Dashboard!$C$4,2,1),0),Transaksi!$H$16:$H$5015,"Pengeluaran Uang Kos",Transaksi!$I$16:$I$5015,"Pinjam dari uang riba")</f>
        <v/>
      </c>
      <c r="E46" s="106">
        <f>SUMIFS(Transaksi!$F$16:$F$5015,Transaksi!$G$16:$G$5015,"Pengeluaran",Transaksi!$B$16:$B$5015,"&gt;="&amp;DATE(Dashboard!$C$4,3,1),Transaksi!$B$16:$B$5015,"&lt;="&amp;EOMONTH(DATE(Dashboard!$C$4,3,1),0),Transaksi!$H$16:$H$5015,"Pengeluaran Uang Kos",Transaksi!$I$16:$I$5015,"Pengeluaran kos lain-lain")+SUMIFS(Transaksi!$F$16:$F$5015,Transaksi!$G$16:$G$5015,"Pengeluaran",Transaksi!$B$16:$B$5015,"&gt;="&amp;DATE(Dashboard!$C$4,3,1),Transaksi!$B$16:$B$5015,"&lt;="&amp;EOMONTH(DATE(Dashboard!$C$4,3,1),0),Transaksi!$H$16:$H$5015,"Pengeluaran Uang Kos",Transaksi!$I$16:$I$5015,"Pinjam dari uang riba")</f>
        <v/>
      </c>
      <c r="F46" s="106">
        <f>SUMIFS(Transaksi!$F$16:$F$5015,Transaksi!$G$16:$G$5015,"Pengeluaran",Transaksi!$B$16:$B$5015,"&gt;="&amp;DATE(Dashboard!$C$4,4,1),Transaksi!$B$16:$B$5015,"&lt;="&amp;EOMONTH(DATE(Dashboard!$C$4,4,1),0),Transaksi!$H$16:$H$5015,"Pengeluaran Uang Kos",Transaksi!$I$16:$I$5015,"Pengeluaran kos lain-lain")+SUMIFS(Transaksi!$F$16:$F$5015,Transaksi!$G$16:$G$5015,"Pengeluaran",Transaksi!$B$16:$B$5015,"&gt;="&amp;DATE(Dashboard!$C$4,4,1),Transaksi!$B$16:$B$5015,"&lt;="&amp;EOMONTH(DATE(Dashboard!$C$4,4,1),0),Transaksi!$H$16:$H$5015,"Pengeluaran Uang Kos",Transaksi!$I$16:$I$5015,"Pinjam dari uang riba")</f>
        <v/>
      </c>
      <c r="G46" s="106">
        <f>SUMIFS(Transaksi!$F$16:$F$5015,Transaksi!$G$16:$G$5015,"Pengeluaran",Transaksi!$B$16:$B$5015,"&gt;="&amp;DATE(Dashboard!$C$4,5,1),Transaksi!$B$16:$B$5015,"&lt;="&amp;EOMONTH(DATE(Dashboard!$C$4,5,1),0),Transaksi!$H$16:$H$5015,"Pengeluaran Uang Kos",Transaksi!$I$16:$I$5015,"Pengeluaran kos lain-lain")+SUMIFS(Transaksi!$F$16:$F$5015,Transaksi!$G$16:$G$5015,"Pengeluaran",Transaksi!$B$16:$B$5015,"&gt;="&amp;DATE(Dashboard!$C$4,5,1),Transaksi!$B$16:$B$5015,"&lt;="&amp;EOMONTH(DATE(Dashboard!$C$4,5,1),0),Transaksi!$H$16:$H$5015,"Pengeluaran Uang Kos",Transaksi!$I$16:$I$5015,"Pinjam dari uang riba")</f>
        <v/>
      </c>
      <c r="H46" s="106">
        <f>SUMIFS(Transaksi!$F$16:$F$5015,Transaksi!$G$16:$G$5015,"Pengeluaran",Transaksi!$B$16:$B$5015,"&gt;="&amp;DATE(Dashboard!$C$4,6,1),Transaksi!$B$16:$B$5015,"&lt;="&amp;EOMONTH(DATE(Dashboard!$C$4,6,1),0),Transaksi!$H$16:$H$5015,"Pengeluaran Uang Kos",Transaksi!$I$16:$I$5015,"Pengeluaran kos lain-lain")+SUMIFS(Transaksi!$F$16:$F$5015,Transaksi!$G$16:$G$5015,"Pengeluaran",Transaksi!$B$16:$B$5015,"&gt;="&amp;DATE(Dashboard!$C$4,6,1),Transaksi!$B$16:$B$5015,"&lt;="&amp;EOMONTH(DATE(Dashboard!$C$4,6,1),0),Transaksi!$H$16:$H$5015,"Pengeluaran Uang Kos",Transaksi!$I$16:$I$5015,"Pinjam dari uang riba")</f>
        <v/>
      </c>
      <c r="I46" s="106">
        <f>SUMIFS(Transaksi!$F$16:$F$5015,Transaksi!$G$16:$G$5015,"Pengeluaran",Transaksi!$B$16:$B$5015,"&gt;="&amp;DATE(Dashboard!$C$4,7,1),Transaksi!$B$16:$B$5015,"&lt;="&amp;EOMONTH(DATE(Dashboard!$C$4,7,1),0),Transaksi!$H$16:$H$5015,"Pengeluaran Uang Kos",Transaksi!$I$16:$I$5015,"Pengeluaran kos lain-lain")+SUMIFS(Transaksi!$F$16:$F$5015,Transaksi!$G$16:$G$5015,"Pengeluaran",Transaksi!$B$16:$B$5015,"&gt;="&amp;DATE(Dashboard!$C$4,7,1),Transaksi!$B$16:$B$5015,"&lt;="&amp;EOMONTH(DATE(Dashboard!$C$4,7,1),0),Transaksi!$H$16:$H$5015,"Pengeluaran Uang Kos",Transaksi!$I$16:$I$5015,"Pinjam dari uang riba")</f>
        <v/>
      </c>
      <c r="J46" s="106">
        <f>SUMIFS(Transaksi!$F$16:$F$5015,Transaksi!$G$16:$G$5015,"Pengeluaran",Transaksi!$B$16:$B$5015,"&gt;="&amp;DATE(Dashboard!$C$4,8,1),Transaksi!$B$16:$B$5015,"&lt;="&amp;EOMONTH(DATE(Dashboard!$C$4,8,1),0),Transaksi!$H$16:$H$5015,"Pengeluaran Uang Kos",Transaksi!$I$16:$I$5015,"Pengeluaran kos lain-lain")+SUMIFS(Transaksi!$F$16:$F$5015,Transaksi!$G$16:$G$5015,"Pengeluaran",Transaksi!$B$16:$B$5015,"&gt;="&amp;DATE(Dashboard!$C$4,8,1),Transaksi!$B$16:$B$5015,"&lt;="&amp;EOMONTH(DATE(Dashboard!$C$4,8,1),0),Transaksi!$H$16:$H$5015,"Pengeluaran Uang Kos",Transaksi!$I$16:$I$5015,"Pinjam dari uang riba")</f>
        <v/>
      </c>
      <c r="K46" s="106">
        <f>SUMIFS(Transaksi!$F$16:$F$5015,Transaksi!$G$16:$G$5015,"Pengeluaran",Transaksi!$B$16:$B$5015,"&gt;="&amp;DATE(Dashboard!$C$4,9,1),Transaksi!$B$16:$B$5015,"&lt;="&amp;EOMONTH(DATE(Dashboard!$C$4,9,1),0),Transaksi!$H$16:$H$5015,"Pengeluaran Uang Kos",Transaksi!$I$16:$I$5015,"Pengeluaran kos lain-lain")+SUMIFS(Transaksi!$F$16:$F$5015,Transaksi!$G$16:$G$5015,"Pengeluaran",Transaksi!$B$16:$B$5015,"&gt;="&amp;DATE(Dashboard!$C$4,9,1),Transaksi!$B$16:$B$5015,"&lt;="&amp;EOMONTH(DATE(Dashboard!$C$4,9,1),0),Transaksi!$H$16:$H$5015,"Pengeluaran Uang Kos",Transaksi!$I$16:$I$5015,"Pinjam dari uang riba")</f>
        <v/>
      </c>
      <c r="L46" s="106">
        <f>SUMIFS(Transaksi!$F$16:$F$5015,Transaksi!$G$16:$G$5015,"Pengeluaran",Transaksi!$B$16:$B$5015,"&gt;="&amp;DATE(Dashboard!$C$4,10,1),Transaksi!$B$16:$B$5015,"&lt;="&amp;EOMONTH(DATE(Dashboard!$C$4,10,1),0),Transaksi!$H$16:$H$5015,"Pengeluaran Uang Kos",Transaksi!$I$16:$I$5015,"Pengeluaran kos lain-lain")+SUMIFS(Transaksi!$F$16:$F$5015,Transaksi!$G$16:$G$5015,"Pengeluaran",Transaksi!$B$16:$B$5015,"&gt;="&amp;DATE(Dashboard!$C$4,10,1),Transaksi!$B$16:$B$5015,"&lt;="&amp;EOMONTH(DATE(Dashboard!$C$4,10,1),0),Transaksi!$H$16:$H$5015,"Pengeluaran Uang Kos",Transaksi!$I$16:$I$5015,"Pinjam dari uang riba")</f>
        <v/>
      </c>
      <c r="M46" s="106">
        <f>SUMIFS(Transaksi!$F$16:$F$5015,Transaksi!$G$16:$G$5015,"Pengeluaran",Transaksi!$B$16:$B$5015,"&gt;="&amp;DATE(Dashboard!$C$4,11,1),Transaksi!$B$16:$B$5015,"&lt;="&amp;EOMONTH(DATE(Dashboard!$C$4,11,1),0),Transaksi!$H$16:$H$5015,"Pengeluaran Uang Kos",Transaksi!$I$16:$I$5015,"Pengeluaran kos lain-lain")+SUMIFS(Transaksi!$F$16:$F$5015,Transaksi!$G$16:$G$5015,"Pengeluaran",Transaksi!$B$16:$B$5015,"&gt;="&amp;DATE(Dashboard!$C$4,11,1),Transaksi!$B$16:$B$5015,"&lt;="&amp;EOMONTH(DATE(Dashboard!$C$4,11,1),0),Transaksi!$H$16:$H$5015,"Pengeluaran Uang Kos",Transaksi!$I$16:$I$5015,"Pinjam dari uang riba")</f>
        <v/>
      </c>
      <c r="N46" s="106">
        <f>SUMIFS(Transaksi!$F$16:$F$5015,Transaksi!$G$16:$G$5015,"Pengeluaran",Transaksi!$B$16:$B$5015,"&gt;="&amp;DATE(Dashboard!$C$4,12,1),Transaksi!$B$16:$B$5015,"&lt;="&amp;EOMONTH(DATE(Dashboard!$C$4,12,1),0),Transaksi!$H$16:$H$5015,"Pengeluaran Uang Kos",Transaksi!$I$16:$I$5015,"Pengeluaran kos lain-lain")+SUMIFS(Transaksi!$F$16:$F$5015,Transaksi!$G$16:$G$5015,"Pengeluaran",Transaksi!$B$16:$B$5015,"&gt;="&amp;DATE(Dashboard!$C$4,12,1),Transaksi!$B$16:$B$5015,"&lt;="&amp;EOMONTH(DATE(Dashboard!$C$4,12,1),0),Transaksi!$H$16:$H$5015,"Pengeluaran Uang Kos",Transaksi!$I$16:$I$5015,"Pinjam dari uang riba")</f>
        <v/>
      </c>
      <c r="O46" s="143">
        <f>SUM(C46:N46)</f>
        <v/>
      </c>
    </row>
    <row r="47" ht="15" customHeight="1" s="94">
      <c r="B47" s="105" t="inlineStr">
        <is>
          <t>Uang Masak / Dapur</t>
        </is>
      </c>
      <c r="C47" s="106">
        <f>SUMIFS(Transaksi!$F$16:$F$5015,Transaksi!$G$16:$G$5015,"Pengeluaran",Transaksi!$B$16:$B$5015,"&gt;="&amp;DATE(Dashboard!$C$4,1,1),Transaksi!$B$16:$B$5015,"&lt;="&amp;EOMONTH(DATE(Dashboard!$C$4,1,1),0),Transaksi!$H$16:$H$5015,"Pengeluaran Uang Kos",Transaksi!$I$16:$I$5015,"Uang Masak / Dapur")</f>
        <v/>
      </c>
      <c r="D47" s="106">
        <f>SUMIFS(Transaksi!$F$16:$F$5015,Transaksi!$G$16:$G$5015,"Pengeluaran",Transaksi!$B$16:$B$5015,"&gt;="&amp;DATE(Dashboard!$C$4,2,1),Transaksi!$B$16:$B$5015,"&lt;="&amp;EOMONTH(DATE(Dashboard!$C$4,2,1),0),Transaksi!$H$16:$H$5015,"Pengeluaran Uang Kos",Transaksi!$I$16:$I$5015,"Uang Masak / Dapur")</f>
        <v/>
      </c>
      <c r="E47" s="106">
        <f>SUMIFS(Transaksi!$F$16:$F$5015,Transaksi!$G$16:$G$5015,"Pengeluaran",Transaksi!$B$16:$B$5015,"&gt;="&amp;DATE(Dashboard!$C$4,3,1),Transaksi!$B$16:$B$5015,"&lt;="&amp;EOMONTH(DATE(Dashboard!$C$4,3,1),0),Transaksi!$H$16:$H$5015,"Pengeluaran Uang Kos",Transaksi!$I$16:$I$5015,"Uang Masak / Dapur")</f>
        <v/>
      </c>
      <c r="F47" s="106">
        <f>SUMIFS(Transaksi!$F$16:$F$5015,Transaksi!$G$16:$G$5015,"Pengeluaran",Transaksi!$B$16:$B$5015,"&gt;="&amp;DATE(Dashboard!$C$4,4,1),Transaksi!$B$16:$B$5015,"&lt;="&amp;EOMONTH(DATE(Dashboard!$C$4,4,1),0),Transaksi!$H$16:$H$5015,"Pengeluaran Uang Kos",Transaksi!$I$16:$I$5015,"Uang Masak / Dapur")</f>
        <v/>
      </c>
      <c r="G47" s="106">
        <f>SUMIFS(Transaksi!$F$16:$F$5015,Transaksi!$G$16:$G$5015,"Pengeluaran",Transaksi!$B$16:$B$5015,"&gt;="&amp;DATE(Dashboard!$C$4,5,1),Transaksi!$B$16:$B$5015,"&lt;="&amp;EOMONTH(DATE(Dashboard!$C$4,5,1),0),Transaksi!$H$16:$H$5015,"Pengeluaran Uang Kos",Transaksi!$I$16:$I$5015,"Uang Masak / Dapur")</f>
        <v/>
      </c>
      <c r="H47" s="106">
        <f>SUMIFS(Transaksi!$F$16:$F$5015,Transaksi!$G$16:$G$5015,"Pengeluaran",Transaksi!$B$16:$B$5015,"&gt;="&amp;DATE(Dashboard!$C$4,6,1),Transaksi!$B$16:$B$5015,"&lt;="&amp;EOMONTH(DATE(Dashboard!$C$4,6,1),0),Transaksi!$H$16:$H$5015,"Pengeluaran Uang Kos",Transaksi!$I$16:$I$5015,"Uang Masak / Dapur")</f>
        <v/>
      </c>
      <c r="I47" s="106">
        <f>SUMIFS(Transaksi!$F$16:$F$5015,Transaksi!$G$16:$G$5015,"Pengeluaran",Transaksi!$B$16:$B$5015,"&gt;="&amp;DATE(Dashboard!$C$4,7,1),Transaksi!$B$16:$B$5015,"&lt;="&amp;EOMONTH(DATE(Dashboard!$C$4,7,1),0),Transaksi!$H$16:$H$5015,"Pengeluaran Uang Kos",Transaksi!$I$16:$I$5015,"Uang Masak / Dapur")</f>
        <v/>
      </c>
      <c r="J47" s="106">
        <f>SUMIFS(Transaksi!$F$16:$F$5015,Transaksi!$G$16:$G$5015,"Pengeluaran",Transaksi!$B$16:$B$5015,"&gt;="&amp;DATE(Dashboard!$C$4,8,1),Transaksi!$B$16:$B$5015,"&lt;="&amp;EOMONTH(DATE(Dashboard!$C$4,8,1),0),Transaksi!$H$16:$H$5015,"Pengeluaran Uang Kos",Transaksi!$I$16:$I$5015,"Uang Masak / Dapur")</f>
        <v/>
      </c>
      <c r="K47" s="106">
        <f>SUMIFS(Transaksi!$F$16:$F$5015,Transaksi!$G$16:$G$5015,"Pengeluaran",Transaksi!$B$16:$B$5015,"&gt;="&amp;DATE(Dashboard!$C$4,9,1),Transaksi!$B$16:$B$5015,"&lt;="&amp;EOMONTH(DATE(Dashboard!$C$4,9,1),0),Transaksi!$H$16:$H$5015,"Pengeluaran Uang Kos",Transaksi!$I$16:$I$5015,"Uang Masak / Dapur")</f>
        <v/>
      </c>
      <c r="L47" s="106">
        <f>SUMIFS(Transaksi!$F$16:$F$5015,Transaksi!$G$16:$G$5015,"Pengeluaran",Transaksi!$B$16:$B$5015,"&gt;="&amp;DATE(Dashboard!$C$4,10,1),Transaksi!$B$16:$B$5015,"&lt;="&amp;EOMONTH(DATE(Dashboard!$C$4,10,1),0),Transaksi!$H$16:$H$5015,"Pengeluaran Uang Kos",Transaksi!$I$16:$I$5015,"Uang Masak / Dapur")</f>
        <v/>
      </c>
      <c r="M47" s="106">
        <f>SUMIFS(Transaksi!$F$16:$F$5015,Transaksi!$G$16:$G$5015,"Pengeluaran",Transaksi!$B$16:$B$5015,"&gt;="&amp;DATE(Dashboard!$C$4,11,1),Transaksi!$B$16:$B$5015,"&lt;="&amp;EOMONTH(DATE(Dashboard!$C$4,11,1),0),Transaksi!$H$16:$H$5015,"Pengeluaran Uang Kos",Transaksi!$I$16:$I$5015,"Uang Masak / Dapur")</f>
        <v/>
      </c>
      <c r="N47" s="106">
        <f>SUMIFS(Transaksi!$F$16:$F$5015,Transaksi!$G$16:$G$5015,"Pengeluaran",Transaksi!$B$16:$B$5015,"&gt;="&amp;DATE(Dashboard!$C$4,12,1),Transaksi!$B$16:$B$5015,"&lt;="&amp;EOMONTH(DATE(Dashboard!$C$4,12,1),0),Transaksi!$H$16:$H$5015,"Pengeluaran Uang Kos",Transaksi!$I$16:$I$5015,"Uang Masak / Dapur")</f>
        <v/>
      </c>
      <c r="O47" s="143">
        <f>SUM(C47:N47)</f>
        <v/>
      </c>
    </row>
    <row r="48" ht="15" customHeight="1" s="94">
      <c r="B48" s="105" t="inlineStr">
        <is>
          <t>Disetor ke reksadana uang kos mama</t>
        </is>
      </c>
      <c r="C48" s="106">
        <f>SUMIFS(Transaksi!$F$16:$F$5015,Transaksi!$G$16:$G$5015,"Tabungan",Transaksi!$H$16:$H$5015,"Reksadana uang kos mama",Transaksi!$D$16:$D$5015,"Keluar",Transaksi!$B$16:$B$5015,"&gt;="&amp;DATE(Dashboard!$C$4,1,1),Transaksi!$B$16:$B$5015,"&lt;="&amp;EOMONTH(DATE(Dashboard!$C$4,1,1),0))</f>
        <v/>
      </c>
      <c r="D48" s="106">
        <f>SUMIFS(Transaksi!$F$16:$F$5015,Transaksi!$G$16:$G$5015,"Tabungan",Transaksi!$H$16:$H$5015,"Reksadana uang kos mama",Transaksi!$D$16:$D$5015,"Keluar",Transaksi!$B$16:$B$5015,"&gt;="&amp;DATE(Dashboard!$C$4,2,1),Transaksi!$B$16:$B$5015,"&lt;="&amp;EOMONTH(DATE(Dashboard!$C$4,2,1),0))</f>
        <v/>
      </c>
      <c r="E48" s="106">
        <f>SUMIFS(Transaksi!$F$16:$F$5015,Transaksi!$G$16:$G$5015,"Tabungan",Transaksi!$H$16:$H$5015,"Reksadana uang kos mama",Transaksi!$D$16:$D$5015,"Keluar",Transaksi!$B$16:$B$5015,"&gt;="&amp;DATE(Dashboard!$C$4,3,1),Transaksi!$B$16:$B$5015,"&lt;="&amp;EOMONTH(DATE(Dashboard!$C$4,3,1),0))</f>
        <v/>
      </c>
      <c r="F48" s="106">
        <f>SUMIFS(Transaksi!$F$16:$F$5015,Transaksi!$G$16:$G$5015,"Tabungan",Transaksi!$H$16:$H$5015,"Reksadana uang kos mama",Transaksi!$D$16:$D$5015,"Keluar",Transaksi!$B$16:$B$5015,"&gt;="&amp;DATE(Dashboard!$C$4,4,1),Transaksi!$B$16:$B$5015,"&lt;="&amp;EOMONTH(DATE(Dashboard!$C$4,4,1),0))</f>
        <v/>
      </c>
      <c r="G48" s="106">
        <f>SUMIFS(Transaksi!$F$16:$F$5015,Transaksi!$G$16:$G$5015,"Tabungan",Transaksi!$H$16:$H$5015,"Reksadana uang kos mama",Transaksi!$D$16:$D$5015,"Keluar",Transaksi!$B$16:$B$5015,"&gt;="&amp;DATE(Dashboard!$C$4,5,1),Transaksi!$B$16:$B$5015,"&lt;="&amp;EOMONTH(DATE(Dashboard!$C$4,5,1),0))</f>
        <v/>
      </c>
      <c r="H48" s="106">
        <f>SUMIFS(Transaksi!$F$16:$F$5015,Transaksi!$G$16:$G$5015,"Tabungan",Transaksi!$H$16:$H$5015,"Reksadana uang kos mama",Transaksi!$D$16:$D$5015,"Keluar",Transaksi!$B$16:$B$5015,"&gt;="&amp;DATE(Dashboard!$C$4,6,1),Transaksi!$B$16:$B$5015,"&lt;="&amp;EOMONTH(DATE(Dashboard!$C$4,6,1),0))</f>
        <v/>
      </c>
      <c r="I48" s="106">
        <f>SUMIFS(Transaksi!$F$16:$F$5015,Transaksi!$G$16:$G$5015,"Tabungan",Transaksi!$H$16:$H$5015,"Reksadana uang kos mama",Transaksi!$D$16:$D$5015,"Keluar",Transaksi!$B$16:$B$5015,"&gt;="&amp;DATE(Dashboard!$C$4,7,1),Transaksi!$B$16:$B$5015,"&lt;="&amp;EOMONTH(DATE(Dashboard!$C$4,7,1),0))</f>
        <v/>
      </c>
      <c r="J48" s="106">
        <f>SUMIFS(Transaksi!$F$16:$F$5015,Transaksi!$G$16:$G$5015,"Tabungan",Transaksi!$H$16:$H$5015,"Reksadana uang kos mama",Transaksi!$D$16:$D$5015,"Keluar",Transaksi!$B$16:$B$5015,"&gt;="&amp;DATE(Dashboard!$C$4,8,1),Transaksi!$B$16:$B$5015,"&lt;="&amp;EOMONTH(DATE(Dashboard!$C$4,8,1),0))</f>
        <v/>
      </c>
      <c r="K48" s="106">
        <f>SUMIFS(Transaksi!$F$16:$F$5015,Transaksi!$G$16:$G$5015,"Tabungan",Transaksi!$H$16:$H$5015,"Reksadana uang kos mama",Transaksi!$D$16:$D$5015,"Keluar",Transaksi!$B$16:$B$5015,"&gt;="&amp;DATE(Dashboard!$C$4,9,1),Transaksi!$B$16:$B$5015,"&lt;="&amp;EOMONTH(DATE(Dashboard!$C$4,9,1),0))</f>
        <v/>
      </c>
      <c r="L48" s="106">
        <f>SUMIFS(Transaksi!$F$16:$F$5015,Transaksi!$G$16:$G$5015,"Tabungan",Transaksi!$H$16:$H$5015,"Reksadana uang kos mama",Transaksi!$D$16:$D$5015,"Keluar",Transaksi!$B$16:$B$5015,"&gt;="&amp;DATE(Dashboard!$C$4,10,1),Transaksi!$B$16:$B$5015,"&lt;="&amp;EOMONTH(DATE(Dashboard!$C$4,10,1),0))</f>
        <v/>
      </c>
      <c r="M48" s="106">
        <f>SUMIFS(Transaksi!$F$16:$F$5015,Transaksi!$G$16:$G$5015,"Tabungan",Transaksi!$H$16:$H$5015,"Reksadana uang kos mama",Transaksi!$D$16:$D$5015,"Keluar",Transaksi!$B$16:$B$5015,"&gt;="&amp;DATE(Dashboard!$C$4,11,1),Transaksi!$B$16:$B$5015,"&lt;="&amp;EOMONTH(DATE(Dashboard!$C$4,11,1),0))</f>
        <v/>
      </c>
      <c r="N48" s="106">
        <f>SUMIFS(Transaksi!$F$16:$F$5015,Transaksi!$G$16:$G$5015,"Tabungan",Transaksi!$H$16:$H$5015,"Reksadana uang kos mama",Transaksi!$D$16:$D$5015,"Keluar",Transaksi!$B$16:$B$5015,"&gt;="&amp;DATE(Dashboard!$C$4,12,1),Transaksi!$B$16:$B$5015,"&lt;="&amp;EOMONTH(DATE(Dashboard!$C$4,12,1),0))</f>
        <v/>
      </c>
      <c r="O48" s="143">
        <f>SUM(C48:N48)</f>
        <v/>
      </c>
    </row>
    <row r="49" ht="15" customHeight="1" s="94">
      <c r="B49" s="157" t="inlineStr">
        <is>
          <t>TOTAL UANG KOS KELUAR</t>
        </is>
      </c>
      <c r="C49" s="158">
        <f>SUMIFS(Transaksi!$F$16:$F$5015,Transaksi!$G$16:$G$5015,"Pengeluaran",Transaksi!$B$16:$B$5015,"&gt;="&amp;DATE(Dashboard!$C$4,1,1),Transaksi!$B$16:$B$5015,"&lt;="&amp;EOMONTH(DATE(Dashboard!$C$4,1,1),0),Transaksi!$H$16:$H$5015,"Pengeluaran Uang Kos")+SUMIFS(Transaksi!$F$16:$F$5015,Transaksi!$G$16:$G$5015,"Tabungan",Transaksi!$H$16:$H$5015,"Reksadana uang kos mama",Transaksi!$D$16:$D$5015,"Keluar",Transaksi!$B$16:$B$5015,"&gt;="&amp;DATE(Dashboard!$C$4,1,1),Transaksi!$B$16:$B$5015,"&lt;="&amp;EOMONTH(DATE(Dashboard!$C$4,1,1),0))</f>
        <v/>
      </c>
      <c r="D49" s="158">
        <f>SUMIFS(Transaksi!$F$16:$F$5015,Transaksi!$G$16:$G$5015,"Pengeluaran",Transaksi!$B$16:$B$5015,"&gt;="&amp;DATE(Dashboard!$C$4,2,1),Transaksi!$B$16:$B$5015,"&lt;="&amp;EOMONTH(DATE(Dashboard!$C$4,2,1),0),Transaksi!$H$16:$H$5015,"Pengeluaran Uang Kos")+SUMIFS(Transaksi!$F$16:$F$5015,Transaksi!$G$16:$G$5015,"Tabungan",Transaksi!$H$16:$H$5015,"Reksadana uang kos mama",Transaksi!$D$16:$D$5015,"Keluar",Transaksi!$B$16:$B$5015,"&gt;="&amp;DATE(Dashboard!$C$4,2,1),Transaksi!$B$16:$B$5015,"&lt;="&amp;EOMONTH(DATE(Dashboard!$C$4,2,1),0))</f>
        <v/>
      </c>
      <c r="E49" s="158">
        <f>SUMIFS(Transaksi!$F$16:$F$5015,Transaksi!$G$16:$G$5015,"Pengeluaran",Transaksi!$B$16:$B$5015,"&gt;="&amp;DATE(Dashboard!$C$4,3,1),Transaksi!$B$16:$B$5015,"&lt;="&amp;EOMONTH(DATE(Dashboard!$C$4,3,1),0),Transaksi!$H$16:$H$5015,"Pengeluaran Uang Kos")+SUMIFS(Transaksi!$F$16:$F$5015,Transaksi!$G$16:$G$5015,"Tabungan",Transaksi!$H$16:$H$5015,"Reksadana uang kos mama",Transaksi!$D$16:$D$5015,"Keluar",Transaksi!$B$16:$B$5015,"&gt;="&amp;DATE(Dashboard!$C$4,3,1),Transaksi!$B$16:$B$5015,"&lt;="&amp;EOMONTH(DATE(Dashboard!$C$4,3,1),0))</f>
        <v/>
      </c>
      <c r="F49" s="158">
        <f>SUMIFS(Transaksi!$F$16:$F$5015,Transaksi!$G$16:$G$5015,"Pengeluaran",Transaksi!$B$16:$B$5015,"&gt;="&amp;DATE(Dashboard!$C$4,4,1),Transaksi!$B$16:$B$5015,"&lt;="&amp;EOMONTH(DATE(Dashboard!$C$4,4,1),0),Transaksi!$H$16:$H$5015,"Pengeluaran Uang Kos")+SUMIFS(Transaksi!$F$16:$F$5015,Transaksi!$G$16:$G$5015,"Tabungan",Transaksi!$H$16:$H$5015,"Reksadana uang kos mama",Transaksi!$D$16:$D$5015,"Keluar",Transaksi!$B$16:$B$5015,"&gt;="&amp;DATE(Dashboard!$C$4,4,1),Transaksi!$B$16:$B$5015,"&lt;="&amp;EOMONTH(DATE(Dashboard!$C$4,4,1),0))</f>
        <v/>
      </c>
      <c r="G49" s="158">
        <f>SUMIFS(Transaksi!$F$16:$F$5015,Transaksi!$G$16:$G$5015,"Pengeluaran",Transaksi!$B$16:$B$5015,"&gt;="&amp;DATE(Dashboard!$C$4,5,1),Transaksi!$B$16:$B$5015,"&lt;="&amp;EOMONTH(DATE(Dashboard!$C$4,5,1),0),Transaksi!$H$16:$H$5015,"Pengeluaran Uang Kos")+SUMIFS(Transaksi!$F$16:$F$5015,Transaksi!$G$16:$G$5015,"Tabungan",Transaksi!$H$16:$H$5015,"Reksadana uang kos mama",Transaksi!$D$16:$D$5015,"Keluar",Transaksi!$B$16:$B$5015,"&gt;="&amp;DATE(Dashboard!$C$4,5,1),Transaksi!$B$16:$B$5015,"&lt;="&amp;EOMONTH(DATE(Dashboard!$C$4,5,1),0))</f>
        <v/>
      </c>
      <c r="H49" s="158">
        <f>SUMIFS(Transaksi!$F$16:$F$5015,Transaksi!$G$16:$G$5015,"Pengeluaran",Transaksi!$B$16:$B$5015,"&gt;="&amp;DATE(Dashboard!$C$4,6,1),Transaksi!$B$16:$B$5015,"&lt;="&amp;EOMONTH(DATE(Dashboard!$C$4,6,1),0),Transaksi!$H$16:$H$5015,"Pengeluaran Uang Kos")+SUMIFS(Transaksi!$F$16:$F$5015,Transaksi!$G$16:$G$5015,"Tabungan",Transaksi!$H$16:$H$5015,"Reksadana uang kos mama",Transaksi!$D$16:$D$5015,"Keluar",Transaksi!$B$16:$B$5015,"&gt;="&amp;DATE(Dashboard!$C$4,6,1),Transaksi!$B$16:$B$5015,"&lt;="&amp;EOMONTH(DATE(Dashboard!$C$4,6,1),0))</f>
        <v/>
      </c>
      <c r="I49" s="158">
        <f>SUMIFS(Transaksi!$F$16:$F$5015,Transaksi!$G$16:$G$5015,"Pengeluaran",Transaksi!$B$16:$B$5015,"&gt;="&amp;DATE(Dashboard!$C$4,7,1),Transaksi!$B$16:$B$5015,"&lt;="&amp;EOMONTH(DATE(Dashboard!$C$4,7,1),0),Transaksi!$H$16:$H$5015,"Pengeluaran Uang Kos")+SUMIFS(Transaksi!$F$16:$F$5015,Transaksi!$G$16:$G$5015,"Tabungan",Transaksi!$H$16:$H$5015,"Reksadana uang kos mama",Transaksi!$D$16:$D$5015,"Keluar",Transaksi!$B$16:$B$5015,"&gt;="&amp;DATE(Dashboard!$C$4,7,1),Transaksi!$B$16:$B$5015,"&lt;="&amp;EOMONTH(DATE(Dashboard!$C$4,7,1),0))</f>
        <v/>
      </c>
      <c r="J49" s="158">
        <f>SUMIFS(Transaksi!$F$16:$F$5015,Transaksi!$G$16:$G$5015,"Pengeluaran",Transaksi!$B$16:$B$5015,"&gt;="&amp;DATE(Dashboard!$C$4,8,1),Transaksi!$B$16:$B$5015,"&lt;="&amp;EOMONTH(DATE(Dashboard!$C$4,8,1),0),Transaksi!$H$16:$H$5015,"Pengeluaran Uang Kos")+SUMIFS(Transaksi!$F$16:$F$5015,Transaksi!$G$16:$G$5015,"Tabungan",Transaksi!$H$16:$H$5015,"Reksadana uang kos mama",Transaksi!$D$16:$D$5015,"Keluar",Transaksi!$B$16:$B$5015,"&gt;="&amp;DATE(Dashboard!$C$4,8,1),Transaksi!$B$16:$B$5015,"&lt;="&amp;EOMONTH(DATE(Dashboard!$C$4,8,1),0))</f>
        <v/>
      </c>
      <c r="K49" s="158">
        <f>SUMIFS(Transaksi!$F$16:$F$5015,Transaksi!$G$16:$G$5015,"Pengeluaran",Transaksi!$B$16:$B$5015,"&gt;="&amp;DATE(Dashboard!$C$4,9,1),Transaksi!$B$16:$B$5015,"&lt;="&amp;EOMONTH(DATE(Dashboard!$C$4,9,1),0),Transaksi!$H$16:$H$5015,"Pengeluaran Uang Kos")+SUMIFS(Transaksi!$F$16:$F$5015,Transaksi!$G$16:$G$5015,"Tabungan",Transaksi!$H$16:$H$5015,"Reksadana uang kos mama",Transaksi!$D$16:$D$5015,"Keluar",Transaksi!$B$16:$B$5015,"&gt;="&amp;DATE(Dashboard!$C$4,9,1),Transaksi!$B$16:$B$5015,"&lt;="&amp;EOMONTH(DATE(Dashboard!$C$4,9,1),0))</f>
        <v/>
      </c>
      <c r="L49" s="158">
        <f>SUMIFS(Transaksi!$F$16:$F$5015,Transaksi!$G$16:$G$5015,"Pengeluaran",Transaksi!$B$16:$B$5015,"&gt;="&amp;DATE(Dashboard!$C$4,10,1),Transaksi!$B$16:$B$5015,"&lt;="&amp;EOMONTH(DATE(Dashboard!$C$4,10,1),0),Transaksi!$H$16:$H$5015,"Pengeluaran Uang Kos")+SUMIFS(Transaksi!$F$16:$F$5015,Transaksi!$G$16:$G$5015,"Tabungan",Transaksi!$H$16:$H$5015,"Reksadana uang kos mama",Transaksi!$D$16:$D$5015,"Keluar",Transaksi!$B$16:$B$5015,"&gt;="&amp;DATE(Dashboard!$C$4,10,1),Transaksi!$B$16:$B$5015,"&lt;="&amp;EOMONTH(DATE(Dashboard!$C$4,10,1),0))</f>
        <v/>
      </c>
      <c r="M49" s="158">
        <f>SUMIFS(Transaksi!$F$16:$F$5015,Transaksi!$G$16:$G$5015,"Pengeluaran",Transaksi!$B$16:$B$5015,"&gt;="&amp;DATE(Dashboard!$C$4,11,1),Transaksi!$B$16:$B$5015,"&lt;="&amp;EOMONTH(DATE(Dashboard!$C$4,11,1),0),Transaksi!$H$16:$H$5015,"Pengeluaran Uang Kos")+SUMIFS(Transaksi!$F$16:$F$5015,Transaksi!$G$16:$G$5015,"Tabungan",Transaksi!$H$16:$H$5015,"Reksadana uang kos mama",Transaksi!$D$16:$D$5015,"Keluar",Transaksi!$B$16:$B$5015,"&gt;="&amp;DATE(Dashboard!$C$4,11,1),Transaksi!$B$16:$B$5015,"&lt;="&amp;EOMONTH(DATE(Dashboard!$C$4,11,1),0))</f>
        <v/>
      </c>
      <c r="N49" s="158">
        <f>SUMIFS(Transaksi!$F$16:$F$5015,Transaksi!$G$16:$G$5015,"Pengeluaran",Transaksi!$B$16:$B$5015,"&gt;="&amp;DATE(Dashboard!$C$4,12,1),Transaksi!$B$16:$B$5015,"&lt;="&amp;EOMONTH(DATE(Dashboard!$C$4,12,1),0),Transaksi!$H$16:$H$5015,"Pengeluaran Uang Kos")+SUMIFS(Transaksi!$F$16:$F$5015,Transaksi!$G$16:$G$5015,"Tabungan",Transaksi!$H$16:$H$5015,"Reksadana uang kos mama",Transaksi!$D$16:$D$5015,"Keluar",Transaksi!$B$16:$B$5015,"&gt;="&amp;DATE(Dashboard!$C$4,12,1),Transaksi!$B$16:$B$5015,"&lt;="&amp;EOMONTH(DATE(Dashboard!$C$4,12,1),0))</f>
        <v/>
      </c>
      <c r="O49" s="143">
        <f>SUM(C49:N49)</f>
        <v/>
      </c>
    </row>
    <row r="50"/>
    <row r="51" ht="15" customHeight="1" s="94">
      <c r="B51" s="114" t="inlineStr">
        <is>
          <t>Uang kedai (token listrik, PDAM, sewa kedai) ada di tab Uang Mama kolom D &amp; F, atau tab Transaksi → Sumber = Uang Kedai / Pengeluaran Uang Kedai.</t>
        </is>
      </c>
    </row>
    <row r="52"/>
    <row r="53" ht="15" customHeight="1" s="94">
      <c r="B53" s="101" t="inlineStr">
        <is>
          <t>D. SISA UANG KOS &amp; YANG SUDAH / BELUM MASUK INVESTASI PER BULAN</t>
        </is>
      </c>
      <c r="C53" s="102" t="n"/>
      <c r="D53" s="102" t="n"/>
      <c r="E53" s="102" t="n"/>
      <c r="F53" s="102" t="n"/>
      <c r="G53" s="102" t="n"/>
      <c r="H53" s="102" t="n"/>
      <c r="I53" s="102" t="n"/>
      <c r="J53" s="102" t="n"/>
      <c r="K53" s="102" t="n"/>
      <c r="L53" s="102" t="n"/>
      <c r="M53" s="102" t="n"/>
      <c r="N53" s="102" t="n"/>
      <c r="O53" s="102" t="n"/>
    </row>
    <row r="54" ht="15" customHeight="1" s="94">
      <c r="B54" s="103" t="inlineStr">
        <is>
          <t>Keterangan</t>
        </is>
      </c>
      <c r="C54" s="103" t="inlineStr">
        <is>
          <t>Jan</t>
        </is>
      </c>
      <c r="D54" s="103" t="inlineStr">
        <is>
          <t>Feb</t>
        </is>
      </c>
      <c r="E54" s="103" t="inlineStr">
        <is>
          <t>Mar</t>
        </is>
      </c>
      <c r="F54" s="103" t="inlineStr">
        <is>
          <t>Apr</t>
        </is>
      </c>
      <c r="G54" s="103" t="inlineStr">
        <is>
          <t>Mei</t>
        </is>
      </c>
      <c r="H54" s="103" t="inlineStr">
        <is>
          <t>Jun</t>
        </is>
      </c>
      <c r="I54" s="103" t="inlineStr">
        <is>
          <t>Jul</t>
        </is>
      </c>
      <c r="J54" s="103" t="inlineStr">
        <is>
          <t>Agu</t>
        </is>
      </c>
      <c r="K54" s="103" t="inlineStr">
        <is>
          <t>Sep</t>
        </is>
      </c>
      <c r="L54" s="103" t="inlineStr">
        <is>
          <t>Okt</t>
        </is>
      </c>
      <c r="M54" s="103" t="inlineStr">
        <is>
          <t>Nov</t>
        </is>
      </c>
      <c r="N54" s="103" t="inlineStr">
        <is>
          <t>Des</t>
        </is>
      </c>
      <c r="O54" s="103" t="inlineStr">
        <is>
          <t>Total</t>
        </is>
      </c>
    </row>
    <row r="55" ht="15" customHeight="1" s="94">
      <c r="B55" s="105" t="inlineStr">
        <is>
          <t>Uang kos masuk</t>
        </is>
      </c>
      <c r="C55" s="106">
        <f>SUMIFS(Transaksi!$F$16:$F$5015,Transaksi!$G$16:$G$5015,"Pendapatan",Transaksi!$H$16:$H$5015,"Uang Kos Mama",Transaksi!$B$16:$B$5015,"&gt;="&amp;DATE(Dashboard!$C$4,1,1),Transaksi!$B$16:$B$5015,"&lt;="&amp;EOMONTH(DATE(Dashboard!$C$4,1,1),0))</f>
        <v/>
      </c>
      <c r="D55" s="106">
        <f>SUMIFS(Transaksi!$F$16:$F$5015,Transaksi!$G$16:$G$5015,"Pendapatan",Transaksi!$H$16:$H$5015,"Uang Kos Mama",Transaksi!$B$16:$B$5015,"&gt;="&amp;DATE(Dashboard!$C$4,2,1),Transaksi!$B$16:$B$5015,"&lt;="&amp;EOMONTH(DATE(Dashboard!$C$4,2,1),0))</f>
        <v/>
      </c>
      <c r="E55" s="106">
        <f>SUMIFS(Transaksi!$F$16:$F$5015,Transaksi!$G$16:$G$5015,"Pendapatan",Transaksi!$H$16:$H$5015,"Uang Kos Mama",Transaksi!$B$16:$B$5015,"&gt;="&amp;DATE(Dashboard!$C$4,3,1),Transaksi!$B$16:$B$5015,"&lt;="&amp;EOMONTH(DATE(Dashboard!$C$4,3,1),0))</f>
        <v/>
      </c>
      <c r="F55" s="106">
        <f>SUMIFS(Transaksi!$F$16:$F$5015,Transaksi!$G$16:$G$5015,"Pendapatan",Transaksi!$H$16:$H$5015,"Uang Kos Mama",Transaksi!$B$16:$B$5015,"&gt;="&amp;DATE(Dashboard!$C$4,4,1),Transaksi!$B$16:$B$5015,"&lt;="&amp;EOMONTH(DATE(Dashboard!$C$4,4,1),0))</f>
        <v/>
      </c>
      <c r="G55" s="106">
        <f>SUMIFS(Transaksi!$F$16:$F$5015,Transaksi!$G$16:$G$5015,"Pendapatan",Transaksi!$H$16:$H$5015,"Uang Kos Mama",Transaksi!$B$16:$B$5015,"&gt;="&amp;DATE(Dashboard!$C$4,5,1),Transaksi!$B$16:$B$5015,"&lt;="&amp;EOMONTH(DATE(Dashboard!$C$4,5,1),0))</f>
        <v/>
      </c>
      <c r="H55" s="106">
        <f>SUMIFS(Transaksi!$F$16:$F$5015,Transaksi!$G$16:$G$5015,"Pendapatan",Transaksi!$H$16:$H$5015,"Uang Kos Mama",Transaksi!$B$16:$B$5015,"&gt;="&amp;DATE(Dashboard!$C$4,6,1),Transaksi!$B$16:$B$5015,"&lt;="&amp;EOMONTH(DATE(Dashboard!$C$4,6,1),0))</f>
        <v/>
      </c>
      <c r="I55" s="106">
        <f>SUMIFS(Transaksi!$F$16:$F$5015,Transaksi!$G$16:$G$5015,"Pendapatan",Transaksi!$H$16:$H$5015,"Uang Kos Mama",Transaksi!$B$16:$B$5015,"&gt;="&amp;DATE(Dashboard!$C$4,7,1),Transaksi!$B$16:$B$5015,"&lt;="&amp;EOMONTH(DATE(Dashboard!$C$4,7,1),0))</f>
        <v/>
      </c>
      <c r="J55" s="106">
        <f>SUMIFS(Transaksi!$F$16:$F$5015,Transaksi!$G$16:$G$5015,"Pendapatan",Transaksi!$H$16:$H$5015,"Uang Kos Mama",Transaksi!$B$16:$B$5015,"&gt;="&amp;DATE(Dashboard!$C$4,8,1),Transaksi!$B$16:$B$5015,"&lt;="&amp;EOMONTH(DATE(Dashboard!$C$4,8,1),0))</f>
        <v/>
      </c>
      <c r="K55" s="106">
        <f>SUMIFS(Transaksi!$F$16:$F$5015,Transaksi!$G$16:$G$5015,"Pendapatan",Transaksi!$H$16:$H$5015,"Uang Kos Mama",Transaksi!$B$16:$B$5015,"&gt;="&amp;DATE(Dashboard!$C$4,9,1),Transaksi!$B$16:$B$5015,"&lt;="&amp;EOMONTH(DATE(Dashboard!$C$4,9,1),0))</f>
        <v/>
      </c>
      <c r="L55" s="106">
        <f>SUMIFS(Transaksi!$F$16:$F$5015,Transaksi!$G$16:$G$5015,"Pendapatan",Transaksi!$H$16:$H$5015,"Uang Kos Mama",Transaksi!$B$16:$B$5015,"&gt;="&amp;DATE(Dashboard!$C$4,10,1),Transaksi!$B$16:$B$5015,"&lt;="&amp;EOMONTH(DATE(Dashboard!$C$4,10,1),0))</f>
        <v/>
      </c>
      <c r="M55" s="106">
        <f>SUMIFS(Transaksi!$F$16:$F$5015,Transaksi!$G$16:$G$5015,"Pendapatan",Transaksi!$H$16:$H$5015,"Uang Kos Mama",Transaksi!$B$16:$B$5015,"&gt;="&amp;DATE(Dashboard!$C$4,11,1),Transaksi!$B$16:$B$5015,"&lt;="&amp;EOMONTH(DATE(Dashboard!$C$4,11,1),0))</f>
        <v/>
      </c>
      <c r="N55" s="106">
        <f>SUMIFS(Transaksi!$F$16:$F$5015,Transaksi!$G$16:$G$5015,"Pendapatan",Transaksi!$H$16:$H$5015,"Uang Kos Mama",Transaksi!$B$16:$B$5015,"&gt;="&amp;DATE(Dashboard!$C$4,12,1),Transaksi!$B$16:$B$5015,"&lt;="&amp;EOMONTH(DATE(Dashboard!$C$4,12,1),0))</f>
        <v/>
      </c>
      <c r="O55" s="143">
        <f>SUM(C55:N55)</f>
        <v/>
      </c>
    </row>
    <row r="56" ht="15" customHeight="1" s="94">
      <c r="B56" s="105" t="inlineStr">
        <is>
          <t>Uang kos keluar (pengeluaran kos)</t>
        </is>
      </c>
      <c r="C56" s="106">
        <f>SUMIFS(Transaksi!$F$16:$F$5015,Transaksi!$G$16:$G$5015,"Pengeluaran",Transaksi!$H$16:$H$5015,"Pengeluaran Uang Kos",Transaksi!$B$16:$B$5015,"&gt;="&amp;DATE(Dashboard!$C$4,1,1),Transaksi!$B$16:$B$5015,"&lt;="&amp;EOMONTH(DATE(Dashboard!$C$4,1,1),0))</f>
        <v/>
      </c>
      <c r="D56" s="106">
        <f>SUMIFS(Transaksi!$F$16:$F$5015,Transaksi!$G$16:$G$5015,"Pengeluaran",Transaksi!$H$16:$H$5015,"Pengeluaran Uang Kos",Transaksi!$B$16:$B$5015,"&gt;="&amp;DATE(Dashboard!$C$4,2,1),Transaksi!$B$16:$B$5015,"&lt;="&amp;EOMONTH(DATE(Dashboard!$C$4,2,1),0))</f>
        <v/>
      </c>
      <c r="E56" s="106">
        <f>SUMIFS(Transaksi!$F$16:$F$5015,Transaksi!$G$16:$G$5015,"Pengeluaran",Transaksi!$H$16:$H$5015,"Pengeluaran Uang Kos",Transaksi!$B$16:$B$5015,"&gt;="&amp;DATE(Dashboard!$C$4,3,1),Transaksi!$B$16:$B$5015,"&lt;="&amp;EOMONTH(DATE(Dashboard!$C$4,3,1),0))</f>
        <v/>
      </c>
      <c r="F56" s="106">
        <f>SUMIFS(Transaksi!$F$16:$F$5015,Transaksi!$G$16:$G$5015,"Pengeluaran",Transaksi!$H$16:$H$5015,"Pengeluaran Uang Kos",Transaksi!$B$16:$B$5015,"&gt;="&amp;DATE(Dashboard!$C$4,4,1),Transaksi!$B$16:$B$5015,"&lt;="&amp;EOMONTH(DATE(Dashboard!$C$4,4,1),0))</f>
        <v/>
      </c>
      <c r="G56" s="106">
        <f>SUMIFS(Transaksi!$F$16:$F$5015,Transaksi!$G$16:$G$5015,"Pengeluaran",Transaksi!$H$16:$H$5015,"Pengeluaran Uang Kos",Transaksi!$B$16:$B$5015,"&gt;="&amp;DATE(Dashboard!$C$4,5,1),Transaksi!$B$16:$B$5015,"&lt;="&amp;EOMONTH(DATE(Dashboard!$C$4,5,1),0))</f>
        <v/>
      </c>
      <c r="H56" s="106">
        <f>SUMIFS(Transaksi!$F$16:$F$5015,Transaksi!$G$16:$G$5015,"Pengeluaran",Transaksi!$H$16:$H$5015,"Pengeluaran Uang Kos",Transaksi!$B$16:$B$5015,"&gt;="&amp;DATE(Dashboard!$C$4,6,1),Transaksi!$B$16:$B$5015,"&lt;="&amp;EOMONTH(DATE(Dashboard!$C$4,6,1),0))</f>
        <v/>
      </c>
      <c r="I56" s="106">
        <f>SUMIFS(Transaksi!$F$16:$F$5015,Transaksi!$G$16:$G$5015,"Pengeluaran",Transaksi!$H$16:$H$5015,"Pengeluaran Uang Kos",Transaksi!$B$16:$B$5015,"&gt;="&amp;DATE(Dashboard!$C$4,7,1),Transaksi!$B$16:$B$5015,"&lt;="&amp;EOMONTH(DATE(Dashboard!$C$4,7,1),0))</f>
        <v/>
      </c>
      <c r="J56" s="106">
        <f>SUMIFS(Transaksi!$F$16:$F$5015,Transaksi!$G$16:$G$5015,"Pengeluaran",Transaksi!$H$16:$H$5015,"Pengeluaran Uang Kos",Transaksi!$B$16:$B$5015,"&gt;="&amp;DATE(Dashboard!$C$4,8,1),Transaksi!$B$16:$B$5015,"&lt;="&amp;EOMONTH(DATE(Dashboard!$C$4,8,1),0))</f>
        <v/>
      </c>
      <c r="K56" s="106">
        <f>SUMIFS(Transaksi!$F$16:$F$5015,Transaksi!$G$16:$G$5015,"Pengeluaran",Transaksi!$H$16:$H$5015,"Pengeluaran Uang Kos",Transaksi!$B$16:$B$5015,"&gt;="&amp;DATE(Dashboard!$C$4,9,1),Transaksi!$B$16:$B$5015,"&lt;="&amp;EOMONTH(DATE(Dashboard!$C$4,9,1),0))</f>
        <v/>
      </c>
      <c r="L56" s="106">
        <f>SUMIFS(Transaksi!$F$16:$F$5015,Transaksi!$G$16:$G$5015,"Pengeluaran",Transaksi!$H$16:$H$5015,"Pengeluaran Uang Kos",Transaksi!$B$16:$B$5015,"&gt;="&amp;DATE(Dashboard!$C$4,10,1),Transaksi!$B$16:$B$5015,"&lt;="&amp;EOMONTH(DATE(Dashboard!$C$4,10,1),0))</f>
        <v/>
      </c>
      <c r="M56" s="106">
        <f>SUMIFS(Transaksi!$F$16:$F$5015,Transaksi!$G$16:$G$5015,"Pengeluaran",Transaksi!$H$16:$H$5015,"Pengeluaran Uang Kos",Transaksi!$B$16:$B$5015,"&gt;="&amp;DATE(Dashboard!$C$4,11,1),Transaksi!$B$16:$B$5015,"&lt;="&amp;EOMONTH(DATE(Dashboard!$C$4,11,1),0))</f>
        <v/>
      </c>
      <c r="N56" s="106">
        <f>SUMIFS(Transaksi!$F$16:$F$5015,Transaksi!$G$16:$G$5015,"Pengeluaran",Transaksi!$H$16:$H$5015,"Pengeluaran Uang Kos",Transaksi!$B$16:$B$5015,"&gt;="&amp;DATE(Dashboard!$C$4,12,1),Transaksi!$B$16:$B$5015,"&lt;="&amp;EOMONTH(DATE(Dashboard!$C$4,12,1),0))</f>
        <v/>
      </c>
      <c r="O56" s="143">
        <f>SUM(C56:N56)</f>
        <v/>
      </c>
    </row>
    <row r="57" ht="15" customHeight="1" s="94">
      <c r="B57" s="157" t="inlineStr">
        <is>
          <t>Sisa bulan ini (masuk − keluar)</t>
        </is>
      </c>
      <c r="C57" s="159">
        <f>C55-C56</f>
        <v/>
      </c>
      <c r="D57" s="159">
        <f>D55-D56</f>
        <v/>
      </c>
      <c r="E57" s="159">
        <f>E55-E56</f>
        <v/>
      </c>
      <c r="F57" s="159">
        <f>F55-F56</f>
        <v/>
      </c>
      <c r="G57" s="159">
        <f>G55-G56</f>
        <v/>
      </c>
      <c r="H57" s="159">
        <f>H55-H56</f>
        <v/>
      </c>
      <c r="I57" s="159">
        <f>I55-I56</f>
        <v/>
      </c>
      <c r="J57" s="159">
        <f>J55-J56</f>
        <v/>
      </c>
      <c r="K57" s="159">
        <f>K55-K56</f>
        <v/>
      </c>
      <c r="L57" s="159">
        <f>L55-L56</f>
        <v/>
      </c>
      <c r="M57" s="159">
        <f>M55-M56</f>
        <v/>
      </c>
      <c r="N57" s="159">
        <f>N55-N56</f>
        <v/>
      </c>
      <c r="O57" s="160">
        <f>SUM(C57:N57)</f>
        <v/>
      </c>
    </row>
    <row r="58" ht="15" customHeight="1" s="94">
      <c r="B58" s="105" t="inlineStr">
        <is>
          <t>Disetor ke reksadana uang kos mama</t>
        </is>
      </c>
      <c r="C58" s="106">
        <f>SUMIFS(Transaksi!$F$16:$F$5015,Transaksi!$G$16:$G$5015,"Tabungan",Transaksi!$H$16:$H$5015,"Reksadana uang kos mama",Transaksi!$D$16:$D$5015,"Keluar",Transaksi!$B$16:$B$5015,"&gt;="&amp;DATE(Dashboard!$C$4,1,1),Transaksi!$B$16:$B$5015,"&lt;="&amp;EOMONTH(DATE(Dashboard!$C$4,1,1),0))</f>
        <v/>
      </c>
      <c r="D58" s="106">
        <f>SUMIFS(Transaksi!$F$16:$F$5015,Transaksi!$G$16:$G$5015,"Tabungan",Transaksi!$H$16:$H$5015,"Reksadana uang kos mama",Transaksi!$D$16:$D$5015,"Keluar",Transaksi!$B$16:$B$5015,"&gt;="&amp;DATE(Dashboard!$C$4,2,1),Transaksi!$B$16:$B$5015,"&lt;="&amp;EOMONTH(DATE(Dashboard!$C$4,2,1),0))</f>
        <v/>
      </c>
      <c r="E58" s="106">
        <f>SUMIFS(Transaksi!$F$16:$F$5015,Transaksi!$G$16:$G$5015,"Tabungan",Transaksi!$H$16:$H$5015,"Reksadana uang kos mama",Transaksi!$D$16:$D$5015,"Keluar",Transaksi!$B$16:$B$5015,"&gt;="&amp;DATE(Dashboard!$C$4,3,1),Transaksi!$B$16:$B$5015,"&lt;="&amp;EOMONTH(DATE(Dashboard!$C$4,3,1),0))</f>
        <v/>
      </c>
      <c r="F58" s="106">
        <f>SUMIFS(Transaksi!$F$16:$F$5015,Transaksi!$G$16:$G$5015,"Tabungan",Transaksi!$H$16:$H$5015,"Reksadana uang kos mama",Transaksi!$D$16:$D$5015,"Keluar",Transaksi!$B$16:$B$5015,"&gt;="&amp;DATE(Dashboard!$C$4,4,1),Transaksi!$B$16:$B$5015,"&lt;="&amp;EOMONTH(DATE(Dashboard!$C$4,4,1),0))</f>
        <v/>
      </c>
      <c r="G58" s="106">
        <f>SUMIFS(Transaksi!$F$16:$F$5015,Transaksi!$G$16:$G$5015,"Tabungan",Transaksi!$H$16:$H$5015,"Reksadana uang kos mama",Transaksi!$D$16:$D$5015,"Keluar",Transaksi!$B$16:$B$5015,"&gt;="&amp;DATE(Dashboard!$C$4,5,1),Transaksi!$B$16:$B$5015,"&lt;="&amp;EOMONTH(DATE(Dashboard!$C$4,5,1),0))</f>
        <v/>
      </c>
      <c r="H58" s="106">
        <f>SUMIFS(Transaksi!$F$16:$F$5015,Transaksi!$G$16:$G$5015,"Tabungan",Transaksi!$H$16:$H$5015,"Reksadana uang kos mama",Transaksi!$D$16:$D$5015,"Keluar",Transaksi!$B$16:$B$5015,"&gt;="&amp;DATE(Dashboard!$C$4,6,1),Transaksi!$B$16:$B$5015,"&lt;="&amp;EOMONTH(DATE(Dashboard!$C$4,6,1),0))</f>
        <v/>
      </c>
      <c r="I58" s="106">
        <f>SUMIFS(Transaksi!$F$16:$F$5015,Transaksi!$G$16:$G$5015,"Tabungan",Transaksi!$H$16:$H$5015,"Reksadana uang kos mama",Transaksi!$D$16:$D$5015,"Keluar",Transaksi!$B$16:$B$5015,"&gt;="&amp;DATE(Dashboard!$C$4,7,1),Transaksi!$B$16:$B$5015,"&lt;="&amp;EOMONTH(DATE(Dashboard!$C$4,7,1),0))</f>
        <v/>
      </c>
      <c r="J58" s="106">
        <f>SUMIFS(Transaksi!$F$16:$F$5015,Transaksi!$G$16:$G$5015,"Tabungan",Transaksi!$H$16:$H$5015,"Reksadana uang kos mama",Transaksi!$D$16:$D$5015,"Keluar",Transaksi!$B$16:$B$5015,"&gt;="&amp;DATE(Dashboard!$C$4,8,1),Transaksi!$B$16:$B$5015,"&lt;="&amp;EOMONTH(DATE(Dashboard!$C$4,8,1),0))</f>
        <v/>
      </c>
      <c r="K58" s="106">
        <f>SUMIFS(Transaksi!$F$16:$F$5015,Transaksi!$G$16:$G$5015,"Tabungan",Transaksi!$H$16:$H$5015,"Reksadana uang kos mama",Transaksi!$D$16:$D$5015,"Keluar",Transaksi!$B$16:$B$5015,"&gt;="&amp;DATE(Dashboard!$C$4,9,1),Transaksi!$B$16:$B$5015,"&lt;="&amp;EOMONTH(DATE(Dashboard!$C$4,9,1),0))</f>
        <v/>
      </c>
      <c r="L58" s="106">
        <f>SUMIFS(Transaksi!$F$16:$F$5015,Transaksi!$G$16:$G$5015,"Tabungan",Transaksi!$H$16:$H$5015,"Reksadana uang kos mama",Transaksi!$D$16:$D$5015,"Keluar",Transaksi!$B$16:$B$5015,"&gt;="&amp;DATE(Dashboard!$C$4,10,1),Transaksi!$B$16:$B$5015,"&lt;="&amp;EOMONTH(DATE(Dashboard!$C$4,10,1),0))</f>
        <v/>
      </c>
      <c r="M58" s="106">
        <f>SUMIFS(Transaksi!$F$16:$F$5015,Transaksi!$G$16:$G$5015,"Tabungan",Transaksi!$H$16:$H$5015,"Reksadana uang kos mama",Transaksi!$D$16:$D$5015,"Keluar",Transaksi!$B$16:$B$5015,"&gt;="&amp;DATE(Dashboard!$C$4,11,1),Transaksi!$B$16:$B$5015,"&lt;="&amp;EOMONTH(DATE(Dashboard!$C$4,11,1),0))</f>
        <v/>
      </c>
      <c r="N58" s="106">
        <f>SUMIFS(Transaksi!$F$16:$F$5015,Transaksi!$G$16:$G$5015,"Tabungan",Transaksi!$H$16:$H$5015,"Reksadana uang kos mama",Transaksi!$D$16:$D$5015,"Keluar",Transaksi!$B$16:$B$5015,"&gt;="&amp;DATE(Dashboard!$C$4,12,1),Transaksi!$B$16:$B$5015,"&lt;="&amp;EOMONTH(DATE(Dashboard!$C$4,12,1),0))</f>
        <v/>
      </c>
      <c r="O58" s="143">
        <f>SUM(C58:N58)</f>
        <v/>
      </c>
    </row>
    <row r="59" ht="15" customHeight="1" s="94">
      <c r="B59" s="105" t="inlineStr">
        <is>
          <t>Dicairkan dari reksadana uang kos mama</t>
        </is>
      </c>
      <c r="C59" s="106">
        <f>SUMIFS(Transaksi!$F$16:$F$5015,Transaksi!$G$16:$G$5015,"Tabungan",Transaksi!$H$16:$H$5015,"Reksadana uang kos mama",Transaksi!$D$16:$D$5015,"Masuk",Transaksi!$B$16:$B$5015,"&gt;="&amp;DATE(Dashboard!$C$4,1,1),Transaksi!$B$16:$B$5015,"&lt;="&amp;EOMONTH(DATE(Dashboard!$C$4,1,1),0))</f>
        <v/>
      </c>
      <c r="D59" s="106">
        <f>SUMIFS(Transaksi!$F$16:$F$5015,Transaksi!$G$16:$G$5015,"Tabungan",Transaksi!$H$16:$H$5015,"Reksadana uang kos mama",Transaksi!$D$16:$D$5015,"Masuk",Transaksi!$B$16:$B$5015,"&gt;="&amp;DATE(Dashboard!$C$4,2,1),Transaksi!$B$16:$B$5015,"&lt;="&amp;EOMONTH(DATE(Dashboard!$C$4,2,1),0))</f>
        <v/>
      </c>
      <c r="E59" s="106">
        <f>SUMIFS(Transaksi!$F$16:$F$5015,Transaksi!$G$16:$G$5015,"Tabungan",Transaksi!$H$16:$H$5015,"Reksadana uang kos mama",Transaksi!$D$16:$D$5015,"Masuk",Transaksi!$B$16:$B$5015,"&gt;="&amp;DATE(Dashboard!$C$4,3,1),Transaksi!$B$16:$B$5015,"&lt;="&amp;EOMONTH(DATE(Dashboard!$C$4,3,1),0))</f>
        <v/>
      </c>
      <c r="F59" s="106">
        <f>SUMIFS(Transaksi!$F$16:$F$5015,Transaksi!$G$16:$G$5015,"Tabungan",Transaksi!$H$16:$H$5015,"Reksadana uang kos mama",Transaksi!$D$16:$D$5015,"Masuk",Transaksi!$B$16:$B$5015,"&gt;="&amp;DATE(Dashboard!$C$4,4,1),Transaksi!$B$16:$B$5015,"&lt;="&amp;EOMONTH(DATE(Dashboard!$C$4,4,1),0))</f>
        <v/>
      </c>
      <c r="G59" s="106">
        <f>SUMIFS(Transaksi!$F$16:$F$5015,Transaksi!$G$16:$G$5015,"Tabungan",Transaksi!$H$16:$H$5015,"Reksadana uang kos mama",Transaksi!$D$16:$D$5015,"Masuk",Transaksi!$B$16:$B$5015,"&gt;="&amp;DATE(Dashboard!$C$4,5,1),Transaksi!$B$16:$B$5015,"&lt;="&amp;EOMONTH(DATE(Dashboard!$C$4,5,1),0))</f>
        <v/>
      </c>
      <c r="H59" s="106">
        <f>SUMIFS(Transaksi!$F$16:$F$5015,Transaksi!$G$16:$G$5015,"Tabungan",Transaksi!$H$16:$H$5015,"Reksadana uang kos mama",Transaksi!$D$16:$D$5015,"Masuk",Transaksi!$B$16:$B$5015,"&gt;="&amp;DATE(Dashboard!$C$4,6,1),Transaksi!$B$16:$B$5015,"&lt;="&amp;EOMONTH(DATE(Dashboard!$C$4,6,1),0))</f>
        <v/>
      </c>
      <c r="I59" s="106">
        <f>SUMIFS(Transaksi!$F$16:$F$5015,Transaksi!$G$16:$G$5015,"Tabungan",Transaksi!$H$16:$H$5015,"Reksadana uang kos mama",Transaksi!$D$16:$D$5015,"Masuk",Transaksi!$B$16:$B$5015,"&gt;="&amp;DATE(Dashboard!$C$4,7,1),Transaksi!$B$16:$B$5015,"&lt;="&amp;EOMONTH(DATE(Dashboard!$C$4,7,1),0))</f>
        <v/>
      </c>
      <c r="J59" s="106">
        <f>SUMIFS(Transaksi!$F$16:$F$5015,Transaksi!$G$16:$G$5015,"Tabungan",Transaksi!$H$16:$H$5015,"Reksadana uang kos mama",Transaksi!$D$16:$D$5015,"Masuk",Transaksi!$B$16:$B$5015,"&gt;="&amp;DATE(Dashboard!$C$4,8,1),Transaksi!$B$16:$B$5015,"&lt;="&amp;EOMONTH(DATE(Dashboard!$C$4,8,1),0))</f>
        <v/>
      </c>
      <c r="K59" s="106">
        <f>SUMIFS(Transaksi!$F$16:$F$5015,Transaksi!$G$16:$G$5015,"Tabungan",Transaksi!$H$16:$H$5015,"Reksadana uang kos mama",Transaksi!$D$16:$D$5015,"Masuk",Transaksi!$B$16:$B$5015,"&gt;="&amp;DATE(Dashboard!$C$4,9,1),Transaksi!$B$16:$B$5015,"&lt;="&amp;EOMONTH(DATE(Dashboard!$C$4,9,1),0))</f>
        <v/>
      </c>
      <c r="L59" s="106">
        <f>SUMIFS(Transaksi!$F$16:$F$5015,Transaksi!$G$16:$G$5015,"Tabungan",Transaksi!$H$16:$H$5015,"Reksadana uang kos mama",Transaksi!$D$16:$D$5015,"Masuk",Transaksi!$B$16:$B$5015,"&gt;="&amp;DATE(Dashboard!$C$4,10,1),Transaksi!$B$16:$B$5015,"&lt;="&amp;EOMONTH(DATE(Dashboard!$C$4,10,1),0))</f>
        <v/>
      </c>
      <c r="M59" s="106">
        <f>SUMIFS(Transaksi!$F$16:$F$5015,Transaksi!$G$16:$G$5015,"Tabungan",Transaksi!$H$16:$H$5015,"Reksadana uang kos mama",Transaksi!$D$16:$D$5015,"Masuk",Transaksi!$B$16:$B$5015,"&gt;="&amp;DATE(Dashboard!$C$4,11,1),Transaksi!$B$16:$B$5015,"&lt;="&amp;EOMONTH(DATE(Dashboard!$C$4,11,1),0))</f>
        <v/>
      </c>
      <c r="N59" s="106">
        <f>SUMIFS(Transaksi!$F$16:$F$5015,Transaksi!$G$16:$G$5015,"Tabungan",Transaksi!$H$16:$H$5015,"Reksadana uang kos mama",Transaksi!$D$16:$D$5015,"Masuk",Transaksi!$B$16:$B$5015,"&gt;="&amp;DATE(Dashboard!$C$4,12,1),Transaksi!$B$16:$B$5015,"&lt;="&amp;EOMONTH(DATE(Dashboard!$C$4,12,1),0))</f>
        <v/>
      </c>
      <c r="O59" s="143">
        <f>SUM(C59:N59)</f>
        <v/>
      </c>
    </row>
    <row r="60" ht="15" customHeight="1" s="94">
      <c r="B60" s="157" t="inlineStr">
        <is>
          <t>Masuk investasi (bersih)</t>
        </is>
      </c>
      <c r="C60" s="159">
        <f>C58-C59</f>
        <v/>
      </c>
      <c r="D60" s="159">
        <f>D58-D59</f>
        <v/>
      </c>
      <c r="E60" s="159">
        <f>E58-E59</f>
        <v/>
      </c>
      <c r="F60" s="159">
        <f>F58-F59</f>
        <v/>
      </c>
      <c r="G60" s="159">
        <f>G58-G59</f>
        <v/>
      </c>
      <c r="H60" s="159">
        <f>H58-H59</f>
        <v/>
      </c>
      <c r="I60" s="159">
        <f>I58-I59</f>
        <v/>
      </c>
      <c r="J60" s="159">
        <f>J58-J59</f>
        <v/>
      </c>
      <c r="K60" s="159">
        <f>K58-K59</f>
        <v/>
      </c>
      <c r="L60" s="159">
        <f>L58-L59</f>
        <v/>
      </c>
      <c r="M60" s="159">
        <f>M58-M59</f>
        <v/>
      </c>
      <c r="N60" s="159">
        <f>N58-N59</f>
        <v/>
      </c>
      <c r="O60" s="160">
        <f>SUM(C60:N60)</f>
        <v/>
      </c>
    </row>
    <row r="61" ht="42" customHeight="1" s="94">
      <c r="B61" s="161" t="inlineStr">
        <is>
          <t>Uang kos BELUM diinvestasikan (saldo Kantong Uang Kos Mama + Uang Kos Mama Cash akhir bulan)</t>
        </is>
      </c>
      <c r="C61" s="158">
        <f>IF(DATE(Dashboard!$C$4,1,1)&gt;TODAY(),"",SUMIFS(Akun!$C$5:$C$104,Akun!$A$5:$A$104,"Uang Kos Mama Cash",Akun!$D$5:$D$104,"&lt;="&amp;MIN(TODAY(),EOMONTH(DATE(Dashboard!$C$4,1,1),0)))+SUMIFS(Transaksi!$F$16:$F$5015,Transaksi!$C$16:$C$5015,"Uang Kos Mama Cash",Transaksi!$D$16:$D$5015,"Masuk",Transaksi!$B$16:$B$5015,"&lt;="&amp;MIN(TODAY(),EOMONTH(DATE(Dashboard!$C$4,1,1),0)))-SUMIFS(Transaksi!$F$16:$F$5015,Transaksi!$C$16:$C$5015,"Uang Kos Mama Cash",Transaksi!$D$16:$D$5015,"Keluar",Transaksi!$B$16:$B$5015,"&lt;="&amp;MIN(TODAY(),EOMONTH(DATE(Dashboard!$C$4,1,1),0)))-SUMIFS(Transaksi!$F$16:$F$5015,Transaksi!$C$16:$C$5015,"Uang Kos Mama Cash",Transaksi!$D$16:$D$5015,"Pindah",Transaksi!$B$16:$B$5015,"&lt;="&amp;MIN(TODAY(),EOMONTH(DATE(Dashboard!$C$4,1,1),0)))+SUMIFS(Transaksi!$F$16:$F$5015,Transaksi!$E$16:$E$5015,"Uang Kos Mama Cash",Transaksi!$D$16:$D$5015,"Pindah",Transaksi!$B$16:$B$5015,"&lt;="&amp;MIN(TODAY(),EOMONTH(DATE(Dashboard!$C$4,1,1),0)))+SUMIFS(Akun!$C$5:$C$104,Akun!$A$5:$A$104,"Jago - Uang Kos Mama",Akun!$D$5:$D$104,"&lt;="&amp;MIN(TODAY(),EOMONTH(DATE(Dashboard!$C$4,1,1),0)))+SUMIFS(Transaksi!$F$16:$F$5015,Transaksi!$C$16:$C$5015,"Jago - Uang Kos Mama",Transaksi!$D$16:$D$5015,"Masuk",Transaksi!$B$16:$B$5015,"&lt;="&amp;MIN(TODAY(),EOMONTH(DATE(Dashboard!$C$4,1,1),0)))-SUMIFS(Transaksi!$F$16:$F$5015,Transaksi!$C$16:$C$5015,"Jago - Uang Kos Mama",Transaksi!$D$16:$D$5015,"Keluar",Transaksi!$B$16:$B$5015,"&lt;="&amp;MIN(TODAY(),EOMONTH(DATE(Dashboard!$C$4,1,1),0)))-SUMIFS(Transaksi!$F$16:$F$5015,Transaksi!$C$16:$C$5015,"Jago - Uang Kos Mama",Transaksi!$D$16:$D$5015,"Pindah",Transaksi!$B$16:$B$5015,"&lt;="&amp;MIN(TODAY(),EOMONTH(DATE(Dashboard!$C$4,1,1),0)))+SUMIFS(Transaksi!$F$16:$F$5015,Transaksi!$E$16:$E$5015,"Jago - Uang Kos Mama",Transaksi!$D$16:$D$5015,"Pindah",Transaksi!$B$16:$B$5015,"&lt;="&amp;MIN(TODAY(),EOMONTH(DATE(Dashboard!$C$4,1,1),0))))</f>
        <v/>
      </c>
      <c r="D61" s="158">
        <f>IF(DATE(Dashboard!$C$4,2,1)&gt;TODAY(),"",SUMIFS(Akun!$C$5:$C$104,Akun!$A$5:$A$104,"Uang Kos Mama Cash",Akun!$D$5:$D$104,"&lt;="&amp;MIN(TODAY(),EOMONTH(DATE(Dashboard!$C$4,2,1),0)))+SUMIFS(Transaksi!$F$16:$F$5015,Transaksi!$C$16:$C$5015,"Uang Kos Mama Cash",Transaksi!$D$16:$D$5015,"Masuk",Transaksi!$B$16:$B$5015,"&lt;="&amp;MIN(TODAY(),EOMONTH(DATE(Dashboard!$C$4,2,1),0)))-SUMIFS(Transaksi!$F$16:$F$5015,Transaksi!$C$16:$C$5015,"Uang Kos Mama Cash",Transaksi!$D$16:$D$5015,"Keluar",Transaksi!$B$16:$B$5015,"&lt;="&amp;MIN(TODAY(),EOMONTH(DATE(Dashboard!$C$4,2,1),0)))-SUMIFS(Transaksi!$F$16:$F$5015,Transaksi!$C$16:$C$5015,"Uang Kos Mama Cash",Transaksi!$D$16:$D$5015,"Pindah",Transaksi!$B$16:$B$5015,"&lt;="&amp;MIN(TODAY(),EOMONTH(DATE(Dashboard!$C$4,2,1),0)))+SUMIFS(Transaksi!$F$16:$F$5015,Transaksi!$E$16:$E$5015,"Uang Kos Mama Cash",Transaksi!$D$16:$D$5015,"Pindah",Transaksi!$B$16:$B$5015,"&lt;="&amp;MIN(TODAY(),EOMONTH(DATE(Dashboard!$C$4,2,1),0)))+SUMIFS(Akun!$C$5:$C$104,Akun!$A$5:$A$104,"Jago - Uang Kos Mama",Akun!$D$5:$D$104,"&lt;="&amp;MIN(TODAY(),EOMONTH(DATE(Dashboard!$C$4,2,1),0)))+SUMIFS(Transaksi!$F$16:$F$5015,Transaksi!$C$16:$C$5015,"Jago - Uang Kos Mama",Transaksi!$D$16:$D$5015,"Masuk",Transaksi!$B$16:$B$5015,"&lt;="&amp;MIN(TODAY(),EOMONTH(DATE(Dashboard!$C$4,2,1),0)))-SUMIFS(Transaksi!$F$16:$F$5015,Transaksi!$C$16:$C$5015,"Jago - Uang Kos Mama",Transaksi!$D$16:$D$5015,"Keluar",Transaksi!$B$16:$B$5015,"&lt;="&amp;MIN(TODAY(),EOMONTH(DATE(Dashboard!$C$4,2,1),0)))-SUMIFS(Transaksi!$F$16:$F$5015,Transaksi!$C$16:$C$5015,"Jago - Uang Kos Mama",Transaksi!$D$16:$D$5015,"Pindah",Transaksi!$B$16:$B$5015,"&lt;="&amp;MIN(TODAY(),EOMONTH(DATE(Dashboard!$C$4,2,1),0)))+SUMIFS(Transaksi!$F$16:$F$5015,Transaksi!$E$16:$E$5015,"Jago - Uang Kos Mama",Transaksi!$D$16:$D$5015,"Pindah",Transaksi!$B$16:$B$5015,"&lt;="&amp;MIN(TODAY(),EOMONTH(DATE(Dashboard!$C$4,2,1),0))))</f>
        <v/>
      </c>
      <c r="E61" s="158">
        <f>IF(DATE(Dashboard!$C$4,3,1)&gt;TODAY(),"",SUMIFS(Akun!$C$5:$C$104,Akun!$A$5:$A$104,"Uang Kos Mama Cash",Akun!$D$5:$D$104,"&lt;="&amp;MIN(TODAY(),EOMONTH(DATE(Dashboard!$C$4,3,1),0)))+SUMIFS(Transaksi!$F$16:$F$5015,Transaksi!$C$16:$C$5015,"Uang Kos Mama Cash",Transaksi!$D$16:$D$5015,"Masuk",Transaksi!$B$16:$B$5015,"&lt;="&amp;MIN(TODAY(),EOMONTH(DATE(Dashboard!$C$4,3,1),0)))-SUMIFS(Transaksi!$F$16:$F$5015,Transaksi!$C$16:$C$5015,"Uang Kos Mama Cash",Transaksi!$D$16:$D$5015,"Keluar",Transaksi!$B$16:$B$5015,"&lt;="&amp;MIN(TODAY(),EOMONTH(DATE(Dashboard!$C$4,3,1),0)))-SUMIFS(Transaksi!$F$16:$F$5015,Transaksi!$C$16:$C$5015,"Uang Kos Mama Cash",Transaksi!$D$16:$D$5015,"Pindah",Transaksi!$B$16:$B$5015,"&lt;="&amp;MIN(TODAY(),EOMONTH(DATE(Dashboard!$C$4,3,1),0)))+SUMIFS(Transaksi!$F$16:$F$5015,Transaksi!$E$16:$E$5015,"Uang Kos Mama Cash",Transaksi!$D$16:$D$5015,"Pindah",Transaksi!$B$16:$B$5015,"&lt;="&amp;MIN(TODAY(),EOMONTH(DATE(Dashboard!$C$4,3,1),0)))+SUMIFS(Akun!$C$5:$C$104,Akun!$A$5:$A$104,"Jago - Uang Kos Mama",Akun!$D$5:$D$104,"&lt;="&amp;MIN(TODAY(),EOMONTH(DATE(Dashboard!$C$4,3,1),0)))+SUMIFS(Transaksi!$F$16:$F$5015,Transaksi!$C$16:$C$5015,"Jago - Uang Kos Mama",Transaksi!$D$16:$D$5015,"Masuk",Transaksi!$B$16:$B$5015,"&lt;="&amp;MIN(TODAY(),EOMONTH(DATE(Dashboard!$C$4,3,1),0)))-SUMIFS(Transaksi!$F$16:$F$5015,Transaksi!$C$16:$C$5015,"Jago - Uang Kos Mama",Transaksi!$D$16:$D$5015,"Keluar",Transaksi!$B$16:$B$5015,"&lt;="&amp;MIN(TODAY(),EOMONTH(DATE(Dashboard!$C$4,3,1),0)))-SUMIFS(Transaksi!$F$16:$F$5015,Transaksi!$C$16:$C$5015,"Jago - Uang Kos Mama",Transaksi!$D$16:$D$5015,"Pindah",Transaksi!$B$16:$B$5015,"&lt;="&amp;MIN(TODAY(),EOMONTH(DATE(Dashboard!$C$4,3,1),0)))+SUMIFS(Transaksi!$F$16:$F$5015,Transaksi!$E$16:$E$5015,"Jago - Uang Kos Mama",Transaksi!$D$16:$D$5015,"Pindah",Transaksi!$B$16:$B$5015,"&lt;="&amp;MIN(TODAY(),EOMONTH(DATE(Dashboard!$C$4,3,1),0))))</f>
        <v/>
      </c>
      <c r="F61" s="158">
        <f>IF(DATE(Dashboard!$C$4,4,1)&gt;TODAY(),"",SUMIFS(Akun!$C$5:$C$104,Akun!$A$5:$A$104,"Uang Kos Mama Cash",Akun!$D$5:$D$104,"&lt;="&amp;MIN(TODAY(),EOMONTH(DATE(Dashboard!$C$4,4,1),0)))+SUMIFS(Transaksi!$F$16:$F$5015,Transaksi!$C$16:$C$5015,"Uang Kos Mama Cash",Transaksi!$D$16:$D$5015,"Masuk",Transaksi!$B$16:$B$5015,"&lt;="&amp;MIN(TODAY(),EOMONTH(DATE(Dashboard!$C$4,4,1),0)))-SUMIFS(Transaksi!$F$16:$F$5015,Transaksi!$C$16:$C$5015,"Uang Kos Mama Cash",Transaksi!$D$16:$D$5015,"Keluar",Transaksi!$B$16:$B$5015,"&lt;="&amp;MIN(TODAY(),EOMONTH(DATE(Dashboard!$C$4,4,1),0)))-SUMIFS(Transaksi!$F$16:$F$5015,Transaksi!$C$16:$C$5015,"Uang Kos Mama Cash",Transaksi!$D$16:$D$5015,"Pindah",Transaksi!$B$16:$B$5015,"&lt;="&amp;MIN(TODAY(),EOMONTH(DATE(Dashboard!$C$4,4,1),0)))+SUMIFS(Transaksi!$F$16:$F$5015,Transaksi!$E$16:$E$5015,"Uang Kos Mama Cash",Transaksi!$D$16:$D$5015,"Pindah",Transaksi!$B$16:$B$5015,"&lt;="&amp;MIN(TODAY(),EOMONTH(DATE(Dashboard!$C$4,4,1),0)))+SUMIFS(Akun!$C$5:$C$104,Akun!$A$5:$A$104,"Jago - Uang Kos Mama",Akun!$D$5:$D$104,"&lt;="&amp;MIN(TODAY(),EOMONTH(DATE(Dashboard!$C$4,4,1),0)))+SUMIFS(Transaksi!$F$16:$F$5015,Transaksi!$C$16:$C$5015,"Jago - Uang Kos Mama",Transaksi!$D$16:$D$5015,"Masuk",Transaksi!$B$16:$B$5015,"&lt;="&amp;MIN(TODAY(),EOMONTH(DATE(Dashboard!$C$4,4,1),0)))-SUMIFS(Transaksi!$F$16:$F$5015,Transaksi!$C$16:$C$5015,"Jago - Uang Kos Mama",Transaksi!$D$16:$D$5015,"Keluar",Transaksi!$B$16:$B$5015,"&lt;="&amp;MIN(TODAY(),EOMONTH(DATE(Dashboard!$C$4,4,1),0)))-SUMIFS(Transaksi!$F$16:$F$5015,Transaksi!$C$16:$C$5015,"Jago - Uang Kos Mama",Transaksi!$D$16:$D$5015,"Pindah",Transaksi!$B$16:$B$5015,"&lt;="&amp;MIN(TODAY(),EOMONTH(DATE(Dashboard!$C$4,4,1),0)))+SUMIFS(Transaksi!$F$16:$F$5015,Transaksi!$E$16:$E$5015,"Jago - Uang Kos Mama",Transaksi!$D$16:$D$5015,"Pindah",Transaksi!$B$16:$B$5015,"&lt;="&amp;MIN(TODAY(),EOMONTH(DATE(Dashboard!$C$4,4,1),0))))</f>
        <v/>
      </c>
      <c r="G61" s="158">
        <f>IF(DATE(Dashboard!$C$4,5,1)&gt;TODAY(),"",SUMIFS(Akun!$C$5:$C$104,Akun!$A$5:$A$104,"Uang Kos Mama Cash",Akun!$D$5:$D$104,"&lt;="&amp;MIN(TODAY(),EOMONTH(DATE(Dashboard!$C$4,5,1),0)))+SUMIFS(Transaksi!$F$16:$F$5015,Transaksi!$C$16:$C$5015,"Uang Kos Mama Cash",Transaksi!$D$16:$D$5015,"Masuk",Transaksi!$B$16:$B$5015,"&lt;="&amp;MIN(TODAY(),EOMONTH(DATE(Dashboard!$C$4,5,1),0)))-SUMIFS(Transaksi!$F$16:$F$5015,Transaksi!$C$16:$C$5015,"Uang Kos Mama Cash",Transaksi!$D$16:$D$5015,"Keluar",Transaksi!$B$16:$B$5015,"&lt;="&amp;MIN(TODAY(),EOMONTH(DATE(Dashboard!$C$4,5,1),0)))-SUMIFS(Transaksi!$F$16:$F$5015,Transaksi!$C$16:$C$5015,"Uang Kos Mama Cash",Transaksi!$D$16:$D$5015,"Pindah",Transaksi!$B$16:$B$5015,"&lt;="&amp;MIN(TODAY(),EOMONTH(DATE(Dashboard!$C$4,5,1),0)))+SUMIFS(Transaksi!$F$16:$F$5015,Transaksi!$E$16:$E$5015,"Uang Kos Mama Cash",Transaksi!$D$16:$D$5015,"Pindah",Transaksi!$B$16:$B$5015,"&lt;="&amp;MIN(TODAY(),EOMONTH(DATE(Dashboard!$C$4,5,1),0)))+SUMIFS(Akun!$C$5:$C$104,Akun!$A$5:$A$104,"Jago - Uang Kos Mama",Akun!$D$5:$D$104,"&lt;="&amp;MIN(TODAY(),EOMONTH(DATE(Dashboard!$C$4,5,1),0)))+SUMIFS(Transaksi!$F$16:$F$5015,Transaksi!$C$16:$C$5015,"Jago - Uang Kos Mama",Transaksi!$D$16:$D$5015,"Masuk",Transaksi!$B$16:$B$5015,"&lt;="&amp;MIN(TODAY(),EOMONTH(DATE(Dashboard!$C$4,5,1),0)))-SUMIFS(Transaksi!$F$16:$F$5015,Transaksi!$C$16:$C$5015,"Jago - Uang Kos Mama",Transaksi!$D$16:$D$5015,"Keluar",Transaksi!$B$16:$B$5015,"&lt;="&amp;MIN(TODAY(),EOMONTH(DATE(Dashboard!$C$4,5,1),0)))-SUMIFS(Transaksi!$F$16:$F$5015,Transaksi!$C$16:$C$5015,"Jago - Uang Kos Mama",Transaksi!$D$16:$D$5015,"Pindah",Transaksi!$B$16:$B$5015,"&lt;="&amp;MIN(TODAY(),EOMONTH(DATE(Dashboard!$C$4,5,1),0)))+SUMIFS(Transaksi!$F$16:$F$5015,Transaksi!$E$16:$E$5015,"Jago - Uang Kos Mama",Transaksi!$D$16:$D$5015,"Pindah",Transaksi!$B$16:$B$5015,"&lt;="&amp;MIN(TODAY(),EOMONTH(DATE(Dashboard!$C$4,5,1),0))))</f>
        <v/>
      </c>
      <c r="H61" s="158">
        <f>IF(DATE(Dashboard!$C$4,6,1)&gt;TODAY(),"",SUMIFS(Akun!$C$5:$C$104,Akun!$A$5:$A$104,"Uang Kos Mama Cash",Akun!$D$5:$D$104,"&lt;="&amp;MIN(TODAY(),EOMONTH(DATE(Dashboard!$C$4,6,1),0)))+SUMIFS(Transaksi!$F$16:$F$5015,Transaksi!$C$16:$C$5015,"Uang Kos Mama Cash",Transaksi!$D$16:$D$5015,"Masuk",Transaksi!$B$16:$B$5015,"&lt;="&amp;MIN(TODAY(),EOMONTH(DATE(Dashboard!$C$4,6,1),0)))-SUMIFS(Transaksi!$F$16:$F$5015,Transaksi!$C$16:$C$5015,"Uang Kos Mama Cash",Transaksi!$D$16:$D$5015,"Keluar",Transaksi!$B$16:$B$5015,"&lt;="&amp;MIN(TODAY(),EOMONTH(DATE(Dashboard!$C$4,6,1),0)))-SUMIFS(Transaksi!$F$16:$F$5015,Transaksi!$C$16:$C$5015,"Uang Kos Mama Cash",Transaksi!$D$16:$D$5015,"Pindah",Transaksi!$B$16:$B$5015,"&lt;="&amp;MIN(TODAY(),EOMONTH(DATE(Dashboard!$C$4,6,1),0)))+SUMIFS(Transaksi!$F$16:$F$5015,Transaksi!$E$16:$E$5015,"Uang Kos Mama Cash",Transaksi!$D$16:$D$5015,"Pindah",Transaksi!$B$16:$B$5015,"&lt;="&amp;MIN(TODAY(),EOMONTH(DATE(Dashboard!$C$4,6,1),0)))+SUMIFS(Akun!$C$5:$C$104,Akun!$A$5:$A$104,"Jago - Uang Kos Mama",Akun!$D$5:$D$104,"&lt;="&amp;MIN(TODAY(),EOMONTH(DATE(Dashboard!$C$4,6,1),0)))+SUMIFS(Transaksi!$F$16:$F$5015,Transaksi!$C$16:$C$5015,"Jago - Uang Kos Mama",Transaksi!$D$16:$D$5015,"Masuk",Transaksi!$B$16:$B$5015,"&lt;="&amp;MIN(TODAY(),EOMONTH(DATE(Dashboard!$C$4,6,1),0)))-SUMIFS(Transaksi!$F$16:$F$5015,Transaksi!$C$16:$C$5015,"Jago - Uang Kos Mama",Transaksi!$D$16:$D$5015,"Keluar",Transaksi!$B$16:$B$5015,"&lt;="&amp;MIN(TODAY(),EOMONTH(DATE(Dashboard!$C$4,6,1),0)))-SUMIFS(Transaksi!$F$16:$F$5015,Transaksi!$C$16:$C$5015,"Jago - Uang Kos Mama",Transaksi!$D$16:$D$5015,"Pindah",Transaksi!$B$16:$B$5015,"&lt;="&amp;MIN(TODAY(),EOMONTH(DATE(Dashboard!$C$4,6,1),0)))+SUMIFS(Transaksi!$F$16:$F$5015,Transaksi!$E$16:$E$5015,"Jago - Uang Kos Mama",Transaksi!$D$16:$D$5015,"Pindah",Transaksi!$B$16:$B$5015,"&lt;="&amp;MIN(TODAY(),EOMONTH(DATE(Dashboard!$C$4,6,1),0))))</f>
        <v/>
      </c>
      <c r="I61" s="158">
        <f>IF(DATE(Dashboard!$C$4,7,1)&gt;TODAY(),"",SUMIFS(Akun!$C$5:$C$104,Akun!$A$5:$A$104,"Uang Kos Mama Cash",Akun!$D$5:$D$104,"&lt;="&amp;MIN(TODAY(),EOMONTH(DATE(Dashboard!$C$4,7,1),0)))+SUMIFS(Transaksi!$F$16:$F$5015,Transaksi!$C$16:$C$5015,"Uang Kos Mama Cash",Transaksi!$D$16:$D$5015,"Masuk",Transaksi!$B$16:$B$5015,"&lt;="&amp;MIN(TODAY(),EOMONTH(DATE(Dashboard!$C$4,7,1),0)))-SUMIFS(Transaksi!$F$16:$F$5015,Transaksi!$C$16:$C$5015,"Uang Kos Mama Cash",Transaksi!$D$16:$D$5015,"Keluar",Transaksi!$B$16:$B$5015,"&lt;="&amp;MIN(TODAY(),EOMONTH(DATE(Dashboard!$C$4,7,1),0)))-SUMIFS(Transaksi!$F$16:$F$5015,Transaksi!$C$16:$C$5015,"Uang Kos Mama Cash",Transaksi!$D$16:$D$5015,"Pindah",Transaksi!$B$16:$B$5015,"&lt;="&amp;MIN(TODAY(),EOMONTH(DATE(Dashboard!$C$4,7,1),0)))+SUMIFS(Transaksi!$F$16:$F$5015,Transaksi!$E$16:$E$5015,"Uang Kos Mama Cash",Transaksi!$D$16:$D$5015,"Pindah",Transaksi!$B$16:$B$5015,"&lt;="&amp;MIN(TODAY(),EOMONTH(DATE(Dashboard!$C$4,7,1),0)))+SUMIFS(Akun!$C$5:$C$104,Akun!$A$5:$A$104,"Jago - Uang Kos Mama",Akun!$D$5:$D$104,"&lt;="&amp;MIN(TODAY(),EOMONTH(DATE(Dashboard!$C$4,7,1),0)))+SUMIFS(Transaksi!$F$16:$F$5015,Transaksi!$C$16:$C$5015,"Jago - Uang Kos Mama",Transaksi!$D$16:$D$5015,"Masuk",Transaksi!$B$16:$B$5015,"&lt;="&amp;MIN(TODAY(),EOMONTH(DATE(Dashboard!$C$4,7,1),0)))-SUMIFS(Transaksi!$F$16:$F$5015,Transaksi!$C$16:$C$5015,"Jago - Uang Kos Mama",Transaksi!$D$16:$D$5015,"Keluar",Transaksi!$B$16:$B$5015,"&lt;="&amp;MIN(TODAY(),EOMONTH(DATE(Dashboard!$C$4,7,1),0)))-SUMIFS(Transaksi!$F$16:$F$5015,Transaksi!$C$16:$C$5015,"Jago - Uang Kos Mama",Transaksi!$D$16:$D$5015,"Pindah",Transaksi!$B$16:$B$5015,"&lt;="&amp;MIN(TODAY(),EOMONTH(DATE(Dashboard!$C$4,7,1),0)))+SUMIFS(Transaksi!$F$16:$F$5015,Transaksi!$E$16:$E$5015,"Jago - Uang Kos Mama",Transaksi!$D$16:$D$5015,"Pindah",Transaksi!$B$16:$B$5015,"&lt;="&amp;MIN(TODAY(),EOMONTH(DATE(Dashboard!$C$4,7,1),0))))</f>
        <v/>
      </c>
      <c r="J61" s="158">
        <f>IF(DATE(Dashboard!$C$4,8,1)&gt;TODAY(),"",SUMIFS(Akun!$C$5:$C$104,Akun!$A$5:$A$104,"Uang Kos Mama Cash",Akun!$D$5:$D$104,"&lt;="&amp;MIN(TODAY(),EOMONTH(DATE(Dashboard!$C$4,8,1),0)))+SUMIFS(Transaksi!$F$16:$F$5015,Transaksi!$C$16:$C$5015,"Uang Kos Mama Cash",Transaksi!$D$16:$D$5015,"Masuk",Transaksi!$B$16:$B$5015,"&lt;="&amp;MIN(TODAY(),EOMONTH(DATE(Dashboard!$C$4,8,1),0)))-SUMIFS(Transaksi!$F$16:$F$5015,Transaksi!$C$16:$C$5015,"Uang Kos Mama Cash",Transaksi!$D$16:$D$5015,"Keluar",Transaksi!$B$16:$B$5015,"&lt;="&amp;MIN(TODAY(),EOMONTH(DATE(Dashboard!$C$4,8,1),0)))-SUMIFS(Transaksi!$F$16:$F$5015,Transaksi!$C$16:$C$5015,"Uang Kos Mama Cash",Transaksi!$D$16:$D$5015,"Pindah",Transaksi!$B$16:$B$5015,"&lt;="&amp;MIN(TODAY(),EOMONTH(DATE(Dashboard!$C$4,8,1),0)))+SUMIFS(Transaksi!$F$16:$F$5015,Transaksi!$E$16:$E$5015,"Uang Kos Mama Cash",Transaksi!$D$16:$D$5015,"Pindah",Transaksi!$B$16:$B$5015,"&lt;="&amp;MIN(TODAY(),EOMONTH(DATE(Dashboard!$C$4,8,1),0)))+SUMIFS(Akun!$C$5:$C$104,Akun!$A$5:$A$104,"Jago - Uang Kos Mama",Akun!$D$5:$D$104,"&lt;="&amp;MIN(TODAY(),EOMONTH(DATE(Dashboard!$C$4,8,1),0)))+SUMIFS(Transaksi!$F$16:$F$5015,Transaksi!$C$16:$C$5015,"Jago - Uang Kos Mama",Transaksi!$D$16:$D$5015,"Masuk",Transaksi!$B$16:$B$5015,"&lt;="&amp;MIN(TODAY(),EOMONTH(DATE(Dashboard!$C$4,8,1),0)))-SUMIFS(Transaksi!$F$16:$F$5015,Transaksi!$C$16:$C$5015,"Jago - Uang Kos Mama",Transaksi!$D$16:$D$5015,"Keluar",Transaksi!$B$16:$B$5015,"&lt;="&amp;MIN(TODAY(),EOMONTH(DATE(Dashboard!$C$4,8,1),0)))-SUMIFS(Transaksi!$F$16:$F$5015,Transaksi!$C$16:$C$5015,"Jago - Uang Kos Mama",Transaksi!$D$16:$D$5015,"Pindah",Transaksi!$B$16:$B$5015,"&lt;="&amp;MIN(TODAY(),EOMONTH(DATE(Dashboard!$C$4,8,1),0)))+SUMIFS(Transaksi!$F$16:$F$5015,Transaksi!$E$16:$E$5015,"Jago - Uang Kos Mama",Transaksi!$D$16:$D$5015,"Pindah",Transaksi!$B$16:$B$5015,"&lt;="&amp;MIN(TODAY(),EOMONTH(DATE(Dashboard!$C$4,8,1),0))))</f>
        <v/>
      </c>
      <c r="K61" s="158">
        <f>IF(DATE(Dashboard!$C$4,9,1)&gt;TODAY(),"",SUMIFS(Akun!$C$5:$C$104,Akun!$A$5:$A$104,"Uang Kos Mama Cash",Akun!$D$5:$D$104,"&lt;="&amp;MIN(TODAY(),EOMONTH(DATE(Dashboard!$C$4,9,1),0)))+SUMIFS(Transaksi!$F$16:$F$5015,Transaksi!$C$16:$C$5015,"Uang Kos Mama Cash",Transaksi!$D$16:$D$5015,"Masuk",Transaksi!$B$16:$B$5015,"&lt;="&amp;MIN(TODAY(),EOMONTH(DATE(Dashboard!$C$4,9,1),0)))-SUMIFS(Transaksi!$F$16:$F$5015,Transaksi!$C$16:$C$5015,"Uang Kos Mama Cash",Transaksi!$D$16:$D$5015,"Keluar",Transaksi!$B$16:$B$5015,"&lt;="&amp;MIN(TODAY(),EOMONTH(DATE(Dashboard!$C$4,9,1),0)))-SUMIFS(Transaksi!$F$16:$F$5015,Transaksi!$C$16:$C$5015,"Uang Kos Mama Cash",Transaksi!$D$16:$D$5015,"Pindah",Transaksi!$B$16:$B$5015,"&lt;="&amp;MIN(TODAY(),EOMONTH(DATE(Dashboard!$C$4,9,1),0)))+SUMIFS(Transaksi!$F$16:$F$5015,Transaksi!$E$16:$E$5015,"Uang Kos Mama Cash",Transaksi!$D$16:$D$5015,"Pindah",Transaksi!$B$16:$B$5015,"&lt;="&amp;MIN(TODAY(),EOMONTH(DATE(Dashboard!$C$4,9,1),0)))+SUMIFS(Akun!$C$5:$C$104,Akun!$A$5:$A$104,"Jago - Uang Kos Mama",Akun!$D$5:$D$104,"&lt;="&amp;MIN(TODAY(),EOMONTH(DATE(Dashboard!$C$4,9,1),0)))+SUMIFS(Transaksi!$F$16:$F$5015,Transaksi!$C$16:$C$5015,"Jago - Uang Kos Mama",Transaksi!$D$16:$D$5015,"Masuk",Transaksi!$B$16:$B$5015,"&lt;="&amp;MIN(TODAY(),EOMONTH(DATE(Dashboard!$C$4,9,1),0)))-SUMIFS(Transaksi!$F$16:$F$5015,Transaksi!$C$16:$C$5015,"Jago - Uang Kos Mama",Transaksi!$D$16:$D$5015,"Keluar",Transaksi!$B$16:$B$5015,"&lt;="&amp;MIN(TODAY(),EOMONTH(DATE(Dashboard!$C$4,9,1),0)))-SUMIFS(Transaksi!$F$16:$F$5015,Transaksi!$C$16:$C$5015,"Jago - Uang Kos Mama",Transaksi!$D$16:$D$5015,"Pindah",Transaksi!$B$16:$B$5015,"&lt;="&amp;MIN(TODAY(),EOMONTH(DATE(Dashboard!$C$4,9,1),0)))+SUMIFS(Transaksi!$F$16:$F$5015,Transaksi!$E$16:$E$5015,"Jago - Uang Kos Mama",Transaksi!$D$16:$D$5015,"Pindah",Transaksi!$B$16:$B$5015,"&lt;="&amp;MIN(TODAY(),EOMONTH(DATE(Dashboard!$C$4,9,1),0))))</f>
        <v/>
      </c>
      <c r="L61" s="158">
        <f>IF(DATE(Dashboard!$C$4,10,1)&gt;TODAY(),"",SUMIFS(Akun!$C$5:$C$104,Akun!$A$5:$A$104,"Uang Kos Mama Cash",Akun!$D$5:$D$104,"&lt;="&amp;MIN(TODAY(),EOMONTH(DATE(Dashboard!$C$4,10,1),0)))+SUMIFS(Transaksi!$F$16:$F$5015,Transaksi!$C$16:$C$5015,"Uang Kos Mama Cash",Transaksi!$D$16:$D$5015,"Masuk",Transaksi!$B$16:$B$5015,"&lt;="&amp;MIN(TODAY(),EOMONTH(DATE(Dashboard!$C$4,10,1),0)))-SUMIFS(Transaksi!$F$16:$F$5015,Transaksi!$C$16:$C$5015,"Uang Kos Mama Cash",Transaksi!$D$16:$D$5015,"Keluar",Transaksi!$B$16:$B$5015,"&lt;="&amp;MIN(TODAY(),EOMONTH(DATE(Dashboard!$C$4,10,1),0)))-SUMIFS(Transaksi!$F$16:$F$5015,Transaksi!$C$16:$C$5015,"Uang Kos Mama Cash",Transaksi!$D$16:$D$5015,"Pindah",Transaksi!$B$16:$B$5015,"&lt;="&amp;MIN(TODAY(),EOMONTH(DATE(Dashboard!$C$4,10,1),0)))+SUMIFS(Transaksi!$F$16:$F$5015,Transaksi!$E$16:$E$5015,"Uang Kos Mama Cash",Transaksi!$D$16:$D$5015,"Pindah",Transaksi!$B$16:$B$5015,"&lt;="&amp;MIN(TODAY(),EOMONTH(DATE(Dashboard!$C$4,10,1),0)))+SUMIFS(Akun!$C$5:$C$104,Akun!$A$5:$A$104,"Jago - Uang Kos Mama",Akun!$D$5:$D$104,"&lt;="&amp;MIN(TODAY(),EOMONTH(DATE(Dashboard!$C$4,10,1),0)))+SUMIFS(Transaksi!$F$16:$F$5015,Transaksi!$C$16:$C$5015,"Jago - Uang Kos Mama",Transaksi!$D$16:$D$5015,"Masuk",Transaksi!$B$16:$B$5015,"&lt;="&amp;MIN(TODAY(),EOMONTH(DATE(Dashboard!$C$4,10,1),0)))-SUMIFS(Transaksi!$F$16:$F$5015,Transaksi!$C$16:$C$5015,"Jago - Uang Kos Mama",Transaksi!$D$16:$D$5015,"Keluar",Transaksi!$B$16:$B$5015,"&lt;="&amp;MIN(TODAY(),EOMONTH(DATE(Dashboard!$C$4,10,1),0)))-SUMIFS(Transaksi!$F$16:$F$5015,Transaksi!$C$16:$C$5015,"Jago - Uang Kos Mama",Transaksi!$D$16:$D$5015,"Pindah",Transaksi!$B$16:$B$5015,"&lt;="&amp;MIN(TODAY(),EOMONTH(DATE(Dashboard!$C$4,10,1),0)))+SUMIFS(Transaksi!$F$16:$F$5015,Transaksi!$E$16:$E$5015,"Jago - Uang Kos Mama",Transaksi!$D$16:$D$5015,"Pindah",Transaksi!$B$16:$B$5015,"&lt;="&amp;MIN(TODAY(),EOMONTH(DATE(Dashboard!$C$4,10,1),0))))</f>
        <v/>
      </c>
      <c r="M61" s="158">
        <f>IF(DATE(Dashboard!$C$4,11,1)&gt;TODAY(),"",SUMIFS(Akun!$C$5:$C$104,Akun!$A$5:$A$104,"Uang Kos Mama Cash",Akun!$D$5:$D$104,"&lt;="&amp;MIN(TODAY(),EOMONTH(DATE(Dashboard!$C$4,11,1),0)))+SUMIFS(Transaksi!$F$16:$F$5015,Transaksi!$C$16:$C$5015,"Uang Kos Mama Cash",Transaksi!$D$16:$D$5015,"Masuk",Transaksi!$B$16:$B$5015,"&lt;="&amp;MIN(TODAY(),EOMONTH(DATE(Dashboard!$C$4,11,1),0)))-SUMIFS(Transaksi!$F$16:$F$5015,Transaksi!$C$16:$C$5015,"Uang Kos Mama Cash",Transaksi!$D$16:$D$5015,"Keluar",Transaksi!$B$16:$B$5015,"&lt;="&amp;MIN(TODAY(),EOMONTH(DATE(Dashboard!$C$4,11,1),0)))-SUMIFS(Transaksi!$F$16:$F$5015,Transaksi!$C$16:$C$5015,"Uang Kos Mama Cash",Transaksi!$D$16:$D$5015,"Pindah",Transaksi!$B$16:$B$5015,"&lt;="&amp;MIN(TODAY(),EOMONTH(DATE(Dashboard!$C$4,11,1),0)))+SUMIFS(Transaksi!$F$16:$F$5015,Transaksi!$E$16:$E$5015,"Uang Kos Mama Cash",Transaksi!$D$16:$D$5015,"Pindah",Transaksi!$B$16:$B$5015,"&lt;="&amp;MIN(TODAY(),EOMONTH(DATE(Dashboard!$C$4,11,1),0)))+SUMIFS(Akun!$C$5:$C$104,Akun!$A$5:$A$104,"Jago - Uang Kos Mama",Akun!$D$5:$D$104,"&lt;="&amp;MIN(TODAY(),EOMONTH(DATE(Dashboard!$C$4,11,1),0)))+SUMIFS(Transaksi!$F$16:$F$5015,Transaksi!$C$16:$C$5015,"Jago - Uang Kos Mama",Transaksi!$D$16:$D$5015,"Masuk",Transaksi!$B$16:$B$5015,"&lt;="&amp;MIN(TODAY(),EOMONTH(DATE(Dashboard!$C$4,11,1),0)))-SUMIFS(Transaksi!$F$16:$F$5015,Transaksi!$C$16:$C$5015,"Jago - Uang Kos Mama",Transaksi!$D$16:$D$5015,"Keluar",Transaksi!$B$16:$B$5015,"&lt;="&amp;MIN(TODAY(),EOMONTH(DATE(Dashboard!$C$4,11,1),0)))-SUMIFS(Transaksi!$F$16:$F$5015,Transaksi!$C$16:$C$5015,"Jago - Uang Kos Mama",Transaksi!$D$16:$D$5015,"Pindah",Transaksi!$B$16:$B$5015,"&lt;="&amp;MIN(TODAY(),EOMONTH(DATE(Dashboard!$C$4,11,1),0)))+SUMIFS(Transaksi!$F$16:$F$5015,Transaksi!$E$16:$E$5015,"Jago - Uang Kos Mama",Transaksi!$D$16:$D$5015,"Pindah",Transaksi!$B$16:$B$5015,"&lt;="&amp;MIN(TODAY(),EOMONTH(DATE(Dashboard!$C$4,11,1),0))))</f>
        <v/>
      </c>
      <c r="N61" s="158">
        <f>IF(DATE(Dashboard!$C$4,12,1)&gt;TODAY(),"",SUMIFS(Akun!$C$5:$C$104,Akun!$A$5:$A$104,"Uang Kos Mama Cash",Akun!$D$5:$D$104,"&lt;="&amp;MIN(TODAY(),EOMONTH(DATE(Dashboard!$C$4,12,1),0)))+SUMIFS(Transaksi!$F$16:$F$5015,Transaksi!$C$16:$C$5015,"Uang Kos Mama Cash",Transaksi!$D$16:$D$5015,"Masuk",Transaksi!$B$16:$B$5015,"&lt;="&amp;MIN(TODAY(),EOMONTH(DATE(Dashboard!$C$4,12,1),0)))-SUMIFS(Transaksi!$F$16:$F$5015,Transaksi!$C$16:$C$5015,"Uang Kos Mama Cash",Transaksi!$D$16:$D$5015,"Keluar",Transaksi!$B$16:$B$5015,"&lt;="&amp;MIN(TODAY(),EOMONTH(DATE(Dashboard!$C$4,12,1),0)))-SUMIFS(Transaksi!$F$16:$F$5015,Transaksi!$C$16:$C$5015,"Uang Kos Mama Cash",Transaksi!$D$16:$D$5015,"Pindah",Transaksi!$B$16:$B$5015,"&lt;="&amp;MIN(TODAY(),EOMONTH(DATE(Dashboard!$C$4,12,1),0)))+SUMIFS(Transaksi!$F$16:$F$5015,Transaksi!$E$16:$E$5015,"Uang Kos Mama Cash",Transaksi!$D$16:$D$5015,"Pindah",Transaksi!$B$16:$B$5015,"&lt;="&amp;MIN(TODAY(),EOMONTH(DATE(Dashboard!$C$4,12,1),0)))+SUMIFS(Akun!$C$5:$C$104,Akun!$A$5:$A$104,"Jago - Uang Kos Mama",Akun!$D$5:$D$104,"&lt;="&amp;MIN(TODAY(),EOMONTH(DATE(Dashboard!$C$4,12,1),0)))+SUMIFS(Transaksi!$F$16:$F$5015,Transaksi!$C$16:$C$5015,"Jago - Uang Kos Mama",Transaksi!$D$16:$D$5015,"Masuk",Transaksi!$B$16:$B$5015,"&lt;="&amp;MIN(TODAY(),EOMONTH(DATE(Dashboard!$C$4,12,1),0)))-SUMIFS(Transaksi!$F$16:$F$5015,Transaksi!$C$16:$C$5015,"Jago - Uang Kos Mama",Transaksi!$D$16:$D$5015,"Keluar",Transaksi!$B$16:$B$5015,"&lt;="&amp;MIN(TODAY(),EOMONTH(DATE(Dashboard!$C$4,12,1),0)))-SUMIFS(Transaksi!$F$16:$F$5015,Transaksi!$C$16:$C$5015,"Jago - Uang Kos Mama",Transaksi!$D$16:$D$5015,"Pindah",Transaksi!$B$16:$B$5015,"&lt;="&amp;MIN(TODAY(),EOMONTH(DATE(Dashboard!$C$4,12,1),0)))+SUMIFS(Transaksi!$F$16:$F$5015,Transaksi!$E$16:$E$5015,"Jago - Uang Kos Mama",Transaksi!$D$16:$D$5015,"Pindah",Transaksi!$B$16:$B$5015,"&lt;="&amp;MIN(TODAY(),EOMONTH(DATE(Dashboard!$C$4,12,1),0))))</f>
        <v/>
      </c>
      <c r="O61" s="143" t="n"/>
    </row>
    <row r="62" ht="15" customHeight="1" s="94">
      <c r="B62" s="157" t="n"/>
      <c r="C62" s="158" t="n"/>
      <c r="D62" s="158" t="n"/>
      <c r="E62" s="158" t="n"/>
      <c r="F62" s="158" t="n"/>
      <c r="G62" s="158" t="n"/>
      <c r="H62" s="158" t="n"/>
      <c r="I62" s="158" t="n"/>
      <c r="J62" s="158" t="n"/>
      <c r="K62" s="158" t="n"/>
      <c r="L62" s="158" t="n"/>
      <c r="M62" s="158" t="n"/>
      <c r="N62" s="158" t="n"/>
      <c r="O62" s="143" t="n"/>
    </row>
    <row r="63"/>
    <row r="64" ht="15" customHeight="1" s="94">
      <c r="B64" s="105" t="n"/>
      <c r="C64" s="106" t="n"/>
    </row>
    <row r="65"/>
    <row r="66" ht="27.75" customHeight="1" s="94">
      <c r="B66" s="114" t="inlineStr">
        <is>
          <t>CARA MEMBACA BAGIAN D:</t>
        </is>
      </c>
    </row>
    <row r="67" ht="27.75" customHeight="1" s="94">
      <c r="B67" s="114" t="inlineStr">
        <is>
          <t>• Sisa bulan ini = uang kos masuk − uang kos keluar.</t>
        </is>
      </c>
    </row>
    <row r="68" ht="27.75" customHeight="1" s="94">
      <c r="B68" s="114" t="inlineStr">
        <is>
          <t>• Masuk investasi (bersih) = disetor ke reksadana uang kos mama − yang dicairkan. Bisa minus kalau reksadana dicairkan untuk bayar listrik, pegadaian, dll.</t>
        </is>
      </c>
    </row>
    <row r="69" ht="27.75" customHeight="1" s="94">
      <c r="B69" s="114" t="inlineStr">
        <is>
          <t>• Baris terakhir = uang kos yang masih ada di Kantong Uang Kos Mama + cash. Kalau hampir Rp0, berarti semua uang kos sudah diinvestasikan atau terpakai untuk kebutuhan kos.</t>
        </is>
      </c>
    </row>
    <row r="70" ht="27.75" customHeight="1" s="94">
      <c r="B70" s="114" t="inlineStr">
        <is>
          <t>• Rincian reksadana uang kos mama ada di sheet "Reksadana Kos Mama".</t>
        </is>
      </c>
    </row>
  </sheetData>
  <mergeCells count="12">
    <mergeCell ref="B53:O53"/>
    <mergeCell ref="B4:O4"/>
    <mergeCell ref="B39:O39"/>
    <mergeCell ref="A1:P1"/>
    <mergeCell ref="B69:O69"/>
    <mergeCell ref="B68:O68"/>
    <mergeCell ref="B70:O70"/>
    <mergeCell ref="B51:O51"/>
    <mergeCell ref="B67:O67"/>
    <mergeCell ref="B28:O28"/>
    <mergeCell ref="B66:O66"/>
    <mergeCell ref="A2:P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G28"/>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95" customWidth="1" style="93" min="1" max="1"/>
    <col width="22" customWidth="1" style="93" min="2" max="2"/>
    <col width="17" customWidth="1" style="93" min="3" max="5"/>
    <col width="19" customWidth="1" style="93" min="6" max="6"/>
    <col width="2.95" customWidth="1" style="93" min="7" max="8"/>
  </cols>
  <sheetData>
    <row r="1" ht="18" customHeight="1" s="94">
      <c r="A1" s="95" t="inlineStr">
        <is>
          <t>REKSADANA UANG KOS MAMA (MILIK MAMA)</t>
        </is>
      </c>
    </row>
    <row r="2" ht="30" customHeight="1" s="94">
      <c r="A2" s="98" t="inlineStr">
        <is>
          <t>Terpisah dari investasi pribadimu. Modal &amp; nilai sel kuning diisi dari Bibit (portofolio "Uang kos mama"). Setoran &amp; pencairan per bulan dihitung otomatis dari tab Transaksi (Tujuan = Tabungan, Sumber = Reksadana uang kos mama).</t>
        </is>
      </c>
    </row>
    <row r="3"/>
    <row r="4" ht="15" customHeight="1" s="94">
      <c r="B4" s="101" t="inlineStr">
        <is>
          <t>A. POSISI SEKARANG (Bibit)</t>
        </is>
      </c>
    </row>
    <row r="5" ht="15" customHeight="1" s="94">
      <c r="B5" s="127" t="inlineStr">
        <is>
          <t>Produk</t>
        </is>
      </c>
      <c r="C5" s="106" t="inlineStr">
        <is>
          <t>Majoris Pasar Uang Syariah Indonesia</t>
        </is>
      </c>
    </row>
    <row r="6" ht="15" customHeight="1" s="94">
      <c r="B6" s="127" t="inlineStr">
        <is>
          <t>Modal investasi</t>
        </is>
      </c>
      <c r="C6" s="144" t="n">
        <v>11874131</v>
      </c>
    </row>
    <row r="7" ht="15" customHeight="1" s="94">
      <c r="B7" s="127" t="inlineStr">
        <is>
          <t>Nilai sekarang</t>
        </is>
      </c>
      <c r="C7" s="144" t="n">
        <v>12262975</v>
      </c>
    </row>
    <row r="8" ht="15" customHeight="1" s="94">
      <c r="B8" s="127" t="inlineStr">
        <is>
          <t>Keuntungan</t>
        </is>
      </c>
      <c r="C8" s="106">
        <f>C7-C6</f>
        <v/>
      </c>
    </row>
    <row r="9" ht="15" customHeight="1" s="94">
      <c r="B9" s="127" t="inlineStr">
        <is>
          <t>Imbal hasil</t>
        </is>
      </c>
      <c r="C9" s="162">
        <f>IF(C6=0,"-",C8/C6)</f>
        <v/>
      </c>
    </row>
    <row r="10" ht="15" customHeight="1" s="94">
      <c r="B10" s="127" t="inlineStr">
        <is>
          <t>Per tanggal</t>
        </is>
      </c>
      <c r="C10" s="106" t="inlineStr">
        <is>
          <t>26 Sep 2026</t>
        </is>
      </c>
    </row>
    <row r="11"/>
    <row r="12" ht="15" customHeight="1" s="94">
      <c r="B12" s="101">
        <f>"B. SETOR &amp; CAIR PER BULAN — TAHUN "&amp;Dashboard!$C$4</f>
        <v/>
      </c>
    </row>
    <row r="13" ht="30" customHeight="1" s="94">
      <c r="B13" s="103" t="inlineStr">
        <is>
          <t>Bulan</t>
        </is>
      </c>
      <c r="C13" s="103" t="inlineStr">
        <is>
          <t>Disetor dari uang kos</t>
        </is>
      </c>
      <c r="D13" s="103" t="inlineStr">
        <is>
          <t>Dicairkan</t>
        </is>
      </c>
      <c r="E13" s="103" t="inlineStr">
        <is>
          <t>Bersih masuk investasi</t>
        </is>
      </c>
      <c r="F13" s="103" t="inlineStr">
        <is>
          <t>Kumulatif bersih tahun ini</t>
        </is>
      </c>
    </row>
    <row r="14" ht="15" customHeight="1" s="94">
      <c r="B14" s="127" t="inlineStr">
        <is>
          <t>Januari</t>
        </is>
      </c>
      <c r="C14" s="106">
        <f>SUMIFS(Transaksi!$F$16:$F$5015,Transaksi!$G$16:$G$5015,"Tabungan",Transaksi!$H$16:$H$5015,"Reksadana uang kos mama",Transaksi!$D$16:$D$5015,"Keluar",Transaksi!$B$16:$B$5015,"&gt;="&amp;DATE(Dashboard!$C$4,1,1),Transaksi!$B$16:$B$5015,"&lt;="&amp;EOMONTH(DATE(Dashboard!$C$4,1,1),0))</f>
        <v/>
      </c>
      <c r="D14" s="106">
        <f>SUMIFS(Transaksi!$F$16:$F$5015,Transaksi!$G$16:$G$5015,"Tabungan",Transaksi!$H$16:$H$5015,"Reksadana uang kos mama",Transaksi!$D$16:$D$5015,"Masuk",Transaksi!$B$16:$B$5015,"&gt;="&amp;DATE(Dashboard!$C$4,1,1),Transaksi!$B$16:$B$5015,"&lt;="&amp;EOMONTH(DATE(Dashboard!$C$4,1,1),0))</f>
        <v/>
      </c>
      <c r="E14" s="106">
        <f>C14-D14</f>
        <v/>
      </c>
      <c r="F14" s="113">
        <f>IF(DATE(Dashboard!$C$4,1,1)&gt;TODAY(),"",E14)</f>
        <v/>
      </c>
    </row>
    <row r="15" ht="15" customHeight="1" s="94">
      <c r="B15" s="127" t="inlineStr">
        <is>
          <t>Februari</t>
        </is>
      </c>
      <c r="C15" s="106">
        <f>SUMIFS(Transaksi!$F$16:$F$5015,Transaksi!$G$16:$G$5015,"Tabungan",Transaksi!$H$16:$H$5015,"Reksadana uang kos mama",Transaksi!$D$16:$D$5015,"Keluar",Transaksi!$B$16:$B$5015,"&gt;="&amp;DATE(Dashboard!$C$4,2,1),Transaksi!$B$16:$B$5015,"&lt;="&amp;EOMONTH(DATE(Dashboard!$C$4,2,1),0))</f>
        <v/>
      </c>
      <c r="D15" s="106">
        <f>SUMIFS(Transaksi!$F$16:$F$5015,Transaksi!$G$16:$G$5015,"Tabungan",Transaksi!$H$16:$H$5015,"Reksadana uang kos mama",Transaksi!$D$16:$D$5015,"Masuk",Transaksi!$B$16:$B$5015,"&gt;="&amp;DATE(Dashboard!$C$4,2,1),Transaksi!$B$16:$B$5015,"&lt;="&amp;EOMONTH(DATE(Dashboard!$C$4,2,1),0))</f>
        <v/>
      </c>
      <c r="E15" s="106">
        <f>C15-D15</f>
        <v/>
      </c>
      <c r="F15" s="113">
        <f>IF(DATE(Dashboard!$C$4,2,1)&gt;TODAY(),"",F14+E15)</f>
        <v/>
      </c>
    </row>
    <row r="16" ht="15" customHeight="1" s="94">
      <c r="B16" s="127" t="inlineStr">
        <is>
          <t>Maret</t>
        </is>
      </c>
      <c r="C16" s="106">
        <f>SUMIFS(Transaksi!$F$16:$F$5015,Transaksi!$G$16:$G$5015,"Tabungan",Transaksi!$H$16:$H$5015,"Reksadana uang kos mama",Transaksi!$D$16:$D$5015,"Keluar",Transaksi!$B$16:$B$5015,"&gt;="&amp;DATE(Dashboard!$C$4,3,1),Transaksi!$B$16:$B$5015,"&lt;="&amp;EOMONTH(DATE(Dashboard!$C$4,3,1),0))</f>
        <v/>
      </c>
      <c r="D16" s="106">
        <f>SUMIFS(Transaksi!$F$16:$F$5015,Transaksi!$G$16:$G$5015,"Tabungan",Transaksi!$H$16:$H$5015,"Reksadana uang kos mama",Transaksi!$D$16:$D$5015,"Masuk",Transaksi!$B$16:$B$5015,"&gt;="&amp;DATE(Dashboard!$C$4,3,1),Transaksi!$B$16:$B$5015,"&lt;="&amp;EOMONTH(DATE(Dashboard!$C$4,3,1),0))</f>
        <v/>
      </c>
      <c r="E16" s="106">
        <f>C16-D16</f>
        <v/>
      </c>
      <c r="F16" s="113">
        <f>IF(DATE(Dashboard!$C$4,3,1)&gt;TODAY(),"",F15+E16)</f>
        <v/>
      </c>
    </row>
    <row r="17" ht="15" customHeight="1" s="94">
      <c r="B17" s="127" t="inlineStr">
        <is>
          <t>April</t>
        </is>
      </c>
      <c r="C17" s="106">
        <f>SUMIFS(Transaksi!$F$16:$F$5015,Transaksi!$G$16:$G$5015,"Tabungan",Transaksi!$H$16:$H$5015,"Reksadana uang kos mama",Transaksi!$D$16:$D$5015,"Keluar",Transaksi!$B$16:$B$5015,"&gt;="&amp;DATE(Dashboard!$C$4,4,1),Transaksi!$B$16:$B$5015,"&lt;="&amp;EOMONTH(DATE(Dashboard!$C$4,4,1),0))</f>
        <v/>
      </c>
      <c r="D17" s="106">
        <f>SUMIFS(Transaksi!$F$16:$F$5015,Transaksi!$G$16:$G$5015,"Tabungan",Transaksi!$H$16:$H$5015,"Reksadana uang kos mama",Transaksi!$D$16:$D$5015,"Masuk",Transaksi!$B$16:$B$5015,"&gt;="&amp;DATE(Dashboard!$C$4,4,1),Transaksi!$B$16:$B$5015,"&lt;="&amp;EOMONTH(DATE(Dashboard!$C$4,4,1),0))</f>
        <v/>
      </c>
      <c r="E17" s="106">
        <f>C17-D17</f>
        <v/>
      </c>
      <c r="F17" s="113">
        <f>IF(DATE(Dashboard!$C$4,4,1)&gt;TODAY(),"",F16+E17)</f>
        <v/>
      </c>
    </row>
    <row r="18" ht="15" customHeight="1" s="94">
      <c r="B18" s="127" t="inlineStr">
        <is>
          <t>Mei</t>
        </is>
      </c>
      <c r="C18" s="106">
        <f>SUMIFS(Transaksi!$F$16:$F$5015,Transaksi!$G$16:$G$5015,"Tabungan",Transaksi!$H$16:$H$5015,"Reksadana uang kos mama",Transaksi!$D$16:$D$5015,"Keluar",Transaksi!$B$16:$B$5015,"&gt;="&amp;DATE(Dashboard!$C$4,5,1),Transaksi!$B$16:$B$5015,"&lt;="&amp;EOMONTH(DATE(Dashboard!$C$4,5,1),0))</f>
        <v/>
      </c>
      <c r="D18" s="106">
        <f>SUMIFS(Transaksi!$F$16:$F$5015,Transaksi!$G$16:$G$5015,"Tabungan",Transaksi!$H$16:$H$5015,"Reksadana uang kos mama",Transaksi!$D$16:$D$5015,"Masuk",Transaksi!$B$16:$B$5015,"&gt;="&amp;DATE(Dashboard!$C$4,5,1),Transaksi!$B$16:$B$5015,"&lt;="&amp;EOMONTH(DATE(Dashboard!$C$4,5,1),0))</f>
        <v/>
      </c>
      <c r="E18" s="106">
        <f>C18-D18</f>
        <v/>
      </c>
      <c r="F18" s="113">
        <f>IF(DATE(Dashboard!$C$4,5,1)&gt;TODAY(),"",F17+E18)</f>
        <v/>
      </c>
    </row>
    <row r="19" ht="15" customHeight="1" s="94">
      <c r="B19" s="127" t="inlineStr">
        <is>
          <t>Juni</t>
        </is>
      </c>
      <c r="C19" s="106">
        <f>SUMIFS(Transaksi!$F$16:$F$5015,Transaksi!$G$16:$G$5015,"Tabungan",Transaksi!$H$16:$H$5015,"Reksadana uang kos mama",Transaksi!$D$16:$D$5015,"Keluar",Transaksi!$B$16:$B$5015,"&gt;="&amp;DATE(Dashboard!$C$4,6,1),Transaksi!$B$16:$B$5015,"&lt;="&amp;EOMONTH(DATE(Dashboard!$C$4,6,1),0))</f>
        <v/>
      </c>
      <c r="D19" s="106">
        <f>SUMIFS(Transaksi!$F$16:$F$5015,Transaksi!$G$16:$G$5015,"Tabungan",Transaksi!$H$16:$H$5015,"Reksadana uang kos mama",Transaksi!$D$16:$D$5015,"Masuk",Transaksi!$B$16:$B$5015,"&gt;="&amp;DATE(Dashboard!$C$4,6,1),Transaksi!$B$16:$B$5015,"&lt;="&amp;EOMONTH(DATE(Dashboard!$C$4,6,1),0))</f>
        <v/>
      </c>
      <c r="E19" s="106">
        <f>C19-D19</f>
        <v/>
      </c>
      <c r="F19" s="113">
        <f>IF(DATE(Dashboard!$C$4,6,1)&gt;TODAY(),"",F18+E19)</f>
        <v/>
      </c>
    </row>
    <row r="20" ht="15" customHeight="1" s="94">
      <c r="B20" s="127" t="inlineStr">
        <is>
          <t>Juli</t>
        </is>
      </c>
      <c r="C20" s="106">
        <f>SUMIFS(Transaksi!$F$16:$F$5015,Transaksi!$G$16:$G$5015,"Tabungan",Transaksi!$H$16:$H$5015,"Reksadana uang kos mama",Transaksi!$D$16:$D$5015,"Keluar",Transaksi!$B$16:$B$5015,"&gt;="&amp;DATE(Dashboard!$C$4,7,1),Transaksi!$B$16:$B$5015,"&lt;="&amp;EOMONTH(DATE(Dashboard!$C$4,7,1),0))</f>
        <v/>
      </c>
      <c r="D20" s="106">
        <f>SUMIFS(Transaksi!$F$16:$F$5015,Transaksi!$G$16:$G$5015,"Tabungan",Transaksi!$H$16:$H$5015,"Reksadana uang kos mama",Transaksi!$D$16:$D$5015,"Masuk",Transaksi!$B$16:$B$5015,"&gt;="&amp;DATE(Dashboard!$C$4,7,1),Transaksi!$B$16:$B$5015,"&lt;="&amp;EOMONTH(DATE(Dashboard!$C$4,7,1),0))</f>
        <v/>
      </c>
      <c r="E20" s="106">
        <f>C20-D20</f>
        <v/>
      </c>
      <c r="F20" s="113">
        <f>IF(DATE(Dashboard!$C$4,7,1)&gt;TODAY(),"",F19+E20)</f>
        <v/>
      </c>
    </row>
    <row r="21" ht="15" customHeight="1" s="94">
      <c r="B21" s="127" t="inlineStr">
        <is>
          <t>Agustus</t>
        </is>
      </c>
      <c r="C21" s="106">
        <f>SUMIFS(Transaksi!$F$16:$F$5015,Transaksi!$G$16:$G$5015,"Tabungan",Transaksi!$H$16:$H$5015,"Reksadana uang kos mama",Transaksi!$D$16:$D$5015,"Keluar",Transaksi!$B$16:$B$5015,"&gt;="&amp;DATE(Dashboard!$C$4,8,1),Transaksi!$B$16:$B$5015,"&lt;="&amp;EOMONTH(DATE(Dashboard!$C$4,8,1),0))</f>
        <v/>
      </c>
      <c r="D21" s="106">
        <f>SUMIFS(Transaksi!$F$16:$F$5015,Transaksi!$G$16:$G$5015,"Tabungan",Transaksi!$H$16:$H$5015,"Reksadana uang kos mama",Transaksi!$D$16:$D$5015,"Masuk",Transaksi!$B$16:$B$5015,"&gt;="&amp;DATE(Dashboard!$C$4,8,1),Transaksi!$B$16:$B$5015,"&lt;="&amp;EOMONTH(DATE(Dashboard!$C$4,8,1),0))</f>
        <v/>
      </c>
      <c r="E21" s="106">
        <f>C21-D21</f>
        <v/>
      </c>
      <c r="F21" s="113">
        <f>IF(DATE(Dashboard!$C$4,8,1)&gt;TODAY(),"",F20+E21)</f>
        <v/>
      </c>
    </row>
    <row r="22" ht="15" customHeight="1" s="94">
      <c r="B22" s="127" t="inlineStr">
        <is>
          <t>September</t>
        </is>
      </c>
      <c r="C22" s="106">
        <f>SUMIFS(Transaksi!$F$16:$F$5015,Transaksi!$G$16:$G$5015,"Tabungan",Transaksi!$H$16:$H$5015,"Reksadana uang kos mama",Transaksi!$D$16:$D$5015,"Keluar",Transaksi!$B$16:$B$5015,"&gt;="&amp;DATE(Dashboard!$C$4,9,1),Transaksi!$B$16:$B$5015,"&lt;="&amp;EOMONTH(DATE(Dashboard!$C$4,9,1),0))</f>
        <v/>
      </c>
      <c r="D22" s="106">
        <f>SUMIFS(Transaksi!$F$16:$F$5015,Transaksi!$G$16:$G$5015,"Tabungan",Transaksi!$H$16:$H$5015,"Reksadana uang kos mama",Transaksi!$D$16:$D$5015,"Masuk",Transaksi!$B$16:$B$5015,"&gt;="&amp;DATE(Dashboard!$C$4,9,1),Transaksi!$B$16:$B$5015,"&lt;="&amp;EOMONTH(DATE(Dashboard!$C$4,9,1),0))</f>
        <v/>
      </c>
      <c r="E22" s="106">
        <f>C22-D22</f>
        <v/>
      </c>
      <c r="F22" s="113">
        <f>IF(DATE(Dashboard!$C$4,9,1)&gt;TODAY(),"",F21+E22)</f>
        <v/>
      </c>
    </row>
    <row r="23" ht="15" customHeight="1" s="94">
      <c r="B23" s="127" t="inlineStr">
        <is>
          <t>Oktober</t>
        </is>
      </c>
      <c r="C23" s="106">
        <f>SUMIFS(Transaksi!$F$16:$F$5015,Transaksi!$G$16:$G$5015,"Tabungan",Transaksi!$H$16:$H$5015,"Reksadana uang kos mama",Transaksi!$D$16:$D$5015,"Keluar",Transaksi!$B$16:$B$5015,"&gt;="&amp;DATE(Dashboard!$C$4,10,1),Transaksi!$B$16:$B$5015,"&lt;="&amp;EOMONTH(DATE(Dashboard!$C$4,10,1),0))</f>
        <v/>
      </c>
      <c r="D23" s="106">
        <f>SUMIFS(Transaksi!$F$16:$F$5015,Transaksi!$G$16:$G$5015,"Tabungan",Transaksi!$H$16:$H$5015,"Reksadana uang kos mama",Transaksi!$D$16:$D$5015,"Masuk",Transaksi!$B$16:$B$5015,"&gt;="&amp;DATE(Dashboard!$C$4,10,1),Transaksi!$B$16:$B$5015,"&lt;="&amp;EOMONTH(DATE(Dashboard!$C$4,10,1),0))</f>
        <v/>
      </c>
      <c r="E23" s="106">
        <f>C23-D23</f>
        <v/>
      </c>
      <c r="F23" s="113">
        <f>IF(DATE(Dashboard!$C$4,10,1)&gt;TODAY(),"",F22+E23)</f>
        <v/>
      </c>
    </row>
    <row r="24" ht="15" customHeight="1" s="94">
      <c r="B24" s="127" t="inlineStr">
        <is>
          <t>November</t>
        </is>
      </c>
      <c r="C24" s="106">
        <f>SUMIFS(Transaksi!$F$16:$F$5015,Transaksi!$G$16:$G$5015,"Tabungan",Transaksi!$H$16:$H$5015,"Reksadana uang kos mama",Transaksi!$D$16:$D$5015,"Keluar",Transaksi!$B$16:$B$5015,"&gt;="&amp;DATE(Dashboard!$C$4,11,1),Transaksi!$B$16:$B$5015,"&lt;="&amp;EOMONTH(DATE(Dashboard!$C$4,11,1),0))</f>
        <v/>
      </c>
      <c r="D24" s="106">
        <f>SUMIFS(Transaksi!$F$16:$F$5015,Transaksi!$G$16:$G$5015,"Tabungan",Transaksi!$H$16:$H$5015,"Reksadana uang kos mama",Transaksi!$D$16:$D$5015,"Masuk",Transaksi!$B$16:$B$5015,"&gt;="&amp;DATE(Dashboard!$C$4,11,1),Transaksi!$B$16:$B$5015,"&lt;="&amp;EOMONTH(DATE(Dashboard!$C$4,11,1),0))</f>
        <v/>
      </c>
      <c r="E24" s="106">
        <f>C24-D24</f>
        <v/>
      </c>
      <c r="F24" s="113">
        <f>IF(DATE(Dashboard!$C$4,11,1)&gt;TODAY(),"",F23+E24)</f>
        <v/>
      </c>
    </row>
    <row r="25" ht="15" customHeight="1" s="94">
      <c r="B25" s="127" t="inlineStr">
        <is>
          <t>Desember</t>
        </is>
      </c>
      <c r="C25" s="106">
        <f>SUMIFS(Transaksi!$F$16:$F$5015,Transaksi!$G$16:$G$5015,"Tabungan",Transaksi!$H$16:$H$5015,"Reksadana uang kos mama",Transaksi!$D$16:$D$5015,"Keluar",Transaksi!$B$16:$B$5015,"&gt;="&amp;DATE(Dashboard!$C$4,12,1),Transaksi!$B$16:$B$5015,"&lt;="&amp;EOMONTH(DATE(Dashboard!$C$4,12,1),0))</f>
        <v/>
      </c>
      <c r="D25" s="106">
        <f>SUMIFS(Transaksi!$F$16:$F$5015,Transaksi!$G$16:$G$5015,"Tabungan",Transaksi!$H$16:$H$5015,"Reksadana uang kos mama",Transaksi!$D$16:$D$5015,"Masuk",Transaksi!$B$16:$B$5015,"&gt;="&amp;DATE(Dashboard!$C$4,12,1),Transaksi!$B$16:$B$5015,"&lt;="&amp;EOMONTH(DATE(Dashboard!$C$4,12,1),0))</f>
        <v/>
      </c>
      <c r="E25" s="106">
        <f>C25-D25</f>
        <v/>
      </c>
      <c r="F25" s="113">
        <f>IF(DATE(Dashboard!$C$4,12,1)&gt;TODAY(),"",F24+E25)</f>
        <v/>
      </c>
    </row>
    <row r="26" ht="15" customHeight="1" s="94">
      <c r="B26" s="108" t="inlineStr">
        <is>
          <t>TOTAL</t>
        </is>
      </c>
      <c r="C26" s="109">
        <f>SUM(C14:C25)</f>
        <v/>
      </c>
      <c r="D26" s="109">
        <f>SUM(D14:D25)</f>
        <v/>
      </c>
      <c r="E26" s="109">
        <f>SUM(E14:E25)</f>
        <v/>
      </c>
    </row>
    <row r="27"/>
    <row r="28" ht="30" customHeight="1" s="94">
      <c r="B28" s="142" t="inlineStr">
        <is>
          <t>Pencairan dipakai untuk bayar listrik kos, pegadaian mama, dll. Transaksinya: tab Transaksi → Sumber = Reksadana uang kos mama.</t>
        </is>
      </c>
    </row>
  </sheetData>
  <mergeCells count="3">
    <mergeCell ref="A2:G2"/>
    <mergeCell ref="B28:F28"/>
    <mergeCell ref="A1:G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tabColor rgb="FF0F7A55"/>
    <outlinePr summaryBelow="1" summaryRight="1"/>
    <pageSetUpPr fitToPage="0"/>
  </sheetPr>
  <dimension ref="A1:Q36"/>
  <sheetViews>
    <sheetView showFormulas="0" showGridLines="1" showRowColHeaders="1" showZeros="1" rightToLeft="0" tabSelected="0" showOutlineSymbols="1" defaultGridColor="1"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baseColWidth="8" defaultColWidth="8.6796875" defaultRowHeight="15" zeroHeight="0" outlineLevelRow="0"/>
  <cols>
    <col width="2" customWidth="1" style="93" min="1" max="1"/>
    <col width="30" customWidth="1" style="93" min="2" max="2"/>
    <col width="15" customWidth="1" style="93" min="3" max="3"/>
    <col width="12" customWidth="1" style="93" min="4" max="15"/>
    <col width="15" customWidth="1" style="93" min="16" max="16"/>
    <col width="14" customWidth="1" style="93" min="17" max="17"/>
  </cols>
  <sheetData>
    <row r="1" ht="18" customHeight="1" s="94">
      <c r="A1" s="95" t="inlineStr">
        <is>
          <t>ANGGARAN PER KATEGORI — UANG PRIBADI</t>
        </is>
      </c>
    </row>
    <row r="2" ht="42" customHeight="1" s="94">
      <c r="A2" s="98" t="inlineStr">
        <is>
          <t>Isi batas per bulan di kolom kuning (sama seperti menu Anggaran di aplikasi). Terpakai = Pengeluaran Gaji + Pengeluaran Jasa per kategori (uang mama, Disan, dan tabungan tidak dihitung). Merah = lewat batas, kuning = sudah 80%. Tahun mengikuti Dashboard. Kategori baru bisa ditulis di baris kosong.</t>
        </is>
      </c>
    </row>
    <row r="3"/>
    <row r="4" ht="15" customHeight="1" s="94">
      <c r="B4" s="101">
        <f>"TAHUN "&amp;Dashboard!$C$4</f>
        <v/>
      </c>
    </row>
    <row r="5" ht="31.5" customHeight="1" s="94">
      <c r="B5" s="155" t="inlineStr">
        <is>
          <t>Kategori</t>
        </is>
      </c>
      <c r="C5" s="155" t="inlineStr">
        <is>
          <t>Anggaran per bulan</t>
        </is>
      </c>
      <c r="D5" s="155" t="inlineStr">
        <is>
          <t>Jan</t>
        </is>
      </c>
      <c r="E5" s="155" t="inlineStr">
        <is>
          <t>Feb</t>
        </is>
      </c>
      <c r="F5" s="155" t="inlineStr">
        <is>
          <t>Mar</t>
        </is>
      </c>
      <c r="G5" s="155" t="inlineStr">
        <is>
          <t>Apr</t>
        </is>
      </c>
      <c r="H5" s="155" t="inlineStr">
        <is>
          <t>Mei</t>
        </is>
      </c>
      <c r="I5" s="155" t="inlineStr">
        <is>
          <t>Jun</t>
        </is>
      </c>
      <c r="J5" s="155" t="inlineStr">
        <is>
          <t>Jul</t>
        </is>
      </c>
      <c r="K5" s="155" t="inlineStr">
        <is>
          <t>Agu</t>
        </is>
      </c>
      <c r="L5" s="155" t="inlineStr">
        <is>
          <t>Sep</t>
        </is>
      </c>
      <c r="M5" s="155" t="inlineStr">
        <is>
          <t>Okt</t>
        </is>
      </c>
      <c r="N5" s="155" t="inlineStr">
        <is>
          <t>Nov</t>
        </is>
      </c>
      <c r="O5" s="155" t="inlineStr">
        <is>
          <t>Des</t>
        </is>
      </c>
      <c r="P5" s="155" t="inlineStr">
        <is>
          <t>Total tahun</t>
        </is>
      </c>
      <c r="Q5" s="155" t="inlineStr">
        <is>
          <t>Rata-rata / bulan</t>
        </is>
      </c>
    </row>
    <row r="6" ht="15" customHeight="1" s="94">
      <c r="B6" s="127" t="inlineStr">
        <is>
          <t>Biaya Admin Transaksi</t>
        </is>
      </c>
      <c r="C6" s="163" t="n"/>
      <c r="D6" s="106">
        <f>IF(OR($B6="",DATE(Dashboard!$C$4,1,1)&gt;TODAY()),"",SUMIFS(Transaksi!$F$16:$F$5015,Transaksi!$G$16:$G$5015,"Pengeluaran",Transaksi!$H$16:$H$5015,"Pengeluaran Gaji",Transaksi!$I$16:$I$5015,$B6,Transaksi!$B$16:$B$5015,"&gt;="&amp;DATE(Dashboard!$C$4,1,1),Transaksi!$B$16:$B$5015,"&lt;="&amp;EOMONTH(DATE(Dashboard!$C$4,1,1),0))+SUMIFS(Transaksi!$F$16:$F$5015,Transaksi!$G$16:$G$5015,"Pengeluaran",Transaksi!$H$16:$H$5015,"Pengeluaran Jasa",Transaksi!$I$16:$I$5015,$B6,Transaksi!$B$16:$B$5015,"&gt;="&amp;DATE(Dashboard!$C$4,1,1),Transaksi!$B$16:$B$5015,"&lt;="&amp;EOMONTH(DATE(Dashboard!$C$4,1,1),0)))</f>
        <v/>
      </c>
      <c r="E6" s="106">
        <f>IF(OR($B6="",DATE(Dashboard!$C$4,2,1)&gt;TODAY()),"",SUMIFS(Transaksi!$F$16:$F$5015,Transaksi!$G$16:$G$5015,"Pengeluaran",Transaksi!$H$16:$H$5015,"Pengeluaran Gaji",Transaksi!$I$16:$I$5015,$B6,Transaksi!$B$16:$B$5015,"&gt;="&amp;DATE(Dashboard!$C$4,2,1),Transaksi!$B$16:$B$5015,"&lt;="&amp;EOMONTH(DATE(Dashboard!$C$4,2,1),0))+SUMIFS(Transaksi!$F$16:$F$5015,Transaksi!$G$16:$G$5015,"Pengeluaran",Transaksi!$H$16:$H$5015,"Pengeluaran Jasa",Transaksi!$I$16:$I$5015,$B6,Transaksi!$B$16:$B$5015,"&gt;="&amp;DATE(Dashboard!$C$4,2,1),Transaksi!$B$16:$B$5015,"&lt;="&amp;EOMONTH(DATE(Dashboard!$C$4,2,1),0)))</f>
        <v/>
      </c>
      <c r="F6" s="106">
        <f>IF(OR($B6="",DATE(Dashboard!$C$4,3,1)&gt;TODAY()),"",SUMIFS(Transaksi!$F$16:$F$5015,Transaksi!$G$16:$G$5015,"Pengeluaran",Transaksi!$H$16:$H$5015,"Pengeluaran Gaji",Transaksi!$I$16:$I$5015,$B6,Transaksi!$B$16:$B$5015,"&gt;="&amp;DATE(Dashboard!$C$4,3,1),Transaksi!$B$16:$B$5015,"&lt;="&amp;EOMONTH(DATE(Dashboard!$C$4,3,1),0))+SUMIFS(Transaksi!$F$16:$F$5015,Transaksi!$G$16:$G$5015,"Pengeluaran",Transaksi!$H$16:$H$5015,"Pengeluaran Jasa",Transaksi!$I$16:$I$5015,$B6,Transaksi!$B$16:$B$5015,"&gt;="&amp;DATE(Dashboard!$C$4,3,1),Transaksi!$B$16:$B$5015,"&lt;="&amp;EOMONTH(DATE(Dashboard!$C$4,3,1),0)))</f>
        <v/>
      </c>
      <c r="G6" s="106">
        <f>IF(OR($B6="",DATE(Dashboard!$C$4,4,1)&gt;TODAY()),"",SUMIFS(Transaksi!$F$16:$F$5015,Transaksi!$G$16:$G$5015,"Pengeluaran",Transaksi!$H$16:$H$5015,"Pengeluaran Gaji",Transaksi!$I$16:$I$5015,$B6,Transaksi!$B$16:$B$5015,"&gt;="&amp;DATE(Dashboard!$C$4,4,1),Transaksi!$B$16:$B$5015,"&lt;="&amp;EOMONTH(DATE(Dashboard!$C$4,4,1),0))+SUMIFS(Transaksi!$F$16:$F$5015,Transaksi!$G$16:$G$5015,"Pengeluaran",Transaksi!$H$16:$H$5015,"Pengeluaran Jasa",Transaksi!$I$16:$I$5015,$B6,Transaksi!$B$16:$B$5015,"&gt;="&amp;DATE(Dashboard!$C$4,4,1),Transaksi!$B$16:$B$5015,"&lt;="&amp;EOMONTH(DATE(Dashboard!$C$4,4,1),0)))</f>
        <v/>
      </c>
      <c r="H6" s="106">
        <f>IF(OR($B6="",DATE(Dashboard!$C$4,5,1)&gt;TODAY()),"",SUMIFS(Transaksi!$F$16:$F$5015,Transaksi!$G$16:$G$5015,"Pengeluaran",Transaksi!$H$16:$H$5015,"Pengeluaran Gaji",Transaksi!$I$16:$I$5015,$B6,Transaksi!$B$16:$B$5015,"&gt;="&amp;DATE(Dashboard!$C$4,5,1),Transaksi!$B$16:$B$5015,"&lt;="&amp;EOMONTH(DATE(Dashboard!$C$4,5,1),0))+SUMIFS(Transaksi!$F$16:$F$5015,Transaksi!$G$16:$G$5015,"Pengeluaran",Transaksi!$H$16:$H$5015,"Pengeluaran Jasa",Transaksi!$I$16:$I$5015,$B6,Transaksi!$B$16:$B$5015,"&gt;="&amp;DATE(Dashboard!$C$4,5,1),Transaksi!$B$16:$B$5015,"&lt;="&amp;EOMONTH(DATE(Dashboard!$C$4,5,1),0)))</f>
        <v/>
      </c>
      <c r="I6" s="106">
        <f>IF(OR($B6="",DATE(Dashboard!$C$4,6,1)&gt;TODAY()),"",SUMIFS(Transaksi!$F$16:$F$5015,Transaksi!$G$16:$G$5015,"Pengeluaran",Transaksi!$H$16:$H$5015,"Pengeluaran Gaji",Transaksi!$I$16:$I$5015,$B6,Transaksi!$B$16:$B$5015,"&gt;="&amp;DATE(Dashboard!$C$4,6,1),Transaksi!$B$16:$B$5015,"&lt;="&amp;EOMONTH(DATE(Dashboard!$C$4,6,1),0))+SUMIFS(Transaksi!$F$16:$F$5015,Transaksi!$G$16:$G$5015,"Pengeluaran",Transaksi!$H$16:$H$5015,"Pengeluaran Jasa",Transaksi!$I$16:$I$5015,$B6,Transaksi!$B$16:$B$5015,"&gt;="&amp;DATE(Dashboard!$C$4,6,1),Transaksi!$B$16:$B$5015,"&lt;="&amp;EOMONTH(DATE(Dashboard!$C$4,6,1),0)))</f>
        <v/>
      </c>
      <c r="J6" s="106">
        <f>IF(OR($B6="",DATE(Dashboard!$C$4,7,1)&gt;TODAY()),"",SUMIFS(Transaksi!$F$16:$F$5015,Transaksi!$G$16:$G$5015,"Pengeluaran",Transaksi!$H$16:$H$5015,"Pengeluaran Gaji",Transaksi!$I$16:$I$5015,$B6,Transaksi!$B$16:$B$5015,"&gt;="&amp;DATE(Dashboard!$C$4,7,1),Transaksi!$B$16:$B$5015,"&lt;="&amp;EOMONTH(DATE(Dashboard!$C$4,7,1),0))+SUMIFS(Transaksi!$F$16:$F$5015,Transaksi!$G$16:$G$5015,"Pengeluaran",Transaksi!$H$16:$H$5015,"Pengeluaran Jasa",Transaksi!$I$16:$I$5015,$B6,Transaksi!$B$16:$B$5015,"&gt;="&amp;DATE(Dashboard!$C$4,7,1),Transaksi!$B$16:$B$5015,"&lt;="&amp;EOMONTH(DATE(Dashboard!$C$4,7,1),0)))</f>
        <v/>
      </c>
      <c r="K6" s="106">
        <f>IF(OR($B6="",DATE(Dashboard!$C$4,8,1)&gt;TODAY()),"",SUMIFS(Transaksi!$F$16:$F$5015,Transaksi!$G$16:$G$5015,"Pengeluaran",Transaksi!$H$16:$H$5015,"Pengeluaran Gaji",Transaksi!$I$16:$I$5015,$B6,Transaksi!$B$16:$B$5015,"&gt;="&amp;DATE(Dashboard!$C$4,8,1),Transaksi!$B$16:$B$5015,"&lt;="&amp;EOMONTH(DATE(Dashboard!$C$4,8,1),0))+SUMIFS(Transaksi!$F$16:$F$5015,Transaksi!$G$16:$G$5015,"Pengeluaran",Transaksi!$H$16:$H$5015,"Pengeluaran Jasa",Transaksi!$I$16:$I$5015,$B6,Transaksi!$B$16:$B$5015,"&gt;="&amp;DATE(Dashboard!$C$4,8,1),Transaksi!$B$16:$B$5015,"&lt;="&amp;EOMONTH(DATE(Dashboard!$C$4,8,1),0)))</f>
        <v/>
      </c>
      <c r="L6" s="106">
        <f>IF(OR($B6="",DATE(Dashboard!$C$4,9,1)&gt;TODAY()),"",SUMIFS(Transaksi!$F$16:$F$5015,Transaksi!$G$16:$G$5015,"Pengeluaran",Transaksi!$H$16:$H$5015,"Pengeluaran Gaji",Transaksi!$I$16:$I$5015,$B6,Transaksi!$B$16:$B$5015,"&gt;="&amp;DATE(Dashboard!$C$4,9,1),Transaksi!$B$16:$B$5015,"&lt;="&amp;EOMONTH(DATE(Dashboard!$C$4,9,1),0))+SUMIFS(Transaksi!$F$16:$F$5015,Transaksi!$G$16:$G$5015,"Pengeluaran",Transaksi!$H$16:$H$5015,"Pengeluaran Jasa",Transaksi!$I$16:$I$5015,$B6,Transaksi!$B$16:$B$5015,"&gt;="&amp;DATE(Dashboard!$C$4,9,1),Transaksi!$B$16:$B$5015,"&lt;="&amp;EOMONTH(DATE(Dashboard!$C$4,9,1),0)))</f>
        <v/>
      </c>
      <c r="M6" s="106">
        <f>IF(OR($B6="",DATE(Dashboard!$C$4,10,1)&gt;TODAY()),"",SUMIFS(Transaksi!$F$16:$F$5015,Transaksi!$G$16:$G$5015,"Pengeluaran",Transaksi!$H$16:$H$5015,"Pengeluaran Gaji",Transaksi!$I$16:$I$5015,$B6,Transaksi!$B$16:$B$5015,"&gt;="&amp;DATE(Dashboard!$C$4,10,1),Transaksi!$B$16:$B$5015,"&lt;="&amp;EOMONTH(DATE(Dashboard!$C$4,10,1),0))+SUMIFS(Transaksi!$F$16:$F$5015,Transaksi!$G$16:$G$5015,"Pengeluaran",Transaksi!$H$16:$H$5015,"Pengeluaran Jasa",Transaksi!$I$16:$I$5015,$B6,Transaksi!$B$16:$B$5015,"&gt;="&amp;DATE(Dashboard!$C$4,10,1),Transaksi!$B$16:$B$5015,"&lt;="&amp;EOMONTH(DATE(Dashboard!$C$4,10,1),0)))</f>
        <v/>
      </c>
      <c r="N6" s="106">
        <f>IF(OR($B6="",DATE(Dashboard!$C$4,11,1)&gt;TODAY()),"",SUMIFS(Transaksi!$F$16:$F$5015,Transaksi!$G$16:$G$5015,"Pengeluaran",Transaksi!$H$16:$H$5015,"Pengeluaran Gaji",Transaksi!$I$16:$I$5015,$B6,Transaksi!$B$16:$B$5015,"&gt;="&amp;DATE(Dashboard!$C$4,11,1),Transaksi!$B$16:$B$5015,"&lt;="&amp;EOMONTH(DATE(Dashboard!$C$4,11,1),0))+SUMIFS(Transaksi!$F$16:$F$5015,Transaksi!$G$16:$G$5015,"Pengeluaran",Transaksi!$H$16:$H$5015,"Pengeluaran Jasa",Transaksi!$I$16:$I$5015,$B6,Transaksi!$B$16:$B$5015,"&gt;="&amp;DATE(Dashboard!$C$4,11,1),Transaksi!$B$16:$B$5015,"&lt;="&amp;EOMONTH(DATE(Dashboard!$C$4,11,1),0)))</f>
        <v/>
      </c>
      <c r="O6" s="106">
        <f>IF(OR($B6="",DATE(Dashboard!$C$4,12,1)&gt;TODAY()),"",SUMIFS(Transaksi!$F$16:$F$5015,Transaksi!$G$16:$G$5015,"Pengeluaran",Transaksi!$H$16:$H$5015,"Pengeluaran Gaji",Transaksi!$I$16:$I$5015,$B6,Transaksi!$B$16:$B$5015,"&gt;="&amp;DATE(Dashboard!$C$4,12,1),Transaksi!$B$16:$B$5015,"&lt;="&amp;EOMONTH(DATE(Dashboard!$C$4,12,1),0))+SUMIFS(Transaksi!$F$16:$F$5015,Transaksi!$G$16:$G$5015,"Pengeluaran",Transaksi!$H$16:$H$5015,"Pengeluaran Jasa",Transaksi!$I$16:$I$5015,$B6,Transaksi!$B$16:$B$5015,"&gt;="&amp;DATE(Dashboard!$C$4,12,1),Transaksi!$B$16:$B$5015,"&lt;="&amp;EOMONTH(DATE(Dashboard!$C$4,12,1),0)))</f>
        <v/>
      </c>
      <c r="P6" s="113">
        <f>IF($B6="","",SUM(D6:O6))</f>
        <v/>
      </c>
      <c r="Q6" s="106">
        <f>IF($B6="","",P6/MAX(1,COUNT(D6:O6)))</f>
        <v/>
      </c>
    </row>
    <row r="7" ht="15" customHeight="1" s="94">
      <c r="B7" s="127" t="inlineStr">
        <is>
          <t>Biaya Administrasi Rekening</t>
        </is>
      </c>
      <c r="C7" s="163" t="n"/>
      <c r="D7" s="106">
        <f>IF(OR($B7="",DATE(Dashboard!$C$4,1,1)&gt;TODAY()),"",SUMIFS(Transaksi!$F$16:$F$5015,Transaksi!$G$16:$G$5015,"Pengeluaran",Transaksi!$H$16:$H$5015,"Pengeluaran Gaji",Transaksi!$I$16:$I$5015,$B7,Transaksi!$B$16:$B$5015,"&gt;="&amp;DATE(Dashboard!$C$4,1,1),Transaksi!$B$16:$B$5015,"&lt;="&amp;EOMONTH(DATE(Dashboard!$C$4,1,1),0))+SUMIFS(Transaksi!$F$16:$F$5015,Transaksi!$G$16:$G$5015,"Pengeluaran",Transaksi!$H$16:$H$5015,"Pengeluaran Jasa",Transaksi!$I$16:$I$5015,$B7,Transaksi!$B$16:$B$5015,"&gt;="&amp;DATE(Dashboard!$C$4,1,1),Transaksi!$B$16:$B$5015,"&lt;="&amp;EOMONTH(DATE(Dashboard!$C$4,1,1),0)))</f>
        <v/>
      </c>
      <c r="E7" s="106">
        <f>IF(OR($B7="",DATE(Dashboard!$C$4,2,1)&gt;TODAY()),"",SUMIFS(Transaksi!$F$16:$F$5015,Transaksi!$G$16:$G$5015,"Pengeluaran",Transaksi!$H$16:$H$5015,"Pengeluaran Gaji",Transaksi!$I$16:$I$5015,$B7,Transaksi!$B$16:$B$5015,"&gt;="&amp;DATE(Dashboard!$C$4,2,1),Transaksi!$B$16:$B$5015,"&lt;="&amp;EOMONTH(DATE(Dashboard!$C$4,2,1),0))+SUMIFS(Transaksi!$F$16:$F$5015,Transaksi!$G$16:$G$5015,"Pengeluaran",Transaksi!$H$16:$H$5015,"Pengeluaran Jasa",Transaksi!$I$16:$I$5015,$B7,Transaksi!$B$16:$B$5015,"&gt;="&amp;DATE(Dashboard!$C$4,2,1),Transaksi!$B$16:$B$5015,"&lt;="&amp;EOMONTH(DATE(Dashboard!$C$4,2,1),0)))</f>
        <v/>
      </c>
      <c r="F7" s="106">
        <f>IF(OR($B7="",DATE(Dashboard!$C$4,3,1)&gt;TODAY()),"",SUMIFS(Transaksi!$F$16:$F$5015,Transaksi!$G$16:$G$5015,"Pengeluaran",Transaksi!$H$16:$H$5015,"Pengeluaran Gaji",Transaksi!$I$16:$I$5015,$B7,Transaksi!$B$16:$B$5015,"&gt;="&amp;DATE(Dashboard!$C$4,3,1),Transaksi!$B$16:$B$5015,"&lt;="&amp;EOMONTH(DATE(Dashboard!$C$4,3,1),0))+SUMIFS(Transaksi!$F$16:$F$5015,Transaksi!$G$16:$G$5015,"Pengeluaran",Transaksi!$H$16:$H$5015,"Pengeluaran Jasa",Transaksi!$I$16:$I$5015,$B7,Transaksi!$B$16:$B$5015,"&gt;="&amp;DATE(Dashboard!$C$4,3,1),Transaksi!$B$16:$B$5015,"&lt;="&amp;EOMONTH(DATE(Dashboard!$C$4,3,1),0)))</f>
        <v/>
      </c>
      <c r="G7" s="106">
        <f>IF(OR($B7="",DATE(Dashboard!$C$4,4,1)&gt;TODAY()),"",SUMIFS(Transaksi!$F$16:$F$5015,Transaksi!$G$16:$G$5015,"Pengeluaran",Transaksi!$H$16:$H$5015,"Pengeluaran Gaji",Transaksi!$I$16:$I$5015,$B7,Transaksi!$B$16:$B$5015,"&gt;="&amp;DATE(Dashboard!$C$4,4,1),Transaksi!$B$16:$B$5015,"&lt;="&amp;EOMONTH(DATE(Dashboard!$C$4,4,1),0))+SUMIFS(Transaksi!$F$16:$F$5015,Transaksi!$G$16:$G$5015,"Pengeluaran",Transaksi!$H$16:$H$5015,"Pengeluaran Jasa",Transaksi!$I$16:$I$5015,$B7,Transaksi!$B$16:$B$5015,"&gt;="&amp;DATE(Dashboard!$C$4,4,1),Transaksi!$B$16:$B$5015,"&lt;="&amp;EOMONTH(DATE(Dashboard!$C$4,4,1),0)))</f>
        <v/>
      </c>
      <c r="H7" s="106">
        <f>IF(OR($B7="",DATE(Dashboard!$C$4,5,1)&gt;TODAY()),"",SUMIFS(Transaksi!$F$16:$F$5015,Transaksi!$G$16:$G$5015,"Pengeluaran",Transaksi!$H$16:$H$5015,"Pengeluaran Gaji",Transaksi!$I$16:$I$5015,$B7,Transaksi!$B$16:$B$5015,"&gt;="&amp;DATE(Dashboard!$C$4,5,1),Transaksi!$B$16:$B$5015,"&lt;="&amp;EOMONTH(DATE(Dashboard!$C$4,5,1),0))+SUMIFS(Transaksi!$F$16:$F$5015,Transaksi!$G$16:$G$5015,"Pengeluaran",Transaksi!$H$16:$H$5015,"Pengeluaran Jasa",Transaksi!$I$16:$I$5015,$B7,Transaksi!$B$16:$B$5015,"&gt;="&amp;DATE(Dashboard!$C$4,5,1),Transaksi!$B$16:$B$5015,"&lt;="&amp;EOMONTH(DATE(Dashboard!$C$4,5,1),0)))</f>
        <v/>
      </c>
      <c r="I7" s="106">
        <f>IF(OR($B7="",DATE(Dashboard!$C$4,6,1)&gt;TODAY()),"",SUMIFS(Transaksi!$F$16:$F$5015,Transaksi!$G$16:$G$5015,"Pengeluaran",Transaksi!$H$16:$H$5015,"Pengeluaran Gaji",Transaksi!$I$16:$I$5015,$B7,Transaksi!$B$16:$B$5015,"&gt;="&amp;DATE(Dashboard!$C$4,6,1),Transaksi!$B$16:$B$5015,"&lt;="&amp;EOMONTH(DATE(Dashboard!$C$4,6,1),0))+SUMIFS(Transaksi!$F$16:$F$5015,Transaksi!$G$16:$G$5015,"Pengeluaran",Transaksi!$H$16:$H$5015,"Pengeluaran Jasa",Transaksi!$I$16:$I$5015,$B7,Transaksi!$B$16:$B$5015,"&gt;="&amp;DATE(Dashboard!$C$4,6,1),Transaksi!$B$16:$B$5015,"&lt;="&amp;EOMONTH(DATE(Dashboard!$C$4,6,1),0)))</f>
        <v/>
      </c>
      <c r="J7" s="106">
        <f>IF(OR($B7="",DATE(Dashboard!$C$4,7,1)&gt;TODAY()),"",SUMIFS(Transaksi!$F$16:$F$5015,Transaksi!$G$16:$G$5015,"Pengeluaran",Transaksi!$H$16:$H$5015,"Pengeluaran Gaji",Transaksi!$I$16:$I$5015,$B7,Transaksi!$B$16:$B$5015,"&gt;="&amp;DATE(Dashboard!$C$4,7,1),Transaksi!$B$16:$B$5015,"&lt;="&amp;EOMONTH(DATE(Dashboard!$C$4,7,1),0))+SUMIFS(Transaksi!$F$16:$F$5015,Transaksi!$G$16:$G$5015,"Pengeluaran",Transaksi!$H$16:$H$5015,"Pengeluaran Jasa",Transaksi!$I$16:$I$5015,$B7,Transaksi!$B$16:$B$5015,"&gt;="&amp;DATE(Dashboard!$C$4,7,1),Transaksi!$B$16:$B$5015,"&lt;="&amp;EOMONTH(DATE(Dashboard!$C$4,7,1),0)))</f>
        <v/>
      </c>
      <c r="K7" s="106">
        <f>IF(OR($B7="",DATE(Dashboard!$C$4,8,1)&gt;TODAY()),"",SUMIFS(Transaksi!$F$16:$F$5015,Transaksi!$G$16:$G$5015,"Pengeluaran",Transaksi!$H$16:$H$5015,"Pengeluaran Gaji",Transaksi!$I$16:$I$5015,$B7,Transaksi!$B$16:$B$5015,"&gt;="&amp;DATE(Dashboard!$C$4,8,1),Transaksi!$B$16:$B$5015,"&lt;="&amp;EOMONTH(DATE(Dashboard!$C$4,8,1),0))+SUMIFS(Transaksi!$F$16:$F$5015,Transaksi!$G$16:$G$5015,"Pengeluaran",Transaksi!$H$16:$H$5015,"Pengeluaran Jasa",Transaksi!$I$16:$I$5015,$B7,Transaksi!$B$16:$B$5015,"&gt;="&amp;DATE(Dashboard!$C$4,8,1),Transaksi!$B$16:$B$5015,"&lt;="&amp;EOMONTH(DATE(Dashboard!$C$4,8,1),0)))</f>
        <v/>
      </c>
      <c r="L7" s="106">
        <f>IF(OR($B7="",DATE(Dashboard!$C$4,9,1)&gt;TODAY()),"",SUMIFS(Transaksi!$F$16:$F$5015,Transaksi!$G$16:$G$5015,"Pengeluaran",Transaksi!$H$16:$H$5015,"Pengeluaran Gaji",Transaksi!$I$16:$I$5015,$B7,Transaksi!$B$16:$B$5015,"&gt;="&amp;DATE(Dashboard!$C$4,9,1),Transaksi!$B$16:$B$5015,"&lt;="&amp;EOMONTH(DATE(Dashboard!$C$4,9,1),0))+SUMIFS(Transaksi!$F$16:$F$5015,Transaksi!$G$16:$G$5015,"Pengeluaran",Transaksi!$H$16:$H$5015,"Pengeluaran Jasa",Transaksi!$I$16:$I$5015,$B7,Transaksi!$B$16:$B$5015,"&gt;="&amp;DATE(Dashboard!$C$4,9,1),Transaksi!$B$16:$B$5015,"&lt;="&amp;EOMONTH(DATE(Dashboard!$C$4,9,1),0)))</f>
        <v/>
      </c>
      <c r="M7" s="106">
        <f>IF(OR($B7="",DATE(Dashboard!$C$4,10,1)&gt;TODAY()),"",SUMIFS(Transaksi!$F$16:$F$5015,Transaksi!$G$16:$G$5015,"Pengeluaran",Transaksi!$H$16:$H$5015,"Pengeluaran Gaji",Transaksi!$I$16:$I$5015,$B7,Transaksi!$B$16:$B$5015,"&gt;="&amp;DATE(Dashboard!$C$4,10,1),Transaksi!$B$16:$B$5015,"&lt;="&amp;EOMONTH(DATE(Dashboard!$C$4,10,1),0))+SUMIFS(Transaksi!$F$16:$F$5015,Transaksi!$G$16:$G$5015,"Pengeluaran",Transaksi!$H$16:$H$5015,"Pengeluaran Jasa",Transaksi!$I$16:$I$5015,$B7,Transaksi!$B$16:$B$5015,"&gt;="&amp;DATE(Dashboard!$C$4,10,1),Transaksi!$B$16:$B$5015,"&lt;="&amp;EOMONTH(DATE(Dashboard!$C$4,10,1),0)))</f>
        <v/>
      </c>
      <c r="N7" s="106">
        <f>IF(OR($B7="",DATE(Dashboard!$C$4,11,1)&gt;TODAY()),"",SUMIFS(Transaksi!$F$16:$F$5015,Transaksi!$G$16:$G$5015,"Pengeluaran",Transaksi!$H$16:$H$5015,"Pengeluaran Gaji",Transaksi!$I$16:$I$5015,$B7,Transaksi!$B$16:$B$5015,"&gt;="&amp;DATE(Dashboard!$C$4,11,1),Transaksi!$B$16:$B$5015,"&lt;="&amp;EOMONTH(DATE(Dashboard!$C$4,11,1),0))+SUMIFS(Transaksi!$F$16:$F$5015,Transaksi!$G$16:$G$5015,"Pengeluaran",Transaksi!$H$16:$H$5015,"Pengeluaran Jasa",Transaksi!$I$16:$I$5015,$B7,Transaksi!$B$16:$B$5015,"&gt;="&amp;DATE(Dashboard!$C$4,11,1),Transaksi!$B$16:$B$5015,"&lt;="&amp;EOMONTH(DATE(Dashboard!$C$4,11,1),0)))</f>
        <v/>
      </c>
      <c r="O7" s="106">
        <f>IF(OR($B7="",DATE(Dashboard!$C$4,12,1)&gt;TODAY()),"",SUMIFS(Transaksi!$F$16:$F$5015,Transaksi!$G$16:$G$5015,"Pengeluaran",Transaksi!$H$16:$H$5015,"Pengeluaran Gaji",Transaksi!$I$16:$I$5015,$B7,Transaksi!$B$16:$B$5015,"&gt;="&amp;DATE(Dashboard!$C$4,12,1),Transaksi!$B$16:$B$5015,"&lt;="&amp;EOMONTH(DATE(Dashboard!$C$4,12,1),0))+SUMIFS(Transaksi!$F$16:$F$5015,Transaksi!$G$16:$G$5015,"Pengeluaran",Transaksi!$H$16:$H$5015,"Pengeluaran Jasa",Transaksi!$I$16:$I$5015,$B7,Transaksi!$B$16:$B$5015,"&gt;="&amp;DATE(Dashboard!$C$4,12,1),Transaksi!$B$16:$B$5015,"&lt;="&amp;EOMONTH(DATE(Dashboard!$C$4,12,1),0)))</f>
        <v/>
      </c>
      <c r="P7" s="113">
        <f>IF($B7="","",SUM(D7:O7))</f>
        <v/>
      </c>
      <c r="Q7" s="106">
        <f>IF($B7="","",P7/MAX(1,COUNT(D7:O7)))</f>
        <v/>
      </c>
    </row>
    <row r="8" ht="15" customHeight="1" s="94">
      <c r="B8" s="127" t="inlineStr">
        <is>
          <t>Biaya SMS Notifikasi</t>
        </is>
      </c>
      <c r="C8" s="163" t="n"/>
      <c r="D8" s="106">
        <f>IF(OR($B8="",DATE(Dashboard!$C$4,1,1)&gt;TODAY()),"",SUMIFS(Transaksi!$F$16:$F$5015,Transaksi!$G$16:$G$5015,"Pengeluaran",Transaksi!$H$16:$H$5015,"Pengeluaran Gaji",Transaksi!$I$16:$I$5015,$B8,Transaksi!$B$16:$B$5015,"&gt;="&amp;DATE(Dashboard!$C$4,1,1),Transaksi!$B$16:$B$5015,"&lt;="&amp;EOMONTH(DATE(Dashboard!$C$4,1,1),0))+SUMIFS(Transaksi!$F$16:$F$5015,Transaksi!$G$16:$G$5015,"Pengeluaran",Transaksi!$H$16:$H$5015,"Pengeluaran Jasa",Transaksi!$I$16:$I$5015,$B8,Transaksi!$B$16:$B$5015,"&gt;="&amp;DATE(Dashboard!$C$4,1,1),Transaksi!$B$16:$B$5015,"&lt;="&amp;EOMONTH(DATE(Dashboard!$C$4,1,1),0)))</f>
        <v/>
      </c>
      <c r="E8" s="106">
        <f>IF(OR($B8="",DATE(Dashboard!$C$4,2,1)&gt;TODAY()),"",SUMIFS(Transaksi!$F$16:$F$5015,Transaksi!$G$16:$G$5015,"Pengeluaran",Transaksi!$H$16:$H$5015,"Pengeluaran Gaji",Transaksi!$I$16:$I$5015,$B8,Transaksi!$B$16:$B$5015,"&gt;="&amp;DATE(Dashboard!$C$4,2,1),Transaksi!$B$16:$B$5015,"&lt;="&amp;EOMONTH(DATE(Dashboard!$C$4,2,1),0))+SUMIFS(Transaksi!$F$16:$F$5015,Transaksi!$G$16:$G$5015,"Pengeluaran",Transaksi!$H$16:$H$5015,"Pengeluaran Jasa",Transaksi!$I$16:$I$5015,$B8,Transaksi!$B$16:$B$5015,"&gt;="&amp;DATE(Dashboard!$C$4,2,1),Transaksi!$B$16:$B$5015,"&lt;="&amp;EOMONTH(DATE(Dashboard!$C$4,2,1),0)))</f>
        <v/>
      </c>
      <c r="F8" s="106">
        <f>IF(OR($B8="",DATE(Dashboard!$C$4,3,1)&gt;TODAY()),"",SUMIFS(Transaksi!$F$16:$F$5015,Transaksi!$G$16:$G$5015,"Pengeluaran",Transaksi!$H$16:$H$5015,"Pengeluaran Gaji",Transaksi!$I$16:$I$5015,$B8,Transaksi!$B$16:$B$5015,"&gt;="&amp;DATE(Dashboard!$C$4,3,1),Transaksi!$B$16:$B$5015,"&lt;="&amp;EOMONTH(DATE(Dashboard!$C$4,3,1),0))+SUMIFS(Transaksi!$F$16:$F$5015,Transaksi!$G$16:$G$5015,"Pengeluaran",Transaksi!$H$16:$H$5015,"Pengeluaran Jasa",Transaksi!$I$16:$I$5015,$B8,Transaksi!$B$16:$B$5015,"&gt;="&amp;DATE(Dashboard!$C$4,3,1),Transaksi!$B$16:$B$5015,"&lt;="&amp;EOMONTH(DATE(Dashboard!$C$4,3,1),0)))</f>
        <v/>
      </c>
      <c r="G8" s="106">
        <f>IF(OR($B8="",DATE(Dashboard!$C$4,4,1)&gt;TODAY()),"",SUMIFS(Transaksi!$F$16:$F$5015,Transaksi!$G$16:$G$5015,"Pengeluaran",Transaksi!$H$16:$H$5015,"Pengeluaran Gaji",Transaksi!$I$16:$I$5015,$B8,Transaksi!$B$16:$B$5015,"&gt;="&amp;DATE(Dashboard!$C$4,4,1),Transaksi!$B$16:$B$5015,"&lt;="&amp;EOMONTH(DATE(Dashboard!$C$4,4,1),0))+SUMIFS(Transaksi!$F$16:$F$5015,Transaksi!$G$16:$G$5015,"Pengeluaran",Transaksi!$H$16:$H$5015,"Pengeluaran Jasa",Transaksi!$I$16:$I$5015,$B8,Transaksi!$B$16:$B$5015,"&gt;="&amp;DATE(Dashboard!$C$4,4,1),Transaksi!$B$16:$B$5015,"&lt;="&amp;EOMONTH(DATE(Dashboard!$C$4,4,1),0)))</f>
        <v/>
      </c>
      <c r="H8" s="106">
        <f>IF(OR($B8="",DATE(Dashboard!$C$4,5,1)&gt;TODAY()),"",SUMIFS(Transaksi!$F$16:$F$5015,Transaksi!$G$16:$G$5015,"Pengeluaran",Transaksi!$H$16:$H$5015,"Pengeluaran Gaji",Transaksi!$I$16:$I$5015,$B8,Transaksi!$B$16:$B$5015,"&gt;="&amp;DATE(Dashboard!$C$4,5,1),Transaksi!$B$16:$B$5015,"&lt;="&amp;EOMONTH(DATE(Dashboard!$C$4,5,1),0))+SUMIFS(Transaksi!$F$16:$F$5015,Transaksi!$G$16:$G$5015,"Pengeluaran",Transaksi!$H$16:$H$5015,"Pengeluaran Jasa",Transaksi!$I$16:$I$5015,$B8,Transaksi!$B$16:$B$5015,"&gt;="&amp;DATE(Dashboard!$C$4,5,1),Transaksi!$B$16:$B$5015,"&lt;="&amp;EOMONTH(DATE(Dashboard!$C$4,5,1),0)))</f>
        <v/>
      </c>
      <c r="I8" s="106">
        <f>IF(OR($B8="",DATE(Dashboard!$C$4,6,1)&gt;TODAY()),"",SUMIFS(Transaksi!$F$16:$F$5015,Transaksi!$G$16:$G$5015,"Pengeluaran",Transaksi!$H$16:$H$5015,"Pengeluaran Gaji",Transaksi!$I$16:$I$5015,$B8,Transaksi!$B$16:$B$5015,"&gt;="&amp;DATE(Dashboard!$C$4,6,1),Transaksi!$B$16:$B$5015,"&lt;="&amp;EOMONTH(DATE(Dashboard!$C$4,6,1),0))+SUMIFS(Transaksi!$F$16:$F$5015,Transaksi!$G$16:$G$5015,"Pengeluaran",Transaksi!$H$16:$H$5015,"Pengeluaran Jasa",Transaksi!$I$16:$I$5015,$B8,Transaksi!$B$16:$B$5015,"&gt;="&amp;DATE(Dashboard!$C$4,6,1),Transaksi!$B$16:$B$5015,"&lt;="&amp;EOMONTH(DATE(Dashboard!$C$4,6,1),0)))</f>
        <v/>
      </c>
      <c r="J8" s="106">
        <f>IF(OR($B8="",DATE(Dashboard!$C$4,7,1)&gt;TODAY()),"",SUMIFS(Transaksi!$F$16:$F$5015,Transaksi!$G$16:$G$5015,"Pengeluaran",Transaksi!$H$16:$H$5015,"Pengeluaran Gaji",Transaksi!$I$16:$I$5015,$B8,Transaksi!$B$16:$B$5015,"&gt;="&amp;DATE(Dashboard!$C$4,7,1),Transaksi!$B$16:$B$5015,"&lt;="&amp;EOMONTH(DATE(Dashboard!$C$4,7,1),0))+SUMIFS(Transaksi!$F$16:$F$5015,Transaksi!$G$16:$G$5015,"Pengeluaran",Transaksi!$H$16:$H$5015,"Pengeluaran Jasa",Transaksi!$I$16:$I$5015,$B8,Transaksi!$B$16:$B$5015,"&gt;="&amp;DATE(Dashboard!$C$4,7,1),Transaksi!$B$16:$B$5015,"&lt;="&amp;EOMONTH(DATE(Dashboard!$C$4,7,1),0)))</f>
        <v/>
      </c>
      <c r="K8" s="106">
        <f>IF(OR($B8="",DATE(Dashboard!$C$4,8,1)&gt;TODAY()),"",SUMIFS(Transaksi!$F$16:$F$5015,Transaksi!$G$16:$G$5015,"Pengeluaran",Transaksi!$H$16:$H$5015,"Pengeluaran Gaji",Transaksi!$I$16:$I$5015,$B8,Transaksi!$B$16:$B$5015,"&gt;="&amp;DATE(Dashboard!$C$4,8,1),Transaksi!$B$16:$B$5015,"&lt;="&amp;EOMONTH(DATE(Dashboard!$C$4,8,1),0))+SUMIFS(Transaksi!$F$16:$F$5015,Transaksi!$G$16:$G$5015,"Pengeluaran",Transaksi!$H$16:$H$5015,"Pengeluaran Jasa",Transaksi!$I$16:$I$5015,$B8,Transaksi!$B$16:$B$5015,"&gt;="&amp;DATE(Dashboard!$C$4,8,1),Transaksi!$B$16:$B$5015,"&lt;="&amp;EOMONTH(DATE(Dashboard!$C$4,8,1),0)))</f>
        <v/>
      </c>
      <c r="L8" s="106">
        <f>IF(OR($B8="",DATE(Dashboard!$C$4,9,1)&gt;TODAY()),"",SUMIFS(Transaksi!$F$16:$F$5015,Transaksi!$G$16:$G$5015,"Pengeluaran",Transaksi!$H$16:$H$5015,"Pengeluaran Gaji",Transaksi!$I$16:$I$5015,$B8,Transaksi!$B$16:$B$5015,"&gt;="&amp;DATE(Dashboard!$C$4,9,1),Transaksi!$B$16:$B$5015,"&lt;="&amp;EOMONTH(DATE(Dashboard!$C$4,9,1),0))+SUMIFS(Transaksi!$F$16:$F$5015,Transaksi!$G$16:$G$5015,"Pengeluaran",Transaksi!$H$16:$H$5015,"Pengeluaran Jasa",Transaksi!$I$16:$I$5015,$B8,Transaksi!$B$16:$B$5015,"&gt;="&amp;DATE(Dashboard!$C$4,9,1),Transaksi!$B$16:$B$5015,"&lt;="&amp;EOMONTH(DATE(Dashboard!$C$4,9,1),0)))</f>
        <v/>
      </c>
      <c r="M8" s="106">
        <f>IF(OR($B8="",DATE(Dashboard!$C$4,10,1)&gt;TODAY()),"",SUMIFS(Transaksi!$F$16:$F$5015,Transaksi!$G$16:$G$5015,"Pengeluaran",Transaksi!$H$16:$H$5015,"Pengeluaran Gaji",Transaksi!$I$16:$I$5015,$B8,Transaksi!$B$16:$B$5015,"&gt;="&amp;DATE(Dashboard!$C$4,10,1),Transaksi!$B$16:$B$5015,"&lt;="&amp;EOMONTH(DATE(Dashboard!$C$4,10,1),0))+SUMIFS(Transaksi!$F$16:$F$5015,Transaksi!$G$16:$G$5015,"Pengeluaran",Transaksi!$H$16:$H$5015,"Pengeluaran Jasa",Transaksi!$I$16:$I$5015,$B8,Transaksi!$B$16:$B$5015,"&gt;="&amp;DATE(Dashboard!$C$4,10,1),Transaksi!$B$16:$B$5015,"&lt;="&amp;EOMONTH(DATE(Dashboard!$C$4,10,1),0)))</f>
        <v/>
      </c>
      <c r="N8" s="106">
        <f>IF(OR($B8="",DATE(Dashboard!$C$4,11,1)&gt;TODAY()),"",SUMIFS(Transaksi!$F$16:$F$5015,Transaksi!$G$16:$G$5015,"Pengeluaran",Transaksi!$H$16:$H$5015,"Pengeluaran Gaji",Transaksi!$I$16:$I$5015,$B8,Transaksi!$B$16:$B$5015,"&gt;="&amp;DATE(Dashboard!$C$4,11,1),Transaksi!$B$16:$B$5015,"&lt;="&amp;EOMONTH(DATE(Dashboard!$C$4,11,1),0))+SUMIFS(Transaksi!$F$16:$F$5015,Transaksi!$G$16:$G$5015,"Pengeluaran",Transaksi!$H$16:$H$5015,"Pengeluaran Jasa",Transaksi!$I$16:$I$5015,$B8,Transaksi!$B$16:$B$5015,"&gt;="&amp;DATE(Dashboard!$C$4,11,1),Transaksi!$B$16:$B$5015,"&lt;="&amp;EOMONTH(DATE(Dashboard!$C$4,11,1),0)))</f>
        <v/>
      </c>
      <c r="O8" s="106">
        <f>IF(OR($B8="",DATE(Dashboard!$C$4,12,1)&gt;TODAY()),"",SUMIFS(Transaksi!$F$16:$F$5015,Transaksi!$G$16:$G$5015,"Pengeluaran",Transaksi!$H$16:$H$5015,"Pengeluaran Gaji",Transaksi!$I$16:$I$5015,$B8,Transaksi!$B$16:$B$5015,"&gt;="&amp;DATE(Dashboard!$C$4,12,1),Transaksi!$B$16:$B$5015,"&lt;="&amp;EOMONTH(DATE(Dashboard!$C$4,12,1),0))+SUMIFS(Transaksi!$F$16:$F$5015,Transaksi!$G$16:$G$5015,"Pengeluaran",Transaksi!$H$16:$H$5015,"Pengeluaran Jasa",Transaksi!$I$16:$I$5015,$B8,Transaksi!$B$16:$B$5015,"&gt;="&amp;DATE(Dashboard!$C$4,12,1),Transaksi!$B$16:$B$5015,"&lt;="&amp;EOMONTH(DATE(Dashboard!$C$4,12,1),0)))</f>
        <v/>
      </c>
      <c r="P8" s="113">
        <f>IF($B8="","",SUM(D8:O8))</f>
        <v/>
      </c>
      <c r="Q8" s="106">
        <f>IF($B8="","",P8/MAX(1,COUNT(D8:O8)))</f>
        <v/>
      </c>
    </row>
    <row r="9" ht="15" customHeight="1" s="94">
      <c r="B9" s="127" t="inlineStr">
        <is>
          <t>Biaya Saldo Minimum</t>
        </is>
      </c>
      <c r="C9" s="163" t="n"/>
      <c r="D9" s="106">
        <f>IF(OR($B9="",DATE(Dashboard!$C$4,1,1)&gt;TODAY()),"",SUMIFS(Transaksi!$F$16:$F$5015,Transaksi!$G$16:$G$5015,"Pengeluaran",Transaksi!$H$16:$H$5015,"Pengeluaran Gaji",Transaksi!$I$16:$I$5015,$B9,Transaksi!$B$16:$B$5015,"&gt;="&amp;DATE(Dashboard!$C$4,1,1),Transaksi!$B$16:$B$5015,"&lt;="&amp;EOMONTH(DATE(Dashboard!$C$4,1,1),0))+SUMIFS(Transaksi!$F$16:$F$5015,Transaksi!$G$16:$G$5015,"Pengeluaran",Transaksi!$H$16:$H$5015,"Pengeluaran Jasa",Transaksi!$I$16:$I$5015,$B9,Transaksi!$B$16:$B$5015,"&gt;="&amp;DATE(Dashboard!$C$4,1,1),Transaksi!$B$16:$B$5015,"&lt;="&amp;EOMONTH(DATE(Dashboard!$C$4,1,1),0)))</f>
        <v/>
      </c>
      <c r="E9" s="106">
        <f>IF(OR($B9="",DATE(Dashboard!$C$4,2,1)&gt;TODAY()),"",SUMIFS(Transaksi!$F$16:$F$5015,Transaksi!$G$16:$G$5015,"Pengeluaran",Transaksi!$H$16:$H$5015,"Pengeluaran Gaji",Transaksi!$I$16:$I$5015,$B9,Transaksi!$B$16:$B$5015,"&gt;="&amp;DATE(Dashboard!$C$4,2,1),Transaksi!$B$16:$B$5015,"&lt;="&amp;EOMONTH(DATE(Dashboard!$C$4,2,1),0))+SUMIFS(Transaksi!$F$16:$F$5015,Transaksi!$G$16:$G$5015,"Pengeluaran",Transaksi!$H$16:$H$5015,"Pengeluaran Jasa",Transaksi!$I$16:$I$5015,$B9,Transaksi!$B$16:$B$5015,"&gt;="&amp;DATE(Dashboard!$C$4,2,1),Transaksi!$B$16:$B$5015,"&lt;="&amp;EOMONTH(DATE(Dashboard!$C$4,2,1),0)))</f>
        <v/>
      </c>
      <c r="F9" s="106">
        <f>IF(OR($B9="",DATE(Dashboard!$C$4,3,1)&gt;TODAY()),"",SUMIFS(Transaksi!$F$16:$F$5015,Transaksi!$G$16:$G$5015,"Pengeluaran",Transaksi!$H$16:$H$5015,"Pengeluaran Gaji",Transaksi!$I$16:$I$5015,$B9,Transaksi!$B$16:$B$5015,"&gt;="&amp;DATE(Dashboard!$C$4,3,1),Transaksi!$B$16:$B$5015,"&lt;="&amp;EOMONTH(DATE(Dashboard!$C$4,3,1),0))+SUMIFS(Transaksi!$F$16:$F$5015,Transaksi!$G$16:$G$5015,"Pengeluaran",Transaksi!$H$16:$H$5015,"Pengeluaran Jasa",Transaksi!$I$16:$I$5015,$B9,Transaksi!$B$16:$B$5015,"&gt;="&amp;DATE(Dashboard!$C$4,3,1),Transaksi!$B$16:$B$5015,"&lt;="&amp;EOMONTH(DATE(Dashboard!$C$4,3,1),0)))</f>
        <v/>
      </c>
      <c r="G9" s="106">
        <f>IF(OR($B9="",DATE(Dashboard!$C$4,4,1)&gt;TODAY()),"",SUMIFS(Transaksi!$F$16:$F$5015,Transaksi!$G$16:$G$5015,"Pengeluaran",Transaksi!$H$16:$H$5015,"Pengeluaran Gaji",Transaksi!$I$16:$I$5015,$B9,Transaksi!$B$16:$B$5015,"&gt;="&amp;DATE(Dashboard!$C$4,4,1),Transaksi!$B$16:$B$5015,"&lt;="&amp;EOMONTH(DATE(Dashboard!$C$4,4,1),0))+SUMIFS(Transaksi!$F$16:$F$5015,Transaksi!$G$16:$G$5015,"Pengeluaran",Transaksi!$H$16:$H$5015,"Pengeluaran Jasa",Transaksi!$I$16:$I$5015,$B9,Transaksi!$B$16:$B$5015,"&gt;="&amp;DATE(Dashboard!$C$4,4,1),Transaksi!$B$16:$B$5015,"&lt;="&amp;EOMONTH(DATE(Dashboard!$C$4,4,1),0)))</f>
        <v/>
      </c>
      <c r="H9" s="106">
        <f>IF(OR($B9="",DATE(Dashboard!$C$4,5,1)&gt;TODAY()),"",SUMIFS(Transaksi!$F$16:$F$5015,Transaksi!$G$16:$G$5015,"Pengeluaran",Transaksi!$H$16:$H$5015,"Pengeluaran Gaji",Transaksi!$I$16:$I$5015,$B9,Transaksi!$B$16:$B$5015,"&gt;="&amp;DATE(Dashboard!$C$4,5,1),Transaksi!$B$16:$B$5015,"&lt;="&amp;EOMONTH(DATE(Dashboard!$C$4,5,1),0))+SUMIFS(Transaksi!$F$16:$F$5015,Transaksi!$G$16:$G$5015,"Pengeluaran",Transaksi!$H$16:$H$5015,"Pengeluaran Jasa",Transaksi!$I$16:$I$5015,$B9,Transaksi!$B$16:$B$5015,"&gt;="&amp;DATE(Dashboard!$C$4,5,1),Transaksi!$B$16:$B$5015,"&lt;="&amp;EOMONTH(DATE(Dashboard!$C$4,5,1),0)))</f>
        <v/>
      </c>
      <c r="I9" s="106">
        <f>IF(OR($B9="",DATE(Dashboard!$C$4,6,1)&gt;TODAY()),"",SUMIFS(Transaksi!$F$16:$F$5015,Transaksi!$G$16:$G$5015,"Pengeluaran",Transaksi!$H$16:$H$5015,"Pengeluaran Gaji",Transaksi!$I$16:$I$5015,$B9,Transaksi!$B$16:$B$5015,"&gt;="&amp;DATE(Dashboard!$C$4,6,1),Transaksi!$B$16:$B$5015,"&lt;="&amp;EOMONTH(DATE(Dashboard!$C$4,6,1),0))+SUMIFS(Transaksi!$F$16:$F$5015,Transaksi!$G$16:$G$5015,"Pengeluaran",Transaksi!$H$16:$H$5015,"Pengeluaran Jasa",Transaksi!$I$16:$I$5015,$B9,Transaksi!$B$16:$B$5015,"&gt;="&amp;DATE(Dashboard!$C$4,6,1),Transaksi!$B$16:$B$5015,"&lt;="&amp;EOMONTH(DATE(Dashboard!$C$4,6,1),0)))</f>
        <v/>
      </c>
      <c r="J9" s="106">
        <f>IF(OR($B9="",DATE(Dashboard!$C$4,7,1)&gt;TODAY()),"",SUMIFS(Transaksi!$F$16:$F$5015,Transaksi!$G$16:$G$5015,"Pengeluaran",Transaksi!$H$16:$H$5015,"Pengeluaran Gaji",Transaksi!$I$16:$I$5015,$B9,Transaksi!$B$16:$B$5015,"&gt;="&amp;DATE(Dashboard!$C$4,7,1),Transaksi!$B$16:$B$5015,"&lt;="&amp;EOMONTH(DATE(Dashboard!$C$4,7,1),0))+SUMIFS(Transaksi!$F$16:$F$5015,Transaksi!$G$16:$G$5015,"Pengeluaran",Transaksi!$H$16:$H$5015,"Pengeluaran Jasa",Transaksi!$I$16:$I$5015,$B9,Transaksi!$B$16:$B$5015,"&gt;="&amp;DATE(Dashboard!$C$4,7,1),Transaksi!$B$16:$B$5015,"&lt;="&amp;EOMONTH(DATE(Dashboard!$C$4,7,1),0)))</f>
        <v/>
      </c>
      <c r="K9" s="106">
        <f>IF(OR($B9="",DATE(Dashboard!$C$4,8,1)&gt;TODAY()),"",SUMIFS(Transaksi!$F$16:$F$5015,Transaksi!$G$16:$G$5015,"Pengeluaran",Transaksi!$H$16:$H$5015,"Pengeluaran Gaji",Transaksi!$I$16:$I$5015,$B9,Transaksi!$B$16:$B$5015,"&gt;="&amp;DATE(Dashboard!$C$4,8,1),Transaksi!$B$16:$B$5015,"&lt;="&amp;EOMONTH(DATE(Dashboard!$C$4,8,1),0))+SUMIFS(Transaksi!$F$16:$F$5015,Transaksi!$G$16:$G$5015,"Pengeluaran",Transaksi!$H$16:$H$5015,"Pengeluaran Jasa",Transaksi!$I$16:$I$5015,$B9,Transaksi!$B$16:$B$5015,"&gt;="&amp;DATE(Dashboard!$C$4,8,1),Transaksi!$B$16:$B$5015,"&lt;="&amp;EOMONTH(DATE(Dashboard!$C$4,8,1),0)))</f>
        <v/>
      </c>
      <c r="L9" s="106">
        <f>IF(OR($B9="",DATE(Dashboard!$C$4,9,1)&gt;TODAY()),"",SUMIFS(Transaksi!$F$16:$F$5015,Transaksi!$G$16:$G$5015,"Pengeluaran",Transaksi!$H$16:$H$5015,"Pengeluaran Gaji",Transaksi!$I$16:$I$5015,$B9,Transaksi!$B$16:$B$5015,"&gt;="&amp;DATE(Dashboard!$C$4,9,1),Transaksi!$B$16:$B$5015,"&lt;="&amp;EOMONTH(DATE(Dashboard!$C$4,9,1),0))+SUMIFS(Transaksi!$F$16:$F$5015,Transaksi!$G$16:$G$5015,"Pengeluaran",Transaksi!$H$16:$H$5015,"Pengeluaran Jasa",Transaksi!$I$16:$I$5015,$B9,Transaksi!$B$16:$B$5015,"&gt;="&amp;DATE(Dashboard!$C$4,9,1),Transaksi!$B$16:$B$5015,"&lt;="&amp;EOMONTH(DATE(Dashboard!$C$4,9,1),0)))</f>
        <v/>
      </c>
      <c r="M9" s="106">
        <f>IF(OR($B9="",DATE(Dashboard!$C$4,10,1)&gt;TODAY()),"",SUMIFS(Transaksi!$F$16:$F$5015,Transaksi!$G$16:$G$5015,"Pengeluaran",Transaksi!$H$16:$H$5015,"Pengeluaran Gaji",Transaksi!$I$16:$I$5015,$B9,Transaksi!$B$16:$B$5015,"&gt;="&amp;DATE(Dashboard!$C$4,10,1),Transaksi!$B$16:$B$5015,"&lt;="&amp;EOMONTH(DATE(Dashboard!$C$4,10,1),0))+SUMIFS(Transaksi!$F$16:$F$5015,Transaksi!$G$16:$G$5015,"Pengeluaran",Transaksi!$H$16:$H$5015,"Pengeluaran Jasa",Transaksi!$I$16:$I$5015,$B9,Transaksi!$B$16:$B$5015,"&gt;="&amp;DATE(Dashboard!$C$4,10,1),Transaksi!$B$16:$B$5015,"&lt;="&amp;EOMONTH(DATE(Dashboard!$C$4,10,1),0)))</f>
        <v/>
      </c>
      <c r="N9" s="106">
        <f>IF(OR($B9="",DATE(Dashboard!$C$4,11,1)&gt;TODAY()),"",SUMIFS(Transaksi!$F$16:$F$5015,Transaksi!$G$16:$G$5015,"Pengeluaran",Transaksi!$H$16:$H$5015,"Pengeluaran Gaji",Transaksi!$I$16:$I$5015,$B9,Transaksi!$B$16:$B$5015,"&gt;="&amp;DATE(Dashboard!$C$4,11,1),Transaksi!$B$16:$B$5015,"&lt;="&amp;EOMONTH(DATE(Dashboard!$C$4,11,1),0))+SUMIFS(Transaksi!$F$16:$F$5015,Transaksi!$G$16:$G$5015,"Pengeluaran",Transaksi!$H$16:$H$5015,"Pengeluaran Jasa",Transaksi!$I$16:$I$5015,$B9,Transaksi!$B$16:$B$5015,"&gt;="&amp;DATE(Dashboard!$C$4,11,1),Transaksi!$B$16:$B$5015,"&lt;="&amp;EOMONTH(DATE(Dashboard!$C$4,11,1),0)))</f>
        <v/>
      </c>
      <c r="O9" s="106">
        <f>IF(OR($B9="",DATE(Dashboard!$C$4,12,1)&gt;TODAY()),"",SUMIFS(Transaksi!$F$16:$F$5015,Transaksi!$G$16:$G$5015,"Pengeluaran",Transaksi!$H$16:$H$5015,"Pengeluaran Gaji",Transaksi!$I$16:$I$5015,$B9,Transaksi!$B$16:$B$5015,"&gt;="&amp;DATE(Dashboard!$C$4,12,1),Transaksi!$B$16:$B$5015,"&lt;="&amp;EOMONTH(DATE(Dashboard!$C$4,12,1),0))+SUMIFS(Transaksi!$F$16:$F$5015,Transaksi!$G$16:$G$5015,"Pengeluaran",Transaksi!$H$16:$H$5015,"Pengeluaran Jasa",Transaksi!$I$16:$I$5015,$B9,Transaksi!$B$16:$B$5015,"&gt;="&amp;DATE(Dashboard!$C$4,12,1),Transaksi!$B$16:$B$5015,"&lt;="&amp;EOMONTH(DATE(Dashboard!$C$4,12,1),0)))</f>
        <v/>
      </c>
      <c r="P9" s="113">
        <f>IF($B9="","",SUM(D9:O9))</f>
        <v/>
      </c>
      <c r="Q9" s="106">
        <f>IF($B9="","",P9/MAX(1,COUNT(D9:O9)))</f>
        <v/>
      </c>
    </row>
    <row r="10" ht="15" customHeight="1" s="94">
      <c r="B10" s="127" t="inlineStr">
        <is>
          <t>Fee Investasi</t>
        </is>
      </c>
      <c r="C10" s="163" t="n"/>
      <c r="D10" s="106">
        <f>IF(OR($B10="",DATE(Dashboard!$C$4,1,1)&gt;TODAY()),"",SUMIFS(Transaksi!$F$16:$F$5015,Transaksi!$G$16:$G$5015,"Pengeluaran",Transaksi!$H$16:$H$5015,"Pengeluaran Gaji",Transaksi!$I$16:$I$5015,$B10,Transaksi!$B$16:$B$5015,"&gt;="&amp;DATE(Dashboard!$C$4,1,1),Transaksi!$B$16:$B$5015,"&lt;="&amp;EOMONTH(DATE(Dashboard!$C$4,1,1),0))+SUMIFS(Transaksi!$F$16:$F$5015,Transaksi!$G$16:$G$5015,"Pengeluaran",Transaksi!$H$16:$H$5015,"Pengeluaran Jasa",Transaksi!$I$16:$I$5015,$B10,Transaksi!$B$16:$B$5015,"&gt;="&amp;DATE(Dashboard!$C$4,1,1),Transaksi!$B$16:$B$5015,"&lt;="&amp;EOMONTH(DATE(Dashboard!$C$4,1,1),0)))</f>
        <v/>
      </c>
      <c r="E10" s="106">
        <f>IF(OR($B10="",DATE(Dashboard!$C$4,2,1)&gt;TODAY()),"",SUMIFS(Transaksi!$F$16:$F$5015,Transaksi!$G$16:$G$5015,"Pengeluaran",Transaksi!$H$16:$H$5015,"Pengeluaran Gaji",Transaksi!$I$16:$I$5015,$B10,Transaksi!$B$16:$B$5015,"&gt;="&amp;DATE(Dashboard!$C$4,2,1),Transaksi!$B$16:$B$5015,"&lt;="&amp;EOMONTH(DATE(Dashboard!$C$4,2,1),0))+SUMIFS(Transaksi!$F$16:$F$5015,Transaksi!$G$16:$G$5015,"Pengeluaran",Transaksi!$H$16:$H$5015,"Pengeluaran Jasa",Transaksi!$I$16:$I$5015,$B10,Transaksi!$B$16:$B$5015,"&gt;="&amp;DATE(Dashboard!$C$4,2,1),Transaksi!$B$16:$B$5015,"&lt;="&amp;EOMONTH(DATE(Dashboard!$C$4,2,1),0)))</f>
        <v/>
      </c>
      <c r="F10" s="106">
        <f>IF(OR($B10="",DATE(Dashboard!$C$4,3,1)&gt;TODAY()),"",SUMIFS(Transaksi!$F$16:$F$5015,Transaksi!$G$16:$G$5015,"Pengeluaran",Transaksi!$H$16:$H$5015,"Pengeluaran Gaji",Transaksi!$I$16:$I$5015,$B10,Transaksi!$B$16:$B$5015,"&gt;="&amp;DATE(Dashboard!$C$4,3,1),Transaksi!$B$16:$B$5015,"&lt;="&amp;EOMONTH(DATE(Dashboard!$C$4,3,1),0))+SUMIFS(Transaksi!$F$16:$F$5015,Transaksi!$G$16:$G$5015,"Pengeluaran",Transaksi!$H$16:$H$5015,"Pengeluaran Jasa",Transaksi!$I$16:$I$5015,$B10,Transaksi!$B$16:$B$5015,"&gt;="&amp;DATE(Dashboard!$C$4,3,1),Transaksi!$B$16:$B$5015,"&lt;="&amp;EOMONTH(DATE(Dashboard!$C$4,3,1),0)))</f>
        <v/>
      </c>
      <c r="G10" s="106">
        <f>IF(OR($B10="",DATE(Dashboard!$C$4,4,1)&gt;TODAY()),"",SUMIFS(Transaksi!$F$16:$F$5015,Transaksi!$G$16:$G$5015,"Pengeluaran",Transaksi!$H$16:$H$5015,"Pengeluaran Gaji",Transaksi!$I$16:$I$5015,$B10,Transaksi!$B$16:$B$5015,"&gt;="&amp;DATE(Dashboard!$C$4,4,1),Transaksi!$B$16:$B$5015,"&lt;="&amp;EOMONTH(DATE(Dashboard!$C$4,4,1),0))+SUMIFS(Transaksi!$F$16:$F$5015,Transaksi!$G$16:$G$5015,"Pengeluaran",Transaksi!$H$16:$H$5015,"Pengeluaran Jasa",Transaksi!$I$16:$I$5015,$B10,Transaksi!$B$16:$B$5015,"&gt;="&amp;DATE(Dashboard!$C$4,4,1),Transaksi!$B$16:$B$5015,"&lt;="&amp;EOMONTH(DATE(Dashboard!$C$4,4,1),0)))</f>
        <v/>
      </c>
      <c r="H10" s="106">
        <f>IF(OR($B10="",DATE(Dashboard!$C$4,5,1)&gt;TODAY()),"",SUMIFS(Transaksi!$F$16:$F$5015,Transaksi!$G$16:$G$5015,"Pengeluaran",Transaksi!$H$16:$H$5015,"Pengeluaran Gaji",Transaksi!$I$16:$I$5015,$B10,Transaksi!$B$16:$B$5015,"&gt;="&amp;DATE(Dashboard!$C$4,5,1),Transaksi!$B$16:$B$5015,"&lt;="&amp;EOMONTH(DATE(Dashboard!$C$4,5,1),0))+SUMIFS(Transaksi!$F$16:$F$5015,Transaksi!$G$16:$G$5015,"Pengeluaran",Transaksi!$H$16:$H$5015,"Pengeluaran Jasa",Transaksi!$I$16:$I$5015,$B10,Transaksi!$B$16:$B$5015,"&gt;="&amp;DATE(Dashboard!$C$4,5,1),Transaksi!$B$16:$B$5015,"&lt;="&amp;EOMONTH(DATE(Dashboard!$C$4,5,1),0)))</f>
        <v/>
      </c>
      <c r="I10" s="106">
        <f>IF(OR($B10="",DATE(Dashboard!$C$4,6,1)&gt;TODAY()),"",SUMIFS(Transaksi!$F$16:$F$5015,Transaksi!$G$16:$G$5015,"Pengeluaran",Transaksi!$H$16:$H$5015,"Pengeluaran Gaji",Transaksi!$I$16:$I$5015,$B10,Transaksi!$B$16:$B$5015,"&gt;="&amp;DATE(Dashboard!$C$4,6,1),Transaksi!$B$16:$B$5015,"&lt;="&amp;EOMONTH(DATE(Dashboard!$C$4,6,1),0))+SUMIFS(Transaksi!$F$16:$F$5015,Transaksi!$G$16:$G$5015,"Pengeluaran",Transaksi!$H$16:$H$5015,"Pengeluaran Jasa",Transaksi!$I$16:$I$5015,$B10,Transaksi!$B$16:$B$5015,"&gt;="&amp;DATE(Dashboard!$C$4,6,1),Transaksi!$B$16:$B$5015,"&lt;="&amp;EOMONTH(DATE(Dashboard!$C$4,6,1),0)))</f>
        <v/>
      </c>
      <c r="J10" s="106">
        <f>IF(OR($B10="",DATE(Dashboard!$C$4,7,1)&gt;TODAY()),"",SUMIFS(Transaksi!$F$16:$F$5015,Transaksi!$G$16:$G$5015,"Pengeluaran",Transaksi!$H$16:$H$5015,"Pengeluaran Gaji",Transaksi!$I$16:$I$5015,$B10,Transaksi!$B$16:$B$5015,"&gt;="&amp;DATE(Dashboard!$C$4,7,1),Transaksi!$B$16:$B$5015,"&lt;="&amp;EOMONTH(DATE(Dashboard!$C$4,7,1),0))+SUMIFS(Transaksi!$F$16:$F$5015,Transaksi!$G$16:$G$5015,"Pengeluaran",Transaksi!$H$16:$H$5015,"Pengeluaran Jasa",Transaksi!$I$16:$I$5015,$B10,Transaksi!$B$16:$B$5015,"&gt;="&amp;DATE(Dashboard!$C$4,7,1),Transaksi!$B$16:$B$5015,"&lt;="&amp;EOMONTH(DATE(Dashboard!$C$4,7,1),0)))</f>
        <v/>
      </c>
      <c r="K10" s="106">
        <f>IF(OR($B10="",DATE(Dashboard!$C$4,8,1)&gt;TODAY()),"",SUMIFS(Transaksi!$F$16:$F$5015,Transaksi!$G$16:$G$5015,"Pengeluaran",Transaksi!$H$16:$H$5015,"Pengeluaran Gaji",Transaksi!$I$16:$I$5015,$B10,Transaksi!$B$16:$B$5015,"&gt;="&amp;DATE(Dashboard!$C$4,8,1),Transaksi!$B$16:$B$5015,"&lt;="&amp;EOMONTH(DATE(Dashboard!$C$4,8,1),0))+SUMIFS(Transaksi!$F$16:$F$5015,Transaksi!$G$16:$G$5015,"Pengeluaran",Transaksi!$H$16:$H$5015,"Pengeluaran Jasa",Transaksi!$I$16:$I$5015,$B10,Transaksi!$B$16:$B$5015,"&gt;="&amp;DATE(Dashboard!$C$4,8,1),Transaksi!$B$16:$B$5015,"&lt;="&amp;EOMONTH(DATE(Dashboard!$C$4,8,1),0)))</f>
        <v/>
      </c>
      <c r="L10" s="106">
        <f>IF(OR($B10="",DATE(Dashboard!$C$4,9,1)&gt;TODAY()),"",SUMIFS(Transaksi!$F$16:$F$5015,Transaksi!$G$16:$G$5015,"Pengeluaran",Transaksi!$H$16:$H$5015,"Pengeluaran Gaji",Transaksi!$I$16:$I$5015,$B10,Transaksi!$B$16:$B$5015,"&gt;="&amp;DATE(Dashboard!$C$4,9,1),Transaksi!$B$16:$B$5015,"&lt;="&amp;EOMONTH(DATE(Dashboard!$C$4,9,1),0))+SUMIFS(Transaksi!$F$16:$F$5015,Transaksi!$G$16:$G$5015,"Pengeluaran",Transaksi!$H$16:$H$5015,"Pengeluaran Jasa",Transaksi!$I$16:$I$5015,$B10,Transaksi!$B$16:$B$5015,"&gt;="&amp;DATE(Dashboard!$C$4,9,1),Transaksi!$B$16:$B$5015,"&lt;="&amp;EOMONTH(DATE(Dashboard!$C$4,9,1),0)))</f>
        <v/>
      </c>
      <c r="M10" s="106">
        <f>IF(OR($B10="",DATE(Dashboard!$C$4,10,1)&gt;TODAY()),"",SUMIFS(Transaksi!$F$16:$F$5015,Transaksi!$G$16:$G$5015,"Pengeluaran",Transaksi!$H$16:$H$5015,"Pengeluaran Gaji",Transaksi!$I$16:$I$5015,$B10,Transaksi!$B$16:$B$5015,"&gt;="&amp;DATE(Dashboard!$C$4,10,1),Transaksi!$B$16:$B$5015,"&lt;="&amp;EOMONTH(DATE(Dashboard!$C$4,10,1),0))+SUMIFS(Transaksi!$F$16:$F$5015,Transaksi!$G$16:$G$5015,"Pengeluaran",Transaksi!$H$16:$H$5015,"Pengeluaran Jasa",Transaksi!$I$16:$I$5015,$B10,Transaksi!$B$16:$B$5015,"&gt;="&amp;DATE(Dashboard!$C$4,10,1),Transaksi!$B$16:$B$5015,"&lt;="&amp;EOMONTH(DATE(Dashboard!$C$4,10,1),0)))</f>
        <v/>
      </c>
      <c r="N10" s="106">
        <f>IF(OR($B10="",DATE(Dashboard!$C$4,11,1)&gt;TODAY()),"",SUMIFS(Transaksi!$F$16:$F$5015,Transaksi!$G$16:$G$5015,"Pengeluaran",Transaksi!$H$16:$H$5015,"Pengeluaran Gaji",Transaksi!$I$16:$I$5015,$B10,Transaksi!$B$16:$B$5015,"&gt;="&amp;DATE(Dashboard!$C$4,11,1),Transaksi!$B$16:$B$5015,"&lt;="&amp;EOMONTH(DATE(Dashboard!$C$4,11,1),0))+SUMIFS(Transaksi!$F$16:$F$5015,Transaksi!$G$16:$G$5015,"Pengeluaran",Transaksi!$H$16:$H$5015,"Pengeluaran Jasa",Transaksi!$I$16:$I$5015,$B10,Transaksi!$B$16:$B$5015,"&gt;="&amp;DATE(Dashboard!$C$4,11,1),Transaksi!$B$16:$B$5015,"&lt;="&amp;EOMONTH(DATE(Dashboard!$C$4,11,1),0)))</f>
        <v/>
      </c>
      <c r="O10" s="106">
        <f>IF(OR($B10="",DATE(Dashboard!$C$4,12,1)&gt;TODAY()),"",SUMIFS(Transaksi!$F$16:$F$5015,Transaksi!$G$16:$G$5015,"Pengeluaran",Transaksi!$H$16:$H$5015,"Pengeluaran Gaji",Transaksi!$I$16:$I$5015,$B10,Transaksi!$B$16:$B$5015,"&gt;="&amp;DATE(Dashboard!$C$4,12,1),Transaksi!$B$16:$B$5015,"&lt;="&amp;EOMONTH(DATE(Dashboard!$C$4,12,1),0))+SUMIFS(Transaksi!$F$16:$F$5015,Transaksi!$G$16:$G$5015,"Pengeluaran",Transaksi!$H$16:$H$5015,"Pengeluaran Jasa",Transaksi!$I$16:$I$5015,$B10,Transaksi!$B$16:$B$5015,"&gt;="&amp;DATE(Dashboard!$C$4,12,1),Transaksi!$B$16:$B$5015,"&lt;="&amp;EOMONTH(DATE(Dashboard!$C$4,12,1),0)))</f>
        <v/>
      </c>
      <c r="P10" s="113">
        <f>IF($B10="","",SUM(D10:O10))</f>
        <v/>
      </c>
      <c r="Q10" s="106">
        <f>IF($B10="","",P10/MAX(1,COUNT(D10:O10)))</f>
        <v/>
      </c>
    </row>
    <row r="11" ht="15" customHeight="1" s="94">
      <c r="B11" s="127" t="inlineStr">
        <is>
          <t>Iuran &amp; Kas Kantor</t>
        </is>
      </c>
      <c r="C11" s="163" t="n"/>
      <c r="D11" s="106">
        <f>IF(OR($B11="",DATE(Dashboard!$C$4,1,1)&gt;TODAY()),"",SUMIFS(Transaksi!$F$16:$F$5015,Transaksi!$G$16:$G$5015,"Pengeluaran",Transaksi!$H$16:$H$5015,"Pengeluaran Gaji",Transaksi!$I$16:$I$5015,$B11,Transaksi!$B$16:$B$5015,"&gt;="&amp;DATE(Dashboard!$C$4,1,1),Transaksi!$B$16:$B$5015,"&lt;="&amp;EOMONTH(DATE(Dashboard!$C$4,1,1),0))+SUMIFS(Transaksi!$F$16:$F$5015,Transaksi!$G$16:$G$5015,"Pengeluaran",Transaksi!$H$16:$H$5015,"Pengeluaran Jasa",Transaksi!$I$16:$I$5015,$B11,Transaksi!$B$16:$B$5015,"&gt;="&amp;DATE(Dashboard!$C$4,1,1),Transaksi!$B$16:$B$5015,"&lt;="&amp;EOMONTH(DATE(Dashboard!$C$4,1,1),0)))</f>
        <v/>
      </c>
      <c r="E11" s="106">
        <f>IF(OR($B11="",DATE(Dashboard!$C$4,2,1)&gt;TODAY()),"",SUMIFS(Transaksi!$F$16:$F$5015,Transaksi!$G$16:$G$5015,"Pengeluaran",Transaksi!$H$16:$H$5015,"Pengeluaran Gaji",Transaksi!$I$16:$I$5015,$B11,Transaksi!$B$16:$B$5015,"&gt;="&amp;DATE(Dashboard!$C$4,2,1),Transaksi!$B$16:$B$5015,"&lt;="&amp;EOMONTH(DATE(Dashboard!$C$4,2,1),0))+SUMIFS(Transaksi!$F$16:$F$5015,Transaksi!$G$16:$G$5015,"Pengeluaran",Transaksi!$H$16:$H$5015,"Pengeluaran Jasa",Transaksi!$I$16:$I$5015,$B11,Transaksi!$B$16:$B$5015,"&gt;="&amp;DATE(Dashboard!$C$4,2,1),Transaksi!$B$16:$B$5015,"&lt;="&amp;EOMONTH(DATE(Dashboard!$C$4,2,1),0)))</f>
        <v/>
      </c>
      <c r="F11" s="106">
        <f>IF(OR($B11="",DATE(Dashboard!$C$4,3,1)&gt;TODAY()),"",SUMIFS(Transaksi!$F$16:$F$5015,Transaksi!$G$16:$G$5015,"Pengeluaran",Transaksi!$H$16:$H$5015,"Pengeluaran Gaji",Transaksi!$I$16:$I$5015,$B11,Transaksi!$B$16:$B$5015,"&gt;="&amp;DATE(Dashboard!$C$4,3,1),Transaksi!$B$16:$B$5015,"&lt;="&amp;EOMONTH(DATE(Dashboard!$C$4,3,1),0))+SUMIFS(Transaksi!$F$16:$F$5015,Transaksi!$G$16:$G$5015,"Pengeluaran",Transaksi!$H$16:$H$5015,"Pengeluaran Jasa",Transaksi!$I$16:$I$5015,$B11,Transaksi!$B$16:$B$5015,"&gt;="&amp;DATE(Dashboard!$C$4,3,1),Transaksi!$B$16:$B$5015,"&lt;="&amp;EOMONTH(DATE(Dashboard!$C$4,3,1),0)))</f>
        <v/>
      </c>
      <c r="G11" s="106">
        <f>IF(OR($B11="",DATE(Dashboard!$C$4,4,1)&gt;TODAY()),"",SUMIFS(Transaksi!$F$16:$F$5015,Transaksi!$G$16:$G$5015,"Pengeluaran",Transaksi!$H$16:$H$5015,"Pengeluaran Gaji",Transaksi!$I$16:$I$5015,$B11,Transaksi!$B$16:$B$5015,"&gt;="&amp;DATE(Dashboard!$C$4,4,1),Transaksi!$B$16:$B$5015,"&lt;="&amp;EOMONTH(DATE(Dashboard!$C$4,4,1),0))+SUMIFS(Transaksi!$F$16:$F$5015,Transaksi!$G$16:$G$5015,"Pengeluaran",Transaksi!$H$16:$H$5015,"Pengeluaran Jasa",Transaksi!$I$16:$I$5015,$B11,Transaksi!$B$16:$B$5015,"&gt;="&amp;DATE(Dashboard!$C$4,4,1),Transaksi!$B$16:$B$5015,"&lt;="&amp;EOMONTH(DATE(Dashboard!$C$4,4,1),0)))</f>
        <v/>
      </c>
      <c r="H11" s="106">
        <f>IF(OR($B11="",DATE(Dashboard!$C$4,5,1)&gt;TODAY()),"",SUMIFS(Transaksi!$F$16:$F$5015,Transaksi!$G$16:$G$5015,"Pengeluaran",Transaksi!$H$16:$H$5015,"Pengeluaran Gaji",Transaksi!$I$16:$I$5015,$B11,Transaksi!$B$16:$B$5015,"&gt;="&amp;DATE(Dashboard!$C$4,5,1),Transaksi!$B$16:$B$5015,"&lt;="&amp;EOMONTH(DATE(Dashboard!$C$4,5,1),0))+SUMIFS(Transaksi!$F$16:$F$5015,Transaksi!$G$16:$G$5015,"Pengeluaran",Transaksi!$H$16:$H$5015,"Pengeluaran Jasa",Transaksi!$I$16:$I$5015,$B11,Transaksi!$B$16:$B$5015,"&gt;="&amp;DATE(Dashboard!$C$4,5,1),Transaksi!$B$16:$B$5015,"&lt;="&amp;EOMONTH(DATE(Dashboard!$C$4,5,1),0)))</f>
        <v/>
      </c>
      <c r="I11" s="106">
        <f>IF(OR($B11="",DATE(Dashboard!$C$4,6,1)&gt;TODAY()),"",SUMIFS(Transaksi!$F$16:$F$5015,Transaksi!$G$16:$G$5015,"Pengeluaran",Transaksi!$H$16:$H$5015,"Pengeluaran Gaji",Transaksi!$I$16:$I$5015,$B11,Transaksi!$B$16:$B$5015,"&gt;="&amp;DATE(Dashboard!$C$4,6,1),Transaksi!$B$16:$B$5015,"&lt;="&amp;EOMONTH(DATE(Dashboard!$C$4,6,1),0))+SUMIFS(Transaksi!$F$16:$F$5015,Transaksi!$G$16:$G$5015,"Pengeluaran",Transaksi!$H$16:$H$5015,"Pengeluaran Jasa",Transaksi!$I$16:$I$5015,$B11,Transaksi!$B$16:$B$5015,"&gt;="&amp;DATE(Dashboard!$C$4,6,1),Transaksi!$B$16:$B$5015,"&lt;="&amp;EOMONTH(DATE(Dashboard!$C$4,6,1),0)))</f>
        <v/>
      </c>
      <c r="J11" s="106">
        <f>IF(OR($B11="",DATE(Dashboard!$C$4,7,1)&gt;TODAY()),"",SUMIFS(Transaksi!$F$16:$F$5015,Transaksi!$G$16:$G$5015,"Pengeluaran",Transaksi!$H$16:$H$5015,"Pengeluaran Gaji",Transaksi!$I$16:$I$5015,$B11,Transaksi!$B$16:$B$5015,"&gt;="&amp;DATE(Dashboard!$C$4,7,1),Transaksi!$B$16:$B$5015,"&lt;="&amp;EOMONTH(DATE(Dashboard!$C$4,7,1),0))+SUMIFS(Transaksi!$F$16:$F$5015,Transaksi!$G$16:$G$5015,"Pengeluaran",Transaksi!$H$16:$H$5015,"Pengeluaran Jasa",Transaksi!$I$16:$I$5015,$B11,Transaksi!$B$16:$B$5015,"&gt;="&amp;DATE(Dashboard!$C$4,7,1),Transaksi!$B$16:$B$5015,"&lt;="&amp;EOMONTH(DATE(Dashboard!$C$4,7,1),0)))</f>
        <v/>
      </c>
      <c r="K11" s="106">
        <f>IF(OR($B11="",DATE(Dashboard!$C$4,8,1)&gt;TODAY()),"",SUMIFS(Transaksi!$F$16:$F$5015,Transaksi!$G$16:$G$5015,"Pengeluaran",Transaksi!$H$16:$H$5015,"Pengeluaran Gaji",Transaksi!$I$16:$I$5015,$B11,Transaksi!$B$16:$B$5015,"&gt;="&amp;DATE(Dashboard!$C$4,8,1),Transaksi!$B$16:$B$5015,"&lt;="&amp;EOMONTH(DATE(Dashboard!$C$4,8,1),0))+SUMIFS(Transaksi!$F$16:$F$5015,Transaksi!$G$16:$G$5015,"Pengeluaran",Transaksi!$H$16:$H$5015,"Pengeluaran Jasa",Transaksi!$I$16:$I$5015,$B11,Transaksi!$B$16:$B$5015,"&gt;="&amp;DATE(Dashboard!$C$4,8,1),Transaksi!$B$16:$B$5015,"&lt;="&amp;EOMONTH(DATE(Dashboard!$C$4,8,1),0)))</f>
        <v/>
      </c>
      <c r="L11" s="106">
        <f>IF(OR($B11="",DATE(Dashboard!$C$4,9,1)&gt;TODAY()),"",SUMIFS(Transaksi!$F$16:$F$5015,Transaksi!$G$16:$G$5015,"Pengeluaran",Transaksi!$H$16:$H$5015,"Pengeluaran Gaji",Transaksi!$I$16:$I$5015,$B11,Transaksi!$B$16:$B$5015,"&gt;="&amp;DATE(Dashboard!$C$4,9,1),Transaksi!$B$16:$B$5015,"&lt;="&amp;EOMONTH(DATE(Dashboard!$C$4,9,1),0))+SUMIFS(Transaksi!$F$16:$F$5015,Transaksi!$G$16:$G$5015,"Pengeluaran",Transaksi!$H$16:$H$5015,"Pengeluaran Jasa",Transaksi!$I$16:$I$5015,$B11,Transaksi!$B$16:$B$5015,"&gt;="&amp;DATE(Dashboard!$C$4,9,1),Transaksi!$B$16:$B$5015,"&lt;="&amp;EOMONTH(DATE(Dashboard!$C$4,9,1),0)))</f>
        <v/>
      </c>
      <c r="M11" s="106">
        <f>IF(OR($B11="",DATE(Dashboard!$C$4,10,1)&gt;TODAY()),"",SUMIFS(Transaksi!$F$16:$F$5015,Transaksi!$G$16:$G$5015,"Pengeluaran",Transaksi!$H$16:$H$5015,"Pengeluaran Gaji",Transaksi!$I$16:$I$5015,$B11,Transaksi!$B$16:$B$5015,"&gt;="&amp;DATE(Dashboard!$C$4,10,1),Transaksi!$B$16:$B$5015,"&lt;="&amp;EOMONTH(DATE(Dashboard!$C$4,10,1),0))+SUMIFS(Transaksi!$F$16:$F$5015,Transaksi!$G$16:$G$5015,"Pengeluaran",Transaksi!$H$16:$H$5015,"Pengeluaran Jasa",Transaksi!$I$16:$I$5015,$B11,Transaksi!$B$16:$B$5015,"&gt;="&amp;DATE(Dashboard!$C$4,10,1),Transaksi!$B$16:$B$5015,"&lt;="&amp;EOMONTH(DATE(Dashboard!$C$4,10,1),0)))</f>
        <v/>
      </c>
      <c r="N11" s="106">
        <f>IF(OR($B11="",DATE(Dashboard!$C$4,11,1)&gt;TODAY()),"",SUMIFS(Transaksi!$F$16:$F$5015,Transaksi!$G$16:$G$5015,"Pengeluaran",Transaksi!$H$16:$H$5015,"Pengeluaran Gaji",Transaksi!$I$16:$I$5015,$B11,Transaksi!$B$16:$B$5015,"&gt;="&amp;DATE(Dashboard!$C$4,11,1),Transaksi!$B$16:$B$5015,"&lt;="&amp;EOMONTH(DATE(Dashboard!$C$4,11,1),0))+SUMIFS(Transaksi!$F$16:$F$5015,Transaksi!$G$16:$G$5015,"Pengeluaran",Transaksi!$H$16:$H$5015,"Pengeluaran Jasa",Transaksi!$I$16:$I$5015,$B11,Transaksi!$B$16:$B$5015,"&gt;="&amp;DATE(Dashboard!$C$4,11,1),Transaksi!$B$16:$B$5015,"&lt;="&amp;EOMONTH(DATE(Dashboard!$C$4,11,1),0)))</f>
        <v/>
      </c>
      <c r="O11" s="106">
        <f>IF(OR($B11="",DATE(Dashboard!$C$4,12,1)&gt;TODAY()),"",SUMIFS(Transaksi!$F$16:$F$5015,Transaksi!$G$16:$G$5015,"Pengeluaran",Transaksi!$H$16:$H$5015,"Pengeluaran Gaji",Transaksi!$I$16:$I$5015,$B11,Transaksi!$B$16:$B$5015,"&gt;="&amp;DATE(Dashboard!$C$4,12,1),Transaksi!$B$16:$B$5015,"&lt;="&amp;EOMONTH(DATE(Dashboard!$C$4,12,1),0))+SUMIFS(Transaksi!$F$16:$F$5015,Transaksi!$G$16:$G$5015,"Pengeluaran",Transaksi!$H$16:$H$5015,"Pengeluaran Jasa",Transaksi!$I$16:$I$5015,$B11,Transaksi!$B$16:$B$5015,"&gt;="&amp;DATE(Dashboard!$C$4,12,1),Transaksi!$B$16:$B$5015,"&lt;="&amp;EOMONTH(DATE(Dashboard!$C$4,12,1),0)))</f>
        <v/>
      </c>
      <c r="P11" s="113">
        <f>IF($B11="","",SUM(D11:O11))</f>
        <v/>
      </c>
      <c r="Q11" s="106">
        <f>IF($B11="","",P11/MAX(1,COUNT(D11:O11)))</f>
        <v/>
      </c>
    </row>
    <row r="12" ht="15" customHeight="1" s="94">
      <c r="B12" s="127" t="inlineStr">
        <is>
          <t>Kebutuhan Pribadi &amp; Rumah</t>
        </is>
      </c>
      <c r="C12" s="163" t="n"/>
      <c r="D12" s="106">
        <f>IF(OR($B12="",DATE(Dashboard!$C$4,1,1)&gt;TODAY()),"",SUMIFS(Transaksi!$F$16:$F$5015,Transaksi!$G$16:$G$5015,"Pengeluaran",Transaksi!$H$16:$H$5015,"Pengeluaran Gaji",Transaksi!$I$16:$I$5015,$B12,Transaksi!$B$16:$B$5015,"&gt;="&amp;DATE(Dashboard!$C$4,1,1),Transaksi!$B$16:$B$5015,"&lt;="&amp;EOMONTH(DATE(Dashboard!$C$4,1,1),0))+SUMIFS(Transaksi!$F$16:$F$5015,Transaksi!$G$16:$G$5015,"Pengeluaran",Transaksi!$H$16:$H$5015,"Pengeluaran Jasa",Transaksi!$I$16:$I$5015,$B12,Transaksi!$B$16:$B$5015,"&gt;="&amp;DATE(Dashboard!$C$4,1,1),Transaksi!$B$16:$B$5015,"&lt;="&amp;EOMONTH(DATE(Dashboard!$C$4,1,1),0)))</f>
        <v/>
      </c>
      <c r="E12" s="106">
        <f>IF(OR($B12="",DATE(Dashboard!$C$4,2,1)&gt;TODAY()),"",SUMIFS(Transaksi!$F$16:$F$5015,Transaksi!$G$16:$G$5015,"Pengeluaran",Transaksi!$H$16:$H$5015,"Pengeluaran Gaji",Transaksi!$I$16:$I$5015,$B12,Transaksi!$B$16:$B$5015,"&gt;="&amp;DATE(Dashboard!$C$4,2,1),Transaksi!$B$16:$B$5015,"&lt;="&amp;EOMONTH(DATE(Dashboard!$C$4,2,1),0))+SUMIFS(Transaksi!$F$16:$F$5015,Transaksi!$G$16:$G$5015,"Pengeluaran",Transaksi!$H$16:$H$5015,"Pengeluaran Jasa",Transaksi!$I$16:$I$5015,$B12,Transaksi!$B$16:$B$5015,"&gt;="&amp;DATE(Dashboard!$C$4,2,1),Transaksi!$B$16:$B$5015,"&lt;="&amp;EOMONTH(DATE(Dashboard!$C$4,2,1),0)))</f>
        <v/>
      </c>
      <c r="F12" s="106">
        <f>IF(OR($B12="",DATE(Dashboard!$C$4,3,1)&gt;TODAY()),"",SUMIFS(Transaksi!$F$16:$F$5015,Transaksi!$G$16:$G$5015,"Pengeluaran",Transaksi!$H$16:$H$5015,"Pengeluaran Gaji",Transaksi!$I$16:$I$5015,$B12,Transaksi!$B$16:$B$5015,"&gt;="&amp;DATE(Dashboard!$C$4,3,1),Transaksi!$B$16:$B$5015,"&lt;="&amp;EOMONTH(DATE(Dashboard!$C$4,3,1),0))+SUMIFS(Transaksi!$F$16:$F$5015,Transaksi!$G$16:$G$5015,"Pengeluaran",Transaksi!$H$16:$H$5015,"Pengeluaran Jasa",Transaksi!$I$16:$I$5015,$B12,Transaksi!$B$16:$B$5015,"&gt;="&amp;DATE(Dashboard!$C$4,3,1),Transaksi!$B$16:$B$5015,"&lt;="&amp;EOMONTH(DATE(Dashboard!$C$4,3,1),0)))</f>
        <v/>
      </c>
      <c r="G12" s="106">
        <f>IF(OR($B12="",DATE(Dashboard!$C$4,4,1)&gt;TODAY()),"",SUMIFS(Transaksi!$F$16:$F$5015,Transaksi!$G$16:$G$5015,"Pengeluaran",Transaksi!$H$16:$H$5015,"Pengeluaran Gaji",Transaksi!$I$16:$I$5015,$B12,Transaksi!$B$16:$B$5015,"&gt;="&amp;DATE(Dashboard!$C$4,4,1),Transaksi!$B$16:$B$5015,"&lt;="&amp;EOMONTH(DATE(Dashboard!$C$4,4,1),0))+SUMIFS(Transaksi!$F$16:$F$5015,Transaksi!$G$16:$G$5015,"Pengeluaran",Transaksi!$H$16:$H$5015,"Pengeluaran Jasa",Transaksi!$I$16:$I$5015,$B12,Transaksi!$B$16:$B$5015,"&gt;="&amp;DATE(Dashboard!$C$4,4,1),Transaksi!$B$16:$B$5015,"&lt;="&amp;EOMONTH(DATE(Dashboard!$C$4,4,1),0)))</f>
        <v/>
      </c>
      <c r="H12" s="106">
        <f>IF(OR($B12="",DATE(Dashboard!$C$4,5,1)&gt;TODAY()),"",SUMIFS(Transaksi!$F$16:$F$5015,Transaksi!$G$16:$G$5015,"Pengeluaran",Transaksi!$H$16:$H$5015,"Pengeluaran Gaji",Transaksi!$I$16:$I$5015,$B12,Transaksi!$B$16:$B$5015,"&gt;="&amp;DATE(Dashboard!$C$4,5,1),Transaksi!$B$16:$B$5015,"&lt;="&amp;EOMONTH(DATE(Dashboard!$C$4,5,1),0))+SUMIFS(Transaksi!$F$16:$F$5015,Transaksi!$G$16:$G$5015,"Pengeluaran",Transaksi!$H$16:$H$5015,"Pengeluaran Jasa",Transaksi!$I$16:$I$5015,$B12,Transaksi!$B$16:$B$5015,"&gt;="&amp;DATE(Dashboard!$C$4,5,1),Transaksi!$B$16:$B$5015,"&lt;="&amp;EOMONTH(DATE(Dashboard!$C$4,5,1),0)))</f>
        <v/>
      </c>
      <c r="I12" s="106">
        <f>IF(OR($B12="",DATE(Dashboard!$C$4,6,1)&gt;TODAY()),"",SUMIFS(Transaksi!$F$16:$F$5015,Transaksi!$G$16:$G$5015,"Pengeluaran",Transaksi!$H$16:$H$5015,"Pengeluaran Gaji",Transaksi!$I$16:$I$5015,$B12,Transaksi!$B$16:$B$5015,"&gt;="&amp;DATE(Dashboard!$C$4,6,1),Transaksi!$B$16:$B$5015,"&lt;="&amp;EOMONTH(DATE(Dashboard!$C$4,6,1),0))+SUMIFS(Transaksi!$F$16:$F$5015,Transaksi!$G$16:$G$5015,"Pengeluaran",Transaksi!$H$16:$H$5015,"Pengeluaran Jasa",Transaksi!$I$16:$I$5015,$B12,Transaksi!$B$16:$B$5015,"&gt;="&amp;DATE(Dashboard!$C$4,6,1),Transaksi!$B$16:$B$5015,"&lt;="&amp;EOMONTH(DATE(Dashboard!$C$4,6,1),0)))</f>
        <v/>
      </c>
      <c r="J12" s="106">
        <f>IF(OR($B12="",DATE(Dashboard!$C$4,7,1)&gt;TODAY()),"",SUMIFS(Transaksi!$F$16:$F$5015,Transaksi!$G$16:$G$5015,"Pengeluaran",Transaksi!$H$16:$H$5015,"Pengeluaran Gaji",Transaksi!$I$16:$I$5015,$B12,Transaksi!$B$16:$B$5015,"&gt;="&amp;DATE(Dashboard!$C$4,7,1),Transaksi!$B$16:$B$5015,"&lt;="&amp;EOMONTH(DATE(Dashboard!$C$4,7,1),0))+SUMIFS(Transaksi!$F$16:$F$5015,Transaksi!$G$16:$G$5015,"Pengeluaran",Transaksi!$H$16:$H$5015,"Pengeluaran Jasa",Transaksi!$I$16:$I$5015,$B12,Transaksi!$B$16:$B$5015,"&gt;="&amp;DATE(Dashboard!$C$4,7,1),Transaksi!$B$16:$B$5015,"&lt;="&amp;EOMONTH(DATE(Dashboard!$C$4,7,1),0)))</f>
        <v/>
      </c>
      <c r="K12" s="106">
        <f>IF(OR($B12="",DATE(Dashboard!$C$4,8,1)&gt;TODAY()),"",SUMIFS(Transaksi!$F$16:$F$5015,Transaksi!$G$16:$G$5015,"Pengeluaran",Transaksi!$H$16:$H$5015,"Pengeluaran Gaji",Transaksi!$I$16:$I$5015,$B12,Transaksi!$B$16:$B$5015,"&gt;="&amp;DATE(Dashboard!$C$4,8,1),Transaksi!$B$16:$B$5015,"&lt;="&amp;EOMONTH(DATE(Dashboard!$C$4,8,1),0))+SUMIFS(Transaksi!$F$16:$F$5015,Transaksi!$G$16:$G$5015,"Pengeluaran",Transaksi!$H$16:$H$5015,"Pengeluaran Jasa",Transaksi!$I$16:$I$5015,$B12,Transaksi!$B$16:$B$5015,"&gt;="&amp;DATE(Dashboard!$C$4,8,1),Transaksi!$B$16:$B$5015,"&lt;="&amp;EOMONTH(DATE(Dashboard!$C$4,8,1),0)))</f>
        <v/>
      </c>
      <c r="L12" s="106">
        <f>IF(OR($B12="",DATE(Dashboard!$C$4,9,1)&gt;TODAY()),"",SUMIFS(Transaksi!$F$16:$F$5015,Transaksi!$G$16:$G$5015,"Pengeluaran",Transaksi!$H$16:$H$5015,"Pengeluaran Gaji",Transaksi!$I$16:$I$5015,$B12,Transaksi!$B$16:$B$5015,"&gt;="&amp;DATE(Dashboard!$C$4,9,1),Transaksi!$B$16:$B$5015,"&lt;="&amp;EOMONTH(DATE(Dashboard!$C$4,9,1),0))+SUMIFS(Transaksi!$F$16:$F$5015,Transaksi!$G$16:$G$5015,"Pengeluaran",Transaksi!$H$16:$H$5015,"Pengeluaran Jasa",Transaksi!$I$16:$I$5015,$B12,Transaksi!$B$16:$B$5015,"&gt;="&amp;DATE(Dashboard!$C$4,9,1),Transaksi!$B$16:$B$5015,"&lt;="&amp;EOMONTH(DATE(Dashboard!$C$4,9,1),0)))</f>
        <v/>
      </c>
      <c r="M12" s="106">
        <f>IF(OR($B12="",DATE(Dashboard!$C$4,10,1)&gt;TODAY()),"",SUMIFS(Transaksi!$F$16:$F$5015,Transaksi!$G$16:$G$5015,"Pengeluaran",Transaksi!$H$16:$H$5015,"Pengeluaran Gaji",Transaksi!$I$16:$I$5015,$B12,Transaksi!$B$16:$B$5015,"&gt;="&amp;DATE(Dashboard!$C$4,10,1),Transaksi!$B$16:$B$5015,"&lt;="&amp;EOMONTH(DATE(Dashboard!$C$4,10,1),0))+SUMIFS(Transaksi!$F$16:$F$5015,Transaksi!$G$16:$G$5015,"Pengeluaran",Transaksi!$H$16:$H$5015,"Pengeluaran Jasa",Transaksi!$I$16:$I$5015,$B12,Transaksi!$B$16:$B$5015,"&gt;="&amp;DATE(Dashboard!$C$4,10,1),Transaksi!$B$16:$B$5015,"&lt;="&amp;EOMONTH(DATE(Dashboard!$C$4,10,1),0)))</f>
        <v/>
      </c>
      <c r="N12" s="106">
        <f>IF(OR($B12="",DATE(Dashboard!$C$4,11,1)&gt;TODAY()),"",SUMIFS(Transaksi!$F$16:$F$5015,Transaksi!$G$16:$G$5015,"Pengeluaran",Transaksi!$H$16:$H$5015,"Pengeluaran Gaji",Transaksi!$I$16:$I$5015,$B12,Transaksi!$B$16:$B$5015,"&gt;="&amp;DATE(Dashboard!$C$4,11,1),Transaksi!$B$16:$B$5015,"&lt;="&amp;EOMONTH(DATE(Dashboard!$C$4,11,1),0))+SUMIFS(Transaksi!$F$16:$F$5015,Transaksi!$G$16:$G$5015,"Pengeluaran",Transaksi!$H$16:$H$5015,"Pengeluaran Jasa",Transaksi!$I$16:$I$5015,$B12,Transaksi!$B$16:$B$5015,"&gt;="&amp;DATE(Dashboard!$C$4,11,1),Transaksi!$B$16:$B$5015,"&lt;="&amp;EOMONTH(DATE(Dashboard!$C$4,11,1),0)))</f>
        <v/>
      </c>
      <c r="O12" s="106">
        <f>IF(OR($B12="",DATE(Dashboard!$C$4,12,1)&gt;TODAY()),"",SUMIFS(Transaksi!$F$16:$F$5015,Transaksi!$G$16:$G$5015,"Pengeluaran",Transaksi!$H$16:$H$5015,"Pengeluaran Gaji",Transaksi!$I$16:$I$5015,$B12,Transaksi!$B$16:$B$5015,"&gt;="&amp;DATE(Dashboard!$C$4,12,1),Transaksi!$B$16:$B$5015,"&lt;="&amp;EOMONTH(DATE(Dashboard!$C$4,12,1),0))+SUMIFS(Transaksi!$F$16:$F$5015,Transaksi!$G$16:$G$5015,"Pengeluaran",Transaksi!$H$16:$H$5015,"Pengeluaran Jasa",Transaksi!$I$16:$I$5015,$B12,Transaksi!$B$16:$B$5015,"&gt;="&amp;DATE(Dashboard!$C$4,12,1),Transaksi!$B$16:$B$5015,"&lt;="&amp;EOMONTH(DATE(Dashboard!$C$4,12,1),0)))</f>
        <v/>
      </c>
      <c r="P12" s="113">
        <f>IF($B12="","",SUM(D12:O12))</f>
        <v/>
      </c>
      <c r="Q12" s="106">
        <f>IF($B12="","",P12/MAX(1,COUNT(D12:O12)))</f>
        <v/>
      </c>
    </row>
    <row r="13" ht="15" customHeight="1" s="94">
      <c r="B13" s="127" t="inlineStr">
        <is>
          <t>Kesehatan &amp; Olahraga</t>
        </is>
      </c>
      <c r="C13" s="163" t="n"/>
      <c r="D13" s="106">
        <f>IF(OR($B13="",DATE(Dashboard!$C$4,1,1)&gt;TODAY()),"",SUMIFS(Transaksi!$F$16:$F$5015,Transaksi!$G$16:$G$5015,"Pengeluaran",Transaksi!$H$16:$H$5015,"Pengeluaran Gaji",Transaksi!$I$16:$I$5015,$B13,Transaksi!$B$16:$B$5015,"&gt;="&amp;DATE(Dashboard!$C$4,1,1),Transaksi!$B$16:$B$5015,"&lt;="&amp;EOMONTH(DATE(Dashboard!$C$4,1,1),0))+SUMIFS(Transaksi!$F$16:$F$5015,Transaksi!$G$16:$G$5015,"Pengeluaran",Transaksi!$H$16:$H$5015,"Pengeluaran Jasa",Transaksi!$I$16:$I$5015,$B13,Transaksi!$B$16:$B$5015,"&gt;="&amp;DATE(Dashboard!$C$4,1,1),Transaksi!$B$16:$B$5015,"&lt;="&amp;EOMONTH(DATE(Dashboard!$C$4,1,1),0)))</f>
        <v/>
      </c>
      <c r="E13" s="106">
        <f>IF(OR($B13="",DATE(Dashboard!$C$4,2,1)&gt;TODAY()),"",SUMIFS(Transaksi!$F$16:$F$5015,Transaksi!$G$16:$G$5015,"Pengeluaran",Transaksi!$H$16:$H$5015,"Pengeluaran Gaji",Transaksi!$I$16:$I$5015,$B13,Transaksi!$B$16:$B$5015,"&gt;="&amp;DATE(Dashboard!$C$4,2,1),Transaksi!$B$16:$B$5015,"&lt;="&amp;EOMONTH(DATE(Dashboard!$C$4,2,1),0))+SUMIFS(Transaksi!$F$16:$F$5015,Transaksi!$G$16:$G$5015,"Pengeluaran",Transaksi!$H$16:$H$5015,"Pengeluaran Jasa",Transaksi!$I$16:$I$5015,$B13,Transaksi!$B$16:$B$5015,"&gt;="&amp;DATE(Dashboard!$C$4,2,1),Transaksi!$B$16:$B$5015,"&lt;="&amp;EOMONTH(DATE(Dashboard!$C$4,2,1),0)))</f>
        <v/>
      </c>
      <c r="F13" s="106">
        <f>IF(OR($B13="",DATE(Dashboard!$C$4,3,1)&gt;TODAY()),"",SUMIFS(Transaksi!$F$16:$F$5015,Transaksi!$G$16:$G$5015,"Pengeluaran",Transaksi!$H$16:$H$5015,"Pengeluaran Gaji",Transaksi!$I$16:$I$5015,$B13,Transaksi!$B$16:$B$5015,"&gt;="&amp;DATE(Dashboard!$C$4,3,1),Transaksi!$B$16:$B$5015,"&lt;="&amp;EOMONTH(DATE(Dashboard!$C$4,3,1),0))+SUMIFS(Transaksi!$F$16:$F$5015,Transaksi!$G$16:$G$5015,"Pengeluaran",Transaksi!$H$16:$H$5015,"Pengeluaran Jasa",Transaksi!$I$16:$I$5015,$B13,Transaksi!$B$16:$B$5015,"&gt;="&amp;DATE(Dashboard!$C$4,3,1),Transaksi!$B$16:$B$5015,"&lt;="&amp;EOMONTH(DATE(Dashboard!$C$4,3,1),0)))</f>
        <v/>
      </c>
      <c r="G13" s="106">
        <f>IF(OR($B13="",DATE(Dashboard!$C$4,4,1)&gt;TODAY()),"",SUMIFS(Transaksi!$F$16:$F$5015,Transaksi!$G$16:$G$5015,"Pengeluaran",Transaksi!$H$16:$H$5015,"Pengeluaran Gaji",Transaksi!$I$16:$I$5015,$B13,Transaksi!$B$16:$B$5015,"&gt;="&amp;DATE(Dashboard!$C$4,4,1),Transaksi!$B$16:$B$5015,"&lt;="&amp;EOMONTH(DATE(Dashboard!$C$4,4,1),0))+SUMIFS(Transaksi!$F$16:$F$5015,Transaksi!$G$16:$G$5015,"Pengeluaran",Transaksi!$H$16:$H$5015,"Pengeluaran Jasa",Transaksi!$I$16:$I$5015,$B13,Transaksi!$B$16:$B$5015,"&gt;="&amp;DATE(Dashboard!$C$4,4,1),Transaksi!$B$16:$B$5015,"&lt;="&amp;EOMONTH(DATE(Dashboard!$C$4,4,1),0)))</f>
        <v/>
      </c>
      <c r="H13" s="106">
        <f>IF(OR($B13="",DATE(Dashboard!$C$4,5,1)&gt;TODAY()),"",SUMIFS(Transaksi!$F$16:$F$5015,Transaksi!$G$16:$G$5015,"Pengeluaran",Transaksi!$H$16:$H$5015,"Pengeluaran Gaji",Transaksi!$I$16:$I$5015,$B13,Transaksi!$B$16:$B$5015,"&gt;="&amp;DATE(Dashboard!$C$4,5,1),Transaksi!$B$16:$B$5015,"&lt;="&amp;EOMONTH(DATE(Dashboard!$C$4,5,1),0))+SUMIFS(Transaksi!$F$16:$F$5015,Transaksi!$G$16:$G$5015,"Pengeluaran",Transaksi!$H$16:$H$5015,"Pengeluaran Jasa",Transaksi!$I$16:$I$5015,$B13,Transaksi!$B$16:$B$5015,"&gt;="&amp;DATE(Dashboard!$C$4,5,1),Transaksi!$B$16:$B$5015,"&lt;="&amp;EOMONTH(DATE(Dashboard!$C$4,5,1),0)))</f>
        <v/>
      </c>
      <c r="I13" s="106">
        <f>IF(OR($B13="",DATE(Dashboard!$C$4,6,1)&gt;TODAY()),"",SUMIFS(Transaksi!$F$16:$F$5015,Transaksi!$G$16:$G$5015,"Pengeluaran",Transaksi!$H$16:$H$5015,"Pengeluaran Gaji",Transaksi!$I$16:$I$5015,$B13,Transaksi!$B$16:$B$5015,"&gt;="&amp;DATE(Dashboard!$C$4,6,1),Transaksi!$B$16:$B$5015,"&lt;="&amp;EOMONTH(DATE(Dashboard!$C$4,6,1),0))+SUMIFS(Transaksi!$F$16:$F$5015,Transaksi!$G$16:$G$5015,"Pengeluaran",Transaksi!$H$16:$H$5015,"Pengeluaran Jasa",Transaksi!$I$16:$I$5015,$B13,Transaksi!$B$16:$B$5015,"&gt;="&amp;DATE(Dashboard!$C$4,6,1),Transaksi!$B$16:$B$5015,"&lt;="&amp;EOMONTH(DATE(Dashboard!$C$4,6,1),0)))</f>
        <v/>
      </c>
      <c r="J13" s="106">
        <f>IF(OR($B13="",DATE(Dashboard!$C$4,7,1)&gt;TODAY()),"",SUMIFS(Transaksi!$F$16:$F$5015,Transaksi!$G$16:$G$5015,"Pengeluaran",Transaksi!$H$16:$H$5015,"Pengeluaran Gaji",Transaksi!$I$16:$I$5015,$B13,Transaksi!$B$16:$B$5015,"&gt;="&amp;DATE(Dashboard!$C$4,7,1),Transaksi!$B$16:$B$5015,"&lt;="&amp;EOMONTH(DATE(Dashboard!$C$4,7,1),0))+SUMIFS(Transaksi!$F$16:$F$5015,Transaksi!$G$16:$G$5015,"Pengeluaran",Transaksi!$H$16:$H$5015,"Pengeluaran Jasa",Transaksi!$I$16:$I$5015,$B13,Transaksi!$B$16:$B$5015,"&gt;="&amp;DATE(Dashboard!$C$4,7,1),Transaksi!$B$16:$B$5015,"&lt;="&amp;EOMONTH(DATE(Dashboard!$C$4,7,1),0)))</f>
        <v/>
      </c>
      <c r="K13" s="106">
        <f>IF(OR($B13="",DATE(Dashboard!$C$4,8,1)&gt;TODAY()),"",SUMIFS(Transaksi!$F$16:$F$5015,Transaksi!$G$16:$G$5015,"Pengeluaran",Transaksi!$H$16:$H$5015,"Pengeluaran Gaji",Transaksi!$I$16:$I$5015,$B13,Transaksi!$B$16:$B$5015,"&gt;="&amp;DATE(Dashboard!$C$4,8,1),Transaksi!$B$16:$B$5015,"&lt;="&amp;EOMONTH(DATE(Dashboard!$C$4,8,1),0))+SUMIFS(Transaksi!$F$16:$F$5015,Transaksi!$G$16:$G$5015,"Pengeluaran",Transaksi!$H$16:$H$5015,"Pengeluaran Jasa",Transaksi!$I$16:$I$5015,$B13,Transaksi!$B$16:$B$5015,"&gt;="&amp;DATE(Dashboard!$C$4,8,1),Transaksi!$B$16:$B$5015,"&lt;="&amp;EOMONTH(DATE(Dashboard!$C$4,8,1),0)))</f>
        <v/>
      </c>
      <c r="L13" s="106">
        <f>IF(OR($B13="",DATE(Dashboard!$C$4,9,1)&gt;TODAY()),"",SUMIFS(Transaksi!$F$16:$F$5015,Transaksi!$G$16:$G$5015,"Pengeluaran",Transaksi!$H$16:$H$5015,"Pengeluaran Gaji",Transaksi!$I$16:$I$5015,$B13,Transaksi!$B$16:$B$5015,"&gt;="&amp;DATE(Dashboard!$C$4,9,1),Transaksi!$B$16:$B$5015,"&lt;="&amp;EOMONTH(DATE(Dashboard!$C$4,9,1),0))+SUMIFS(Transaksi!$F$16:$F$5015,Transaksi!$G$16:$G$5015,"Pengeluaran",Transaksi!$H$16:$H$5015,"Pengeluaran Jasa",Transaksi!$I$16:$I$5015,$B13,Transaksi!$B$16:$B$5015,"&gt;="&amp;DATE(Dashboard!$C$4,9,1),Transaksi!$B$16:$B$5015,"&lt;="&amp;EOMONTH(DATE(Dashboard!$C$4,9,1),0)))</f>
        <v/>
      </c>
      <c r="M13" s="106">
        <f>IF(OR($B13="",DATE(Dashboard!$C$4,10,1)&gt;TODAY()),"",SUMIFS(Transaksi!$F$16:$F$5015,Transaksi!$G$16:$G$5015,"Pengeluaran",Transaksi!$H$16:$H$5015,"Pengeluaran Gaji",Transaksi!$I$16:$I$5015,$B13,Transaksi!$B$16:$B$5015,"&gt;="&amp;DATE(Dashboard!$C$4,10,1),Transaksi!$B$16:$B$5015,"&lt;="&amp;EOMONTH(DATE(Dashboard!$C$4,10,1),0))+SUMIFS(Transaksi!$F$16:$F$5015,Transaksi!$G$16:$G$5015,"Pengeluaran",Transaksi!$H$16:$H$5015,"Pengeluaran Jasa",Transaksi!$I$16:$I$5015,$B13,Transaksi!$B$16:$B$5015,"&gt;="&amp;DATE(Dashboard!$C$4,10,1),Transaksi!$B$16:$B$5015,"&lt;="&amp;EOMONTH(DATE(Dashboard!$C$4,10,1),0)))</f>
        <v/>
      </c>
      <c r="N13" s="106">
        <f>IF(OR($B13="",DATE(Dashboard!$C$4,11,1)&gt;TODAY()),"",SUMIFS(Transaksi!$F$16:$F$5015,Transaksi!$G$16:$G$5015,"Pengeluaran",Transaksi!$H$16:$H$5015,"Pengeluaran Gaji",Transaksi!$I$16:$I$5015,$B13,Transaksi!$B$16:$B$5015,"&gt;="&amp;DATE(Dashboard!$C$4,11,1),Transaksi!$B$16:$B$5015,"&lt;="&amp;EOMONTH(DATE(Dashboard!$C$4,11,1),0))+SUMIFS(Transaksi!$F$16:$F$5015,Transaksi!$G$16:$G$5015,"Pengeluaran",Transaksi!$H$16:$H$5015,"Pengeluaran Jasa",Transaksi!$I$16:$I$5015,$B13,Transaksi!$B$16:$B$5015,"&gt;="&amp;DATE(Dashboard!$C$4,11,1),Transaksi!$B$16:$B$5015,"&lt;="&amp;EOMONTH(DATE(Dashboard!$C$4,11,1),0)))</f>
        <v/>
      </c>
      <c r="O13" s="106">
        <f>IF(OR($B13="",DATE(Dashboard!$C$4,12,1)&gt;TODAY()),"",SUMIFS(Transaksi!$F$16:$F$5015,Transaksi!$G$16:$G$5015,"Pengeluaran",Transaksi!$H$16:$H$5015,"Pengeluaran Gaji",Transaksi!$I$16:$I$5015,$B13,Transaksi!$B$16:$B$5015,"&gt;="&amp;DATE(Dashboard!$C$4,12,1),Transaksi!$B$16:$B$5015,"&lt;="&amp;EOMONTH(DATE(Dashboard!$C$4,12,1),0))+SUMIFS(Transaksi!$F$16:$F$5015,Transaksi!$G$16:$G$5015,"Pengeluaran",Transaksi!$H$16:$H$5015,"Pengeluaran Jasa",Transaksi!$I$16:$I$5015,$B13,Transaksi!$B$16:$B$5015,"&gt;="&amp;DATE(Dashboard!$C$4,12,1),Transaksi!$B$16:$B$5015,"&lt;="&amp;EOMONTH(DATE(Dashboard!$C$4,12,1),0)))</f>
        <v/>
      </c>
      <c r="P13" s="113">
        <f>IF($B13="","",SUM(D13:O13))</f>
        <v/>
      </c>
      <c r="Q13" s="106">
        <f>IF($B13="","",P13/MAX(1,COUNT(D13:O13)))</f>
        <v/>
      </c>
    </row>
    <row r="14" ht="15" customHeight="1" s="94">
      <c r="B14" s="127" t="inlineStr">
        <is>
          <t>Lain-lain Pengeluaran</t>
        </is>
      </c>
      <c r="C14" s="163" t="n"/>
      <c r="D14" s="106">
        <f>IF(OR($B14="",DATE(Dashboard!$C$4,1,1)&gt;TODAY()),"",SUMIFS(Transaksi!$F$16:$F$5015,Transaksi!$G$16:$G$5015,"Pengeluaran",Transaksi!$H$16:$H$5015,"Pengeluaran Gaji",Transaksi!$I$16:$I$5015,$B14,Transaksi!$B$16:$B$5015,"&gt;="&amp;DATE(Dashboard!$C$4,1,1),Transaksi!$B$16:$B$5015,"&lt;="&amp;EOMONTH(DATE(Dashboard!$C$4,1,1),0))+SUMIFS(Transaksi!$F$16:$F$5015,Transaksi!$G$16:$G$5015,"Pengeluaran",Transaksi!$H$16:$H$5015,"Pengeluaran Jasa",Transaksi!$I$16:$I$5015,$B14,Transaksi!$B$16:$B$5015,"&gt;="&amp;DATE(Dashboard!$C$4,1,1),Transaksi!$B$16:$B$5015,"&lt;="&amp;EOMONTH(DATE(Dashboard!$C$4,1,1),0)))</f>
        <v/>
      </c>
      <c r="E14" s="106">
        <f>IF(OR($B14="",DATE(Dashboard!$C$4,2,1)&gt;TODAY()),"",SUMIFS(Transaksi!$F$16:$F$5015,Transaksi!$G$16:$G$5015,"Pengeluaran",Transaksi!$H$16:$H$5015,"Pengeluaran Gaji",Transaksi!$I$16:$I$5015,$B14,Transaksi!$B$16:$B$5015,"&gt;="&amp;DATE(Dashboard!$C$4,2,1),Transaksi!$B$16:$B$5015,"&lt;="&amp;EOMONTH(DATE(Dashboard!$C$4,2,1),0))+SUMIFS(Transaksi!$F$16:$F$5015,Transaksi!$G$16:$G$5015,"Pengeluaran",Transaksi!$H$16:$H$5015,"Pengeluaran Jasa",Transaksi!$I$16:$I$5015,$B14,Transaksi!$B$16:$B$5015,"&gt;="&amp;DATE(Dashboard!$C$4,2,1),Transaksi!$B$16:$B$5015,"&lt;="&amp;EOMONTH(DATE(Dashboard!$C$4,2,1),0)))</f>
        <v/>
      </c>
      <c r="F14" s="106">
        <f>IF(OR($B14="",DATE(Dashboard!$C$4,3,1)&gt;TODAY()),"",SUMIFS(Transaksi!$F$16:$F$5015,Transaksi!$G$16:$G$5015,"Pengeluaran",Transaksi!$H$16:$H$5015,"Pengeluaran Gaji",Transaksi!$I$16:$I$5015,$B14,Transaksi!$B$16:$B$5015,"&gt;="&amp;DATE(Dashboard!$C$4,3,1),Transaksi!$B$16:$B$5015,"&lt;="&amp;EOMONTH(DATE(Dashboard!$C$4,3,1),0))+SUMIFS(Transaksi!$F$16:$F$5015,Transaksi!$G$16:$G$5015,"Pengeluaran",Transaksi!$H$16:$H$5015,"Pengeluaran Jasa",Transaksi!$I$16:$I$5015,$B14,Transaksi!$B$16:$B$5015,"&gt;="&amp;DATE(Dashboard!$C$4,3,1),Transaksi!$B$16:$B$5015,"&lt;="&amp;EOMONTH(DATE(Dashboard!$C$4,3,1),0)))</f>
        <v/>
      </c>
      <c r="G14" s="106">
        <f>IF(OR($B14="",DATE(Dashboard!$C$4,4,1)&gt;TODAY()),"",SUMIFS(Transaksi!$F$16:$F$5015,Transaksi!$G$16:$G$5015,"Pengeluaran",Transaksi!$H$16:$H$5015,"Pengeluaran Gaji",Transaksi!$I$16:$I$5015,$B14,Transaksi!$B$16:$B$5015,"&gt;="&amp;DATE(Dashboard!$C$4,4,1),Transaksi!$B$16:$B$5015,"&lt;="&amp;EOMONTH(DATE(Dashboard!$C$4,4,1),0))+SUMIFS(Transaksi!$F$16:$F$5015,Transaksi!$G$16:$G$5015,"Pengeluaran",Transaksi!$H$16:$H$5015,"Pengeluaran Jasa",Transaksi!$I$16:$I$5015,$B14,Transaksi!$B$16:$B$5015,"&gt;="&amp;DATE(Dashboard!$C$4,4,1),Transaksi!$B$16:$B$5015,"&lt;="&amp;EOMONTH(DATE(Dashboard!$C$4,4,1),0)))</f>
        <v/>
      </c>
      <c r="H14" s="106">
        <f>IF(OR($B14="",DATE(Dashboard!$C$4,5,1)&gt;TODAY()),"",SUMIFS(Transaksi!$F$16:$F$5015,Transaksi!$G$16:$G$5015,"Pengeluaran",Transaksi!$H$16:$H$5015,"Pengeluaran Gaji",Transaksi!$I$16:$I$5015,$B14,Transaksi!$B$16:$B$5015,"&gt;="&amp;DATE(Dashboard!$C$4,5,1),Transaksi!$B$16:$B$5015,"&lt;="&amp;EOMONTH(DATE(Dashboard!$C$4,5,1),0))+SUMIFS(Transaksi!$F$16:$F$5015,Transaksi!$G$16:$G$5015,"Pengeluaran",Transaksi!$H$16:$H$5015,"Pengeluaran Jasa",Transaksi!$I$16:$I$5015,$B14,Transaksi!$B$16:$B$5015,"&gt;="&amp;DATE(Dashboard!$C$4,5,1),Transaksi!$B$16:$B$5015,"&lt;="&amp;EOMONTH(DATE(Dashboard!$C$4,5,1),0)))</f>
        <v/>
      </c>
      <c r="I14" s="106">
        <f>IF(OR($B14="",DATE(Dashboard!$C$4,6,1)&gt;TODAY()),"",SUMIFS(Transaksi!$F$16:$F$5015,Transaksi!$G$16:$G$5015,"Pengeluaran",Transaksi!$H$16:$H$5015,"Pengeluaran Gaji",Transaksi!$I$16:$I$5015,$B14,Transaksi!$B$16:$B$5015,"&gt;="&amp;DATE(Dashboard!$C$4,6,1),Transaksi!$B$16:$B$5015,"&lt;="&amp;EOMONTH(DATE(Dashboard!$C$4,6,1),0))+SUMIFS(Transaksi!$F$16:$F$5015,Transaksi!$G$16:$G$5015,"Pengeluaran",Transaksi!$H$16:$H$5015,"Pengeluaran Jasa",Transaksi!$I$16:$I$5015,$B14,Transaksi!$B$16:$B$5015,"&gt;="&amp;DATE(Dashboard!$C$4,6,1),Transaksi!$B$16:$B$5015,"&lt;="&amp;EOMONTH(DATE(Dashboard!$C$4,6,1),0)))</f>
        <v/>
      </c>
      <c r="J14" s="106">
        <f>IF(OR($B14="",DATE(Dashboard!$C$4,7,1)&gt;TODAY()),"",SUMIFS(Transaksi!$F$16:$F$5015,Transaksi!$G$16:$G$5015,"Pengeluaran",Transaksi!$H$16:$H$5015,"Pengeluaran Gaji",Transaksi!$I$16:$I$5015,$B14,Transaksi!$B$16:$B$5015,"&gt;="&amp;DATE(Dashboard!$C$4,7,1),Transaksi!$B$16:$B$5015,"&lt;="&amp;EOMONTH(DATE(Dashboard!$C$4,7,1),0))+SUMIFS(Transaksi!$F$16:$F$5015,Transaksi!$G$16:$G$5015,"Pengeluaran",Transaksi!$H$16:$H$5015,"Pengeluaran Jasa",Transaksi!$I$16:$I$5015,$B14,Transaksi!$B$16:$B$5015,"&gt;="&amp;DATE(Dashboard!$C$4,7,1),Transaksi!$B$16:$B$5015,"&lt;="&amp;EOMONTH(DATE(Dashboard!$C$4,7,1),0)))</f>
        <v/>
      </c>
      <c r="K14" s="106">
        <f>IF(OR($B14="",DATE(Dashboard!$C$4,8,1)&gt;TODAY()),"",SUMIFS(Transaksi!$F$16:$F$5015,Transaksi!$G$16:$G$5015,"Pengeluaran",Transaksi!$H$16:$H$5015,"Pengeluaran Gaji",Transaksi!$I$16:$I$5015,$B14,Transaksi!$B$16:$B$5015,"&gt;="&amp;DATE(Dashboard!$C$4,8,1),Transaksi!$B$16:$B$5015,"&lt;="&amp;EOMONTH(DATE(Dashboard!$C$4,8,1),0))+SUMIFS(Transaksi!$F$16:$F$5015,Transaksi!$G$16:$G$5015,"Pengeluaran",Transaksi!$H$16:$H$5015,"Pengeluaran Jasa",Transaksi!$I$16:$I$5015,$B14,Transaksi!$B$16:$B$5015,"&gt;="&amp;DATE(Dashboard!$C$4,8,1),Transaksi!$B$16:$B$5015,"&lt;="&amp;EOMONTH(DATE(Dashboard!$C$4,8,1),0)))</f>
        <v/>
      </c>
      <c r="L14" s="106">
        <f>IF(OR($B14="",DATE(Dashboard!$C$4,9,1)&gt;TODAY()),"",SUMIFS(Transaksi!$F$16:$F$5015,Transaksi!$G$16:$G$5015,"Pengeluaran",Transaksi!$H$16:$H$5015,"Pengeluaran Gaji",Transaksi!$I$16:$I$5015,$B14,Transaksi!$B$16:$B$5015,"&gt;="&amp;DATE(Dashboard!$C$4,9,1),Transaksi!$B$16:$B$5015,"&lt;="&amp;EOMONTH(DATE(Dashboard!$C$4,9,1),0))+SUMIFS(Transaksi!$F$16:$F$5015,Transaksi!$G$16:$G$5015,"Pengeluaran",Transaksi!$H$16:$H$5015,"Pengeluaran Jasa",Transaksi!$I$16:$I$5015,$B14,Transaksi!$B$16:$B$5015,"&gt;="&amp;DATE(Dashboard!$C$4,9,1),Transaksi!$B$16:$B$5015,"&lt;="&amp;EOMONTH(DATE(Dashboard!$C$4,9,1),0)))</f>
        <v/>
      </c>
      <c r="M14" s="106">
        <f>IF(OR($B14="",DATE(Dashboard!$C$4,10,1)&gt;TODAY()),"",SUMIFS(Transaksi!$F$16:$F$5015,Transaksi!$G$16:$G$5015,"Pengeluaran",Transaksi!$H$16:$H$5015,"Pengeluaran Gaji",Transaksi!$I$16:$I$5015,$B14,Transaksi!$B$16:$B$5015,"&gt;="&amp;DATE(Dashboard!$C$4,10,1),Transaksi!$B$16:$B$5015,"&lt;="&amp;EOMONTH(DATE(Dashboard!$C$4,10,1),0))+SUMIFS(Transaksi!$F$16:$F$5015,Transaksi!$G$16:$G$5015,"Pengeluaran",Transaksi!$H$16:$H$5015,"Pengeluaran Jasa",Transaksi!$I$16:$I$5015,$B14,Transaksi!$B$16:$B$5015,"&gt;="&amp;DATE(Dashboard!$C$4,10,1),Transaksi!$B$16:$B$5015,"&lt;="&amp;EOMONTH(DATE(Dashboard!$C$4,10,1),0)))</f>
        <v/>
      </c>
      <c r="N14" s="106">
        <f>IF(OR($B14="",DATE(Dashboard!$C$4,11,1)&gt;TODAY()),"",SUMIFS(Transaksi!$F$16:$F$5015,Transaksi!$G$16:$G$5015,"Pengeluaran",Transaksi!$H$16:$H$5015,"Pengeluaran Gaji",Transaksi!$I$16:$I$5015,$B14,Transaksi!$B$16:$B$5015,"&gt;="&amp;DATE(Dashboard!$C$4,11,1),Transaksi!$B$16:$B$5015,"&lt;="&amp;EOMONTH(DATE(Dashboard!$C$4,11,1),0))+SUMIFS(Transaksi!$F$16:$F$5015,Transaksi!$G$16:$G$5015,"Pengeluaran",Transaksi!$H$16:$H$5015,"Pengeluaran Jasa",Transaksi!$I$16:$I$5015,$B14,Transaksi!$B$16:$B$5015,"&gt;="&amp;DATE(Dashboard!$C$4,11,1),Transaksi!$B$16:$B$5015,"&lt;="&amp;EOMONTH(DATE(Dashboard!$C$4,11,1),0)))</f>
        <v/>
      </c>
      <c r="O14" s="106">
        <f>IF(OR($B14="",DATE(Dashboard!$C$4,12,1)&gt;TODAY()),"",SUMIFS(Transaksi!$F$16:$F$5015,Transaksi!$G$16:$G$5015,"Pengeluaran",Transaksi!$H$16:$H$5015,"Pengeluaran Gaji",Transaksi!$I$16:$I$5015,$B14,Transaksi!$B$16:$B$5015,"&gt;="&amp;DATE(Dashboard!$C$4,12,1),Transaksi!$B$16:$B$5015,"&lt;="&amp;EOMONTH(DATE(Dashboard!$C$4,12,1),0))+SUMIFS(Transaksi!$F$16:$F$5015,Transaksi!$G$16:$G$5015,"Pengeluaran",Transaksi!$H$16:$H$5015,"Pengeluaran Jasa",Transaksi!$I$16:$I$5015,$B14,Transaksi!$B$16:$B$5015,"&gt;="&amp;DATE(Dashboard!$C$4,12,1),Transaksi!$B$16:$B$5015,"&lt;="&amp;EOMONTH(DATE(Dashboard!$C$4,12,1),0)))</f>
        <v/>
      </c>
      <c r="P14" s="113">
        <f>IF($B14="","",SUM(D14:O14))</f>
        <v/>
      </c>
      <c r="Q14" s="106">
        <f>IF($B14="","",P14/MAX(1,COUNT(D14:O14)))</f>
        <v/>
      </c>
    </row>
    <row r="15" ht="15" customHeight="1" s="94">
      <c r="B15" s="127" t="inlineStr">
        <is>
          <t>Langganan &amp; Kursus</t>
        </is>
      </c>
      <c r="C15" s="163" t="n"/>
      <c r="D15" s="106">
        <f>IF(OR($B15="",DATE(Dashboard!$C$4,1,1)&gt;TODAY()),"",SUMIFS(Transaksi!$F$16:$F$5015,Transaksi!$G$16:$G$5015,"Pengeluaran",Transaksi!$H$16:$H$5015,"Pengeluaran Gaji",Transaksi!$I$16:$I$5015,$B15,Transaksi!$B$16:$B$5015,"&gt;="&amp;DATE(Dashboard!$C$4,1,1),Transaksi!$B$16:$B$5015,"&lt;="&amp;EOMONTH(DATE(Dashboard!$C$4,1,1),0))+SUMIFS(Transaksi!$F$16:$F$5015,Transaksi!$G$16:$G$5015,"Pengeluaran",Transaksi!$H$16:$H$5015,"Pengeluaran Jasa",Transaksi!$I$16:$I$5015,$B15,Transaksi!$B$16:$B$5015,"&gt;="&amp;DATE(Dashboard!$C$4,1,1),Transaksi!$B$16:$B$5015,"&lt;="&amp;EOMONTH(DATE(Dashboard!$C$4,1,1),0)))</f>
        <v/>
      </c>
      <c r="E15" s="106">
        <f>IF(OR($B15="",DATE(Dashboard!$C$4,2,1)&gt;TODAY()),"",SUMIFS(Transaksi!$F$16:$F$5015,Transaksi!$G$16:$G$5015,"Pengeluaran",Transaksi!$H$16:$H$5015,"Pengeluaran Gaji",Transaksi!$I$16:$I$5015,$B15,Transaksi!$B$16:$B$5015,"&gt;="&amp;DATE(Dashboard!$C$4,2,1),Transaksi!$B$16:$B$5015,"&lt;="&amp;EOMONTH(DATE(Dashboard!$C$4,2,1),0))+SUMIFS(Transaksi!$F$16:$F$5015,Transaksi!$G$16:$G$5015,"Pengeluaran",Transaksi!$H$16:$H$5015,"Pengeluaran Jasa",Transaksi!$I$16:$I$5015,$B15,Transaksi!$B$16:$B$5015,"&gt;="&amp;DATE(Dashboard!$C$4,2,1),Transaksi!$B$16:$B$5015,"&lt;="&amp;EOMONTH(DATE(Dashboard!$C$4,2,1),0)))</f>
        <v/>
      </c>
      <c r="F15" s="106">
        <f>IF(OR($B15="",DATE(Dashboard!$C$4,3,1)&gt;TODAY()),"",SUMIFS(Transaksi!$F$16:$F$5015,Transaksi!$G$16:$G$5015,"Pengeluaran",Transaksi!$H$16:$H$5015,"Pengeluaran Gaji",Transaksi!$I$16:$I$5015,$B15,Transaksi!$B$16:$B$5015,"&gt;="&amp;DATE(Dashboard!$C$4,3,1),Transaksi!$B$16:$B$5015,"&lt;="&amp;EOMONTH(DATE(Dashboard!$C$4,3,1),0))+SUMIFS(Transaksi!$F$16:$F$5015,Transaksi!$G$16:$G$5015,"Pengeluaran",Transaksi!$H$16:$H$5015,"Pengeluaran Jasa",Transaksi!$I$16:$I$5015,$B15,Transaksi!$B$16:$B$5015,"&gt;="&amp;DATE(Dashboard!$C$4,3,1),Transaksi!$B$16:$B$5015,"&lt;="&amp;EOMONTH(DATE(Dashboard!$C$4,3,1),0)))</f>
        <v/>
      </c>
      <c r="G15" s="106">
        <f>IF(OR($B15="",DATE(Dashboard!$C$4,4,1)&gt;TODAY()),"",SUMIFS(Transaksi!$F$16:$F$5015,Transaksi!$G$16:$G$5015,"Pengeluaran",Transaksi!$H$16:$H$5015,"Pengeluaran Gaji",Transaksi!$I$16:$I$5015,$B15,Transaksi!$B$16:$B$5015,"&gt;="&amp;DATE(Dashboard!$C$4,4,1),Transaksi!$B$16:$B$5015,"&lt;="&amp;EOMONTH(DATE(Dashboard!$C$4,4,1),0))+SUMIFS(Transaksi!$F$16:$F$5015,Transaksi!$G$16:$G$5015,"Pengeluaran",Transaksi!$H$16:$H$5015,"Pengeluaran Jasa",Transaksi!$I$16:$I$5015,$B15,Transaksi!$B$16:$B$5015,"&gt;="&amp;DATE(Dashboard!$C$4,4,1),Transaksi!$B$16:$B$5015,"&lt;="&amp;EOMONTH(DATE(Dashboard!$C$4,4,1),0)))</f>
        <v/>
      </c>
      <c r="H15" s="106">
        <f>IF(OR($B15="",DATE(Dashboard!$C$4,5,1)&gt;TODAY()),"",SUMIFS(Transaksi!$F$16:$F$5015,Transaksi!$G$16:$G$5015,"Pengeluaran",Transaksi!$H$16:$H$5015,"Pengeluaran Gaji",Transaksi!$I$16:$I$5015,$B15,Transaksi!$B$16:$B$5015,"&gt;="&amp;DATE(Dashboard!$C$4,5,1),Transaksi!$B$16:$B$5015,"&lt;="&amp;EOMONTH(DATE(Dashboard!$C$4,5,1),0))+SUMIFS(Transaksi!$F$16:$F$5015,Transaksi!$G$16:$G$5015,"Pengeluaran",Transaksi!$H$16:$H$5015,"Pengeluaran Jasa",Transaksi!$I$16:$I$5015,$B15,Transaksi!$B$16:$B$5015,"&gt;="&amp;DATE(Dashboard!$C$4,5,1),Transaksi!$B$16:$B$5015,"&lt;="&amp;EOMONTH(DATE(Dashboard!$C$4,5,1),0)))</f>
        <v/>
      </c>
      <c r="I15" s="106">
        <f>IF(OR($B15="",DATE(Dashboard!$C$4,6,1)&gt;TODAY()),"",SUMIFS(Transaksi!$F$16:$F$5015,Transaksi!$G$16:$G$5015,"Pengeluaran",Transaksi!$H$16:$H$5015,"Pengeluaran Gaji",Transaksi!$I$16:$I$5015,$B15,Transaksi!$B$16:$B$5015,"&gt;="&amp;DATE(Dashboard!$C$4,6,1),Transaksi!$B$16:$B$5015,"&lt;="&amp;EOMONTH(DATE(Dashboard!$C$4,6,1),0))+SUMIFS(Transaksi!$F$16:$F$5015,Transaksi!$G$16:$G$5015,"Pengeluaran",Transaksi!$H$16:$H$5015,"Pengeluaran Jasa",Transaksi!$I$16:$I$5015,$B15,Transaksi!$B$16:$B$5015,"&gt;="&amp;DATE(Dashboard!$C$4,6,1),Transaksi!$B$16:$B$5015,"&lt;="&amp;EOMONTH(DATE(Dashboard!$C$4,6,1),0)))</f>
        <v/>
      </c>
      <c r="J15" s="106">
        <f>IF(OR($B15="",DATE(Dashboard!$C$4,7,1)&gt;TODAY()),"",SUMIFS(Transaksi!$F$16:$F$5015,Transaksi!$G$16:$G$5015,"Pengeluaran",Transaksi!$H$16:$H$5015,"Pengeluaran Gaji",Transaksi!$I$16:$I$5015,$B15,Transaksi!$B$16:$B$5015,"&gt;="&amp;DATE(Dashboard!$C$4,7,1),Transaksi!$B$16:$B$5015,"&lt;="&amp;EOMONTH(DATE(Dashboard!$C$4,7,1),0))+SUMIFS(Transaksi!$F$16:$F$5015,Transaksi!$G$16:$G$5015,"Pengeluaran",Transaksi!$H$16:$H$5015,"Pengeluaran Jasa",Transaksi!$I$16:$I$5015,$B15,Transaksi!$B$16:$B$5015,"&gt;="&amp;DATE(Dashboard!$C$4,7,1),Transaksi!$B$16:$B$5015,"&lt;="&amp;EOMONTH(DATE(Dashboard!$C$4,7,1),0)))</f>
        <v/>
      </c>
      <c r="K15" s="106">
        <f>IF(OR($B15="",DATE(Dashboard!$C$4,8,1)&gt;TODAY()),"",SUMIFS(Transaksi!$F$16:$F$5015,Transaksi!$G$16:$G$5015,"Pengeluaran",Transaksi!$H$16:$H$5015,"Pengeluaran Gaji",Transaksi!$I$16:$I$5015,$B15,Transaksi!$B$16:$B$5015,"&gt;="&amp;DATE(Dashboard!$C$4,8,1),Transaksi!$B$16:$B$5015,"&lt;="&amp;EOMONTH(DATE(Dashboard!$C$4,8,1),0))+SUMIFS(Transaksi!$F$16:$F$5015,Transaksi!$G$16:$G$5015,"Pengeluaran",Transaksi!$H$16:$H$5015,"Pengeluaran Jasa",Transaksi!$I$16:$I$5015,$B15,Transaksi!$B$16:$B$5015,"&gt;="&amp;DATE(Dashboard!$C$4,8,1),Transaksi!$B$16:$B$5015,"&lt;="&amp;EOMONTH(DATE(Dashboard!$C$4,8,1),0)))</f>
        <v/>
      </c>
      <c r="L15" s="106">
        <f>IF(OR($B15="",DATE(Dashboard!$C$4,9,1)&gt;TODAY()),"",SUMIFS(Transaksi!$F$16:$F$5015,Transaksi!$G$16:$G$5015,"Pengeluaran",Transaksi!$H$16:$H$5015,"Pengeluaran Gaji",Transaksi!$I$16:$I$5015,$B15,Transaksi!$B$16:$B$5015,"&gt;="&amp;DATE(Dashboard!$C$4,9,1),Transaksi!$B$16:$B$5015,"&lt;="&amp;EOMONTH(DATE(Dashboard!$C$4,9,1),0))+SUMIFS(Transaksi!$F$16:$F$5015,Transaksi!$G$16:$G$5015,"Pengeluaran",Transaksi!$H$16:$H$5015,"Pengeluaran Jasa",Transaksi!$I$16:$I$5015,$B15,Transaksi!$B$16:$B$5015,"&gt;="&amp;DATE(Dashboard!$C$4,9,1),Transaksi!$B$16:$B$5015,"&lt;="&amp;EOMONTH(DATE(Dashboard!$C$4,9,1),0)))</f>
        <v/>
      </c>
      <c r="M15" s="106">
        <f>IF(OR($B15="",DATE(Dashboard!$C$4,10,1)&gt;TODAY()),"",SUMIFS(Transaksi!$F$16:$F$5015,Transaksi!$G$16:$G$5015,"Pengeluaran",Transaksi!$H$16:$H$5015,"Pengeluaran Gaji",Transaksi!$I$16:$I$5015,$B15,Transaksi!$B$16:$B$5015,"&gt;="&amp;DATE(Dashboard!$C$4,10,1),Transaksi!$B$16:$B$5015,"&lt;="&amp;EOMONTH(DATE(Dashboard!$C$4,10,1),0))+SUMIFS(Transaksi!$F$16:$F$5015,Transaksi!$G$16:$G$5015,"Pengeluaran",Transaksi!$H$16:$H$5015,"Pengeluaran Jasa",Transaksi!$I$16:$I$5015,$B15,Transaksi!$B$16:$B$5015,"&gt;="&amp;DATE(Dashboard!$C$4,10,1),Transaksi!$B$16:$B$5015,"&lt;="&amp;EOMONTH(DATE(Dashboard!$C$4,10,1),0)))</f>
        <v/>
      </c>
      <c r="N15" s="106">
        <f>IF(OR($B15="",DATE(Dashboard!$C$4,11,1)&gt;TODAY()),"",SUMIFS(Transaksi!$F$16:$F$5015,Transaksi!$G$16:$G$5015,"Pengeluaran",Transaksi!$H$16:$H$5015,"Pengeluaran Gaji",Transaksi!$I$16:$I$5015,$B15,Transaksi!$B$16:$B$5015,"&gt;="&amp;DATE(Dashboard!$C$4,11,1),Transaksi!$B$16:$B$5015,"&lt;="&amp;EOMONTH(DATE(Dashboard!$C$4,11,1),0))+SUMIFS(Transaksi!$F$16:$F$5015,Transaksi!$G$16:$G$5015,"Pengeluaran",Transaksi!$H$16:$H$5015,"Pengeluaran Jasa",Transaksi!$I$16:$I$5015,$B15,Transaksi!$B$16:$B$5015,"&gt;="&amp;DATE(Dashboard!$C$4,11,1),Transaksi!$B$16:$B$5015,"&lt;="&amp;EOMONTH(DATE(Dashboard!$C$4,11,1),0)))</f>
        <v/>
      </c>
      <c r="O15" s="106">
        <f>IF(OR($B15="",DATE(Dashboard!$C$4,12,1)&gt;TODAY()),"",SUMIFS(Transaksi!$F$16:$F$5015,Transaksi!$G$16:$G$5015,"Pengeluaran",Transaksi!$H$16:$H$5015,"Pengeluaran Gaji",Transaksi!$I$16:$I$5015,$B15,Transaksi!$B$16:$B$5015,"&gt;="&amp;DATE(Dashboard!$C$4,12,1),Transaksi!$B$16:$B$5015,"&lt;="&amp;EOMONTH(DATE(Dashboard!$C$4,12,1),0))+SUMIFS(Transaksi!$F$16:$F$5015,Transaksi!$G$16:$G$5015,"Pengeluaran",Transaksi!$H$16:$H$5015,"Pengeluaran Jasa",Transaksi!$I$16:$I$5015,$B15,Transaksi!$B$16:$B$5015,"&gt;="&amp;DATE(Dashboard!$C$4,12,1),Transaksi!$B$16:$B$5015,"&lt;="&amp;EOMONTH(DATE(Dashboard!$C$4,12,1),0)))</f>
        <v/>
      </c>
      <c r="P15" s="113">
        <f>IF($B15="","",SUM(D15:O15))</f>
        <v/>
      </c>
      <c r="Q15" s="106">
        <f>IF($B15="","",P15/MAX(1,COUNT(D15:O15)))</f>
        <v/>
      </c>
    </row>
    <row r="16" ht="15" customHeight="1" s="94">
      <c r="B16" s="127" t="inlineStr">
        <is>
          <t>Makan &amp; Minum</t>
        </is>
      </c>
      <c r="C16" s="163" t="n"/>
      <c r="D16" s="106">
        <f>IF(OR($B16="",DATE(Dashboard!$C$4,1,1)&gt;TODAY()),"",SUMIFS(Transaksi!$F$16:$F$5015,Transaksi!$G$16:$G$5015,"Pengeluaran",Transaksi!$H$16:$H$5015,"Pengeluaran Gaji",Transaksi!$I$16:$I$5015,$B16,Transaksi!$B$16:$B$5015,"&gt;="&amp;DATE(Dashboard!$C$4,1,1),Transaksi!$B$16:$B$5015,"&lt;="&amp;EOMONTH(DATE(Dashboard!$C$4,1,1),0))+SUMIFS(Transaksi!$F$16:$F$5015,Transaksi!$G$16:$G$5015,"Pengeluaran",Transaksi!$H$16:$H$5015,"Pengeluaran Jasa",Transaksi!$I$16:$I$5015,$B16,Transaksi!$B$16:$B$5015,"&gt;="&amp;DATE(Dashboard!$C$4,1,1),Transaksi!$B$16:$B$5015,"&lt;="&amp;EOMONTH(DATE(Dashboard!$C$4,1,1),0)))</f>
        <v/>
      </c>
      <c r="E16" s="106">
        <f>IF(OR($B16="",DATE(Dashboard!$C$4,2,1)&gt;TODAY()),"",SUMIFS(Transaksi!$F$16:$F$5015,Transaksi!$G$16:$G$5015,"Pengeluaran",Transaksi!$H$16:$H$5015,"Pengeluaran Gaji",Transaksi!$I$16:$I$5015,$B16,Transaksi!$B$16:$B$5015,"&gt;="&amp;DATE(Dashboard!$C$4,2,1),Transaksi!$B$16:$B$5015,"&lt;="&amp;EOMONTH(DATE(Dashboard!$C$4,2,1),0))+SUMIFS(Transaksi!$F$16:$F$5015,Transaksi!$G$16:$G$5015,"Pengeluaran",Transaksi!$H$16:$H$5015,"Pengeluaran Jasa",Transaksi!$I$16:$I$5015,$B16,Transaksi!$B$16:$B$5015,"&gt;="&amp;DATE(Dashboard!$C$4,2,1),Transaksi!$B$16:$B$5015,"&lt;="&amp;EOMONTH(DATE(Dashboard!$C$4,2,1),0)))</f>
        <v/>
      </c>
      <c r="F16" s="106">
        <f>IF(OR($B16="",DATE(Dashboard!$C$4,3,1)&gt;TODAY()),"",SUMIFS(Transaksi!$F$16:$F$5015,Transaksi!$G$16:$G$5015,"Pengeluaran",Transaksi!$H$16:$H$5015,"Pengeluaran Gaji",Transaksi!$I$16:$I$5015,$B16,Transaksi!$B$16:$B$5015,"&gt;="&amp;DATE(Dashboard!$C$4,3,1),Transaksi!$B$16:$B$5015,"&lt;="&amp;EOMONTH(DATE(Dashboard!$C$4,3,1),0))+SUMIFS(Transaksi!$F$16:$F$5015,Transaksi!$G$16:$G$5015,"Pengeluaran",Transaksi!$H$16:$H$5015,"Pengeluaran Jasa",Transaksi!$I$16:$I$5015,$B16,Transaksi!$B$16:$B$5015,"&gt;="&amp;DATE(Dashboard!$C$4,3,1),Transaksi!$B$16:$B$5015,"&lt;="&amp;EOMONTH(DATE(Dashboard!$C$4,3,1),0)))</f>
        <v/>
      </c>
      <c r="G16" s="106">
        <f>IF(OR($B16="",DATE(Dashboard!$C$4,4,1)&gt;TODAY()),"",SUMIFS(Transaksi!$F$16:$F$5015,Transaksi!$G$16:$G$5015,"Pengeluaran",Transaksi!$H$16:$H$5015,"Pengeluaran Gaji",Transaksi!$I$16:$I$5015,$B16,Transaksi!$B$16:$B$5015,"&gt;="&amp;DATE(Dashboard!$C$4,4,1),Transaksi!$B$16:$B$5015,"&lt;="&amp;EOMONTH(DATE(Dashboard!$C$4,4,1),0))+SUMIFS(Transaksi!$F$16:$F$5015,Transaksi!$G$16:$G$5015,"Pengeluaran",Transaksi!$H$16:$H$5015,"Pengeluaran Jasa",Transaksi!$I$16:$I$5015,$B16,Transaksi!$B$16:$B$5015,"&gt;="&amp;DATE(Dashboard!$C$4,4,1),Transaksi!$B$16:$B$5015,"&lt;="&amp;EOMONTH(DATE(Dashboard!$C$4,4,1),0)))</f>
        <v/>
      </c>
      <c r="H16" s="106">
        <f>IF(OR($B16="",DATE(Dashboard!$C$4,5,1)&gt;TODAY()),"",SUMIFS(Transaksi!$F$16:$F$5015,Transaksi!$G$16:$G$5015,"Pengeluaran",Transaksi!$H$16:$H$5015,"Pengeluaran Gaji",Transaksi!$I$16:$I$5015,$B16,Transaksi!$B$16:$B$5015,"&gt;="&amp;DATE(Dashboard!$C$4,5,1),Transaksi!$B$16:$B$5015,"&lt;="&amp;EOMONTH(DATE(Dashboard!$C$4,5,1),0))+SUMIFS(Transaksi!$F$16:$F$5015,Transaksi!$G$16:$G$5015,"Pengeluaran",Transaksi!$H$16:$H$5015,"Pengeluaran Jasa",Transaksi!$I$16:$I$5015,$B16,Transaksi!$B$16:$B$5015,"&gt;="&amp;DATE(Dashboard!$C$4,5,1),Transaksi!$B$16:$B$5015,"&lt;="&amp;EOMONTH(DATE(Dashboard!$C$4,5,1),0)))</f>
        <v/>
      </c>
      <c r="I16" s="106">
        <f>IF(OR($B16="",DATE(Dashboard!$C$4,6,1)&gt;TODAY()),"",SUMIFS(Transaksi!$F$16:$F$5015,Transaksi!$G$16:$G$5015,"Pengeluaran",Transaksi!$H$16:$H$5015,"Pengeluaran Gaji",Transaksi!$I$16:$I$5015,$B16,Transaksi!$B$16:$B$5015,"&gt;="&amp;DATE(Dashboard!$C$4,6,1),Transaksi!$B$16:$B$5015,"&lt;="&amp;EOMONTH(DATE(Dashboard!$C$4,6,1),0))+SUMIFS(Transaksi!$F$16:$F$5015,Transaksi!$G$16:$G$5015,"Pengeluaran",Transaksi!$H$16:$H$5015,"Pengeluaran Jasa",Transaksi!$I$16:$I$5015,$B16,Transaksi!$B$16:$B$5015,"&gt;="&amp;DATE(Dashboard!$C$4,6,1),Transaksi!$B$16:$B$5015,"&lt;="&amp;EOMONTH(DATE(Dashboard!$C$4,6,1),0)))</f>
        <v/>
      </c>
      <c r="J16" s="106">
        <f>IF(OR($B16="",DATE(Dashboard!$C$4,7,1)&gt;TODAY()),"",SUMIFS(Transaksi!$F$16:$F$5015,Transaksi!$G$16:$G$5015,"Pengeluaran",Transaksi!$H$16:$H$5015,"Pengeluaran Gaji",Transaksi!$I$16:$I$5015,$B16,Transaksi!$B$16:$B$5015,"&gt;="&amp;DATE(Dashboard!$C$4,7,1),Transaksi!$B$16:$B$5015,"&lt;="&amp;EOMONTH(DATE(Dashboard!$C$4,7,1),0))+SUMIFS(Transaksi!$F$16:$F$5015,Transaksi!$G$16:$G$5015,"Pengeluaran",Transaksi!$H$16:$H$5015,"Pengeluaran Jasa",Transaksi!$I$16:$I$5015,$B16,Transaksi!$B$16:$B$5015,"&gt;="&amp;DATE(Dashboard!$C$4,7,1),Transaksi!$B$16:$B$5015,"&lt;="&amp;EOMONTH(DATE(Dashboard!$C$4,7,1),0)))</f>
        <v/>
      </c>
      <c r="K16" s="106">
        <f>IF(OR($B16="",DATE(Dashboard!$C$4,8,1)&gt;TODAY()),"",SUMIFS(Transaksi!$F$16:$F$5015,Transaksi!$G$16:$G$5015,"Pengeluaran",Transaksi!$H$16:$H$5015,"Pengeluaran Gaji",Transaksi!$I$16:$I$5015,$B16,Transaksi!$B$16:$B$5015,"&gt;="&amp;DATE(Dashboard!$C$4,8,1),Transaksi!$B$16:$B$5015,"&lt;="&amp;EOMONTH(DATE(Dashboard!$C$4,8,1),0))+SUMIFS(Transaksi!$F$16:$F$5015,Transaksi!$G$16:$G$5015,"Pengeluaran",Transaksi!$H$16:$H$5015,"Pengeluaran Jasa",Transaksi!$I$16:$I$5015,$B16,Transaksi!$B$16:$B$5015,"&gt;="&amp;DATE(Dashboard!$C$4,8,1),Transaksi!$B$16:$B$5015,"&lt;="&amp;EOMONTH(DATE(Dashboard!$C$4,8,1),0)))</f>
        <v/>
      </c>
      <c r="L16" s="106">
        <f>IF(OR($B16="",DATE(Dashboard!$C$4,9,1)&gt;TODAY()),"",SUMIFS(Transaksi!$F$16:$F$5015,Transaksi!$G$16:$G$5015,"Pengeluaran",Transaksi!$H$16:$H$5015,"Pengeluaran Gaji",Transaksi!$I$16:$I$5015,$B16,Transaksi!$B$16:$B$5015,"&gt;="&amp;DATE(Dashboard!$C$4,9,1),Transaksi!$B$16:$B$5015,"&lt;="&amp;EOMONTH(DATE(Dashboard!$C$4,9,1),0))+SUMIFS(Transaksi!$F$16:$F$5015,Transaksi!$G$16:$G$5015,"Pengeluaran",Transaksi!$H$16:$H$5015,"Pengeluaran Jasa",Transaksi!$I$16:$I$5015,$B16,Transaksi!$B$16:$B$5015,"&gt;="&amp;DATE(Dashboard!$C$4,9,1),Transaksi!$B$16:$B$5015,"&lt;="&amp;EOMONTH(DATE(Dashboard!$C$4,9,1),0)))</f>
        <v/>
      </c>
      <c r="M16" s="106">
        <f>IF(OR($B16="",DATE(Dashboard!$C$4,10,1)&gt;TODAY()),"",SUMIFS(Transaksi!$F$16:$F$5015,Transaksi!$G$16:$G$5015,"Pengeluaran",Transaksi!$H$16:$H$5015,"Pengeluaran Gaji",Transaksi!$I$16:$I$5015,$B16,Transaksi!$B$16:$B$5015,"&gt;="&amp;DATE(Dashboard!$C$4,10,1),Transaksi!$B$16:$B$5015,"&lt;="&amp;EOMONTH(DATE(Dashboard!$C$4,10,1),0))+SUMIFS(Transaksi!$F$16:$F$5015,Transaksi!$G$16:$G$5015,"Pengeluaran",Transaksi!$H$16:$H$5015,"Pengeluaran Jasa",Transaksi!$I$16:$I$5015,$B16,Transaksi!$B$16:$B$5015,"&gt;="&amp;DATE(Dashboard!$C$4,10,1),Transaksi!$B$16:$B$5015,"&lt;="&amp;EOMONTH(DATE(Dashboard!$C$4,10,1),0)))</f>
        <v/>
      </c>
      <c r="N16" s="106">
        <f>IF(OR($B16="",DATE(Dashboard!$C$4,11,1)&gt;TODAY()),"",SUMIFS(Transaksi!$F$16:$F$5015,Transaksi!$G$16:$G$5015,"Pengeluaran",Transaksi!$H$16:$H$5015,"Pengeluaran Gaji",Transaksi!$I$16:$I$5015,$B16,Transaksi!$B$16:$B$5015,"&gt;="&amp;DATE(Dashboard!$C$4,11,1),Transaksi!$B$16:$B$5015,"&lt;="&amp;EOMONTH(DATE(Dashboard!$C$4,11,1),0))+SUMIFS(Transaksi!$F$16:$F$5015,Transaksi!$G$16:$G$5015,"Pengeluaran",Transaksi!$H$16:$H$5015,"Pengeluaran Jasa",Transaksi!$I$16:$I$5015,$B16,Transaksi!$B$16:$B$5015,"&gt;="&amp;DATE(Dashboard!$C$4,11,1),Transaksi!$B$16:$B$5015,"&lt;="&amp;EOMONTH(DATE(Dashboard!$C$4,11,1),0)))</f>
        <v/>
      </c>
      <c r="O16" s="106">
        <f>IF(OR($B16="",DATE(Dashboard!$C$4,12,1)&gt;TODAY()),"",SUMIFS(Transaksi!$F$16:$F$5015,Transaksi!$G$16:$G$5015,"Pengeluaran",Transaksi!$H$16:$H$5015,"Pengeluaran Gaji",Transaksi!$I$16:$I$5015,$B16,Transaksi!$B$16:$B$5015,"&gt;="&amp;DATE(Dashboard!$C$4,12,1),Transaksi!$B$16:$B$5015,"&lt;="&amp;EOMONTH(DATE(Dashboard!$C$4,12,1),0))+SUMIFS(Transaksi!$F$16:$F$5015,Transaksi!$G$16:$G$5015,"Pengeluaran",Transaksi!$H$16:$H$5015,"Pengeluaran Jasa",Transaksi!$I$16:$I$5015,$B16,Transaksi!$B$16:$B$5015,"&gt;="&amp;DATE(Dashboard!$C$4,12,1),Transaksi!$B$16:$B$5015,"&lt;="&amp;EOMONTH(DATE(Dashboard!$C$4,12,1),0)))</f>
        <v/>
      </c>
      <c r="P16" s="113">
        <f>IF($B16="","",SUM(D16:O16))</f>
        <v/>
      </c>
      <c r="Q16" s="106">
        <f>IF($B16="","",P16/MAX(1,COUNT(D16:O16)))</f>
        <v/>
      </c>
    </row>
    <row r="17" ht="15" customHeight="1" s="94">
      <c r="B17" s="127" t="inlineStr">
        <is>
          <t>Pakaian &amp; Perlengkapan</t>
        </is>
      </c>
      <c r="C17" s="163" t="n"/>
      <c r="D17" s="106">
        <f>IF(OR($B17="",DATE(Dashboard!$C$4,1,1)&gt;TODAY()),"",SUMIFS(Transaksi!$F$16:$F$5015,Transaksi!$G$16:$G$5015,"Pengeluaran",Transaksi!$H$16:$H$5015,"Pengeluaran Gaji",Transaksi!$I$16:$I$5015,$B17,Transaksi!$B$16:$B$5015,"&gt;="&amp;DATE(Dashboard!$C$4,1,1),Transaksi!$B$16:$B$5015,"&lt;="&amp;EOMONTH(DATE(Dashboard!$C$4,1,1),0))+SUMIFS(Transaksi!$F$16:$F$5015,Transaksi!$G$16:$G$5015,"Pengeluaran",Transaksi!$H$16:$H$5015,"Pengeluaran Jasa",Transaksi!$I$16:$I$5015,$B17,Transaksi!$B$16:$B$5015,"&gt;="&amp;DATE(Dashboard!$C$4,1,1),Transaksi!$B$16:$B$5015,"&lt;="&amp;EOMONTH(DATE(Dashboard!$C$4,1,1),0)))</f>
        <v/>
      </c>
      <c r="E17" s="106">
        <f>IF(OR($B17="",DATE(Dashboard!$C$4,2,1)&gt;TODAY()),"",SUMIFS(Transaksi!$F$16:$F$5015,Transaksi!$G$16:$G$5015,"Pengeluaran",Transaksi!$H$16:$H$5015,"Pengeluaran Gaji",Transaksi!$I$16:$I$5015,$B17,Transaksi!$B$16:$B$5015,"&gt;="&amp;DATE(Dashboard!$C$4,2,1),Transaksi!$B$16:$B$5015,"&lt;="&amp;EOMONTH(DATE(Dashboard!$C$4,2,1),0))+SUMIFS(Transaksi!$F$16:$F$5015,Transaksi!$G$16:$G$5015,"Pengeluaran",Transaksi!$H$16:$H$5015,"Pengeluaran Jasa",Transaksi!$I$16:$I$5015,$B17,Transaksi!$B$16:$B$5015,"&gt;="&amp;DATE(Dashboard!$C$4,2,1),Transaksi!$B$16:$B$5015,"&lt;="&amp;EOMONTH(DATE(Dashboard!$C$4,2,1),0)))</f>
        <v/>
      </c>
      <c r="F17" s="106">
        <f>IF(OR($B17="",DATE(Dashboard!$C$4,3,1)&gt;TODAY()),"",SUMIFS(Transaksi!$F$16:$F$5015,Transaksi!$G$16:$G$5015,"Pengeluaran",Transaksi!$H$16:$H$5015,"Pengeluaran Gaji",Transaksi!$I$16:$I$5015,$B17,Transaksi!$B$16:$B$5015,"&gt;="&amp;DATE(Dashboard!$C$4,3,1),Transaksi!$B$16:$B$5015,"&lt;="&amp;EOMONTH(DATE(Dashboard!$C$4,3,1),0))+SUMIFS(Transaksi!$F$16:$F$5015,Transaksi!$G$16:$G$5015,"Pengeluaran",Transaksi!$H$16:$H$5015,"Pengeluaran Jasa",Transaksi!$I$16:$I$5015,$B17,Transaksi!$B$16:$B$5015,"&gt;="&amp;DATE(Dashboard!$C$4,3,1),Transaksi!$B$16:$B$5015,"&lt;="&amp;EOMONTH(DATE(Dashboard!$C$4,3,1),0)))</f>
        <v/>
      </c>
      <c r="G17" s="106">
        <f>IF(OR($B17="",DATE(Dashboard!$C$4,4,1)&gt;TODAY()),"",SUMIFS(Transaksi!$F$16:$F$5015,Transaksi!$G$16:$G$5015,"Pengeluaran",Transaksi!$H$16:$H$5015,"Pengeluaran Gaji",Transaksi!$I$16:$I$5015,$B17,Transaksi!$B$16:$B$5015,"&gt;="&amp;DATE(Dashboard!$C$4,4,1),Transaksi!$B$16:$B$5015,"&lt;="&amp;EOMONTH(DATE(Dashboard!$C$4,4,1),0))+SUMIFS(Transaksi!$F$16:$F$5015,Transaksi!$G$16:$G$5015,"Pengeluaran",Transaksi!$H$16:$H$5015,"Pengeluaran Jasa",Transaksi!$I$16:$I$5015,$B17,Transaksi!$B$16:$B$5015,"&gt;="&amp;DATE(Dashboard!$C$4,4,1),Transaksi!$B$16:$B$5015,"&lt;="&amp;EOMONTH(DATE(Dashboard!$C$4,4,1),0)))</f>
        <v/>
      </c>
      <c r="H17" s="106">
        <f>IF(OR($B17="",DATE(Dashboard!$C$4,5,1)&gt;TODAY()),"",SUMIFS(Transaksi!$F$16:$F$5015,Transaksi!$G$16:$G$5015,"Pengeluaran",Transaksi!$H$16:$H$5015,"Pengeluaran Gaji",Transaksi!$I$16:$I$5015,$B17,Transaksi!$B$16:$B$5015,"&gt;="&amp;DATE(Dashboard!$C$4,5,1),Transaksi!$B$16:$B$5015,"&lt;="&amp;EOMONTH(DATE(Dashboard!$C$4,5,1),0))+SUMIFS(Transaksi!$F$16:$F$5015,Transaksi!$G$16:$G$5015,"Pengeluaran",Transaksi!$H$16:$H$5015,"Pengeluaran Jasa",Transaksi!$I$16:$I$5015,$B17,Transaksi!$B$16:$B$5015,"&gt;="&amp;DATE(Dashboard!$C$4,5,1),Transaksi!$B$16:$B$5015,"&lt;="&amp;EOMONTH(DATE(Dashboard!$C$4,5,1),0)))</f>
        <v/>
      </c>
      <c r="I17" s="106">
        <f>IF(OR($B17="",DATE(Dashboard!$C$4,6,1)&gt;TODAY()),"",SUMIFS(Transaksi!$F$16:$F$5015,Transaksi!$G$16:$G$5015,"Pengeluaran",Transaksi!$H$16:$H$5015,"Pengeluaran Gaji",Transaksi!$I$16:$I$5015,$B17,Transaksi!$B$16:$B$5015,"&gt;="&amp;DATE(Dashboard!$C$4,6,1),Transaksi!$B$16:$B$5015,"&lt;="&amp;EOMONTH(DATE(Dashboard!$C$4,6,1),0))+SUMIFS(Transaksi!$F$16:$F$5015,Transaksi!$G$16:$G$5015,"Pengeluaran",Transaksi!$H$16:$H$5015,"Pengeluaran Jasa",Transaksi!$I$16:$I$5015,$B17,Transaksi!$B$16:$B$5015,"&gt;="&amp;DATE(Dashboard!$C$4,6,1),Transaksi!$B$16:$B$5015,"&lt;="&amp;EOMONTH(DATE(Dashboard!$C$4,6,1),0)))</f>
        <v/>
      </c>
      <c r="J17" s="106">
        <f>IF(OR($B17="",DATE(Dashboard!$C$4,7,1)&gt;TODAY()),"",SUMIFS(Transaksi!$F$16:$F$5015,Transaksi!$G$16:$G$5015,"Pengeluaran",Transaksi!$H$16:$H$5015,"Pengeluaran Gaji",Transaksi!$I$16:$I$5015,$B17,Transaksi!$B$16:$B$5015,"&gt;="&amp;DATE(Dashboard!$C$4,7,1),Transaksi!$B$16:$B$5015,"&lt;="&amp;EOMONTH(DATE(Dashboard!$C$4,7,1),0))+SUMIFS(Transaksi!$F$16:$F$5015,Transaksi!$G$16:$G$5015,"Pengeluaran",Transaksi!$H$16:$H$5015,"Pengeluaran Jasa",Transaksi!$I$16:$I$5015,$B17,Transaksi!$B$16:$B$5015,"&gt;="&amp;DATE(Dashboard!$C$4,7,1),Transaksi!$B$16:$B$5015,"&lt;="&amp;EOMONTH(DATE(Dashboard!$C$4,7,1),0)))</f>
        <v/>
      </c>
      <c r="K17" s="106">
        <f>IF(OR($B17="",DATE(Dashboard!$C$4,8,1)&gt;TODAY()),"",SUMIFS(Transaksi!$F$16:$F$5015,Transaksi!$G$16:$G$5015,"Pengeluaran",Transaksi!$H$16:$H$5015,"Pengeluaran Gaji",Transaksi!$I$16:$I$5015,$B17,Transaksi!$B$16:$B$5015,"&gt;="&amp;DATE(Dashboard!$C$4,8,1),Transaksi!$B$16:$B$5015,"&lt;="&amp;EOMONTH(DATE(Dashboard!$C$4,8,1),0))+SUMIFS(Transaksi!$F$16:$F$5015,Transaksi!$G$16:$G$5015,"Pengeluaran",Transaksi!$H$16:$H$5015,"Pengeluaran Jasa",Transaksi!$I$16:$I$5015,$B17,Transaksi!$B$16:$B$5015,"&gt;="&amp;DATE(Dashboard!$C$4,8,1),Transaksi!$B$16:$B$5015,"&lt;="&amp;EOMONTH(DATE(Dashboard!$C$4,8,1),0)))</f>
        <v/>
      </c>
      <c r="L17" s="106">
        <f>IF(OR($B17="",DATE(Dashboard!$C$4,9,1)&gt;TODAY()),"",SUMIFS(Transaksi!$F$16:$F$5015,Transaksi!$G$16:$G$5015,"Pengeluaran",Transaksi!$H$16:$H$5015,"Pengeluaran Gaji",Transaksi!$I$16:$I$5015,$B17,Transaksi!$B$16:$B$5015,"&gt;="&amp;DATE(Dashboard!$C$4,9,1),Transaksi!$B$16:$B$5015,"&lt;="&amp;EOMONTH(DATE(Dashboard!$C$4,9,1),0))+SUMIFS(Transaksi!$F$16:$F$5015,Transaksi!$G$16:$G$5015,"Pengeluaran",Transaksi!$H$16:$H$5015,"Pengeluaran Jasa",Transaksi!$I$16:$I$5015,$B17,Transaksi!$B$16:$B$5015,"&gt;="&amp;DATE(Dashboard!$C$4,9,1),Transaksi!$B$16:$B$5015,"&lt;="&amp;EOMONTH(DATE(Dashboard!$C$4,9,1),0)))</f>
        <v/>
      </c>
      <c r="M17" s="106">
        <f>IF(OR($B17="",DATE(Dashboard!$C$4,10,1)&gt;TODAY()),"",SUMIFS(Transaksi!$F$16:$F$5015,Transaksi!$G$16:$G$5015,"Pengeluaran",Transaksi!$H$16:$H$5015,"Pengeluaran Gaji",Transaksi!$I$16:$I$5015,$B17,Transaksi!$B$16:$B$5015,"&gt;="&amp;DATE(Dashboard!$C$4,10,1),Transaksi!$B$16:$B$5015,"&lt;="&amp;EOMONTH(DATE(Dashboard!$C$4,10,1),0))+SUMIFS(Transaksi!$F$16:$F$5015,Transaksi!$G$16:$G$5015,"Pengeluaran",Transaksi!$H$16:$H$5015,"Pengeluaran Jasa",Transaksi!$I$16:$I$5015,$B17,Transaksi!$B$16:$B$5015,"&gt;="&amp;DATE(Dashboard!$C$4,10,1),Transaksi!$B$16:$B$5015,"&lt;="&amp;EOMONTH(DATE(Dashboard!$C$4,10,1),0)))</f>
        <v/>
      </c>
      <c r="N17" s="106">
        <f>IF(OR($B17="",DATE(Dashboard!$C$4,11,1)&gt;TODAY()),"",SUMIFS(Transaksi!$F$16:$F$5015,Transaksi!$G$16:$G$5015,"Pengeluaran",Transaksi!$H$16:$H$5015,"Pengeluaran Gaji",Transaksi!$I$16:$I$5015,$B17,Transaksi!$B$16:$B$5015,"&gt;="&amp;DATE(Dashboard!$C$4,11,1),Transaksi!$B$16:$B$5015,"&lt;="&amp;EOMONTH(DATE(Dashboard!$C$4,11,1),0))+SUMIFS(Transaksi!$F$16:$F$5015,Transaksi!$G$16:$G$5015,"Pengeluaran",Transaksi!$H$16:$H$5015,"Pengeluaran Jasa",Transaksi!$I$16:$I$5015,$B17,Transaksi!$B$16:$B$5015,"&gt;="&amp;DATE(Dashboard!$C$4,11,1),Transaksi!$B$16:$B$5015,"&lt;="&amp;EOMONTH(DATE(Dashboard!$C$4,11,1),0)))</f>
        <v/>
      </c>
      <c r="O17" s="106">
        <f>IF(OR($B17="",DATE(Dashboard!$C$4,12,1)&gt;TODAY()),"",SUMIFS(Transaksi!$F$16:$F$5015,Transaksi!$G$16:$G$5015,"Pengeluaran",Transaksi!$H$16:$H$5015,"Pengeluaran Gaji",Transaksi!$I$16:$I$5015,$B17,Transaksi!$B$16:$B$5015,"&gt;="&amp;DATE(Dashboard!$C$4,12,1),Transaksi!$B$16:$B$5015,"&lt;="&amp;EOMONTH(DATE(Dashboard!$C$4,12,1),0))+SUMIFS(Transaksi!$F$16:$F$5015,Transaksi!$G$16:$G$5015,"Pengeluaran",Transaksi!$H$16:$H$5015,"Pengeluaran Jasa",Transaksi!$I$16:$I$5015,$B17,Transaksi!$B$16:$B$5015,"&gt;="&amp;DATE(Dashboard!$C$4,12,1),Transaksi!$B$16:$B$5015,"&lt;="&amp;EOMONTH(DATE(Dashboard!$C$4,12,1),0)))</f>
        <v/>
      </c>
      <c r="P17" s="113">
        <f>IF($B17="","",SUM(D17:O17))</f>
        <v/>
      </c>
      <c r="Q17" s="106">
        <f>IF($B17="","",P17/MAX(1,COUNT(D17:O17)))</f>
        <v/>
      </c>
    </row>
    <row r="18" ht="15" customHeight="1" s="94">
      <c r="B18" s="127" t="inlineStr">
        <is>
          <t>Pendidikan (Reksadana Dana Kuliah)</t>
        </is>
      </c>
      <c r="C18" s="163" t="n"/>
      <c r="D18" s="106">
        <f>IF(OR($B18="",DATE(Dashboard!$C$4,1,1)&gt;TODAY()),"",SUMIFS(Transaksi!$F$16:$F$5015,Transaksi!$G$16:$G$5015,"Pengeluaran",Transaksi!$H$16:$H$5015,"Pengeluaran Gaji",Transaksi!$I$16:$I$5015,$B18,Transaksi!$B$16:$B$5015,"&gt;="&amp;DATE(Dashboard!$C$4,1,1),Transaksi!$B$16:$B$5015,"&lt;="&amp;EOMONTH(DATE(Dashboard!$C$4,1,1),0))+SUMIFS(Transaksi!$F$16:$F$5015,Transaksi!$G$16:$G$5015,"Pengeluaran",Transaksi!$H$16:$H$5015,"Pengeluaran Jasa",Transaksi!$I$16:$I$5015,$B18,Transaksi!$B$16:$B$5015,"&gt;="&amp;DATE(Dashboard!$C$4,1,1),Transaksi!$B$16:$B$5015,"&lt;="&amp;EOMONTH(DATE(Dashboard!$C$4,1,1),0)))</f>
        <v/>
      </c>
      <c r="E18" s="106">
        <f>IF(OR($B18="",DATE(Dashboard!$C$4,2,1)&gt;TODAY()),"",SUMIFS(Transaksi!$F$16:$F$5015,Transaksi!$G$16:$G$5015,"Pengeluaran",Transaksi!$H$16:$H$5015,"Pengeluaran Gaji",Transaksi!$I$16:$I$5015,$B18,Transaksi!$B$16:$B$5015,"&gt;="&amp;DATE(Dashboard!$C$4,2,1),Transaksi!$B$16:$B$5015,"&lt;="&amp;EOMONTH(DATE(Dashboard!$C$4,2,1),0))+SUMIFS(Transaksi!$F$16:$F$5015,Transaksi!$G$16:$G$5015,"Pengeluaran",Transaksi!$H$16:$H$5015,"Pengeluaran Jasa",Transaksi!$I$16:$I$5015,$B18,Transaksi!$B$16:$B$5015,"&gt;="&amp;DATE(Dashboard!$C$4,2,1),Transaksi!$B$16:$B$5015,"&lt;="&amp;EOMONTH(DATE(Dashboard!$C$4,2,1),0)))</f>
        <v/>
      </c>
      <c r="F18" s="106">
        <f>IF(OR($B18="",DATE(Dashboard!$C$4,3,1)&gt;TODAY()),"",SUMIFS(Transaksi!$F$16:$F$5015,Transaksi!$G$16:$G$5015,"Pengeluaran",Transaksi!$H$16:$H$5015,"Pengeluaran Gaji",Transaksi!$I$16:$I$5015,$B18,Transaksi!$B$16:$B$5015,"&gt;="&amp;DATE(Dashboard!$C$4,3,1),Transaksi!$B$16:$B$5015,"&lt;="&amp;EOMONTH(DATE(Dashboard!$C$4,3,1),0))+SUMIFS(Transaksi!$F$16:$F$5015,Transaksi!$G$16:$G$5015,"Pengeluaran",Transaksi!$H$16:$H$5015,"Pengeluaran Jasa",Transaksi!$I$16:$I$5015,$B18,Transaksi!$B$16:$B$5015,"&gt;="&amp;DATE(Dashboard!$C$4,3,1),Transaksi!$B$16:$B$5015,"&lt;="&amp;EOMONTH(DATE(Dashboard!$C$4,3,1),0)))</f>
        <v/>
      </c>
      <c r="G18" s="106">
        <f>IF(OR($B18="",DATE(Dashboard!$C$4,4,1)&gt;TODAY()),"",SUMIFS(Transaksi!$F$16:$F$5015,Transaksi!$G$16:$G$5015,"Pengeluaran",Transaksi!$H$16:$H$5015,"Pengeluaran Gaji",Transaksi!$I$16:$I$5015,$B18,Transaksi!$B$16:$B$5015,"&gt;="&amp;DATE(Dashboard!$C$4,4,1),Transaksi!$B$16:$B$5015,"&lt;="&amp;EOMONTH(DATE(Dashboard!$C$4,4,1),0))+SUMIFS(Transaksi!$F$16:$F$5015,Transaksi!$G$16:$G$5015,"Pengeluaran",Transaksi!$H$16:$H$5015,"Pengeluaran Jasa",Transaksi!$I$16:$I$5015,$B18,Transaksi!$B$16:$B$5015,"&gt;="&amp;DATE(Dashboard!$C$4,4,1),Transaksi!$B$16:$B$5015,"&lt;="&amp;EOMONTH(DATE(Dashboard!$C$4,4,1),0)))</f>
        <v/>
      </c>
      <c r="H18" s="106">
        <f>IF(OR($B18="",DATE(Dashboard!$C$4,5,1)&gt;TODAY()),"",SUMIFS(Transaksi!$F$16:$F$5015,Transaksi!$G$16:$G$5015,"Pengeluaran",Transaksi!$H$16:$H$5015,"Pengeluaran Gaji",Transaksi!$I$16:$I$5015,$B18,Transaksi!$B$16:$B$5015,"&gt;="&amp;DATE(Dashboard!$C$4,5,1),Transaksi!$B$16:$B$5015,"&lt;="&amp;EOMONTH(DATE(Dashboard!$C$4,5,1),0))+SUMIFS(Transaksi!$F$16:$F$5015,Transaksi!$G$16:$G$5015,"Pengeluaran",Transaksi!$H$16:$H$5015,"Pengeluaran Jasa",Transaksi!$I$16:$I$5015,$B18,Transaksi!$B$16:$B$5015,"&gt;="&amp;DATE(Dashboard!$C$4,5,1),Transaksi!$B$16:$B$5015,"&lt;="&amp;EOMONTH(DATE(Dashboard!$C$4,5,1),0)))</f>
        <v/>
      </c>
      <c r="I18" s="106">
        <f>IF(OR($B18="",DATE(Dashboard!$C$4,6,1)&gt;TODAY()),"",SUMIFS(Transaksi!$F$16:$F$5015,Transaksi!$G$16:$G$5015,"Pengeluaran",Transaksi!$H$16:$H$5015,"Pengeluaran Gaji",Transaksi!$I$16:$I$5015,$B18,Transaksi!$B$16:$B$5015,"&gt;="&amp;DATE(Dashboard!$C$4,6,1),Transaksi!$B$16:$B$5015,"&lt;="&amp;EOMONTH(DATE(Dashboard!$C$4,6,1),0))+SUMIFS(Transaksi!$F$16:$F$5015,Transaksi!$G$16:$G$5015,"Pengeluaran",Transaksi!$H$16:$H$5015,"Pengeluaran Jasa",Transaksi!$I$16:$I$5015,$B18,Transaksi!$B$16:$B$5015,"&gt;="&amp;DATE(Dashboard!$C$4,6,1),Transaksi!$B$16:$B$5015,"&lt;="&amp;EOMONTH(DATE(Dashboard!$C$4,6,1),0)))</f>
        <v/>
      </c>
      <c r="J18" s="106">
        <f>IF(OR($B18="",DATE(Dashboard!$C$4,7,1)&gt;TODAY()),"",SUMIFS(Transaksi!$F$16:$F$5015,Transaksi!$G$16:$G$5015,"Pengeluaran",Transaksi!$H$16:$H$5015,"Pengeluaran Gaji",Transaksi!$I$16:$I$5015,$B18,Transaksi!$B$16:$B$5015,"&gt;="&amp;DATE(Dashboard!$C$4,7,1),Transaksi!$B$16:$B$5015,"&lt;="&amp;EOMONTH(DATE(Dashboard!$C$4,7,1),0))+SUMIFS(Transaksi!$F$16:$F$5015,Transaksi!$G$16:$G$5015,"Pengeluaran",Transaksi!$H$16:$H$5015,"Pengeluaran Jasa",Transaksi!$I$16:$I$5015,$B18,Transaksi!$B$16:$B$5015,"&gt;="&amp;DATE(Dashboard!$C$4,7,1),Transaksi!$B$16:$B$5015,"&lt;="&amp;EOMONTH(DATE(Dashboard!$C$4,7,1),0)))</f>
        <v/>
      </c>
      <c r="K18" s="106">
        <f>IF(OR($B18="",DATE(Dashboard!$C$4,8,1)&gt;TODAY()),"",SUMIFS(Transaksi!$F$16:$F$5015,Transaksi!$G$16:$G$5015,"Pengeluaran",Transaksi!$H$16:$H$5015,"Pengeluaran Gaji",Transaksi!$I$16:$I$5015,$B18,Transaksi!$B$16:$B$5015,"&gt;="&amp;DATE(Dashboard!$C$4,8,1),Transaksi!$B$16:$B$5015,"&lt;="&amp;EOMONTH(DATE(Dashboard!$C$4,8,1),0))+SUMIFS(Transaksi!$F$16:$F$5015,Transaksi!$G$16:$G$5015,"Pengeluaran",Transaksi!$H$16:$H$5015,"Pengeluaran Jasa",Transaksi!$I$16:$I$5015,$B18,Transaksi!$B$16:$B$5015,"&gt;="&amp;DATE(Dashboard!$C$4,8,1),Transaksi!$B$16:$B$5015,"&lt;="&amp;EOMONTH(DATE(Dashboard!$C$4,8,1),0)))</f>
        <v/>
      </c>
      <c r="L18" s="106">
        <f>IF(OR($B18="",DATE(Dashboard!$C$4,9,1)&gt;TODAY()),"",SUMIFS(Transaksi!$F$16:$F$5015,Transaksi!$G$16:$G$5015,"Pengeluaran",Transaksi!$H$16:$H$5015,"Pengeluaran Gaji",Transaksi!$I$16:$I$5015,$B18,Transaksi!$B$16:$B$5015,"&gt;="&amp;DATE(Dashboard!$C$4,9,1),Transaksi!$B$16:$B$5015,"&lt;="&amp;EOMONTH(DATE(Dashboard!$C$4,9,1),0))+SUMIFS(Transaksi!$F$16:$F$5015,Transaksi!$G$16:$G$5015,"Pengeluaran",Transaksi!$H$16:$H$5015,"Pengeluaran Jasa",Transaksi!$I$16:$I$5015,$B18,Transaksi!$B$16:$B$5015,"&gt;="&amp;DATE(Dashboard!$C$4,9,1),Transaksi!$B$16:$B$5015,"&lt;="&amp;EOMONTH(DATE(Dashboard!$C$4,9,1),0)))</f>
        <v/>
      </c>
      <c r="M18" s="106">
        <f>IF(OR($B18="",DATE(Dashboard!$C$4,10,1)&gt;TODAY()),"",SUMIFS(Transaksi!$F$16:$F$5015,Transaksi!$G$16:$G$5015,"Pengeluaran",Transaksi!$H$16:$H$5015,"Pengeluaran Gaji",Transaksi!$I$16:$I$5015,$B18,Transaksi!$B$16:$B$5015,"&gt;="&amp;DATE(Dashboard!$C$4,10,1),Transaksi!$B$16:$B$5015,"&lt;="&amp;EOMONTH(DATE(Dashboard!$C$4,10,1),0))+SUMIFS(Transaksi!$F$16:$F$5015,Transaksi!$G$16:$G$5015,"Pengeluaran",Transaksi!$H$16:$H$5015,"Pengeluaran Jasa",Transaksi!$I$16:$I$5015,$B18,Transaksi!$B$16:$B$5015,"&gt;="&amp;DATE(Dashboard!$C$4,10,1),Transaksi!$B$16:$B$5015,"&lt;="&amp;EOMONTH(DATE(Dashboard!$C$4,10,1),0)))</f>
        <v/>
      </c>
      <c r="N18" s="106">
        <f>IF(OR($B18="",DATE(Dashboard!$C$4,11,1)&gt;TODAY()),"",SUMIFS(Transaksi!$F$16:$F$5015,Transaksi!$G$16:$G$5015,"Pengeluaran",Transaksi!$H$16:$H$5015,"Pengeluaran Gaji",Transaksi!$I$16:$I$5015,$B18,Transaksi!$B$16:$B$5015,"&gt;="&amp;DATE(Dashboard!$C$4,11,1),Transaksi!$B$16:$B$5015,"&lt;="&amp;EOMONTH(DATE(Dashboard!$C$4,11,1),0))+SUMIFS(Transaksi!$F$16:$F$5015,Transaksi!$G$16:$G$5015,"Pengeluaran",Transaksi!$H$16:$H$5015,"Pengeluaran Jasa",Transaksi!$I$16:$I$5015,$B18,Transaksi!$B$16:$B$5015,"&gt;="&amp;DATE(Dashboard!$C$4,11,1),Transaksi!$B$16:$B$5015,"&lt;="&amp;EOMONTH(DATE(Dashboard!$C$4,11,1),0)))</f>
        <v/>
      </c>
      <c r="O18" s="106">
        <f>IF(OR($B18="",DATE(Dashboard!$C$4,12,1)&gt;TODAY()),"",SUMIFS(Transaksi!$F$16:$F$5015,Transaksi!$G$16:$G$5015,"Pengeluaran",Transaksi!$H$16:$H$5015,"Pengeluaran Gaji",Transaksi!$I$16:$I$5015,$B18,Transaksi!$B$16:$B$5015,"&gt;="&amp;DATE(Dashboard!$C$4,12,1),Transaksi!$B$16:$B$5015,"&lt;="&amp;EOMONTH(DATE(Dashboard!$C$4,12,1),0))+SUMIFS(Transaksi!$F$16:$F$5015,Transaksi!$G$16:$G$5015,"Pengeluaran",Transaksi!$H$16:$H$5015,"Pengeluaran Jasa",Transaksi!$I$16:$I$5015,$B18,Transaksi!$B$16:$B$5015,"&gt;="&amp;DATE(Dashboard!$C$4,12,1),Transaksi!$B$16:$B$5015,"&lt;="&amp;EOMONTH(DATE(Dashboard!$C$4,12,1),0)))</f>
        <v/>
      </c>
      <c r="P18" s="113">
        <f>IF($B18="","",SUM(D18:O18))</f>
        <v/>
      </c>
      <c r="Q18" s="106">
        <f>IF($B18="","",P18/MAX(1,COUNT(D18:O18)))</f>
        <v/>
      </c>
    </row>
    <row r="19" ht="15" customHeight="1" s="94">
      <c r="B19" s="127" t="inlineStr">
        <is>
          <t>Penutupan usaha rokok</t>
        </is>
      </c>
      <c r="C19" s="163" t="n"/>
      <c r="D19" s="106">
        <f>IF(OR($B19="",DATE(Dashboard!$C$4,1,1)&gt;TODAY()),"",SUMIFS(Transaksi!$F$16:$F$5015,Transaksi!$G$16:$G$5015,"Pengeluaran",Transaksi!$H$16:$H$5015,"Pengeluaran Gaji",Transaksi!$I$16:$I$5015,$B19,Transaksi!$B$16:$B$5015,"&gt;="&amp;DATE(Dashboard!$C$4,1,1),Transaksi!$B$16:$B$5015,"&lt;="&amp;EOMONTH(DATE(Dashboard!$C$4,1,1),0))+SUMIFS(Transaksi!$F$16:$F$5015,Transaksi!$G$16:$G$5015,"Pengeluaran",Transaksi!$H$16:$H$5015,"Pengeluaran Jasa",Transaksi!$I$16:$I$5015,$B19,Transaksi!$B$16:$B$5015,"&gt;="&amp;DATE(Dashboard!$C$4,1,1),Transaksi!$B$16:$B$5015,"&lt;="&amp;EOMONTH(DATE(Dashboard!$C$4,1,1),0)))</f>
        <v/>
      </c>
      <c r="E19" s="106">
        <f>IF(OR($B19="",DATE(Dashboard!$C$4,2,1)&gt;TODAY()),"",SUMIFS(Transaksi!$F$16:$F$5015,Transaksi!$G$16:$G$5015,"Pengeluaran",Transaksi!$H$16:$H$5015,"Pengeluaran Gaji",Transaksi!$I$16:$I$5015,$B19,Transaksi!$B$16:$B$5015,"&gt;="&amp;DATE(Dashboard!$C$4,2,1),Transaksi!$B$16:$B$5015,"&lt;="&amp;EOMONTH(DATE(Dashboard!$C$4,2,1),0))+SUMIFS(Transaksi!$F$16:$F$5015,Transaksi!$G$16:$G$5015,"Pengeluaran",Transaksi!$H$16:$H$5015,"Pengeluaran Jasa",Transaksi!$I$16:$I$5015,$B19,Transaksi!$B$16:$B$5015,"&gt;="&amp;DATE(Dashboard!$C$4,2,1),Transaksi!$B$16:$B$5015,"&lt;="&amp;EOMONTH(DATE(Dashboard!$C$4,2,1),0)))</f>
        <v/>
      </c>
      <c r="F19" s="106">
        <f>IF(OR($B19="",DATE(Dashboard!$C$4,3,1)&gt;TODAY()),"",SUMIFS(Transaksi!$F$16:$F$5015,Transaksi!$G$16:$G$5015,"Pengeluaran",Transaksi!$H$16:$H$5015,"Pengeluaran Gaji",Transaksi!$I$16:$I$5015,$B19,Transaksi!$B$16:$B$5015,"&gt;="&amp;DATE(Dashboard!$C$4,3,1),Transaksi!$B$16:$B$5015,"&lt;="&amp;EOMONTH(DATE(Dashboard!$C$4,3,1),0))+SUMIFS(Transaksi!$F$16:$F$5015,Transaksi!$G$16:$G$5015,"Pengeluaran",Transaksi!$H$16:$H$5015,"Pengeluaran Jasa",Transaksi!$I$16:$I$5015,$B19,Transaksi!$B$16:$B$5015,"&gt;="&amp;DATE(Dashboard!$C$4,3,1),Transaksi!$B$16:$B$5015,"&lt;="&amp;EOMONTH(DATE(Dashboard!$C$4,3,1),0)))</f>
        <v/>
      </c>
      <c r="G19" s="106">
        <f>IF(OR($B19="",DATE(Dashboard!$C$4,4,1)&gt;TODAY()),"",SUMIFS(Transaksi!$F$16:$F$5015,Transaksi!$G$16:$G$5015,"Pengeluaran",Transaksi!$H$16:$H$5015,"Pengeluaran Gaji",Transaksi!$I$16:$I$5015,$B19,Transaksi!$B$16:$B$5015,"&gt;="&amp;DATE(Dashboard!$C$4,4,1),Transaksi!$B$16:$B$5015,"&lt;="&amp;EOMONTH(DATE(Dashboard!$C$4,4,1),0))+SUMIFS(Transaksi!$F$16:$F$5015,Transaksi!$G$16:$G$5015,"Pengeluaran",Transaksi!$H$16:$H$5015,"Pengeluaran Jasa",Transaksi!$I$16:$I$5015,$B19,Transaksi!$B$16:$B$5015,"&gt;="&amp;DATE(Dashboard!$C$4,4,1),Transaksi!$B$16:$B$5015,"&lt;="&amp;EOMONTH(DATE(Dashboard!$C$4,4,1),0)))</f>
        <v/>
      </c>
      <c r="H19" s="106">
        <f>IF(OR($B19="",DATE(Dashboard!$C$4,5,1)&gt;TODAY()),"",SUMIFS(Transaksi!$F$16:$F$5015,Transaksi!$G$16:$G$5015,"Pengeluaran",Transaksi!$H$16:$H$5015,"Pengeluaran Gaji",Transaksi!$I$16:$I$5015,$B19,Transaksi!$B$16:$B$5015,"&gt;="&amp;DATE(Dashboard!$C$4,5,1),Transaksi!$B$16:$B$5015,"&lt;="&amp;EOMONTH(DATE(Dashboard!$C$4,5,1),0))+SUMIFS(Transaksi!$F$16:$F$5015,Transaksi!$G$16:$G$5015,"Pengeluaran",Transaksi!$H$16:$H$5015,"Pengeluaran Jasa",Transaksi!$I$16:$I$5015,$B19,Transaksi!$B$16:$B$5015,"&gt;="&amp;DATE(Dashboard!$C$4,5,1),Transaksi!$B$16:$B$5015,"&lt;="&amp;EOMONTH(DATE(Dashboard!$C$4,5,1),0)))</f>
        <v/>
      </c>
      <c r="I19" s="106">
        <f>IF(OR($B19="",DATE(Dashboard!$C$4,6,1)&gt;TODAY()),"",SUMIFS(Transaksi!$F$16:$F$5015,Transaksi!$G$16:$G$5015,"Pengeluaran",Transaksi!$H$16:$H$5015,"Pengeluaran Gaji",Transaksi!$I$16:$I$5015,$B19,Transaksi!$B$16:$B$5015,"&gt;="&amp;DATE(Dashboard!$C$4,6,1),Transaksi!$B$16:$B$5015,"&lt;="&amp;EOMONTH(DATE(Dashboard!$C$4,6,1),0))+SUMIFS(Transaksi!$F$16:$F$5015,Transaksi!$G$16:$G$5015,"Pengeluaran",Transaksi!$H$16:$H$5015,"Pengeluaran Jasa",Transaksi!$I$16:$I$5015,$B19,Transaksi!$B$16:$B$5015,"&gt;="&amp;DATE(Dashboard!$C$4,6,1),Transaksi!$B$16:$B$5015,"&lt;="&amp;EOMONTH(DATE(Dashboard!$C$4,6,1),0)))</f>
        <v/>
      </c>
      <c r="J19" s="106">
        <f>IF(OR($B19="",DATE(Dashboard!$C$4,7,1)&gt;TODAY()),"",SUMIFS(Transaksi!$F$16:$F$5015,Transaksi!$G$16:$G$5015,"Pengeluaran",Transaksi!$H$16:$H$5015,"Pengeluaran Gaji",Transaksi!$I$16:$I$5015,$B19,Transaksi!$B$16:$B$5015,"&gt;="&amp;DATE(Dashboard!$C$4,7,1),Transaksi!$B$16:$B$5015,"&lt;="&amp;EOMONTH(DATE(Dashboard!$C$4,7,1),0))+SUMIFS(Transaksi!$F$16:$F$5015,Transaksi!$G$16:$G$5015,"Pengeluaran",Transaksi!$H$16:$H$5015,"Pengeluaran Jasa",Transaksi!$I$16:$I$5015,$B19,Transaksi!$B$16:$B$5015,"&gt;="&amp;DATE(Dashboard!$C$4,7,1),Transaksi!$B$16:$B$5015,"&lt;="&amp;EOMONTH(DATE(Dashboard!$C$4,7,1),0)))</f>
        <v/>
      </c>
      <c r="K19" s="106">
        <f>IF(OR($B19="",DATE(Dashboard!$C$4,8,1)&gt;TODAY()),"",SUMIFS(Transaksi!$F$16:$F$5015,Transaksi!$G$16:$G$5015,"Pengeluaran",Transaksi!$H$16:$H$5015,"Pengeluaran Gaji",Transaksi!$I$16:$I$5015,$B19,Transaksi!$B$16:$B$5015,"&gt;="&amp;DATE(Dashboard!$C$4,8,1),Transaksi!$B$16:$B$5015,"&lt;="&amp;EOMONTH(DATE(Dashboard!$C$4,8,1),0))+SUMIFS(Transaksi!$F$16:$F$5015,Transaksi!$G$16:$G$5015,"Pengeluaran",Transaksi!$H$16:$H$5015,"Pengeluaran Jasa",Transaksi!$I$16:$I$5015,$B19,Transaksi!$B$16:$B$5015,"&gt;="&amp;DATE(Dashboard!$C$4,8,1),Transaksi!$B$16:$B$5015,"&lt;="&amp;EOMONTH(DATE(Dashboard!$C$4,8,1),0)))</f>
        <v/>
      </c>
      <c r="L19" s="106">
        <f>IF(OR($B19="",DATE(Dashboard!$C$4,9,1)&gt;TODAY()),"",SUMIFS(Transaksi!$F$16:$F$5015,Transaksi!$G$16:$G$5015,"Pengeluaran",Transaksi!$H$16:$H$5015,"Pengeluaran Gaji",Transaksi!$I$16:$I$5015,$B19,Transaksi!$B$16:$B$5015,"&gt;="&amp;DATE(Dashboard!$C$4,9,1),Transaksi!$B$16:$B$5015,"&lt;="&amp;EOMONTH(DATE(Dashboard!$C$4,9,1),0))+SUMIFS(Transaksi!$F$16:$F$5015,Transaksi!$G$16:$G$5015,"Pengeluaran",Transaksi!$H$16:$H$5015,"Pengeluaran Jasa",Transaksi!$I$16:$I$5015,$B19,Transaksi!$B$16:$B$5015,"&gt;="&amp;DATE(Dashboard!$C$4,9,1),Transaksi!$B$16:$B$5015,"&lt;="&amp;EOMONTH(DATE(Dashboard!$C$4,9,1),0)))</f>
        <v/>
      </c>
      <c r="M19" s="106">
        <f>IF(OR($B19="",DATE(Dashboard!$C$4,10,1)&gt;TODAY()),"",SUMIFS(Transaksi!$F$16:$F$5015,Transaksi!$G$16:$G$5015,"Pengeluaran",Transaksi!$H$16:$H$5015,"Pengeluaran Gaji",Transaksi!$I$16:$I$5015,$B19,Transaksi!$B$16:$B$5015,"&gt;="&amp;DATE(Dashboard!$C$4,10,1),Transaksi!$B$16:$B$5015,"&lt;="&amp;EOMONTH(DATE(Dashboard!$C$4,10,1),0))+SUMIFS(Transaksi!$F$16:$F$5015,Transaksi!$G$16:$G$5015,"Pengeluaran",Transaksi!$H$16:$H$5015,"Pengeluaran Jasa",Transaksi!$I$16:$I$5015,$B19,Transaksi!$B$16:$B$5015,"&gt;="&amp;DATE(Dashboard!$C$4,10,1),Transaksi!$B$16:$B$5015,"&lt;="&amp;EOMONTH(DATE(Dashboard!$C$4,10,1),0)))</f>
        <v/>
      </c>
      <c r="N19" s="106">
        <f>IF(OR($B19="",DATE(Dashboard!$C$4,11,1)&gt;TODAY()),"",SUMIFS(Transaksi!$F$16:$F$5015,Transaksi!$G$16:$G$5015,"Pengeluaran",Transaksi!$H$16:$H$5015,"Pengeluaran Gaji",Transaksi!$I$16:$I$5015,$B19,Transaksi!$B$16:$B$5015,"&gt;="&amp;DATE(Dashboard!$C$4,11,1),Transaksi!$B$16:$B$5015,"&lt;="&amp;EOMONTH(DATE(Dashboard!$C$4,11,1),0))+SUMIFS(Transaksi!$F$16:$F$5015,Transaksi!$G$16:$G$5015,"Pengeluaran",Transaksi!$H$16:$H$5015,"Pengeluaran Jasa",Transaksi!$I$16:$I$5015,$B19,Transaksi!$B$16:$B$5015,"&gt;="&amp;DATE(Dashboard!$C$4,11,1),Transaksi!$B$16:$B$5015,"&lt;="&amp;EOMONTH(DATE(Dashboard!$C$4,11,1),0)))</f>
        <v/>
      </c>
      <c r="O19" s="106">
        <f>IF(OR($B19="",DATE(Dashboard!$C$4,12,1)&gt;TODAY()),"",SUMIFS(Transaksi!$F$16:$F$5015,Transaksi!$G$16:$G$5015,"Pengeluaran",Transaksi!$H$16:$H$5015,"Pengeluaran Gaji",Transaksi!$I$16:$I$5015,$B19,Transaksi!$B$16:$B$5015,"&gt;="&amp;DATE(Dashboard!$C$4,12,1),Transaksi!$B$16:$B$5015,"&lt;="&amp;EOMONTH(DATE(Dashboard!$C$4,12,1),0))+SUMIFS(Transaksi!$F$16:$F$5015,Transaksi!$G$16:$G$5015,"Pengeluaran",Transaksi!$H$16:$H$5015,"Pengeluaran Jasa",Transaksi!$I$16:$I$5015,$B19,Transaksi!$B$16:$B$5015,"&gt;="&amp;DATE(Dashboard!$C$4,12,1),Transaksi!$B$16:$B$5015,"&lt;="&amp;EOMONTH(DATE(Dashboard!$C$4,12,1),0)))</f>
        <v/>
      </c>
      <c r="P19" s="113">
        <f>IF($B19="","",SUM(D19:O19))</f>
        <v/>
      </c>
      <c r="Q19" s="106">
        <f>IF($B19="","",P19/MAX(1,COUNT(D19:O19)))</f>
        <v/>
      </c>
    </row>
    <row r="20" ht="15" customHeight="1" s="94">
      <c r="B20" s="127" t="inlineStr">
        <is>
          <t>Peralatan Kerja/Jasa</t>
        </is>
      </c>
      <c r="C20" s="163" t="n"/>
      <c r="D20" s="106">
        <f>IF(OR($B20="",DATE(Dashboard!$C$4,1,1)&gt;TODAY()),"",SUMIFS(Transaksi!$F$16:$F$5015,Transaksi!$G$16:$G$5015,"Pengeluaran",Transaksi!$H$16:$H$5015,"Pengeluaran Gaji",Transaksi!$I$16:$I$5015,$B20,Transaksi!$B$16:$B$5015,"&gt;="&amp;DATE(Dashboard!$C$4,1,1),Transaksi!$B$16:$B$5015,"&lt;="&amp;EOMONTH(DATE(Dashboard!$C$4,1,1),0))+SUMIFS(Transaksi!$F$16:$F$5015,Transaksi!$G$16:$G$5015,"Pengeluaran",Transaksi!$H$16:$H$5015,"Pengeluaran Jasa",Transaksi!$I$16:$I$5015,$B20,Transaksi!$B$16:$B$5015,"&gt;="&amp;DATE(Dashboard!$C$4,1,1),Transaksi!$B$16:$B$5015,"&lt;="&amp;EOMONTH(DATE(Dashboard!$C$4,1,1),0)))</f>
        <v/>
      </c>
      <c r="E20" s="106">
        <f>IF(OR($B20="",DATE(Dashboard!$C$4,2,1)&gt;TODAY()),"",SUMIFS(Transaksi!$F$16:$F$5015,Transaksi!$G$16:$G$5015,"Pengeluaran",Transaksi!$H$16:$H$5015,"Pengeluaran Gaji",Transaksi!$I$16:$I$5015,$B20,Transaksi!$B$16:$B$5015,"&gt;="&amp;DATE(Dashboard!$C$4,2,1),Transaksi!$B$16:$B$5015,"&lt;="&amp;EOMONTH(DATE(Dashboard!$C$4,2,1),0))+SUMIFS(Transaksi!$F$16:$F$5015,Transaksi!$G$16:$G$5015,"Pengeluaran",Transaksi!$H$16:$H$5015,"Pengeluaran Jasa",Transaksi!$I$16:$I$5015,$B20,Transaksi!$B$16:$B$5015,"&gt;="&amp;DATE(Dashboard!$C$4,2,1),Transaksi!$B$16:$B$5015,"&lt;="&amp;EOMONTH(DATE(Dashboard!$C$4,2,1),0)))</f>
        <v/>
      </c>
      <c r="F20" s="106">
        <f>IF(OR($B20="",DATE(Dashboard!$C$4,3,1)&gt;TODAY()),"",SUMIFS(Transaksi!$F$16:$F$5015,Transaksi!$G$16:$G$5015,"Pengeluaran",Transaksi!$H$16:$H$5015,"Pengeluaran Gaji",Transaksi!$I$16:$I$5015,$B20,Transaksi!$B$16:$B$5015,"&gt;="&amp;DATE(Dashboard!$C$4,3,1),Transaksi!$B$16:$B$5015,"&lt;="&amp;EOMONTH(DATE(Dashboard!$C$4,3,1),0))+SUMIFS(Transaksi!$F$16:$F$5015,Transaksi!$G$16:$G$5015,"Pengeluaran",Transaksi!$H$16:$H$5015,"Pengeluaran Jasa",Transaksi!$I$16:$I$5015,$B20,Transaksi!$B$16:$B$5015,"&gt;="&amp;DATE(Dashboard!$C$4,3,1),Transaksi!$B$16:$B$5015,"&lt;="&amp;EOMONTH(DATE(Dashboard!$C$4,3,1),0)))</f>
        <v/>
      </c>
      <c r="G20" s="106">
        <f>IF(OR($B20="",DATE(Dashboard!$C$4,4,1)&gt;TODAY()),"",SUMIFS(Transaksi!$F$16:$F$5015,Transaksi!$G$16:$G$5015,"Pengeluaran",Transaksi!$H$16:$H$5015,"Pengeluaran Gaji",Transaksi!$I$16:$I$5015,$B20,Transaksi!$B$16:$B$5015,"&gt;="&amp;DATE(Dashboard!$C$4,4,1),Transaksi!$B$16:$B$5015,"&lt;="&amp;EOMONTH(DATE(Dashboard!$C$4,4,1),0))+SUMIFS(Transaksi!$F$16:$F$5015,Transaksi!$G$16:$G$5015,"Pengeluaran",Transaksi!$H$16:$H$5015,"Pengeluaran Jasa",Transaksi!$I$16:$I$5015,$B20,Transaksi!$B$16:$B$5015,"&gt;="&amp;DATE(Dashboard!$C$4,4,1),Transaksi!$B$16:$B$5015,"&lt;="&amp;EOMONTH(DATE(Dashboard!$C$4,4,1),0)))</f>
        <v/>
      </c>
      <c r="H20" s="106">
        <f>IF(OR($B20="",DATE(Dashboard!$C$4,5,1)&gt;TODAY()),"",SUMIFS(Transaksi!$F$16:$F$5015,Transaksi!$G$16:$G$5015,"Pengeluaran",Transaksi!$H$16:$H$5015,"Pengeluaran Gaji",Transaksi!$I$16:$I$5015,$B20,Transaksi!$B$16:$B$5015,"&gt;="&amp;DATE(Dashboard!$C$4,5,1),Transaksi!$B$16:$B$5015,"&lt;="&amp;EOMONTH(DATE(Dashboard!$C$4,5,1),0))+SUMIFS(Transaksi!$F$16:$F$5015,Transaksi!$G$16:$G$5015,"Pengeluaran",Transaksi!$H$16:$H$5015,"Pengeluaran Jasa",Transaksi!$I$16:$I$5015,$B20,Transaksi!$B$16:$B$5015,"&gt;="&amp;DATE(Dashboard!$C$4,5,1),Transaksi!$B$16:$B$5015,"&lt;="&amp;EOMONTH(DATE(Dashboard!$C$4,5,1),0)))</f>
        <v/>
      </c>
      <c r="I20" s="106">
        <f>IF(OR($B20="",DATE(Dashboard!$C$4,6,1)&gt;TODAY()),"",SUMIFS(Transaksi!$F$16:$F$5015,Transaksi!$G$16:$G$5015,"Pengeluaran",Transaksi!$H$16:$H$5015,"Pengeluaran Gaji",Transaksi!$I$16:$I$5015,$B20,Transaksi!$B$16:$B$5015,"&gt;="&amp;DATE(Dashboard!$C$4,6,1),Transaksi!$B$16:$B$5015,"&lt;="&amp;EOMONTH(DATE(Dashboard!$C$4,6,1),0))+SUMIFS(Transaksi!$F$16:$F$5015,Transaksi!$G$16:$G$5015,"Pengeluaran",Transaksi!$H$16:$H$5015,"Pengeluaran Jasa",Transaksi!$I$16:$I$5015,$B20,Transaksi!$B$16:$B$5015,"&gt;="&amp;DATE(Dashboard!$C$4,6,1),Transaksi!$B$16:$B$5015,"&lt;="&amp;EOMONTH(DATE(Dashboard!$C$4,6,1),0)))</f>
        <v/>
      </c>
      <c r="J20" s="106">
        <f>IF(OR($B20="",DATE(Dashboard!$C$4,7,1)&gt;TODAY()),"",SUMIFS(Transaksi!$F$16:$F$5015,Transaksi!$G$16:$G$5015,"Pengeluaran",Transaksi!$H$16:$H$5015,"Pengeluaran Gaji",Transaksi!$I$16:$I$5015,$B20,Transaksi!$B$16:$B$5015,"&gt;="&amp;DATE(Dashboard!$C$4,7,1),Transaksi!$B$16:$B$5015,"&lt;="&amp;EOMONTH(DATE(Dashboard!$C$4,7,1),0))+SUMIFS(Transaksi!$F$16:$F$5015,Transaksi!$G$16:$G$5015,"Pengeluaran",Transaksi!$H$16:$H$5015,"Pengeluaran Jasa",Transaksi!$I$16:$I$5015,$B20,Transaksi!$B$16:$B$5015,"&gt;="&amp;DATE(Dashboard!$C$4,7,1),Transaksi!$B$16:$B$5015,"&lt;="&amp;EOMONTH(DATE(Dashboard!$C$4,7,1),0)))</f>
        <v/>
      </c>
      <c r="K20" s="106">
        <f>IF(OR($B20="",DATE(Dashboard!$C$4,8,1)&gt;TODAY()),"",SUMIFS(Transaksi!$F$16:$F$5015,Transaksi!$G$16:$G$5015,"Pengeluaran",Transaksi!$H$16:$H$5015,"Pengeluaran Gaji",Transaksi!$I$16:$I$5015,$B20,Transaksi!$B$16:$B$5015,"&gt;="&amp;DATE(Dashboard!$C$4,8,1),Transaksi!$B$16:$B$5015,"&lt;="&amp;EOMONTH(DATE(Dashboard!$C$4,8,1),0))+SUMIFS(Transaksi!$F$16:$F$5015,Transaksi!$G$16:$G$5015,"Pengeluaran",Transaksi!$H$16:$H$5015,"Pengeluaran Jasa",Transaksi!$I$16:$I$5015,$B20,Transaksi!$B$16:$B$5015,"&gt;="&amp;DATE(Dashboard!$C$4,8,1),Transaksi!$B$16:$B$5015,"&lt;="&amp;EOMONTH(DATE(Dashboard!$C$4,8,1),0)))</f>
        <v/>
      </c>
      <c r="L20" s="106">
        <f>IF(OR($B20="",DATE(Dashboard!$C$4,9,1)&gt;TODAY()),"",SUMIFS(Transaksi!$F$16:$F$5015,Transaksi!$G$16:$G$5015,"Pengeluaran",Transaksi!$H$16:$H$5015,"Pengeluaran Gaji",Transaksi!$I$16:$I$5015,$B20,Transaksi!$B$16:$B$5015,"&gt;="&amp;DATE(Dashboard!$C$4,9,1),Transaksi!$B$16:$B$5015,"&lt;="&amp;EOMONTH(DATE(Dashboard!$C$4,9,1),0))+SUMIFS(Transaksi!$F$16:$F$5015,Transaksi!$G$16:$G$5015,"Pengeluaran",Transaksi!$H$16:$H$5015,"Pengeluaran Jasa",Transaksi!$I$16:$I$5015,$B20,Transaksi!$B$16:$B$5015,"&gt;="&amp;DATE(Dashboard!$C$4,9,1),Transaksi!$B$16:$B$5015,"&lt;="&amp;EOMONTH(DATE(Dashboard!$C$4,9,1),0)))</f>
        <v/>
      </c>
      <c r="M20" s="106">
        <f>IF(OR($B20="",DATE(Dashboard!$C$4,10,1)&gt;TODAY()),"",SUMIFS(Transaksi!$F$16:$F$5015,Transaksi!$G$16:$G$5015,"Pengeluaran",Transaksi!$H$16:$H$5015,"Pengeluaran Gaji",Transaksi!$I$16:$I$5015,$B20,Transaksi!$B$16:$B$5015,"&gt;="&amp;DATE(Dashboard!$C$4,10,1),Transaksi!$B$16:$B$5015,"&lt;="&amp;EOMONTH(DATE(Dashboard!$C$4,10,1),0))+SUMIFS(Transaksi!$F$16:$F$5015,Transaksi!$G$16:$G$5015,"Pengeluaran",Transaksi!$H$16:$H$5015,"Pengeluaran Jasa",Transaksi!$I$16:$I$5015,$B20,Transaksi!$B$16:$B$5015,"&gt;="&amp;DATE(Dashboard!$C$4,10,1),Transaksi!$B$16:$B$5015,"&lt;="&amp;EOMONTH(DATE(Dashboard!$C$4,10,1),0)))</f>
        <v/>
      </c>
      <c r="N20" s="106">
        <f>IF(OR($B20="",DATE(Dashboard!$C$4,11,1)&gt;TODAY()),"",SUMIFS(Transaksi!$F$16:$F$5015,Transaksi!$G$16:$G$5015,"Pengeluaran",Transaksi!$H$16:$H$5015,"Pengeluaran Gaji",Transaksi!$I$16:$I$5015,$B20,Transaksi!$B$16:$B$5015,"&gt;="&amp;DATE(Dashboard!$C$4,11,1),Transaksi!$B$16:$B$5015,"&lt;="&amp;EOMONTH(DATE(Dashboard!$C$4,11,1),0))+SUMIFS(Transaksi!$F$16:$F$5015,Transaksi!$G$16:$G$5015,"Pengeluaran",Transaksi!$H$16:$H$5015,"Pengeluaran Jasa",Transaksi!$I$16:$I$5015,$B20,Transaksi!$B$16:$B$5015,"&gt;="&amp;DATE(Dashboard!$C$4,11,1),Transaksi!$B$16:$B$5015,"&lt;="&amp;EOMONTH(DATE(Dashboard!$C$4,11,1),0)))</f>
        <v/>
      </c>
      <c r="O20" s="106">
        <f>IF(OR($B20="",DATE(Dashboard!$C$4,12,1)&gt;TODAY()),"",SUMIFS(Transaksi!$F$16:$F$5015,Transaksi!$G$16:$G$5015,"Pengeluaran",Transaksi!$H$16:$H$5015,"Pengeluaran Gaji",Transaksi!$I$16:$I$5015,$B20,Transaksi!$B$16:$B$5015,"&gt;="&amp;DATE(Dashboard!$C$4,12,1),Transaksi!$B$16:$B$5015,"&lt;="&amp;EOMONTH(DATE(Dashboard!$C$4,12,1),0))+SUMIFS(Transaksi!$F$16:$F$5015,Transaksi!$G$16:$G$5015,"Pengeluaran",Transaksi!$H$16:$H$5015,"Pengeluaran Jasa",Transaksi!$I$16:$I$5015,$B20,Transaksi!$B$16:$B$5015,"&gt;="&amp;DATE(Dashboard!$C$4,12,1),Transaksi!$B$16:$B$5015,"&lt;="&amp;EOMONTH(DATE(Dashboard!$C$4,12,1),0)))</f>
        <v/>
      </c>
      <c r="P20" s="113">
        <f>IF($B20="","",SUM(D20:O20))</f>
        <v/>
      </c>
      <c r="Q20" s="106">
        <f>IF($B20="","",P20/MAX(1,COUNT(D20:O20)))</f>
        <v/>
      </c>
    </row>
    <row r="21" ht="15" customHeight="1" s="94">
      <c r="B21" s="127" t="inlineStr">
        <is>
          <t>Pulsa &amp; Internet</t>
        </is>
      </c>
      <c r="C21" s="163" t="n"/>
      <c r="D21" s="106">
        <f>IF(OR($B21="",DATE(Dashboard!$C$4,1,1)&gt;TODAY()),"",SUMIFS(Transaksi!$F$16:$F$5015,Transaksi!$G$16:$G$5015,"Pengeluaran",Transaksi!$H$16:$H$5015,"Pengeluaran Gaji",Transaksi!$I$16:$I$5015,$B21,Transaksi!$B$16:$B$5015,"&gt;="&amp;DATE(Dashboard!$C$4,1,1),Transaksi!$B$16:$B$5015,"&lt;="&amp;EOMONTH(DATE(Dashboard!$C$4,1,1),0))+SUMIFS(Transaksi!$F$16:$F$5015,Transaksi!$G$16:$G$5015,"Pengeluaran",Transaksi!$H$16:$H$5015,"Pengeluaran Jasa",Transaksi!$I$16:$I$5015,$B21,Transaksi!$B$16:$B$5015,"&gt;="&amp;DATE(Dashboard!$C$4,1,1),Transaksi!$B$16:$B$5015,"&lt;="&amp;EOMONTH(DATE(Dashboard!$C$4,1,1),0)))</f>
        <v/>
      </c>
      <c r="E21" s="106">
        <f>IF(OR($B21="",DATE(Dashboard!$C$4,2,1)&gt;TODAY()),"",SUMIFS(Transaksi!$F$16:$F$5015,Transaksi!$G$16:$G$5015,"Pengeluaran",Transaksi!$H$16:$H$5015,"Pengeluaran Gaji",Transaksi!$I$16:$I$5015,$B21,Transaksi!$B$16:$B$5015,"&gt;="&amp;DATE(Dashboard!$C$4,2,1),Transaksi!$B$16:$B$5015,"&lt;="&amp;EOMONTH(DATE(Dashboard!$C$4,2,1),0))+SUMIFS(Transaksi!$F$16:$F$5015,Transaksi!$G$16:$G$5015,"Pengeluaran",Transaksi!$H$16:$H$5015,"Pengeluaran Jasa",Transaksi!$I$16:$I$5015,$B21,Transaksi!$B$16:$B$5015,"&gt;="&amp;DATE(Dashboard!$C$4,2,1),Transaksi!$B$16:$B$5015,"&lt;="&amp;EOMONTH(DATE(Dashboard!$C$4,2,1),0)))</f>
        <v/>
      </c>
      <c r="F21" s="106">
        <f>IF(OR($B21="",DATE(Dashboard!$C$4,3,1)&gt;TODAY()),"",SUMIFS(Transaksi!$F$16:$F$5015,Transaksi!$G$16:$G$5015,"Pengeluaran",Transaksi!$H$16:$H$5015,"Pengeluaran Gaji",Transaksi!$I$16:$I$5015,$B21,Transaksi!$B$16:$B$5015,"&gt;="&amp;DATE(Dashboard!$C$4,3,1),Transaksi!$B$16:$B$5015,"&lt;="&amp;EOMONTH(DATE(Dashboard!$C$4,3,1),0))+SUMIFS(Transaksi!$F$16:$F$5015,Transaksi!$G$16:$G$5015,"Pengeluaran",Transaksi!$H$16:$H$5015,"Pengeluaran Jasa",Transaksi!$I$16:$I$5015,$B21,Transaksi!$B$16:$B$5015,"&gt;="&amp;DATE(Dashboard!$C$4,3,1),Transaksi!$B$16:$B$5015,"&lt;="&amp;EOMONTH(DATE(Dashboard!$C$4,3,1),0)))</f>
        <v/>
      </c>
      <c r="G21" s="106">
        <f>IF(OR($B21="",DATE(Dashboard!$C$4,4,1)&gt;TODAY()),"",SUMIFS(Transaksi!$F$16:$F$5015,Transaksi!$G$16:$G$5015,"Pengeluaran",Transaksi!$H$16:$H$5015,"Pengeluaran Gaji",Transaksi!$I$16:$I$5015,$B21,Transaksi!$B$16:$B$5015,"&gt;="&amp;DATE(Dashboard!$C$4,4,1),Transaksi!$B$16:$B$5015,"&lt;="&amp;EOMONTH(DATE(Dashboard!$C$4,4,1),0))+SUMIFS(Transaksi!$F$16:$F$5015,Transaksi!$G$16:$G$5015,"Pengeluaran",Transaksi!$H$16:$H$5015,"Pengeluaran Jasa",Transaksi!$I$16:$I$5015,$B21,Transaksi!$B$16:$B$5015,"&gt;="&amp;DATE(Dashboard!$C$4,4,1),Transaksi!$B$16:$B$5015,"&lt;="&amp;EOMONTH(DATE(Dashboard!$C$4,4,1),0)))</f>
        <v/>
      </c>
      <c r="H21" s="106">
        <f>IF(OR($B21="",DATE(Dashboard!$C$4,5,1)&gt;TODAY()),"",SUMIFS(Transaksi!$F$16:$F$5015,Transaksi!$G$16:$G$5015,"Pengeluaran",Transaksi!$H$16:$H$5015,"Pengeluaran Gaji",Transaksi!$I$16:$I$5015,$B21,Transaksi!$B$16:$B$5015,"&gt;="&amp;DATE(Dashboard!$C$4,5,1),Transaksi!$B$16:$B$5015,"&lt;="&amp;EOMONTH(DATE(Dashboard!$C$4,5,1),0))+SUMIFS(Transaksi!$F$16:$F$5015,Transaksi!$G$16:$G$5015,"Pengeluaran",Transaksi!$H$16:$H$5015,"Pengeluaran Jasa",Transaksi!$I$16:$I$5015,$B21,Transaksi!$B$16:$B$5015,"&gt;="&amp;DATE(Dashboard!$C$4,5,1),Transaksi!$B$16:$B$5015,"&lt;="&amp;EOMONTH(DATE(Dashboard!$C$4,5,1),0)))</f>
        <v/>
      </c>
      <c r="I21" s="106">
        <f>IF(OR($B21="",DATE(Dashboard!$C$4,6,1)&gt;TODAY()),"",SUMIFS(Transaksi!$F$16:$F$5015,Transaksi!$G$16:$G$5015,"Pengeluaran",Transaksi!$H$16:$H$5015,"Pengeluaran Gaji",Transaksi!$I$16:$I$5015,$B21,Transaksi!$B$16:$B$5015,"&gt;="&amp;DATE(Dashboard!$C$4,6,1),Transaksi!$B$16:$B$5015,"&lt;="&amp;EOMONTH(DATE(Dashboard!$C$4,6,1),0))+SUMIFS(Transaksi!$F$16:$F$5015,Transaksi!$G$16:$G$5015,"Pengeluaran",Transaksi!$H$16:$H$5015,"Pengeluaran Jasa",Transaksi!$I$16:$I$5015,$B21,Transaksi!$B$16:$B$5015,"&gt;="&amp;DATE(Dashboard!$C$4,6,1),Transaksi!$B$16:$B$5015,"&lt;="&amp;EOMONTH(DATE(Dashboard!$C$4,6,1),0)))</f>
        <v/>
      </c>
      <c r="J21" s="106">
        <f>IF(OR($B21="",DATE(Dashboard!$C$4,7,1)&gt;TODAY()),"",SUMIFS(Transaksi!$F$16:$F$5015,Transaksi!$G$16:$G$5015,"Pengeluaran",Transaksi!$H$16:$H$5015,"Pengeluaran Gaji",Transaksi!$I$16:$I$5015,$B21,Transaksi!$B$16:$B$5015,"&gt;="&amp;DATE(Dashboard!$C$4,7,1),Transaksi!$B$16:$B$5015,"&lt;="&amp;EOMONTH(DATE(Dashboard!$C$4,7,1),0))+SUMIFS(Transaksi!$F$16:$F$5015,Transaksi!$G$16:$G$5015,"Pengeluaran",Transaksi!$H$16:$H$5015,"Pengeluaran Jasa",Transaksi!$I$16:$I$5015,$B21,Transaksi!$B$16:$B$5015,"&gt;="&amp;DATE(Dashboard!$C$4,7,1),Transaksi!$B$16:$B$5015,"&lt;="&amp;EOMONTH(DATE(Dashboard!$C$4,7,1),0)))</f>
        <v/>
      </c>
      <c r="K21" s="106">
        <f>IF(OR($B21="",DATE(Dashboard!$C$4,8,1)&gt;TODAY()),"",SUMIFS(Transaksi!$F$16:$F$5015,Transaksi!$G$16:$G$5015,"Pengeluaran",Transaksi!$H$16:$H$5015,"Pengeluaran Gaji",Transaksi!$I$16:$I$5015,$B21,Transaksi!$B$16:$B$5015,"&gt;="&amp;DATE(Dashboard!$C$4,8,1),Transaksi!$B$16:$B$5015,"&lt;="&amp;EOMONTH(DATE(Dashboard!$C$4,8,1),0))+SUMIFS(Transaksi!$F$16:$F$5015,Transaksi!$G$16:$G$5015,"Pengeluaran",Transaksi!$H$16:$H$5015,"Pengeluaran Jasa",Transaksi!$I$16:$I$5015,$B21,Transaksi!$B$16:$B$5015,"&gt;="&amp;DATE(Dashboard!$C$4,8,1),Transaksi!$B$16:$B$5015,"&lt;="&amp;EOMONTH(DATE(Dashboard!$C$4,8,1),0)))</f>
        <v/>
      </c>
      <c r="L21" s="106">
        <f>IF(OR($B21="",DATE(Dashboard!$C$4,9,1)&gt;TODAY()),"",SUMIFS(Transaksi!$F$16:$F$5015,Transaksi!$G$16:$G$5015,"Pengeluaran",Transaksi!$H$16:$H$5015,"Pengeluaran Gaji",Transaksi!$I$16:$I$5015,$B21,Transaksi!$B$16:$B$5015,"&gt;="&amp;DATE(Dashboard!$C$4,9,1),Transaksi!$B$16:$B$5015,"&lt;="&amp;EOMONTH(DATE(Dashboard!$C$4,9,1),0))+SUMIFS(Transaksi!$F$16:$F$5015,Transaksi!$G$16:$G$5015,"Pengeluaran",Transaksi!$H$16:$H$5015,"Pengeluaran Jasa",Transaksi!$I$16:$I$5015,$B21,Transaksi!$B$16:$B$5015,"&gt;="&amp;DATE(Dashboard!$C$4,9,1),Transaksi!$B$16:$B$5015,"&lt;="&amp;EOMONTH(DATE(Dashboard!$C$4,9,1),0)))</f>
        <v/>
      </c>
      <c r="M21" s="106">
        <f>IF(OR($B21="",DATE(Dashboard!$C$4,10,1)&gt;TODAY()),"",SUMIFS(Transaksi!$F$16:$F$5015,Transaksi!$G$16:$G$5015,"Pengeluaran",Transaksi!$H$16:$H$5015,"Pengeluaran Gaji",Transaksi!$I$16:$I$5015,$B21,Transaksi!$B$16:$B$5015,"&gt;="&amp;DATE(Dashboard!$C$4,10,1),Transaksi!$B$16:$B$5015,"&lt;="&amp;EOMONTH(DATE(Dashboard!$C$4,10,1),0))+SUMIFS(Transaksi!$F$16:$F$5015,Transaksi!$G$16:$G$5015,"Pengeluaran",Transaksi!$H$16:$H$5015,"Pengeluaran Jasa",Transaksi!$I$16:$I$5015,$B21,Transaksi!$B$16:$B$5015,"&gt;="&amp;DATE(Dashboard!$C$4,10,1),Transaksi!$B$16:$B$5015,"&lt;="&amp;EOMONTH(DATE(Dashboard!$C$4,10,1),0)))</f>
        <v/>
      </c>
      <c r="N21" s="106">
        <f>IF(OR($B21="",DATE(Dashboard!$C$4,11,1)&gt;TODAY()),"",SUMIFS(Transaksi!$F$16:$F$5015,Transaksi!$G$16:$G$5015,"Pengeluaran",Transaksi!$H$16:$H$5015,"Pengeluaran Gaji",Transaksi!$I$16:$I$5015,$B21,Transaksi!$B$16:$B$5015,"&gt;="&amp;DATE(Dashboard!$C$4,11,1),Transaksi!$B$16:$B$5015,"&lt;="&amp;EOMONTH(DATE(Dashboard!$C$4,11,1),0))+SUMIFS(Transaksi!$F$16:$F$5015,Transaksi!$G$16:$G$5015,"Pengeluaran",Transaksi!$H$16:$H$5015,"Pengeluaran Jasa",Transaksi!$I$16:$I$5015,$B21,Transaksi!$B$16:$B$5015,"&gt;="&amp;DATE(Dashboard!$C$4,11,1),Transaksi!$B$16:$B$5015,"&lt;="&amp;EOMONTH(DATE(Dashboard!$C$4,11,1),0)))</f>
        <v/>
      </c>
      <c r="O21" s="106">
        <f>IF(OR($B21="",DATE(Dashboard!$C$4,12,1)&gt;TODAY()),"",SUMIFS(Transaksi!$F$16:$F$5015,Transaksi!$G$16:$G$5015,"Pengeluaran",Transaksi!$H$16:$H$5015,"Pengeluaran Gaji",Transaksi!$I$16:$I$5015,$B21,Transaksi!$B$16:$B$5015,"&gt;="&amp;DATE(Dashboard!$C$4,12,1),Transaksi!$B$16:$B$5015,"&lt;="&amp;EOMONTH(DATE(Dashboard!$C$4,12,1),0))+SUMIFS(Transaksi!$F$16:$F$5015,Transaksi!$G$16:$G$5015,"Pengeluaran",Transaksi!$H$16:$H$5015,"Pengeluaran Jasa",Transaksi!$I$16:$I$5015,$B21,Transaksi!$B$16:$B$5015,"&gt;="&amp;DATE(Dashboard!$C$4,12,1),Transaksi!$B$16:$B$5015,"&lt;="&amp;EOMONTH(DATE(Dashboard!$C$4,12,1),0)))</f>
        <v/>
      </c>
      <c r="P21" s="113">
        <f>IF($B21="","",SUM(D21:O21))</f>
        <v/>
      </c>
      <c r="Q21" s="106">
        <f>IF($B21="","",P21/MAX(1,COUNT(D21:O21)))</f>
        <v/>
      </c>
    </row>
    <row r="22" ht="15" customHeight="1" s="94">
      <c r="B22" s="127" t="inlineStr">
        <is>
          <t>Rokok</t>
        </is>
      </c>
      <c r="C22" s="163" t="n"/>
      <c r="D22" s="106">
        <f>IF(OR($B22="",DATE(Dashboard!$C$4,1,1)&gt;TODAY()),"",SUMIFS(Transaksi!$F$16:$F$5015,Transaksi!$G$16:$G$5015,"Pengeluaran",Transaksi!$H$16:$H$5015,"Pengeluaran Gaji",Transaksi!$I$16:$I$5015,$B22,Transaksi!$B$16:$B$5015,"&gt;="&amp;DATE(Dashboard!$C$4,1,1),Transaksi!$B$16:$B$5015,"&lt;="&amp;EOMONTH(DATE(Dashboard!$C$4,1,1),0))+SUMIFS(Transaksi!$F$16:$F$5015,Transaksi!$G$16:$G$5015,"Pengeluaran",Transaksi!$H$16:$H$5015,"Pengeluaran Jasa",Transaksi!$I$16:$I$5015,$B22,Transaksi!$B$16:$B$5015,"&gt;="&amp;DATE(Dashboard!$C$4,1,1),Transaksi!$B$16:$B$5015,"&lt;="&amp;EOMONTH(DATE(Dashboard!$C$4,1,1),0)))</f>
        <v/>
      </c>
      <c r="E22" s="106">
        <f>IF(OR($B22="",DATE(Dashboard!$C$4,2,1)&gt;TODAY()),"",SUMIFS(Transaksi!$F$16:$F$5015,Transaksi!$G$16:$G$5015,"Pengeluaran",Transaksi!$H$16:$H$5015,"Pengeluaran Gaji",Transaksi!$I$16:$I$5015,$B22,Transaksi!$B$16:$B$5015,"&gt;="&amp;DATE(Dashboard!$C$4,2,1),Transaksi!$B$16:$B$5015,"&lt;="&amp;EOMONTH(DATE(Dashboard!$C$4,2,1),0))+SUMIFS(Transaksi!$F$16:$F$5015,Transaksi!$G$16:$G$5015,"Pengeluaran",Transaksi!$H$16:$H$5015,"Pengeluaran Jasa",Transaksi!$I$16:$I$5015,$B22,Transaksi!$B$16:$B$5015,"&gt;="&amp;DATE(Dashboard!$C$4,2,1),Transaksi!$B$16:$B$5015,"&lt;="&amp;EOMONTH(DATE(Dashboard!$C$4,2,1),0)))</f>
        <v/>
      </c>
      <c r="F22" s="106">
        <f>IF(OR($B22="",DATE(Dashboard!$C$4,3,1)&gt;TODAY()),"",SUMIFS(Transaksi!$F$16:$F$5015,Transaksi!$G$16:$G$5015,"Pengeluaran",Transaksi!$H$16:$H$5015,"Pengeluaran Gaji",Transaksi!$I$16:$I$5015,$B22,Transaksi!$B$16:$B$5015,"&gt;="&amp;DATE(Dashboard!$C$4,3,1),Transaksi!$B$16:$B$5015,"&lt;="&amp;EOMONTH(DATE(Dashboard!$C$4,3,1),0))+SUMIFS(Transaksi!$F$16:$F$5015,Transaksi!$G$16:$G$5015,"Pengeluaran",Transaksi!$H$16:$H$5015,"Pengeluaran Jasa",Transaksi!$I$16:$I$5015,$B22,Transaksi!$B$16:$B$5015,"&gt;="&amp;DATE(Dashboard!$C$4,3,1),Transaksi!$B$16:$B$5015,"&lt;="&amp;EOMONTH(DATE(Dashboard!$C$4,3,1),0)))</f>
        <v/>
      </c>
      <c r="G22" s="106">
        <f>IF(OR($B22="",DATE(Dashboard!$C$4,4,1)&gt;TODAY()),"",SUMIFS(Transaksi!$F$16:$F$5015,Transaksi!$G$16:$G$5015,"Pengeluaran",Transaksi!$H$16:$H$5015,"Pengeluaran Gaji",Transaksi!$I$16:$I$5015,$B22,Transaksi!$B$16:$B$5015,"&gt;="&amp;DATE(Dashboard!$C$4,4,1),Transaksi!$B$16:$B$5015,"&lt;="&amp;EOMONTH(DATE(Dashboard!$C$4,4,1),0))+SUMIFS(Transaksi!$F$16:$F$5015,Transaksi!$G$16:$G$5015,"Pengeluaran",Transaksi!$H$16:$H$5015,"Pengeluaran Jasa",Transaksi!$I$16:$I$5015,$B22,Transaksi!$B$16:$B$5015,"&gt;="&amp;DATE(Dashboard!$C$4,4,1),Transaksi!$B$16:$B$5015,"&lt;="&amp;EOMONTH(DATE(Dashboard!$C$4,4,1),0)))</f>
        <v/>
      </c>
      <c r="H22" s="106">
        <f>IF(OR($B22="",DATE(Dashboard!$C$4,5,1)&gt;TODAY()),"",SUMIFS(Transaksi!$F$16:$F$5015,Transaksi!$G$16:$G$5015,"Pengeluaran",Transaksi!$H$16:$H$5015,"Pengeluaran Gaji",Transaksi!$I$16:$I$5015,$B22,Transaksi!$B$16:$B$5015,"&gt;="&amp;DATE(Dashboard!$C$4,5,1),Transaksi!$B$16:$B$5015,"&lt;="&amp;EOMONTH(DATE(Dashboard!$C$4,5,1),0))+SUMIFS(Transaksi!$F$16:$F$5015,Transaksi!$G$16:$G$5015,"Pengeluaran",Transaksi!$H$16:$H$5015,"Pengeluaran Jasa",Transaksi!$I$16:$I$5015,$B22,Transaksi!$B$16:$B$5015,"&gt;="&amp;DATE(Dashboard!$C$4,5,1),Transaksi!$B$16:$B$5015,"&lt;="&amp;EOMONTH(DATE(Dashboard!$C$4,5,1),0)))</f>
        <v/>
      </c>
      <c r="I22" s="106">
        <f>IF(OR($B22="",DATE(Dashboard!$C$4,6,1)&gt;TODAY()),"",SUMIFS(Transaksi!$F$16:$F$5015,Transaksi!$G$16:$G$5015,"Pengeluaran",Transaksi!$H$16:$H$5015,"Pengeluaran Gaji",Transaksi!$I$16:$I$5015,$B22,Transaksi!$B$16:$B$5015,"&gt;="&amp;DATE(Dashboard!$C$4,6,1),Transaksi!$B$16:$B$5015,"&lt;="&amp;EOMONTH(DATE(Dashboard!$C$4,6,1),0))+SUMIFS(Transaksi!$F$16:$F$5015,Transaksi!$G$16:$G$5015,"Pengeluaran",Transaksi!$H$16:$H$5015,"Pengeluaran Jasa",Transaksi!$I$16:$I$5015,$B22,Transaksi!$B$16:$B$5015,"&gt;="&amp;DATE(Dashboard!$C$4,6,1),Transaksi!$B$16:$B$5015,"&lt;="&amp;EOMONTH(DATE(Dashboard!$C$4,6,1),0)))</f>
        <v/>
      </c>
      <c r="J22" s="106">
        <f>IF(OR($B22="",DATE(Dashboard!$C$4,7,1)&gt;TODAY()),"",SUMIFS(Transaksi!$F$16:$F$5015,Transaksi!$G$16:$G$5015,"Pengeluaran",Transaksi!$H$16:$H$5015,"Pengeluaran Gaji",Transaksi!$I$16:$I$5015,$B22,Transaksi!$B$16:$B$5015,"&gt;="&amp;DATE(Dashboard!$C$4,7,1),Transaksi!$B$16:$B$5015,"&lt;="&amp;EOMONTH(DATE(Dashboard!$C$4,7,1),0))+SUMIFS(Transaksi!$F$16:$F$5015,Transaksi!$G$16:$G$5015,"Pengeluaran",Transaksi!$H$16:$H$5015,"Pengeluaran Jasa",Transaksi!$I$16:$I$5015,$B22,Transaksi!$B$16:$B$5015,"&gt;="&amp;DATE(Dashboard!$C$4,7,1),Transaksi!$B$16:$B$5015,"&lt;="&amp;EOMONTH(DATE(Dashboard!$C$4,7,1),0)))</f>
        <v/>
      </c>
      <c r="K22" s="106">
        <f>IF(OR($B22="",DATE(Dashboard!$C$4,8,1)&gt;TODAY()),"",SUMIFS(Transaksi!$F$16:$F$5015,Transaksi!$G$16:$G$5015,"Pengeluaran",Transaksi!$H$16:$H$5015,"Pengeluaran Gaji",Transaksi!$I$16:$I$5015,$B22,Transaksi!$B$16:$B$5015,"&gt;="&amp;DATE(Dashboard!$C$4,8,1),Transaksi!$B$16:$B$5015,"&lt;="&amp;EOMONTH(DATE(Dashboard!$C$4,8,1),0))+SUMIFS(Transaksi!$F$16:$F$5015,Transaksi!$G$16:$G$5015,"Pengeluaran",Transaksi!$H$16:$H$5015,"Pengeluaran Jasa",Transaksi!$I$16:$I$5015,$B22,Transaksi!$B$16:$B$5015,"&gt;="&amp;DATE(Dashboard!$C$4,8,1),Transaksi!$B$16:$B$5015,"&lt;="&amp;EOMONTH(DATE(Dashboard!$C$4,8,1),0)))</f>
        <v/>
      </c>
      <c r="L22" s="106">
        <f>IF(OR($B22="",DATE(Dashboard!$C$4,9,1)&gt;TODAY()),"",SUMIFS(Transaksi!$F$16:$F$5015,Transaksi!$G$16:$G$5015,"Pengeluaran",Transaksi!$H$16:$H$5015,"Pengeluaran Gaji",Transaksi!$I$16:$I$5015,$B22,Transaksi!$B$16:$B$5015,"&gt;="&amp;DATE(Dashboard!$C$4,9,1),Transaksi!$B$16:$B$5015,"&lt;="&amp;EOMONTH(DATE(Dashboard!$C$4,9,1),0))+SUMIFS(Transaksi!$F$16:$F$5015,Transaksi!$G$16:$G$5015,"Pengeluaran",Transaksi!$H$16:$H$5015,"Pengeluaran Jasa",Transaksi!$I$16:$I$5015,$B22,Transaksi!$B$16:$B$5015,"&gt;="&amp;DATE(Dashboard!$C$4,9,1),Transaksi!$B$16:$B$5015,"&lt;="&amp;EOMONTH(DATE(Dashboard!$C$4,9,1),0)))</f>
        <v/>
      </c>
      <c r="M22" s="106">
        <f>IF(OR($B22="",DATE(Dashboard!$C$4,10,1)&gt;TODAY()),"",SUMIFS(Transaksi!$F$16:$F$5015,Transaksi!$G$16:$G$5015,"Pengeluaran",Transaksi!$H$16:$H$5015,"Pengeluaran Gaji",Transaksi!$I$16:$I$5015,$B22,Transaksi!$B$16:$B$5015,"&gt;="&amp;DATE(Dashboard!$C$4,10,1),Transaksi!$B$16:$B$5015,"&lt;="&amp;EOMONTH(DATE(Dashboard!$C$4,10,1),0))+SUMIFS(Transaksi!$F$16:$F$5015,Transaksi!$G$16:$G$5015,"Pengeluaran",Transaksi!$H$16:$H$5015,"Pengeluaran Jasa",Transaksi!$I$16:$I$5015,$B22,Transaksi!$B$16:$B$5015,"&gt;="&amp;DATE(Dashboard!$C$4,10,1),Transaksi!$B$16:$B$5015,"&lt;="&amp;EOMONTH(DATE(Dashboard!$C$4,10,1),0)))</f>
        <v/>
      </c>
      <c r="N22" s="106">
        <f>IF(OR($B22="",DATE(Dashboard!$C$4,11,1)&gt;TODAY()),"",SUMIFS(Transaksi!$F$16:$F$5015,Transaksi!$G$16:$G$5015,"Pengeluaran",Transaksi!$H$16:$H$5015,"Pengeluaran Gaji",Transaksi!$I$16:$I$5015,$B22,Transaksi!$B$16:$B$5015,"&gt;="&amp;DATE(Dashboard!$C$4,11,1),Transaksi!$B$16:$B$5015,"&lt;="&amp;EOMONTH(DATE(Dashboard!$C$4,11,1),0))+SUMIFS(Transaksi!$F$16:$F$5015,Transaksi!$G$16:$G$5015,"Pengeluaran",Transaksi!$H$16:$H$5015,"Pengeluaran Jasa",Transaksi!$I$16:$I$5015,$B22,Transaksi!$B$16:$B$5015,"&gt;="&amp;DATE(Dashboard!$C$4,11,1),Transaksi!$B$16:$B$5015,"&lt;="&amp;EOMONTH(DATE(Dashboard!$C$4,11,1),0)))</f>
        <v/>
      </c>
      <c r="O22" s="106">
        <f>IF(OR($B22="",DATE(Dashboard!$C$4,12,1)&gt;TODAY()),"",SUMIFS(Transaksi!$F$16:$F$5015,Transaksi!$G$16:$G$5015,"Pengeluaran",Transaksi!$H$16:$H$5015,"Pengeluaran Gaji",Transaksi!$I$16:$I$5015,$B22,Transaksi!$B$16:$B$5015,"&gt;="&amp;DATE(Dashboard!$C$4,12,1),Transaksi!$B$16:$B$5015,"&lt;="&amp;EOMONTH(DATE(Dashboard!$C$4,12,1),0))+SUMIFS(Transaksi!$F$16:$F$5015,Transaksi!$G$16:$G$5015,"Pengeluaran",Transaksi!$H$16:$H$5015,"Pengeluaran Jasa",Transaksi!$I$16:$I$5015,$B22,Transaksi!$B$16:$B$5015,"&gt;="&amp;DATE(Dashboard!$C$4,12,1),Transaksi!$B$16:$B$5015,"&lt;="&amp;EOMONTH(DATE(Dashboard!$C$4,12,1),0)))</f>
        <v/>
      </c>
      <c r="P22" s="113">
        <f>IF($B22="","",SUM(D22:O22))</f>
        <v/>
      </c>
      <c r="Q22" s="106">
        <f>IF($B22="","",P22/MAX(1,COUNT(D22:O22)))</f>
        <v/>
      </c>
    </row>
    <row r="23" ht="15" customHeight="1" s="94">
      <c r="B23" s="127" t="inlineStr">
        <is>
          <t>Sedekah &amp; Sumbangan</t>
        </is>
      </c>
      <c r="C23" s="163" t="n"/>
      <c r="D23" s="106">
        <f>IF(OR($B23="",DATE(Dashboard!$C$4,1,1)&gt;TODAY()),"",SUMIFS(Transaksi!$F$16:$F$5015,Transaksi!$G$16:$G$5015,"Pengeluaran",Transaksi!$H$16:$H$5015,"Pengeluaran Gaji",Transaksi!$I$16:$I$5015,$B23,Transaksi!$B$16:$B$5015,"&gt;="&amp;DATE(Dashboard!$C$4,1,1),Transaksi!$B$16:$B$5015,"&lt;="&amp;EOMONTH(DATE(Dashboard!$C$4,1,1),0))+SUMIFS(Transaksi!$F$16:$F$5015,Transaksi!$G$16:$G$5015,"Pengeluaran",Transaksi!$H$16:$H$5015,"Pengeluaran Jasa",Transaksi!$I$16:$I$5015,$B23,Transaksi!$B$16:$B$5015,"&gt;="&amp;DATE(Dashboard!$C$4,1,1),Transaksi!$B$16:$B$5015,"&lt;="&amp;EOMONTH(DATE(Dashboard!$C$4,1,1),0)))</f>
        <v/>
      </c>
      <c r="E23" s="106">
        <f>IF(OR($B23="",DATE(Dashboard!$C$4,2,1)&gt;TODAY()),"",SUMIFS(Transaksi!$F$16:$F$5015,Transaksi!$G$16:$G$5015,"Pengeluaran",Transaksi!$H$16:$H$5015,"Pengeluaran Gaji",Transaksi!$I$16:$I$5015,$B23,Transaksi!$B$16:$B$5015,"&gt;="&amp;DATE(Dashboard!$C$4,2,1),Transaksi!$B$16:$B$5015,"&lt;="&amp;EOMONTH(DATE(Dashboard!$C$4,2,1),0))+SUMIFS(Transaksi!$F$16:$F$5015,Transaksi!$G$16:$G$5015,"Pengeluaran",Transaksi!$H$16:$H$5015,"Pengeluaran Jasa",Transaksi!$I$16:$I$5015,$B23,Transaksi!$B$16:$B$5015,"&gt;="&amp;DATE(Dashboard!$C$4,2,1),Transaksi!$B$16:$B$5015,"&lt;="&amp;EOMONTH(DATE(Dashboard!$C$4,2,1),0)))</f>
        <v/>
      </c>
      <c r="F23" s="106">
        <f>IF(OR($B23="",DATE(Dashboard!$C$4,3,1)&gt;TODAY()),"",SUMIFS(Transaksi!$F$16:$F$5015,Transaksi!$G$16:$G$5015,"Pengeluaran",Transaksi!$H$16:$H$5015,"Pengeluaran Gaji",Transaksi!$I$16:$I$5015,$B23,Transaksi!$B$16:$B$5015,"&gt;="&amp;DATE(Dashboard!$C$4,3,1),Transaksi!$B$16:$B$5015,"&lt;="&amp;EOMONTH(DATE(Dashboard!$C$4,3,1),0))+SUMIFS(Transaksi!$F$16:$F$5015,Transaksi!$G$16:$G$5015,"Pengeluaran",Transaksi!$H$16:$H$5015,"Pengeluaran Jasa",Transaksi!$I$16:$I$5015,$B23,Transaksi!$B$16:$B$5015,"&gt;="&amp;DATE(Dashboard!$C$4,3,1),Transaksi!$B$16:$B$5015,"&lt;="&amp;EOMONTH(DATE(Dashboard!$C$4,3,1),0)))</f>
        <v/>
      </c>
      <c r="G23" s="106">
        <f>IF(OR($B23="",DATE(Dashboard!$C$4,4,1)&gt;TODAY()),"",SUMIFS(Transaksi!$F$16:$F$5015,Transaksi!$G$16:$G$5015,"Pengeluaran",Transaksi!$H$16:$H$5015,"Pengeluaran Gaji",Transaksi!$I$16:$I$5015,$B23,Transaksi!$B$16:$B$5015,"&gt;="&amp;DATE(Dashboard!$C$4,4,1),Transaksi!$B$16:$B$5015,"&lt;="&amp;EOMONTH(DATE(Dashboard!$C$4,4,1),0))+SUMIFS(Transaksi!$F$16:$F$5015,Transaksi!$G$16:$G$5015,"Pengeluaran",Transaksi!$H$16:$H$5015,"Pengeluaran Jasa",Transaksi!$I$16:$I$5015,$B23,Transaksi!$B$16:$B$5015,"&gt;="&amp;DATE(Dashboard!$C$4,4,1),Transaksi!$B$16:$B$5015,"&lt;="&amp;EOMONTH(DATE(Dashboard!$C$4,4,1),0)))</f>
        <v/>
      </c>
      <c r="H23" s="106">
        <f>IF(OR($B23="",DATE(Dashboard!$C$4,5,1)&gt;TODAY()),"",SUMIFS(Transaksi!$F$16:$F$5015,Transaksi!$G$16:$G$5015,"Pengeluaran",Transaksi!$H$16:$H$5015,"Pengeluaran Gaji",Transaksi!$I$16:$I$5015,$B23,Transaksi!$B$16:$B$5015,"&gt;="&amp;DATE(Dashboard!$C$4,5,1),Transaksi!$B$16:$B$5015,"&lt;="&amp;EOMONTH(DATE(Dashboard!$C$4,5,1),0))+SUMIFS(Transaksi!$F$16:$F$5015,Transaksi!$G$16:$G$5015,"Pengeluaran",Transaksi!$H$16:$H$5015,"Pengeluaran Jasa",Transaksi!$I$16:$I$5015,$B23,Transaksi!$B$16:$B$5015,"&gt;="&amp;DATE(Dashboard!$C$4,5,1),Transaksi!$B$16:$B$5015,"&lt;="&amp;EOMONTH(DATE(Dashboard!$C$4,5,1),0)))</f>
        <v/>
      </c>
      <c r="I23" s="106">
        <f>IF(OR($B23="",DATE(Dashboard!$C$4,6,1)&gt;TODAY()),"",SUMIFS(Transaksi!$F$16:$F$5015,Transaksi!$G$16:$G$5015,"Pengeluaran",Transaksi!$H$16:$H$5015,"Pengeluaran Gaji",Transaksi!$I$16:$I$5015,$B23,Transaksi!$B$16:$B$5015,"&gt;="&amp;DATE(Dashboard!$C$4,6,1),Transaksi!$B$16:$B$5015,"&lt;="&amp;EOMONTH(DATE(Dashboard!$C$4,6,1),0))+SUMIFS(Transaksi!$F$16:$F$5015,Transaksi!$G$16:$G$5015,"Pengeluaran",Transaksi!$H$16:$H$5015,"Pengeluaran Jasa",Transaksi!$I$16:$I$5015,$B23,Transaksi!$B$16:$B$5015,"&gt;="&amp;DATE(Dashboard!$C$4,6,1),Transaksi!$B$16:$B$5015,"&lt;="&amp;EOMONTH(DATE(Dashboard!$C$4,6,1),0)))</f>
        <v/>
      </c>
      <c r="J23" s="106">
        <f>IF(OR($B23="",DATE(Dashboard!$C$4,7,1)&gt;TODAY()),"",SUMIFS(Transaksi!$F$16:$F$5015,Transaksi!$G$16:$G$5015,"Pengeluaran",Transaksi!$H$16:$H$5015,"Pengeluaran Gaji",Transaksi!$I$16:$I$5015,$B23,Transaksi!$B$16:$B$5015,"&gt;="&amp;DATE(Dashboard!$C$4,7,1),Transaksi!$B$16:$B$5015,"&lt;="&amp;EOMONTH(DATE(Dashboard!$C$4,7,1),0))+SUMIFS(Transaksi!$F$16:$F$5015,Transaksi!$G$16:$G$5015,"Pengeluaran",Transaksi!$H$16:$H$5015,"Pengeluaran Jasa",Transaksi!$I$16:$I$5015,$B23,Transaksi!$B$16:$B$5015,"&gt;="&amp;DATE(Dashboard!$C$4,7,1),Transaksi!$B$16:$B$5015,"&lt;="&amp;EOMONTH(DATE(Dashboard!$C$4,7,1),0)))</f>
        <v/>
      </c>
      <c r="K23" s="106">
        <f>IF(OR($B23="",DATE(Dashboard!$C$4,8,1)&gt;TODAY()),"",SUMIFS(Transaksi!$F$16:$F$5015,Transaksi!$G$16:$G$5015,"Pengeluaran",Transaksi!$H$16:$H$5015,"Pengeluaran Gaji",Transaksi!$I$16:$I$5015,$B23,Transaksi!$B$16:$B$5015,"&gt;="&amp;DATE(Dashboard!$C$4,8,1),Transaksi!$B$16:$B$5015,"&lt;="&amp;EOMONTH(DATE(Dashboard!$C$4,8,1),0))+SUMIFS(Transaksi!$F$16:$F$5015,Transaksi!$G$16:$G$5015,"Pengeluaran",Transaksi!$H$16:$H$5015,"Pengeluaran Jasa",Transaksi!$I$16:$I$5015,$B23,Transaksi!$B$16:$B$5015,"&gt;="&amp;DATE(Dashboard!$C$4,8,1),Transaksi!$B$16:$B$5015,"&lt;="&amp;EOMONTH(DATE(Dashboard!$C$4,8,1),0)))</f>
        <v/>
      </c>
      <c r="L23" s="106">
        <f>IF(OR($B23="",DATE(Dashboard!$C$4,9,1)&gt;TODAY()),"",SUMIFS(Transaksi!$F$16:$F$5015,Transaksi!$G$16:$G$5015,"Pengeluaran",Transaksi!$H$16:$H$5015,"Pengeluaran Gaji",Transaksi!$I$16:$I$5015,$B23,Transaksi!$B$16:$B$5015,"&gt;="&amp;DATE(Dashboard!$C$4,9,1),Transaksi!$B$16:$B$5015,"&lt;="&amp;EOMONTH(DATE(Dashboard!$C$4,9,1),0))+SUMIFS(Transaksi!$F$16:$F$5015,Transaksi!$G$16:$G$5015,"Pengeluaran",Transaksi!$H$16:$H$5015,"Pengeluaran Jasa",Transaksi!$I$16:$I$5015,$B23,Transaksi!$B$16:$B$5015,"&gt;="&amp;DATE(Dashboard!$C$4,9,1),Transaksi!$B$16:$B$5015,"&lt;="&amp;EOMONTH(DATE(Dashboard!$C$4,9,1),0)))</f>
        <v/>
      </c>
      <c r="M23" s="106">
        <f>IF(OR($B23="",DATE(Dashboard!$C$4,10,1)&gt;TODAY()),"",SUMIFS(Transaksi!$F$16:$F$5015,Transaksi!$G$16:$G$5015,"Pengeluaran",Transaksi!$H$16:$H$5015,"Pengeluaran Gaji",Transaksi!$I$16:$I$5015,$B23,Transaksi!$B$16:$B$5015,"&gt;="&amp;DATE(Dashboard!$C$4,10,1),Transaksi!$B$16:$B$5015,"&lt;="&amp;EOMONTH(DATE(Dashboard!$C$4,10,1),0))+SUMIFS(Transaksi!$F$16:$F$5015,Transaksi!$G$16:$G$5015,"Pengeluaran",Transaksi!$H$16:$H$5015,"Pengeluaran Jasa",Transaksi!$I$16:$I$5015,$B23,Transaksi!$B$16:$B$5015,"&gt;="&amp;DATE(Dashboard!$C$4,10,1),Transaksi!$B$16:$B$5015,"&lt;="&amp;EOMONTH(DATE(Dashboard!$C$4,10,1),0)))</f>
        <v/>
      </c>
      <c r="N23" s="106">
        <f>IF(OR($B23="",DATE(Dashboard!$C$4,11,1)&gt;TODAY()),"",SUMIFS(Transaksi!$F$16:$F$5015,Transaksi!$G$16:$G$5015,"Pengeluaran",Transaksi!$H$16:$H$5015,"Pengeluaran Gaji",Transaksi!$I$16:$I$5015,$B23,Transaksi!$B$16:$B$5015,"&gt;="&amp;DATE(Dashboard!$C$4,11,1),Transaksi!$B$16:$B$5015,"&lt;="&amp;EOMONTH(DATE(Dashboard!$C$4,11,1),0))+SUMIFS(Transaksi!$F$16:$F$5015,Transaksi!$G$16:$G$5015,"Pengeluaran",Transaksi!$H$16:$H$5015,"Pengeluaran Jasa",Transaksi!$I$16:$I$5015,$B23,Transaksi!$B$16:$B$5015,"&gt;="&amp;DATE(Dashboard!$C$4,11,1),Transaksi!$B$16:$B$5015,"&lt;="&amp;EOMONTH(DATE(Dashboard!$C$4,11,1),0)))</f>
        <v/>
      </c>
      <c r="O23" s="106">
        <f>IF(OR($B23="",DATE(Dashboard!$C$4,12,1)&gt;TODAY()),"",SUMIFS(Transaksi!$F$16:$F$5015,Transaksi!$G$16:$G$5015,"Pengeluaran",Transaksi!$H$16:$H$5015,"Pengeluaran Gaji",Transaksi!$I$16:$I$5015,$B23,Transaksi!$B$16:$B$5015,"&gt;="&amp;DATE(Dashboard!$C$4,12,1),Transaksi!$B$16:$B$5015,"&lt;="&amp;EOMONTH(DATE(Dashboard!$C$4,12,1),0))+SUMIFS(Transaksi!$F$16:$F$5015,Transaksi!$G$16:$G$5015,"Pengeluaran",Transaksi!$H$16:$H$5015,"Pengeluaran Jasa",Transaksi!$I$16:$I$5015,$B23,Transaksi!$B$16:$B$5015,"&gt;="&amp;DATE(Dashboard!$C$4,12,1),Transaksi!$B$16:$B$5015,"&lt;="&amp;EOMONTH(DATE(Dashboard!$C$4,12,1),0)))</f>
        <v/>
      </c>
      <c r="P23" s="113">
        <f>IF($B23="","",SUM(D23:O23))</f>
        <v/>
      </c>
      <c r="Q23" s="106">
        <f>IF($B23="","",P23/MAX(1,COUNT(D23:O23)))</f>
        <v/>
      </c>
    </row>
    <row r="24" ht="15" customHeight="1" s="94">
      <c r="B24" s="127" t="inlineStr">
        <is>
          <t>Sertifikat &amp; Lisensi Profesi</t>
        </is>
      </c>
      <c r="C24" s="163" t="n"/>
      <c r="D24" s="106">
        <f>IF(OR($B24="",DATE(Dashboard!$C$4,1,1)&gt;TODAY()),"",SUMIFS(Transaksi!$F$16:$F$5015,Transaksi!$G$16:$G$5015,"Pengeluaran",Transaksi!$H$16:$H$5015,"Pengeluaran Gaji",Transaksi!$I$16:$I$5015,$B24,Transaksi!$B$16:$B$5015,"&gt;="&amp;DATE(Dashboard!$C$4,1,1),Transaksi!$B$16:$B$5015,"&lt;="&amp;EOMONTH(DATE(Dashboard!$C$4,1,1),0))+SUMIFS(Transaksi!$F$16:$F$5015,Transaksi!$G$16:$G$5015,"Pengeluaran",Transaksi!$H$16:$H$5015,"Pengeluaran Jasa",Transaksi!$I$16:$I$5015,$B24,Transaksi!$B$16:$B$5015,"&gt;="&amp;DATE(Dashboard!$C$4,1,1),Transaksi!$B$16:$B$5015,"&lt;="&amp;EOMONTH(DATE(Dashboard!$C$4,1,1),0)))</f>
        <v/>
      </c>
      <c r="E24" s="106">
        <f>IF(OR($B24="",DATE(Dashboard!$C$4,2,1)&gt;TODAY()),"",SUMIFS(Transaksi!$F$16:$F$5015,Transaksi!$G$16:$G$5015,"Pengeluaran",Transaksi!$H$16:$H$5015,"Pengeluaran Gaji",Transaksi!$I$16:$I$5015,$B24,Transaksi!$B$16:$B$5015,"&gt;="&amp;DATE(Dashboard!$C$4,2,1),Transaksi!$B$16:$B$5015,"&lt;="&amp;EOMONTH(DATE(Dashboard!$C$4,2,1),0))+SUMIFS(Transaksi!$F$16:$F$5015,Transaksi!$G$16:$G$5015,"Pengeluaran",Transaksi!$H$16:$H$5015,"Pengeluaran Jasa",Transaksi!$I$16:$I$5015,$B24,Transaksi!$B$16:$B$5015,"&gt;="&amp;DATE(Dashboard!$C$4,2,1),Transaksi!$B$16:$B$5015,"&lt;="&amp;EOMONTH(DATE(Dashboard!$C$4,2,1),0)))</f>
        <v/>
      </c>
      <c r="F24" s="106">
        <f>IF(OR($B24="",DATE(Dashboard!$C$4,3,1)&gt;TODAY()),"",SUMIFS(Transaksi!$F$16:$F$5015,Transaksi!$G$16:$G$5015,"Pengeluaran",Transaksi!$H$16:$H$5015,"Pengeluaran Gaji",Transaksi!$I$16:$I$5015,$B24,Transaksi!$B$16:$B$5015,"&gt;="&amp;DATE(Dashboard!$C$4,3,1),Transaksi!$B$16:$B$5015,"&lt;="&amp;EOMONTH(DATE(Dashboard!$C$4,3,1),0))+SUMIFS(Transaksi!$F$16:$F$5015,Transaksi!$G$16:$G$5015,"Pengeluaran",Transaksi!$H$16:$H$5015,"Pengeluaran Jasa",Transaksi!$I$16:$I$5015,$B24,Transaksi!$B$16:$B$5015,"&gt;="&amp;DATE(Dashboard!$C$4,3,1),Transaksi!$B$16:$B$5015,"&lt;="&amp;EOMONTH(DATE(Dashboard!$C$4,3,1),0)))</f>
        <v/>
      </c>
      <c r="G24" s="106">
        <f>IF(OR($B24="",DATE(Dashboard!$C$4,4,1)&gt;TODAY()),"",SUMIFS(Transaksi!$F$16:$F$5015,Transaksi!$G$16:$G$5015,"Pengeluaran",Transaksi!$H$16:$H$5015,"Pengeluaran Gaji",Transaksi!$I$16:$I$5015,$B24,Transaksi!$B$16:$B$5015,"&gt;="&amp;DATE(Dashboard!$C$4,4,1),Transaksi!$B$16:$B$5015,"&lt;="&amp;EOMONTH(DATE(Dashboard!$C$4,4,1),0))+SUMIFS(Transaksi!$F$16:$F$5015,Transaksi!$G$16:$G$5015,"Pengeluaran",Transaksi!$H$16:$H$5015,"Pengeluaran Jasa",Transaksi!$I$16:$I$5015,$B24,Transaksi!$B$16:$B$5015,"&gt;="&amp;DATE(Dashboard!$C$4,4,1),Transaksi!$B$16:$B$5015,"&lt;="&amp;EOMONTH(DATE(Dashboard!$C$4,4,1),0)))</f>
        <v/>
      </c>
      <c r="H24" s="106">
        <f>IF(OR($B24="",DATE(Dashboard!$C$4,5,1)&gt;TODAY()),"",SUMIFS(Transaksi!$F$16:$F$5015,Transaksi!$G$16:$G$5015,"Pengeluaran",Transaksi!$H$16:$H$5015,"Pengeluaran Gaji",Transaksi!$I$16:$I$5015,$B24,Transaksi!$B$16:$B$5015,"&gt;="&amp;DATE(Dashboard!$C$4,5,1),Transaksi!$B$16:$B$5015,"&lt;="&amp;EOMONTH(DATE(Dashboard!$C$4,5,1),0))+SUMIFS(Transaksi!$F$16:$F$5015,Transaksi!$G$16:$G$5015,"Pengeluaran",Transaksi!$H$16:$H$5015,"Pengeluaran Jasa",Transaksi!$I$16:$I$5015,$B24,Transaksi!$B$16:$B$5015,"&gt;="&amp;DATE(Dashboard!$C$4,5,1),Transaksi!$B$16:$B$5015,"&lt;="&amp;EOMONTH(DATE(Dashboard!$C$4,5,1),0)))</f>
        <v/>
      </c>
      <c r="I24" s="106">
        <f>IF(OR($B24="",DATE(Dashboard!$C$4,6,1)&gt;TODAY()),"",SUMIFS(Transaksi!$F$16:$F$5015,Transaksi!$G$16:$G$5015,"Pengeluaran",Transaksi!$H$16:$H$5015,"Pengeluaran Gaji",Transaksi!$I$16:$I$5015,$B24,Transaksi!$B$16:$B$5015,"&gt;="&amp;DATE(Dashboard!$C$4,6,1),Transaksi!$B$16:$B$5015,"&lt;="&amp;EOMONTH(DATE(Dashboard!$C$4,6,1),0))+SUMIFS(Transaksi!$F$16:$F$5015,Transaksi!$G$16:$G$5015,"Pengeluaran",Transaksi!$H$16:$H$5015,"Pengeluaran Jasa",Transaksi!$I$16:$I$5015,$B24,Transaksi!$B$16:$B$5015,"&gt;="&amp;DATE(Dashboard!$C$4,6,1),Transaksi!$B$16:$B$5015,"&lt;="&amp;EOMONTH(DATE(Dashboard!$C$4,6,1),0)))</f>
        <v/>
      </c>
      <c r="J24" s="106">
        <f>IF(OR($B24="",DATE(Dashboard!$C$4,7,1)&gt;TODAY()),"",SUMIFS(Transaksi!$F$16:$F$5015,Transaksi!$G$16:$G$5015,"Pengeluaran",Transaksi!$H$16:$H$5015,"Pengeluaran Gaji",Transaksi!$I$16:$I$5015,$B24,Transaksi!$B$16:$B$5015,"&gt;="&amp;DATE(Dashboard!$C$4,7,1),Transaksi!$B$16:$B$5015,"&lt;="&amp;EOMONTH(DATE(Dashboard!$C$4,7,1),0))+SUMIFS(Transaksi!$F$16:$F$5015,Transaksi!$G$16:$G$5015,"Pengeluaran",Transaksi!$H$16:$H$5015,"Pengeluaran Jasa",Transaksi!$I$16:$I$5015,$B24,Transaksi!$B$16:$B$5015,"&gt;="&amp;DATE(Dashboard!$C$4,7,1),Transaksi!$B$16:$B$5015,"&lt;="&amp;EOMONTH(DATE(Dashboard!$C$4,7,1),0)))</f>
        <v/>
      </c>
      <c r="K24" s="106">
        <f>IF(OR($B24="",DATE(Dashboard!$C$4,8,1)&gt;TODAY()),"",SUMIFS(Transaksi!$F$16:$F$5015,Transaksi!$G$16:$G$5015,"Pengeluaran",Transaksi!$H$16:$H$5015,"Pengeluaran Gaji",Transaksi!$I$16:$I$5015,$B24,Transaksi!$B$16:$B$5015,"&gt;="&amp;DATE(Dashboard!$C$4,8,1),Transaksi!$B$16:$B$5015,"&lt;="&amp;EOMONTH(DATE(Dashboard!$C$4,8,1),0))+SUMIFS(Transaksi!$F$16:$F$5015,Transaksi!$G$16:$G$5015,"Pengeluaran",Transaksi!$H$16:$H$5015,"Pengeluaran Jasa",Transaksi!$I$16:$I$5015,$B24,Transaksi!$B$16:$B$5015,"&gt;="&amp;DATE(Dashboard!$C$4,8,1),Transaksi!$B$16:$B$5015,"&lt;="&amp;EOMONTH(DATE(Dashboard!$C$4,8,1),0)))</f>
        <v/>
      </c>
      <c r="L24" s="106">
        <f>IF(OR($B24="",DATE(Dashboard!$C$4,9,1)&gt;TODAY()),"",SUMIFS(Transaksi!$F$16:$F$5015,Transaksi!$G$16:$G$5015,"Pengeluaran",Transaksi!$H$16:$H$5015,"Pengeluaran Gaji",Transaksi!$I$16:$I$5015,$B24,Transaksi!$B$16:$B$5015,"&gt;="&amp;DATE(Dashboard!$C$4,9,1),Transaksi!$B$16:$B$5015,"&lt;="&amp;EOMONTH(DATE(Dashboard!$C$4,9,1),0))+SUMIFS(Transaksi!$F$16:$F$5015,Transaksi!$G$16:$G$5015,"Pengeluaran",Transaksi!$H$16:$H$5015,"Pengeluaran Jasa",Transaksi!$I$16:$I$5015,$B24,Transaksi!$B$16:$B$5015,"&gt;="&amp;DATE(Dashboard!$C$4,9,1),Transaksi!$B$16:$B$5015,"&lt;="&amp;EOMONTH(DATE(Dashboard!$C$4,9,1),0)))</f>
        <v/>
      </c>
      <c r="M24" s="106">
        <f>IF(OR($B24="",DATE(Dashboard!$C$4,10,1)&gt;TODAY()),"",SUMIFS(Transaksi!$F$16:$F$5015,Transaksi!$G$16:$G$5015,"Pengeluaran",Transaksi!$H$16:$H$5015,"Pengeluaran Gaji",Transaksi!$I$16:$I$5015,$B24,Transaksi!$B$16:$B$5015,"&gt;="&amp;DATE(Dashboard!$C$4,10,1),Transaksi!$B$16:$B$5015,"&lt;="&amp;EOMONTH(DATE(Dashboard!$C$4,10,1),0))+SUMIFS(Transaksi!$F$16:$F$5015,Transaksi!$G$16:$G$5015,"Pengeluaran",Transaksi!$H$16:$H$5015,"Pengeluaran Jasa",Transaksi!$I$16:$I$5015,$B24,Transaksi!$B$16:$B$5015,"&gt;="&amp;DATE(Dashboard!$C$4,10,1),Transaksi!$B$16:$B$5015,"&lt;="&amp;EOMONTH(DATE(Dashboard!$C$4,10,1),0)))</f>
        <v/>
      </c>
      <c r="N24" s="106">
        <f>IF(OR($B24="",DATE(Dashboard!$C$4,11,1)&gt;TODAY()),"",SUMIFS(Transaksi!$F$16:$F$5015,Transaksi!$G$16:$G$5015,"Pengeluaran",Transaksi!$H$16:$H$5015,"Pengeluaran Gaji",Transaksi!$I$16:$I$5015,$B24,Transaksi!$B$16:$B$5015,"&gt;="&amp;DATE(Dashboard!$C$4,11,1),Transaksi!$B$16:$B$5015,"&lt;="&amp;EOMONTH(DATE(Dashboard!$C$4,11,1),0))+SUMIFS(Transaksi!$F$16:$F$5015,Transaksi!$G$16:$G$5015,"Pengeluaran",Transaksi!$H$16:$H$5015,"Pengeluaran Jasa",Transaksi!$I$16:$I$5015,$B24,Transaksi!$B$16:$B$5015,"&gt;="&amp;DATE(Dashboard!$C$4,11,1),Transaksi!$B$16:$B$5015,"&lt;="&amp;EOMONTH(DATE(Dashboard!$C$4,11,1),0)))</f>
        <v/>
      </c>
      <c r="O24" s="106">
        <f>IF(OR($B24="",DATE(Dashboard!$C$4,12,1)&gt;TODAY()),"",SUMIFS(Transaksi!$F$16:$F$5015,Transaksi!$G$16:$G$5015,"Pengeluaran",Transaksi!$H$16:$H$5015,"Pengeluaran Gaji",Transaksi!$I$16:$I$5015,$B24,Transaksi!$B$16:$B$5015,"&gt;="&amp;DATE(Dashboard!$C$4,12,1),Transaksi!$B$16:$B$5015,"&lt;="&amp;EOMONTH(DATE(Dashboard!$C$4,12,1),0))+SUMIFS(Transaksi!$F$16:$F$5015,Transaksi!$G$16:$G$5015,"Pengeluaran",Transaksi!$H$16:$H$5015,"Pengeluaran Jasa",Transaksi!$I$16:$I$5015,$B24,Transaksi!$B$16:$B$5015,"&gt;="&amp;DATE(Dashboard!$C$4,12,1),Transaksi!$B$16:$B$5015,"&lt;="&amp;EOMONTH(DATE(Dashboard!$C$4,12,1),0)))</f>
        <v/>
      </c>
      <c r="P24" s="113">
        <f>IF($B24="","",SUM(D24:O24))</f>
        <v/>
      </c>
      <c r="Q24" s="106">
        <f>IF($B24="","",P24/MAX(1,COUNT(D24:O24)))</f>
        <v/>
      </c>
    </row>
    <row r="25" ht="15" customHeight="1" s="94">
      <c r="B25" s="127" t="inlineStr">
        <is>
          <t>Traktir &amp; Hadiah</t>
        </is>
      </c>
      <c r="C25" s="163" t="n"/>
      <c r="D25" s="106">
        <f>IF(OR($B25="",DATE(Dashboard!$C$4,1,1)&gt;TODAY()),"",SUMIFS(Transaksi!$F$16:$F$5015,Transaksi!$G$16:$G$5015,"Pengeluaran",Transaksi!$H$16:$H$5015,"Pengeluaran Gaji",Transaksi!$I$16:$I$5015,$B25,Transaksi!$B$16:$B$5015,"&gt;="&amp;DATE(Dashboard!$C$4,1,1),Transaksi!$B$16:$B$5015,"&lt;="&amp;EOMONTH(DATE(Dashboard!$C$4,1,1),0))+SUMIFS(Transaksi!$F$16:$F$5015,Transaksi!$G$16:$G$5015,"Pengeluaran",Transaksi!$H$16:$H$5015,"Pengeluaran Jasa",Transaksi!$I$16:$I$5015,$B25,Transaksi!$B$16:$B$5015,"&gt;="&amp;DATE(Dashboard!$C$4,1,1),Transaksi!$B$16:$B$5015,"&lt;="&amp;EOMONTH(DATE(Dashboard!$C$4,1,1),0)))</f>
        <v/>
      </c>
      <c r="E25" s="106">
        <f>IF(OR($B25="",DATE(Dashboard!$C$4,2,1)&gt;TODAY()),"",SUMIFS(Transaksi!$F$16:$F$5015,Transaksi!$G$16:$G$5015,"Pengeluaran",Transaksi!$H$16:$H$5015,"Pengeluaran Gaji",Transaksi!$I$16:$I$5015,$B25,Transaksi!$B$16:$B$5015,"&gt;="&amp;DATE(Dashboard!$C$4,2,1),Transaksi!$B$16:$B$5015,"&lt;="&amp;EOMONTH(DATE(Dashboard!$C$4,2,1),0))+SUMIFS(Transaksi!$F$16:$F$5015,Transaksi!$G$16:$G$5015,"Pengeluaran",Transaksi!$H$16:$H$5015,"Pengeluaran Jasa",Transaksi!$I$16:$I$5015,$B25,Transaksi!$B$16:$B$5015,"&gt;="&amp;DATE(Dashboard!$C$4,2,1),Transaksi!$B$16:$B$5015,"&lt;="&amp;EOMONTH(DATE(Dashboard!$C$4,2,1),0)))</f>
        <v/>
      </c>
      <c r="F25" s="106">
        <f>IF(OR($B25="",DATE(Dashboard!$C$4,3,1)&gt;TODAY()),"",SUMIFS(Transaksi!$F$16:$F$5015,Transaksi!$G$16:$G$5015,"Pengeluaran",Transaksi!$H$16:$H$5015,"Pengeluaran Gaji",Transaksi!$I$16:$I$5015,$B25,Transaksi!$B$16:$B$5015,"&gt;="&amp;DATE(Dashboard!$C$4,3,1),Transaksi!$B$16:$B$5015,"&lt;="&amp;EOMONTH(DATE(Dashboard!$C$4,3,1),0))+SUMIFS(Transaksi!$F$16:$F$5015,Transaksi!$G$16:$G$5015,"Pengeluaran",Transaksi!$H$16:$H$5015,"Pengeluaran Jasa",Transaksi!$I$16:$I$5015,$B25,Transaksi!$B$16:$B$5015,"&gt;="&amp;DATE(Dashboard!$C$4,3,1),Transaksi!$B$16:$B$5015,"&lt;="&amp;EOMONTH(DATE(Dashboard!$C$4,3,1),0)))</f>
        <v/>
      </c>
      <c r="G25" s="106">
        <f>IF(OR($B25="",DATE(Dashboard!$C$4,4,1)&gt;TODAY()),"",SUMIFS(Transaksi!$F$16:$F$5015,Transaksi!$G$16:$G$5015,"Pengeluaran",Transaksi!$H$16:$H$5015,"Pengeluaran Gaji",Transaksi!$I$16:$I$5015,$B25,Transaksi!$B$16:$B$5015,"&gt;="&amp;DATE(Dashboard!$C$4,4,1),Transaksi!$B$16:$B$5015,"&lt;="&amp;EOMONTH(DATE(Dashboard!$C$4,4,1),0))+SUMIFS(Transaksi!$F$16:$F$5015,Transaksi!$G$16:$G$5015,"Pengeluaran",Transaksi!$H$16:$H$5015,"Pengeluaran Jasa",Transaksi!$I$16:$I$5015,$B25,Transaksi!$B$16:$B$5015,"&gt;="&amp;DATE(Dashboard!$C$4,4,1),Transaksi!$B$16:$B$5015,"&lt;="&amp;EOMONTH(DATE(Dashboard!$C$4,4,1),0)))</f>
        <v/>
      </c>
      <c r="H25" s="106">
        <f>IF(OR($B25="",DATE(Dashboard!$C$4,5,1)&gt;TODAY()),"",SUMIFS(Transaksi!$F$16:$F$5015,Transaksi!$G$16:$G$5015,"Pengeluaran",Transaksi!$H$16:$H$5015,"Pengeluaran Gaji",Transaksi!$I$16:$I$5015,$B25,Transaksi!$B$16:$B$5015,"&gt;="&amp;DATE(Dashboard!$C$4,5,1),Transaksi!$B$16:$B$5015,"&lt;="&amp;EOMONTH(DATE(Dashboard!$C$4,5,1),0))+SUMIFS(Transaksi!$F$16:$F$5015,Transaksi!$G$16:$G$5015,"Pengeluaran",Transaksi!$H$16:$H$5015,"Pengeluaran Jasa",Transaksi!$I$16:$I$5015,$B25,Transaksi!$B$16:$B$5015,"&gt;="&amp;DATE(Dashboard!$C$4,5,1),Transaksi!$B$16:$B$5015,"&lt;="&amp;EOMONTH(DATE(Dashboard!$C$4,5,1),0)))</f>
        <v/>
      </c>
      <c r="I25" s="106">
        <f>IF(OR($B25="",DATE(Dashboard!$C$4,6,1)&gt;TODAY()),"",SUMIFS(Transaksi!$F$16:$F$5015,Transaksi!$G$16:$G$5015,"Pengeluaran",Transaksi!$H$16:$H$5015,"Pengeluaran Gaji",Transaksi!$I$16:$I$5015,$B25,Transaksi!$B$16:$B$5015,"&gt;="&amp;DATE(Dashboard!$C$4,6,1),Transaksi!$B$16:$B$5015,"&lt;="&amp;EOMONTH(DATE(Dashboard!$C$4,6,1),0))+SUMIFS(Transaksi!$F$16:$F$5015,Transaksi!$G$16:$G$5015,"Pengeluaran",Transaksi!$H$16:$H$5015,"Pengeluaran Jasa",Transaksi!$I$16:$I$5015,$B25,Transaksi!$B$16:$B$5015,"&gt;="&amp;DATE(Dashboard!$C$4,6,1),Transaksi!$B$16:$B$5015,"&lt;="&amp;EOMONTH(DATE(Dashboard!$C$4,6,1),0)))</f>
        <v/>
      </c>
      <c r="J25" s="106">
        <f>IF(OR($B25="",DATE(Dashboard!$C$4,7,1)&gt;TODAY()),"",SUMIFS(Transaksi!$F$16:$F$5015,Transaksi!$G$16:$G$5015,"Pengeluaran",Transaksi!$H$16:$H$5015,"Pengeluaran Gaji",Transaksi!$I$16:$I$5015,$B25,Transaksi!$B$16:$B$5015,"&gt;="&amp;DATE(Dashboard!$C$4,7,1),Transaksi!$B$16:$B$5015,"&lt;="&amp;EOMONTH(DATE(Dashboard!$C$4,7,1),0))+SUMIFS(Transaksi!$F$16:$F$5015,Transaksi!$G$16:$G$5015,"Pengeluaran",Transaksi!$H$16:$H$5015,"Pengeluaran Jasa",Transaksi!$I$16:$I$5015,$B25,Transaksi!$B$16:$B$5015,"&gt;="&amp;DATE(Dashboard!$C$4,7,1),Transaksi!$B$16:$B$5015,"&lt;="&amp;EOMONTH(DATE(Dashboard!$C$4,7,1),0)))</f>
        <v/>
      </c>
      <c r="K25" s="106">
        <f>IF(OR($B25="",DATE(Dashboard!$C$4,8,1)&gt;TODAY()),"",SUMIFS(Transaksi!$F$16:$F$5015,Transaksi!$G$16:$G$5015,"Pengeluaran",Transaksi!$H$16:$H$5015,"Pengeluaran Gaji",Transaksi!$I$16:$I$5015,$B25,Transaksi!$B$16:$B$5015,"&gt;="&amp;DATE(Dashboard!$C$4,8,1),Transaksi!$B$16:$B$5015,"&lt;="&amp;EOMONTH(DATE(Dashboard!$C$4,8,1),0))+SUMIFS(Transaksi!$F$16:$F$5015,Transaksi!$G$16:$G$5015,"Pengeluaran",Transaksi!$H$16:$H$5015,"Pengeluaran Jasa",Transaksi!$I$16:$I$5015,$B25,Transaksi!$B$16:$B$5015,"&gt;="&amp;DATE(Dashboard!$C$4,8,1),Transaksi!$B$16:$B$5015,"&lt;="&amp;EOMONTH(DATE(Dashboard!$C$4,8,1),0)))</f>
        <v/>
      </c>
      <c r="L25" s="106">
        <f>IF(OR($B25="",DATE(Dashboard!$C$4,9,1)&gt;TODAY()),"",SUMIFS(Transaksi!$F$16:$F$5015,Transaksi!$G$16:$G$5015,"Pengeluaran",Transaksi!$H$16:$H$5015,"Pengeluaran Gaji",Transaksi!$I$16:$I$5015,$B25,Transaksi!$B$16:$B$5015,"&gt;="&amp;DATE(Dashboard!$C$4,9,1),Transaksi!$B$16:$B$5015,"&lt;="&amp;EOMONTH(DATE(Dashboard!$C$4,9,1),0))+SUMIFS(Transaksi!$F$16:$F$5015,Transaksi!$G$16:$G$5015,"Pengeluaran",Transaksi!$H$16:$H$5015,"Pengeluaran Jasa",Transaksi!$I$16:$I$5015,$B25,Transaksi!$B$16:$B$5015,"&gt;="&amp;DATE(Dashboard!$C$4,9,1),Transaksi!$B$16:$B$5015,"&lt;="&amp;EOMONTH(DATE(Dashboard!$C$4,9,1),0)))</f>
        <v/>
      </c>
      <c r="M25" s="106">
        <f>IF(OR($B25="",DATE(Dashboard!$C$4,10,1)&gt;TODAY()),"",SUMIFS(Transaksi!$F$16:$F$5015,Transaksi!$G$16:$G$5015,"Pengeluaran",Transaksi!$H$16:$H$5015,"Pengeluaran Gaji",Transaksi!$I$16:$I$5015,$B25,Transaksi!$B$16:$B$5015,"&gt;="&amp;DATE(Dashboard!$C$4,10,1),Transaksi!$B$16:$B$5015,"&lt;="&amp;EOMONTH(DATE(Dashboard!$C$4,10,1),0))+SUMIFS(Transaksi!$F$16:$F$5015,Transaksi!$G$16:$G$5015,"Pengeluaran",Transaksi!$H$16:$H$5015,"Pengeluaran Jasa",Transaksi!$I$16:$I$5015,$B25,Transaksi!$B$16:$B$5015,"&gt;="&amp;DATE(Dashboard!$C$4,10,1),Transaksi!$B$16:$B$5015,"&lt;="&amp;EOMONTH(DATE(Dashboard!$C$4,10,1),0)))</f>
        <v/>
      </c>
      <c r="N25" s="106">
        <f>IF(OR($B25="",DATE(Dashboard!$C$4,11,1)&gt;TODAY()),"",SUMIFS(Transaksi!$F$16:$F$5015,Transaksi!$G$16:$G$5015,"Pengeluaran",Transaksi!$H$16:$H$5015,"Pengeluaran Gaji",Transaksi!$I$16:$I$5015,$B25,Transaksi!$B$16:$B$5015,"&gt;="&amp;DATE(Dashboard!$C$4,11,1),Transaksi!$B$16:$B$5015,"&lt;="&amp;EOMONTH(DATE(Dashboard!$C$4,11,1),0))+SUMIFS(Transaksi!$F$16:$F$5015,Transaksi!$G$16:$G$5015,"Pengeluaran",Transaksi!$H$16:$H$5015,"Pengeluaran Jasa",Transaksi!$I$16:$I$5015,$B25,Transaksi!$B$16:$B$5015,"&gt;="&amp;DATE(Dashboard!$C$4,11,1),Transaksi!$B$16:$B$5015,"&lt;="&amp;EOMONTH(DATE(Dashboard!$C$4,11,1),0)))</f>
        <v/>
      </c>
      <c r="O25" s="106">
        <f>IF(OR($B25="",DATE(Dashboard!$C$4,12,1)&gt;TODAY()),"",SUMIFS(Transaksi!$F$16:$F$5015,Transaksi!$G$16:$G$5015,"Pengeluaran",Transaksi!$H$16:$H$5015,"Pengeluaran Gaji",Transaksi!$I$16:$I$5015,$B25,Transaksi!$B$16:$B$5015,"&gt;="&amp;DATE(Dashboard!$C$4,12,1),Transaksi!$B$16:$B$5015,"&lt;="&amp;EOMONTH(DATE(Dashboard!$C$4,12,1),0))+SUMIFS(Transaksi!$F$16:$F$5015,Transaksi!$G$16:$G$5015,"Pengeluaran",Transaksi!$H$16:$H$5015,"Pengeluaran Jasa",Transaksi!$I$16:$I$5015,$B25,Transaksi!$B$16:$B$5015,"&gt;="&amp;DATE(Dashboard!$C$4,12,1),Transaksi!$B$16:$B$5015,"&lt;="&amp;EOMONTH(DATE(Dashboard!$C$4,12,1),0)))</f>
        <v/>
      </c>
      <c r="P25" s="113">
        <f>IF($B25="","",SUM(D25:O25))</f>
        <v/>
      </c>
      <c r="Q25" s="106">
        <f>IF($B25="","",P25/MAX(1,COUNT(D25:O25)))</f>
        <v/>
      </c>
    </row>
    <row r="26" ht="15" customHeight="1" s="94">
      <c r="B26" s="127" t="inlineStr">
        <is>
          <t>Transportasi &amp; Motor</t>
        </is>
      </c>
      <c r="C26" s="163" t="n"/>
      <c r="D26" s="106">
        <f>IF(OR($B26="",DATE(Dashboard!$C$4,1,1)&gt;TODAY()),"",SUMIFS(Transaksi!$F$16:$F$5015,Transaksi!$G$16:$G$5015,"Pengeluaran",Transaksi!$H$16:$H$5015,"Pengeluaran Gaji",Transaksi!$I$16:$I$5015,$B26,Transaksi!$B$16:$B$5015,"&gt;="&amp;DATE(Dashboard!$C$4,1,1),Transaksi!$B$16:$B$5015,"&lt;="&amp;EOMONTH(DATE(Dashboard!$C$4,1,1),0))+SUMIFS(Transaksi!$F$16:$F$5015,Transaksi!$G$16:$G$5015,"Pengeluaran",Transaksi!$H$16:$H$5015,"Pengeluaran Jasa",Transaksi!$I$16:$I$5015,$B26,Transaksi!$B$16:$B$5015,"&gt;="&amp;DATE(Dashboard!$C$4,1,1),Transaksi!$B$16:$B$5015,"&lt;="&amp;EOMONTH(DATE(Dashboard!$C$4,1,1),0)))</f>
        <v/>
      </c>
      <c r="E26" s="106">
        <f>IF(OR($B26="",DATE(Dashboard!$C$4,2,1)&gt;TODAY()),"",SUMIFS(Transaksi!$F$16:$F$5015,Transaksi!$G$16:$G$5015,"Pengeluaran",Transaksi!$H$16:$H$5015,"Pengeluaran Gaji",Transaksi!$I$16:$I$5015,$B26,Transaksi!$B$16:$B$5015,"&gt;="&amp;DATE(Dashboard!$C$4,2,1),Transaksi!$B$16:$B$5015,"&lt;="&amp;EOMONTH(DATE(Dashboard!$C$4,2,1),0))+SUMIFS(Transaksi!$F$16:$F$5015,Transaksi!$G$16:$G$5015,"Pengeluaran",Transaksi!$H$16:$H$5015,"Pengeluaran Jasa",Transaksi!$I$16:$I$5015,$B26,Transaksi!$B$16:$B$5015,"&gt;="&amp;DATE(Dashboard!$C$4,2,1),Transaksi!$B$16:$B$5015,"&lt;="&amp;EOMONTH(DATE(Dashboard!$C$4,2,1),0)))</f>
        <v/>
      </c>
      <c r="F26" s="106">
        <f>IF(OR($B26="",DATE(Dashboard!$C$4,3,1)&gt;TODAY()),"",SUMIFS(Transaksi!$F$16:$F$5015,Transaksi!$G$16:$G$5015,"Pengeluaran",Transaksi!$H$16:$H$5015,"Pengeluaran Gaji",Transaksi!$I$16:$I$5015,$B26,Transaksi!$B$16:$B$5015,"&gt;="&amp;DATE(Dashboard!$C$4,3,1),Transaksi!$B$16:$B$5015,"&lt;="&amp;EOMONTH(DATE(Dashboard!$C$4,3,1),0))+SUMIFS(Transaksi!$F$16:$F$5015,Transaksi!$G$16:$G$5015,"Pengeluaran",Transaksi!$H$16:$H$5015,"Pengeluaran Jasa",Transaksi!$I$16:$I$5015,$B26,Transaksi!$B$16:$B$5015,"&gt;="&amp;DATE(Dashboard!$C$4,3,1),Transaksi!$B$16:$B$5015,"&lt;="&amp;EOMONTH(DATE(Dashboard!$C$4,3,1),0)))</f>
        <v/>
      </c>
      <c r="G26" s="106">
        <f>IF(OR($B26="",DATE(Dashboard!$C$4,4,1)&gt;TODAY()),"",SUMIFS(Transaksi!$F$16:$F$5015,Transaksi!$G$16:$G$5015,"Pengeluaran",Transaksi!$H$16:$H$5015,"Pengeluaran Gaji",Transaksi!$I$16:$I$5015,$B26,Transaksi!$B$16:$B$5015,"&gt;="&amp;DATE(Dashboard!$C$4,4,1),Transaksi!$B$16:$B$5015,"&lt;="&amp;EOMONTH(DATE(Dashboard!$C$4,4,1),0))+SUMIFS(Transaksi!$F$16:$F$5015,Transaksi!$G$16:$G$5015,"Pengeluaran",Transaksi!$H$16:$H$5015,"Pengeluaran Jasa",Transaksi!$I$16:$I$5015,$B26,Transaksi!$B$16:$B$5015,"&gt;="&amp;DATE(Dashboard!$C$4,4,1),Transaksi!$B$16:$B$5015,"&lt;="&amp;EOMONTH(DATE(Dashboard!$C$4,4,1),0)))</f>
        <v/>
      </c>
      <c r="H26" s="106">
        <f>IF(OR($B26="",DATE(Dashboard!$C$4,5,1)&gt;TODAY()),"",SUMIFS(Transaksi!$F$16:$F$5015,Transaksi!$G$16:$G$5015,"Pengeluaran",Transaksi!$H$16:$H$5015,"Pengeluaran Gaji",Transaksi!$I$16:$I$5015,$B26,Transaksi!$B$16:$B$5015,"&gt;="&amp;DATE(Dashboard!$C$4,5,1),Transaksi!$B$16:$B$5015,"&lt;="&amp;EOMONTH(DATE(Dashboard!$C$4,5,1),0))+SUMIFS(Transaksi!$F$16:$F$5015,Transaksi!$G$16:$G$5015,"Pengeluaran",Transaksi!$H$16:$H$5015,"Pengeluaran Jasa",Transaksi!$I$16:$I$5015,$B26,Transaksi!$B$16:$B$5015,"&gt;="&amp;DATE(Dashboard!$C$4,5,1),Transaksi!$B$16:$B$5015,"&lt;="&amp;EOMONTH(DATE(Dashboard!$C$4,5,1),0)))</f>
        <v/>
      </c>
      <c r="I26" s="106">
        <f>IF(OR($B26="",DATE(Dashboard!$C$4,6,1)&gt;TODAY()),"",SUMIFS(Transaksi!$F$16:$F$5015,Transaksi!$G$16:$G$5015,"Pengeluaran",Transaksi!$H$16:$H$5015,"Pengeluaran Gaji",Transaksi!$I$16:$I$5015,$B26,Transaksi!$B$16:$B$5015,"&gt;="&amp;DATE(Dashboard!$C$4,6,1),Transaksi!$B$16:$B$5015,"&lt;="&amp;EOMONTH(DATE(Dashboard!$C$4,6,1),0))+SUMIFS(Transaksi!$F$16:$F$5015,Transaksi!$G$16:$G$5015,"Pengeluaran",Transaksi!$H$16:$H$5015,"Pengeluaran Jasa",Transaksi!$I$16:$I$5015,$B26,Transaksi!$B$16:$B$5015,"&gt;="&amp;DATE(Dashboard!$C$4,6,1),Transaksi!$B$16:$B$5015,"&lt;="&amp;EOMONTH(DATE(Dashboard!$C$4,6,1),0)))</f>
        <v/>
      </c>
      <c r="J26" s="106">
        <f>IF(OR($B26="",DATE(Dashboard!$C$4,7,1)&gt;TODAY()),"",SUMIFS(Transaksi!$F$16:$F$5015,Transaksi!$G$16:$G$5015,"Pengeluaran",Transaksi!$H$16:$H$5015,"Pengeluaran Gaji",Transaksi!$I$16:$I$5015,$B26,Transaksi!$B$16:$B$5015,"&gt;="&amp;DATE(Dashboard!$C$4,7,1),Transaksi!$B$16:$B$5015,"&lt;="&amp;EOMONTH(DATE(Dashboard!$C$4,7,1),0))+SUMIFS(Transaksi!$F$16:$F$5015,Transaksi!$G$16:$G$5015,"Pengeluaran",Transaksi!$H$16:$H$5015,"Pengeluaran Jasa",Transaksi!$I$16:$I$5015,$B26,Transaksi!$B$16:$B$5015,"&gt;="&amp;DATE(Dashboard!$C$4,7,1),Transaksi!$B$16:$B$5015,"&lt;="&amp;EOMONTH(DATE(Dashboard!$C$4,7,1),0)))</f>
        <v/>
      </c>
      <c r="K26" s="106">
        <f>IF(OR($B26="",DATE(Dashboard!$C$4,8,1)&gt;TODAY()),"",SUMIFS(Transaksi!$F$16:$F$5015,Transaksi!$G$16:$G$5015,"Pengeluaran",Transaksi!$H$16:$H$5015,"Pengeluaran Gaji",Transaksi!$I$16:$I$5015,$B26,Transaksi!$B$16:$B$5015,"&gt;="&amp;DATE(Dashboard!$C$4,8,1),Transaksi!$B$16:$B$5015,"&lt;="&amp;EOMONTH(DATE(Dashboard!$C$4,8,1),0))+SUMIFS(Transaksi!$F$16:$F$5015,Transaksi!$G$16:$G$5015,"Pengeluaran",Transaksi!$H$16:$H$5015,"Pengeluaran Jasa",Transaksi!$I$16:$I$5015,$B26,Transaksi!$B$16:$B$5015,"&gt;="&amp;DATE(Dashboard!$C$4,8,1),Transaksi!$B$16:$B$5015,"&lt;="&amp;EOMONTH(DATE(Dashboard!$C$4,8,1),0)))</f>
        <v/>
      </c>
      <c r="L26" s="106">
        <f>IF(OR($B26="",DATE(Dashboard!$C$4,9,1)&gt;TODAY()),"",SUMIFS(Transaksi!$F$16:$F$5015,Transaksi!$G$16:$G$5015,"Pengeluaran",Transaksi!$H$16:$H$5015,"Pengeluaran Gaji",Transaksi!$I$16:$I$5015,$B26,Transaksi!$B$16:$B$5015,"&gt;="&amp;DATE(Dashboard!$C$4,9,1),Transaksi!$B$16:$B$5015,"&lt;="&amp;EOMONTH(DATE(Dashboard!$C$4,9,1),0))+SUMIFS(Transaksi!$F$16:$F$5015,Transaksi!$G$16:$G$5015,"Pengeluaran",Transaksi!$H$16:$H$5015,"Pengeluaran Jasa",Transaksi!$I$16:$I$5015,$B26,Transaksi!$B$16:$B$5015,"&gt;="&amp;DATE(Dashboard!$C$4,9,1),Transaksi!$B$16:$B$5015,"&lt;="&amp;EOMONTH(DATE(Dashboard!$C$4,9,1),0)))</f>
        <v/>
      </c>
      <c r="M26" s="106">
        <f>IF(OR($B26="",DATE(Dashboard!$C$4,10,1)&gt;TODAY()),"",SUMIFS(Transaksi!$F$16:$F$5015,Transaksi!$G$16:$G$5015,"Pengeluaran",Transaksi!$H$16:$H$5015,"Pengeluaran Gaji",Transaksi!$I$16:$I$5015,$B26,Transaksi!$B$16:$B$5015,"&gt;="&amp;DATE(Dashboard!$C$4,10,1),Transaksi!$B$16:$B$5015,"&lt;="&amp;EOMONTH(DATE(Dashboard!$C$4,10,1),0))+SUMIFS(Transaksi!$F$16:$F$5015,Transaksi!$G$16:$G$5015,"Pengeluaran",Transaksi!$H$16:$H$5015,"Pengeluaran Jasa",Transaksi!$I$16:$I$5015,$B26,Transaksi!$B$16:$B$5015,"&gt;="&amp;DATE(Dashboard!$C$4,10,1),Transaksi!$B$16:$B$5015,"&lt;="&amp;EOMONTH(DATE(Dashboard!$C$4,10,1),0)))</f>
        <v/>
      </c>
      <c r="N26" s="106">
        <f>IF(OR($B26="",DATE(Dashboard!$C$4,11,1)&gt;TODAY()),"",SUMIFS(Transaksi!$F$16:$F$5015,Transaksi!$G$16:$G$5015,"Pengeluaran",Transaksi!$H$16:$H$5015,"Pengeluaran Gaji",Transaksi!$I$16:$I$5015,$B26,Transaksi!$B$16:$B$5015,"&gt;="&amp;DATE(Dashboard!$C$4,11,1),Transaksi!$B$16:$B$5015,"&lt;="&amp;EOMONTH(DATE(Dashboard!$C$4,11,1),0))+SUMIFS(Transaksi!$F$16:$F$5015,Transaksi!$G$16:$G$5015,"Pengeluaran",Transaksi!$H$16:$H$5015,"Pengeluaran Jasa",Transaksi!$I$16:$I$5015,$B26,Transaksi!$B$16:$B$5015,"&gt;="&amp;DATE(Dashboard!$C$4,11,1),Transaksi!$B$16:$B$5015,"&lt;="&amp;EOMONTH(DATE(Dashboard!$C$4,11,1),0)))</f>
        <v/>
      </c>
      <c r="O26" s="106">
        <f>IF(OR($B26="",DATE(Dashboard!$C$4,12,1)&gt;TODAY()),"",SUMIFS(Transaksi!$F$16:$F$5015,Transaksi!$G$16:$G$5015,"Pengeluaran",Transaksi!$H$16:$H$5015,"Pengeluaran Gaji",Transaksi!$I$16:$I$5015,$B26,Transaksi!$B$16:$B$5015,"&gt;="&amp;DATE(Dashboard!$C$4,12,1),Transaksi!$B$16:$B$5015,"&lt;="&amp;EOMONTH(DATE(Dashboard!$C$4,12,1),0))+SUMIFS(Transaksi!$F$16:$F$5015,Transaksi!$G$16:$G$5015,"Pengeluaran",Transaksi!$H$16:$H$5015,"Pengeluaran Jasa",Transaksi!$I$16:$I$5015,$B26,Transaksi!$B$16:$B$5015,"&gt;="&amp;DATE(Dashboard!$C$4,12,1),Transaksi!$B$16:$B$5015,"&lt;="&amp;EOMONTH(DATE(Dashboard!$C$4,12,1),0)))</f>
        <v/>
      </c>
      <c r="P26" s="113">
        <f>IF($B26="","",SUM(D26:O26))</f>
        <v/>
      </c>
      <c r="Q26" s="106">
        <f>IF($B26="","",P26/MAX(1,COUNT(D26:O26)))</f>
        <v/>
      </c>
    </row>
    <row r="27" ht="15" customHeight="1" s="94">
      <c r="B27" s="127" t="inlineStr">
        <is>
          <t>Uang Masak / Dapur</t>
        </is>
      </c>
      <c r="C27" s="163" t="n"/>
      <c r="D27" s="106">
        <f>IF(OR($B27="",DATE(Dashboard!$C$4,1,1)&gt;TODAY()),"",SUMIFS(Transaksi!$F$16:$F$5015,Transaksi!$G$16:$G$5015,"Pengeluaran",Transaksi!$H$16:$H$5015,"Pengeluaran Gaji",Transaksi!$I$16:$I$5015,$B27,Transaksi!$B$16:$B$5015,"&gt;="&amp;DATE(Dashboard!$C$4,1,1),Transaksi!$B$16:$B$5015,"&lt;="&amp;EOMONTH(DATE(Dashboard!$C$4,1,1),0))+SUMIFS(Transaksi!$F$16:$F$5015,Transaksi!$G$16:$G$5015,"Pengeluaran",Transaksi!$H$16:$H$5015,"Pengeluaran Jasa",Transaksi!$I$16:$I$5015,$B27,Transaksi!$B$16:$B$5015,"&gt;="&amp;DATE(Dashboard!$C$4,1,1),Transaksi!$B$16:$B$5015,"&lt;="&amp;EOMONTH(DATE(Dashboard!$C$4,1,1),0)))</f>
        <v/>
      </c>
      <c r="E27" s="106">
        <f>IF(OR($B27="",DATE(Dashboard!$C$4,2,1)&gt;TODAY()),"",SUMIFS(Transaksi!$F$16:$F$5015,Transaksi!$G$16:$G$5015,"Pengeluaran",Transaksi!$H$16:$H$5015,"Pengeluaran Gaji",Transaksi!$I$16:$I$5015,$B27,Transaksi!$B$16:$B$5015,"&gt;="&amp;DATE(Dashboard!$C$4,2,1),Transaksi!$B$16:$B$5015,"&lt;="&amp;EOMONTH(DATE(Dashboard!$C$4,2,1),0))+SUMIFS(Transaksi!$F$16:$F$5015,Transaksi!$G$16:$G$5015,"Pengeluaran",Transaksi!$H$16:$H$5015,"Pengeluaran Jasa",Transaksi!$I$16:$I$5015,$B27,Transaksi!$B$16:$B$5015,"&gt;="&amp;DATE(Dashboard!$C$4,2,1),Transaksi!$B$16:$B$5015,"&lt;="&amp;EOMONTH(DATE(Dashboard!$C$4,2,1),0)))</f>
        <v/>
      </c>
      <c r="F27" s="106">
        <f>IF(OR($B27="",DATE(Dashboard!$C$4,3,1)&gt;TODAY()),"",SUMIFS(Transaksi!$F$16:$F$5015,Transaksi!$G$16:$G$5015,"Pengeluaran",Transaksi!$H$16:$H$5015,"Pengeluaran Gaji",Transaksi!$I$16:$I$5015,$B27,Transaksi!$B$16:$B$5015,"&gt;="&amp;DATE(Dashboard!$C$4,3,1),Transaksi!$B$16:$B$5015,"&lt;="&amp;EOMONTH(DATE(Dashboard!$C$4,3,1),0))+SUMIFS(Transaksi!$F$16:$F$5015,Transaksi!$G$16:$G$5015,"Pengeluaran",Transaksi!$H$16:$H$5015,"Pengeluaran Jasa",Transaksi!$I$16:$I$5015,$B27,Transaksi!$B$16:$B$5015,"&gt;="&amp;DATE(Dashboard!$C$4,3,1),Transaksi!$B$16:$B$5015,"&lt;="&amp;EOMONTH(DATE(Dashboard!$C$4,3,1),0)))</f>
        <v/>
      </c>
      <c r="G27" s="106">
        <f>IF(OR($B27="",DATE(Dashboard!$C$4,4,1)&gt;TODAY()),"",SUMIFS(Transaksi!$F$16:$F$5015,Transaksi!$G$16:$G$5015,"Pengeluaran",Transaksi!$H$16:$H$5015,"Pengeluaran Gaji",Transaksi!$I$16:$I$5015,$B27,Transaksi!$B$16:$B$5015,"&gt;="&amp;DATE(Dashboard!$C$4,4,1),Transaksi!$B$16:$B$5015,"&lt;="&amp;EOMONTH(DATE(Dashboard!$C$4,4,1),0))+SUMIFS(Transaksi!$F$16:$F$5015,Transaksi!$G$16:$G$5015,"Pengeluaran",Transaksi!$H$16:$H$5015,"Pengeluaran Jasa",Transaksi!$I$16:$I$5015,$B27,Transaksi!$B$16:$B$5015,"&gt;="&amp;DATE(Dashboard!$C$4,4,1),Transaksi!$B$16:$B$5015,"&lt;="&amp;EOMONTH(DATE(Dashboard!$C$4,4,1),0)))</f>
        <v/>
      </c>
      <c r="H27" s="106">
        <f>IF(OR($B27="",DATE(Dashboard!$C$4,5,1)&gt;TODAY()),"",SUMIFS(Transaksi!$F$16:$F$5015,Transaksi!$G$16:$G$5015,"Pengeluaran",Transaksi!$H$16:$H$5015,"Pengeluaran Gaji",Transaksi!$I$16:$I$5015,$B27,Transaksi!$B$16:$B$5015,"&gt;="&amp;DATE(Dashboard!$C$4,5,1),Transaksi!$B$16:$B$5015,"&lt;="&amp;EOMONTH(DATE(Dashboard!$C$4,5,1),0))+SUMIFS(Transaksi!$F$16:$F$5015,Transaksi!$G$16:$G$5015,"Pengeluaran",Transaksi!$H$16:$H$5015,"Pengeluaran Jasa",Transaksi!$I$16:$I$5015,$B27,Transaksi!$B$16:$B$5015,"&gt;="&amp;DATE(Dashboard!$C$4,5,1),Transaksi!$B$16:$B$5015,"&lt;="&amp;EOMONTH(DATE(Dashboard!$C$4,5,1),0)))</f>
        <v/>
      </c>
      <c r="I27" s="106">
        <f>IF(OR($B27="",DATE(Dashboard!$C$4,6,1)&gt;TODAY()),"",SUMIFS(Transaksi!$F$16:$F$5015,Transaksi!$G$16:$G$5015,"Pengeluaran",Transaksi!$H$16:$H$5015,"Pengeluaran Gaji",Transaksi!$I$16:$I$5015,$B27,Transaksi!$B$16:$B$5015,"&gt;="&amp;DATE(Dashboard!$C$4,6,1),Transaksi!$B$16:$B$5015,"&lt;="&amp;EOMONTH(DATE(Dashboard!$C$4,6,1),0))+SUMIFS(Transaksi!$F$16:$F$5015,Transaksi!$G$16:$G$5015,"Pengeluaran",Transaksi!$H$16:$H$5015,"Pengeluaran Jasa",Transaksi!$I$16:$I$5015,$B27,Transaksi!$B$16:$B$5015,"&gt;="&amp;DATE(Dashboard!$C$4,6,1),Transaksi!$B$16:$B$5015,"&lt;="&amp;EOMONTH(DATE(Dashboard!$C$4,6,1),0)))</f>
        <v/>
      </c>
      <c r="J27" s="106">
        <f>IF(OR($B27="",DATE(Dashboard!$C$4,7,1)&gt;TODAY()),"",SUMIFS(Transaksi!$F$16:$F$5015,Transaksi!$G$16:$G$5015,"Pengeluaran",Transaksi!$H$16:$H$5015,"Pengeluaran Gaji",Transaksi!$I$16:$I$5015,$B27,Transaksi!$B$16:$B$5015,"&gt;="&amp;DATE(Dashboard!$C$4,7,1),Transaksi!$B$16:$B$5015,"&lt;="&amp;EOMONTH(DATE(Dashboard!$C$4,7,1),0))+SUMIFS(Transaksi!$F$16:$F$5015,Transaksi!$G$16:$G$5015,"Pengeluaran",Transaksi!$H$16:$H$5015,"Pengeluaran Jasa",Transaksi!$I$16:$I$5015,$B27,Transaksi!$B$16:$B$5015,"&gt;="&amp;DATE(Dashboard!$C$4,7,1),Transaksi!$B$16:$B$5015,"&lt;="&amp;EOMONTH(DATE(Dashboard!$C$4,7,1),0)))</f>
        <v/>
      </c>
      <c r="K27" s="106">
        <f>IF(OR($B27="",DATE(Dashboard!$C$4,8,1)&gt;TODAY()),"",SUMIFS(Transaksi!$F$16:$F$5015,Transaksi!$G$16:$G$5015,"Pengeluaran",Transaksi!$H$16:$H$5015,"Pengeluaran Gaji",Transaksi!$I$16:$I$5015,$B27,Transaksi!$B$16:$B$5015,"&gt;="&amp;DATE(Dashboard!$C$4,8,1),Transaksi!$B$16:$B$5015,"&lt;="&amp;EOMONTH(DATE(Dashboard!$C$4,8,1),0))+SUMIFS(Transaksi!$F$16:$F$5015,Transaksi!$G$16:$G$5015,"Pengeluaran",Transaksi!$H$16:$H$5015,"Pengeluaran Jasa",Transaksi!$I$16:$I$5015,$B27,Transaksi!$B$16:$B$5015,"&gt;="&amp;DATE(Dashboard!$C$4,8,1),Transaksi!$B$16:$B$5015,"&lt;="&amp;EOMONTH(DATE(Dashboard!$C$4,8,1),0)))</f>
        <v/>
      </c>
      <c r="L27" s="106">
        <f>IF(OR($B27="",DATE(Dashboard!$C$4,9,1)&gt;TODAY()),"",SUMIFS(Transaksi!$F$16:$F$5015,Transaksi!$G$16:$G$5015,"Pengeluaran",Transaksi!$H$16:$H$5015,"Pengeluaran Gaji",Transaksi!$I$16:$I$5015,$B27,Transaksi!$B$16:$B$5015,"&gt;="&amp;DATE(Dashboard!$C$4,9,1),Transaksi!$B$16:$B$5015,"&lt;="&amp;EOMONTH(DATE(Dashboard!$C$4,9,1),0))+SUMIFS(Transaksi!$F$16:$F$5015,Transaksi!$G$16:$G$5015,"Pengeluaran",Transaksi!$H$16:$H$5015,"Pengeluaran Jasa",Transaksi!$I$16:$I$5015,$B27,Transaksi!$B$16:$B$5015,"&gt;="&amp;DATE(Dashboard!$C$4,9,1),Transaksi!$B$16:$B$5015,"&lt;="&amp;EOMONTH(DATE(Dashboard!$C$4,9,1),0)))</f>
        <v/>
      </c>
      <c r="M27" s="106">
        <f>IF(OR($B27="",DATE(Dashboard!$C$4,10,1)&gt;TODAY()),"",SUMIFS(Transaksi!$F$16:$F$5015,Transaksi!$G$16:$G$5015,"Pengeluaran",Transaksi!$H$16:$H$5015,"Pengeluaran Gaji",Transaksi!$I$16:$I$5015,$B27,Transaksi!$B$16:$B$5015,"&gt;="&amp;DATE(Dashboard!$C$4,10,1),Transaksi!$B$16:$B$5015,"&lt;="&amp;EOMONTH(DATE(Dashboard!$C$4,10,1),0))+SUMIFS(Transaksi!$F$16:$F$5015,Transaksi!$G$16:$G$5015,"Pengeluaran",Transaksi!$H$16:$H$5015,"Pengeluaran Jasa",Transaksi!$I$16:$I$5015,$B27,Transaksi!$B$16:$B$5015,"&gt;="&amp;DATE(Dashboard!$C$4,10,1),Transaksi!$B$16:$B$5015,"&lt;="&amp;EOMONTH(DATE(Dashboard!$C$4,10,1),0)))</f>
        <v/>
      </c>
      <c r="N27" s="106">
        <f>IF(OR($B27="",DATE(Dashboard!$C$4,11,1)&gt;TODAY()),"",SUMIFS(Transaksi!$F$16:$F$5015,Transaksi!$G$16:$G$5015,"Pengeluaran",Transaksi!$H$16:$H$5015,"Pengeluaran Gaji",Transaksi!$I$16:$I$5015,$B27,Transaksi!$B$16:$B$5015,"&gt;="&amp;DATE(Dashboard!$C$4,11,1),Transaksi!$B$16:$B$5015,"&lt;="&amp;EOMONTH(DATE(Dashboard!$C$4,11,1),0))+SUMIFS(Transaksi!$F$16:$F$5015,Transaksi!$G$16:$G$5015,"Pengeluaran",Transaksi!$H$16:$H$5015,"Pengeluaran Jasa",Transaksi!$I$16:$I$5015,$B27,Transaksi!$B$16:$B$5015,"&gt;="&amp;DATE(Dashboard!$C$4,11,1),Transaksi!$B$16:$B$5015,"&lt;="&amp;EOMONTH(DATE(Dashboard!$C$4,11,1),0)))</f>
        <v/>
      </c>
      <c r="O27" s="106">
        <f>IF(OR($B27="",DATE(Dashboard!$C$4,12,1)&gt;TODAY()),"",SUMIFS(Transaksi!$F$16:$F$5015,Transaksi!$G$16:$G$5015,"Pengeluaran",Transaksi!$H$16:$H$5015,"Pengeluaran Gaji",Transaksi!$I$16:$I$5015,$B27,Transaksi!$B$16:$B$5015,"&gt;="&amp;DATE(Dashboard!$C$4,12,1),Transaksi!$B$16:$B$5015,"&lt;="&amp;EOMONTH(DATE(Dashboard!$C$4,12,1),0))+SUMIFS(Transaksi!$F$16:$F$5015,Transaksi!$G$16:$G$5015,"Pengeluaran",Transaksi!$H$16:$H$5015,"Pengeluaran Jasa",Transaksi!$I$16:$I$5015,$B27,Transaksi!$B$16:$B$5015,"&gt;="&amp;DATE(Dashboard!$C$4,12,1),Transaksi!$B$16:$B$5015,"&lt;="&amp;EOMONTH(DATE(Dashboard!$C$4,12,1),0)))</f>
        <v/>
      </c>
      <c r="P27" s="113">
        <f>IF($B27="","",SUM(D27:O27))</f>
        <v/>
      </c>
      <c r="Q27" s="106">
        <f>IF($B27="","",P27/MAX(1,COUNT(D27:O27)))</f>
        <v/>
      </c>
    </row>
    <row r="28" ht="15" customHeight="1" s="94">
      <c r="B28" s="127" t="inlineStr">
        <is>
          <t>Pinjam dari uang riba</t>
        </is>
      </c>
      <c r="C28" s="163" t="n"/>
      <c r="D28" s="106">
        <f>IF(OR($B28="",DATE(Dashboard!$C$4,1,1)&gt;TODAY()),"",SUMIFS(Transaksi!$F$16:$F$5015,Transaksi!$G$16:$G$5015,"Pengeluaran",Transaksi!$H$16:$H$5015,"Pengeluaran Gaji",Transaksi!$I$16:$I$5015,$B28,Transaksi!$B$16:$B$5015,"&gt;="&amp;DATE(Dashboard!$C$4,1,1),Transaksi!$B$16:$B$5015,"&lt;="&amp;EOMONTH(DATE(Dashboard!$C$4,1,1),0))+SUMIFS(Transaksi!$F$16:$F$5015,Transaksi!$G$16:$G$5015,"Pengeluaran",Transaksi!$H$16:$H$5015,"Pengeluaran Jasa",Transaksi!$I$16:$I$5015,$B28,Transaksi!$B$16:$B$5015,"&gt;="&amp;DATE(Dashboard!$C$4,1,1),Transaksi!$B$16:$B$5015,"&lt;="&amp;EOMONTH(DATE(Dashboard!$C$4,1,1),0)))</f>
        <v/>
      </c>
      <c r="E28" s="106">
        <f>IF(OR($B28="",DATE(Dashboard!$C$4,2,1)&gt;TODAY()),"",SUMIFS(Transaksi!$F$16:$F$5015,Transaksi!$G$16:$G$5015,"Pengeluaran",Transaksi!$H$16:$H$5015,"Pengeluaran Gaji",Transaksi!$I$16:$I$5015,$B28,Transaksi!$B$16:$B$5015,"&gt;="&amp;DATE(Dashboard!$C$4,2,1),Transaksi!$B$16:$B$5015,"&lt;="&amp;EOMONTH(DATE(Dashboard!$C$4,2,1),0))+SUMIFS(Transaksi!$F$16:$F$5015,Transaksi!$G$16:$G$5015,"Pengeluaran",Transaksi!$H$16:$H$5015,"Pengeluaran Jasa",Transaksi!$I$16:$I$5015,$B28,Transaksi!$B$16:$B$5015,"&gt;="&amp;DATE(Dashboard!$C$4,2,1),Transaksi!$B$16:$B$5015,"&lt;="&amp;EOMONTH(DATE(Dashboard!$C$4,2,1),0)))</f>
        <v/>
      </c>
      <c r="F28" s="106">
        <f>IF(OR($B28="",DATE(Dashboard!$C$4,3,1)&gt;TODAY()),"",SUMIFS(Transaksi!$F$16:$F$5015,Transaksi!$G$16:$G$5015,"Pengeluaran",Transaksi!$H$16:$H$5015,"Pengeluaran Gaji",Transaksi!$I$16:$I$5015,$B28,Transaksi!$B$16:$B$5015,"&gt;="&amp;DATE(Dashboard!$C$4,3,1),Transaksi!$B$16:$B$5015,"&lt;="&amp;EOMONTH(DATE(Dashboard!$C$4,3,1),0))+SUMIFS(Transaksi!$F$16:$F$5015,Transaksi!$G$16:$G$5015,"Pengeluaran",Transaksi!$H$16:$H$5015,"Pengeluaran Jasa",Transaksi!$I$16:$I$5015,$B28,Transaksi!$B$16:$B$5015,"&gt;="&amp;DATE(Dashboard!$C$4,3,1),Transaksi!$B$16:$B$5015,"&lt;="&amp;EOMONTH(DATE(Dashboard!$C$4,3,1),0)))</f>
        <v/>
      </c>
      <c r="G28" s="106">
        <f>IF(OR($B28="",DATE(Dashboard!$C$4,4,1)&gt;TODAY()),"",SUMIFS(Transaksi!$F$16:$F$5015,Transaksi!$G$16:$G$5015,"Pengeluaran",Transaksi!$H$16:$H$5015,"Pengeluaran Gaji",Transaksi!$I$16:$I$5015,$B28,Transaksi!$B$16:$B$5015,"&gt;="&amp;DATE(Dashboard!$C$4,4,1),Transaksi!$B$16:$B$5015,"&lt;="&amp;EOMONTH(DATE(Dashboard!$C$4,4,1),0))+SUMIFS(Transaksi!$F$16:$F$5015,Transaksi!$G$16:$G$5015,"Pengeluaran",Transaksi!$H$16:$H$5015,"Pengeluaran Jasa",Transaksi!$I$16:$I$5015,$B28,Transaksi!$B$16:$B$5015,"&gt;="&amp;DATE(Dashboard!$C$4,4,1),Transaksi!$B$16:$B$5015,"&lt;="&amp;EOMONTH(DATE(Dashboard!$C$4,4,1),0)))</f>
        <v/>
      </c>
      <c r="H28" s="106">
        <f>IF(OR($B28="",DATE(Dashboard!$C$4,5,1)&gt;TODAY()),"",SUMIFS(Transaksi!$F$16:$F$5015,Transaksi!$G$16:$G$5015,"Pengeluaran",Transaksi!$H$16:$H$5015,"Pengeluaran Gaji",Transaksi!$I$16:$I$5015,$B28,Transaksi!$B$16:$B$5015,"&gt;="&amp;DATE(Dashboard!$C$4,5,1),Transaksi!$B$16:$B$5015,"&lt;="&amp;EOMONTH(DATE(Dashboard!$C$4,5,1),0))+SUMIFS(Transaksi!$F$16:$F$5015,Transaksi!$G$16:$G$5015,"Pengeluaran",Transaksi!$H$16:$H$5015,"Pengeluaran Jasa",Transaksi!$I$16:$I$5015,$B28,Transaksi!$B$16:$B$5015,"&gt;="&amp;DATE(Dashboard!$C$4,5,1),Transaksi!$B$16:$B$5015,"&lt;="&amp;EOMONTH(DATE(Dashboard!$C$4,5,1),0)))</f>
        <v/>
      </c>
      <c r="I28" s="106">
        <f>IF(OR($B28="",DATE(Dashboard!$C$4,6,1)&gt;TODAY()),"",SUMIFS(Transaksi!$F$16:$F$5015,Transaksi!$G$16:$G$5015,"Pengeluaran",Transaksi!$H$16:$H$5015,"Pengeluaran Gaji",Transaksi!$I$16:$I$5015,$B28,Transaksi!$B$16:$B$5015,"&gt;="&amp;DATE(Dashboard!$C$4,6,1),Transaksi!$B$16:$B$5015,"&lt;="&amp;EOMONTH(DATE(Dashboard!$C$4,6,1),0))+SUMIFS(Transaksi!$F$16:$F$5015,Transaksi!$G$16:$G$5015,"Pengeluaran",Transaksi!$H$16:$H$5015,"Pengeluaran Jasa",Transaksi!$I$16:$I$5015,$B28,Transaksi!$B$16:$B$5015,"&gt;="&amp;DATE(Dashboard!$C$4,6,1),Transaksi!$B$16:$B$5015,"&lt;="&amp;EOMONTH(DATE(Dashboard!$C$4,6,1),0)))</f>
        <v/>
      </c>
      <c r="J28" s="106">
        <f>IF(OR($B28="",DATE(Dashboard!$C$4,7,1)&gt;TODAY()),"",SUMIFS(Transaksi!$F$16:$F$5015,Transaksi!$G$16:$G$5015,"Pengeluaran",Transaksi!$H$16:$H$5015,"Pengeluaran Gaji",Transaksi!$I$16:$I$5015,$B28,Transaksi!$B$16:$B$5015,"&gt;="&amp;DATE(Dashboard!$C$4,7,1),Transaksi!$B$16:$B$5015,"&lt;="&amp;EOMONTH(DATE(Dashboard!$C$4,7,1),0))+SUMIFS(Transaksi!$F$16:$F$5015,Transaksi!$G$16:$G$5015,"Pengeluaran",Transaksi!$H$16:$H$5015,"Pengeluaran Jasa",Transaksi!$I$16:$I$5015,$B28,Transaksi!$B$16:$B$5015,"&gt;="&amp;DATE(Dashboard!$C$4,7,1),Transaksi!$B$16:$B$5015,"&lt;="&amp;EOMONTH(DATE(Dashboard!$C$4,7,1),0)))</f>
        <v/>
      </c>
      <c r="K28" s="106">
        <f>IF(OR($B28="",DATE(Dashboard!$C$4,8,1)&gt;TODAY()),"",SUMIFS(Transaksi!$F$16:$F$5015,Transaksi!$G$16:$G$5015,"Pengeluaran",Transaksi!$H$16:$H$5015,"Pengeluaran Gaji",Transaksi!$I$16:$I$5015,$B28,Transaksi!$B$16:$B$5015,"&gt;="&amp;DATE(Dashboard!$C$4,8,1),Transaksi!$B$16:$B$5015,"&lt;="&amp;EOMONTH(DATE(Dashboard!$C$4,8,1),0))+SUMIFS(Transaksi!$F$16:$F$5015,Transaksi!$G$16:$G$5015,"Pengeluaran",Transaksi!$H$16:$H$5015,"Pengeluaran Jasa",Transaksi!$I$16:$I$5015,$B28,Transaksi!$B$16:$B$5015,"&gt;="&amp;DATE(Dashboard!$C$4,8,1),Transaksi!$B$16:$B$5015,"&lt;="&amp;EOMONTH(DATE(Dashboard!$C$4,8,1),0)))</f>
        <v/>
      </c>
      <c r="L28" s="106">
        <f>IF(OR($B28="",DATE(Dashboard!$C$4,9,1)&gt;TODAY()),"",SUMIFS(Transaksi!$F$16:$F$5015,Transaksi!$G$16:$G$5015,"Pengeluaran",Transaksi!$H$16:$H$5015,"Pengeluaran Gaji",Transaksi!$I$16:$I$5015,$B28,Transaksi!$B$16:$B$5015,"&gt;="&amp;DATE(Dashboard!$C$4,9,1),Transaksi!$B$16:$B$5015,"&lt;="&amp;EOMONTH(DATE(Dashboard!$C$4,9,1),0))+SUMIFS(Transaksi!$F$16:$F$5015,Transaksi!$G$16:$G$5015,"Pengeluaran",Transaksi!$H$16:$H$5015,"Pengeluaran Jasa",Transaksi!$I$16:$I$5015,$B28,Transaksi!$B$16:$B$5015,"&gt;="&amp;DATE(Dashboard!$C$4,9,1),Transaksi!$B$16:$B$5015,"&lt;="&amp;EOMONTH(DATE(Dashboard!$C$4,9,1),0)))</f>
        <v/>
      </c>
      <c r="M28" s="106">
        <f>IF(OR($B28="",DATE(Dashboard!$C$4,10,1)&gt;TODAY()),"",SUMIFS(Transaksi!$F$16:$F$5015,Transaksi!$G$16:$G$5015,"Pengeluaran",Transaksi!$H$16:$H$5015,"Pengeluaran Gaji",Transaksi!$I$16:$I$5015,$B28,Transaksi!$B$16:$B$5015,"&gt;="&amp;DATE(Dashboard!$C$4,10,1),Transaksi!$B$16:$B$5015,"&lt;="&amp;EOMONTH(DATE(Dashboard!$C$4,10,1),0))+SUMIFS(Transaksi!$F$16:$F$5015,Transaksi!$G$16:$G$5015,"Pengeluaran",Transaksi!$H$16:$H$5015,"Pengeluaran Jasa",Transaksi!$I$16:$I$5015,$B28,Transaksi!$B$16:$B$5015,"&gt;="&amp;DATE(Dashboard!$C$4,10,1),Transaksi!$B$16:$B$5015,"&lt;="&amp;EOMONTH(DATE(Dashboard!$C$4,10,1),0)))</f>
        <v/>
      </c>
      <c r="N28" s="106">
        <f>IF(OR($B28="",DATE(Dashboard!$C$4,11,1)&gt;TODAY()),"",SUMIFS(Transaksi!$F$16:$F$5015,Transaksi!$G$16:$G$5015,"Pengeluaran",Transaksi!$H$16:$H$5015,"Pengeluaran Gaji",Transaksi!$I$16:$I$5015,$B28,Transaksi!$B$16:$B$5015,"&gt;="&amp;DATE(Dashboard!$C$4,11,1),Transaksi!$B$16:$B$5015,"&lt;="&amp;EOMONTH(DATE(Dashboard!$C$4,11,1),0))+SUMIFS(Transaksi!$F$16:$F$5015,Transaksi!$G$16:$G$5015,"Pengeluaran",Transaksi!$H$16:$H$5015,"Pengeluaran Jasa",Transaksi!$I$16:$I$5015,$B28,Transaksi!$B$16:$B$5015,"&gt;="&amp;DATE(Dashboard!$C$4,11,1),Transaksi!$B$16:$B$5015,"&lt;="&amp;EOMONTH(DATE(Dashboard!$C$4,11,1),0)))</f>
        <v/>
      </c>
      <c r="O28" s="106">
        <f>IF(OR($B28="",DATE(Dashboard!$C$4,12,1)&gt;TODAY()),"",SUMIFS(Transaksi!$F$16:$F$5015,Transaksi!$G$16:$G$5015,"Pengeluaran",Transaksi!$H$16:$H$5015,"Pengeluaran Gaji",Transaksi!$I$16:$I$5015,$B28,Transaksi!$B$16:$B$5015,"&gt;="&amp;DATE(Dashboard!$C$4,12,1),Transaksi!$B$16:$B$5015,"&lt;="&amp;EOMONTH(DATE(Dashboard!$C$4,12,1),0))+SUMIFS(Transaksi!$F$16:$F$5015,Transaksi!$G$16:$G$5015,"Pengeluaran",Transaksi!$H$16:$H$5015,"Pengeluaran Jasa",Transaksi!$I$16:$I$5015,$B28,Transaksi!$B$16:$B$5015,"&gt;="&amp;DATE(Dashboard!$C$4,12,1),Transaksi!$B$16:$B$5015,"&lt;="&amp;EOMONTH(DATE(Dashboard!$C$4,12,1),0)))</f>
        <v/>
      </c>
      <c r="P28" s="113">
        <f>IF($B28="","",SUM(D28:O28))</f>
        <v/>
      </c>
      <c r="Q28" s="106">
        <f>IF($B28="","",P28/MAX(1,COUNT(D28:O28)))</f>
        <v/>
      </c>
    </row>
    <row r="29" ht="15" customHeight="1" s="94">
      <c r="B29" s="127" t="n"/>
      <c r="C29" s="163" t="n"/>
      <c r="D29" s="106">
        <f>IF(OR($B29="",DATE(Dashboard!$C$4,1,1)&gt;TODAY()),"",SUMIFS(Transaksi!$F$16:$F$5015,Transaksi!$G$16:$G$5015,"Pengeluaran",Transaksi!$H$16:$H$5015,"Pengeluaran Gaji",Transaksi!$I$16:$I$5015,$B29,Transaksi!$B$16:$B$5015,"&gt;="&amp;DATE(Dashboard!$C$4,1,1),Transaksi!$B$16:$B$5015,"&lt;="&amp;EOMONTH(DATE(Dashboard!$C$4,1,1),0))+SUMIFS(Transaksi!$F$16:$F$5015,Transaksi!$G$16:$G$5015,"Pengeluaran",Transaksi!$H$16:$H$5015,"Pengeluaran Jasa",Transaksi!$I$16:$I$5015,$B29,Transaksi!$B$16:$B$5015,"&gt;="&amp;DATE(Dashboard!$C$4,1,1),Transaksi!$B$16:$B$5015,"&lt;="&amp;EOMONTH(DATE(Dashboard!$C$4,1,1),0)))</f>
        <v/>
      </c>
      <c r="E29" s="106">
        <f>IF(OR($B29="",DATE(Dashboard!$C$4,2,1)&gt;TODAY()),"",SUMIFS(Transaksi!$F$16:$F$5015,Transaksi!$G$16:$G$5015,"Pengeluaran",Transaksi!$H$16:$H$5015,"Pengeluaran Gaji",Transaksi!$I$16:$I$5015,$B29,Transaksi!$B$16:$B$5015,"&gt;="&amp;DATE(Dashboard!$C$4,2,1),Transaksi!$B$16:$B$5015,"&lt;="&amp;EOMONTH(DATE(Dashboard!$C$4,2,1),0))+SUMIFS(Transaksi!$F$16:$F$5015,Transaksi!$G$16:$G$5015,"Pengeluaran",Transaksi!$H$16:$H$5015,"Pengeluaran Jasa",Transaksi!$I$16:$I$5015,$B29,Transaksi!$B$16:$B$5015,"&gt;="&amp;DATE(Dashboard!$C$4,2,1),Transaksi!$B$16:$B$5015,"&lt;="&amp;EOMONTH(DATE(Dashboard!$C$4,2,1),0)))</f>
        <v/>
      </c>
      <c r="F29" s="106">
        <f>IF(OR($B29="",DATE(Dashboard!$C$4,3,1)&gt;TODAY()),"",SUMIFS(Transaksi!$F$16:$F$5015,Transaksi!$G$16:$G$5015,"Pengeluaran",Transaksi!$H$16:$H$5015,"Pengeluaran Gaji",Transaksi!$I$16:$I$5015,$B29,Transaksi!$B$16:$B$5015,"&gt;="&amp;DATE(Dashboard!$C$4,3,1),Transaksi!$B$16:$B$5015,"&lt;="&amp;EOMONTH(DATE(Dashboard!$C$4,3,1),0))+SUMIFS(Transaksi!$F$16:$F$5015,Transaksi!$G$16:$G$5015,"Pengeluaran",Transaksi!$H$16:$H$5015,"Pengeluaran Jasa",Transaksi!$I$16:$I$5015,$B29,Transaksi!$B$16:$B$5015,"&gt;="&amp;DATE(Dashboard!$C$4,3,1),Transaksi!$B$16:$B$5015,"&lt;="&amp;EOMONTH(DATE(Dashboard!$C$4,3,1),0)))</f>
        <v/>
      </c>
      <c r="G29" s="106">
        <f>IF(OR($B29="",DATE(Dashboard!$C$4,4,1)&gt;TODAY()),"",SUMIFS(Transaksi!$F$16:$F$5015,Transaksi!$G$16:$G$5015,"Pengeluaran",Transaksi!$H$16:$H$5015,"Pengeluaran Gaji",Transaksi!$I$16:$I$5015,$B29,Transaksi!$B$16:$B$5015,"&gt;="&amp;DATE(Dashboard!$C$4,4,1),Transaksi!$B$16:$B$5015,"&lt;="&amp;EOMONTH(DATE(Dashboard!$C$4,4,1),0))+SUMIFS(Transaksi!$F$16:$F$5015,Transaksi!$G$16:$G$5015,"Pengeluaran",Transaksi!$H$16:$H$5015,"Pengeluaran Jasa",Transaksi!$I$16:$I$5015,$B29,Transaksi!$B$16:$B$5015,"&gt;="&amp;DATE(Dashboard!$C$4,4,1),Transaksi!$B$16:$B$5015,"&lt;="&amp;EOMONTH(DATE(Dashboard!$C$4,4,1),0)))</f>
        <v/>
      </c>
      <c r="H29" s="106">
        <f>IF(OR($B29="",DATE(Dashboard!$C$4,5,1)&gt;TODAY()),"",SUMIFS(Transaksi!$F$16:$F$5015,Transaksi!$G$16:$G$5015,"Pengeluaran",Transaksi!$H$16:$H$5015,"Pengeluaran Gaji",Transaksi!$I$16:$I$5015,$B29,Transaksi!$B$16:$B$5015,"&gt;="&amp;DATE(Dashboard!$C$4,5,1),Transaksi!$B$16:$B$5015,"&lt;="&amp;EOMONTH(DATE(Dashboard!$C$4,5,1),0))+SUMIFS(Transaksi!$F$16:$F$5015,Transaksi!$G$16:$G$5015,"Pengeluaran",Transaksi!$H$16:$H$5015,"Pengeluaran Jasa",Transaksi!$I$16:$I$5015,$B29,Transaksi!$B$16:$B$5015,"&gt;="&amp;DATE(Dashboard!$C$4,5,1),Transaksi!$B$16:$B$5015,"&lt;="&amp;EOMONTH(DATE(Dashboard!$C$4,5,1),0)))</f>
        <v/>
      </c>
      <c r="I29" s="106">
        <f>IF(OR($B29="",DATE(Dashboard!$C$4,6,1)&gt;TODAY()),"",SUMIFS(Transaksi!$F$16:$F$5015,Transaksi!$G$16:$G$5015,"Pengeluaran",Transaksi!$H$16:$H$5015,"Pengeluaran Gaji",Transaksi!$I$16:$I$5015,$B29,Transaksi!$B$16:$B$5015,"&gt;="&amp;DATE(Dashboard!$C$4,6,1),Transaksi!$B$16:$B$5015,"&lt;="&amp;EOMONTH(DATE(Dashboard!$C$4,6,1),0))+SUMIFS(Transaksi!$F$16:$F$5015,Transaksi!$G$16:$G$5015,"Pengeluaran",Transaksi!$H$16:$H$5015,"Pengeluaran Jasa",Transaksi!$I$16:$I$5015,$B29,Transaksi!$B$16:$B$5015,"&gt;="&amp;DATE(Dashboard!$C$4,6,1),Transaksi!$B$16:$B$5015,"&lt;="&amp;EOMONTH(DATE(Dashboard!$C$4,6,1),0)))</f>
        <v/>
      </c>
      <c r="J29" s="106">
        <f>IF(OR($B29="",DATE(Dashboard!$C$4,7,1)&gt;TODAY()),"",SUMIFS(Transaksi!$F$16:$F$5015,Transaksi!$G$16:$G$5015,"Pengeluaran",Transaksi!$H$16:$H$5015,"Pengeluaran Gaji",Transaksi!$I$16:$I$5015,$B29,Transaksi!$B$16:$B$5015,"&gt;="&amp;DATE(Dashboard!$C$4,7,1),Transaksi!$B$16:$B$5015,"&lt;="&amp;EOMONTH(DATE(Dashboard!$C$4,7,1),0))+SUMIFS(Transaksi!$F$16:$F$5015,Transaksi!$G$16:$G$5015,"Pengeluaran",Transaksi!$H$16:$H$5015,"Pengeluaran Jasa",Transaksi!$I$16:$I$5015,$B29,Transaksi!$B$16:$B$5015,"&gt;="&amp;DATE(Dashboard!$C$4,7,1),Transaksi!$B$16:$B$5015,"&lt;="&amp;EOMONTH(DATE(Dashboard!$C$4,7,1),0)))</f>
        <v/>
      </c>
      <c r="K29" s="106">
        <f>IF(OR($B29="",DATE(Dashboard!$C$4,8,1)&gt;TODAY()),"",SUMIFS(Transaksi!$F$16:$F$5015,Transaksi!$G$16:$G$5015,"Pengeluaran",Transaksi!$H$16:$H$5015,"Pengeluaran Gaji",Transaksi!$I$16:$I$5015,$B29,Transaksi!$B$16:$B$5015,"&gt;="&amp;DATE(Dashboard!$C$4,8,1),Transaksi!$B$16:$B$5015,"&lt;="&amp;EOMONTH(DATE(Dashboard!$C$4,8,1),0))+SUMIFS(Transaksi!$F$16:$F$5015,Transaksi!$G$16:$G$5015,"Pengeluaran",Transaksi!$H$16:$H$5015,"Pengeluaran Jasa",Transaksi!$I$16:$I$5015,$B29,Transaksi!$B$16:$B$5015,"&gt;="&amp;DATE(Dashboard!$C$4,8,1),Transaksi!$B$16:$B$5015,"&lt;="&amp;EOMONTH(DATE(Dashboard!$C$4,8,1),0)))</f>
        <v/>
      </c>
      <c r="L29" s="106">
        <f>IF(OR($B29="",DATE(Dashboard!$C$4,9,1)&gt;TODAY()),"",SUMIFS(Transaksi!$F$16:$F$5015,Transaksi!$G$16:$G$5015,"Pengeluaran",Transaksi!$H$16:$H$5015,"Pengeluaran Gaji",Transaksi!$I$16:$I$5015,$B29,Transaksi!$B$16:$B$5015,"&gt;="&amp;DATE(Dashboard!$C$4,9,1),Transaksi!$B$16:$B$5015,"&lt;="&amp;EOMONTH(DATE(Dashboard!$C$4,9,1),0))+SUMIFS(Transaksi!$F$16:$F$5015,Transaksi!$G$16:$G$5015,"Pengeluaran",Transaksi!$H$16:$H$5015,"Pengeluaran Jasa",Transaksi!$I$16:$I$5015,$B29,Transaksi!$B$16:$B$5015,"&gt;="&amp;DATE(Dashboard!$C$4,9,1),Transaksi!$B$16:$B$5015,"&lt;="&amp;EOMONTH(DATE(Dashboard!$C$4,9,1),0)))</f>
        <v/>
      </c>
      <c r="M29" s="106">
        <f>IF(OR($B29="",DATE(Dashboard!$C$4,10,1)&gt;TODAY()),"",SUMIFS(Transaksi!$F$16:$F$5015,Transaksi!$G$16:$G$5015,"Pengeluaran",Transaksi!$H$16:$H$5015,"Pengeluaran Gaji",Transaksi!$I$16:$I$5015,$B29,Transaksi!$B$16:$B$5015,"&gt;="&amp;DATE(Dashboard!$C$4,10,1),Transaksi!$B$16:$B$5015,"&lt;="&amp;EOMONTH(DATE(Dashboard!$C$4,10,1),0))+SUMIFS(Transaksi!$F$16:$F$5015,Transaksi!$G$16:$G$5015,"Pengeluaran",Transaksi!$H$16:$H$5015,"Pengeluaran Jasa",Transaksi!$I$16:$I$5015,$B29,Transaksi!$B$16:$B$5015,"&gt;="&amp;DATE(Dashboard!$C$4,10,1),Transaksi!$B$16:$B$5015,"&lt;="&amp;EOMONTH(DATE(Dashboard!$C$4,10,1),0)))</f>
        <v/>
      </c>
      <c r="N29" s="106">
        <f>IF(OR($B29="",DATE(Dashboard!$C$4,11,1)&gt;TODAY()),"",SUMIFS(Transaksi!$F$16:$F$5015,Transaksi!$G$16:$G$5015,"Pengeluaran",Transaksi!$H$16:$H$5015,"Pengeluaran Gaji",Transaksi!$I$16:$I$5015,$B29,Transaksi!$B$16:$B$5015,"&gt;="&amp;DATE(Dashboard!$C$4,11,1),Transaksi!$B$16:$B$5015,"&lt;="&amp;EOMONTH(DATE(Dashboard!$C$4,11,1),0))+SUMIFS(Transaksi!$F$16:$F$5015,Transaksi!$G$16:$G$5015,"Pengeluaran",Transaksi!$H$16:$H$5015,"Pengeluaran Jasa",Transaksi!$I$16:$I$5015,$B29,Transaksi!$B$16:$B$5015,"&gt;="&amp;DATE(Dashboard!$C$4,11,1),Transaksi!$B$16:$B$5015,"&lt;="&amp;EOMONTH(DATE(Dashboard!$C$4,11,1),0)))</f>
        <v/>
      </c>
      <c r="O29" s="106">
        <f>IF(OR($B29="",DATE(Dashboard!$C$4,12,1)&gt;TODAY()),"",SUMIFS(Transaksi!$F$16:$F$5015,Transaksi!$G$16:$G$5015,"Pengeluaran",Transaksi!$H$16:$H$5015,"Pengeluaran Gaji",Transaksi!$I$16:$I$5015,$B29,Transaksi!$B$16:$B$5015,"&gt;="&amp;DATE(Dashboard!$C$4,12,1),Transaksi!$B$16:$B$5015,"&lt;="&amp;EOMONTH(DATE(Dashboard!$C$4,12,1),0))+SUMIFS(Transaksi!$F$16:$F$5015,Transaksi!$G$16:$G$5015,"Pengeluaran",Transaksi!$H$16:$H$5015,"Pengeluaran Jasa",Transaksi!$I$16:$I$5015,$B29,Transaksi!$B$16:$B$5015,"&gt;="&amp;DATE(Dashboard!$C$4,12,1),Transaksi!$B$16:$B$5015,"&lt;="&amp;EOMONTH(DATE(Dashboard!$C$4,12,1),0)))</f>
        <v/>
      </c>
      <c r="P29" s="113">
        <f>IF($B29="","",SUM(D29:O29))</f>
        <v/>
      </c>
      <c r="Q29" s="106">
        <f>IF($B29="","",P29/MAX(1,COUNT(D29:O29)))</f>
        <v/>
      </c>
    </row>
    <row r="30" ht="15" customHeight="1" s="94">
      <c r="B30" s="127" t="n"/>
      <c r="C30" s="163" t="n"/>
      <c r="D30" s="106">
        <f>IF(OR($B30="",DATE(Dashboard!$C$4,1,1)&gt;TODAY()),"",SUMIFS(Transaksi!$F$16:$F$5015,Transaksi!$G$16:$G$5015,"Pengeluaran",Transaksi!$H$16:$H$5015,"Pengeluaran Gaji",Transaksi!$I$16:$I$5015,$B30,Transaksi!$B$16:$B$5015,"&gt;="&amp;DATE(Dashboard!$C$4,1,1),Transaksi!$B$16:$B$5015,"&lt;="&amp;EOMONTH(DATE(Dashboard!$C$4,1,1),0))+SUMIFS(Transaksi!$F$16:$F$5015,Transaksi!$G$16:$G$5015,"Pengeluaran",Transaksi!$H$16:$H$5015,"Pengeluaran Jasa",Transaksi!$I$16:$I$5015,$B30,Transaksi!$B$16:$B$5015,"&gt;="&amp;DATE(Dashboard!$C$4,1,1),Transaksi!$B$16:$B$5015,"&lt;="&amp;EOMONTH(DATE(Dashboard!$C$4,1,1),0)))</f>
        <v/>
      </c>
      <c r="E30" s="106">
        <f>IF(OR($B30="",DATE(Dashboard!$C$4,2,1)&gt;TODAY()),"",SUMIFS(Transaksi!$F$16:$F$5015,Transaksi!$G$16:$G$5015,"Pengeluaran",Transaksi!$H$16:$H$5015,"Pengeluaran Gaji",Transaksi!$I$16:$I$5015,$B30,Transaksi!$B$16:$B$5015,"&gt;="&amp;DATE(Dashboard!$C$4,2,1),Transaksi!$B$16:$B$5015,"&lt;="&amp;EOMONTH(DATE(Dashboard!$C$4,2,1),0))+SUMIFS(Transaksi!$F$16:$F$5015,Transaksi!$G$16:$G$5015,"Pengeluaran",Transaksi!$H$16:$H$5015,"Pengeluaran Jasa",Transaksi!$I$16:$I$5015,$B30,Transaksi!$B$16:$B$5015,"&gt;="&amp;DATE(Dashboard!$C$4,2,1),Transaksi!$B$16:$B$5015,"&lt;="&amp;EOMONTH(DATE(Dashboard!$C$4,2,1),0)))</f>
        <v/>
      </c>
      <c r="F30" s="106">
        <f>IF(OR($B30="",DATE(Dashboard!$C$4,3,1)&gt;TODAY()),"",SUMIFS(Transaksi!$F$16:$F$5015,Transaksi!$G$16:$G$5015,"Pengeluaran",Transaksi!$H$16:$H$5015,"Pengeluaran Gaji",Transaksi!$I$16:$I$5015,$B30,Transaksi!$B$16:$B$5015,"&gt;="&amp;DATE(Dashboard!$C$4,3,1),Transaksi!$B$16:$B$5015,"&lt;="&amp;EOMONTH(DATE(Dashboard!$C$4,3,1),0))+SUMIFS(Transaksi!$F$16:$F$5015,Transaksi!$G$16:$G$5015,"Pengeluaran",Transaksi!$H$16:$H$5015,"Pengeluaran Jasa",Transaksi!$I$16:$I$5015,$B30,Transaksi!$B$16:$B$5015,"&gt;="&amp;DATE(Dashboard!$C$4,3,1),Transaksi!$B$16:$B$5015,"&lt;="&amp;EOMONTH(DATE(Dashboard!$C$4,3,1),0)))</f>
        <v/>
      </c>
      <c r="G30" s="106">
        <f>IF(OR($B30="",DATE(Dashboard!$C$4,4,1)&gt;TODAY()),"",SUMIFS(Transaksi!$F$16:$F$5015,Transaksi!$G$16:$G$5015,"Pengeluaran",Transaksi!$H$16:$H$5015,"Pengeluaran Gaji",Transaksi!$I$16:$I$5015,$B30,Transaksi!$B$16:$B$5015,"&gt;="&amp;DATE(Dashboard!$C$4,4,1),Transaksi!$B$16:$B$5015,"&lt;="&amp;EOMONTH(DATE(Dashboard!$C$4,4,1),0))+SUMIFS(Transaksi!$F$16:$F$5015,Transaksi!$G$16:$G$5015,"Pengeluaran",Transaksi!$H$16:$H$5015,"Pengeluaran Jasa",Transaksi!$I$16:$I$5015,$B30,Transaksi!$B$16:$B$5015,"&gt;="&amp;DATE(Dashboard!$C$4,4,1),Transaksi!$B$16:$B$5015,"&lt;="&amp;EOMONTH(DATE(Dashboard!$C$4,4,1),0)))</f>
        <v/>
      </c>
      <c r="H30" s="106">
        <f>IF(OR($B30="",DATE(Dashboard!$C$4,5,1)&gt;TODAY()),"",SUMIFS(Transaksi!$F$16:$F$5015,Transaksi!$G$16:$G$5015,"Pengeluaran",Transaksi!$H$16:$H$5015,"Pengeluaran Gaji",Transaksi!$I$16:$I$5015,$B30,Transaksi!$B$16:$B$5015,"&gt;="&amp;DATE(Dashboard!$C$4,5,1),Transaksi!$B$16:$B$5015,"&lt;="&amp;EOMONTH(DATE(Dashboard!$C$4,5,1),0))+SUMIFS(Transaksi!$F$16:$F$5015,Transaksi!$G$16:$G$5015,"Pengeluaran",Transaksi!$H$16:$H$5015,"Pengeluaran Jasa",Transaksi!$I$16:$I$5015,$B30,Transaksi!$B$16:$B$5015,"&gt;="&amp;DATE(Dashboard!$C$4,5,1),Transaksi!$B$16:$B$5015,"&lt;="&amp;EOMONTH(DATE(Dashboard!$C$4,5,1),0)))</f>
        <v/>
      </c>
      <c r="I30" s="106">
        <f>IF(OR($B30="",DATE(Dashboard!$C$4,6,1)&gt;TODAY()),"",SUMIFS(Transaksi!$F$16:$F$5015,Transaksi!$G$16:$G$5015,"Pengeluaran",Transaksi!$H$16:$H$5015,"Pengeluaran Gaji",Transaksi!$I$16:$I$5015,$B30,Transaksi!$B$16:$B$5015,"&gt;="&amp;DATE(Dashboard!$C$4,6,1),Transaksi!$B$16:$B$5015,"&lt;="&amp;EOMONTH(DATE(Dashboard!$C$4,6,1),0))+SUMIFS(Transaksi!$F$16:$F$5015,Transaksi!$G$16:$G$5015,"Pengeluaran",Transaksi!$H$16:$H$5015,"Pengeluaran Jasa",Transaksi!$I$16:$I$5015,$B30,Transaksi!$B$16:$B$5015,"&gt;="&amp;DATE(Dashboard!$C$4,6,1),Transaksi!$B$16:$B$5015,"&lt;="&amp;EOMONTH(DATE(Dashboard!$C$4,6,1),0)))</f>
        <v/>
      </c>
      <c r="J30" s="106">
        <f>IF(OR($B30="",DATE(Dashboard!$C$4,7,1)&gt;TODAY()),"",SUMIFS(Transaksi!$F$16:$F$5015,Transaksi!$G$16:$G$5015,"Pengeluaran",Transaksi!$H$16:$H$5015,"Pengeluaran Gaji",Transaksi!$I$16:$I$5015,$B30,Transaksi!$B$16:$B$5015,"&gt;="&amp;DATE(Dashboard!$C$4,7,1),Transaksi!$B$16:$B$5015,"&lt;="&amp;EOMONTH(DATE(Dashboard!$C$4,7,1),0))+SUMIFS(Transaksi!$F$16:$F$5015,Transaksi!$G$16:$G$5015,"Pengeluaran",Transaksi!$H$16:$H$5015,"Pengeluaran Jasa",Transaksi!$I$16:$I$5015,$B30,Transaksi!$B$16:$B$5015,"&gt;="&amp;DATE(Dashboard!$C$4,7,1),Transaksi!$B$16:$B$5015,"&lt;="&amp;EOMONTH(DATE(Dashboard!$C$4,7,1),0)))</f>
        <v/>
      </c>
      <c r="K30" s="106">
        <f>IF(OR($B30="",DATE(Dashboard!$C$4,8,1)&gt;TODAY()),"",SUMIFS(Transaksi!$F$16:$F$5015,Transaksi!$G$16:$G$5015,"Pengeluaran",Transaksi!$H$16:$H$5015,"Pengeluaran Gaji",Transaksi!$I$16:$I$5015,$B30,Transaksi!$B$16:$B$5015,"&gt;="&amp;DATE(Dashboard!$C$4,8,1),Transaksi!$B$16:$B$5015,"&lt;="&amp;EOMONTH(DATE(Dashboard!$C$4,8,1),0))+SUMIFS(Transaksi!$F$16:$F$5015,Transaksi!$G$16:$G$5015,"Pengeluaran",Transaksi!$H$16:$H$5015,"Pengeluaran Jasa",Transaksi!$I$16:$I$5015,$B30,Transaksi!$B$16:$B$5015,"&gt;="&amp;DATE(Dashboard!$C$4,8,1),Transaksi!$B$16:$B$5015,"&lt;="&amp;EOMONTH(DATE(Dashboard!$C$4,8,1),0)))</f>
        <v/>
      </c>
      <c r="L30" s="106">
        <f>IF(OR($B30="",DATE(Dashboard!$C$4,9,1)&gt;TODAY()),"",SUMIFS(Transaksi!$F$16:$F$5015,Transaksi!$G$16:$G$5015,"Pengeluaran",Transaksi!$H$16:$H$5015,"Pengeluaran Gaji",Transaksi!$I$16:$I$5015,$B30,Transaksi!$B$16:$B$5015,"&gt;="&amp;DATE(Dashboard!$C$4,9,1),Transaksi!$B$16:$B$5015,"&lt;="&amp;EOMONTH(DATE(Dashboard!$C$4,9,1),0))+SUMIFS(Transaksi!$F$16:$F$5015,Transaksi!$G$16:$G$5015,"Pengeluaran",Transaksi!$H$16:$H$5015,"Pengeluaran Jasa",Transaksi!$I$16:$I$5015,$B30,Transaksi!$B$16:$B$5015,"&gt;="&amp;DATE(Dashboard!$C$4,9,1),Transaksi!$B$16:$B$5015,"&lt;="&amp;EOMONTH(DATE(Dashboard!$C$4,9,1),0)))</f>
        <v/>
      </c>
      <c r="M30" s="106">
        <f>IF(OR($B30="",DATE(Dashboard!$C$4,10,1)&gt;TODAY()),"",SUMIFS(Transaksi!$F$16:$F$5015,Transaksi!$G$16:$G$5015,"Pengeluaran",Transaksi!$H$16:$H$5015,"Pengeluaran Gaji",Transaksi!$I$16:$I$5015,$B30,Transaksi!$B$16:$B$5015,"&gt;="&amp;DATE(Dashboard!$C$4,10,1),Transaksi!$B$16:$B$5015,"&lt;="&amp;EOMONTH(DATE(Dashboard!$C$4,10,1),0))+SUMIFS(Transaksi!$F$16:$F$5015,Transaksi!$G$16:$G$5015,"Pengeluaran",Transaksi!$H$16:$H$5015,"Pengeluaran Jasa",Transaksi!$I$16:$I$5015,$B30,Transaksi!$B$16:$B$5015,"&gt;="&amp;DATE(Dashboard!$C$4,10,1),Transaksi!$B$16:$B$5015,"&lt;="&amp;EOMONTH(DATE(Dashboard!$C$4,10,1),0)))</f>
        <v/>
      </c>
      <c r="N30" s="106">
        <f>IF(OR($B30="",DATE(Dashboard!$C$4,11,1)&gt;TODAY()),"",SUMIFS(Transaksi!$F$16:$F$5015,Transaksi!$G$16:$G$5015,"Pengeluaran",Transaksi!$H$16:$H$5015,"Pengeluaran Gaji",Transaksi!$I$16:$I$5015,$B30,Transaksi!$B$16:$B$5015,"&gt;="&amp;DATE(Dashboard!$C$4,11,1),Transaksi!$B$16:$B$5015,"&lt;="&amp;EOMONTH(DATE(Dashboard!$C$4,11,1),0))+SUMIFS(Transaksi!$F$16:$F$5015,Transaksi!$G$16:$G$5015,"Pengeluaran",Transaksi!$H$16:$H$5015,"Pengeluaran Jasa",Transaksi!$I$16:$I$5015,$B30,Transaksi!$B$16:$B$5015,"&gt;="&amp;DATE(Dashboard!$C$4,11,1),Transaksi!$B$16:$B$5015,"&lt;="&amp;EOMONTH(DATE(Dashboard!$C$4,11,1),0)))</f>
        <v/>
      </c>
      <c r="O30" s="106">
        <f>IF(OR($B30="",DATE(Dashboard!$C$4,12,1)&gt;TODAY()),"",SUMIFS(Transaksi!$F$16:$F$5015,Transaksi!$G$16:$G$5015,"Pengeluaran",Transaksi!$H$16:$H$5015,"Pengeluaran Gaji",Transaksi!$I$16:$I$5015,$B30,Transaksi!$B$16:$B$5015,"&gt;="&amp;DATE(Dashboard!$C$4,12,1),Transaksi!$B$16:$B$5015,"&lt;="&amp;EOMONTH(DATE(Dashboard!$C$4,12,1),0))+SUMIFS(Transaksi!$F$16:$F$5015,Transaksi!$G$16:$G$5015,"Pengeluaran",Transaksi!$H$16:$H$5015,"Pengeluaran Jasa",Transaksi!$I$16:$I$5015,$B30,Transaksi!$B$16:$B$5015,"&gt;="&amp;DATE(Dashboard!$C$4,12,1),Transaksi!$B$16:$B$5015,"&lt;="&amp;EOMONTH(DATE(Dashboard!$C$4,12,1),0)))</f>
        <v/>
      </c>
      <c r="P30" s="113">
        <f>IF($B30="","",SUM(D30:O30))</f>
        <v/>
      </c>
      <c r="Q30" s="106">
        <f>IF($B30="","",P30/MAX(1,COUNT(D30:O30)))</f>
        <v/>
      </c>
    </row>
    <row r="31" ht="15" customHeight="1" s="94">
      <c r="B31" s="127" t="n"/>
      <c r="C31" s="163" t="n"/>
      <c r="D31" s="106">
        <f>IF(OR($B31="",DATE(Dashboard!$C$4,1,1)&gt;TODAY()),"",SUMIFS(Transaksi!$F$16:$F$5015,Transaksi!$G$16:$G$5015,"Pengeluaran",Transaksi!$H$16:$H$5015,"Pengeluaran Gaji",Transaksi!$I$16:$I$5015,$B31,Transaksi!$B$16:$B$5015,"&gt;="&amp;DATE(Dashboard!$C$4,1,1),Transaksi!$B$16:$B$5015,"&lt;="&amp;EOMONTH(DATE(Dashboard!$C$4,1,1),0))+SUMIFS(Transaksi!$F$16:$F$5015,Transaksi!$G$16:$G$5015,"Pengeluaran",Transaksi!$H$16:$H$5015,"Pengeluaran Jasa",Transaksi!$I$16:$I$5015,$B31,Transaksi!$B$16:$B$5015,"&gt;="&amp;DATE(Dashboard!$C$4,1,1),Transaksi!$B$16:$B$5015,"&lt;="&amp;EOMONTH(DATE(Dashboard!$C$4,1,1),0)))</f>
        <v/>
      </c>
      <c r="E31" s="106">
        <f>IF(OR($B31="",DATE(Dashboard!$C$4,2,1)&gt;TODAY()),"",SUMIFS(Transaksi!$F$16:$F$5015,Transaksi!$G$16:$G$5015,"Pengeluaran",Transaksi!$H$16:$H$5015,"Pengeluaran Gaji",Transaksi!$I$16:$I$5015,$B31,Transaksi!$B$16:$B$5015,"&gt;="&amp;DATE(Dashboard!$C$4,2,1),Transaksi!$B$16:$B$5015,"&lt;="&amp;EOMONTH(DATE(Dashboard!$C$4,2,1),0))+SUMIFS(Transaksi!$F$16:$F$5015,Transaksi!$G$16:$G$5015,"Pengeluaran",Transaksi!$H$16:$H$5015,"Pengeluaran Jasa",Transaksi!$I$16:$I$5015,$B31,Transaksi!$B$16:$B$5015,"&gt;="&amp;DATE(Dashboard!$C$4,2,1),Transaksi!$B$16:$B$5015,"&lt;="&amp;EOMONTH(DATE(Dashboard!$C$4,2,1),0)))</f>
        <v/>
      </c>
      <c r="F31" s="106">
        <f>IF(OR($B31="",DATE(Dashboard!$C$4,3,1)&gt;TODAY()),"",SUMIFS(Transaksi!$F$16:$F$5015,Transaksi!$G$16:$G$5015,"Pengeluaran",Transaksi!$H$16:$H$5015,"Pengeluaran Gaji",Transaksi!$I$16:$I$5015,$B31,Transaksi!$B$16:$B$5015,"&gt;="&amp;DATE(Dashboard!$C$4,3,1),Transaksi!$B$16:$B$5015,"&lt;="&amp;EOMONTH(DATE(Dashboard!$C$4,3,1),0))+SUMIFS(Transaksi!$F$16:$F$5015,Transaksi!$G$16:$G$5015,"Pengeluaran",Transaksi!$H$16:$H$5015,"Pengeluaran Jasa",Transaksi!$I$16:$I$5015,$B31,Transaksi!$B$16:$B$5015,"&gt;="&amp;DATE(Dashboard!$C$4,3,1),Transaksi!$B$16:$B$5015,"&lt;="&amp;EOMONTH(DATE(Dashboard!$C$4,3,1),0)))</f>
        <v/>
      </c>
      <c r="G31" s="106">
        <f>IF(OR($B31="",DATE(Dashboard!$C$4,4,1)&gt;TODAY()),"",SUMIFS(Transaksi!$F$16:$F$5015,Transaksi!$G$16:$G$5015,"Pengeluaran",Transaksi!$H$16:$H$5015,"Pengeluaran Gaji",Transaksi!$I$16:$I$5015,$B31,Transaksi!$B$16:$B$5015,"&gt;="&amp;DATE(Dashboard!$C$4,4,1),Transaksi!$B$16:$B$5015,"&lt;="&amp;EOMONTH(DATE(Dashboard!$C$4,4,1),0))+SUMIFS(Transaksi!$F$16:$F$5015,Transaksi!$G$16:$G$5015,"Pengeluaran",Transaksi!$H$16:$H$5015,"Pengeluaran Jasa",Transaksi!$I$16:$I$5015,$B31,Transaksi!$B$16:$B$5015,"&gt;="&amp;DATE(Dashboard!$C$4,4,1),Transaksi!$B$16:$B$5015,"&lt;="&amp;EOMONTH(DATE(Dashboard!$C$4,4,1),0)))</f>
        <v/>
      </c>
      <c r="H31" s="106">
        <f>IF(OR($B31="",DATE(Dashboard!$C$4,5,1)&gt;TODAY()),"",SUMIFS(Transaksi!$F$16:$F$5015,Transaksi!$G$16:$G$5015,"Pengeluaran",Transaksi!$H$16:$H$5015,"Pengeluaran Gaji",Transaksi!$I$16:$I$5015,$B31,Transaksi!$B$16:$B$5015,"&gt;="&amp;DATE(Dashboard!$C$4,5,1),Transaksi!$B$16:$B$5015,"&lt;="&amp;EOMONTH(DATE(Dashboard!$C$4,5,1),0))+SUMIFS(Transaksi!$F$16:$F$5015,Transaksi!$G$16:$G$5015,"Pengeluaran",Transaksi!$H$16:$H$5015,"Pengeluaran Jasa",Transaksi!$I$16:$I$5015,$B31,Transaksi!$B$16:$B$5015,"&gt;="&amp;DATE(Dashboard!$C$4,5,1),Transaksi!$B$16:$B$5015,"&lt;="&amp;EOMONTH(DATE(Dashboard!$C$4,5,1),0)))</f>
        <v/>
      </c>
      <c r="I31" s="106">
        <f>IF(OR($B31="",DATE(Dashboard!$C$4,6,1)&gt;TODAY()),"",SUMIFS(Transaksi!$F$16:$F$5015,Transaksi!$G$16:$G$5015,"Pengeluaran",Transaksi!$H$16:$H$5015,"Pengeluaran Gaji",Transaksi!$I$16:$I$5015,$B31,Transaksi!$B$16:$B$5015,"&gt;="&amp;DATE(Dashboard!$C$4,6,1),Transaksi!$B$16:$B$5015,"&lt;="&amp;EOMONTH(DATE(Dashboard!$C$4,6,1),0))+SUMIFS(Transaksi!$F$16:$F$5015,Transaksi!$G$16:$G$5015,"Pengeluaran",Transaksi!$H$16:$H$5015,"Pengeluaran Jasa",Transaksi!$I$16:$I$5015,$B31,Transaksi!$B$16:$B$5015,"&gt;="&amp;DATE(Dashboard!$C$4,6,1),Transaksi!$B$16:$B$5015,"&lt;="&amp;EOMONTH(DATE(Dashboard!$C$4,6,1),0)))</f>
        <v/>
      </c>
      <c r="J31" s="106">
        <f>IF(OR($B31="",DATE(Dashboard!$C$4,7,1)&gt;TODAY()),"",SUMIFS(Transaksi!$F$16:$F$5015,Transaksi!$G$16:$G$5015,"Pengeluaran",Transaksi!$H$16:$H$5015,"Pengeluaran Gaji",Transaksi!$I$16:$I$5015,$B31,Transaksi!$B$16:$B$5015,"&gt;="&amp;DATE(Dashboard!$C$4,7,1),Transaksi!$B$16:$B$5015,"&lt;="&amp;EOMONTH(DATE(Dashboard!$C$4,7,1),0))+SUMIFS(Transaksi!$F$16:$F$5015,Transaksi!$G$16:$G$5015,"Pengeluaran",Transaksi!$H$16:$H$5015,"Pengeluaran Jasa",Transaksi!$I$16:$I$5015,$B31,Transaksi!$B$16:$B$5015,"&gt;="&amp;DATE(Dashboard!$C$4,7,1),Transaksi!$B$16:$B$5015,"&lt;="&amp;EOMONTH(DATE(Dashboard!$C$4,7,1),0)))</f>
        <v/>
      </c>
      <c r="K31" s="106">
        <f>IF(OR($B31="",DATE(Dashboard!$C$4,8,1)&gt;TODAY()),"",SUMIFS(Transaksi!$F$16:$F$5015,Transaksi!$G$16:$G$5015,"Pengeluaran",Transaksi!$H$16:$H$5015,"Pengeluaran Gaji",Transaksi!$I$16:$I$5015,$B31,Transaksi!$B$16:$B$5015,"&gt;="&amp;DATE(Dashboard!$C$4,8,1),Transaksi!$B$16:$B$5015,"&lt;="&amp;EOMONTH(DATE(Dashboard!$C$4,8,1),0))+SUMIFS(Transaksi!$F$16:$F$5015,Transaksi!$G$16:$G$5015,"Pengeluaran",Transaksi!$H$16:$H$5015,"Pengeluaran Jasa",Transaksi!$I$16:$I$5015,$B31,Transaksi!$B$16:$B$5015,"&gt;="&amp;DATE(Dashboard!$C$4,8,1),Transaksi!$B$16:$B$5015,"&lt;="&amp;EOMONTH(DATE(Dashboard!$C$4,8,1),0)))</f>
        <v/>
      </c>
      <c r="L31" s="106">
        <f>IF(OR($B31="",DATE(Dashboard!$C$4,9,1)&gt;TODAY()),"",SUMIFS(Transaksi!$F$16:$F$5015,Transaksi!$G$16:$G$5015,"Pengeluaran",Transaksi!$H$16:$H$5015,"Pengeluaran Gaji",Transaksi!$I$16:$I$5015,$B31,Transaksi!$B$16:$B$5015,"&gt;="&amp;DATE(Dashboard!$C$4,9,1),Transaksi!$B$16:$B$5015,"&lt;="&amp;EOMONTH(DATE(Dashboard!$C$4,9,1),0))+SUMIFS(Transaksi!$F$16:$F$5015,Transaksi!$G$16:$G$5015,"Pengeluaran",Transaksi!$H$16:$H$5015,"Pengeluaran Jasa",Transaksi!$I$16:$I$5015,$B31,Transaksi!$B$16:$B$5015,"&gt;="&amp;DATE(Dashboard!$C$4,9,1),Transaksi!$B$16:$B$5015,"&lt;="&amp;EOMONTH(DATE(Dashboard!$C$4,9,1),0)))</f>
        <v/>
      </c>
      <c r="M31" s="106">
        <f>IF(OR($B31="",DATE(Dashboard!$C$4,10,1)&gt;TODAY()),"",SUMIFS(Transaksi!$F$16:$F$5015,Transaksi!$G$16:$G$5015,"Pengeluaran",Transaksi!$H$16:$H$5015,"Pengeluaran Gaji",Transaksi!$I$16:$I$5015,$B31,Transaksi!$B$16:$B$5015,"&gt;="&amp;DATE(Dashboard!$C$4,10,1),Transaksi!$B$16:$B$5015,"&lt;="&amp;EOMONTH(DATE(Dashboard!$C$4,10,1),0))+SUMIFS(Transaksi!$F$16:$F$5015,Transaksi!$G$16:$G$5015,"Pengeluaran",Transaksi!$H$16:$H$5015,"Pengeluaran Jasa",Transaksi!$I$16:$I$5015,$B31,Transaksi!$B$16:$B$5015,"&gt;="&amp;DATE(Dashboard!$C$4,10,1),Transaksi!$B$16:$B$5015,"&lt;="&amp;EOMONTH(DATE(Dashboard!$C$4,10,1),0)))</f>
        <v/>
      </c>
      <c r="N31" s="106">
        <f>IF(OR($B31="",DATE(Dashboard!$C$4,11,1)&gt;TODAY()),"",SUMIFS(Transaksi!$F$16:$F$5015,Transaksi!$G$16:$G$5015,"Pengeluaran",Transaksi!$H$16:$H$5015,"Pengeluaran Gaji",Transaksi!$I$16:$I$5015,$B31,Transaksi!$B$16:$B$5015,"&gt;="&amp;DATE(Dashboard!$C$4,11,1),Transaksi!$B$16:$B$5015,"&lt;="&amp;EOMONTH(DATE(Dashboard!$C$4,11,1),0))+SUMIFS(Transaksi!$F$16:$F$5015,Transaksi!$G$16:$G$5015,"Pengeluaran",Transaksi!$H$16:$H$5015,"Pengeluaran Jasa",Transaksi!$I$16:$I$5015,$B31,Transaksi!$B$16:$B$5015,"&gt;="&amp;DATE(Dashboard!$C$4,11,1),Transaksi!$B$16:$B$5015,"&lt;="&amp;EOMONTH(DATE(Dashboard!$C$4,11,1),0)))</f>
        <v/>
      </c>
      <c r="O31" s="106">
        <f>IF(OR($B31="",DATE(Dashboard!$C$4,12,1)&gt;TODAY()),"",SUMIFS(Transaksi!$F$16:$F$5015,Transaksi!$G$16:$G$5015,"Pengeluaran",Transaksi!$H$16:$H$5015,"Pengeluaran Gaji",Transaksi!$I$16:$I$5015,$B31,Transaksi!$B$16:$B$5015,"&gt;="&amp;DATE(Dashboard!$C$4,12,1),Transaksi!$B$16:$B$5015,"&lt;="&amp;EOMONTH(DATE(Dashboard!$C$4,12,1),0))+SUMIFS(Transaksi!$F$16:$F$5015,Transaksi!$G$16:$G$5015,"Pengeluaran",Transaksi!$H$16:$H$5015,"Pengeluaran Jasa",Transaksi!$I$16:$I$5015,$B31,Transaksi!$B$16:$B$5015,"&gt;="&amp;DATE(Dashboard!$C$4,12,1),Transaksi!$B$16:$B$5015,"&lt;="&amp;EOMONTH(DATE(Dashboard!$C$4,12,1),0)))</f>
        <v/>
      </c>
      <c r="P31" s="113">
        <f>IF($B31="","",SUM(D31:O31))</f>
        <v/>
      </c>
      <c r="Q31" s="106">
        <f>IF($B31="","",P31/MAX(1,COUNT(D31:O31)))</f>
        <v/>
      </c>
    </row>
    <row r="32" ht="15" customHeight="1" s="94">
      <c r="B32" s="127" t="n"/>
      <c r="C32" s="163" t="n"/>
      <c r="D32" s="106">
        <f>IF(OR($B32="",DATE(Dashboard!$C$4,1,1)&gt;TODAY()),"",SUMIFS(Transaksi!$F$16:$F$5015,Transaksi!$G$16:$G$5015,"Pengeluaran",Transaksi!$H$16:$H$5015,"Pengeluaran Gaji",Transaksi!$I$16:$I$5015,$B32,Transaksi!$B$16:$B$5015,"&gt;="&amp;DATE(Dashboard!$C$4,1,1),Transaksi!$B$16:$B$5015,"&lt;="&amp;EOMONTH(DATE(Dashboard!$C$4,1,1),0))+SUMIFS(Transaksi!$F$16:$F$5015,Transaksi!$G$16:$G$5015,"Pengeluaran",Transaksi!$H$16:$H$5015,"Pengeluaran Jasa",Transaksi!$I$16:$I$5015,$B32,Transaksi!$B$16:$B$5015,"&gt;="&amp;DATE(Dashboard!$C$4,1,1),Transaksi!$B$16:$B$5015,"&lt;="&amp;EOMONTH(DATE(Dashboard!$C$4,1,1),0)))</f>
        <v/>
      </c>
      <c r="E32" s="106">
        <f>IF(OR($B32="",DATE(Dashboard!$C$4,2,1)&gt;TODAY()),"",SUMIFS(Transaksi!$F$16:$F$5015,Transaksi!$G$16:$G$5015,"Pengeluaran",Transaksi!$H$16:$H$5015,"Pengeluaran Gaji",Transaksi!$I$16:$I$5015,$B32,Transaksi!$B$16:$B$5015,"&gt;="&amp;DATE(Dashboard!$C$4,2,1),Transaksi!$B$16:$B$5015,"&lt;="&amp;EOMONTH(DATE(Dashboard!$C$4,2,1),0))+SUMIFS(Transaksi!$F$16:$F$5015,Transaksi!$G$16:$G$5015,"Pengeluaran",Transaksi!$H$16:$H$5015,"Pengeluaran Jasa",Transaksi!$I$16:$I$5015,$B32,Transaksi!$B$16:$B$5015,"&gt;="&amp;DATE(Dashboard!$C$4,2,1),Transaksi!$B$16:$B$5015,"&lt;="&amp;EOMONTH(DATE(Dashboard!$C$4,2,1),0)))</f>
        <v/>
      </c>
      <c r="F32" s="106">
        <f>IF(OR($B32="",DATE(Dashboard!$C$4,3,1)&gt;TODAY()),"",SUMIFS(Transaksi!$F$16:$F$5015,Transaksi!$G$16:$G$5015,"Pengeluaran",Transaksi!$H$16:$H$5015,"Pengeluaran Gaji",Transaksi!$I$16:$I$5015,$B32,Transaksi!$B$16:$B$5015,"&gt;="&amp;DATE(Dashboard!$C$4,3,1),Transaksi!$B$16:$B$5015,"&lt;="&amp;EOMONTH(DATE(Dashboard!$C$4,3,1),0))+SUMIFS(Transaksi!$F$16:$F$5015,Transaksi!$G$16:$G$5015,"Pengeluaran",Transaksi!$H$16:$H$5015,"Pengeluaran Jasa",Transaksi!$I$16:$I$5015,$B32,Transaksi!$B$16:$B$5015,"&gt;="&amp;DATE(Dashboard!$C$4,3,1),Transaksi!$B$16:$B$5015,"&lt;="&amp;EOMONTH(DATE(Dashboard!$C$4,3,1),0)))</f>
        <v/>
      </c>
      <c r="G32" s="106">
        <f>IF(OR($B32="",DATE(Dashboard!$C$4,4,1)&gt;TODAY()),"",SUMIFS(Transaksi!$F$16:$F$5015,Transaksi!$G$16:$G$5015,"Pengeluaran",Transaksi!$H$16:$H$5015,"Pengeluaran Gaji",Transaksi!$I$16:$I$5015,$B32,Transaksi!$B$16:$B$5015,"&gt;="&amp;DATE(Dashboard!$C$4,4,1),Transaksi!$B$16:$B$5015,"&lt;="&amp;EOMONTH(DATE(Dashboard!$C$4,4,1),0))+SUMIFS(Transaksi!$F$16:$F$5015,Transaksi!$G$16:$G$5015,"Pengeluaran",Transaksi!$H$16:$H$5015,"Pengeluaran Jasa",Transaksi!$I$16:$I$5015,$B32,Transaksi!$B$16:$B$5015,"&gt;="&amp;DATE(Dashboard!$C$4,4,1),Transaksi!$B$16:$B$5015,"&lt;="&amp;EOMONTH(DATE(Dashboard!$C$4,4,1),0)))</f>
        <v/>
      </c>
      <c r="H32" s="106">
        <f>IF(OR($B32="",DATE(Dashboard!$C$4,5,1)&gt;TODAY()),"",SUMIFS(Transaksi!$F$16:$F$5015,Transaksi!$G$16:$G$5015,"Pengeluaran",Transaksi!$H$16:$H$5015,"Pengeluaran Gaji",Transaksi!$I$16:$I$5015,$B32,Transaksi!$B$16:$B$5015,"&gt;="&amp;DATE(Dashboard!$C$4,5,1),Transaksi!$B$16:$B$5015,"&lt;="&amp;EOMONTH(DATE(Dashboard!$C$4,5,1),0))+SUMIFS(Transaksi!$F$16:$F$5015,Transaksi!$G$16:$G$5015,"Pengeluaran",Transaksi!$H$16:$H$5015,"Pengeluaran Jasa",Transaksi!$I$16:$I$5015,$B32,Transaksi!$B$16:$B$5015,"&gt;="&amp;DATE(Dashboard!$C$4,5,1),Transaksi!$B$16:$B$5015,"&lt;="&amp;EOMONTH(DATE(Dashboard!$C$4,5,1),0)))</f>
        <v/>
      </c>
      <c r="I32" s="106">
        <f>IF(OR($B32="",DATE(Dashboard!$C$4,6,1)&gt;TODAY()),"",SUMIFS(Transaksi!$F$16:$F$5015,Transaksi!$G$16:$G$5015,"Pengeluaran",Transaksi!$H$16:$H$5015,"Pengeluaran Gaji",Transaksi!$I$16:$I$5015,$B32,Transaksi!$B$16:$B$5015,"&gt;="&amp;DATE(Dashboard!$C$4,6,1),Transaksi!$B$16:$B$5015,"&lt;="&amp;EOMONTH(DATE(Dashboard!$C$4,6,1),0))+SUMIFS(Transaksi!$F$16:$F$5015,Transaksi!$G$16:$G$5015,"Pengeluaran",Transaksi!$H$16:$H$5015,"Pengeluaran Jasa",Transaksi!$I$16:$I$5015,$B32,Transaksi!$B$16:$B$5015,"&gt;="&amp;DATE(Dashboard!$C$4,6,1),Transaksi!$B$16:$B$5015,"&lt;="&amp;EOMONTH(DATE(Dashboard!$C$4,6,1),0)))</f>
        <v/>
      </c>
      <c r="J32" s="106">
        <f>IF(OR($B32="",DATE(Dashboard!$C$4,7,1)&gt;TODAY()),"",SUMIFS(Transaksi!$F$16:$F$5015,Transaksi!$G$16:$G$5015,"Pengeluaran",Transaksi!$H$16:$H$5015,"Pengeluaran Gaji",Transaksi!$I$16:$I$5015,$B32,Transaksi!$B$16:$B$5015,"&gt;="&amp;DATE(Dashboard!$C$4,7,1),Transaksi!$B$16:$B$5015,"&lt;="&amp;EOMONTH(DATE(Dashboard!$C$4,7,1),0))+SUMIFS(Transaksi!$F$16:$F$5015,Transaksi!$G$16:$G$5015,"Pengeluaran",Transaksi!$H$16:$H$5015,"Pengeluaran Jasa",Transaksi!$I$16:$I$5015,$B32,Transaksi!$B$16:$B$5015,"&gt;="&amp;DATE(Dashboard!$C$4,7,1),Transaksi!$B$16:$B$5015,"&lt;="&amp;EOMONTH(DATE(Dashboard!$C$4,7,1),0)))</f>
        <v/>
      </c>
      <c r="K32" s="106">
        <f>IF(OR($B32="",DATE(Dashboard!$C$4,8,1)&gt;TODAY()),"",SUMIFS(Transaksi!$F$16:$F$5015,Transaksi!$G$16:$G$5015,"Pengeluaran",Transaksi!$H$16:$H$5015,"Pengeluaran Gaji",Transaksi!$I$16:$I$5015,$B32,Transaksi!$B$16:$B$5015,"&gt;="&amp;DATE(Dashboard!$C$4,8,1),Transaksi!$B$16:$B$5015,"&lt;="&amp;EOMONTH(DATE(Dashboard!$C$4,8,1),0))+SUMIFS(Transaksi!$F$16:$F$5015,Transaksi!$G$16:$G$5015,"Pengeluaran",Transaksi!$H$16:$H$5015,"Pengeluaran Jasa",Transaksi!$I$16:$I$5015,$B32,Transaksi!$B$16:$B$5015,"&gt;="&amp;DATE(Dashboard!$C$4,8,1),Transaksi!$B$16:$B$5015,"&lt;="&amp;EOMONTH(DATE(Dashboard!$C$4,8,1),0)))</f>
        <v/>
      </c>
      <c r="L32" s="106">
        <f>IF(OR($B32="",DATE(Dashboard!$C$4,9,1)&gt;TODAY()),"",SUMIFS(Transaksi!$F$16:$F$5015,Transaksi!$G$16:$G$5015,"Pengeluaran",Transaksi!$H$16:$H$5015,"Pengeluaran Gaji",Transaksi!$I$16:$I$5015,$B32,Transaksi!$B$16:$B$5015,"&gt;="&amp;DATE(Dashboard!$C$4,9,1),Transaksi!$B$16:$B$5015,"&lt;="&amp;EOMONTH(DATE(Dashboard!$C$4,9,1),0))+SUMIFS(Transaksi!$F$16:$F$5015,Transaksi!$G$16:$G$5015,"Pengeluaran",Transaksi!$H$16:$H$5015,"Pengeluaran Jasa",Transaksi!$I$16:$I$5015,$B32,Transaksi!$B$16:$B$5015,"&gt;="&amp;DATE(Dashboard!$C$4,9,1),Transaksi!$B$16:$B$5015,"&lt;="&amp;EOMONTH(DATE(Dashboard!$C$4,9,1),0)))</f>
        <v/>
      </c>
      <c r="M32" s="106">
        <f>IF(OR($B32="",DATE(Dashboard!$C$4,10,1)&gt;TODAY()),"",SUMIFS(Transaksi!$F$16:$F$5015,Transaksi!$G$16:$G$5015,"Pengeluaran",Transaksi!$H$16:$H$5015,"Pengeluaran Gaji",Transaksi!$I$16:$I$5015,$B32,Transaksi!$B$16:$B$5015,"&gt;="&amp;DATE(Dashboard!$C$4,10,1),Transaksi!$B$16:$B$5015,"&lt;="&amp;EOMONTH(DATE(Dashboard!$C$4,10,1),0))+SUMIFS(Transaksi!$F$16:$F$5015,Transaksi!$G$16:$G$5015,"Pengeluaran",Transaksi!$H$16:$H$5015,"Pengeluaran Jasa",Transaksi!$I$16:$I$5015,$B32,Transaksi!$B$16:$B$5015,"&gt;="&amp;DATE(Dashboard!$C$4,10,1),Transaksi!$B$16:$B$5015,"&lt;="&amp;EOMONTH(DATE(Dashboard!$C$4,10,1),0)))</f>
        <v/>
      </c>
      <c r="N32" s="106">
        <f>IF(OR($B32="",DATE(Dashboard!$C$4,11,1)&gt;TODAY()),"",SUMIFS(Transaksi!$F$16:$F$5015,Transaksi!$G$16:$G$5015,"Pengeluaran",Transaksi!$H$16:$H$5015,"Pengeluaran Gaji",Transaksi!$I$16:$I$5015,$B32,Transaksi!$B$16:$B$5015,"&gt;="&amp;DATE(Dashboard!$C$4,11,1),Transaksi!$B$16:$B$5015,"&lt;="&amp;EOMONTH(DATE(Dashboard!$C$4,11,1),0))+SUMIFS(Transaksi!$F$16:$F$5015,Transaksi!$G$16:$G$5015,"Pengeluaran",Transaksi!$H$16:$H$5015,"Pengeluaran Jasa",Transaksi!$I$16:$I$5015,$B32,Transaksi!$B$16:$B$5015,"&gt;="&amp;DATE(Dashboard!$C$4,11,1),Transaksi!$B$16:$B$5015,"&lt;="&amp;EOMONTH(DATE(Dashboard!$C$4,11,1),0)))</f>
        <v/>
      </c>
      <c r="O32" s="106">
        <f>IF(OR($B32="",DATE(Dashboard!$C$4,12,1)&gt;TODAY()),"",SUMIFS(Transaksi!$F$16:$F$5015,Transaksi!$G$16:$G$5015,"Pengeluaran",Transaksi!$H$16:$H$5015,"Pengeluaran Gaji",Transaksi!$I$16:$I$5015,$B32,Transaksi!$B$16:$B$5015,"&gt;="&amp;DATE(Dashboard!$C$4,12,1),Transaksi!$B$16:$B$5015,"&lt;="&amp;EOMONTH(DATE(Dashboard!$C$4,12,1),0))+SUMIFS(Transaksi!$F$16:$F$5015,Transaksi!$G$16:$G$5015,"Pengeluaran",Transaksi!$H$16:$H$5015,"Pengeluaran Jasa",Transaksi!$I$16:$I$5015,$B32,Transaksi!$B$16:$B$5015,"&gt;="&amp;DATE(Dashboard!$C$4,12,1),Transaksi!$B$16:$B$5015,"&lt;="&amp;EOMONTH(DATE(Dashboard!$C$4,12,1),0)))</f>
        <v/>
      </c>
      <c r="P32" s="113">
        <f>IF($B32="","",SUM(D32:O32))</f>
        <v/>
      </c>
      <c r="Q32" s="106">
        <f>IF($B32="","",P32/MAX(1,COUNT(D32:O32)))</f>
        <v/>
      </c>
    </row>
    <row r="33" ht="15" customHeight="1" s="94">
      <c r="B33" s="127" t="n"/>
      <c r="C33" s="163" t="n"/>
      <c r="D33" s="106">
        <f>IF(OR($B33="",DATE(Dashboard!$C$4,1,1)&gt;TODAY()),"",SUMIFS(Transaksi!$F$16:$F$5015,Transaksi!$G$16:$G$5015,"Pengeluaran",Transaksi!$H$16:$H$5015,"Pengeluaran Gaji",Transaksi!$I$16:$I$5015,$B33,Transaksi!$B$16:$B$5015,"&gt;="&amp;DATE(Dashboard!$C$4,1,1),Transaksi!$B$16:$B$5015,"&lt;="&amp;EOMONTH(DATE(Dashboard!$C$4,1,1),0))+SUMIFS(Transaksi!$F$16:$F$5015,Transaksi!$G$16:$G$5015,"Pengeluaran",Transaksi!$H$16:$H$5015,"Pengeluaran Jasa",Transaksi!$I$16:$I$5015,$B33,Transaksi!$B$16:$B$5015,"&gt;="&amp;DATE(Dashboard!$C$4,1,1),Transaksi!$B$16:$B$5015,"&lt;="&amp;EOMONTH(DATE(Dashboard!$C$4,1,1),0)))</f>
        <v/>
      </c>
      <c r="E33" s="106">
        <f>IF(OR($B33="",DATE(Dashboard!$C$4,2,1)&gt;TODAY()),"",SUMIFS(Transaksi!$F$16:$F$5015,Transaksi!$G$16:$G$5015,"Pengeluaran",Transaksi!$H$16:$H$5015,"Pengeluaran Gaji",Transaksi!$I$16:$I$5015,$B33,Transaksi!$B$16:$B$5015,"&gt;="&amp;DATE(Dashboard!$C$4,2,1),Transaksi!$B$16:$B$5015,"&lt;="&amp;EOMONTH(DATE(Dashboard!$C$4,2,1),0))+SUMIFS(Transaksi!$F$16:$F$5015,Transaksi!$G$16:$G$5015,"Pengeluaran",Transaksi!$H$16:$H$5015,"Pengeluaran Jasa",Transaksi!$I$16:$I$5015,$B33,Transaksi!$B$16:$B$5015,"&gt;="&amp;DATE(Dashboard!$C$4,2,1),Transaksi!$B$16:$B$5015,"&lt;="&amp;EOMONTH(DATE(Dashboard!$C$4,2,1),0)))</f>
        <v/>
      </c>
      <c r="F33" s="106">
        <f>IF(OR($B33="",DATE(Dashboard!$C$4,3,1)&gt;TODAY()),"",SUMIFS(Transaksi!$F$16:$F$5015,Transaksi!$G$16:$G$5015,"Pengeluaran",Transaksi!$H$16:$H$5015,"Pengeluaran Gaji",Transaksi!$I$16:$I$5015,$B33,Transaksi!$B$16:$B$5015,"&gt;="&amp;DATE(Dashboard!$C$4,3,1),Transaksi!$B$16:$B$5015,"&lt;="&amp;EOMONTH(DATE(Dashboard!$C$4,3,1),0))+SUMIFS(Transaksi!$F$16:$F$5015,Transaksi!$G$16:$G$5015,"Pengeluaran",Transaksi!$H$16:$H$5015,"Pengeluaran Jasa",Transaksi!$I$16:$I$5015,$B33,Transaksi!$B$16:$B$5015,"&gt;="&amp;DATE(Dashboard!$C$4,3,1),Transaksi!$B$16:$B$5015,"&lt;="&amp;EOMONTH(DATE(Dashboard!$C$4,3,1),0)))</f>
        <v/>
      </c>
      <c r="G33" s="106">
        <f>IF(OR($B33="",DATE(Dashboard!$C$4,4,1)&gt;TODAY()),"",SUMIFS(Transaksi!$F$16:$F$5015,Transaksi!$G$16:$G$5015,"Pengeluaran",Transaksi!$H$16:$H$5015,"Pengeluaran Gaji",Transaksi!$I$16:$I$5015,$B33,Transaksi!$B$16:$B$5015,"&gt;="&amp;DATE(Dashboard!$C$4,4,1),Transaksi!$B$16:$B$5015,"&lt;="&amp;EOMONTH(DATE(Dashboard!$C$4,4,1),0))+SUMIFS(Transaksi!$F$16:$F$5015,Transaksi!$G$16:$G$5015,"Pengeluaran",Transaksi!$H$16:$H$5015,"Pengeluaran Jasa",Transaksi!$I$16:$I$5015,$B33,Transaksi!$B$16:$B$5015,"&gt;="&amp;DATE(Dashboard!$C$4,4,1),Transaksi!$B$16:$B$5015,"&lt;="&amp;EOMONTH(DATE(Dashboard!$C$4,4,1),0)))</f>
        <v/>
      </c>
      <c r="H33" s="106">
        <f>IF(OR($B33="",DATE(Dashboard!$C$4,5,1)&gt;TODAY()),"",SUMIFS(Transaksi!$F$16:$F$5015,Transaksi!$G$16:$G$5015,"Pengeluaran",Transaksi!$H$16:$H$5015,"Pengeluaran Gaji",Transaksi!$I$16:$I$5015,$B33,Transaksi!$B$16:$B$5015,"&gt;="&amp;DATE(Dashboard!$C$4,5,1),Transaksi!$B$16:$B$5015,"&lt;="&amp;EOMONTH(DATE(Dashboard!$C$4,5,1),0))+SUMIFS(Transaksi!$F$16:$F$5015,Transaksi!$G$16:$G$5015,"Pengeluaran",Transaksi!$H$16:$H$5015,"Pengeluaran Jasa",Transaksi!$I$16:$I$5015,$B33,Transaksi!$B$16:$B$5015,"&gt;="&amp;DATE(Dashboard!$C$4,5,1),Transaksi!$B$16:$B$5015,"&lt;="&amp;EOMONTH(DATE(Dashboard!$C$4,5,1),0)))</f>
        <v/>
      </c>
      <c r="I33" s="106">
        <f>IF(OR($B33="",DATE(Dashboard!$C$4,6,1)&gt;TODAY()),"",SUMIFS(Transaksi!$F$16:$F$5015,Transaksi!$G$16:$G$5015,"Pengeluaran",Transaksi!$H$16:$H$5015,"Pengeluaran Gaji",Transaksi!$I$16:$I$5015,$B33,Transaksi!$B$16:$B$5015,"&gt;="&amp;DATE(Dashboard!$C$4,6,1),Transaksi!$B$16:$B$5015,"&lt;="&amp;EOMONTH(DATE(Dashboard!$C$4,6,1),0))+SUMIFS(Transaksi!$F$16:$F$5015,Transaksi!$G$16:$G$5015,"Pengeluaran",Transaksi!$H$16:$H$5015,"Pengeluaran Jasa",Transaksi!$I$16:$I$5015,$B33,Transaksi!$B$16:$B$5015,"&gt;="&amp;DATE(Dashboard!$C$4,6,1),Transaksi!$B$16:$B$5015,"&lt;="&amp;EOMONTH(DATE(Dashboard!$C$4,6,1),0)))</f>
        <v/>
      </c>
      <c r="J33" s="106">
        <f>IF(OR($B33="",DATE(Dashboard!$C$4,7,1)&gt;TODAY()),"",SUMIFS(Transaksi!$F$16:$F$5015,Transaksi!$G$16:$G$5015,"Pengeluaran",Transaksi!$H$16:$H$5015,"Pengeluaran Gaji",Transaksi!$I$16:$I$5015,$B33,Transaksi!$B$16:$B$5015,"&gt;="&amp;DATE(Dashboard!$C$4,7,1),Transaksi!$B$16:$B$5015,"&lt;="&amp;EOMONTH(DATE(Dashboard!$C$4,7,1),0))+SUMIFS(Transaksi!$F$16:$F$5015,Transaksi!$G$16:$G$5015,"Pengeluaran",Transaksi!$H$16:$H$5015,"Pengeluaran Jasa",Transaksi!$I$16:$I$5015,$B33,Transaksi!$B$16:$B$5015,"&gt;="&amp;DATE(Dashboard!$C$4,7,1),Transaksi!$B$16:$B$5015,"&lt;="&amp;EOMONTH(DATE(Dashboard!$C$4,7,1),0)))</f>
        <v/>
      </c>
      <c r="K33" s="106">
        <f>IF(OR($B33="",DATE(Dashboard!$C$4,8,1)&gt;TODAY()),"",SUMIFS(Transaksi!$F$16:$F$5015,Transaksi!$G$16:$G$5015,"Pengeluaran",Transaksi!$H$16:$H$5015,"Pengeluaran Gaji",Transaksi!$I$16:$I$5015,$B33,Transaksi!$B$16:$B$5015,"&gt;="&amp;DATE(Dashboard!$C$4,8,1),Transaksi!$B$16:$B$5015,"&lt;="&amp;EOMONTH(DATE(Dashboard!$C$4,8,1),0))+SUMIFS(Transaksi!$F$16:$F$5015,Transaksi!$G$16:$G$5015,"Pengeluaran",Transaksi!$H$16:$H$5015,"Pengeluaran Jasa",Transaksi!$I$16:$I$5015,$B33,Transaksi!$B$16:$B$5015,"&gt;="&amp;DATE(Dashboard!$C$4,8,1),Transaksi!$B$16:$B$5015,"&lt;="&amp;EOMONTH(DATE(Dashboard!$C$4,8,1),0)))</f>
        <v/>
      </c>
      <c r="L33" s="106">
        <f>IF(OR($B33="",DATE(Dashboard!$C$4,9,1)&gt;TODAY()),"",SUMIFS(Transaksi!$F$16:$F$5015,Transaksi!$G$16:$G$5015,"Pengeluaran",Transaksi!$H$16:$H$5015,"Pengeluaran Gaji",Transaksi!$I$16:$I$5015,$B33,Transaksi!$B$16:$B$5015,"&gt;="&amp;DATE(Dashboard!$C$4,9,1),Transaksi!$B$16:$B$5015,"&lt;="&amp;EOMONTH(DATE(Dashboard!$C$4,9,1),0))+SUMIFS(Transaksi!$F$16:$F$5015,Transaksi!$G$16:$G$5015,"Pengeluaran",Transaksi!$H$16:$H$5015,"Pengeluaran Jasa",Transaksi!$I$16:$I$5015,$B33,Transaksi!$B$16:$B$5015,"&gt;="&amp;DATE(Dashboard!$C$4,9,1),Transaksi!$B$16:$B$5015,"&lt;="&amp;EOMONTH(DATE(Dashboard!$C$4,9,1),0)))</f>
        <v/>
      </c>
      <c r="M33" s="106">
        <f>IF(OR($B33="",DATE(Dashboard!$C$4,10,1)&gt;TODAY()),"",SUMIFS(Transaksi!$F$16:$F$5015,Transaksi!$G$16:$G$5015,"Pengeluaran",Transaksi!$H$16:$H$5015,"Pengeluaran Gaji",Transaksi!$I$16:$I$5015,$B33,Transaksi!$B$16:$B$5015,"&gt;="&amp;DATE(Dashboard!$C$4,10,1),Transaksi!$B$16:$B$5015,"&lt;="&amp;EOMONTH(DATE(Dashboard!$C$4,10,1),0))+SUMIFS(Transaksi!$F$16:$F$5015,Transaksi!$G$16:$G$5015,"Pengeluaran",Transaksi!$H$16:$H$5015,"Pengeluaran Jasa",Transaksi!$I$16:$I$5015,$B33,Transaksi!$B$16:$B$5015,"&gt;="&amp;DATE(Dashboard!$C$4,10,1),Transaksi!$B$16:$B$5015,"&lt;="&amp;EOMONTH(DATE(Dashboard!$C$4,10,1),0)))</f>
        <v/>
      </c>
      <c r="N33" s="106">
        <f>IF(OR($B33="",DATE(Dashboard!$C$4,11,1)&gt;TODAY()),"",SUMIFS(Transaksi!$F$16:$F$5015,Transaksi!$G$16:$G$5015,"Pengeluaran",Transaksi!$H$16:$H$5015,"Pengeluaran Gaji",Transaksi!$I$16:$I$5015,$B33,Transaksi!$B$16:$B$5015,"&gt;="&amp;DATE(Dashboard!$C$4,11,1),Transaksi!$B$16:$B$5015,"&lt;="&amp;EOMONTH(DATE(Dashboard!$C$4,11,1),0))+SUMIFS(Transaksi!$F$16:$F$5015,Transaksi!$G$16:$G$5015,"Pengeluaran",Transaksi!$H$16:$H$5015,"Pengeluaran Jasa",Transaksi!$I$16:$I$5015,$B33,Transaksi!$B$16:$B$5015,"&gt;="&amp;DATE(Dashboard!$C$4,11,1),Transaksi!$B$16:$B$5015,"&lt;="&amp;EOMONTH(DATE(Dashboard!$C$4,11,1),0)))</f>
        <v/>
      </c>
      <c r="O33" s="106">
        <f>IF(OR($B33="",DATE(Dashboard!$C$4,12,1)&gt;TODAY()),"",SUMIFS(Transaksi!$F$16:$F$5015,Transaksi!$G$16:$G$5015,"Pengeluaran",Transaksi!$H$16:$H$5015,"Pengeluaran Gaji",Transaksi!$I$16:$I$5015,$B33,Transaksi!$B$16:$B$5015,"&gt;="&amp;DATE(Dashboard!$C$4,12,1),Transaksi!$B$16:$B$5015,"&lt;="&amp;EOMONTH(DATE(Dashboard!$C$4,12,1),0))+SUMIFS(Transaksi!$F$16:$F$5015,Transaksi!$G$16:$G$5015,"Pengeluaran",Transaksi!$H$16:$H$5015,"Pengeluaran Jasa",Transaksi!$I$16:$I$5015,$B33,Transaksi!$B$16:$B$5015,"&gt;="&amp;DATE(Dashboard!$C$4,12,1),Transaksi!$B$16:$B$5015,"&lt;="&amp;EOMONTH(DATE(Dashboard!$C$4,12,1),0)))</f>
        <v/>
      </c>
      <c r="P33" s="113">
        <f>IF($B33="","",SUM(D33:O33))</f>
        <v/>
      </c>
      <c r="Q33" s="106">
        <f>IF($B33="","",P33/MAX(1,COUNT(D33:O33)))</f>
        <v/>
      </c>
    </row>
    <row r="34" ht="15" customHeight="1" s="94">
      <c r="B34" s="127" t="n"/>
      <c r="C34" s="163" t="n"/>
      <c r="D34" s="106">
        <f>IF(OR($B34="",DATE(Dashboard!$C$4,1,1)&gt;TODAY()),"",SUMIFS(Transaksi!$F$16:$F$5015,Transaksi!$G$16:$G$5015,"Pengeluaran",Transaksi!$H$16:$H$5015,"Pengeluaran Gaji",Transaksi!$I$16:$I$5015,$B34,Transaksi!$B$16:$B$5015,"&gt;="&amp;DATE(Dashboard!$C$4,1,1),Transaksi!$B$16:$B$5015,"&lt;="&amp;EOMONTH(DATE(Dashboard!$C$4,1,1),0))+SUMIFS(Transaksi!$F$16:$F$5015,Transaksi!$G$16:$G$5015,"Pengeluaran",Transaksi!$H$16:$H$5015,"Pengeluaran Jasa",Transaksi!$I$16:$I$5015,$B34,Transaksi!$B$16:$B$5015,"&gt;="&amp;DATE(Dashboard!$C$4,1,1),Transaksi!$B$16:$B$5015,"&lt;="&amp;EOMONTH(DATE(Dashboard!$C$4,1,1),0)))</f>
        <v/>
      </c>
      <c r="E34" s="106">
        <f>IF(OR($B34="",DATE(Dashboard!$C$4,2,1)&gt;TODAY()),"",SUMIFS(Transaksi!$F$16:$F$5015,Transaksi!$G$16:$G$5015,"Pengeluaran",Transaksi!$H$16:$H$5015,"Pengeluaran Gaji",Transaksi!$I$16:$I$5015,$B34,Transaksi!$B$16:$B$5015,"&gt;="&amp;DATE(Dashboard!$C$4,2,1),Transaksi!$B$16:$B$5015,"&lt;="&amp;EOMONTH(DATE(Dashboard!$C$4,2,1),0))+SUMIFS(Transaksi!$F$16:$F$5015,Transaksi!$G$16:$G$5015,"Pengeluaran",Transaksi!$H$16:$H$5015,"Pengeluaran Jasa",Transaksi!$I$16:$I$5015,$B34,Transaksi!$B$16:$B$5015,"&gt;="&amp;DATE(Dashboard!$C$4,2,1),Transaksi!$B$16:$B$5015,"&lt;="&amp;EOMONTH(DATE(Dashboard!$C$4,2,1),0)))</f>
        <v/>
      </c>
      <c r="F34" s="106">
        <f>IF(OR($B34="",DATE(Dashboard!$C$4,3,1)&gt;TODAY()),"",SUMIFS(Transaksi!$F$16:$F$5015,Transaksi!$G$16:$G$5015,"Pengeluaran",Transaksi!$H$16:$H$5015,"Pengeluaran Gaji",Transaksi!$I$16:$I$5015,$B34,Transaksi!$B$16:$B$5015,"&gt;="&amp;DATE(Dashboard!$C$4,3,1),Transaksi!$B$16:$B$5015,"&lt;="&amp;EOMONTH(DATE(Dashboard!$C$4,3,1),0))+SUMIFS(Transaksi!$F$16:$F$5015,Transaksi!$G$16:$G$5015,"Pengeluaran",Transaksi!$H$16:$H$5015,"Pengeluaran Jasa",Transaksi!$I$16:$I$5015,$B34,Transaksi!$B$16:$B$5015,"&gt;="&amp;DATE(Dashboard!$C$4,3,1),Transaksi!$B$16:$B$5015,"&lt;="&amp;EOMONTH(DATE(Dashboard!$C$4,3,1),0)))</f>
        <v/>
      </c>
      <c r="G34" s="106">
        <f>IF(OR($B34="",DATE(Dashboard!$C$4,4,1)&gt;TODAY()),"",SUMIFS(Transaksi!$F$16:$F$5015,Transaksi!$G$16:$G$5015,"Pengeluaran",Transaksi!$H$16:$H$5015,"Pengeluaran Gaji",Transaksi!$I$16:$I$5015,$B34,Transaksi!$B$16:$B$5015,"&gt;="&amp;DATE(Dashboard!$C$4,4,1),Transaksi!$B$16:$B$5015,"&lt;="&amp;EOMONTH(DATE(Dashboard!$C$4,4,1),0))+SUMIFS(Transaksi!$F$16:$F$5015,Transaksi!$G$16:$G$5015,"Pengeluaran",Transaksi!$H$16:$H$5015,"Pengeluaran Jasa",Transaksi!$I$16:$I$5015,$B34,Transaksi!$B$16:$B$5015,"&gt;="&amp;DATE(Dashboard!$C$4,4,1),Transaksi!$B$16:$B$5015,"&lt;="&amp;EOMONTH(DATE(Dashboard!$C$4,4,1),0)))</f>
        <v/>
      </c>
      <c r="H34" s="106">
        <f>IF(OR($B34="",DATE(Dashboard!$C$4,5,1)&gt;TODAY()),"",SUMIFS(Transaksi!$F$16:$F$5015,Transaksi!$G$16:$G$5015,"Pengeluaran",Transaksi!$H$16:$H$5015,"Pengeluaran Gaji",Transaksi!$I$16:$I$5015,$B34,Transaksi!$B$16:$B$5015,"&gt;="&amp;DATE(Dashboard!$C$4,5,1),Transaksi!$B$16:$B$5015,"&lt;="&amp;EOMONTH(DATE(Dashboard!$C$4,5,1),0))+SUMIFS(Transaksi!$F$16:$F$5015,Transaksi!$G$16:$G$5015,"Pengeluaran",Transaksi!$H$16:$H$5015,"Pengeluaran Jasa",Transaksi!$I$16:$I$5015,$B34,Transaksi!$B$16:$B$5015,"&gt;="&amp;DATE(Dashboard!$C$4,5,1),Transaksi!$B$16:$B$5015,"&lt;="&amp;EOMONTH(DATE(Dashboard!$C$4,5,1),0)))</f>
        <v/>
      </c>
      <c r="I34" s="106">
        <f>IF(OR($B34="",DATE(Dashboard!$C$4,6,1)&gt;TODAY()),"",SUMIFS(Transaksi!$F$16:$F$5015,Transaksi!$G$16:$G$5015,"Pengeluaran",Transaksi!$H$16:$H$5015,"Pengeluaran Gaji",Transaksi!$I$16:$I$5015,$B34,Transaksi!$B$16:$B$5015,"&gt;="&amp;DATE(Dashboard!$C$4,6,1),Transaksi!$B$16:$B$5015,"&lt;="&amp;EOMONTH(DATE(Dashboard!$C$4,6,1),0))+SUMIFS(Transaksi!$F$16:$F$5015,Transaksi!$G$16:$G$5015,"Pengeluaran",Transaksi!$H$16:$H$5015,"Pengeluaran Jasa",Transaksi!$I$16:$I$5015,$B34,Transaksi!$B$16:$B$5015,"&gt;="&amp;DATE(Dashboard!$C$4,6,1),Transaksi!$B$16:$B$5015,"&lt;="&amp;EOMONTH(DATE(Dashboard!$C$4,6,1),0)))</f>
        <v/>
      </c>
      <c r="J34" s="106">
        <f>IF(OR($B34="",DATE(Dashboard!$C$4,7,1)&gt;TODAY()),"",SUMIFS(Transaksi!$F$16:$F$5015,Transaksi!$G$16:$G$5015,"Pengeluaran",Transaksi!$H$16:$H$5015,"Pengeluaran Gaji",Transaksi!$I$16:$I$5015,$B34,Transaksi!$B$16:$B$5015,"&gt;="&amp;DATE(Dashboard!$C$4,7,1),Transaksi!$B$16:$B$5015,"&lt;="&amp;EOMONTH(DATE(Dashboard!$C$4,7,1),0))+SUMIFS(Transaksi!$F$16:$F$5015,Transaksi!$G$16:$G$5015,"Pengeluaran",Transaksi!$H$16:$H$5015,"Pengeluaran Jasa",Transaksi!$I$16:$I$5015,$B34,Transaksi!$B$16:$B$5015,"&gt;="&amp;DATE(Dashboard!$C$4,7,1),Transaksi!$B$16:$B$5015,"&lt;="&amp;EOMONTH(DATE(Dashboard!$C$4,7,1),0)))</f>
        <v/>
      </c>
      <c r="K34" s="106">
        <f>IF(OR($B34="",DATE(Dashboard!$C$4,8,1)&gt;TODAY()),"",SUMIFS(Transaksi!$F$16:$F$5015,Transaksi!$G$16:$G$5015,"Pengeluaran",Transaksi!$H$16:$H$5015,"Pengeluaran Gaji",Transaksi!$I$16:$I$5015,$B34,Transaksi!$B$16:$B$5015,"&gt;="&amp;DATE(Dashboard!$C$4,8,1),Transaksi!$B$16:$B$5015,"&lt;="&amp;EOMONTH(DATE(Dashboard!$C$4,8,1),0))+SUMIFS(Transaksi!$F$16:$F$5015,Transaksi!$G$16:$G$5015,"Pengeluaran",Transaksi!$H$16:$H$5015,"Pengeluaran Jasa",Transaksi!$I$16:$I$5015,$B34,Transaksi!$B$16:$B$5015,"&gt;="&amp;DATE(Dashboard!$C$4,8,1),Transaksi!$B$16:$B$5015,"&lt;="&amp;EOMONTH(DATE(Dashboard!$C$4,8,1),0)))</f>
        <v/>
      </c>
      <c r="L34" s="106">
        <f>IF(OR($B34="",DATE(Dashboard!$C$4,9,1)&gt;TODAY()),"",SUMIFS(Transaksi!$F$16:$F$5015,Transaksi!$G$16:$G$5015,"Pengeluaran",Transaksi!$H$16:$H$5015,"Pengeluaran Gaji",Transaksi!$I$16:$I$5015,$B34,Transaksi!$B$16:$B$5015,"&gt;="&amp;DATE(Dashboard!$C$4,9,1),Transaksi!$B$16:$B$5015,"&lt;="&amp;EOMONTH(DATE(Dashboard!$C$4,9,1),0))+SUMIFS(Transaksi!$F$16:$F$5015,Transaksi!$G$16:$G$5015,"Pengeluaran",Transaksi!$H$16:$H$5015,"Pengeluaran Jasa",Transaksi!$I$16:$I$5015,$B34,Transaksi!$B$16:$B$5015,"&gt;="&amp;DATE(Dashboard!$C$4,9,1),Transaksi!$B$16:$B$5015,"&lt;="&amp;EOMONTH(DATE(Dashboard!$C$4,9,1),0)))</f>
        <v/>
      </c>
      <c r="M34" s="106">
        <f>IF(OR($B34="",DATE(Dashboard!$C$4,10,1)&gt;TODAY()),"",SUMIFS(Transaksi!$F$16:$F$5015,Transaksi!$G$16:$G$5015,"Pengeluaran",Transaksi!$H$16:$H$5015,"Pengeluaran Gaji",Transaksi!$I$16:$I$5015,$B34,Transaksi!$B$16:$B$5015,"&gt;="&amp;DATE(Dashboard!$C$4,10,1),Transaksi!$B$16:$B$5015,"&lt;="&amp;EOMONTH(DATE(Dashboard!$C$4,10,1),0))+SUMIFS(Transaksi!$F$16:$F$5015,Transaksi!$G$16:$G$5015,"Pengeluaran",Transaksi!$H$16:$H$5015,"Pengeluaran Jasa",Transaksi!$I$16:$I$5015,$B34,Transaksi!$B$16:$B$5015,"&gt;="&amp;DATE(Dashboard!$C$4,10,1),Transaksi!$B$16:$B$5015,"&lt;="&amp;EOMONTH(DATE(Dashboard!$C$4,10,1),0)))</f>
        <v/>
      </c>
      <c r="N34" s="106">
        <f>IF(OR($B34="",DATE(Dashboard!$C$4,11,1)&gt;TODAY()),"",SUMIFS(Transaksi!$F$16:$F$5015,Transaksi!$G$16:$G$5015,"Pengeluaran",Transaksi!$H$16:$H$5015,"Pengeluaran Gaji",Transaksi!$I$16:$I$5015,$B34,Transaksi!$B$16:$B$5015,"&gt;="&amp;DATE(Dashboard!$C$4,11,1),Transaksi!$B$16:$B$5015,"&lt;="&amp;EOMONTH(DATE(Dashboard!$C$4,11,1),0))+SUMIFS(Transaksi!$F$16:$F$5015,Transaksi!$G$16:$G$5015,"Pengeluaran",Transaksi!$H$16:$H$5015,"Pengeluaran Jasa",Transaksi!$I$16:$I$5015,$B34,Transaksi!$B$16:$B$5015,"&gt;="&amp;DATE(Dashboard!$C$4,11,1),Transaksi!$B$16:$B$5015,"&lt;="&amp;EOMONTH(DATE(Dashboard!$C$4,11,1),0)))</f>
        <v/>
      </c>
      <c r="O34" s="106">
        <f>IF(OR($B34="",DATE(Dashboard!$C$4,12,1)&gt;TODAY()),"",SUMIFS(Transaksi!$F$16:$F$5015,Transaksi!$G$16:$G$5015,"Pengeluaran",Transaksi!$H$16:$H$5015,"Pengeluaran Gaji",Transaksi!$I$16:$I$5015,$B34,Transaksi!$B$16:$B$5015,"&gt;="&amp;DATE(Dashboard!$C$4,12,1),Transaksi!$B$16:$B$5015,"&lt;="&amp;EOMONTH(DATE(Dashboard!$C$4,12,1),0))+SUMIFS(Transaksi!$F$16:$F$5015,Transaksi!$G$16:$G$5015,"Pengeluaran",Transaksi!$H$16:$H$5015,"Pengeluaran Jasa",Transaksi!$I$16:$I$5015,$B34,Transaksi!$B$16:$B$5015,"&gt;="&amp;DATE(Dashboard!$C$4,12,1),Transaksi!$B$16:$B$5015,"&lt;="&amp;EOMONTH(DATE(Dashboard!$C$4,12,1),0)))</f>
        <v/>
      </c>
      <c r="P34" s="113">
        <f>IF($B34="","",SUM(D34:O34))</f>
        <v/>
      </c>
      <c r="Q34" s="106">
        <f>IF($B34="","",P34/MAX(1,COUNT(D34:O34)))</f>
        <v/>
      </c>
    </row>
    <row r="35" ht="15" customHeight="1" s="94">
      <c r="B35" s="127" t="n"/>
      <c r="C35" s="163" t="n"/>
      <c r="D35" s="106">
        <f>IF(OR($B35="",DATE(Dashboard!$C$4,1,1)&gt;TODAY()),"",SUMIFS(Transaksi!$F$16:$F$5015,Transaksi!$G$16:$G$5015,"Pengeluaran",Transaksi!$H$16:$H$5015,"Pengeluaran Gaji",Transaksi!$I$16:$I$5015,$B35,Transaksi!$B$16:$B$5015,"&gt;="&amp;DATE(Dashboard!$C$4,1,1),Transaksi!$B$16:$B$5015,"&lt;="&amp;EOMONTH(DATE(Dashboard!$C$4,1,1),0))+SUMIFS(Transaksi!$F$16:$F$5015,Transaksi!$G$16:$G$5015,"Pengeluaran",Transaksi!$H$16:$H$5015,"Pengeluaran Jasa",Transaksi!$I$16:$I$5015,$B35,Transaksi!$B$16:$B$5015,"&gt;="&amp;DATE(Dashboard!$C$4,1,1),Transaksi!$B$16:$B$5015,"&lt;="&amp;EOMONTH(DATE(Dashboard!$C$4,1,1),0)))</f>
        <v/>
      </c>
      <c r="E35" s="106">
        <f>IF(OR($B35="",DATE(Dashboard!$C$4,2,1)&gt;TODAY()),"",SUMIFS(Transaksi!$F$16:$F$5015,Transaksi!$G$16:$G$5015,"Pengeluaran",Transaksi!$H$16:$H$5015,"Pengeluaran Gaji",Transaksi!$I$16:$I$5015,$B35,Transaksi!$B$16:$B$5015,"&gt;="&amp;DATE(Dashboard!$C$4,2,1),Transaksi!$B$16:$B$5015,"&lt;="&amp;EOMONTH(DATE(Dashboard!$C$4,2,1),0))+SUMIFS(Transaksi!$F$16:$F$5015,Transaksi!$G$16:$G$5015,"Pengeluaran",Transaksi!$H$16:$H$5015,"Pengeluaran Jasa",Transaksi!$I$16:$I$5015,$B35,Transaksi!$B$16:$B$5015,"&gt;="&amp;DATE(Dashboard!$C$4,2,1),Transaksi!$B$16:$B$5015,"&lt;="&amp;EOMONTH(DATE(Dashboard!$C$4,2,1),0)))</f>
        <v/>
      </c>
      <c r="F35" s="106">
        <f>IF(OR($B35="",DATE(Dashboard!$C$4,3,1)&gt;TODAY()),"",SUMIFS(Transaksi!$F$16:$F$5015,Transaksi!$G$16:$G$5015,"Pengeluaran",Transaksi!$H$16:$H$5015,"Pengeluaran Gaji",Transaksi!$I$16:$I$5015,$B35,Transaksi!$B$16:$B$5015,"&gt;="&amp;DATE(Dashboard!$C$4,3,1),Transaksi!$B$16:$B$5015,"&lt;="&amp;EOMONTH(DATE(Dashboard!$C$4,3,1),0))+SUMIFS(Transaksi!$F$16:$F$5015,Transaksi!$G$16:$G$5015,"Pengeluaran",Transaksi!$H$16:$H$5015,"Pengeluaran Jasa",Transaksi!$I$16:$I$5015,$B35,Transaksi!$B$16:$B$5015,"&gt;="&amp;DATE(Dashboard!$C$4,3,1),Transaksi!$B$16:$B$5015,"&lt;="&amp;EOMONTH(DATE(Dashboard!$C$4,3,1),0)))</f>
        <v/>
      </c>
      <c r="G35" s="106">
        <f>IF(OR($B35="",DATE(Dashboard!$C$4,4,1)&gt;TODAY()),"",SUMIFS(Transaksi!$F$16:$F$5015,Transaksi!$G$16:$G$5015,"Pengeluaran",Transaksi!$H$16:$H$5015,"Pengeluaran Gaji",Transaksi!$I$16:$I$5015,$B35,Transaksi!$B$16:$B$5015,"&gt;="&amp;DATE(Dashboard!$C$4,4,1),Transaksi!$B$16:$B$5015,"&lt;="&amp;EOMONTH(DATE(Dashboard!$C$4,4,1),0))+SUMIFS(Transaksi!$F$16:$F$5015,Transaksi!$G$16:$G$5015,"Pengeluaran",Transaksi!$H$16:$H$5015,"Pengeluaran Jasa",Transaksi!$I$16:$I$5015,$B35,Transaksi!$B$16:$B$5015,"&gt;="&amp;DATE(Dashboard!$C$4,4,1),Transaksi!$B$16:$B$5015,"&lt;="&amp;EOMONTH(DATE(Dashboard!$C$4,4,1),0)))</f>
        <v/>
      </c>
      <c r="H35" s="106">
        <f>IF(OR($B35="",DATE(Dashboard!$C$4,5,1)&gt;TODAY()),"",SUMIFS(Transaksi!$F$16:$F$5015,Transaksi!$G$16:$G$5015,"Pengeluaran",Transaksi!$H$16:$H$5015,"Pengeluaran Gaji",Transaksi!$I$16:$I$5015,$B35,Transaksi!$B$16:$B$5015,"&gt;="&amp;DATE(Dashboard!$C$4,5,1),Transaksi!$B$16:$B$5015,"&lt;="&amp;EOMONTH(DATE(Dashboard!$C$4,5,1),0))+SUMIFS(Transaksi!$F$16:$F$5015,Transaksi!$G$16:$G$5015,"Pengeluaran",Transaksi!$H$16:$H$5015,"Pengeluaran Jasa",Transaksi!$I$16:$I$5015,$B35,Transaksi!$B$16:$B$5015,"&gt;="&amp;DATE(Dashboard!$C$4,5,1),Transaksi!$B$16:$B$5015,"&lt;="&amp;EOMONTH(DATE(Dashboard!$C$4,5,1),0)))</f>
        <v/>
      </c>
      <c r="I35" s="106">
        <f>IF(OR($B35="",DATE(Dashboard!$C$4,6,1)&gt;TODAY()),"",SUMIFS(Transaksi!$F$16:$F$5015,Transaksi!$G$16:$G$5015,"Pengeluaran",Transaksi!$H$16:$H$5015,"Pengeluaran Gaji",Transaksi!$I$16:$I$5015,$B35,Transaksi!$B$16:$B$5015,"&gt;="&amp;DATE(Dashboard!$C$4,6,1),Transaksi!$B$16:$B$5015,"&lt;="&amp;EOMONTH(DATE(Dashboard!$C$4,6,1),0))+SUMIFS(Transaksi!$F$16:$F$5015,Transaksi!$G$16:$G$5015,"Pengeluaran",Transaksi!$H$16:$H$5015,"Pengeluaran Jasa",Transaksi!$I$16:$I$5015,$B35,Transaksi!$B$16:$B$5015,"&gt;="&amp;DATE(Dashboard!$C$4,6,1),Transaksi!$B$16:$B$5015,"&lt;="&amp;EOMONTH(DATE(Dashboard!$C$4,6,1),0)))</f>
        <v/>
      </c>
      <c r="J35" s="106">
        <f>IF(OR($B35="",DATE(Dashboard!$C$4,7,1)&gt;TODAY()),"",SUMIFS(Transaksi!$F$16:$F$5015,Transaksi!$G$16:$G$5015,"Pengeluaran",Transaksi!$H$16:$H$5015,"Pengeluaran Gaji",Transaksi!$I$16:$I$5015,$B35,Transaksi!$B$16:$B$5015,"&gt;="&amp;DATE(Dashboard!$C$4,7,1),Transaksi!$B$16:$B$5015,"&lt;="&amp;EOMONTH(DATE(Dashboard!$C$4,7,1),0))+SUMIFS(Transaksi!$F$16:$F$5015,Transaksi!$G$16:$G$5015,"Pengeluaran",Transaksi!$H$16:$H$5015,"Pengeluaran Jasa",Transaksi!$I$16:$I$5015,$B35,Transaksi!$B$16:$B$5015,"&gt;="&amp;DATE(Dashboard!$C$4,7,1),Transaksi!$B$16:$B$5015,"&lt;="&amp;EOMONTH(DATE(Dashboard!$C$4,7,1),0)))</f>
        <v/>
      </c>
      <c r="K35" s="106">
        <f>IF(OR($B35="",DATE(Dashboard!$C$4,8,1)&gt;TODAY()),"",SUMIFS(Transaksi!$F$16:$F$5015,Transaksi!$G$16:$G$5015,"Pengeluaran",Transaksi!$H$16:$H$5015,"Pengeluaran Gaji",Transaksi!$I$16:$I$5015,$B35,Transaksi!$B$16:$B$5015,"&gt;="&amp;DATE(Dashboard!$C$4,8,1),Transaksi!$B$16:$B$5015,"&lt;="&amp;EOMONTH(DATE(Dashboard!$C$4,8,1),0))+SUMIFS(Transaksi!$F$16:$F$5015,Transaksi!$G$16:$G$5015,"Pengeluaran",Transaksi!$H$16:$H$5015,"Pengeluaran Jasa",Transaksi!$I$16:$I$5015,$B35,Transaksi!$B$16:$B$5015,"&gt;="&amp;DATE(Dashboard!$C$4,8,1),Transaksi!$B$16:$B$5015,"&lt;="&amp;EOMONTH(DATE(Dashboard!$C$4,8,1),0)))</f>
        <v/>
      </c>
      <c r="L35" s="106">
        <f>IF(OR($B35="",DATE(Dashboard!$C$4,9,1)&gt;TODAY()),"",SUMIFS(Transaksi!$F$16:$F$5015,Transaksi!$G$16:$G$5015,"Pengeluaran",Transaksi!$H$16:$H$5015,"Pengeluaran Gaji",Transaksi!$I$16:$I$5015,$B35,Transaksi!$B$16:$B$5015,"&gt;="&amp;DATE(Dashboard!$C$4,9,1),Transaksi!$B$16:$B$5015,"&lt;="&amp;EOMONTH(DATE(Dashboard!$C$4,9,1),0))+SUMIFS(Transaksi!$F$16:$F$5015,Transaksi!$G$16:$G$5015,"Pengeluaran",Transaksi!$H$16:$H$5015,"Pengeluaran Jasa",Transaksi!$I$16:$I$5015,$B35,Transaksi!$B$16:$B$5015,"&gt;="&amp;DATE(Dashboard!$C$4,9,1),Transaksi!$B$16:$B$5015,"&lt;="&amp;EOMONTH(DATE(Dashboard!$C$4,9,1),0)))</f>
        <v/>
      </c>
      <c r="M35" s="106">
        <f>IF(OR($B35="",DATE(Dashboard!$C$4,10,1)&gt;TODAY()),"",SUMIFS(Transaksi!$F$16:$F$5015,Transaksi!$G$16:$G$5015,"Pengeluaran",Transaksi!$H$16:$H$5015,"Pengeluaran Gaji",Transaksi!$I$16:$I$5015,$B35,Transaksi!$B$16:$B$5015,"&gt;="&amp;DATE(Dashboard!$C$4,10,1),Transaksi!$B$16:$B$5015,"&lt;="&amp;EOMONTH(DATE(Dashboard!$C$4,10,1),0))+SUMIFS(Transaksi!$F$16:$F$5015,Transaksi!$G$16:$G$5015,"Pengeluaran",Transaksi!$H$16:$H$5015,"Pengeluaran Jasa",Transaksi!$I$16:$I$5015,$B35,Transaksi!$B$16:$B$5015,"&gt;="&amp;DATE(Dashboard!$C$4,10,1),Transaksi!$B$16:$B$5015,"&lt;="&amp;EOMONTH(DATE(Dashboard!$C$4,10,1),0)))</f>
        <v/>
      </c>
      <c r="N35" s="106">
        <f>IF(OR($B35="",DATE(Dashboard!$C$4,11,1)&gt;TODAY()),"",SUMIFS(Transaksi!$F$16:$F$5015,Transaksi!$G$16:$G$5015,"Pengeluaran",Transaksi!$H$16:$H$5015,"Pengeluaran Gaji",Transaksi!$I$16:$I$5015,$B35,Transaksi!$B$16:$B$5015,"&gt;="&amp;DATE(Dashboard!$C$4,11,1),Transaksi!$B$16:$B$5015,"&lt;="&amp;EOMONTH(DATE(Dashboard!$C$4,11,1),0))+SUMIFS(Transaksi!$F$16:$F$5015,Transaksi!$G$16:$G$5015,"Pengeluaran",Transaksi!$H$16:$H$5015,"Pengeluaran Jasa",Transaksi!$I$16:$I$5015,$B35,Transaksi!$B$16:$B$5015,"&gt;="&amp;DATE(Dashboard!$C$4,11,1),Transaksi!$B$16:$B$5015,"&lt;="&amp;EOMONTH(DATE(Dashboard!$C$4,11,1),0)))</f>
        <v/>
      </c>
      <c r="O35" s="106">
        <f>IF(OR($B35="",DATE(Dashboard!$C$4,12,1)&gt;TODAY()),"",SUMIFS(Transaksi!$F$16:$F$5015,Transaksi!$G$16:$G$5015,"Pengeluaran",Transaksi!$H$16:$H$5015,"Pengeluaran Gaji",Transaksi!$I$16:$I$5015,$B35,Transaksi!$B$16:$B$5015,"&gt;="&amp;DATE(Dashboard!$C$4,12,1),Transaksi!$B$16:$B$5015,"&lt;="&amp;EOMONTH(DATE(Dashboard!$C$4,12,1),0))+SUMIFS(Transaksi!$F$16:$F$5015,Transaksi!$G$16:$G$5015,"Pengeluaran",Transaksi!$H$16:$H$5015,"Pengeluaran Jasa",Transaksi!$I$16:$I$5015,$B35,Transaksi!$B$16:$B$5015,"&gt;="&amp;DATE(Dashboard!$C$4,12,1),Transaksi!$B$16:$B$5015,"&lt;="&amp;EOMONTH(DATE(Dashboard!$C$4,12,1),0)))</f>
        <v/>
      </c>
      <c r="P35" s="113">
        <f>IF($B35="","",SUM(D35:O35))</f>
        <v/>
      </c>
      <c r="Q35" s="106">
        <f>IF($B35="","",P35/MAX(1,COUNT(D35:O35)))</f>
        <v/>
      </c>
    </row>
    <row r="36" ht="15" customHeight="1" s="94">
      <c r="B36" s="127" t="inlineStr">
        <is>
          <t>TOTAL</t>
        </is>
      </c>
      <c r="C36" s="113">
        <f>SUM(C6:C35)</f>
        <v/>
      </c>
      <c r="D36" s="113">
        <f>SUM(D6:D35)</f>
        <v/>
      </c>
      <c r="E36" s="113">
        <f>SUM(E6:E35)</f>
        <v/>
      </c>
      <c r="F36" s="113">
        <f>SUM(F6:F35)</f>
        <v/>
      </c>
      <c r="G36" s="113">
        <f>SUM(G6:G35)</f>
        <v/>
      </c>
      <c r="H36" s="113">
        <f>SUM(H6:H35)</f>
        <v/>
      </c>
      <c r="I36" s="113">
        <f>SUM(I6:I35)</f>
        <v/>
      </c>
      <c r="J36" s="113">
        <f>SUM(J6:J35)</f>
        <v/>
      </c>
      <c r="K36" s="113">
        <f>SUM(K6:K35)</f>
        <v/>
      </c>
      <c r="L36" s="113">
        <f>SUM(L6:L35)</f>
        <v/>
      </c>
      <c r="M36" s="113">
        <f>SUM(M6:M35)</f>
        <v/>
      </c>
      <c r="N36" s="113">
        <f>SUM(N6:N35)</f>
        <v/>
      </c>
      <c r="O36" s="113">
        <f>SUM(O6:O35)</f>
        <v/>
      </c>
      <c r="P36" s="113">
        <f>SUM(P6:P35)</f>
        <v/>
      </c>
    </row>
  </sheetData>
  <mergeCells count="2">
    <mergeCell ref="A2:L2"/>
    <mergeCell ref="A1:L1"/>
  </mergeCells>
  <conditionalFormatting sqref="D6:O35">
    <cfRule type="expression" rank="0" priority="2" equalAverage="0" aboveAverage="0" dxfId="25" text="" percent="0" bottom="0">
      <formula>AND(ISNUMBER(D6),$C6&gt;0,D6&gt;$C6)</formula>
    </cfRule>
    <cfRule type="expression" rank="0" priority="3" equalAverage="0" aboveAverage="0" dxfId="26" text="" percent="0" bottom="0">
      <formula>AND(ISNUMBER(D6),$C6&gt;0,D6&gt;=0.8*$C6)</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P304"/>
  <sheetViews>
    <sheetView showFormulas="0" showGridLines="0"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baseColWidth="8" defaultColWidth="8.7421875" defaultRowHeight="15" zeroHeight="0" outlineLevelRow="0"/>
  <cols>
    <col width="13.03" customWidth="1" style="93" min="1" max="1"/>
    <col width="23.94" customWidth="1" style="93" min="2" max="2"/>
    <col width="36.05" customWidth="1" style="93" min="3" max="3"/>
    <col width="13.03" customWidth="1" style="93" min="4" max="16"/>
  </cols>
  <sheetData>
    <row r="1" ht="30" customHeight="1" s="94">
      <c r="A1" s="95" t="inlineStr">
        <is>
          <t>LAPORAN PER KATEGORI PER BULAN</t>
        </is>
      </c>
    </row>
    <row r="2" ht="30" customHeight="1" s="94">
      <c r="A2" s="98" t="inlineStr">
        <is>
          <t>Tahun mengikuti Dashboard. Baris mengikuti daftar di tab Kategori (kategori baru otomatis muncul). Untuk melihat transaksinya: tab Transaksi → pilih kategori + tanggal.</t>
        </is>
      </c>
    </row>
    <row r="3"/>
    <row r="4" ht="15" customHeight="1" s="94">
      <c r="A4" s="103" t="inlineStr">
        <is>
          <t>Tujuan</t>
        </is>
      </c>
      <c r="B4" s="103" t="inlineStr">
        <is>
          <t>Sumber</t>
        </is>
      </c>
      <c r="C4" s="103" t="inlineStr">
        <is>
          <t>Kategori</t>
        </is>
      </c>
      <c r="D4" s="103" t="inlineStr">
        <is>
          <t>Jan</t>
        </is>
      </c>
      <c r="E4" s="103" t="inlineStr">
        <is>
          <t>Feb</t>
        </is>
      </c>
      <c r="F4" s="103" t="inlineStr">
        <is>
          <t>Mar</t>
        </is>
      </c>
      <c r="G4" s="103" t="inlineStr">
        <is>
          <t>Apr</t>
        </is>
      </c>
      <c r="H4" s="103" t="inlineStr">
        <is>
          <t>Mei</t>
        </is>
      </c>
      <c r="I4" s="103" t="inlineStr">
        <is>
          <t>Jun</t>
        </is>
      </c>
      <c r="J4" s="103" t="inlineStr">
        <is>
          <t>Jul</t>
        </is>
      </c>
      <c r="K4" s="103" t="inlineStr">
        <is>
          <t>Agu</t>
        </is>
      </c>
      <c r="L4" s="103" t="inlineStr">
        <is>
          <t>Sep</t>
        </is>
      </c>
      <c r="M4" s="103" t="inlineStr">
        <is>
          <t>Okt</t>
        </is>
      </c>
      <c r="N4" s="103" t="inlineStr">
        <is>
          <t>Nov</t>
        </is>
      </c>
      <c r="O4" s="103" t="inlineStr">
        <is>
          <t>Des</t>
        </is>
      </c>
      <c r="P4" s="103" t="inlineStr">
        <is>
          <t>Total</t>
        </is>
      </c>
    </row>
    <row r="5" ht="15" customHeight="1" s="94">
      <c r="A5" s="164">
        <f>IF(Kategori!C5="","",Kategori!A5)</f>
        <v/>
      </c>
      <c r="B5" s="164">
        <f>IF(Kategori!C5="","",Kategori!B5)</f>
        <v/>
      </c>
      <c r="C5" s="108">
        <f>IF(Kategori!C5="","",Kategori!C5)</f>
        <v/>
      </c>
      <c r="D5" s="165">
        <f>IF($C5="","",SUMIFS(Transaksi!$F$16:$F$5015,Transaksi!$G$16:$G$5015,$A5,Transaksi!$H$16:$H$5015,$B5,Transaksi!$I$16:$I$5015,$C5,Transaksi!$B$16:$B$5015,"&gt;="&amp;DATE(Dashboard!$C$4,1,1),Transaksi!$B$16:$B$5015,"&lt;="&amp;EOMONTH(DATE(Dashboard!$C$4,1,1),0)))</f>
        <v/>
      </c>
      <c r="E5" s="165">
        <f>IF($C5="","",SUMIFS(Transaksi!$F$16:$F$5015,Transaksi!$G$16:$G$5015,$A5,Transaksi!$H$16:$H$5015,$B5,Transaksi!$I$16:$I$5015,$C5,Transaksi!$B$16:$B$5015,"&gt;="&amp;DATE(Dashboard!$C$4,2,1),Transaksi!$B$16:$B$5015,"&lt;="&amp;EOMONTH(DATE(Dashboard!$C$4,2,1),0)))</f>
        <v/>
      </c>
      <c r="F5" s="165">
        <f>IF($C5="","",SUMIFS(Transaksi!$F$16:$F$5015,Transaksi!$G$16:$G$5015,$A5,Transaksi!$H$16:$H$5015,$B5,Transaksi!$I$16:$I$5015,$C5,Transaksi!$B$16:$B$5015,"&gt;="&amp;DATE(Dashboard!$C$4,3,1),Transaksi!$B$16:$B$5015,"&lt;="&amp;EOMONTH(DATE(Dashboard!$C$4,3,1),0)))</f>
        <v/>
      </c>
      <c r="G5" s="165">
        <f>IF($C5="","",SUMIFS(Transaksi!$F$16:$F$5015,Transaksi!$G$16:$G$5015,$A5,Transaksi!$H$16:$H$5015,$B5,Transaksi!$I$16:$I$5015,$C5,Transaksi!$B$16:$B$5015,"&gt;="&amp;DATE(Dashboard!$C$4,4,1),Transaksi!$B$16:$B$5015,"&lt;="&amp;EOMONTH(DATE(Dashboard!$C$4,4,1),0)))</f>
        <v/>
      </c>
      <c r="H5" s="165">
        <f>IF($C5="","",SUMIFS(Transaksi!$F$16:$F$5015,Transaksi!$G$16:$G$5015,$A5,Transaksi!$H$16:$H$5015,$B5,Transaksi!$I$16:$I$5015,$C5,Transaksi!$B$16:$B$5015,"&gt;="&amp;DATE(Dashboard!$C$4,5,1),Transaksi!$B$16:$B$5015,"&lt;="&amp;EOMONTH(DATE(Dashboard!$C$4,5,1),0)))</f>
        <v/>
      </c>
      <c r="I5" s="165">
        <f>IF($C5="","",SUMIFS(Transaksi!$F$16:$F$5015,Transaksi!$G$16:$G$5015,$A5,Transaksi!$H$16:$H$5015,$B5,Transaksi!$I$16:$I$5015,$C5,Transaksi!$B$16:$B$5015,"&gt;="&amp;DATE(Dashboard!$C$4,6,1),Transaksi!$B$16:$B$5015,"&lt;="&amp;EOMONTH(DATE(Dashboard!$C$4,6,1),0)))</f>
        <v/>
      </c>
      <c r="J5" s="165">
        <f>IF($C5="","",SUMIFS(Transaksi!$F$16:$F$5015,Transaksi!$G$16:$G$5015,$A5,Transaksi!$H$16:$H$5015,$B5,Transaksi!$I$16:$I$5015,$C5,Transaksi!$B$16:$B$5015,"&gt;="&amp;DATE(Dashboard!$C$4,7,1),Transaksi!$B$16:$B$5015,"&lt;="&amp;EOMONTH(DATE(Dashboard!$C$4,7,1),0)))</f>
        <v/>
      </c>
      <c r="K5" s="165">
        <f>IF($C5="","",SUMIFS(Transaksi!$F$16:$F$5015,Transaksi!$G$16:$G$5015,$A5,Transaksi!$H$16:$H$5015,$B5,Transaksi!$I$16:$I$5015,$C5,Transaksi!$B$16:$B$5015,"&gt;="&amp;DATE(Dashboard!$C$4,8,1),Transaksi!$B$16:$B$5015,"&lt;="&amp;EOMONTH(DATE(Dashboard!$C$4,8,1),0)))</f>
        <v/>
      </c>
      <c r="L5" s="165">
        <f>IF($C5="","",SUMIFS(Transaksi!$F$16:$F$5015,Transaksi!$G$16:$G$5015,$A5,Transaksi!$H$16:$H$5015,$B5,Transaksi!$I$16:$I$5015,$C5,Transaksi!$B$16:$B$5015,"&gt;="&amp;DATE(Dashboard!$C$4,9,1),Transaksi!$B$16:$B$5015,"&lt;="&amp;EOMONTH(DATE(Dashboard!$C$4,9,1),0)))</f>
        <v/>
      </c>
      <c r="M5" s="165">
        <f>IF($C5="","",SUMIFS(Transaksi!$F$16:$F$5015,Transaksi!$G$16:$G$5015,$A5,Transaksi!$H$16:$H$5015,$B5,Transaksi!$I$16:$I$5015,$C5,Transaksi!$B$16:$B$5015,"&gt;="&amp;DATE(Dashboard!$C$4,10,1),Transaksi!$B$16:$B$5015,"&lt;="&amp;EOMONTH(DATE(Dashboard!$C$4,10,1),0)))</f>
        <v/>
      </c>
      <c r="N5" s="165">
        <f>IF($C5="","",SUMIFS(Transaksi!$F$16:$F$5015,Transaksi!$G$16:$G$5015,$A5,Transaksi!$H$16:$H$5015,$B5,Transaksi!$I$16:$I$5015,$C5,Transaksi!$B$16:$B$5015,"&gt;="&amp;DATE(Dashboard!$C$4,11,1),Transaksi!$B$16:$B$5015,"&lt;="&amp;EOMONTH(DATE(Dashboard!$C$4,11,1),0)))</f>
        <v/>
      </c>
      <c r="O5" s="165">
        <f>IF($C5="","",SUMIFS(Transaksi!$F$16:$F$5015,Transaksi!$G$16:$G$5015,$A5,Transaksi!$H$16:$H$5015,$B5,Transaksi!$I$16:$I$5015,$C5,Transaksi!$B$16:$B$5015,"&gt;="&amp;DATE(Dashboard!$C$4,12,1),Transaksi!$B$16:$B$5015,"&lt;="&amp;EOMONTH(DATE(Dashboard!$C$4,12,1),0)))</f>
        <v/>
      </c>
      <c r="P5" s="166">
        <f>IF($C5="","",SUM(D5:O5))</f>
        <v/>
      </c>
    </row>
    <row r="6" ht="15" customHeight="1" s="94">
      <c r="A6" s="164">
        <f>IF(Kategori!C6="","",Kategori!A6)</f>
        <v/>
      </c>
      <c r="B6" s="164">
        <f>IF(Kategori!C6="","",Kategori!B6)</f>
        <v/>
      </c>
      <c r="C6" s="108">
        <f>IF(Kategori!C6="","",Kategori!C6)</f>
        <v/>
      </c>
      <c r="D6" s="165">
        <f>IF($C6="","",SUMIFS(Transaksi!$F$16:$F$5015,Transaksi!$G$16:$G$5015,$A6,Transaksi!$H$16:$H$5015,$B6,Transaksi!$I$16:$I$5015,$C6,Transaksi!$B$16:$B$5015,"&gt;="&amp;DATE(Dashboard!$C$4,1,1),Transaksi!$B$16:$B$5015,"&lt;="&amp;EOMONTH(DATE(Dashboard!$C$4,1,1),0)))</f>
        <v/>
      </c>
      <c r="E6" s="165">
        <f>IF($C6="","",SUMIFS(Transaksi!$F$16:$F$5015,Transaksi!$G$16:$G$5015,$A6,Transaksi!$H$16:$H$5015,$B6,Transaksi!$I$16:$I$5015,$C6,Transaksi!$B$16:$B$5015,"&gt;="&amp;DATE(Dashboard!$C$4,2,1),Transaksi!$B$16:$B$5015,"&lt;="&amp;EOMONTH(DATE(Dashboard!$C$4,2,1),0)))</f>
        <v/>
      </c>
      <c r="F6" s="165">
        <f>IF($C6="","",SUMIFS(Transaksi!$F$16:$F$5015,Transaksi!$G$16:$G$5015,$A6,Transaksi!$H$16:$H$5015,$B6,Transaksi!$I$16:$I$5015,$C6,Transaksi!$B$16:$B$5015,"&gt;="&amp;DATE(Dashboard!$C$4,3,1),Transaksi!$B$16:$B$5015,"&lt;="&amp;EOMONTH(DATE(Dashboard!$C$4,3,1),0)))</f>
        <v/>
      </c>
      <c r="G6" s="165">
        <f>IF($C6="","",SUMIFS(Transaksi!$F$16:$F$5015,Transaksi!$G$16:$G$5015,$A6,Transaksi!$H$16:$H$5015,$B6,Transaksi!$I$16:$I$5015,$C6,Transaksi!$B$16:$B$5015,"&gt;="&amp;DATE(Dashboard!$C$4,4,1),Transaksi!$B$16:$B$5015,"&lt;="&amp;EOMONTH(DATE(Dashboard!$C$4,4,1),0)))</f>
        <v/>
      </c>
      <c r="H6" s="165">
        <f>IF($C6="","",SUMIFS(Transaksi!$F$16:$F$5015,Transaksi!$G$16:$G$5015,$A6,Transaksi!$H$16:$H$5015,$B6,Transaksi!$I$16:$I$5015,$C6,Transaksi!$B$16:$B$5015,"&gt;="&amp;DATE(Dashboard!$C$4,5,1),Transaksi!$B$16:$B$5015,"&lt;="&amp;EOMONTH(DATE(Dashboard!$C$4,5,1),0)))</f>
        <v/>
      </c>
      <c r="I6" s="165">
        <f>IF($C6="","",SUMIFS(Transaksi!$F$16:$F$5015,Transaksi!$G$16:$G$5015,$A6,Transaksi!$H$16:$H$5015,$B6,Transaksi!$I$16:$I$5015,$C6,Transaksi!$B$16:$B$5015,"&gt;="&amp;DATE(Dashboard!$C$4,6,1),Transaksi!$B$16:$B$5015,"&lt;="&amp;EOMONTH(DATE(Dashboard!$C$4,6,1),0)))</f>
        <v/>
      </c>
      <c r="J6" s="165">
        <f>IF($C6="","",SUMIFS(Transaksi!$F$16:$F$5015,Transaksi!$G$16:$G$5015,$A6,Transaksi!$H$16:$H$5015,$B6,Transaksi!$I$16:$I$5015,$C6,Transaksi!$B$16:$B$5015,"&gt;="&amp;DATE(Dashboard!$C$4,7,1),Transaksi!$B$16:$B$5015,"&lt;="&amp;EOMONTH(DATE(Dashboard!$C$4,7,1),0)))</f>
        <v/>
      </c>
      <c r="K6" s="165">
        <f>IF($C6="","",SUMIFS(Transaksi!$F$16:$F$5015,Transaksi!$G$16:$G$5015,$A6,Transaksi!$H$16:$H$5015,$B6,Transaksi!$I$16:$I$5015,$C6,Transaksi!$B$16:$B$5015,"&gt;="&amp;DATE(Dashboard!$C$4,8,1),Transaksi!$B$16:$B$5015,"&lt;="&amp;EOMONTH(DATE(Dashboard!$C$4,8,1),0)))</f>
        <v/>
      </c>
      <c r="L6" s="165">
        <f>IF($C6="","",SUMIFS(Transaksi!$F$16:$F$5015,Transaksi!$G$16:$G$5015,$A6,Transaksi!$H$16:$H$5015,$B6,Transaksi!$I$16:$I$5015,$C6,Transaksi!$B$16:$B$5015,"&gt;="&amp;DATE(Dashboard!$C$4,9,1),Transaksi!$B$16:$B$5015,"&lt;="&amp;EOMONTH(DATE(Dashboard!$C$4,9,1),0)))</f>
        <v/>
      </c>
      <c r="M6" s="165">
        <f>IF($C6="","",SUMIFS(Transaksi!$F$16:$F$5015,Transaksi!$G$16:$G$5015,$A6,Transaksi!$H$16:$H$5015,$B6,Transaksi!$I$16:$I$5015,$C6,Transaksi!$B$16:$B$5015,"&gt;="&amp;DATE(Dashboard!$C$4,10,1),Transaksi!$B$16:$B$5015,"&lt;="&amp;EOMONTH(DATE(Dashboard!$C$4,10,1),0)))</f>
        <v/>
      </c>
      <c r="N6" s="165">
        <f>IF($C6="","",SUMIFS(Transaksi!$F$16:$F$5015,Transaksi!$G$16:$G$5015,$A6,Transaksi!$H$16:$H$5015,$B6,Transaksi!$I$16:$I$5015,$C6,Transaksi!$B$16:$B$5015,"&gt;="&amp;DATE(Dashboard!$C$4,11,1),Transaksi!$B$16:$B$5015,"&lt;="&amp;EOMONTH(DATE(Dashboard!$C$4,11,1),0)))</f>
        <v/>
      </c>
      <c r="O6" s="165">
        <f>IF($C6="","",SUMIFS(Transaksi!$F$16:$F$5015,Transaksi!$G$16:$G$5015,$A6,Transaksi!$H$16:$H$5015,$B6,Transaksi!$I$16:$I$5015,$C6,Transaksi!$B$16:$B$5015,"&gt;="&amp;DATE(Dashboard!$C$4,12,1),Transaksi!$B$16:$B$5015,"&lt;="&amp;EOMONTH(DATE(Dashboard!$C$4,12,1),0)))</f>
        <v/>
      </c>
      <c r="P6" s="166">
        <f>IF($C6="","",SUM(D6:O6))</f>
        <v/>
      </c>
    </row>
    <row r="7" ht="15" customHeight="1" s="94">
      <c r="A7" s="164">
        <f>IF(Kategori!C7="","",Kategori!A7)</f>
        <v/>
      </c>
      <c r="B7" s="164">
        <f>IF(Kategori!C7="","",Kategori!B7)</f>
        <v/>
      </c>
      <c r="C7" s="108">
        <f>IF(Kategori!C7="","",Kategori!C7)</f>
        <v/>
      </c>
      <c r="D7" s="165">
        <f>IF($C7="","",SUMIFS(Transaksi!$F$16:$F$5015,Transaksi!$G$16:$G$5015,$A7,Transaksi!$H$16:$H$5015,$B7,Transaksi!$I$16:$I$5015,$C7,Transaksi!$B$16:$B$5015,"&gt;="&amp;DATE(Dashboard!$C$4,1,1),Transaksi!$B$16:$B$5015,"&lt;="&amp;EOMONTH(DATE(Dashboard!$C$4,1,1),0)))</f>
        <v/>
      </c>
      <c r="E7" s="165">
        <f>IF($C7="","",SUMIFS(Transaksi!$F$16:$F$5015,Transaksi!$G$16:$G$5015,$A7,Transaksi!$H$16:$H$5015,$B7,Transaksi!$I$16:$I$5015,$C7,Transaksi!$B$16:$B$5015,"&gt;="&amp;DATE(Dashboard!$C$4,2,1),Transaksi!$B$16:$B$5015,"&lt;="&amp;EOMONTH(DATE(Dashboard!$C$4,2,1),0)))</f>
        <v/>
      </c>
      <c r="F7" s="165">
        <f>IF($C7="","",SUMIFS(Transaksi!$F$16:$F$5015,Transaksi!$G$16:$G$5015,$A7,Transaksi!$H$16:$H$5015,$B7,Transaksi!$I$16:$I$5015,$C7,Transaksi!$B$16:$B$5015,"&gt;="&amp;DATE(Dashboard!$C$4,3,1),Transaksi!$B$16:$B$5015,"&lt;="&amp;EOMONTH(DATE(Dashboard!$C$4,3,1),0)))</f>
        <v/>
      </c>
      <c r="G7" s="165">
        <f>IF($C7="","",SUMIFS(Transaksi!$F$16:$F$5015,Transaksi!$G$16:$G$5015,$A7,Transaksi!$H$16:$H$5015,$B7,Transaksi!$I$16:$I$5015,$C7,Transaksi!$B$16:$B$5015,"&gt;="&amp;DATE(Dashboard!$C$4,4,1),Transaksi!$B$16:$B$5015,"&lt;="&amp;EOMONTH(DATE(Dashboard!$C$4,4,1),0)))</f>
        <v/>
      </c>
      <c r="H7" s="165">
        <f>IF($C7="","",SUMIFS(Transaksi!$F$16:$F$5015,Transaksi!$G$16:$G$5015,$A7,Transaksi!$H$16:$H$5015,$B7,Transaksi!$I$16:$I$5015,$C7,Transaksi!$B$16:$B$5015,"&gt;="&amp;DATE(Dashboard!$C$4,5,1),Transaksi!$B$16:$B$5015,"&lt;="&amp;EOMONTH(DATE(Dashboard!$C$4,5,1),0)))</f>
        <v/>
      </c>
      <c r="I7" s="165">
        <f>IF($C7="","",SUMIFS(Transaksi!$F$16:$F$5015,Transaksi!$G$16:$G$5015,$A7,Transaksi!$H$16:$H$5015,$B7,Transaksi!$I$16:$I$5015,$C7,Transaksi!$B$16:$B$5015,"&gt;="&amp;DATE(Dashboard!$C$4,6,1),Transaksi!$B$16:$B$5015,"&lt;="&amp;EOMONTH(DATE(Dashboard!$C$4,6,1),0)))</f>
        <v/>
      </c>
      <c r="J7" s="165">
        <f>IF($C7="","",SUMIFS(Transaksi!$F$16:$F$5015,Transaksi!$G$16:$G$5015,$A7,Transaksi!$H$16:$H$5015,$B7,Transaksi!$I$16:$I$5015,$C7,Transaksi!$B$16:$B$5015,"&gt;="&amp;DATE(Dashboard!$C$4,7,1),Transaksi!$B$16:$B$5015,"&lt;="&amp;EOMONTH(DATE(Dashboard!$C$4,7,1),0)))</f>
        <v/>
      </c>
      <c r="K7" s="165">
        <f>IF($C7="","",SUMIFS(Transaksi!$F$16:$F$5015,Transaksi!$G$16:$G$5015,$A7,Transaksi!$H$16:$H$5015,$B7,Transaksi!$I$16:$I$5015,$C7,Transaksi!$B$16:$B$5015,"&gt;="&amp;DATE(Dashboard!$C$4,8,1),Transaksi!$B$16:$B$5015,"&lt;="&amp;EOMONTH(DATE(Dashboard!$C$4,8,1),0)))</f>
        <v/>
      </c>
      <c r="L7" s="165">
        <f>IF($C7="","",SUMIFS(Transaksi!$F$16:$F$5015,Transaksi!$G$16:$G$5015,$A7,Transaksi!$H$16:$H$5015,$B7,Transaksi!$I$16:$I$5015,$C7,Transaksi!$B$16:$B$5015,"&gt;="&amp;DATE(Dashboard!$C$4,9,1),Transaksi!$B$16:$B$5015,"&lt;="&amp;EOMONTH(DATE(Dashboard!$C$4,9,1),0)))</f>
        <v/>
      </c>
      <c r="M7" s="165">
        <f>IF($C7="","",SUMIFS(Transaksi!$F$16:$F$5015,Transaksi!$G$16:$G$5015,$A7,Transaksi!$H$16:$H$5015,$B7,Transaksi!$I$16:$I$5015,$C7,Transaksi!$B$16:$B$5015,"&gt;="&amp;DATE(Dashboard!$C$4,10,1),Transaksi!$B$16:$B$5015,"&lt;="&amp;EOMONTH(DATE(Dashboard!$C$4,10,1),0)))</f>
        <v/>
      </c>
      <c r="N7" s="165">
        <f>IF($C7="","",SUMIFS(Transaksi!$F$16:$F$5015,Transaksi!$G$16:$G$5015,$A7,Transaksi!$H$16:$H$5015,$B7,Transaksi!$I$16:$I$5015,$C7,Transaksi!$B$16:$B$5015,"&gt;="&amp;DATE(Dashboard!$C$4,11,1),Transaksi!$B$16:$B$5015,"&lt;="&amp;EOMONTH(DATE(Dashboard!$C$4,11,1),0)))</f>
        <v/>
      </c>
      <c r="O7" s="165">
        <f>IF($C7="","",SUMIFS(Transaksi!$F$16:$F$5015,Transaksi!$G$16:$G$5015,$A7,Transaksi!$H$16:$H$5015,$B7,Transaksi!$I$16:$I$5015,$C7,Transaksi!$B$16:$B$5015,"&gt;="&amp;DATE(Dashboard!$C$4,12,1),Transaksi!$B$16:$B$5015,"&lt;="&amp;EOMONTH(DATE(Dashboard!$C$4,12,1),0)))</f>
        <v/>
      </c>
      <c r="P7" s="166">
        <f>IF($C7="","",SUM(D7:O7))</f>
        <v/>
      </c>
    </row>
    <row r="8" ht="15" customHeight="1" s="94">
      <c r="A8" s="164">
        <f>IF(Kategori!C8="","",Kategori!A8)</f>
        <v/>
      </c>
      <c r="B8" s="164">
        <f>IF(Kategori!C8="","",Kategori!B8)</f>
        <v/>
      </c>
      <c r="C8" s="108">
        <f>IF(Kategori!C8="","",Kategori!C8)</f>
        <v/>
      </c>
      <c r="D8" s="165">
        <f>IF($C8="","",SUMIFS(Transaksi!$F$16:$F$5015,Transaksi!$G$16:$G$5015,$A8,Transaksi!$H$16:$H$5015,$B8,Transaksi!$I$16:$I$5015,$C8,Transaksi!$B$16:$B$5015,"&gt;="&amp;DATE(Dashboard!$C$4,1,1),Transaksi!$B$16:$B$5015,"&lt;="&amp;EOMONTH(DATE(Dashboard!$C$4,1,1),0)))</f>
        <v/>
      </c>
      <c r="E8" s="165">
        <f>IF($C8="","",SUMIFS(Transaksi!$F$16:$F$5015,Transaksi!$G$16:$G$5015,$A8,Transaksi!$H$16:$H$5015,$B8,Transaksi!$I$16:$I$5015,$C8,Transaksi!$B$16:$B$5015,"&gt;="&amp;DATE(Dashboard!$C$4,2,1),Transaksi!$B$16:$B$5015,"&lt;="&amp;EOMONTH(DATE(Dashboard!$C$4,2,1),0)))</f>
        <v/>
      </c>
      <c r="F8" s="165">
        <f>IF($C8="","",SUMIFS(Transaksi!$F$16:$F$5015,Transaksi!$G$16:$G$5015,$A8,Transaksi!$H$16:$H$5015,$B8,Transaksi!$I$16:$I$5015,$C8,Transaksi!$B$16:$B$5015,"&gt;="&amp;DATE(Dashboard!$C$4,3,1),Transaksi!$B$16:$B$5015,"&lt;="&amp;EOMONTH(DATE(Dashboard!$C$4,3,1),0)))</f>
        <v/>
      </c>
      <c r="G8" s="165">
        <f>IF($C8="","",SUMIFS(Transaksi!$F$16:$F$5015,Transaksi!$G$16:$G$5015,$A8,Transaksi!$H$16:$H$5015,$B8,Transaksi!$I$16:$I$5015,$C8,Transaksi!$B$16:$B$5015,"&gt;="&amp;DATE(Dashboard!$C$4,4,1),Transaksi!$B$16:$B$5015,"&lt;="&amp;EOMONTH(DATE(Dashboard!$C$4,4,1),0)))</f>
        <v/>
      </c>
      <c r="H8" s="165">
        <f>IF($C8="","",SUMIFS(Transaksi!$F$16:$F$5015,Transaksi!$G$16:$G$5015,$A8,Transaksi!$H$16:$H$5015,$B8,Transaksi!$I$16:$I$5015,$C8,Transaksi!$B$16:$B$5015,"&gt;="&amp;DATE(Dashboard!$C$4,5,1),Transaksi!$B$16:$B$5015,"&lt;="&amp;EOMONTH(DATE(Dashboard!$C$4,5,1),0)))</f>
        <v/>
      </c>
      <c r="I8" s="165">
        <f>IF($C8="","",SUMIFS(Transaksi!$F$16:$F$5015,Transaksi!$G$16:$G$5015,$A8,Transaksi!$H$16:$H$5015,$B8,Transaksi!$I$16:$I$5015,$C8,Transaksi!$B$16:$B$5015,"&gt;="&amp;DATE(Dashboard!$C$4,6,1),Transaksi!$B$16:$B$5015,"&lt;="&amp;EOMONTH(DATE(Dashboard!$C$4,6,1),0)))</f>
        <v/>
      </c>
      <c r="J8" s="165">
        <f>IF($C8="","",SUMIFS(Transaksi!$F$16:$F$5015,Transaksi!$G$16:$G$5015,$A8,Transaksi!$H$16:$H$5015,$B8,Transaksi!$I$16:$I$5015,$C8,Transaksi!$B$16:$B$5015,"&gt;="&amp;DATE(Dashboard!$C$4,7,1),Transaksi!$B$16:$B$5015,"&lt;="&amp;EOMONTH(DATE(Dashboard!$C$4,7,1),0)))</f>
        <v/>
      </c>
      <c r="K8" s="165">
        <f>IF($C8="","",SUMIFS(Transaksi!$F$16:$F$5015,Transaksi!$G$16:$G$5015,$A8,Transaksi!$H$16:$H$5015,$B8,Transaksi!$I$16:$I$5015,$C8,Transaksi!$B$16:$B$5015,"&gt;="&amp;DATE(Dashboard!$C$4,8,1),Transaksi!$B$16:$B$5015,"&lt;="&amp;EOMONTH(DATE(Dashboard!$C$4,8,1),0)))</f>
        <v/>
      </c>
      <c r="L8" s="165">
        <f>IF($C8="","",SUMIFS(Transaksi!$F$16:$F$5015,Transaksi!$G$16:$G$5015,$A8,Transaksi!$H$16:$H$5015,$B8,Transaksi!$I$16:$I$5015,$C8,Transaksi!$B$16:$B$5015,"&gt;="&amp;DATE(Dashboard!$C$4,9,1),Transaksi!$B$16:$B$5015,"&lt;="&amp;EOMONTH(DATE(Dashboard!$C$4,9,1),0)))</f>
        <v/>
      </c>
      <c r="M8" s="165">
        <f>IF($C8="","",SUMIFS(Transaksi!$F$16:$F$5015,Transaksi!$G$16:$G$5015,$A8,Transaksi!$H$16:$H$5015,$B8,Transaksi!$I$16:$I$5015,$C8,Transaksi!$B$16:$B$5015,"&gt;="&amp;DATE(Dashboard!$C$4,10,1),Transaksi!$B$16:$B$5015,"&lt;="&amp;EOMONTH(DATE(Dashboard!$C$4,10,1),0)))</f>
        <v/>
      </c>
      <c r="N8" s="165">
        <f>IF($C8="","",SUMIFS(Transaksi!$F$16:$F$5015,Transaksi!$G$16:$G$5015,$A8,Transaksi!$H$16:$H$5015,$B8,Transaksi!$I$16:$I$5015,$C8,Transaksi!$B$16:$B$5015,"&gt;="&amp;DATE(Dashboard!$C$4,11,1),Transaksi!$B$16:$B$5015,"&lt;="&amp;EOMONTH(DATE(Dashboard!$C$4,11,1),0)))</f>
        <v/>
      </c>
      <c r="O8" s="165">
        <f>IF($C8="","",SUMIFS(Transaksi!$F$16:$F$5015,Transaksi!$G$16:$G$5015,$A8,Transaksi!$H$16:$H$5015,$B8,Transaksi!$I$16:$I$5015,$C8,Transaksi!$B$16:$B$5015,"&gt;="&amp;DATE(Dashboard!$C$4,12,1),Transaksi!$B$16:$B$5015,"&lt;="&amp;EOMONTH(DATE(Dashboard!$C$4,12,1),0)))</f>
        <v/>
      </c>
      <c r="P8" s="166">
        <f>IF($C8="","",SUM(D8:O8))</f>
        <v/>
      </c>
    </row>
    <row r="9" ht="15" customHeight="1" s="94">
      <c r="A9" s="164">
        <f>IF(Kategori!C9="","",Kategori!A9)</f>
        <v/>
      </c>
      <c r="B9" s="164">
        <f>IF(Kategori!C9="","",Kategori!B9)</f>
        <v/>
      </c>
      <c r="C9" s="108">
        <f>IF(Kategori!C9="","",Kategori!C9)</f>
        <v/>
      </c>
      <c r="D9" s="165">
        <f>IF($C9="","",SUMIFS(Transaksi!$F$16:$F$5015,Transaksi!$G$16:$G$5015,$A9,Transaksi!$H$16:$H$5015,$B9,Transaksi!$I$16:$I$5015,$C9,Transaksi!$B$16:$B$5015,"&gt;="&amp;DATE(Dashboard!$C$4,1,1),Transaksi!$B$16:$B$5015,"&lt;="&amp;EOMONTH(DATE(Dashboard!$C$4,1,1),0)))</f>
        <v/>
      </c>
      <c r="E9" s="165">
        <f>IF($C9="","",SUMIFS(Transaksi!$F$16:$F$5015,Transaksi!$G$16:$G$5015,$A9,Transaksi!$H$16:$H$5015,$B9,Transaksi!$I$16:$I$5015,$C9,Transaksi!$B$16:$B$5015,"&gt;="&amp;DATE(Dashboard!$C$4,2,1),Transaksi!$B$16:$B$5015,"&lt;="&amp;EOMONTH(DATE(Dashboard!$C$4,2,1),0)))</f>
        <v/>
      </c>
      <c r="F9" s="165">
        <f>IF($C9="","",SUMIFS(Transaksi!$F$16:$F$5015,Transaksi!$G$16:$G$5015,$A9,Transaksi!$H$16:$H$5015,$B9,Transaksi!$I$16:$I$5015,$C9,Transaksi!$B$16:$B$5015,"&gt;="&amp;DATE(Dashboard!$C$4,3,1),Transaksi!$B$16:$B$5015,"&lt;="&amp;EOMONTH(DATE(Dashboard!$C$4,3,1),0)))</f>
        <v/>
      </c>
      <c r="G9" s="165">
        <f>IF($C9="","",SUMIFS(Transaksi!$F$16:$F$5015,Transaksi!$G$16:$G$5015,$A9,Transaksi!$H$16:$H$5015,$B9,Transaksi!$I$16:$I$5015,$C9,Transaksi!$B$16:$B$5015,"&gt;="&amp;DATE(Dashboard!$C$4,4,1),Transaksi!$B$16:$B$5015,"&lt;="&amp;EOMONTH(DATE(Dashboard!$C$4,4,1),0)))</f>
        <v/>
      </c>
      <c r="H9" s="165">
        <f>IF($C9="","",SUMIFS(Transaksi!$F$16:$F$5015,Transaksi!$G$16:$G$5015,$A9,Transaksi!$H$16:$H$5015,$B9,Transaksi!$I$16:$I$5015,$C9,Transaksi!$B$16:$B$5015,"&gt;="&amp;DATE(Dashboard!$C$4,5,1),Transaksi!$B$16:$B$5015,"&lt;="&amp;EOMONTH(DATE(Dashboard!$C$4,5,1),0)))</f>
        <v/>
      </c>
      <c r="I9" s="165">
        <f>IF($C9="","",SUMIFS(Transaksi!$F$16:$F$5015,Transaksi!$G$16:$G$5015,$A9,Transaksi!$H$16:$H$5015,$B9,Transaksi!$I$16:$I$5015,$C9,Transaksi!$B$16:$B$5015,"&gt;="&amp;DATE(Dashboard!$C$4,6,1),Transaksi!$B$16:$B$5015,"&lt;="&amp;EOMONTH(DATE(Dashboard!$C$4,6,1),0)))</f>
        <v/>
      </c>
      <c r="J9" s="165">
        <f>IF($C9="","",SUMIFS(Transaksi!$F$16:$F$5015,Transaksi!$G$16:$G$5015,$A9,Transaksi!$H$16:$H$5015,$B9,Transaksi!$I$16:$I$5015,$C9,Transaksi!$B$16:$B$5015,"&gt;="&amp;DATE(Dashboard!$C$4,7,1),Transaksi!$B$16:$B$5015,"&lt;="&amp;EOMONTH(DATE(Dashboard!$C$4,7,1),0)))</f>
        <v/>
      </c>
      <c r="K9" s="165">
        <f>IF($C9="","",SUMIFS(Transaksi!$F$16:$F$5015,Transaksi!$G$16:$G$5015,$A9,Transaksi!$H$16:$H$5015,$B9,Transaksi!$I$16:$I$5015,$C9,Transaksi!$B$16:$B$5015,"&gt;="&amp;DATE(Dashboard!$C$4,8,1),Transaksi!$B$16:$B$5015,"&lt;="&amp;EOMONTH(DATE(Dashboard!$C$4,8,1),0)))</f>
        <v/>
      </c>
      <c r="L9" s="165">
        <f>IF($C9="","",SUMIFS(Transaksi!$F$16:$F$5015,Transaksi!$G$16:$G$5015,$A9,Transaksi!$H$16:$H$5015,$B9,Transaksi!$I$16:$I$5015,$C9,Transaksi!$B$16:$B$5015,"&gt;="&amp;DATE(Dashboard!$C$4,9,1),Transaksi!$B$16:$B$5015,"&lt;="&amp;EOMONTH(DATE(Dashboard!$C$4,9,1),0)))</f>
        <v/>
      </c>
      <c r="M9" s="165">
        <f>IF($C9="","",SUMIFS(Transaksi!$F$16:$F$5015,Transaksi!$G$16:$G$5015,$A9,Transaksi!$H$16:$H$5015,$B9,Transaksi!$I$16:$I$5015,$C9,Transaksi!$B$16:$B$5015,"&gt;="&amp;DATE(Dashboard!$C$4,10,1),Transaksi!$B$16:$B$5015,"&lt;="&amp;EOMONTH(DATE(Dashboard!$C$4,10,1),0)))</f>
        <v/>
      </c>
      <c r="N9" s="165">
        <f>IF($C9="","",SUMIFS(Transaksi!$F$16:$F$5015,Transaksi!$G$16:$G$5015,$A9,Transaksi!$H$16:$H$5015,$B9,Transaksi!$I$16:$I$5015,$C9,Transaksi!$B$16:$B$5015,"&gt;="&amp;DATE(Dashboard!$C$4,11,1),Transaksi!$B$16:$B$5015,"&lt;="&amp;EOMONTH(DATE(Dashboard!$C$4,11,1),0)))</f>
        <v/>
      </c>
      <c r="O9" s="165">
        <f>IF($C9="","",SUMIFS(Transaksi!$F$16:$F$5015,Transaksi!$G$16:$G$5015,$A9,Transaksi!$H$16:$H$5015,$B9,Transaksi!$I$16:$I$5015,$C9,Transaksi!$B$16:$B$5015,"&gt;="&amp;DATE(Dashboard!$C$4,12,1),Transaksi!$B$16:$B$5015,"&lt;="&amp;EOMONTH(DATE(Dashboard!$C$4,12,1),0)))</f>
        <v/>
      </c>
      <c r="P9" s="166">
        <f>IF($C9="","",SUM(D9:O9))</f>
        <v/>
      </c>
    </row>
    <row r="10" ht="15" customHeight="1" s="94">
      <c r="A10" s="164">
        <f>IF(Kategori!C10="","",Kategori!A10)</f>
        <v/>
      </c>
      <c r="B10" s="164">
        <f>IF(Kategori!C10="","",Kategori!B10)</f>
        <v/>
      </c>
      <c r="C10" s="108">
        <f>IF(Kategori!C10="","",Kategori!C10)</f>
        <v/>
      </c>
      <c r="D10" s="165">
        <f>IF($C10="","",SUMIFS(Transaksi!$F$16:$F$5015,Transaksi!$G$16:$G$5015,$A10,Transaksi!$H$16:$H$5015,$B10,Transaksi!$I$16:$I$5015,$C10,Transaksi!$B$16:$B$5015,"&gt;="&amp;DATE(Dashboard!$C$4,1,1),Transaksi!$B$16:$B$5015,"&lt;="&amp;EOMONTH(DATE(Dashboard!$C$4,1,1),0)))</f>
        <v/>
      </c>
      <c r="E10" s="165">
        <f>IF($C10="","",SUMIFS(Transaksi!$F$16:$F$5015,Transaksi!$G$16:$G$5015,$A10,Transaksi!$H$16:$H$5015,$B10,Transaksi!$I$16:$I$5015,$C10,Transaksi!$B$16:$B$5015,"&gt;="&amp;DATE(Dashboard!$C$4,2,1),Transaksi!$B$16:$B$5015,"&lt;="&amp;EOMONTH(DATE(Dashboard!$C$4,2,1),0)))</f>
        <v/>
      </c>
      <c r="F10" s="165">
        <f>IF($C10="","",SUMIFS(Transaksi!$F$16:$F$5015,Transaksi!$G$16:$G$5015,$A10,Transaksi!$H$16:$H$5015,$B10,Transaksi!$I$16:$I$5015,$C10,Transaksi!$B$16:$B$5015,"&gt;="&amp;DATE(Dashboard!$C$4,3,1),Transaksi!$B$16:$B$5015,"&lt;="&amp;EOMONTH(DATE(Dashboard!$C$4,3,1),0)))</f>
        <v/>
      </c>
      <c r="G10" s="165">
        <f>IF($C10="","",SUMIFS(Transaksi!$F$16:$F$5015,Transaksi!$G$16:$G$5015,$A10,Transaksi!$H$16:$H$5015,$B10,Transaksi!$I$16:$I$5015,$C10,Transaksi!$B$16:$B$5015,"&gt;="&amp;DATE(Dashboard!$C$4,4,1),Transaksi!$B$16:$B$5015,"&lt;="&amp;EOMONTH(DATE(Dashboard!$C$4,4,1),0)))</f>
        <v/>
      </c>
      <c r="H10" s="165">
        <f>IF($C10="","",SUMIFS(Transaksi!$F$16:$F$5015,Transaksi!$G$16:$G$5015,$A10,Transaksi!$H$16:$H$5015,$B10,Transaksi!$I$16:$I$5015,$C10,Transaksi!$B$16:$B$5015,"&gt;="&amp;DATE(Dashboard!$C$4,5,1),Transaksi!$B$16:$B$5015,"&lt;="&amp;EOMONTH(DATE(Dashboard!$C$4,5,1),0)))</f>
        <v/>
      </c>
      <c r="I10" s="165">
        <f>IF($C10="","",SUMIFS(Transaksi!$F$16:$F$5015,Transaksi!$G$16:$G$5015,$A10,Transaksi!$H$16:$H$5015,$B10,Transaksi!$I$16:$I$5015,$C10,Transaksi!$B$16:$B$5015,"&gt;="&amp;DATE(Dashboard!$C$4,6,1),Transaksi!$B$16:$B$5015,"&lt;="&amp;EOMONTH(DATE(Dashboard!$C$4,6,1),0)))</f>
        <v/>
      </c>
      <c r="J10" s="165">
        <f>IF($C10="","",SUMIFS(Transaksi!$F$16:$F$5015,Transaksi!$G$16:$G$5015,$A10,Transaksi!$H$16:$H$5015,$B10,Transaksi!$I$16:$I$5015,$C10,Transaksi!$B$16:$B$5015,"&gt;="&amp;DATE(Dashboard!$C$4,7,1),Transaksi!$B$16:$B$5015,"&lt;="&amp;EOMONTH(DATE(Dashboard!$C$4,7,1),0)))</f>
        <v/>
      </c>
      <c r="K10" s="165">
        <f>IF($C10="","",SUMIFS(Transaksi!$F$16:$F$5015,Transaksi!$G$16:$G$5015,$A10,Transaksi!$H$16:$H$5015,$B10,Transaksi!$I$16:$I$5015,$C10,Transaksi!$B$16:$B$5015,"&gt;="&amp;DATE(Dashboard!$C$4,8,1),Transaksi!$B$16:$B$5015,"&lt;="&amp;EOMONTH(DATE(Dashboard!$C$4,8,1),0)))</f>
        <v/>
      </c>
      <c r="L10" s="165">
        <f>IF($C10="","",SUMIFS(Transaksi!$F$16:$F$5015,Transaksi!$G$16:$G$5015,$A10,Transaksi!$H$16:$H$5015,$B10,Transaksi!$I$16:$I$5015,$C10,Transaksi!$B$16:$B$5015,"&gt;="&amp;DATE(Dashboard!$C$4,9,1),Transaksi!$B$16:$B$5015,"&lt;="&amp;EOMONTH(DATE(Dashboard!$C$4,9,1),0)))</f>
        <v/>
      </c>
      <c r="M10" s="165">
        <f>IF($C10="","",SUMIFS(Transaksi!$F$16:$F$5015,Transaksi!$G$16:$G$5015,$A10,Transaksi!$H$16:$H$5015,$B10,Transaksi!$I$16:$I$5015,$C10,Transaksi!$B$16:$B$5015,"&gt;="&amp;DATE(Dashboard!$C$4,10,1),Transaksi!$B$16:$B$5015,"&lt;="&amp;EOMONTH(DATE(Dashboard!$C$4,10,1),0)))</f>
        <v/>
      </c>
      <c r="N10" s="165">
        <f>IF($C10="","",SUMIFS(Transaksi!$F$16:$F$5015,Transaksi!$G$16:$G$5015,$A10,Transaksi!$H$16:$H$5015,$B10,Transaksi!$I$16:$I$5015,$C10,Transaksi!$B$16:$B$5015,"&gt;="&amp;DATE(Dashboard!$C$4,11,1),Transaksi!$B$16:$B$5015,"&lt;="&amp;EOMONTH(DATE(Dashboard!$C$4,11,1),0)))</f>
        <v/>
      </c>
      <c r="O10" s="165">
        <f>IF($C10="","",SUMIFS(Transaksi!$F$16:$F$5015,Transaksi!$G$16:$G$5015,$A10,Transaksi!$H$16:$H$5015,$B10,Transaksi!$I$16:$I$5015,$C10,Transaksi!$B$16:$B$5015,"&gt;="&amp;DATE(Dashboard!$C$4,12,1),Transaksi!$B$16:$B$5015,"&lt;="&amp;EOMONTH(DATE(Dashboard!$C$4,12,1),0)))</f>
        <v/>
      </c>
      <c r="P10" s="166">
        <f>IF($C10="","",SUM(D10:O10))</f>
        <v/>
      </c>
    </row>
    <row r="11" ht="15" customHeight="1" s="94">
      <c r="A11" s="164">
        <f>IF(Kategori!C11="","",Kategori!A11)</f>
        <v/>
      </c>
      <c r="B11" s="164">
        <f>IF(Kategori!C11="","",Kategori!B11)</f>
        <v/>
      </c>
      <c r="C11" s="108">
        <f>IF(Kategori!C11="","",Kategori!C11)</f>
        <v/>
      </c>
      <c r="D11" s="165">
        <f>IF($C11="","",SUMIFS(Transaksi!$F$16:$F$5015,Transaksi!$G$16:$G$5015,$A11,Transaksi!$H$16:$H$5015,$B11,Transaksi!$I$16:$I$5015,$C11,Transaksi!$B$16:$B$5015,"&gt;="&amp;DATE(Dashboard!$C$4,1,1),Transaksi!$B$16:$B$5015,"&lt;="&amp;EOMONTH(DATE(Dashboard!$C$4,1,1),0)))</f>
        <v/>
      </c>
      <c r="E11" s="165">
        <f>IF($C11="","",SUMIFS(Transaksi!$F$16:$F$5015,Transaksi!$G$16:$G$5015,$A11,Transaksi!$H$16:$H$5015,$B11,Transaksi!$I$16:$I$5015,$C11,Transaksi!$B$16:$B$5015,"&gt;="&amp;DATE(Dashboard!$C$4,2,1),Transaksi!$B$16:$B$5015,"&lt;="&amp;EOMONTH(DATE(Dashboard!$C$4,2,1),0)))</f>
        <v/>
      </c>
      <c r="F11" s="165">
        <f>IF($C11="","",SUMIFS(Transaksi!$F$16:$F$5015,Transaksi!$G$16:$G$5015,$A11,Transaksi!$H$16:$H$5015,$B11,Transaksi!$I$16:$I$5015,$C11,Transaksi!$B$16:$B$5015,"&gt;="&amp;DATE(Dashboard!$C$4,3,1),Transaksi!$B$16:$B$5015,"&lt;="&amp;EOMONTH(DATE(Dashboard!$C$4,3,1),0)))</f>
        <v/>
      </c>
      <c r="G11" s="165">
        <f>IF($C11="","",SUMIFS(Transaksi!$F$16:$F$5015,Transaksi!$G$16:$G$5015,$A11,Transaksi!$H$16:$H$5015,$B11,Transaksi!$I$16:$I$5015,$C11,Transaksi!$B$16:$B$5015,"&gt;="&amp;DATE(Dashboard!$C$4,4,1),Transaksi!$B$16:$B$5015,"&lt;="&amp;EOMONTH(DATE(Dashboard!$C$4,4,1),0)))</f>
        <v/>
      </c>
      <c r="H11" s="165">
        <f>IF($C11="","",SUMIFS(Transaksi!$F$16:$F$5015,Transaksi!$G$16:$G$5015,$A11,Transaksi!$H$16:$H$5015,$B11,Transaksi!$I$16:$I$5015,$C11,Transaksi!$B$16:$B$5015,"&gt;="&amp;DATE(Dashboard!$C$4,5,1),Transaksi!$B$16:$B$5015,"&lt;="&amp;EOMONTH(DATE(Dashboard!$C$4,5,1),0)))</f>
        <v/>
      </c>
      <c r="I11" s="165">
        <f>IF($C11="","",SUMIFS(Transaksi!$F$16:$F$5015,Transaksi!$G$16:$G$5015,$A11,Transaksi!$H$16:$H$5015,$B11,Transaksi!$I$16:$I$5015,$C11,Transaksi!$B$16:$B$5015,"&gt;="&amp;DATE(Dashboard!$C$4,6,1),Transaksi!$B$16:$B$5015,"&lt;="&amp;EOMONTH(DATE(Dashboard!$C$4,6,1),0)))</f>
        <v/>
      </c>
      <c r="J11" s="165">
        <f>IF($C11="","",SUMIFS(Transaksi!$F$16:$F$5015,Transaksi!$G$16:$G$5015,$A11,Transaksi!$H$16:$H$5015,$B11,Transaksi!$I$16:$I$5015,$C11,Transaksi!$B$16:$B$5015,"&gt;="&amp;DATE(Dashboard!$C$4,7,1),Transaksi!$B$16:$B$5015,"&lt;="&amp;EOMONTH(DATE(Dashboard!$C$4,7,1),0)))</f>
        <v/>
      </c>
      <c r="K11" s="165">
        <f>IF($C11="","",SUMIFS(Transaksi!$F$16:$F$5015,Transaksi!$G$16:$G$5015,$A11,Transaksi!$H$16:$H$5015,$B11,Transaksi!$I$16:$I$5015,$C11,Transaksi!$B$16:$B$5015,"&gt;="&amp;DATE(Dashboard!$C$4,8,1),Transaksi!$B$16:$B$5015,"&lt;="&amp;EOMONTH(DATE(Dashboard!$C$4,8,1),0)))</f>
        <v/>
      </c>
      <c r="L11" s="165">
        <f>IF($C11="","",SUMIFS(Transaksi!$F$16:$F$5015,Transaksi!$G$16:$G$5015,$A11,Transaksi!$H$16:$H$5015,$B11,Transaksi!$I$16:$I$5015,$C11,Transaksi!$B$16:$B$5015,"&gt;="&amp;DATE(Dashboard!$C$4,9,1),Transaksi!$B$16:$B$5015,"&lt;="&amp;EOMONTH(DATE(Dashboard!$C$4,9,1),0)))</f>
        <v/>
      </c>
      <c r="M11" s="165">
        <f>IF($C11="","",SUMIFS(Transaksi!$F$16:$F$5015,Transaksi!$G$16:$G$5015,$A11,Transaksi!$H$16:$H$5015,$B11,Transaksi!$I$16:$I$5015,$C11,Transaksi!$B$16:$B$5015,"&gt;="&amp;DATE(Dashboard!$C$4,10,1),Transaksi!$B$16:$B$5015,"&lt;="&amp;EOMONTH(DATE(Dashboard!$C$4,10,1),0)))</f>
        <v/>
      </c>
      <c r="N11" s="165">
        <f>IF($C11="","",SUMIFS(Transaksi!$F$16:$F$5015,Transaksi!$G$16:$G$5015,$A11,Transaksi!$H$16:$H$5015,$B11,Transaksi!$I$16:$I$5015,$C11,Transaksi!$B$16:$B$5015,"&gt;="&amp;DATE(Dashboard!$C$4,11,1),Transaksi!$B$16:$B$5015,"&lt;="&amp;EOMONTH(DATE(Dashboard!$C$4,11,1),0)))</f>
        <v/>
      </c>
      <c r="O11" s="165">
        <f>IF($C11="","",SUMIFS(Transaksi!$F$16:$F$5015,Transaksi!$G$16:$G$5015,$A11,Transaksi!$H$16:$H$5015,$B11,Transaksi!$I$16:$I$5015,$C11,Transaksi!$B$16:$B$5015,"&gt;="&amp;DATE(Dashboard!$C$4,12,1),Transaksi!$B$16:$B$5015,"&lt;="&amp;EOMONTH(DATE(Dashboard!$C$4,12,1),0)))</f>
        <v/>
      </c>
      <c r="P11" s="166">
        <f>IF($C11="","",SUM(D11:O11))</f>
        <v/>
      </c>
    </row>
    <row r="12" ht="15" customHeight="1" s="94">
      <c r="A12" s="164">
        <f>IF(Kategori!C12="","",Kategori!A12)</f>
        <v/>
      </c>
      <c r="B12" s="164">
        <f>IF(Kategori!C12="","",Kategori!B12)</f>
        <v/>
      </c>
      <c r="C12" s="108">
        <f>IF(Kategori!C12="","",Kategori!C12)</f>
        <v/>
      </c>
      <c r="D12" s="165">
        <f>IF($C12="","",SUMIFS(Transaksi!$F$16:$F$5015,Transaksi!$G$16:$G$5015,$A12,Transaksi!$H$16:$H$5015,$B12,Transaksi!$I$16:$I$5015,$C12,Transaksi!$B$16:$B$5015,"&gt;="&amp;DATE(Dashboard!$C$4,1,1),Transaksi!$B$16:$B$5015,"&lt;="&amp;EOMONTH(DATE(Dashboard!$C$4,1,1),0)))</f>
        <v/>
      </c>
      <c r="E12" s="165">
        <f>IF($C12="","",SUMIFS(Transaksi!$F$16:$F$5015,Transaksi!$G$16:$G$5015,$A12,Transaksi!$H$16:$H$5015,$B12,Transaksi!$I$16:$I$5015,$C12,Transaksi!$B$16:$B$5015,"&gt;="&amp;DATE(Dashboard!$C$4,2,1),Transaksi!$B$16:$B$5015,"&lt;="&amp;EOMONTH(DATE(Dashboard!$C$4,2,1),0)))</f>
        <v/>
      </c>
      <c r="F12" s="165">
        <f>IF($C12="","",SUMIFS(Transaksi!$F$16:$F$5015,Transaksi!$G$16:$G$5015,$A12,Transaksi!$H$16:$H$5015,$B12,Transaksi!$I$16:$I$5015,$C12,Transaksi!$B$16:$B$5015,"&gt;="&amp;DATE(Dashboard!$C$4,3,1),Transaksi!$B$16:$B$5015,"&lt;="&amp;EOMONTH(DATE(Dashboard!$C$4,3,1),0)))</f>
        <v/>
      </c>
      <c r="G12" s="165">
        <f>IF($C12="","",SUMIFS(Transaksi!$F$16:$F$5015,Transaksi!$G$16:$G$5015,$A12,Transaksi!$H$16:$H$5015,$B12,Transaksi!$I$16:$I$5015,$C12,Transaksi!$B$16:$B$5015,"&gt;="&amp;DATE(Dashboard!$C$4,4,1),Transaksi!$B$16:$B$5015,"&lt;="&amp;EOMONTH(DATE(Dashboard!$C$4,4,1),0)))</f>
        <v/>
      </c>
      <c r="H12" s="165">
        <f>IF($C12="","",SUMIFS(Transaksi!$F$16:$F$5015,Transaksi!$G$16:$G$5015,$A12,Transaksi!$H$16:$H$5015,$B12,Transaksi!$I$16:$I$5015,$C12,Transaksi!$B$16:$B$5015,"&gt;="&amp;DATE(Dashboard!$C$4,5,1),Transaksi!$B$16:$B$5015,"&lt;="&amp;EOMONTH(DATE(Dashboard!$C$4,5,1),0)))</f>
        <v/>
      </c>
      <c r="I12" s="165">
        <f>IF($C12="","",SUMIFS(Transaksi!$F$16:$F$5015,Transaksi!$G$16:$G$5015,$A12,Transaksi!$H$16:$H$5015,$B12,Transaksi!$I$16:$I$5015,$C12,Transaksi!$B$16:$B$5015,"&gt;="&amp;DATE(Dashboard!$C$4,6,1),Transaksi!$B$16:$B$5015,"&lt;="&amp;EOMONTH(DATE(Dashboard!$C$4,6,1),0)))</f>
        <v/>
      </c>
      <c r="J12" s="165">
        <f>IF($C12="","",SUMIFS(Transaksi!$F$16:$F$5015,Transaksi!$G$16:$G$5015,$A12,Transaksi!$H$16:$H$5015,$B12,Transaksi!$I$16:$I$5015,$C12,Transaksi!$B$16:$B$5015,"&gt;="&amp;DATE(Dashboard!$C$4,7,1),Transaksi!$B$16:$B$5015,"&lt;="&amp;EOMONTH(DATE(Dashboard!$C$4,7,1),0)))</f>
        <v/>
      </c>
      <c r="K12" s="165">
        <f>IF($C12="","",SUMIFS(Transaksi!$F$16:$F$5015,Transaksi!$G$16:$G$5015,$A12,Transaksi!$H$16:$H$5015,$B12,Transaksi!$I$16:$I$5015,$C12,Transaksi!$B$16:$B$5015,"&gt;="&amp;DATE(Dashboard!$C$4,8,1),Transaksi!$B$16:$B$5015,"&lt;="&amp;EOMONTH(DATE(Dashboard!$C$4,8,1),0)))</f>
        <v/>
      </c>
      <c r="L12" s="165">
        <f>IF($C12="","",SUMIFS(Transaksi!$F$16:$F$5015,Transaksi!$G$16:$G$5015,$A12,Transaksi!$H$16:$H$5015,$B12,Transaksi!$I$16:$I$5015,$C12,Transaksi!$B$16:$B$5015,"&gt;="&amp;DATE(Dashboard!$C$4,9,1),Transaksi!$B$16:$B$5015,"&lt;="&amp;EOMONTH(DATE(Dashboard!$C$4,9,1),0)))</f>
        <v/>
      </c>
      <c r="M12" s="165">
        <f>IF($C12="","",SUMIFS(Transaksi!$F$16:$F$5015,Transaksi!$G$16:$G$5015,$A12,Transaksi!$H$16:$H$5015,$B12,Transaksi!$I$16:$I$5015,$C12,Transaksi!$B$16:$B$5015,"&gt;="&amp;DATE(Dashboard!$C$4,10,1),Transaksi!$B$16:$B$5015,"&lt;="&amp;EOMONTH(DATE(Dashboard!$C$4,10,1),0)))</f>
        <v/>
      </c>
      <c r="N12" s="165">
        <f>IF($C12="","",SUMIFS(Transaksi!$F$16:$F$5015,Transaksi!$G$16:$G$5015,$A12,Transaksi!$H$16:$H$5015,$B12,Transaksi!$I$16:$I$5015,$C12,Transaksi!$B$16:$B$5015,"&gt;="&amp;DATE(Dashboard!$C$4,11,1),Transaksi!$B$16:$B$5015,"&lt;="&amp;EOMONTH(DATE(Dashboard!$C$4,11,1),0)))</f>
        <v/>
      </c>
      <c r="O12" s="165">
        <f>IF($C12="","",SUMIFS(Transaksi!$F$16:$F$5015,Transaksi!$G$16:$G$5015,$A12,Transaksi!$H$16:$H$5015,$B12,Transaksi!$I$16:$I$5015,$C12,Transaksi!$B$16:$B$5015,"&gt;="&amp;DATE(Dashboard!$C$4,12,1),Transaksi!$B$16:$B$5015,"&lt;="&amp;EOMONTH(DATE(Dashboard!$C$4,12,1),0)))</f>
        <v/>
      </c>
      <c r="P12" s="166">
        <f>IF($C12="","",SUM(D12:O12))</f>
        <v/>
      </c>
    </row>
    <row r="13" ht="15" customHeight="1" s="94">
      <c r="A13" s="164">
        <f>IF(Kategori!C13="","",Kategori!A13)</f>
        <v/>
      </c>
      <c r="B13" s="164">
        <f>IF(Kategori!C13="","",Kategori!B13)</f>
        <v/>
      </c>
      <c r="C13" s="108">
        <f>IF(Kategori!C13="","",Kategori!C13)</f>
        <v/>
      </c>
      <c r="D13" s="165">
        <f>IF($C13="","",SUMIFS(Transaksi!$F$16:$F$5015,Transaksi!$G$16:$G$5015,$A13,Transaksi!$H$16:$H$5015,$B13,Transaksi!$I$16:$I$5015,$C13,Transaksi!$B$16:$B$5015,"&gt;="&amp;DATE(Dashboard!$C$4,1,1),Transaksi!$B$16:$B$5015,"&lt;="&amp;EOMONTH(DATE(Dashboard!$C$4,1,1),0)))</f>
        <v/>
      </c>
      <c r="E13" s="165">
        <f>IF($C13="","",SUMIFS(Transaksi!$F$16:$F$5015,Transaksi!$G$16:$G$5015,$A13,Transaksi!$H$16:$H$5015,$B13,Transaksi!$I$16:$I$5015,$C13,Transaksi!$B$16:$B$5015,"&gt;="&amp;DATE(Dashboard!$C$4,2,1),Transaksi!$B$16:$B$5015,"&lt;="&amp;EOMONTH(DATE(Dashboard!$C$4,2,1),0)))</f>
        <v/>
      </c>
      <c r="F13" s="165">
        <f>IF($C13="","",SUMIFS(Transaksi!$F$16:$F$5015,Transaksi!$G$16:$G$5015,$A13,Transaksi!$H$16:$H$5015,$B13,Transaksi!$I$16:$I$5015,$C13,Transaksi!$B$16:$B$5015,"&gt;="&amp;DATE(Dashboard!$C$4,3,1),Transaksi!$B$16:$B$5015,"&lt;="&amp;EOMONTH(DATE(Dashboard!$C$4,3,1),0)))</f>
        <v/>
      </c>
      <c r="G13" s="165">
        <f>IF($C13="","",SUMIFS(Transaksi!$F$16:$F$5015,Transaksi!$G$16:$G$5015,$A13,Transaksi!$H$16:$H$5015,$B13,Transaksi!$I$16:$I$5015,$C13,Transaksi!$B$16:$B$5015,"&gt;="&amp;DATE(Dashboard!$C$4,4,1),Transaksi!$B$16:$B$5015,"&lt;="&amp;EOMONTH(DATE(Dashboard!$C$4,4,1),0)))</f>
        <v/>
      </c>
      <c r="H13" s="165">
        <f>IF($C13="","",SUMIFS(Transaksi!$F$16:$F$5015,Transaksi!$G$16:$G$5015,$A13,Transaksi!$H$16:$H$5015,$B13,Transaksi!$I$16:$I$5015,$C13,Transaksi!$B$16:$B$5015,"&gt;="&amp;DATE(Dashboard!$C$4,5,1),Transaksi!$B$16:$B$5015,"&lt;="&amp;EOMONTH(DATE(Dashboard!$C$4,5,1),0)))</f>
        <v/>
      </c>
      <c r="I13" s="165">
        <f>IF($C13="","",SUMIFS(Transaksi!$F$16:$F$5015,Transaksi!$G$16:$G$5015,$A13,Transaksi!$H$16:$H$5015,$B13,Transaksi!$I$16:$I$5015,$C13,Transaksi!$B$16:$B$5015,"&gt;="&amp;DATE(Dashboard!$C$4,6,1),Transaksi!$B$16:$B$5015,"&lt;="&amp;EOMONTH(DATE(Dashboard!$C$4,6,1),0)))</f>
        <v/>
      </c>
      <c r="J13" s="165">
        <f>IF($C13="","",SUMIFS(Transaksi!$F$16:$F$5015,Transaksi!$G$16:$G$5015,$A13,Transaksi!$H$16:$H$5015,$B13,Transaksi!$I$16:$I$5015,$C13,Transaksi!$B$16:$B$5015,"&gt;="&amp;DATE(Dashboard!$C$4,7,1),Transaksi!$B$16:$B$5015,"&lt;="&amp;EOMONTH(DATE(Dashboard!$C$4,7,1),0)))</f>
        <v/>
      </c>
      <c r="K13" s="165">
        <f>IF($C13="","",SUMIFS(Transaksi!$F$16:$F$5015,Transaksi!$G$16:$G$5015,$A13,Transaksi!$H$16:$H$5015,$B13,Transaksi!$I$16:$I$5015,$C13,Transaksi!$B$16:$B$5015,"&gt;="&amp;DATE(Dashboard!$C$4,8,1),Transaksi!$B$16:$B$5015,"&lt;="&amp;EOMONTH(DATE(Dashboard!$C$4,8,1),0)))</f>
        <v/>
      </c>
      <c r="L13" s="165">
        <f>IF($C13="","",SUMIFS(Transaksi!$F$16:$F$5015,Transaksi!$G$16:$G$5015,$A13,Transaksi!$H$16:$H$5015,$B13,Transaksi!$I$16:$I$5015,$C13,Transaksi!$B$16:$B$5015,"&gt;="&amp;DATE(Dashboard!$C$4,9,1),Transaksi!$B$16:$B$5015,"&lt;="&amp;EOMONTH(DATE(Dashboard!$C$4,9,1),0)))</f>
        <v/>
      </c>
      <c r="M13" s="165">
        <f>IF($C13="","",SUMIFS(Transaksi!$F$16:$F$5015,Transaksi!$G$16:$G$5015,$A13,Transaksi!$H$16:$H$5015,$B13,Transaksi!$I$16:$I$5015,$C13,Transaksi!$B$16:$B$5015,"&gt;="&amp;DATE(Dashboard!$C$4,10,1),Transaksi!$B$16:$B$5015,"&lt;="&amp;EOMONTH(DATE(Dashboard!$C$4,10,1),0)))</f>
        <v/>
      </c>
      <c r="N13" s="165">
        <f>IF($C13="","",SUMIFS(Transaksi!$F$16:$F$5015,Transaksi!$G$16:$G$5015,$A13,Transaksi!$H$16:$H$5015,$B13,Transaksi!$I$16:$I$5015,$C13,Transaksi!$B$16:$B$5015,"&gt;="&amp;DATE(Dashboard!$C$4,11,1),Transaksi!$B$16:$B$5015,"&lt;="&amp;EOMONTH(DATE(Dashboard!$C$4,11,1),0)))</f>
        <v/>
      </c>
      <c r="O13" s="165">
        <f>IF($C13="","",SUMIFS(Transaksi!$F$16:$F$5015,Transaksi!$G$16:$G$5015,$A13,Transaksi!$H$16:$H$5015,$B13,Transaksi!$I$16:$I$5015,$C13,Transaksi!$B$16:$B$5015,"&gt;="&amp;DATE(Dashboard!$C$4,12,1),Transaksi!$B$16:$B$5015,"&lt;="&amp;EOMONTH(DATE(Dashboard!$C$4,12,1),0)))</f>
        <v/>
      </c>
      <c r="P13" s="166">
        <f>IF($C13="","",SUM(D13:O13))</f>
        <v/>
      </c>
    </row>
    <row r="14" ht="15" customHeight="1" s="94">
      <c r="A14" s="164">
        <f>IF(Kategori!C14="","",Kategori!A14)</f>
        <v/>
      </c>
      <c r="B14" s="164">
        <f>IF(Kategori!C14="","",Kategori!B14)</f>
        <v/>
      </c>
      <c r="C14" s="108">
        <f>IF(Kategori!C14="","",Kategori!C14)</f>
        <v/>
      </c>
      <c r="D14" s="165">
        <f>IF($C14="","",SUMIFS(Transaksi!$F$16:$F$5015,Transaksi!$G$16:$G$5015,$A14,Transaksi!$H$16:$H$5015,$B14,Transaksi!$I$16:$I$5015,$C14,Transaksi!$B$16:$B$5015,"&gt;="&amp;DATE(Dashboard!$C$4,1,1),Transaksi!$B$16:$B$5015,"&lt;="&amp;EOMONTH(DATE(Dashboard!$C$4,1,1),0)))</f>
        <v/>
      </c>
      <c r="E14" s="165">
        <f>IF($C14="","",SUMIFS(Transaksi!$F$16:$F$5015,Transaksi!$G$16:$G$5015,$A14,Transaksi!$H$16:$H$5015,$B14,Transaksi!$I$16:$I$5015,$C14,Transaksi!$B$16:$B$5015,"&gt;="&amp;DATE(Dashboard!$C$4,2,1),Transaksi!$B$16:$B$5015,"&lt;="&amp;EOMONTH(DATE(Dashboard!$C$4,2,1),0)))</f>
        <v/>
      </c>
      <c r="F14" s="165">
        <f>IF($C14="","",SUMIFS(Transaksi!$F$16:$F$5015,Transaksi!$G$16:$G$5015,$A14,Transaksi!$H$16:$H$5015,$B14,Transaksi!$I$16:$I$5015,$C14,Transaksi!$B$16:$B$5015,"&gt;="&amp;DATE(Dashboard!$C$4,3,1),Transaksi!$B$16:$B$5015,"&lt;="&amp;EOMONTH(DATE(Dashboard!$C$4,3,1),0)))</f>
        <v/>
      </c>
      <c r="G14" s="165">
        <f>IF($C14="","",SUMIFS(Transaksi!$F$16:$F$5015,Transaksi!$G$16:$G$5015,$A14,Transaksi!$H$16:$H$5015,$B14,Transaksi!$I$16:$I$5015,$C14,Transaksi!$B$16:$B$5015,"&gt;="&amp;DATE(Dashboard!$C$4,4,1),Transaksi!$B$16:$B$5015,"&lt;="&amp;EOMONTH(DATE(Dashboard!$C$4,4,1),0)))</f>
        <v/>
      </c>
      <c r="H14" s="165">
        <f>IF($C14="","",SUMIFS(Transaksi!$F$16:$F$5015,Transaksi!$G$16:$G$5015,$A14,Transaksi!$H$16:$H$5015,$B14,Transaksi!$I$16:$I$5015,$C14,Transaksi!$B$16:$B$5015,"&gt;="&amp;DATE(Dashboard!$C$4,5,1),Transaksi!$B$16:$B$5015,"&lt;="&amp;EOMONTH(DATE(Dashboard!$C$4,5,1),0)))</f>
        <v/>
      </c>
      <c r="I14" s="165">
        <f>IF($C14="","",SUMIFS(Transaksi!$F$16:$F$5015,Transaksi!$G$16:$G$5015,$A14,Transaksi!$H$16:$H$5015,$B14,Transaksi!$I$16:$I$5015,$C14,Transaksi!$B$16:$B$5015,"&gt;="&amp;DATE(Dashboard!$C$4,6,1),Transaksi!$B$16:$B$5015,"&lt;="&amp;EOMONTH(DATE(Dashboard!$C$4,6,1),0)))</f>
        <v/>
      </c>
      <c r="J14" s="165">
        <f>IF($C14="","",SUMIFS(Transaksi!$F$16:$F$5015,Transaksi!$G$16:$G$5015,$A14,Transaksi!$H$16:$H$5015,$B14,Transaksi!$I$16:$I$5015,$C14,Transaksi!$B$16:$B$5015,"&gt;="&amp;DATE(Dashboard!$C$4,7,1),Transaksi!$B$16:$B$5015,"&lt;="&amp;EOMONTH(DATE(Dashboard!$C$4,7,1),0)))</f>
        <v/>
      </c>
      <c r="K14" s="165">
        <f>IF($C14="","",SUMIFS(Transaksi!$F$16:$F$5015,Transaksi!$G$16:$G$5015,$A14,Transaksi!$H$16:$H$5015,$B14,Transaksi!$I$16:$I$5015,$C14,Transaksi!$B$16:$B$5015,"&gt;="&amp;DATE(Dashboard!$C$4,8,1),Transaksi!$B$16:$B$5015,"&lt;="&amp;EOMONTH(DATE(Dashboard!$C$4,8,1),0)))</f>
        <v/>
      </c>
      <c r="L14" s="165">
        <f>IF($C14="","",SUMIFS(Transaksi!$F$16:$F$5015,Transaksi!$G$16:$G$5015,$A14,Transaksi!$H$16:$H$5015,$B14,Transaksi!$I$16:$I$5015,$C14,Transaksi!$B$16:$B$5015,"&gt;="&amp;DATE(Dashboard!$C$4,9,1),Transaksi!$B$16:$B$5015,"&lt;="&amp;EOMONTH(DATE(Dashboard!$C$4,9,1),0)))</f>
        <v/>
      </c>
      <c r="M14" s="165">
        <f>IF($C14="","",SUMIFS(Transaksi!$F$16:$F$5015,Transaksi!$G$16:$G$5015,$A14,Transaksi!$H$16:$H$5015,$B14,Transaksi!$I$16:$I$5015,$C14,Transaksi!$B$16:$B$5015,"&gt;="&amp;DATE(Dashboard!$C$4,10,1),Transaksi!$B$16:$B$5015,"&lt;="&amp;EOMONTH(DATE(Dashboard!$C$4,10,1),0)))</f>
        <v/>
      </c>
      <c r="N14" s="165">
        <f>IF($C14="","",SUMIFS(Transaksi!$F$16:$F$5015,Transaksi!$G$16:$G$5015,$A14,Transaksi!$H$16:$H$5015,$B14,Transaksi!$I$16:$I$5015,$C14,Transaksi!$B$16:$B$5015,"&gt;="&amp;DATE(Dashboard!$C$4,11,1),Transaksi!$B$16:$B$5015,"&lt;="&amp;EOMONTH(DATE(Dashboard!$C$4,11,1),0)))</f>
        <v/>
      </c>
      <c r="O14" s="165">
        <f>IF($C14="","",SUMIFS(Transaksi!$F$16:$F$5015,Transaksi!$G$16:$G$5015,$A14,Transaksi!$H$16:$H$5015,$B14,Transaksi!$I$16:$I$5015,$C14,Transaksi!$B$16:$B$5015,"&gt;="&amp;DATE(Dashboard!$C$4,12,1),Transaksi!$B$16:$B$5015,"&lt;="&amp;EOMONTH(DATE(Dashboard!$C$4,12,1),0)))</f>
        <v/>
      </c>
      <c r="P14" s="166">
        <f>IF($C14="","",SUM(D14:O14))</f>
        <v/>
      </c>
    </row>
    <row r="15" ht="15" customHeight="1" s="94">
      <c r="A15" s="164">
        <f>IF(Kategori!C15="","",Kategori!A15)</f>
        <v/>
      </c>
      <c r="B15" s="164">
        <f>IF(Kategori!C15="","",Kategori!B15)</f>
        <v/>
      </c>
      <c r="C15" s="108">
        <f>IF(Kategori!C15="","",Kategori!C15)</f>
        <v/>
      </c>
      <c r="D15" s="165">
        <f>IF($C15="","",SUMIFS(Transaksi!$F$16:$F$5015,Transaksi!$G$16:$G$5015,$A15,Transaksi!$H$16:$H$5015,$B15,Transaksi!$I$16:$I$5015,$C15,Transaksi!$B$16:$B$5015,"&gt;="&amp;DATE(Dashboard!$C$4,1,1),Transaksi!$B$16:$B$5015,"&lt;="&amp;EOMONTH(DATE(Dashboard!$C$4,1,1),0)))</f>
        <v/>
      </c>
      <c r="E15" s="165">
        <f>IF($C15="","",SUMIFS(Transaksi!$F$16:$F$5015,Transaksi!$G$16:$G$5015,$A15,Transaksi!$H$16:$H$5015,$B15,Transaksi!$I$16:$I$5015,$C15,Transaksi!$B$16:$B$5015,"&gt;="&amp;DATE(Dashboard!$C$4,2,1),Transaksi!$B$16:$B$5015,"&lt;="&amp;EOMONTH(DATE(Dashboard!$C$4,2,1),0)))</f>
        <v/>
      </c>
      <c r="F15" s="165">
        <f>IF($C15="","",SUMIFS(Transaksi!$F$16:$F$5015,Transaksi!$G$16:$G$5015,$A15,Transaksi!$H$16:$H$5015,$B15,Transaksi!$I$16:$I$5015,$C15,Transaksi!$B$16:$B$5015,"&gt;="&amp;DATE(Dashboard!$C$4,3,1),Transaksi!$B$16:$B$5015,"&lt;="&amp;EOMONTH(DATE(Dashboard!$C$4,3,1),0)))</f>
        <v/>
      </c>
      <c r="G15" s="165">
        <f>IF($C15="","",SUMIFS(Transaksi!$F$16:$F$5015,Transaksi!$G$16:$G$5015,$A15,Transaksi!$H$16:$H$5015,$B15,Transaksi!$I$16:$I$5015,$C15,Transaksi!$B$16:$B$5015,"&gt;="&amp;DATE(Dashboard!$C$4,4,1),Transaksi!$B$16:$B$5015,"&lt;="&amp;EOMONTH(DATE(Dashboard!$C$4,4,1),0)))</f>
        <v/>
      </c>
      <c r="H15" s="165">
        <f>IF($C15="","",SUMIFS(Transaksi!$F$16:$F$5015,Transaksi!$G$16:$G$5015,$A15,Transaksi!$H$16:$H$5015,$B15,Transaksi!$I$16:$I$5015,$C15,Transaksi!$B$16:$B$5015,"&gt;="&amp;DATE(Dashboard!$C$4,5,1),Transaksi!$B$16:$B$5015,"&lt;="&amp;EOMONTH(DATE(Dashboard!$C$4,5,1),0)))</f>
        <v/>
      </c>
      <c r="I15" s="165">
        <f>IF($C15="","",SUMIFS(Transaksi!$F$16:$F$5015,Transaksi!$G$16:$G$5015,$A15,Transaksi!$H$16:$H$5015,$B15,Transaksi!$I$16:$I$5015,$C15,Transaksi!$B$16:$B$5015,"&gt;="&amp;DATE(Dashboard!$C$4,6,1),Transaksi!$B$16:$B$5015,"&lt;="&amp;EOMONTH(DATE(Dashboard!$C$4,6,1),0)))</f>
        <v/>
      </c>
      <c r="J15" s="165">
        <f>IF($C15="","",SUMIFS(Transaksi!$F$16:$F$5015,Transaksi!$G$16:$G$5015,$A15,Transaksi!$H$16:$H$5015,$B15,Transaksi!$I$16:$I$5015,$C15,Transaksi!$B$16:$B$5015,"&gt;="&amp;DATE(Dashboard!$C$4,7,1),Transaksi!$B$16:$B$5015,"&lt;="&amp;EOMONTH(DATE(Dashboard!$C$4,7,1),0)))</f>
        <v/>
      </c>
      <c r="K15" s="165">
        <f>IF($C15="","",SUMIFS(Transaksi!$F$16:$F$5015,Transaksi!$G$16:$G$5015,$A15,Transaksi!$H$16:$H$5015,$B15,Transaksi!$I$16:$I$5015,$C15,Transaksi!$B$16:$B$5015,"&gt;="&amp;DATE(Dashboard!$C$4,8,1),Transaksi!$B$16:$B$5015,"&lt;="&amp;EOMONTH(DATE(Dashboard!$C$4,8,1),0)))</f>
        <v/>
      </c>
      <c r="L15" s="165">
        <f>IF($C15="","",SUMIFS(Transaksi!$F$16:$F$5015,Transaksi!$G$16:$G$5015,$A15,Transaksi!$H$16:$H$5015,$B15,Transaksi!$I$16:$I$5015,$C15,Transaksi!$B$16:$B$5015,"&gt;="&amp;DATE(Dashboard!$C$4,9,1),Transaksi!$B$16:$B$5015,"&lt;="&amp;EOMONTH(DATE(Dashboard!$C$4,9,1),0)))</f>
        <v/>
      </c>
      <c r="M15" s="165">
        <f>IF($C15="","",SUMIFS(Transaksi!$F$16:$F$5015,Transaksi!$G$16:$G$5015,$A15,Transaksi!$H$16:$H$5015,$B15,Transaksi!$I$16:$I$5015,$C15,Transaksi!$B$16:$B$5015,"&gt;="&amp;DATE(Dashboard!$C$4,10,1),Transaksi!$B$16:$B$5015,"&lt;="&amp;EOMONTH(DATE(Dashboard!$C$4,10,1),0)))</f>
        <v/>
      </c>
      <c r="N15" s="165">
        <f>IF($C15="","",SUMIFS(Transaksi!$F$16:$F$5015,Transaksi!$G$16:$G$5015,$A15,Transaksi!$H$16:$H$5015,$B15,Transaksi!$I$16:$I$5015,$C15,Transaksi!$B$16:$B$5015,"&gt;="&amp;DATE(Dashboard!$C$4,11,1),Transaksi!$B$16:$B$5015,"&lt;="&amp;EOMONTH(DATE(Dashboard!$C$4,11,1),0)))</f>
        <v/>
      </c>
      <c r="O15" s="165">
        <f>IF($C15="","",SUMIFS(Transaksi!$F$16:$F$5015,Transaksi!$G$16:$G$5015,$A15,Transaksi!$H$16:$H$5015,$B15,Transaksi!$I$16:$I$5015,$C15,Transaksi!$B$16:$B$5015,"&gt;="&amp;DATE(Dashboard!$C$4,12,1),Transaksi!$B$16:$B$5015,"&lt;="&amp;EOMONTH(DATE(Dashboard!$C$4,12,1),0)))</f>
        <v/>
      </c>
      <c r="P15" s="166">
        <f>IF($C15="","",SUM(D15:O15))</f>
        <v/>
      </c>
    </row>
    <row r="16" ht="15" customHeight="1" s="94">
      <c r="A16" s="164">
        <f>IF(Kategori!C16="","",Kategori!A16)</f>
        <v/>
      </c>
      <c r="B16" s="164">
        <f>IF(Kategori!C16="","",Kategori!B16)</f>
        <v/>
      </c>
      <c r="C16" s="108">
        <f>IF(Kategori!C16="","",Kategori!C16)</f>
        <v/>
      </c>
      <c r="D16" s="165">
        <f>IF($C16="","",SUMIFS(Transaksi!$F$16:$F$5015,Transaksi!$G$16:$G$5015,$A16,Transaksi!$H$16:$H$5015,$B16,Transaksi!$I$16:$I$5015,$C16,Transaksi!$B$16:$B$5015,"&gt;="&amp;DATE(Dashboard!$C$4,1,1),Transaksi!$B$16:$B$5015,"&lt;="&amp;EOMONTH(DATE(Dashboard!$C$4,1,1),0)))</f>
        <v/>
      </c>
      <c r="E16" s="165">
        <f>IF($C16="","",SUMIFS(Transaksi!$F$16:$F$5015,Transaksi!$G$16:$G$5015,$A16,Transaksi!$H$16:$H$5015,$B16,Transaksi!$I$16:$I$5015,$C16,Transaksi!$B$16:$B$5015,"&gt;="&amp;DATE(Dashboard!$C$4,2,1),Transaksi!$B$16:$B$5015,"&lt;="&amp;EOMONTH(DATE(Dashboard!$C$4,2,1),0)))</f>
        <v/>
      </c>
      <c r="F16" s="165">
        <f>IF($C16="","",SUMIFS(Transaksi!$F$16:$F$5015,Transaksi!$G$16:$G$5015,$A16,Transaksi!$H$16:$H$5015,$B16,Transaksi!$I$16:$I$5015,$C16,Transaksi!$B$16:$B$5015,"&gt;="&amp;DATE(Dashboard!$C$4,3,1),Transaksi!$B$16:$B$5015,"&lt;="&amp;EOMONTH(DATE(Dashboard!$C$4,3,1),0)))</f>
        <v/>
      </c>
      <c r="G16" s="165">
        <f>IF($C16="","",SUMIFS(Transaksi!$F$16:$F$5015,Transaksi!$G$16:$G$5015,$A16,Transaksi!$H$16:$H$5015,$B16,Transaksi!$I$16:$I$5015,$C16,Transaksi!$B$16:$B$5015,"&gt;="&amp;DATE(Dashboard!$C$4,4,1),Transaksi!$B$16:$B$5015,"&lt;="&amp;EOMONTH(DATE(Dashboard!$C$4,4,1),0)))</f>
        <v/>
      </c>
      <c r="H16" s="165">
        <f>IF($C16="","",SUMIFS(Transaksi!$F$16:$F$5015,Transaksi!$G$16:$G$5015,$A16,Transaksi!$H$16:$H$5015,$B16,Transaksi!$I$16:$I$5015,$C16,Transaksi!$B$16:$B$5015,"&gt;="&amp;DATE(Dashboard!$C$4,5,1),Transaksi!$B$16:$B$5015,"&lt;="&amp;EOMONTH(DATE(Dashboard!$C$4,5,1),0)))</f>
        <v/>
      </c>
      <c r="I16" s="165">
        <f>IF($C16="","",SUMIFS(Transaksi!$F$16:$F$5015,Transaksi!$G$16:$G$5015,$A16,Transaksi!$H$16:$H$5015,$B16,Transaksi!$I$16:$I$5015,$C16,Transaksi!$B$16:$B$5015,"&gt;="&amp;DATE(Dashboard!$C$4,6,1),Transaksi!$B$16:$B$5015,"&lt;="&amp;EOMONTH(DATE(Dashboard!$C$4,6,1),0)))</f>
        <v/>
      </c>
      <c r="J16" s="165">
        <f>IF($C16="","",SUMIFS(Transaksi!$F$16:$F$5015,Transaksi!$G$16:$G$5015,$A16,Transaksi!$H$16:$H$5015,$B16,Transaksi!$I$16:$I$5015,$C16,Transaksi!$B$16:$B$5015,"&gt;="&amp;DATE(Dashboard!$C$4,7,1),Transaksi!$B$16:$B$5015,"&lt;="&amp;EOMONTH(DATE(Dashboard!$C$4,7,1),0)))</f>
        <v/>
      </c>
      <c r="K16" s="165">
        <f>IF($C16="","",SUMIFS(Transaksi!$F$16:$F$5015,Transaksi!$G$16:$G$5015,$A16,Transaksi!$H$16:$H$5015,$B16,Transaksi!$I$16:$I$5015,$C16,Transaksi!$B$16:$B$5015,"&gt;="&amp;DATE(Dashboard!$C$4,8,1),Transaksi!$B$16:$B$5015,"&lt;="&amp;EOMONTH(DATE(Dashboard!$C$4,8,1),0)))</f>
        <v/>
      </c>
      <c r="L16" s="165">
        <f>IF($C16="","",SUMIFS(Transaksi!$F$16:$F$5015,Transaksi!$G$16:$G$5015,$A16,Transaksi!$H$16:$H$5015,$B16,Transaksi!$I$16:$I$5015,$C16,Transaksi!$B$16:$B$5015,"&gt;="&amp;DATE(Dashboard!$C$4,9,1),Transaksi!$B$16:$B$5015,"&lt;="&amp;EOMONTH(DATE(Dashboard!$C$4,9,1),0)))</f>
        <v/>
      </c>
      <c r="M16" s="165">
        <f>IF($C16="","",SUMIFS(Transaksi!$F$16:$F$5015,Transaksi!$G$16:$G$5015,$A16,Transaksi!$H$16:$H$5015,$B16,Transaksi!$I$16:$I$5015,$C16,Transaksi!$B$16:$B$5015,"&gt;="&amp;DATE(Dashboard!$C$4,10,1),Transaksi!$B$16:$B$5015,"&lt;="&amp;EOMONTH(DATE(Dashboard!$C$4,10,1),0)))</f>
        <v/>
      </c>
      <c r="N16" s="165">
        <f>IF($C16="","",SUMIFS(Transaksi!$F$16:$F$5015,Transaksi!$G$16:$G$5015,$A16,Transaksi!$H$16:$H$5015,$B16,Transaksi!$I$16:$I$5015,$C16,Transaksi!$B$16:$B$5015,"&gt;="&amp;DATE(Dashboard!$C$4,11,1),Transaksi!$B$16:$B$5015,"&lt;="&amp;EOMONTH(DATE(Dashboard!$C$4,11,1),0)))</f>
        <v/>
      </c>
      <c r="O16" s="165">
        <f>IF($C16="","",SUMIFS(Transaksi!$F$16:$F$5015,Transaksi!$G$16:$G$5015,$A16,Transaksi!$H$16:$H$5015,$B16,Transaksi!$I$16:$I$5015,$C16,Transaksi!$B$16:$B$5015,"&gt;="&amp;DATE(Dashboard!$C$4,12,1),Transaksi!$B$16:$B$5015,"&lt;="&amp;EOMONTH(DATE(Dashboard!$C$4,12,1),0)))</f>
        <v/>
      </c>
      <c r="P16" s="166">
        <f>IF($C16="","",SUM(D16:O16))</f>
        <v/>
      </c>
    </row>
    <row r="17" ht="15" customHeight="1" s="94">
      <c r="A17" s="164">
        <f>IF(Kategori!C17="","",Kategori!A17)</f>
        <v/>
      </c>
      <c r="B17" s="164">
        <f>IF(Kategori!C17="","",Kategori!B17)</f>
        <v/>
      </c>
      <c r="C17" s="108">
        <f>IF(Kategori!C17="","",Kategori!C17)</f>
        <v/>
      </c>
      <c r="D17" s="165">
        <f>IF($C17="","",SUMIFS(Transaksi!$F$16:$F$5015,Transaksi!$G$16:$G$5015,$A17,Transaksi!$H$16:$H$5015,$B17,Transaksi!$I$16:$I$5015,$C17,Transaksi!$B$16:$B$5015,"&gt;="&amp;DATE(Dashboard!$C$4,1,1),Transaksi!$B$16:$B$5015,"&lt;="&amp;EOMONTH(DATE(Dashboard!$C$4,1,1),0)))</f>
        <v/>
      </c>
      <c r="E17" s="165">
        <f>IF($C17="","",SUMIFS(Transaksi!$F$16:$F$5015,Transaksi!$G$16:$G$5015,$A17,Transaksi!$H$16:$H$5015,$B17,Transaksi!$I$16:$I$5015,$C17,Transaksi!$B$16:$B$5015,"&gt;="&amp;DATE(Dashboard!$C$4,2,1),Transaksi!$B$16:$B$5015,"&lt;="&amp;EOMONTH(DATE(Dashboard!$C$4,2,1),0)))</f>
        <v/>
      </c>
      <c r="F17" s="165">
        <f>IF($C17="","",SUMIFS(Transaksi!$F$16:$F$5015,Transaksi!$G$16:$G$5015,$A17,Transaksi!$H$16:$H$5015,$B17,Transaksi!$I$16:$I$5015,$C17,Transaksi!$B$16:$B$5015,"&gt;="&amp;DATE(Dashboard!$C$4,3,1),Transaksi!$B$16:$B$5015,"&lt;="&amp;EOMONTH(DATE(Dashboard!$C$4,3,1),0)))</f>
        <v/>
      </c>
      <c r="G17" s="165">
        <f>IF($C17="","",SUMIFS(Transaksi!$F$16:$F$5015,Transaksi!$G$16:$G$5015,$A17,Transaksi!$H$16:$H$5015,$B17,Transaksi!$I$16:$I$5015,$C17,Transaksi!$B$16:$B$5015,"&gt;="&amp;DATE(Dashboard!$C$4,4,1),Transaksi!$B$16:$B$5015,"&lt;="&amp;EOMONTH(DATE(Dashboard!$C$4,4,1),0)))</f>
        <v/>
      </c>
      <c r="H17" s="165">
        <f>IF($C17="","",SUMIFS(Transaksi!$F$16:$F$5015,Transaksi!$G$16:$G$5015,$A17,Transaksi!$H$16:$H$5015,$B17,Transaksi!$I$16:$I$5015,$C17,Transaksi!$B$16:$B$5015,"&gt;="&amp;DATE(Dashboard!$C$4,5,1),Transaksi!$B$16:$B$5015,"&lt;="&amp;EOMONTH(DATE(Dashboard!$C$4,5,1),0)))</f>
        <v/>
      </c>
      <c r="I17" s="165">
        <f>IF($C17="","",SUMIFS(Transaksi!$F$16:$F$5015,Transaksi!$G$16:$G$5015,$A17,Transaksi!$H$16:$H$5015,$B17,Transaksi!$I$16:$I$5015,$C17,Transaksi!$B$16:$B$5015,"&gt;="&amp;DATE(Dashboard!$C$4,6,1),Transaksi!$B$16:$B$5015,"&lt;="&amp;EOMONTH(DATE(Dashboard!$C$4,6,1),0)))</f>
        <v/>
      </c>
      <c r="J17" s="165">
        <f>IF($C17="","",SUMIFS(Transaksi!$F$16:$F$5015,Transaksi!$G$16:$G$5015,$A17,Transaksi!$H$16:$H$5015,$B17,Transaksi!$I$16:$I$5015,$C17,Transaksi!$B$16:$B$5015,"&gt;="&amp;DATE(Dashboard!$C$4,7,1),Transaksi!$B$16:$B$5015,"&lt;="&amp;EOMONTH(DATE(Dashboard!$C$4,7,1),0)))</f>
        <v/>
      </c>
      <c r="K17" s="165">
        <f>IF($C17="","",SUMIFS(Transaksi!$F$16:$F$5015,Transaksi!$G$16:$G$5015,$A17,Transaksi!$H$16:$H$5015,$B17,Transaksi!$I$16:$I$5015,$C17,Transaksi!$B$16:$B$5015,"&gt;="&amp;DATE(Dashboard!$C$4,8,1),Transaksi!$B$16:$B$5015,"&lt;="&amp;EOMONTH(DATE(Dashboard!$C$4,8,1),0)))</f>
        <v/>
      </c>
      <c r="L17" s="165">
        <f>IF($C17="","",SUMIFS(Transaksi!$F$16:$F$5015,Transaksi!$G$16:$G$5015,$A17,Transaksi!$H$16:$H$5015,$B17,Transaksi!$I$16:$I$5015,$C17,Transaksi!$B$16:$B$5015,"&gt;="&amp;DATE(Dashboard!$C$4,9,1),Transaksi!$B$16:$B$5015,"&lt;="&amp;EOMONTH(DATE(Dashboard!$C$4,9,1),0)))</f>
        <v/>
      </c>
      <c r="M17" s="165">
        <f>IF($C17="","",SUMIFS(Transaksi!$F$16:$F$5015,Transaksi!$G$16:$G$5015,$A17,Transaksi!$H$16:$H$5015,$B17,Transaksi!$I$16:$I$5015,$C17,Transaksi!$B$16:$B$5015,"&gt;="&amp;DATE(Dashboard!$C$4,10,1),Transaksi!$B$16:$B$5015,"&lt;="&amp;EOMONTH(DATE(Dashboard!$C$4,10,1),0)))</f>
        <v/>
      </c>
      <c r="N17" s="165">
        <f>IF($C17="","",SUMIFS(Transaksi!$F$16:$F$5015,Transaksi!$G$16:$G$5015,$A17,Transaksi!$H$16:$H$5015,$B17,Transaksi!$I$16:$I$5015,$C17,Transaksi!$B$16:$B$5015,"&gt;="&amp;DATE(Dashboard!$C$4,11,1),Transaksi!$B$16:$B$5015,"&lt;="&amp;EOMONTH(DATE(Dashboard!$C$4,11,1),0)))</f>
        <v/>
      </c>
      <c r="O17" s="165">
        <f>IF($C17="","",SUMIFS(Transaksi!$F$16:$F$5015,Transaksi!$G$16:$G$5015,$A17,Transaksi!$H$16:$H$5015,$B17,Transaksi!$I$16:$I$5015,$C17,Transaksi!$B$16:$B$5015,"&gt;="&amp;DATE(Dashboard!$C$4,12,1),Transaksi!$B$16:$B$5015,"&lt;="&amp;EOMONTH(DATE(Dashboard!$C$4,12,1),0)))</f>
        <v/>
      </c>
      <c r="P17" s="166">
        <f>IF($C17="","",SUM(D17:O17))</f>
        <v/>
      </c>
    </row>
    <row r="18" ht="15" customHeight="1" s="94">
      <c r="A18" s="164">
        <f>IF(Kategori!C18="","",Kategori!A18)</f>
        <v/>
      </c>
      <c r="B18" s="164">
        <f>IF(Kategori!C18="","",Kategori!B18)</f>
        <v/>
      </c>
      <c r="C18" s="108">
        <f>IF(Kategori!C18="","",Kategori!C18)</f>
        <v/>
      </c>
      <c r="D18" s="165">
        <f>IF($C18="","",SUMIFS(Transaksi!$F$16:$F$5015,Transaksi!$G$16:$G$5015,$A18,Transaksi!$H$16:$H$5015,$B18,Transaksi!$I$16:$I$5015,$C18,Transaksi!$B$16:$B$5015,"&gt;="&amp;DATE(Dashboard!$C$4,1,1),Transaksi!$B$16:$B$5015,"&lt;="&amp;EOMONTH(DATE(Dashboard!$C$4,1,1),0)))</f>
        <v/>
      </c>
      <c r="E18" s="165">
        <f>IF($C18="","",SUMIFS(Transaksi!$F$16:$F$5015,Transaksi!$G$16:$G$5015,$A18,Transaksi!$H$16:$H$5015,$B18,Transaksi!$I$16:$I$5015,$C18,Transaksi!$B$16:$B$5015,"&gt;="&amp;DATE(Dashboard!$C$4,2,1),Transaksi!$B$16:$B$5015,"&lt;="&amp;EOMONTH(DATE(Dashboard!$C$4,2,1),0)))</f>
        <v/>
      </c>
      <c r="F18" s="165">
        <f>IF($C18="","",SUMIFS(Transaksi!$F$16:$F$5015,Transaksi!$G$16:$G$5015,$A18,Transaksi!$H$16:$H$5015,$B18,Transaksi!$I$16:$I$5015,$C18,Transaksi!$B$16:$B$5015,"&gt;="&amp;DATE(Dashboard!$C$4,3,1),Transaksi!$B$16:$B$5015,"&lt;="&amp;EOMONTH(DATE(Dashboard!$C$4,3,1),0)))</f>
        <v/>
      </c>
      <c r="G18" s="165">
        <f>IF($C18="","",SUMIFS(Transaksi!$F$16:$F$5015,Transaksi!$G$16:$G$5015,$A18,Transaksi!$H$16:$H$5015,$B18,Transaksi!$I$16:$I$5015,$C18,Transaksi!$B$16:$B$5015,"&gt;="&amp;DATE(Dashboard!$C$4,4,1),Transaksi!$B$16:$B$5015,"&lt;="&amp;EOMONTH(DATE(Dashboard!$C$4,4,1),0)))</f>
        <v/>
      </c>
      <c r="H18" s="165">
        <f>IF($C18="","",SUMIFS(Transaksi!$F$16:$F$5015,Transaksi!$G$16:$G$5015,$A18,Transaksi!$H$16:$H$5015,$B18,Transaksi!$I$16:$I$5015,$C18,Transaksi!$B$16:$B$5015,"&gt;="&amp;DATE(Dashboard!$C$4,5,1),Transaksi!$B$16:$B$5015,"&lt;="&amp;EOMONTH(DATE(Dashboard!$C$4,5,1),0)))</f>
        <v/>
      </c>
      <c r="I18" s="165">
        <f>IF($C18="","",SUMIFS(Transaksi!$F$16:$F$5015,Transaksi!$G$16:$G$5015,$A18,Transaksi!$H$16:$H$5015,$B18,Transaksi!$I$16:$I$5015,$C18,Transaksi!$B$16:$B$5015,"&gt;="&amp;DATE(Dashboard!$C$4,6,1),Transaksi!$B$16:$B$5015,"&lt;="&amp;EOMONTH(DATE(Dashboard!$C$4,6,1),0)))</f>
        <v/>
      </c>
      <c r="J18" s="165">
        <f>IF($C18="","",SUMIFS(Transaksi!$F$16:$F$5015,Transaksi!$G$16:$G$5015,$A18,Transaksi!$H$16:$H$5015,$B18,Transaksi!$I$16:$I$5015,$C18,Transaksi!$B$16:$B$5015,"&gt;="&amp;DATE(Dashboard!$C$4,7,1),Transaksi!$B$16:$B$5015,"&lt;="&amp;EOMONTH(DATE(Dashboard!$C$4,7,1),0)))</f>
        <v/>
      </c>
      <c r="K18" s="165">
        <f>IF($C18="","",SUMIFS(Transaksi!$F$16:$F$5015,Transaksi!$G$16:$G$5015,$A18,Transaksi!$H$16:$H$5015,$B18,Transaksi!$I$16:$I$5015,$C18,Transaksi!$B$16:$B$5015,"&gt;="&amp;DATE(Dashboard!$C$4,8,1),Transaksi!$B$16:$B$5015,"&lt;="&amp;EOMONTH(DATE(Dashboard!$C$4,8,1),0)))</f>
        <v/>
      </c>
      <c r="L18" s="165">
        <f>IF($C18="","",SUMIFS(Transaksi!$F$16:$F$5015,Transaksi!$G$16:$G$5015,$A18,Transaksi!$H$16:$H$5015,$B18,Transaksi!$I$16:$I$5015,$C18,Transaksi!$B$16:$B$5015,"&gt;="&amp;DATE(Dashboard!$C$4,9,1),Transaksi!$B$16:$B$5015,"&lt;="&amp;EOMONTH(DATE(Dashboard!$C$4,9,1),0)))</f>
        <v/>
      </c>
      <c r="M18" s="165">
        <f>IF($C18="","",SUMIFS(Transaksi!$F$16:$F$5015,Transaksi!$G$16:$G$5015,$A18,Transaksi!$H$16:$H$5015,$B18,Transaksi!$I$16:$I$5015,$C18,Transaksi!$B$16:$B$5015,"&gt;="&amp;DATE(Dashboard!$C$4,10,1),Transaksi!$B$16:$B$5015,"&lt;="&amp;EOMONTH(DATE(Dashboard!$C$4,10,1),0)))</f>
        <v/>
      </c>
      <c r="N18" s="165">
        <f>IF($C18="","",SUMIFS(Transaksi!$F$16:$F$5015,Transaksi!$G$16:$G$5015,$A18,Transaksi!$H$16:$H$5015,$B18,Transaksi!$I$16:$I$5015,$C18,Transaksi!$B$16:$B$5015,"&gt;="&amp;DATE(Dashboard!$C$4,11,1),Transaksi!$B$16:$B$5015,"&lt;="&amp;EOMONTH(DATE(Dashboard!$C$4,11,1),0)))</f>
        <v/>
      </c>
      <c r="O18" s="165">
        <f>IF($C18="","",SUMIFS(Transaksi!$F$16:$F$5015,Transaksi!$G$16:$G$5015,$A18,Transaksi!$H$16:$H$5015,$B18,Transaksi!$I$16:$I$5015,$C18,Transaksi!$B$16:$B$5015,"&gt;="&amp;DATE(Dashboard!$C$4,12,1),Transaksi!$B$16:$B$5015,"&lt;="&amp;EOMONTH(DATE(Dashboard!$C$4,12,1),0)))</f>
        <v/>
      </c>
      <c r="P18" s="166">
        <f>IF($C18="","",SUM(D18:O18))</f>
        <v/>
      </c>
    </row>
    <row r="19" ht="15" customHeight="1" s="94">
      <c r="A19" s="164">
        <f>IF(Kategori!C19="","",Kategori!A19)</f>
        <v/>
      </c>
      <c r="B19" s="164">
        <f>IF(Kategori!C19="","",Kategori!B19)</f>
        <v/>
      </c>
      <c r="C19" s="108">
        <f>IF(Kategori!C19="","",Kategori!C19)</f>
        <v/>
      </c>
      <c r="D19" s="165">
        <f>IF($C19="","",SUMIFS(Transaksi!$F$16:$F$5015,Transaksi!$G$16:$G$5015,$A19,Transaksi!$H$16:$H$5015,$B19,Transaksi!$I$16:$I$5015,$C19,Transaksi!$B$16:$B$5015,"&gt;="&amp;DATE(Dashboard!$C$4,1,1),Transaksi!$B$16:$B$5015,"&lt;="&amp;EOMONTH(DATE(Dashboard!$C$4,1,1),0)))</f>
        <v/>
      </c>
      <c r="E19" s="165">
        <f>IF($C19="","",SUMIFS(Transaksi!$F$16:$F$5015,Transaksi!$G$16:$G$5015,$A19,Transaksi!$H$16:$H$5015,$B19,Transaksi!$I$16:$I$5015,$C19,Transaksi!$B$16:$B$5015,"&gt;="&amp;DATE(Dashboard!$C$4,2,1),Transaksi!$B$16:$B$5015,"&lt;="&amp;EOMONTH(DATE(Dashboard!$C$4,2,1),0)))</f>
        <v/>
      </c>
      <c r="F19" s="165">
        <f>IF($C19="","",SUMIFS(Transaksi!$F$16:$F$5015,Transaksi!$G$16:$G$5015,$A19,Transaksi!$H$16:$H$5015,$B19,Transaksi!$I$16:$I$5015,$C19,Transaksi!$B$16:$B$5015,"&gt;="&amp;DATE(Dashboard!$C$4,3,1),Transaksi!$B$16:$B$5015,"&lt;="&amp;EOMONTH(DATE(Dashboard!$C$4,3,1),0)))</f>
        <v/>
      </c>
      <c r="G19" s="165">
        <f>IF($C19="","",SUMIFS(Transaksi!$F$16:$F$5015,Transaksi!$G$16:$G$5015,$A19,Transaksi!$H$16:$H$5015,$B19,Transaksi!$I$16:$I$5015,$C19,Transaksi!$B$16:$B$5015,"&gt;="&amp;DATE(Dashboard!$C$4,4,1),Transaksi!$B$16:$B$5015,"&lt;="&amp;EOMONTH(DATE(Dashboard!$C$4,4,1),0)))</f>
        <v/>
      </c>
      <c r="H19" s="165">
        <f>IF($C19="","",SUMIFS(Transaksi!$F$16:$F$5015,Transaksi!$G$16:$G$5015,$A19,Transaksi!$H$16:$H$5015,$B19,Transaksi!$I$16:$I$5015,$C19,Transaksi!$B$16:$B$5015,"&gt;="&amp;DATE(Dashboard!$C$4,5,1),Transaksi!$B$16:$B$5015,"&lt;="&amp;EOMONTH(DATE(Dashboard!$C$4,5,1),0)))</f>
        <v/>
      </c>
      <c r="I19" s="165">
        <f>IF($C19="","",SUMIFS(Transaksi!$F$16:$F$5015,Transaksi!$G$16:$G$5015,$A19,Transaksi!$H$16:$H$5015,$B19,Transaksi!$I$16:$I$5015,$C19,Transaksi!$B$16:$B$5015,"&gt;="&amp;DATE(Dashboard!$C$4,6,1),Transaksi!$B$16:$B$5015,"&lt;="&amp;EOMONTH(DATE(Dashboard!$C$4,6,1),0)))</f>
        <v/>
      </c>
      <c r="J19" s="165">
        <f>IF($C19="","",SUMIFS(Transaksi!$F$16:$F$5015,Transaksi!$G$16:$G$5015,$A19,Transaksi!$H$16:$H$5015,$B19,Transaksi!$I$16:$I$5015,$C19,Transaksi!$B$16:$B$5015,"&gt;="&amp;DATE(Dashboard!$C$4,7,1),Transaksi!$B$16:$B$5015,"&lt;="&amp;EOMONTH(DATE(Dashboard!$C$4,7,1),0)))</f>
        <v/>
      </c>
      <c r="K19" s="165">
        <f>IF($C19="","",SUMIFS(Transaksi!$F$16:$F$5015,Transaksi!$G$16:$G$5015,$A19,Transaksi!$H$16:$H$5015,$B19,Transaksi!$I$16:$I$5015,$C19,Transaksi!$B$16:$B$5015,"&gt;="&amp;DATE(Dashboard!$C$4,8,1),Transaksi!$B$16:$B$5015,"&lt;="&amp;EOMONTH(DATE(Dashboard!$C$4,8,1),0)))</f>
        <v/>
      </c>
      <c r="L19" s="165">
        <f>IF($C19="","",SUMIFS(Transaksi!$F$16:$F$5015,Transaksi!$G$16:$G$5015,$A19,Transaksi!$H$16:$H$5015,$B19,Transaksi!$I$16:$I$5015,$C19,Transaksi!$B$16:$B$5015,"&gt;="&amp;DATE(Dashboard!$C$4,9,1),Transaksi!$B$16:$B$5015,"&lt;="&amp;EOMONTH(DATE(Dashboard!$C$4,9,1),0)))</f>
        <v/>
      </c>
      <c r="M19" s="165">
        <f>IF($C19="","",SUMIFS(Transaksi!$F$16:$F$5015,Transaksi!$G$16:$G$5015,$A19,Transaksi!$H$16:$H$5015,$B19,Transaksi!$I$16:$I$5015,$C19,Transaksi!$B$16:$B$5015,"&gt;="&amp;DATE(Dashboard!$C$4,10,1),Transaksi!$B$16:$B$5015,"&lt;="&amp;EOMONTH(DATE(Dashboard!$C$4,10,1),0)))</f>
        <v/>
      </c>
      <c r="N19" s="165">
        <f>IF($C19="","",SUMIFS(Transaksi!$F$16:$F$5015,Transaksi!$G$16:$G$5015,$A19,Transaksi!$H$16:$H$5015,$B19,Transaksi!$I$16:$I$5015,$C19,Transaksi!$B$16:$B$5015,"&gt;="&amp;DATE(Dashboard!$C$4,11,1),Transaksi!$B$16:$B$5015,"&lt;="&amp;EOMONTH(DATE(Dashboard!$C$4,11,1),0)))</f>
        <v/>
      </c>
      <c r="O19" s="165">
        <f>IF($C19="","",SUMIFS(Transaksi!$F$16:$F$5015,Transaksi!$G$16:$G$5015,$A19,Transaksi!$H$16:$H$5015,$B19,Transaksi!$I$16:$I$5015,$C19,Transaksi!$B$16:$B$5015,"&gt;="&amp;DATE(Dashboard!$C$4,12,1),Transaksi!$B$16:$B$5015,"&lt;="&amp;EOMONTH(DATE(Dashboard!$C$4,12,1),0)))</f>
        <v/>
      </c>
      <c r="P19" s="166">
        <f>IF($C19="","",SUM(D19:O19))</f>
        <v/>
      </c>
    </row>
    <row r="20" ht="15" customHeight="1" s="94">
      <c r="A20" s="164">
        <f>IF(Kategori!C20="","",Kategori!A20)</f>
        <v/>
      </c>
      <c r="B20" s="164">
        <f>IF(Kategori!C20="","",Kategori!B20)</f>
        <v/>
      </c>
      <c r="C20" s="108">
        <f>IF(Kategori!C20="","",Kategori!C20)</f>
        <v/>
      </c>
      <c r="D20" s="165">
        <f>IF($C20="","",SUMIFS(Transaksi!$F$16:$F$5015,Transaksi!$G$16:$G$5015,$A20,Transaksi!$H$16:$H$5015,$B20,Transaksi!$I$16:$I$5015,$C20,Transaksi!$B$16:$B$5015,"&gt;="&amp;DATE(Dashboard!$C$4,1,1),Transaksi!$B$16:$B$5015,"&lt;="&amp;EOMONTH(DATE(Dashboard!$C$4,1,1),0)))</f>
        <v/>
      </c>
      <c r="E20" s="165">
        <f>IF($C20="","",SUMIFS(Transaksi!$F$16:$F$5015,Transaksi!$G$16:$G$5015,$A20,Transaksi!$H$16:$H$5015,$B20,Transaksi!$I$16:$I$5015,$C20,Transaksi!$B$16:$B$5015,"&gt;="&amp;DATE(Dashboard!$C$4,2,1),Transaksi!$B$16:$B$5015,"&lt;="&amp;EOMONTH(DATE(Dashboard!$C$4,2,1),0)))</f>
        <v/>
      </c>
      <c r="F20" s="165">
        <f>IF($C20="","",SUMIFS(Transaksi!$F$16:$F$5015,Transaksi!$G$16:$G$5015,$A20,Transaksi!$H$16:$H$5015,$B20,Transaksi!$I$16:$I$5015,$C20,Transaksi!$B$16:$B$5015,"&gt;="&amp;DATE(Dashboard!$C$4,3,1),Transaksi!$B$16:$B$5015,"&lt;="&amp;EOMONTH(DATE(Dashboard!$C$4,3,1),0)))</f>
        <v/>
      </c>
      <c r="G20" s="165">
        <f>IF($C20="","",SUMIFS(Transaksi!$F$16:$F$5015,Transaksi!$G$16:$G$5015,$A20,Transaksi!$H$16:$H$5015,$B20,Transaksi!$I$16:$I$5015,$C20,Transaksi!$B$16:$B$5015,"&gt;="&amp;DATE(Dashboard!$C$4,4,1),Transaksi!$B$16:$B$5015,"&lt;="&amp;EOMONTH(DATE(Dashboard!$C$4,4,1),0)))</f>
        <v/>
      </c>
      <c r="H20" s="165">
        <f>IF($C20="","",SUMIFS(Transaksi!$F$16:$F$5015,Transaksi!$G$16:$G$5015,$A20,Transaksi!$H$16:$H$5015,$B20,Transaksi!$I$16:$I$5015,$C20,Transaksi!$B$16:$B$5015,"&gt;="&amp;DATE(Dashboard!$C$4,5,1),Transaksi!$B$16:$B$5015,"&lt;="&amp;EOMONTH(DATE(Dashboard!$C$4,5,1),0)))</f>
        <v/>
      </c>
      <c r="I20" s="165">
        <f>IF($C20="","",SUMIFS(Transaksi!$F$16:$F$5015,Transaksi!$G$16:$G$5015,$A20,Transaksi!$H$16:$H$5015,$B20,Transaksi!$I$16:$I$5015,$C20,Transaksi!$B$16:$B$5015,"&gt;="&amp;DATE(Dashboard!$C$4,6,1),Transaksi!$B$16:$B$5015,"&lt;="&amp;EOMONTH(DATE(Dashboard!$C$4,6,1),0)))</f>
        <v/>
      </c>
      <c r="J20" s="165">
        <f>IF($C20="","",SUMIFS(Transaksi!$F$16:$F$5015,Transaksi!$G$16:$G$5015,$A20,Transaksi!$H$16:$H$5015,$B20,Transaksi!$I$16:$I$5015,$C20,Transaksi!$B$16:$B$5015,"&gt;="&amp;DATE(Dashboard!$C$4,7,1),Transaksi!$B$16:$B$5015,"&lt;="&amp;EOMONTH(DATE(Dashboard!$C$4,7,1),0)))</f>
        <v/>
      </c>
      <c r="K20" s="165">
        <f>IF($C20="","",SUMIFS(Transaksi!$F$16:$F$5015,Transaksi!$G$16:$G$5015,$A20,Transaksi!$H$16:$H$5015,$B20,Transaksi!$I$16:$I$5015,$C20,Transaksi!$B$16:$B$5015,"&gt;="&amp;DATE(Dashboard!$C$4,8,1),Transaksi!$B$16:$B$5015,"&lt;="&amp;EOMONTH(DATE(Dashboard!$C$4,8,1),0)))</f>
        <v/>
      </c>
      <c r="L20" s="165">
        <f>IF($C20="","",SUMIFS(Transaksi!$F$16:$F$5015,Transaksi!$G$16:$G$5015,$A20,Transaksi!$H$16:$H$5015,$B20,Transaksi!$I$16:$I$5015,$C20,Transaksi!$B$16:$B$5015,"&gt;="&amp;DATE(Dashboard!$C$4,9,1),Transaksi!$B$16:$B$5015,"&lt;="&amp;EOMONTH(DATE(Dashboard!$C$4,9,1),0)))</f>
        <v/>
      </c>
      <c r="M20" s="165">
        <f>IF($C20="","",SUMIFS(Transaksi!$F$16:$F$5015,Transaksi!$G$16:$G$5015,$A20,Transaksi!$H$16:$H$5015,$B20,Transaksi!$I$16:$I$5015,$C20,Transaksi!$B$16:$B$5015,"&gt;="&amp;DATE(Dashboard!$C$4,10,1),Transaksi!$B$16:$B$5015,"&lt;="&amp;EOMONTH(DATE(Dashboard!$C$4,10,1),0)))</f>
        <v/>
      </c>
      <c r="N20" s="165">
        <f>IF($C20="","",SUMIFS(Transaksi!$F$16:$F$5015,Transaksi!$G$16:$G$5015,$A20,Transaksi!$H$16:$H$5015,$B20,Transaksi!$I$16:$I$5015,$C20,Transaksi!$B$16:$B$5015,"&gt;="&amp;DATE(Dashboard!$C$4,11,1),Transaksi!$B$16:$B$5015,"&lt;="&amp;EOMONTH(DATE(Dashboard!$C$4,11,1),0)))</f>
        <v/>
      </c>
      <c r="O20" s="165">
        <f>IF($C20="","",SUMIFS(Transaksi!$F$16:$F$5015,Transaksi!$G$16:$G$5015,$A20,Transaksi!$H$16:$H$5015,$B20,Transaksi!$I$16:$I$5015,$C20,Transaksi!$B$16:$B$5015,"&gt;="&amp;DATE(Dashboard!$C$4,12,1),Transaksi!$B$16:$B$5015,"&lt;="&amp;EOMONTH(DATE(Dashboard!$C$4,12,1),0)))</f>
        <v/>
      </c>
      <c r="P20" s="166">
        <f>IF($C20="","",SUM(D20:O20))</f>
        <v/>
      </c>
    </row>
    <row r="21" ht="15" customHeight="1" s="94">
      <c r="A21" s="164">
        <f>IF(Kategori!C21="","",Kategori!A21)</f>
        <v/>
      </c>
      <c r="B21" s="164">
        <f>IF(Kategori!C21="","",Kategori!B21)</f>
        <v/>
      </c>
      <c r="C21" s="108">
        <f>IF(Kategori!C21="","",Kategori!C21)</f>
        <v/>
      </c>
      <c r="D21" s="165">
        <f>IF($C21="","",SUMIFS(Transaksi!$F$16:$F$5015,Transaksi!$G$16:$G$5015,$A21,Transaksi!$H$16:$H$5015,$B21,Transaksi!$I$16:$I$5015,$C21,Transaksi!$B$16:$B$5015,"&gt;="&amp;DATE(Dashboard!$C$4,1,1),Transaksi!$B$16:$B$5015,"&lt;="&amp;EOMONTH(DATE(Dashboard!$C$4,1,1),0)))</f>
        <v/>
      </c>
      <c r="E21" s="165">
        <f>IF($C21="","",SUMIFS(Transaksi!$F$16:$F$5015,Transaksi!$G$16:$G$5015,$A21,Transaksi!$H$16:$H$5015,$B21,Transaksi!$I$16:$I$5015,$C21,Transaksi!$B$16:$B$5015,"&gt;="&amp;DATE(Dashboard!$C$4,2,1),Transaksi!$B$16:$B$5015,"&lt;="&amp;EOMONTH(DATE(Dashboard!$C$4,2,1),0)))</f>
        <v/>
      </c>
      <c r="F21" s="165">
        <f>IF($C21="","",SUMIFS(Transaksi!$F$16:$F$5015,Transaksi!$G$16:$G$5015,$A21,Transaksi!$H$16:$H$5015,$B21,Transaksi!$I$16:$I$5015,$C21,Transaksi!$B$16:$B$5015,"&gt;="&amp;DATE(Dashboard!$C$4,3,1),Transaksi!$B$16:$B$5015,"&lt;="&amp;EOMONTH(DATE(Dashboard!$C$4,3,1),0)))</f>
        <v/>
      </c>
      <c r="G21" s="165">
        <f>IF($C21="","",SUMIFS(Transaksi!$F$16:$F$5015,Transaksi!$G$16:$G$5015,$A21,Transaksi!$H$16:$H$5015,$B21,Transaksi!$I$16:$I$5015,$C21,Transaksi!$B$16:$B$5015,"&gt;="&amp;DATE(Dashboard!$C$4,4,1),Transaksi!$B$16:$B$5015,"&lt;="&amp;EOMONTH(DATE(Dashboard!$C$4,4,1),0)))</f>
        <v/>
      </c>
      <c r="H21" s="165">
        <f>IF($C21="","",SUMIFS(Transaksi!$F$16:$F$5015,Transaksi!$G$16:$G$5015,$A21,Transaksi!$H$16:$H$5015,$B21,Transaksi!$I$16:$I$5015,$C21,Transaksi!$B$16:$B$5015,"&gt;="&amp;DATE(Dashboard!$C$4,5,1),Transaksi!$B$16:$B$5015,"&lt;="&amp;EOMONTH(DATE(Dashboard!$C$4,5,1),0)))</f>
        <v/>
      </c>
      <c r="I21" s="165">
        <f>IF($C21="","",SUMIFS(Transaksi!$F$16:$F$5015,Transaksi!$G$16:$G$5015,$A21,Transaksi!$H$16:$H$5015,$B21,Transaksi!$I$16:$I$5015,$C21,Transaksi!$B$16:$B$5015,"&gt;="&amp;DATE(Dashboard!$C$4,6,1),Transaksi!$B$16:$B$5015,"&lt;="&amp;EOMONTH(DATE(Dashboard!$C$4,6,1),0)))</f>
        <v/>
      </c>
      <c r="J21" s="165">
        <f>IF($C21="","",SUMIFS(Transaksi!$F$16:$F$5015,Transaksi!$G$16:$G$5015,$A21,Transaksi!$H$16:$H$5015,$B21,Transaksi!$I$16:$I$5015,$C21,Transaksi!$B$16:$B$5015,"&gt;="&amp;DATE(Dashboard!$C$4,7,1),Transaksi!$B$16:$B$5015,"&lt;="&amp;EOMONTH(DATE(Dashboard!$C$4,7,1),0)))</f>
        <v/>
      </c>
      <c r="K21" s="165">
        <f>IF($C21="","",SUMIFS(Transaksi!$F$16:$F$5015,Transaksi!$G$16:$G$5015,$A21,Transaksi!$H$16:$H$5015,$B21,Transaksi!$I$16:$I$5015,$C21,Transaksi!$B$16:$B$5015,"&gt;="&amp;DATE(Dashboard!$C$4,8,1),Transaksi!$B$16:$B$5015,"&lt;="&amp;EOMONTH(DATE(Dashboard!$C$4,8,1),0)))</f>
        <v/>
      </c>
      <c r="L21" s="165">
        <f>IF($C21="","",SUMIFS(Transaksi!$F$16:$F$5015,Transaksi!$G$16:$G$5015,$A21,Transaksi!$H$16:$H$5015,$B21,Transaksi!$I$16:$I$5015,$C21,Transaksi!$B$16:$B$5015,"&gt;="&amp;DATE(Dashboard!$C$4,9,1),Transaksi!$B$16:$B$5015,"&lt;="&amp;EOMONTH(DATE(Dashboard!$C$4,9,1),0)))</f>
        <v/>
      </c>
      <c r="M21" s="165">
        <f>IF($C21="","",SUMIFS(Transaksi!$F$16:$F$5015,Transaksi!$G$16:$G$5015,$A21,Transaksi!$H$16:$H$5015,$B21,Transaksi!$I$16:$I$5015,$C21,Transaksi!$B$16:$B$5015,"&gt;="&amp;DATE(Dashboard!$C$4,10,1),Transaksi!$B$16:$B$5015,"&lt;="&amp;EOMONTH(DATE(Dashboard!$C$4,10,1),0)))</f>
        <v/>
      </c>
      <c r="N21" s="165">
        <f>IF($C21="","",SUMIFS(Transaksi!$F$16:$F$5015,Transaksi!$G$16:$G$5015,$A21,Transaksi!$H$16:$H$5015,$B21,Transaksi!$I$16:$I$5015,$C21,Transaksi!$B$16:$B$5015,"&gt;="&amp;DATE(Dashboard!$C$4,11,1),Transaksi!$B$16:$B$5015,"&lt;="&amp;EOMONTH(DATE(Dashboard!$C$4,11,1),0)))</f>
        <v/>
      </c>
      <c r="O21" s="165">
        <f>IF($C21="","",SUMIFS(Transaksi!$F$16:$F$5015,Transaksi!$G$16:$G$5015,$A21,Transaksi!$H$16:$H$5015,$B21,Transaksi!$I$16:$I$5015,$C21,Transaksi!$B$16:$B$5015,"&gt;="&amp;DATE(Dashboard!$C$4,12,1),Transaksi!$B$16:$B$5015,"&lt;="&amp;EOMONTH(DATE(Dashboard!$C$4,12,1),0)))</f>
        <v/>
      </c>
      <c r="P21" s="166">
        <f>IF($C21="","",SUM(D21:O21))</f>
        <v/>
      </c>
    </row>
    <row r="22" ht="15" customHeight="1" s="94">
      <c r="A22" s="164">
        <f>IF(Kategori!C22="","",Kategori!A22)</f>
        <v/>
      </c>
      <c r="B22" s="164">
        <f>IF(Kategori!C22="","",Kategori!B22)</f>
        <v/>
      </c>
      <c r="C22" s="108">
        <f>IF(Kategori!C22="","",Kategori!C22)</f>
        <v/>
      </c>
      <c r="D22" s="165">
        <f>IF($C22="","",SUMIFS(Transaksi!$F$16:$F$5015,Transaksi!$G$16:$G$5015,$A22,Transaksi!$H$16:$H$5015,$B22,Transaksi!$I$16:$I$5015,$C22,Transaksi!$B$16:$B$5015,"&gt;="&amp;DATE(Dashboard!$C$4,1,1),Transaksi!$B$16:$B$5015,"&lt;="&amp;EOMONTH(DATE(Dashboard!$C$4,1,1),0)))</f>
        <v/>
      </c>
      <c r="E22" s="165">
        <f>IF($C22="","",SUMIFS(Transaksi!$F$16:$F$5015,Transaksi!$G$16:$G$5015,$A22,Transaksi!$H$16:$H$5015,$B22,Transaksi!$I$16:$I$5015,$C22,Transaksi!$B$16:$B$5015,"&gt;="&amp;DATE(Dashboard!$C$4,2,1),Transaksi!$B$16:$B$5015,"&lt;="&amp;EOMONTH(DATE(Dashboard!$C$4,2,1),0)))</f>
        <v/>
      </c>
      <c r="F22" s="165">
        <f>IF($C22="","",SUMIFS(Transaksi!$F$16:$F$5015,Transaksi!$G$16:$G$5015,$A22,Transaksi!$H$16:$H$5015,$B22,Transaksi!$I$16:$I$5015,$C22,Transaksi!$B$16:$B$5015,"&gt;="&amp;DATE(Dashboard!$C$4,3,1),Transaksi!$B$16:$B$5015,"&lt;="&amp;EOMONTH(DATE(Dashboard!$C$4,3,1),0)))</f>
        <v/>
      </c>
      <c r="G22" s="165">
        <f>IF($C22="","",SUMIFS(Transaksi!$F$16:$F$5015,Transaksi!$G$16:$G$5015,$A22,Transaksi!$H$16:$H$5015,$B22,Transaksi!$I$16:$I$5015,$C22,Transaksi!$B$16:$B$5015,"&gt;="&amp;DATE(Dashboard!$C$4,4,1),Transaksi!$B$16:$B$5015,"&lt;="&amp;EOMONTH(DATE(Dashboard!$C$4,4,1),0)))</f>
        <v/>
      </c>
      <c r="H22" s="165">
        <f>IF($C22="","",SUMIFS(Transaksi!$F$16:$F$5015,Transaksi!$G$16:$G$5015,$A22,Transaksi!$H$16:$H$5015,$B22,Transaksi!$I$16:$I$5015,$C22,Transaksi!$B$16:$B$5015,"&gt;="&amp;DATE(Dashboard!$C$4,5,1),Transaksi!$B$16:$B$5015,"&lt;="&amp;EOMONTH(DATE(Dashboard!$C$4,5,1),0)))</f>
        <v/>
      </c>
      <c r="I22" s="165">
        <f>IF($C22="","",SUMIFS(Transaksi!$F$16:$F$5015,Transaksi!$G$16:$G$5015,$A22,Transaksi!$H$16:$H$5015,$B22,Transaksi!$I$16:$I$5015,$C22,Transaksi!$B$16:$B$5015,"&gt;="&amp;DATE(Dashboard!$C$4,6,1),Transaksi!$B$16:$B$5015,"&lt;="&amp;EOMONTH(DATE(Dashboard!$C$4,6,1),0)))</f>
        <v/>
      </c>
      <c r="J22" s="165">
        <f>IF($C22="","",SUMIFS(Transaksi!$F$16:$F$5015,Transaksi!$G$16:$G$5015,$A22,Transaksi!$H$16:$H$5015,$B22,Transaksi!$I$16:$I$5015,$C22,Transaksi!$B$16:$B$5015,"&gt;="&amp;DATE(Dashboard!$C$4,7,1),Transaksi!$B$16:$B$5015,"&lt;="&amp;EOMONTH(DATE(Dashboard!$C$4,7,1),0)))</f>
        <v/>
      </c>
      <c r="K22" s="165">
        <f>IF($C22="","",SUMIFS(Transaksi!$F$16:$F$5015,Transaksi!$G$16:$G$5015,$A22,Transaksi!$H$16:$H$5015,$B22,Transaksi!$I$16:$I$5015,$C22,Transaksi!$B$16:$B$5015,"&gt;="&amp;DATE(Dashboard!$C$4,8,1),Transaksi!$B$16:$B$5015,"&lt;="&amp;EOMONTH(DATE(Dashboard!$C$4,8,1),0)))</f>
        <v/>
      </c>
      <c r="L22" s="165">
        <f>IF($C22="","",SUMIFS(Transaksi!$F$16:$F$5015,Transaksi!$G$16:$G$5015,$A22,Transaksi!$H$16:$H$5015,$B22,Transaksi!$I$16:$I$5015,$C22,Transaksi!$B$16:$B$5015,"&gt;="&amp;DATE(Dashboard!$C$4,9,1),Transaksi!$B$16:$B$5015,"&lt;="&amp;EOMONTH(DATE(Dashboard!$C$4,9,1),0)))</f>
        <v/>
      </c>
      <c r="M22" s="165">
        <f>IF($C22="","",SUMIFS(Transaksi!$F$16:$F$5015,Transaksi!$G$16:$G$5015,$A22,Transaksi!$H$16:$H$5015,$B22,Transaksi!$I$16:$I$5015,$C22,Transaksi!$B$16:$B$5015,"&gt;="&amp;DATE(Dashboard!$C$4,10,1),Transaksi!$B$16:$B$5015,"&lt;="&amp;EOMONTH(DATE(Dashboard!$C$4,10,1),0)))</f>
        <v/>
      </c>
      <c r="N22" s="165">
        <f>IF($C22="","",SUMIFS(Transaksi!$F$16:$F$5015,Transaksi!$G$16:$G$5015,$A22,Transaksi!$H$16:$H$5015,$B22,Transaksi!$I$16:$I$5015,$C22,Transaksi!$B$16:$B$5015,"&gt;="&amp;DATE(Dashboard!$C$4,11,1),Transaksi!$B$16:$B$5015,"&lt;="&amp;EOMONTH(DATE(Dashboard!$C$4,11,1),0)))</f>
        <v/>
      </c>
      <c r="O22" s="165">
        <f>IF($C22="","",SUMIFS(Transaksi!$F$16:$F$5015,Transaksi!$G$16:$G$5015,$A22,Transaksi!$H$16:$H$5015,$B22,Transaksi!$I$16:$I$5015,$C22,Transaksi!$B$16:$B$5015,"&gt;="&amp;DATE(Dashboard!$C$4,12,1),Transaksi!$B$16:$B$5015,"&lt;="&amp;EOMONTH(DATE(Dashboard!$C$4,12,1),0)))</f>
        <v/>
      </c>
      <c r="P22" s="166">
        <f>IF($C22="","",SUM(D22:O22))</f>
        <v/>
      </c>
    </row>
    <row r="23" ht="15" customHeight="1" s="94">
      <c r="A23" s="164">
        <f>IF(Kategori!C23="","",Kategori!A23)</f>
        <v/>
      </c>
      <c r="B23" s="164">
        <f>IF(Kategori!C23="","",Kategori!B23)</f>
        <v/>
      </c>
      <c r="C23" s="108">
        <f>IF(Kategori!C23="","",Kategori!C23)</f>
        <v/>
      </c>
      <c r="D23" s="165">
        <f>IF($C23="","",SUMIFS(Transaksi!$F$16:$F$5015,Transaksi!$G$16:$G$5015,$A23,Transaksi!$H$16:$H$5015,$B23,Transaksi!$I$16:$I$5015,$C23,Transaksi!$B$16:$B$5015,"&gt;="&amp;DATE(Dashboard!$C$4,1,1),Transaksi!$B$16:$B$5015,"&lt;="&amp;EOMONTH(DATE(Dashboard!$C$4,1,1),0)))</f>
        <v/>
      </c>
      <c r="E23" s="165">
        <f>IF($C23="","",SUMIFS(Transaksi!$F$16:$F$5015,Transaksi!$G$16:$G$5015,$A23,Transaksi!$H$16:$H$5015,$B23,Transaksi!$I$16:$I$5015,$C23,Transaksi!$B$16:$B$5015,"&gt;="&amp;DATE(Dashboard!$C$4,2,1),Transaksi!$B$16:$B$5015,"&lt;="&amp;EOMONTH(DATE(Dashboard!$C$4,2,1),0)))</f>
        <v/>
      </c>
      <c r="F23" s="165">
        <f>IF($C23="","",SUMIFS(Transaksi!$F$16:$F$5015,Transaksi!$G$16:$G$5015,$A23,Transaksi!$H$16:$H$5015,$B23,Transaksi!$I$16:$I$5015,$C23,Transaksi!$B$16:$B$5015,"&gt;="&amp;DATE(Dashboard!$C$4,3,1),Transaksi!$B$16:$B$5015,"&lt;="&amp;EOMONTH(DATE(Dashboard!$C$4,3,1),0)))</f>
        <v/>
      </c>
      <c r="G23" s="165">
        <f>IF($C23="","",SUMIFS(Transaksi!$F$16:$F$5015,Transaksi!$G$16:$G$5015,$A23,Transaksi!$H$16:$H$5015,$B23,Transaksi!$I$16:$I$5015,$C23,Transaksi!$B$16:$B$5015,"&gt;="&amp;DATE(Dashboard!$C$4,4,1),Transaksi!$B$16:$B$5015,"&lt;="&amp;EOMONTH(DATE(Dashboard!$C$4,4,1),0)))</f>
        <v/>
      </c>
      <c r="H23" s="165">
        <f>IF($C23="","",SUMIFS(Transaksi!$F$16:$F$5015,Transaksi!$G$16:$G$5015,$A23,Transaksi!$H$16:$H$5015,$B23,Transaksi!$I$16:$I$5015,$C23,Transaksi!$B$16:$B$5015,"&gt;="&amp;DATE(Dashboard!$C$4,5,1),Transaksi!$B$16:$B$5015,"&lt;="&amp;EOMONTH(DATE(Dashboard!$C$4,5,1),0)))</f>
        <v/>
      </c>
      <c r="I23" s="165">
        <f>IF($C23="","",SUMIFS(Transaksi!$F$16:$F$5015,Transaksi!$G$16:$G$5015,$A23,Transaksi!$H$16:$H$5015,$B23,Transaksi!$I$16:$I$5015,$C23,Transaksi!$B$16:$B$5015,"&gt;="&amp;DATE(Dashboard!$C$4,6,1),Transaksi!$B$16:$B$5015,"&lt;="&amp;EOMONTH(DATE(Dashboard!$C$4,6,1),0)))</f>
        <v/>
      </c>
      <c r="J23" s="165">
        <f>IF($C23="","",SUMIFS(Transaksi!$F$16:$F$5015,Transaksi!$G$16:$G$5015,$A23,Transaksi!$H$16:$H$5015,$B23,Transaksi!$I$16:$I$5015,$C23,Transaksi!$B$16:$B$5015,"&gt;="&amp;DATE(Dashboard!$C$4,7,1),Transaksi!$B$16:$B$5015,"&lt;="&amp;EOMONTH(DATE(Dashboard!$C$4,7,1),0)))</f>
        <v/>
      </c>
      <c r="K23" s="165">
        <f>IF($C23="","",SUMIFS(Transaksi!$F$16:$F$5015,Transaksi!$G$16:$G$5015,$A23,Transaksi!$H$16:$H$5015,$B23,Transaksi!$I$16:$I$5015,$C23,Transaksi!$B$16:$B$5015,"&gt;="&amp;DATE(Dashboard!$C$4,8,1),Transaksi!$B$16:$B$5015,"&lt;="&amp;EOMONTH(DATE(Dashboard!$C$4,8,1),0)))</f>
        <v/>
      </c>
      <c r="L23" s="165">
        <f>IF($C23="","",SUMIFS(Transaksi!$F$16:$F$5015,Transaksi!$G$16:$G$5015,$A23,Transaksi!$H$16:$H$5015,$B23,Transaksi!$I$16:$I$5015,$C23,Transaksi!$B$16:$B$5015,"&gt;="&amp;DATE(Dashboard!$C$4,9,1),Transaksi!$B$16:$B$5015,"&lt;="&amp;EOMONTH(DATE(Dashboard!$C$4,9,1),0)))</f>
        <v/>
      </c>
      <c r="M23" s="165">
        <f>IF($C23="","",SUMIFS(Transaksi!$F$16:$F$5015,Transaksi!$G$16:$G$5015,$A23,Transaksi!$H$16:$H$5015,$B23,Transaksi!$I$16:$I$5015,$C23,Transaksi!$B$16:$B$5015,"&gt;="&amp;DATE(Dashboard!$C$4,10,1),Transaksi!$B$16:$B$5015,"&lt;="&amp;EOMONTH(DATE(Dashboard!$C$4,10,1),0)))</f>
        <v/>
      </c>
      <c r="N23" s="165">
        <f>IF($C23="","",SUMIFS(Transaksi!$F$16:$F$5015,Transaksi!$G$16:$G$5015,$A23,Transaksi!$H$16:$H$5015,$B23,Transaksi!$I$16:$I$5015,$C23,Transaksi!$B$16:$B$5015,"&gt;="&amp;DATE(Dashboard!$C$4,11,1),Transaksi!$B$16:$B$5015,"&lt;="&amp;EOMONTH(DATE(Dashboard!$C$4,11,1),0)))</f>
        <v/>
      </c>
      <c r="O23" s="165">
        <f>IF($C23="","",SUMIFS(Transaksi!$F$16:$F$5015,Transaksi!$G$16:$G$5015,$A23,Transaksi!$H$16:$H$5015,$B23,Transaksi!$I$16:$I$5015,$C23,Transaksi!$B$16:$B$5015,"&gt;="&amp;DATE(Dashboard!$C$4,12,1),Transaksi!$B$16:$B$5015,"&lt;="&amp;EOMONTH(DATE(Dashboard!$C$4,12,1),0)))</f>
        <v/>
      </c>
      <c r="P23" s="166">
        <f>IF($C23="","",SUM(D23:O23))</f>
        <v/>
      </c>
    </row>
    <row r="24" ht="15" customHeight="1" s="94">
      <c r="A24" s="164">
        <f>IF(Kategori!C24="","",Kategori!A24)</f>
        <v/>
      </c>
      <c r="B24" s="164">
        <f>IF(Kategori!C24="","",Kategori!B24)</f>
        <v/>
      </c>
      <c r="C24" s="108">
        <f>IF(Kategori!C24="","",Kategori!C24)</f>
        <v/>
      </c>
      <c r="D24" s="165">
        <f>IF($C24="","",SUMIFS(Transaksi!$F$16:$F$5015,Transaksi!$G$16:$G$5015,$A24,Transaksi!$H$16:$H$5015,$B24,Transaksi!$I$16:$I$5015,$C24,Transaksi!$B$16:$B$5015,"&gt;="&amp;DATE(Dashboard!$C$4,1,1),Transaksi!$B$16:$B$5015,"&lt;="&amp;EOMONTH(DATE(Dashboard!$C$4,1,1),0)))</f>
        <v/>
      </c>
      <c r="E24" s="165">
        <f>IF($C24="","",SUMIFS(Transaksi!$F$16:$F$5015,Transaksi!$G$16:$G$5015,$A24,Transaksi!$H$16:$H$5015,$B24,Transaksi!$I$16:$I$5015,$C24,Transaksi!$B$16:$B$5015,"&gt;="&amp;DATE(Dashboard!$C$4,2,1),Transaksi!$B$16:$B$5015,"&lt;="&amp;EOMONTH(DATE(Dashboard!$C$4,2,1),0)))</f>
        <v/>
      </c>
      <c r="F24" s="165">
        <f>IF($C24="","",SUMIFS(Transaksi!$F$16:$F$5015,Transaksi!$G$16:$G$5015,$A24,Transaksi!$H$16:$H$5015,$B24,Transaksi!$I$16:$I$5015,$C24,Transaksi!$B$16:$B$5015,"&gt;="&amp;DATE(Dashboard!$C$4,3,1),Transaksi!$B$16:$B$5015,"&lt;="&amp;EOMONTH(DATE(Dashboard!$C$4,3,1),0)))</f>
        <v/>
      </c>
      <c r="G24" s="165">
        <f>IF($C24="","",SUMIFS(Transaksi!$F$16:$F$5015,Transaksi!$G$16:$G$5015,$A24,Transaksi!$H$16:$H$5015,$B24,Transaksi!$I$16:$I$5015,$C24,Transaksi!$B$16:$B$5015,"&gt;="&amp;DATE(Dashboard!$C$4,4,1),Transaksi!$B$16:$B$5015,"&lt;="&amp;EOMONTH(DATE(Dashboard!$C$4,4,1),0)))</f>
        <v/>
      </c>
      <c r="H24" s="165">
        <f>IF($C24="","",SUMIFS(Transaksi!$F$16:$F$5015,Transaksi!$G$16:$G$5015,$A24,Transaksi!$H$16:$H$5015,$B24,Transaksi!$I$16:$I$5015,$C24,Transaksi!$B$16:$B$5015,"&gt;="&amp;DATE(Dashboard!$C$4,5,1),Transaksi!$B$16:$B$5015,"&lt;="&amp;EOMONTH(DATE(Dashboard!$C$4,5,1),0)))</f>
        <v/>
      </c>
      <c r="I24" s="165">
        <f>IF($C24="","",SUMIFS(Transaksi!$F$16:$F$5015,Transaksi!$G$16:$G$5015,$A24,Transaksi!$H$16:$H$5015,$B24,Transaksi!$I$16:$I$5015,$C24,Transaksi!$B$16:$B$5015,"&gt;="&amp;DATE(Dashboard!$C$4,6,1),Transaksi!$B$16:$B$5015,"&lt;="&amp;EOMONTH(DATE(Dashboard!$C$4,6,1),0)))</f>
        <v/>
      </c>
      <c r="J24" s="165">
        <f>IF($C24="","",SUMIFS(Transaksi!$F$16:$F$5015,Transaksi!$G$16:$G$5015,$A24,Transaksi!$H$16:$H$5015,$B24,Transaksi!$I$16:$I$5015,$C24,Transaksi!$B$16:$B$5015,"&gt;="&amp;DATE(Dashboard!$C$4,7,1),Transaksi!$B$16:$B$5015,"&lt;="&amp;EOMONTH(DATE(Dashboard!$C$4,7,1),0)))</f>
        <v/>
      </c>
      <c r="K24" s="165">
        <f>IF($C24="","",SUMIFS(Transaksi!$F$16:$F$5015,Transaksi!$G$16:$G$5015,$A24,Transaksi!$H$16:$H$5015,$B24,Transaksi!$I$16:$I$5015,$C24,Transaksi!$B$16:$B$5015,"&gt;="&amp;DATE(Dashboard!$C$4,8,1),Transaksi!$B$16:$B$5015,"&lt;="&amp;EOMONTH(DATE(Dashboard!$C$4,8,1),0)))</f>
        <v/>
      </c>
      <c r="L24" s="165">
        <f>IF($C24="","",SUMIFS(Transaksi!$F$16:$F$5015,Transaksi!$G$16:$G$5015,$A24,Transaksi!$H$16:$H$5015,$B24,Transaksi!$I$16:$I$5015,$C24,Transaksi!$B$16:$B$5015,"&gt;="&amp;DATE(Dashboard!$C$4,9,1),Transaksi!$B$16:$B$5015,"&lt;="&amp;EOMONTH(DATE(Dashboard!$C$4,9,1),0)))</f>
        <v/>
      </c>
      <c r="M24" s="165">
        <f>IF($C24="","",SUMIFS(Transaksi!$F$16:$F$5015,Transaksi!$G$16:$G$5015,$A24,Transaksi!$H$16:$H$5015,$B24,Transaksi!$I$16:$I$5015,$C24,Transaksi!$B$16:$B$5015,"&gt;="&amp;DATE(Dashboard!$C$4,10,1),Transaksi!$B$16:$B$5015,"&lt;="&amp;EOMONTH(DATE(Dashboard!$C$4,10,1),0)))</f>
        <v/>
      </c>
      <c r="N24" s="165">
        <f>IF($C24="","",SUMIFS(Transaksi!$F$16:$F$5015,Transaksi!$G$16:$G$5015,$A24,Transaksi!$H$16:$H$5015,$B24,Transaksi!$I$16:$I$5015,$C24,Transaksi!$B$16:$B$5015,"&gt;="&amp;DATE(Dashboard!$C$4,11,1),Transaksi!$B$16:$B$5015,"&lt;="&amp;EOMONTH(DATE(Dashboard!$C$4,11,1),0)))</f>
        <v/>
      </c>
      <c r="O24" s="165">
        <f>IF($C24="","",SUMIFS(Transaksi!$F$16:$F$5015,Transaksi!$G$16:$G$5015,$A24,Transaksi!$H$16:$H$5015,$B24,Transaksi!$I$16:$I$5015,$C24,Transaksi!$B$16:$B$5015,"&gt;="&amp;DATE(Dashboard!$C$4,12,1),Transaksi!$B$16:$B$5015,"&lt;="&amp;EOMONTH(DATE(Dashboard!$C$4,12,1),0)))</f>
        <v/>
      </c>
      <c r="P24" s="166">
        <f>IF($C24="","",SUM(D24:O24))</f>
        <v/>
      </c>
    </row>
    <row r="25" ht="15" customHeight="1" s="94">
      <c r="A25" s="164">
        <f>IF(Kategori!C25="","",Kategori!A25)</f>
        <v/>
      </c>
      <c r="B25" s="164">
        <f>IF(Kategori!C25="","",Kategori!B25)</f>
        <v/>
      </c>
      <c r="C25" s="108">
        <f>IF(Kategori!C25="","",Kategori!C25)</f>
        <v/>
      </c>
      <c r="D25" s="165">
        <f>IF($C25="","",SUMIFS(Transaksi!$F$16:$F$5015,Transaksi!$G$16:$G$5015,$A25,Transaksi!$H$16:$H$5015,$B25,Transaksi!$I$16:$I$5015,$C25,Transaksi!$B$16:$B$5015,"&gt;="&amp;DATE(Dashboard!$C$4,1,1),Transaksi!$B$16:$B$5015,"&lt;="&amp;EOMONTH(DATE(Dashboard!$C$4,1,1),0)))</f>
        <v/>
      </c>
      <c r="E25" s="165">
        <f>IF($C25="","",SUMIFS(Transaksi!$F$16:$F$5015,Transaksi!$G$16:$G$5015,$A25,Transaksi!$H$16:$H$5015,$B25,Transaksi!$I$16:$I$5015,$C25,Transaksi!$B$16:$B$5015,"&gt;="&amp;DATE(Dashboard!$C$4,2,1),Transaksi!$B$16:$B$5015,"&lt;="&amp;EOMONTH(DATE(Dashboard!$C$4,2,1),0)))</f>
        <v/>
      </c>
      <c r="F25" s="165">
        <f>IF($C25="","",SUMIFS(Transaksi!$F$16:$F$5015,Transaksi!$G$16:$G$5015,$A25,Transaksi!$H$16:$H$5015,$B25,Transaksi!$I$16:$I$5015,$C25,Transaksi!$B$16:$B$5015,"&gt;="&amp;DATE(Dashboard!$C$4,3,1),Transaksi!$B$16:$B$5015,"&lt;="&amp;EOMONTH(DATE(Dashboard!$C$4,3,1),0)))</f>
        <v/>
      </c>
      <c r="G25" s="165">
        <f>IF($C25="","",SUMIFS(Transaksi!$F$16:$F$5015,Transaksi!$G$16:$G$5015,$A25,Transaksi!$H$16:$H$5015,$B25,Transaksi!$I$16:$I$5015,$C25,Transaksi!$B$16:$B$5015,"&gt;="&amp;DATE(Dashboard!$C$4,4,1),Transaksi!$B$16:$B$5015,"&lt;="&amp;EOMONTH(DATE(Dashboard!$C$4,4,1),0)))</f>
        <v/>
      </c>
      <c r="H25" s="165">
        <f>IF($C25="","",SUMIFS(Transaksi!$F$16:$F$5015,Transaksi!$G$16:$G$5015,$A25,Transaksi!$H$16:$H$5015,$B25,Transaksi!$I$16:$I$5015,$C25,Transaksi!$B$16:$B$5015,"&gt;="&amp;DATE(Dashboard!$C$4,5,1),Transaksi!$B$16:$B$5015,"&lt;="&amp;EOMONTH(DATE(Dashboard!$C$4,5,1),0)))</f>
        <v/>
      </c>
      <c r="I25" s="165">
        <f>IF($C25="","",SUMIFS(Transaksi!$F$16:$F$5015,Transaksi!$G$16:$G$5015,$A25,Transaksi!$H$16:$H$5015,$B25,Transaksi!$I$16:$I$5015,$C25,Transaksi!$B$16:$B$5015,"&gt;="&amp;DATE(Dashboard!$C$4,6,1),Transaksi!$B$16:$B$5015,"&lt;="&amp;EOMONTH(DATE(Dashboard!$C$4,6,1),0)))</f>
        <v/>
      </c>
      <c r="J25" s="165">
        <f>IF($C25="","",SUMIFS(Transaksi!$F$16:$F$5015,Transaksi!$G$16:$G$5015,$A25,Transaksi!$H$16:$H$5015,$B25,Transaksi!$I$16:$I$5015,$C25,Transaksi!$B$16:$B$5015,"&gt;="&amp;DATE(Dashboard!$C$4,7,1),Transaksi!$B$16:$B$5015,"&lt;="&amp;EOMONTH(DATE(Dashboard!$C$4,7,1),0)))</f>
        <v/>
      </c>
      <c r="K25" s="165">
        <f>IF($C25="","",SUMIFS(Transaksi!$F$16:$F$5015,Transaksi!$G$16:$G$5015,$A25,Transaksi!$H$16:$H$5015,$B25,Transaksi!$I$16:$I$5015,$C25,Transaksi!$B$16:$B$5015,"&gt;="&amp;DATE(Dashboard!$C$4,8,1),Transaksi!$B$16:$B$5015,"&lt;="&amp;EOMONTH(DATE(Dashboard!$C$4,8,1),0)))</f>
        <v/>
      </c>
      <c r="L25" s="165">
        <f>IF($C25="","",SUMIFS(Transaksi!$F$16:$F$5015,Transaksi!$G$16:$G$5015,$A25,Transaksi!$H$16:$H$5015,$B25,Transaksi!$I$16:$I$5015,$C25,Transaksi!$B$16:$B$5015,"&gt;="&amp;DATE(Dashboard!$C$4,9,1),Transaksi!$B$16:$B$5015,"&lt;="&amp;EOMONTH(DATE(Dashboard!$C$4,9,1),0)))</f>
        <v/>
      </c>
      <c r="M25" s="165">
        <f>IF($C25="","",SUMIFS(Transaksi!$F$16:$F$5015,Transaksi!$G$16:$G$5015,$A25,Transaksi!$H$16:$H$5015,$B25,Transaksi!$I$16:$I$5015,$C25,Transaksi!$B$16:$B$5015,"&gt;="&amp;DATE(Dashboard!$C$4,10,1),Transaksi!$B$16:$B$5015,"&lt;="&amp;EOMONTH(DATE(Dashboard!$C$4,10,1),0)))</f>
        <v/>
      </c>
      <c r="N25" s="165">
        <f>IF($C25="","",SUMIFS(Transaksi!$F$16:$F$5015,Transaksi!$G$16:$G$5015,$A25,Transaksi!$H$16:$H$5015,$B25,Transaksi!$I$16:$I$5015,$C25,Transaksi!$B$16:$B$5015,"&gt;="&amp;DATE(Dashboard!$C$4,11,1),Transaksi!$B$16:$B$5015,"&lt;="&amp;EOMONTH(DATE(Dashboard!$C$4,11,1),0)))</f>
        <v/>
      </c>
      <c r="O25" s="165">
        <f>IF($C25="","",SUMIFS(Transaksi!$F$16:$F$5015,Transaksi!$G$16:$G$5015,$A25,Transaksi!$H$16:$H$5015,$B25,Transaksi!$I$16:$I$5015,$C25,Transaksi!$B$16:$B$5015,"&gt;="&amp;DATE(Dashboard!$C$4,12,1),Transaksi!$B$16:$B$5015,"&lt;="&amp;EOMONTH(DATE(Dashboard!$C$4,12,1),0)))</f>
        <v/>
      </c>
      <c r="P25" s="166">
        <f>IF($C25="","",SUM(D25:O25))</f>
        <v/>
      </c>
    </row>
    <row r="26" ht="15" customHeight="1" s="94">
      <c r="A26" s="164">
        <f>IF(Kategori!C26="","",Kategori!A26)</f>
        <v/>
      </c>
      <c r="B26" s="164">
        <f>IF(Kategori!C26="","",Kategori!B26)</f>
        <v/>
      </c>
      <c r="C26" s="108">
        <f>IF(Kategori!C26="","",Kategori!C26)</f>
        <v/>
      </c>
      <c r="D26" s="165">
        <f>IF($C26="","",SUMIFS(Transaksi!$F$16:$F$5015,Transaksi!$G$16:$G$5015,$A26,Transaksi!$H$16:$H$5015,$B26,Transaksi!$I$16:$I$5015,$C26,Transaksi!$B$16:$B$5015,"&gt;="&amp;DATE(Dashboard!$C$4,1,1),Transaksi!$B$16:$B$5015,"&lt;="&amp;EOMONTH(DATE(Dashboard!$C$4,1,1),0)))</f>
        <v/>
      </c>
      <c r="E26" s="165">
        <f>IF($C26="","",SUMIFS(Transaksi!$F$16:$F$5015,Transaksi!$G$16:$G$5015,$A26,Transaksi!$H$16:$H$5015,$B26,Transaksi!$I$16:$I$5015,$C26,Transaksi!$B$16:$B$5015,"&gt;="&amp;DATE(Dashboard!$C$4,2,1),Transaksi!$B$16:$B$5015,"&lt;="&amp;EOMONTH(DATE(Dashboard!$C$4,2,1),0)))</f>
        <v/>
      </c>
      <c r="F26" s="165">
        <f>IF($C26="","",SUMIFS(Transaksi!$F$16:$F$5015,Transaksi!$G$16:$G$5015,$A26,Transaksi!$H$16:$H$5015,$B26,Transaksi!$I$16:$I$5015,$C26,Transaksi!$B$16:$B$5015,"&gt;="&amp;DATE(Dashboard!$C$4,3,1),Transaksi!$B$16:$B$5015,"&lt;="&amp;EOMONTH(DATE(Dashboard!$C$4,3,1),0)))</f>
        <v/>
      </c>
      <c r="G26" s="165">
        <f>IF($C26="","",SUMIFS(Transaksi!$F$16:$F$5015,Transaksi!$G$16:$G$5015,$A26,Transaksi!$H$16:$H$5015,$B26,Transaksi!$I$16:$I$5015,$C26,Transaksi!$B$16:$B$5015,"&gt;="&amp;DATE(Dashboard!$C$4,4,1),Transaksi!$B$16:$B$5015,"&lt;="&amp;EOMONTH(DATE(Dashboard!$C$4,4,1),0)))</f>
        <v/>
      </c>
      <c r="H26" s="165">
        <f>IF($C26="","",SUMIFS(Transaksi!$F$16:$F$5015,Transaksi!$G$16:$G$5015,$A26,Transaksi!$H$16:$H$5015,$B26,Transaksi!$I$16:$I$5015,$C26,Transaksi!$B$16:$B$5015,"&gt;="&amp;DATE(Dashboard!$C$4,5,1),Transaksi!$B$16:$B$5015,"&lt;="&amp;EOMONTH(DATE(Dashboard!$C$4,5,1),0)))</f>
        <v/>
      </c>
      <c r="I26" s="165">
        <f>IF($C26="","",SUMIFS(Transaksi!$F$16:$F$5015,Transaksi!$G$16:$G$5015,$A26,Transaksi!$H$16:$H$5015,$B26,Transaksi!$I$16:$I$5015,$C26,Transaksi!$B$16:$B$5015,"&gt;="&amp;DATE(Dashboard!$C$4,6,1),Transaksi!$B$16:$B$5015,"&lt;="&amp;EOMONTH(DATE(Dashboard!$C$4,6,1),0)))</f>
        <v/>
      </c>
      <c r="J26" s="165">
        <f>IF($C26="","",SUMIFS(Transaksi!$F$16:$F$5015,Transaksi!$G$16:$G$5015,$A26,Transaksi!$H$16:$H$5015,$B26,Transaksi!$I$16:$I$5015,$C26,Transaksi!$B$16:$B$5015,"&gt;="&amp;DATE(Dashboard!$C$4,7,1),Transaksi!$B$16:$B$5015,"&lt;="&amp;EOMONTH(DATE(Dashboard!$C$4,7,1),0)))</f>
        <v/>
      </c>
      <c r="K26" s="165">
        <f>IF($C26="","",SUMIFS(Transaksi!$F$16:$F$5015,Transaksi!$G$16:$G$5015,$A26,Transaksi!$H$16:$H$5015,$B26,Transaksi!$I$16:$I$5015,$C26,Transaksi!$B$16:$B$5015,"&gt;="&amp;DATE(Dashboard!$C$4,8,1),Transaksi!$B$16:$B$5015,"&lt;="&amp;EOMONTH(DATE(Dashboard!$C$4,8,1),0)))</f>
        <v/>
      </c>
      <c r="L26" s="165">
        <f>IF($C26="","",SUMIFS(Transaksi!$F$16:$F$5015,Transaksi!$G$16:$G$5015,$A26,Transaksi!$H$16:$H$5015,$B26,Transaksi!$I$16:$I$5015,$C26,Transaksi!$B$16:$B$5015,"&gt;="&amp;DATE(Dashboard!$C$4,9,1),Transaksi!$B$16:$B$5015,"&lt;="&amp;EOMONTH(DATE(Dashboard!$C$4,9,1),0)))</f>
        <v/>
      </c>
      <c r="M26" s="165">
        <f>IF($C26="","",SUMIFS(Transaksi!$F$16:$F$5015,Transaksi!$G$16:$G$5015,$A26,Transaksi!$H$16:$H$5015,$B26,Transaksi!$I$16:$I$5015,$C26,Transaksi!$B$16:$B$5015,"&gt;="&amp;DATE(Dashboard!$C$4,10,1),Transaksi!$B$16:$B$5015,"&lt;="&amp;EOMONTH(DATE(Dashboard!$C$4,10,1),0)))</f>
        <v/>
      </c>
      <c r="N26" s="165">
        <f>IF($C26="","",SUMIFS(Transaksi!$F$16:$F$5015,Transaksi!$G$16:$G$5015,$A26,Transaksi!$H$16:$H$5015,$B26,Transaksi!$I$16:$I$5015,$C26,Transaksi!$B$16:$B$5015,"&gt;="&amp;DATE(Dashboard!$C$4,11,1),Transaksi!$B$16:$B$5015,"&lt;="&amp;EOMONTH(DATE(Dashboard!$C$4,11,1),0)))</f>
        <v/>
      </c>
      <c r="O26" s="165">
        <f>IF($C26="","",SUMIFS(Transaksi!$F$16:$F$5015,Transaksi!$G$16:$G$5015,$A26,Transaksi!$H$16:$H$5015,$B26,Transaksi!$I$16:$I$5015,$C26,Transaksi!$B$16:$B$5015,"&gt;="&amp;DATE(Dashboard!$C$4,12,1),Transaksi!$B$16:$B$5015,"&lt;="&amp;EOMONTH(DATE(Dashboard!$C$4,12,1),0)))</f>
        <v/>
      </c>
      <c r="P26" s="166">
        <f>IF($C26="","",SUM(D26:O26))</f>
        <v/>
      </c>
    </row>
    <row r="27" ht="15" customHeight="1" s="94">
      <c r="A27" s="164">
        <f>IF(Kategori!C27="","",Kategori!A27)</f>
        <v/>
      </c>
      <c r="B27" s="164">
        <f>IF(Kategori!C27="","",Kategori!B27)</f>
        <v/>
      </c>
      <c r="C27" s="108">
        <f>IF(Kategori!C27="","",Kategori!C27)</f>
        <v/>
      </c>
      <c r="D27" s="165">
        <f>IF($C27="","",SUMIFS(Transaksi!$F$16:$F$5015,Transaksi!$G$16:$G$5015,$A27,Transaksi!$H$16:$H$5015,$B27,Transaksi!$I$16:$I$5015,$C27,Transaksi!$B$16:$B$5015,"&gt;="&amp;DATE(Dashboard!$C$4,1,1),Transaksi!$B$16:$B$5015,"&lt;="&amp;EOMONTH(DATE(Dashboard!$C$4,1,1),0)))</f>
        <v/>
      </c>
      <c r="E27" s="165">
        <f>IF($C27="","",SUMIFS(Transaksi!$F$16:$F$5015,Transaksi!$G$16:$G$5015,$A27,Transaksi!$H$16:$H$5015,$B27,Transaksi!$I$16:$I$5015,$C27,Transaksi!$B$16:$B$5015,"&gt;="&amp;DATE(Dashboard!$C$4,2,1),Transaksi!$B$16:$B$5015,"&lt;="&amp;EOMONTH(DATE(Dashboard!$C$4,2,1),0)))</f>
        <v/>
      </c>
      <c r="F27" s="165">
        <f>IF($C27="","",SUMIFS(Transaksi!$F$16:$F$5015,Transaksi!$G$16:$G$5015,$A27,Transaksi!$H$16:$H$5015,$B27,Transaksi!$I$16:$I$5015,$C27,Transaksi!$B$16:$B$5015,"&gt;="&amp;DATE(Dashboard!$C$4,3,1),Transaksi!$B$16:$B$5015,"&lt;="&amp;EOMONTH(DATE(Dashboard!$C$4,3,1),0)))</f>
        <v/>
      </c>
      <c r="G27" s="165">
        <f>IF($C27="","",SUMIFS(Transaksi!$F$16:$F$5015,Transaksi!$G$16:$G$5015,$A27,Transaksi!$H$16:$H$5015,$B27,Transaksi!$I$16:$I$5015,$C27,Transaksi!$B$16:$B$5015,"&gt;="&amp;DATE(Dashboard!$C$4,4,1),Transaksi!$B$16:$B$5015,"&lt;="&amp;EOMONTH(DATE(Dashboard!$C$4,4,1),0)))</f>
        <v/>
      </c>
      <c r="H27" s="165">
        <f>IF($C27="","",SUMIFS(Transaksi!$F$16:$F$5015,Transaksi!$G$16:$G$5015,$A27,Transaksi!$H$16:$H$5015,$B27,Transaksi!$I$16:$I$5015,$C27,Transaksi!$B$16:$B$5015,"&gt;="&amp;DATE(Dashboard!$C$4,5,1),Transaksi!$B$16:$B$5015,"&lt;="&amp;EOMONTH(DATE(Dashboard!$C$4,5,1),0)))</f>
        <v/>
      </c>
      <c r="I27" s="165">
        <f>IF($C27="","",SUMIFS(Transaksi!$F$16:$F$5015,Transaksi!$G$16:$G$5015,$A27,Transaksi!$H$16:$H$5015,$B27,Transaksi!$I$16:$I$5015,$C27,Transaksi!$B$16:$B$5015,"&gt;="&amp;DATE(Dashboard!$C$4,6,1),Transaksi!$B$16:$B$5015,"&lt;="&amp;EOMONTH(DATE(Dashboard!$C$4,6,1),0)))</f>
        <v/>
      </c>
      <c r="J27" s="165">
        <f>IF($C27="","",SUMIFS(Transaksi!$F$16:$F$5015,Transaksi!$G$16:$G$5015,$A27,Transaksi!$H$16:$H$5015,$B27,Transaksi!$I$16:$I$5015,$C27,Transaksi!$B$16:$B$5015,"&gt;="&amp;DATE(Dashboard!$C$4,7,1),Transaksi!$B$16:$B$5015,"&lt;="&amp;EOMONTH(DATE(Dashboard!$C$4,7,1),0)))</f>
        <v/>
      </c>
      <c r="K27" s="165">
        <f>IF($C27="","",SUMIFS(Transaksi!$F$16:$F$5015,Transaksi!$G$16:$G$5015,$A27,Transaksi!$H$16:$H$5015,$B27,Transaksi!$I$16:$I$5015,$C27,Transaksi!$B$16:$B$5015,"&gt;="&amp;DATE(Dashboard!$C$4,8,1),Transaksi!$B$16:$B$5015,"&lt;="&amp;EOMONTH(DATE(Dashboard!$C$4,8,1),0)))</f>
        <v/>
      </c>
      <c r="L27" s="165">
        <f>IF($C27="","",SUMIFS(Transaksi!$F$16:$F$5015,Transaksi!$G$16:$G$5015,$A27,Transaksi!$H$16:$H$5015,$B27,Transaksi!$I$16:$I$5015,$C27,Transaksi!$B$16:$B$5015,"&gt;="&amp;DATE(Dashboard!$C$4,9,1),Transaksi!$B$16:$B$5015,"&lt;="&amp;EOMONTH(DATE(Dashboard!$C$4,9,1),0)))</f>
        <v/>
      </c>
      <c r="M27" s="165">
        <f>IF($C27="","",SUMIFS(Transaksi!$F$16:$F$5015,Transaksi!$G$16:$G$5015,$A27,Transaksi!$H$16:$H$5015,$B27,Transaksi!$I$16:$I$5015,$C27,Transaksi!$B$16:$B$5015,"&gt;="&amp;DATE(Dashboard!$C$4,10,1),Transaksi!$B$16:$B$5015,"&lt;="&amp;EOMONTH(DATE(Dashboard!$C$4,10,1),0)))</f>
        <v/>
      </c>
      <c r="N27" s="165">
        <f>IF($C27="","",SUMIFS(Transaksi!$F$16:$F$5015,Transaksi!$G$16:$G$5015,$A27,Transaksi!$H$16:$H$5015,$B27,Transaksi!$I$16:$I$5015,$C27,Transaksi!$B$16:$B$5015,"&gt;="&amp;DATE(Dashboard!$C$4,11,1),Transaksi!$B$16:$B$5015,"&lt;="&amp;EOMONTH(DATE(Dashboard!$C$4,11,1),0)))</f>
        <v/>
      </c>
      <c r="O27" s="165">
        <f>IF($C27="","",SUMIFS(Transaksi!$F$16:$F$5015,Transaksi!$G$16:$G$5015,$A27,Transaksi!$H$16:$H$5015,$B27,Transaksi!$I$16:$I$5015,$C27,Transaksi!$B$16:$B$5015,"&gt;="&amp;DATE(Dashboard!$C$4,12,1),Transaksi!$B$16:$B$5015,"&lt;="&amp;EOMONTH(DATE(Dashboard!$C$4,12,1),0)))</f>
        <v/>
      </c>
      <c r="P27" s="166">
        <f>IF($C27="","",SUM(D27:O27))</f>
        <v/>
      </c>
    </row>
    <row r="28" ht="15" customHeight="1" s="94">
      <c r="A28" s="164">
        <f>IF(Kategori!C28="","",Kategori!A28)</f>
        <v/>
      </c>
      <c r="B28" s="164">
        <f>IF(Kategori!C28="","",Kategori!B28)</f>
        <v/>
      </c>
      <c r="C28" s="108">
        <f>IF(Kategori!C28="","",Kategori!C28)</f>
        <v/>
      </c>
      <c r="D28" s="165">
        <f>IF($C28="","",SUMIFS(Transaksi!$F$16:$F$5015,Transaksi!$G$16:$G$5015,$A28,Transaksi!$H$16:$H$5015,$B28,Transaksi!$I$16:$I$5015,$C28,Transaksi!$B$16:$B$5015,"&gt;="&amp;DATE(Dashboard!$C$4,1,1),Transaksi!$B$16:$B$5015,"&lt;="&amp;EOMONTH(DATE(Dashboard!$C$4,1,1),0)))</f>
        <v/>
      </c>
      <c r="E28" s="165">
        <f>IF($C28="","",SUMIFS(Transaksi!$F$16:$F$5015,Transaksi!$G$16:$G$5015,$A28,Transaksi!$H$16:$H$5015,$B28,Transaksi!$I$16:$I$5015,$C28,Transaksi!$B$16:$B$5015,"&gt;="&amp;DATE(Dashboard!$C$4,2,1),Transaksi!$B$16:$B$5015,"&lt;="&amp;EOMONTH(DATE(Dashboard!$C$4,2,1),0)))</f>
        <v/>
      </c>
      <c r="F28" s="165">
        <f>IF($C28="","",SUMIFS(Transaksi!$F$16:$F$5015,Transaksi!$G$16:$G$5015,$A28,Transaksi!$H$16:$H$5015,$B28,Transaksi!$I$16:$I$5015,$C28,Transaksi!$B$16:$B$5015,"&gt;="&amp;DATE(Dashboard!$C$4,3,1),Transaksi!$B$16:$B$5015,"&lt;="&amp;EOMONTH(DATE(Dashboard!$C$4,3,1),0)))</f>
        <v/>
      </c>
      <c r="G28" s="165">
        <f>IF($C28="","",SUMIFS(Transaksi!$F$16:$F$5015,Transaksi!$G$16:$G$5015,$A28,Transaksi!$H$16:$H$5015,$B28,Transaksi!$I$16:$I$5015,$C28,Transaksi!$B$16:$B$5015,"&gt;="&amp;DATE(Dashboard!$C$4,4,1),Transaksi!$B$16:$B$5015,"&lt;="&amp;EOMONTH(DATE(Dashboard!$C$4,4,1),0)))</f>
        <v/>
      </c>
      <c r="H28" s="165">
        <f>IF($C28="","",SUMIFS(Transaksi!$F$16:$F$5015,Transaksi!$G$16:$G$5015,$A28,Transaksi!$H$16:$H$5015,$B28,Transaksi!$I$16:$I$5015,$C28,Transaksi!$B$16:$B$5015,"&gt;="&amp;DATE(Dashboard!$C$4,5,1),Transaksi!$B$16:$B$5015,"&lt;="&amp;EOMONTH(DATE(Dashboard!$C$4,5,1),0)))</f>
        <v/>
      </c>
      <c r="I28" s="165">
        <f>IF($C28="","",SUMIFS(Transaksi!$F$16:$F$5015,Transaksi!$G$16:$G$5015,$A28,Transaksi!$H$16:$H$5015,$B28,Transaksi!$I$16:$I$5015,$C28,Transaksi!$B$16:$B$5015,"&gt;="&amp;DATE(Dashboard!$C$4,6,1),Transaksi!$B$16:$B$5015,"&lt;="&amp;EOMONTH(DATE(Dashboard!$C$4,6,1),0)))</f>
        <v/>
      </c>
      <c r="J28" s="165">
        <f>IF($C28="","",SUMIFS(Transaksi!$F$16:$F$5015,Transaksi!$G$16:$G$5015,$A28,Transaksi!$H$16:$H$5015,$B28,Transaksi!$I$16:$I$5015,$C28,Transaksi!$B$16:$B$5015,"&gt;="&amp;DATE(Dashboard!$C$4,7,1),Transaksi!$B$16:$B$5015,"&lt;="&amp;EOMONTH(DATE(Dashboard!$C$4,7,1),0)))</f>
        <v/>
      </c>
      <c r="K28" s="165">
        <f>IF($C28="","",SUMIFS(Transaksi!$F$16:$F$5015,Transaksi!$G$16:$G$5015,$A28,Transaksi!$H$16:$H$5015,$B28,Transaksi!$I$16:$I$5015,$C28,Transaksi!$B$16:$B$5015,"&gt;="&amp;DATE(Dashboard!$C$4,8,1),Transaksi!$B$16:$B$5015,"&lt;="&amp;EOMONTH(DATE(Dashboard!$C$4,8,1),0)))</f>
        <v/>
      </c>
      <c r="L28" s="165">
        <f>IF($C28="","",SUMIFS(Transaksi!$F$16:$F$5015,Transaksi!$G$16:$G$5015,$A28,Transaksi!$H$16:$H$5015,$B28,Transaksi!$I$16:$I$5015,$C28,Transaksi!$B$16:$B$5015,"&gt;="&amp;DATE(Dashboard!$C$4,9,1),Transaksi!$B$16:$B$5015,"&lt;="&amp;EOMONTH(DATE(Dashboard!$C$4,9,1),0)))</f>
        <v/>
      </c>
      <c r="M28" s="165">
        <f>IF($C28="","",SUMIFS(Transaksi!$F$16:$F$5015,Transaksi!$G$16:$G$5015,$A28,Transaksi!$H$16:$H$5015,$B28,Transaksi!$I$16:$I$5015,$C28,Transaksi!$B$16:$B$5015,"&gt;="&amp;DATE(Dashboard!$C$4,10,1),Transaksi!$B$16:$B$5015,"&lt;="&amp;EOMONTH(DATE(Dashboard!$C$4,10,1),0)))</f>
        <v/>
      </c>
      <c r="N28" s="165">
        <f>IF($C28="","",SUMIFS(Transaksi!$F$16:$F$5015,Transaksi!$G$16:$G$5015,$A28,Transaksi!$H$16:$H$5015,$B28,Transaksi!$I$16:$I$5015,$C28,Transaksi!$B$16:$B$5015,"&gt;="&amp;DATE(Dashboard!$C$4,11,1),Transaksi!$B$16:$B$5015,"&lt;="&amp;EOMONTH(DATE(Dashboard!$C$4,11,1),0)))</f>
        <v/>
      </c>
      <c r="O28" s="165">
        <f>IF($C28="","",SUMIFS(Transaksi!$F$16:$F$5015,Transaksi!$G$16:$G$5015,$A28,Transaksi!$H$16:$H$5015,$B28,Transaksi!$I$16:$I$5015,$C28,Transaksi!$B$16:$B$5015,"&gt;="&amp;DATE(Dashboard!$C$4,12,1),Transaksi!$B$16:$B$5015,"&lt;="&amp;EOMONTH(DATE(Dashboard!$C$4,12,1),0)))</f>
        <v/>
      </c>
      <c r="P28" s="166">
        <f>IF($C28="","",SUM(D28:O28))</f>
        <v/>
      </c>
    </row>
    <row r="29" ht="15" customHeight="1" s="94">
      <c r="A29" s="164">
        <f>IF(Kategori!C29="","",Kategori!A29)</f>
        <v/>
      </c>
      <c r="B29" s="164">
        <f>IF(Kategori!C29="","",Kategori!B29)</f>
        <v/>
      </c>
      <c r="C29" s="108">
        <f>IF(Kategori!C29="","",Kategori!C29)</f>
        <v/>
      </c>
      <c r="D29" s="165">
        <f>IF($C29="","",SUMIFS(Transaksi!$F$16:$F$5015,Transaksi!$G$16:$G$5015,$A29,Transaksi!$H$16:$H$5015,$B29,Transaksi!$I$16:$I$5015,$C29,Transaksi!$B$16:$B$5015,"&gt;="&amp;DATE(Dashboard!$C$4,1,1),Transaksi!$B$16:$B$5015,"&lt;="&amp;EOMONTH(DATE(Dashboard!$C$4,1,1),0)))</f>
        <v/>
      </c>
      <c r="E29" s="165">
        <f>IF($C29="","",SUMIFS(Transaksi!$F$16:$F$5015,Transaksi!$G$16:$G$5015,$A29,Transaksi!$H$16:$H$5015,$B29,Transaksi!$I$16:$I$5015,$C29,Transaksi!$B$16:$B$5015,"&gt;="&amp;DATE(Dashboard!$C$4,2,1),Transaksi!$B$16:$B$5015,"&lt;="&amp;EOMONTH(DATE(Dashboard!$C$4,2,1),0)))</f>
        <v/>
      </c>
      <c r="F29" s="165">
        <f>IF($C29="","",SUMIFS(Transaksi!$F$16:$F$5015,Transaksi!$G$16:$G$5015,$A29,Transaksi!$H$16:$H$5015,$B29,Transaksi!$I$16:$I$5015,$C29,Transaksi!$B$16:$B$5015,"&gt;="&amp;DATE(Dashboard!$C$4,3,1),Transaksi!$B$16:$B$5015,"&lt;="&amp;EOMONTH(DATE(Dashboard!$C$4,3,1),0)))</f>
        <v/>
      </c>
      <c r="G29" s="165">
        <f>IF($C29="","",SUMIFS(Transaksi!$F$16:$F$5015,Transaksi!$G$16:$G$5015,$A29,Transaksi!$H$16:$H$5015,$B29,Transaksi!$I$16:$I$5015,$C29,Transaksi!$B$16:$B$5015,"&gt;="&amp;DATE(Dashboard!$C$4,4,1),Transaksi!$B$16:$B$5015,"&lt;="&amp;EOMONTH(DATE(Dashboard!$C$4,4,1),0)))</f>
        <v/>
      </c>
      <c r="H29" s="165">
        <f>IF($C29="","",SUMIFS(Transaksi!$F$16:$F$5015,Transaksi!$G$16:$G$5015,$A29,Transaksi!$H$16:$H$5015,$B29,Transaksi!$I$16:$I$5015,$C29,Transaksi!$B$16:$B$5015,"&gt;="&amp;DATE(Dashboard!$C$4,5,1),Transaksi!$B$16:$B$5015,"&lt;="&amp;EOMONTH(DATE(Dashboard!$C$4,5,1),0)))</f>
        <v/>
      </c>
      <c r="I29" s="165">
        <f>IF($C29="","",SUMIFS(Transaksi!$F$16:$F$5015,Transaksi!$G$16:$G$5015,$A29,Transaksi!$H$16:$H$5015,$B29,Transaksi!$I$16:$I$5015,$C29,Transaksi!$B$16:$B$5015,"&gt;="&amp;DATE(Dashboard!$C$4,6,1),Transaksi!$B$16:$B$5015,"&lt;="&amp;EOMONTH(DATE(Dashboard!$C$4,6,1),0)))</f>
        <v/>
      </c>
      <c r="J29" s="165">
        <f>IF($C29="","",SUMIFS(Transaksi!$F$16:$F$5015,Transaksi!$G$16:$G$5015,$A29,Transaksi!$H$16:$H$5015,$B29,Transaksi!$I$16:$I$5015,$C29,Transaksi!$B$16:$B$5015,"&gt;="&amp;DATE(Dashboard!$C$4,7,1),Transaksi!$B$16:$B$5015,"&lt;="&amp;EOMONTH(DATE(Dashboard!$C$4,7,1),0)))</f>
        <v/>
      </c>
      <c r="K29" s="165">
        <f>IF($C29="","",SUMIFS(Transaksi!$F$16:$F$5015,Transaksi!$G$16:$G$5015,$A29,Transaksi!$H$16:$H$5015,$B29,Transaksi!$I$16:$I$5015,$C29,Transaksi!$B$16:$B$5015,"&gt;="&amp;DATE(Dashboard!$C$4,8,1),Transaksi!$B$16:$B$5015,"&lt;="&amp;EOMONTH(DATE(Dashboard!$C$4,8,1),0)))</f>
        <v/>
      </c>
      <c r="L29" s="165">
        <f>IF($C29="","",SUMIFS(Transaksi!$F$16:$F$5015,Transaksi!$G$16:$G$5015,$A29,Transaksi!$H$16:$H$5015,$B29,Transaksi!$I$16:$I$5015,$C29,Transaksi!$B$16:$B$5015,"&gt;="&amp;DATE(Dashboard!$C$4,9,1),Transaksi!$B$16:$B$5015,"&lt;="&amp;EOMONTH(DATE(Dashboard!$C$4,9,1),0)))</f>
        <v/>
      </c>
      <c r="M29" s="165">
        <f>IF($C29="","",SUMIFS(Transaksi!$F$16:$F$5015,Transaksi!$G$16:$G$5015,$A29,Transaksi!$H$16:$H$5015,$B29,Transaksi!$I$16:$I$5015,$C29,Transaksi!$B$16:$B$5015,"&gt;="&amp;DATE(Dashboard!$C$4,10,1),Transaksi!$B$16:$B$5015,"&lt;="&amp;EOMONTH(DATE(Dashboard!$C$4,10,1),0)))</f>
        <v/>
      </c>
      <c r="N29" s="165">
        <f>IF($C29="","",SUMIFS(Transaksi!$F$16:$F$5015,Transaksi!$G$16:$G$5015,$A29,Transaksi!$H$16:$H$5015,$B29,Transaksi!$I$16:$I$5015,$C29,Transaksi!$B$16:$B$5015,"&gt;="&amp;DATE(Dashboard!$C$4,11,1),Transaksi!$B$16:$B$5015,"&lt;="&amp;EOMONTH(DATE(Dashboard!$C$4,11,1),0)))</f>
        <v/>
      </c>
      <c r="O29" s="165">
        <f>IF($C29="","",SUMIFS(Transaksi!$F$16:$F$5015,Transaksi!$G$16:$G$5015,$A29,Transaksi!$H$16:$H$5015,$B29,Transaksi!$I$16:$I$5015,$C29,Transaksi!$B$16:$B$5015,"&gt;="&amp;DATE(Dashboard!$C$4,12,1),Transaksi!$B$16:$B$5015,"&lt;="&amp;EOMONTH(DATE(Dashboard!$C$4,12,1),0)))</f>
        <v/>
      </c>
      <c r="P29" s="166">
        <f>IF($C29="","",SUM(D29:O29))</f>
        <v/>
      </c>
    </row>
    <row r="30" ht="15" customHeight="1" s="94">
      <c r="A30" s="164">
        <f>IF(Kategori!C30="","",Kategori!A30)</f>
        <v/>
      </c>
      <c r="B30" s="164">
        <f>IF(Kategori!C30="","",Kategori!B30)</f>
        <v/>
      </c>
      <c r="C30" s="108">
        <f>IF(Kategori!C30="","",Kategori!C30)</f>
        <v/>
      </c>
      <c r="D30" s="165">
        <f>IF($C30="","",SUMIFS(Transaksi!$F$16:$F$5015,Transaksi!$G$16:$G$5015,$A30,Transaksi!$H$16:$H$5015,$B30,Transaksi!$I$16:$I$5015,$C30,Transaksi!$B$16:$B$5015,"&gt;="&amp;DATE(Dashboard!$C$4,1,1),Transaksi!$B$16:$B$5015,"&lt;="&amp;EOMONTH(DATE(Dashboard!$C$4,1,1),0)))</f>
        <v/>
      </c>
      <c r="E30" s="165">
        <f>IF($C30="","",SUMIFS(Transaksi!$F$16:$F$5015,Transaksi!$G$16:$G$5015,$A30,Transaksi!$H$16:$H$5015,$B30,Transaksi!$I$16:$I$5015,$C30,Transaksi!$B$16:$B$5015,"&gt;="&amp;DATE(Dashboard!$C$4,2,1),Transaksi!$B$16:$B$5015,"&lt;="&amp;EOMONTH(DATE(Dashboard!$C$4,2,1),0)))</f>
        <v/>
      </c>
      <c r="F30" s="165">
        <f>IF($C30="","",SUMIFS(Transaksi!$F$16:$F$5015,Transaksi!$G$16:$G$5015,$A30,Transaksi!$H$16:$H$5015,$B30,Transaksi!$I$16:$I$5015,$C30,Transaksi!$B$16:$B$5015,"&gt;="&amp;DATE(Dashboard!$C$4,3,1),Transaksi!$B$16:$B$5015,"&lt;="&amp;EOMONTH(DATE(Dashboard!$C$4,3,1),0)))</f>
        <v/>
      </c>
      <c r="G30" s="165">
        <f>IF($C30="","",SUMIFS(Transaksi!$F$16:$F$5015,Transaksi!$G$16:$G$5015,$A30,Transaksi!$H$16:$H$5015,$B30,Transaksi!$I$16:$I$5015,$C30,Transaksi!$B$16:$B$5015,"&gt;="&amp;DATE(Dashboard!$C$4,4,1),Transaksi!$B$16:$B$5015,"&lt;="&amp;EOMONTH(DATE(Dashboard!$C$4,4,1),0)))</f>
        <v/>
      </c>
      <c r="H30" s="165">
        <f>IF($C30="","",SUMIFS(Transaksi!$F$16:$F$5015,Transaksi!$G$16:$G$5015,$A30,Transaksi!$H$16:$H$5015,$B30,Transaksi!$I$16:$I$5015,$C30,Transaksi!$B$16:$B$5015,"&gt;="&amp;DATE(Dashboard!$C$4,5,1),Transaksi!$B$16:$B$5015,"&lt;="&amp;EOMONTH(DATE(Dashboard!$C$4,5,1),0)))</f>
        <v/>
      </c>
      <c r="I30" s="165">
        <f>IF($C30="","",SUMIFS(Transaksi!$F$16:$F$5015,Transaksi!$G$16:$G$5015,$A30,Transaksi!$H$16:$H$5015,$B30,Transaksi!$I$16:$I$5015,$C30,Transaksi!$B$16:$B$5015,"&gt;="&amp;DATE(Dashboard!$C$4,6,1),Transaksi!$B$16:$B$5015,"&lt;="&amp;EOMONTH(DATE(Dashboard!$C$4,6,1),0)))</f>
        <v/>
      </c>
      <c r="J30" s="165">
        <f>IF($C30="","",SUMIFS(Transaksi!$F$16:$F$5015,Transaksi!$G$16:$G$5015,$A30,Transaksi!$H$16:$H$5015,$B30,Transaksi!$I$16:$I$5015,$C30,Transaksi!$B$16:$B$5015,"&gt;="&amp;DATE(Dashboard!$C$4,7,1),Transaksi!$B$16:$B$5015,"&lt;="&amp;EOMONTH(DATE(Dashboard!$C$4,7,1),0)))</f>
        <v/>
      </c>
      <c r="K30" s="165">
        <f>IF($C30="","",SUMIFS(Transaksi!$F$16:$F$5015,Transaksi!$G$16:$G$5015,$A30,Transaksi!$H$16:$H$5015,$B30,Transaksi!$I$16:$I$5015,$C30,Transaksi!$B$16:$B$5015,"&gt;="&amp;DATE(Dashboard!$C$4,8,1),Transaksi!$B$16:$B$5015,"&lt;="&amp;EOMONTH(DATE(Dashboard!$C$4,8,1),0)))</f>
        <v/>
      </c>
      <c r="L30" s="165">
        <f>IF($C30="","",SUMIFS(Transaksi!$F$16:$F$5015,Transaksi!$G$16:$G$5015,$A30,Transaksi!$H$16:$H$5015,$B30,Transaksi!$I$16:$I$5015,$C30,Transaksi!$B$16:$B$5015,"&gt;="&amp;DATE(Dashboard!$C$4,9,1),Transaksi!$B$16:$B$5015,"&lt;="&amp;EOMONTH(DATE(Dashboard!$C$4,9,1),0)))</f>
        <v/>
      </c>
      <c r="M30" s="165">
        <f>IF($C30="","",SUMIFS(Transaksi!$F$16:$F$5015,Transaksi!$G$16:$G$5015,$A30,Transaksi!$H$16:$H$5015,$B30,Transaksi!$I$16:$I$5015,$C30,Transaksi!$B$16:$B$5015,"&gt;="&amp;DATE(Dashboard!$C$4,10,1),Transaksi!$B$16:$B$5015,"&lt;="&amp;EOMONTH(DATE(Dashboard!$C$4,10,1),0)))</f>
        <v/>
      </c>
      <c r="N30" s="165">
        <f>IF($C30="","",SUMIFS(Transaksi!$F$16:$F$5015,Transaksi!$G$16:$G$5015,$A30,Transaksi!$H$16:$H$5015,$B30,Transaksi!$I$16:$I$5015,$C30,Transaksi!$B$16:$B$5015,"&gt;="&amp;DATE(Dashboard!$C$4,11,1),Transaksi!$B$16:$B$5015,"&lt;="&amp;EOMONTH(DATE(Dashboard!$C$4,11,1),0)))</f>
        <v/>
      </c>
      <c r="O30" s="165">
        <f>IF($C30="","",SUMIFS(Transaksi!$F$16:$F$5015,Transaksi!$G$16:$G$5015,$A30,Transaksi!$H$16:$H$5015,$B30,Transaksi!$I$16:$I$5015,$C30,Transaksi!$B$16:$B$5015,"&gt;="&amp;DATE(Dashboard!$C$4,12,1),Transaksi!$B$16:$B$5015,"&lt;="&amp;EOMONTH(DATE(Dashboard!$C$4,12,1),0)))</f>
        <v/>
      </c>
      <c r="P30" s="166">
        <f>IF($C30="","",SUM(D30:O30))</f>
        <v/>
      </c>
    </row>
    <row r="31" ht="15" customHeight="1" s="94">
      <c r="A31" s="164">
        <f>IF(Kategori!C31="","",Kategori!A31)</f>
        <v/>
      </c>
      <c r="B31" s="164">
        <f>IF(Kategori!C31="","",Kategori!B31)</f>
        <v/>
      </c>
      <c r="C31" s="108">
        <f>IF(Kategori!C31="","",Kategori!C31)</f>
        <v/>
      </c>
      <c r="D31" s="165">
        <f>IF($C31="","",SUMIFS(Transaksi!$F$16:$F$5015,Transaksi!$G$16:$G$5015,$A31,Transaksi!$H$16:$H$5015,$B31,Transaksi!$I$16:$I$5015,$C31,Transaksi!$B$16:$B$5015,"&gt;="&amp;DATE(Dashboard!$C$4,1,1),Transaksi!$B$16:$B$5015,"&lt;="&amp;EOMONTH(DATE(Dashboard!$C$4,1,1),0)))</f>
        <v/>
      </c>
      <c r="E31" s="165">
        <f>IF($C31="","",SUMIFS(Transaksi!$F$16:$F$5015,Transaksi!$G$16:$G$5015,$A31,Transaksi!$H$16:$H$5015,$B31,Transaksi!$I$16:$I$5015,$C31,Transaksi!$B$16:$B$5015,"&gt;="&amp;DATE(Dashboard!$C$4,2,1),Transaksi!$B$16:$B$5015,"&lt;="&amp;EOMONTH(DATE(Dashboard!$C$4,2,1),0)))</f>
        <v/>
      </c>
      <c r="F31" s="165">
        <f>IF($C31="","",SUMIFS(Transaksi!$F$16:$F$5015,Transaksi!$G$16:$G$5015,$A31,Transaksi!$H$16:$H$5015,$B31,Transaksi!$I$16:$I$5015,$C31,Transaksi!$B$16:$B$5015,"&gt;="&amp;DATE(Dashboard!$C$4,3,1),Transaksi!$B$16:$B$5015,"&lt;="&amp;EOMONTH(DATE(Dashboard!$C$4,3,1),0)))</f>
        <v/>
      </c>
      <c r="G31" s="165">
        <f>IF($C31="","",SUMIFS(Transaksi!$F$16:$F$5015,Transaksi!$G$16:$G$5015,$A31,Transaksi!$H$16:$H$5015,$B31,Transaksi!$I$16:$I$5015,$C31,Transaksi!$B$16:$B$5015,"&gt;="&amp;DATE(Dashboard!$C$4,4,1),Transaksi!$B$16:$B$5015,"&lt;="&amp;EOMONTH(DATE(Dashboard!$C$4,4,1),0)))</f>
        <v/>
      </c>
      <c r="H31" s="165">
        <f>IF($C31="","",SUMIFS(Transaksi!$F$16:$F$5015,Transaksi!$G$16:$G$5015,$A31,Transaksi!$H$16:$H$5015,$B31,Transaksi!$I$16:$I$5015,$C31,Transaksi!$B$16:$B$5015,"&gt;="&amp;DATE(Dashboard!$C$4,5,1),Transaksi!$B$16:$B$5015,"&lt;="&amp;EOMONTH(DATE(Dashboard!$C$4,5,1),0)))</f>
        <v/>
      </c>
      <c r="I31" s="165">
        <f>IF($C31="","",SUMIFS(Transaksi!$F$16:$F$5015,Transaksi!$G$16:$G$5015,$A31,Transaksi!$H$16:$H$5015,$B31,Transaksi!$I$16:$I$5015,$C31,Transaksi!$B$16:$B$5015,"&gt;="&amp;DATE(Dashboard!$C$4,6,1),Transaksi!$B$16:$B$5015,"&lt;="&amp;EOMONTH(DATE(Dashboard!$C$4,6,1),0)))</f>
        <v/>
      </c>
      <c r="J31" s="165">
        <f>IF($C31="","",SUMIFS(Transaksi!$F$16:$F$5015,Transaksi!$G$16:$G$5015,$A31,Transaksi!$H$16:$H$5015,$B31,Transaksi!$I$16:$I$5015,$C31,Transaksi!$B$16:$B$5015,"&gt;="&amp;DATE(Dashboard!$C$4,7,1),Transaksi!$B$16:$B$5015,"&lt;="&amp;EOMONTH(DATE(Dashboard!$C$4,7,1),0)))</f>
        <v/>
      </c>
      <c r="K31" s="165">
        <f>IF($C31="","",SUMIFS(Transaksi!$F$16:$F$5015,Transaksi!$G$16:$G$5015,$A31,Transaksi!$H$16:$H$5015,$B31,Transaksi!$I$16:$I$5015,$C31,Transaksi!$B$16:$B$5015,"&gt;="&amp;DATE(Dashboard!$C$4,8,1),Transaksi!$B$16:$B$5015,"&lt;="&amp;EOMONTH(DATE(Dashboard!$C$4,8,1),0)))</f>
        <v/>
      </c>
      <c r="L31" s="165">
        <f>IF($C31="","",SUMIFS(Transaksi!$F$16:$F$5015,Transaksi!$G$16:$G$5015,$A31,Transaksi!$H$16:$H$5015,$B31,Transaksi!$I$16:$I$5015,$C31,Transaksi!$B$16:$B$5015,"&gt;="&amp;DATE(Dashboard!$C$4,9,1),Transaksi!$B$16:$B$5015,"&lt;="&amp;EOMONTH(DATE(Dashboard!$C$4,9,1),0)))</f>
        <v/>
      </c>
      <c r="M31" s="165">
        <f>IF($C31="","",SUMIFS(Transaksi!$F$16:$F$5015,Transaksi!$G$16:$G$5015,$A31,Transaksi!$H$16:$H$5015,$B31,Transaksi!$I$16:$I$5015,$C31,Transaksi!$B$16:$B$5015,"&gt;="&amp;DATE(Dashboard!$C$4,10,1),Transaksi!$B$16:$B$5015,"&lt;="&amp;EOMONTH(DATE(Dashboard!$C$4,10,1),0)))</f>
        <v/>
      </c>
      <c r="N31" s="165">
        <f>IF($C31="","",SUMIFS(Transaksi!$F$16:$F$5015,Transaksi!$G$16:$G$5015,$A31,Transaksi!$H$16:$H$5015,$B31,Transaksi!$I$16:$I$5015,$C31,Transaksi!$B$16:$B$5015,"&gt;="&amp;DATE(Dashboard!$C$4,11,1),Transaksi!$B$16:$B$5015,"&lt;="&amp;EOMONTH(DATE(Dashboard!$C$4,11,1),0)))</f>
        <v/>
      </c>
      <c r="O31" s="165">
        <f>IF($C31="","",SUMIFS(Transaksi!$F$16:$F$5015,Transaksi!$G$16:$G$5015,$A31,Transaksi!$H$16:$H$5015,$B31,Transaksi!$I$16:$I$5015,$C31,Transaksi!$B$16:$B$5015,"&gt;="&amp;DATE(Dashboard!$C$4,12,1),Transaksi!$B$16:$B$5015,"&lt;="&amp;EOMONTH(DATE(Dashboard!$C$4,12,1),0)))</f>
        <v/>
      </c>
      <c r="P31" s="166">
        <f>IF($C31="","",SUM(D31:O31))</f>
        <v/>
      </c>
    </row>
    <row r="32" ht="15" customHeight="1" s="94">
      <c r="A32" s="164">
        <f>IF(Kategori!C32="","",Kategori!A32)</f>
        <v/>
      </c>
      <c r="B32" s="164">
        <f>IF(Kategori!C32="","",Kategori!B32)</f>
        <v/>
      </c>
      <c r="C32" s="108">
        <f>IF(Kategori!C32="","",Kategori!C32)</f>
        <v/>
      </c>
      <c r="D32" s="165">
        <f>IF($C32="","",SUMIFS(Transaksi!$F$16:$F$5015,Transaksi!$G$16:$G$5015,$A32,Transaksi!$H$16:$H$5015,$B32,Transaksi!$I$16:$I$5015,$C32,Transaksi!$B$16:$B$5015,"&gt;="&amp;DATE(Dashboard!$C$4,1,1),Transaksi!$B$16:$B$5015,"&lt;="&amp;EOMONTH(DATE(Dashboard!$C$4,1,1),0)))</f>
        <v/>
      </c>
      <c r="E32" s="165">
        <f>IF($C32="","",SUMIFS(Transaksi!$F$16:$F$5015,Transaksi!$G$16:$G$5015,$A32,Transaksi!$H$16:$H$5015,$B32,Transaksi!$I$16:$I$5015,$C32,Transaksi!$B$16:$B$5015,"&gt;="&amp;DATE(Dashboard!$C$4,2,1),Transaksi!$B$16:$B$5015,"&lt;="&amp;EOMONTH(DATE(Dashboard!$C$4,2,1),0)))</f>
        <v/>
      </c>
      <c r="F32" s="165">
        <f>IF($C32="","",SUMIFS(Transaksi!$F$16:$F$5015,Transaksi!$G$16:$G$5015,$A32,Transaksi!$H$16:$H$5015,$B32,Transaksi!$I$16:$I$5015,$C32,Transaksi!$B$16:$B$5015,"&gt;="&amp;DATE(Dashboard!$C$4,3,1),Transaksi!$B$16:$B$5015,"&lt;="&amp;EOMONTH(DATE(Dashboard!$C$4,3,1),0)))</f>
        <v/>
      </c>
      <c r="G32" s="165">
        <f>IF($C32="","",SUMIFS(Transaksi!$F$16:$F$5015,Transaksi!$G$16:$G$5015,$A32,Transaksi!$H$16:$H$5015,$B32,Transaksi!$I$16:$I$5015,$C32,Transaksi!$B$16:$B$5015,"&gt;="&amp;DATE(Dashboard!$C$4,4,1),Transaksi!$B$16:$B$5015,"&lt;="&amp;EOMONTH(DATE(Dashboard!$C$4,4,1),0)))</f>
        <v/>
      </c>
      <c r="H32" s="165">
        <f>IF($C32="","",SUMIFS(Transaksi!$F$16:$F$5015,Transaksi!$G$16:$G$5015,$A32,Transaksi!$H$16:$H$5015,$B32,Transaksi!$I$16:$I$5015,$C32,Transaksi!$B$16:$B$5015,"&gt;="&amp;DATE(Dashboard!$C$4,5,1),Transaksi!$B$16:$B$5015,"&lt;="&amp;EOMONTH(DATE(Dashboard!$C$4,5,1),0)))</f>
        <v/>
      </c>
      <c r="I32" s="165">
        <f>IF($C32="","",SUMIFS(Transaksi!$F$16:$F$5015,Transaksi!$G$16:$G$5015,$A32,Transaksi!$H$16:$H$5015,$B32,Transaksi!$I$16:$I$5015,$C32,Transaksi!$B$16:$B$5015,"&gt;="&amp;DATE(Dashboard!$C$4,6,1),Transaksi!$B$16:$B$5015,"&lt;="&amp;EOMONTH(DATE(Dashboard!$C$4,6,1),0)))</f>
        <v/>
      </c>
      <c r="J32" s="165">
        <f>IF($C32="","",SUMIFS(Transaksi!$F$16:$F$5015,Transaksi!$G$16:$G$5015,$A32,Transaksi!$H$16:$H$5015,$B32,Transaksi!$I$16:$I$5015,$C32,Transaksi!$B$16:$B$5015,"&gt;="&amp;DATE(Dashboard!$C$4,7,1),Transaksi!$B$16:$B$5015,"&lt;="&amp;EOMONTH(DATE(Dashboard!$C$4,7,1),0)))</f>
        <v/>
      </c>
      <c r="K32" s="165">
        <f>IF($C32="","",SUMIFS(Transaksi!$F$16:$F$5015,Transaksi!$G$16:$G$5015,$A32,Transaksi!$H$16:$H$5015,$B32,Transaksi!$I$16:$I$5015,$C32,Transaksi!$B$16:$B$5015,"&gt;="&amp;DATE(Dashboard!$C$4,8,1),Transaksi!$B$16:$B$5015,"&lt;="&amp;EOMONTH(DATE(Dashboard!$C$4,8,1),0)))</f>
        <v/>
      </c>
      <c r="L32" s="165">
        <f>IF($C32="","",SUMIFS(Transaksi!$F$16:$F$5015,Transaksi!$G$16:$G$5015,$A32,Transaksi!$H$16:$H$5015,$B32,Transaksi!$I$16:$I$5015,$C32,Transaksi!$B$16:$B$5015,"&gt;="&amp;DATE(Dashboard!$C$4,9,1),Transaksi!$B$16:$B$5015,"&lt;="&amp;EOMONTH(DATE(Dashboard!$C$4,9,1),0)))</f>
        <v/>
      </c>
      <c r="M32" s="165">
        <f>IF($C32="","",SUMIFS(Transaksi!$F$16:$F$5015,Transaksi!$G$16:$G$5015,$A32,Transaksi!$H$16:$H$5015,$B32,Transaksi!$I$16:$I$5015,$C32,Transaksi!$B$16:$B$5015,"&gt;="&amp;DATE(Dashboard!$C$4,10,1),Transaksi!$B$16:$B$5015,"&lt;="&amp;EOMONTH(DATE(Dashboard!$C$4,10,1),0)))</f>
        <v/>
      </c>
      <c r="N32" s="165">
        <f>IF($C32="","",SUMIFS(Transaksi!$F$16:$F$5015,Transaksi!$G$16:$G$5015,$A32,Transaksi!$H$16:$H$5015,$B32,Transaksi!$I$16:$I$5015,$C32,Transaksi!$B$16:$B$5015,"&gt;="&amp;DATE(Dashboard!$C$4,11,1),Transaksi!$B$16:$B$5015,"&lt;="&amp;EOMONTH(DATE(Dashboard!$C$4,11,1),0)))</f>
        <v/>
      </c>
      <c r="O32" s="165">
        <f>IF($C32="","",SUMIFS(Transaksi!$F$16:$F$5015,Transaksi!$G$16:$G$5015,$A32,Transaksi!$H$16:$H$5015,$B32,Transaksi!$I$16:$I$5015,$C32,Transaksi!$B$16:$B$5015,"&gt;="&amp;DATE(Dashboard!$C$4,12,1),Transaksi!$B$16:$B$5015,"&lt;="&amp;EOMONTH(DATE(Dashboard!$C$4,12,1),0)))</f>
        <v/>
      </c>
      <c r="P32" s="166">
        <f>IF($C32="","",SUM(D32:O32))</f>
        <v/>
      </c>
    </row>
    <row r="33" ht="15" customHeight="1" s="94">
      <c r="A33" s="164">
        <f>IF(Kategori!C33="","",Kategori!A33)</f>
        <v/>
      </c>
      <c r="B33" s="164">
        <f>IF(Kategori!C33="","",Kategori!B33)</f>
        <v/>
      </c>
      <c r="C33" s="108">
        <f>IF(Kategori!C33="","",Kategori!C33)</f>
        <v/>
      </c>
      <c r="D33" s="165">
        <f>IF($C33="","",SUMIFS(Transaksi!$F$16:$F$5015,Transaksi!$G$16:$G$5015,$A33,Transaksi!$H$16:$H$5015,$B33,Transaksi!$I$16:$I$5015,$C33,Transaksi!$B$16:$B$5015,"&gt;="&amp;DATE(Dashboard!$C$4,1,1),Transaksi!$B$16:$B$5015,"&lt;="&amp;EOMONTH(DATE(Dashboard!$C$4,1,1),0)))</f>
        <v/>
      </c>
      <c r="E33" s="165">
        <f>IF($C33="","",SUMIFS(Transaksi!$F$16:$F$5015,Transaksi!$G$16:$G$5015,$A33,Transaksi!$H$16:$H$5015,$B33,Transaksi!$I$16:$I$5015,$C33,Transaksi!$B$16:$B$5015,"&gt;="&amp;DATE(Dashboard!$C$4,2,1),Transaksi!$B$16:$B$5015,"&lt;="&amp;EOMONTH(DATE(Dashboard!$C$4,2,1),0)))</f>
        <v/>
      </c>
      <c r="F33" s="165">
        <f>IF($C33="","",SUMIFS(Transaksi!$F$16:$F$5015,Transaksi!$G$16:$G$5015,$A33,Transaksi!$H$16:$H$5015,$B33,Transaksi!$I$16:$I$5015,$C33,Transaksi!$B$16:$B$5015,"&gt;="&amp;DATE(Dashboard!$C$4,3,1),Transaksi!$B$16:$B$5015,"&lt;="&amp;EOMONTH(DATE(Dashboard!$C$4,3,1),0)))</f>
        <v/>
      </c>
      <c r="G33" s="165">
        <f>IF($C33="","",SUMIFS(Transaksi!$F$16:$F$5015,Transaksi!$G$16:$G$5015,$A33,Transaksi!$H$16:$H$5015,$B33,Transaksi!$I$16:$I$5015,$C33,Transaksi!$B$16:$B$5015,"&gt;="&amp;DATE(Dashboard!$C$4,4,1),Transaksi!$B$16:$B$5015,"&lt;="&amp;EOMONTH(DATE(Dashboard!$C$4,4,1),0)))</f>
        <v/>
      </c>
      <c r="H33" s="165">
        <f>IF($C33="","",SUMIFS(Transaksi!$F$16:$F$5015,Transaksi!$G$16:$G$5015,$A33,Transaksi!$H$16:$H$5015,$B33,Transaksi!$I$16:$I$5015,$C33,Transaksi!$B$16:$B$5015,"&gt;="&amp;DATE(Dashboard!$C$4,5,1),Transaksi!$B$16:$B$5015,"&lt;="&amp;EOMONTH(DATE(Dashboard!$C$4,5,1),0)))</f>
        <v/>
      </c>
      <c r="I33" s="165">
        <f>IF($C33="","",SUMIFS(Transaksi!$F$16:$F$5015,Transaksi!$G$16:$G$5015,$A33,Transaksi!$H$16:$H$5015,$B33,Transaksi!$I$16:$I$5015,$C33,Transaksi!$B$16:$B$5015,"&gt;="&amp;DATE(Dashboard!$C$4,6,1),Transaksi!$B$16:$B$5015,"&lt;="&amp;EOMONTH(DATE(Dashboard!$C$4,6,1),0)))</f>
        <v/>
      </c>
      <c r="J33" s="165">
        <f>IF($C33="","",SUMIFS(Transaksi!$F$16:$F$5015,Transaksi!$G$16:$G$5015,$A33,Transaksi!$H$16:$H$5015,$B33,Transaksi!$I$16:$I$5015,$C33,Transaksi!$B$16:$B$5015,"&gt;="&amp;DATE(Dashboard!$C$4,7,1),Transaksi!$B$16:$B$5015,"&lt;="&amp;EOMONTH(DATE(Dashboard!$C$4,7,1),0)))</f>
        <v/>
      </c>
      <c r="K33" s="165">
        <f>IF($C33="","",SUMIFS(Transaksi!$F$16:$F$5015,Transaksi!$G$16:$G$5015,$A33,Transaksi!$H$16:$H$5015,$B33,Transaksi!$I$16:$I$5015,$C33,Transaksi!$B$16:$B$5015,"&gt;="&amp;DATE(Dashboard!$C$4,8,1),Transaksi!$B$16:$B$5015,"&lt;="&amp;EOMONTH(DATE(Dashboard!$C$4,8,1),0)))</f>
        <v/>
      </c>
      <c r="L33" s="165">
        <f>IF($C33="","",SUMIFS(Transaksi!$F$16:$F$5015,Transaksi!$G$16:$G$5015,$A33,Transaksi!$H$16:$H$5015,$B33,Transaksi!$I$16:$I$5015,$C33,Transaksi!$B$16:$B$5015,"&gt;="&amp;DATE(Dashboard!$C$4,9,1),Transaksi!$B$16:$B$5015,"&lt;="&amp;EOMONTH(DATE(Dashboard!$C$4,9,1),0)))</f>
        <v/>
      </c>
      <c r="M33" s="165">
        <f>IF($C33="","",SUMIFS(Transaksi!$F$16:$F$5015,Transaksi!$G$16:$G$5015,$A33,Transaksi!$H$16:$H$5015,$B33,Transaksi!$I$16:$I$5015,$C33,Transaksi!$B$16:$B$5015,"&gt;="&amp;DATE(Dashboard!$C$4,10,1),Transaksi!$B$16:$B$5015,"&lt;="&amp;EOMONTH(DATE(Dashboard!$C$4,10,1),0)))</f>
        <v/>
      </c>
      <c r="N33" s="165">
        <f>IF($C33="","",SUMIFS(Transaksi!$F$16:$F$5015,Transaksi!$G$16:$G$5015,$A33,Transaksi!$H$16:$H$5015,$B33,Transaksi!$I$16:$I$5015,$C33,Transaksi!$B$16:$B$5015,"&gt;="&amp;DATE(Dashboard!$C$4,11,1),Transaksi!$B$16:$B$5015,"&lt;="&amp;EOMONTH(DATE(Dashboard!$C$4,11,1),0)))</f>
        <v/>
      </c>
      <c r="O33" s="165">
        <f>IF($C33="","",SUMIFS(Transaksi!$F$16:$F$5015,Transaksi!$G$16:$G$5015,$A33,Transaksi!$H$16:$H$5015,$B33,Transaksi!$I$16:$I$5015,$C33,Transaksi!$B$16:$B$5015,"&gt;="&amp;DATE(Dashboard!$C$4,12,1),Transaksi!$B$16:$B$5015,"&lt;="&amp;EOMONTH(DATE(Dashboard!$C$4,12,1),0)))</f>
        <v/>
      </c>
      <c r="P33" s="166">
        <f>IF($C33="","",SUM(D33:O33))</f>
        <v/>
      </c>
    </row>
    <row r="34" ht="15" customHeight="1" s="94">
      <c r="A34" s="164">
        <f>IF(Kategori!C34="","",Kategori!A34)</f>
        <v/>
      </c>
      <c r="B34" s="164">
        <f>IF(Kategori!C34="","",Kategori!B34)</f>
        <v/>
      </c>
      <c r="C34" s="108">
        <f>IF(Kategori!C34="","",Kategori!C34)</f>
        <v/>
      </c>
      <c r="D34" s="165">
        <f>IF($C34="","",SUMIFS(Transaksi!$F$16:$F$5015,Transaksi!$G$16:$G$5015,$A34,Transaksi!$H$16:$H$5015,$B34,Transaksi!$I$16:$I$5015,$C34,Transaksi!$B$16:$B$5015,"&gt;="&amp;DATE(Dashboard!$C$4,1,1),Transaksi!$B$16:$B$5015,"&lt;="&amp;EOMONTH(DATE(Dashboard!$C$4,1,1),0)))</f>
        <v/>
      </c>
      <c r="E34" s="165">
        <f>IF($C34="","",SUMIFS(Transaksi!$F$16:$F$5015,Transaksi!$G$16:$G$5015,$A34,Transaksi!$H$16:$H$5015,$B34,Transaksi!$I$16:$I$5015,$C34,Transaksi!$B$16:$B$5015,"&gt;="&amp;DATE(Dashboard!$C$4,2,1),Transaksi!$B$16:$B$5015,"&lt;="&amp;EOMONTH(DATE(Dashboard!$C$4,2,1),0)))</f>
        <v/>
      </c>
      <c r="F34" s="165">
        <f>IF($C34="","",SUMIFS(Transaksi!$F$16:$F$5015,Transaksi!$G$16:$G$5015,$A34,Transaksi!$H$16:$H$5015,$B34,Transaksi!$I$16:$I$5015,$C34,Transaksi!$B$16:$B$5015,"&gt;="&amp;DATE(Dashboard!$C$4,3,1),Transaksi!$B$16:$B$5015,"&lt;="&amp;EOMONTH(DATE(Dashboard!$C$4,3,1),0)))</f>
        <v/>
      </c>
      <c r="G34" s="165">
        <f>IF($C34="","",SUMIFS(Transaksi!$F$16:$F$5015,Transaksi!$G$16:$G$5015,$A34,Transaksi!$H$16:$H$5015,$B34,Transaksi!$I$16:$I$5015,$C34,Transaksi!$B$16:$B$5015,"&gt;="&amp;DATE(Dashboard!$C$4,4,1),Transaksi!$B$16:$B$5015,"&lt;="&amp;EOMONTH(DATE(Dashboard!$C$4,4,1),0)))</f>
        <v/>
      </c>
      <c r="H34" s="165">
        <f>IF($C34="","",SUMIFS(Transaksi!$F$16:$F$5015,Transaksi!$G$16:$G$5015,$A34,Transaksi!$H$16:$H$5015,$B34,Transaksi!$I$16:$I$5015,$C34,Transaksi!$B$16:$B$5015,"&gt;="&amp;DATE(Dashboard!$C$4,5,1),Transaksi!$B$16:$B$5015,"&lt;="&amp;EOMONTH(DATE(Dashboard!$C$4,5,1),0)))</f>
        <v/>
      </c>
      <c r="I34" s="165">
        <f>IF($C34="","",SUMIFS(Transaksi!$F$16:$F$5015,Transaksi!$G$16:$G$5015,$A34,Transaksi!$H$16:$H$5015,$B34,Transaksi!$I$16:$I$5015,$C34,Transaksi!$B$16:$B$5015,"&gt;="&amp;DATE(Dashboard!$C$4,6,1),Transaksi!$B$16:$B$5015,"&lt;="&amp;EOMONTH(DATE(Dashboard!$C$4,6,1),0)))</f>
        <v/>
      </c>
      <c r="J34" s="165">
        <f>IF($C34="","",SUMIFS(Transaksi!$F$16:$F$5015,Transaksi!$G$16:$G$5015,$A34,Transaksi!$H$16:$H$5015,$B34,Transaksi!$I$16:$I$5015,$C34,Transaksi!$B$16:$B$5015,"&gt;="&amp;DATE(Dashboard!$C$4,7,1),Transaksi!$B$16:$B$5015,"&lt;="&amp;EOMONTH(DATE(Dashboard!$C$4,7,1),0)))</f>
        <v/>
      </c>
      <c r="K34" s="165">
        <f>IF($C34="","",SUMIFS(Transaksi!$F$16:$F$5015,Transaksi!$G$16:$G$5015,$A34,Transaksi!$H$16:$H$5015,$B34,Transaksi!$I$16:$I$5015,$C34,Transaksi!$B$16:$B$5015,"&gt;="&amp;DATE(Dashboard!$C$4,8,1),Transaksi!$B$16:$B$5015,"&lt;="&amp;EOMONTH(DATE(Dashboard!$C$4,8,1),0)))</f>
        <v/>
      </c>
      <c r="L34" s="165">
        <f>IF($C34="","",SUMIFS(Transaksi!$F$16:$F$5015,Transaksi!$G$16:$G$5015,$A34,Transaksi!$H$16:$H$5015,$B34,Transaksi!$I$16:$I$5015,$C34,Transaksi!$B$16:$B$5015,"&gt;="&amp;DATE(Dashboard!$C$4,9,1),Transaksi!$B$16:$B$5015,"&lt;="&amp;EOMONTH(DATE(Dashboard!$C$4,9,1),0)))</f>
        <v/>
      </c>
      <c r="M34" s="165">
        <f>IF($C34="","",SUMIFS(Transaksi!$F$16:$F$5015,Transaksi!$G$16:$G$5015,$A34,Transaksi!$H$16:$H$5015,$B34,Transaksi!$I$16:$I$5015,$C34,Transaksi!$B$16:$B$5015,"&gt;="&amp;DATE(Dashboard!$C$4,10,1),Transaksi!$B$16:$B$5015,"&lt;="&amp;EOMONTH(DATE(Dashboard!$C$4,10,1),0)))</f>
        <v/>
      </c>
      <c r="N34" s="165">
        <f>IF($C34="","",SUMIFS(Transaksi!$F$16:$F$5015,Transaksi!$G$16:$G$5015,$A34,Transaksi!$H$16:$H$5015,$B34,Transaksi!$I$16:$I$5015,$C34,Transaksi!$B$16:$B$5015,"&gt;="&amp;DATE(Dashboard!$C$4,11,1),Transaksi!$B$16:$B$5015,"&lt;="&amp;EOMONTH(DATE(Dashboard!$C$4,11,1),0)))</f>
        <v/>
      </c>
      <c r="O34" s="165">
        <f>IF($C34="","",SUMIFS(Transaksi!$F$16:$F$5015,Transaksi!$G$16:$G$5015,$A34,Transaksi!$H$16:$H$5015,$B34,Transaksi!$I$16:$I$5015,$C34,Transaksi!$B$16:$B$5015,"&gt;="&amp;DATE(Dashboard!$C$4,12,1),Transaksi!$B$16:$B$5015,"&lt;="&amp;EOMONTH(DATE(Dashboard!$C$4,12,1),0)))</f>
        <v/>
      </c>
      <c r="P34" s="166">
        <f>IF($C34="","",SUM(D34:O34))</f>
        <v/>
      </c>
    </row>
    <row r="35" ht="15" customHeight="1" s="94">
      <c r="A35" s="164">
        <f>IF(Kategori!C35="","",Kategori!A35)</f>
        <v/>
      </c>
      <c r="B35" s="164">
        <f>IF(Kategori!C35="","",Kategori!B35)</f>
        <v/>
      </c>
      <c r="C35" s="108">
        <f>IF(Kategori!C35="","",Kategori!C35)</f>
        <v/>
      </c>
      <c r="D35" s="165">
        <f>IF($C35="","",SUMIFS(Transaksi!$F$16:$F$5015,Transaksi!$G$16:$G$5015,$A35,Transaksi!$H$16:$H$5015,$B35,Transaksi!$I$16:$I$5015,$C35,Transaksi!$B$16:$B$5015,"&gt;="&amp;DATE(Dashboard!$C$4,1,1),Transaksi!$B$16:$B$5015,"&lt;="&amp;EOMONTH(DATE(Dashboard!$C$4,1,1),0)))</f>
        <v/>
      </c>
      <c r="E35" s="165">
        <f>IF($C35="","",SUMIFS(Transaksi!$F$16:$F$5015,Transaksi!$G$16:$G$5015,$A35,Transaksi!$H$16:$H$5015,$B35,Transaksi!$I$16:$I$5015,$C35,Transaksi!$B$16:$B$5015,"&gt;="&amp;DATE(Dashboard!$C$4,2,1),Transaksi!$B$16:$B$5015,"&lt;="&amp;EOMONTH(DATE(Dashboard!$C$4,2,1),0)))</f>
        <v/>
      </c>
      <c r="F35" s="165">
        <f>IF($C35="","",SUMIFS(Transaksi!$F$16:$F$5015,Transaksi!$G$16:$G$5015,$A35,Transaksi!$H$16:$H$5015,$B35,Transaksi!$I$16:$I$5015,$C35,Transaksi!$B$16:$B$5015,"&gt;="&amp;DATE(Dashboard!$C$4,3,1),Transaksi!$B$16:$B$5015,"&lt;="&amp;EOMONTH(DATE(Dashboard!$C$4,3,1),0)))</f>
        <v/>
      </c>
      <c r="G35" s="165">
        <f>IF($C35="","",SUMIFS(Transaksi!$F$16:$F$5015,Transaksi!$G$16:$G$5015,$A35,Transaksi!$H$16:$H$5015,$B35,Transaksi!$I$16:$I$5015,$C35,Transaksi!$B$16:$B$5015,"&gt;="&amp;DATE(Dashboard!$C$4,4,1),Transaksi!$B$16:$B$5015,"&lt;="&amp;EOMONTH(DATE(Dashboard!$C$4,4,1),0)))</f>
        <v/>
      </c>
      <c r="H35" s="165">
        <f>IF($C35="","",SUMIFS(Transaksi!$F$16:$F$5015,Transaksi!$G$16:$G$5015,$A35,Transaksi!$H$16:$H$5015,$B35,Transaksi!$I$16:$I$5015,$C35,Transaksi!$B$16:$B$5015,"&gt;="&amp;DATE(Dashboard!$C$4,5,1),Transaksi!$B$16:$B$5015,"&lt;="&amp;EOMONTH(DATE(Dashboard!$C$4,5,1),0)))</f>
        <v/>
      </c>
      <c r="I35" s="165">
        <f>IF($C35="","",SUMIFS(Transaksi!$F$16:$F$5015,Transaksi!$G$16:$G$5015,$A35,Transaksi!$H$16:$H$5015,$B35,Transaksi!$I$16:$I$5015,$C35,Transaksi!$B$16:$B$5015,"&gt;="&amp;DATE(Dashboard!$C$4,6,1),Transaksi!$B$16:$B$5015,"&lt;="&amp;EOMONTH(DATE(Dashboard!$C$4,6,1),0)))</f>
        <v/>
      </c>
      <c r="J35" s="165">
        <f>IF($C35="","",SUMIFS(Transaksi!$F$16:$F$5015,Transaksi!$G$16:$G$5015,$A35,Transaksi!$H$16:$H$5015,$B35,Transaksi!$I$16:$I$5015,$C35,Transaksi!$B$16:$B$5015,"&gt;="&amp;DATE(Dashboard!$C$4,7,1),Transaksi!$B$16:$B$5015,"&lt;="&amp;EOMONTH(DATE(Dashboard!$C$4,7,1),0)))</f>
        <v/>
      </c>
      <c r="K35" s="165">
        <f>IF($C35="","",SUMIFS(Transaksi!$F$16:$F$5015,Transaksi!$G$16:$G$5015,$A35,Transaksi!$H$16:$H$5015,$B35,Transaksi!$I$16:$I$5015,$C35,Transaksi!$B$16:$B$5015,"&gt;="&amp;DATE(Dashboard!$C$4,8,1),Transaksi!$B$16:$B$5015,"&lt;="&amp;EOMONTH(DATE(Dashboard!$C$4,8,1),0)))</f>
        <v/>
      </c>
      <c r="L35" s="165">
        <f>IF($C35="","",SUMIFS(Transaksi!$F$16:$F$5015,Transaksi!$G$16:$G$5015,$A35,Transaksi!$H$16:$H$5015,$B35,Transaksi!$I$16:$I$5015,$C35,Transaksi!$B$16:$B$5015,"&gt;="&amp;DATE(Dashboard!$C$4,9,1),Transaksi!$B$16:$B$5015,"&lt;="&amp;EOMONTH(DATE(Dashboard!$C$4,9,1),0)))</f>
        <v/>
      </c>
      <c r="M35" s="165">
        <f>IF($C35="","",SUMIFS(Transaksi!$F$16:$F$5015,Transaksi!$G$16:$G$5015,$A35,Transaksi!$H$16:$H$5015,$B35,Transaksi!$I$16:$I$5015,$C35,Transaksi!$B$16:$B$5015,"&gt;="&amp;DATE(Dashboard!$C$4,10,1),Transaksi!$B$16:$B$5015,"&lt;="&amp;EOMONTH(DATE(Dashboard!$C$4,10,1),0)))</f>
        <v/>
      </c>
      <c r="N35" s="165">
        <f>IF($C35="","",SUMIFS(Transaksi!$F$16:$F$5015,Transaksi!$G$16:$G$5015,$A35,Transaksi!$H$16:$H$5015,$B35,Transaksi!$I$16:$I$5015,$C35,Transaksi!$B$16:$B$5015,"&gt;="&amp;DATE(Dashboard!$C$4,11,1),Transaksi!$B$16:$B$5015,"&lt;="&amp;EOMONTH(DATE(Dashboard!$C$4,11,1),0)))</f>
        <v/>
      </c>
      <c r="O35" s="165">
        <f>IF($C35="","",SUMIFS(Transaksi!$F$16:$F$5015,Transaksi!$G$16:$G$5015,$A35,Transaksi!$H$16:$H$5015,$B35,Transaksi!$I$16:$I$5015,$C35,Transaksi!$B$16:$B$5015,"&gt;="&amp;DATE(Dashboard!$C$4,12,1),Transaksi!$B$16:$B$5015,"&lt;="&amp;EOMONTH(DATE(Dashboard!$C$4,12,1),0)))</f>
        <v/>
      </c>
      <c r="P35" s="166">
        <f>IF($C35="","",SUM(D35:O35))</f>
        <v/>
      </c>
    </row>
    <row r="36" ht="15" customHeight="1" s="94">
      <c r="A36" s="164">
        <f>IF(Kategori!C36="","",Kategori!A36)</f>
        <v/>
      </c>
      <c r="B36" s="164">
        <f>IF(Kategori!C36="","",Kategori!B36)</f>
        <v/>
      </c>
      <c r="C36" s="108">
        <f>IF(Kategori!C36="","",Kategori!C36)</f>
        <v/>
      </c>
      <c r="D36" s="165">
        <f>IF($C36="","",SUMIFS(Transaksi!$F$16:$F$5015,Transaksi!$G$16:$G$5015,$A36,Transaksi!$H$16:$H$5015,$B36,Transaksi!$I$16:$I$5015,$C36,Transaksi!$B$16:$B$5015,"&gt;="&amp;DATE(Dashboard!$C$4,1,1),Transaksi!$B$16:$B$5015,"&lt;="&amp;EOMONTH(DATE(Dashboard!$C$4,1,1),0)))</f>
        <v/>
      </c>
      <c r="E36" s="165">
        <f>IF($C36="","",SUMIFS(Transaksi!$F$16:$F$5015,Transaksi!$G$16:$G$5015,$A36,Transaksi!$H$16:$H$5015,$B36,Transaksi!$I$16:$I$5015,$C36,Transaksi!$B$16:$B$5015,"&gt;="&amp;DATE(Dashboard!$C$4,2,1),Transaksi!$B$16:$B$5015,"&lt;="&amp;EOMONTH(DATE(Dashboard!$C$4,2,1),0)))</f>
        <v/>
      </c>
      <c r="F36" s="165">
        <f>IF($C36="","",SUMIFS(Transaksi!$F$16:$F$5015,Transaksi!$G$16:$G$5015,$A36,Transaksi!$H$16:$H$5015,$B36,Transaksi!$I$16:$I$5015,$C36,Transaksi!$B$16:$B$5015,"&gt;="&amp;DATE(Dashboard!$C$4,3,1),Transaksi!$B$16:$B$5015,"&lt;="&amp;EOMONTH(DATE(Dashboard!$C$4,3,1),0)))</f>
        <v/>
      </c>
      <c r="G36" s="165">
        <f>IF($C36="","",SUMIFS(Transaksi!$F$16:$F$5015,Transaksi!$G$16:$G$5015,$A36,Transaksi!$H$16:$H$5015,$B36,Transaksi!$I$16:$I$5015,$C36,Transaksi!$B$16:$B$5015,"&gt;="&amp;DATE(Dashboard!$C$4,4,1),Transaksi!$B$16:$B$5015,"&lt;="&amp;EOMONTH(DATE(Dashboard!$C$4,4,1),0)))</f>
        <v/>
      </c>
      <c r="H36" s="165">
        <f>IF($C36="","",SUMIFS(Transaksi!$F$16:$F$5015,Transaksi!$G$16:$G$5015,$A36,Transaksi!$H$16:$H$5015,$B36,Transaksi!$I$16:$I$5015,$C36,Transaksi!$B$16:$B$5015,"&gt;="&amp;DATE(Dashboard!$C$4,5,1),Transaksi!$B$16:$B$5015,"&lt;="&amp;EOMONTH(DATE(Dashboard!$C$4,5,1),0)))</f>
        <v/>
      </c>
      <c r="I36" s="165">
        <f>IF($C36="","",SUMIFS(Transaksi!$F$16:$F$5015,Transaksi!$G$16:$G$5015,$A36,Transaksi!$H$16:$H$5015,$B36,Transaksi!$I$16:$I$5015,$C36,Transaksi!$B$16:$B$5015,"&gt;="&amp;DATE(Dashboard!$C$4,6,1),Transaksi!$B$16:$B$5015,"&lt;="&amp;EOMONTH(DATE(Dashboard!$C$4,6,1),0)))</f>
        <v/>
      </c>
      <c r="J36" s="165">
        <f>IF($C36="","",SUMIFS(Transaksi!$F$16:$F$5015,Transaksi!$G$16:$G$5015,$A36,Transaksi!$H$16:$H$5015,$B36,Transaksi!$I$16:$I$5015,$C36,Transaksi!$B$16:$B$5015,"&gt;="&amp;DATE(Dashboard!$C$4,7,1),Transaksi!$B$16:$B$5015,"&lt;="&amp;EOMONTH(DATE(Dashboard!$C$4,7,1),0)))</f>
        <v/>
      </c>
      <c r="K36" s="165">
        <f>IF($C36="","",SUMIFS(Transaksi!$F$16:$F$5015,Transaksi!$G$16:$G$5015,$A36,Transaksi!$H$16:$H$5015,$B36,Transaksi!$I$16:$I$5015,$C36,Transaksi!$B$16:$B$5015,"&gt;="&amp;DATE(Dashboard!$C$4,8,1),Transaksi!$B$16:$B$5015,"&lt;="&amp;EOMONTH(DATE(Dashboard!$C$4,8,1),0)))</f>
        <v/>
      </c>
      <c r="L36" s="165">
        <f>IF($C36="","",SUMIFS(Transaksi!$F$16:$F$5015,Transaksi!$G$16:$G$5015,$A36,Transaksi!$H$16:$H$5015,$B36,Transaksi!$I$16:$I$5015,$C36,Transaksi!$B$16:$B$5015,"&gt;="&amp;DATE(Dashboard!$C$4,9,1),Transaksi!$B$16:$B$5015,"&lt;="&amp;EOMONTH(DATE(Dashboard!$C$4,9,1),0)))</f>
        <v/>
      </c>
      <c r="M36" s="165">
        <f>IF($C36="","",SUMIFS(Transaksi!$F$16:$F$5015,Transaksi!$G$16:$G$5015,$A36,Transaksi!$H$16:$H$5015,$B36,Transaksi!$I$16:$I$5015,$C36,Transaksi!$B$16:$B$5015,"&gt;="&amp;DATE(Dashboard!$C$4,10,1),Transaksi!$B$16:$B$5015,"&lt;="&amp;EOMONTH(DATE(Dashboard!$C$4,10,1),0)))</f>
        <v/>
      </c>
      <c r="N36" s="165">
        <f>IF($C36="","",SUMIFS(Transaksi!$F$16:$F$5015,Transaksi!$G$16:$G$5015,$A36,Transaksi!$H$16:$H$5015,$B36,Transaksi!$I$16:$I$5015,$C36,Transaksi!$B$16:$B$5015,"&gt;="&amp;DATE(Dashboard!$C$4,11,1),Transaksi!$B$16:$B$5015,"&lt;="&amp;EOMONTH(DATE(Dashboard!$C$4,11,1),0)))</f>
        <v/>
      </c>
      <c r="O36" s="165">
        <f>IF($C36="","",SUMIFS(Transaksi!$F$16:$F$5015,Transaksi!$G$16:$G$5015,$A36,Transaksi!$H$16:$H$5015,$B36,Transaksi!$I$16:$I$5015,$C36,Transaksi!$B$16:$B$5015,"&gt;="&amp;DATE(Dashboard!$C$4,12,1),Transaksi!$B$16:$B$5015,"&lt;="&amp;EOMONTH(DATE(Dashboard!$C$4,12,1),0)))</f>
        <v/>
      </c>
      <c r="P36" s="166">
        <f>IF($C36="","",SUM(D36:O36))</f>
        <v/>
      </c>
    </row>
    <row r="37" ht="15" customHeight="1" s="94">
      <c r="A37" s="164">
        <f>IF(Kategori!C37="","",Kategori!A37)</f>
        <v/>
      </c>
      <c r="B37" s="164">
        <f>IF(Kategori!C37="","",Kategori!B37)</f>
        <v/>
      </c>
      <c r="C37" s="108">
        <f>IF(Kategori!C37="","",Kategori!C37)</f>
        <v/>
      </c>
      <c r="D37" s="165">
        <f>IF($C37="","",SUMIFS(Transaksi!$F$16:$F$5015,Transaksi!$G$16:$G$5015,$A37,Transaksi!$H$16:$H$5015,$B37,Transaksi!$I$16:$I$5015,$C37,Transaksi!$B$16:$B$5015,"&gt;="&amp;DATE(Dashboard!$C$4,1,1),Transaksi!$B$16:$B$5015,"&lt;="&amp;EOMONTH(DATE(Dashboard!$C$4,1,1),0)))</f>
        <v/>
      </c>
      <c r="E37" s="165">
        <f>IF($C37="","",SUMIFS(Transaksi!$F$16:$F$5015,Transaksi!$G$16:$G$5015,$A37,Transaksi!$H$16:$H$5015,$B37,Transaksi!$I$16:$I$5015,$C37,Transaksi!$B$16:$B$5015,"&gt;="&amp;DATE(Dashboard!$C$4,2,1),Transaksi!$B$16:$B$5015,"&lt;="&amp;EOMONTH(DATE(Dashboard!$C$4,2,1),0)))</f>
        <v/>
      </c>
      <c r="F37" s="165">
        <f>IF($C37="","",SUMIFS(Transaksi!$F$16:$F$5015,Transaksi!$G$16:$G$5015,$A37,Transaksi!$H$16:$H$5015,$B37,Transaksi!$I$16:$I$5015,$C37,Transaksi!$B$16:$B$5015,"&gt;="&amp;DATE(Dashboard!$C$4,3,1),Transaksi!$B$16:$B$5015,"&lt;="&amp;EOMONTH(DATE(Dashboard!$C$4,3,1),0)))</f>
        <v/>
      </c>
      <c r="G37" s="165">
        <f>IF($C37="","",SUMIFS(Transaksi!$F$16:$F$5015,Transaksi!$G$16:$G$5015,$A37,Transaksi!$H$16:$H$5015,$B37,Transaksi!$I$16:$I$5015,$C37,Transaksi!$B$16:$B$5015,"&gt;="&amp;DATE(Dashboard!$C$4,4,1),Transaksi!$B$16:$B$5015,"&lt;="&amp;EOMONTH(DATE(Dashboard!$C$4,4,1),0)))</f>
        <v/>
      </c>
      <c r="H37" s="165">
        <f>IF($C37="","",SUMIFS(Transaksi!$F$16:$F$5015,Transaksi!$G$16:$G$5015,$A37,Transaksi!$H$16:$H$5015,$B37,Transaksi!$I$16:$I$5015,$C37,Transaksi!$B$16:$B$5015,"&gt;="&amp;DATE(Dashboard!$C$4,5,1),Transaksi!$B$16:$B$5015,"&lt;="&amp;EOMONTH(DATE(Dashboard!$C$4,5,1),0)))</f>
        <v/>
      </c>
      <c r="I37" s="165">
        <f>IF($C37="","",SUMIFS(Transaksi!$F$16:$F$5015,Transaksi!$G$16:$G$5015,$A37,Transaksi!$H$16:$H$5015,$B37,Transaksi!$I$16:$I$5015,$C37,Transaksi!$B$16:$B$5015,"&gt;="&amp;DATE(Dashboard!$C$4,6,1),Transaksi!$B$16:$B$5015,"&lt;="&amp;EOMONTH(DATE(Dashboard!$C$4,6,1),0)))</f>
        <v/>
      </c>
      <c r="J37" s="165">
        <f>IF($C37="","",SUMIFS(Transaksi!$F$16:$F$5015,Transaksi!$G$16:$G$5015,$A37,Transaksi!$H$16:$H$5015,$B37,Transaksi!$I$16:$I$5015,$C37,Transaksi!$B$16:$B$5015,"&gt;="&amp;DATE(Dashboard!$C$4,7,1),Transaksi!$B$16:$B$5015,"&lt;="&amp;EOMONTH(DATE(Dashboard!$C$4,7,1),0)))</f>
        <v/>
      </c>
      <c r="K37" s="165">
        <f>IF($C37="","",SUMIFS(Transaksi!$F$16:$F$5015,Transaksi!$G$16:$G$5015,$A37,Transaksi!$H$16:$H$5015,$B37,Transaksi!$I$16:$I$5015,$C37,Transaksi!$B$16:$B$5015,"&gt;="&amp;DATE(Dashboard!$C$4,8,1),Transaksi!$B$16:$B$5015,"&lt;="&amp;EOMONTH(DATE(Dashboard!$C$4,8,1),0)))</f>
        <v/>
      </c>
      <c r="L37" s="165">
        <f>IF($C37="","",SUMIFS(Transaksi!$F$16:$F$5015,Transaksi!$G$16:$G$5015,$A37,Transaksi!$H$16:$H$5015,$B37,Transaksi!$I$16:$I$5015,$C37,Transaksi!$B$16:$B$5015,"&gt;="&amp;DATE(Dashboard!$C$4,9,1),Transaksi!$B$16:$B$5015,"&lt;="&amp;EOMONTH(DATE(Dashboard!$C$4,9,1),0)))</f>
        <v/>
      </c>
      <c r="M37" s="165">
        <f>IF($C37="","",SUMIFS(Transaksi!$F$16:$F$5015,Transaksi!$G$16:$G$5015,$A37,Transaksi!$H$16:$H$5015,$B37,Transaksi!$I$16:$I$5015,$C37,Transaksi!$B$16:$B$5015,"&gt;="&amp;DATE(Dashboard!$C$4,10,1),Transaksi!$B$16:$B$5015,"&lt;="&amp;EOMONTH(DATE(Dashboard!$C$4,10,1),0)))</f>
        <v/>
      </c>
      <c r="N37" s="165">
        <f>IF($C37="","",SUMIFS(Transaksi!$F$16:$F$5015,Transaksi!$G$16:$G$5015,$A37,Transaksi!$H$16:$H$5015,$B37,Transaksi!$I$16:$I$5015,$C37,Transaksi!$B$16:$B$5015,"&gt;="&amp;DATE(Dashboard!$C$4,11,1),Transaksi!$B$16:$B$5015,"&lt;="&amp;EOMONTH(DATE(Dashboard!$C$4,11,1),0)))</f>
        <v/>
      </c>
      <c r="O37" s="165">
        <f>IF($C37="","",SUMIFS(Transaksi!$F$16:$F$5015,Transaksi!$G$16:$G$5015,$A37,Transaksi!$H$16:$H$5015,$B37,Transaksi!$I$16:$I$5015,$C37,Transaksi!$B$16:$B$5015,"&gt;="&amp;DATE(Dashboard!$C$4,12,1),Transaksi!$B$16:$B$5015,"&lt;="&amp;EOMONTH(DATE(Dashboard!$C$4,12,1),0)))</f>
        <v/>
      </c>
      <c r="P37" s="166">
        <f>IF($C37="","",SUM(D37:O37))</f>
        <v/>
      </c>
    </row>
    <row r="38" ht="15" customHeight="1" s="94">
      <c r="A38" s="164">
        <f>IF(Kategori!C38="","",Kategori!A38)</f>
        <v/>
      </c>
      <c r="B38" s="164">
        <f>IF(Kategori!C38="","",Kategori!B38)</f>
        <v/>
      </c>
      <c r="C38" s="108">
        <f>IF(Kategori!C38="","",Kategori!C38)</f>
        <v/>
      </c>
      <c r="D38" s="165">
        <f>IF($C38="","",SUMIFS(Transaksi!$F$16:$F$5015,Transaksi!$G$16:$G$5015,$A38,Transaksi!$H$16:$H$5015,$B38,Transaksi!$I$16:$I$5015,$C38,Transaksi!$B$16:$B$5015,"&gt;="&amp;DATE(Dashboard!$C$4,1,1),Transaksi!$B$16:$B$5015,"&lt;="&amp;EOMONTH(DATE(Dashboard!$C$4,1,1),0)))</f>
        <v/>
      </c>
      <c r="E38" s="165">
        <f>IF($C38="","",SUMIFS(Transaksi!$F$16:$F$5015,Transaksi!$G$16:$G$5015,$A38,Transaksi!$H$16:$H$5015,$B38,Transaksi!$I$16:$I$5015,$C38,Transaksi!$B$16:$B$5015,"&gt;="&amp;DATE(Dashboard!$C$4,2,1),Transaksi!$B$16:$B$5015,"&lt;="&amp;EOMONTH(DATE(Dashboard!$C$4,2,1),0)))</f>
        <v/>
      </c>
      <c r="F38" s="165">
        <f>IF($C38="","",SUMIFS(Transaksi!$F$16:$F$5015,Transaksi!$G$16:$G$5015,$A38,Transaksi!$H$16:$H$5015,$B38,Transaksi!$I$16:$I$5015,$C38,Transaksi!$B$16:$B$5015,"&gt;="&amp;DATE(Dashboard!$C$4,3,1),Transaksi!$B$16:$B$5015,"&lt;="&amp;EOMONTH(DATE(Dashboard!$C$4,3,1),0)))</f>
        <v/>
      </c>
      <c r="G38" s="165">
        <f>IF($C38="","",SUMIFS(Transaksi!$F$16:$F$5015,Transaksi!$G$16:$G$5015,$A38,Transaksi!$H$16:$H$5015,$B38,Transaksi!$I$16:$I$5015,$C38,Transaksi!$B$16:$B$5015,"&gt;="&amp;DATE(Dashboard!$C$4,4,1),Transaksi!$B$16:$B$5015,"&lt;="&amp;EOMONTH(DATE(Dashboard!$C$4,4,1),0)))</f>
        <v/>
      </c>
      <c r="H38" s="165">
        <f>IF($C38="","",SUMIFS(Transaksi!$F$16:$F$5015,Transaksi!$G$16:$G$5015,$A38,Transaksi!$H$16:$H$5015,$B38,Transaksi!$I$16:$I$5015,$C38,Transaksi!$B$16:$B$5015,"&gt;="&amp;DATE(Dashboard!$C$4,5,1),Transaksi!$B$16:$B$5015,"&lt;="&amp;EOMONTH(DATE(Dashboard!$C$4,5,1),0)))</f>
        <v/>
      </c>
      <c r="I38" s="165">
        <f>IF($C38="","",SUMIFS(Transaksi!$F$16:$F$5015,Transaksi!$G$16:$G$5015,$A38,Transaksi!$H$16:$H$5015,$B38,Transaksi!$I$16:$I$5015,$C38,Transaksi!$B$16:$B$5015,"&gt;="&amp;DATE(Dashboard!$C$4,6,1),Transaksi!$B$16:$B$5015,"&lt;="&amp;EOMONTH(DATE(Dashboard!$C$4,6,1),0)))</f>
        <v/>
      </c>
      <c r="J38" s="165">
        <f>IF($C38="","",SUMIFS(Transaksi!$F$16:$F$5015,Transaksi!$G$16:$G$5015,$A38,Transaksi!$H$16:$H$5015,$B38,Transaksi!$I$16:$I$5015,$C38,Transaksi!$B$16:$B$5015,"&gt;="&amp;DATE(Dashboard!$C$4,7,1),Transaksi!$B$16:$B$5015,"&lt;="&amp;EOMONTH(DATE(Dashboard!$C$4,7,1),0)))</f>
        <v/>
      </c>
      <c r="K38" s="165">
        <f>IF($C38="","",SUMIFS(Transaksi!$F$16:$F$5015,Transaksi!$G$16:$G$5015,$A38,Transaksi!$H$16:$H$5015,$B38,Transaksi!$I$16:$I$5015,$C38,Transaksi!$B$16:$B$5015,"&gt;="&amp;DATE(Dashboard!$C$4,8,1),Transaksi!$B$16:$B$5015,"&lt;="&amp;EOMONTH(DATE(Dashboard!$C$4,8,1),0)))</f>
        <v/>
      </c>
      <c r="L38" s="165">
        <f>IF($C38="","",SUMIFS(Transaksi!$F$16:$F$5015,Transaksi!$G$16:$G$5015,$A38,Transaksi!$H$16:$H$5015,$B38,Transaksi!$I$16:$I$5015,$C38,Transaksi!$B$16:$B$5015,"&gt;="&amp;DATE(Dashboard!$C$4,9,1),Transaksi!$B$16:$B$5015,"&lt;="&amp;EOMONTH(DATE(Dashboard!$C$4,9,1),0)))</f>
        <v/>
      </c>
      <c r="M38" s="165">
        <f>IF($C38="","",SUMIFS(Transaksi!$F$16:$F$5015,Transaksi!$G$16:$G$5015,$A38,Transaksi!$H$16:$H$5015,$B38,Transaksi!$I$16:$I$5015,$C38,Transaksi!$B$16:$B$5015,"&gt;="&amp;DATE(Dashboard!$C$4,10,1),Transaksi!$B$16:$B$5015,"&lt;="&amp;EOMONTH(DATE(Dashboard!$C$4,10,1),0)))</f>
        <v/>
      </c>
      <c r="N38" s="165">
        <f>IF($C38="","",SUMIFS(Transaksi!$F$16:$F$5015,Transaksi!$G$16:$G$5015,$A38,Transaksi!$H$16:$H$5015,$B38,Transaksi!$I$16:$I$5015,$C38,Transaksi!$B$16:$B$5015,"&gt;="&amp;DATE(Dashboard!$C$4,11,1),Transaksi!$B$16:$B$5015,"&lt;="&amp;EOMONTH(DATE(Dashboard!$C$4,11,1),0)))</f>
        <v/>
      </c>
      <c r="O38" s="165">
        <f>IF($C38="","",SUMIFS(Transaksi!$F$16:$F$5015,Transaksi!$G$16:$G$5015,$A38,Transaksi!$H$16:$H$5015,$B38,Transaksi!$I$16:$I$5015,$C38,Transaksi!$B$16:$B$5015,"&gt;="&amp;DATE(Dashboard!$C$4,12,1),Transaksi!$B$16:$B$5015,"&lt;="&amp;EOMONTH(DATE(Dashboard!$C$4,12,1),0)))</f>
        <v/>
      </c>
      <c r="P38" s="166">
        <f>IF($C38="","",SUM(D38:O38))</f>
        <v/>
      </c>
    </row>
    <row r="39" ht="15" customHeight="1" s="94">
      <c r="A39" s="164">
        <f>IF(Kategori!C39="","",Kategori!A39)</f>
        <v/>
      </c>
      <c r="B39" s="164">
        <f>IF(Kategori!C39="","",Kategori!B39)</f>
        <v/>
      </c>
      <c r="C39" s="108">
        <f>IF(Kategori!C39="","",Kategori!C39)</f>
        <v/>
      </c>
      <c r="D39" s="165">
        <f>IF($C39="","",SUMIFS(Transaksi!$F$16:$F$5015,Transaksi!$G$16:$G$5015,$A39,Transaksi!$H$16:$H$5015,$B39,Transaksi!$I$16:$I$5015,$C39,Transaksi!$B$16:$B$5015,"&gt;="&amp;DATE(Dashboard!$C$4,1,1),Transaksi!$B$16:$B$5015,"&lt;="&amp;EOMONTH(DATE(Dashboard!$C$4,1,1),0)))</f>
        <v/>
      </c>
      <c r="E39" s="165">
        <f>IF($C39="","",SUMIFS(Transaksi!$F$16:$F$5015,Transaksi!$G$16:$G$5015,$A39,Transaksi!$H$16:$H$5015,$B39,Transaksi!$I$16:$I$5015,$C39,Transaksi!$B$16:$B$5015,"&gt;="&amp;DATE(Dashboard!$C$4,2,1),Transaksi!$B$16:$B$5015,"&lt;="&amp;EOMONTH(DATE(Dashboard!$C$4,2,1),0)))</f>
        <v/>
      </c>
      <c r="F39" s="165">
        <f>IF($C39="","",SUMIFS(Transaksi!$F$16:$F$5015,Transaksi!$G$16:$G$5015,$A39,Transaksi!$H$16:$H$5015,$B39,Transaksi!$I$16:$I$5015,$C39,Transaksi!$B$16:$B$5015,"&gt;="&amp;DATE(Dashboard!$C$4,3,1),Transaksi!$B$16:$B$5015,"&lt;="&amp;EOMONTH(DATE(Dashboard!$C$4,3,1),0)))</f>
        <v/>
      </c>
      <c r="G39" s="165">
        <f>IF($C39="","",SUMIFS(Transaksi!$F$16:$F$5015,Transaksi!$G$16:$G$5015,$A39,Transaksi!$H$16:$H$5015,$B39,Transaksi!$I$16:$I$5015,$C39,Transaksi!$B$16:$B$5015,"&gt;="&amp;DATE(Dashboard!$C$4,4,1),Transaksi!$B$16:$B$5015,"&lt;="&amp;EOMONTH(DATE(Dashboard!$C$4,4,1),0)))</f>
        <v/>
      </c>
      <c r="H39" s="165">
        <f>IF($C39="","",SUMIFS(Transaksi!$F$16:$F$5015,Transaksi!$G$16:$G$5015,$A39,Transaksi!$H$16:$H$5015,$B39,Transaksi!$I$16:$I$5015,$C39,Transaksi!$B$16:$B$5015,"&gt;="&amp;DATE(Dashboard!$C$4,5,1),Transaksi!$B$16:$B$5015,"&lt;="&amp;EOMONTH(DATE(Dashboard!$C$4,5,1),0)))</f>
        <v/>
      </c>
      <c r="I39" s="165">
        <f>IF($C39="","",SUMIFS(Transaksi!$F$16:$F$5015,Transaksi!$G$16:$G$5015,$A39,Transaksi!$H$16:$H$5015,$B39,Transaksi!$I$16:$I$5015,$C39,Transaksi!$B$16:$B$5015,"&gt;="&amp;DATE(Dashboard!$C$4,6,1),Transaksi!$B$16:$B$5015,"&lt;="&amp;EOMONTH(DATE(Dashboard!$C$4,6,1),0)))</f>
        <v/>
      </c>
      <c r="J39" s="165">
        <f>IF($C39="","",SUMIFS(Transaksi!$F$16:$F$5015,Transaksi!$G$16:$G$5015,$A39,Transaksi!$H$16:$H$5015,$B39,Transaksi!$I$16:$I$5015,$C39,Transaksi!$B$16:$B$5015,"&gt;="&amp;DATE(Dashboard!$C$4,7,1),Transaksi!$B$16:$B$5015,"&lt;="&amp;EOMONTH(DATE(Dashboard!$C$4,7,1),0)))</f>
        <v/>
      </c>
      <c r="K39" s="165">
        <f>IF($C39="","",SUMIFS(Transaksi!$F$16:$F$5015,Transaksi!$G$16:$G$5015,$A39,Transaksi!$H$16:$H$5015,$B39,Transaksi!$I$16:$I$5015,$C39,Transaksi!$B$16:$B$5015,"&gt;="&amp;DATE(Dashboard!$C$4,8,1),Transaksi!$B$16:$B$5015,"&lt;="&amp;EOMONTH(DATE(Dashboard!$C$4,8,1),0)))</f>
        <v/>
      </c>
      <c r="L39" s="165">
        <f>IF($C39="","",SUMIFS(Transaksi!$F$16:$F$5015,Transaksi!$G$16:$G$5015,$A39,Transaksi!$H$16:$H$5015,$B39,Transaksi!$I$16:$I$5015,$C39,Transaksi!$B$16:$B$5015,"&gt;="&amp;DATE(Dashboard!$C$4,9,1),Transaksi!$B$16:$B$5015,"&lt;="&amp;EOMONTH(DATE(Dashboard!$C$4,9,1),0)))</f>
        <v/>
      </c>
      <c r="M39" s="165">
        <f>IF($C39="","",SUMIFS(Transaksi!$F$16:$F$5015,Transaksi!$G$16:$G$5015,$A39,Transaksi!$H$16:$H$5015,$B39,Transaksi!$I$16:$I$5015,$C39,Transaksi!$B$16:$B$5015,"&gt;="&amp;DATE(Dashboard!$C$4,10,1),Transaksi!$B$16:$B$5015,"&lt;="&amp;EOMONTH(DATE(Dashboard!$C$4,10,1),0)))</f>
        <v/>
      </c>
      <c r="N39" s="165">
        <f>IF($C39="","",SUMIFS(Transaksi!$F$16:$F$5015,Transaksi!$G$16:$G$5015,$A39,Transaksi!$H$16:$H$5015,$B39,Transaksi!$I$16:$I$5015,$C39,Transaksi!$B$16:$B$5015,"&gt;="&amp;DATE(Dashboard!$C$4,11,1),Transaksi!$B$16:$B$5015,"&lt;="&amp;EOMONTH(DATE(Dashboard!$C$4,11,1),0)))</f>
        <v/>
      </c>
      <c r="O39" s="165">
        <f>IF($C39="","",SUMIFS(Transaksi!$F$16:$F$5015,Transaksi!$G$16:$G$5015,$A39,Transaksi!$H$16:$H$5015,$B39,Transaksi!$I$16:$I$5015,$C39,Transaksi!$B$16:$B$5015,"&gt;="&amp;DATE(Dashboard!$C$4,12,1),Transaksi!$B$16:$B$5015,"&lt;="&amp;EOMONTH(DATE(Dashboard!$C$4,12,1),0)))</f>
        <v/>
      </c>
      <c r="P39" s="166">
        <f>IF($C39="","",SUM(D39:O39))</f>
        <v/>
      </c>
    </row>
    <row r="40" ht="15" customHeight="1" s="94">
      <c r="A40" s="164">
        <f>IF(Kategori!C40="","",Kategori!A40)</f>
        <v/>
      </c>
      <c r="B40" s="164">
        <f>IF(Kategori!C40="","",Kategori!B40)</f>
        <v/>
      </c>
      <c r="C40" s="108">
        <f>IF(Kategori!C40="","",Kategori!C40)</f>
        <v/>
      </c>
      <c r="D40" s="165">
        <f>IF($C40="","",SUMIFS(Transaksi!$F$16:$F$5015,Transaksi!$G$16:$G$5015,$A40,Transaksi!$H$16:$H$5015,$B40,Transaksi!$I$16:$I$5015,$C40,Transaksi!$B$16:$B$5015,"&gt;="&amp;DATE(Dashboard!$C$4,1,1),Transaksi!$B$16:$B$5015,"&lt;="&amp;EOMONTH(DATE(Dashboard!$C$4,1,1),0)))</f>
        <v/>
      </c>
      <c r="E40" s="165">
        <f>IF($C40="","",SUMIFS(Transaksi!$F$16:$F$5015,Transaksi!$G$16:$G$5015,$A40,Transaksi!$H$16:$H$5015,$B40,Transaksi!$I$16:$I$5015,$C40,Transaksi!$B$16:$B$5015,"&gt;="&amp;DATE(Dashboard!$C$4,2,1),Transaksi!$B$16:$B$5015,"&lt;="&amp;EOMONTH(DATE(Dashboard!$C$4,2,1),0)))</f>
        <v/>
      </c>
      <c r="F40" s="165">
        <f>IF($C40="","",SUMIFS(Transaksi!$F$16:$F$5015,Transaksi!$G$16:$G$5015,$A40,Transaksi!$H$16:$H$5015,$B40,Transaksi!$I$16:$I$5015,$C40,Transaksi!$B$16:$B$5015,"&gt;="&amp;DATE(Dashboard!$C$4,3,1),Transaksi!$B$16:$B$5015,"&lt;="&amp;EOMONTH(DATE(Dashboard!$C$4,3,1),0)))</f>
        <v/>
      </c>
      <c r="G40" s="165">
        <f>IF($C40="","",SUMIFS(Transaksi!$F$16:$F$5015,Transaksi!$G$16:$G$5015,$A40,Transaksi!$H$16:$H$5015,$B40,Transaksi!$I$16:$I$5015,$C40,Transaksi!$B$16:$B$5015,"&gt;="&amp;DATE(Dashboard!$C$4,4,1),Transaksi!$B$16:$B$5015,"&lt;="&amp;EOMONTH(DATE(Dashboard!$C$4,4,1),0)))</f>
        <v/>
      </c>
      <c r="H40" s="165">
        <f>IF($C40="","",SUMIFS(Transaksi!$F$16:$F$5015,Transaksi!$G$16:$G$5015,$A40,Transaksi!$H$16:$H$5015,$B40,Transaksi!$I$16:$I$5015,$C40,Transaksi!$B$16:$B$5015,"&gt;="&amp;DATE(Dashboard!$C$4,5,1),Transaksi!$B$16:$B$5015,"&lt;="&amp;EOMONTH(DATE(Dashboard!$C$4,5,1),0)))</f>
        <v/>
      </c>
      <c r="I40" s="165">
        <f>IF($C40="","",SUMIFS(Transaksi!$F$16:$F$5015,Transaksi!$G$16:$G$5015,$A40,Transaksi!$H$16:$H$5015,$B40,Transaksi!$I$16:$I$5015,$C40,Transaksi!$B$16:$B$5015,"&gt;="&amp;DATE(Dashboard!$C$4,6,1),Transaksi!$B$16:$B$5015,"&lt;="&amp;EOMONTH(DATE(Dashboard!$C$4,6,1),0)))</f>
        <v/>
      </c>
      <c r="J40" s="165">
        <f>IF($C40="","",SUMIFS(Transaksi!$F$16:$F$5015,Transaksi!$G$16:$G$5015,$A40,Transaksi!$H$16:$H$5015,$B40,Transaksi!$I$16:$I$5015,$C40,Transaksi!$B$16:$B$5015,"&gt;="&amp;DATE(Dashboard!$C$4,7,1),Transaksi!$B$16:$B$5015,"&lt;="&amp;EOMONTH(DATE(Dashboard!$C$4,7,1),0)))</f>
        <v/>
      </c>
      <c r="K40" s="165">
        <f>IF($C40="","",SUMIFS(Transaksi!$F$16:$F$5015,Transaksi!$G$16:$G$5015,$A40,Transaksi!$H$16:$H$5015,$B40,Transaksi!$I$16:$I$5015,$C40,Transaksi!$B$16:$B$5015,"&gt;="&amp;DATE(Dashboard!$C$4,8,1),Transaksi!$B$16:$B$5015,"&lt;="&amp;EOMONTH(DATE(Dashboard!$C$4,8,1),0)))</f>
        <v/>
      </c>
      <c r="L40" s="165">
        <f>IF($C40="","",SUMIFS(Transaksi!$F$16:$F$5015,Transaksi!$G$16:$G$5015,$A40,Transaksi!$H$16:$H$5015,$B40,Transaksi!$I$16:$I$5015,$C40,Transaksi!$B$16:$B$5015,"&gt;="&amp;DATE(Dashboard!$C$4,9,1),Transaksi!$B$16:$B$5015,"&lt;="&amp;EOMONTH(DATE(Dashboard!$C$4,9,1),0)))</f>
        <v/>
      </c>
      <c r="M40" s="165">
        <f>IF($C40="","",SUMIFS(Transaksi!$F$16:$F$5015,Transaksi!$G$16:$G$5015,$A40,Transaksi!$H$16:$H$5015,$B40,Transaksi!$I$16:$I$5015,$C40,Transaksi!$B$16:$B$5015,"&gt;="&amp;DATE(Dashboard!$C$4,10,1),Transaksi!$B$16:$B$5015,"&lt;="&amp;EOMONTH(DATE(Dashboard!$C$4,10,1),0)))</f>
        <v/>
      </c>
      <c r="N40" s="165">
        <f>IF($C40="","",SUMIFS(Transaksi!$F$16:$F$5015,Transaksi!$G$16:$G$5015,$A40,Transaksi!$H$16:$H$5015,$B40,Transaksi!$I$16:$I$5015,$C40,Transaksi!$B$16:$B$5015,"&gt;="&amp;DATE(Dashboard!$C$4,11,1),Transaksi!$B$16:$B$5015,"&lt;="&amp;EOMONTH(DATE(Dashboard!$C$4,11,1),0)))</f>
        <v/>
      </c>
      <c r="O40" s="165">
        <f>IF($C40="","",SUMIFS(Transaksi!$F$16:$F$5015,Transaksi!$G$16:$G$5015,$A40,Transaksi!$H$16:$H$5015,$B40,Transaksi!$I$16:$I$5015,$C40,Transaksi!$B$16:$B$5015,"&gt;="&amp;DATE(Dashboard!$C$4,12,1),Transaksi!$B$16:$B$5015,"&lt;="&amp;EOMONTH(DATE(Dashboard!$C$4,12,1),0)))</f>
        <v/>
      </c>
      <c r="P40" s="166">
        <f>IF($C40="","",SUM(D40:O40))</f>
        <v/>
      </c>
    </row>
    <row r="41" ht="15" customHeight="1" s="94">
      <c r="A41" s="164">
        <f>IF(Kategori!C41="","",Kategori!A41)</f>
        <v/>
      </c>
      <c r="B41" s="164">
        <f>IF(Kategori!C41="","",Kategori!B41)</f>
        <v/>
      </c>
      <c r="C41" s="108">
        <f>IF(Kategori!C41="","",Kategori!C41)</f>
        <v/>
      </c>
      <c r="D41" s="165">
        <f>IF($C41="","",SUMIFS(Transaksi!$F$16:$F$5015,Transaksi!$G$16:$G$5015,$A41,Transaksi!$H$16:$H$5015,$B41,Transaksi!$I$16:$I$5015,$C41,Transaksi!$B$16:$B$5015,"&gt;="&amp;DATE(Dashboard!$C$4,1,1),Transaksi!$B$16:$B$5015,"&lt;="&amp;EOMONTH(DATE(Dashboard!$C$4,1,1),0)))</f>
        <v/>
      </c>
      <c r="E41" s="165">
        <f>IF($C41="","",SUMIFS(Transaksi!$F$16:$F$5015,Transaksi!$G$16:$G$5015,$A41,Transaksi!$H$16:$H$5015,$B41,Transaksi!$I$16:$I$5015,$C41,Transaksi!$B$16:$B$5015,"&gt;="&amp;DATE(Dashboard!$C$4,2,1),Transaksi!$B$16:$B$5015,"&lt;="&amp;EOMONTH(DATE(Dashboard!$C$4,2,1),0)))</f>
        <v/>
      </c>
      <c r="F41" s="165">
        <f>IF($C41="","",SUMIFS(Transaksi!$F$16:$F$5015,Transaksi!$G$16:$G$5015,$A41,Transaksi!$H$16:$H$5015,$B41,Transaksi!$I$16:$I$5015,$C41,Transaksi!$B$16:$B$5015,"&gt;="&amp;DATE(Dashboard!$C$4,3,1),Transaksi!$B$16:$B$5015,"&lt;="&amp;EOMONTH(DATE(Dashboard!$C$4,3,1),0)))</f>
        <v/>
      </c>
      <c r="G41" s="165">
        <f>IF($C41="","",SUMIFS(Transaksi!$F$16:$F$5015,Transaksi!$G$16:$G$5015,$A41,Transaksi!$H$16:$H$5015,$B41,Transaksi!$I$16:$I$5015,$C41,Transaksi!$B$16:$B$5015,"&gt;="&amp;DATE(Dashboard!$C$4,4,1),Transaksi!$B$16:$B$5015,"&lt;="&amp;EOMONTH(DATE(Dashboard!$C$4,4,1),0)))</f>
        <v/>
      </c>
      <c r="H41" s="165">
        <f>IF($C41="","",SUMIFS(Transaksi!$F$16:$F$5015,Transaksi!$G$16:$G$5015,$A41,Transaksi!$H$16:$H$5015,$B41,Transaksi!$I$16:$I$5015,$C41,Transaksi!$B$16:$B$5015,"&gt;="&amp;DATE(Dashboard!$C$4,5,1),Transaksi!$B$16:$B$5015,"&lt;="&amp;EOMONTH(DATE(Dashboard!$C$4,5,1),0)))</f>
        <v/>
      </c>
      <c r="I41" s="165">
        <f>IF($C41="","",SUMIFS(Transaksi!$F$16:$F$5015,Transaksi!$G$16:$G$5015,$A41,Transaksi!$H$16:$H$5015,$B41,Transaksi!$I$16:$I$5015,$C41,Transaksi!$B$16:$B$5015,"&gt;="&amp;DATE(Dashboard!$C$4,6,1),Transaksi!$B$16:$B$5015,"&lt;="&amp;EOMONTH(DATE(Dashboard!$C$4,6,1),0)))</f>
        <v/>
      </c>
      <c r="J41" s="165">
        <f>IF($C41="","",SUMIFS(Transaksi!$F$16:$F$5015,Transaksi!$G$16:$G$5015,$A41,Transaksi!$H$16:$H$5015,$B41,Transaksi!$I$16:$I$5015,$C41,Transaksi!$B$16:$B$5015,"&gt;="&amp;DATE(Dashboard!$C$4,7,1),Transaksi!$B$16:$B$5015,"&lt;="&amp;EOMONTH(DATE(Dashboard!$C$4,7,1),0)))</f>
        <v/>
      </c>
      <c r="K41" s="165">
        <f>IF($C41="","",SUMIFS(Transaksi!$F$16:$F$5015,Transaksi!$G$16:$G$5015,$A41,Transaksi!$H$16:$H$5015,$B41,Transaksi!$I$16:$I$5015,$C41,Transaksi!$B$16:$B$5015,"&gt;="&amp;DATE(Dashboard!$C$4,8,1),Transaksi!$B$16:$B$5015,"&lt;="&amp;EOMONTH(DATE(Dashboard!$C$4,8,1),0)))</f>
        <v/>
      </c>
      <c r="L41" s="165">
        <f>IF($C41="","",SUMIFS(Transaksi!$F$16:$F$5015,Transaksi!$G$16:$G$5015,$A41,Transaksi!$H$16:$H$5015,$B41,Transaksi!$I$16:$I$5015,$C41,Transaksi!$B$16:$B$5015,"&gt;="&amp;DATE(Dashboard!$C$4,9,1),Transaksi!$B$16:$B$5015,"&lt;="&amp;EOMONTH(DATE(Dashboard!$C$4,9,1),0)))</f>
        <v/>
      </c>
      <c r="M41" s="165">
        <f>IF($C41="","",SUMIFS(Transaksi!$F$16:$F$5015,Transaksi!$G$16:$G$5015,$A41,Transaksi!$H$16:$H$5015,$B41,Transaksi!$I$16:$I$5015,$C41,Transaksi!$B$16:$B$5015,"&gt;="&amp;DATE(Dashboard!$C$4,10,1),Transaksi!$B$16:$B$5015,"&lt;="&amp;EOMONTH(DATE(Dashboard!$C$4,10,1),0)))</f>
        <v/>
      </c>
      <c r="N41" s="165">
        <f>IF($C41="","",SUMIFS(Transaksi!$F$16:$F$5015,Transaksi!$G$16:$G$5015,$A41,Transaksi!$H$16:$H$5015,$B41,Transaksi!$I$16:$I$5015,$C41,Transaksi!$B$16:$B$5015,"&gt;="&amp;DATE(Dashboard!$C$4,11,1),Transaksi!$B$16:$B$5015,"&lt;="&amp;EOMONTH(DATE(Dashboard!$C$4,11,1),0)))</f>
        <v/>
      </c>
      <c r="O41" s="165">
        <f>IF($C41="","",SUMIFS(Transaksi!$F$16:$F$5015,Transaksi!$G$16:$G$5015,$A41,Transaksi!$H$16:$H$5015,$B41,Transaksi!$I$16:$I$5015,$C41,Transaksi!$B$16:$B$5015,"&gt;="&amp;DATE(Dashboard!$C$4,12,1),Transaksi!$B$16:$B$5015,"&lt;="&amp;EOMONTH(DATE(Dashboard!$C$4,12,1),0)))</f>
        <v/>
      </c>
      <c r="P41" s="166">
        <f>IF($C41="","",SUM(D41:O41))</f>
        <v/>
      </c>
    </row>
    <row r="42" ht="15" customHeight="1" s="94">
      <c r="A42" s="164">
        <f>IF(Kategori!C42="","",Kategori!A42)</f>
        <v/>
      </c>
      <c r="B42" s="164">
        <f>IF(Kategori!C42="","",Kategori!B42)</f>
        <v/>
      </c>
      <c r="C42" s="108">
        <f>IF(Kategori!C42="","",Kategori!C42)</f>
        <v/>
      </c>
      <c r="D42" s="165">
        <f>IF($C42="","",SUMIFS(Transaksi!$F$16:$F$5015,Transaksi!$G$16:$G$5015,$A42,Transaksi!$H$16:$H$5015,$B42,Transaksi!$I$16:$I$5015,$C42,Transaksi!$B$16:$B$5015,"&gt;="&amp;DATE(Dashboard!$C$4,1,1),Transaksi!$B$16:$B$5015,"&lt;="&amp;EOMONTH(DATE(Dashboard!$C$4,1,1),0)))</f>
        <v/>
      </c>
      <c r="E42" s="165">
        <f>IF($C42="","",SUMIFS(Transaksi!$F$16:$F$5015,Transaksi!$G$16:$G$5015,$A42,Transaksi!$H$16:$H$5015,$B42,Transaksi!$I$16:$I$5015,$C42,Transaksi!$B$16:$B$5015,"&gt;="&amp;DATE(Dashboard!$C$4,2,1),Transaksi!$B$16:$B$5015,"&lt;="&amp;EOMONTH(DATE(Dashboard!$C$4,2,1),0)))</f>
        <v/>
      </c>
      <c r="F42" s="165">
        <f>IF($C42="","",SUMIFS(Transaksi!$F$16:$F$5015,Transaksi!$G$16:$G$5015,$A42,Transaksi!$H$16:$H$5015,$B42,Transaksi!$I$16:$I$5015,$C42,Transaksi!$B$16:$B$5015,"&gt;="&amp;DATE(Dashboard!$C$4,3,1),Transaksi!$B$16:$B$5015,"&lt;="&amp;EOMONTH(DATE(Dashboard!$C$4,3,1),0)))</f>
        <v/>
      </c>
      <c r="G42" s="165">
        <f>IF($C42="","",SUMIFS(Transaksi!$F$16:$F$5015,Transaksi!$G$16:$G$5015,$A42,Transaksi!$H$16:$H$5015,$B42,Transaksi!$I$16:$I$5015,$C42,Transaksi!$B$16:$B$5015,"&gt;="&amp;DATE(Dashboard!$C$4,4,1),Transaksi!$B$16:$B$5015,"&lt;="&amp;EOMONTH(DATE(Dashboard!$C$4,4,1),0)))</f>
        <v/>
      </c>
      <c r="H42" s="165">
        <f>IF($C42="","",SUMIFS(Transaksi!$F$16:$F$5015,Transaksi!$G$16:$G$5015,$A42,Transaksi!$H$16:$H$5015,$B42,Transaksi!$I$16:$I$5015,$C42,Transaksi!$B$16:$B$5015,"&gt;="&amp;DATE(Dashboard!$C$4,5,1),Transaksi!$B$16:$B$5015,"&lt;="&amp;EOMONTH(DATE(Dashboard!$C$4,5,1),0)))</f>
        <v/>
      </c>
      <c r="I42" s="165">
        <f>IF($C42="","",SUMIFS(Transaksi!$F$16:$F$5015,Transaksi!$G$16:$G$5015,$A42,Transaksi!$H$16:$H$5015,$B42,Transaksi!$I$16:$I$5015,$C42,Transaksi!$B$16:$B$5015,"&gt;="&amp;DATE(Dashboard!$C$4,6,1),Transaksi!$B$16:$B$5015,"&lt;="&amp;EOMONTH(DATE(Dashboard!$C$4,6,1),0)))</f>
        <v/>
      </c>
      <c r="J42" s="165">
        <f>IF($C42="","",SUMIFS(Transaksi!$F$16:$F$5015,Transaksi!$G$16:$G$5015,$A42,Transaksi!$H$16:$H$5015,$B42,Transaksi!$I$16:$I$5015,$C42,Transaksi!$B$16:$B$5015,"&gt;="&amp;DATE(Dashboard!$C$4,7,1),Transaksi!$B$16:$B$5015,"&lt;="&amp;EOMONTH(DATE(Dashboard!$C$4,7,1),0)))</f>
        <v/>
      </c>
      <c r="K42" s="165">
        <f>IF($C42="","",SUMIFS(Transaksi!$F$16:$F$5015,Transaksi!$G$16:$G$5015,$A42,Transaksi!$H$16:$H$5015,$B42,Transaksi!$I$16:$I$5015,$C42,Transaksi!$B$16:$B$5015,"&gt;="&amp;DATE(Dashboard!$C$4,8,1),Transaksi!$B$16:$B$5015,"&lt;="&amp;EOMONTH(DATE(Dashboard!$C$4,8,1),0)))</f>
        <v/>
      </c>
      <c r="L42" s="165">
        <f>IF($C42="","",SUMIFS(Transaksi!$F$16:$F$5015,Transaksi!$G$16:$G$5015,$A42,Transaksi!$H$16:$H$5015,$B42,Transaksi!$I$16:$I$5015,$C42,Transaksi!$B$16:$B$5015,"&gt;="&amp;DATE(Dashboard!$C$4,9,1),Transaksi!$B$16:$B$5015,"&lt;="&amp;EOMONTH(DATE(Dashboard!$C$4,9,1),0)))</f>
        <v/>
      </c>
      <c r="M42" s="165">
        <f>IF($C42="","",SUMIFS(Transaksi!$F$16:$F$5015,Transaksi!$G$16:$G$5015,$A42,Transaksi!$H$16:$H$5015,$B42,Transaksi!$I$16:$I$5015,$C42,Transaksi!$B$16:$B$5015,"&gt;="&amp;DATE(Dashboard!$C$4,10,1),Transaksi!$B$16:$B$5015,"&lt;="&amp;EOMONTH(DATE(Dashboard!$C$4,10,1),0)))</f>
        <v/>
      </c>
      <c r="N42" s="165">
        <f>IF($C42="","",SUMIFS(Transaksi!$F$16:$F$5015,Transaksi!$G$16:$G$5015,$A42,Transaksi!$H$16:$H$5015,$B42,Transaksi!$I$16:$I$5015,$C42,Transaksi!$B$16:$B$5015,"&gt;="&amp;DATE(Dashboard!$C$4,11,1),Transaksi!$B$16:$B$5015,"&lt;="&amp;EOMONTH(DATE(Dashboard!$C$4,11,1),0)))</f>
        <v/>
      </c>
      <c r="O42" s="165">
        <f>IF($C42="","",SUMIFS(Transaksi!$F$16:$F$5015,Transaksi!$G$16:$G$5015,$A42,Transaksi!$H$16:$H$5015,$B42,Transaksi!$I$16:$I$5015,$C42,Transaksi!$B$16:$B$5015,"&gt;="&amp;DATE(Dashboard!$C$4,12,1),Transaksi!$B$16:$B$5015,"&lt;="&amp;EOMONTH(DATE(Dashboard!$C$4,12,1),0)))</f>
        <v/>
      </c>
      <c r="P42" s="166">
        <f>IF($C42="","",SUM(D42:O42))</f>
        <v/>
      </c>
    </row>
    <row r="43" ht="15" customHeight="1" s="94">
      <c r="A43" s="164">
        <f>IF(Kategori!C43="","",Kategori!A43)</f>
        <v/>
      </c>
      <c r="B43" s="164">
        <f>IF(Kategori!C43="","",Kategori!B43)</f>
        <v/>
      </c>
      <c r="C43" s="108">
        <f>IF(Kategori!C43="","",Kategori!C43)</f>
        <v/>
      </c>
      <c r="D43" s="165">
        <f>IF($C43="","",SUMIFS(Transaksi!$F$16:$F$5015,Transaksi!$G$16:$G$5015,$A43,Transaksi!$H$16:$H$5015,$B43,Transaksi!$I$16:$I$5015,$C43,Transaksi!$B$16:$B$5015,"&gt;="&amp;DATE(Dashboard!$C$4,1,1),Transaksi!$B$16:$B$5015,"&lt;="&amp;EOMONTH(DATE(Dashboard!$C$4,1,1),0)))</f>
        <v/>
      </c>
      <c r="E43" s="165">
        <f>IF($C43="","",SUMIFS(Transaksi!$F$16:$F$5015,Transaksi!$G$16:$G$5015,$A43,Transaksi!$H$16:$H$5015,$B43,Transaksi!$I$16:$I$5015,$C43,Transaksi!$B$16:$B$5015,"&gt;="&amp;DATE(Dashboard!$C$4,2,1),Transaksi!$B$16:$B$5015,"&lt;="&amp;EOMONTH(DATE(Dashboard!$C$4,2,1),0)))</f>
        <v/>
      </c>
      <c r="F43" s="165">
        <f>IF($C43="","",SUMIFS(Transaksi!$F$16:$F$5015,Transaksi!$G$16:$G$5015,$A43,Transaksi!$H$16:$H$5015,$B43,Transaksi!$I$16:$I$5015,$C43,Transaksi!$B$16:$B$5015,"&gt;="&amp;DATE(Dashboard!$C$4,3,1),Transaksi!$B$16:$B$5015,"&lt;="&amp;EOMONTH(DATE(Dashboard!$C$4,3,1),0)))</f>
        <v/>
      </c>
      <c r="G43" s="165">
        <f>IF($C43="","",SUMIFS(Transaksi!$F$16:$F$5015,Transaksi!$G$16:$G$5015,$A43,Transaksi!$H$16:$H$5015,$B43,Transaksi!$I$16:$I$5015,$C43,Transaksi!$B$16:$B$5015,"&gt;="&amp;DATE(Dashboard!$C$4,4,1),Transaksi!$B$16:$B$5015,"&lt;="&amp;EOMONTH(DATE(Dashboard!$C$4,4,1),0)))</f>
        <v/>
      </c>
      <c r="H43" s="165">
        <f>IF($C43="","",SUMIFS(Transaksi!$F$16:$F$5015,Transaksi!$G$16:$G$5015,$A43,Transaksi!$H$16:$H$5015,$B43,Transaksi!$I$16:$I$5015,$C43,Transaksi!$B$16:$B$5015,"&gt;="&amp;DATE(Dashboard!$C$4,5,1),Transaksi!$B$16:$B$5015,"&lt;="&amp;EOMONTH(DATE(Dashboard!$C$4,5,1),0)))</f>
        <v/>
      </c>
      <c r="I43" s="165">
        <f>IF($C43="","",SUMIFS(Transaksi!$F$16:$F$5015,Transaksi!$G$16:$G$5015,$A43,Transaksi!$H$16:$H$5015,$B43,Transaksi!$I$16:$I$5015,$C43,Transaksi!$B$16:$B$5015,"&gt;="&amp;DATE(Dashboard!$C$4,6,1),Transaksi!$B$16:$B$5015,"&lt;="&amp;EOMONTH(DATE(Dashboard!$C$4,6,1),0)))</f>
        <v/>
      </c>
      <c r="J43" s="165">
        <f>IF($C43="","",SUMIFS(Transaksi!$F$16:$F$5015,Transaksi!$G$16:$G$5015,$A43,Transaksi!$H$16:$H$5015,$B43,Transaksi!$I$16:$I$5015,$C43,Transaksi!$B$16:$B$5015,"&gt;="&amp;DATE(Dashboard!$C$4,7,1),Transaksi!$B$16:$B$5015,"&lt;="&amp;EOMONTH(DATE(Dashboard!$C$4,7,1),0)))</f>
        <v/>
      </c>
      <c r="K43" s="165">
        <f>IF($C43="","",SUMIFS(Transaksi!$F$16:$F$5015,Transaksi!$G$16:$G$5015,$A43,Transaksi!$H$16:$H$5015,$B43,Transaksi!$I$16:$I$5015,$C43,Transaksi!$B$16:$B$5015,"&gt;="&amp;DATE(Dashboard!$C$4,8,1),Transaksi!$B$16:$B$5015,"&lt;="&amp;EOMONTH(DATE(Dashboard!$C$4,8,1),0)))</f>
        <v/>
      </c>
      <c r="L43" s="165">
        <f>IF($C43="","",SUMIFS(Transaksi!$F$16:$F$5015,Transaksi!$G$16:$G$5015,$A43,Transaksi!$H$16:$H$5015,$B43,Transaksi!$I$16:$I$5015,$C43,Transaksi!$B$16:$B$5015,"&gt;="&amp;DATE(Dashboard!$C$4,9,1),Transaksi!$B$16:$B$5015,"&lt;="&amp;EOMONTH(DATE(Dashboard!$C$4,9,1),0)))</f>
        <v/>
      </c>
      <c r="M43" s="165">
        <f>IF($C43="","",SUMIFS(Transaksi!$F$16:$F$5015,Transaksi!$G$16:$G$5015,$A43,Transaksi!$H$16:$H$5015,$B43,Transaksi!$I$16:$I$5015,$C43,Transaksi!$B$16:$B$5015,"&gt;="&amp;DATE(Dashboard!$C$4,10,1),Transaksi!$B$16:$B$5015,"&lt;="&amp;EOMONTH(DATE(Dashboard!$C$4,10,1),0)))</f>
        <v/>
      </c>
      <c r="N43" s="165">
        <f>IF($C43="","",SUMIFS(Transaksi!$F$16:$F$5015,Transaksi!$G$16:$G$5015,$A43,Transaksi!$H$16:$H$5015,$B43,Transaksi!$I$16:$I$5015,$C43,Transaksi!$B$16:$B$5015,"&gt;="&amp;DATE(Dashboard!$C$4,11,1),Transaksi!$B$16:$B$5015,"&lt;="&amp;EOMONTH(DATE(Dashboard!$C$4,11,1),0)))</f>
        <v/>
      </c>
      <c r="O43" s="165">
        <f>IF($C43="","",SUMIFS(Transaksi!$F$16:$F$5015,Transaksi!$G$16:$G$5015,$A43,Transaksi!$H$16:$H$5015,$B43,Transaksi!$I$16:$I$5015,$C43,Transaksi!$B$16:$B$5015,"&gt;="&amp;DATE(Dashboard!$C$4,12,1),Transaksi!$B$16:$B$5015,"&lt;="&amp;EOMONTH(DATE(Dashboard!$C$4,12,1),0)))</f>
        <v/>
      </c>
      <c r="P43" s="166">
        <f>IF($C43="","",SUM(D43:O43))</f>
        <v/>
      </c>
    </row>
    <row r="44" ht="15" customHeight="1" s="94">
      <c r="A44" s="164">
        <f>IF(Kategori!C44="","",Kategori!A44)</f>
        <v/>
      </c>
      <c r="B44" s="164">
        <f>IF(Kategori!C44="","",Kategori!B44)</f>
        <v/>
      </c>
      <c r="C44" s="108">
        <f>IF(Kategori!C44="","",Kategori!C44)</f>
        <v/>
      </c>
      <c r="D44" s="165">
        <f>IF($C44="","",SUMIFS(Transaksi!$F$16:$F$5015,Transaksi!$G$16:$G$5015,$A44,Transaksi!$H$16:$H$5015,$B44,Transaksi!$I$16:$I$5015,$C44,Transaksi!$B$16:$B$5015,"&gt;="&amp;DATE(Dashboard!$C$4,1,1),Transaksi!$B$16:$B$5015,"&lt;="&amp;EOMONTH(DATE(Dashboard!$C$4,1,1),0)))</f>
        <v/>
      </c>
      <c r="E44" s="165">
        <f>IF($C44="","",SUMIFS(Transaksi!$F$16:$F$5015,Transaksi!$G$16:$G$5015,$A44,Transaksi!$H$16:$H$5015,$B44,Transaksi!$I$16:$I$5015,$C44,Transaksi!$B$16:$B$5015,"&gt;="&amp;DATE(Dashboard!$C$4,2,1),Transaksi!$B$16:$B$5015,"&lt;="&amp;EOMONTH(DATE(Dashboard!$C$4,2,1),0)))</f>
        <v/>
      </c>
      <c r="F44" s="165">
        <f>IF($C44="","",SUMIFS(Transaksi!$F$16:$F$5015,Transaksi!$G$16:$G$5015,$A44,Transaksi!$H$16:$H$5015,$B44,Transaksi!$I$16:$I$5015,$C44,Transaksi!$B$16:$B$5015,"&gt;="&amp;DATE(Dashboard!$C$4,3,1),Transaksi!$B$16:$B$5015,"&lt;="&amp;EOMONTH(DATE(Dashboard!$C$4,3,1),0)))</f>
        <v/>
      </c>
      <c r="G44" s="165">
        <f>IF($C44="","",SUMIFS(Transaksi!$F$16:$F$5015,Transaksi!$G$16:$G$5015,$A44,Transaksi!$H$16:$H$5015,$B44,Transaksi!$I$16:$I$5015,$C44,Transaksi!$B$16:$B$5015,"&gt;="&amp;DATE(Dashboard!$C$4,4,1),Transaksi!$B$16:$B$5015,"&lt;="&amp;EOMONTH(DATE(Dashboard!$C$4,4,1),0)))</f>
        <v/>
      </c>
      <c r="H44" s="165">
        <f>IF($C44="","",SUMIFS(Transaksi!$F$16:$F$5015,Transaksi!$G$16:$G$5015,$A44,Transaksi!$H$16:$H$5015,$B44,Transaksi!$I$16:$I$5015,$C44,Transaksi!$B$16:$B$5015,"&gt;="&amp;DATE(Dashboard!$C$4,5,1),Transaksi!$B$16:$B$5015,"&lt;="&amp;EOMONTH(DATE(Dashboard!$C$4,5,1),0)))</f>
        <v/>
      </c>
      <c r="I44" s="165">
        <f>IF($C44="","",SUMIFS(Transaksi!$F$16:$F$5015,Transaksi!$G$16:$G$5015,$A44,Transaksi!$H$16:$H$5015,$B44,Transaksi!$I$16:$I$5015,$C44,Transaksi!$B$16:$B$5015,"&gt;="&amp;DATE(Dashboard!$C$4,6,1),Transaksi!$B$16:$B$5015,"&lt;="&amp;EOMONTH(DATE(Dashboard!$C$4,6,1),0)))</f>
        <v/>
      </c>
      <c r="J44" s="165">
        <f>IF($C44="","",SUMIFS(Transaksi!$F$16:$F$5015,Transaksi!$G$16:$G$5015,$A44,Transaksi!$H$16:$H$5015,$B44,Transaksi!$I$16:$I$5015,$C44,Transaksi!$B$16:$B$5015,"&gt;="&amp;DATE(Dashboard!$C$4,7,1),Transaksi!$B$16:$B$5015,"&lt;="&amp;EOMONTH(DATE(Dashboard!$C$4,7,1),0)))</f>
        <v/>
      </c>
      <c r="K44" s="165">
        <f>IF($C44="","",SUMIFS(Transaksi!$F$16:$F$5015,Transaksi!$G$16:$G$5015,$A44,Transaksi!$H$16:$H$5015,$B44,Transaksi!$I$16:$I$5015,$C44,Transaksi!$B$16:$B$5015,"&gt;="&amp;DATE(Dashboard!$C$4,8,1),Transaksi!$B$16:$B$5015,"&lt;="&amp;EOMONTH(DATE(Dashboard!$C$4,8,1),0)))</f>
        <v/>
      </c>
      <c r="L44" s="165">
        <f>IF($C44="","",SUMIFS(Transaksi!$F$16:$F$5015,Transaksi!$G$16:$G$5015,$A44,Transaksi!$H$16:$H$5015,$B44,Transaksi!$I$16:$I$5015,$C44,Transaksi!$B$16:$B$5015,"&gt;="&amp;DATE(Dashboard!$C$4,9,1),Transaksi!$B$16:$B$5015,"&lt;="&amp;EOMONTH(DATE(Dashboard!$C$4,9,1),0)))</f>
        <v/>
      </c>
      <c r="M44" s="165">
        <f>IF($C44="","",SUMIFS(Transaksi!$F$16:$F$5015,Transaksi!$G$16:$G$5015,$A44,Transaksi!$H$16:$H$5015,$B44,Transaksi!$I$16:$I$5015,$C44,Transaksi!$B$16:$B$5015,"&gt;="&amp;DATE(Dashboard!$C$4,10,1),Transaksi!$B$16:$B$5015,"&lt;="&amp;EOMONTH(DATE(Dashboard!$C$4,10,1),0)))</f>
        <v/>
      </c>
      <c r="N44" s="165">
        <f>IF($C44="","",SUMIFS(Transaksi!$F$16:$F$5015,Transaksi!$G$16:$G$5015,$A44,Transaksi!$H$16:$H$5015,$B44,Transaksi!$I$16:$I$5015,$C44,Transaksi!$B$16:$B$5015,"&gt;="&amp;DATE(Dashboard!$C$4,11,1),Transaksi!$B$16:$B$5015,"&lt;="&amp;EOMONTH(DATE(Dashboard!$C$4,11,1),0)))</f>
        <v/>
      </c>
      <c r="O44" s="165">
        <f>IF($C44="","",SUMIFS(Transaksi!$F$16:$F$5015,Transaksi!$G$16:$G$5015,$A44,Transaksi!$H$16:$H$5015,$B44,Transaksi!$I$16:$I$5015,$C44,Transaksi!$B$16:$B$5015,"&gt;="&amp;DATE(Dashboard!$C$4,12,1),Transaksi!$B$16:$B$5015,"&lt;="&amp;EOMONTH(DATE(Dashboard!$C$4,12,1),0)))</f>
        <v/>
      </c>
      <c r="P44" s="166">
        <f>IF($C44="","",SUM(D44:O44))</f>
        <v/>
      </c>
    </row>
    <row r="45" ht="15" customHeight="1" s="94">
      <c r="A45" s="164">
        <f>IF(Kategori!C45="","",Kategori!A45)</f>
        <v/>
      </c>
      <c r="B45" s="164">
        <f>IF(Kategori!C45="","",Kategori!B45)</f>
        <v/>
      </c>
      <c r="C45" s="108">
        <f>IF(Kategori!C45="","",Kategori!C45)</f>
        <v/>
      </c>
      <c r="D45" s="165">
        <f>IF($C45="","",SUMIFS(Transaksi!$F$16:$F$5015,Transaksi!$G$16:$G$5015,$A45,Transaksi!$H$16:$H$5015,$B45,Transaksi!$I$16:$I$5015,$C45,Transaksi!$B$16:$B$5015,"&gt;="&amp;DATE(Dashboard!$C$4,1,1),Transaksi!$B$16:$B$5015,"&lt;="&amp;EOMONTH(DATE(Dashboard!$C$4,1,1),0)))</f>
        <v/>
      </c>
      <c r="E45" s="165">
        <f>IF($C45="","",SUMIFS(Transaksi!$F$16:$F$5015,Transaksi!$G$16:$G$5015,$A45,Transaksi!$H$16:$H$5015,$B45,Transaksi!$I$16:$I$5015,$C45,Transaksi!$B$16:$B$5015,"&gt;="&amp;DATE(Dashboard!$C$4,2,1),Transaksi!$B$16:$B$5015,"&lt;="&amp;EOMONTH(DATE(Dashboard!$C$4,2,1),0)))</f>
        <v/>
      </c>
      <c r="F45" s="165">
        <f>IF($C45="","",SUMIFS(Transaksi!$F$16:$F$5015,Transaksi!$G$16:$G$5015,$A45,Transaksi!$H$16:$H$5015,$B45,Transaksi!$I$16:$I$5015,$C45,Transaksi!$B$16:$B$5015,"&gt;="&amp;DATE(Dashboard!$C$4,3,1),Transaksi!$B$16:$B$5015,"&lt;="&amp;EOMONTH(DATE(Dashboard!$C$4,3,1),0)))</f>
        <v/>
      </c>
      <c r="G45" s="165">
        <f>IF($C45="","",SUMIFS(Transaksi!$F$16:$F$5015,Transaksi!$G$16:$G$5015,$A45,Transaksi!$H$16:$H$5015,$B45,Transaksi!$I$16:$I$5015,$C45,Transaksi!$B$16:$B$5015,"&gt;="&amp;DATE(Dashboard!$C$4,4,1),Transaksi!$B$16:$B$5015,"&lt;="&amp;EOMONTH(DATE(Dashboard!$C$4,4,1),0)))</f>
        <v/>
      </c>
      <c r="H45" s="165">
        <f>IF($C45="","",SUMIFS(Transaksi!$F$16:$F$5015,Transaksi!$G$16:$G$5015,$A45,Transaksi!$H$16:$H$5015,$B45,Transaksi!$I$16:$I$5015,$C45,Transaksi!$B$16:$B$5015,"&gt;="&amp;DATE(Dashboard!$C$4,5,1),Transaksi!$B$16:$B$5015,"&lt;="&amp;EOMONTH(DATE(Dashboard!$C$4,5,1),0)))</f>
        <v/>
      </c>
      <c r="I45" s="165">
        <f>IF($C45="","",SUMIFS(Transaksi!$F$16:$F$5015,Transaksi!$G$16:$G$5015,$A45,Transaksi!$H$16:$H$5015,$B45,Transaksi!$I$16:$I$5015,$C45,Transaksi!$B$16:$B$5015,"&gt;="&amp;DATE(Dashboard!$C$4,6,1),Transaksi!$B$16:$B$5015,"&lt;="&amp;EOMONTH(DATE(Dashboard!$C$4,6,1),0)))</f>
        <v/>
      </c>
      <c r="J45" s="165">
        <f>IF($C45="","",SUMIFS(Transaksi!$F$16:$F$5015,Transaksi!$G$16:$G$5015,$A45,Transaksi!$H$16:$H$5015,$B45,Transaksi!$I$16:$I$5015,$C45,Transaksi!$B$16:$B$5015,"&gt;="&amp;DATE(Dashboard!$C$4,7,1),Transaksi!$B$16:$B$5015,"&lt;="&amp;EOMONTH(DATE(Dashboard!$C$4,7,1),0)))</f>
        <v/>
      </c>
      <c r="K45" s="165">
        <f>IF($C45="","",SUMIFS(Transaksi!$F$16:$F$5015,Transaksi!$G$16:$G$5015,$A45,Transaksi!$H$16:$H$5015,$B45,Transaksi!$I$16:$I$5015,$C45,Transaksi!$B$16:$B$5015,"&gt;="&amp;DATE(Dashboard!$C$4,8,1),Transaksi!$B$16:$B$5015,"&lt;="&amp;EOMONTH(DATE(Dashboard!$C$4,8,1),0)))</f>
        <v/>
      </c>
      <c r="L45" s="165">
        <f>IF($C45="","",SUMIFS(Transaksi!$F$16:$F$5015,Transaksi!$G$16:$G$5015,$A45,Transaksi!$H$16:$H$5015,$B45,Transaksi!$I$16:$I$5015,$C45,Transaksi!$B$16:$B$5015,"&gt;="&amp;DATE(Dashboard!$C$4,9,1),Transaksi!$B$16:$B$5015,"&lt;="&amp;EOMONTH(DATE(Dashboard!$C$4,9,1),0)))</f>
        <v/>
      </c>
      <c r="M45" s="165">
        <f>IF($C45="","",SUMIFS(Transaksi!$F$16:$F$5015,Transaksi!$G$16:$G$5015,$A45,Transaksi!$H$16:$H$5015,$B45,Transaksi!$I$16:$I$5015,$C45,Transaksi!$B$16:$B$5015,"&gt;="&amp;DATE(Dashboard!$C$4,10,1),Transaksi!$B$16:$B$5015,"&lt;="&amp;EOMONTH(DATE(Dashboard!$C$4,10,1),0)))</f>
        <v/>
      </c>
      <c r="N45" s="165">
        <f>IF($C45="","",SUMIFS(Transaksi!$F$16:$F$5015,Transaksi!$G$16:$G$5015,$A45,Transaksi!$H$16:$H$5015,$B45,Transaksi!$I$16:$I$5015,$C45,Transaksi!$B$16:$B$5015,"&gt;="&amp;DATE(Dashboard!$C$4,11,1),Transaksi!$B$16:$B$5015,"&lt;="&amp;EOMONTH(DATE(Dashboard!$C$4,11,1),0)))</f>
        <v/>
      </c>
      <c r="O45" s="165">
        <f>IF($C45="","",SUMIFS(Transaksi!$F$16:$F$5015,Transaksi!$G$16:$G$5015,$A45,Transaksi!$H$16:$H$5015,$B45,Transaksi!$I$16:$I$5015,$C45,Transaksi!$B$16:$B$5015,"&gt;="&amp;DATE(Dashboard!$C$4,12,1),Transaksi!$B$16:$B$5015,"&lt;="&amp;EOMONTH(DATE(Dashboard!$C$4,12,1),0)))</f>
        <v/>
      </c>
      <c r="P45" s="166">
        <f>IF($C45="","",SUM(D45:O45))</f>
        <v/>
      </c>
    </row>
    <row r="46" ht="15" customHeight="1" s="94">
      <c r="A46" s="164">
        <f>IF(Kategori!C46="","",Kategori!A46)</f>
        <v/>
      </c>
      <c r="B46" s="164">
        <f>IF(Kategori!C46="","",Kategori!B46)</f>
        <v/>
      </c>
      <c r="C46" s="108">
        <f>IF(Kategori!C46="","",Kategori!C46)</f>
        <v/>
      </c>
      <c r="D46" s="165">
        <f>IF($C46="","",SUMIFS(Transaksi!$F$16:$F$5015,Transaksi!$G$16:$G$5015,$A46,Transaksi!$H$16:$H$5015,$B46,Transaksi!$I$16:$I$5015,$C46,Transaksi!$B$16:$B$5015,"&gt;="&amp;DATE(Dashboard!$C$4,1,1),Transaksi!$B$16:$B$5015,"&lt;="&amp;EOMONTH(DATE(Dashboard!$C$4,1,1),0)))</f>
        <v/>
      </c>
      <c r="E46" s="165">
        <f>IF($C46="","",SUMIFS(Transaksi!$F$16:$F$5015,Transaksi!$G$16:$G$5015,$A46,Transaksi!$H$16:$H$5015,$B46,Transaksi!$I$16:$I$5015,$C46,Transaksi!$B$16:$B$5015,"&gt;="&amp;DATE(Dashboard!$C$4,2,1),Transaksi!$B$16:$B$5015,"&lt;="&amp;EOMONTH(DATE(Dashboard!$C$4,2,1),0)))</f>
        <v/>
      </c>
      <c r="F46" s="165">
        <f>IF($C46="","",SUMIFS(Transaksi!$F$16:$F$5015,Transaksi!$G$16:$G$5015,$A46,Transaksi!$H$16:$H$5015,$B46,Transaksi!$I$16:$I$5015,$C46,Transaksi!$B$16:$B$5015,"&gt;="&amp;DATE(Dashboard!$C$4,3,1),Transaksi!$B$16:$B$5015,"&lt;="&amp;EOMONTH(DATE(Dashboard!$C$4,3,1),0)))</f>
        <v/>
      </c>
      <c r="G46" s="165">
        <f>IF($C46="","",SUMIFS(Transaksi!$F$16:$F$5015,Transaksi!$G$16:$G$5015,$A46,Transaksi!$H$16:$H$5015,$B46,Transaksi!$I$16:$I$5015,$C46,Transaksi!$B$16:$B$5015,"&gt;="&amp;DATE(Dashboard!$C$4,4,1),Transaksi!$B$16:$B$5015,"&lt;="&amp;EOMONTH(DATE(Dashboard!$C$4,4,1),0)))</f>
        <v/>
      </c>
      <c r="H46" s="165">
        <f>IF($C46="","",SUMIFS(Transaksi!$F$16:$F$5015,Transaksi!$G$16:$G$5015,$A46,Transaksi!$H$16:$H$5015,$B46,Transaksi!$I$16:$I$5015,$C46,Transaksi!$B$16:$B$5015,"&gt;="&amp;DATE(Dashboard!$C$4,5,1),Transaksi!$B$16:$B$5015,"&lt;="&amp;EOMONTH(DATE(Dashboard!$C$4,5,1),0)))</f>
        <v/>
      </c>
      <c r="I46" s="165">
        <f>IF($C46="","",SUMIFS(Transaksi!$F$16:$F$5015,Transaksi!$G$16:$G$5015,$A46,Transaksi!$H$16:$H$5015,$B46,Transaksi!$I$16:$I$5015,$C46,Transaksi!$B$16:$B$5015,"&gt;="&amp;DATE(Dashboard!$C$4,6,1),Transaksi!$B$16:$B$5015,"&lt;="&amp;EOMONTH(DATE(Dashboard!$C$4,6,1),0)))</f>
        <v/>
      </c>
      <c r="J46" s="165">
        <f>IF($C46="","",SUMIFS(Transaksi!$F$16:$F$5015,Transaksi!$G$16:$G$5015,$A46,Transaksi!$H$16:$H$5015,$B46,Transaksi!$I$16:$I$5015,$C46,Transaksi!$B$16:$B$5015,"&gt;="&amp;DATE(Dashboard!$C$4,7,1),Transaksi!$B$16:$B$5015,"&lt;="&amp;EOMONTH(DATE(Dashboard!$C$4,7,1),0)))</f>
        <v/>
      </c>
      <c r="K46" s="165">
        <f>IF($C46="","",SUMIFS(Transaksi!$F$16:$F$5015,Transaksi!$G$16:$G$5015,$A46,Transaksi!$H$16:$H$5015,$B46,Transaksi!$I$16:$I$5015,$C46,Transaksi!$B$16:$B$5015,"&gt;="&amp;DATE(Dashboard!$C$4,8,1),Transaksi!$B$16:$B$5015,"&lt;="&amp;EOMONTH(DATE(Dashboard!$C$4,8,1),0)))</f>
        <v/>
      </c>
      <c r="L46" s="165">
        <f>IF($C46="","",SUMIFS(Transaksi!$F$16:$F$5015,Transaksi!$G$16:$G$5015,$A46,Transaksi!$H$16:$H$5015,$B46,Transaksi!$I$16:$I$5015,$C46,Transaksi!$B$16:$B$5015,"&gt;="&amp;DATE(Dashboard!$C$4,9,1),Transaksi!$B$16:$B$5015,"&lt;="&amp;EOMONTH(DATE(Dashboard!$C$4,9,1),0)))</f>
        <v/>
      </c>
      <c r="M46" s="165">
        <f>IF($C46="","",SUMIFS(Transaksi!$F$16:$F$5015,Transaksi!$G$16:$G$5015,$A46,Transaksi!$H$16:$H$5015,$B46,Transaksi!$I$16:$I$5015,$C46,Transaksi!$B$16:$B$5015,"&gt;="&amp;DATE(Dashboard!$C$4,10,1),Transaksi!$B$16:$B$5015,"&lt;="&amp;EOMONTH(DATE(Dashboard!$C$4,10,1),0)))</f>
        <v/>
      </c>
      <c r="N46" s="165">
        <f>IF($C46="","",SUMIFS(Transaksi!$F$16:$F$5015,Transaksi!$G$16:$G$5015,$A46,Transaksi!$H$16:$H$5015,$B46,Transaksi!$I$16:$I$5015,$C46,Transaksi!$B$16:$B$5015,"&gt;="&amp;DATE(Dashboard!$C$4,11,1),Transaksi!$B$16:$B$5015,"&lt;="&amp;EOMONTH(DATE(Dashboard!$C$4,11,1),0)))</f>
        <v/>
      </c>
      <c r="O46" s="165">
        <f>IF($C46="","",SUMIFS(Transaksi!$F$16:$F$5015,Transaksi!$G$16:$G$5015,$A46,Transaksi!$H$16:$H$5015,$B46,Transaksi!$I$16:$I$5015,$C46,Transaksi!$B$16:$B$5015,"&gt;="&amp;DATE(Dashboard!$C$4,12,1),Transaksi!$B$16:$B$5015,"&lt;="&amp;EOMONTH(DATE(Dashboard!$C$4,12,1),0)))</f>
        <v/>
      </c>
      <c r="P46" s="166">
        <f>IF($C46="","",SUM(D46:O46))</f>
        <v/>
      </c>
    </row>
    <row r="47" ht="15" customHeight="1" s="94">
      <c r="A47" s="164">
        <f>IF(Kategori!C47="","",Kategori!A47)</f>
        <v/>
      </c>
      <c r="B47" s="164">
        <f>IF(Kategori!C47="","",Kategori!B47)</f>
        <v/>
      </c>
      <c r="C47" s="108">
        <f>IF(Kategori!C47="","",Kategori!C47)</f>
        <v/>
      </c>
      <c r="D47" s="165">
        <f>IF($C47="","",SUMIFS(Transaksi!$F$16:$F$5015,Transaksi!$G$16:$G$5015,$A47,Transaksi!$H$16:$H$5015,$B47,Transaksi!$I$16:$I$5015,$C47,Transaksi!$B$16:$B$5015,"&gt;="&amp;DATE(Dashboard!$C$4,1,1),Transaksi!$B$16:$B$5015,"&lt;="&amp;EOMONTH(DATE(Dashboard!$C$4,1,1),0)))</f>
        <v/>
      </c>
      <c r="E47" s="165">
        <f>IF($C47="","",SUMIFS(Transaksi!$F$16:$F$5015,Transaksi!$G$16:$G$5015,$A47,Transaksi!$H$16:$H$5015,$B47,Transaksi!$I$16:$I$5015,$C47,Transaksi!$B$16:$B$5015,"&gt;="&amp;DATE(Dashboard!$C$4,2,1),Transaksi!$B$16:$B$5015,"&lt;="&amp;EOMONTH(DATE(Dashboard!$C$4,2,1),0)))</f>
        <v/>
      </c>
      <c r="F47" s="165">
        <f>IF($C47="","",SUMIFS(Transaksi!$F$16:$F$5015,Transaksi!$G$16:$G$5015,$A47,Transaksi!$H$16:$H$5015,$B47,Transaksi!$I$16:$I$5015,$C47,Transaksi!$B$16:$B$5015,"&gt;="&amp;DATE(Dashboard!$C$4,3,1),Transaksi!$B$16:$B$5015,"&lt;="&amp;EOMONTH(DATE(Dashboard!$C$4,3,1),0)))</f>
        <v/>
      </c>
      <c r="G47" s="165">
        <f>IF($C47="","",SUMIFS(Transaksi!$F$16:$F$5015,Transaksi!$G$16:$G$5015,$A47,Transaksi!$H$16:$H$5015,$B47,Transaksi!$I$16:$I$5015,$C47,Transaksi!$B$16:$B$5015,"&gt;="&amp;DATE(Dashboard!$C$4,4,1),Transaksi!$B$16:$B$5015,"&lt;="&amp;EOMONTH(DATE(Dashboard!$C$4,4,1),0)))</f>
        <v/>
      </c>
      <c r="H47" s="165">
        <f>IF($C47="","",SUMIFS(Transaksi!$F$16:$F$5015,Transaksi!$G$16:$G$5015,$A47,Transaksi!$H$16:$H$5015,$B47,Transaksi!$I$16:$I$5015,$C47,Transaksi!$B$16:$B$5015,"&gt;="&amp;DATE(Dashboard!$C$4,5,1),Transaksi!$B$16:$B$5015,"&lt;="&amp;EOMONTH(DATE(Dashboard!$C$4,5,1),0)))</f>
        <v/>
      </c>
      <c r="I47" s="165">
        <f>IF($C47="","",SUMIFS(Transaksi!$F$16:$F$5015,Transaksi!$G$16:$G$5015,$A47,Transaksi!$H$16:$H$5015,$B47,Transaksi!$I$16:$I$5015,$C47,Transaksi!$B$16:$B$5015,"&gt;="&amp;DATE(Dashboard!$C$4,6,1),Transaksi!$B$16:$B$5015,"&lt;="&amp;EOMONTH(DATE(Dashboard!$C$4,6,1),0)))</f>
        <v/>
      </c>
      <c r="J47" s="165">
        <f>IF($C47="","",SUMIFS(Transaksi!$F$16:$F$5015,Transaksi!$G$16:$G$5015,$A47,Transaksi!$H$16:$H$5015,$B47,Transaksi!$I$16:$I$5015,$C47,Transaksi!$B$16:$B$5015,"&gt;="&amp;DATE(Dashboard!$C$4,7,1),Transaksi!$B$16:$B$5015,"&lt;="&amp;EOMONTH(DATE(Dashboard!$C$4,7,1),0)))</f>
        <v/>
      </c>
      <c r="K47" s="165">
        <f>IF($C47="","",SUMIFS(Transaksi!$F$16:$F$5015,Transaksi!$G$16:$G$5015,$A47,Transaksi!$H$16:$H$5015,$B47,Transaksi!$I$16:$I$5015,$C47,Transaksi!$B$16:$B$5015,"&gt;="&amp;DATE(Dashboard!$C$4,8,1),Transaksi!$B$16:$B$5015,"&lt;="&amp;EOMONTH(DATE(Dashboard!$C$4,8,1),0)))</f>
        <v/>
      </c>
      <c r="L47" s="165">
        <f>IF($C47="","",SUMIFS(Transaksi!$F$16:$F$5015,Transaksi!$G$16:$G$5015,$A47,Transaksi!$H$16:$H$5015,$B47,Transaksi!$I$16:$I$5015,$C47,Transaksi!$B$16:$B$5015,"&gt;="&amp;DATE(Dashboard!$C$4,9,1),Transaksi!$B$16:$B$5015,"&lt;="&amp;EOMONTH(DATE(Dashboard!$C$4,9,1),0)))</f>
        <v/>
      </c>
      <c r="M47" s="165">
        <f>IF($C47="","",SUMIFS(Transaksi!$F$16:$F$5015,Transaksi!$G$16:$G$5015,$A47,Transaksi!$H$16:$H$5015,$B47,Transaksi!$I$16:$I$5015,$C47,Transaksi!$B$16:$B$5015,"&gt;="&amp;DATE(Dashboard!$C$4,10,1),Transaksi!$B$16:$B$5015,"&lt;="&amp;EOMONTH(DATE(Dashboard!$C$4,10,1),0)))</f>
        <v/>
      </c>
      <c r="N47" s="165">
        <f>IF($C47="","",SUMIFS(Transaksi!$F$16:$F$5015,Transaksi!$G$16:$G$5015,$A47,Transaksi!$H$16:$H$5015,$B47,Transaksi!$I$16:$I$5015,$C47,Transaksi!$B$16:$B$5015,"&gt;="&amp;DATE(Dashboard!$C$4,11,1),Transaksi!$B$16:$B$5015,"&lt;="&amp;EOMONTH(DATE(Dashboard!$C$4,11,1),0)))</f>
        <v/>
      </c>
      <c r="O47" s="165">
        <f>IF($C47="","",SUMIFS(Transaksi!$F$16:$F$5015,Transaksi!$G$16:$G$5015,$A47,Transaksi!$H$16:$H$5015,$B47,Transaksi!$I$16:$I$5015,$C47,Transaksi!$B$16:$B$5015,"&gt;="&amp;DATE(Dashboard!$C$4,12,1),Transaksi!$B$16:$B$5015,"&lt;="&amp;EOMONTH(DATE(Dashboard!$C$4,12,1),0)))</f>
        <v/>
      </c>
      <c r="P47" s="166">
        <f>IF($C47="","",SUM(D47:O47))</f>
        <v/>
      </c>
    </row>
    <row r="48" ht="15" customHeight="1" s="94">
      <c r="A48" s="164">
        <f>IF(Kategori!C48="","",Kategori!A48)</f>
        <v/>
      </c>
      <c r="B48" s="164">
        <f>IF(Kategori!C48="","",Kategori!B48)</f>
        <v/>
      </c>
      <c r="C48" s="108">
        <f>IF(Kategori!C48="","",Kategori!C48)</f>
        <v/>
      </c>
      <c r="D48" s="165">
        <f>IF($C48="","",SUMIFS(Transaksi!$F$16:$F$5015,Transaksi!$G$16:$G$5015,$A48,Transaksi!$H$16:$H$5015,$B48,Transaksi!$I$16:$I$5015,$C48,Transaksi!$B$16:$B$5015,"&gt;="&amp;DATE(Dashboard!$C$4,1,1),Transaksi!$B$16:$B$5015,"&lt;="&amp;EOMONTH(DATE(Dashboard!$C$4,1,1),0)))</f>
        <v/>
      </c>
      <c r="E48" s="165">
        <f>IF($C48="","",SUMIFS(Transaksi!$F$16:$F$5015,Transaksi!$G$16:$G$5015,$A48,Transaksi!$H$16:$H$5015,$B48,Transaksi!$I$16:$I$5015,$C48,Transaksi!$B$16:$B$5015,"&gt;="&amp;DATE(Dashboard!$C$4,2,1),Transaksi!$B$16:$B$5015,"&lt;="&amp;EOMONTH(DATE(Dashboard!$C$4,2,1),0)))</f>
        <v/>
      </c>
      <c r="F48" s="165">
        <f>IF($C48="","",SUMIFS(Transaksi!$F$16:$F$5015,Transaksi!$G$16:$G$5015,$A48,Transaksi!$H$16:$H$5015,$B48,Transaksi!$I$16:$I$5015,$C48,Transaksi!$B$16:$B$5015,"&gt;="&amp;DATE(Dashboard!$C$4,3,1),Transaksi!$B$16:$B$5015,"&lt;="&amp;EOMONTH(DATE(Dashboard!$C$4,3,1),0)))</f>
        <v/>
      </c>
      <c r="G48" s="165">
        <f>IF($C48="","",SUMIFS(Transaksi!$F$16:$F$5015,Transaksi!$G$16:$G$5015,$A48,Transaksi!$H$16:$H$5015,$B48,Transaksi!$I$16:$I$5015,$C48,Transaksi!$B$16:$B$5015,"&gt;="&amp;DATE(Dashboard!$C$4,4,1),Transaksi!$B$16:$B$5015,"&lt;="&amp;EOMONTH(DATE(Dashboard!$C$4,4,1),0)))</f>
        <v/>
      </c>
      <c r="H48" s="165">
        <f>IF($C48="","",SUMIFS(Transaksi!$F$16:$F$5015,Transaksi!$G$16:$G$5015,$A48,Transaksi!$H$16:$H$5015,$B48,Transaksi!$I$16:$I$5015,$C48,Transaksi!$B$16:$B$5015,"&gt;="&amp;DATE(Dashboard!$C$4,5,1),Transaksi!$B$16:$B$5015,"&lt;="&amp;EOMONTH(DATE(Dashboard!$C$4,5,1),0)))</f>
        <v/>
      </c>
      <c r="I48" s="165">
        <f>IF($C48="","",SUMIFS(Transaksi!$F$16:$F$5015,Transaksi!$G$16:$G$5015,$A48,Transaksi!$H$16:$H$5015,$B48,Transaksi!$I$16:$I$5015,$C48,Transaksi!$B$16:$B$5015,"&gt;="&amp;DATE(Dashboard!$C$4,6,1),Transaksi!$B$16:$B$5015,"&lt;="&amp;EOMONTH(DATE(Dashboard!$C$4,6,1),0)))</f>
        <v/>
      </c>
      <c r="J48" s="165">
        <f>IF($C48="","",SUMIFS(Transaksi!$F$16:$F$5015,Transaksi!$G$16:$G$5015,$A48,Transaksi!$H$16:$H$5015,$B48,Transaksi!$I$16:$I$5015,$C48,Transaksi!$B$16:$B$5015,"&gt;="&amp;DATE(Dashboard!$C$4,7,1),Transaksi!$B$16:$B$5015,"&lt;="&amp;EOMONTH(DATE(Dashboard!$C$4,7,1),0)))</f>
        <v/>
      </c>
      <c r="K48" s="165">
        <f>IF($C48="","",SUMIFS(Transaksi!$F$16:$F$5015,Transaksi!$G$16:$G$5015,$A48,Transaksi!$H$16:$H$5015,$B48,Transaksi!$I$16:$I$5015,$C48,Transaksi!$B$16:$B$5015,"&gt;="&amp;DATE(Dashboard!$C$4,8,1),Transaksi!$B$16:$B$5015,"&lt;="&amp;EOMONTH(DATE(Dashboard!$C$4,8,1),0)))</f>
        <v/>
      </c>
      <c r="L48" s="165">
        <f>IF($C48="","",SUMIFS(Transaksi!$F$16:$F$5015,Transaksi!$G$16:$G$5015,$A48,Transaksi!$H$16:$H$5015,$B48,Transaksi!$I$16:$I$5015,$C48,Transaksi!$B$16:$B$5015,"&gt;="&amp;DATE(Dashboard!$C$4,9,1),Transaksi!$B$16:$B$5015,"&lt;="&amp;EOMONTH(DATE(Dashboard!$C$4,9,1),0)))</f>
        <v/>
      </c>
      <c r="M48" s="165">
        <f>IF($C48="","",SUMIFS(Transaksi!$F$16:$F$5015,Transaksi!$G$16:$G$5015,$A48,Transaksi!$H$16:$H$5015,$B48,Transaksi!$I$16:$I$5015,$C48,Transaksi!$B$16:$B$5015,"&gt;="&amp;DATE(Dashboard!$C$4,10,1),Transaksi!$B$16:$B$5015,"&lt;="&amp;EOMONTH(DATE(Dashboard!$C$4,10,1),0)))</f>
        <v/>
      </c>
      <c r="N48" s="165">
        <f>IF($C48="","",SUMIFS(Transaksi!$F$16:$F$5015,Transaksi!$G$16:$G$5015,$A48,Transaksi!$H$16:$H$5015,$B48,Transaksi!$I$16:$I$5015,$C48,Transaksi!$B$16:$B$5015,"&gt;="&amp;DATE(Dashboard!$C$4,11,1),Transaksi!$B$16:$B$5015,"&lt;="&amp;EOMONTH(DATE(Dashboard!$C$4,11,1),0)))</f>
        <v/>
      </c>
      <c r="O48" s="165">
        <f>IF($C48="","",SUMIFS(Transaksi!$F$16:$F$5015,Transaksi!$G$16:$G$5015,$A48,Transaksi!$H$16:$H$5015,$B48,Transaksi!$I$16:$I$5015,$C48,Transaksi!$B$16:$B$5015,"&gt;="&amp;DATE(Dashboard!$C$4,12,1),Transaksi!$B$16:$B$5015,"&lt;="&amp;EOMONTH(DATE(Dashboard!$C$4,12,1),0)))</f>
        <v/>
      </c>
      <c r="P48" s="166">
        <f>IF($C48="","",SUM(D48:O48))</f>
        <v/>
      </c>
    </row>
    <row r="49" ht="15" customHeight="1" s="94">
      <c r="A49" s="164">
        <f>IF(Kategori!C49="","",Kategori!A49)</f>
        <v/>
      </c>
      <c r="B49" s="164">
        <f>IF(Kategori!C49="","",Kategori!B49)</f>
        <v/>
      </c>
      <c r="C49" s="108">
        <f>IF(Kategori!C49="","",Kategori!C49)</f>
        <v/>
      </c>
      <c r="D49" s="165">
        <f>IF($C49="","",SUMIFS(Transaksi!$F$16:$F$5015,Transaksi!$G$16:$G$5015,$A49,Transaksi!$H$16:$H$5015,$B49,Transaksi!$I$16:$I$5015,$C49,Transaksi!$B$16:$B$5015,"&gt;="&amp;DATE(Dashboard!$C$4,1,1),Transaksi!$B$16:$B$5015,"&lt;="&amp;EOMONTH(DATE(Dashboard!$C$4,1,1),0)))</f>
        <v/>
      </c>
      <c r="E49" s="165">
        <f>IF($C49="","",SUMIFS(Transaksi!$F$16:$F$5015,Transaksi!$G$16:$G$5015,$A49,Transaksi!$H$16:$H$5015,$B49,Transaksi!$I$16:$I$5015,$C49,Transaksi!$B$16:$B$5015,"&gt;="&amp;DATE(Dashboard!$C$4,2,1),Transaksi!$B$16:$B$5015,"&lt;="&amp;EOMONTH(DATE(Dashboard!$C$4,2,1),0)))</f>
        <v/>
      </c>
      <c r="F49" s="165">
        <f>IF($C49="","",SUMIFS(Transaksi!$F$16:$F$5015,Transaksi!$G$16:$G$5015,$A49,Transaksi!$H$16:$H$5015,$B49,Transaksi!$I$16:$I$5015,$C49,Transaksi!$B$16:$B$5015,"&gt;="&amp;DATE(Dashboard!$C$4,3,1),Transaksi!$B$16:$B$5015,"&lt;="&amp;EOMONTH(DATE(Dashboard!$C$4,3,1),0)))</f>
        <v/>
      </c>
      <c r="G49" s="165">
        <f>IF($C49="","",SUMIFS(Transaksi!$F$16:$F$5015,Transaksi!$G$16:$G$5015,$A49,Transaksi!$H$16:$H$5015,$B49,Transaksi!$I$16:$I$5015,$C49,Transaksi!$B$16:$B$5015,"&gt;="&amp;DATE(Dashboard!$C$4,4,1),Transaksi!$B$16:$B$5015,"&lt;="&amp;EOMONTH(DATE(Dashboard!$C$4,4,1),0)))</f>
        <v/>
      </c>
      <c r="H49" s="165">
        <f>IF($C49="","",SUMIFS(Transaksi!$F$16:$F$5015,Transaksi!$G$16:$G$5015,$A49,Transaksi!$H$16:$H$5015,$B49,Transaksi!$I$16:$I$5015,$C49,Transaksi!$B$16:$B$5015,"&gt;="&amp;DATE(Dashboard!$C$4,5,1),Transaksi!$B$16:$B$5015,"&lt;="&amp;EOMONTH(DATE(Dashboard!$C$4,5,1),0)))</f>
        <v/>
      </c>
      <c r="I49" s="165">
        <f>IF($C49="","",SUMIFS(Transaksi!$F$16:$F$5015,Transaksi!$G$16:$G$5015,$A49,Transaksi!$H$16:$H$5015,$B49,Transaksi!$I$16:$I$5015,$C49,Transaksi!$B$16:$B$5015,"&gt;="&amp;DATE(Dashboard!$C$4,6,1),Transaksi!$B$16:$B$5015,"&lt;="&amp;EOMONTH(DATE(Dashboard!$C$4,6,1),0)))</f>
        <v/>
      </c>
      <c r="J49" s="165">
        <f>IF($C49="","",SUMIFS(Transaksi!$F$16:$F$5015,Transaksi!$G$16:$G$5015,$A49,Transaksi!$H$16:$H$5015,$B49,Transaksi!$I$16:$I$5015,$C49,Transaksi!$B$16:$B$5015,"&gt;="&amp;DATE(Dashboard!$C$4,7,1),Transaksi!$B$16:$B$5015,"&lt;="&amp;EOMONTH(DATE(Dashboard!$C$4,7,1),0)))</f>
        <v/>
      </c>
      <c r="K49" s="165">
        <f>IF($C49="","",SUMIFS(Transaksi!$F$16:$F$5015,Transaksi!$G$16:$G$5015,$A49,Transaksi!$H$16:$H$5015,$B49,Transaksi!$I$16:$I$5015,$C49,Transaksi!$B$16:$B$5015,"&gt;="&amp;DATE(Dashboard!$C$4,8,1),Transaksi!$B$16:$B$5015,"&lt;="&amp;EOMONTH(DATE(Dashboard!$C$4,8,1),0)))</f>
        <v/>
      </c>
      <c r="L49" s="165">
        <f>IF($C49="","",SUMIFS(Transaksi!$F$16:$F$5015,Transaksi!$G$16:$G$5015,$A49,Transaksi!$H$16:$H$5015,$B49,Transaksi!$I$16:$I$5015,$C49,Transaksi!$B$16:$B$5015,"&gt;="&amp;DATE(Dashboard!$C$4,9,1),Transaksi!$B$16:$B$5015,"&lt;="&amp;EOMONTH(DATE(Dashboard!$C$4,9,1),0)))</f>
        <v/>
      </c>
      <c r="M49" s="165">
        <f>IF($C49="","",SUMIFS(Transaksi!$F$16:$F$5015,Transaksi!$G$16:$G$5015,$A49,Transaksi!$H$16:$H$5015,$B49,Transaksi!$I$16:$I$5015,$C49,Transaksi!$B$16:$B$5015,"&gt;="&amp;DATE(Dashboard!$C$4,10,1),Transaksi!$B$16:$B$5015,"&lt;="&amp;EOMONTH(DATE(Dashboard!$C$4,10,1),0)))</f>
        <v/>
      </c>
      <c r="N49" s="165">
        <f>IF($C49="","",SUMIFS(Transaksi!$F$16:$F$5015,Transaksi!$G$16:$G$5015,$A49,Transaksi!$H$16:$H$5015,$B49,Transaksi!$I$16:$I$5015,$C49,Transaksi!$B$16:$B$5015,"&gt;="&amp;DATE(Dashboard!$C$4,11,1),Transaksi!$B$16:$B$5015,"&lt;="&amp;EOMONTH(DATE(Dashboard!$C$4,11,1),0)))</f>
        <v/>
      </c>
      <c r="O49" s="165">
        <f>IF($C49="","",SUMIFS(Transaksi!$F$16:$F$5015,Transaksi!$G$16:$G$5015,$A49,Transaksi!$H$16:$H$5015,$B49,Transaksi!$I$16:$I$5015,$C49,Transaksi!$B$16:$B$5015,"&gt;="&amp;DATE(Dashboard!$C$4,12,1),Transaksi!$B$16:$B$5015,"&lt;="&amp;EOMONTH(DATE(Dashboard!$C$4,12,1),0)))</f>
        <v/>
      </c>
      <c r="P49" s="166">
        <f>IF($C49="","",SUM(D49:O49))</f>
        <v/>
      </c>
    </row>
    <row r="50" ht="15" customHeight="1" s="94">
      <c r="A50" s="164">
        <f>IF(Kategori!C50="","",Kategori!A50)</f>
        <v/>
      </c>
      <c r="B50" s="164">
        <f>IF(Kategori!C50="","",Kategori!B50)</f>
        <v/>
      </c>
      <c r="C50" s="108">
        <f>IF(Kategori!C50="","",Kategori!C50)</f>
        <v/>
      </c>
      <c r="D50" s="165">
        <f>IF($C50="","",SUMIFS(Transaksi!$F$16:$F$5015,Transaksi!$G$16:$G$5015,$A50,Transaksi!$H$16:$H$5015,$B50,Transaksi!$I$16:$I$5015,$C50,Transaksi!$B$16:$B$5015,"&gt;="&amp;DATE(Dashboard!$C$4,1,1),Transaksi!$B$16:$B$5015,"&lt;="&amp;EOMONTH(DATE(Dashboard!$C$4,1,1),0)))</f>
        <v/>
      </c>
      <c r="E50" s="165">
        <f>IF($C50="","",SUMIFS(Transaksi!$F$16:$F$5015,Transaksi!$G$16:$G$5015,$A50,Transaksi!$H$16:$H$5015,$B50,Transaksi!$I$16:$I$5015,$C50,Transaksi!$B$16:$B$5015,"&gt;="&amp;DATE(Dashboard!$C$4,2,1),Transaksi!$B$16:$B$5015,"&lt;="&amp;EOMONTH(DATE(Dashboard!$C$4,2,1),0)))</f>
        <v/>
      </c>
      <c r="F50" s="165">
        <f>IF($C50="","",SUMIFS(Transaksi!$F$16:$F$5015,Transaksi!$G$16:$G$5015,$A50,Transaksi!$H$16:$H$5015,$B50,Transaksi!$I$16:$I$5015,$C50,Transaksi!$B$16:$B$5015,"&gt;="&amp;DATE(Dashboard!$C$4,3,1),Transaksi!$B$16:$B$5015,"&lt;="&amp;EOMONTH(DATE(Dashboard!$C$4,3,1),0)))</f>
        <v/>
      </c>
      <c r="G50" s="165">
        <f>IF($C50="","",SUMIFS(Transaksi!$F$16:$F$5015,Transaksi!$G$16:$G$5015,$A50,Transaksi!$H$16:$H$5015,$B50,Transaksi!$I$16:$I$5015,$C50,Transaksi!$B$16:$B$5015,"&gt;="&amp;DATE(Dashboard!$C$4,4,1),Transaksi!$B$16:$B$5015,"&lt;="&amp;EOMONTH(DATE(Dashboard!$C$4,4,1),0)))</f>
        <v/>
      </c>
      <c r="H50" s="165">
        <f>IF($C50="","",SUMIFS(Transaksi!$F$16:$F$5015,Transaksi!$G$16:$G$5015,$A50,Transaksi!$H$16:$H$5015,$B50,Transaksi!$I$16:$I$5015,$C50,Transaksi!$B$16:$B$5015,"&gt;="&amp;DATE(Dashboard!$C$4,5,1),Transaksi!$B$16:$B$5015,"&lt;="&amp;EOMONTH(DATE(Dashboard!$C$4,5,1),0)))</f>
        <v/>
      </c>
      <c r="I50" s="165">
        <f>IF($C50="","",SUMIFS(Transaksi!$F$16:$F$5015,Transaksi!$G$16:$G$5015,$A50,Transaksi!$H$16:$H$5015,$B50,Transaksi!$I$16:$I$5015,$C50,Transaksi!$B$16:$B$5015,"&gt;="&amp;DATE(Dashboard!$C$4,6,1),Transaksi!$B$16:$B$5015,"&lt;="&amp;EOMONTH(DATE(Dashboard!$C$4,6,1),0)))</f>
        <v/>
      </c>
      <c r="J50" s="165">
        <f>IF($C50="","",SUMIFS(Transaksi!$F$16:$F$5015,Transaksi!$G$16:$G$5015,$A50,Transaksi!$H$16:$H$5015,$B50,Transaksi!$I$16:$I$5015,$C50,Transaksi!$B$16:$B$5015,"&gt;="&amp;DATE(Dashboard!$C$4,7,1),Transaksi!$B$16:$B$5015,"&lt;="&amp;EOMONTH(DATE(Dashboard!$C$4,7,1),0)))</f>
        <v/>
      </c>
      <c r="K50" s="165">
        <f>IF($C50="","",SUMIFS(Transaksi!$F$16:$F$5015,Transaksi!$G$16:$G$5015,$A50,Transaksi!$H$16:$H$5015,$B50,Transaksi!$I$16:$I$5015,$C50,Transaksi!$B$16:$B$5015,"&gt;="&amp;DATE(Dashboard!$C$4,8,1),Transaksi!$B$16:$B$5015,"&lt;="&amp;EOMONTH(DATE(Dashboard!$C$4,8,1),0)))</f>
        <v/>
      </c>
      <c r="L50" s="165">
        <f>IF($C50="","",SUMIFS(Transaksi!$F$16:$F$5015,Transaksi!$G$16:$G$5015,$A50,Transaksi!$H$16:$H$5015,$B50,Transaksi!$I$16:$I$5015,$C50,Transaksi!$B$16:$B$5015,"&gt;="&amp;DATE(Dashboard!$C$4,9,1),Transaksi!$B$16:$B$5015,"&lt;="&amp;EOMONTH(DATE(Dashboard!$C$4,9,1),0)))</f>
        <v/>
      </c>
      <c r="M50" s="165">
        <f>IF($C50="","",SUMIFS(Transaksi!$F$16:$F$5015,Transaksi!$G$16:$G$5015,$A50,Transaksi!$H$16:$H$5015,$B50,Transaksi!$I$16:$I$5015,$C50,Transaksi!$B$16:$B$5015,"&gt;="&amp;DATE(Dashboard!$C$4,10,1),Transaksi!$B$16:$B$5015,"&lt;="&amp;EOMONTH(DATE(Dashboard!$C$4,10,1),0)))</f>
        <v/>
      </c>
      <c r="N50" s="165">
        <f>IF($C50="","",SUMIFS(Transaksi!$F$16:$F$5015,Transaksi!$G$16:$G$5015,$A50,Transaksi!$H$16:$H$5015,$B50,Transaksi!$I$16:$I$5015,$C50,Transaksi!$B$16:$B$5015,"&gt;="&amp;DATE(Dashboard!$C$4,11,1),Transaksi!$B$16:$B$5015,"&lt;="&amp;EOMONTH(DATE(Dashboard!$C$4,11,1),0)))</f>
        <v/>
      </c>
      <c r="O50" s="165">
        <f>IF($C50="","",SUMIFS(Transaksi!$F$16:$F$5015,Transaksi!$G$16:$G$5015,$A50,Transaksi!$H$16:$H$5015,$B50,Transaksi!$I$16:$I$5015,$C50,Transaksi!$B$16:$B$5015,"&gt;="&amp;DATE(Dashboard!$C$4,12,1),Transaksi!$B$16:$B$5015,"&lt;="&amp;EOMONTH(DATE(Dashboard!$C$4,12,1),0)))</f>
        <v/>
      </c>
      <c r="P50" s="166">
        <f>IF($C50="","",SUM(D50:O50))</f>
        <v/>
      </c>
    </row>
    <row r="51" ht="15" customHeight="1" s="94">
      <c r="A51" s="164">
        <f>IF(Kategori!C51="","",Kategori!A51)</f>
        <v/>
      </c>
      <c r="B51" s="164">
        <f>IF(Kategori!C51="","",Kategori!B51)</f>
        <v/>
      </c>
      <c r="C51" s="108">
        <f>IF(Kategori!C51="","",Kategori!C51)</f>
        <v/>
      </c>
      <c r="D51" s="165">
        <f>IF($C51="","",SUMIFS(Transaksi!$F$16:$F$5015,Transaksi!$G$16:$G$5015,$A51,Transaksi!$H$16:$H$5015,$B51,Transaksi!$I$16:$I$5015,$C51,Transaksi!$B$16:$B$5015,"&gt;="&amp;DATE(Dashboard!$C$4,1,1),Transaksi!$B$16:$B$5015,"&lt;="&amp;EOMONTH(DATE(Dashboard!$C$4,1,1),0)))</f>
        <v/>
      </c>
      <c r="E51" s="165">
        <f>IF($C51="","",SUMIFS(Transaksi!$F$16:$F$5015,Transaksi!$G$16:$G$5015,$A51,Transaksi!$H$16:$H$5015,$B51,Transaksi!$I$16:$I$5015,$C51,Transaksi!$B$16:$B$5015,"&gt;="&amp;DATE(Dashboard!$C$4,2,1),Transaksi!$B$16:$B$5015,"&lt;="&amp;EOMONTH(DATE(Dashboard!$C$4,2,1),0)))</f>
        <v/>
      </c>
      <c r="F51" s="165">
        <f>IF($C51="","",SUMIFS(Transaksi!$F$16:$F$5015,Transaksi!$G$16:$G$5015,$A51,Transaksi!$H$16:$H$5015,$B51,Transaksi!$I$16:$I$5015,$C51,Transaksi!$B$16:$B$5015,"&gt;="&amp;DATE(Dashboard!$C$4,3,1),Transaksi!$B$16:$B$5015,"&lt;="&amp;EOMONTH(DATE(Dashboard!$C$4,3,1),0)))</f>
        <v/>
      </c>
      <c r="G51" s="165">
        <f>IF($C51="","",SUMIFS(Transaksi!$F$16:$F$5015,Transaksi!$G$16:$G$5015,$A51,Transaksi!$H$16:$H$5015,$B51,Transaksi!$I$16:$I$5015,$C51,Transaksi!$B$16:$B$5015,"&gt;="&amp;DATE(Dashboard!$C$4,4,1),Transaksi!$B$16:$B$5015,"&lt;="&amp;EOMONTH(DATE(Dashboard!$C$4,4,1),0)))</f>
        <v/>
      </c>
      <c r="H51" s="165">
        <f>IF($C51="","",SUMIFS(Transaksi!$F$16:$F$5015,Transaksi!$G$16:$G$5015,$A51,Transaksi!$H$16:$H$5015,$B51,Transaksi!$I$16:$I$5015,$C51,Transaksi!$B$16:$B$5015,"&gt;="&amp;DATE(Dashboard!$C$4,5,1),Transaksi!$B$16:$B$5015,"&lt;="&amp;EOMONTH(DATE(Dashboard!$C$4,5,1),0)))</f>
        <v/>
      </c>
      <c r="I51" s="165">
        <f>IF($C51="","",SUMIFS(Transaksi!$F$16:$F$5015,Transaksi!$G$16:$G$5015,$A51,Transaksi!$H$16:$H$5015,$B51,Transaksi!$I$16:$I$5015,$C51,Transaksi!$B$16:$B$5015,"&gt;="&amp;DATE(Dashboard!$C$4,6,1),Transaksi!$B$16:$B$5015,"&lt;="&amp;EOMONTH(DATE(Dashboard!$C$4,6,1),0)))</f>
        <v/>
      </c>
      <c r="J51" s="165">
        <f>IF($C51="","",SUMIFS(Transaksi!$F$16:$F$5015,Transaksi!$G$16:$G$5015,$A51,Transaksi!$H$16:$H$5015,$B51,Transaksi!$I$16:$I$5015,$C51,Transaksi!$B$16:$B$5015,"&gt;="&amp;DATE(Dashboard!$C$4,7,1),Transaksi!$B$16:$B$5015,"&lt;="&amp;EOMONTH(DATE(Dashboard!$C$4,7,1),0)))</f>
        <v/>
      </c>
      <c r="K51" s="165">
        <f>IF($C51="","",SUMIFS(Transaksi!$F$16:$F$5015,Transaksi!$G$16:$G$5015,$A51,Transaksi!$H$16:$H$5015,$B51,Transaksi!$I$16:$I$5015,$C51,Transaksi!$B$16:$B$5015,"&gt;="&amp;DATE(Dashboard!$C$4,8,1),Transaksi!$B$16:$B$5015,"&lt;="&amp;EOMONTH(DATE(Dashboard!$C$4,8,1),0)))</f>
        <v/>
      </c>
      <c r="L51" s="165">
        <f>IF($C51="","",SUMIFS(Transaksi!$F$16:$F$5015,Transaksi!$G$16:$G$5015,$A51,Transaksi!$H$16:$H$5015,$B51,Transaksi!$I$16:$I$5015,$C51,Transaksi!$B$16:$B$5015,"&gt;="&amp;DATE(Dashboard!$C$4,9,1),Transaksi!$B$16:$B$5015,"&lt;="&amp;EOMONTH(DATE(Dashboard!$C$4,9,1),0)))</f>
        <v/>
      </c>
      <c r="M51" s="165">
        <f>IF($C51="","",SUMIFS(Transaksi!$F$16:$F$5015,Transaksi!$G$16:$G$5015,$A51,Transaksi!$H$16:$H$5015,$B51,Transaksi!$I$16:$I$5015,$C51,Transaksi!$B$16:$B$5015,"&gt;="&amp;DATE(Dashboard!$C$4,10,1),Transaksi!$B$16:$B$5015,"&lt;="&amp;EOMONTH(DATE(Dashboard!$C$4,10,1),0)))</f>
        <v/>
      </c>
      <c r="N51" s="165">
        <f>IF($C51="","",SUMIFS(Transaksi!$F$16:$F$5015,Transaksi!$G$16:$G$5015,$A51,Transaksi!$H$16:$H$5015,$B51,Transaksi!$I$16:$I$5015,$C51,Transaksi!$B$16:$B$5015,"&gt;="&amp;DATE(Dashboard!$C$4,11,1),Transaksi!$B$16:$B$5015,"&lt;="&amp;EOMONTH(DATE(Dashboard!$C$4,11,1),0)))</f>
        <v/>
      </c>
      <c r="O51" s="165">
        <f>IF($C51="","",SUMIFS(Transaksi!$F$16:$F$5015,Transaksi!$G$16:$G$5015,$A51,Transaksi!$H$16:$H$5015,$B51,Transaksi!$I$16:$I$5015,$C51,Transaksi!$B$16:$B$5015,"&gt;="&amp;DATE(Dashboard!$C$4,12,1),Transaksi!$B$16:$B$5015,"&lt;="&amp;EOMONTH(DATE(Dashboard!$C$4,12,1),0)))</f>
        <v/>
      </c>
      <c r="P51" s="166">
        <f>IF($C51="","",SUM(D51:O51))</f>
        <v/>
      </c>
    </row>
    <row r="52" ht="15" customHeight="1" s="94">
      <c r="A52" s="164">
        <f>IF(Kategori!C52="","",Kategori!A52)</f>
        <v/>
      </c>
      <c r="B52" s="164">
        <f>IF(Kategori!C52="","",Kategori!B52)</f>
        <v/>
      </c>
      <c r="C52" s="108">
        <f>IF(Kategori!C52="","",Kategori!C52)</f>
        <v/>
      </c>
      <c r="D52" s="165">
        <f>IF($C52="","",SUMIFS(Transaksi!$F$16:$F$5015,Transaksi!$G$16:$G$5015,$A52,Transaksi!$H$16:$H$5015,$B52,Transaksi!$I$16:$I$5015,$C52,Transaksi!$B$16:$B$5015,"&gt;="&amp;DATE(Dashboard!$C$4,1,1),Transaksi!$B$16:$B$5015,"&lt;="&amp;EOMONTH(DATE(Dashboard!$C$4,1,1),0)))</f>
        <v/>
      </c>
      <c r="E52" s="165">
        <f>IF($C52="","",SUMIFS(Transaksi!$F$16:$F$5015,Transaksi!$G$16:$G$5015,$A52,Transaksi!$H$16:$H$5015,$B52,Transaksi!$I$16:$I$5015,$C52,Transaksi!$B$16:$B$5015,"&gt;="&amp;DATE(Dashboard!$C$4,2,1),Transaksi!$B$16:$B$5015,"&lt;="&amp;EOMONTH(DATE(Dashboard!$C$4,2,1),0)))</f>
        <v/>
      </c>
      <c r="F52" s="165">
        <f>IF($C52="","",SUMIFS(Transaksi!$F$16:$F$5015,Transaksi!$G$16:$G$5015,$A52,Transaksi!$H$16:$H$5015,$B52,Transaksi!$I$16:$I$5015,$C52,Transaksi!$B$16:$B$5015,"&gt;="&amp;DATE(Dashboard!$C$4,3,1),Transaksi!$B$16:$B$5015,"&lt;="&amp;EOMONTH(DATE(Dashboard!$C$4,3,1),0)))</f>
        <v/>
      </c>
      <c r="G52" s="165">
        <f>IF($C52="","",SUMIFS(Transaksi!$F$16:$F$5015,Transaksi!$G$16:$G$5015,$A52,Transaksi!$H$16:$H$5015,$B52,Transaksi!$I$16:$I$5015,$C52,Transaksi!$B$16:$B$5015,"&gt;="&amp;DATE(Dashboard!$C$4,4,1),Transaksi!$B$16:$B$5015,"&lt;="&amp;EOMONTH(DATE(Dashboard!$C$4,4,1),0)))</f>
        <v/>
      </c>
      <c r="H52" s="165">
        <f>IF($C52="","",SUMIFS(Transaksi!$F$16:$F$5015,Transaksi!$G$16:$G$5015,$A52,Transaksi!$H$16:$H$5015,$B52,Transaksi!$I$16:$I$5015,$C52,Transaksi!$B$16:$B$5015,"&gt;="&amp;DATE(Dashboard!$C$4,5,1),Transaksi!$B$16:$B$5015,"&lt;="&amp;EOMONTH(DATE(Dashboard!$C$4,5,1),0)))</f>
        <v/>
      </c>
      <c r="I52" s="165">
        <f>IF($C52="","",SUMIFS(Transaksi!$F$16:$F$5015,Transaksi!$G$16:$G$5015,$A52,Transaksi!$H$16:$H$5015,$B52,Transaksi!$I$16:$I$5015,$C52,Transaksi!$B$16:$B$5015,"&gt;="&amp;DATE(Dashboard!$C$4,6,1),Transaksi!$B$16:$B$5015,"&lt;="&amp;EOMONTH(DATE(Dashboard!$C$4,6,1),0)))</f>
        <v/>
      </c>
      <c r="J52" s="165">
        <f>IF($C52="","",SUMIFS(Transaksi!$F$16:$F$5015,Transaksi!$G$16:$G$5015,$A52,Transaksi!$H$16:$H$5015,$B52,Transaksi!$I$16:$I$5015,$C52,Transaksi!$B$16:$B$5015,"&gt;="&amp;DATE(Dashboard!$C$4,7,1),Transaksi!$B$16:$B$5015,"&lt;="&amp;EOMONTH(DATE(Dashboard!$C$4,7,1),0)))</f>
        <v/>
      </c>
      <c r="K52" s="165">
        <f>IF($C52="","",SUMIFS(Transaksi!$F$16:$F$5015,Transaksi!$G$16:$G$5015,$A52,Transaksi!$H$16:$H$5015,$B52,Transaksi!$I$16:$I$5015,$C52,Transaksi!$B$16:$B$5015,"&gt;="&amp;DATE(Dashboard!$C$4,8,1),Transaksi!$B$16:$B$5015,"&lt;="&amp;EOMONTH(DATE(Dashboard!$C$4,8,1),0)))</f>
        <v/>
      </c>
      <c r="L52" s="165">
        <f>IF($C52="","",SUMIFS(Transaksi!$F$16:$F$5015,Transaksi!$G$16:$G$5015,$A52,Transaksi!$H$16:$H$5015,$B52,Transaksi!$I$16:$I$5015,$C52,Transaksi!$B$16:$B$5015,"&gt;="&amp;DATE(Dashboard!$C$4,9,1),Transaksi!$B$16:$B$5015,"&lt;="&amp;EOMONTH(DATE(Dashboard!$C$4,9,1),0)))</f>
        <v/>
      </c>
      <c r="M52" s="165">
        <f>IF($C52="","",SUMIFS(Transaksi!$F$16:$F$5015,Transaksi!$G$16:$G$5015,$A52,Transaksi!$H$16:$H$5015,$B52,Transaksi!$I$16:$I$5015,$C52,Transaksi!$B$16:$B$5015,"&gt;="&amp;DATE(Dashboard!$C$4,10,1),Transaksi!$B$16:$B$5015,"&lt;="&amp;EOMONTH(DATE(Dashboard!$C$4,10,1),0)))</f>
        <v/>
      </c>
      <c r="N52" s="165">
        <f>IF($C52="","",SUMIFS(Transaksi!$F$16:$F$5015,Transaksi!$G$16:$G$5015,$A52,Transaksi!$H$16:$H$5015,$B52,Transaksi!$I$16:$I$5015,$C52,Transaksi!$B$16:$B$5015,"&gt;="&amp;DATE(Dashboard!$C$4,11,1),Transaksi!$B$16:$B$5015,"&lt;="&amp;EOMONTH(DATE(Dashboard!$C$4,11,1),0)))</f>
        <v/>
      </c>
      <c r="O52" s="165">
        <f>IF($C52="","",SUMIFS(Transaksi!$F$16:$F$5015,Transaksi!$G$16:$G$5015,$A52,Transaksi!$H$16:$H$5015,$B52,Transaksi!$I$16:$I$5015,$C52,Transaksi!$B$16:$B$5015,"&gt;="&amp;DATE(Dashboard!$C$4,12,1),Transaksi!$B$16:$B$5015,"&lt;="&amp;EOMONTH(DATE(Dashboard!$C$4,12,1),0)))</f>
        <v/>
      </c>
      <c r="P52" s="166">
        <f>IF($C52="","",SUM(D52:O52))</f>
        <v/>
      </c>
    </row>
    <row r="53" ht="15" customHeight="1" s="94">
      <c r="A53" s="164">
        <f>IF(Kategori!C53="","",Kategori!A53)</f>
        <v/>
      </c>
      <c r="B53" s="164">
        <f>IF(Kategori!C53="","",Kategori!B53)</f>
        <v/>
      </c>
      <c r="C53" s="108">
        <f>IF(Kategori!C53="","",Kategori!C53)</f>
        <v/>
      </c>
      <c r="D53" s="165">
        <f>IF($C53="","",SUMIFS(Transaksi!$F$16:$F$5015,Transaksi!$G$16:$G$5015,$A53,Transaksi!$H$16:$H$5015,$B53,Transaksi!$I$16:$I$5015,$C53,Transaksi!$B$16:$B$5015,"&gt;="&amp;DATE(Dashboard!$C$4,1,1),Transaksi!$B$16:$B$5015,"&lt;="&amp;EOMONTH(DATE(Dashboard!$C$4,1,1),0)))</f>
        <v/>
      </c>
      <c r="E53" s="165">
        <f>IF($C53="","",SUMIFS(Transaksi!$F$16:$F$5015,Transaksi!$G$16:$G$5015,$A53,Transaksi!$H$16:$H$5015,$B53,Transaksi!$I$16:$I$5015,$C53,Transaksi!$B$16:$B$5015,"&gt;="&amp;DATE(Dashboard!$C$4,2,1),Transaksi!$B$16:$B$5015,"&lt;="&amp;EOMONTH(DATE(Dashboard!$C$4,2,1),0)))</f>
        <v/>
      </c>
      <c r="F53" s="165">
        <f>IF($C53="","",SUMIFS(Transaksi!$F$16:$F$5015,Transaksi!$G$16:$G$5015,$A53,Transaksi!$H$16:$H$5015,$B53,Transaksi!$I$16:$I$5015,$C53,Transaksi!$B$16:$B$5015,"&gt;="&amp;DATE(Dashboard!$C$4,3,1),Transaksi!$B$16:$B$5015,"&lt;="&amp;EOMONTH(DATE(Dashboard!$C$4,3,1),0)))</f>
        <v/>
      </c>
      <c r="G53" s="165">
        <f>IF($C53="","",SUMIFS(Transaksi!$F$16:$F$5015,Transaksi!$G$16:$G$5015,$A53,Transaksi!$H$16:$H$5015,$B53,Transaksi!$I$16:$I$5015,$C53,Transaksi!$B$16:$B$5015,"&gt;="&amp;DATE(Dashboard!$C$4,4,1),Transaksi!$B$16:$B$5015,"&lt;="&amp;EOMONTH(DATE(Dashboard!$C$4,4,1),0)))</f>
        <v/>
      </c>
      <c r="H53" s="165">
        <f>IF($C53="","",SUMIFS(Transaksi!$F$16:$F$5015,Transaksi!$G$16:$G$5015,$A53,Transaksi!$H$16:$H$5015,$B53,Transaksi!$I$16:$I$5015,$C53,Transaksi!$B$16:$B$5015,"&gt;="&amp;DATE(Dashboard!$C$4,5,1),Transaksi!$B$16:$B$5015,"&lt;="&amp;EOMONTH(DATE(Dashboard!$C$4,5,1),0)))</f>
        <v/>
      </c>
      <c r="I53" s="165">
        <f>IF($C53="","",SUMIFS(Transaksi!$F$16:$F$5015,Transaksi!$G$16:$G$5015,$A53,Transaksi!$H$16:$H$5015,$B53,Transaksi!$I$16:$I$5015,$C53,Transaksi!$B$16:$B$5015,"&gt;="&amp;DATE(Dashboard!$C$4,6,1),Transaksi!$B$16:$B$5015,"&lt;="&amp;EOMONTH(DATE(Dashboard!$C$4,6,1),0)))</f>
        <v/>
      </c>
      <c r="J53" s="165">
        <f>IF($C53="","",SUMIFS(Transaksi!$F$16:$F$5015,Transaksi!$G$16:$G$5015,$A53,Transaksi!$H$16:$H$5015,$B53,Transaksi!$I$16:$I$5015,$C53,Transaksi!$B$16:$B$5015,"&gt;="&amp;DATE(Dashboard!$C$4,7,1),Transaksi!$B$16:$B$5015,"&lt;="&amp;EOMONTH(DATE(Dashboard!$C$4,7,1),0)))</f>
        <v/>
      </c>
      <c r="K53" s="165">
        <f>IF($C53="","",SUMIFS(Transaksi!$F$16:$F$5015,Transaksi!$G$16:$G$5015,$A53,Transaksi!$H$16:$H$5015,$B53,Transaksi!$I$16:$I$5015,$C53,Transaksi!$B$16:$B$5015,"&gt;="&amp;DATE(Dashboard!$C$4,8,1),Transaksi!$B$16:$B$5015,"&lt;="&amp;EOMONTH(DATE(Dashboard!$C$4,8,1),0)))</f>
        <v/>
      </c>
      <c r="L53" s="165">
        <f>IF($C53="","",SUMIFS(Transaksi!$F$16:$F$5015,Transaksi!$G$16:$G$5015,$A53,Transaksi!$H$16:$H$5015,$B53,Transaksi!$I$16:$I$5015,$C53,Transaksi!$B$16:$B$5015,"&gt;="&amp;DATE(Dashboard!$C$4,9,1),Transaksi!$B$16:$B$5015,"&lt;="&amp;EOMONTH(DATE(Dashboard!$C$4,9,1),0)))</f>
        <v/>
      </c>
      <c r="M53" s="165">
        <f>IF($C53="","",SUMIFS(Transaksi!$F$16:$F$5015,Transaksi!$G$16:$G$5015,$A53,Transaksi!$H$16:$H$5015,$B53,Transaksi!$I$16:$I$5015,$C53,Transaksi!$B$16:$B$5015,"&gt;="&amp;DATE(Dashboard!$C$4,10,1),Transaksi!$B$16:$B$5015,"&lt;="&amp;EOMONTH(DATE(Dashboard!$C$4,10,1),0)))</f>
        <v/>
      </c>
      <c r="N53" s="165">
        <f>IF($C53="","",SUMIFS(Transaksi!$F$16:$F$5015,Transaksi!$G$16:$G$5015,$A53,Transaksi!$H$16:$H$5015,$B53,Transaksi!$I$16:$I$5015,$C53,Transaksi!$B$16:$B$5015,"&gt;="&amp;DATE(Dashboard!$C$4,11,1),Transaksi!$B$16:$B$5015,"&lt;="&amp;EOMONTH(DATE(Dashboard!$C$4,11,1),0)))</f>
        <v/>
      </c>
      <c r="O53" s="165">
        <f>IF($C53="","",SUMIFS(Transaksi!$F$16:$F$5015,Transaksi!$G$16:$G$5015,$A53,Transaksi!$H$16:$H$5015,$B53,Transaksi!$I$16:$I$5015,$C53,Transaksi!$B$16:$B$5015,"&gt;="&amp;DATE(Dashboard!$C$4,12,1),Transaksi!$B$16:$B$5015,"&lt;="&amp;EOMONTH(DATE(Dashboard!$C$4,12,1),0)))</f>
        <v/>
      </c>
      <c r="P53" s="166">
        <f>IF($C53="","",SUM(D53:O53))</f>
        <v/>
      </c>
    </row>
    <row r="54" ht="15" customHeight="1" s="94">
      <c r="A54" s="164">
        <f>IF(Kategori!C54="","",Kategori!A54)</f>
        <v/>
      </c>
      <c r="B54" s="164">
        <f>IF(Kategori!C54="","",Kategori!B54)</f>
        <v/>
      </c>
      <c r="C54" s="108">
        <f>IF(Kategori!C54="","",Kategori!C54)</f>
        <v/>
      </c>
      <c r="D54" s="165">
        <f>IF($C54="","",SUMIFS(Transaksi!$F$16:$F$5015,Transaksi!$G$16:$G$5015,$A54,Transaksi!$H$16:$H$5015,$B54,Transaksi!$I$16:$I$5015,$C54,Transaksi!$B$16:$B$5015,"&gt;="&amp;DATE(Dashboard!$C$4,1,1),Transaksi!$B$16:$B$5015,"&lt;="&amp;EOMONTH(DATE(Dashboard!$C$4,1,1),0)))</f>
        <v/>
      </c>
      <c r="E54" s="165">
        <f>IF($C54="","",SUMIFS(Transaksi!$F$16:$F$5015,Transaksi!$G$16:$G$5015,$A54,Transaksi!$H$16:$H$5015,$B54,Transaksi!$I$16:$I$5015,$C54,Transaksi!$B$16:$B$5015,"&gt;="&amp;DATE(Dashboard!$C$4,2,1),Transaksi!$B$16:$B$5015,"&lt;="&amp;EOMONTH(DATE(Dashboard!$C$4,2,1),0)))</f>
        <v/>
      </c>
      <c r="F54" s="165">
        <f>IF($C54="","",SUMIFS(Transaksi!$F$16:$F$5015,Transaksi!$G$16:$G$5015,$A54,Transaksi!$H$16:$H$5015,$B54,Transaksi!$I$16:$I$5015,$C54,Transaksi!$B$16:$B$5015,"&gt;="&amp;DATE(Dashboard!$C$4,3,1),Transaksi!$B$16:$B$5015,"&lt;="&amp;EOMONTH(DATE(Dashboard!$C$4,3,1),0)))</f>
        <v/>
      </c>
      <c r="G54" s="165">
        <f>IF($C54="","",SUMIFS(Transaksi!$F$16:$F$5015,Transaksi!$G$16:$G$5015,$A54,Transaksi!$H$16:$H$5015,$B54,Transaksi!$I$16:$I$5015,$C54,Transaksi!$B$16:$B$5015,"&gt;="&amp;DATE(Dashboard!$C$4,4,1),Transaksi!$B$16:$B$5015,"&lt;="&amp;EOMONTH(DATE(Dashboard!$C$4,4,1),0)))</f>
        <v/>
      </c>
      <c r="H54" s="165">
        <f>IF($C54="","",SUMIFS(Transaksi!$F$16:$F$5015,Transaksi!$G$16:$G$5015,$A54,Transaksi!$H$16:$H$5015,$B54,Transaksi!$I$16:$I$5015,$C54,Transaksi!$B$16:$B$5015,"&gt;="&amp;DATE(Dashboard!$C$4,5,1),Transaksi!$B$16:$B$5015,"&lt;="&amp;EOMONTH(DATE(Dashboard!$C$4,5,1),0)))</f>
        <v/>
      </c>
      <c r="I54" s="165">
        <f>IF($C54="","",SUMIFS(Transaksi!$F$16:$F$5015,Transaksi!$G$16:$G$5015,$A54,Transaksi!$H$16:$H$5015,$B54,Transaksi!$I$16:$I$5015,$C54,Transaksi!$B$16:$B$5015,"&gt;="&amp;DATE(Dashboard!$C$4,6,1),Transaksi!$B$16:$B$5015,"&lt;="&amp;EOMONTH(DATE(Dashboard!$C$4,6,1),0)))</f>
        <v/>
      </c>
      <c r="J54" s="165">
        <f>IF($C54="","",SUMIFS(Transaksi!$F$16:$F$5015,Transaksi!$G$16:$G$5015,$A54,Transaksi!$H$16:$H$5015,$B54,Transaksi!$I$16:$I$5015,$C54,Transaksi!$B$16:$B$5015,"&gt;="&amp;DATE(Dashboard!$C$4,7,1),Transaksi!$B$16:$B$5015,"&lt;="&amp;EOMONTH(DATE(Dashboard!$C$4,7,1),0)))</f>
        <v/>
      </c>
      <c r="K54" s="165">
        <f>IF($C54="","",SUMIFS(Transaksi!$F$16:$F$5015,Transaksi!$G$16:$G$5015,$A54,Transaksi!$H$16:$H$5015,$B54,Transaksi!$I$16:$I$5015,$C54,Transaksi!$B$16:$B$5015,"&gt;="&amp;DATE(Dashboard!$C$4,8,1),Transaksi!$B$16:$B$5015,"&lt;="&amp;EOMONTH(DATE(Dashboard!$C$4,8,1),0)))</f>
        <v/>
      </c>
      <c r="L54" s="165">
        <f>IF($C54="","",SUMIFS(Transaksi!$F$16:$F$5015,Transaksi!$G$16:$G$5015,$A54,Transaksi!$H$16:$H$5015,$B54,Transaksi!$I$16:$I$5015,$C54,Transaksi!$B$16:$B$5015,"&gt;="&amp;DATE(Dashboard!$C$4,9,1),Transaksi!$B$16:$B$5015,"&lt;="&amp;EOMONTH(DATE(Dashboard!$C$4,9,1),0)))</f>
        <v/>
      </c>
      <c r="M54" s="165">
        <f>IF($C54="","",SUMIFS(Transaksi!$F$16:$F$5015,Transaksi!$G$16:$G$5015,$A54,Transaksi!$H$16:$H$5015,$B54,Transaksi!$I$16:$I$5015,$C54,Transaksi!$B$16:$B$5015,"&gt;="&amp;DATE(Dashboard!$C$4,10,1),Transaksi!$B$16:$B$5015,"&lt;="&amp;EOMONTH(DATE(Dashboard!$C$4,10,1),0)))</f>
        <v/>
      </c>
      <c r="N54" s="165">
        <f>IF($C54="","",SUMIFS(Transaksi!$F$16:$F$5015,Transaksi!$G$16:$G$5015,$A54,Transaksi!$H$16:$H$5015,$B54,Transaksi!$I$16:$I$5015,$C54,Transaksi!$B$16:$B$5015,"&gt;="&amp;DATE(Dashboard!$C$4,11,1),Transaksi!$B$16:$B$5015,"&lt;="&amp;EOMONTH(DATE(Dashboard!$C$4,11,1),0)))</f>
        <v/>
      </c>
      <c r="O54" s="165">
        <f>IF($C54="","",SUMIFS(Transaksi!$F$16:$F$5015,Transaksi!$G$16:$G$5015,$A54,Transaksi!$H$16:$H$5015,$B54,Transaksi!$I$16:$I$5015,$C54,Transaksi!$B$16:$B$5015,"&gt;="&amp;DATE(Dashboard!$C$4,12,1),Transaksi!$B$16:$B$5015,"&lt;="&amp;EOMONTH(DATE(Dashboard!$C$4,12,1),0)))</f>
        <v/>
      </c>
      <c r="P54" s="166">
        <f>IF($C54="","",SUM(D54:O54))</f>
        <v/>
      </c>
    </row>
    <row r="55" ht="15" customHeight="1" s="94">
      <c r="A55" s="164">
        <f>IF(Kategori!C55="","",Kategori!A55)</f>
        <v/>
      </c>
      <c r="B55" s="164">
        <f>IF(Kategori!C55="","",Kategori!B55)</f>
        <v/>
      </c>
      <c r="C55" s="108">
        <f>IF(Kategori!C55="","",Kategori!C55)</f>
        <v/>
      </c>
      <c r="D55" s="165">
        <f>IF($C55="","",SUMIFS(Transaksi!$F$16:$F$5015,Transaksi!$G$16:$G$5015,$A55,Transaksi!$H$16:$H$5015,$B55,Transaksi!$I$16:$I$5015,$C55,Transaksi!$B$16:$B$5015,"&gt;="&amp;DATE(Dashboard!$C$4,1,1),Transaksi!$B$16:$B$5015,"&lt;="&amp;EOMONTH(DATE(Dashboard!$C$4,1,1),0)))</f>
        <v/>
      </c>
      <c r="E55" s="165">
        <f>IF($C55="","",SUMIFS(Transaksi!$F$16:$F$5015,Transaksi!$G$16:$G$5015,$A55,Transaksi!$H$16:$H$5015,$B55,Transaksi!$I$16:$I$5015,$C55,Transaksi!$B$16:$B$5015,"&gt;="&amp;DATE(Dashboard!$C$4,2,1),Transaksi!$B$16:$B$5015,"&lt;="&amp;EOMONTH(DATE(Dashboard!$C$4,2,1),0)))</f>
        <v/>
      </c>
      <c r="F55" s="165">
        <f>IF($C55="","",SUMIFS(Transaksi!$F$16:$F$5015,Transaksi!$G$16:$G$5015,$A55,Transaksi!$H$16:$H$5015,$B55,Transaksi!$I$16:$I$5015,$C55,Transaksi!$B$16:$B$5015,"&gt;="&amp;DATE(Dashboard!$C$4,3,1),Transaksi!$B$16:$B$5015,"&lt;="&amp;EOMONTH(DATE(Dashboard!$C$4,3,1),0)))</f>
        <v/>
      </c>
      <c r="G55" s="165">
        <f>IF($C55="","",SUMIFS(Transaksi!$F$16:$F$5015,Transaksi!$G$16:$G$5015,$A55,Transaksi!$H$16:$H$5015,$B55,Transaksi!$I$16:$I$5015,$C55,Transaksi!$B$16:$B$5015,"&gt;="&amp;DATE(Dashboard!$C$4,4,1),Transaksi!$B$16:$B$5015,"&lt;="&amp;EOMONTH(DATE(Dashboard!$C$4,4,1),0)))</f>
        <v/>
      </c>
      <c r="H55" s="165">
        <f>IF($C55="","",SUMIFS(Transaksi!$F$16:$F$5015,Transaksi!$G$16:$G$5015,$A55,Transaksi!$H$16:$H$5015,$B55,Transaksi!$I$16:$I$5015,$C55,Transaksi!$B$16:$B$5015,"&gt;="&amp;DATE(Dashboard!$C$4,5,1),Transaksi!$B$16:$B$5015,"&lt;="&amp;EOMONTH(DATE(Dashboard!$C$4,5,1),0)))</f>
        <v/>
      </c>
      <c r="I55" s="165">
        <f>IF($C55="","",SUMIFS(Transaksi!$F$16:$F$5015,Transaksi!$G$16:$G$5015,$A55,Transaksi!$H$16:$H$5015,$B55,Transaksi!$I$16:$I$5015,$C55,Transaksi!$B$16:$B$5015,"&gt;="&amp;DATE(Dashboard!$C$4,6,1),Transaksi!$B$16:$B$5015,"&lt;="&amp;EOMONTH(DATE(Dashboard!$C$4,6,1),0)))</f>
        <v/>
      </c>
      <c r="J55" s="165">
        <f>IF($C55="","",SUMIFS(Transaksi!$F$16:$F$5015,Transaksi!$G$16:$G$5015,$A55,Transaksi!$H$16:$H$5015,$B55,Transaksi!$I$16:$I$5015,$C55,Transaksi!$B$16:$B$5015,"&gt;="&amp;DATE(Dashboard!$C$4,7,1),Transaksi!$B$16:$B$5015,"&lt;="&amp;EOMONTH(DATE(Dashboard!$C$4,7,1),0)))</f>
        <v/>
      </c>
      <c r="K55" s="165">
        <f>IF($C55="","",SUMIFS(Transaksi!$F$16:$F$5015,Transaksi!$G$16:$G$5015,$A55,Transaksi!$H$16:$H$5015,$B55,Transaksi!$I$16:$I$5015,$C55,Transaksi!$B$16:$B$5015,"&gt;="&amp;DATE(Dashboard!$C$4,8,1),Transaksi!$B$16:$B$5015,"&lt;="&amp;EOMONTH(DATE(Dashboard!$C$4,8,1),0)))</f>
        <v/>
      </c>
      <c r="L55" s="165">
        <f>IF($C55="","",SUMIFS(Transaksi!$F$16:$F$5015,Transaksi!$G$16:$G$5015,$A55,Transaksi!$H$16:$H$5015,$B55,Transaksi!$I$16:$I$5015,$C55,Transaksi!$B$16:$B$5015,"&gt;="&amp;DATE(Dashboard!$C$4,9,1),Transaksi!$B$16:$B$5015,"&lt;="&amp;EOMONTH(DATE(Dashboard!$C$4,9,1),0)))</f>
        <v/>
      </c>
      <c r="M55" s="165">
        <f>IF($C55="","",SUMIFS(Transaksi!$F$16:$F$5015,Transaksi!$G$16:$G$5015,$A55,Transaksi!$H$16:$H$5015,$B55,Transaksi!$I$16:$I$5015,$C55,Transaksi!$B$16:$B$5015,"&gt;="&amp;DATE(Dashboard!$C$4,10,1),Transaksi!$B$16:$B$5015,"&lt;="&amp;EOMONTH(DATE(Dashboard!$C$4,10,1),0)))</f>
        <v/>
      </c>
      <c r="N55" s="165">
        <f>IF($C55="","",SUMIFS(Transaksi!$F$16:$F$5015,Transaksi!$G$16:$G$5015,$A55,Transaksi!$H$16:$H$5015,$B55,Transaksi!$I$16:$I$5015,$C55,Transaksi!$B$16:$B$5015,"&gt;="&amp;DATE(Dashboard!$C$4,11,1),Transaksi!$B$16:$B$5015,"&lt;="&amp;EOMONTH(DATE(Dashboard!$C$4,11,1),0)))</f>
        <v/>
      </c>
      <c r="O55" s="165">
        <f>IF($C55="","",SUMIFS(Transaksi!$F$16:$F$5015,Transaksi!$G$16:$G$5015,$A55,Transaksi!$H$16:$H$5015,$B55,Transaksi!$I$16:$I$5015,$C55,Transaksi!$B$16:$B$5015,"&gt;="&amp;DATE(Dashboard!$C$4,12,1),Transaksi!$B$16:$B$5015,"&lt;="&amp;EOMONTH(DATE(Dashboard!$C$4,12,1),0)))</f>
        <v/>
      </c>
      <c r="P55" s="166">
        <f>IF($C55="","",SUM(D55:O55))</f>
        <v/>
      </c>
    </row>
    <row r="56" ht="15" customHeight="1" s="94">
      <c r="A56" s="164">
        <f>IF(Kategori!C56="","",Kategori!A56)</f>
        <v/>
      </c>
      <c r="B56" s="164">
        <f>IF(Kategori!C56="","",Kategori!B56)</f>
        <v/>
      </c>
      <c r="C56" s="108">
        <f>IF(Kategori!C56="","",Kategori!C56)</f>
        <v/>
      </c>
      <c r="D56" s="165">
        <f>IF($C56="","",SUMIFS(Transaksi!$F$16:$F$5015,Transaksi!$G$16:$G$5015,$A56,Transaksi!$H$16:$H$5015,$B56,Transaksi!$I$16:$I$5015,$C56,Transaksi!$B$16:$B$5015,"&gt;="&amp;DATE(Dashboard!$C$4,1,1),Transaksi!$B$16:$B$5015,"&lt;="&amp;EOMONTH(DATE(Dashboard!$C$4,1,1),0)))</f>
        <v/>
      </c>
      <c r="E56" s="165">
        <f>IF($C56="","",SUMIFS(Transaksi!$F$16:$F$5015,Transaksi!$G$16:$G$5015,$A56,Transaksi!$H$16:$H$5015,$B56,Transaksi!$I$16:$I$5015,$C56,Transaksi!$B$16:$B$5015,"&gt;="&amp;DATE(Dashboard!$C$4,2,1),Transaksi!$B$16:$B$5015,"&lt;="&amp;EOMONTH(DATE(Dashboard!$C$4,2,1),0)))</f>
        <v/>
      </c>
      <c r="F56" s="165">
        <f>IF($C56="","",SUMIFS(Transaksi!$F$16:$F$5015,Transaksi!$G$16:$G$5015,$A56,Transaksi!$H$16:$H$5015,$B56,Transaksi!$I$16:$I$5015,$C56,Transaksi!$B$16:$B$5015,"&gt;="&amp;DATE(Dashboard!$C$4,3,1),Transaksi!$B$16:$B$5015,"&lt;="&amp;EOMONTH(DATE(Dashboard!$C$4,3,1),0)))</f>
        <v/>
      </c>
      <c r="G56" s="165">
        <f>IF($C56="","",SUMIFS(Transaksi!$F$16:$F$5015,Transaksi!$G$16:$G$5015,$A56,Transaksi!$H$16:$H$5015,$B56,Transaksi!$I$16:$I$5015,$C56,Transaksi!$B$16:$B$5015,"&gt;="&amp;DATE(Dashboard!$C$4,4,1),Transaksi!$B$16:$B$5015,"&lt;="&amp;EOMONTH(DATE(Dashboard!$C$4,4,1),0)))</f>
        <v/>
      </c>
      <c r="H56" s="165">
        <f>IF($C56="","",SUMIFS(Transaksi!$F$16:$F$5015,Transaksi!$G$16:$G$5015,$A56,Transaksi!$H$16:$H$5015,$B56,Transaksi!$I$16:$I$5015,$C56,Transaksi!$B$16:$B$5015,"&gt;="&amp;DATE(Dashboard!$C$4,5,1),Transaksi!$B$16:$B$5015,"&lt;="&amp;EOMONTH(DATE(Dashboard!$C$4,5,1),0)))</f>
        <v/>
      </c>
      <c r="I56" s="165">
        <f>IF($C56="","",SUMIFS(Transaksi!$F$16:$F$5015,Transaksi!$G$16:$G$5015,$A56,Transaksi!$H$16:$H$5015,$B56,Transaksi!$I$16:$I$5015,$C56,Transaksi!$B$16:$B$5015,"&gt;="&amp;DATE(Dashboard!$C$4,6,1),Transaksi!$B$16:$B$5015,"&lt;="&amp;EOMONTH(DATE(Dashboard!$C$4,6,1),0)))</f>
        <v/>
      </c>
      <c r="J56" s="165">
        <f>IF($C56="","",SUMIFS(Transaksi!$F$16:$F$5015,Transaksi!$G$16:$G$5015,$A56,Transaksi!$H$16:$H$5015,$B56,Transaksi!$I$16:$I$5015,$C56,Transaksi!$B$16:$B$5015,"&gt;="&amp;DATE(Dashboard!$C$4,7,1),Transaksi!$B$16:$B$5015,"&lt;="&amp;EOMONTH(DATE(Dashboard!$C$4,7,1),0)))</f>
        <v/>
      </c>
      <c r="K56" s="165">
        <f>IF($C56="","",SUMIFS(Transaksi!$F$16:$F$5015,Transaksi!$G$16:$G$5015,$A56,Transaksi!$H$16:$H$5015,$B56,Transaksi!$I$16:$I$5015,$C56,Transaksi!$B$16:$B$5015,"&gt;="&amp;DATE(Dashboard!$C$4,8,1),Transaksi!$B$16:$B$5015,"&lt;="&amp;EOMONTH(DATE(Dashboard!$C$4,8,1),0)))</f>
        <v/>
      </c>
      <c r="L56" s="165">
        <f>IF($C56="","",SUMIFS(Transaksi!$F$16:$F$5015,Transaksi!$G$16:$G$5015,$A56,Transaksi!$H$16:$H$5015,$B56,Transaksi!$I$16:$I$5015,$C56,Transaksi!$B$16:$B$5015,"&gt;="&amp;DATE(Dashboard!$C$4,9,1),Transaksi!$B$16:$B$5015,"&lt;="&amp;EOMONTH(DATE(Dashboard!$C$4,9,1),0)))</f>
        <v/>
      </c>
      <c r="M56" s="165">
        <f>IF($C56="","",SUMIFS(Transaksi!$F$16:$F$5015,Transaksi!$G$16:$G$5015,$A56,Transaksi!$H$16:$H$5015,$B56,Transaksi!$I$16:$I$5015,$C56,Transaksi!$B$16:$B$5015,"&gt;="&amp;DATE(Dashboard!$C$4,10,1),Transaksi!$B$16:$B$5015,"&lt;="&amp;EOMONTH(DATE(Dashboard!$C$4,10,1),0)))</f>
        <v/>
      </c>
      <c r="N56" s="165">
        <f>IF($C56="","",SUMIFS(Transaksi!$F$16:$F$5015,Transaksi!$G$16:$G$5015,$A56,Transaksi!$H$16:$H$5015,$B56,Transaksi!$I$16:$I$5015,$C56,Transaksi!$B$16:$B$5015,"&gt;="&amp;DATE(Dashboard!$C$4,11,1),Transaksi!$B$16:$B$5015,"&lt;="&amp;EOMONTH(DATE(Dashboard!$C$4,11,1),0)))</f>
        <v/>
      </c>
      <c r="O56" s="165">
        <f>IF($C56="","",SUMIFS(Transaksi!$F$16:$F$5015,Transaksi!$G$16:$G$5015,$A56,Transaksi!$H$16:$H$5015,$B56,Transaksi!$I$16:$I$5015,$C56,Transaksi!$B$16:$B$5015,"&gt;="&amp;DATE(Dashboard!$C$4,12,1),Transaksi!$B$16:$B$5015,"&lt;="&amp;EOMONTH(DATE(Dashboard!$C$4,12,1),0)))</f>
        <v/>
      </c>
      <c r="P56" s="166">
        <f>IF($C56="","",SUM(D56:O56))</f>
        <v/>
      </c>
    </row>
    <row r="57" ht="15" customHeight="1" s="94">
      <c r="A57" s="164">
        <f>IF(Kategori!C57="","",Kategori!A57)</f>
        <v/>
      </c>
      <c r="B57" s="164">
        <f>IF(Kategori!C57="","",Kategori!B57)</f>
        <v/>
      </c>
      <c r="C57" s="108">
        <f>IF(Kategori!C57="","",Kategori!C57)</f>
        <v/>
      </c>
      <c r="D57" s="165">
        <f>IF($C57="","",SUMIFS(Transaksi!$F$16:$F$5015,Transaksi!$G$16:$G$5015,$A57,Transaksi!$H$16:$H$5015,$B57,Transaksi!$I$16:$I$5015,$C57,Transaksi!$B$16:$B$5015,"&gt;="&amp;DATE(Dashboard!$C$4,1,1),Transaksi!$B$16:$B$5015,"&lt;="&amp;EOMONTH(DATE(Dashboard!$C$4,1,1),0)))</f>
        <v/>
      </c>
      <c r="E57" s="165">
        <f>IF($C57="","",SUMIFS(Transaksi!$F$16:$F$5015,Transaksi!$G$16:$G$5015,$A57,Transaksi!$H$16:$H$5015,$B57,Transaksi!$I$16:$I$5015,$C57,Transaksi!$B$16:$B$5015,"&gt;="&amp;DATE(Dashboard!$C$4,2,1),Transaksi!$B$16:$B$5015,"&lt;="&amp;EOMONTH(DATE(Dashboard!$C$4,2,1),0)))</f>
        <v/>
      </c>
      <c r="F57" s="165">
        <f>IF($C57="","",SUMIFS(Transaksi!$F$16:$F$5015,Transaksi!$G$16:$G$5015,$A57,Transaksi!$H$16:$H$5015,$B57,Transaksi!$I$16:$I$5015,$C57,Transaksi!$B$16:$B$5015,"&gt;="&amp;DATE(Dashboard!$C$4,3,1),Transaksi!$B$16:$B$5015,"&lt;="&amp;EOMONTH(DATE(Dashboard!$C$4,3,1),0)))</f>
        <v/>
      </c>
      <c r="G57" s="165">
        <f>IF($C57="","",SUMIFS(Transaksi!$F$16:$F$5015,Transaksi!$G$16:$G$5015,$A57,Transaksi!$H$16:$H$5015,$B57,Transaksi!$I$16:$I$5015,$C57,Transaksi!$B$16:$B$5015,"&gt;="&amp;DATE(Dashboard!$C$4,4,1),Transaksi!$B$16:$B$5015,"&lt;="&amp;EOMONTH(DATE(Dashboard!$C$4,4,1),0)))</f>
        <v/>
      </c>
      <c r="H57" s="165">
        <f>IF($C57="","",SUMIFS(Transaksi!$F$16:$F$5015,Transaksi!$G$16:$G$5015,$A57,Transaksi!$H$16:$H$5015,$B57,Transaksi!$I$16:$I$5015,$C57,Transaksi!$B$16:$B$5015,"&gt;="&amp;DATE(Dashboard!$C$4,5,1),Transaksi!$B$16:$B$5015,"&lt;="&amp;EOMONTH(DATE(Dashboard!$C$4,5,1),0)))</f>
        <v/>
      </c>
      <c r="I57" s="165">
        <f>IF($C57="","",SUMIFS(Transaksi!$F$16:$F$5015,Transaksi!$G$16:$G$5015,$A57,Transaksi!$H$16:$H$5015,$B57,Transaksi!$I$16:$I$5015,$C57,Transaksi!$B$16:$B$5015,"&gt;="&amp;DATE(Dashboard!$C$4,6,1),Transaksi!$B$16:$B$5015,"&lt;="&amp;EOMONTH(DATE(Dashboard!$C$4,6,1),0)))</f>
        <v/>
      </c>
      <c r="J57" s="165">
        <f>IF($C57="","",SUMIFS(Transaksi!$F$16:$F$5015,Transaksi!$G$16:$G$5015,$A57,Transaksi!$H$16:$H$5015,$B57,Transaksi!$I$16:$I$5015,$C57,Transaksi!$B$16:$B$5015,"&gt;="&amp;DATE(Dashboard!$C$4,7,1),Transaksi!$B$16:$B$5015,"&lt;="&amp;EOMONTH(DATE(Dashboard!$C$4,7,1),0)))</f>
        <v/>
      </c>
      <c r="K57" s="165">
        <f>IF($C57="","",SUMIFS(Transaksi!$F$16:$F$5015,Transaksi!$G$16:$G$5015,$A57,Transaksi!$H$16:$H$5015,$B57,Transaksi!$I$16:$I$5015,$C57,Transaksi!$B$16:$B$5015,"&gt;="&amp;DATE(Dashboard!$C$4,8,1),Transaksi!$B$16:$B$5015,"&lt;="&amp;EOMONTH(DATE(Dashboard!$C$4,8,1),0)))</f>
        <v/>
      </c>
      <c r="L57" s="165">
        <f>IF($C57="","",SUMIFS(Transaksi!$F$16:$F$5015,Transaksi!$G$16:$G$5015,$A57,Transaksi!$H$16:$H$5015,$B57,Transaksi!$I$16:$I$5015,$C57,Transaksi!$B$16:$B$5015,"&gt;="&amp;DATE(Dashboard!$C$4,9,1),Transaksi!$B$16:$B$5015,"&lt;="&amp;EOMONTH(DATE(Dashboard!$C$4,9,1),0)))</f>
        <v/>
      </c>
      <c r="M57" s="165">
        <f>IF($C57="","",SUMIFS(Transaksi!$F$16:$F$5015,Transaksi!$G$16:$G$5015,$A57,Transaksi!$H$16:$H$5015,$B57,Transaksi!$I$16:$I$5015,$C57,Transaksi!$B$16:$B$5015,"&gt;="&amp;DATE(Dashboard!$C$4,10,1),Transaksi!$B$16:$B$5015,"&lt;="&amp;EOMONTH(DATE(Dashboard!$C$4,10,1),0)))</f>
        <v/>
      </c>
      <c r="N57" s="165">
        <f>IF($C57="","",SUMIFS(Transaksi!$F$16:$F$5015,Transaksi!$G$16:$G$5015,$A57,Transaksi!$H$16:$H$5015,$B57,Transaksi!$I$16:$I$5015,$C57,Transaksi!$B$16:$B$5015,"&gt;="&amp;DATE(Dashboard!$C$4,11,1),Transaksi!$B$16:$B$5015,"&lt;="&amp;EOMONTH(DATE(Dashboard!$C$4,11,1),0)))</f>
        <v/>
      </c>
      <c r="O57" s="165">
        <f>IF($C57="","",SUMIFS(Transaksi!$F$16:$F$5015,Transaksi!$G$16:$G$5015,$A57,Transaksi!$H$16:$H$5015,$B57,Transaksi!$I$16:$I$5015,$C57,Transaksi!$B$16:$B$5015,"&gt;="&amp;DATE(Dashboard!$C$4,12,1),Transaksi!$B$16:$B$5015,"&lt;="&amp;EOMONTH(DATE(Dashboard!$C$4,12,1),0)))</f>
        <v/>
      </c>
      <c r="P57" s="166">
        <f>IF($C57="","",SUM(D57:O57))</f>
        <v/>
      </c>
    </row>
    <row r="58" ht="15" customHeight="1" s="94">
      <c r="A58" s="164">
        <f>IF(Kategori!C58="","",Kategori!A58)</f>
        <v/>
      </c>
      <c r="B58" s="164">
        <f>IF(Kategori!C58="","",Kategori!B58)</f>
        <v/>
      </c>
      <c r="C58" s="108">
        <f>IF(Kategori!C58="","",Kategori!C58)</f>
        <v/>
      </c>
      <c r="D58" s="165">
        <f>IF($C58="","",SUMIFS(Transaksi!$F$16:$F$5015,Transaksi!$G$16:$G$5015,$A58,Transaksi!$H$16:$H$5015,$B58,Transaksi!$I$16:$I$5015,$C58,Transaksi!$B$16:$B$5015,"&gt;="&amp;DATE(Dashboard!$C$4,1,1),Transaksi!$B$16:$B$5015,"&lt;="&amp;EOMONTH(DATE(Dashboard!$C$4,1,1),0)))</f>
        <v/>
      </c>
      <c r="E58" s="165">
        <f>IF($C58="","",SUMIFS(Transaksi!$F$16:$F$5015,Transaksi!$G$16:$G$5015,$A58,Transaksi!$H$16:$H$5015,$B58,Transaksi!$I$16:$I$5015,$C58,Transaksi!$B$16:$B$5015,"&gt;="&amp;DATE(Dashboard!$C$4,2,1),Transaksi!$B$16:$B$5015,"&lt;="&amp;EOMONTH(DATE(Dashboard!$C$4,2,1),0)))</f>
        <v/>
      </c>
      <c r="F58" s="165">
        <f>IF($C58="","",SUMIFS(Transaksi!$F$16:$F$5015,Transaksi!$G$16:$G$5015,$A58,Transaksi!$H$16:$H$5015,$B58,Transaksi!$I$16:$I$5015,$C58,Transaksi!$B$16:$B$5015,"&gt;="&amp;DATE(Dashboard!$C$4,3,1),Transaksi!$B$16:$B$5015,"&lt;="&amp;EOMONTH(DATE(Dashboard!$C$4,3,1),0)))</f>
        <v/>
      </c>
      <c r="G58" s="165">
        <f>IF($C58="","",SUMIFS(Transaksi!$F$16:$F$5015,Transaksi!$G$16:$G$5015,$A58,Transaksi!$H$16:$H$5015,$B58,Transaksi!$I$16:$I$5015,$C58,Transaksi!$B$16:$B$5015,"&gt;="&amp;DATE(Dashboard!$C$4,4,1),Transaksi!$B$16:$B$5015,"&lt;="&amp;EOMONTH(DATE(Dashboard!$C$4,4,1),0)))</f>
        <v/>
      </c>
      <c r="H58" s="165">
        <f>IF($C58="","",SUMIFS(Transaksi!$F$16:$F$5015,Transaksi!$G$16:$G$5015,$A58,Transaksi!$H$16:$H$5015,$B58,Transaksi!$I$16:$I$5015,$C58,Transaksi!$B$16:$B$5015,"&gt;="&amp;DATE(Dashboard!$C$4,5,1),Transaksi!$B$16:$B$5015,"&lt;="&amp;EOMONTH(DATE(Dashboard!$C$4,5,1),0)))</f>
        <v/>
      </c>
      <c r="I58" s="165">
        <f>IF($C58="","",SUMIFS(Transaksi!$F$16:$F$5015,Transaksi!$G$16:$G$5015,$A58,Transaksi!$H$16:$H$5015,$B58,Transaksi!$I$16:$I$5015,$C58,Transaksi!$B$16:$B$5015,"&gt;="&amp;DATE(Dashboard!$C$4,6,1),Transaksi!$B$16:$B$5015,"&lt;="&amp;EOMONTH(DATE(Dashboard!$C$4,6,1),0)))</f>
        <v/>
      </c>
      <c r="J58" s="165">
        <f>IF($C58="","",SUMIFS(Transaksi!$F$16:$F$5015,Transaksi!$G$16:$G$5015,$A58,Transaksi!$H$16:$H$5015,$B58,Transaksi!$I$16:$I$5015,$C58,Transaksi!$B$16:$B$5015,"&gt;="&amp;DATE(Dashboard!$C$4,7,1),Transaksi!$B$16:$B$5015,"&lt;="&amp;EOMONTH(DATE(Dashboard!$C$4,7,1),0)))</f>
        <v/>
      </c>
      <c r="K58" s="165">
        <f>IF($C58="","",SUMIFS(Transaksi!$F$16:$F$5015,Transaksi!$G$16:$G$5015,$A58,Transaksi!$H$16:$H$5015,$B58,Transaksi!$I$16:$I$5015,$C58,Transaksi!$B$16:$B$5015,"&gt;="&amp;DATE(Dashboard!$C$4,8,1),Transaksi!$B$16:$B$5015,"&lt;="&amp;EOMONTH(DATE(Dashboard!$C$4,8,1),0)))</f>
        <v/>
      </c>
      <c r="L58" s="165">
        <f>IF($C58="","",SUMIFS(Transaksi!$F$16:$F$5015,Transaksi!$G$16:$G$5015,$A58,Transaksi!$H$16:$H$5015,$B58,Transaksi!$I$16:$I$5015,$C58,Transaksi!$B$16:$B$5015,"&gt;="&amp;DATE(Dashboard!$C$4,9,1),Transaksi!$B$16:$B$5015,"&lt;="&amp;EOMONTH(DATE(Dashboard!$C$4,9,1),0)))</f>
        <v/>
      </c>
      <c r="M58" s="165">
        <f>IF($C58="","",SUMIFS(Transaksi!$F$16:$F$5015,Transaksi!$G$16:$G$5015,$A58,Transaksi!$H$16:$H$5015,$B58,Transaksi!$I$16:$I$5015,$C58,Transaksi!$B$16:$B$5015,"&gt;="&amp;DATE(Dashboard!$C$4,10,1),Transaksi!$B$16:$B$5015,"&lt;="&amp;EOMONTH(DATE(Dashboard!$C$4,10,1),0)))</f>
        <v/>
      </c>
      <c r="N58" s="165">
        <f>IF($C58="","",SUMIFS(Transaksi!$F$16:$F$5015,Transaksi!$G$16:$G$5015,$A58,Transaksi!$H$16:$H$5015,$B58,Transaksi!$I$16:$I$5015,$C58,Transaksi!$B$16:$B$5015,"&gt;="&amp;DATE(Dashboard!$C$4,11,1),Transaksi!$B$16:$B$5015,"&lt;="&amp;EOMONTH(DATE(Dashboard!$C$4,11,1),0)))</f>
        <v/>
      </c>
      <c r="O58" s="165">
        <f>IF($C58="","",SUMIFS(Transaksi!$F$16:$F$5015,Transaksi!$G$16:$G$5015,$A58,Transaksi!$H$16:$H$5015,$B58,Transaksi!$I$16:$I$5015,$C58,Transaksi!$B$16:$B$5015,"&gt;="&amp;DATE(Dashboard!$C$4,12,1),Transaksi!$B$16:$B$5015,"&lt;="&amp;EOMONTH(DATE(Dashboard!$C$4,12,1),0)))</f>
        <v/>
      </c>
      <c r="P58" s="166">
        <f>IF($C58="","",SUM(D58:O58))</f>
        <v/>
      </c>
    </row>
    <row r="59" ht="15" customHeight="1" s="94">
      <c r="A59" s="164">
        <f>IF(Kategori!C59="","",Kategori!A59)</f>
        <v/>
      </c>
      <c r="B59" s="164">
        <f>IF(Kategori!C59="","",Kategori!B59)</f>
        <v/>
      </c>
      <c r="C59" s="108">
        <f>IF(Kategori!C59="","",Kategori!C59)</f>
        <v/>
      </c>
      <c r="D59" s="165">
        <f>IF($C59="","",SUMIFS(Transaksi!$F$16:$F$5015,Transaksi!$G$16:$G$5015,$A59,Transaksi!$H$16:$H$5015,$B59,Transaksi!$I$16:$I$5015,$C59,Transaksi!$B$16:$B$5015,"&gt;="&amp;DATE(Dashboard!$C$4,1,1),Transaksi!$B$16:$B$5015,"&lt;="&amp;EOMONTH(DATE(Dashboard!$C$4,1,1),0)))</f>
        <v/>
      </c>
      <c r="E59" s="165">
        <f>IF($C59="","",SUMIFS(Transaksi!$F$16:$F$5015,Transaksi!$G$16:$G$5015,$A59,Transaksi!$H$16:$H$5015,$B59,Transaksi!$I$16:$I$5015,$C59,Transaksi!$B$16:$B$5015,"&gt;="&amp;DATE(Dashboard!$C$4,2,1),Transaksi!$B$16:$B$5015,"&lt;="&amp;EOMONTH(DATE(Dashboard!$C$4,2,1),0)))</f>
        <v/>
      </c>
      <c r="F59" s="165">
        <f>IF($C59="","",SUMIFS(Transaksi!$F$16:$F$5015,Transaksi!$G$16:$G$5015,$A59,Transaksi!$H$16:$H$5015,$B59,Transaksi!$I$16:$I$5015,$C59,Transaksi!$B$16:$B$5015,"&gt;="&amp;DATE(Dashboard!$C$4,3,1),Transaksi!$B$16:$B$5015,"&lt;="&amp;EOMONTH(DATE(Dashboard!$C$4,3,1),0)))</f>
        <v/>
      </c>
      <c r="G59" s="165">
        <f>IF($C59="","",SUMIFS(Transaksi!$F$16:$F$5015,Transaksi!$G$16:$G$5015,$A59,Transaksi!$H$16:$H$5015,$B59,Transaksi!$I$16:$I$5015,$C59,Transaksi!$B$16:$B$5015,"&gt;="&amp;DATE(Dashboard!$C$4,4,1),Transaksi!$B$16:$B$5015,"&lt;="&amp;EOMONTH(DATE(Dashboard!$C$4,4,1),0)))</f>
        <v/>
      </c>
      <c r="H59" s="165">
        <f>IF($C59="","",SUMIFS(Transaksi!$F$16:$F$5015,Transaksi!$G$16:$G$5015,$A59,Transaksi!$H$16:$H$5015,$B59,Transaksi!$I$16:$I$5015,$C59,Transaksi!$B$16:$B$5015,"&gt;="&amp;DATE(Dashboard!$C$4,5,1),Transaksi!$B$16:$B$5015,"&lt;="&amp;EOMONTH(DATE(Dashboard!$C$4,5,1),0)))</f>
        <v/>
      </c>
      <c r="I59" s="165">
        <f>IF($C59="","",SUMIFS(Transaksi!$F$16:$F$5015,Transaksi!$G$16:$G$5015,$A59,Transaksi!$H$16:$H$5015,$B59,Transaksi!$I$16:$I$5015,$C59,Transaksi!$B$16:$B$5015,"&gt;="&amp;DATE(Dashboard!$C$4,6,1),Transaksi!$B$16:$B$5015,"&lt;="&amp;EOMONTH(DATE(Dashboard!$C$4,6,1),0)))</f>
        <v/>
      </c>
      <c r="J59" s="165">
        <f>IF($C59="","",SUMIFS(Transaksi!$F$16:$F$5015,Transaksi!$G$16:$G$5015,$A59,Transaksi!$H$16:$H$5015,$B59,Transaksi!$I$16:$I$5015,$C59,Transaksi!$B$16:$B$5015,"&gt;="&amp;DATE(Dashboard!$C$4,7,1),Transaksi!$B$16:$B$5015,"&lt;="&amp;EOMONTH(DATE(Dashboard!$C$4,7,1),0)))</f>
        <v/>
      </c>
      <c r="K59" s="165">
        <f>IF($C59="","",SUMIFS(Transaksi!$F$16:$F$5015,Transaksi!$G$16:$G$5015,$A59,Transaksi!$H$16:$H$5015,$B59,Transaksi!$I$16:$I$5015,$C59,Transaksi!$B$16:$B$5015,"&gt;="&amp;DATE(Dashboard!$C$4,8,1),Transaksi!$B$16:$B$5015,"&lt;="&amp;EOMONTH(DATE(Dashboard!$C$4,8,1),0)))</f>
        <v/>
      </c>
      <c r="L59" s="165">
        <f>IF($C59="","",SUMIFS(Transaksi!$F$16:$F$5015,Transaksi!$G$16:$G$5015,$A59,Transaksi!$H$16:$H$5015,$B59,Transaksi!$I$16:$I$5015,$C59,Transaksi!$B$16:$B$5015,"&gt;="&amp;DATE(Dashboard!$C$4,9,1),Transaksi!$B$16:$B$5015,"&lt;="&amp;EOMONTH(DATE(Dashboard!$C$4,9,1),0)))</f>
        <v/>
      </c>
      <c r="M59" s="165">
        <f>IF($C59="","",SUMIFS(Transaksi!$F$16:$F$5015,Transaksi!$G$16:$G$5015,$A59,Transaksi!$H$16:$H$5015,$B59,Transaksi!$I$16:$I$5015,$C59,Transaksi!$B$16:$B$5015,"&gt;="&amp;DATE(Dashboard!$C$4,10,1),Transaksi!$B$16:$B$5015,"&lt;="&amp;EOMONTH(DATE(Dashboard!$C$4,10,1),0)))</f>
        <v/>
      </c>
      <c r="N59" s="165">
        <f>IF($C59="","",SUMIFS(Transaksi!$F$16:$F$5015,Transaksi!$G$16:$G$5015,$A59,Transaksi!$H$16:$H$5015,$B59,Transaksi!$I$16:$I$5015,$C59,Transaksi!$B$16:$B$5015,"&gt;="&amp;DATE(Dashboard!$C$4,11,1),Transaksi!$B$16:$B$5015,"&lt;="&amp;EOMONTH(DATE(Dashboard!$C$4,11,1),0)))</f>
        <v/>
      </c>
      <c r="O59" s="165">
        <f>IF($C59="","",SUMIFS(Transaksi!$F$16:$F$5015,Transaksi!$G$16:$G$5015,$A59,Transaksi!$H$16:$H$5015,$B59,Transaksi!$I$16:$I$5015,$C59,Transaksi!$B$16:$B$5015,"&gt;="&amp;DATE(Dashboard!$C$4,12,1),Transaksi!$B$16:$B$5015,"&lt;="&amp;EOMONTH(DATE(Dashboard!$C$4,12,1),0)))</f>
        <v/>
      </c>
      <c r="P59" s="166">
        <f>IF($C59="","",SUM(D59:O59))</f>
        <v/>
      </c>
    </row>
    <row r="60" ht="15" customHeight="1" s="94">
      <c r="A60" s="164">
        <f>IF(Kategori!C60="","",Kategori!A60)</f>
        <v/>
      </c>
      <c r="B60" s="164">
        <f>IF(Kategori!C60="","",Kategori!B60)</f>
        <v/>
      </c>
      <c r="C60" s="108">
        <f>IF(Kategori!C60="","",Kategori!C60)</f>
        <v/>
      </c>
      <c r="D60" s="165">
        <f>IF($C60="","",SUMIFS(Transaksi!$F$16:$F$5015,Transaksi!$G$16:$G$5015,$A60,Transaksi!$H$16:$H$5015,$B60,Transaksi!$I$16:$I$5015,$C60,Transaksi!$B$16:$B$5015,"&gt;="&amp;DATE(Dashboard!$C$4,1,1),Transaksi!$B$16:$B$5015,"&lt;="&amp;EOMONTH(DATE(Dashboard!$C$4,1,1),0)))</f>
        <v/>
      </c>
      <c r="E60" s="165">
        <f>IF($C60="","",SUMIFS(Transaksi!$F$16:$F$5015,Transaksi!$G$16:$G$5015,$A60,Transaksi!$H$16:$H$5015,$B60,Transaksi!$I$16:$I$5015,$C60,Transaksi!$B$16:$B$5015,"&gt;="&amp;DATE(Dashboard!$C$4,2,1),Transaksi!$B$16:$B$5015,"&lt;="&amp;EOMONTH(DATE(Dashboard!$C$4,2,1),0)))</f>
        <v/>
      </c>
      <c r="F60" s="165">
        <f>IF($C60="","",SUMIFS(Transaksi!$F$16:$F$5015,Transaksi!$G$16:$G$5015,$A60,Transaksi!$H$16:$H$5015,$B60,Transaksi!$I$16:$I$5015,$C60,Transaksi!$B$16:$B$5015,"&gt;="&amp;DATE(Dashboard!$C$4,3,1),Transaksi!$B$16:$B$5015,"&lt;="&amp;EOMONTH(DATE(Dashboard!$C$4,3,1),0)))</f>
        <v/>
      </c>
      <c r="G60" s="165">
        <f>IF($C60="","",SUMIFS(Transaksi!$F$16:$F$5015,Transaksi!$G$16:$G$5015,$A60,Transaksi!$H$16:$H$5015,$B60,Transaksi!$I$16:$I$5015,$C60,Transaksi!$B$16:$B$5015,"&gt;="&amp;DATE(Dashboard!$C$4,4,1),Transaksi!$B$16:$B$5015,"&lt;="&amp;EOMONTH(DATE(Dashboard!$C$4,4,1),0)))</f>
        <v/>
      </c>
      <c r="H60" s="165">
        <f>IF($C60="","",SUMIFS(Transaksi!$F$16:$F$5015,Transaksi!$G$16:$G$5015,$A60,Transaksi!$H$16:$H$5015,$B60,Transaksi!$I$16:$I$5015,$C60,Transaksi!$B$16:$B$5015,"&gt;="&amp;DATE(Dashboard!$C$4,5,1),Transaksi!$B$16:$B$5015,"&lt;="&amp;EOMONTH(DATE(Dashboard!$C$4,5,1),0)))</f>
        <v/>
      </c>
      <c r="I60" s="165">
        <f>IF($C60="","",SUMIFS(Transaksi!$F$16:$F$5015,Transaksi!$G$16:$G$5015,$A60,Transaksi!$H$16:$H$5015,$B60,Transaksi!$I$16:$I$5015,$C60,Transaksi!$B$16:$B$5015,"&gt;="&amp;DATE(Dashboard!$C$4,6,1),Transaksi!$B$16:$B$5015,"&lt;="&amp;EOMONTH(DATE(Dashboard!$C$4,6,1),0)))</f>
        <v/>
      </c>
      <c r="J60" s="165">
        <f>IF($C60="","",SUMIFS(Transaksi!$F$16:$F$5015,Transaksi!$G$16:$G$5015,$A60,Transaksi!$H$16:$H$5015,$B60,Transaksi!$I$16:$I$5015,$C60,Transaksi!$B$16:$B$5015,"&gt;="&amp;DATE(Dashboard!$C$4,7,1),Transaksi!$B$16:$B$5015,"&lt;="&amp;EOMONTH(DATE(Dashboard!$C$4,7,1),0)))</f>
        <v/>
      </c>
      <c r="K60" s="165">
        <f>IF($C60="","",SUMIFS(Transaksi!$F$16:$F$5015,Transaksi!$G$16:$G$5015,$A60,Transaksi!$H$16:$H$5015,$B60,Transaksi!$I$16:$I$5015,$C60,Transaksi!$B$16:$B$5015,"&gt;="&amp;DATE(Dashboard!$C$4,8,1),Transaksi!$B$16:$B$5015,"&lt;="&amp;EOMONTH(DATE(Dashboard!$C$4,8,1),0)))</f>
        <v/>
      </c>
      <c r="L60" s="165">
        <f>IF($C60="","",SUMIFS(Transaksi!$F$16:$F$5015,Transaksi!$G$16:$G$5015,$A60,Transaksi!$H$16:$H$5015,$B60,Transaksi!$I$16:$I$5015,$C60,Transaksi!$B$16:$B$5015,"&gt;="&amp;DATE(Dashboard!$C$4,9,1),Transaksi!$B$16:$B$5015,"&lt;="&amp;EOMONTH(DATE(Dashboard!$C$4,9,1),0)))</f>
        <v/>
      </c>
      <c r="M60" s="165">
        <f>IF($C60="","",SUMIFS(Transaksi!$F$16:$F$5015,Transaksi!$G$16:$G$5015,$A60,Transaksi!$H$16:$H$5015,$B60,Transaksi!$I$16:$I$5015,$C60,Transaksi!$B$16:$B$5015,"&gt;="&amp;DATE(Dashboard!$C$4,10,1),Transaksi!$B$16:$B$5015,"&lt;="&amp;EOMONTH(DATE(Dashboard!$C$4,10,1),0)))</f>
        <v/>
      </c>
      <c r="N60" s="165">
        <f>IF($C60="","",SUMIFS(Transaksi!$F$16:$F$5015,Transaksi!$G$16:$G$5015,$A60,Transaksi!$H$16:$H$5015,$B60,Transaksi!$I$16:$I$5015,$C60,Transaksi!$B$16:$B$5015,"&gt;="&amp;DATE(Dashboard!$C$4,11,1),Transaksi!$B$16:$B$5015,"&lt;="&amp;EOMONTH(DATE(Dashboard!$C$4,11,1),0)))</f>
        <v/>
      </c>
      <c r="O60" s="165">
        <f>IF($C60="","",SUMIFS(Transaksi!$F$16:$F$5015,Transaksi!$G$16:$G$5015,$A60,Transaksi!$H$16:$H$5015,$B60,Transaksi!$I$16:$I$5015,$C60,Transaksi!$B$16:$B$5015,"&gt;="&amp;DATE(Dashboard!$C$4,12,1),Transaksi!$B$16:$B$5015,"&lt;="&amp;EOMONTH(DATE(Dashboard!$C$4,12,1),0)))</f>
        <v/>
      </c>
      <c r="P60" s="166">
        <f>IF($C60="","",SUM(D60:O60))</f>
        <v/>
      </c>
    </row>
    <row r="61" ht="15" customHeight="1" s="94">
      <c r="A61" s="164">
        <f>IF(Kategori!C61="","",Kategori!A61)</f>
        <v/>
      </c>
      <c r="B61" s="164">
        <f>IF(Kategori!C61="","",Kategori!B61)</f>
        <v/>
      </c>
      <c r="C61" s="108">
        <f>IF(Kategori!C61="","",Kategori!C61)</f>
        <v/>
      </c>
      <c r="D61" s="165">
        <f>IF($C61="","",SUMIFS(Transaksi!$F$16:$F$5015,Transaksi!$G$16:$G$5015,$A61,Transaksi!$H$16:$H$5015,$B61,Transaksi!$I$16:$I$5015,$C61,Transaksi!$B$16:$B$5015,"&gt;="&amp;DATE(Dashboard!$C$4,1,1),Transaksi!$B$16:$B$5015,"&lt;="&amp;EOMONTH(DATE(Dashboard!$C$4,1,1),0)))</f>
        <v/>
      </c>
      <c r="E61" s="165">
        <f>IF($C61="","",SUMIFS(Transaksi!$F$16:$F$5015,Transaksi!$G$16:$G$5015,$A61,Transaksi!$H$16:$H$5015,$B61,Transaksi!$I$16:$I$5015,$C61,Transaksi!$B$16:$B$5015,"&gt;="&amp;DATE(Dashboard!$C$4,2,1),Transaksi!$B$16:$B$5015,"&lt;="&amp;EOMONTH(DATE(Dashboard!$C$4,2,1),0)))</f>
        <v/>
      </c>
      <c r="F61" s="165">
        <f>IF($C61="","",SUMIFS(Transaksi!$F$16:$F$5015,Transaksi!$G$16:$G$5015,$A61,Transaksi!$H$16:$H$5015,$B61,Transaksi!$I$16:$I$5015,$C61,Transaksi!$B$16:$B$5015,"&gt;="&amp;DATE(Dashboard!$C$4,3,1),Transaksi!$B$16:$B$5015,"&lt;="&amp;EOMONTH(DATE(Dashboard!$C$4,3,1),0)))</f>
        <v/>
      </c>
      <c r="G61" s="165">
        <f>IF($C61="","",SUMIFS(Transaksi!$F$16:$F$5015,Transaksi!$G$16:$G$5015,$A61,Transaksi!$H$16:$H$5015,$B61,Transaksi!$I$16:$I$5015,$C61,Transaksi!$B$16:$B$5015,"&gt;="&amp;DATE(Dashboard!$C$4,4,1),Transaksi!$B$16:$B$5015,"&lt;="&amp;EOMONTH(DATE(Dashboard!$C$4,4,1),0)))</f>
        <v/>
      </c>
      <c r="H61" s="165">
        <f>IF($C61="","",SUMIFS(Transaksi!$F$16:$F$5015,Transaksi!$G$16:$G$5015,$A61,Transaksi!$H$16:$H$5015,$B61,Transaksi!$I$16:$I$5015,$C61,Transaksi!$B$16:$B$5015,"&gt;="&amp;DATE(Dashboard!$C$4,5,1),Transaksi!$B$16:$B$5015,"&lt;="&amp;EOMONTH(DATE(Dashboard!$C$4,5,1),0)))</f>
        <v/>
      </c>
      <c r="I61" s="165">
        <f>IF($C61="","",SUMIFS(Transaksi!$F$16:$F$5015,Transaksi!$G$16:$G$5015,$A61,Transaksi!$H$16:$H$5015,$B61,Transaksi!$I$16:$I$5015,$C61,Transaksi!$B$16:$B$5015,"&gt;="&amp;DATE(Dashboard!$C$4,6,1),Transaksi!$B$16:$B$5015,"&lt;="&amp;EOMONTH(DATE(Dashboard!$C$4,6,1),0)))</f>
        <v/>
      </c>
      <c r="J61" s="165">
        <f>IF($C61="","",SUMIFS(Transaksi!$F$16:$F$5015,Transaksi!$G$16:$G$5015,$A61,Transaksi!$H$16:$H$5015,$B61,Transaksi!$I$16:$I$5015,$C61,Transaksi!$B$16:$B$5015,"&gt;="&amp;DATE(Dashboard!$C$4,7,1),Transaksi!$B$16:$B$5015,"&lt;="&amp;EOMONTH(DATE(Dashboard!$C$4,7,1),0)))</f>
        <v/>
      </c>
      <c r="K61" s="165">
        <f>IF($C61="","",SUMIFS(Transaksi!$F$16:$F$5015,Transaksi!$G$16:$G$5015,$A61,Transaksi!$H$16:$H$5015,$B61,Transaksi!$I$16:$I$5015,$C61,Transaksi!$B$16:$B$5015,"&gt;="&amp;DATE(Dashboard!$C$4,8,1),Transaksi!$B$16:$B$5015,"&lt;="&amp;EOMONTH(DATE(Dashboard!$C$4,8,1),0)))</f>
        <v/>
      </c>
      <c r="L61" s="165">
        <f>IF($C61="","",SUMIFS(Transaksi!$F$16:$F$5015,Transaksi!$G$16:$G$5015,$A61,Transaksi!$H$16:$H$5015,$B61,Transaksi!$I$16:$I$5015,$C61,Transaksi!$B$16:$B$5015,"&gt;="&amp;DATE(Dashboard!$C$4,9,1),Transaksi!$B$16:$B$5015,"&lt;="&amp;EOMONTH(DATE(Dashboard!$C$4,9,1),0)))</f>
        <v/>
      </c>
      <c r="M61" s="165">
        <f>IF($C61="","",SUMIFS(Transaksi!$F$16:$F$5015,Transaksi!$G$16:$G$5015,$A61,Transaksi!$H$16:$H$5015,$B61,Transaksi!$I$16:$I$5015,$C61,Transaksi!$B$16:$B$5015,"&gt;="&amp;DATE(Dashboard!$C$4,10,1),Transaksi!$B$16:$B$5015,"&lt;="&amp;EOMONTH(DATE(Dashboard!$C$4,10,1),0)))</f>
        <v/>
      </c>
      <c r="N61" s="165">
        <f>IF($C61="","",SUMIFS(Transaksi!$F$16:$F$5015,Transaksi!$G$16:$G$5015,$A61,Transaksi!$H$16:$H$5015,$B61,Transaksi!$I$16:$I$5015,$C61,Transaksi!$B$16:$B$5015,"&gt;="&amp;DATE(Dashboard!$C$4,11,1),Transaksi!$B$16:$B$5015,"&lt;="&amp;EOMONTH(DATE(Dashboard!$C$4,11,1),0)))</f>
        <v/>
      </c>
      <c r="O61" s="165">
        <f>IF($C61="","",SUMIFS(Transaksi!$F$16:$F$5015,Transaksi!$G$16:$G$5015,$A61,Transaksi!$H$16:$H$5015,$B61,Transaksi!$I$16:$I$5015,$C61,Transaksi!$B$16:$B$5015,"&gt;="&amp;DATE(Dashboard!$C$4,12,1),Transaksi!$B$16:$B$5015,"&lt;="&amp;EOMONTH(DATE(Dashboard!$C$4,12,1),0)))</f>
        <v/>
      </c>
      <c r="P61" s="166">
        <f>IF($C61="","",SUM(D61:O61))</f>
        <v/>
      </c>
    </row>
    <row r="62" ht="15" customHeight="1" s="94">
      <c r="A62" s="164">
        <f>IF(Kategori!C62="","",Kategori!A62)</f>
        <v/>
      </c>
      <c r="B62" s="164">
        <f>IF(Kategori!C62="","",Kategori!B62)</f>
        <v/>
      </c>
      <c r="C62" s="108">
        <f>IF(Kategori!C62="","",Kategori!C62)</f>
        <v/>
      </c>
      <c r="D62" s="165">
        <f>IF($C62="","",SUMIFS(Transaksi!$F$16:$F$5015,Transaksi!$G$16:$G$5015,$A62,Transaksi!$H$16:$H$5015,$B62,Transaksi!$I$16:$I$5015,$C62,Transaksi!$B$16:$B$5015,"&gt;="&amp;DATE(Dashboard!$C$4,1,1),Transaksi!$B$16:$B$5015,"&lt;="&amp;EOMONTH(DATE(Dashboard!$C$4,1,1),0)))</f>
        <v/>
      </c>
      <c r="E62" s="165">
        <f>IF($C62="","",SUMIFS(Transaksi!$F$16:$F$5015,Transaksi!$G$16:$G$5015,$A62,Transaksi!$H$16:$H$5015,$B62,Transaksi!$I$16:$I$5015,$C62,Transaksi!$B$16:$B$5015,"&gt;="&amp;DATE(Dashboard!$C$4,2,1),Transaksi!$B$16:$B$5015,"&lt;="&amp;EOMONTH(DATE(Dashboard!$C$4,2,1),0)))</f>
        <v/>
      </c>
      <c r="F62" s="165">
        <f>IF($C62="","",SUMIFS(Transaksi!$F$16:$F$5015,Transaksi!$G$16:$G$5015,$A62,Transaksi!$H$16:$H$5015,$B62,Transaksi!$I$16:$I$5015,$C62,Transaksi!$B$16:$B$5015,"&gt;="&amp;DATE(Dashboard!$C$4,3,1),Transaksi!$B$16:$B$5015,"&lt;="&amp;EOMONTH(DATE(Dashboard!$C$4,3,1),0)))</f>
        <v/>
      </c>
      <c r="G62" s="165">
        <f>IF($C62="","",SUMIFS(Transaksi!$F$16:$F$5015,Transaksi!$G$16:$G$5015,$A62,Transaksi!$H$16:$H$5015,$B62,Transaksi!$I$16:$I$5015,$C62,Transaksi!$B$16:$B$5015,"&gt;="&amp;DATE(Dashboard!$C$4,4,1),Transaksi!$B$16:$B$5015,"&lt;="&amp;EOMONTH(DATE(Dashboard!$C$4,4,1),0)))</f>
        <v/>
      </c>
      <c r="H62" s="165">
        <f>IF($C62="","",SUMIFS(Transaksi!$F$16:$F$5015,Transaksi!$G$16:$G$5015,$A62,Transaksi!$H$16:$H$5015,$B62,Transaksi!$I$16:$I$5015,$C62,Transaksi!$B$16:$B$5015,"&gt;="&amp;DATE(Dashboard!$C$4,5,1),Transaksi!$B$16:$B$5015,"&lt;="&amp;EOMONTH(DATE(Dashboard!$C$4,5,1),0)))</f>
        <v/>
      </c>
      <c r="I62" s="165">
        <f>IF($C62="","",SUMIFS(Transaksi!$F$16:$F$5015,Transaksi!$G$16:$G$5015,$A62,Transaksi!$H$16:$H$5015,$B62,Transaksi!$I$16:$I$5015,$C62,Transaksi!$B$16:$B$5015,"&gt;="&amp;DATE(Dashboard!$C$4,6,1),Transaksi!$B$16:$B$5015,"&lt;="&amp;EOMONTH(DATE(Dashboard!$C$4,6,1),0)))</f>
        <v/>
      </c>
      <c r="J62" s="165">
        <f>IF($C62="","",SUMIFS(Transaksi!$F$16:$F$5015,Transaksi!$G$16:$G$5015,$A62,Transaksi!$H$16:$H$5015,$B62,Transaksi!$I$16:$I$5015,$C62,Transaksi!$B$16:$B$5015,"&gt;="&amp;DATE(Dashboard!$C$4,7,1),Transaksi!$B$16:$B$5015,"&lt;="&amp;EOMONTH(DATE(Dashboard!$C$4,7,1),0)))</f>
        <v/>
      </c>
      <c r="K62" s="165">
        <f>IF($C62="","",SUMIFS(Transaksi!$F$16:$F$5015,Transaksi!$G$16:$G$5015,$A62,Transaksi!$H$16:$H$5015,$B62,Transaksi!$I$16:$I$5015,$C62,Transaksi!$B$16:$B$5015,"&gt;="&amp;DATE(Dashboard!$C$4,8,1),Transaksi!$B$16:$B$5015,"&lt;="&amp;EOMONTH(DATE(Dashboard!$C$4,8,1),0)))</f>
        <v/>
      </c>
      <c r="L62" s="165">
        <f>IF($C62="","",SUMIFS(Transaksi!$F$16:$F$5015,Transaksi!$G$16:$G$5015,$A62,Transaksi!$H$16:$H$5015,$B62,Transaksi!$I$16:$I$5015,$C62,Transaksi!$B$16:$B$5015,"&gt;="&amp;DATE(Dashboard!$C$4,9,1),Transaksi!$B$16:$B$5015,"&lt;="&amp;EOMONTH(DATE(Dashboard!$C$4,9,1),0)))</f>
        <v/>
      </c>
      <c r="M62" s="165">
        <f>IF($C62="","",SUMIFS(Transaksi!$F$16:$F$5015,Transaksi!$G$16:$G$5015,$A62,Transaksi!$H$16:$H$5015,$B62,Transaksi!$I$16:$I$5015,$C62,Transaksi!$B$16:$B$5015,"&gt;="&amp;DATE(Dashboard!$C$4,10,1),Transaksi!$B$16:$B$5015,"&lt;="&amp;EOMONTH(DATE(Dashboard!$C$4,10,1),0)))</f>
        <v/>
      </c>
      <c r="N62" s="165">
        <f>IF($C62="","",SUMIFS(Transaksi!$F$16:$F$5015,Transaksi!$G$16:$G$5015,$A62,Transaksi!$H$16:$H$5015,$B62,Transaksi!$I$16:$I$5015,$C62,Transaksi!$B$16:$B$5015,"&gt;="&amp;DATE(Dashboard!$C$4,11,1),Transaksi!$B$16:$B$5015,"&lt;="&amp;EOMONTH(DATE(Dashboard!$C$4,11,1),0)))</f>
        <v/>
      </c>
      <c r="O62" s="165">
        <f>IF($C62="","",SUMIFS(Transaksi!$F$16:$F$5015,Transaksi!$G$16:$G$5015,$A62,Transaksi!$H$16:$H$5015,$B62,Transaksi!$I$16:$I$5015,$C62,Transaksi!$B$16:$B$5015,"&gt;="&amp;DATE(Dashboard!$C$4,12,1),Transaksi!$B$16:$B$5015,"&lt;="&amp;EOMONTH(DATE(Dashboard!$C$4,12,1),0)))</f>
        <v/>
      </c>
      <c r="P62" s="166">
        <f>IF($C62="","",SUM(D62:O62))</f>
        <v/>
      </c>
    </row>
    <row r="63" ht="15" customHeight="1" s="94">
      <c r="A63" s="164">
        <f>IF(Kategori!C63="","",Kategori!A63)</f>
        <v/>
      </c>
      <c r="B63" s="164">
        <f>IF(Kategori!C63="","",Kategori!B63)</f>
        <v/>
      </c>
      <c r="C63" s="108">
        <f>IF(Kategori!C63="","",Kategori!C63)</f>
        <v/>
      </c>
      <c r="D63" s="165">
        <f>IF($C63="","",SUMIFS(Transaksi!$F$16:$F$5015,Transaksi!$G$16:$G$5015,$A63,Transaksi!$H$16:$H$5015,$B63,Transaksi!$I$16:$I$5015,$C63,Transaksi!$B$16:$B$5015,"&gt;="&amp;DATE(Dashboard!$C$4,1,1),Transaksi!$B$16:$B$5015,"&lt;="&amp;EOMONTH(DATE(Dashboard!$C$4,1,1),0)))</f>
        <v/>
      </c>
      <c r="E63" s="165">
        <f>IF($C63="","",SUMIFS(Transaksi!$F$16:$F$5015,Transaksi!$G$16:$G$5015,$A63,Transaksi!$H$16:$H$5015,$B63,Transaksi!$I$16:$I$5015,$C63,Transaksi!$B$16:$B$5015,"&gt;="&amp;DATE(Dashboard!$C$4,2,1),Transaksi!$B$16:$B$5015,"&lt;="&amp;EOMONTH(DATE(Dashboard!$C$4,2,1),0)))</f>
        <v/>
      </c>
      <c r="F63" s="165">
        <f>IF($C63="","",SUMIFS(Transaksi!$F$16:$F$5015,Transaksi!$G$16:$G$5015,$A63,Transaksi!$H$16:$H$5015,$B63,Transaksi!$I$16:$I$5015,$C63,Transaksi!$B$16:$B$5015,"&gt;="&amp;DATE(Dashboard!$C$4,3,1),Transaksi!$B$16:$B$5015,"&lt;="&amp;EOMONTH(DATE(Dashboard!$C$4,3,1),0)))</f>
        <v/>
      </c>
      <c r="G63" s="165">
        <f>IF($C63="","",SUMIFS(Transaksi!$F$16:$F$5015,Transaksi!$G$16:$G$5015,$A63,Transaksi!$H$16:$H$5015,$B63,Transaksi!$I$16:$I$5015,$C63,Transaksi!$B$16:$B$5015,"&gt;="&amp;DATE(Dashboard!$C$4,4,1),Transaksi!$B$16:$B$5015,"&lt;="&amp;EOMONTH(DATE(Dashboard!$C$4,4,1),0)))</f>
        <v/>
      </c>
      <c r="H63" s="165">
        <f>IF($C63="","",SUMIFS(Transaksi!$F$16:$F$5015,Transaksi!$G$16:$G$5015,$A63,Transaksi!$H$16:$H$5015,$B63,Transaksi!$I$16:$I$5015,$C63,Transaksi!$B$16:$B$5015,"&gt;="&amp;DATE(Dashboard!$C$4,5,1),Transaksi!$B$16:$B$5015,"&lt;="&amp;EOMONTH(DATE(Dashboard!$C$4,5,1),0)))</f>
        <v/>
      </c>
      <c r="I63" s="165">
        <f>IF($C63="","",SUMIFS(Transaksi!$F$16:$F$5015,Transaksi!$G$16:$G$5015,$A63,Transaksi!$H$16:$H$5015,$B63,Transaksi!$I$16:$I$5015,$C63,Transaksi!$B$16:$B$5015,"&gt;="&amp;DATE(Dashboard!$C$4,6,1),Transaksi!$B$16:$B$5015,"&lt;="&amp;EOMONTH(DATE(Dashboard!$C$4,6,1),0)))</f>
        <v/>
      </c>
      <c r="J63" s="165">
        <f>IF($C63="","",SUMIFS(Transaksi!$F$16:$F$5015,Transaksi!$G$16:$G$5015,$A63,Transaksi!$H$16:$H$5015,$B63,Transaksi!$I$16:$I$5015,$C63,Transaksi!$B$16:$B$5015,"&gt;="&amp;DATE(Dashboard!$C$4,7,1),Transaksi!$B$16:$B$5015,"&lt;="&amp;EOMONTH(DATE(Dashboard!$C$4,7,1),0)))</f>
        <v/>
      </c>
      <c r="K63" s="165">
        <f>IF($C63="","",SUMIFS(Transaksi!$F$16:$F$5015,Transaksi!$G$16:$G$5015,$A63,Transaksi!$H$16:$H$5015,$B63,Transaksi!$I$16:$I$5015,$C63,Transaksi!$B$16:$B$5015,"&gt;="&amp;DATE(Dashboard!$C$4,8,1),Transaksi!$B$16:$B$5015,"&lt;="&amp;EOMONTH(DATE(Dashboard!$C$4,8,1),0)))</f>
        <v/>
      </c>
      <c r="L63" s="165">
        <f>IF($C63="","",SUMIFS(Transaksi!$F$16:$F$5015,Transaksi!$G$16:$G$5015,$A63,Transaksi!$H$16:$H$5015,$B63,Transaksi!$I$16:$I$5015,$C63,Transaksi!$B$16:$B$5015,"&gt;="&amp;DATE(Dashboard!$C$4,9,1),Transaksi!$B$16:$B$5015,"&lt;="&amp;EOMONTH(DATE(Dashboard!$C$4,9,1),0)))</f>
        <v/>
      </c>
      <c r="M63" s="165">
        <f>IF($C63="","",SUMIFS(Transaksi!$F$16:$F$5015,Transaksi!$G$16:$G$5015,$A63,Transaksi!$H$16:$H$5015,$B63,Transaksi!$I$16:$I$5015,$C63,Transaksi!$B$16:$B$5015,"&gt;="&amp;DATE(Dashboard!$C$4,10,1),Transaksi!$B$16:$B$5015,"&lt;="&amp;EOMONTH(DATE(Dashboard!$C$4,10,1),0)))</f>
        <v/>
      </c>
      <c r="N63" s="165">
        <f>IF($C63="","",SUMIFS(Transaksi!$F$16:$F$5015,Transaksi!$G$16:$G$5015,$A63,Transaksi!$H$16:$H$5015,$B63,Transaksi!$I$16:$I$5015,$C63,Transaksi!$B$16:$B$5015,"&gt;="&amp;DATE(Dashboard!$C$4,11,1),Transaksi!$B$16:$B$5015,"&lt;="&amp;EOMONTH(DATE(Dashboard!$C$4,11,1),0)))</f>
        <v/>
      </c>
      <c r="O63" s="165">
        <f>IF($C63="","",SUMIFS(Transaksi!$F$16:$F$5015,Transaksi!$G$16:$G$5015,$A63,Transaksi!$H$16:$H$5015,$B63,Transaksi!$I$16:$I$5015,$C63,Transaksi!$B$16:$B$5015,"&gt;="&amp;DATE(Dashboard!$C$4,12,1),Transaksi!$B$16:$B$5015,"&lt;="&amp;EOMONTH(DATE(Dashboard!$C$4,12,1),0)))</f>
        <v/>
      </c>
      <c r="P63" s="166">
        <f>IF($C63="","",SUM(D63:O63))</f>
        <v/>
      </c>
    </row>
    <row r="64" ht="15" customHeight="1" s="94">
      <c r="A64" s="164">
        <f>IF(Kategori!C64="","",Kategori!A64)</f>
        <v/>
      </c>
      <c r="B64" s="164">
        <f>IF(Kategori!C64="","",Kategori!B64)</f>
        <v/>
      </c>
      <c r="C64" s="108">
        <f>IF(Kategori!C64="","",Kategori!C64)</f>
        <v/>
      </c>
      <c r="D64" s="165">
        <f>IF($C64="","",SUMIFS(Transaksi!$F$16:$F$5015,Transaksi!$G$16:$G$5015,$A64,Transaksi!$H$16:$H$5015,$B64,Transaksi!$I$16:$I$5015,$C64,Transaksi!$B$16:$B$5015,"&gt;="&amp;DATE(Dashboard!$C$4,1,1),Transaksi!$B$16:$B$5015,"&lt;="&amp;EOMONTH(DATE(Dashboard!$C$4,1,1),0)))</f>
        <v/>
      </c>
      <c r="E64" s="165">
        <f>IF($C64="","",SUMIFS(Transaksi!$F$16:$F$5015,Transaksi!$G$16:$G$5015,$A64,Transaksi!$H$16:$H$5015,$B64,Transaksi!$I$16:$I$5015,$C64,Transaksi!$B$16:$B$5015,"&gt;="&amp;DATE(Dashboard!$C$4,2,1),Transaksi!$B$16:$B$5015,"&lt;="&amp;EOMONTH(DATE(Dashboard!$C$4,2,1),0)))</f>
        <v/>
      </c>
      <c r="F64" s="165">
        <f>IF($C64="","",SUMIFS(Transaksi!$F$16:$F$5015,Transaksi!$G$16:$G$5015,$A64,Transaksi!$H$16:$H$5015,$B64,Transaksi!$I$16:$I$5015,$C64,Transaksi!$B$16:$B$5015,"&gt;="&amp;DATE(Dashboard!$C$4,3,1),Transaksi!$B$16:$B$5015,"&lt;="&amp;EOMONTH(DATE(Dashboard!$C$4,3,1),0)))</f>
        <v/>
      </c>
      <c r="G64" s="165">
        <f>IF($C64="","",SUMIFS(Transaksi!$F$16:$F$5015,Transaksi!$G$16:$G$5015,$A64,Transaksi!$H$16:$H$5015,$B64,Transaksi!$I$16:$I$5015,$C64,Transaksi!$B$16:$B$5015,"&gt;="&amp;DATE(Dashboard!$C$4,4,1),Transaksi!$B$16:$B$5015,"&lt;="&amp;EOMONTH(DATE(Dashboard!$C$4,4,1),0)))</f>
        <v/>
      </c>
      <c r="H64" s="165">
        <f>IF($C64="","",SUMIFS(Transaksi!$F$16:$F$5015,Transaksi!$G$16:$G$5015,$A64,Transaksi!$H$16:$H$5015,$B64,Transaksi!$I$16:$I$5015,$C64,Transaksi!$B$16:$B$5015,"&gt;="&amp;DATE(Dashboard!$C$4,5,1),Transaksi!$B$16:$B$5015,"&lt;="&amp;EOMONTH(DATE(Dashboard!$C$4,5,1),0)))</f>
        <v/>
      </c>
      <c r="I64" s="165">
        <f>IF($C64="","",SUMIFS(Transaksi!$F$16:$F$5015,Transaksi!$G$16:$G$5015,$A64,Transaksi!$H$16:$H$5015,$B64,Transaksi!$I$16:$I$5015,$C64,Transaksi!$B$16:$B$5015,"&gt;="&amp;DATE(Dashboard!$C$4,6,1),Transaksi!$B$16:$B$5015,"&lt;="&amp;EOMONTH(DATE(Dashboard!$C$4,6,1),0)))</f>
        <v/>
      </c>
      <c r="J64" s="165">
        <f>IF($C64="","",SUMIFS(Transaksi!$F$16:$F$5015,Transaksi!$G$16:$G$5015,$A64,Transaksi!$H$16:$H$5015,$B64,Transaksi!$I$16:$I$5015,$C64,Transaksi!$B$16:$B$5015,"&gt;="&amp;DATE(Dashboard!$C$4,7,1),Transaksi!$B$16:$B$5015,"&lt;="&amp;EOMONTH(DATE(Dashboard!$C$4,7,1),0)))</f>
        <v/>
      </c>
      <c r="K64" s="165">
        <f>IF($C64="","",SUMIFS(Transaksi!$F$16:$F$5015,Transaksi!$G$16:$G$5015,$A64,Transaksi!$H$16:$H$5015,$B64,Transaksi!$I$16:$I$5015,$C64,Transaksi!$B$16:$B$5015,"&gt;="&amp;DATE(Dashboard!$C$4,8,1),Transaksi!$B$16:$B$5015,"&lt;="&amp;EOMONTH(DATE(Dashboard!$C$4,8,1),0)))</f>
        <v/>
      </c>
      <c r="L64" s="165">
        <f>IF($C64="","",SUMIFS(Transaksi!$F$16:$F$5015,Transaksi!$G$16:$G$5015,$A64,Transaksi!$H$16:$H$5015,$B64,Transaksi!$I$16:$I$5015,$C64,Transaksi!$B$16:$B$5015,"&gt;="&amp;DATE(Dashboard!$C$4,9,1),Transaksi!$B$16:$B$5015,"&lt;="&amp;EOMONTH(DATE(Dashboard!$C$4,9,1),0)))</f>
        <v/>
      </c>
      <c r="M64" s="165">
        <f>IF($C64="","",SUMIFS(Transaksi!$F$16:$F$5015,Transaksi!$G$16:$G$5015,$A64,Transaksi!$H$16:$H$5015,$B64,Transaksi!$I$16:$I$5015,$C64,Transaksi!$B$16:$B$5015,"&gt;="&amp;DATE(Dashboard!$C$4,10,1),Transaksi!$B$16:$B$5015,"&lt;="&amp;EOMONTH(DATE(Dashboard!$C$4,10,1),0)))</f>
        <v/>
      </c>
      <c r="N64" s="165">
        <f>IF($C64="","",SUMIFS(Transaksi!$F$16:$F$5015,Transaksi!$G$16:$G$5015,$A64,Transaksi!$H$16:$H$5015,$B64,Transaksi!$I$16:$I$5015,$C64,Transaksi!$B$16:$B$5015,"&gt;="&amp;DATE(Dashboard!$C$4,11,1),Transaksi!$B$16:$B$5015,"&lt;="&amp;EOMONTH(DATE(Dashboard!$C$4,11,1),0)))</f>
        <v/>
      </c>
      <c r="O64" s="165">
        <f>IF($C64="","",SUMIFS(Transaksi!$F$16:$F$5015,Transaksi!$G$16:$G$5015,$A64,Transaksi!$H$16:$H$5015,$B64,Transaksi!$I$16:$I$5015,$C64,Transaksi!$B$16:$B$5015,"&gt;="&amp;DATE(Dashboard!$C$4,12,1),Transaksi!$B$16:$B$5015,"&lt;="&amp;EOMONTH(DATE(Dashboard!$C$4,12,1),0)))</f>
        <v/>
      </c>
      <c r="P64" s="166">
        <f>IF($C64="","",SUM(D64:O64))</f>
        <v/>
      </c>
    </row>
    <row r="65" ht="15" customHeight="1" s="94">
      <c r="A65" s="164">
        <f>IF(Kategori!C65="","",Kategori!A65)</f>
        <v/>
      </c>
      <c r="B65" s="164">
        <f>IF(Kategori!C65="","",Kategori!B65)</f>
        <v/>
      </c>
      <c r="C65" s="108">
        <f>IF(Kategori!C65="","",Kategori!C65)</f>
        <v/>
      </c>
      <c r="D65" s="165">
        <f>IF($C65="","",SUMIFS(Transaksi!$F$16:$F$5015,Transaksi!$G$16:$G$5015,$A65,Transaksi!$H$16:$H$5015,$B65,Transaksi!$I$16:$I$5015,$C65,Transaksi!$B$16:$B$5015,"&gt;="&amp;DATE(Dashboard!$C$4,1,1),Transaksi!$B$16:$B$5015,"&lt;="&amp;EOMONTH(DATE(Dashboard!$C$4,1,1),0)))</f>
        <v/>
      </c>
      <c r="E65" s="165">
        <f>IF($C65="","",SUMIFS(Transaksi!$F$16:$F$5015,Transaksi!$G$16:$G$5015,$A65,Transaksi!$H$16:$H$5015,$B65,Transaksi!$I$16:$I$5015,$C65,Transaksi!$B$16:$B$5015,"&gt;="&amp;DATE(Dashboard!$C$4,2,1),Transaksi!$B$16:$B$5015,"&lt;="&amp;EOMONTH(DATE(Dashboard!$C$4,2,1),0)))</f>
        <v/>
      </c>
      <c r="F65" s="165">
        <f>IF($C65="","",SUMIFS(Transaksi!$F$16:$F$5015,Transaksi!$G$16:$G$5015,$A65,Transaksi!$H$16:$H$5015,$B65,Transaksi!$I$16:$I$5015,$C65,Transaksi!$B$16:$B$5015,"&gt;="&amp;DATE(Dashboard!$C$4,3,1),Transaksi!$B$16:$B$5015,"&lt;="&amp;EOMONTH(DATE(Dashboard!$C$4,3,1),0)))</f>
        <v/>
      </c>
      <c r="G65" s="165">
        <f>IF($C65="","",SUMIFS(Transaksi!$F$16:$F$5015,Transaksi!$G$16:$G$5015,$A65,Transaksi!$H$16:$H$5015,$B65,Transaksi!$I$16:$I$5015,$C65,Transaksi!$B$16:$B$5015,"&gt;="&amp;DATE(Dashboard!$C$4,4,1),Transaksi!$B$16:$B$5015,"&lt;="&amp;EOMONTH(DATE(Dashboard!$C$4,4,1),0)))</f>
        <v/>
      </c>
      <c r="H65" s="165">
        <f>IF($C65="","",SUMIFS(Transaksi!$F$16:$F$5015,Transaksi!$G$16:$G$5015,$A65,Transaksi!$H$16:$H$5015,$B65,Transaksi!$I$16:$I$5015,$C65,Transaksi!$B$16:$B$5015,"&gt;="&amp;DATE(Dashboard!$C$4,5,1),Transaksi!$B$16:$B$5015,"&lt;="&amp;EOMONTH(DATE(Dashboard!$C$4,5,1),0)))</f>
        <v/>
      </c>
      <c r="I65" s="165">
        <f>IF($C65="","",SUMIFS(Transaksi!$F$16:$F$5015,Transaksi!$G$16:$G$5015,$A65,Transaksi!$H$16:$H$5015,$B65,Transaksi!$I$16:$I$5015,$C65,Transaksi!$B$16:$B$5015,"&gt;="&amp;DATE(Dashboard!$C$4,6,1),Transaksi!$B$16:$B$5015,"&lt;="&amp;EOMONTH(DATE(Dashboard!$C$4,6,1),0)))</f>
        <v/>
      </c>
      <c r="J65" s="165">
        <f>IF($C65="","",SUMIFS(Transaksi!$F$16:$F$5015,Transaksi!$G$16:$G$5015,$A65,Transaksi!$H$16:$H$5015,$B65,Transaksi!$I$16:$I$5015,$C65,Transaksi!$B$16:$B$5015,"&gt;="&amp;DATE(Dashboard!$C$4,7,1),Transaksi!$B$16:$B$5015,"&lt;="&amp;EOMONTH(DATE(Dashboard!$C$4,7,1),0)))</f>
        <v/>
      </c>
      <c r="K65" s="165">
        <f>IF($C65="","",SUMIFS(Transaksi!$F$16:$F$5015,Transaksi!$G$16:$G$5015,$A65,Transaksi!$H$16:$H$5015,$B65,Transaksi!$I$16:$I$5015,$C65,Transaksi!$B$16:$B$5015,"&gt;="&amp;DATE(Dashboard!$C$4,8,1),Transaksi!$B$16:$B$5015,"&lt;="&amp;EOMONTH(DATE(Dashboard!$C$4,8,1),0)))</f>
        <v/>
      </c>
      <c r="L65" s="165">
        <f>IF($C65="","",SUMIFS(Transaksi!$F$16:$F$5015,Transaksi!$G$16:$G$5015,$A65,Transaksi!$H$16:$H$5015,$B65,Transaksi!$I$16:$I$5015,$C65,Transaksi!$B$16:$B$5015,"&gt;="&amp;DATE(Dashboard!$C$4,9,1),Transaksi!$B$16:$B$5015,"&lt;="&amp;EOMONTH(DATE(Dashboard!$C$4,9,1),0)))</f>
        <v/>
      </c>
      <c r="M65" s="165">
        <f>IF($C65="","",SUMIFS(Transaksi!$F$16:$F$5015,Transaksi!$G$16:$G$5015,$A65,Transaksi!$H$16:$H$5015,$B65,Transaksi!$I$16:$I$5015,$C65,Transaksi!$B$16:$B$5015,"&gt;="&amp;DATE(Dashboard!$C$4,10,1),Transaksi!$B$16:$B$5015,"&lt;="&amp;EOMONTH(DATE(Dashboard!$C$4,10,1),0)))</f>
        <v/>
      </c>
      <c r="N65" s="165">
        <f>IF($C65="","",SUMIFS(Transaksi!$F$16:$F$5015,Transaksi!$G$16:$G$5015,$A65,Transaksi!$H$16:$H$5015,$B65,Transaksi!$I$16:$I$5015,$C65,Transaksi!$B$16:$B$5015,"&gt;="&amp;DATE(Dashboard!$C$4,11,1),Transaksi!$B$16:$B$5015,"&lt;="&amp;EOMONTH(DATE(Dashboard!$C$4,11,1),0)))</f>
        <v/>
      </c>
      <c r="O65" s="165">
        <f>IF($C65="","",SUMIFS(Transaksi!$F$16:$F$5015,Transaksi!$G$16:$G$5015,$A65,Transaksi!$H$16:$H$5015,$B65,Transaksi!$I$16:$I$5015,$C65,Transaksi!$B$16:$B$5015,"&gt;="&amp;DATE(Dashboard!$C$4,12,1),Transaksi!$B$16:$B$5015,"&lt;="&amp;EOMONTH(DATE(Dashboard!$C$4,12,1),0)))</f>
        <v/>
      </c>
      <c r="P65" s="166">
        <f>IF($C65="","",SUM(D65:O65))</f>
        <v/>
      </c>
    </row>
    <row r="66" ht="15" customHeight="1" s="94">
      <c r="A66" s="164">
        <f>IF(Kategori!C66="","",Kategori!A66)</f>
        <v/>
      </c>
      <c r="B66" s="164">
        <f>IF(Kategori!C66="","",Kategori!B66)</f>
        <v/>
      </c>
      <c r="C66" s="108">
        <f>IF(Kategori!C66="","",Kategori!C66)</f>
        <v/>
      </c>
      <c r="D66" s="165">
        <f>IF($C66="","",SUMIFS(Transaksi!$F$16:$F$5015,Transaksi!$G$16:$G$5015,$A66,Transaksi!$H$16:$H$5015,$B66,Transaksi!$I$16:$I$5015,$C66,Transaksi!$B$16:$B$5015,"&gt;="&amp;DATE(Dashboard!$C$4,1,1),Transaksi!$B$16:$B$5015,"&lt;="&amp;EOMONTH(DATE(Dashboard!$C$4,1,1),0)))</f>
        <v/>
      </c>
      <c r="E66" s="165">
        <f>IF($C66="","",SUMIFS(Transaksi!$F$16:$F$5015,Transaksi!$G$16:$G$5015,$A66,Transaksi!$H$16:$H$5015,$B66,Transaksi!$I$16:$I$5015,$C66,Transaksi!$B$16:$B$5015,"&gt;="&amp;DATE(Dashboard!$C$4,2,1),Transaksi!$B$16:$B$5015,"&lt;="&amp;EOMONTH(DATE(Dashboard!$C$4,2,1),0)))</f>
        <v/>
      </c>
      <c r="F66" s="165">
        <f>IF($C66="","",SUMIFS(Transaksi!$F$16:$F$5015,Transaksi!$G$16:$G$5015,$A66,Transaksi!$H$16:$H$5015,$B66,Transaksi!$I$16:$I$5015,$C66,Transaksi!$B$16:$B$5015,"&gt;="&amp;DATE(Dashboard!$C$4,3,1),Transaksi!$B$16:$B$5015,"&lt;="&amp;EOMONTH(DATE(Dashboard!$C$4,3,1),0)))</f>
        <v/>
      </c>
      <c r="G66" s="165">
        <f>IF($C66="","",SUMIFS(Transaksi!$F$16:$F$5015,Transaksi!$G$16:$G$5015,$A66,Transaksi!$H$16:$H$5015,$B66,Transaksi!$I$16:$I$5015,$C66,Transaksi!$B$16:$B$5015,"&gt;="&amp;DATE(Dashboard!$C$4,4,1),Transaksi!$B$16:$B$5015,"&lt;="&amp;EOMONTH(DATE(Dashboard!$C$4,4,1),0)))</f>
        <v/>
      </c>
      <c r="H66" s="165">
        <f>IF($C66="","",SUMIFS(Transaksi!$F$16:$F$5015,Transaksi!$G$16:$G$5015,$A66,Transaksi!$H$16:$H$5015,$B66,Transaksi!$I$16:$I$5015,$C66,Transaksi!$B$16:$B$5015,"&gt;="&amp;DATE(Dashboard!$C$4,5,1),Transaksi!$B$16:$B$5015,"&lt;="&amp;EOMONTH(DATE(Dashboard!$C$4,5,1),0)))</f>
        <v/>
      </c>
      <c r="I66" s="165">
        <f>IF($C66="","",SUMIFS(Transaksi!$F$16:$F$5015,Transaksi!$G$16:$G$5015,$A66,Transaksi!$H$16:$H$5015,$B66,Transaksi!$I$16:$I$5015,$C66,Transaksi!$B$16:$B$5015,"&gt;="&amp;DATE(Dashboard!$C$4,6,1),Transaksi!$B$16:$B$5015,"&lt;="&amp;EOMONTH(DATE(Dashboard!$C$4,6,1),0)))</f>
        <v/>
      </c>
      <c r="J66" s="165">
        <f>IF($C66="","",SUMIFS(Transaksi!$F$16:$F$5015,Transaksi!$G$16:$G$5015,$A66,Transaksi!$H$16:$H$5015,$B66,Transaksi!$I$16:$I$5015,$C66,Transaksi!$B$16:$B$5015,"&gt;="&amp;DATE(Dashboard!$C$4,7,1),Transaksi!$B$16:$B$5015,"&lt;="&amp;EOMONTH(DATE(Dashboard!$C$4,7,1),0)))</f>
        <v/>
      </c>
      <c r="K66" s="165">
        <f>IF($C66="","",SUMIFS(Transaksi!$F$16:$F$5015,Transaksi!$G$16:$G$5015,$A66,Transaksi!$H$16:$H$5015,$B66,Transaksi!$I$16:$I$5015,$C66,Transaksi!$B$16:$B$5015,"&gt;="&amp;DATE(Dashboard!$C$4,8,1),Transaksi!$B$16:$B$5015,"&lt;="&amp;EOMONTH(DATE(Dashboard!$C$4,8,1),0)))</f>
        <v/>
      </c>
      <c r="L66" s="165">
        <f>IF($C66="","",SUMIFS(Transaksi!$F$16:$F$5015,Transaksi!$G$16:$G$5015,$A66,Transaksi!$H$16:$H$5015,$B66,Transaksi!$I$16:$I$5015,$C66,Transaksi!$B$16:$B$5015,"&gt;="&amp;DATE(Dashboard!$C$4,9,1),Transaksi!$B$16:$B$5015,"&lt;="&amp;EOMONTH(DATE(Dashboard!$C$4,9,1),0)))</f>
        <v/>
      </c>
      <c r="M66" s="165">
        <f>IF($C66="","",SUMIFS(Transaksi!$F$16:$F$5015,Transaksi!$G$16:$G$5015,$A66,Transaksi!$H$16:$H$5015,$B66,Transaksi!$I$16:$I$5015,$C66,Transaksi!$B$16:$B$5015,"&gt;="&amp;DATE(Dashboard!$C$4,10,1),Transaksi!$B$16:$B$5015,"&lt;="&amp;EOMONTH(DATE(Dashboard!$C$4,10,1),0)))</f>
        <v/>
      </c>
      <c r="N66" s="165">
        <f>IF($C66="","",SUMIFS(Transaksi!$F$16:$F$5015,Transaksi!$G$16:$G$5015,$A66,Transaksi!$H$16:$H$5015,$B66,Transaksi!$I$16:$I$5015,$C66,Transaksi!$B$16:$B$5015,"&gt;="&amp;DATE(Dashboard!$C$4,11,1),Transaksi!$B$16:$B$5015,"&lt;="&amp;EOMONTH(DATE(Dashboard!$C$4,11,1),0)))</f>
        <v/>
      </c>
      <c r="O66" s="165">
        <f>IF($C66="","",SUMIFS(Transaksi!$F$16:$F$5015,Transaksi!$G$16:$G$5015,$A66,Transaksi!$H$16:$H$5015,$B66,Transaksi!$I$16:$I$5015,$C66,Transaksi!$B$16:$B$5015,"&gt;="&amp;DATE(Dashboard!$C$4,12,1),Transaksi!$B$16:$B$5015,"&lt;="&amp;EOMONTH(DATE(Dashboard!$C$4,12,1),0)))</f>
        <v/>
      </c>
      <c r="P66" s="166">
        <f>IF($C66="","",SUM(D66:O66))</f>
        <v/>
      </c>
    </row>
    <row r="67" ht="15" customHeight="1" s="94">
      <c r="A67" s="164">
        <f>IF(Kategori!C67="","",Kategori!A67)</f>
        <v/>
      </c>
      <c r="B67" s="164">
        <f>IF(Kategori!C67="","",Kategori!B67)</f>
        <v/>
      </c>
      <c r="C67" s="108">
        <f>IF(Kategori!C67="","",Kategori!C67)</f>
        <v/>
      </c>
      <c r="D67" s="165">
        <f>IF($C67="","",SUMIFS(Transaksi!$F$16:$F$5015,Transaksi!$G$16:$G$5015,$A67,Transaksi!$H$16:$H$5015,$B67,Transaksi!$I$16:$I$5015,$C67,Transaksi!$B$16:$B$5015,"&gt;="&amp;DATE(Dashboard!$C$4,1,1),Transaksi!$B$16:$B$5015,"&lt;="&amp;EOMONTH(DATE(Dashboard!$C$4,1,1),0)))</f>
        <v/>
      </c>
      <c r="E67" s="165">
        <f>IF($C67="","",SUMIFS(Transaksi!$F$16:$F$5015,Transaksi!$G$16:$G$5015,$A67,Transaksi!$H$16:$H$5015,$B67,Transaksi!$I$16:$I$5015,$C67,Transaksi!$B$16:$B$5015,"&gt;="&amp;DATE(Dashboard!$C$4,2,1),Transaksi!$B$16:$B$5015,"&lt;="&amp;EOMONTH(DATE(Dashboard!$C$4,2,1),0)))</f>
        <v/>
      </c>
      <c r="F67" s="165">
        <f>IF($C67="","",SUMIFS(Transaksi!$F$16:$F$5015,Transaksi!$G$16:$G$5015,$A67,Transaksi!$H$16:$H$5015,$B67,Transaksi!$I$16:$I$5015,$C67,Transaksi!$B$16:$B$5015,"&gt;="&amp;DATE(Dashboard!$C$4,3,1),Transaksi!$B$16:$B$5015,"&lt;="&amp;EOMONTH(DATE(Dashboard!$C$4,3,1),0)))</f>
        <v/>
      </c>
      <c r="G67" s="165">
        <f>IF($C67="","",SUMIFS(Transaksi!$F$16:$F$5015,Transaksi!$G$16:$G$5015,$A67,Transaksi!$H$16:$H$5015,$B67,Transaksi!$I$16:$I$5015,$C67,Transaksi!$B$16:$B$5015,"&gt;="&amp;DATE(Dashboard!$C$4,4,1),Transaksi!$B$16:$B$5015,"&lt;="&amp;EOMONTH(DATE(Dashboard!$C$4,4,1),0)))</f>
        <v/>
      </c>
      <c r="H67" s="165">
        <f>IF($C67="","",SUMIFS(Transaksi!$F$16:$F$5015,Transaksi!$G$16:$G$5015,$A67,Transaksi!$H$16:$H$5015,$B67,Transaksi!$I$16:$I$5015,$C67,Transaksi!$B$16:$B$5015,"&gt;="&amp;DATE(Dashboard!$C$4,5,1),Transaksi!$B$16:$B$5015,"&lt;="&amp;EOMONTH(DATE(Dashboard!$C$4,5,1),0)))</f>
        <v/>
      </c>
      <c r="I67" s="165">
        <f>IF($C67="","",SUMIFS(Transaksi!$F$16:$F$5015,Transaksi!$G$16:$G$5015,$A67,Transaksi!$H$16:$H$5015,$B67,Transaksi!$I$16:$I$5015,$C67,Transaksi!$B$16:$B$5015,"&gt;="&amp;DATE(Dashboard!$C$4,6,1),Transaksi!$B$16:$B$5015,"&lt;="&amp;EOMONTH(DATE(Dashboard!$C$4,6,1),0)))</f>
        <v/>
      </c>
      <c r="J67" s="165">
        <f>IF($C67="","",SUMIFS(Transaksi!$F$16:$F$5015,Transaksi!$G$16:$G$5015,$A67,Transaksi!$H$16:$H$5015,$B67,Transaksi!$I$16:$I$5015,$C67,Transaksi!$B$16:$B$5015,"&gt;="&amp;DATE(Dashboard!$C$4,7,1),Transaksi!$B$16:$B$5015,"&lt;="&amp;EOMONTH(DATE(Dashboard!$C$4,7,1),0)))</f>
        <v/>
      </c>
      <c r="K67" s="165">
        <f>IF($C67="","",SUMIFS(Transaksi!$F$16:$F$5015,Transaksi!$G$16:$G$5015,$A67,Transaksi!$H$16:$H$5015,$B67,Transaksi!$I$16:$I$5015,$C67,Transaksi!$B$16:$B$5015,"&gt;="&amp;DATE(Dashboard!$C$4,8,1),Transaksi!$B$16:$B$5015,"&lt;="&amp;EOMONTH(DATE(Dashboard!$C$4,8,1),0)))</f>
        <v/>
      </c>
      <c r="L67" s="165">
        <f>IF($C67="","",SUMIFS(Transaksi!$F$16:$F$5015,Transaksi!$G$16:$G$5015,$A67,Transaksi!$H$16:$H$5015,$B67,Transaksi!$I$16:$I$5015,$C67,Transaksi!$B$16:$B$5015,"&gt;="&amp;DATE(Dashboard!$C$4,9,1),Transaksi!$B$16:$B$5015,"&lt;="&amp;EOMONTH(DATE(Dashboard!$C$4,9,1),0)))</f>
        <v/>
      </c>
      <c r="M67" s="165">
        <f>IF($C67="","",SUMIFS(Transaksi!$F$16:$F$5015,Transaksi!$G$16:$G$5015,$A67,Transaksi!$H$16:$H$5015,$B67,Transaksi!$I$16:$I$5015,$C67,Transaksi!$B$16:$B$5015,"&gt;="&amp;DATE(Dashboard!$C$4,10,1),Transaksi!$B$16:$B$5015,"&lt;="&amp;EOMONTH(DATE(Dashboard!$C$4,10,1),0)))</f>
        <v/>
      </c>
      <c r="N67" s="165">
        <f>IF($C67="","",SUMIFS(Transaksi!$F$16:$F$5015,Transaksi!$G$16:$G$5015,$A67,Transaksi!$H$16:$H$5015,$B67,Transaksi!$I$16:$I$5015,$C67,Transaksi!$B$16:$B$5015,"&gt;="&amp;DATE(Dashboard!$C$4,11,1),Transaksi!$B$16:$B$5015,"&lt;="&amp;EOMONTH(DATE(Dashboard!$C$4,11,1),0)))</f>
        <v/>
      </c>
      <c r="O67" s="165">
        <f>IF($C67="","",SUMIFS(Transaksi!$F$16:$F$5015,Transaksi!$G$16:$G$5015,$A67,Transaksi!$H$16:$H$5015,$B67,Transaksi!$I$16:$I$5015,$C67,Transaksi!$B$16:$B$5015,"&gt;="&amp;DATE(Dashboard!$C$4,12,1),Transaksi!$B$16:$B$5015,"&lt;="&amp;EOMONTH(DATE(Dashboard!$C$4,12,1),0)))</f>
        <v/>
      </c>
      <c r="P67" s="166">
        <f>IF($C67="","",SUM(D67:O67))</f>
        <v/>
      </c>
    </row>
    <row r="68" ht="15" customHeight="1" s="94">
      <c r="A68" s="164">
        <f>IF(Kategori!C68="","",Kategori!A68)</f>
        <v/>
      </c>
      <c r="B68" s="164">
        <f>IF(Kategori!C68="","",Kategori!B68)</f>
        <v/>
      </c>
      <c r="C68" s="108">
        <f>IF(Kategori!C68="","",Kategori!C68)</f>
        <v/>
      </c>
      <c r="D68" s="165">
        <f>IF($C68="","",SUMIFS(Transaksi!$F$16:$F$5015,Transaksi!$G$16:$G$5015,$A68,Transaksi!$H$16:$H$5015,$B68,Transaksi!$I$16:$I$5015,$C68,Transaksi!$B$16:$B$5015,"&gt;="&amp;DATE(Dashboard!$C$4,1,1),Transaksi!$B$16:$B$5015,"&lt;="&amp;EOMONTH(DATE(Dashboard!$C$4,1,1),0)))</f>
        <v/>
      </c>
      <c r="E68" s="165">
        <f>IF($C68="","",SUMIFS(Transaksi!$F$16:$F$5015,Transaksi!$G$16:$G$5015,$A68,Transaksi!$H$16:$H$5015,$B68,Transaksi!$I$16:$I$5015,$C68,Transaksi!$B$16:$B$5015,"&gt;="&amp;DATE(Dashboard!$C$4,2,1),Transaksi!$B$16:$B$5015,"&lt;="&amp;EOMONTH(DATE(Dashboard!$C$4,2,1),0)))</f>
        <v/>
      </c>
      <c r="F68" s="165">
        <f>IF($C68="","",SUMIFS(Transaksi!$F$16:$F$5015,Transaksi!$G$16:$G$5015,$A68,Transaksi!$H$16:$H$5015,$B68,Transaksi!$I$16:$I$5015,$C68,Transaksi!$B$16:$B$5015,"&gt;="&amp;DATE(Dashboard!$C$4,3,1),Transaksi!$B$16:$B$5015,"&lt;="&amp;EOMONTH(DATE(Dashboard!$C$4,3,1),0)))</f>
        <v/>
      </c>
      <c r="G68" s="165">
        <f>IF($C68="","",SUMIFS(Transaksi!$F$16:$F$5015,Transaksi!$G$16:$G$5015,$A68,Transaksi!$H$16:$H$5015,$B68,Transaksi!$I$16:$I$5015,$C68,Transaksi!$B$16:$B$5015,"&gt;="&amp;DATE(Dashboard!$C$4,4,1),Transaksi!$B$16:$B$5015,"&lt;="&amp;EOMONTH(DATE(Dashboard!$C$4,4,1),0)))</f>
        <v/>
      </c>
      <c r="H68" s="165">
        <f>IF($C68="","",SUMIFS(Transaksi!$F$16:$F$5015,Transaksi!$G$16:$G$5015,$A68,Transaksi!$H$16:$H$5015,$B68,Transaksi!$I$16:$I$5015,$C68,Transaksi!$B$16:$B$5015,"&gt;="&amp;DATE(Dashboard!$C$4,5,1),Transaksi!$B$16:$B$5015,"&lt;="&amp;EOMONTH(DATE(Dashboard!$C$4,5,1),0)))</f>
        <v/>
      </c>
      <c r="I68" s="165">
        <f>IF($C68="","",SUMIFS(Transaksi!$F$16:$F$5015,Transaksi!$G$16:$G$5015,$A68,Transaksi!$H$16:$H$5015,$B68,Transaksi!$I$16:$I$5015,$C68,Transaksi!$B$16:$B$5015,"&gt;="&amp;DATE(Dashboard!$C$4,6,1),Transaksi!$B$16:$B$5015,"&lt;="&amp;EOMONTH(DATE(Dashboard!$C$4,6,1),0)))</f>
        <v/>
      </c>
      <c r="J68" s="165">
        <f>IF($C68="","",SUMIFS(Transaksi!$F$16:$F$5015,Transaksi!$G$16:$G$5015,$A68,Transaksi!$H$16:$H$5015,$B68,Transaksi!$I$16:$I$5015,$C68,Transaksi!$B$16:$B$5015,"&gt;="&amp;DATE(Dashboard!$C$4,7,1),Transaksi!$B$16:$B$5015,"&lt;="&amp;EOMONTH(DATE(Dashboard!$C$4,7,1),0)))</f>
        <v/>
      </c>
      <c r="K68" s="165">
        <f>IF($C68="","",SUMIFS(Transaksi!$F$16:$F$5015,Transaksi!$G$16:$G$5015,$A68,Transaksi!$H$16:$H$5015,$B68,Transaksi!$I$16:$I$5015,$C68,Transaksi!$B$16:$B$5015,"&gt;="&amp;DATE(Dashboard!$C$4,8,1),Transaksi!$B$16:$B$5015,"&lt;="&amp;EOMONTH(DATE(Dashboard!$C$4,8,1),0)))</f>
        <v/>
      </c>
      <c r="L68" s="165">
        <f>IF($C68="","",SUMIFS(Transaksi!$F$16:$F$5015,Transaksi!$G$16:$G$5015,$A68,Transaksi!$H$16:$H$5015,$B68,Transaksi!$I$16:$I$5015,$C68,Transaksi!$B$16:$B$5015,"&gt;="&amp;DATE(Dashboard!$C$4,9,1),Transaksi!$B$16:$B$5015,"&lt;="&amp;EOMONTH(DATE(Dashboard!$C$4,9,1),0)))</f>
        <v/>
      </c>
      <c r="M68" s="165">
        <f>IF($C68="","",SUMIFS(Transaksi!$F$16:$F$5015,Transaksi!$G$16:$G$5015,$A68,Transaksi!$H$16:$H$5015,$B68,Transaksi!$I$16:$I$5015,$C68,Transaksi!$B$16:$B$5015,"&gt;="&amp;DATE(Dashboard!$C$4,10,1),Transaksi!$B$16:$B$5015,"&lt;="&amp;EOMONTH(DATE(Dashboard!$C$4,10,1),0)))</f>
        <v/>
      </c>
      <c r="N68" s="165">
        <f>IF($C68="","",SUMIFS(Transaksi!$F$16:$F$5015,Transaksi!$G$16:$G$5015,$A68,Transaksi!$H$16:$H$5015,$B68,Transaksi!$I$16:$I$5015,$C68,Transaksi!$B$16:$B$5015,"&gt;="&amp;DATE(Dashboard!$C$4,11,1),Transaksi!$B$16:$B$5015,"&lt;="&amp;EOMONTH(DATE(Dashboard!$C$4,11,1),0)))</f>
        <v/>
      </c>
      <c r="O68" s="165">
        <f>IF($C68="","",SUMIFS(Transaksi!$F$16:$F$5015,Transaksi!$G$16:$G$5015,$A68,Transaksi!$H$16:$H$5015,$B68,Transaksi!$I$16:$I$5015,$C68,Transaksi!$B$16:$B$5015,"&gt;="&amp;DATE(Dashboard!$C$4,12,1),Transaksi!$B$16:$B$5015,"&lt;="&amp;EOMONTH(DATE(Dashboard!$C$4,12,1),0)))</f>
        <v/>
      </c>
      <c r="P68" s="166">
        <f>IF($C68="","",SUM(D68:O68))</f>
        <v/>
      </c>
    </row>
    <row r="69" ht="15" customHeight="1" s="94">
      <c r="A69" s="164">
        <f>IF(Kategori!C69="","",Kategori!A69)</f>
        <v/>
      </c>
      <c r="B69" s="164">
        <f>IF(Kategori!C69="","",Kategori!B69)</f>
        <v/>
      </c>
      <c r="C69" s="108">
        <f>IF(Kategori!C69="","",Kategori!C69)</f>
        <v/>
      </c>
      <c r="D69" s="165">
        <f>IF($C69="","",SUMIFS(Transaksi!$F$16:$F$5015,Transaksi!$G$16:$G$5015,$A69,Transaksi!$H$16:$H$5015,$B69,Transaksi!$I$16:$I$5015,$C69,Transaksi!$B$16:$B$5015,"&gt;="&amp;DATE(Dashboard!$C$4,1,1),Transaksi!$B$16:$B$5015,"&lt;="&amp;EOMONTH(DATE(Dashboard!$C$4,1,1),0)))</f>
        <v/>
      </c>
      <c r="E69" s="165">
        <f>IF($C69="","",SUMIFS(Transaksi!$F$16:$F$5015,Transaksi!$G$16:$G$5015,$A69,Transaksi!$H$16:$H$5015,$B69,Transaksi!$I$16:$I$5015,$C69,Transaksi!$B$16:$B$5015,"&gt;="&amp;DATE(Dashboard!$C$4,2,1),Transaksi!$B$16:$B$5015,"&lt;="&amp;EOMONTH(DATE(Dashboard!$C$4,2,1),0)))</f>
        <v/>
      </c>
      <c r="F69" s="165">
        <f>IF($C69="","",SUMIFS(Transaksi!$F$16:$F$5015,Transaksi!$G$16:$G$5015,$A69,Transaksi!$H$16:$H$5015,$B69,Transaksi!$I$16:$I$5015,$C69,Transaksi!$B$16:$B$5015,"&gt;="&amp;DATE(Dashboard!$C$4,3,1),Transaksi!$B$16:$B$5015,"&lt;="&amp;EOMONTH(DATE(Dashboard!$C$4,3,1),0)))</f>
        <v/>
      </c>
      <c r="G69" s="165">
        <f>IF($C69="","",SUMIFS(Transaksi!$F$16:$F$5015,Transaksi!$G$16:$G$5015,$A69,Transaksi!$H$16:$H$5015,$B69,Transaksi!$I$16:$I$5015,$C69,Transaksi!$B$16:$B$5015,"&gt;="&amp;DATE(Dashboard!$C$4,4,1),Transaksi!$B$16:$B$5015,"&lt;="&amp;EOMONTH(DATE(Dashboard!$C$4,4,1),0)))</f>
        <v/>
      </c>
      <c r="H69" s="165">
        <f>IF($C69="","",SUMIFS(Transaksi!$F$16:$F$5015,Transaksi!$G$16:$G$5015,$A69,Transaksi!$H$16:$H$5015,$B69,Transaksi!$I$16:$I$5015,$C69,Transaksi!$B$16:$B$5015,"&gt;="&amp;DATE(Dashboard!$C$4,5,1),Transaksi!$B$16:$B$5015,"&lt;="&amp;EOMONTH(DATE(Dashboard!$C$4,5,1),0)))</f>
        <v/>
      </c>
      <c r="I69" s="165">
        <f>IF($C69="","",SUMIFS(Transaksi!$F$16:$F$5015,Transaksi!$G$16:$G$5015,$A69,Transaksi!$H$16:$H$5015,$B69,Transaksi!$I$16:$I$5015,$C69,Transaksi!$B$16:$B$5015,"&gt;="&amp;DATE(Dashboard!$C$4,6,1),Transaksi!$B$16:$B$5015,"&lt;="&amp;EOMONTH(DATE(Dashboard!$C$4,6,1),0)))</f>
        <v/>
      </c>
      <c r="J69" s="165">
        <f>IF($C69="","",SUMIFS(Transaksi!$F$16:$F$5015,Transaksi!$G$16:$G$5015,$A69,Transaksi!$H$16:$H$5015,$B69,Transaksi!$I$16:$I$5015,$C69,Transaksi!$B$16:$B$5015,"&gt;="&amp;DATE(Dashboard!$C$4,7,1),Transaksi!$B$16:$B$5015,"&lt;="&amp;EOMONTH(DATE(Dashboard!$C$4,7,1),0)))</f>
        <v/>
      </c>
      <c r="K69" s="165">
        <f>IF($C69="","",SUMIFS(Transaksi!$F$16:$F$5015,Transaksi!$G$16:$G$5015,$A69,Transaksi!$H$16:$H$5015,$B69,Transaksi!$I$16:$I$5015,$C69,Transaksi!$B$16:$B$5015,"&gt;="&amp;DATE(Dashboard!$C$4,8,1),Transaksi!$B$16:$B$5015,"&lt;="&amp;EOMONTH(DATE(Dashboard!$C$4,8,1),0)))</f>
        <v/>
      </c>
      <c r="L69" s="165">
        <f>IF($C69="","",SUMIFS(Transaksi!$F$16:$F$5015,Transaksi!$G$16:$G$5015,$A69,Transaksi!$H$16:$H$5015,$B69,Transaksi!$I$16:$I$5015,$C69,Transaksi!$B$16:$B$5015,"&gt;="&amp;DATE(Dashboard!$C$4,9,1),Transaksi!$B$16:$B$5015,"&lt;="&amp;EOMONTH(DATE(Dashboard!$C$4,9,1),0)))</f>
        <v/>
      </c>
      <c r="M69" s="165">
        <f>IF($C69="","",SUMIFS(Transaksi!$F$16:$F$5015,Transaksi!$G$16:$G$5015,$A69,Transaksi!$H$16:$H$5015,$B69,Transaksi!$I$16:$I$5015,$C69,Transaksi!$B$16:$B$5015,"&gt;="&amp;DATE(Dashboard!$C$4,10,1),Transaksi!$B$16:$B$5015,"&lt;="&amp;EOMONTH(DATE(Dashboard!$C$4,10,1),0)))</f>
        <v/>
      </c>
      <c r="N69" s="165">
        <f>IF($C69="","",SUMIFS(Transaksi!$F$16:$F$5015,Transaksi!$G$16:$G$5015,$A69,Transaksi!$H$16:$H$5015,$B69,Transaksi!$I$16:$I$5015,$C69,Transaksi!$B$16:$B$5015,"&gt;="&amp;DATE(Dashboard!$C$4,11,1),Transaksi!$B$16:$B$5015,"&lt;="&amp;EOMONTH(DATE(Dashboard!$C$4,11,1),0)))</f>
        <v/>
      </c>
      <c r="O69" s="165">
        <f>IF($C69="","",SUMIFS(Transaksi!$F$16:$F$5015,Transaksi!$G$16:$G$5015,$A69,Transaksi!$H$16:$H$5015,$B69,Transaksi!$I$16:$I$5015,$C69,Transaksi!$B$16:$B$5015,"&gt;="&amp;DATE(Dashboard!$C$4,12,1),Transaksi!$B$16:$B$5015,"&lt;="&amp;EOMONTH(DATE(Dashboard!$C$4,12,1),0)))</f>
        <v/>
      </c>
      <c r="P69" s="166">
        <f>IF($C69="","",SUM(D69:O69))</f>
        <v/>
      </c>
    </row>
    <row r="70" ht="15" customHeight="1" s="94">
      <c r="A70" s="164">
        <f>IF(Kategori!C70="","",Kategori!A70)</f>
        <v/>
      </c>
      <c r="B70" s="164">
        <f>IF(Kategori!C70="","",Kategori!B70)</f>
        <v/>
      </c>
      <c r="C70" s="108">
        <f>IF(Kategori!C70="","",Kategori!C70)</f>
        <v/>
      </c>
      <c r="D70" s="165">
        <f>IF($C70="","",SUMIFS(Transaksi!$F$16:$F$5015,Transaksi!$G$16:$G$5015,$A70,Transaksi!$H$16:$H$5015,$B70,Transaksi!$I$16:$I$5015,$C70,Transaksi!$B$16:$B$5015,"&gt;="&amp;DATE(Dashboard!$C$4,1,1),Transaksi!$B$16:$B$5015,"&lt;="&amp;EOMONTH(DATE(Dashboard!$C$4,1,1),0)))</f>
        <v/>
      </c>
      <c r="E70" s="165">
        <f>IF($C70="","",SUMIFS(Transaksi!$F$16:$F$5015,Transaksi!$G$16:$G$5015,$A70,Transaksi!$H$16:$H$5015,$B70,Transaksi!$I$16:$I$5015,$C70,Transaksi!$B$16:$B$5015,"&gt;="&amp;DATE(Dashboard!$C$4,2,1),Transaksi!$B$16:$B$5015,"&lt;="&amp;EOMONTH(DATE(Dashboard!$C$4,2,1),0)))</f>
        <v/>
      </c>
      <c r="F70" s="165">
        <f>IF($C70="","",SUMIFS(Transaksi!$F$16:$F$5015,Transaksi!$G$16:$G$5015,$A70,Transaksi!$H$16:$H$5015,$B70,Transaksi!$I$16:$I$5015,$C70,Transaksi!$B$16:$B$5015,"&gt;="&amp;DATE(Dashboard!$C$4,3,1),Transaksi!$B$16:$B$5015,"&lt;="&amp;EOMONTH(DATE(Dashboard!$C$4,3,1),0)))</f>
        <v/>
      </c>
      <c r="G70" s="165">
        <f>IF($C70="","",SUMIFS(Transaksi!$F$16:$F$5015,Transaksi!$G$16:$G$5015,$A70,Transaksi!$H$16:$H$5015,$B70,Transaksi!$I$16:$I$5015,$C70,Transaksi!$B$16:$B$5015,"&gt;="&amp;DATE(Dashboard!$C$4,4,1),Transaksi!$B$16:$B$5015,"&lt;="&amp;EOMONTH(DATE(Dashboard!$C$4,4,1),0)))</f>
        <v/>
      </c>
      <c r="H70" s="165">
        <f>IF($C70="","",SUMIFS(Transaksi!$F$16:$F$5015,Transaksi!$G$16:$G$5015,$A70,Transaksi!$H$16:$H$5015,$B70,Transaksi!$I$16:$I$5015,$C70,Transaksi!$B$16:$B$5015,"&gt;="&amp;DATE(Dashboard!$C$4,5,1),Transaksi!$B$16:$B$5015,"&lt;="&amp;EOMONTH(DATE(Dashboard!$C$4,5,1),0)))</f>
        <v/>
      </c>
      <c r="I70" s="165">
        <f>IF($C70="","",SUMIFS(Transaksi!$F$16:$F$5015,Transaksi!$G$16:$G$5015,$A70,Transaksi!$H$16:$H$5015,$B70,Transaksi!$I$16:$I$5015,$C70,Transaksi!$B$16:$B$5015,"&gt;="&amp;DATE(Dashboard!$C$4,6,1),Transaksi!$B$16:$B$5015,"&lt;="&amp;EOMONTH(DATE(Dashboard!$C$4,6,1),0)))</f>
        <v/>
      </c>
      <c r="J70" s="165">
        <f>IF($C70="","",SUMIFS(Transaksi!$F$16:$F$5015,Transaksi!$G$16:$G$5015,$A70,Transaksi!$H$16:$H$5015,$B70,Transaksi!$I$16:$I$5015,$C70,Transaksi!$B$16:$B$5015,"&gt;="&amp;DATE(Dashboard!$C$4,7,1),Transaksi!$B$16:$B$5015,"&lt;="&amp;EOMONTH(DATE(Dashboard!$C$4,7,1),0)))</f>
        <v/>
      </c>
      <c r="K70" s="165">
        <f>IF($C70="","",SUMIFS(Transaksi!$F$16:$F$5015,Transaksi!$G$16:$G$5015,$A70,Transaksi!$H$16:$H$5015,$B70,Transaksi!$I$16:$I$5015,$C70,Transaksi!$B$16:$B$5015,"&gt;="&amp;DATE(Dashboard!$C$4,8,1),Transaksi!$B$16:$B$5015,"&lt;="&amp;EOMONTH(DATE(Dashboard!$C$4,8,1),0)))</f>
        <v/>
      </c>
      <c r="L70" s="165">
        <f>IF($C70="","",SUMIFS(Transaksi!$F$16:$F$5015,Transaksi!$G$16:$G$5015,$A70,Transaksi!$H$16:$H$5015,$B70,Transaksi!$I$16:$I$5015,$C70,Transaksi!$B$16:$B$5015,"&gt;="&amp;DATE(Dashboard!$C$4,9,1),Transaksi!$B$16:$B$5015,"&lt;="&amp;EOMONTH(DATE(Dashboard!$C$4,9,1),0)))</f>
        <v/>
      </c>
      <c r="M70" s="165">
        <f>IF($C70="","",SUMIFS(Transaksi!$F$16:$F$5015,Transaksi!$G$16:$G$5015,$A70,Transaksi!$H$16:$H$5015,$B70,Transaksi!$I$16:$I$5015,$C70,Transaksi!$B$16:$B$5015,"&gt;="&amp;DATE(Dashboard!$C$4,10,1),Transaksi!$B$16:$B$5015,"&lt;="&amp;EOMONTH(DATE(Dashboard!$C$4,10,1),0)))</f>
        <v/>
      </c>
      <c r="N70" s="165">
        <f>IF($C70="","",SUMIFS(Transaksi!$F$16:$F$5015,Transaksi!$G$16:$G$5015,$A70,Transaksi!$H$16:$H$5015,$B70,Transaksi!$I$16:$I$5015,$C70,Transaksi!$B$16:$B$5015,"&gt;="&amp;DATE(Dashboard!$C$4,11,1),Transaksi!$B$16:$B$5015,"&lt;="&amp;EOMONTH(DATE(Dashboard!$C$4,11,1),0)))</f>
        <v/>
      </c>
      <c r="O70" s="165">
        <f>IF($C70="","",SUMIFS(Transaksi!$F$16:$F$5015,Transaksi!$G$16:$G$5015,$A70,Transaksi!$H$16:$H$5015,$B70,Transaksi!$I$16:$I$5015,$C70,Transaksi!$B$16:$B$5015,"&gt;="&amp;DATE(Dashboard!$C$4,12,1),Transaksi!$B$16:$B$5015,"&lt;="&amp;EOMONTH(DATE(Dashboard!$C$4,12,1),0)))</f>
        <v/>
      </c>
      <c r="P70" s="166">
        <f>IF($C70="","",SUM(D70:O70))</f>
        <v/>
      </c>
    </row>
    <row r="71" ht="15" customHeight="1" s="94">
      <c r="A71" s="164">
        <f>IF(Kategori!C71="","",Kategori!A71)</f>
        <v/>
      </c>
      <c r="B71" s="164">
        <f>IF(Kategori!C71="","",Kategori!B71)</f>
        <v/>
      </c>
      <c r="C71" s="108">
        <f>IF(Kategori!C71="","",Kategori!C71)</f>
        <v/>
      </c>
      <c r="D71" s="165">
        <f>IF($C71="","",SUMIFS(Transaksi!$F$16:$F$5015,Transaksi!$G$16:$G$5015,$A71,Transaksi!$H$16:$H$5015,$B71,Transaksi!$I$16:$I$5015,$C71,Transaksi!$B$16:$B$5015,"&gt;="&amp;DATE(Dashboard!$C$4,1,1),Transaksi!$B$16:$B$5015,"&lt;="&amp;EOMONTH(DATE(Dashboard!$C$4,1,1),0)))</f>
        <v/>
      </c>
      <c r="E71" s="165">
        <f>IF($C71="","",SUMIFS(Transaksi!$F$16:$F$5015,Transaksi!$G$16:$G$5015,$A71,Transaksi!$H$16:$H$5015,$B71,Transaksi!$I$16:$I$5015,$C71,Transaksi!$B$16:$B$5015,"&gt;="&amp;DATE(Dashboard!$C$4,2,1),Transaksi!$B$16:$B$5015,"&lt;="&amp;EOMONTH(DATE(Dashboard!$C$4,2,1),0)))</f>
        <v/>
      </c>
      <c r="F71" s="165">
        <f>IF($C71="","",SUMIFS(Transaksi!$F$16:$F$5015,Transaksi!$G$16:$G$5015,$A71,Transaksi!$H$16:$H$5015,$B71,Transaksi!$I$16:$I$5015,$C71,Transaksi!$B$16:$B$5015,"&gt;="&amp;DATE(Dashboard!$C$4,3,1),Transaksi!$B$16:$B$5015,"&lt;="&amp;EOMONTH(DATE(Dashboard!$C$4,3,1),0)))</f>
        <v/>
      </c>
      <c r="G71" s="165">
        <f>IF($C71="","",SUMIFS(Transaksi!$F$16:$F$5015,Transaksi!$G$16:$G$5015,$A71,Transaksi!$H$16:$H$5015,$B71,Transaksi!$I$16:$I$5015,$C71,Transaksi!$B$16:$B$5015,"&gt;="&amp;DATE(Dashboard!$C$4,4,1),Transaksi!$B$16:$B$5015,"&lt;="&amp;EOMONTH(DATE(Dashboard!$C$4,4,1),0)))</f>
        <v/>
      </c>
      <c r="H71" s="165">
        <f>IF($C71="","",SUMIFS(Transaksi!$F$16:$F$5015,Transaksi!$G$16:$G$5015,$A71,Transaksi!$H$16:$H$5015,$B71,Transaksi!$I$16:$I$5015,$C71,Transaksi!$B$16:$B$5015,"&gt;="&amp;DATE(Dashboard!$C$4,5,1),Transaksi!$B$16:$B$5015,"&lt;="&amp;EOMONTH(DATE(Dashboard!$C$4,5,1),0)))</f>
        <v/>
      </c>
      <c r="I71" s="165">
        <f>IF($C71="","",SUMIFS(Transaksi!$F$16:$F$5015,Transaksi!$G$16:$G$5015,$A71,Transaksi!$H$16:$H$5015,$B71,Transaksi!$I$16:$I$5015,$C71,Transaksi!$B$16:$B$5015,"&gt;="&amp;DATE(Dashboard!$C$4,6,1),Transaksi!$B$16:$B$5015,"&lt;="&amp;EOMONTH(DATE(Dashboard!$C$4,6,1),0)))</f>
        <v/>
      </c>
      <c r="J71" s="165">
        <f>IF($C71="","",SUMIFS(Transaksi!$F$16:$F$5015,Transaksi!$G$16:$G$5015,$A71,Transaksi!$H$16:$H$5015,$B71,Transaksi!$I$16:$I$5015,$C71,Transaksi!$B$16:$B$5015,"&gt;="&amp;DATE(Dashboard!$C$4,7,1),Transaksi!$B$16:$B$5015,"&lt;="&amp;EOMONTH(DATE(Dashboard!$C$4,7,1),0)))</f>
        <v/>
      </c>
      <c r="K71" s="165">
        <f>IF($C71="","",SUMIFS(Transaksi!$F$16:$F$5015,Transaksi!$G$16:$G$5015,$A71,Transaksi!$H$16:$H$5015,$B71,Transaksi!$I$16:$I$5015,$C71,Transaksi!$B$16:$B$5015,"&gt;="&amp;DATE(Dashboard!$C$4,8,1),Transaksi!$B$16:$B$5015,"&lt;="&amp;EOMONTH(DATE(Dashboard!$C$4,8,1),0)))</f>
        <v/>
      </c>
      <c r="L71" s="165">
        <f>IF($C71="","",SUMIFS(Transaksi!$F$16:$F$5015,Transaksi!$G$16:$G$5015,$A71,Transaksi!$H$16:$H$5015,$B71,Transaksi!$I$16:$I$5015,$C71,Transaksi!$B$16:$B$5015,"&gt;="&amp;DATE(Dashboard!$C$4,9,1),Transaksi!$B$16:$B$5015,"&lt;="&amp;EOMONTH(DATE(Dashboard!$C$4,9,1),0)))</f>
        <v/>
      </c>
      <c r="M71" s="165">
        <f>IF($C71="","",SUMIFS(Transaksi!$F$16:$F$5015,Transaksi!$G$16:$G$5015,$A71,Transaksi!$H$16:$H$5015,$B71,Transaksi!$I$16:$I$5015,$C71,Transaksi!$B$16:$B$5015,"&gt;="&amp;DATE(Dashboard!$C$4,10,1),Transaksi!$B$16:$B$5015,"&lt;="&amp;EOMONTH(DATE(Dashboard!$C$4,10,1),0)))</f>
        <v/>
      </c>
      <c r="N71" s="165">
        <f>IF($C71="","",SUMIFS(Transaksi!$F$16:$F$5015,Transaksi!$G$16:$G$5015,$A71,Transaksi!$H$16:$H$5015,$B71,Transaksi!$I$16:$I$5015,$C71,Transaksi!$B$16:$B$5015,"&gt;="&amp;DATE(Dashboard!$C$4,11,1),Transaksi!$B$16:$B$5015,"&lt;="&amp;EOMONTH(DATE(Dashboard!$C$4,11,1),0)))</f>
        <v/>
      </c>
      <c r="O71" s="165">
        <f>IF($C71="","",SUMIFS(Transaksi!$F$16:$F$5015,Transaksi!$G$16:$G$5015,$A71,Transaksi!$H$16:$H$5015,$B71,Transaksi!$I$16:$I$5015,$C71,Transaksi!$B$16:$B$5015,"&gt;="&amp;DATE(Dashboard!$C$4,12,1),Transaksi!$B$16:$B$5015,"&lt;="&amp;EOMONTH(DATE(Dashboard!$C$4,12,1),0)))</f>
        <v/>
      </c>
      <c r="P71" s="166">
        <f>IF($C71="","",SUM(D71:O71))</f>
        <v/>
      </c>
    </row>
    <row r="72" ht="15" customHeight="1" s="94">
      <c r="A72" s="164">
        <f>IF(Kategori!C72="","",Kategori!A72)</f>
        <v/>
      </c>
      <c r="B72" s="164">
        <f>IF(Kategori!C72="","",Kategori!B72)</f>
        <v/>
      </c>
      <c r="C72" s="108">
        <f>IF(Kategori!C72="","",Kategori!C72)</f>
        <v/>
      </c>
      <c r="D72" s="165">
        <f>IF($C72="","",SUMIFS(Transaksi!$F$16:$F$5015,Transaksi!$G$16:$G$5015,$A72,Transaksi!$H$16:$H$5015,$B72,Transaksi!$I$16:$I$5015,$C72,Transaksi!$B$16:$B$5015,"&gt;="&amp;DATE(Dashboard!$C$4,1,1),Transaksi!$B$16:$B$5015,"&lt;="&amp;EOMONTH(DATE(Dashboard!$C$4,1,1),0)))</f>
        <v/>
      </c>
      <c r="E72" s="165">
        <f>IF($C72="","",SUMIFS(Transaksi!$F$16:$F$5015,Transaksi!$G$16:$G$5015,$A72,Transaksi!$H$16:$H$5015,$B72,Transaksi!$I$16:$I$5015,$C72,Transaksi!$B$16:$B$5015,"&gt;="&amp;DATE(Dashboard!$C$4,2,1),Transaksi!$B$16:$B$5015,"&lt;="&amp;EOMONTH(DATE(Dashboard!$C$4,2,1),0)))</f>
        <v/>
      </c>
      <c r="F72" s="165">
        <f>IF($C72="","",SUMIFS(Transaksi!$F$16:$F$5015,Transaksi!$G$16:$G$5015,$A72,Transaksi!$H$16:$H$5015,$B72,Transaksi!$I$16:$I$5015,$C72,Transaksi!$B$16:$B$5015,"&gt;="&amp;DATE(Dashboard!$C$4,3,1),Transaksi!$B$16:$B$5015,"&lt;="&amp;EOMONTH(DATE(Dashboard!$C$4,3,1),0)))</f>
        <v/>
      </c>
      <c r="G72" s="165">
        <f>IF($C72="","",SUMIFS(Transaksi!$F$16:$F$5015,Transaksi!$G$16:$G$5015,$A72,Transaksi!$H$16:$H$5015,$B72,Transaksi!$I$16:$I$5015,$C72,Transaksi!$B$16:$B$5015,"&gt;="&amp;DATE(Dashboard!$C$4,4,1),Transaksi!$B$16:$B$5015,"&lt;="&amp;EOMONTH(DATE(Dashboard!$C$4,4,1),0)))</f>
        <v/>
      </c>
      <c r="H72" s="165">
        <f>IF($C72="","",SUMIFS(Transaksi!$F$16:$F$5015,Transaksi!$G$16:$G$5015,$A72,Transaksi!$H$16:$H$5015,$B72,Transaksi!$I$16:$I$5015,$C72,Transaksi!$B$16:$B$5015,"&gt;="&amp;DATE(Dashboard!$C$4,5,1),Transaksi!$B$16:$B$5015,"&lt;="&amp;EOMONTH(DATE(Dashboard!$C$4,5,1),0)))</f>
        <v/>
      </c>
      <c r="I72" s="165">
        <f>IF($C72="","",SUMIFS(Transaksi!$F$16:$F$5015,Transaksi!$G$16:$G$5015,$A72,Transaksi!$H$16:$H$5015,$B72,Transaksi!$I$16:$I$5015,$C72,Transaksi!$B$16:$B$5015,"&gt;="&amp;DATE(Dashboard!$C$4,6,1),Transaksi!$B$16:$B$5015,"&lt;="&amp;EOMONTH(DATE(Dashboard!$C$4,6,1),0)))</f>
        <v/>
      </c>
      <c r="J72" s="165">
        <f>IF($C72="","",SUMIFS(Transaksi!$F$16:$F$5015,Transaksi!$G$16:$G$5015,$A72,Transaksi!$H$16:$H$5015,$B72,Transaksi!$I$16:$I$5015,$C72,Transaksi!$B$16:$B$5015,"&gt;="&amp;DATE(Dashboard!$C$4,7,1),Transaksi!$B$16:$B$5015,"&lt;="&amp;EOMONTH(DATE(Dashboard!$C$4,7,1),0)))</f>
        <v/>
      </c>
      <c r="K72" s="165">
        <f>IF($C72="","",SUMIFS(Transaksi!$F$16:$F$5015,Transaksi!$G$16:$G$5015,$A72,Transaksi!$H$16:$H$5015,$B72,Transaksi!$I$16:$I$5015,$C72,Transaksi!$B$16:$B$5015,"&gt;="&amp;DATE(Dashboard!$C$4,8,1),Transaksi!$B$16:$B$5015,"&lt;="&amp;EOMONTH(DATE(Dashboard!$C$4,8,1),0)))</f>
        <v/>
      </c>
      <c r="L72" s="165">
        <f>IF($C72="","",SUMIFS(Transaksi!$F$16:$F$5015,Transaksi!$G$16:$G$5015,$A72,Transaksi!$H$16:$H$5015,$B72,Transaksi!$I$16:$I$5015,$C72,Transaksi!$B$16:$B$5015,"&gt;="&amp;DATE(Dashboard!$C$4,9,1),Transaksi!$B$16:$B$5015,"&lt;="&amp;EOMONTH(DATE(Dashboard!$C$4,9,1),0)))</f>
        <v/>
      </c>
      <c r="M72" s="165">
        <f>IF($C72="","",SUMIFS(Transaksi!$F$16:$F$5015,Transaksi!$G$16:$G$5015,$A72,Transaksi!$H$16:$H$5015,$B72,Transaksi!$I$16:$I$5015,$C72,Transaksi!$B$16:$B$5015,"&gt;="&amp;DATE(Dashboard!$C$4,10,1),Transaksi!$B$16:$B$5015,"&lt;="&amp;EOMONTH(DATE(Dashboard!$C$4,10,1),0)))</f>
        <v/>
      </c>
      <c r="N72" s="165">
        <f>IF($C72="","",SUMIFS(Transaksi!$F$16:$F$5015,Transaksi!$G$16:$G$5015,$A72,Transaksi!$H$16:$H$5015,$B72,Transaksi!$I$16:$I$5015,$C72,Transaksi!$B$16:$B$5015,"&gt;="&amp;DATE(Dashboard!$C$4,11,1),Transaksi!$B$16:$B$5015,"&lt;="&amp;EOMONTH(DATE(Dashboard!$C$4,11,1),0)))</f>
        <v/>
      </c>
      <c r="O72" s="165">
        <f>IF($C72="","",SUMIFS(Transaksi!$F$16:$F$5015,Transaksi!$G$16:$G$5015,$A72,Transaksi!$H$16:$H$5015,$B72,Transaksi!$I$16:$I$5015,$C72,Transaksi!$B$16:$B$5015,"&gt;="&amp;DATE(Dashboard!$C$4,12,1),Transaksi!$B$16:$B$5015,"&lt;="&amp;EOMONTH(DATE(Dashboard!$C$4,12,1),0)))</f>
        <v/>
      </c>
      <c r="P72" s="166">
        <f>IF($C72="","",SUM(D72:O72))</f>
        <v/>
      </c>
    </row>
    <row r="73" ht="15" customHeight="1" s="94">
      <c r="A73" s="164">
        <f>IF(Kategori!C73="","",Kategori!A73)</f>
        <v/>
      </c>
      <c r="B73" s="164">
        <f>IF(Kategori!C73="","",Kategori!B73)</f>
        <v/>
      </c>
      <c r="C73" s="108">
        <f>IF(Kategori!C73="","",Kategori!C73)</f>
        <v/>
      </c>
      <c r="D73" s="165">
        <f>IF($C73="","",SUMIFS(Transaksi!$F$16:$F$5015,Transaksi!$G$16:$G$5015,$A73,Transaksi!$H$16:$H$5015,$B73,Transaksi!$I$16:$I$5015,$C73,Transaksi!$B$16:$B$5015,"&gt;="&amp;DATE(Dashboard!$C$4,1,1),Transaksi!$B$16:$B$5015,"&lt;="&amp;EOMONTH(DATE(Dashboard!$C$4,1,1),0)))</f>
        <v/>
      </c>
      <c r="E73" s="165">
        <f>IF($C73="","",SUMIFS(Transaksi!$F$16:$F$5015,Transaksi!$G$16:$G$5015,$A73,Transaksi!$H$16:$H$5015,$B73,Transaksi!$I$16:$I$5015,$C73,Transaksi!$B$16:$B$5015,"&gt;="&amp;DATE(Dashboard!$C$4,2,1),Transaksi!$B$16:$B$5015,"&lt;="&amp;EOMONTH(DATE(Dashboard!$C$4,2,1),0)))</f>
        <v/>
      </c>
      <c r="F73" s="165">
        <f>IF($C73="","",SUMIFS(Transaksi!$F$16:$F$5015,Transaksi!$G$16:$G$5015,$A73,Transaksi!$H$16:$H$5015,$B73,Transaksi!$I$16:$I$5015,$C73,Transaksi!$B$16:$B$5015,"&gt;="&amp;DATE(Dashboard!$C$4,3,1),Transaksi!$B$16:$B$5015,"&lt;="&amp;EOMONTH(DATE(Dashboard!$C$4,3,1),0)))</f>
        <v/>
      </c>
      <c r="G73" s="165">
        <f>IF($C73="","",SUMIFS(Transaksi!$F$16:$F$5015,Transaksi!$G$16:$G$5015,$A73,Transaksi!$H$16:$H$5015,$B73,Transaksi!$I$16:$I$5015,$C73,Transaksi!$B$16:$B$5015,"&gt;="&amp;DATE(Dashboard!$C$4,4,1),Transaksi!$B$16:$B$5015,"&lt;="&amp;EOMONTH(DATE(Dashboard!$C$4,4,1),0)))</f>
        <v/>
      </c>
      <c r="H73" s="165">
        <f>IF($C73="","",SUMIFS(Transaksi!$F$16:$F$5015,Transaksi!$G$16:$G$5015,$A73,Transaksi!$H$16:$H$5015,$B73,Transaksi!$I$16:$I$5015,$C73,Transaksi!$B$16:$B$5015,"&gt;="&amp;DATE(Dashboard!$C$4,5,1),Transaksi!$B$16:$B$5015,"&lt;="&amp;EOMONTH(DATE(Dashboard!$C$4,5,1),0)))</f>
        <v/>
      </c>
      <c r="I73" s="165">
        <f>IF($C73="","",SUMIFS(Transaksi!$F$16:$F$5015,Transaksi!$G$16:$G$5015,$A73,Transaksi!$H$16:$H$5015,$B73,Transaksi!$I$16:$I$5015,$C73,Transaksi!$B$16:$B$5015,"&gt;="&amp;DATE(Dashboard!$C$4,6,1),Transaksi!$B$16:$B$5015,"&lt;="&amp;EOMONTH(DATE(Dashboard!$C$4,6,1),0)))</f>
        <v/>
      </c>
      <c r="J73" s="165">
        <f>IF($C73="","",SUMIFS(Transaksi!$F$16:$F$5015,Transaksi!$G$16:$G$5015,$A73,Transaksi!$H$16:$H$5015,$B73,Transaksi!$I$16:$I$5015,$C73,Transaksi!$B$16:$B$5015,"&gt;="&amp;DATE(Dashboard!$C$4,7,1),Transaksi!$B$16:$B$5015,"&lt;="&amp;EOMONTH(DATE(Dashboard!$C$4,7,1),0)))</f>
        <v/>
      </c>
      <c r="K73" s="165">
        <f>IF($C73="","",SUMIFS(Transaksi!$F$16:$F$5015,Transaksi!$G$16:$G$5015,$A73,Transaksi!$H$16:$H$5015,$B73,Transaksi!$I$16:$I$5015,$C73,Transaksi!$B$16:$B$5015,"&gt;="&amp;DATE(Dashboard!$C$4,8,1),Transaksi!$B$16:$B$5015,"&lt;="&amp;EOMONTH(DATE(Dashboard!$C$4,8,1),0)))</f>
        <v/>
      </c>
      <c r="L73" s="165">
        <f>IF($C73="","",SUMIFS(Transaksi!$F$16:$F$5015,Transaksi!$G$16:$G$5015,$A73,Transaksi!$H$16:$H$5015,$B73,Transaksi!$I$16:$I$5015,$C73,Transaksi!$B$16:$B$5015,"&gt;="&amp;DATE(Dashboard!$C$4,9,1),Transaksi!$B$16:$B$5015,"&lt;="&amp;EOMONTH(DATE(Dashboard!$C$4,9,1),0)))</f>
        <v/>
      </c>
      <c r="M73" s="165">
        <f>IF($C73="","",SUMIFS(Transaksi!$F$16:$F$5015,Transaksi!$G$16:$G$5015,$A73,Transaksi!$H$16:$H$5015,$B73,Transaksi!$I$16:$I$5015,$C73,Transaksi!$B$16:$B$5015,"&gt;="&amp;DATE(Dashboard!$C$4,10,1),Transaksi!$B$16:$B$5015,"&lt;="&amp;EOMONTH(DATE(Dashboard!$C$4,10,1),0)))</f>
        <v/>
      </c>
      <c r="N73" s="165">
        <f>IF($C73="","",SUMIFS(Transaksi!$F$16:$F$5015,Transaksi!$G$16:$G$5015,$A73,Transaksi!$H$16:$H$5015,$B73,Transaksi!$I$16:$I$5015,$C73,Transaksi!$B$16:$B$5015,"&gt;="&amp;DATE(Dashboard!$C$4,11,1),Transaksi!$B$16:$B$5015,"&lt;="&amp;EOMONTH(DATE(Dashboard!$C$4,11,1),0)))</f>
        <v/>
      </c>
      <c r="O73" s="165">
        <f>IF($C73="","",SUMIFS(Transaksi!$F$16:$F$5015,Transaksi!$G$16:$G$5015,$A73,Transaksi!$H$16:$H$5015,$B73,Transaksi!$I$16:$I$5015,$C73,Transaksi!$B$16:$B$5015,"&gt;="&amp;DATE(Dashboard!$C$4,12,1),Transaksi!$B$16:$B$5015,"&lt;="&amp;EOMONTH(DATE(Dashboard!$C$4,12,1),0)))</f>
        <v/>
      </c>
      <c r="P73" s="166">
        <f>IF($C73="","",SUM(D73:O73))</f>
        <v/>
      </c>
    </row>
    <row r="74" ht="15" customHeight="1" s="94">
      <c r="A74" s="164">
        <f>IF(Kategori!C74="","",Kategori!A74)</f>
        <v/>
      </c>
      <c r="B74" s="164">
        <f>IF(Kategori!C74="","",Kategori!B74)</f>
        <v/>
      </c>
      <c r="C74" s="108">
        <f>IF(Kategori!C74="","",Kategori!C74)</f>
        <v/>
      </c>
      <c r="D74" s="165">
        <f>IF($C74="","",SUMIFS(Transaksi!$F$16:$F$5015,Transaksi!$G$16:$G$5015,$A74,Transaksi!$H$16:$H$5015,$B74,Transaksi!$I$16:$I$5015,$C74,Transaksi!$B$16:$B$5015,"&gt;="&amp;DATE(Dashboard!$C$4,1,1),Transaksi!$B$16:$B$5015,"&lt;="&amp;EOMONTH(DATE(Dashboard!$C$4,1,1),0)))</f>
        <v/>
      </c>
      <c r="E74" s="165">
        <f>IF($C74="","",SUMIFS(Transaksi!$F$16:$F$5015,Transaksi!$G$16:$G$5015,$A74,Transaksi!$H$16:$H$5015,$B74,Transaksi!$I$16:$I$5015,$C74,Transaksi!$B$16:$B$5015,"&gt;="&amp;DATE(Dashboard!$C$4,2,1),Transaksi!$B$16:$B$5015,"&lt;="&amp;EOMONTH(DATE(Dashboard!$C$4,2,1),0)))</f>
        <v/>
      </c>
      <c r="F74" s="165">
        <f>IF($C74="","",SUMIFS(Transaksi!$F$16:$F$5015,Transaksi!$G$16:$G$5015,$A74,Transaksi!$H$16:$H$5015,$B74,Transaksi!$I$16:$I$5015,$C74,Transaksi!$B$16:$B$5015,"&gt;="&amp;DATE(Dashboard!$C$4,3,1),Transaksi!$B$16:$B$5015,"&lt;="&amp;EOMONTH(DATE(Dashboard!$C$4,3,1),0)))</f>
        <v/>
      </c>
      <c r="G74" s="165">
        <f>IF($C74="","",SUMIFS(Transaksi!$F$16:$F$5015,Transaksi!$G$16:$G$5015,$A74,Transaksi!$H$16:$H$5015,$B74,Transaksi!$I$16:$I$5015,$C74,Transaksi!$B$16:$B$5015,"&gt;="&amp;DATE(Dashboard!$C$4,4,1),Transaksi!$B$16:$B$5015,"&lt;="&amp;EOMONTH(DATE(Dashboard!$C$4,4,1),0)))</f>
        <v/>
      </c>
      <c r="H74" s="165">
        <f>IF($C74="","",SUMIFS(Transaksi!$F$16:$F$5015,Transaksi!$G$16:$G$5015,$A74,Transaksi!$H$16:$H$5015,$B74,Transaksi!$I$16:$I$5015,$C74,Transaksi!$B$16:$B$5015,"&gt;="&amp;DATE(Dashboard!$C$4,5,1),Transaksi!$B$16:$B$5015,"&lt;="&amp;EOMONTH(DATE(Dashboard!$C$4,5,1),0)))</f>
        <v/>
      </c>
      <c r="I74" s="165">
        <f>IF($C74="","",SUMIFS(Transaksi!$F$16:$F$5015,Transaksi!$G$16:$G$5015,$A74,Transaksi!$H$16:$H$5015,$B74,Transaksi!$I$16:$I$5015,$C74,Transaksi!$B$16:$B$5015,"&gt;="&amp;DATE(Dashboard!$C$4,6,1),Transaksi!$B$16:$B$5015,"&lt;="&amp;EOMONTH(DATE(Dashboard!$C$4,6,1),0)))</f>
        <v/>
      </c>
      <c r="J74" s="165">
        <f>IF($C74="","",SUMIFS(Transaksi!$F$16:$F$5015,Transaksi!$G$16:$G$5015,$A74,Transaksi!$H$16:$H$5015,$B74,Transaksi!$I$16:$I$5015,$C74,Transaksi!$B$16:$B$5015,"&gt;="&amp;DATE(Dashboard!$C$4,7,1),Transaksi!$B$16:$B$5015,"&lt;="&amp;EOMONTH(DATE(Dashboard!$C$4,7,1),0)))</f>
        <v/>
      </c>
      <c r="K74" s="165">
        <f>IF($C74="","",SUMIFS(Transaksi!$F$16:$F$5015,Transaksi!$G$16:$G$5015,$A74,Transaksi!$H$16:$H$5015,$B74,Transaksi!$I$16:$I$5015,$C74,Transaksi!$B$16:$B$5015,"&gt;="&amp;DATE(Dashboard!$C$4,8,1),Transaksi!$B$16:$B$5015,"&lt;="&amp;EOMONTH(DATE(Dashboard!$C$4,8,1),0)))</f>
        <v/>
      </c>
      <c r="L74" s="165">
        <f>IF($C74="","",SUMIFS(Transaksi!$F$16:$F$5015,Transaksi!$G$16:$G$5015,$A74,Transaksi!$H$16:$H$5015,$B74,Transaksi!$I$16:$I$5015,$C74,Transaksi!$B$16:$B$5015,"&gt;="&amp;DATE(Dashboard!$C$4,9,1),Transaksi!$B$16:$B$5015,"&lt;="&amp;EOMONTH(DATE(Dashboard!$C$4,9,1),0)))</f>
        <v/>
      </c>
      <c r="M74" s="165">
        <f>IF($C74="","",SUMIFS(Transaksi!$F$16:$F$5015,Transaksi!$G$16:$G$5015,$A74,Transaksi!$H$16:$H$5015,$B74,Transaksi!$I$16:$I$5015,$C74,Transaksi!$B$16:$B$5015,"&gt;="&amp;DATE(Dashboard!$C$4,10,1),Transaksi!$B$16:$B$5015,"&lt;="&amp;EOMONTH(DATE(Dashboard!$C$4,10,1),0)))</f>
        <v/>
      </c>
      <c r="N74" s="165">
        <f>IF($C74="","",SUMIFS(Transaksi!$F$16:$F$5015,Transaksi!$G$16:$G$5015,$A74,Transaksi!$H$16:$H$5015,$B74,Transaksi!$I$16:$I$5015,$C74,Transaksi!$B$16:$B$5015,"&gt;="&amp;DATE(Dashboard!$C$4,11,1),Transaksi!$B$16:$B$5015,"&lt;="&amp;EOMONTH(DATE(Dashboard!$C$4,11,1),0)))</f>
        <v/>
      </c>
      <c r="O74" s="165">
        <f>IF($C74="","",SUMIFS(Transaksi!$F$16:$F$5015,Transaksi!$G$16:$G$5015,$A74,Transaksi!$H$16:$H$5015,$B74,Transaksi!$I$16:$I$5015,$C74,Transaksi!$B$16:$B$5015,"&gt;="&amp;DATE(Dashboard!$C$4,12,1),Transaksi!$B$16:$B$5015,"&lt;="&amp;EOMONTH(DATE(Dashboard!$C$4,12,1),0)))</f>
        <v/>
      </c>
      <c r="P74" s="166">
        <f>IF($C74="","",SUM(D74:O74))</f>
        <v/>
      </c>
    </row>
    <row r="75" ht="15" customHeight="1" s="94">
      <c r="A75" s="164">
        <f>IF(Kategori!C75="","",Kategori!A75)</f>
        <v/>
      </c>
      <c r="B75" s="164">
        <f>IF(Kategori!C75="","",Kategori!B75)</f>
        <v/>
      </c>
      <c r="C75" s="108">
        <f>IF(Kategori!C75="","",Kategori!C75)</f>
        <v/>
      </c>
      <c r="D75" s="165">
        <f>IF($C75="","",SUMIFS(Transaksi!$F$16:$F$5015,Transaksi!$G$16:$G$5015,$A75,Transaksi!$H$16:$H$5015,$B75,Transaksi!$I$16:$I$5015,$C75,Transaksi!$B$16:$B$5015,"&gt;="&amp;DATE(Dashboard!$C$4,1,1),Transaksi!$B$16:$B$5015,"&lt;="&amp;EOMONTH(DATE(Dashboard!$C$4,1,1),0)))</f>
        <v/>
      </c>
      <c r="E75" s="165">
        <f>IF($C75="","",SUMIFS(Transaksi!$F$16:$F$5015,Transaksi!$G$16:$G$5015,$A75,Transaksi!$H$16:$H$5015,$B75,Transaksi!$I$16:$I$5015,$C75,Transaksi!$B$16:$B$5015,"&gt;="&amp;DATE(Dashboard!$C$4,2,1),Transaksi!$B$16:$B$5015,"&lt;="&amp;EOMONTH(DATE(Dashboard!$C$4,2,1),0)))</f>
        <v/>
      </c>
      <c r="F75" s="165">
        <f>IF($C75="","",SUMIFS(Transaksi!$F$16:$F$5015,Transaksi!$G$16:$G$5015,$A75,Transaksi!$H$16:$H$5015,$B75,Transaksi!$I$16:$I$5015,$C75,Transaksi!$B$16:$B$5015,"&gt;="&amp;DATE(Dashboard!$C$4,3,1),Transaksi!$B$16:$B$5015,"&lt;="&amp;EOMONTH(DATE(Dashboard!$C$4,3,1),0)))</f>
        <v/>
      </c>
      <c r="G75" s="165">
        <f>IF($C75="","",SUMIFS(Transaksi!$F$16:$F$5015,Transaksi!$G$16:$G$5015,$A75,Transaksi!$H$16:$H$5015,$B75,Transaksi!$I$16:$I$5015,$C75,Transaksi!$B$16:$B$5015,"&gt;="&amp;DATE(Dashboard!$C$4,4,1),Transaksi!$B$16:$B$5015,"&lt;="&amp;EOMONTH(DATE(Dashboard!$C$4,4,1),0)))</f>
        <v/>
      </c>
      <c r="H75" s="165">
        <f>IF($C75="","",SUMIFS(Transaksi!$F$16:$F$5015,Transaksi!$G$16:$G$5015,$A75,Transaksi!$H$16:$H$5015,$B75,Transaksi!$I$16:$I$5015,$C75,Transaksi!$B$16:$B$5015,"&gt;="&amp;DATE(Dashboard!$C$4,5,1),Transaksi!$B$16:$B$5015,"&lt;="&amp;EOMONTH(DATE(Dashboard!$C$4,5,1),0)))</f>
        <v/>
      </c>
      <c r="I75" s="165">
        <f>IF($C75="","",SUMIFS(Transaksi!$F$16:$F$5015,Transaksi!$G$16:$G$5015,$A75,Transaksi!$H$16:$H$5015,$B75,Transaksi!$I$16:$I$5015,$C75,Transaksi!$B$16:$B$5015,"&gt;="&amp;DATE(Dashboard!$C$4,6,1),Transaksi!$B$16:$B$5015,"&lt;="&amp;EOMONTH(DATE(Dashboard!$C$4,6,1),0)))</f>
        <v/>
      </c>
      <c r="J75" s="165">
        <f>IF($C75="","",SUMIFS(Transaksi!$F$16:$F$5015,Transaksi!$G$16:$G$5015,$A75,Transaksi!$H$16:$H$5015,$B75,Transaksi!$I$16:$I$5015,$C75,Transaksi!$B$16:$B$5015,"&gt;="&amp;DATE(Dashboard!$C$4,7,1),Transaksi!$B$16:$B$5015,"&lt;="&amp;EOMONTH(DATE(Dashboard!$C$4,7,1),0)))</f>
        <v/>
      </c>
      <c r="K75" s="165">
        <f>IF($C75="","",SUMIFS(Transaksi!$F$16:$F$5015,Transaksi!$G$16:$G$5015,$A75,Transaksi!$H$16:$H$5015,$B75,Transaksi!$I$16:$I$5015,$C75,Transaksi!$B$16:$B$5015,"&gt;="&amp;DATE(Dashboard!$C$4,8,1),Transaksi!$B$16:$B$5015,"&lt;="&amp;EOMONTH(DATE(Dashboard!$C$4,8,1),0)))</f>
        <v/>
      </c>
      <c r="L75" s="165">
        <f>IF($C75="","",SUMIFS(Transaksi!$F$16:$F$5015,Transaksi!$G$16:$G$5015,$A75,Transaksi!$H$16:$H$5015,$B75,Transaksi!$I$16:$I$5015,$C75,Transaksi!$B$16:$B$5015,"&gt;="&amp;DATE(Dashboard!$C$4,9,1),Transaksi!$B$16:$B$5015,"&lt;="&amp;EOMONTH(DATE(Dashboard!$C$4,9,1),0)))</f>
        <v/>
      </c>
      <c r="M75" s="165">
        <f>IF($C75="","",SUMIFS(Transaksi!$F$16:$F$5015,Transaksi!$G$16:$G$5015,$A75,Transaksi!$H$16:$H$5015,$B75,Transaksi!$I$16:$I$5015,$C75,Transaksi!$B$16:$B$5015,"&gt;="&amp;DATE(Dashboard!$C$4,10,1),Transaksi!$B$16:$B$5015,"&lt;="&amp;EOMONTH(DATE(Dashboard!$C$4,10,1),0)))</f>
        <v/>
      </c>
      <c r="N75" s="165">
        <f>IF($C75="","",SUMIFS(Transaksi!$F$16:$F$5015,Transaksi!$G$16:$G$5015,$A75,Transaksi!$H$16:$H$5015,$B75,Transaksi!$I$16:$I$5015,$C75,Transaksi!$B$16:$B$5015,"&gt;="&amp;DATE(Dashboard!$C$4,11,1),Transaksi!$B$16:$B$5015,"&lt;="&amp;EOMONTH(DATE(Dashboard!$C$4,11,1),0)))</f>
        <v/>
      </c>
      <c r="O75" s="165">
        <f>IF($C75="","",SUMIFS(Transaksi!$F$16:$F$5015,Transaksi!$G$16:$G$5015,$A75,Transaksi!$H$16:$H$5015,$B75,Transaksi!$I$16:$I$5015,$C75,Transaksi!$B$16:$B$5015,"&gt;="&amp;DATE(Dashboard!$C$4,12,1),Transaksi!$B$16:$B$5015,"&lt;="&amp;EOMONTH(DATE(Dashboard!$C$4,12,1),0)))</f>
        <v/>
      </c>
      <c r="P75" s="166">
        <f>IF($C75="","",SUM(D75:O75))</f>
        <v/>
      </c>
    </row>
    <row r="76" ht="15" customHeight="1" s="94">
      <c r="A76" s="164">
        <f>IF(Kategori!C76="","",Kategori!A76)</f>
        <v/>
      </c>
      <c r="B76" s="164">
        <f>IF(Kategori!C76="","",Kategori!B76)</f>
        <v/>
      </c>
      <c r="C76" s="108">
        <f>IF(Kategori!C76="","",Kategori!C76)</f>
        <v/>
      </c>
      <c r="D76" s="165">
        <f>IF($C76="","",SUMIFS(Transaksi!$F$16:$F$5015,Transaksi!$G$16:$G$5015,$A76,Transaksi!$H$16:$H$5015,$B76,Transaksi!$I$16:$I$5015,$C76,Transaksi!$B$16:$B$5015,"&gt;="&amp;DATE(Dashboard!$C$4,1,1),Transaksi!$B$16:$B$5015,"&lt;="&amp;EOMONTH(DATE(Dashboard!$C$4,1,1),0)))</f>
        <v/>
      </c>
      <c r="E76" s="165">
        <f>IF($C76="","",SUMIFS(Transaksi!$F$16:$F$5015,Transaksi!$G$16:$G$5015,$A76,Transaksi!$H$16:$H$5015,$B76,Transaksi!$I$16:$I$5015,$C76,Transaksi!$B$16:$B$5015,"&gt;="&amp;DATE(Dashboard!$C$4,2,1),Transaksi!$B$16:$B$5015,"&lt;="&amp;EOMONTH(DATE(Dashboard!$C$4,2,1),0)))</f>
        <v/>
      </c>
      <c r="F76" s="165">
        <f>IF($C76="","",SUMIFS(Transaksi!$F$16:$F$5015,Transaksi!$G$16:$G$5015,$A76,Transaksi!$H$16:$H$5015,$B76,Transaksi!$I$16:$I$5015,$C76,Transaksi!$B$16:$B$5015,"&gt;="&amp;DATE(Dashboard!$C$4,3,1),Transaksi!$B$16:$B$5015,"&lt;="&amp;EOMONTH(DATE(Dashboard!$C$4,3,1),0)))</f>
        <v/>
      </c>
      <c r="G76" s="165">
        <f>IF($C76="","",SUMIFS(Transaksi!$F$16:$F$5015,Transaksi!$G$16:$G$5015,$A76,Transaksi!$H$16:$H$5015,$B76,Transaksi!$I$16:$I$5015,$C76,Transaksi!$B$16:$B$5015,"&gt;="&amp;DATE(Dashboard!$C$4,4,1),Transaksi!$B$16:$B$5015,"&lt;="&amp;EOMONTH(DATE(Dashboard!$C$4,4,1),0)))</f>
        <v/>
      </c>
      <c r="H76" s="165">
        <f>IF($C76="","",SUMIFS(Transaksi!$F$16:$F$5015,Transaksi!$G$16:$G$5015,$A76,Transaksi!$H$16:$H$5015,$B76,Transaksi!$I$16:$I$5015,$C76,Transaksi!$B$16:$B$5015,"&gt;="&amp;DATE(Dashboard!$C$4,5,1),Transaksi!$B$16:$B$5015,"&lt;="&amp;EOMONTH(DATE(Dashboard!$C$4,5,1),0)))</f>
        <v/>
      </c>
      <c r="I76" s="165">
        <f>IF($C76="","",SUMIFS(Transaksi!$F$16:$F$5015,Transaksi!$G$16:$G$5015,$A76,Transaksi!$H$16:$H$5015,$B76,Transaksi!$I$16:$I$5015,$C76,Transaksi!$B$16:$B$5015,"&gt;="&amp;DATE(Dashboard!$C$4,6,1),Transaksi!$B$16:$B$5015,"&lt;="&amp;EOMONTH(DATE(Dashboard!$C$4,6,1),0)))</f>
        <v/>
      </c>
      <c r="J76" s="165">
        <f>IF($C76="","",SUMIFS(Transaksi!$F$16:$F$5015,Transaksi!$G$16:$G$5015,$A76,Transaksi!$H$16:$H$5015,$B76,Transaksi!$I$16:$I$5015,$C76,Transaksi!$B$16:$B$5015,"&gt;="&amp;DATE(Dashboard!$C$4,7,1),Transaksi!$B$16:$B$5015,"&lt;="&amp;EOMONTH(DATE(Dashboard!$C$4,7,1),0)))</f>
        <v/>
      </c>
      <c r="K76" s="165">
        <f>IF($C76="","",SUMIFS(Transaksi!$F$16:$F$5015,Transaksi!$G$16:$G$5015,$A76,Transaksi!$H$16:$H$5015,$B76,Transaksi!$I$16:$I$5015,$C76,Transaksi!$B$16:$B$5015,"&gt;="&amp;DATE(Dashboard!$C$4,8,1),Transaksi!$B$16:$B$5015,"&lt;="&amp;EOMONTH(DATE(Dashboard!$C$4,8,1),0)))</f>
        <v/>
      </c>
      <c r="L76" s="165">
        <f>IF($C76="","",SUMIFS(Transaksi!$F$16:$F$5015,Transaksi!$G$16:$G$5015,$A76,Transaksi!$H$16:$H$5015,$B76,Transaksi!$I$16:$I$5015,$C76,Transaksi!$B$16:$B$5015,"&gt;="&amp;DATE(Dashboard!$C$4,9,1),Transaksi!$B$16:$B$5015,"&lt;="&amp;EOMONTH(DATE(Dashboard!$C$4,9,1),0)))</f>
        <v/>
      </c>
      <c r="M76" s="165">
        <f>IF($C76="","",SUMIFS(Transaksi!$F$16:$F$5015,Transaksi!$G$16:$G$5015,$A76,Transaksi!$H$16:$H$5015,$B76,Transaksi!$I$16:$I$5015,$C76,Transaksi!$B$16:$B$5015,"&gt;="&amp;DATE(Dashboard!$C$4,10,1),Transaksi!$B$16:$B$5015,"&lt;="&amp;EOMONTH(DATE(Dashboard!$C$4,10,1),0)))</f>
        <v/>
      </c>
      <c r="N76" s="165">
        <f>IF($C76="","",SUMIFS(Transaksi!$F$16:$F$5015,Transaksi!$G$16:$G$5015,$A76,Transaksi!$H$16:$H$5015,$B76,Transaksi!$I$16:$I$5015,$C76,Transaksi!$B$16:$B$5015,"&gt;="&amp;DATE(Dashboard!$C$4,11,1),Transaksi!$B$16:$B$5015,"&lt;="&amp;EOMONTH(DATE(Dashboard!$C$4,11,1),0)))</f>
        <v/>
      </c>
      <c r="O76" s="165">
        <f>IF($C76="","",SUMIFS(Transaksi!$F$16:$F$5015,Transaksi!$G$16:$G$5015,$A76,Transaksi!$H$16:$H$5015,$B76,Transaksi!$I$16:$I$5015,$C76,Transaksi!$B$16:$B$5015,"&gt;="&amp;DATE(Dashboard!$C$4,12,1),Transaksi!$B$16:$B$5015,"&lt;="&amp;EOMONTH(DATE(Dashboard!$C$4,12,1),0)))</f>
        <v/>
      </c>
      <c r="P76" s="166">
        <f>IF($C76="","",SUM(D76:O76))</f>
        <v/>
      </c>
    </row>
    <row r="77" ht="15" customHeight="1" s="94">
      <c r="A77" s="164">
        <f>IF(Kategori!C77="","",Kategori!A77)</f>
        <v/>
      </c>
      <c r="B77" s="164">
        <f>IF(Kategori!C77="","",Kategori!B77)</f>
        <v/>
      </c>
      <c r="C77" s="108">
        <f>IF(Kategori!C77="","",Kategori!C77)</f>
        <v/>
      </c>
      <c r="D77" s="165">
        <f>IF($C77="","",SUMIFS(Transaksi!$F$16:$F$5015,Transaksi!$G$16:$G$5015,$A77,Transaksi!$H$16:$H$5015,$B77,Transaksi!$I$16:$I$5015,$C77,Transaksi!$B$16:$B$5015,"&gt;="&amp;DATE(Dashboard!$C$4,1,1),Transaksi!$B$16:$B$5015,"&lt;="&amp;EOMONTH(DATE(Dashboard!$C$4,1,1),0)))</f>
        <v/>
      </c>
      <c r="E77" s="165">
        <f>IF($C77="","",SUMIFS(Transaksi!$F$16:$F$5015,Transaksi!$G$16:$G$5015,$A77,Transaksi!$H$16:$H$5015,$B77,Transaksi!$I$16:$I$5015,$C77,Transaksi!$B$16:$B$5015,"&gt;="&amp;DATE(Dashboard!$C$4,2,1),Transaksi!$B$16:$B$5015,"&lt;="&amp;EOMONTH(DATE(Dashboard!$C$4,2,1),0)))</f>
        <v/>
      </c>
      <c r="F77" s="165">
        <f>IF($C77="","",SUMIFS(Transaksi!$F$16:$F$5015,Transaksi!$G$16:$G$5015,$A77,Transaksi!$H$16:$H$5015,$B77,Transaksi!$I$16:$I$5015,$C77,Transaksi!$B$16:$B$5015,"&gt;="&amp;DATE(Dashboard!$C$4,3,1),Transaksi!$B$16:$B$5015,"&lt;="&amp;EOMONTH(DATE(Dashboard!$C$4,3,1),0)))</f>
        <v/>
      </c>
      <c r="G77" s="165">
        <f>IF($C77="","",SUMIFS(Transaksi!$F$16:$F$5015,Transaksi!$G$16:$G$5015,$A77,Transaksi!$H$16:$H$5015,$B77,Transaksi!$I$16:$I$5015,$C77,Transaksi!$B$16:$B$5015,"&gt;="&amp;DATE(Dashboard!$C$4,4,1),Transaksi!$B$16:$B$5015,"&lt;="&amp;EOMONTH(DATE(Dashboard!$C$4,4,1),0)))</f>
        <v/>
      </c>
      <c r="H77" s="165">
        <f>IF($C77="","",SUMIFS(Transaksi!$F$16:$F$5015,Transaksi!$G$16:$G$5015,$A77,Transaksi!$H$16:$H$5015,$B77,Transaksi!$I$16:$I$5015,$C77,Transaksi!$B$16:$B$5015,"&gt;="&amp;DATE(Dashboard!$C$4,5,1),Transaksi!$B$16:$B$5015,"&lt;="&amp;EOMONTH(DATE(Dashboard!$C$4,5,1),0)))</f>
        <v/>
      </c>
      <c r="I77" s="165">
        <f>IF($C77="","",SUMIFS(Transaksi!$F$16:$F$5015,Transaksi!$G$16:$G$5015,$A77,Transaksi!$H$16:$H$5015,$B77,Transaksi!$I$16:$I$5015,$C77,Transaksi!$B$16:$B$5015,"&gt;="&amp;DATE(Dashboard!$C$4,6,1),Transaksi!$B$16:$B$5015,"&lt;="&amp;EOMONTH(DATE(Dashboard!$C$4,6,1),0)))</f>
        <v/>
      </c>
      <c r="J77" s="165">
        <f>IF($C77="","",SUMIFS(Transaksi!$F$16:$F$5015,Transaksi!$G$16:$G$5015,$A77,Transaksi!$H$16:$H$5015,$B77,Transaksi!$I$16:$I$5015,$C77,Transaksi!$B$16:$B$5015,"&gt;="&amp;DATE(Dashboard!$C$4,7,1),Transaksi!$B$16:$B$5015,"&lt;="&amp;EOMONTH(DATE(Dashboard!$C$4,7,1),0)))</f>
        <v/>
      </c>
      <c r="K77" s="165">
        <f>IF($C77="","",SUMIFS(Transaksi!$F$16:$F$5015,Transaksi!$G$16:$G$5015,$A77,Transaksi!$H$16:$H$5015,$B77,Transaksi!$I$16:$I$5015,$C77,Transaksi!$B$16:$B$5015,"&gt;="&amp;DATE(Dashboard!$C$4,8,1),Transaksi!$B$16:$B$5015,"&lt;="&amp;EOMONTH(DATE(Dashboard!$C$4,8,1),0)))</f>
        <v/>
      </c>
      <c r="L77" s="165">
        <f>IF($C77="","",SUMIFS(Transaksi!$F$16:$F$5015,Transaksi!$G$16:$G$5015,$A77,Transaksi!$H$16:$H$5015,$B77,Transaksi!$I$16:$I$5015,$C77,Transaksi!$B$16:$B$5015,"&gt;="&amp;DATE(Dashboard!$C$4,9,1),Transaksi!$B$16:$B$5015,"&lt;="&amp;EOMONTH(DATE(Dashboard!$C$4,9,1),0)))</f>
        <v/>
      </c>
      <c r="M77" s="165">
        <f>IF($C77="","",SUMIFS(Transaksi!$F$16:$F$5015,Transaksi!$G$16:$G$5015,$A77,Transaksi!$H$16:$H$5015,$B77,Transaksi!$I$16:$I$5015,$C77,Transaksi!$B$16:$B$5015,"&gt;="&amp;DATE(Dashboard!$C$4,10,1),Transaksi!$B$16:$B$5015,"&lt;="&amp;EOMONTH(DATE(Dashboard!$C$4,10,1),0)))</f>
        <v/>
      </c>
      <c r="N77" s="165">
        <f>IF($C77="","",SUMIFS(Transaksi!$F$16:$F$5015,Transaksi!$G$16:$G$5015,$A77,Transaksi!$H$16:$H$5015,$B77,Transaksi!$I$16:$I$5015,$C77,Transaksi!$B$16:$B$5015,"&gt;="&amp;DATE(Dashboard!$C$4,11,1),Transaksi!$B$16:$B$5015,"&lt;="&amp;EOMONTH(DATE(Dashboard!$C$4,11,1),0)))</f>
        <v/>
      </c>
      <c r="O77" s="165">
        <f>IF($C77="","",SUMIFS(Transaksi!$F$16:$F$5015,Transaksi!$G$16:$G$5015,$A77,Transaksi!$H$16:$H$5015,$B77,Transaksi!$I$16:$I$5015,$C77,Transaksi!$B$16:$B$5015,"&gt;="&amp;DATE(Dashboard!$C$4,12,1),Transaksi!$B$16:$B$5015,"&lt;="&amp;EOMONTH(DATE(Dashboard!$C$4,12,1),0)))</f>
        <v/>
      </c>
      <c r="P77" s="166">
        <f>IF($C77="","",SUM(D77:O77))</f>
        <v/>
      </c>
    </row>
    <row r="78" ht="15" customHeight="1" s="94">
      <c r="A78" s="164">
        <f>IF(Kategori!C78="","",Kategori!A78)</f>
        <v/>
      </c>
      <c r="B78" s="164">
        <f>IF(Kategori!C78="","",Kategori!B78)</f>
        <v/>
      </c>
      <c r="C78" s="108">
        <f>IF(Kategori!C78="","",Kategori!C78)</f>
        <v/>
      </c>
      <c r="D78" s="165">
        <f>IF($C78="","",SUMIFS(Transaksi!$F$16:$F$5015,Transaksi!$G$16:$G$5015,$A78,Transaksi!$H$16:$H$5015,$B78,Transaksi!$I$16:$I$5015,$C78,Transaksi!$B$16:$B$5015,"&gt;="&amp;DATE(Dashboard!$C$4,1,1),Transaksi!$B$16:$B$5015,"&lt;="&amp;EOMONTH(DATE(Dashboard!$C$4,1,1),0)))</f>
        <v/>
      </c>
      <c r="E78" s="165">
        <f>IF($C78="","",SUMIFS(Transaksi!$F$16:$F$5015,Transaksi!$G$16:$G$5015,$A78,Transaksi!$H$16:$H$5015,$B78,Transaksi!$I$16:$I$5015,$C78,Transaksi!$B$16:$B$5015,"&gt;="&amp;DATE(Dashboard!$C$4,2,1),Transaksi!$B$16:$B$5015,"&lt;="&amp;EOMONTH(DATE(Dashboard!$C$4,2,1),0)))</f>
        <v/>
      </c>
      <c r="F78" s="165">
        <f>IF($C78="","",SUMIFS(Transaksi!$F$16:$F$5015,Transaksi!$G$16:$G$5015,$A78,Transaksi!$H$16:$H$5015,$B78,Transaksi!$I$16:$I$5015,$C78,Transaksi!$B$16:$B$5015,"&gt;="&amp;DATE(Dashboard!$C$4,3,1),Transaksi!$B$16:$B$5015,"&lt;="&amp;EOMONTH(DATE(Dashboard!$C$4,3,1),0)))</f>
        <v/>
      </c>
      <c r="G78" s="165">
        <f>IF($C78="","",SUMIFS(Transaksi!$F$16:$F$5015,Transaksi!$G$16:$G$5015,$A78,Transaksi!$H$16:$H$5015,$B78,Transaksi!$I$16:$I$5015,$C78,Transaksi!$B$16:$B$5015,"&gt;="&amp;DATE(Dashboard!$C$4,4,1),Transaksi!$B$16:$B$5015,"&lt;="&amp;EOMONTH(DATE(Dashboard!$C$4,4,1),0)))</f>
        <v/>
      </c>
      <c r="H78" s="165">
        <f>IF($C78="","",SUMIFS(Transaksi!$F$16:$F$5015,Transaksi!$G$16:$G$5015,$A78,Transaksi!$H$16:$H$5015,$B78,Transaksi!$I$16:$I$5015,$C78,Transaksi!$B$16:$B$5015,"&gt;="&amp;DATE(Dashboard!$C$4,5,1),Transaksi!$B$16:$B$5015,"&lt;="&amp;EOMONTH(DATE(Dashboard!$C$4,5,1),0)))</f>
        <v/>
      </c>
      <c r="I78" s="165">
        <f>IF($C78="","",SUMIFS(Transaksi!$F$16:$F$5015,Transaksi!$G$16:$G$5015,$A78,Transaksi!$H$16:$H$5015,$B78,Transaksi!$I$16:$I$5015,$C78,Transaksi!$B$16:$B$5015,"&gt;="&amp;DATE(Dashboard!$C$4,6,1),Transaksi!$B$16:$B$5015,"&lt;="&amp;EOMONTH(DATE(Dashboard!$C$4,6,1),0)))</f>
        <v/>
      </c>
      <c r="J78" s="165">
        <f>IF($C78="","",SUMIFS(Transaksi!$F$16:$F$5015,Transaksi!$G$16:$G$5015,$A78,Transaksi!$H$16:$H$5015,$B78,Transaksi!$I$16:$I$5015,$C78,Transaksi!$B$16:$B$5015,"&gt;="&amp;DATE(Dashboard!$C$4,7,1),Transaksi!$B$16:$B$5015,"&lt;="&amp;EOMONTH(DATE(Dashboard!$C$4,7,1),0)))</f>
        <v/>
      </c>
      <c r="K78" s="165">
        <f>IF($C78="","",SUMIFS(Transaksi!$F$16:$F$5015,Transaksi!$G$16:$G$5015,$A78,Transaksi!$H$16:$H$5015,$B78,Transaksi!$I$16:$I$5015,$C78,Transaksi!$B$16:$B$5015,"&gt;="&amp;DATE(Dashboard!$C$4,8,1),Transaksi!$B$16:$B$5015,"&lt;="&amp;EOMONTH(DATE(Dashboard!$C$4,8,1),0)))</f>
        <v/>
      </c>
      <c r="L78" s="165">
        <f>IF($C78="","",SUMIFS(Transaksi!$F$16:$F$5015,Transaksi!$G$16:$G$5015,$A78,Transaksi!$H$16:$H$5015,$B78,Transaksi!$I$16:$I$5015,$C78,Transaksi!$B$16:$B$5015,"&gt;="&amp;DATE(Dashboard!$C$4,9,1),Transaksi!$B$16:$B$5015,"&lt;="&amp;EOMONTH(DATE(Dashboard!$C$4,9,1),0)))</f>
        <v/>
      </c>
      <c r="M78" s="165">
        <f>IF($C78="","",SUMIFS(Transaksi!$F$16:$F$5015,Transaksi!$G$16:$G$5015,$A78,Transaksi!$H$16:$H$5015,$B78,Transaksi!$I$16:$I$5015,$C78,Transaksi!$B$16:$B$5015,"&gt;="&amp;DATE(Dashboard!$C$4,10,1),Transaksi!$B$16:$B$5015,"&lt;="&amp;EOMONTH(DATE(Dashboard!$C$4,10,1),0)))</f>
        <v/>
      </c>
      <c r="N78" s="165">
        <f>IF($C78="","",SUMIFS(Transaksi!$F$16:$F$5015,Transaksi!$G$16:$G$5015,$A78,Transaksi!$H$16:$H$5015,$B78,Transaksi!$I$16:$I$5015,$C78,Transaksi!$B$16:$B$5015,"&gt;="&amp;DATE(Dashboard!$C$4,11,1),Transaksi!$B$16:$B$5015,"&lt;="&amp;EOMONTH(DATE(Dashboard!$C$4,11,1),0)))</f>
        <v/>
      </c>
      <c r="O78" s="165">
        <f>IF($C78="","",SUMIFS(Transaksi!$F$16:$F$5015,Transaksi!$G$16:$G$5015,$A78,Transaksi!$H$16:$H$5015,$B78,Transaksi!$I$16:$I$5015,$C78,Transaksi!$B$16:$B$5015,"&gt;="&amp;DATE(Dashboard!$C$4,12,1),Transaksi!$B$16:$B$5015,"&lt;="&amp;EOMONTH(DATE(Dashboard!$C$4,12,1),0)))</f>
        <v/>
      </c>
      <c r="P78" s="166">
        <f>IF($C78="","",SUM(D78:O78))</f>
        <v/>
      </c>
    </row>
    <row r="79" ht="15" customHeight="1" s="94">
      <c r="A79" s="164">
        <f>IF(Kategori!C79="","",Kategori!A79)</f>
        <v/>
      </c>
      <c r="B79" s="164">
        <f>IF(Kategori!C79="","",Kategori!B79)</f>
        <v/>
      </c>
      <c r="C79" s="108">
        <f>IF(Kategori!C79="","",Kategori!C79)</f>
        <v/>
      </c>
      <c r="D79" s="165">
        <f>IF($C79="","",SUMIFS(Transaksi!$F$16:$F$5015,Transaksi!$G$16:$G$5015,$A79,Transaksi!$H$16:$H$5015,$B79,Transaksi!$I$16:$I$5015,$C79,Transaksi!$B$16:$B$5015,"&gt;="&amp;DATE(Dashboard!$C$4,1,1),Transaksi!$B$16:$B$5015,"&lt;="&amp;EOMONTH(DATE(Dashboard!$C$4,1,1),0)))</f>
        <v/>
      </c>
      <c r="E79" s="165">
        <f>IF($C79="","",SUMIFS(Transaksi!$F$16:$F$5015,Transaksi!$G$16:$G$5015,$A79,Transaksi!$H$16:$H$5015,$B79,Transaksi!$I$16:$I$5015,$C79,Transaksi!$B$16:$B$5015,"&gt;="&amp;DATE(Dashboard!$C$4,2,1),Transaksi!$B$16:$B$5015,"&lt;="&amp;EOMONTH(DATE(Dashboard!$C$4,2,1),0)))</f>
        <v/>
      </c>
      <c r="F79" s="165">
        <f>IF($C79="","",SUMIFS(Transaksi!$F$16:$F$5015,Transaksi!$G$16:$G$5015,$A79,Transaksi!$H$16:$H$5015,$B79,Transaksi!$I$16:$I$5015,$C79,Transaksi!$B$16:$B$5015,"&gt;="&amp;DATE(Dashboard!$C$4,3,1),Transaksi!$B$16:$B$5015,"&lt;="&amp;EOMONTH(DATE(Dashboard!$C$4,3,1),0)))</f>
        <v/>
      </c>
      <c r="G79" s="165">
        <f>IF($C79="","",SUMIFS(Transaksi!$F$16:$F$5015,Transaksi!$G$16:$G$5015,$A79,Transaksi!$H$16:$H$5015,$B79,Transaksi!$I$16:$I$5015,$C79,Transaksi!$B$16:$B$5015,"&gt;="&amp;DATE(Dashboard!$C$4,4,1),Transaksi!$B$16:$B$5015,"&lt;="&amp;EOMONTH(DATE(Dashboard!$C$4,4,1),0)))</f>
        <v/>
      </c>
      <c r="H79" s="165">
        <f>IF($C79="","",SUMIFS(Transaksi!$F$16:$F$5015,Transaksi!$G$16:$G$5015,$A79,Transaksi!$H$16:$H$5015,$B79,Transaksi!$I$16:$I$5015,$C79,Transaksi!$B$16:$B$5015,"&gt;="&amp;DATE(Dashboard!$C$4,5,1),Transaksi!$B$16:$B$5015,"&lt;="&amp;EOMONTH(DATE(Dashboard!$C$4,5,1),0)))</f>
        <v/>
      </c>
      <c r="I79" s="165">
        <f>IF($C79="","",SUMIFS(Transaksi!$F$16:$F$5015,Transaksi!$G$16:$G$5015,$A79,Transaksi!$H$16:$H$5015,$B79,Transaksi!$I$16:$I$5015,$C79,Transaksi!$B$16:$B$5015,"&gt;="&amp;DATE(Dashboard!$C$4,6,1),Transaksi!$B$16:$B$5015,"&lt;="&amp;EOMONTH(DATE(Dashboard!$C$4,6,1),0)))</f>
        <v/>
      </c>
      <c r="J79" s="165">
        <f>IF($C79="","",SUMIFS(Transaksi!$F$16:$F$5015,Transaksi!$G$16:$G$5015,$A79,Transaksi!$H$16:$H$5015,$B79,Transaksi!$I$16:$I$5015,$C79,Transaksi!$B$16:$B$5015,"&gt;="&amp;DATE(Dashboard!$C$4,7,1),Transaksi!$B$16:$B$5015,"&lt;="&amp;EOMONTH(DATE(Dashboard!$C$4,7,1),0)))</f>
        <v/>
      </c>
      <c r="K79" s="165">
        <f>IF($C79="","",SUMIFS(Transaksi!$F$16:$F$5015,Transaksi!$G$16:$G$5015,$A79,Transaksi!$H$16:$H$5015,$B79,Transaksi!$I$16:$I$5015,$C79,Transaksi!$B$16:$B$5015,"&gt;="&amp;DATE(Dashboard!$C$4,8,1),Transaksi!$B$16:$B$5015,"&lt;="&amp;EOMONTH(DATE(Dashboard!$C$4,8,1),0)))</f>
        <v/>
      </c>
      <c r="L79" s="165">
        <f>IF($C79="","",SUMIFS(Transaksi!$F$16:$F$5015,Transaksi!$G$16:$G$5015,$A79,Transaksi!$H$16:$H$5015,$B79,Transaksi!$I$16:$I$5015,$C79,Transaksi!$B$16:$B$5015,"&gt;="&amp;DATE(Dashboard!$C$4,9,1),Transaksi!$B$16:$B$5015,"&lt;="&amp;EOMONTH(DATE(Dashboard!$C$4,9,1),0)))</f>
        <v/>
      </c>
      <c r="M79" s="165">
        <f>IF($C79="","",SUMIFS(Transaksi!$F$16:$F$5015,Transaksi!$G$16:$G$5015,$A79,Transaksi!$H$16:$H$5015,$B79,Transaksi!$I$16:$I$5015,$C79,Transaksi!$B$16:$B$5015,"&gt;="&amp;DATE(Dashboard!$C$4,10,1),Transaksi!$B$16:$B$5015,"&lt;="&amp;EOMONTH(DATE(Dashboard!$C$4,10,1),0)))</f>
        <v/>
      </c>
      <c r="N79" s="165">
        <f>IF($C79="","",SUMIFS(Transaksi!$F$16:$F$5015,Transaksi!$G$16:$G$5015,$A79,Transaksi!$H$16:$H$5015,$B79,Transaksi!$I$16:$I$5015,$C79,Transaksi!$B$16:$B$5015,"&gt;="&amp;DATE(Dashboard!$C$4,11,1),Transaksi!$B$16:$B$5015,"&lt;="&amp;EOMONTH(DATE(Dashboard!$C$4,11,1),0)))</f>
        <v/>
      </c>
      <c r="O79" s="165">
        <f>IF($C79="","",SUMIFS(Transaksi!$F$16:$F$5015,Transaksi!$G$16:$G$5015,$A79,Transaksi!$H$16:$H$5015,$B79,Transaksi!$I$16:$I$5015,$C79,Transaksi!$B$16:$B$5015,"&gt;="&amp;DATE(Dashboard!$C$4,12,1),Transaksi!$B$16:$B$5015,"&lt;="&amp;EOMONTH(DATE(Dashboard!$C$4,12,1),0)))</f>
        <v/>
      </c>
      <c r="P79" s="166">
        <f>IF($C79="","",SUM(D79:O79))</f>
        <v/>
      </c>
    </row>
    <row r="80" ht="15" customHeight="1" s="94">
      <c r="A80" s="164">
        <f>IF(Kategori!C80="","",Kategori!A80)</f>
        <v/>
      </c>
      <c r="B80" s="164">
        <f>IF(Kategori!C80="","",Kategori!B80)</f>
        <v/>
      </c>
      <c r="C80" s="108">
        <f>IF(Kategori!C80="","",Kategori!C80)</f>
        <v/>
      </c>
      <c r="D80" s="165">
        <f>IF($C80="","",SUMIFS(Transaksi!$F$16:$F$5015,Transaksi!$G$16:$G$5015,$A80,Transaksi!$H$16:$H$5015,$B80,Transaksi!$I$16:$I$5015,$C80,Transaksi!$B$16:$B$5015,"&gt;="&amp;DATE(Dashboard!$C$4,1,1),Transaksi!$B$16:$B$5015,"&lt;="&amp;EOMONTH(DATE(Dashboard!$C$4,1,1),0)))</f>
        <v/>
      </c>
      <c r="E80" s="165">
        <f>IF($C80="","",SUMIFS(Transaksi!$F$16:$F$5015,Transaksi!$G$16:$G$5015,$A80,Transaksi!$H$16:$H$5015,$B80,Transaksi!$I$16:$I$5015,$C80,Transaksi!$B$16:$B$5015,"&gt;="&amp;DATE(Dashboard!$C$4,2,1),Transaksi!$B$16:$B$5015,"&lt;="&amp;EOMONTH(DATE(Dashboard!$C$4,2,1),0)))</f>
        <v/>
      </c>
      <c r="F80" s="165">
        <f>IF($C80="","",SUMIFS(Transaksi!$F$16:$F$5015,Transaksi!$G$16:$G$5015,$A80,Transaksi!$H$16:$H$5015,$B80,Transaksi!$I$16:$I$5015,$C80,Transaksi!$B$16:$B$5015,"&gt;="&amp;DATE(Dashboard!$C$4,3,1),Transaksi!$B$16:$B$5015,"&lt;="&amp;EOMONTH(DATE(Dashboard!$C$4,3,1),0)))</f>
        <v/>
      </c>
      <c r="G80" s="165">
        <f>IF($C80="","",SUMIFS(Transaksi!$F$16:$F$5015,Transaksi!$G$16:$G$5015,$A80,Transaksi!$H$16:$H$5015,$B80,Transaksi!$I$16:$I$5015,$C80,Transaksi!$B$16:$B$5015,"&gt;="&amp;DATE(Dashboard!$C$4,4,1),Transaksi!$B$16:$B$5015,"&lt;="&amp;EOMONTH(DATE(Dashboard!$C$4,4,1),0)))</f>
        <v/>
      </c>
      <c r="H80" s="165">
        <f>IF($C80="","",SUMIFS(Transaksi!$F$16:$F$5015,Transaksi!$G$16:$G$5015,$A80,Transaksi!$H$16:$H$5015,$B80,Transaksi!$I$16:$I$5015,$C80,Transaksi!$B$16:$B$5015,"&gt;="&amp;DATE(Dashboard!$C$4,5,1),Transaksi!$B$16:$B$5015,"&lt;="&amp;EOMONTH(DATE(Dashboard!$C$4,5,1),0)))</f>
        <v/>
      </c>
      <c r="I80" s="165">
        <f>IF($C80="","",SUMIFS(Transaksi!$F$16:$F$5015,Transaksi!$G$16:$G$5015,$A80,Transaksi!$H$16:$H$5015,$B80,Transaksi!$I$16:$I$5015,$C80,Transaksi!$B$16:$B$5015,"&gt;="&amp;DATE(Dashboard!$C$4,6,1),Transaksi!$B$16:$B$5015,"&lt;="&amp;EOMONTH(DATE(Dashboard!$C$4,6,1),0)))</f>
        <v/>
      </c>
      <c r="J80" s="165">
        <f>IF($C80="","",SUMIFS(Transaksi!$F$16:$F$5015,Transaksi!$G$16:$G$5015,$A80,Transaksi!$H$16:$H$5015,$B80,Transaksi!$I$16:$I$5015,$C80,Transaksi!$B$16:$B$5015,"&gt;="&amp;DATE(Dashboard!$C$4,7,1),Transaksi!$B$16:$B$5015,"&lt;="&amp;EOMONTH(DATE(Dashboard!$C$4,7,1),0)))</f>
        <v/>
      </c>
      <c r="K80" s="165">
        <f>IF($C80="","",SUMIFS(Transaksi!$F$16:$F$5015,Transaksi!$G$16:$G$5015,$A80,Transaksi!$H$16:$H$5015,$B80,Transaksi!$I$16:$I$5015,$C80,Transaksi!$B$16:$B$5015,"&gt;="&amp;DATE(Dashboard!$C$4,8,1),Transaksi!$B$16:$B$5015,"&lt;="&amp;EOMONTH(DATE(Dashboard!$C$4,8,1),0)))</f>
        <v/>
      </c>
      <c r="L80" s="165">
        <f>IF($C80="","",SUMIFS(Transaksi!$F$16:$F$5015,Transaksi!$G$16:$G$5015,$A80,Transaksi!$H$16:$H$5015,$B80,Transaksi!$I$16:$I$5015,$C80,Transaksi!$B$16:$B$5015,"&gt;="&amp;DATE(Dashboard!$C$4,9,1),Transaksi!$B$16:$B$5015,"&lt;="&amp;EOMONTH(DATE(Dashboard!$C$4,9,1),0)))</f>
        <v/>
      </c>
      <c r="M80" s="165">
        <f>IF($C80="","",SUMIFS(Transaksi!$F$16:$F$5015,Transaksi!$G$16:$G$5015,$A80,Transaksi!$H$16:$H$5015,$B80,Transaksi!$I$16:$I$5015,$C80,Transaksi!$B$16:$B$5015,"&gt;="&amp;DATE(Dashboard!$C$4,10,1),Transaksi!$B$16:$B$5015,"&lt;="&amp;EOMONTH(DATE(Dashboard!$C$4,10,1),0)))</f>
        <v/>
      </c>
      <c r="N80" s="165">
        <f>IF($C80="","",SUMIFS(Transaksi!$F$16:$F$5015,Transaksi!$G$16:$G$5015,$A80,Transaksi!$H$16:$H$5015,$B80,Transaksi!$I$16:$I$5015,$C80,Transaksi!$B$16:$B$5015,"&gt;="&amp;DATE(Dashboard!$C$4,11,1),Transaksi!$B$16:$B$5015,"&lt;="&amp;EOMONTH(DATE(Dashboard!$C$4,11,1),0)))</f>
        <v/>
      </c>
      <c r="O80" s="165">
        <f>IF($C80="","",SUMIFS(Transaksi!$F$16:$F$5015,Transaksi!$G$16:$G$5015,$A80,Transaksi!$H$16:$H$5015,$B80,Transaksi!$I$16:$I$5015,$C80,Transaksi!$B$16:$B$5015,"&gt;="&amp;DATE(Dashboard!$C$4,12,1),Transaksi!$B$16:$B$5015,"&lt;="&amp;EOMONTH(DATE(Dashboard!$C$4,12,1),0)))</f>
        <v/>
      </c>
      <c r="P80" s="166">
        <f>IF($C80="","",SUM(D80:O80))</f>
        <v/>
      </c>
    </row>
    <row r="81" ht="15" customHeight="1" s="94">
      <c r="A81" s="164">
        <f>IF(Kategori!C81="","",Kategori!A81)</f>
        <v/>
      </c>
      <c r="B81" s="164">
        <f>IF(Kategori!C81="","",Kategori!B81)</f>
        <v/>
      </c>
      <c r="C81" s="108">
        <f>IF(Kategori!C81="","",Kategori!C81)</f>
        <v/>
      </c>
      <c r="D81" s="165">
        <f>IF($C81="","",SUMIFS(Transaksi!$F$16:$F$5015,Transaksi!$G$16:$G$5015,$A81,Transaksi!$H$16:$H$5015,$B81,Transaksi!$I$16:$I$5015,$C81,Transaksi!$B$16:$B$5015,"&gt;="&amp;DATE(Dashboard!$C$4,1,1),Transaksi!$B$16:$B$5015,"&lt;="&amp;EOMONTH(DATE(Dashboard!$C$4,1,1),0)))</f>
        <v/>
      </c>
      <c r="E81" s="165">
        <f>IF($C81="","",SUMIFS(Transaksi!$F$16:$F$5015,Transaksi!$G$16:$G$5015,$A81,Transaksi!$H$16:$H$5015,$B81,Transaksi!$I$16:$I$5015,$C81,Transaksi!$B$16:$B$5015,"&gt;="&amp;DATE(Dashboard!$C$4,2,1),Transaksi!$B$16:$B$5015,"&lt;="&amp;EOMONTH(DATE(Dashboard!$C$4,2,1),0)))</f>
        <v/>
      </c>
      <c r="F81" s="165">
        <f>IF($C81="","",SUMIFS(Transaksi!$F$16:$F$5015,Transaksi!$G$16:$G$5015,$A81,Transaksi!$H$16:$H$5015,$B81,Transaksi!$I$16:$I$5015,$C81,Transaksi!$B$16:$B$5015,"&gt;="&amp;DATE(Dashboard!$C$4,3,1),Transaksi!$B$16:$B$5015,"&lt;="&amp;EOMONTH(DATE(Dashboard!$C$4,3,1),0)))</f>
        <v/>
      </c>
      <c r="G81" s="165">
        <f>IF($C81="","",SUMIFS(Transaksi!$F$16:$F$5015,Transaksi!$G$16:$G$5015,$A81,Transaksi!$H$16:$H$5015,$B81,Transaksi!$I$16:$I$5015,$C81,Transaksi!$B$16:$B$5015,"&gt;="&amp;DATE(Dashboard!$C$4,4,1),Transaksi!$B$16:$B$5015,"&lt;="&amp;EOMONTH(DATE(Dashboard!$C$4,4,1),0)))</f>
        <v/>
      </c>
      <c r="H81" s="165">
        <f>IF($C81="","",SUMIFS(Transaksi!$F$16:$F$5015,Transaksi!$G$16:$G$5015,$A81,Transaksi!$H$16:$H$5015,$B81,Transaksi!$I$16:$I$5015,$C81,Transaksi!$B$16:$B$5015,"&gt;="&amp;DATE(Dashboard!$C$4,5,1),Transaksi!$B$16:$B$5015,"&lt;="&amp;EOMONTH(DATE(Dashboard!$C$4,5,1),0)))</f>
        <v/>
      </c>
      <c r="I81" s="165">
        <f>IF($C81="","",SUMIFS(Transaksi!$F$16:$F$5015,Transaksi!$G$16:$G$5015,$A81,Transaksi!$H$16:$H$5015,$B81,Transaksi!$I$16:$I$5015,$C81,Transaksi!$B$16:$B$5015,"&gt;="&amp;DATE(Dashboard!$C$4,6,1),Transaksi!$B$16:$B$5015,"&lt;="&amp;EOMONTH(DATE(Dashboard!$C$4,6,1),0)))</f>
        <v/>
      </c>
      <c r="J81" s="165">
        <f>IF($C81="","",SUMIFS(Transaksi!$F$16:$F$5015,Transaksi!$G$16:$G$5015,$A81,Transaksi!$H$16:$H$5015,$B81,Transaksi!$I$16:$I$5015,$C81,Transaksi!$B$16:$B$5015,"&gt;="&amp;DATE(Dashboard!$C$4,7,1),Transaksi!$B$16:$B$5015,"&lt;="&amp;EOMONTH(DATE(Dashboard!$C$4,7,1),0)))</f>
        <v/>
      </c>
      <c r="K81" s="165">
        <f>IF($C81="","",SUMIFS(Transaksi!$F$16:$F$5015,Transaksi!$G$16:$G$5015,$A81,Transaksi!$H$16:$H$5015,$B81,Transaksi!$I$16:$I$5015,$C81,Transaksi!$B$16:$B$5015,"&gt;="&amp;DATE(Dashboard!$C$4,8,1),Transaksi!$B$16:$B$5015,"&lt;="&amp;EOMONTH(DATE(Dashboard!$C$4,8,1),0)))</f>
        <v/>
      </c>
      <c r="L81" s="165">
        <f>IF($C81="","",SUMIFS(Transaksi!$F$16:$F$5015,Transaksi!$G$16:$G$5015,$A81,Transaksi!$H$16:$H$5015,$B81,Transaksi!$I$16:$I$5015,$C81,Transaksi!$B$16:$B$5015,"&gt;="&amp;DATE(Dashboard!$C$4,9,1),Transaksi!$B$16:$B$5015,"&lt;="&amp;EOMONTH(DATE(Dashboard!$C$4,9,1),0)))</f>
        <v/>
      </c>
      <c r="M81" s="165">
        <f>IF($C81="","",SUMIFS(Transaksi!$F$16:$F$5015,Transaksi!$G$16:$G$5015,$A81,Transaksi!$H$16:$H$5015,$B81,Transaksi!$I$16:$I$5015,$C81,Transaksi!$B$16:$B$5015,"&gt;="&amp;DATE(Dashboard!$C$4,10,1),Transaksi!$B$16:$B$5015,"&lt;="&amp;EOMONTH(DATE(Dashboard!$C$4,10,1),0)))</f>
        <v/>
      </c>
      <c r="N81" s="165">
        <f>IF($C81="","",SUMIFS(Transaksi!$F$16:$F$5015,Transaksi!$G$16:$G$5015,$A81,Transaksi!$H$16:$H$5015,$B81,Transaksi!$I$16:$I$5015,$C81,Transaksi!$B$16:$B$5015,"&gt;="&amp;DATE(Dashboard!$C$4,11,1),Transaksi!$B$16:$B$5015,"&lt;="&amp;EOMONTH(DATE(Dashboard!$C$4,11,1),0)))</f>
        <v/>
      </c>
      <c r="O81" s="165">
        <f>IF($C81="","",SUMIFS(Transaksi!$F$16:$F$5015,Transaksi!$G$16:$G$5015,$A81,Transaksi!$H$16:$H$5015,$B81,Transaksi!$I$16:$I$5015,$C81,Transaksi!$B$16:$B$5015,"&gt;="&amp;DATE(Dashboard!$C$4,12,1),Transaksi!$B$16:$B$5015,"&lt;="&amp;EOMONTH(DATE(Dashboard!$C$4,12,1),0)))</f>
        <v/>
      </c>
      <c r="P81" s="166">
        <f>IF($C81="","",SUM(D81:O81))</f>
        <v/>
      </c>
    </row>
    <row r="82" ht="15" customHeight="1" s="94">
      <c r="A82" s="164">
        <f>IF(Kategori!C82="","",Kategori!A82)</f>
        <v/>
      </c>
      <c r="B82" s="164">
        <f>IF(Kategori!C82="","",Kategori!B82)</f>
        <v/>
      </c>
      <c r="C82" s="108">
        <f>IF(Kategori!C82="","",Kategori!C82)</f>
        <v/>
      </c>
      <c r="D82" s="165">
        <f>IF($C82="","",SUMIFS(Transaksi!$F$16:$F$5015,Transaksi!$G$16:$G$5015,$A82,Transaksi!$H$16:$H$5015,$B82,Transaksi!$I$16:$I$5015,$C82,Transaksi!$B$16:$B$5015,"&gt;="&amp;DATE(Dashboard!$C$4,1,1),Transaksi!$B$16:$B$5015,"&lt;="&amp;EOMONTH(DATE(Dashboard!$C$4,1,1),0)))</f>
        <v/>
      </c>
      <c r="E82" s="165">
        <f>IF($C82="","",SUMIFS(Transaksi!$F$16:$F$5015,Transaksi!$G$16:$G$5015,$A82,Transaksi!$H$16:$H$5015,$B82,Transaksi!$I$16:$I$5015,$C82,Transaksi!$B$16:$B$5015,"&gt;="&amp;DATE(Dashboard!$C$4,2,1),Transaksi!$B$16:$B$5015,"&lt;="&amp;EOMONTH(DATE(Dashboard!$C$4,2,1),0)))</f>
        <v/>
      </c>
      <c r="F82" s="165">
        <f>IF($C82="","",SUMIFS(Transaksi!$F$16:$F$5015,Transaksi!$G$16:$G$5015,$A82,Transaksi!$H$16:$H$5015,$B82,Transaksi!$I$16:$I$5015,$C82,Transaksi!$B$16:$B$5015,"&gt;="&amp;DATE(Dashboard!$C$4,3,1),Transaksi!$B$16:$B$5015,"&lt;="&amp;EOMONTH(DATE(Dashboard!$C$4,3,1),0)))</f>
        <v/>
      </c>
      <c r="G82" s="165">
        <f>IF($C82="","",SUMIFS(Transaksi!$F$16:$F$5015,Transaksi!$G$16:$G$5015,$A82,Transaksi!$H$16:$H$5015,$B82,Transaksi!$I$16:$I$5015,$C82,Transaksi!$B$16:$B$5015,"&gt;="&amp;DATE(Dashboard!$C$4,4,1),Transaksi!$B$16:$B$5015,"&lt;="&amp;EOMONTH(DATE(Dashboard!$C$4,4,1),0)))</f>
        <v/>
      </c>
      <c r="H82" s="165">
        <f>IF($C82="","",SUMIFS(Transaksi!$F$16:$F$5015,Transaksi!$G$16:$G$5015,$A82,Transaksi!$H$16:$H$5015,$B82,Transaksi!$I$16:$I$5015,$C82,Transaksi!$B$16:$B$5015,"&gt;="&amp;DATE(Dashboard!$C$4,5,1),Transaksi!$B$16:$B$5015,"&lt;="&amp;EOMONTH(DATE(Dashboard!$C$4,5,1),0)))</f>
        <v/>
      </c>
      <c r="I82" s="165">
        <f>IF($C82="","",SUMIFS(Transaksi!$F$16:$F$5015,Transaksi!$G$16:$G$5015,$A82,Transaksi!$H$16:$H$5015,$B82,Transaksi!$I$16:$I$5015,$C82,Transaksi!$B$16:$B$5015,"&gt;="&amp;DATE(Dashboard!$C$4,6,1),Transaksi!$B$16:$B$5015,"&lt;="&amp;EOMONTH(DATE(Dashboard!$C$4,6,1),0)))</f>
        <v/>
      </c>
      <c r="J82" s="165">
        <f>IF($C82="","",SUMIFS(Transaksi!$F$16:$F$5015,Transaksi!$G$16:$G$5015,$A82,Transaksi!$H$16:$H$5015,$B82,Transaksi!$I$16:$I$5015,$C82,Transaksi!$B$16:$B$5015,"&gt;="&amp;DATE(Dashboard!$C$4,7,1),Transaksi!$B$16:$B$5015,"&lt;="&amp;EOMONTH(DATE(Dashboard!$C$4,7,1),0)))</f>
        <v/>
      </c>
      <c r="K82" s="165">
        <f>IF($C82="","",SUMIFS(Transaksi!$F$16:$F$5015,Transaksi!$G$16:$G$5015,$A82,Transaksi!$H$16:$H$5015,$B82,Transaksi!$I$16:$I$5015,$C82,Transaksi!$B$16:$B$5015,"&gt;="&amp;DATE(Dashboard!$C$4,8,1),Transaksi!$B$16:$B$5015,"&lt;="&amp;EOMONTH(DATE(Dashboard!$C$4,8,1),0)))</f>
        <v/>
      </c>
      <c r="L82" s="165">
        <f>IF($C82="","",SUMIFS(Transaksi!$F$16:$F$5015,Transaksi!$G$16:$G$5015,$A82,Transaksi!$H$16:$H$5015,$B82,Transaksi!$I$16:$I$5015,$C82,Transaksi!$B$16:$B$5015,"&gt;="&amp;DATE(Dashboard!$C$4,9,1),Transaksi!$B$16:$B$5015,"&lt;="&amp;EOMONTH(DATE(Dashboard!$C$4,9,1),0)))</f>
        <v/>
      </c>
      <c r="M82" s="165">
        <f>IF($C82="","",SUMIFS(Transaksi!$F$16:$F$5015,Transaksi!$G$16:$G$5015,$A82,Transaksi!$H$16:$H$5015,$B82,Transaksi!$I$16:$I$5015,$C82,Transaksi!$B$16:$B$5015,"&gt;="&amp;DATE(Dashboard!$C$4,10,1),Transaksi!$B$16:$B$5015,"&lt;="&amp;EOMONTH(DATE(Dashboard!$C$4,10,1),0)))</f>
        <v/>
      </c>
      <c r="N82" s="165">
        <f>IF($C82="","",SUMIFS(Transaksi!$F$16:$F$5015,Transaksi!$G$16:$G$5015,$A82,Transaksi!$H$16:$H$5015,$B82,Transaksi!$I$16:$I$5015,$C82,Transaksi!$B$16:$B$5015,"&gt;="&amp;DATE(Dashboard!$C$4,11,1),Transaksi!$B$16:$B$5015,"&lt;="&amp;EOMONTH(DATE(Dashboard!$C$4,11,1),0)))</f>
        <v/>
      </c>
      <c r="O82" s="165">
        <f>IF($C82="","",SUMIFS(Transaksi!$F$16:$F$5015,Transaksi!$G$16:$G$5015,$A82,Transaksi!$H$16:$H$5015,$B82,Transaksi!$I$16:$I$5015,$C82,Transaksi!$B$16:$B$5015,"&gt;="&amp;DATE(Dashboard!$C$4,12,1),Transaksi!$B$16:$B$5015,"&lt;="&amp;EOMONTH(DATE(Dashboard!$C$4,12,1),0)))</f>
        <v/>
      </c>
      <c r="P82" s="166">
        <f>IF($C82="","",SUM(D82:O82))</f>
        <v/>
      </c>
    </row>
    <row r="83" ht="15" customHeight="1" s="94">
      <c r="A83" s="164">
        <f>IF(Kategori!C83="","",Kategori!A83)</f>
        <v/>
      </c>
      <c r="B83" s="164">
        <f>IF(Kategori!C83="","",Kategori!B83)</f>
        <v/>
      </c>
      <c r="C83" s="108">
        <f>IF(Kategori!C83="","",Kategori!C83)</f>
        <v/>
      </c>
      <c r="D83" s="165">
        <f>IF($C83="","",SUMIFS(Transaksi!$F$16:$F$5015,Transaksi!$G$16:$G$5015,$A83,Transaksi!$H$16:$H$5015,$B83,Transaksi!$I$16:$I$5015,$C83,Transaksi!$B$16:$B$5015,"&gt;="&amp;DATE(Dashboard!$C$4,1,1),Transaksi!$B$16:$B$5015,"&lt;="&amp;EOMONTH(DATE(Dashboard!$C$4,1,1),0)))</f>
        <v/>
      </c>
      <c r="E83" s="165">
        <f>IF($C83="","",SUMIFS(Transaksi!$F$16:$F$5015,Transaksi!$G$16:$G$5015,$A83,Transaksi!$H$16:$H$5015,$B83,Transaksi!$I$16:$I$5015,$C83,Transaksi!$B$16:$B$5015,"&gt;="&amp;DATE(Dashboard!$C$4,2,1),Transaksi!$B$16:$B$5015,"&lt;="&amp;EOMONTH(DATE(Dashboard!$C$4,2,1),0)))</f>
        <v/>
      </c>
      <c r="F83" s="165">
        <f>IF($C83="","",SUMIFS(Transaksi!$F$16:$F$5015,Transaksi!$G$16:$G$5015,$A83,Transaksi!$H$16:$H$5015,$B83,Transaksi!$I$16:$I$5015,$C83,Transaksi!$B$16:$B$5015,"&gt;="&amp;DATE(Dashboard!$C$4,3,1),Transaksi!$B$16:$B$5015,"&lt;="&amp;EOMONTH(DATE(Dashboard!$C$4,3,1),0)))</f>
        <v/>
      </c>
      <c r="G83" s="165">
        <f>IF($C83="","",SUMIFS(Transaksi!$F$16:$F$5015,Transaksi!$G$16:$G$5015,$A83,Transaksi!$H$16:$H$5015,$B83,Transaksi!$I$16:$I$5015,$C83,Transaksi!$B$16:$B$5015,"&gt;="&amp;DATE(Dashboard!$C$4,4,1),Transaksi!$B$16:$B$5015,"&lt;="&amp;EOMONTH(DATE(Dashboard!$C$4,4,1),0)))</f>
        <v/>
      </c>
      <c r="H83" s="165">
        <f>IF($C83="","",SUMIFS(Transaksi!$F$16:$F$5015,Transaksi!$G$16:$G$5015,$A83,Transaksi!$H$16:$H$5015,$B83,Transaksi!$I$16:$I$5015,$C83,Transaksi!$B$16:$B$5015,"&gt;="&amp;DATE(Dashboard!$C$4,5,1),Transaksi!$B$16:$B$5015,"&lt;="&amp;EOMONTH(DATE(Dashboard!$C$4,5,1),0)))</f>
        <v/>
      </c>
      <c r="I83" s="165">
        <f>IF($C83="","",SUMIFS(Transaksi!$F$16:$F$5015,Transaksi!$G$16:$G$5015,$A83,Transaksi!$H$16:$H$5015,$B83,Transaksi!$I$16:$I$5015,$C83,Transaksi!$B$16:$B$5015,"&gt;="&amp;DATE(Dashboard!$C$4,6,1),Transaksi!$B$16:$B$5015,"&lt;="&amp;EOMONTH(DATE(Dashboard!$C$4,6,1),0)))</f>
        <v/>
      </c>
      <c r="J83" s="165">
        <f>IF($C83="","",SUMIFS(Transaksi!$F$16:$F$5015,Transaksi!$G$16:$G$5015,$A83,Transaksi!$H$16:$H$5015,$B83,Transaksi!$I$16:$I$5015,$C83,Transaksi!$B$16:$B$5015,"&gt;="&amp;DATE(Dashboard!$C$4,7,1),Transaksi!$B$16:$B$5015,"&lt;="&amp;EOMONTH(DATE(Dashboard!$C$4,7,1),0)))</f>
        <v/>
      </c>
      <c r="K83" s="165">
        <f>IF($C83="","",SUMIFS(Transaksi!$F$16:$F$5015,Transaksi!$G$16:$G$5015,$A83,Transaksi!$H$16:$H$5015,$B83,Transaksi!$I$16:$I$5015,$C83,Transaksi!$B$16:$B$5015,"&gt;="&amp;DATE(Dashboard!$C$4,8,1),Transaksi!$B$16:$B$5015,"&lt;="&amp;EOMONTH(DATE(Dashboard!$C$4,8,1),0)))</f>
        <v/>
      </c>
      <c r="L83" s="165">
        <f>IF($C83="","",SUMIFS(Transaksi!$F$16:$F$5015,Transaksi!$G$16:$G$5015,$A83,Transaksi!$H$16:$H$5015,$B83,Transaksi!$I$16:$I$5015,$C83,Transaksi!$B$16:$B$5015,"&gt;="&amp;DATE(Dashboard!$C$4,9,1),Transaksi!$B$16:$B$5015,"&lt;="&amp;EOMONTH(DATE(Dashboard!$C$4,9,1),0)))</f>
        <v/>
      </c>
      <c r="M83" s="165">
        <f>IF($C83="","",SUMIFS(Transaksi!$F$16:$F$5015,Transaksi!$G$16:$G$5015,$A83,Transaksi!$H$16:$H$5015,$B83,Transaksi!$I$16:$I$5015,$C83,Transaksi!$B$16:$B$5015,"&gt;="&amp;DATE(Dashboard!$C$4,10,1),Transaksi!$B$16:$B$5015,"&lt;="&amp;EOMONTH(DATE(Dashboard!$C$4,10,1),0)))</f>
        <v/>
      </c>
      <c r="N83" s="165">
        <f>IF($C83="","",SUMIFS(Transaksi!$F$16:$F$5015,Transaksi!$G$16:$G$5015,$A83,Transaksi!$H$16:$H$5015,$B83,Transaksi!$I$16:$I$5015,$C83,Transaksi!$B$16:$B$5015,"&gt;="&amp;DATE(Dashboard!$C$4,11,1),Transaksi!$B$16:$B$5015,"&lt;="&amp;EOMONTH(DATE(Dashboard!$C$4,11,1),0)))</f>
        <v/>
      </c>
      <c r="O83" s="165">
        <f>IF($C83="","",SUMIFS(Transaksi!$F$16:$F$5015,Transaksi!$G$16:$G$5015,$A83,Transaksi!$H$16:$H$5015,$B83,Transaksi!$I$16:$I$5015,$C83,Transaksi!$B$16:$B$5015,"&gt;="&amp;DATE(Dashboard!$C$4,12,1),Transaksi!$B$16:$B$5015,"&lt;="&amp;EOMONTH(DATE(Dashboard!$C$4,12,1),0)))</f>
        <v/>
      </c>
      <c r="P83" s="166">
        <f>IF($C83="","",SUM(D83:O83))</f>
        <v/>
      </c>
    </row>
    <row r="84" ht="15" customHeight="1" s="94">
      <c r="A84" s="164">
        <f>IF(Kategori!C84="","",Kategori!A84)</f>
        <v/>
      </c>
      <c r="B84" s="164">
        <f>IF(Kategori!C84="","",Kategori!B84)</f>
        <v/>
      </c>
      <c r="C84" s="108">
        <f>IF(Kategori!C84="","",Kategori!C84)</f>
        <v/>
      </c>
      <c r="D84" s="165">
        <f>IF($C84="","",SUMIFS(Transaksi!$F$16:$F$5015,Transaksi!$G$16:$G$5015,$A84,Transaksi!$H$16:$H$5015,$B84,Transaksi!$I$16:$I$5015,$C84,Transaksi!$B$16:$B$5015,"&gt;="&amp;DATE(Dashboard!$C$4,1,1),Transaksi!$B$16:$B$5015,"&lt;="&amp;EOMONTH(DATE(Dashboard!$C$4,1,1),0)))</f>
        <v/>
      </c>
      <c r="E84" s="165">
        <f>IF($C84="","",SUMIFS(Transaksi!$F$16:$F$5015,Transaksi!$G$16:$G$5015,$A84,Transaksi!$H$16:$H$5015,$B84,Transaksi!$I$16:$I$5015,$C84,Transaksi!$B$16:$B$5015,"&gt;="&amp;DATE(Dashboard!$C$4,2,1),Transaksi!$B$16:$B$5015,"&lt;="&amp;EOMONTH(DATE(Dashboard!$C$4,2,1),0)))</f>
        <v/>
      </c>
      <c r="F84" s="165">
        <f>IF($C84="","",SUMIFS(Transaksi!$F$16:$F$5015,Transaksi!$G$16:$G$5015,$A84,Transaksi!$H$16:$H$5015,$B84,Transaksi!$I$16:$I$5015,$C84,Transaksi!$B$16:$B$5015,"&gt;="&amp;DATE(Dashboard!$C$4,3,1),Transaksi!$B$16:$B$5015,"&lt;="&amp;EOMONTH(DATE(Dashboard!$C$4,3,1),0)))</f>
        <v/>
      </c>
      <c r="G84" s="165">
        <f>IF($C84="","",SUMIFS(Transaksi!$F$16:$F$5015,Transaksi!$G$16:$G$5015,$A84,Transaksi!$H$16:$H$5015,$B84,Transaksi!$I$16:$I$5015,$C84,Transaksi!$B$16:$B$5015,"&gt;="&amp;DATE(Dashboard!$C$4,4,1),Transaksi!$B$16:$B$5015,"&lt;="&amp;EOMONTH(DATE(Dashboard!$C$4,4,1),0)))</f>
        <v/>
      </c>
      <c r="H84" s="165">
        <f>IF($C84="","",SUMIFS(Transaksi!$F$16:$F$5015,Transaksi!$G$16:$G$5015,$A84,Transaksi!$H$16:$H$5015,$B84,Transaksi!$I$16:$I$5015,$C84,Transaksi!$B$16:$B$5015,"&gt;="&amp;DATE(Dashboard!$C$4,5,1),Transaksi!$B$16:$B$5015,"&lt;="&amp;EOMONTH(DATE(Dashboard!$C$4,5,1),0)))</f>
        <v/>
      </c>
      <c r="I84" s="165">
        <f>IF($C84="","",SUMIFS(Transaksi!$F$16:$F$5015,Transaksi!$G$16:$G$5015,$A84,Transaksi!$H$16:$H$5015,$B84,Transaksi!$I$16:$I$5015,$C84,Transaksi!$B$16:$B$5015,"&gt;="&amp;DATE(Dashboard!$C$4,6,1),Transaksi!$B$16:$B$5015,"&lt;="&amp;EOMONTH(DATE(Dashboard!$C$4,6,1),0)))</f>
        <v/>
      </c>
      <c r="J84" s="165">
        <f>IF($C84="","",SUMIFS(Transaksi!$F$16:$F$5015,Transaksi!$G$16:$G$5015,$A84,Transaksi!$H$16:$H$5015,$B84,Transaksi!$I$16:$I$5015,$C84,Transaksi!$B$16:$B$5015,"&gt;="&amp;DATE(Dashboard!$C$4,7,1),Transaksi!$B$16:$B$5015,"&lt;="&amp;EOMONTH(DATE(Dashboard!$C$4,7,1),0)))</f>
        <v/>
      </c>
      <c r="K84" s="165">
        <f>IF($C84="","",SUMIFS(Transaksi!$F$16:$F$5015,Transaksi!$G$16:$G$5015,$A84,Transaksi!$H$16:$H$5015,$B84,Transaksi!$I$16:$I$5015,$C84,Transaksi!$B$16:$B$5015,"&gt;="&amp;DATE(Dashboard!$C$4,8,1),Transaksi!$B$16:$B$5015,"&lt;="&amp;EOMONTH(DATE(Dashboard!$C$4,8,1),0)))</f>
        <v/>
      </c>
      <c r="L84" s="165">
        <f>IF($C84="","",SUMIFS(Transaksi!$F$16:$F$5015,Transaksi!$G$16:$G$5015,$A84,Transaksi!$H$16:$H$5015,$B84,Transaksi!$I$16:$I$5015,$C84,Transaksi!$B$16:$B$5015,"&gt;="&amp;DATE(Dashboard!$C$4,9,1),Transaksi!$B$16:$B$5015,"&lt;="&amp;EOMONTH(DATE(Dashboard!$C$4,9,1),0)))</f>
        <v/>
      </c>
      <c r="M84" s="165">
        <f>IF($C84="","",SUMIFS(Transaksi!$F$16:$F$5015,Transaksi!$G$16:$G$5015,$A84,Transaksi!$H$16:$H$5015,$B84,Transaksi!$I$16:$I$5015,$C84,Transaksi!$B$16:$B$5015,"&gt;="&amp;DATE(Dashboard!$C$4,10,1),Transaksi!$B$16:$B$5015,"&lt;="&amp;EOMONTH(DATE(Dashboard!$C$4,10,1),0)))</f>
        <v/>
      </c>
      <c r="N84" s="165">
        <f>IF($C84="","",SUMIFS(Transaksi!$F$16:$F$5015,Transaksi!$G$16:$G$5015,$A84,Transaksi!$H$16:$H$5015,$B84,Transaksi!$I$16:$I$5015,$C84,Transaksi!$B$16:$B$5015,"&gt;="&amp;DATE(Dashboard!$C$4,11,1),Transaksi!$B$16:$B$5015,"&lt;="&amp;EOMONTH(DATE(Dashboard!$C$4,11,1),0)))</f>
        <v/>
      </c>
      <c r="O84" s="165">
        <f>IF($C84="","",SUMIFS(Transaksi!$F$16:$F$5015,Transaksi!$G$16:$G$5015,$A84,Transaksi!$H$16:$H$5015,$B84,Transaksi!$I$16:$I$5015,$C84,Transaksi!$B$16:$B$5015,"&gt;="&amp;DATE(Dashboard!$C$4,12,1),Transaksi!$B$16:$B$5015,"&lt;="&amp;EOMONTH(DATE(Dashboard!$C$4,12,1),0)))</f>
        <v/>
      </c>
      <c r="P84" s="166">
        <f>IF($C84="","",SUM(D84:O84))</f>
        <v/>
      </c>
    </row>
    <row r="85" ht="15" customHeight="1" s="94">
      <c r="A85" s="164">
        <f>IF(Kategori!C85="","",Kategori!A85)</f>
        <v/>
      </c>
      <c r="B85" s="164">
        <f>IF(Kategori!C85="","",Kategori!B85)</f>
        <v/>
      </c>
      <c r="C85" s="108">
        <f>IF(Kategori!C85="","",Kategori!C85)</f>
        <v/>
      </c>
      <c r="D85" s="165">
        <f>IF($C85="","",SUMIFS(Transaksi!$F$16:$F$5015,Transaksi!$G$16:$G$5015,$A85,Transaksi!$H$16:$H$5015,$B85,Transaksi!$I$16:$I$5015,$C85,Transaksi!$B$16:$B$5015,"&gt;="&amp;DATE(Dashboard!$C$4,1,1),Transaksi!$B$16:$B$5015,"&lt;="&amp;EOMONTH(DATE(Dashboard!$C$4,1,1),0)))</f>
        <v/>
      </c>
      <c r="E85" s="165">
        <f>IF($C85="","",SUMIFS(Transaksi!$F$16:$F$5015,Transaksi!$G$16:$G$5015,$A85,Transaksi!$H$16:$H$5015,$B85,Transaksi!$I$16:$I$5015,$C85,Transaksi!$B$16:$B$5015,"&gt;="&amp;DATE(Dashboard!$C$4,2,1),Transaksi!$B$16:$B$5015,"&lt;="&amp;EOMONTH(DATE(Dashboard!$C$4,2,1),0)))</f>
        <v/>
      </c>
      <c r="F85" s="165">
        <f>IF($C85="","",SUMIFS(Transaksi!$F$16:$F$5015,Transaksi!$G$16:$G$5015,$A85,Transaksi!$H$16:$H$5015,$B85,Transaksi!$I$16:$I$5015,$C85,Transaksi!$B$16:$B$5015,"&gt;="&amp;DATE(Dashboard!$C$4,3,1),Transaksi!$B$16:$B$5015,"&lt;="&amp;EOMONTH(DATE(Dashboard!$C$4,3,1),0)))</f>
        <v/>
      </c>
      <c r="G85" s="165">
        <f>IF($C85="","",SUMIFS(Transaksi!$F$16:$F$5015,Transaksi!$G$16:$G$5015,$A85,Transaksi!$H$16:$H$5015,$B85,Transaksi!$I$16:$I$5015,$C85,Transaksi!$B$16:$B$5015,"&gt;="&amp;DATE(Dashboard!$C$4,4,1),Transaksi!$B$16:$B$5015,"&lt;="&amp;EOMONTH(DATE(Dashboard!$C$4,4,1),0)))</f>
        <v/>
      </c>
      <c r="H85" s="165">
        <f>IF($C85="","",SUMIFS(Transaksi!$F$16:$F$5015,Transaksi!$G$16:$G$5015,$A85,Transaksi!$H$16:$H$5015,$B85,Transaksi!$I$16:$I$5015,$C85,Transaksi!$B$16:$B$5015,"&gt;="&amp;DATE(Dashboard!$C$4,5,1),Transaksi!$B$16:$B$5015,"&lt;="&amp;EOMONTH(DATE(Dashboard!$C$4,5,1),0)))</f>
        <v/>
      </c>
      <c r="I85" s="165">
        <f>IF($C85="","",SUMIFS(Transaksi!$F$16:$F$5015,Transaksi!$G$16:$G$5015,$A85,Transaksi!$H$16:$H$5015,$B85,Transaksi!$I$16:$I$5015,$C85,Transaksi!$B$16:$B$5015,"&gt;="&amp;DATE(Dashboard!$C$4,6,1),Transaksi!$B$16:$B$5015,"&lt;="&amp;EOMONTH(DATE(Dashboard!$C$4,6,1),0)))</f>
        <v/>
      </c>
      <c r="J85" s="165">
        <f>IF($C85="","",SUMIFS(Transaksi!$F$16:$F$5015,Transaksi!$G$16:$G$5015,$A85,Transaksi!$H$16:$H$5015,$B85,Transaksi!$I$16:$I$5015,$C85,Transaksi!$B$16:$B$5015,"&gt;="&amp;DATE(Dashboard!$C$4,7,1),Transaksi!$B$16:$B$5015,"&lt;="&amp;EOMONTH(DATE(Dashboard!$C$4,7,1),0)))</f>
        <v/>
      </c>
      <c r="K85" s="165">
        <f>IF($C85="","",SUMIFS(Transaksi!$F$16:$F$5015,Transaksi!$G$16:$G$5015,$A85,Transaksi!$H$16:$H$5015,$B85,Transaksi!$I$16:$I$5015,$C85,Transaksi!$B$16:$B$5015,"&gt;="&amp;DATE(Dashboard!$C$4,8,1),Transaksi!$B$16:$B$5015,"&lt;="&amp;EOMONTH(DATE(Dashboard!$C$4,8,1),0)))</f>
        <v/>
      </c>
      <c r="L85" s="165">
        <f>IF($C85="","",SUMIFS(Transaksi!$F$16:$F$5015,Transaksi!$G$16:$G$5015,$A85,Transaksi!$H$16:$H$5015,$B85,Transaksi!$I$16:$I$5015,$C85,Transaksi!$B$16:$B$5015,"&gt;="&amp;DATE(Dashboard!$C$4,9,1),Transaksi!$B$16:$B$5015,"&lt;="&amp;EOMONTH(DATE(Dashboard!$C$4,9,1),0)))</f>
        <v/>
      </c>
      <c r="M85" s="165">
        <f>IF($C85="","",SUMIFS(Transaksi!$F$16:$F$5015,Transaksi!$G$16:$G$5015,$A85,Transaksi!$H$16:$H$5015,$B85,Transaksi!$I$16:$I$5015,$C85,Transaksi!$B$16:$B$5015,"&gt;="&amp;DATE(Dashboard!$C$4,10,1),Transaksi!$B$16:$B$5015,"&lt;="&amp;EOMONTH(DATE(Dashboard!$C$4,10,1),0)))</f>
        <v/>
      </c>
      <c r="N85" s="165">
        <f>IF($C85="","",SUMIFS(Transaksi!$F$16:$F$5015,Transaksi!$G$16:$G$5015,$A85,Transaksi!$H$16:$H$5015,$B85,Transaksi!$I$16:$I$5015,$C85,Transaksi!$B$16:$B$5015,"&gt;="&amp;DATE(Dashboard!$C$4,11,1),Transaksi!$B$16:$B$5015,"&lt;="&amp;EOMONTH(DATE(Dashboard!$C$4,11,1),0)))</f>
        <v/>
      </c>
      <c r="O85" s="165">
        <f>IF($C85="","",SUMIFS(Transaksi!$F$16:$F$5015,Transaksi!$G$16:$G$5015,$A85,Transaksi!$H$16:$H$5015,$B85,Transaksi!$I$16:$I$5015,$C85,Transaksi!$B$16:$B$5015,"&gt;="&amp;DATE(Dashboard!$C$4,12,1),Transaksi!$B$16:$B$5015,"&lt;="&amp;EOMONTH(DATE(Dashboard!$C$4,12,1),0)))</f>
        <v/>
      </c>
      <c r="P85" s="166">
        <f>IF($C85="","",SUM(D85:O85))</f>
        <v/>
      </c>
    </row>
    <row r="86" ht="15" customHeight="1" s="94">
      <c r="A86" s="164">
        <f>IF(Kategori!C86="","",Kategori!A86)</f>
        <v/>
      </c>
      <c r="B86" s="164">
        <f>IF(Kategori!C86="","",Kategori!B86)</f>
        <v/>
      </c>
      <c r="C86" s="108">
        <f>IF(Kategori!C86="","",Kategori!C86)</f>
        <v/>
      </c>
      <c r="D86" s="165">
        <f>IF($C86="","",SUMIFS(Transaksi!$F$16:$F$5015,Transaksi!$G$16:$G$5015,$A86,Transaksi!$H$16:$H$5015,$B86,Transaksi!$I$16:$I$5015,$C86,Transaksi!$B$16:$B$5015,"&gt;="&amp;DATE(Dashboard!$C$4,1,1),Transaksi!$B$16:$B$5015,"&lt;="&amp;EOMONTH(DATE(Dashboard!$C$4,1,1),0)))</f>
        <v/>
      </c>
      <c r="E86" s="165">
        <f>IF($C86="","",SUMIFS(Transaksi!$F$16:$F$5015,Transaksi!$G$16:$G$5015,$A86,Transaksi!$H$16:$H$5015,$B86,Transaksi!$I$16:$I$5015,$C86,Transaksi!$B$16:$B$5015,"&gt;="&amp;DATE(Dashboard!$C$4,2,1),Transaksi!$B$16:$B$5015,"&lt;="&amp;EOMONTH(DATE(Dashboard!$C$4,2,1),0)))</f>
        <v/>
      </c>
      <c r="F86" s="165">
        <f>IF($C86="","",SUMIFS(Transaksi!$F$16:$F$5015,Transaksi!$G$16:$G$5015,$A86,Transaksi!$H$16:$H$5015,$B86,Transaksi!$I$16:$I$5015,$C86,Transaksi!$B$16:$B$5015,"&gt;="&amp;DATE(Dashboard!$C$4,3,1),Transaksi!$B$16:$B$5015,"&lt;="&amp;EOMONTH(DATE(Dashboard!$C$4,3,1),0)))</f>
        <v/>
      </c>
      <c r="G86" s="165">
        <f>IF($C86="","",SUMIFS(Transaksi!$F$16:$F$5015,Transaksi!$G$16:$G$5015,$A86,Transaksi!$H$16:$H$5015,$B86,Transaksi!$I$16:$I$5015,$C86,Transaksi!$B$16:$B$5015,"&gt;="&amp;DATE(Dashboard!$C$4,4,1),Transaksi!$B$16:$B$5015,"&lt;="&amp;EOMONTH(DATE(Dashboard!$C$4,4,1),0)))</f>
        <v/>
      </c>
      <c r="H86" s="165">
        <f>IF($C86="","",SUMIFS(Transaksi!$F$16:$F$5015,Transaksi!$G$16:$G$5015,$A86,Transaksi!$H$16:$H$5015,$B86,Transaksi!$I$16:$I$5015,$C86,Transaksi!$B$16:$B$5015,"&gt;="&amp;DATE(Dashboard!$C$4,5,1),Transaksi!$B$16:$B$5015,"&lt;="&amp;EOMONTH(DATE(Dashboard!$C$4,5,1),0)))</f>
        <v/>
      </c>
      <c r="I86" s="165">
        <f>IF($C86="","",SUMIFS(Transaksi!$F$16:$F$5015,Transaksi!$G$16:$G$5015,$A86,Transaksi!$H$16:$H$5015,$B86,Transaksi!$I$16:$I$5015,$C86,Transaksi!$B$16:$B$5015,"&gt;="&amp;DATE(Dashboard!$C$4,6,1),Transaksi!$B$16:$B$5015,"&lt;="&amp;EOMONTH(DATE(Dashboard!$C$4,6,1),0)))</f>
        <v/>
      </c>
      <c r="J86" s="165">
        <f>IF($C86="","",SUMIFS(Transaksi!$F$16:$F$5015,Transaksi!$G$16:$G$5015,$A86,Transaksi!$H$16:$H$5015,$B86,Transaksi!$I$16:$I$5015,$C86,Transaksi!$B$16:$B$5015,"&gt;="&amp;DATE(Dashboard!$C$4,7,1),Transaksi!$B$16:$B$5015,"&lt;="&amp;EOMONTH(DATE(Dashboard!$C$4,7,1),0)))</f>
        <v/>
      </c>
      <c r="K86" s="165">
        <f>IF($C86="","",SUMIFS(Transaksi!$F$16:$F$5015,Transaksi!$G$16:$G$5015,$A86,Transaksi!$H$16:$H$5015,$B86,Transaksi!$I$16:$I$5015,$C86,Transaksi!$B$16:$B$5015,"&gt;="&amp;DATE(Dashboard!$C$4,8,1),Transaksi!$B$16:$B$5015,"&lt;="&amp;EOMONTH(DATE(Dashboard!$C$4,8,1),0)))</f>
        <v/>
      </c>
      <c r="L86" s="165">
        <f>IF($C86="","",SUMIFS(Transaksi!$F$16:$F$5015,Transaksi!$G$16:$G$5015,$A86,Transaksi!$H$16:$H$5015,$B86,Transaksi!$I$16:$I$5015,$C86,Transaksi!$B$16:$B$5015,"&gt;="&amp;DATE(Dashboard!$C$4,9,1),Transaksi!$B$16:$B$5015,"&lt;="&amp;EOMONTH(DATE(Dashboard!$C$4,9,1),0)))</f>
        <v/>
      </c>
      <c r="M86" s="165">
        <f>IF($C86="","",SUMIFS(Transaksi!$F$16:$F$5015,Transaksi!$G$16:$G$5015,$A86,Transaksi!$H$16:$H$5015,$B86,Transaksi!$I$16:$I$5015,$C86,Transaksi!$B$16:$B$5015,"&gt;="&amp;DATE(Dashboard!$C$4,10,1),Transaksi!$B$16:$B$5015,"&lt;="&amp;EOMONTH(DATE(Dashboard!$C$4,10,1),0)))</f>
        <v/>
      </c>
      <c r="N86" s="165">
        <f>IF($C86="","",SUMIFS(Transaksi!$F$16:$F$5015,Transaksi!$G$16:$G$5015,$A86,Transaksi!$H$16:$H$5015,$B86,Transaksi!$I$16:$I$5015,$C86,Transaksi!$B$16:$B$5015,"&gt;="&amp;DATE(Dashboard!$C$4,11,1),Transaksi!$B$16:$B$5015,"&lt;="&amp;EOMONTH(DATE(Dashboard!$C$4,11,1),0)))</f>
        <v/>
      </c>
      <c r="O86" s="165">
        <f>IF($C86="","",SUMIFS(Transaksi!$F$16:$F$5015,Transaksi!$G$16:$G$5015,$A86,Transaksi!$H$16:$H$5015,$B86,Transaksi!$I$16:$I$5015,$C86,Transaksi!$B$16:$B$5015,"&gt;="&amp;DATE(Dashboard!$C$4,12,1),Transaksi!$B$16:$B$5015,"&lt;="&amp;EOMONTH(DATE(Dashboard!$C$4,12,1),0)))</f>
        <v/>
      </c>
      <c r="P86" s="166">
        <f>IF($C86="","",SUM(D86:O86))</f>
        <v/>
      </c>
    </row>
    <row r="87" ht="15" customHeight="1" s="94">
      <c r="A87" s="164">
        <f>IF(Kategori!C87="","",Kategori!A87)</f>
        <v/>
      </c>
      <c r="B87" s="164">
        <f>IF(Kategori!C87="","",Kategori!B87)</f>
        <v/>
      </c>
      <c r="C87" s="108">
        <f>IF(Kategori!C87="","",Kategori!C87)</f>
        <v/>
      </c>
      <c r="D87" s="165">
        <f>IF($C87="","",SUMIFS(Transaksi!$F$16:$F$5015,Transaksi!$G$16:$G$5015,$A87,Transaksi!$H$16:$H$5015,$B87,Transaksi!$I$16:$I$5015,$C87,Transaksi!$B$16:$B$5015,"&gt;="&amp;DATE(Dashboard!$C$4,1,1),Transaksi!$B$16:$B$5015,"&lt;="&amp;EOMONTH(DATE(Dashboard!$C$4,1,1),0)))</f>
        <v/>
      </c>
      <c r="E87" s="165">
        <f>IF($C87="","",SUMIFS(Transaksi!$F$16:$F$5015,Transaksi!$G$16:$G$5015,$A87,Transaksi!$H$16:$H$5015,$B87,Transaksi!$I$16:$I$5015,$C87,Transaksi!$B$16:$B$5015,"&gt;="&amp;DATE(Dashboard!$C$4,2,1),Transaksi!$B$16:$B$5015,"&lt;="&amp;EOMONTH(DATE(Dashboard!$C$4,2,1),0)))</f>
        <v/>
      </c>
      <c r="F87" s="165">
        <f>IF($C87="","",SUMIFS(Transaksi!$F$16:$F$5015,Transaksi!$G$16:$G$5015,$A87,Transaksi!$H$16:$H$5015,$B87,Transaksi!$I$16:$I$5015,$C87,Transaksi!$B$16:$B$5015,"&gt;="&amp;DATE(Dashboard!$C$4,3,1),Transaksi!$B$16:$B$5015,"&lt;="&amp;EOMONTH(DATE(Dashboard!$C$4,3,1),0)))</f>
        <v/>
      </c>
      <c r="G87" s="165">
        <f>IF($C87="","",SUMIFS(Transaksi!$F$16:$F$5015,Transaksi!$G$16:$G$5015,$A87,Transaksi!$H$16:$H$5015,$B87,Transaksi!$I$16:$I$5015,$C87,Transaksi!$B$16:$B$5015,"&gt;="&amp;DATE(Dashboard!$C$4,4,1),Transaksi!$B$16:$B$5015,"&lt;="&amp;EOMONTH(DATE(Dashboard!$C$4,4,1),0)))</f>
        <v/>
      </c>
      <c r="H87" s="165">
        <f>IF($C87="","",SUMIFS(Transaksi!$F$16:$F$5015,Transaksi!$G$16:$G$5015,$A87,Transaksi!$H$16:$H$5015,$B87,Transaksi!$I$16:$I$5015,$C87,Transaksi!$B$16:$B$5015,"&gt;="&amp;DATE(Dashboard!$C$4,5,1),Transaksi!$B$16:$B$5015,"&lt;="&amp;EOMONTH(DATE(Dashboard!$C$4,5,1),0)))</f>
        <v/>
      </c>
      <c r="I87" s="165">
        <f>IF($C87="","",SUMIFS(Transaksi!$F$16:$F$5015,Transaksi!$G$16:$G$5015,$A87,Transaksi!$H$16:$H$5015,$B87,Transaksi!$I$16:$I$5015,$C87,Transaksi!$B$16:$B$5015,"&gt;="&amp;DATE(Dashboard!$C$4,6,1),Transaksi!$B$16:$B$5015,"&lt;="&amp;EOMONTH(DATE(Dashboard!$C$4,6,1),0)))</f>
        <v/>
      </c>
      <c r="J87" s="165">
        <f>IF($C87="","",SUMIFS(Transaksi!$F$16:$F$5015,Transaksi!$G$16:$G$5015,$A87,Transaksi!$H$16:$H$5015,$B87,Transaksi!$I$16:$I$5015,$C87,Transaksi!$B$16:$B$5015,"&gt;="&amp;DATE(Dashboard!$C$4,7,1),Transaksi!$B$16:$B$5015,"&lt;="&amp;EOMONTH(DATE(Dashboard!$C$4,7,1),0)))</f>
        <v/>
      </c>
      <c r="K87" s="165">
        <f>IF($C87="","",SUMIFS(Transaksi!$F$16:$F$5015,Transaksi!$G$16:$G$5015,$A87,Transaksi!$H$16:$H$5015,$B87,Transaksi!$I$16:$I$5015,$C87,Transaksi!$B$16:$B$5015,"&gt;="&amp;DATE(Dashboard!$C$4,8,1),Transaksi!$B$16:$B$5015,"&lt;="&amp;EOMONTH(DATE(Dashboard!$C$4,8,1),0)))</f>
        <v/>
      </c>
      <c r="L87" s="165">
        <f>IF($C87="","",SUMIFS(Transaksi!$F$16:$F$5015,Transaksi!$G$16:$G$5015,$A87,Transaksi!$H$16:$H$5015,$B87,Transaksi!$I$16:$I$5015,$C87,Transaksi!$B$16:$B$5015,"&gt;="&amp;DATE(Dashboard!$C$4,9,1),Transaksi!$B$16:$B$5015,"&lt;="&amp;EOMONTH(DATE(Dashboard!$C$4,9,1),0)))</f>
        <v/>
      </c>
      <c r="M87" s="165">
        <f>IF($C87="","",SUMIFS(Transaksi!$F$16:$F$5015,Transaksi!$G$16:$G$5015,$A87,Transaksi!$H$16:$H$5015,$B87,Transaksi!$I$16:$I$5015,$C87,Transaksi!$B$16:$B$5015,"&gt;="&amp;DATE(Dashboard!$C$4,10,1),Transaksi!$B$16:$B$5015,"&lt;="&amp;EOMONTH(DATE(Dashboard!$C$4,10,1),0)))</f>
        <v/>
      </c>
      <c r="N87" s="165">
        <f>IF($C87="","",SUMIFS(Transaksi!$F$16:$F$5015,Transaksi!$G$16:$G$5015,$A87,Transaksi!$H$16:$H$5015,$B87,Transaksi!$I$16:$I$5015,$C87,Transaksi!$B$16:$B$5015,"&gt;="&amp;DATE(Dashboard!$C$4,11,1),Transaksi!$B$16:$B$5015,"&lt;="&amp;EOMONTH(DATE(Dashboard!$C$4,11,1),0)))</f>
        <v/>
      </c>
      <c r="O87" s="165">
        <f>IF($C87="","",SUMIFS(Transaksi!$F$16:$F$5015,Transaksi!$G$16:$G$5015,$A87,Transaksi!$H$16:$H$5015,$B87,Transaksi!$I$16:$I$5015,$C87,Transaksi!$B$16:$B$5015,"&gt;="&amp;DATE(Dashboard!$C$4,12,1),Transaksi!$B$16:$B$5015,"&lt;="&amp;EOMONTH(DATE(Dashboard!$C$4,12,1),0)))</f>
        <v/>
      </c>
      <c r="P87" s="166">
        <f>IF($C87="","",SUM(D87:O87))</f>
        <v/>
      </c>
    </row>
    <row r="88" ht="15" customHeight="1" s="94">
      <c r="A88" s="164">
        <f>IF(Kategori!C88="","",Kategori!A88)</f>
        <v/>
      </c>
      <c r="B88" s="164">
        <f>IF(Kategori!C88="","",Kategori!B88)</f>
        <v/>
      </c>
      <c r="C88" s="108">
        <f>IF(Kategori!C88="","",Kategori!C88)</f>
        <v/>
      </c>
      <c r="D88" s="165">
        <f>IF($C88="","",SUMIFS(Transaksi!$F$16:$F$5015,Transaksi!$G$16:$G$5015,$A88,Transaksi!$H$16:$H$5015,$B88,Transaksi!$I$16:$I$5015,$C88,Transaksi!$B$16:$B$5015,"&gt;="&amp;DATE(Dashboard!$C$4,1,1),Transaksi!$B$16:$B$5015,"&lt;="&amp;EOMONTH(DATE(Dashboard!$C$4,1,1),0)))</f>
        <v/>
      </c>
      <c r="E88" s="165">
        <f>IF($C88="","",SUMIFS(Transaksi!$F$16:$F$5015,Transaksi!$G$16:$G$5015,$A88,Transaksi!$H$16:$H$5015,$B88,Transaksi!$I$16:$I$5015,$C88,Transaksi!$B$16:$B$5015,"&gt;="&amp;DATE(Dashboard!$C$4,2,1),Transaksi!$B$16:$B$5015,"&lt;="&amp;EOMONTH(DATE(Dashboard!$C$4,2,1),0)))</f>
        <v/>
      </c>
      <c r="F88" s="165">
        <f>IF($C88="","",SUMIFS(Transaksi!$F$16:$F$5015,Transaksi!$G$16:$G$5015,$A88,Transaksi!$H$16:$H$5015,$B88,Transaksi!$I$16:$I$5015,$C88,Transaksi!$B$16:$B$5015,"&gt;="&amp;DATE(Dashboard!$C$4,3,1),Transaksi!$B$16:$B$5015,"&lt;="&amp;EOMONTH(DATE(Dashboard!$C$4,3,1),0)))</f>
        <v/>
      </c>
      <c r="G88" s="165">
        <f>IF($C88="","",SUMIFS(Transaksi!$F$16:$F$5015,Transaksi!$G$16:$G$5015,$A88,Transaksi!$H$16:$H$5015,$B88,Transaksi!$I$16:$I$5015,$C88,Transaksi!$B$16:$B$5015,"&gt;="&amp;DATE(Dashboard!$C$4,4,1),Transaksi!$B$16:$B$5015,"&lt;="&amp;EOMONTH(DATE(Dashboard!$C$4,4,1),0)))</f>
        <v/>
      </c>
      <c r="H88" s="165">
        <f>IF($C88="","",SUMIFS(Transaksi!$F$16:$F$5015,Transaksi!$G$16:$G$5015,$A88,Transaksi!$H$16:$H$5015,$B88,Transaksi!$I$16:$I$5015,$C88,Transaksi!$B$16:$B$5015,"&gt;="&amp;DATE(Dashboard!$C$4,5,1),Transaksi!$B$16:$B$5015,"&lt;="&amp;EOMONTH(DATE(Dashboard!$C$4,5,1),0)))</f>
        <v/>
      </c>
      <c r="I88" s="165">
        <f>IF($C88="","",SUMIFS(Transaksi!$F$16:$F$5015,Transaksi!$G$16:$G$5015,$A88,Transaksi!$H$16:$H$5015,$B88,Transaksi!$I$16:$I$5015,$C88,Transaksi!$B$16:$B$5015,"&gt;="&amp;DATE(Dashboard!$C$4,6,1),Transaksi!$B$16:$B$5015,"&lt;="&amp;EOMONTH(DATE(Dashboard!$C$4,6,1),0)))</f>
        <v/>
      </c>
      <c r="J88" s="165">
        <f>IF($C88="","",SUMIFS(Transaksi!$F$16:$F$5015,Transaksi!$G$16:$G$5015,$A88,Transaksi!$H$16:$H$5015,$B88,Transaksi!$I$16:$I$5015,$C88,Transaksi!$B$16:$B$5015,"&gt;="&amp;DATE(Dashboard!$C$4,7,1),Transaksi!$B$16:$B$5015,"&lt;="&amp;EOMONTH(DATE(Dashboard!$C$4,7,1),0)))</f>
        <v/>
      </c>
      <c r="K88" s="165">
        <f>IF($C88="","",SUMIFS(Transaksi!$F$16:$F$5015,Transaksi!$G$16:$G$5015,$A88,Transaksi!$H$16:$H$5015,$B88,Transaksi!$I$16:$I$5015,$C88,Transaksi!$B$16:$B$5015,"&gt;="&amp;DATE(Dashboard!$C$4,8,1),Transaksi!$B$16:$B$5015,"&lt;="&amp;EOMONTH(DATE(Dashboard!$C$4,8,1),0)))</f>
        <v/>
      </c>
      <c r="L88" s="165">
        <f>IF($C88="","",SUMIFS(Transaksi!$F$16:$F$5015,Transaksi!$G$16:$G$5015,$A88,Transaksi!$H$16:$H$5015,$B88,Transaksi!$I$16:$I$5015,$C88,Transaksi!$B$16:$B$5015,"&gt;="&amp;DATE(Dashboard!$C$4,9,1),Transaksi!$B$16:$B$5015,"&lt;="&amp;EOMONTH(DATE(Dashboard!$C$4,9,1),0)))</f>
        <v/>
      </c>
      <c r="M88" s="165">
        <f>IF($C88="","",SUMIFS(Transaksi!$F$16:$F$5015,Transaksi!$G$16:$G$5015,$A88,Transaksi!$H$16:$H$5015,$B88,Transaksi!$I$16:$I$5015,$C88,Transaksi!$B$16:$B$5015,"&gt;="&amp;DATE(Dashboard!$C$4,10,1),Transaksi!$B$16:$B$5015,"&lt;="&amp;EOMONTH(DATE(Dashboard!$C$4,10,1),0)))</f>
        <v/>
      </c>
      <c r="N88" s="165">
        <f>IF($C88="","",SUMIFS(Transaksi!$F$16:$F$5015,Transaksi!$G$16:$G$5015,$A88,Transaksi!$H$16:$H$5015,$B88,Transaksi!$I$16:$I$5015,$C88,Transaksi!$B$16:$B$5015,"&gt;="&amp;DATE(Dashboard!$C$4,11,1),Transaksi!$B$16:$B$5015,"&lt;="&amp;EOMONTH(DATE(Dashboard!$C$4,11,1),0)))</f>
        <v/>
      </c>
      <c r="O88" s="165">
        <f>IF($C88="","",SUMIFS(Transaksi!$F$16:$F$5015,Transaksi!$G$16:$G$5015,$A88,Transaksi!$H$16:$H$5015,$B88,Transaksi!$I$16:$I$5015,$C88,Transaksi!$B$16:$B$5015,"&gt;="&amp;DATE(Dashboard!$C$4,12,1),Transaksi!$B$16:$B$5015,"&lt;="&amp;EOMONTH(DATE(Dashboard!$C$4,12,1),0)))</f>
        <v/>
      </c>
      <c r="P88" s="166">
        <f>IF($C88="","",SUM(D88:O88))</f>
        <v/>
      </c>
    </row>
    <row r="89" ht="15" customHeight="1" s="94">
      <c r="A89" s="164">
        <f>IF(Kategori!C89="","",Kategori!A89)</f>
        <v/>
      </c>
      <c r="B89" s="164">
        <f>IF(Kategori!C89="","",Kategori!B89)</f>
        <v/>
      </c>
      <c r="C89" s="108">
        <f>IF(Kategori!C89="","",Kategori!C89)</f>
        <v/>
      </c>
      <c r="D89" s="165">
        <f>IF($C89="","",SUMIFS(Transaksi!$F$16:$F$5015,Transaksi!$G$16:$G$5015,$A89,Transaksi!$H$16:$H$5015,$B89,Transaksi!$I$16:$I$5015,$C89,Transaksi!$B$16:$B$5015,"&gt;="&amp;DATE(Dashboard!$C$4,1,1),Transaksi!$B$16:$B$5015,"&lt;="&amp;EOMONTH(DATE(Dashboard!$C$4,1,1),0)))</f>
        <v/>
      </c>
      <c r="E89" s="165">
        <f>IF($C89="","",SUMIFS(Transaksi!$F$16:$F$5015,Transaksi!$G$16:$G$5015,$A89,Transaksi!$H$16:$H$5015,$B89,Transaksi!$I$16:$I$5015,$C89,Transaksi!$B$16:$B$5015,"&gt;="&amp;DATE(Dashboard!$C$4,2,1),Transaksi!$B$16:$B$5015,"&lt;="&amp;EOMONTH(DATE(Dashboard!$C$4,2,1),0)))</f>
        <v/>
      </c>
      <c r="F89" s="165">
        <f>IF($C89="","",SUMIFS(Transaksi!$F$16:$F$5015,Transaksi!$G$16:$G$5015,$A89,Transaksi!$H$16:$H$5015,$B89,Transaksi!$I$16:$I$5015,$C89,Transaksi!$B$16:$B$5015,"&gt;="&amp;DATE(Dashboard!$C$4,3,1),Transaksi!$B$16:$B$5015,"&lt;="&amp;EOMONTH(DATE(Dashboard!$C$4,3,1),0)))</f>
        <v/>
      </c>
      <c r="G89" s="165">
        <f>IF($C89="","",SUMIFS(Transaksi!$F$16:$F$5015,Transaksi!$G$16:$G$5015,$A89,Transaksi!$H$16:$H$5015,$B89,Transaksi!$I$16:$I$5015,$C89,Transaksi!$B$16:$B$5015,"&gt;="&amp;DATE(Dashboard!$C$4,4,1),Transaksi!$B$16:$B$5015,"&lt;="&amp;EOMONTH(DATE(Dashboard!$C$4,4,1),0)))</f>
        <v/>
      </c>
      <c r="H89" s="165">
        <f>IF($C89="","",SUMIFS(Transaksi!$F$16:$F$5015,Transaksi!$G$16:$G$5015,$A89,Transaksi!$H$16:$H$5015,$B89,Transaksi!$I$16:$I$5015,$C89,Transaksi!$B$16:$B$5015,"&gt;="&amp;DATE(Dashboard!$C$4,5,1),Transaksi!$B$16:$B$5015,"&lt;="&amp;EOMONTH(DATE(Dashboard!$C$4,5,1),0)))</f>
        <v/>
      </c>
      <c r="I89" s="165">
        <f>IF($C89="","",SUMIFS(Transaksi!$F$16:$F$5015,Transaksi!$G$16:$G$5015,$A89,Transaksi!$H$16:$H$5015,$B89,Transaksi!$I$16:$I$5015,$C89,Transaksi!$B$16:$B$5015,"&gt;="&amp;DATE(Dashboard!$C$4,6,1),Transaksi!$B$16:$B$5015,"&lt;="&amp;EOMONTH(DATE(Dashboard!$C$4,6,1),0)))</f>
        <v/>
      </c>
      <c r="J89" s="165">
        <f>IF($C89="","",SUMIFS(Transaksi!$F$16:$F$5015,Transaksi!$G$16:$G$5015,$A89,Transaksi!$H$16:$H$5015,$B89,Transaksi!$I$16:$I$5015,$C89,Transaksi!$B$16:$B$5015,"&gt;="&amp;DATE(Dashboard!$C$4,7,1),Transaksi!$B$16:$B$5015,"&lt;="&amp;EOMONTH(DATE(Dashboard!$C$4,7,1),0)))</f>
        <v/>
      </c>
      <c r="K89" s="165">
        <f>IF($C89="","",SUMIFS(Transaksi!$F$16:$F$5015,Transaksi!$G$16:$G$5015,$A89,Transaksi!$H$16:$H$5015,$B89,Transaksi!$I$16:$I$5015,$C89,Transaksi!$B$16:$B$5015,"&gt;="&amp;DATE(Dashboard!$C$4,8,1),Transaksi!$B$16:$B$5015,"&lt;="&amp;EOMONTH(DATE(Dashboard!$C$4,8,1),0)))</f>
        <v/>
      </c>
      <c r="L89" s="165">
        <f>IF($C89="","",SUMIFS(Transaksi!$F$16:$F$5015,Transaksi!$G$16:$G$5015,$A89,Transaksi!$H$16:$H$5015,$B89,Transaksi!$I$16:$I$5015,$C89,Transaksi!$B$16:$B$5015,"&gt;="&amp;DATE(Dashboard!$C$4,9,1),Transaksi!$B$16:$B$5015,"&lt;="&amp;EOMONTH(DATE(Dashboard!$C$4,9,1),0)))</f>
        <v/>
      </c>
      <c r="M89" s="165">
        <f>IF($C89="","",SUMIFS(Transaksi!$F$16:$F$5015,Transaksi!$G$16:$G$5015,$A89,Transaksi!$H$16:$H$5015,$B89,Transaksi!$I$16:$I$5015,$C89,Transaksi!$B$16:$B$5015,"&gt;="&amp;DATE(Dashboard!$C$4,10,1),Transaksi!$B$16:$B$5015,"&lt;="&amp;EOMONTH(DATE(Dashboard!$C$4,10,1),0)))</f>
        <v/>
      </c>
      <c r="N89" s="165">
        <f>IF($C89="","",SUMIFS(Transaksi!$F$16:$F$5015,Transaksi!$G$16:$G$5015,$A89,Transaksi!$H$16:$H$5015,$B89,Transaksi!$I$16:$I$5015,$C89,Transaksi!$B$16:$B$5015,"&gt;="&amp;DATE(Dashboard!$C$4,11,1),Transaksi!$B$16:$B$5015,"&lt;="&amp;EOMONTH(DATE(Dashboard!$C$4,11,1),0)))</f>
        <v/>
      </c>
      <c r="O89" s="165">
        <f>IF($C89="","",SUMIFS(Transaksi!$F$16:$F$5015,Transaksi!$G$16:$G$5015,$A89,Transaksi!$H$16:$H$5015,$B89,Transaksi!$I$16:$I$5015,$C89,Transaksi!$B$16:$B$5015,"&gt;="&amp;DATE(Dashboard!$C$4,12,1),Transaksi!$B$16:$B$5015,"&lt;="&amp;EOMONTH(DATE(Dashboard!$C$4,12,1),0)))</f>
        <v/>
      </c>
      <c r="P89" s="166">
        <f>IF($C89="","",SUM(D89:O89))</f>
        <v/>
      </c>
    </row>
    <row r="90" ht="15" customHeight="1" s="94">
      <c r="A90" s="164">
        <f>IF(Kategori!C90="","",Kategori!A90)</f>
        <v/>
      </c>
      <c r="B90" s="164">
        <f>IF(Kategori!C90="","",Kategori!B90)</f>
        <v/>
      </c>
      <c r="C90" s="108">
        <f>IF(Kategori!C90="","",Kategori!C90)</f>
        <v/>
      </c>
      <c r="D90" s="165">
        <f>IF($C90="","",SUMIFS(Transaksi!$F$16:$F$5015,Transaksi!$G$16:$G$5015,$A90,Transaksi!$H$16:$H$5015,$B90,Transaksi!$I$16:$I$5015,$C90,Transaksi!$B$16:$B$5015,"&gt;="&amp;DATE(Dashboard!$C$4,1,1),Transaksi!$B$16:$B$5015,"&lt;="&amp;EOMONTH(DATE(Dashboard!$C$4,1,1),0)))</f>
        <v/>
      </c>
      <c r="E90" s="165">
        <f>IF($C90="","",SUMIFS(Transaksi!$F$16:$F$5015,Transaksi!$G$16:$G$5015,$A90,Transaksi!$H$16:$H$5015,$B90,Transaksi!$I$16:$I$5015,$C90,Transaksi!$B$16:$B$5015,"&gt;="&amp;DATE(Dashboard!$C$4,2,1),Transaksi!$B$16:$B$5015,"&lt;="&amp;EOMONTH(DATE(Dashboard!$C$4,2,1),0)))</f>
        <v/>
      </c>
      <c r="F90" s="165">
        <f>IF($C90="","",SUMIFS(Transaksi!$F$16:$F$5015,Transaksi!$G$16:$G$5015,$A90,Transaksi!$H$16:$H$5015,$B90,Transaksi!$I$16:$I$5015,$C90,Transaksi!$B$16:$B$5015,"&gt;="&amp;DATE(Dashboard!$C$4,3,1),Transaksi!$B$16:$B$5015,"&lt;="&amp;EOMONTH(DATE(Dashboard!$C$4,3,1),0)))</f>
        <v/>
      </c>
      <c r="G90" s="165">
        <f>IF($C90="","",SUMIFS(Transaksi!$F$16:$F$5015,Transaksi!$G$16:$G$5015,$A90,Transaksi!$H$16:$H$5015,$B90,Transaksi!$I$16:$I$5015,$C90,Transaksi!$B$16:$B$5015,"&gt;="&amp;DATE(Dashboard!$C$4,4,1),Transaksi!$B$16:$B$5015,"&lt;="&amp;EOMONTH(DATE(Dashboard!$C$4,4,1),0)))</f>
        <v/>
      </c>
      <c r="H90" s="165">
        <f>IF($C90="","",SUMIFS(Transaksi!$F$16:$F$5015,Transaksi!$G$16:$G$5015,$A90,Transaksi!$H$16:$H$5015,$B90,Transaksi!$I$16:$I$5015,$C90,Transaksi!$B$16:$B$5015,"&gt;="&amp;DATE(Dashboard!$C$4,5,1),Transaksi!$B$16:$B$5015,"&lt;="&amp;EOMONTH(DATE(Dashboard!$C$4,5,1),0)))</f>
        <v/>
      </c>
      <c r="I90" s="165">
        <f>IF($C90="","",SUMIFS(Transaksi!$F$16:$F$5015,Transaksi!$G$16:$G$5015,$A90,Transaksi!$H$16:$H$5015,$B90,Transaksi!$I$16:$I$5015,$C90,Transaksi!$B$16:$B$5015,"&gt;="&amp;DATE(Dashboard!$C$4,6,1),Transaksi!$B$16:$B$5015,"&lt;="&amp;EOMONTH(DATE(Dashboard!$C$4,6,1),0)))</f>
        <v/>
      </c>
      <c r="J90" s="165">
        <f>IF($C90="","",SUMIFS(Transaksi!$F$16:$F$5015,Transaksi!$G$16:$G$5015,$A90,Transaksi!$H$16:$H$5015,$B90,Transaksi!$I$16:$I$5015,$C90,Transaksi!$B$16:$B$5015,"&gt;="&amp;DATE(Dashboard!$C$4,7,1),Transaksi!$B$16:$B$5015,"&lt;="&amp;EOMONTH(DATE(Dashboard!$C$4,7,1),0)))</f>
        <v/>
      </c>
      <c r="K90" s="165">
        <f>IF($C90="","",SUMIFS(Transaksi!$F$16:$F$5015,Transaksi!$G$16:$G$5015,$A90,Transaksi!$H$16:$H$5015,$B90,Transaksi!$I$16:$I$5015,$C90,Transaksi!$B$16:$B$5015,"&gt;="&amp;DATE(Dashboard!$C$4,8,1),Transaksi!$B$16:$B$5015,"&lt;="&amp;EOMONTH(DATE(Dashboard!$C$4,8,1),0)))</f>
        <v/>
      </c>
      <c r="L90" s="165">
        <f>IF($C90="","",SUMIFS(Transaksi!$F$16:$F$5015,Transaksi!$G$16:$G$5015,$A90,Transaksi!$H$16:$H$5015,$B90,Transaksi!$I$16:$I$5015,$C90,Transaksi!$B$16:$B$5015,"&gt;="&amp;DATE(Dashboard!$C$4,9,1),Transaksi!$B$16:$B$5015,"&lt;="&amp;EOMONTH(DATE(Dashboard!$C$4,9,1),0)))</f>
        <v/>
      </c>
      <c r="M90" s="165">
        <f>IF($C90="","",SUMIFS(Transaksi!$F$16:$F$5015,Transaksi!$G$16:$G$5015,$A90,Transaksi!$H$16:$H$5015,$B90,Transaksi!$I$16:$I$5015,$C90,Transaksi!$B$16:$B$5015,"&gt;="&amp;DATE(Dashboard!$C$4,10,1),Transaksi!$B$16:$B$5015,"&lt;="&amp;EOMONTH(DATE(Dashboard!$C$4,10,1),0)))</f>
        <v/>
      </c>
      <c r="N90" s="165">
        <f>IF($C90="","",SUMIFS(Transaksi!$F$16:$F$5015,Transaksi!$G$16:$G$5015,$A90,Transaksi!$H$16:$H$5015,$B90,Transaksi!$I$16:$I$5015,$C90,Transaksi!$B$16:$B$5015,"&gt;="&amp;DATE(Dashboard!$C$4,11,1),Transaksi!$B$16:$B$5015,"&lt;="&amp;EOMONTH(DATE(Dashboard!$C$4,11,1),0)))</f>
        <v/>
      </c>
      <c r="O90" s="165">
        <f>IF($C90="","",SUMIFS(Transaksi!$F$16:$F$5015,Transaksi!$G$16:$G$5015,$A90,Transaksi!$H$16:$H$5015,$B90,Transaksi!$I$16:$I$5015,$C90,Transaksi!$B$16:$B$5015,"&gt;="&amp;DATE(Dashboard!$C$4,12,1),Transaksi!$B$16:$B$5015,"&lt;="&amp;EOMONTH(DATE(Dashboard!$C$4,12,1),0)))</f>
        <v/>
      </c>
      <c r="P90" s="166">
        <f>IF($C90="","",SUM(D90:O90))</f>
        <v/>
      </c>
    </row>
    <row r="91" ht="15" customHeight="1" s="94">
      <c r="A91" s="164">
        <f>IF(Kategori!C91="","",Kategori!A91)</f>
        <v/>
      </c>
      <c r="B91" s="164">
        <f>IF(Kategori!C91="","",Kategori!B91)</f>
        <v/>
      </c>
      <c r="C91" s="108">
        <f>IF(Kategori!C91="","",Kategori!C91)</f>
        <v/>
      </c>
      <c r="D91" s="165">
        <f>IF($C91="","",SUMIFS(Transaksi!$F$16:$F$5015,Transaksi!$G$16:$G$5015,$A91,Transaksi!$H$16:$H$5015,$B91,Transaksi!$I$16:$I$5015,$C91,Transaksi!$B$16:$B$5015,"&gt;="&amp;DATE(Dashboard!$C$4,1,1),Transaksi!$B$16:$B$5015,"&lt;="&amp;EOMONTH(DATE(Dashboard!$C$4,1,1),0)))</f>
        <v/>
      </c>
      <c r="E91" s="165">
        <f>IF($C91="","",SUMIFS(Transaksi!$F$16:$F$5015,Transaksi!$G$16:$G$5015,$A91,Transaksi!$H$16:$H$5015,$B91,Transaksi!$I$16:$I$5015,$C91,Transaksi!$B$16:$B$5015,"&gt;="&amp;DATE(Dashboard!$C$4,2,1),Transaksi!$B$16:$B$5015,"&lt;="&amp;EOMONTH(DATE(Dashboard!$C$4,2,1),0)))</f>
        <v/>
      </c>
      <c r="F91" s="165">
        <f>IF($C91="","",SUMIFS(Transaksi!$F$16:$F$5015,Transaksi!$G$16:$G$5015,$A91,Transaksi!$H$16:$H$5015,$B91,Transaksi!$I$16:$I$5015,$C91,Transaksi!$B$16:$B$5015,"&gt;="&amp;DATE(Dashboard!$C$4,3,1),Transaksi!$B$16:$B$5015,"&lt;="&amp;EOMONTH(DATE(Dashboard!$C$4,3,1),0)))</f>
        <v/>
      </c>
      <c r="G91" s="165">
        <f>IF($C91="","",SUMIFS(Transaksi!$F$16:$F$5015,Transaksi!$G$16:$G$5015,$A91,Transaksi!$H$16:$H$5015,$B91,Transaksi!$I$16:$I$5015,$C91,Transaksi!$B$16:$B$5015,"&gt;="&amp;DATE(Dashboard!$C$4,4,1),Transaksi!$B$16:$B$5015,"&lt;="&amp;EOMONTH(DATE(Dashboard!$C$4,4,1),0)))</f>
        <v/>
      </c>
      <c r="H91" s="165">
        <f>IF($C91="","",SUMIFS(Transaksi!$F$16:$F$5015,Transaksi!$G$16:$G$5015,$A91,Transaksi!$H$16:$H$5015,$B91,Transaksi!$I$16:$I$5015,$C91,Transaksi!$B$16:$B$5015,"&gt;="&amp;DATE(Dashboard!$C$4,5,1),Transaksi!$B$16:$B$5015,"&lt;="&amp;EOMONTH(DATE(Dashboard!$C$4,5,1),0)))</f>
        <v/>
      </c>
      <c r="I91" s="165">
        <f>IF($C91="","",SUMIFS(Transaksi!$F$16:$F$5015,Transaksi!$G$16:$G$5015,$A91,Transaksi!$H$16:$H$5015,$B91,Transaksi!$I$16:$I$5015,$C91,Transaksi!$B$16:$B$5015,"&gt;="&amp;DATE(Dashboard!$C$4,6,1),Transaksi!$B$16:$B$5015,"&lt;="&amp;EOMONTH(DATE(Dashboard!$C$4,6,1),0)))</f>
        <v/>
      </c>
      <c r="J91" s="165">
        <f>IF($C91="","",SUMIFS(Transaksi!$F$16:$F$5015,Transaksi!$G$16:$G$5015,$A91,Transaksi!$H$16:$H$5015,$B91,Transaksi!$I$16:$I$5015,$C91,Transaksi!$B$16:$B$5015,"&gt;="&amp;DATE(Dashboard!$C$4,7,1),Transaksi!$B$16:$B$5015,"&lt;="&amp;EOMONTH(DATE(Dashboard!$C$4,7,1),0)))</f>
        <v/>
      </c>
      <c r="K91" s="165">
        <f>IF($C91="","",SUMIFS(Transaksi!$F$16:$F$5015,Transaksi!$G$16:$G$5015,$A91,Transaksi!$H$16:$H$5015,$B91,Transaksi!$I$16:$I$5015,$C91,Transaksi!$B$16:$B$5015,"&gt;="&amp;DATE(Dashboard!$C$4,8,1),Transaksi!$B$16:$B$5015,"&lt;="&amp;EOMONTH(DATE(Dashboard!$C$4,8,1),0)))</f>
        <v/>
      </c>
      <c r="L91" s="165">
        <f>IF($C91="","",SUMIFS(Transaksi!$F$16:$F$5015,Transaksi!$G$16:$G$5015,$A91,Transaksi!$H$16:$H$5015,$B91,Transaksi!$I$16:$I$5015,$C91,Transaksi!$B$16:$B$5015,"&gt;="&amp;DATE(Dashboard!$C$4,9,1),Transaksi!$B$16:$B$5015,"&lt;="&amp;EOMONTH(DATE(Dashboard!$C$4,9,1),0)))</f>
        <v/>
      </c>
      <c r="M91" s="165">
        <f>IF($C91="","",SUMIFS(Transaksi!$F$16:$F$5015,Transaksi!$G$16:$G$5015,$A91,Transaksi!$H$16:$H$5015,$B91,Transaksi!$I$16:$I$5015,$C91,Transaksi!$B$16:$B$5015,"&gt;="&amp;DATE(Dashboard!$C$4,10,1),Transaksi!$B$16:$B$5015,"&lt;="&amp;EOMONTH(DATE(Dashboard!$C$4,10,1),0)))</f>
        <v/>
      </c>
      <c r="N91" s="165">
        <f>IF($C91="","",SUMIFS(Transaksi!$F$16:$F$5015,Transaksi!$G$16:$G$5015,$A91,Transaksi!$H$16:$H$5015,$B91,Transaksi!$I$16:$I$5015,$C91,Transaksi!$B$16:$B$5015,"&gt;="&amp;DATE(Dashboard!$C$4,11,1),Transaksi!$B$16:$B$5015,"&lt;="&amp;EOMONTH(DATE(Dashboard!$C$4,11,1),0)))</f>
        <v/>
      </c>
      <c r="O91" s="165">
        <f>IF($C91="","",SUMIFS(Transaksi!$F$16:$F$5015,Transaksi!$G$16:$G$5015,$A91,Transaksi!$H$16:$H$5015,$B91,Transaksi!$I$16:$I$5015,$C91,Transaksi!$B$16:$B$5015,"&gt;="&amp;DATE(Dashboard!$C$4,12,1),Transaksi!$B$16:$B$5015,"&lt;="&amp;EOMONTH(DATE(Dashboard!$C$4,12,1),0)))</f>
        <v/>
      </c>
      <c r="P91" s="166">
        <f>IF($C91="","",SUM(D91:O91))</f>
        <v/>
      </c>
    </row>
    <row r="92" ht="15" customHeight="1" s="94">
      <c r="A92" s="164">
        <f>IF(Kategori!C92="","",Kategori!A92)</f>
        <v/>
      </c>
      <c r="B92" s="164">
        <f>IF(Kategori!C92="","",Kategori!B92)</f>
        <v/>
      </c>
      <c r="C92" s="108">
        <f>IF(Kategori!C92="","",Kategori!C92)</f>
        <v/>
      </c>
      <c r="D92" s="165">
        <f>IF($C92="","",SUMIFS(Transaksi!$F$16:$F$5015,Transaksi!$G$16:$G$5015,$A92,Transaksi!$H$16:$H$5015,$B92,Transaksi!$I$16:$I$5015,$C92,Transaksi!$B$16:$B$5015,"&gt;="&amp;DATE(Dashboard!$C$4,1,1),Transaksi!$B$16:$B$5015,"&lt;="&amp;EOMONTH(DATE(Dashboard!$C$4,1,1),0)))</f>
        <v/>
      </c>
      <c r="E92" s="165">
        <f>IF($C92="","",SUMIFS(Transaksi!$F$16:$F$5015,Transaksi!$G$16:$G$5015,$A92,Transaksi!$H$16:$H$5015,$B92,Transaksi!$I$16:$I$5015,$C92,Transaksi!$B$16:$B$5015,"&gt;="&amp;DATE(Dashboard!$C$4,2,1),Transaksi!$B$16:$B$5015,"&lt;="&amp;EOMONTH(DATE(Dashboard!$C$4,2,1),0)))</f>
        <v/>
      </c>
      <c r="F92" s="165">
        <f>IF($C92="","",SUMIFS(Transaksi!$F$16:$F$5015,Transaksi!$G$16:$G$5015,$A92,Transaksi!$H$16:$H$5015,$B92,Transaksi!$I$16:$I$5015,$C92,Transaksi!$B$16:$B$5015,"&gt;="&amp;DATE(Dashboard!$C$4,3,1),Transaksi!$B$16:$B$5015,"&lt;="&amp;EOMONTH(DATE(Dashboard!$C$4,3,1),0)))</f>
        <v/>
      </c>
      <c r="G92" s="165">
        <f>IF($C92="","",SUMIFS(Transaksi!$F$16:$F$5015,Transaksi!$G$16:$G$5015,$A92,Transaksi!$H$16:$H$5015,$B92,Transaksi!$I$16:$I$5015,$C92,Transaksi!$B$16:$B$5015,"&gt;="&amp;DATE(Dashboard!$C$4,4,1),Transaksi!$B$16:$B$5015,"&lt;="&amp;EOMONTH(DATE(Dashboard!$C$4,4,1),0)))</f>
        <v/>
      </c>
      <c r="H92" s="165">
        <f>IF($C92="","",SUMIFS(Transaksi!$F$16:$F$5015,Transaksi!$G$16:$G$5015,$A92,Transaksi!$H$16:$H$5015,$B92,Transaksi!$I$16:$I$5015,$C92,Transaksi!$B$16:$B$5015,"&gt;="&amp;DATE(Dashboard!$C$4,5,1),Transaksi!$B$16:$B$5015,"&lt;="&amp;EOMONTH(DATE(Dashboard!$C$4,5,1),0)))</f>
        <v/>
      </c>
      <c r="I92" s="165">
        <f>IF($C92="","",SUMIFS(Transaksi!$F$16:$F$5015,Transaksi!$G$16:$G$5015,$A92,Transaksi!$H$16:$H$5015,$B92,Transaksi!$I$16:$I$5015,$C92,Transaksi!$B$16:$B$5015,"&gt;="&amp;DATE(Dashboard!$C$4,6,1),Transaksi!$B$16:$B$5015,"&lt;="&amp;EOMONTH(DATE(Dashboard!$C$4,6,1),0)))</f>
        <v/>
      </c>
      <c r="J92" s="165">
        <f>IF($C92="","",SUMIFS(Transaksi!$F$16:$F$5015,Transaksi!$G$16:$G$5015,$A92,Transaksi!$H$16:$H$5015,$B92,Transaksi!$I$16:$I$5015,$C92,Transaksi!$B$16:$B$5015,"&gt;="&amp;DATE(Dashboard!$C$4,7,1),Transaksi!$B$16:$B$5015,"&lt;="&amp;EOMONTH(DATE(Dashboard!$C$4,7,1),0)))</f>
        <v/>
      </c>
      <c r="K92" s="165">
        <f>IF($C92="","",SUMIFS(Transaksi!$F$16:$F$5015,Transaksi!$G$16:$G$5015,$A92,Transaksi!$H$16:$H$5015,$B92,Transaksi!$I$16:$I$5015,$C92,Transaksi!$B$16:$B$5015,"&gt;="&amp;DATE(Dashboard!$C$4,8,1),Transaksi!$B$16:$B$5015,"&lt;="&amp;EOMONTH(DATE(Dashboard!$C$4,8,1),0)))</f>
        <v/>
      </c>
      <c r="L92" s="165">
        <f>IF($C92="","",SUMIFS(Transaksi!$F$16:$F$5015,Transaksi!$G$16:$G$5015,$A92,Transaksi!$H$16:$H$5015,$B92,Transaksi!$I$16:$I$5015,$C92,Transaksi!$B$16:$B$5015,"&gt;="&amp;DATE(Dashboard!$C$4,9,1),Transaksi!$B$16:$B$5015,"&lt;="&amp;EOMONTH(DATE(Dashboard!$C$4,9,1),0)))</f>
        <v/>
      </c>
      <c r="M92" s="165">
        <f>IF($C92="","",SUMIFS(Transaksi!$F$16:$F$5015,Transaksi!$G$16:$G$5015,$A92,Transaksi!$H$16:$H$5015,$B92,Transaksi!$I$16:$I$5015,$C92,Transaksi!$B$16:$B$5015,"&gt;="&amp;DATE(Dashboard!$C$4,10,1),Transaksi!$B$16:$B$5015,"&lt;="&amp;EOMONTH(DATE(Dashboard!$C$4,10,1),0)))</f>
        <v/>
      </c>
      <c r="N92" s="165">
        <f>IF($C92="","",SUMIFS(Transaksi!$F$16:$F$5015,Transaksi!$G$16:$G$5015,$A92,Transaksi!$H$16:$H$5015,$B92,Transaksi!$I$16:$I$5015,$C92,Transaksi!$B$16:$B$5015,"&gt;="&amp;DATE(Dashboard!$C$4,11,1),Transaksi!$B$16:$B$5015,"&lt;="&amp;EOMONTH(DATE(Dashboard!$C$4,11,1),0)))</f>
        <v/>
      </c>
      <c r="O92" s="165">
        <f>IF($C92="","",SUMIFS(Transaksi!$F$16:$F$5015,Transaksi!$G$16:$G$5015,$A92,Transaksi!$H$16:$H$5015,$B92,Transaksi!$I$16:$I$5015,$C92,Transaksi!$B$16:$B$5015,"&gt;="&amp;DATE(Dashboard!$C$4,12,1),Transaksi!$B$16:$B$5015,"&lt;="&amp;EOMONTH(DATE(Dashboard!$C$4,12,1),0)))</f>
        <v/>
      </c>
      <c r="P92" s="166">
        <f>IF($C92="","",SUM(D92:O92))</f>
        <v/>
      </c>
    </row>
    <row r="93" ht="15" customHeight="1" s="94">
      <c r="A93" s="164">
        <f>IF(Kategori!C93="","",Kategori!A93)</f>
        <v/>
      </c>
      <c r="B93" s="164">
        <f>IF(Kategori!C93="","",Kategori!B93)</f>
        <v/>
      </c>
      <c r="C93" s="108">
        <f>IF(Kategori!C93="","",Kategori!C93)</f>
        <v/>
      </c>
      <c r="D93" s="165">
        <f>IF($C93="","",SUMIFS(Transaksi!$F$16:$F$5015,Transaksi!$G$16:$G$5015,$A93,Transaksi!$H$16:$H$5015,$B93,Transaksi!$I$16:$I$5015,$C93,Transaksi!$B$16:$B$5015,"&gt;="&amp;DATE(Dashboard!$C$4,1,1),Transaksi!$B$16:$B$5015,"&lt;="&amp;EOMONTH(DATE(Dashboard!$C$4,1,1),0)))</f>
        <v/>
      </c>
      <c r="E93" s="165">
        <f>IF($C93="","",SUMIFS(Transaksi!$F$16:$F$5015,Transaksi!$G$16:$G$5015,$A93,Transaksi!$H$16:$H$5015,$B93,Transaksi!$I$16:$I$5015,$C93,Transaksi!$B$16:$B$5015,"&gt;="&amp;DATE(Dashboard!$C$4,2,1),Transaksi!$B$16:$B$5015,"&lt;="&amp;EOMONTH(DATE(Dashboard!$C$4,2,1),0)))</f>
        <v/>
      </c>
      <c r="F93" s="165">
        <f>IF($C93="","",SUMIFS(Transaksi!$F$16:$F$5015,Transaksi!$G$16:$G$5015,$A93,Transaksi!$H$16:$H$5015,$B93,Transaksi!$I$16:$I$5015,$C93,Transaksi!$B$16:$B$5015,"&gt;="&amp;DATE(Dashboard!$C$4,3,1),Transaksi!$B$16:$B$5015,"&lt;="&amp;EOMONTH(DATE(Dashboard!$C$4,3,1),0)))</f>
        <v/>
      </c>
      <c r="G93" s="165">
        <f>IF($C93="","",SUMIFS(Transaksi!$F$16:$F$5015,Transaksi!$G$16:$G$5015,$A93,Transaksi!$H$16:$H$5015,$B93,Transaksi!$I$16:$I$5015,$C93,Transaksi!$B$16:$B$5015,"&gt;="&amp;DATE(Dashboard!$C$4,4,1),Transaksi!$B$16:$B$5015,"&lt;="&amp;EOMONTH(DATE(Dashboard!$C$4,4,1),0)))</f>
        <v/>
      </c>
      <c r="H93" s="165">
        <f>IF($C93="","",SUMIFS(Transaksi!$F$16:$F$5015,Transaksi!$G$16:$G$5015,$A93,Transaksi!$H$16:$H$5015,$B93,Transaksi!$I$16:$I$5015,$C93,Transaksi!$B$16:$B$5015,"&gt;="&amp;DATE(Dashboard!$C$4,5,1),Transaksi!$B$16:$B$5015,"&lt;="&amp;EOMONTH(DATE(Dashboard!$C$4,5,1),0)))</f>
        <v/>
      </c>
      <c r="I93" s="165">
        <f>IF($C93="","",SUMIFS(Transaksi!$F$16:$F$5015,Transaksi!$G$16:$G$5015,$A93,Transaksi!$H$16:$H$5015,$B93,Transaksi!$I$16:$I$5015,$C93,Transaksi!$B$16:$B$5015,"&gt;="&amp;DATE(Dashboard!$C$4,6,1),Transaksi!$B$16:$B$5015,"&lt;="&amp;EOMONTH(DATE(Dashboard!$C$4,6,1),0)))</f>
        <v/>
      </c>
      <c r="J93" s="165">
        <f>IF($C93="","",SUMIFS(Transaksi!$F$16:$F$5015,Transaksi!$G$16:$G$5015,$A93,Transaksi!$H$16:$H$5015,$B93,Transaksi!$I$16:$I$5015,$C93,Transaksi!$B$16:$B$5015,"&gt;="&amp;DATE(Dashboard!$C$4,7,1),Transaksi!$B$16:$B$5015,"&lt;="&amp;EOMONTH(DATE(Dashboard!$C$4,7,1),0)))</f>
        <v/>
      </c>
      <c r="K93" s="165">
        <f>IF($C93="","",SUMIFS(Transaksi!$F$16:$F$5015,Transaksi!$G$16:$G$5015,$A93,Transaksi!$H$16:$H$5015,$B93,Transaksi!$I$16:$I$5015,$C93,Transaksi!$B$16:$B$5015,"&gt;="&amp;DATE(Dashboard!$C$4,8,1),Transaksi!$B$16:$B$5015,"&lt;="&amp;EOMONTH(DATE(Dashboard!$C$4,8,1),0)))</f>
        <v/>
      </c>
      <c r="L93" s="165">
        <f>IF($C93="","",SUMIFS(Transaksi!$F$16:$F$5015,Transaksi!$G$16:$G$5015,$A93,Transaksi!$H$16:$H$5015,$B93,Transaksi!$I$16:$I$5015,$C93,Transaksi!$B$16:$B$5015,"&gt;="&amp;DATE(Dashboard!$C$4,9,1),Transaksi!$B$16:$B$5015,"&lt;="&amp;EOMONTH(DATE(Dashboard!$C$4,9,1),0)))</f>
        <v/>
      </c>
      <c r="M93" s="165">
        <f>IF($C93="","",SUMIFS(Transaksi!$F$16:$F$5015,Transaksi!$G$16:$G$5015,$A93,Transaksi!$H$16:$H$5015,$B93,Transaksi!$I$16:$I$5015,$C93,Transaksi!$B$16:$B$5015,"&gt;="&amp;DATE(Dashboard!$C$4,10,1),Transaksi!$B$16:$B$5015,"&lt;="&amp;EOMONTH(DATE(Dashboard!$C$4,10,1),0)))</f>
        <v/>
      </c>
      <c r="N93" s="165">
        <f>IF($C93="","",SUMIFS(Transaksi!$F$16:$F$5015,Transaksi!$G$16:$G$5015,$A93,Transaksi!$H$16:$H$5015,$B93,Transaksi!$I$16:$I$5015,$C93,Transaksi!$B$16:$B$5015,"&gt;="&amp;DATE(Dashboard!$C$4,11,1),Transaksi!$B$16:$B$5015,"&lt;="&amp;EOMONTH(DATE(Dashboard!$C$4,11,1),0)))</f>
        <v/>
      </c>
      <c r="O93" s="165">
        <f>IF($C93="","",SUMIFS(Transaksi!$F$16:$F$5015,Transaksi!$G$16:$G$5015,$A93,Transaksi!$H$16:$H$5015,$B93,Transaksi!$I$16:$I$5015,$C93,Transaksi!$B$16:$B$5015,"&gt;="&amp;DATE(Dashboard!$C$4,12,1),Transaksi!$B$16:$B$5015,"&lt;="&amp;EOMONTH(DATE(Dashboard!$C$4,12,1),0)))</f>
        <v/>
      </c>
      <c r="P93" s="166">
        <f>IF($C93="","",SUM(D93:O93))</f>
        <v/>
      </c>
    </row>
    <row r="94" ht="15" customHeight="1" s="94">
      <c r="A94" s="164">
        <f>IF(Kategori!C94="","",Kategori!A94)</f>
        <v/>
      </c>
      <c r="B94" s="164">
        <f>IF(Kategori!C94="","",Kategori!B94)</f>
        <v/>
      </c>
      <c r="C94" s="108">
        <f>IF(Kategori!C94="","",Kategori!C94)</f>
        <v/>
      </c>
      <c r="D94" s="165">
        <f>IF($C94="","",SUMIFS(Transaksi!$F$16:$F$5015,Transaksi!$G$16:$G$5015,$A94,Transaksi!$H$16:$H$5015,$B94,Transaksi!$I$16:$I$5015,$C94,Transaksi!$B$16:$B$5015,"&gt;="&amp;DATE(Dashboard!$C$4,1,1),Transaksi!$B$16:$B$5015,"&lt;="&amp;EOMONTH(DATE(Dashboard!$C$4,1,1),0)))</f>
        <v/>
      </c>
      <c r="E94" s="165">
        <f>IF($C94="","",SUMIFS(Transaksi!$F$16:$F$5015,Transaksi!$G$16:$G$5015,$A94,Transaksi!$H$16:$H$5015,$B94,Transaksi!$I$16:$I$5015,$C94,Transaksi!$B$16:$B$5015,"&gt;="&amp;DATE(Dashboard!$C$4,2,1),Transaksi!$B$16:$B$5015,"&lt;="&amp;EOMONTH(DATE(Dashboard!$C$4,2,1),0)))</f>
        <v/>
      </c>
      <c r="F94" s="165">
        <f>IF($C94="","",SUMIFS(Transaksi!$F$16:$F$5015,Transaksi!$G$16:$G$5015,$A94,Transaksi!$H$16:$H$5015,$B94,Transaksi!$I$16:$I$5015,$C94,Transaksi!$B$16:$B$5015,"&gt;="&amp;DATE(Dashboard!$C$4,3,1),Transaksi!$B$16:$B$5015,"&lt;="&amp;EOMONTH(DATE(Dashboard!$C$4,3,1),0)))</f>
        <v/>
      </c>
      <c r="G94" s="165">
        <f>IF($C94="","",SUMIFS(Transaksi!$F$16:$F$5015,Transaksi!$G$16:$G$5015,$A94,Transaksi!$H$16:$H$5015,$B94,Transaksi!$I$16:$I$5015,$C94,Transaksi!$B$16:$B$5015,"&gt;="&amp;DATE(Dashboard!$C$4,4,1),Transaksi!$B$16:$B$5015,"&lt;="&amp;EOMONTH(DATE(Dashboard!$C$4,4,1),0)))</f>
        <v/>
      </c>
      <c r="H94" s="165">
        <f>IF($C94="","",SUMIFS(Transaksi!$F$16:$F$5015,Transaksi!$G$16:$G$5015,$A94,Transaksi!$H$16:$H$5015,$B94,Transaksi!$I$16:$I$5015,$C94,Transaksi!$B$16:$B$5015,"&gt;="&amp;DATE(Dashboard!$C$4,5,1),Transaksi!$B$16:$B$5015,"&lt;="&amp;EOMONTH(DATE(Dashboard!$C$4,5,1),0)))</f>
        <v/>
      </c>
      <c r="I94" s="165">
        <f>IF($C94="","",SUMIFS(Transaksi!$F$16:$F$5015,Transaksi!$G$16:$G$5015,$A94,Transaksi!$H$16:$H$5015,$B94,Transaksi!$I$16:$I$5015,$C94,Transaksi!$B$16:$B$5015,"&gt;="&amp;DATE(Dashboard!$C$4,6,1),Transaksi!$B$16:$B$5015,"&lt;="&amp;EOMONTH(DATE(Dashboard!$C$4,6,1),0)))</f>
        <v/>
      </c>
      <c r="J94" s="165">
        <f>IF($C94="","",SUMIFS(Transaksi!$F$16:$F$5015,Transaksi!$G$16:$G$5015,$A94,Transaksi!$H$16:$H$5015,$B94,Transaksi!$I$16:$I$5015,$C94,Transaksi!$B$16:$B$5015,"&gt;="&amp;DATE(Dashboard!$C$4,7,1),Transaksi!$B$16:$B$5015,"&lt;="&amp;EOMONTH(DATE(Dashboard!$C$4,7,1),0)))</f>
        <v/>
      </c>
      <c r="K94" s="165">
        <f>IF($C94="","",SUMIFS(Transaksi!$F$16:$F$5015,Transaksi!$G$16:$G$5015,$A94,Transaksi!$H$16:$H$5015,$B94,Transaksi!$I$16:$I$5015,$C94,Transaksi!$B$16:$B$5015,"&gt;="&amp;DATE(Dashboard!$C$4,8,1),Transaksi!$B$16:$B$5015,"&lt;="&amp;EOMONTH(DATE(Dashboard!$C$4,8,1),0)))</f>
        <v/>
      </c>
      <c r="L94" s="165">
        <f>IF($C94="","",SUMIFS(Transaksi!$F$16:$F$5015,Transaksi!$G$16:$G$5015,$A94,Transaksi!$H$16:$H$5015,$B94,Transaksi!$I$16:$I$5015,$C94,Transaksi!$B$16:$B$5015,"&gt;="&amp;DATE(Dashboard!$C$4,9,1),Transaksi!$B$16:$B$5015,"&lt;="&amp;EOMONTH(DATE(Dashboard!$C$4,9,1),0)))</f>
        <v/>
      </c>
      <c r="M94" s="165">
        <f>IF($C94="","",SUMIFS(Transaksi!$F$16:$F$5015,Transaksi!$G$16:$G$5015,$A94,Transaksi!$H$16:$H$5015,$B94,Transaksi!$I$16:$I$5015,$C94,Transaksi!$B$16:$B$5015,"&gt;="&amp;DATE(Dashboard!$C$4,10,1),Transaksi!$B$16:$B$5015,"&lt;="&amp;EOMONTH(DATE(Dashboard!$C$4,10,1),0)))</f>
        <v/>
      </c>
      <c r="N94" s="165">
        <f>IF($C94="","",SUMIFS(Transaksi!$F$16:$F$5015,Transaksi!$G$16:$G$5015,$A94,Transaksi!$H$16:$H$5015,$B94,Transaksi!$I$16:$I$5015,$C94,Transaksi!$B$16:$B$5015,"&gt;="&amp;DATE(Dashboard!$C$4,11,1),Transaksi!$B$16:$B$5015,"&lt;="&amp;EOMONTH(DATE(Dashboard!$C$4,11,1),0)))</f>
        <v/>
      </c>
      <c r="O94" s="165">
        <f>IF($C94="","",SUMIFS(Transaksi!$F$16:$F$5015,Transaksi!$G$16:$G$5015,$A94,Transaksi!$H$16:$H$5015,$B94,Transaksi!$I$16:$I$5015,$C94,Transaksi!$B$16:$B$5015,"&gt;="&amp;DATE(Dashboard!$C$4,12,1),Transaksi!$B$16:$B$5015,"&lt;="&amp;EOMONTH(DATE(Dashboard!$C$4,12,1),0)))</f>
        <v/>
      </c>
      <c r="P94" s="166">
        <f>IF($C94="","",SUM(D94:O94))</f>
        <v/>
      </c>
    </row>
    <row r="95" ht="15" customHeight="1" s="94">
      <c r="A95" s="164">
        <f>IF(Kategori!C95="","",Kategori!A95)</f>
        <v/>
      </c>
      <c r="B95" s="164">
        <f>IF(Kategori!C95="","",Kategori!B95)</f>
        <v/>
      </c>
      <c r="C95" s="108">
        <f>IF(Kategori!C95="","",Kategori!C95)</f>
        <v/>
      </c>
      <c r="D95" s="165">
        <f>IF($C95="","",SUMIFS(Transaksi!$F$16:$F$5015,Transaksi!$G$16:$G$5015,$A95,Transaksi!$H$16:$H$5015,$B95,Transaksi!$I$16:$I$5015,$C95,Transaksi!$B$16:$B$5015,"&gt;="&amp;DATE(Dashboard!$C$4,1,1),Transaksi!$B$16:$B$5015,"&lt;="&amp;EOMONTH(DATE(Dashboard!$C$4,1,1),0)))</f>
        <v/>
      </c>
      <c r="E95" s="165">
        <f>IF($C95="","",SUMIFS(Transaksi!$F$16:$F$5015,Transaksi!$G$16:$G$5015,$A95,Transaksi!$H$16:$H$5015,$B95,Transaksi!$I$16:$I$5015,$C95,Transaksi!$B$16:$B$5015,"&gt;="&amp;DATE(Dashboard!$C$4,2,1),Transaksi!$B$16:$B$5015,"&lt;="&amp;EOMONTH(DATE(Dashboard!$C$4,2,1),0)))</f>
        <v/>
      </c>
      <c r="F95" s="165">
        <f>IF($C95="","",SUMIFS(Transaksi!$F$16:$F$5015,Transaksi!$G$16:$G$5015,$A95,Transaksi!$H$16:$H$5015,$B95,Transaksi!$I$16:$I$5015,$C95,Transaksi!$B$16:$B$5015,"&gt;="&amp;DATE(Dashboard!$C$4,3,1),Transaksi!$B$16:$B$5015,"&lt;="&amp;EOMONTH(DATE(Dashboard!$C$4,3,1),0)))</f>
        <v/>
      </c>
      <c r="G95" s="165">
        <f>IF($C95="","",SUMIFS(Transaksi!$F$16:$F$5015,Transaksi!$G$16:$G$5015,$A95,Transaksi!$H$16:$H$5015,$B95,Transaksi!$I$16:$I$5015,$C95,Transaksi!$B$16:$B$5015,"&gt;="&amp;DATE(Dashboard!$C$4,4,1),Transaksi!$B$16:$B$5015,"&lt;="&amp;EOMONTH(DATE(Dashboard!$C$4,4,1),0)))</f>
        <v/>
      </c>
      <c r="H95" s="165">
        <f>IF($C95="","",SUMIFS(Transaksi!$F$16:$F$5015,Transaksi!$G$16:$G$5015,$A95,Transaksi!$H$16:$H$5015,$B95,Transaksi!$I$16:$I$5015,$C95,Transaksi!$B$16:$B$5015,"&gt;="&amp;DATE(Dashboard!$C$4,5,1),Transaksi!$B$16:$B$5015,"&lt;="&amp;EOMONTH(DATE(Dashboard!$C$4,5,1),0)))</f>
        <v/>
      </c>
      <c r="I95" s="165">
        <f>IF($C95="","",SUMIFS(Transaksi!$F$16:$F$5015,Transaksi!$G$16:$G$5015,$A95,Transaksi!$H$16:$H$5015,$B95,Transaksi!$I$16:$I$5015,$C95,Transaksi!$B$16:$B$5015,"&gt;="&amp;DATE(Dashboard!$C$4,6,1),Transaksi!$B$16:$B$5015,"&lt;="&amp;EOMONTH(DATE(Dashboard!$C$4,6,1),0)))</f>
        <v/>
      </c>
      <c r="J95" s="165">
        <f>IF($C95="","",SUMIFS(Transaksi!$F$16:$F$5015,Transaksi!$G$16:$G$5015,$A95,Transaksi!$H$16:$H$5015,$B95,Transaksi!$I$16:$I$5015,$C95,Transaksi!$B$16:$B$5015,"&gt;="&amp;DATE(Dashboard!$C$4,7,1),Transaksi!$B$16:$B$5015,"&lt;="&amp;EOMONTH(DATE(Dashboard!$C$4,7,1),0)))</f>
        <v/>
      </c>
      <c r="K95" s="165">
        <f>IF($C95="","",SUMIFS(Transaksi!$F$16:$F$5015,Transaksi!$G$16:$G$5015,$A95,Transaksi!$H$16:$H$5015,$B95,Transaksi!$I$16:$I$5015,$C95,Transaksi!$B$16:$B$5015,"&gt;="&amp;DATE(Dashboard!$C$4,8,1),Transaksi!$B$16:$B$5015,"&lt;="&amp;EOMONTH(DATE(Dashboard!$C$4,8,1),0)))</f>
        <v/>
      </c>
      <c r="L95" s="165">
        <f>IF($C95="","",SUMIFS(Transaksi!$F$16:$F$5015,Transaksi!$G$16:$G$5015,$A95,Transaksi!$H$16:$H$5015,$B95,Transaksi!$I$16:$I$5015,$C95,Transaksi!$B$16:$B$5015,"&gt;="&amp;DATE(Dashboard!$C$4,9,1),Transaksi!$B$16:$B$5015,"&lt;="&amp;EOMONTH(DATE(Dashboard!$C$4,9,1),0)))</f>
        <v/>
      </c>
      <c r="M95" s="165">
        <f>IF($C95="","",SUMIFS(Transaksi!$F$16:$F$5015,Transaksi!$G$16:$G$5015,$A95,Transaksi!$H$16:$H$5015,$B95,Transaksi!$I$16:$I$5015,$C95,Transaksi!$B$16:$B$5015,"&gt;="&amp;DATE(Dashboard!$C$4,10,1),Transaksi!$B$16:$B$5015,"&lt;="&amp;EOMONTH(DATE(Dashboard!$C$4,10,1),0)))</f>
        <v/>
      </c>
      <c r="N95" s="165">
        <f>IF($C95="","",SUMIFS(Transaksi!$F$16:$F$5015,Transaksi!$G$16:$G$5015,$A95,Transaksi!$H$16:$H$5015,$B95,Transaksi!$I$16:$I$5015,$C95,Transaksi!$B$16:$B$5015,"&gt;="&amp;DATE(Dashboard!$C$4,11,1),Transaksi!$B$16:$B$5015,"&lt;="&amp;EOMONTH(DATE(Dashboard!$C$4,11,1),0)))</f>
        <v/>
      </c>
      <c r="O95" s="165">
        <f>IF($C95="","",SUMIFS(Transaksi!$F$16:$F$5015,Transaksi!$G$16:$G$5015,$A95,Transaksi!$H$16:$H$5015,$B95,Transaksi!$I$16:$I$5015,$C95,Transaksi!$B$16:$B$5015,"&gt;="&amp;DATE(Dashboard!$C$4,12,1),Transaksi!$B$16:$B$5015,"&lt;="&amp;EOMONTH(DATE(Dashboard!$C$4,12,1),0)))</f>
        <v/>
      </c>
      <c r="P95" s="166">
        <f>IF($C95="","",SUM(D95:O95))</f>
        <v/>
      </c>
    </row>
    <row r="96" ht="15" customHeight="1" s="94">
      <c r="A96" s="164">
        <f>IF(Kategori!C96="","",Kategori!A96)</f>
        <v/>
      </c>
      <c r="B96" s="164">
        <f>IF(Kategori!C96="","",Kategori!B96)</f>
        <v/>
      </c>
      <c r="C96" s="108">
        <f>IF(Kategori!C96="","",Kategori!C96)</f>
        <v/>
      </c>
      <c r="D96" s="165">
        <f>IF($C96="","",SUMIFS(Transaksi!$F$16:$F$5015,Transaksi!$G$16:$G$5015,$A96,Transaksi!$H$16:$H$5015,$B96,Transaksi!$I$16:$I$5015,$C96,Transaksi!$B$16:$B$5015,"&gt;="&amp;DATE(Dashboard!$C$4,1,1),Transaksi!$B$16:$B$5015,"&lt;="&amp;EOMONTH(DATE(Dashboard!$C$4,1,1),0)))</f>
        <v/>
      </c>
      <c r="E96" s="165">
        <f>IF($C96="","",SUMIFS(Transaksi!$F$16:$F$5015,Transaksi!$G$16:$G$5015,$A96,Transaksi!$H$16:$H$5015,$B96,Transaksi!$I$16:$I$5015,$C96,Transaksi!$B$16:$B$5015,"&gt;="&amp;DATE(Dashboard!$C$4,2,1),Transaksi!$B$16:$B$5015,"&lt;="&amp;EOMONTH(DATE(Dashboard!$C$4,2,1),0)))</f>
        <v/>
      </c>
      <c r="F96" s="165">
        <f>IF($C96="","",SUMIFS(Transaksi!$F$16:$F$5015,Transaksi!$G$16:$G$5015,$A96,Transaksi!$H$16:$H$5015,$B96,Transaksi!$I$16:$I$5015,$C96,Transaksi!$B$16:$B$5015,"&gt;="&amp;DATE(Dashboard!$C$4,3,1),Transaksi!$B$16:$B$5015,"&lt;="&amp;EOMONTH(DATE(Dashboard!$C$4,3,1),0)))</f>
        <v/>
      </c>
      <c r="G96" s="165">
        <f>IF($C96="","",SUMIFS(Transaksi!$F$16:$F$5015,Transaksi!$G$16:$G$5015,$A96,Transaksi!$H$16:$H$5015,$B96,Transaksi!$I$16:$I$5015,$C96,Transaksi!$B$16:$B$5015,"&gt;="&amp;DATE(Dashboard!$C$4,4,1),Transaksi!$B$16:$B$5015,"&lt;="&amp;EOMONTH(DATE(Dashboard!$C$4,4,1),0)))</f>
        <v/>
      </c>
      <c r="H96" s="165">
        <f>IF($C96="","",SUMIFS(Transaksi!$F$16:$F$5015,Transaksi!$G$16:$G$5015,$A96,Transaksi!$H$16:$H$5015,$B96,Transaksi!$I$16:$I$5015,$C96,Transaksi!$B$16:$B$5015,"&gt;="&amp;DATE(Dashboard!$C$4,5,1),Transaksi!$B$16:$B$5015,"&lt;="&amp;EOMONTH(DATE(Dashboard!$C$4,5,1),0)))</f>
        <v/>
      </c>
      <c r="I96" s="165">
        <f>IF($C96="","",SUMIFS(Transaksi!$F$16:$F$5015,Transaksi!$G$16:$G$5015,$A96,Transaksi!$H$16:$H$5015,$B96,Transaksi!$I$16:$I$5015,$C96,Transaksi!$B$16:$B$5015,"&gt;="&amp;DATE(Dashboard!$C$4,6,1),Transaksi!$B$16:$B$5015,"&lt;="&amp;EOMONTH(DATE(Dashboard!$C$4,6,1),0)))</f>
        <v/>
      </c>
      <c r="J96" s="165">
        <f>IF($C96="","",SUMIFS(Transaksi!$F$16:$F$5015,Transaksi!$G$16:$G$5015,$A96,Transaksi!$H$16:$H$5015,$B96,Transaksi!$I$16:$I$5015,$C96,Transaksi!$B$16:$B$5015,"&gt;="&amp;DATE(Dashboard!$C$4,7,1),Transaksi!$B$16:$B$5015,"&lt;="&amp;EOMONTH(DATE(Dashboard!$C$4,7,1),0)))</f>
        <v/>
      </c>
      <c r="K96" s="165">
        <f>IF($C96="","",SUMIFS(Transaksi!$F$16:$F$5015,Transaksi!$G$16:$G$5015,$A96,Transaksi!$H$16:$H$5015,$B96,Transaksi!$I$16:$I$5015,$C96,Transaksi!$B$16:$B$5015,"&gt;="&amp;DATE(Dashboard!$C$4,8,1),Transaksi!$B$16:$B$5015,"&lt;="&amp;EOMONTH(DATE(Dashboard!$C$4,8,1),0)))</f>
        <v/>
      </c>
      <c r="L96" s="165">
        <f>IF($C96="","",SUMIFS(Transaksi!$F$16:$F$5015,Transaksi!$G$16:$G$5015,$A96,Transaksi!$H$16:$H$5015,$B96,Transaksi!$I$16:$I$5015,$C96,Transaksi!$B$16:$B$5015,"&gt;="&amp;DATE(Dashboard!$C$4,9,1),Transaksi!$B$16:$B$5015,"&lt;="&amp;EOMONTH(DATE(Dashboard!$C$4,9,1),0)))</f>
        <v/>
      </c>
      <c r="M96" s="165">
        <f>IF($C96="","",SUMIFS(Transaksi!$F$16:$F$5015,Transaksi!$G$16:$G$5015,$A96,Transaksi!$H$16:$H$5015,$B96,Transaksi!$I$16:$I$5015,$C96,Transaksi!$B$16:$B$5015,"&gt;="&amp;DATE(Dashboard!$C$4,10,1),Transaksi!$B$16:$B$5015,"&lt;="&amp;EOMONTH(DATE(Dashboard!$C$4,10,1),0)))</f>
        <v/>
      </c>
      <c r="N96" s="165">
        <f>IF($C96="","",SUMIFS(Transaksi!$F$16:$F$5015,Transaksi!$G$16:$G$5015,$A96,Transaksi!$H$16:$H$5015,$B96,Transaksi!$I$16:$I$5015,$C96,Transaksi!$B$16:$B$5015,"&gt;="&amp;DATE(Dashboard!$C$4,11,1),Transaksi!$B$16:$B$5015,"&lt;="&amp;EOMONTH(DATE(Dashboard!$C$4,11,1),0)))</f>
        <v/>
      </c>
      <c r="O96" s="165">
        <f>IF($C96="","",SUMIFS(Transaksi!$F$16:$F$5015,Transaksi!$G$16:$G$5015,$A96,Transaksi!$H$16:$H$5015,$B96,Transaksi!$I$16:$I$5015,$C96,Transaksi!$B$16:$B$5015,"&gt;="&amp;DATE(Dashboard!$C$4,12,1),Transaksi!$B$16:$B$5015,"&lt;="&amp;EOMONTH(DATE(Dashboard!$C$4,12,1),0)))</f>
        <v/>
      </c>
      <c r="P96" s="166">
        <f>IF($C96="","",SUM(D96:O96))</f>
        <v/>
      </c>
    </row>
    <row r="97" ht="15" customHeight="1" s="94">
      <c r="A97" s="164">
        <f>IF(Kategori!C97="","",Kategori!A97)</f>
        <v/>
      </c>
      <c r="B97" s="164">
        <f>IF(Kategori!C97="","",Kategori!B97)</f>
        <v/>
      </c>
      <c r="C97" s="108">
        <f>IF(Kategori!C97="","",Kategori!C97)</f>
        <v/>
      </c>
      <c r="D97" s="165">
        <f>IF($C97="","",SUMIFS(Transaksi!$F$16:$F$5015,Transaksi!$G$16:$G$5015,$A97,Transaksi!$H$16:$H$5015,$B97,Transaksi!$I$16:$I$5015,$C97,Transaksi!$B$16:$B$5015,"&gt;="&amp;DATE(Dashboard!$C$4,1,1),Transaksi!$B$16:$B$5015,"&lt;="&amp;EOMONTH(DATE(Dashboard!$C$4,1,1),0)))</f>
        <v/>
      </c>
      <c r="E97" s="165">
        <f>IF($C97="","",SUMIFS(Transaksi!$F$16:$F$5015,Transaksi!$G$16:$G$5015,$A97,Transaksi!$H$16:$H$5015,$B97,Transaksi!$I$16:$I$5015,$C97,Transaksi!$B$16:$B$5015,"&gt;="&amp;DATE(Dashboard!$C$4,2,1),Transaksi!$B$16:$B$5015,"&lt;="&amp;EOMONTH(DATE(Dashboard!$C$4,2,1),0)))</f>
        <v/>
      </c>
      <c r="F97" s="165">
        <f>IF($C97="","",SUMIFS(Transaksi!$F$16:$F$5015,Transaksi!$G$16:$G$5015,$A97,Transaksi!$H$16:$H$5015,$B97,Transaksi!$I$16:$I$5015,$C97,Transaksi!$B$16:$B$5015,"&gt;="&amp;DATE(Dashboard!$C$4,3,1),Transaksi!$B$16:$B$5015,"&lt;="&amp;EOMONTH(DATE(Dashboard!$C$4,3,1),0)))</f>
        <v/>
      </c>
      <c r="G97" s="165">
        <f>IF($C97="","",SUMIFS(Transaksi!$F$16:$F$5015,Transaksi!$G$16:$G$5015,$A97,Transaksi!$H$16:$H$5015,$B97,Transaksi!$I$16:$I$5015,$C97,Transaksi!$B$16:$B$5015,"&gt;="&amp;DATE(Dashboard!$C$4,4,1),Transaksi!$B$16:$B$5015,"&lt;="&amp;EOMONTH(DATE(Dashboard!$C$4,4,1),0)))</f>
        <v/>
      </c>
      <c r="H97" s="165">
        <f>IF($C97="","",SUMIFS(Transaksi!$F$16:$F$5015,Transaksi!$G$16:$G$5015,$A97,Transaksi!$H$16:$H$5015,$B97,Transaksi!$I$16:$I$5015,$C97,Transaksi!$B$16:$B$5015,"&gt;="&amp;DATE(Dashboard!$C$4,5,1),Transaksi!$B$16:$B$5015,"&lt;="&amp;EOMONTH(DATE(Dashboard!$C$4,5,1),0)))</f>
        <v/>
      </c>
      <c r="I97" s="165">
        <f>IF($C97="","",SUMIFS(Transaksi!$F$16:$F$5015,Transaksi!$G$16:$G$5015,$A97,Transaksi!$H$16:$H$5015,$B97,Transaksi!$I$16:$I$5015,$C97,Transaksi!$B$16:$B$5015,"&gt;="&amp;DATE(Dashboard!$C$4,6,1),Transaksi!$B$16:$B$5015,"&lt;="&amp;EOMONTH(DATE(Dashboard!$C$4,6,1),0)))</f>
        <v/>
      </c>
      <c r="J97" s="165">
        <f>IF($C97="","",SUMIFS(Transaksi!$F$16:$F$5015,Transaksi!$G$16:$G$5015,$A97,Transaksi!$H$16:$H$5015,$B97,Transaksi!$I$16:$I$5015,$C97,Transaksi!$B$16:$B$5015,"&gt;="&amp;DATE(Dashboard!$C$4,7,1),Transaksi!$B$16:$B$5015,"&lt;="&amp;EOMONTH(DATE(Dashboard!$C$4,7,1),0)))</f>
        <v/>
      </c>
      <c r="K97" s="165">
        <f>IF($C97="","",SUMIFS(Transaksi!$F$16:$F$5015,Transaksi!$G$16:$G$5015,$A97,Transaksi!$H$16:$H$5015,$B97,Transaksi!$I$16:$I$5015,$C97,Transaksi!$B$16:$B$5015,"&gt;="&amp;DATE(Dashboard!$C$4,8,1),Transaksi!$B$16:$B$5015,"&lt;="&amp;EOMONTH(DATE(Dashboard!$C$4,8,1),0)))</f>
        <v/>
      </c>
      <c r="L97" s="165">
        <f>IF($C97="","",SUMIFS(Transaksi!$F$16:$F$5015,Transaksi!$G$16:$G$5015,$A97,Transaksi!$H$16:$H$5015,$B97,Transaksi!$I$16:$I$5015,$C97,Transaksi!$B$16:$B$5015,"&gt;="&amp;DATE(Dashboard!$C$4,9,1),Transaksi!$B$16:$B$5015,"&lt;="&amp;EOMONTH(DATE(Dashboard!$C$4,9,1),0)))</f>
        <v/>
      </c>
      <c r="M97" s="165">
        <f>IF($C97="","",SUMIFS(Transaksi!$F$16:$F$5015,Transaksi!$G$16:$G$5015,$A97,Transaksi!$H$16:$H$5015,$B97,Transaksi!$I$16:$I$5015,$C97,Transaksi!$B$16:$B$5015,"&gt;="&amp;DATE(Dashboard!$C$4,10,1),Transaksi!$B$16:$B$5015,"&lt;="&amp;EOMONTH(DATE(Dashboard!$C$4,10,1),0)))</f>
        <v/>
      </c>
      <c r="N97" s="165">
        <f>IF($C97="","",SUMIFS(Transaksi!$F$16:$F$5015,Transaksi!$G$16:$G$5015,$A97,Transaksi!$H$16:$H$5015,$B97,Transaksi!$I$16:$I$5015,$C97,Transaksi!$B$16:$B$5015,"&gt;="&amp;DATE(Dashboard!$C$4,11,1),Transaksi!$B$16:$B$5015,"&lt;="&amp;EOMONTH(DATE(Dashboard!$C$4,11,1),0)))</f>
        <v/>
      </c>
      <c r="O97" s="165">
        <f>IF($C97="","",SUMIFS(Transaksi!$F$16:$F$5015,Transaksi!$G$16:$G$5015,$A97,Transaksi!$H$16:$H$5015,$B97,Transaksi!$I$16:$I$5015,$C97,Transaksi!$B$16:$B$5015,"&gt;="&amp;DATE(Dashboard!$C$4,12,1),Transaksi!$B$16:$B$5015,"&lt;="&amp;EOMONTH(DATE(Dashboard!$C$4,12,1),0)))</f>
        <v/>
      </c>
      <c r="P97" s="166">
        <f>IF($C97="","",SUM(D97:O97))</f>
        <v/>
      </c>
    </row>
    <row r="98" ht="15" customHeight="1" s="94">
      <c r="A98" s="164">
        <f>IF(Kategori!C98="","",Kategori!A98)</f>
        <v/>
      </c>
      <c r="B98" s="164">
        <f>IF(Kategori!C98="","",Kategori!B98)</f>
        <v/>
      </c>
      <c r="C98" s="108">
        <f>IF(Kategori!C98="","",Kategori!C98)</f>
        <v/>
      </c>
      <c r="D98" s="165">
        <f>IF($C98="","",SUMIFS(Transaksi!$F$16:$F$5015,Transaksi!$G$16:$G$5015,$A98,Transaksi!$H$16:$H$5015,$B98,Transaksi!$I$16:$I$5015,$C98,Transaksi!$B$16:$B$5015,"&gt;="&amp;DATE(Dashboard!$C$4,1,1),Transaksi!$B$16:$B$5015,"&lt;="&amp;EOMONTH(DATE(Dashboard!$C$4,1,1),0)))</f>
        <v/>
      </c>
      <c r="E98" s="165">
        <f>IF($C98="","",SUMIFS(Transaksi!$F$16:$F$5015,Transaksi!$G$16:$G$5015,$A98,Transaksi!$H$16:$H$5015,$B98,Transaksi!$I$16:$I$5015,$C98,Transaksi!$B$16:$B$5015,"&gt;="&amp;DATE(Dashboard!$C$4,2,1),Transaksi!$B$16:$B$5015,"&lt;="&amp;EOMONTH(DATE(Dashboard!$C$4,2,1),0)))</f>
        <v/>
      </c>
      <c r="F98" s="165">
        <f>IF($C98="","",SUMIFS(Transaksi!$F$16:$F$5015,Transaksi!$G$16:$G$5015,$A98,Transaksi!$H$16:$H$5015,$B98,Transaksi!$I$16:$I$5015,$C98,Transaksi!$B$16:$B$5015,"&gt;="&amp;DATE(Dashboard!$C$4,3,1),Transaksi!$B$16:$B$5015,"&lt;="&amp;EOMONTH(DATE(Dashboard!$C$4,3,1),0)))</f>
        <v/>
      </c>
      <c r="G98" s="165">
        <f>IF($C98="","",SUMIFS(Transaksi!$F$16:$F$5015,Transaksi!$G$16:$G$5015,$A98,Transaksi!$H$16:$H$5015,$B98,Transaksi!$I$16:$I$5015,$C98,Transaksi!$B$16:$B$5015,"&gt;="&amp;DATE(Dashboard!$C$4,4,1),Transaksi!$B$16:$B$5015,"&lt;="&amp;EOMONTH(DATE(Dashboard!$C$4,4,1),0)))</f>
        <v/>
      </c>
      <c r="H98" s="165">
        <f>IF($C98="","",SUMIFS(Transaksi!$F$16:$F$5015,Transaksi!$G$16:$G$5015,$A98,Transaksi!$H$16:$H$5015,$B98,Transaksi!$I$16:$I$5015,$C98,Transaksi!$B$16:$B$5015,"&gt;="&amp;DATE(Dashboard!$C$4,5,1),Transaksi!$B$16:$B$5015,"&lt;="&amp;EOMONTH(DATE(Dashboard!$C$4,5,1),0)))</f>
        <v/>
      </c>
      <c r="I98" s="165">
        <f>IF($C98="","",SUMIFS(Transaksi!$F$16:$F$5015,Transaksi!$G$16:$G$5015,$A98,Transaksi!$H$16:$H$5015,$B98,Transaksi!$I$16:$I$5015,$C98,Transaksi!$B$16:$B$5015,"&gt;="&amp;DATE(Dashboard!$C$4,6,1),Transaksi!$B$16:$B$5015,"&lt;="&amp;EOMONTH(DATE(Dashboard!$C$4,6,1),0)))</f>
        <v/>
      </c>
      <c r="J98" s="165">
        <f>IF($C98="","",SUMIFS(Transaksi!$F$16:$F$5015,Transaksi!$G$16:$G$5015,$A98,Transaksi!$H$16:$H$5015,$B98,Transaksi!$I$16:$I$5015,$C98,Transaksi!$B$16:$B$5015,"&gt;="&amp;DATE(Dashboard!$C$4,7,1),Transaksi!$B$16:$B$5015,"&lt;="&amp;EOMONTH(DATE(Dashboard!$C$4,7,1),0)))</f>
        <v/>
      </c>
      <c r="K98" s="165">
        <f>IF($C98="","",SUMIFS(Transaksi!$F$16:$F$5015,Transaksi!$G$16:$G$5015,$A98,Transaksi!$H$16:$H$5015,$B98,Transaksi!$I$16:$I$5015,$C98,Transaksi!$B$16:$B$5015,"&gt;="&amp;DATE(Dashboard!$C$4,8,1),Transaksi!$B$16:$B$5015,"&lt;="&amp;EOMONTH(DATE(Dashboard!$C$4,8,1),0)))</f>
        <v/>
      </c>
      <c r="L98" s="165">
        <f>IF($C98="","",SUMIFS(Transaksi!$F$16:$F$5015,Transaksi!$G$16:$G$5015,$A98,Transaksi!$H$16:$H$5015,$B98,Transaksi!$I$16:$I$5015,$C98,Transaksi!$B$16:$B$5015,"&gt;="&amp;DATE(Dashboard!$C$4,9,1),Transaksi!$B$16:$B$5015,"&lt;="&amp;EOMONTH(DATE(Dashboard!$C$4,9,1),0)))</f>
        <v/>
      </c>
      <c r="M98" s="165">
        <f>IF($C98="","",SUMIFS(Transaksi!$F$16:$F$5015,Transaksi!$G$16:$G$5015,$A98,Transaksi!$H$16:$H$5015,$B98,Transaksi!$I$16:$I$5015,$C98,Transaksi!$B$16:$B$5015,"&gt;="&amp;DATE(Dashboard!$C$4,10,1),Transaksi!$B$16:$B$5015,"&lt;="&amp;EOMONTH(DATE(Dashboard!$C$4,10,1),0)))</f>
        <v/>
      </c>
      <c r="N98" s="165">
        <f>IF($C98="","",SUMIFS(Transaksi!$F$16:$F$5015,Transaksi!$G$16:$G$5015,$A98,Transaksi!$H$16:$H$5015,$B98,Transaksi!$I$16:$I$5015,$C98,Transaksi!$B$16:$B$5015,"&gt;="&amp;DATE(Dashboard!$C$4,11,1),Transaksi!$B$16:$B$5015,"&lt;="&amp;EOMONTH(DATE(Dashboard!$C$4,11,1),0)))</f>
        <v/>
      </c>
      <c r="O98" s="165">
        <f>IF($C98="","",SUMIFS(Transaksi!$F$16:$F$5015,Transaksi!$G$16:$G$5015,$A98,Transaksi!$H$16:$H$5015,$B98,Transaksi!$I$16:$I$5015,$C98,Transaksi!$B$16:$B$5015,"&gt;="&amp;DATE(Dashboard!$C$4,12,1),Transaksi!$B$16:$B$5015,"&lt;="&amp;EOMONTH(DATE(Dashboard!$C$4,12,1),0)))</f>
        <v/>
      </c>
      <c r="P98" s="166">
        <f>IF($C98="","",SUM(D98:O98))</f>
        <v/>
      </c>
    </row>
    <row r="99" ht="15" customHeight="1" s="94">
      <c r="A99" s="164">
        <f>IF(Kategori!C99="","",Kategori!A99)</f>
        <v/>
      </c>
      <c r="B99" s="164">
        <f>IF(Kategori!C99="","",Kategori!B99)</f>
        <v/>
      </c>
      <c r="C99" s="108">
        <f>IF(Kategori!C99="","",Kategori!C99)</f>
        <v/>
      </c>
      <c r="D99" s="165">
        <f>IF($C99="","",SUMIFS(Transaksi!$F$16:$F$5015,Transaksi!$G$16:$G$5015,$A99,Transaksi!$H$16:$H$5015,$B99,Transaksi!$I$16:$I$5015,$C99,Transaksi!$B$16:$B$5015,"&gt;="&amp;DATE(Dashboard!$C$4,1,1),Transaksi!$B$16:$B$5015,"&lt;="&amp;EOMONTH(DATE(Dashboard!$C$4,1,1),0)))</f>
        <v/>
      </c>
      <c r="E99" s="165">
        <f>IF($C99="","",SUMIFS(Transaksi!$F$16:$F$5015,Transaksi!$G$16:$G$5015,$A99,Transaksi!$H$16:$H$5015,$B99,Transaksi!$I$16:$I$5015,$C99,Transaksi!$B$16:$B$5015,"&gt;="&amp;DATE(Dashboard!$C$4,2,1),Transaksi!$B$16:$B$5015,"&lt;="&amp;EOMONTH(DATE(Dashboard!$C$4,2,1),0)))</f>
        <v/>
      </c>
      <c r="F99" s="165">
        <f>IF($C99="","",SUMIFS(Transaksi!$F$16:$F$5015,Transaksi!$G$16:$G$5015,$A99,Transaksi!$H$16:$H$5015,$B99,Transaksi!$I$16:$I$5015,$C99,Transaksi!$B$16:$B$5015,"&gt;="&amp;DATE(Dashboard!$C$4,3,1),Transaksi!$B$16:$B$5015,"&lt;="&amp;EOMONTH(DATE(Dashboard!$C$4,3,1),0)))</f>
        <v/>
      </c>
      <c r="G99" s="165">
        <f>IF($C99="","",SUMIFS(Transaksi!$F$16:$F$5015,Transaksi!$G$16:$G$5015,$A99,Transaksi!$H$16:$H$5015,$B99,Transaksi!$I$16:$I$5015,$C99,Transaksi!$B$16:$B$5015,"&gt;="&amp;DATE(Dashboard!$C$4,4,1),Transaksi!$B$16:$B$5015,"&lt;="&amp;EOMONTH(DATE(Dashboard!$C$4,4,1),0)))</f>
        <v/>
      </c>
      <c r="H99" s="165">
        <f>IF($C99="","",SUMIFS(Transaksi!$F$16:$F$5015,Transaksi!$G$16:$G$5015,$A99,Transaksi!$H$16:$H$5015,$B99,Transaksi!$I$16:$I$5015,$C99,Transaksi!$B$16:$B$5015,"&gt;="&amp;DATE(Dashboard!$C$4,5,1),Transaksi!$B$16:$B$5015,"&lt;="&amp;EOMONTH(DATE(Dashboard!$C$4,5,1),0)))</f>
        <v/>
      </c>
      <c r="I99" s="165">
        <f>IF($C99="","",SUMIFS(Transaksi!$F$16:$F$5015,Transaksi!$G$16:$G$5015,$A99,Transaksi!$H$16:$H$5015,$B99,Transaksi!$I$16:$I$5015,$C99,Transaksi!$B$16:$B$5015,"&gt;="&amp;DATE(Dashboard!$C$4,6,1),Transaksi!$B$16:$B$5015,"&lt;="&amp;EOMONTH(DATE(Dashboard!$C$4,6,1),0)))</f>
        <v/>
      </c>
      <c r="J99" s="165">
        <f>IF($C99="","",SUMIFS(Transaksi!$F$16:$F$5015,Transaksi!$G$16:$G$5015,$A99,Transaksi!$H$16:$H$5015,$B99,Transaksi!$I$16:$I$5015,$C99,Transaksi!$B$16:$B$5015,"&gt;="&amp;DATE(Dashboard!$C$4,7,1),Transaksi!$B$16:$B$5015,"&lt;="&amp;EOMONTH(DATE(Dashboard!$C$4,7,1),0)))</f>
        <v/>
      </c>
      <c r="K99" s="165">
        <f>IF($C99="","",SUMIFS(Transaksi!$F$16:$F$5015,Transaksi!$G$16:$G$5015,$A99,Transaksi!$H$16:$H$5015,$B99,Transaksi!$I$16:$I$5015,$C99,Transaksi!$B$16:$B$5015,"&gt;="&amp;DATE(Dashboard!$C$4,8,1),Transaksi!$B$16:$B$5015,"&lt;="&amp;EOMONTH(DATE(Dashboard!$C$4,8,1),0)))</f>
        <v/>
      </c>
      <c r="L99" s="165">
        <f>IF($C99="","",SUMIFS(Transaksi!$F$16:$F$5015,Transaksi!$G$16:$G$5015,$A99,Transaksi!$H$16:$H$5015,$B99,Transaksi!$I$16:$I$5015,$C99,Transaksi!$B$16:$B$5015,"&gt;="&amp;DATE(Dashboard!$C$4,9,1),Transaksi!$B$16:$B$5015,"&lt;="&amp;EOMONTH(DATE(Dashboard!$C$4,9,1),0)))</f>
        <v/>
      </c>
      <c r="M99" s="165">
        <f>IF($C99="","",SUMIFS(Transaksi!$F$16:$F$5015,Transaksi!$G$16:$G$5015,$A99,Transaksi!$H$16:$H$5015,$B99,Transaksi!$I$16:$I$5015,$C99,Transaksi!$B$16:$B$5015,"&gt;="&amp;DATE(Dashboard!$C$4,10,1),Transaksi!$B$16:$B$5015,"&lt;="&amp;EOMONTH(DATE(Dashboard!$C$4,10,1),0)))</f>
        <v/>
      </c>
      <c r="N99" s="165">
        <f>IF($C99="","",SUMIFS(Transaksi!$F$16:$F$5015,Transaksi!$G$16:$G$5015,$A99,Transaksi!$H$16:$H$5015,$B99,Transaksi!$I$16:$I$5015,$C99,Transaksi!$B$16:$B$5015,"&gt;="&amp;DATE(Dashboard!$C$4,11,1),Transaksi!$B$16:$B$5015,"&lt;="&amp;EOMONTH(DATE(Dashboard!$C$4,11,1),0)))</f>
        <v/>
      </c>
      <c r="O99" s="165">
        <f>IF($C99="","",SUMIFS(Transaksi!$F$16:$F$5015,Transaksi!$G$16:$G$5015,$A99,Transaksi!$H$16:$H$5015,$B99,Transaksi!$I$16:$I$5015,$C99,Transaksi!$B$16:$B$5015,"&gt;="&amp;DATE(Dashboard!$C$4,12,1),Transaksi!$B$16:$B$5015,"&lt;="&amp;EOMONTH(DATE(Dashboard!$C$4,12,1),0)))</f>
        <v/>
      </c>
      <c r="P99" s="166">
        <f>IF($C99="","",SUM(D99:O99))</f>
        <v/>
      </c>
    </row>
    <row r="100" ht="15" customHeight="1" s="94">
      <c r="A100" s="164">
        <f>IF(Kategori!C100="","",Kategori!A100)</f>
        <v/>
      </c>
      <c r="B100" s="164">
        <f>IF(Kategori!C100="","",Kategori!B100)</f>
        <v/>
      </c>
      <c r="C100" s="108">
        <f>IF(Kategori!C100="","",Kategori!C100)</f>
        <v/>
      </c>
      <c r="D100" s="165">
        <f>IF($C100="","",SUMIFS(Transaksi!$F$16:$F$5015,Transaksi!$G$16:$G$5015,$A100,Transaksi!$H$16:$H$5015,$B100,Transaksi!$I$16:$I$5015,$C100,Transaksi!$B$16:$B$5015,"&gt;="&amp;DATE(Dashboard!$C$4,1,1),Transaksi!$B$16:$B$5015,"&lt;="&amp;EOMONTH(DATE(Dashboard!$C$4,1,1),0)))</f>
        <v/>
      </c>
      <c r="E100" s="165">
        <f>IF($C100="","",SUMIFS(Transaksi!$F$16:$F$5015,Transaksi!$G$16:$G$5015,$A100,Transaksi!$H$16:$H$5015,$B100,Transaksi!$I$16:$I$5015,$C100,Transaksi!$B$16:$B$5015,"&gt;="&amp;DATE(Dashboard!$C$4,2,1),Transaksi!$B$16:$B$5015,"&lt;="&amp;EOMONTH(DATE(Dashboard!$C$4,2,1),0)))</f>
        <v/>
      </c>
      <c r="F100" s="165">
        <f>IF($C100="","",SUMIFS(Transaksi!$F$16:$F$5015,Transaksi!$G$16:$G$5015,$A100,Transaksi!$H$16:$H$5015,$B100,Transaksi!$I$16:$I$5015,$C100,Transaksi!$B$16:$B$5015,"&gt;="&amp;DATE(Dashboard!$C$4,3,1),Transaksi!$B$16:$B$5015,"&lt;="&amp;EOMONTH(DATE(Dashboard!$C$4,3,1),0)))</f>
        <v/>
      </c>
      <c r="G100" s="165">
        <f>IF($C100="","",SUMIFS(Transaksi!$F$16:$F$5015,Transaksi!$G$16:$G$5015,$A100,Transaksi!$H$16:$H$5015,$B100,Transaksi!$I$16:$I$5015,$C100,Transaksi!$B$16:$B$5015,"&gt;="&amp;DATE(Dashboard!$C$4,4,1),Transaksi!$B$16:$B$5015,"&lt;="&amp;EOMONTH(DATE(Dashboard!$C$4,4,1),0)))</f>
        <v/>
      </c>
      <c r="H100" s="165">
        <f>IF($C100="","",SUMIFS(Transaksi!$F$16:$F$5015,Transaksi!$G$16:$G$5015,$A100,Transaksi!$H$16:$H$5015,$B100,Transaksi!$I$16:$I$5015,$C100,Transaksi!$B$16:$B$5015,"&gt;="&amp;DATE(Dashboard!$C$4,5,1),Transaksi!$B$16:$B$5015,"&lt;="&amp;EOMONTH(DATE(Dashboard!$C$4,5,1),0)))</f>
        <v/>
      </c>
      <c r="I100" s="165">
        <f>IF($C100="","",SUMIFS(Transaksi!$F$16:$F$5015,Transaksi!$G$16:$G$5015,$A100,Transaksi!$H$16:$H$5015,$B100,Transaksi!$I$16:$I$5015,$C100,Transaksi!$B$16:$B$5015,"&gt;="&amp;DATE(Dashboard!$C$4,6,1),Transaksi!$B$16:$B$5015,"&lt;="&amp;EOMONTH(DATE(Dashboard!$C$4,6,1),0)))</f>
        <v/>
      </c>
      <c r="J100" s="165">
        <f>IF($C100="","",SUMIFS(Transaksi!$F$16:$F$5015,Transaksi!$G$16:$G$5015,$A100,Transaksi!$H$16:$H$5015,$B100,Transaksi!$I$16:$I$5015,$C100,Transaksi!$B$16:$B$5015,"&gt;="&amp;DATE(Dashboard!$C$4,7,1),Transaksi!$B$16:$B$5015,"&lt;="&amp;EOMONTH(DATE(Dashboard!$C$4,7,1),0)))</f>
        <v/>
      </c>
      <c r="K100" s="165">
        <f>IF($C100="","",SUMIFS(Transaksi!$F$16:$F$5015,Transaksi!$G$16:$G$5015,$A100,Transaksi!$H$16:$H$5015,$B100,Transaksi!$I$16:$I$5015,$C100,Transaksi!$B$16:$B$5015,"&gt;="&amp;DATE(Dashboard!$C$4,8,1),Transaksi!$B$16:$B$5015,"&lt;="&amp;EOMONTH(DATE(Dashboard!$C$4,8,1),0)))</f>
        <v/>
      </c>
      <c r="L100" s="165">
        <f>IF($C100="","",SUMIFS(Transaksi!$F$16:$F$5015,Transaksi!$G$16:$G$5015,$A100,Transaksi!$H$16:$H$5015,$B100,Transaksi!$I$16:$I$5015,$C100,Transaksi!$B$16:$B$5015,"&gt;="&amp;DATE(Dashboard!$C$4,9,1),Transaksi!$B$16:$B$5015,"&lt;="&amp;EOMONTH(DATE(Dashboard!$C$4,9,1),0)))</f>
        <v/>
      </c>
      <c r="M100" s="165">
        <f>IF($C100="","",SUMIFS(Transaksi!$F$16:$F$5015,Transaksi!$G$16:$G$5015,$A100,Transaksi!$H$16:$H$5015,$B100,Transaksi!$I$16:$I$5015,$C100,Transaksi!$B$16:$B$5015,"&gt;="&amp;DATE(Dashboard!$C$4,10,1),Transaksi!$B$16:$B$5015,"&lt;="&amp;EOMONTH(DATE(Dashboard!$C$4,10,1),0)))</f>
        <v/>
      </c>
      <c r="N100" s="165">
        <f>IF($C100="","",SUMIFS(Transaksi!$F$16:$F$5015,Transaksi!$G$16:$G$5015,$A100,Transaksi!$H$16:$H$5015,$B100,Transaksi!$I$16:$I$5015,$C100,Transaksi!$B$16:$B$5015,"&gt;="&amp;DATE(Dashboard!$C$4,11,1),Transaksi!$B$16:$B$5015,"&lt;="&amp;EOMONTH(DATE(Dashboard!$C$4,11,1),0)))</f>
        <v/>
      </c>
      <c r="O100" s="165">
        <f>IF($C100="","",SUMIFS(Transaksi!$F$16:$F$5015,Transaksi!$G$16:$G$5015,$A100,Transaksi!$H$16:$H$5015,$B100,Transaksi!$I$16:$I$5015,$C100,Transaksi!$B$16:$B$5015,"&gt;="&amp;DATE(Dashboard!$C$4,12,1),Transaksi!$B$16:$B$5015,"&lt;="&amp;EOMONTH(DATE(Dashboard!$C$4,12,1),0)))</f>
        <v/>
      </c>
      <c r="P100" s="166">
        <f>IF($C100="","",SUM(D100:O100))</f>
        <v/>
      </c>
    </row>
    <row r="101" ht="15" customHeight="1" s="94">
      <c r="A101" s="164">
        <f>IF(Kategori!C101="","",Kategori!A101)</f>
        <v/>
      </c>
      <c r="B101" s="164">
        <f>IF(Kategori!C101="","",Kategori!B101)</f>
        <v/>
      </c>
      <c r="C101" s="108">
        <f>IF(Kategori!C101="","",Kategori!C101)</f>
        <v/>
      </c>
      <c r="D101" s="165">
        <f>IF($C101="","",SUMIFS(Transaksi!$F$16:$F$5015,Transaksi!$G$16:$G$5015,$A101,Transaksi!$H$16:$H$5015,$B101,Transaksi!$I$16:$I$5015,$C101,Transaksi!$B$16:$B$5015,"&gt;="&amp;DATE(Dashboard!$C$4,1,1),Transaksi!$B$16:$B$5015,"&lt;="&amp;EOMONTH(DATE(Dashboard!$C$4,1,1),0)))</f>
        <v/>
      </c>
      <c r="E101" s="165">
        <f>IF($C101="","",SUMIFS(Transaksi!$F$16:$F$5015,Transaksi!$G$16:$G$5015,$A101,Transaksi!$H$16:$H$5015,$B101,Transaksi!$I$16:$I$5015,$C101,Transaksi!$B$16:$B$5015,"&gt;="&amp;DATE(Dashboard!$C$4,2,1),Transaksi!$B$16:$B$5015,"&lt;="&amp;EOMONTH(DATE(Dashboard!$C$4,2,1),0)))</f>
        <v/>
      </c>
      <c r="F101" s="165">
        <f>IF($C101="","",SUMIFS(Transaksi!$F$16:$F$5015,Transaksi!$G$16:$G$5015,$A101,Transaksi!$H$16:$H$5015,$B101,Transaksi!$I$16:$I$5015,$C101,Transaksi!$B$16:$B$5015,"&gt;="&amp;DATE(Dashboard!$C$4,3,1),Transaksi!$B$16:$B$5015,"&lt;="&amp;EOMONTH(DATE(Dashboard!$C$4,3,1),0)))</f>
        <v/>
      </c>
      <c r="G101" s="165">
        <f>IF($C101="","",SUMIFS(Transaksi!$F$16:$F$5015,Transaksi!$G$16:$G$5015,$A101,Transaksi!$H$16:$H$5015,$B101,Transaksi!$I$16:$I$5015,$C101,Transaksi!$B$16:$B$5015,"&gt;="&amp;DATE(Dashboard!$C$4,4,1),Transaksi!$B$16:$B$5015,"&lt;="&amp;EOMONTH(DATE(Dashboard!$C$4,4,1),0)))</f>
        <v/>
      </c>
      <c r="H101" s="165">
        <f>IF($C101="","",SUMIFS(Transaksi!$F$16:$F$5015,Transaksi!$G$16:$G$5015,$A101,Transaksi!$H$16:$H$5015,$B101,Transaksi!$I$16:$I$5015,$C101,Transaksi!$B$16:$B$5015,"&gt;="&amp;DATE(Dashboard!$C$4,5,1),Transaksi!$B$16:$B$5015,"&lt;="&amp;EOMONTH(DATE(Dashboard!$C$4,5,1),0)))</f>
        <v/>
      </c>
      <c r="I101" s="165">
        <f>IF($C101="","",SUMIFS(Transaksi!$F$16:$F$5015,Transaksi!$G$16:$G$5015,$A101,Transaksi!$H$16:$H$5015,$B101,Transaksi!$I$16:$I$5015,$C101,Transaksi!$B$16:$B$5015,"&gt;="&amp;DATE(Dashboard!$C$4,6,1),Transaksi!$B$16:$B$5015,"&lt;="&amp;EOMONTH(DATE(Dashboard!$C$4,6,1),0)))</f>
        <v/>
      </c>
      <c r="J101" s="165">
        <f>IF($C101="","",SUMIFS(Transaksi!$F$16:$F$5015,Transaksi!$G$16:$G$5015,$A101,Transaksi!$H$16:$H$5015,$B101,Transaksi!$I$16:$I$5015,$C101,Transaksi!$B$16:$B$5015,"&gt;="&amp;DATE(Dashboard!$C$4,7,1),Transaksi!$B$16:$B$5015,"&lt;="&amp;EOMONTH(DATE(Dashboard!$C$4,7,1),0)))</f>
        <v/>
      </c>
      <c r="K101" s="165">
        <f>IF($C101="","",SUMIFS(Transaksi!$F$16:$F$5015,Transaksi!$G$16:$G$5015,$A101,Transaksi!$H$16:$H$5015,$B101,Transaksi!$I$16:$I$5015,$C101,Transaksi!$B$16:$B$5015,"&gt;="&amp;DATE(Dashboard!$C$4,8,1),Transaksi!$B$16:$B$5015,"&lt;="&amp;EOMONTH(DATE(Dashboard!$C$4,8,1),0)))</f>
        <v/>
      </c>
      <c r="L101" s="165">
        <f>IF($C101="","",SUMIFS(Transaksi!$F$16:$F$5015,Transaksi!$G$16:$G$5015,$A101,Transaksi!$H$16:$H$5015,$B101,Transaksi!$I$16:$I$5015,$C101,Transaksi!$B$16:$B$5015,"&gt;="&amp;DATE(Dashboard!$C$4,9,1),Transaksi!$B$16:$B$5015,"&lt;="&amp;EOMONTH(DATE(Dashboard!$C$4,9,1),0)))</f>
        <v/>
      </c>
      <c r="M101" s="165">
        <f>IF($C101="","",SUMIFS(Transaksi!$F$16:$F$5015,Transaksi!$G$16:$G$5015,$A101,Transaksi!$H$16:$H$5015,$B101,Transaksi!$I$16:$I$5015,$C101,Transaksi!$B$16:$B$5015,"&gt;="&amp;DATE(Dashboard!$C$4,10,1),Transaksi!$B$16:$B$5015,"&lt;="&amp;EOMONTH(DATE(Dashboard!$C$4,10,1),0)))</f>
        <v/>
      </c>
      <c r="N101" s="165">
        <f>IF($C101="","",SUMIFS(Transaksi!$F$16:$F$5015,Transaksi!$G$16:$G$5015,$A101,Transaksi!$H$16:$H$5015,$B101,Transaksi!$I$16:$I$5015,$C101,Transaksi!$B$16:$B$5015,"&gt;="&amp;DATE(Dashboard!$C$4,11,1),Transaksi!$B$16:$B$5015,"&lt;="&amp;EOMONTH(DATE(Dashboard!$C$4,11,1),0)))</f>
        <v/>
      </c>
      <c r="O101" s="165">
        <f>IF($C101="","",SUMIFS(Transaksi!$F$16:$F$5015,Transaksi!$G$16:$G$5015,$A101,Transaksi!$H$16:$H$5015,$B101,Transaksi!$I$16:$I$5015,$C101,Transaksi!$B$16:$B$5015,"&gt;="&amp;DATE(Dashboard!$C$4,12,1),Transaksi!$B$16:$B$5015,"&lt;="&amp;EOMONTH(DATE(Dashboard!$C$4,12,1),0)))</f>
        <v/>
      </c>
      <c r="P101" s="166">
        <f>IF($C101="","",SUM(D101:O101))</f>
        <v/>
      </c>
    </row>
    <row r="102" ht="15" customHeight="1" s="94">
      <c r="A102" s="164">
        <f>IF(Kategori!C102="","",Kategori!A102)</f>
        <v/>
      </c>
      <c r="B102" s="164">
        <f>IF(Kategori!C102="","",Kategori!B102)</f>
        <v/>
      </c>
      <c r="C102" s="108">
        <f>IF(Kategori!C102="","",Kategori!C102)</f>
        <v/>
      </c>
      <c r="D102" s="165">
        <f>IF($C102="","",SUMIFS(Transaksi!$F$16:$F$5015,Transaksi!$G$16:$G$5015,$A102,Transaksi!$H$16:$H$5015,$B102,Transaksi!$I$16:$I$5015,$C102,Transaksi!$B$16:$B$5015,"&gt;="&amp;DATE(Dashboard!$C$4,1,1),Transaksi!$B$16:$B$5015,"&lt;="&amp;EOMONTH(DATE(Dashboard!$C$4,1,1),0)))</f>
        <v/>
      </c>
      <c r="E102" s="165">
        <f>IF($C102="","",SUMIFS(Transaksi!$F$16:$F$5015,Transaksi!$G$16:$G$5015,$A102,Transaksi!$H$16:$H$5015,$B102,Transaksi!$I$16:$I$5015,$C102,Transaksi!$B$16:$B$5015,"&gt;="&amp;DATE(Dashboard!$C$4,2,1),Transaksi!$B$16:$B$5015,"&lt;="&amp;EOMONTH(DATE(Dashboard!$C$4,2,1),0)))</f>
        <v/>
      </c>
      <c r="F102" s="165">
        <f>IF($C102="","",SUMIFS(Transaksi!$F$16:$F$5015,Transaksi!$G$16:$G$5015,$A102,Transaksi!$H$16:$H$5015,$B102,Transaksi!$I$16:$I$5015,$C102,Transaksi!$B$16:$B$5015,"&gt;="&amp;DATE(Dashboard!$C$4,3,1),Transaksi!$B$16:$B$5015,"&lt;="&amp;EOMONTH(DATE(Dashboard!$C$4,3,1),0)))</f>
        <v/>
      </c>
      <c r="G102" s="165">
        <f>IF($C102="","",SUMIFS(Transaksi!$F$16:$F$5015,Transaksi!$G$16:$G$5015,$A102,Transaksi!$H$16:$H$5015,$B102,Transaksi!$I$16:$I$5015,$C102,Transaksi!$B$16:$B$5015,"&gt;="&amp;DATE(Dashboard!$C$4,4,1),Transaksi!$B$16:$B$5015,"&lt;="&amp;EOMONTH(DATE(Dashboard!$C$4,4,1),0)))</f>
        <v/>
      </c>
      <c r="H102" s="165">
        <f>IF($C102="","",SUMIFS(Transaksi!$F$16:$F$5015,Transaksi!$G$16:$G$5015,$A102,Transaksi!$H$16:$H$5015,$B102,Transaksi!$I$16:$I$5015,$C102,Transaksi!$B$16:$B$5015,"&gt;="&amp;DATE(Dashboard!$C$4,5,1),Transaksi!$B$16:$B$5015,"&lt;="&amp;EOMONTH(DATE(Dashboard!$C$4,5,1),0)))</f>
        <v/>
      </c>
      <c r="I102" s="165">
        <f>IF($C102="","",SUMIFS(Transaksi!$F$16:$F$5015,Transaksi!$G$16:$G$5015,$A102,Transaksi!$H$16:$H$5015,$B102,Transaksi!$I$16:$I$5015,$C102,Transaksi!$B$16:$B$5015,"&gt;="&amp;DATE(Dashboard!$C$4,6,1),Transaksi!$B$16:$B$5015,"&lt;="&amp;EOMONTH(DATE(Dashboard!$C$4,6,1),0)))</f>
        <v/>
      </c>
      <c r="J102" s="165">
        <f>IF($C102="","",SUMIFS(Transaksi!$F$16:$F$5015,Transaksi!$G$16:$G$5015,$A102,Transaksi!$H$16:$H$5015,$B102,Transaksi!$I$16:$I$5015,$C102,Transaksi!$B$16:$B$5015,"&gt;="&amp;DATE(Dashboard!$C$4,7,1),Transaksi!$B$16:$B$5015,"&lt;="&amp;EOMONTH(DATE(Dashboard!$C$4,7,1),0)))</f>
        <v/>
      </c>
      <c r="K102" s="165">
        <f>IF($C102="","",SUMIFS(Transaksi!$F$16:$F$5015,Transaksi!$G$16:$G$5015,$A102,Transaksi!$H$16:$H$5015,$B102,Transaksi!$I$16:$I$5015,$C102,Transaksi!$B$16:$B$5015,"&gt;="&amp;DATE(Dashboard!$C$4,8,1),Transaksi!$B$16:$B$5015,"&lt;="&amp;EOMONTH(DATE(Dashboard!$C$4,8,1),0)))</f>
        <v/>
      </c>
      <c r="L102" s="165">
        <f>IF($C102="","",SUMIFS(Transaksi!$F$16:$F$5015,Transaksi!$G$16:$G$5015,$A102,Transaksi!$H$16:$H$5015,$B102,Transaksi!$I$16:$I$5015,$C102,Transaksi!$B$16:$B$5015,"&gt;="&amp;DATE(Dashboard!$C$4,9,1),Transaksi!$B$16:$B$5015,"&lt;="&amp;EOMONTH(DATE(Dashboard!$C$4,9,1),0)))</f>
        <v/>
      </c>
      <c r="M102" s="165">
        <f>IF($C102="","",SUMIFS(Transaksi!$F$16:$F$5015,Transaksi!$G$16:$G$5015,$A102,Transaksi!$H$16:$H$5015,$B102,Transaksi!$I$16:$I$5015,$C102,Transaksi!$B$16:$B$5015,"&gt;="&amp;DATE(Dashboard!$C$4,10,1),Transaksi!$B$16:$B$5015,"&lt;="&amp;EOMONTH(DATE(Dashboard!$C$4,10,1),0)))</f>
        <v/>
      </c>
      <c r="N102" s="165">
        <f>IF($C102="","",SUMIFS(Transaksi!$F$16:$F$5015,Transaksi!$G$16:$G$5015,$A102,Transaksi!$H$16:$H$5015,$B102,Transaksi!$I$16:$I$5015,$C102,Transaksi!$B$16:$B$5015,"&gt;="&amp;DATE(Dashboard!$C$4,11,1),Transaksi!$B$16:$B$5015,"&lt;="&amp;EOMONTH(DATE(Dashboard!$C$4,11,1),0)))</f>
        <v/>
      </c>
      <c r="O102" s="165">
        <f>IF($C102="","",SUMIFS(Transaksi!$F$16:$F$5015,Transaksi!$G$16:$G$5015,$A102,Transaksi!$H$16:$H$5015,$B102,Transaksi!$I$16:$I$5015,$C102,Transaksi!$B$16:$B$5015,"&gt;="&amp;DATE(Dashboard!$C$4,12,1),Transaksi!$B$16:$B$5015,"&lt;="&amp;EOMONTH(DATE(Dashboard!$C$4,12,1),0)))</f>
        <v/>
      </c>
      <c r="P102" s="166">
        <f>IF($C102="","",SUM(D102:O102))</f>
        <v/>
      </c>
    </row>
    <row r="103" ht="15" customHeight="1" s="94">
      <c r="A103" s="164">
        <f>IF(Kategori!C103="","",Kategori!A103)</f>
        <v/>
      </c>
      <c r="B103" s="164">
        <f>IF(Kategori!C103="","",Kategori!B103)</f>
        <v/>
      </c>
      <c r="C103" s="108">
        <f>IF(Kategori!C103="","",Kategori!C103)</f>
        <v/>
      </c>
      <c r="D103" s="165">
        <f>IF($C103="","",SUMIFS(Transaksi!$F$16:$F$5015,Transaksi!$G$16:$G$5015,$A103,Transaksi!$H$16:$H$5015,$B103,Transaksi!$I$16:$I$5015,$C103,Transaksi!$B$16:$B$5015,"&gt;="&amp;DATE(Dashboard!$C$4,1,1),Transaksi!$B$16:$B$5015,"&lt;="&amp;EOMONTH(DATE(Dashboard!$C$4,1,1),0)))</f>
        <v/>
      </c>
      <c r="E103" s="165">
        <f>IF($C103="","",SUMIFS(Transaksi!$F$16:$F$5015,Transaksi!$G$16:$G$5015,$A103,Transaksi!$H$16:$H$5015,$B103,Transaksi!$I$16:$I$5015,$C103,Transaksi!$B$16:$B$5015,"&gt;="&amp;DATE(Dashboard!$C$4,2,1),Transaksi!$B$16:$B$5015,"&lt;="&amp;EOMONTH(DATE(Dashboard!$C$4,2,1),0)))</f>
        <v/>
      </c>
      <c r="F103" s="165">
        <f>IF($C103="","",SUMIFS(Transaksi!$F$16:$F$5015,Transaksi!$G$16:$G$5015,$A103,Transaksi!$H$16:$H$5015,$B103,Transaksi!$I$16:$I$5015,$C103,Transaksi!$B$16:$B$5015,"&gt;="&amp;DATE(Dashboard!$C$4,3,1),Transaksi!$B$16:$B$5015,"&lt;="&amp;EOMONTH(DATE(Dashboard!$C$4,3,1),0)))</f>
        <v/>
      </c>
      <c r="G103" s="165">
        <f>IF($C103="","",SUMIFS(Transaksi!$F$16:$F$5015,Transaksi!$G$16:$G$5015,$A103,Transaksi!$H$16:$H$5015,$B103,Transaksi!$I$16:$I$5015,$C103,Transaksi!$B$16:$B$5015,"&gt;="&amp;DATE(Dashboard!$C$4,4,1),Transaksi!$B$16:$B$5015,"&lt;="&amp;EOMONTH(DATE(Dashboard!$C$4,4,1),0)))</f>
        <v/>
      </c>
      <c r="H103" s="165">
        <f>IF($C103="","",SUMIFS(Transaksi!$F$16:$F$5015,Transaksi!$G$16:$G$5015,$A103,Transaksi!$H$16:$H$5015,$B103,Transaksi!$I$16:$I$5015,$C103,Transaksi!$B$16:$B$5015,"&gt;="&amp;DATE(Dashboard!$C$4,5,1),Transaksi!$B$16:$B$5015,"&lt;="&amp;EOMONTH(DATE(Dashboard!$C$4,5,1),0)))</f>
        <v/>
      </c>
      <c r="I103" s="165">
        <f>IF($C103="","",SUMIFS(Transaksi!$F$16:$F$5015,Transaksi!$G$16:$G$5015,$A103,Transaksi!$H$16:$H$5015,$B103,Transaksi!$I$16:$I$5015,$C103,Transaksi!$B$16:$B$5015,"&gt;="&amp;DATE(Dashboard!$C$4,6,1),Transaksi!$B$16:$B$5015,"&lt;="&amp;EOMONTH(DATE(Dashboard!$C$4,6,1),0)))</f>
        <v/>
      </c>
      <c r="J103" s="165">
        <f>IF($C103="","",SUMIFS(Transaksi!$F$16:$F$5015,Transaksi!$G$16:$G$5015,$A103,Transaksi!$H$16:$H$5015,$B103,Transaksi!$I$16:$I$5015,$C103,Transaksi!$B$16:$B$5015,"&gt;="&amp;DATE(Dashboard!$C$4,7,1),Transaksi!$B$16:$B$5015,"&lt;="&amp;EOMONTH(DATE(Dashboard!$C$4,7,1),0)))</f>
        <v/>
      </c>
      <c r="K103" s="165">
        <f>IF($C103="","",SUMIFS(Transaksi!$F$16:$F$5015,Transaksi!$G$16:$G$5015,$A103,Transaksi!$H$16:$H$5015,$B103,Transaksi!$I$16:$I$5015,$C103,Transaksi!$B$16:$B$5015,"&gt;="&amp;DATE(Dashboard!$C$4,8,1),Transaksi!$B$16:$B$5015,"&lt;="&amp;EOMONTH(DATE(Dashboard!$C$4,8,1),0)))</f>
        <v/>
      </c>
      <c r="L103" s="165">
        <f>IF($C103="","",SUMIFS(Transaksi!$F$16:$F$5015,Transaksi!$G$16:$G$5015,$A103,Transaksi!$H$16:$H$5015,$B103,Transaksi!$I$16:$I$5015,$C103,Transaksi!$B$16:$B$5015,"&gt;="&amp;DATE(Dashboard!$C$4,9,1),Transaksi!$B$16:$B$5015,"&lt;="&amp;EOMONTH(DATE(Dashboard!$C$4,9,1),0)))</f>
        <v/>
      </c>
      <c r="M103" s="165">
        <f>IF($C103="","",SUMIFS(Transaksi!$F$16:$F$5015,Transaksi!$G$16:$G$5015,$A103,Transaksi!$H$16:$H$5015,$B103,Transaksi!$I$16:$I$5015,$C103,Transaksi!$B$16:$B$5015,"&gt;="&amp;DATE(Dashboard!$C$4,10,1),Transaksi!$B$16:$B$5015,"&lt;="&amp;EOMONTH(DATE(Dashboard!$C$4,10,1),0)))</f>
        <v/>
      </c>
      <c r="N103" s="165">
        <f>IF($C103="","",SUMIFS(Transaksi!$F$16:$F$5015,Transaksi!$G$16:$G$5015,$A103,Transaksi!$H$16:$H$5015,$B103,Transaksi!$I$16:$I$5015,$C103,Transaksi!$B$16:$B$5015,"&gt;="&amp;DATE(Dashboard!$C$4,11,1),Transaksi!$B$16:$B$5015,"&lt;="&amp;EOMONTH(DATE(Dashboard!$C$4,11,1),0)))</f>
        <v/>
      </c>
      <c r="O103" s="165">
        <f>IF($C103="","",SUMIFS(Transaksi!$F$16:$F$5015,Transaksi!$G$16:$G$5015,$A103,Transaksi!$H$16:$H$5015,$B103,Transaksi!$I$16:$I$5015,$C103,Transaksi!$B$16:$B$5015,"&gt;="&amp;DATE(Dashboard!$C$4,12,1),Transaksi!$B$16:$B$5015,"&lt;="&amp;EOMONTH(DATE(Dashboard!$C$4,12,1),0)))</f>
        <v/>
      </c>
      <c r="P103" s="166">
        <f>IF($C103="","",SUM(D103:O103))</f>
        <v/>
      </c>
    </row>
    <row r="104" ht="15" customHeight="1" s="94">
      <c r="A104" s="164">
        <f>IF(Kategori!C104="","",Kategori!A104)</f>
        <v/>
      </c>
      <c r="B104" s="164">
        <f>IF(Kategori!C104="","",Kategori!B104)</f>
        <v/>
      </c>
      <c r="C104" s="108">
        <f>IF(Kategori!C104="","",Kategori!C104)</f>
        <v/>
      </c>
      <c r="D104" s="165">
        <f>IF($C104="","",SUMIFS(Transaksi!$F$16:$F$5015,Transaksi!$G$16:$G$5015,$A104,Transaksi!$H$16:$H$5015,$B104,Transaksi!$I$16:$I$5015,$C104,Transaksi!$B$16:$B$5015,"&gt;="&amp;DATE(Dashboard!$C$4,1,1),Transaksi!$B$16:$B$5015,"&lt;="&amp;EOMONTH(DATE(Dashboard!$C$4,1,1),0)))</f>
        <v/>
      </c>
      <c r="E104" s="165">
        <f>IF($C104="","",SUMIFS(Transaksi!$F$16:$F$5015,Transaksi!$G$16:$G$5015,$A104,Transaksi!$H$16:$H$5015,$B104,Transaksi!$I$16:$I$5015,$C104,Transaksi!$B$16:$B$5015,"&gt;="&amp;DATE(Dashboard!$C$4,2,1),Transaksi!$B$16:$B$5015,"&lt;="&amp;EOMONTH(DATE(Dashboard!$C$4,2,1),0)))</f>
        <v/>
      </c>
      <c r="F104" s="165">
        <f>IF($C104="","",SUMIFS(Transaksi!$F$16:$F$5015,Transaksi!$G$16:$G$5015,$A104,Transaksi!$H$16:$H$5015,$B104,Transaksi!$I$16:$I$5015,$C104,Transaksi!$B$16:$B$5015,"&gt;="&amp;DATE(Dashboard!$C$4,3,1),Transaksi!$B$16:$B$5015,"&lt;="&amp;EOMONTH(DATE(Dashboard!$C$4,3,1),0)))</f>
        <v/>
      </c>
      <c r="G104" s="165">
        <f>IF($C104="","",SUMIFS(Transaksi!$F$16:$F$5015,Transaksi!$G$16:$G$5015,$A104,Transaksi!$H$16:$H$5015,$B104,Transaksi!$I$16:$I$5015,$C104,Transaksi!$B$16:$B$5015,"&gt;="&amp;DATE(Dashboard!$C$4,4,1),Transaksi!$B$16:$B$5015,"&lt;="&amp;EOMONTH(DATE(Dashboard!$C$4,4,1),0)))</f>
        <v/>
      </c>
      <c r="H104" s="165">
        <f>IF($C104="","",SUMIFS(Transaksi!$F$16:$F$5015,Transaksi!$G$16:$G$5015,$A104,Transaksi!$H$16:$H$5015,$B104,Transaksi!$I$16:$I$5015,$C104,Transaksi!$B$16:$B$5015,"&gt;="&amp;DATE(Dashboard!$C$4,5,1),Transaksi!$B$16:$B$5015,"&lt;="&amp;EOMONTH(DATE(Dashboard!$C$4,5,1),0)))</f>
        <v/>
      </c>
      <c r="I104" s="165">
        <f>IF($C104="","",SUMIFS(Transaksi!$F$16:$F$5015,Transaksi!$G$16:$G$5015,$A104,Transaksi!$H$16:$H$5015,$B104,Transaksi!$I$16:$I$5015,$C104,Transaksi!$B$16:$B$5015,"&gt;="&amp;DATE(Dashboard!$C$4,6,1),Transaksi!$B$16:$B$5015,"&lt;="&amp;EOMONTH(DATE(Dashboard!$C$4,6,1),0)))</f>
        <v/>
      </c>
      <c r="J104" s="165">
        <f>IF($C104="","",SUMIFS(Transaksi!$F$16:$F$5015,Transaksi!$G$16:$G$5015,$A104,Transaksi!$H$16:$H$5015,$B104,Transaksi!$I$16:$I$5015,$C104,Transaksi!$B$16:$B$5015,"&gt;="&amp;DATE(Dashboard!$C$4,7,1),Transaksi!$B$16:$B$5015,"&lt;="&amp;EOMONTH(DATE(Dashboard!$C$4,7,1),0)))</f>
        <v/>
      </c>
      <c r="K104" s="165">
        <f>IF($C104="","",SUMIFS(Transaksi!$F$16:$F$5015,Transaksi!$G$16:$G$5015,$A104,Transaksi!$H$16:$H$5015,$B104,Transaksi!$I$16:$I$5015,$C104,Transaksi!$B$16:$B$5015,"&gt;="&amp;DATE(Dashboard!$C$4,8,1),Transaksi!$B$16:$B$5015,"&lt;="&amp;EOMONTH(DATE(Dashboard!$C$4,8,1),0)))</f>
        <v/>
      </c>
      <c r="L104" s="165">
        <f>IF($C104="","",SUMIFS(Transaksi!$F$16:$F$5015,Transaksi!$G$16:$G$5015,$A104,Transaksi!$H$16:$H$5015,$B104,Transaksi!$I$16:$I$5015,$C104,Transaksi!$B$16:$B$5015,"&gt;="&amp;DATE(Dashboard!$C$4,9,1),Transaksi!$B$16:$B$5015,"&lt;="&amp;EOMONTH(DATE(Dashboard!$C$4,9,1),0)))</f>
        <v/>
      </c>
      <c r="M104" s="165">
        <f>IF($C104="","",SUMIFS(Transaksi!$F$16:$F$5015,Transaksi!$G$16:$G$5015,$A104,Transaksi!$H$16:$H$5015,$B104,Transaksi!$I$16:$I$5015,$C104,Transaksi!$B$16:$B$5015,"&gt;="&amp;DATE(Dashboard!$C$4,10,1),Transaksi!$B$16:$B$5015,"&lt;="&amp;EOMONTH(DATE(Dashboard!$C$4,10,1),0)))</f>
        <v/>
      </c>
      <c r="N104" s="165">
        <f>IF($C104="","",SUMIFS(Transaksi!$F$16:$F$5015,Transaksi!$G$16:$G$5015,$A104,Transaksi!$H$16:$H$5015,$B104,Transaksi!$I$16:$I$5015,$C104,Transaksi!$B$16:$B$5015,"&gt;="&amp;DATE(Dashboard!$C$4,11,1),Transaksi!$B$16:$B$5015,"&lt;="&amp;EOMONTH(DATE(Dashboard!$C$4,11,1),0)))</f>
        <v/>
      </c>
      <c r="O104" s="165">
        <f>IF($C104="","",SUMIFS(Transaksi!$F$16:$F$5015,Transaksi!$G$16:$G$5015,$A104,Transaksi!$H$16:$H$5015,$B104,Transaksi!$I$16:$I$5015,$C104,Transaksi!$B$16:$B$5015,"&gt;="&amp;DATE(Dashboard!$C$4,12,1),Transaksi!$B$16:$B$5015,"&lt;="&amp;EOMONTH(DATE(Dashboard!$C$4,12,1),0)))</f>
        <v/>
      </c>
      <c r="P104" s="166">
        <f>IF($C104="","",SUM(D104:O104))</f>
        <v/>
      </c>
    </row>
    <row r="105" ht="15" customHeight="1" s="94">
      <c r="A105" s="164">
        <f>IF(Kategori!C105="","",Kategori!A105)</f>
        <v/>
      </c>
      <c r="B105" s="164">
        <f>IF(Kategori!C105="","",Kategori!B105)</f>
        <v/>
      </c>
      <c r="C105" s="108">
        <f>IF(Kategori!C105="","",Kategori!C105)</f>
        <v/>
      </c>
      <c r="D105" s="165">
        <f>IF($C105="","",SUMIFS(Transaksi!$F$16:$F$5015,Transaksi!$G$16:$G$5015,$A105,Transaksi!$H$16:$H$5015,$B105,Transaksi!$I$16:$I$5015,$C105,Transaksi!$B$16:$B$5015,"&gt;="&amp;DATE(Dashboard!$C$4,1,1),Transaksi!$B$16:$B$5015,"&lt;="&amp;EOMONTH(DATE(Dashboard!$C$4,1,1),0)))</f>
        <v/>
      </c>
      <c r="E105" s="165">
        <f>IF($C105="","",SUMIFS(Transaksi!$F$16:$F$5015,Transaksi!$G$16:$G$5015,$A105,Transaksi!$H$16:$H$5015,$B105,Transaksi!$I$16:$I$5015,$C105,Transaksi!$B$16:$B$5015,"&gt;="&amp;DATE(Dashboard!$C$4,2,1),Transaksi!$B$16:$B$5015,"&lt;="&amp;EOMONTH(DATE(Dashboard!$C$4,2,1),0)))</f>
        <v/>
      </c>
      <c r="F105" s="165">
        <f>IF($C105="","",SUMIFS(Transaksi!$F$16:$F$5015,Transaksi!$G$16:$G$5015,$A105,Transaksi!$H$16:$H$5015,$B105,Transaksi!$I$16:$I$5015,$C105,Transaksi!$B$16:$B$5015,"&gt;="&amp;DATE(Dashboard!$C$4,3,1),Transaksi!$B$16:$B$5015,"&lt;="&amp;EOMONTH(DATE(Dashboard!$C$4,3,1),0)))</f>
        <v/>
      </c>
      <c r="G105" s="165">
        <f>IF($C105="","",SUMIFS(Transaksi!$F$16:$F$5015,Transaksi!$G$16:$G$5015,$A105,Transaksi!$H$16:$H$5015,$B105,Transaksi!$I$16:$I$5015,$C105,Transaksi!$B$16:$B$5015,"&gt;="&amp;DATE(Dashboard!$C$4,4,1),Transaksi!$B$16:$B$5015,"&lt;="&amp;EOMONTH(DATE(Dashboard!$C$4,4,1),0)))</f>
        <v/>
      </c>
      <c r="H105" s="165">
        <f>IF($C105="","",SUMIFS(Transaksi!$F$16:$F$5015,Transaksi!$G$16:$G$5015,$A105,Transaksi!$H$16:$H$5015,$B105,Transaksi!$I$16:$I$5015,$C105,Transaksi!$B$16:$B$5015,"&gt;="&amp;DATE(Dashboard!$C$4,5,1),Transaksi!$B$16:$B$5015,"&lt;="&amp;EOMONTH(DATE(Dashboard!$C$4,5,1),0)))</f>
        <v/>
      </c>
      <c r="I105" s="165">
        <f>IF($C105="","",SUMIFS(Transaksi!$F$16:$F$5015,Transaksi!$G$16:$G$5015,$A105,Transaksi!$H$16:$H$5015,$B105,Transaksi!$I$16:$I$5015,$C105,Transaksi!$B$16:$B$5015,"&gt;="&amp;DATE(Dashboard!$C$4,6,1),Transaksi!$B$16:$B$5015,"&lt;="&amp;EOMONTH(DATE(Dashboard!$C$4,6,1),0)))</f>
        <v/>
      </c>
      <c r="J105" s="165">
        <f>IF($C105="","",SUMIFS(Transaksi!$F$16:$F$5015,Transaksi!$G$16:$G$5015,$A105,Transaksi!$H$16:$H$5015,$B105,Transaksi!$I$16:$I$5015,$C105,Transaksi!$B$16:$B$5015,"&gt;="&amp;DATE(Dashboard!$C$4,7,1),Transaksi!$B$16:$B$5015,"&lt;="&amp;EOMONTH(DATE(Dashboard!$C$4,7,1),0)))</f>
        <v/>
      </c>
      <c r="K105" s="165">
        <f>IF($C105="","",SUMIFS(Transaksi!$F$16:$F$5015,Transaksi!$G$16:$G$5015,$A105,Transaksi!$H$16:$H$5015,$B105,Transaksi!$I$16:$I$5015,$C105,Transaksi!$B$16:$B$5015,"&gt;="&amp;DATE(Dashboard!$C$4,8,1),Transaksi!$B$16:$B$5015,"&lt;="&amp;EOMONTH(DATE(Dashboard!$C$4,8,1),0)))</f>
        <v/>
      </c>
      <c r="L105" s="165">
        <f>IF($C105="","",SUMIFS(Transaksi!$F$16:$F$5015,Transaksi!$G$16:$G$5015,$A105,Transaksi!$H$16:$H$5015,$B105,Transaksi!$I$16:$I$5015,$C105,Transaksi!$B$16:$B$5015,"&gt;="&amp;DATE(Dashboard!$C$4,9,1),Transaksi!$B$16:$B$5015,"&lt;="&amp;EOMONTH(DATE(Dashboard!$C$4,9,1),0)))</f>
        <v/>
      </c>
      <c r="M105" s="165">
        <f>IF($C105="","",SUMIFS(Transaksi!$F$16:$F$5015,Transaksi!$G$16:$G$5015,$A105,Transaksi!$H$16:$H$5015,$B105,Transaksi!$I$16:$I$5015,$C105,Transaksi!$B$16:$B$5015,"&gt;="&amp;DATE(Dashboard!$C$4,10,1),Transaksi!$B$16:$B$5015,"&lt;="&amp;EOMONTH(DATE(Dashboard!$C$4,10,1),0)))</f>
        <v/>
      </c>
      <c r="N105" s="165">
        <f>IF($C105="","",SUMIFS(Transaksi!$F$16:$F$5015,Transaksi!$G$16:$G$5015,$A105,Transaksi!$H$16:$H$5015,$B105,Transaksi!$I$16:$I$5015,$C105,Transaksi!$B$16:$B$5015,"&gt;="&amp;DATE(Dashboard!$C$4,11,1),Transaksi!$B$16:$B$5015,"&lt;="&amp;EOMONTH(DATE(Dashboard!$C$4,11,1),0)))</f>
        <v/>
      </c>
      <c r="O105" s="165">
        <f>IF($C105="","",SUMIFS(Transaksi!$F$16:$F$5015,Transaksi!$G$16:$G$5015,$A105,Transaksi!$H$16:$H$5015,$B105,Transaksi!$I$16:$I$5015,$C105,Transaksi!$B$16:$B$5015,"&gt;="&amp;DATE(Dashboard!$C$4,12,1),Transaksi!$B$16:$B$5015,"&lt;="&amp;EOMONTH(DATE(Dashboard!$C$4,12,1),0)))</f>
        <v/>
      </c>
      <c r="P105" s="166">
        <f>IF($C105="","",SUM(D105:O105))</f>
        <v/>
      </c>
    </row>
    <row r="106" ht="15" customHeight="1" s="94">
      <c r="A106" s="164">
        <f>IF(Kategori!C106="","",Kategori!A106)</f>
        <v/>
      </c>
      <c r="B106" s="164">
        <f>IF(Kategori!C106="","",Kategori!B106)</f>
        <v/>
      </c>
      <c r="C106" s="108">
        <f>IF(Kategori!C106="","",Kategori!C106)</f>
        <v/>
      </c>
      <c r="D106" s="165">
        <f>IF($C106="","",SUMIFS(Transaksi!$F$16:$F$5015,Transaksi!$G$16:$G$5015,$A106,Transaksi!$H$16:$H$5015,$B106,Transaksi!$I$16:$I$5015,$C106,Transaksi!$B$16:$B$5015,"&gt;="&amp;DATE(Dashboard!$C$4,1,1),Transaksi!$B$16:$B$5015,"&lt;="&amp;EOMONTH(DATE(Dashboard!$C$4,1,1),0)))</f>
        <v/>
      </c>
      <c r="E106" s="165">
        <f>IF($C106="","",SUMIFS(Transaksi!$F$16:$F$5015,Transaksi!$G$16:$G$5015,$A106,Transaksi!$H$16:$H$5015,$B106,Transaksi!$I$16:$I$5015,$C106,Transaksi!$B$16:$B$5015,"&gt;="&amp;DATE(Dashboard!$C$4,2,1),Transaksi!$B$16:$B$5015,"&lt;="&amp;EOMONTH(DATE(Dashboard!$C$4,2,1),0)))</f>
        <v/>
      </c>
      <c r="F106" s="165">
        <f>IF($C106="","",SUMIFS(Transaksi!$F$16:$F$5015,Transaksi!$G$16:$G$5015,$A106,Transaksi!$H$16:$H$5015,$B106,Transaksi!$I$16:$I$5015,$C106,Transaksi!$B$16:$B$5015,"&gt;="&amp;DATE(Dashboard!$C$4,3,1),Transaksi!$B$16:$B$5015,"&lt;="&amp;EOMONTH(DATE(Dashboard!$C$4,3,1),0)))</f>
        <v/>
      </c>
      <c r="G106" s="165">
        <f>IF($C106="","",SUMIFS(Transaksi!$F$16:$F$5015,Transaksi!$G$16:$G$5015,$A106,Transaksi!$H$16:$H$5015,$B106,Transaksi!$I$16:$I$5015,$C106,Transaksi!$B$16:$B$5015,"&gt;="&amp;DATE(Dashboard!$C$4,4,1),Transaksi!$B$16:$B$5015,"&lt;="&amp;EOMONTH(DATE(Dashboard!$C$4,4,1),0)))</f>
        <v/>
      </c>
      <c r="H106" s="165">
        <f>IF($C106="","",SUMIFS(Transaksi!$F$16:$F$5015,Transaksi!$G$16:$G$5015,$A106,Transaksi!$H$16:$H$5015,$B106,Transaksi!$I$16:$I$5015,$C106,Transaksi!$B$16:$B$5015,"&gt;="&amp;DATE(Dashboard!$C$4,5,1),Transaksi!$B$16:$B$5015,"&lt;="&amp;EOMONTH(DATE(Dashboard!$C$4,5,1),0)))</f>
        <v/>
      </c>
      <c r="I106" s="165">
        <f>IF($C106="","",SUMIFS(Transaksi!$F$16:$F$5015,Transaksi!$G$16:$G$5015,$A106,Transaksi!$H$16:$H$5015,$B106,Transaksi!$I$16:$I$5015,$C106,Transaksi!$B$16:$B$5015,"&gt;="&amp;DATE(Dashboard!$C$4,6,1),Transaksi!$B$16:$B$5015,"&lt;="&amp;EOMONTH(DATE(Dashboard!$C$4,6,1),0)))</f>
        <v/>
      </c>
      <c r="J106" s="165">
        <f>IF($C106="","",SUMIFS(Transaksi!$F$16:$F$5015,Transaksi!$G$16:$G$5015,$A106,Transaksi!$H$16:$H$5015,$B106,Transaksi!$I$16:$I$5015,$C106,Transaksi!$B$16:$B$5015,"&gt;="&amp;DATE(Dashboard!$C$4,7,1),Transaksi!$B$16:$B$5015,"&lt;="&amp;EOMONTH(DATE(Dashboard!$C$4,7,1),0)))</f>
        <v/>
      </c>
      <c r="K106" s="165">
        <f>IF($C106="","",SUMIFS(Transaksi!$F$16:$F$5015,Transaksi!$G$16:$G$5015,$A106,Transaksi!$H$16:$H$5015,$B106,Transaksi!$I$16:$I$5015,$C106,Transaksi!$B$16:$B$5015,"&gt;="&amp;DATE(Dashboard!$C$4,8,1),Transaksi!$B$16:$B$5015,"&lt;="&amp;EOMONTH(DATE(Dashboard!$C$4,8,1),0)))</f>
        <v/>
      </c>
      <c r="L106" s="165">
        <f>IF($C106="","",SUMIFS(Transaksi!$F$16:$F$5015,Transaksi!$G$16:$G$5015,$A106,Transaksi!$H$16:$H$5015,$B106,Transaksi!$I$16:$I$5015,$C106,Transaksi!$B$16:$B$5015,"&gt;="&amp;DATE(Dashboard!$C$4,9,1),Transaksi!$B$16:$B$5015,"&lt;="&amp;EOMONTH(DATE(Dashboard!$C$4,9,1),0)))</f>
        <v/>
      </c>
      <c r="M106" s="165">
        <f>IF($C106="","",SUMIFS(Transaksi!$F$16:$F$5015,Transaksi!$G$16:$G$5015,$A106,Transaksi!$H$16:$H$5015,$B106,Transaksi!$I$16:$I$5015,$C106,Transaksi!$B$16:$B$5015,"&gt;="&amp;DATE(Dashboard!$C$4,10,1),Transaksi!$B$16:$B$5015,"&lt;="&amp;EOMONTH(DATE(Dashboard!$C$4,10,1),0)))</f>
        <v/>
      </c>
      <c r="N106" s="165">
        <f>IF($C106="","",SUMIFS(Transaksi!$F$16:$F$5015,Transaksi!$G$16:$G$5015,$A106,Transaksi!$H$16:$H$5015,$B106,Transaksi!$I$16:$I$5015,$C106,Transaksi!$B$16:$B$5015,"&gt;="&amp;DATE(Dashboard!$C$4,11,1),Transaksi!$B$16:$B$5015,"&lt;="&amp;EOMONTH(DATE(Dashboard!$C$4,11,1),0)))</f>
        <v/>
      </c>
      <c r="O106" s="165">
        <f>IF($C106="","",SUMIFS(Transaksi!$F$16:$F$5015,Transaksi!$G$16:$G$5015,$A106,Transaksi!$H$16:$H$5015,$B106,Transaksi!$I$16:$I$5015,$C106,Transaksi!$B$16:$B$5015,"&gt;="&amp;DATE(Dashboard!$C$4,12,1),Transaksi!$B$16:$B$5015,"&lt;="&amp;EOMONTH(DATE(Dashboard!$C$4,12,1),0)))</f>
        <v/>
      </c>
      <c r="P106" s="166">
        <f>IF($C106="","",SUM(D106:O106))</f>
        <v/>
      </c>
    </row>
    <row r="107" ht="15" customHeight="1" s="94">
      <c r="A107" s="164">
        <f>IF(Kategori!C107="","",Kategori!A107)</f>
        <v/>
      </c>
      <c r="B107" s="164">
        <f>IF(Kategori!C107="","",Kategori!B107)</f>
        <v/>
      </c>
      <c r="C107" s="108">
        <f>IF(Kategori!C107="","",Kategori!C107)</f>
        <v/>
      </c>
      <c r="D107" s="165">
        <f>IF($C107="","",SUMIFS(Transaksi!$F$16:$F$5015,Transaksi!$G$16:$G$5015,$A107,Transaksi!$H$16:$H$5015,$B107,Transaksi!$I$16:$I$5015,$C107,Transaksi!$B$16:$B$5015,"&gt;="&amp;DATE(Dashboard!$C$4,1,1),Transaksi!$B$16:$B$5015,"&lt;="&amp;EOMONTH(DATE(Dashboard!$C$4,1,1),0)))</f>
        <v/>
      </c>
      <c r="E107" s="165">
        <f>IF($C107="","",SUMIFS(Transaksi!$F$16:$F$5015,Transaksi!$G$16:$G$5015,$A107,Transaksi!$H$16:$H$5015,$B107,Transaksi!$I$16:$I$5015,$C107,Transaksi!$B$16:$B$5015,"&gt;="&amp;DATE(Dashboard!$C$4,2,1),Transaksi!$B$16:$B$5015,"&lt;="&amp;EOMONTH(DATE(Dashboard!$C$4,2,1),0)))</f>
        <v/>
      </c>
      <c r="F107" s="165">
        <f>IF($C107="","",SUMIFS(Transaksi!$F$16:$F$5015,Transaksi!$G$16:$G$5015,$A107,Transaksi!$H$16:$H$5015,$B107,Transaksi!$I$16:$I$5015,$C107,Transaksi!$B$16:$B$5015,"&gt;="&amp;DATE(Dashboard!$C$4,3,1),Transaksi!$B$16:$B$5015,"&lt;="&amp;EOMONTH(DATE(Dashboard!$C$4,3,1),0)))</f>
        <v/>
      </c>
      <c r="G107" s="165">
        <f>IF($C107="","",SUMIFS(Transaksi!$F$16:$F$5015,Transaksi!$G$16:$G$5015,$A107,Transaksi!$H$16:$H$5015,$B107,Transaksi!$I$16:$I$5015,$C107,Transaksi!$B$16:$B$5015,"&gt;="&amp;DATE(Dashboard!$C$4,4,1),Transaksi!$B$16:$B$5015,"&lt;="&amp;EOMONTH(DATE(Dashboard!$C$4,4,1),0)))</f>
        <v/>
      </c>
      <c r="H107" s="165">
        <f>IF($C107="","",SUMIFS(Transaksi!$F$16:$F$5015,Transaksi!$G$16:$G$5015,$A107,Transaksi!$H$16:$H$5015,$B107,Transaksi!$I$16:$I$5015,$C107,Transaksi!$B$16:$B$5015,"&gt;="&amp;DATE(Dashboard!$C$4,5,1),Transaksi!$B$16:$B$5015,"&lt;="&amp;EOMONTH(DATE(Dashboard!$C$4,5,1),0)))</f>
        <v/>
      </c>
      <c r="I107" s="165">
        <f>IF($C107="","",SUMIFS(Transaksi!$F$16:$F$5015,Transaksi!$G$16:$G$5015,$A107,Transaksi!$H$16:$H$5015,$B107,Transaksi!$I$16:$I$5015,$C107,Transaksi!$B$16:$B$5015,"&gt;="&amp;DATE(Dashboard!$C$4,6,1),Transaksi!$B$16:$B$5015,"&lt;="&amp;EOMONTH(DATE(Dashboard!$C$4,6,1),0)))</f>
        <v/>
      </c>
      <c r="J107" s="165">
        <f>IF($C107="","",SUMIFS(Transaksi!$F$16:$F$5015,Transaksi!$G$16:$G$5015,$A107,Transaksi!$H$16:$H$5015,$B107,Transaksi!$I$16:$I$5015,$C107,Transaksi!$B$16:$B$5015,"&gt;="&amp;DATE(Dashboard!$C$4,7,1),Transaksi!$B$16:$B$5015,"&lt;="&amp;EOMONTH(DATE(Dashboard!$C$4,7,1),0)))</f>
        <v/>
      </c>
      <c r="K107" s="165">
        <f>IF($C107="","",SUMIFS(Transaksi!$F$16:$F$5015,Transaksi!$G$16:$G$5015,$A107,Transaksi!$H$16:$H$5015,$B107,Transaksi!$I$16:$I$5015,$C107,Transaksi!$B$16:$B$5015,"&gt;="&amp;DATE(Dashboard!$C$4,8,1),Transaksi!$B$16:$B$5015,"&lt;="&amp;EOMONTH(DATE(Dashboard!$C$4,8,1),0)))</f>
        <v/>
      </c>
      <c r="L107" s="165">
        <f>IF($C107="","",SUMIFS(Transaksi!$F$16:$F$5015,Transaksi!$G$16:$G$5015,$A107,Transaksi!$H$16:$H$5015,$B107,Transaksi!$I$16:$I$5015,$C107,Transaksi!$B$16:$B$5015,"&gt;="&amp;DATE(Dashboard!$C$4,9,1),Transaksi!$B$16:$B$5015,"&lt;="&amp;EOMONTH(DATE(Dashboard!$C$4,9,1),0)))</f>
        <v/>
      </c>
      <c r="M107" s="165">
        <f>IF($C107="","",SUMIFS(Transaksi!$F$16:$F$5015,Transaksi!$G$16:$G$5015,$A107,Transaksi!$H$16:$H$5015,$B107,Transaksi!$I$16:$I$5015,$C107,Transaksi!$B$16:$B$5015,"&gt;="&amp;DATE(Dashboard!$C$4,10,1),Transaksi!$B$16:$B$5015,"&lt;="&amp;EOMONTH(DATE(Dashboard!$C$4,10,1),0)))</f>
        <v/>
      </c>
      <c r="N107" s="165">
        <f>IF($C107="","",SUMIFS(Transaksi!$F$16:$F$5015,Transaksi!$G$16:$G$5015,$A107,Transaksi!$H$16:$H$5015,$B107,Transaksi!$I$16:$I$5015,$C107,Transaksi!$B$16:$B$5015,"&gt;="&amp;DATE(Dashboard!$C$4,11,1),Transaksi!$B$16:$B$5015,"&lt;="&amp;EOMONTH(DATE(Dashboard!$C$4,11,1),0)))</f>
        <v/>
      </c>
      <c r="O107" s="165">
        <f>IF($C107="","",SUMIFS(Transaksi!$F$16:$F$5015,Transaksi!$G$16:$G$5015,$A107,Transaksi!$H$16:$H$5015,$B107,Transaksi!$I$16:$I$5015,$C107,Transaksi!$B$16:$B$5015,"&gt;="&amp;DATE(Dashboard!$C$4,12,1),Transaksi!$B$16:$B$5015,"&lt;="&amp;EOMONTH(DATE(Dashboard!$C$4,12,1),0)))</f>
        <v/>
      </c>
      <c r="P107" s="166">
        <f>IF($C107="","",SUM(D107:O107))</f>
        <v/>
      </c>
    </row>
    <row r="108" ht="15" customHeight="1" s="94">
      <c r="A108" s="164">
        <f>IF(Kategori!C108="","",Kategori!A108)</f>
        <v/>
      </c>
      <c r="B108" s="164">
        <f>IF(Kategori!C108="","",Kategori!B108)</f>
        <v/>
      </c>
      <c r="C108" s="108">
        <f>IF(Kategori!C108="","",Kategori!C108)</f>
        <v/>
      </c>
      <c r="D108" s="165">
        <f>IF($C108="","",SUMIFS(Transaksi!$F$16:$F$5015,Transaksi!$G$16:$G$5015,$A108,Transaksi!$H$16:$H$5015,$B108,Transaksi!$I$16:$I$5015,$C108,Transaksi!$B$16:$B$5015,"&gt;="&amp;DATE(Dashboard!$C$4,1,1),Transaksi!$B$16:$B$5015,"&lt;="&amp;EOMONTH(DATE(Dashboard!$C$4,1,1),0)))</f>
        <v/>
      </c>
      <c r="E108" s="165">
        <f>IF($C108="","",SUMIFS(Transaksi!$F$16:$F$5015,Transaksi!$G$16:$G$5015,$A108,Transaksi!$H$16:$H$5015,$B108,Transaksi!$I$16:$I$5015,$C108,Transaksi!$B$16:$B$5015,"&gt;="&amp;DATE(Dashboard!$C$4,2,1),Transaksi!$B$16:$B$5015,"&lt;="&amp;EOMONTH(DATE(Dashboard!$C$4,2,1),0)))</f>
        <v/>
      </c>
      <c r="F108" s="165">
        <f>IF($C108="","",SUMIFS(Transaksi!$F$16:$F$5015,Transaksi!$G$16:$G$5015,$A108,Transaksi!$H$16:$H$5015,$B108,Transaksi!$I$16:$I$5015,$C108,Transaksi!$B$16:$B$5015,"&gt;="&amp;DATE(Dashboard!$C$4,3,1),Transaksi!$B$16:$B$5015,"&lt;="&amp;EOMONTH(DATE(Dashboard!$C$4,3,1),0)))</f>
        <v/>
      </c>
      <c r="G108" s="165">
        <f>IF($C108="","",SUMIFS(Transaksi!$F$16:$F$5015,Transaksi!$G$16:$G$5015,$A108,Transaksi!$H$16:$H$5015,$B108,Transaksi!$I$16:$I$5015,$C108,Transaksi!$B$16:$B$5015,"&gt;="&amp;DATE(Dashboard!$C$4,4,1),Transaksi!$B$16:$B$5015,"&lt;="&amp;EOMONTH(DATE(Dashboard!$C$4,4,1),0)))</f>
        <v/>
      </c>
      <c r="H108" s="165">
        <f>IF($C108="","",SUMIFS(Transaksi!$F$16:$F$5015,Transaksi!$G$16:$G$5015,$A108,Transaksi!$H$16:$H$5015,$B108,Transaksi!$I$16:$I$5015,$C108,Transaksi!$B$16:$B$5015,"&gt;="&amp;DATE(Dashboard!$C$4,5,1),Transaksi!$B$16:$B$5015,"&lt;="&amp;EOMONTH(DATE(Dashboard!$C$4,5,1),0)))</f>
        <v/>
      </c>
      <c r="I108" s="165">
        <f>IF($C108="","",SUMIFS(Transaksi!$F$16:$F$5015,Transaksi!$G$16:$G$5015,$A108,Transaksi!$H$16:$H$5015,$B108,Transaksi!$I$16:$I$5015,$C108,Transaksi!$B$16:$B$5015,"&gt;="&amp;DATE(Dashboard!$C$4,6,1),Transaksi!$B$16:$B$5015,"&lt;="&amp;EOMONTH(DATE(Dashboard!$C$4,6,1),0)))</f>
        <v/>
      </c>
      <c r="J108" s="165">
        <f>IF($C108="","",SUMIFS(Transaksi!$F$16:$F$5015,Transaksi!$G$16:$G$5015,$A108,Transaksi!$H$16:$H$5015,$B108,Transaksi!$I$16:$I$5015,$C108,Transaksi!$B$16:$B$5015,"&gt;="&amp;DATE(Dashboard!$C$4,7,1),Transaksi!$B$16:$B$5015,"&lt;="&amp;EOMONTH(DATE(Dashboard!$C$4,7,1),0)))</f>
        <v/>
      </c>
      <c r="K108" s="165">
        <f>IF($C108="","",SUMIFS(Transaksi!$F$16:$F$5015,Transaksi!$G$16:$G$5015,$A108,Transaksi!$H$16:$H$5015,$B108,Transaksi!$I$16:$I$5015,$C108,Transaksi!$B$16:$B$5015,"&gt;="&amp;DATE(Dashboard!$C$4,8,1),Transaksi!$B$16:$B$5015,"&lt;="&amp;EOMONTH(DATE(Dashboard!$C$4,8,1),0)))</f>
        <v/>
      </c>
      <c r="L108" s="165">
        <f>IF($C108="","",SUMIFS(Transaksi!$F$16:$F$5015,Transaksi!$G$16:$G$5015,$A108,Transaksi!$H$16:$H$5015,$B108,Transaksi!$I$16:$I$5015,$C108,Transaksi!$B$16:$B$5015,"&gt;="&amp;DATE(Dashboard!$C$4,9,1),Transaksi!$B$16:$B$5015,"&lt;="&amp;EOMONTH(DATE(Dashboard!$C$4,9,1),0)))</f>
        <v/>
      </c>
      <c r="M108" s="165">
        <f>IF($C108="","",SUMIFS(Transaksi!$F$16:$F$5015,Transaksi!$G$16:$G$5015,$A108,Transaksi!$H$16:$H$5015,$B108,Transaksi!$I$16:$I$5015,$C108,Transaksi!$B$16:$B$5015,"&gt;="&amp;DATE(Dashboard!$C$4,10,1),Transaksi!$B$16:$B$5015,"&lt;="&amp;EOMONTH(DATE(Dashboard!$C$4,10,1),0)))</f>
        <v/>
      </c>
      <c r="N108" s="165">
        <f>IF($C108="","",SUMIFS(Transaksi!$F$16:$F$5015,Transaksi!$G$16:$G$5015,$A108,Transaksi!$H$16:$H$5015,$B108,Transaksi!$I$16:$I$5015,$C108,Transaksi!$B$16:$B$5015,"&gt;="&amp;DATE(Dashboard!$C$4,11,1),Transaksi!$B$16:$B$5015,"&lt;="&amp;EOMONTH(DATE(Dashboard!$C$4,11,1),0)))</f>
        <v/>
      </c>
      <c r="O108" s="165">
        <f>IF($C108="","",SUMIFS(Transaksi!$F$16:$F$5015,Transaksi!$G$16:$G$5015,$A108,Transaksi!$H$16:$H$5015,$B108,Transaksi!$I$16:$I$5015,$C108,Transaksi!$B$16:$B$5015,"&gt;="&amp;DATE(Dashboard!$C$4,12,1),Transaksi!$B$16:$B$5015,"&lt;="&amp;EOMONTH(DATE(Dashboard!$C$4,12,1),0)))</f>
        <v/>
      </c>
      <c r="P108" s="166">
        <f>IF($C108="","",SUM(D108:O108))</f>
        <v/>
      </c>
    </row>
    <row r="109" ht="15" customHeight="1" s="94">
      <c r="A109" s="164">
        <f>IF(Kategori!C109="","",Kategori!A109)</f>
        <v/>
      </c>
      <c r="B109" s="164">
        <f>IF(Kategori!C109="","",Kategori!B109)</f>
        <v/>
      </c>
      <c r="C109" s="108">
        <f>IF(Kategori!C109="","",Kategori!C109)</f>
        <v/>
      </c>
      <c r="D109" s="165">
        <f>IF($C109="","",SUMIFS(Transaksi!$F$16:$F$5015,Transaksi!$G$16:$G$5015,$A109,Transaksi!$H$16:$H$5015,$B109,Transaksi!$I$16:$I$5015,$C109,Transaksi!$B$16:$B$5015,"&gt;="&amp;DATE(Dashboard!$C$4,1,1),Transaksi!$B$16:$B$5015,"&lt;="&amp;EOMONTH(DATE(Dashboard!$C$4,1,1),0)))</f>
        <v/>
      </c>
      <c r="E109" s="165">
        <f>IF($C109="","",SUMIFS(Transaksi!$F$16:$F$5015,Transaksi!$G$16:$G$5015,$A109,Transaksi!$H$16:$H$5015,$B109,Transaksi!$I$16:$I$5015,$C109,Transaksi!$B$16:$B$5015,"&gt;="&amp;DATE(Dashboard!$C$4,2,1),Transaksi!$B$16:$B$5015,"&lt;="&amp;EOMONTH(DATE(Dashboard!$C$4,2,1),0)))</f>
        <v/>
      </c>
      <c r="F109" s="165">
        <f>IF($C109="","",SUMIFS(Transaksi!$F$16:$F$5015,Transaksi!$G$16:$G$5015,$A109,Transaksi!$H$16:$H$5015,$B109,Transaksi!$I$16:$I$5015,$C109,Transaksi!$B$16:$B$5015,"&gt;="&amp;DATE(Dashboard!$C$4,3,1),Transaksi!$B$16:$B$5015,"&lt;="&amp;EOMONTH(DATE(Dashboard!$C$4,3,1),0)))</f>
        <v/>
      </c>
      <c r="G109" s="165">
        <f>IF($C109="","",SUMIFS(Transaksi!$F$16:$F$5015,Transaksi!$G$16:$G$5015,$A109,Transaksi!$H$16:$H$5015,$B109,Transaksi!$I$16:$I$5015,$C109,Transaksi!$B$16:$B$5015,"&gt;="&amp;DATE(Dashboard!$C$4,4,1),Transaksi!$B$16:$B$5015,"&lt;="&amp;EOMONTH(DATE(Dashboard!$C$4,4,1),0)))</f>
        <v/>
      </c>
      <c r="H109" s="165">
        <f>IF($C109="","",SUMIFS(Transaksi!$F$16:$F$5015,Transaksi!$G$16:$G$5015,$A109,Transaksi!$H$16:$H$5015,$B109,Transaksi!$I$16:$I$5015,$C109,Transaksi!$B$16:$B$5015,"&gt;="&amp;DATE(Dashboard!$C$4,5,1),Transaksi!$B$16:$B$5015,"&lt;="&amp;EOMONTH(DATE(Dashboard!$C$4,5,1),0)))</f>
        <v/>
      </c>
      <c r="I109" s="165">
        <f>IF($C109="","",SUMIFS(Transaksi!$F$16:$F$5015,Transaksi!$G$16:$G$5015,$A109,Transaksi!$H$16:$H$5015,$B109,Transaksi!$I$16:$I$5015,$C109,Transaksi!$B$16:$B$5015,"&gt;="&amp;DATE(Dashboard!$C$4,6,1),Transaksi!$B$16:$B$5015,"&lt;="&amp;EOMONTH(DATE(Dashboard!$C$4,6,1),0)))</f>
        <v/>
      </c>
      <c r="J109" s="165">
        <f>IF($C109="","",SUMIFS(Transaksi!$F$16:$F$5015,Transaksi!$G$16:$G$5015,$A109,Transaksi!$H$16:$H$5015,$B109,Transaksi!$I$16:$I$5015,$C109,Transaksi!$B$16:$B$5015,"&gt;="&amp;DATE(Dashboard!$C$4,7,1),Transaksi!$B$16:$B$5015,"&lt;="&amp;EOMONTH(DATE(Dashboard!$C$4,7,1),0)))</f>
        <v/>
      </c>
      <c r="K109" s="165">
        <f>IF($C109="","",SUMIFS(Transaksi!$F$16:$F$5015,Transaksi!$G$16:$G$5015,$A109,Transaksi!$H$16:$H$5015,$B109,Transaksi!$I$16:$I$5015,$C109,Transaksi!$B$16:$B$5015,"&gt;="&amp;DATE(Dashboard!$C$4,8,1),Transaksi!$B$16:$B$5015,"&lt;="&amp;EOMONTH(DATE(Dashboard!$C$4,8,1),0)))</f>
        <v/>
      </c>
      <c r="L109" s="165">
        <f>IF($C109="","",SUMIFS(Transaksi!$F$16:$F$5015,Transaksi!$G$16:$G$5015,$A109,Transaksi!$H$16:$H$5015,$B109,Transaksi!$I$16:$I$5015,$C109,Transaksi!$B$16:$B$5015,"&gt;="&amp;DATE(Dashboard!$C$4,9,1),Transaksi!$B$16:$B$5015,"&lt;="&amp;EOMONTH(DATE(Dashboard!$C$4,9,1),0)))</f>
        <v/>
      </c>
      <c r="M109" s="165">
        <f>IF($C109="","",SUMIFS(Transaksi!$F$16:$F$5015,Transaksi!$G$16:$G$5015,$A109,Transaksi!$H$16:$H$5015,$B109,Transaksi!$I$16:$I$5015,$C109,Transaksi!$B$16:$B$5015,"&gt;="&amp;DATE(Dashboard!$C$4,10,1),Transaksi!$B$16:$B$5015,"&lt;="&amp;EOMONTH(DATE(Dashboard!$C$4,10,1),0)))</f>
        <v/>
      </c>
      <c r="N109" s="165">
        <f>IF($C109="","",SUMIFS(Transaksi!$F$16:$F$5015,Transaksi!$G$16:$G$5015,$A109,Transaksi!$H$16:$H$5015,$B109,Transaksi!$I$16:$I$5015,$C109,Transaksi!$B$16:$B$5015,"&gt;="&amp;DATE(Dashboard!$C$4,11,1),Transaksi!$B$16:$B$5015,"&lt;="&amp;EOMONTH(DATE(Dashboard!$C$4,11,1),0)))</f>
        <v/>
      </c>
      <c r="O109" s="165">
        <f>IF($C109="","",SUMIFS(Transaksi!$F$16:$F$5015,Transaksi!$G$16:$G$5015,$A109,Transaksi!$H$16:$H$5015,$B109,Transaksi!$I$16:$I$5015,$C109,Transaksi!$B$16:$B$5015,"&gt;="&amp;DATE(Dashboard!$C$4,12,1),Transaksi!$B$16:$B$5015,"&lt;="&amp;EOMONTH(DATE(Dashboard!$C$4,12,1),0)))</f>
        <v/>
      </c>
      <c r="P109" s="166">
        <f>IF($C109="","",SUM(D109:O109))</f>
        <v/>
      </c>
    </row>
    <row r="110" ht="15" customHeight="1" s="94">
      <c r="A110" s="164">
        <f>IF(Kategori!C110="","",Kategori!A110)</f>
        <v/>
      </c>
      <c r="B110" s="164">
        <f>IF(Kategori!C110="","",Kategori!B110)</f>
        <v/>
      </c>
      <c r="C110" s="108">
        <f>IF(Kategori!C110="","",Kategori!C110)</f>
        <v/>
      </c>
      <c r="D110" s="165">
        <f>IF($C110="","",SUMIFS(Transaksi!$F$16:$F$5015,Transaksi!$G$16:$G$5015,$A110,Transaksi!$H$16:$H$5015,$B110,Transaksi!$I$16:$I$5015,$C110,Transaksi!$B$16:$B$5015,"&gt;="&amp;DATE(Dashboard!$C$4,1,1),Transaksi!$B$16:$B$5015,"&lt;="&amp;EOMONTH(DATE(Dashboard!$C$4,1,1),0)))</f>
        <v/>
      </c>
      <c r="E110" s="165">
        <f>IF($C110="","",SUMIFS(Transaksi!$F$16:$F$5015,Transaksi!$G$16:$G$5015,$A110,Transaksi!$H$16:$H$5015,$B110,Transaksi!$I$16:$I$5015,$C110,Transaksi!$B$16:$B$5015,"&gt;="&amp;DATE(Dashboard!$C$4,2,1),Transaksi!$B$16:$B$5015,"&lt;="&amp;EOMONTH(DATE(Dashboard!$C$4,2,1),0)))</f>
        <v/>
      </c>
      <c r="F110" s="165">
        <f>IF($C110="","",SUMIFS(Transaksi!$F$16:$F$5015,Transaksi!$G$16:$G$5015,$A110,Transaksi!$H$16:$H$5015,$B110,Transaksi!$I$16:$I$5015,$C110,Transaksi!$B$16:$B$5015,"&gt;="&amp;DATE(Dashboard!$C$4,3,1),Transaksi!$B$16:$B$5015,"&lt;="&amp;EOMONTH(DATE(Dashboard!$C$4,3,1),0)))</f>
        <v/>
      </c>
      <c r="G110" s="165">
        <f>IF($C110="","",SUMIFS(Transaksi!$F$16:$F$5015,Transaksi!$G$16:$G$5015,$A110,Transaksi!$H$16:$H$5015,$B110,Transaksi!$I$16:$I$5015,$C110,Transaksi!$B$16:$B$5015,"&gt;="&amp;DATE(Dashboard!$C$4,4,1),Transaksi!$B$16:$B$5015,"&lt;="&amp;EOMONTH(DATE(Dashboard!$C$4,4,1),0)))</f>
        <v/>
      </c>
      <c r="H110" s="165">
        <f>IF($C110="","",SUMIFS(Transaksi!$F$16:$F$5015,Transaksi!$G$16:$G$5015,$A110,Transaksi!$H$16:$H$5015,$B110,Transaksi!$I$16:$I$5015,$C110,Transaksi!$B$16:$B$5015,"&gt;="&amp;DATE(Dashboard!$C$4,5,1),Transaksi!$B$16:$B$5015,"&lt;="&amp;EOMONTH(DATE(Dashboard!$C$4,5,1),0)))</f>
        <v/>
      </c>
      <c r="I110" s="165">
        <f>IF($C110="","",SUMIFS(Transaksi!$F$16:$F$5015,Transaksi!$G$16:$G$5015,$A110,Transaksi!$H$16:$H$5015,$B110,Transaksi!$I$16:$I$5015,$C110,Transaksi!$B$16:$B$5015,"&gt;="&amp;DATE(Dashboard!$C$4,6,1),Transaksi!$B$16:$B$5015,"&lt;="&amp;EOMONTH(DATE(Dashboard!$C$4,6,1),0)))</f>
        <v/>
      </c>
      <c r="J110" s="165">
        <f>IF($C110="","",SUMIFS(Transaksi!$F$16:$F$5015,Transaksi!$G$16:$G$5015,$A110,Transaksi!$H$16:$H$5015,$B110,Transaksi!$I$16:$I$5015,$C110,Transaksi!$B$16:$B$5015,"&gt;="&amp;DATE(Dashboard!$C$4,7,1),Transaksi!$B$16:$B$5015,"&lt;="&amp;EOMONTH(DATE(Dashboard!$C$4,7,1),0)))</f>
        <v/>
      </c>
      <c r="K110" s="165">
        <f>IF($C110="","",SUMIFS(Transaksi!$F$16:$F$5015,Transaksi!$G$16:$G$5015,$A110,Transaksi!$H$16:$H$5015,$B110,Transaksi!$I$16:$I$5015,$C110,Transaksi!$B$16:$B$5015,"&gt;="&amp;DATE(Dashboard!$C$4,8,1),Transaksi!$B$16:$B$5015,"&lt;="&amp;EOMONTH(DATE(Dashboard!$C$4,8,1),0)))</f>
        <v/>
      </c>
      <c r="L110" s="165">
        <f>IF($C110="","",SUMIFS(Transaksi!$F$16:$F$5015,Transaksi!$G$16:$G$5015,$A110,Transaksi!$H$16:$H$5015,$B110,Transaksi!$I$16:$I$5015,$C110,Transaksi!$B$16:$B$5015,"&gt;="&amp;DATE(Dashboard!$C$4,9,1),Transaksi!$B$16:$B$5015,"&lt;="&amp;EOMONTH(DATE(Dashboard!$C$4,9,1),0)))</f>
        <v/>
      </c>
      <c r="M110" s="165">
        <f>IF($C110="","",SUMIFS(Transaksi!$F$16:$F$5015,Transaksi!$G$16:$G$5015,$A110,Transaksi!$H$16:$H$5015,$B110,Transaksi!$I$16:$I$5015,$C110,Transaksi!$B$16:$B$5015,"&gt;="&amp;DATE(Dashboard!$C$4,10,1),Transaksi!$B$16:$B$5015,"&lt;="&amp;EOMONTH(DATE(Dashboard!$C$4,10,1),0)))</f>
        <v/>
      </c>
      <c r="N110" s="165">
        <f>IF($C110="","",SUMIFS(Transaksi!$F$16:$F$5015,Transaksi!$G$16:$G$5015,$A110,Transaksi!$H$16:$H$5015,$B110,Transaksi!$I$16:$I$5015,$C110,Transaksi!$B$16:$B$5015,"&gt;="&amp;DATE(Dashboard!$C$4,11,1),Transaksi!$B$16:$B$5015,"&lt;="&amp;EOMONTH(DATE(Dashboard!$C$4,11,1),0)))</f>
        <v/>
      </c>
      <c r="O110" s="165">
        <f>IF($C110="","",SUMIFS(Transaksi!$F$16:$F$5015,Transaksi!$G$16:$G$5015,$A110,Transaksi!$H$16:$H$5015,$B110,Transaksi!$I$16:$I$5015,$C110,Transaksi!$B$16:$B$5015,"&gt;="&amp;DATE(Dashboard!$C$4,12,1),Transaksi!$B$16:$B$5015,"&lt;="&amp;EOMONTH(DATE(Dashboard!$C$4,12,1),0)))</f>
        <v/>
      </c>
      <c r="P110" s="166">
        <f>IF($C110="","",SUM(D110:O110))</f>
        <v/>
      </c>
    </row>
    <row r="111" ht="15" customHeight="1" s="94">
      <c r="A111" s="164">
        <f>IF(Kategori!C111="","",Kategori!A111)</f>
        <v/>
      </c>
      <c r="B111" s="164">
        <f>IF(Kategori!C111="","",Kategori!B111)</f>
        <v/>
      </c>
      <c r="C111" s="108">
        <f>IF(Kategori!C111="","",Kategori!C111)</f>
        <v/>
      </c>
      <c r="D111" s="165">
        <f>IF($C111="","",SUMIFS(Transaksi!$F$16:$F$5015,Transaksi!$G$16:$G$5015,$A111,Transaksi!$H$16:$H$5015,$B111,Transaksi!$I$16:$I$5015,$C111,Transaksi!$B$16:$B$5015,"&gt;="&amp;DATE(Dashboard!$C$4,1,1),Transaksi!$B$16:$B$5015,"&lt;="&amp;EOMONTH(DATE(Dashboard!$C$4,1,1),0)))</f>
        <v/>
      </c>
      <c r="E111" s="165">
        <f>IF($C111="","",SUMIFS(Transaksi!$F$16:$F$5015,Transaksi!$G$16:$G$5015,$A111,Transaksi!$H$16:$H$5015,$B111,Transaksi!$I$16:$I$5015,$C111,Transaksi!$B$16:$B$5015,"&gt;="&amp;DATE(Dashboard!$C$4,2,1),Transaksi!$B$16:$B$5015,"&lt;="&amp;EOMONTH(DATE(Dashboard!$C$4,2,1),0)))</f>
        <v/>
      </c>
      <c r="F111" s="165">
        <f>IF($C111="","",SUMIFS(Transaksi!$F$16:$F$5015,Transaksi!$G$16:$G$5015,$A111,Transaksi!$H$16:$H$5015,$B111,Transaksi!$I$16:$I$5015,$C111,Transaksi!$B$16:$B$5015,"&gt;="&amp;DATE(Dashboard!$C$4,3,1),Transaksi!$B$16:$B$5015,"&lt;="&amp;EOMONTH(DATE(Dashboard!$C$4,3,1),0)))</f>
        <v/>
      </c>
      <c r="G111" s="165">
        <f>IF($C111="","",SUMIFS(Transaksi!$F$16:$F$5015,Transaksi!$G$16:$G$5015,$A111,Transaksi!$H$16:$H$5015,$B111,Transaksi!$I$16:$I$5015,$C111,Transaksi!$B$16:$B$5015,"&gt;="&amp;DATE(Dashboard!$C$4,4,1),Transaksi!$B$16:$B$5015,"&lt;="&amp;EOMONTH(DATE(Dashboard!$C$4,4,1),0)))</f>
        <v/>
      </c>
      <c r="H111" s="165">
        <f>IF($C111="","",SUMIFS(Transaksi!$F$16:$F$5015,Transaksi!$G$16:$G$5015,$A111,Transaksi!$H$16:$H$5015,$B111,Transaksi!$I$16:$I$5015,$C111,Transaksi!$B$16:$B$5015,"&gt;="&amp;DATE(Dashboard!$C$4,5,1),Transaksi!$B$16:$B$5015,"&lt;="&amp;EOMONTH(DATE(Dashboard!$C$4,5,1),0)))</f>
        <v/>
      </c>
      <c r="I111" s="165">
        <f>IF($C111="","",SUMIFS(Transaksi!$F$16:$F$5015,Transaksi!$G$16:$G$5015,$A111,Transaksi!$H$16:$H$5015,$B111,Transaksi!$I$16:$I$5015,$C111,Transaksi!$B$16:$B$5015,"&gt;="&amp;DATE(Dashboard!$C$4,6,1),Transaksi!$B$16:$B$5015,"&lt;="&amp;EOMONTH(DATE(Dashboard!$C$4,6,1),0)))</f>
        <v/>
      </c>
      <c r="J111" s="165">
        <f>IF($C111="","",SUMIFS(Transaksi!$F$16:$F$5015,Transaksi!$G$16:$G$5015,$A111,Transaksi!$H$16:$H$5015,$B111,Transaksi!$I$16:$I$5015,$C111,Transaksi!$B$16:$B$5015,"&gt;="&amp;DATE(Dashboard!$C$4,7,1),Transaksi!$B$16:$B$5015,"&lt;="&amp;EOMONTH(DATE(Dashboard!$C$4,7,1),0)))</f>
        <v/>
      </c>
      <c r="K111" s="165">
        <f>IF($C111="","",SUMIFS(Transaksi!$F$16:$F$5015,Transaksi!$G$16:$G$5015,$A111,Transaksi!$H$16:$H$5015,$B111,Transaksi!$I$16:$I$5015,$C111,Transaksi!$B$16:$B$5015,"&gt;="&amp;DATE(Dashboard!$C$4,8,1),Transaksi!$B$16:$B$5015,"&lt;="&amp;EOMONTH(DATE(Dashboard!$C$4,8,1),0)))</f>
        <v/>
      </c>
      <c r="L111" s="165">
        <f>IF($C111="","",SUMIFS(Transaksi!$F$16:$F$5015,Transaksi!$G$16:$G$5015,$A111,Transaksi!$H$16:$H$5015,$B111,Transaksi!$I$16:$I$5015,$C111,Transaksi!$B$16:$B$5015,"&gt;="&amp;DATE(Dashboard!$C$4,9,1),Transaksi!$B$16:$B$5015,"&lt;="&amp;EOMONTH(DATE(Dashboard!$C$4,9,1),0)))</f>
        <v/>
      </c>
      <c r="M111" s="165">
        <f>IF($C111="","",SUMIFS(Transaksi!$F$16:$F$5015,Transaksi!$G$16:$G$5015,$A111,Transaksi!$H$16:$H$5015,$B111,Transaksi!$I$16:$I$5015,$C111,Transaksi!$B$16:$B$5015,"&gt;="&amp;DATE(Dashboard!$C$4,10,1),Transaksi!$B$16:$B$5015,"&lt;="&amp;EOMONTH(DATE(Dashboard!$C$4,10,1),0)))</f>
        <v/>
      </c>
      <c r="N111" s="165">
        <f>IF($C111="","",SUMIFS(Transaksi!$F$16:$F$5015,Transaksi!$G$16:$G$5015,$A111,Transaksi!$H$16:$H$5015,$B111,Transaksi!$I$16:$I$5015,$C111,Transaksi!$B$16:$B$5015,"&gt;="&amp;DATE(Dashboard!$C$4,11,1),Transaksi!$B$16:$B$5015,"&lt;="&amp;EOMONTH(DATE(Dashboard!$C$4,11,1),0)))</f>
        <v/>
      </c>
      <c r="O111" s="165">
        <f>IF($C111="","",SUMIFS(Transaksi!$F$16:$F$5015,Transaksi!$G$16:$G$5015,$A111,Transaksi!$H$16:$H$5015,$B111,Transaksi!$I$16:$I$5015,$C111,Transaksi!$B$16:$B$5015,"&gt;="&amp;DATE(Dashboard!$C$4,12,1),Transaksi!$B$16:$B$5015,"&lt;="&amp;EOMONTH(DATE(Dashboard!$C$4,12,1),0)))</f>
        <v/>
      </c>
      <c r="P111" s="166">
        <f>IF($C111="","",SUM(D111:O111))</f>
        <v/>
      </c>
    </row>
    <row r="112" ht="15" customHeight="1" s="94">
      <c r="A112" s="164">
        <f>IF(Kategori!C112="","",Kategori!A112)</f>
        <v/>
      </c>
      <c r="B112" s="164">
        <f>IF(Kategori!C112="","",Kategori!B112)</f>
        <v/>
      </c>
      <c r="C112" s="108">
        <f>IF(Kategori!C112="","",Kategori!C112)</f>
        <v/>
      </c>
      <c r="D112" s="165">
        <f>IF($C112="","",SUMIFS(Transaksi!$F$16:$F$5015,Transaksi!$G$16:$G$5015,$A112,Transaksi!$H$16:$H$5015,$B112,Transaksi!$I$16:$I$5015,$C112,Transaksi!$B$16:$B$5015,"&gt;="&amp;DATE(Dashboard!$C$4,1,1),Transaksi!$B$16:$B$5015,"&lt;="&amp;EOMONTH(DATE(Dashboard!$C$4,1,1),0)))</f>
        <v/>
      </c>
      <c r="E112" s="165">
        <f>IF($C112="","",SUMIFS(Transaksi!$F$16:$F$5015,Transaksi!$G$16:$G$5015,$A112,Transaksi!$H$16:$H$5015,$B112,Transaksi!$I$16:$I$5015,$C112,Transaksi!$B$16:$B$5015,"&gt;="&amp;DATE(Dashboard!$C$4,2,1),Transaksi!$B$16:$B$5015,"&lt;="&amp;EOMONTH(DATE(Dashboard!$C$4,2,1),0)))</f>
        <v/>
      </c>
      <c r="F112" s="165">
        <f>IF($C112="","",SUMIFS(Transaksi!$F$16:$F$5015,Transaksi!$G$16:$G$5015,$A112,Transaksi!$H$16:$H$5015,$B112,Transaksi!$I$16:$I$5015,$C112,Transaksi!$B$16:$B$5015,"&gt;="&amp;DATE(Dashboard!$C$4,3,1),Transaksi!$B$16:$B$5015,"&lt;="&amp;EOMONTH(DATE(Dashboard!$C$4,3,1),0)))</f>
        <v/>
      </c>
      <c r="G112" s="165">
        <f>IF($C112="","",SUMIFS(Transaksi!$F$16:$F$5015,Transaksi!$G$16:$G$5015,$A112,Transaksi!$H$16:$H$5015,$B112,Transaksi!$I$16:$I$5015,$C112,Transaksi!$B$16:$B$5015,"&gt;="&amp;DATE(Dashboard!$C$4,4,1),Transaksi!$B$16:$B$5015,"&lt;="&amp;EOMONTH(DATE(Dashboard!$C$4,4,1),0)))</f>
        <v/>
      </c>
      <c r="H112" s="165">
        <f>IF($C112="","",SUMIFS(Transaksi!$F$16:$F$5015,Transaksi!$G$16:$G$5015,$A112,Transaksi!$H$16:$H$5015,$B112,Transaksi!$I$16:$I$5015,$C112,Transaksi!$B$16:$B$5015,"&gt;="&amp;DATE(Dashboard!$C$4,5,1),Transaksi!$B$16:$B$5015,"&lt;="&amp;EOMONTH(DATE(Dashboard!$C$4,5,1),0)))</f>
        <v/>
      </c>
      <c r="I112" s="165">
        <f>IF($C112="","",SUMIFS(Transaksi!$F$16:$F$5015,Transaksi!$G$16:$G$5015,$A112,Transaksi!$H$16:$H$5015,$B112,Transaksi!$I$16:$I$5015,$C112,Transaksi!$B$16:$B$5015,"&gt;="&amp;DATE(Dashboard!$C$4,6,1),Transaksi!$B$16:$B$5015,"&lt;="&amp;EOMONTH(DATE(Dashboard!$C$4,6,1),0)))</f>
        <v/>
      </c>
      <c r="J112" s="165">
        <f>IF($C112="","",SUMIFS(Transaksi!$F$16:$F$5015,Transaksi!$G$16:$G$5015,$A112,Transaksi!$H$16:$H$5015,$B112,Transaksi!$I$16:$I$5015,$C112,Transaksi!$B$16:$B$5015,"&gt;="&amp;DATE(Dashboard!$C$4,7,1),Transaksi!$B$16:$B$5015,"&lt;="&amp;EOMONTH(DATE(Dashboard!$C$4,7,1),0)))</f>
        <v/>
      </c>
      <c r="K112" s="165">
        <f>IF($C112="","",SUMIFS(Transaksi!$F$16:$F$5015,Transaksi!$G$16:$G$5015,$A112,Transaksi!$H$16:$H$5015,$B112,Transaksi!$I$16:$I$5015,$C112,Transaksi!$B$16:$B$5015,"&gt;="&amp;DATE(Dashboard!$C$4,8,1),Transaksi!$B$16:$B$5015,"&lt;="&amp;EOMONTH(DATE(Dashboard!$C$4,8,1),0)))</f>
        <v/>
      </c>
      <c r="L112" s="165">
        <f>IF($C112="","",SUMIFS(Transaksi!$F$16:$F$5015,Transaksi!$G$16:$G$5015,$A112,Transaksi!$H$16:$H$5015,$B112,Transaksi!$I$16:$I$5015,$C112,Transaksi!$B$16:$B$5015,"&gt;="&amp;DATE(Dashboard!$C$4,9,1),Transaksi!$B$16:$B$5015,"&lt;="&amp;EOMONTH(DATE(Dashboard!$C$4,9,1),0)))</f>
        <v/>
      </c>
      <c r="M112" s="165">
        <f>IF($C112="","",SUMIFS(Transaksi!$F$16:$F$5015,Transaksi!$G$16:$G$5015,$A112,Transaksi!$H$16:$H$5015,$B112,Transaksi!$I$16:$I$5015,$C112,Transaksi!$B$16:$B$5015,"&gt;="&amp;DATE(Dashboard!$C$4,10,1),Transaksi!$B$16:$B$5015,"&lt;="&amp;EOMONTH(DATE(Dashboard!$C$4,10,1),0)))</f>
        <v/>
      </c>
      <c r="N112" s="165">
        <f>IF($C112="","",SUMIFS(Transaksi!$F$16:$F$5015,Transaksi!$G$16:$G$5015,$A112,Transaksi!$H$16:$H$5015,$B112,Transaksi!$I$16:$I$5015,$C112,Transaksi!$B$16:$B$5015,"&gt;="&amp;DATE(Dashboard!$C$4,11,1),Transaksi!$B$16:$B$5015,"&lt;="&amp;EOMONTH(DATE(Dashboard!$C$4,11,1),0)))</f>
        <v/>
      </c>
      <c r="O112" s="165">
        <f>IF($C112="","",SUMIFS(Transaksi!$F$16:$F$5015,Transaksi!$G$16:$G$5015,$A112,Transaksi!$H$16:$H$5015,$B112,Transaksi!$I$16:$I$5015,$C112,Transaksi!$B$16:$B$5015,"&gt;="&amp;DATE(Dashboard!$C$4,12,1),Transaksi!$B$16:$B$5015,"&lt;="&amp;EOMONTH(DATE(Dashboard!$C$4,12,1),0)))</f>
        <v/>
      </c>
      <c r="P112" s="166">
        <f>IF($C112="","",SUM(D112:O112))</f>
        <v/>
      </c>
    </row>
    <row r="113" ht="15" customHeight="1" s="94">
      <c r="A113" s="164">
        <f>IF(Kategori!C113="","",Kategori!A113)</f>
        <v/>
      </c>
      <c r="B113" s="164">
        <f>IF(Kategori!C113="","",Kategori!B113)</f>
        <v/>
      </c>
      <c r="C113" s="108">
        <f>IF(Kategori!C113="","",Kategori!C113)</f>
        <v/>
      </c>
      <c r="D113" s="165">
        <f>IF($C113="","",SUMIFS(Transaksi!$F$16:$F$5015,Transaksi!$G$16:$G$5015,$A113,Transaksi!$H$16:$H$5015,$B113,Transaksi!$I$16:$I$5015,$C113,Transaksi!$B$16:$B$5015,"&gt;="&amp;DATE(Dashboard!$C$4,1,1),Transaksi!$B$16:$B$5015,"&lt;="&amp;EOMONTH(DATE(Dashboard!$C$4,1,1),0)))</f>
        <v/>
      </c>
      <c r="E113" s="165">
        <f>IF($C113="","",SUMIFS(Transaksi!$F$16:$F$5015,Transaksi!$G$16:$G$5015,$A113,Transaksi!$H$16:$H$5015,$B113,Transaksi!$I$16:$I$5015,$C113,Transaksi!$B$16:$B$5015,"&gt;="&amp;DATE(Dashboard!$C$4,2,1),Transaksi!$B$16:$B$5015,"&lt;="&amp;EOMONTH(DATE(Dashboard!$C$4,2,1),0)))</f>
        <v/>
      </c>
      <c r="F113" s="165">
        <f>IF($C113="","",SUMIFS(Transaksi!$F$16:$F$5015,Transaksi!$G$16:$G$5015,$A113,Transaksi!$H$16:$H$5015,$B113,Transaksi!$I$16:$I$5015,$C113,Transaksi!$B$16:$B$5015,"&gt;="&amp;DATE(Dashboard!$C$4,3,1),Transaksi!$B$16:$B$5015,"&lt;="&amp;EOMONTH(DATE(Dashboard!$C$4,3,1),0)))</f>
        <v/>
      </c>
      <c r="G113" s="165">
        <f>IF($C113="","",SUMIFS(Transaksi!$F$16:$F$5015,Transaksi!$G$16:$G$5015,$A113,Transaksi!$H$16:$H$5015,$B113,Transaksi!$I$16:$I$5015,$C113,Transaksi!$B$16:$B$5015,"&gt;="&amp;DATE(Dashboard!$C$4,4,1),Transaksi!$B$16:$B$5015,"&lt;="&amp;EOMONTH(DATE(Dashboard!$C$4,4,1),0)))</f>
        <v/>
      </c>
      <c r="H113" s="165">
        <f>IF($C113="","",SUMIFS(Transaksi!$F$16:$F$5015,Transaksi!$G$16:$G$5015,$A113,Transaksi!$H$16:$H$5015,$B113,Transaksi!$I$16:$I$5015,$C113,Transaksi!$B$16:$B$5015,"&gt;="&amp;DATE(Dashboard!$C$4,5,1),Transaksi!$B$16:$B$5015,"&lt;="&amp;EOMONTH(DATE(Dashboard!$C$4,5,1),0)))</f>
        <v/>
      </c>
      <c r="I113" s="165">
        <f>IF($C113="","",SUMIFS(Transaksi!$F$16:$F$5015,Transaksi!$G$16:$G$5015,$A113,Transaksi!$H$16:$H$5015,$B113,Transaksi!$I$16:$I$5015,$C113,Transaksi!$B$16:$B$5015,"&gt;="&amp;DATE(Dashboard!$C$4,6,1),Transaksi!$B$16:$B$5015,"&lt;="&amp;EOMONTH(DATE(Dashboard!$C$4,6,1),0)))</f>
        <v/>
      </c>
      <c r="J113" s="165">
        <f>IF($C113="","",SUMIFS(Transaksi!$F$16:$F$5015,Transaksi!$G$16:$G$5015,$A113,Transaksi!$H$16:$H$5015,$B113,Transaksi!$I$16:$I$5015,$C113,Transaksi!$B$16:$B$5015,"&gt;="&amp;DATE(Dashboard!$C$4,7,1),Transaksi!$B$16:$B$5015,"&lt;="&amp;EOMONTH(DATE(Dashboard!$C$4,7,1),0)))</f>
        <v/>
      </c>
      <c r="K113" s="165">
        <f>IF($C113="","",SUMIFS(Transaksi!$F$16:$F$5015,Transaksi!$G$16:$G$5015,$A113,Transaksi!$H$16:$H$5015,$B113,Transaksi!$I$16:$I$5015,$C113,Transaksi!$B$16:$B$5015,"&gt;="&amp;DATE(Dashboard!$C$4,8,1),Transaksi!$B$16:$B$5015,"&lt;="&amp;EOMONTH(DATE(Dashboard!$C$4,8,1),0)))</f>
        <v/>
      </c>
      <c r="L113" s="165">
        <f>IF($C113="","",SUMIFS(Transaksi!$F$16:$F$5015,Transaksi!$G$16:$G$5015,$A113,Transaksi!$H$16:$H$5015,$B113,Transaksi!$I$16:$I$5015,$C113,Transaksi!$B$16:$B$5015,"&gt;="&amp;DATE(Dashboard!$C$4,9,1),Transaksi!$B$16:$B$5015,"&lt;="&amp;EOMONTH(DATE(Dashboard!$C$4,9,1),0)))</f>
        <v/>
      </c>
      <c r="M113" s="165">
        <f>IF($C113="","",SUMIFS(Transaksi!$F$16:$F$5015,Transaksi!$G$16:$G$5015,$A113,Transaksi!$H$16:$H$5015,$B113,Transaksi!$I$16:$I$5015,$C113,Transaksi!$B$16:$B$5015,"&gt;="&amp;DATE(Dashboard!$C$4,10,1),Transaksi!$B$16:$B$5015,"&lt;="&amp;EOMONTH(DATE(Dashboard!$C$4,10,1),0)))</f>
        <v/>
      </c>
      <c r="N113" s="165">
        <f>IF($C113="","",SUMIFS(Transaksi!$F$16:$F$5015,Transaksi!$G$16:$G$5015,$A113,Transaksi!$H$16:$H$5015,$B113,Transaksi!$I$16:$I$5015,$C113,Transaksi!$B$16:$B$5015,"&gt;="&amp;DATE(Dashboard!$C$4,11,1),Transaksi!$B$16:$B$5015,"&lt;="&amp;EOMONTH(DATE(Dashboard!$C$4,11,1),0)))</f>
        <v/>
      </c>
      <c r="O113" s="165">
        <f>IF($C113="","",SUMIFS(Transaksi!$F$16:$F$5015,Transaksi!$G$16:$G$5015,$A113,Transaksi!$H$16:$H$5015,$B113,Transaksi!$I$16:$I$5015,$C113,Transaksi!$B$16:$B$5015,"&gt;="&amp;DATE(Dashboard!$C$4,12,1),Transaksi!$B$16:$B$5015,"&lt;="&amp;EOMONTH(DATE(Dashboard!$C$4,12,1),0)))</f>
        <v/>
      </c>
      <c r="P113" s="166">
        <f>IF($C113="","",SUM(D113:O113))</f>
        <v/>
      </c>
    </row>
    <row r="114" ht="15" customHeight="1" s="94">
      <c r="A114" s="164">
        <f>IF(Kategori!C114="","",Kategori!A114)</f>
        <v/>
      </c>
      <c r="B114" s="164">
        <f>IF(Kategori!C114="","",Kategori!B114)</f>
        <v/>
      </c>
      <c r="C114" s="108">
        <f>IF(Kategori!C114="","",Kategori!C114)</f>
        <v/>
      </c>
      <c r="D114" s="165">
        <f>IF($C114="","",SUMIFS(Transaksi!$F$16:$F$5015,Transaksi!$G$16:$G$5015,$A114,Transaksi!$H$16:$H$5015,$B114,Transaksi!$I$16:$I$5015,$C114,Transaksi!$B$16:$B$5015,"&gt;="&amp;DATE(Dashboard!$C$4,1,1),Transaksi!$B$16:$B$5015,"&lt;="&amp;EOMONTH(DATE(Dashboard!$C$4,1,1),0)))</f>
        <v/>
      </c>
      <c r="E114" s="165">
        <f>IF($C114="","",SUMIFS(Transaksi!$F$16:$F$5015,Transaksi!$G$16:$G$5015,$A114,Transaksi!$H$16:$H$5015,$B114,Transaksi!$I$16:$I$5015,$C114,Transaksi!$B$16:$B$5015,"&gt;="&amp;DATE(Dashboard!$C$4,2,1),Transaksi!$B$16:$B$5015,"&lt;="&amp;EOMONTH(DATE(Dashboard!$C$4,2,1),0)))</f>
        <v/>
      </c>
      <c r="F114" s="165">
        <f>IF($C114="","",SUMIFS(Transaksi!$F$16:$F$5015,Transaksi!$G$16:$G$5015,$A114,Transaksi!$H$16:$H$5015,$B114,Transaksi!$I$16:$I$5015,$C114,Transaksi!$B$16:$B$5015,"&gt;="&amp;DATE(Dashboard!$C$4,3,1),Transaksi!$B$16:$B$5015,"&lt;="&amp;EOMONTH(DATE(Dashboard!$C$4,3,1),0)))</f>
        <v/>
      </c>
      <c r="G114" s="165">
        <f>IF($C114="","",SUMIFS(Transaksi!$F$16:$F$5015,Transaksi!$G$16:$G$5015,$A114,Transaksi!$H$16:$H$5015,$B114,Transaksi!$I$16:$I$5015,$C114,Transaksi!$B$16:$B$5015,"&gt;="&amp;DATE(Dashboard!$C$4,4,1),Transaksi!$B$16:$B$5015,"&lt;="&amp;EOMONTH(DATE(Dashboard!$C$4,4,1),0)))</f>
        <v/>
      </c>
      <c r="H114" s="165">
        <f>IF($C114="","",SUMIFS(Transaksi!$F$16:$F$5015,Transaksi!$G$16:$G$5015,$A114,Transaksi!$H$16:$H$5015,$B114,Transaksi!$I$16:$I$5015,$C114,Transaksi!$B$16:$B$5015,"&gt;="&amp;DATE(Dashboard!$C$4,5,1),Transaksi!$B$16:$B$5015,"&lt;="&amp;EOMONTH(DATE(Dashboard!$C$4,5,1),0)))</f>
        <v/>
      </c>
      <c r="I114" s="165">
        <f>IF($C114="","",SUMIFS(Transaksi!$F$16:$F$5015,Transaksi!$G$16:$G$5015,$A114,Transaksi!$H$16:$H$5015,$B114,Transaksi!$I$16:$I$5015,$C114,Transaksi!$B$16:$B$5015,"&gt;="&amp;DATE(Dashboard!$C$4,6,1),Transaksi!$B$16:$B$5015,"&lt;="&amp;EOMONTH(DATE(Dashboard!$C$4,6,1),0)))</f>
        <v/>
      </c>
      <c r="J114" s="165">
        <f>IF($C114="","",SUMIFS(Transaksi!$F$16:$F$5015,Transaksi!$G$16:$G$5015,$A114,Transaksi!$H$16:$H$5015,$B114,Transaksi!$I$16:$I$5015,$C114,Transaksi!$B$16:$B$5015,"&gt;="&amp;DATE(Dashboard!$C$4,7,1),Transaksi!$B$16:$B$5015,"&lt;="&amp;EOMONTH(DATE(Dashboard!$C$4,7,1),0)))</f>
        <v/>
      </c>
      <c r="K114" s="165">
        <f>IF($C114="","",SUMIFS(Transaksi!$F$16:$F$5015,Transaksi!$G$16:$G$5015,$A114,Transaksi!$H$16:$H$5015,$B114,Transaksi!$I$16:$I$5015,$C114,Transaksi!$B$16:$B$5015,"&gt;="&amp;DATE(Dashboard!$C$4,8,1),Transaksi!$B$16:$B$5015,"&lt;="&amp;EOMONTH(DATE(Dashboard!$C$4,8,1),0)))</f>
        <v/>
      </c>
      <c r="L114" s="165">
        <f>IF($C114="","",SUMIFS(Transaksi!$F$16:$F$5015,Transaksi!$G$16:$G$5015,$A114,Transaksi!$H$16:$H$5015,$B114,Transaksi!$I$16:$I$5015,$C114,Transaksi!$B$16:$B$5015,"&gt;="&amp;DATE(Dashboard!$C$4,9,1),Transaksi!$B$16:$B$5015,"&lt;="&amp;EOMONTH(DATE(Dashboard!$C$4,9,1),0)))</f>
        <v/>
      </c>
      <c r="M114" s="165">
        <f>IF($C114="","",SUMIFS(Transaksi!$F$16:$F$5015,Transaksi!$G$16:$G$5015,$A114,Transaksi!$H$16:$H$5015,$B114,Transaksi!$I$16:$I$5015,$C114,Transaksi!$B$16:$B$5015,"&gt;="&amp;DATE(Dashboard!$C$4,10,1),Transaksi!$B$16:$B$5015,"&lt;="&amp;EOMONTH(DATE(Dashboard!$C$4,10,1),0)))</f>
        <v/>
      </c>
      <c r="N114" s="165">
        <f>IF($C114="","",SUMIFS(Transaksi!$F$16:$F$5015,Transaksi!$G$16:$G$5015,$A114,Transaksi!$H$16:$H$5015,$B114,Transaksi!$I$16:$I$5015,$C114,Transaksi!$B$16:$B$5015,"&gt;="&amp;DATE(Dashboard!$C$4,11,1),Transaksi!$B$16:$B$5015,"&lt;="&amp;EOMONTH(DATE(Dashboard!$C$4,11,1),0)))</f>
        <v/>
      </c>
      <c r="O114" s="165">
        <f>IF($C114="","",SUMIFS(Transaksi!$F$16:$F$5015,Transaksi!$G$16:$G$5015,$A114,Transaksi!$H$16:$H$5015,$B114,Transaksi!$I$16:$I$5015,$C114,Transaksi!$B$16:$B$5015,"&gt;="&amp;DATE(Dashboard!$C$4,12,1),Transaksi!$B$16:$B$5015,"&lt;="&amp;EOMONTH(DATE(Dashboard!$C$4,12,1),0)))</f>
        <v/>
      </c>
      <c r="P114" s="166">
        <f>IF($C114="","",SUM(D114:O114))</f>
        <v/>
      </c>
    </row>
    <row r="115" ht="15" customHeight="1" s="94">
      <c r="A115" s="164">
        <f>IF(Kategori!C115="","",Kategori!A115)</f>
        <v/>
      </c>
      <c r="B115" s="164">
        <f>IF(Kategori!C115="","",Kategori!B115)</f>
        <v/>
      </c>
      <c r="C115" s="108">
        <f>IF(Kategori!C115="","",Kategori!C115)</f>
        <v/>
      </c>
      <c r="D115" s="165">
        <f>IF($C115="","",SUMIFS(Transaksi!$F$16:$F$5015,Transaksi!$G$16:$G$5015,$A115,Transaksi!$H$16:$H$5015,$B115,Transaksi!$I$16:$I$5015,$C115,Transaksi!$B$16:$B$5015,"&gt;="&amp;DATE(Dashboard!$C$4,1,1),Transaksi!$B$16:$B$5015,"&lt;="&amp;EOMONTH(DATE(Dashboard!$C$4,1,1),0)))</f>
        <v/>
      </c>
      <c r="E115" s="165">
        <f>IF($C115="","",SUMIFS(Transaksi!$F$16:$F$5015,Transaksi!$G$16:$G$5015,$A115,Transaksi!$H$16:$H$5015,$B115,Transaksi!$I$16:$I$5015,$C115,Transaksi!$B$16:$B$5015,"&gt;="&amp;DATE(Dashboard!$C$4,2,1),Transaksi!$B$16:$B$5015,"&lt;="&amp;EOMONTH(DATE(Dashboard!$C$4,2,1),0)))</f>
        <v/>
      </c>
      <c r="F115" s="165">
        <f>IF($C115="","",SUMIFS(Transaksi!$F$16:$F$5015,Transaksi!$G$16:$G$5015,$A115,Transaksi!$H$16:$H$5015,$B115,Transaksi!$I$16:$I$5015,$C115,Transaksi!$B$16:$B$5015,"&gt;="&amp;DATE(Dashboard!$C$4,3,1),Transaksi!$B$16:$B$5015,"&lt;="&amp;EOMONTH(DATE(Dashboard!$C$4,3,1),0)))</f>
        <v/>
      </c>
      <c r="G115" s="165">
        <f>IF($C115="","",SUMIFS(Transaksi!$F$16:$F$5015,Transaksi!$G$16:$G$5015,$A115,Transaksi!$H$16:$H$5015,$B115,Transaksi!$I$16:$I$5015,$C115,Transaksi!$B$16:$B$5015,"&gt;="&amp;DATE(Dashboard!$C$4,4,1),Transaksi!$B$16:$B$5015,"&lt;="&amp;EOMONTH(DATE(Dashboard!$C$4,4,1),0)))</f>
        <v/>
      </c>
      <c r="H115" s="165">
        <f>IF($C115="","",SUMIFS(Transaksi!$F$16:$F$5015,Transaksi!$G$16:$G$5015,$A115,Transaksi!$H$16:$H$5015,$B115,Transaksi!$I$16:$I$5015,$C115,Transaksi!$B$16:$B$5015,"&gt;="&amp;DATE(Dashboard!$C$4,5,1),Transaksi!$B$16:$B$5015,"&lt;="&amp;EOMONTH(DATE(Dashboard!$C$4,5,1),0)))</f>
        <v/>
      </c>
      <c r="I115" s="165">
        <f>IF($C115="","",SUMIFS(Transaksi!$F$16:$F$5015,Transaksi!$G$16:$G$5015,$A115,Transaksi!$H$16:$H$5015,$B115,Transaksi!$I$16:$I$5015,$C115,Transaksi!$B$16:$B$5015,"&gt;="&amp;DATE(Dashboard!$C$4,6,1),Transaksi!$B$16:$B$5015,"&lt;="&amp;EOMONTH(DATE(Dashboard!$C$4,6,1),0)))</f>
        <v/>
      </c>
      <c r="J115" s="165">
        <f>IF($C115="","",SUMIFS(Transaksi!$F$16:$F$5015,Transaksi!$G$16:$G$5015,$A115,Transaksi!$H$16:$H$5015,$B115,Transaksi!$I$16:$I$5015,$C115,Transaksi!$B$16:$B$5015,"&gt;="&amp;DATE(Dashboard!$C$4,7,1),Transaksi!$B$16:$B$5015,"&lt;="&amp;EOMONTH(DATE(Dashboard!$C$4,7,1),0)))</f>
        <v/>
      </c>
      <c r="K115" s="165">
        <f>IF($C115="","",SUMIFS(Transaksi!$F$16:$F$5015,Transaksi!$G$16:$G$5015,$A115,Transaksi!$H$16:$H$5015,$B115,Transaksi!$I$16:$I$5015,$C115,Transaksi!$B$16:$B$5015,"&gt;="&amp;DATE(Dashboard!$C$4,8,1),Transaksi!$B$16:$B$5015,"&lt;="&amp;EOMONTH(DATE(Dashboard!$C$4,8,1),0)))</f>
        <v/>
      </c>
      <c r="L115" s="165">
        <f>IF($C115="","",SUMIFS(Transaksi!$F$16:$F$5015,Transaksi!$G$16:$G$5015,$A115,Transaksi!$H$16:$H$5015,$B115,Transaksi!$I$16:$I$5015,$C115,Transaksi!$B$16:$B$5015,"&gt;="&amp;DATE(Dashboard!$C$4,9,1),Transaksi!$B$16:$B$5015,"&lt;="&amp;EOMONTH(DATE(Dashboard!$C$4,9,1),0)))</f>
        <v/>
      </c>
      <c r="M115" s="165">
        <f>IF($C115="","",SUMIFS(Transaksi!$F$16:$F$5015,Transaksi!$G$16:$G$5015,$A115,Transaksi!$H$16:$H$5015,$B115,Transaksi!$I$16:$I$5015,$C115,Transaksi!$B$16:$B$5015,"&gt;="&amp;DATE(Dashboard!$C$4,10,1),Transaksi!$B$16:$B$5015,"&lt;="&amp;EOMONTH(DATE(Dashboard!$C$4,10,1),0)))</f>
        <v/>
      </c>
      <c r="N115" s="165">
        <f>IF($C115="","",SUMIFS(Transaksi!$F$16:$F$5015,Transaksi!$G$16:$G$5015,$A115,Transaksi!$H$16:$H$5015,$B115,Transaksi!$I$16:$I$5015,$C115,Transaksi!$B$16:$B$5015,"&gt;="&amp;DATE(Dashboard!$C$4,11,1),Transaksi!$B$16:$B$5015,"&lt;="&amp;EOMONTH(DATE(Dashboard!$C$4,11,1),0)))</f>
        <v/>
      </c>
      <c r="O115" s="165">
        <f>IF($C115="","",SUMIFS(Transaksi!$F$16:$F$5015,Transaksi!$G$16:$G$5015,$A115,Transaksi!$H$16:$H$5015,$B115,Transaksi!$I$16:$I$5015,$C115,Transaksi!$B$16:$B$5015,"&gt;="&amp;DATE(Dashboard!$C$4,12,1),Transaksi!$B$16:$B$5015,"&lt;="&amp;EOMONTH(DATE(Dashboard!$C$4,12,1),0)))</f>
        <v/>
      </c>
      <c r="P115" s="166">
        <f>IF($C115="","",SUM(D115:O115))</f>
        <v/>
      </c>
    </row>
    <row r="116" ht="15" customHeight="1" s="94">
      <c r="A116" s="164">
        <f>IF(Kategori!C116="","",Kategori!A116)</f>
        <v/>
      </c>
      <c r="B116" s="164">
        <f>IF(Kategori!C116="","",Kategori!B116)</f>
        <v/>
      </c>
      <c r="C116" s="108">
        <f>IF(Kategori!C116="","",Kategori!C116)</f>
        <v/>
      </c>
      <c r="D116" s="165">
        <f>IF($C116="","",SUMIFS(Transaksi!$F$16:$F$5015,Transaksi!$G$16:$G$5015,$A116,Transaksi!$H$16:$H$5015,$B116,Transaksi!$I$16:$I$5015,$C116,Transaksi!$B$16:$B$5015,"&gt;="&amp;DATE(Dashboard!$C$4,1,1),Transaksi!$B$16:$B$5015,"&lt;="&amp;EOMONTH(DATE(Dashboard!$C$4,1,1),0)))</f>
        <v/>
      </c>
      <c r="E116" s="165">
        <f>IF($C116="","",SUMIFS(Transaksi!$F$16:$F$5015,Transaksi!$G$16:$G$5015,$A116,Transaksi!$H$16:$H$5015,$B116,Transaksi!$I$16:$I$5015,$C116,Transaksi!$B$16:$B$5015,"&gt;="&amp;DATE(Dashboard!$C$4,2,1),Transaksi!$B$16:$B$5015,"&lt;="&amp;EOMONTH(DATE(Dashboard!$C$4,2,1),0)))</f>
        <v/>
      </c>
      <c r="F116" s="165">
        <f>IF($C116="","",SUMIFS(Transaksi!$F$16:$F$5015,Transaksi!$G$16:$G$5015,$A116,Transaksi!$H$16:$H$5015,$B116,Transaksi!$I$16:$I$5015,$C116,Transaksi!$B$16:$B$5015,"&gt;="&amp;DATE(Dashboard!$C$4,3,1),Transaksi!$B$16:$B$5015,"&lt;="&amp;EOMONTH(DATE(Dashboard!$C$4,3,1),0)))</f>
        <v/>
      </c>
      <c r="G116" s="165">
        <f>IF($C116="","",SUMIFS(Transaksi!$F$16:$F$5015,Transaksi!$G$16:$G$5015,$A116,Transaksi!$H$16:$H$5015,$B116,Transaksi!$I$16:$I$5015,$C116,Transaksi!$B$16:$B$5015,"&gt;="&amp;DATE(Dashboard!$C$4,4,1),Transaksi!$B$16:$B$5015,"&lt;="&amp;EOMONTH(DATE(Dashboard!$C$4,4,1),0)))</f>
        <v/>
      </c>
      <c r="H116" s="165">
        <f>IF($C116="","",SUMIFS(Transaksi!$F$16:$F$5015,Transaksi!$G$16:$G$5015,$A116,Transaksi!$H$16:$H$5015,$B116,Transaksi!$I$16:$I$5015,$C116,Transaksi!$B$16:$B$5015,"&gt;="&amp;DATE(Dashboard!$C$4,5,1),Transaksi!$B$16:$B$5015,"&lt;="&amp;EOMONTH(DATE(Dashboard!$C$4,5,1),0)))</f>
        <v/>
      </c>
      <c r="I116" s="165">
        <f>IF($C116="","",SUMIFS(Transaksi!$F$16:$F$5015,Transaksi!$G$16:$G$5015,$A116,Transaksi!$H$16:$H$5015,$B116,Transaksi!$I$16:$I$5015,$C116,Transaksi!$B$16:$B$5015,"&gt;="&amp;DATE(Dashboard!$C$4,6,1),Transaksi!$B$16:$B$5015,"&lt;="&amp;EOMONTH(DATE(Dashboard!$C$4,6,1),0)))</f>
        <v/>
      </c>
      <c r="J116" s="165">
        <f>IF($C116="","",SUMIFS(Transaksi!$F$16:$F$5015,Transaksi!$G$16:$G$5015,$A116,Transaksi!$H$16:$H$5015,$B116,Transaksi!$I$16:$I$5015,$C116,Transaksi!$B$16:$B$5015,"&gt;="&amp;DATE(Dashboard!$C$4,7,1),Transaksi!$B$16:$B$5015,"&lt;="&amp;EOMONTH(DATE(Dashboard!$C$4,7,1),0)))</f>
        <v/>
      </c>
      <c r="K116" s="165">
        <f>IF($C116="","",SUMIFS(Transaksi!$F$16:$F$5015,Transaksi!$G$16:$G$5015,$A116,Transaksi!$H$16:$H$5015,$B116,Transaksi!$I$16:$I$5015,$C116,Transaksi!$B$16:$B$5015,"&gt;="&amp;DATE(Dashboard!$C$4,8,1),Transaksi!$B$16:$B$5015,"&lt;="&amp;EOMONTH(DATE(Dashboard!$C$4,8,1),0)))</f>
        <v/>
      </c>
      <c r="L116" s="165">
        <f>IF($C116="","",SUMIFS(Transaksi!$F$16:$F$5015,Transaksi!$G$16:$G$5015,$A116,Transaksi!$H$16:$H$5015,$B116,Transaksi!$I$16:$I$5015,$C116,Transaksi!$B$16:$B$5015,"&gt;="&amp;DATE(Dashboard!$C$4,9,1),Transaksi!$B$16:$B$5015,"&lt;="&amp;EOMONTH(DATE(Dashboard!$C$4,9,1),0)))</f>
        <v/>
      </c>
      <c r="M116" s="165">
        <f>IF($C116="","",SUMIFS(Transaksi!$F$16:$F$5015,Transaksi!$G$16:$G$5015,$A116,Transaksi!$H$16:$H$5015,$B116,Transaksi!$I$16:$I$5015,$C116,Transaksi!$B$16:$B$5015,"&gt;="&amp;DATE(Dashboard!$C$4,10,1),Transaksi!$B$16:$B$5015,"&lt;="&amp;EOMONTH(DATE(Dashboard!$C$4,10,1),0)))</f>
        <v/>
      </c>
      <c r="N116" s="165">
        <f>IF($C116="","",SUMIFS(Transaksi!$F$16:$F$5015,Transaksi!$G$16:$G$5015,$A116,Transaksi!$H$16:$H$5015,$B116,Transaksi!$I$16:$I$5015,$C116,Transaksi!$B$16:$B$5015,"&gt;="&amp;DATE(Dashboard!$C$4,11,1),Transaksi!$B$16:$B$5015,"&lt;="&amp;EOMONTH(DATE(Dashboard!$C$4,11,1),0)))</f>
        <v/>
      </c>
      <c r="O116" s="165">
        <f>IF($C116="","",SUMIFS(Transaksi!$F$16:$F$5015,Transaksi!$G$16:$G$5015,$A116,Transaksi!$H$16:$H$5015,$B116,Transaksi!$I$16:$I$5015,$C116,Transaksi!$B$16:$B$5015,"&gt;="&amp;DATE(Dashboard!$C$4,12,1),Transaksi!$B$16:$B$5015,"&lt;="&amp;EOMONTH(DATE(Dashboard!$C$4,12,1),0)))</f>
        <v/>
      </c>
      <c r="P116" s="166">
        <f>IF($C116="","",SUM(D116:O116))</f>
        <v/>
      </c>
    </row>
    <row r="117" ht="15" customHeight="1" s="94">
      <c r="A117" s="164">
        <f>IF(Kategori!C117="","",Kategori!A117)</f>
        <v/>
      </c>
      <c r="B117" s="164">
        <f>IF(Kategori!C117="","",Kategori!B117)</f>
        <v/>
      </c>
      <c r="C117" s="108">
        <f>IF(Kategori!C117="","",Kategori!C117)</f>
        <v/>
      </c>
      <c r="D117" s="165">
        <f>IF($C117="","",SUMIFS(Transaksi!$F$16:$F$5015,Transaksi!$G$16:$G$5015,$A117,Transaksi!$H$16:$H$5015,$B117,Transaksi!$I$16:$I$5015,$C117,Transaksi!$B$16:$B$5015,"&gt;="&amp;DATE(Dashboard!$C$4,1,1),Transaksi!$B$16:$B$5015,"&lt;="&amp;EOMONTH(DATE(Dashboard!$C$4,1,1),0)))</f>
        <v/>
      </c>
      <c r="E117" s="165">
        <f>IF($C117="","",SUMIFS(Transaksi!$F$16:$F$5015,Transaksi!$G$16:$G$5015,$A117,Transaksi!$H$16:$H$5015,$B117,Transaksi!$I$16:$I$5015,$C117,Transaksi!$B$16:$B$5015,"&gt;="&amp;DATE(Dashboard!$C$4,2,1),Transaksi!$B$16:$B$5015,"&lt;="&amp;EOMONTH(DATE(Dashboard!$C$4,2,1),0)))</f>
        <v/>
      </c>
      <c r="F117" s="165">
        <f>IF($C117="","",SUMIFS(Transaksi!$F$16:$F$5015,Transaksi!$G$16:$G$5015,$A117,Transaksi!$H$16:$H$5015,$B117,Transaksi!$I$16:$I$5015,$C117,Transaksi!$B$16:$B$5015,"&gt;="&amp;DATE(Dashboard!$C$4,3,1),Transaksi!$B$16:$B$5015,"&lt;="&amp;EOMONTH(DATE(Dashboard!$C$4,3,1),0)))</f>
        <v/>
      </c>
      <c r="G117" s="165">
        <f>IF($C117="","",SUMIFS(Transaksi!$F$16:$F$5015,Transaksi!$G$16:$G$5015,$A117,Transaksi!$H$16:$H$5015,$B117,Transaksi!$I$16:$I$5015,$C117,Transaksi!$B$16:$B$5015,"&gt;="&amp;DATE(Dashboard!$C$4,4,1),Transaksi!$B$16:$B$5015,"&lt;="&amp;EOMONTH(DATE(Dashboard!$C$4,4,1),0)))</f>
        <v/>
      </c>
      <c r="H117" s="165">
        <f>IF($C117="","",SUMIFS(Transaksi!$F$16:$F$5015,Transaksi!$G$16:$G$5015,$A117,Transaksi!$H$16:$H$5015,$B117,Transaksi!$I$16:$I$5015,$C117,Transaksi!$B$16:$B$5015,"&gt;="&amp;DATE(Dashboard!$C$4,5,1),Transaksi!$B$16:$B$5015,"&lt;="&amp;EOMONTH(DATE(Dashboard!$C$4,5,1),0)))</f>
        <v/>
      </c>
      <c r="I117" s="165">
        <f>IF($C117="","",SUMIFS(Transaksi!$F$16:$F$5015,Transaksi!$G$16:$G$5015,$A117,Transaksi!$H$16:$H$5015,$B117,Transaksi!$I$16:$I$5015,$C117,Transaksi!$B$16:$B$5015,"&gt;="&amp;DATE(Dashboard!$C$4,6,1),Transaksi!$B$16:$B$5015,"&lt;="&amp;EOMONTH(DATE(Dashboard!$C$4,6,1),0)))</f>
        <v/>
      </c>
      <c r="J117" s="165">
        <f>IF($C117="","",SUMIFS(Transaksi!$F$16:$F$5015,Transaksi!$G$16:$G$5015,$A117,Transaksi!$H$16:$H$5015,$B117,Transaksi!$I$16:$I$5015,$C117,Transaksi!$B$16:$B$5015,"&gt;="&amp;DATE(Dashboard!$C$4,7,1),Transaksi!$B$16:$B$5015,"&lt;="&amp;EOMONTH(DATE(Dashboard!$C$4,7,1),0)))</f>
        <v/>
      </c>
      <c r="K117" s="165">
        <f>IF($C117="","",SUMIFS(Transaksi!$F$16:$F$5015,Transaksi!$G$16:$G$5015,$A117,Transaksi!$H$16:$H$5015,$B117,Transaksi!$I$16:$I$5015,$C117,Transaksi!$B$16:$B$5015,"&gt;="&amp;DATE(Dashboard!$C$4,8,1),Transaksi!$B$16:$B$5015,"&lt;="&amp;EOMONTH(DATE(Dashboard!$C$4,8,1),0)))</f>
        <v/>
      </c>
      <c r="L117" s="165">
        <f>IF($C117="","",SUMIFS(Transaksi!$F$16:$F$5015,Transaksi!$G$16:$G$5015,$A117,Transaksi!$H$16:$H$5015,$B117,Transaksi!$I$16:$I$5015,$C117,Transaksi!$B$16:$B$5015,"&gt;="&amp;DATE(Dashboard!$C$4,9,1),Transaksi!$B$16:$B$5015,"&lt;="&amp;EOMONTH(DATE(Dashboard!$C$4,9,1),0)))</f>
        <v/>
      </c>
      <c r="M117" s="165">
        <f>IF($C117="","",SUMIFS(Transaksi!$F$16:$F$5015,Transaksi!$G$16:$G$5015,$A117,Transaksi!$H$16:$H$5015,$B117,Transaksi!$I$16:$I$5015,$C117,Transaksi!$B$16:$B$5015,"&gt;="&amp;DATE(Dashboard!$C$4,10,1),Transaksi!$B$16:$B$5015,"&lt;="&amp;EOMONTH(DATE(Dashboard!$C$4,10,1),0)))</f>
        <v/>
      </c>
      <c r="N117" s="165">
        <f>IF($C117="","",SUMIFS(Transaksi!$F$16:$F$5015,Transaksi!$G$16:$G$5015,$A117,Transaksi!$H$16:$H$5015,$B117,Transaksi!$I$16:$I$5015,$C117,Transaksi!$B$16:$B$5015,"&gt;="&amp;DATE(Dashboard!$C$4,11,1),Transaksi!$B$16:$B$5015,"&lt;="&amp;EOMONTH(DATE(Dashboard!$C$4,11,1),0)))</f>
        <v/>
      </c>
      <c r="O117" s="165">
        <f>IF($C117="","",SUMIFS(Transaksi!$F$16:$F$5015,Transaksi!$G$16:$G$5015,$A117,Transaksi!$H$16:$H$5015,$B117,Transaksi!$I$16:$I$5015,$C117,Transaksi!$B$16:$B$5015,"&gt;="&amp;DATE(Dashboard!$C$4,12,1),Transaksi!$B$16:$B$5015,"&lt;="&amp;EOMONTH(DATE(Dashboard!$C$4,12,1),0)))</f>
        <v/>
      </c>
      <c r="P117" s="166">
        <f>IF($C117="","",SUM(D117:O117))</f>
        <v/>
      </c>
    </row>
    <row r="118" ht="15" customHeight="1" s="94">
      <c r="A118" s="164">
        <f>IF(Kategori!C118="","",Kategori!A118)</f>
        <v/>
      </c>
      <c r="B118" s="164">
        <f>IF(Kategori!C118="","",Kategori!B118)</f>
        <v/>
      </c>
      <c r="C118" s="108">
        <f>IF(Kategori!C118="","",Kategori!C118)</f>
        <v/>
      </c>
      <c r="D118" s="165">
        <f>IF($C118="","",SUMIFS(Transaksi!$F$16:$F$5015,Transaksi!$G$16:$G$5015,$A118,Transaksi!$H$16:$H$5015,$B118,Transaksi!$I$16:$I$5015,$C118,Transaksi!$B$16:$B$5015,"&gt;="&amp;DATE(Dashboard!$C$4,1,1),Transaksi!$B$16:$B$5015,"&lt;="&amp;EOMONTH(DATE(Dashboard!$C$4,1,1),0)))</f>
        <v/>
      </c>
      <c r="E118" s="165">
        <f>IF($C118="","",SUMIFS(Transaksi!$F$16:$F$5015,Transaksi!$G$16:$G$5015,$A118,Transaksi!$H$16:$H$5015,$B118,Transaksi!$I$16:$I$5015,$C118,Transaksi!$B$16:$B$5015,"&gt;="&amp;DATE(Dashboard!$C$4,2,1),Transaksi!$B$16:$B$5015,"&lt;="&amp;EOMONTH(DATE(Dashboard!$C$4,2,1),0)))</f>
        <v/>
      </c>
      <c r="F118" s="165">
        <f>IF($C118="","",SUMIFS(Transaksi!$F$16:$F$5015,Transaksi!$G$16:$G$5015,$A118,Transaksi!$H$16:$H$5015,$B118,Transaksi!$I$16:$I$5015,$C118,Transaksi!$B$16:$B$5015,"&gt;="&amp;DATE(Dashboard!$C$4,3,1),Transaksi!$B$16:$B$5015,"&lt;="&amp;EOMONTH(DATE(Dashboard!$C$4,3,1),0)))</f>
        <v/>
      </c>
      <c r="G118" s="165">
        <f>IF($C118="","",SUMIFS(Transaksi!$F$16:$F$5015,Transaksi!$G$16:$G$5015,$A118,Transaksi!$H$16:$H$5015,$B118,Transaksi!$I$16:$I$5015,$C118,Transaksi!$B$16:$B$5015,"&gt;="&amp;DATE(Dashboard!$C$4,4,1),Transaksi!$B$16:$B$5015,"&lt;="&amp;EOMONTH(DATE(Dashboard!$C$4,4,1),0)))</f>
        <v/>
      </c>
      <c r="H118" s="165">
        <f>IF($C118="","",SUMIFS(Transaksi!$F$16:$F$5015,Transaksi!$G$16:$G$5015,$A118,Transaksi!$H$16:$H$5015,$B118,Transaksi!$I$16:$I$5015,$C118,Transaksi!$B$16:$B$5015,"&gt;="&amp;DATE(Dashboard!$C$4,5,1),Transaksi!$B$16:$B$5015,"&lt;="&amp;EOMONTH(DATE(Dashboard!$C$4,5,1),0)))</f>
        <v/>
      </c>
      <c r="I118" s="165">
        <f>IF($C118="","",SUMIFS(Transaksi!$F$16:$F$5015,Transaksi!$G$16:$G$5015,$A118,Transaksi!$H$16:$H$5015,$B118,Transaksi!$I$16:$I$5015,$C118,Transaksi!$B$16:$B$5015,"&gt;="&amp;DATE(Dashboard!$C$4,6,1),Transaksi!$B$16:$B$5015,"&lt;="&amp;EOMONTH(DATE(Dashboard!$C$4,6,1),0)))</f>
        <v/>
      </c>
      <c r="J118" s="165">
        <f>IF($C118="","",SUMIFS(Transaksi!$F$16:$F$5015,Transaksi!$G$16:$G$5015,$A118,Transaksi!$H$16:$H$5015,$B118,Transaksi!$I$16:$I$5015,$C118,Transaksi!$B$16:$B$5015,"&gt;="&amp;DATE(Dashboard!$C$4,7,1),Transaksi!$B$16:$B$5015,"&lt;="&amp;EOMONTH(DATE(Dashboard!$C$4,7,1),0)))</f>
        <v/>
      </c>
      <c r="K118" s="165">
        <f>IF($C118="","",SUMIFS(Transaksi!$F$16:$F$5015,Transaksi!$G$16:$G$5015,$A118,Transaksi!$H$16:$H$5015,$B118,Transaksi!$I$16:$I$5015,$C118,Transaksi!$B$16:$B$5015,"&gt;="&amp;DATE(Dashboard!$C$4,8,1),Transaksi!$B$16:$B$5015,"&lt;="&amp;EOMONTH(DATE(Dashboard!$C$4,8,1),0)))</f>
        <v/>
      </c>
      <c r="L118" s="165">
        <f>IF($C118="","",SUMIFS(Transaksi!$F$16:$F$5015,Transaksi!$G$16:$G$5015,$A118,Transaksi!$H$16:$H$5015,$B118,Transaksi!$I$16:$I$5015,$C118,Transaksi!$B$16:$B$5015,"&gt;="&amp;DATE(Dashboard!$C$4,9,1),Transaksi!$B$16:$B$5015,"&lt;="&amp;EOMONTH(DATE(Dashboard!$C$4,9,1),0)))</f>
        <v/>
      </c>
      <c r="M118" s="165">
        <f>IF($C118="","",SUMIFS(Transaksi!$F$16:$F$5015,Transaksi!$G$16:$G$5015,$A118,Transaksi!$H$16:$H$5015,$B118,Transaksi!$I$16:$I$5015,$C118,Transaksi!$B$16:$B$5015,"&gt;="&amp;DATE(Dashboard!$C$4,10,1),Transaksi!$B$16:$B$5015,"&lt;="&amp;EOMONTH(DATE(Dashboard!$C$4,10,1),0)))</f>
        <v/>
      </c>
      <c r="N118" s="165">
        <f>IF($C118="","",SUMIFS(Transaksi!$F$16:$F$5015,Transaksi!$G$16:$G$5015,$A118,Transaksi!$H$16:$H$5015,$B118,Transaksi!$I$16:$I$5015,$C118,Transaksi!$B$16:$B$5015,"&gt;="&amp;DATE(Dashboard!$C$4,11,1),Transaksi!$B$16:$B$5015,"&lt;="&amp;EOMONTH(DATE(Dashboard!$C$4,11,1),0)))</f>
        <v/>
      </c>
      <c r="O118" s="165">
        <f>IF($C118="","",SUMIFS(Transaksi!$F$16:$F$5015,Transaksi!$G$16:$G$5015,$A118,Transaksi!$H$16:$H$5015,$B118,Transaksi!$I$16:$I$5015,$C118,Transaksi!$B$16:$B$5015,"&gt;="&amp;DATE(Dashboard!$C$4,12,1),Transaksi!$B$16:$B$5015,"&lt;="&amp;EOMONTH(DATE(Dashboard!$C$4,12,1),0)))</f>
        <v/>
      </c>
      <c r="P118" s="166">
        <f>IF($C118="","",SUM(D118:O118))</f>
        <v/>
      </c>
    </row>
    <row r="119" ht="15" customHeight="1" s="94">
      <c r="A119" s="164">
        <f>IF(Kategori!C119="","",Kategori!A119)</f>
        <v/>
      </c>
      <c r="B119" s="164">
        <f>IF(Kategori!C119="","",Kategori!B119)</f>
        <v/>
      </c>
      <c r="C119" s="108">
        <f>IF(Kategori!C119="","",Kategori!C119)</f>
        <v/>
      </c>
      <c r="D119" s="165">
        <f>IF($C119="","",SUMIFS(Transaksi!$F$16:$F$5015,Transaksi!$G$16:$G$5015,$A119,Transaksi!$H$16:$H$5015,$B119,Transaksi!$I$16:$I$5015,$C119,Transaksi!$B$16:$B$5015,"&gt;="&amp;DATE(Dashboard!$C$4,1,1),Transaksi!$B$16:$B$5015,"&lt;="&amp;EOMONTH(DATE(Dashboard!$C$4,1,1),0)))</f>
        <v/>
      </c>
      <c r="E119" s="165">
        <f>IF($C119="","",SUMIFS(Transaksi!$F$16:$F$5015,Transaksi!$G$16:$G$5015,$A119,Transaksi!$H$16:$H$5015,$B119,Transaksi!$I$16:$I$5015,$C119,Transaksi!$B$16:$B$5015,"&gt;="&amp;DATE(Dashboard!$C$4,2,1),Transaksi!$B$16:$B$5015,"&lt;="&amp;EOMONTH(DATE(Dashboard!$C$4,2,1),0)))</f>
        <v/>
      </c>
      <c r="F119" s="165">
        <f>IF($C119="","",SUMIFS(Transaksi!$F$16:$F$5015,Transaksi!$G$16:$G$5015,$A119,Transaksi!$H$16:$H$5015,$B119,Transaksi!$I$16:$I$5015,$C119,Transaksi!$B$16:$B$5015,"&gt;="&amp;DATE(Dashboard!$C$4,3,1),Transaksi!$B$16:$B$5015,"&lt;="&amp;EOMONTH(DATE(Dashboard!$C$4,3,1),0)))</f>
        <v/>
      </c>
      <c r="G119" s="165">
        <f>IF($C119="","",SUMIFS(Transaksi!$F$16:$F$5015,Transaksi!$G$16:$G$5015,$A119,Transaksi!$H$16:$H$5015,$B119,Transaksi!$I$16:$I$5015,$C119,Transaksi!$B$16:$B$5015,"&gt;="&amp;DATE(Dashboard!$C$4,4,1),Transaksi!$B$16:$B$5015,"&lt;="&amp;EOMONTH(DATE(Dashboard!$C$4,4,1),0)))</f>
        <v/>
      </c>
      <c r="H119" s="165">
        <f>IF($C119="","",SUMIFS(Transaksi!$F$16:$F$5015,Transaksi!$G$16:$G$5015,$A119,Transaksi!$H$16:$H$5015,$B119,Transaksi!$I$16:$I$5015,$C119,Transaksi!$B$16:$B$5015,"&gt;="&amp;DATE(Dashboard!$C$4,5,1),Transaksi!$B$16:$B$5015,"&lt;="&amp;EOMONTH(DATE(Dashboard!$C$4,5,1),0)))</f>
        <v/>
      </c>
      <c r="I119" s="165">
        <f>IF($C119="","",SUMIFS(Transaksi!$F$16:$F$5015,Transaksi!$G$16:$G$5015,$A119,Transaksi!$H$16:$H$5015,$B119,Transaksi!$I$16:$I$5015,$C119,Transaksi!$B$16:$B$5015,"&gt;="&amp;DATE(Dashboard!$C$4,6,1),Transaksi!$B$16:$B$5015,"&lt;="&amp;EOMONTH(DATE(Dashboard!$C$4,6,1),0)))</f>
        <v/>
      </c>
      <c r="J119" s="165">
        <f>IF($C119="","",SUMIFS(Transaksi!$F$16:$F$5015,Transaksi!$G$16:$G$5015,$A119,Transaksi!$H$16:$H$5015,$B119,Transaksi!$I$16:$I$5015,$C119,Transaksi!$B$16:$B$5015,"&gt;="&amp;DATE(Dashboard!$C$4,7,1),Transaksi!$B$16:$B$5015,"&lt;="&amp;EOMONTH(DATE(Dashboard!$C$4,7,1),0)))</f>
        <v/>
      </c>
      <c r="K119" s="165">
        <f>IF($C119="","",SUMIFS(Transaksi!$F$16:$F$5015,Transaksi!$G$16:$G$5015,$A119,Transaksi!$H$16:$H$5015,$B119,Transaksi!$I$16:$I$5015,$C119,Transaksi!$B$16:$B$5015,"&gt;="&amp;DATE(Dashboard!$C$4,8,1),Transaksi!$B$16:$B$5015,"&lt;="&amp;EOMONTH(DATE(Dashboard!$C$4,8,1),0)))</f>
        <v/>
      </c>
      <c r="L119" s="165">
        <f>IF($C119="","",SUMIFS(Transaksi!$F$16:$F$5015,Transaksi!$G$16:$G$5015,$A119,Transaksi!$H$16:$H$5015,$B119,Transaksi!$I$16:$I$5015,$C119,Transaksi!$B$16:$B$5015,"&gt;="&amp;DATE(Dashboard!$C$4,9,1),Transaksi!$B$16:$B$5015,"&lt;="&amp;EOMONTH(DATE(Dashboard!$C$4,9,1),0)))</f>
        <v/>
      </c>
      <c r="M119" s="165">
        <f>IF($C119="","",SUMIFS(Transaksi!$F$16:$F$5015,Transaksi!$G$16:$G$5015,$A119,Transaksi!$H$16:$H$5015,$B119,Transaksi!$I$16:$I$5015,$C119,Transaksi!$B$16:$B$5015,"&gt;="&amp;DATE(Dashboard!$C$4,10,1),Transaksi!$B$16:$B$5015,"&lt;="&amp;EOMONTH(DATE(Dashboard!$C$4,10,1),0)))</f>
        <v/>
      </c>
      <c r="N119" s="165">
        <f>IF($C119="","",SUMIFS(Transaksi!$F$16:$F$5015,Transaksi!$G$16:$G$5015,$A119,Transaksi!$H$16:$H$5015,$B119,Transaksi!$I$16:$I$5015,$C119,Transaksi!$B$16:$B$5015,"&gt;="&amp;DATE(Dashboard!$C$4,11,1),Transaksi!$B$16:$B$5015,"&lt;="&amp;EOMONTH(DATE(Dashboard!$C$4,11,1),0)))</f>
        <v/>
      </c>
      <c r="O119" s="165">
        <f>IF($C119="","",SUMIFS(Transaksi!$F$16:$F$5015,Transaksi!$G$16:$G$5015,$A119,Transaksi!$H$16:$H$5015,$B119,Transaksi!$I$16:$I$5015,$C119,Transaksi!$B$16:$B$5015,"&gt;="&amp;DATE(Dashboard!$C$4,12,1),Transaksi!$B$16:$B$5015,"&lt;="&amp;EOMONTH(DATE(Dashboard!$C$4,12,1),0)))</f>
        <v/>
      </c>
      <c r="P119" s="166">
        <f>IF($C119="","",SUM(D119:O119))</f>
        <v/>
      </c>
    </row>
    <row r="120" ht="15" customHeight="1" s="94">
      <c r="A120" s="164">
        <f>IF(Kategori!C120="","",Kategori!A120)</f>
        <v/>
      </c>
      <c r="B120" s="164">
        <f>IF(Kategori!C120="","",Kategori!B120)</f>
        <v/>
      </c>
      <c r="C120" s="108">
        <f>IF(Kategori!C120="","",Kategori!C120)</f>
        <v/>
      </c>
      <c r="D120" s="165">
        <f>IF($C120="","",SUMIFS(Transaksi!$F$16:$F$5015,Transaksi!$G$16:$G$5015,$A120,Transaksi!$H$16:$H$5015,$B120,Transaksi!$I$16:$I$5015,$C120,Transaksi!$B$16:$B$5015,"&gt;="&amp;DATE(Dashboard!$C$4,1,1),Transaksi!$B$16:$B$5015,"&lt;="&amp;EOMONTH(DATE(Dashboard!$C$4,1,1),0)))</f>
        <v/>
      </c>
      <c r="E120" s="165">
        <f>IF($C120="","",SUMIFS(Transaksi!$F$16:$F$5015,Transaksi!$G$16:$G$5015,$A120,Transaksi!$H$16:$H$5015,$B120,Transaksi!$I$16:$I$5015,$C120,Transaksi!$B$16:$B$5015,"&gt;="&amp;DATE(Dashboard!$C$4,2,1),Transaksi!$B$16:$B$5015,"&lt;="&amp;EOMONTH(DATE(Dashboard!$C$4,2,1),0)))</f>
        <v/>
      </c>
      <c r="F120" s="165">
        <f>IF($C120="","",SUMIFS(Transaksi!$F$16:$F$5015,Transaksi!$G$16:$G$5015,$A120,Transaksi!$H$16:$H$5015,$B120,Transaksi!$I$16:$I$5015,$C120,Transaksi!$B$16:$B$5015,"&gt;="&amp;DATE(Dashboard!$C$4,3,1),Transaksi!$B$16:$B$5015,"&lt;="&amp;EOMONTH(DATE(Dashboard!$C$4,3,1),0)))</f>
        <v/>
      </c>
      <c r="G120" s="165">
        <f>IF($C120="","",SUMIFS(Transaksi!$F$16:$F$5015,Transaksi!$G$16:$G$5015,$A120,Transaksi!$H$16:$H$5015,$B120,Transaksi!$I$16:$I$5015,$C120,Transaksi!$B$16:$B$5015,"&gt;="&amp;DATE(Dashboard!$C$4,4,1),Transaksi!$B$16:$B$5015,"&lt;="&amp;EOMONTH(DATE(Dashboard!$C$4,4,1),0)))</f>
        <v/>
      </c>
      <c r="H120" s="165">
        <f>IF($C120="","",SUMIFS(Transaksi!$F$16:$F$5015,Transaksi!$G$16:$G$5015,$A120,Transaksi!$H$16:$H$5015,$B120,Transaksi!$I$16:$I$5015,$C120,Transaksi!$B$16:$B$5015,"&gt;="&amp;DATE(Dashboard!$C$4,5,1),Transaksi!$B$16:$B$5015,"&lt;="&amp;EOMONTH(DATE(Dashboard!$C$4,5,1),0)))</f>
        <v/>
      </c>
      <c r="I120" s="165">
        <f>IF($C120="","",SUMIFS(Transaksi!$F$16:$F$5015,Transaksi!$G$16:$G$5015,$A120,Transaksi!$H$16:$H$5015,$B120,Transaksi!$I$16:$I$5015,$C120,Transaksi!$B$16:$B$5015,"&gt;="&amp;DATE(Dashboard!$C$4,6,1),Transaksi!$B$16:$B$5015,"&lt;="&amp;EOMONTH(DATE(Dashboard!$C$4,6,1),0)))</f>
        <v/>
      </c>
      <c r="J120" s="165">
        <f>IF($C120="","",SUMIFS(Transaksi!$F$16:$F$5015,Transaksi!$G$16:$G$5015,$A120,Transaksi!$H$16:$H$5015,$B120,Transaksi!$I$16:$I$5015,$C120,Transaksi!$B$16:$B$5015,"&gt;="&amp;DATE(Dashboard!$C$4,7,1),Transaksi!$B$16:$B$5015,"&lt;="&amp;EOMONTH(DATE(Dashboard!$C$4,7,1),0)))</f>
        <v/>
      </c>
      <c r="K120" s="165">
        <f>IF($C120="","",SUMIFS(Transaksi!$F$16:$F$5015,Transaksi!$G$16:$G$5015,$A120,Transaksi!$H$16:$H$5015,$B120,Transaksi!$I$16:$I$5015,$C120,Transaksi!$B$16:$B$5015,"&gt;="&amp;DATE(Dashboard!$C$4,8,1),Transaksi!$B$16:$B$5015,"&lt;="&amp;EOMONTH(DATE(Dashboard!$C$4,8,1),0)))</f>
        <v/>
      </c>
      <c r="L120" s="165">
        <f>IF($C120="","",SUMIFS(Transaksi!$F$16:$F$5015,Transaksi!$G$16:$G$5015,$A120,Transaksi!$H$16:$H$5015,$B120,Transaksi!$I$16:$I$5015,$C120,Transaksi!$B$16:$B$5015,"&gt;="&amp;DATE(Dashboard!$C$4,9,1),Transaksi!$B$16:$B$5015,"&lt;="&amp;EOMONTH(DATE(Dashboard!$C$4,9,1),0)))</f>
        <v/>
      </c>
      <c r="M120" s="165">
        <f>IF($C120="","",SUMIFS(Transaksi!$F$16:$F$5015,Transaksi!$G$16:$G$5015,$A120,Transaksi!$H$16:$H$5015,$B120,Transaksi!$I$16:$I$5015,$C120,Transaksi!$B$16:$B$5015,"&gt;="&amp;DATE(Dashboard!$C$4,10,1),Transaksi!$B$16:$B$5015,"&lt;="&amp;EOMONTH(DATE(Dashboard!$C$4,10,1),0)))</f>
        <v/>
      </c>
      <c r="N120" s="165">
        <f>IF($C120="","",SUMIFS(Transaksi!$F$16:$F$5015,Transaksi!$G$16:$G$5015,$A120,Transaksi!$H$16:$H$5015,$B120,Transaksi!$I$16:$I$5015,$C120,Transaksi!$B$16:$B$5015,"&gt;="&amp;DATE(Dashboard!$C$4,11,1),Transaksi!$B$16:$B$5015,"&lt;="&amp;EOMONTH(DATE(Dashboard!$C$4,11,1),0)))</f>
        <v/>
      </c>
      <c r="O120" s="165">
        <f>IF($C120="","",SUMIFS(Transaksi!$F$16:$F$5015,Transaksi!$G$16:$G$5015,$A120,Transaksi!$H$16:$H$5015,$B120,Transaksi!$I$16:$I$5015,$C120,Transaksi!$B$16:$B$5015,"&gt;="&amp;DATE(Dashboard!$C$4,12,1),Transaksi!$B$16:$B$5015,"&lt;="&amp;EOMONTH(DATE(Dashboard!$C$4,12,1),0)))</f>
        <v/>
      </c>
      <c r="P120" s="166">
        <f>IF($C120="","",SUM(D120:O120))</f>
        <v/>
      </c>
    </row>
    <row r="121" ht="15" customHeight="1" s="94">
      <c r="A121" s="164">
        <f>IF(Kategori!C121="","",Kategori!A121)</f>
        <v/>
      </c>
      <c r="B121" s="164">
        <f>IF(Kategori!C121="","",Kategori!B121)</f>
        <v/>
      </c>
      <c r="C121" s="108">
        <f>IF(Kategori!C121="","",Kategori!C121)</f>
        <v/>
      </c>
      <c r="D121" s="165">
        <f>IF($C121="","",SUMIFS(Transaksi!$F$16:$F$5015,Transaksi!$G$16:$G$5015,$A121,Transaksi!$H$16:$H$5015,$B121,Transaksi!$I$16:$I$5015,$C121,Transaksi!$B$16:$B$5015,"&gt;="&amp;DATE(Dashboard!$C$4,1,1),Transaksi!$B$16:$B$5015,"&lt;="&amp;EOMONTH(DATE(Dashboard!$C$4,1,1),0)))</f>
        <v/>
      </c>
      <c r="E121" s="165">
        <f>IF($C121="","",SUMIFS(Transaksi!$F$16:$F$5015,Transaksi!$G$16:$G$5015,$A121,Transaksi!$H$16:$H$5015,$B121,Transaksi!$I$16:$I$5015,$C121,Transaksi!$B$16:$B$5015,"&gt;="&amp;DATE(Dashboard!$C$4,2,1),Transaksi!$B$16:$B$5015,"&lt;="&amp;EOMONTH(DATE(Dashboard!$C$4,2,1),0)))</f>
        <v/>
      </c>
      <c r="F121" s="165">
        <f>IF($C121="","",SUMIFS(Transaksi!$F$16:$F$5015,Transaksi!$G$16:$G$5015,$A121,Transaksi!$H$16:$H$5015,$B121,Transaksi!$I$16:$I$5015,$C121,Transaksi!$B$16:$B$5015,"&gt;="&amp;DATE(Dashboard!$C$4,3,1),Transaksi!$B$16:$B$5015,"&lt;="&amp;EOMONTH(DATE(Dashboard!$C$4,3,1),0)))</f>
        <v/>
      </c>
      <c r="G121" s="165">
        <f>IF($C121="","",SUMIFS(Transaksi!$F$16:$F$5015,Transaksi!$G$16:$G$5015,$A121,Transaksi!$H$16:$H$5015,$B121,Transaksi!$I$16:$I$5015,$C121,Transaksi!$B$16:$B$5015,"&gt;="&amp;DATE(Dashboard!$C$4,4,1),Transaksi!$B$16:$B$5015,"&lt;="&amp;EOMONTH(DATE(Dashboard!$C$4,4,1),0)))</f>
        <v/>
      </c>
      <c r="H121" s="165">
        <f>IF($C121="","",SUMIFS(Transaksi!$F$16:$F$5015,Transaksi!$G$16:$G$5015,$A121,Transaksi!$H$16:$H$5015,$B121,Transaksi!$I$16:$I$5015,$C121,Transaksi!$B$16:$B$5015,"&gt;="&amp;DATE(Dashboard!$C$4,5,1),Transaksi!$B$16:$B$5015,"&lt;="&amp;EOMONTH(DATE(Dashboard!$C$4,5,1),0)))</f>
        <v/>
      </c>
      <c r="I121" s="165">
        <f>IF($C121="","",SUMIFS(Transaksi!$F$16:$F$5015,Transaksi!$G$16:$G$5015,$A121,Transaksi!$H$16:$H$5015,$B121,Transaksi!$I$16:$I$5015,$C121,Transaksi!$B$16:$B$5015,"&gt;="&amp;DATE(Dashboard!$C$4,6,1),Transaksi!$B$16:$B$5015,"&lt;="&amp;EOMONTH(DATE(Dashboard!$C$4,6,1),0)))</f>
        <v/>
      </c>
      <c r="J121" s="165">
        <f>IF($C121="","",SUMIFS(Transaksi!$F$16:$F$5015,Transaksi!$G$16:$G$5015,$A121,Transaksi!$H$16:$H$5015,$B121,Transaksi!$I$16:$I$5015,$C121,Transaksi!$B$16:$B$5015,"&gt;="&amp;DATE(Dashboard!$C$4,7,1),Transaksi!$B$16:$B$5015,"&lt;="&amp;EOMONTH(DATE(Dashboard!$C$4,7,1),0)))</f>
        <v/>
      </c>
      <c r="K121" s="165">
        <f>IF($C121="","",SUMIFS(Transaksi!$F$16:$F$5015,Transaksi!$G$16:$G$5015,$A121,Transaksi!$H$16:$H$5015,$B121,Transaksi!$I$16:$I$5015,$C121,Transaksi!$B$16:$B$5015,"&gt;="&amp;DATE(Dashboard!$C$4,8,1),Transaksi!$B$16:$B$5015,"&lt;="&amp;EOMONTH(DATE(Dashboard!$C$4,8,1),0)))</f>
        <v/>
      </c>
      <c r="L121" s="165">
        <f>IF($C121="","",SUMIFS(Transaksi!$F$16:$F$5015,Transaksi!$G$16:$G$5015,$A121,Transaksi!$H$16:$H$5015,$B121,Transaksi!$I$16:$I$5015,$C121,Transaksi!$B$16:$B$5015,"&gt;="&amp;DATE(Dashboard!$C$4,9,1),Transaksi!$B$16:$B$5015,"&lt;="&amp;EOMONTH(DATE(Dashboard!$C$4,9,1),0)))</f>
        <v/>
      </c>
      <c r="M121" s="165">
        <f>IF($C121="","",SUMIFS(Transaksi!$F$16:$F$5015,Transaksi!$G$16:$G$5015,$A121,Transaksi!$H$16:$H$5015,$B121,Transaksi!$I$16:$I$5015,$C121,Transaksi!$B$16:$B$5015,"&gt;="&amp;DATE(Dashboard!$C$4,10,1),Transaksi!$B$16:$B$5015,"&lt;="&amp;EOMONTH(DATE(Dashboard!$C$4,10,1),0)))</f>
        <v/>
      </c>
      <c r="N121" s="165">
        <f>IF($C121="","",SUMIFS(Transaksi!$F$16:$F$5015,Transaksi!$G$16:$G$5015,$A121,Transaksi!$H$16:$H$5015,$B121,Transaksi!$I$16:$I$5015,$C121,Transaksi!$B$16:$B$5015,"&gt;="&amp;DATE(Dashboard!$C$4,11,1),Transaksi!$B$16:$B$5015,"&lt;="&amp;EOMONTH(DATE(Dashboard!$C$4,11,1),0)))</f>
        <v/>
      </c>
      <c r="O121" s="165">
        <f>IF($C121="","",SUMIFS(Transaksi!$F$16:$F$5015,Transaksi!$G$16:$G$5015,$A121,Transaksi!$H$16:$H$5015,$B121,Transaksi!$I$16:$I$5015,$C121,Transaksi!$B$16:$B$5015,"&gt;="&amp;DATE(Dashboard!$C$4,12,1),Transaksi!$B$16:$B$5015,"&lt;="&amp;EOMONTH(DATE(Dashboard!$C$4,12,1),0)))</f>
        <v/>
      </c>
      <c r="P121" s="166">
        <f>IF($C121="","",SUM(D121:O121))</f>
        <v/>
      </c>
    </row>
    <row r="122" ht="15" customHeight="1" s="94">
      <c r="A122" s="164">
        <f>IF(Kategori!C122="","",Kategori!A122)</f>
        <v/>
      </c>
      <c r="B122" s="164">
        <f>IF(Kategori!C122="","",Kategori!B122)</f>
        <v/>
      </c>
      <c r="C122" s="108">
        <f>IF(Kategori!C122="","",Kategori!C122)</f>
        <v/>
      </c>
      <c r="D122" s="165">
        <f>IF($C122="","",SUMIFS(Transaksi!$F$16:$F$5015,Transaksi!$G$16:$G$5015,$A122,Transaksi!$H$16:$H$5015,$B122,Transaksi!$I$16:$I$5015,$C122,Transaksi!$B$16:$B$5015,"&gt;="&amp;DATE(Dashboard!$C$4,1,1),Transaksi!$B$16:$B$5015,"&lt;="&amp;EOMONTH(DATE(Dashboard!$C$4,1,1),0)))</f>
        <v/>
      </c>
      <c r="E122" s="165">
        <f>IF($C122="","",SUMIFS(Transaksi!$F$16:$F$5015,Transaksi!$G$16:$G$5015,$A122,Transaksi!$H$16:$H$5015,$B122,Transaksi!$I$16:$I$5015,$C122,Transaksi!$B$16:$B$5015,"&gt;="&amp;DATE(Dashboard!$C$4,2,1),Transaksi!$B$16:$B$5015,"&lt;="&amp;EOMONTH(DATE(Dashboard!$C$4,2,1),0)))</f>
        <v/>
      </c>
      <c r="F122" s="165">
        <f>IF($C122="","",SUMIFS(Transaksi!$F$16:$F$5015,Transaksi!$G$16:$G$5015,$A122,Transaksi!$H$16:$H$5015,$B122,Transaksi!$I$16:$I$5015,$C122,Transaksi!$B$16:$B$5015,"&gt;="&amp;DATE(Dashboard!$C$4,3,1),Transaksi!$B$16:$B$5015,"&lt;="&amp;EOMONTH(DATE(Dashboard!$C$4,3,1),0)))</f>
        <v/>
      </c>
      <c r="G122" s="165">
        <f>IF($C122="","",SUMIFS(Transaksi!$F$16:$F$5015,Transaksi!$G$16:$G$5015,$A122,Transaksi!$H$16:$H$5015,$B122,Transaksi!$I$16:$I$5015,$C122,Transaksi!$B$16:$B$5015,"&gt;="&amp;DATE(Dashboard!$C$4,4,1),Transaksi!$B$16:$B$5015,"&lt;="&amp;EOMONTH(DATE(Dashboard!$C$4,4,1),0)))</f>
        <v/>
      </c>
      <c r="H122" s="165">
        <f>IF($C122="","",SUMIFS(Transaksi!$F$16:$F$5015,Transaksi!$G$16:$G$5015,$A122,Transaksi!$H$16:$H$5015,$B122,Transaksi!$I$16:$I$5015,$C122,Transaksi!$B$16:$B$5015,"&gt;="&amp;DATE(Dashboard!$C$4,5,1),Transaksi!$B$16:$B$5015,"&lt;="&amp;EOMONTH(DATE(Dashboard!$C$4,5,1),0)))</f>
        <v/>
      </c>
      <c r="I122" s="165">
        <f>IF($C122="","",SUMIFS(Transaksi!$F$16:$F$5015,Transaksi!$G$16:$G$5015,$A122,Transaksi!$H$16:$H$5015,$B122,Transaksi!$I$16:$I$5015,$C122,Transaksi!$B$16:$B$5015,"&gt;="&amp;DATE(Dashboard!$C$4,6,1),Transaksi!$B$16:$B$5015,"&lt;="&amp;EOMONTH(DATE(Dashboard!$C$4,6,1),0)))</f>
        <v/>
      </c>
      <c r="J122" s="165">
        <f>IF($C122="","",SUMIFS(Transaksi!$F$16:$F$5015,Transaksi!$G$16:$G$5015,$A122,Transaksi!$H$16:$H$5015,$B122,Transaksi!$I$16:$I$5015,$C122,Transaksi!$B$16:$B$5015,"&gt;="&amp;DATE(Dashboard!$C$4,7,1),Transaksi!$B$16:$B$5015,"&lt;="&amp;EOMONTH(DATE(Dashboard!$C$4,7,1),0)))</f>
        <v/>
      </c>
      <c r="K122" s="165">
        <f>IF($C122="","",SUMIFS(Transaksi!$F$16:$F$5015,Transaksi!$G$16:$G$5015,$A122,Transaksi!$H$16:$H$5015,$B122,Transaksi!$I$16:$I$5015,$C122,Transaksi!$B$16:$B$5015,"&gt;="&amp;DATE(Dashboard!$C$4,8,1),Transaksi!$B$16:$B$5015,"&lt;="&amp;EOMONTH(DATE(Dashboard!$C$4,8,1),0)))</f>
        <v/>
      </c>
      <c r="L122" s="165">
        <f>IF($C122="","",SUMIFS(Transaksi!$F$16:$F$5015,Transaksi!$G$16:$G$5015,$A122,Transaksi!$H$16:$H$5015,$B122,Transaksi!$I$16:$I$5015,$C122,Transaksi!$B$16:$B$5015,"&gt;="&amp;DATE(Dashboard!$C$4,9,1),Transaksi!$B$16:$B$5015,"&lt;="&amp;EOMONTH(DATE(Dashboard!$C$4,9,1),0)))</f>
        <v/>
      </c>
      <c r="M122" s="165">
        <f>IF($C122="","",SUMIFS(Transaksi!$F$16:$F$5015,Transaksi!$G$16:$G$5015,$A122,Transaksi!$H$16:$H$5015,$B122,Transaksi!$I$16:$I$5015,$C122,Transaksi!$B$16:$B$5015,"&gt;="&amp;DATE(Dashboard!$C$4,10,1),Transaksi!$B$16:$B$5015,"&lt;="&amp;EOMONTH(DATE(Dashboard!$C$4,10,1),0)))</f>
        <v/>
      </c>
      <c r="N122" s="165">
        <f>IF($C122="","",SUMIFS(Transaksi!$F$16:$F$5015,Transaksi!$G$16:$G$5015,$A122,Transaksi!$H$16:$H$5015,$B122,Transaksi!$I$16:$I$5015,$C122,Transaksi!$B$16:$B$5015,"&gt;="&amp;DATE(Dashboard!$C$4,11,1),Transaksi!$B$16:$B$5015,"&lt;="&amp;EOMONTH(DATE(Dashboard!$C$4,11,1),0)))</f>
        <v/>
      </c>
      <c r="O122" s="165">
        <f>IF($C122="","",SUMIFS(Transaksi!$F$16:$F$5015,Transaksi!$G$16:$G$5015,$A122,Transaksi!$H$16:$H$5015,$B122,Transaksi!$I$16:$I$5015,$C122,Transaksi!$B$16:$B$5015,"&gt;="&amp;DATE(Dashboard!$C$4,12,1),Transaksi!$B$16:$B$5015,"&lt;="&amp;EOMONTH(DATE(Dashboard!$C$4,12,1),0)))</f>
        <v/>
      </c>
      <c r="P122" s="166">
        <f>IF($C122="","",SUM(D122:O122))</f>
        <v/>
      </c>
    </row>
    <row r="123" ht="15" customHeight="1" s="94">
      <c r="A123" s="164">
        <f>IF(Kategori!C123="","",Kategori!A123)</f>
        <v/>
      </c>
      <c r="B123" s="164">
        <f>IF(Kategori!C123="","",Kategori!B123)</f>
        <v/>
      </c>
      <c r="C123" s="108">
        <f>IF(Kategori!C123="","",Kategori!C123)</f>
        <v/>
      </c>
      <c r="D123" s="165">
        <f>IF($C123="","",SUMIFS(Transaksi!$F$16:$F$5015,Transaksi!$G$16:$G$5015,$A123,Transaksi!$H$16:$H$5015,$B123,Transaksi!$I$16:$I$5015,$C123,Transaksi!$B$16:$B$5015,"&gt;="&amp;DATE(Dashboard!$C$4,1,1),Transaksi!$B$16:$B$5015,"&lt;="&amp;EOMONTH(DATE(Dashboard!$C$4,1,1),0)))</f>
        <v/>
      </c>
      <c r="E123" s="165">
        <f>IF($C123="","",SUMIFS(Transaksi!$F$16:$F$5015,Transaksi!$G$16:$G$5015,$A123,Transaksi!$H$16:$H$5015,$B123,Transaksi!$I$16:$I$5015,$C123,Transaksi!$B$16:$B$5015,"&gt;="&amp;DATE(Dashboard!$C$4,2,1),Transaksi!$B$16:$B$5015,"&lt;="&amp;EOMONTH(DATE(Dashboard!$C$4,2,1),0)))</f>
        <v/>
      </c>
      <c r="F123" s="165">
        <f>IF($C123="","",SUMIFS(Transaksi!$F$16:$F$5015,Transaksi!$G$16:$G$5015,$A123,Transaksi!$H$16:$H$5015,$B123,Transaksi!$I$16:$I$5015,$C123,Transaksi!$B$16:$B$5015,"&gt;="&amp;DATE(Dashboard!$C$4,3,1),Transaksi!$B$16:$B$5015,"&lt;="&amp;EOMONTH(DATE(Dashboard!$C$4,3,1),0)))</f>
        <v/>
      </c>
      <c r="G123" s="165">
        <f>IF($C123="","",SUMIFS(Transaksi!$F$16:$F$5015,Transaksi!$G$16:$G$5015,$A123,Transaksi!$H$16:$H$5015,$B123,Transaksi!$I$16:$I$5015,$C123,Transaksi!$B$16:$B$5015,"&gt;="&amp;DATE(Dashboard!$C$4,4,1),Transaksi!$B$16:$B$5015,"&lt;="&amp;EOMONTH(DATE(Dashboard!$C$4,4,1),0)))</f>
        <v/>
      </c>
      <c r="H123" s="165">
        <f>IF($C123="","",SUMIFS(Transaksi!$F$16:$F$5015,Transaksi!$G$16:$G$5015,$A123,Transaksi!$H$16:$H$5015,$B123,Transaksi!$I$16:$I$5015,$C123,Transaksi!$B$16:$B$5015,"&gt;="&amp;DATE(Dashboard!$C$4,5,1),Transaksi!$B$16:$B$5015,"&lt;="&amp;EOMONTH(DATE(Dashboard!$C$4,5,1),0)))</f>
        <v/>
      </c>
      <c r="I123" s="165">
        <f>IF($C123="","",SUMIFS(Transaksi!$F$16:$F$5015,Transaksi!$G$16:$G$5015,$A123,Transaksi!$H$16:$H$5015,$B123,Transaksi!$I$16:$I$5015,$C123,Transaksi!$B$16:$B$5015,"&gt;="&amp;DATE(Dashboard!$C$4,6,1),Transaksi!$B$16:$B$5015,"&lt;="&amp;EOMONTH(DATE(Dashboard!$C$4,6,1),0)))</f>
        <v/>
      </c>
      <c r="J123" s="165">
        <f>IF($C123="","",SUMIFS(Transaksi!$F$16:$F$5015,Transaksi!$G$16:$G$5015,$A123,Transaksi!$H$16:$H$5015,$B123,Transaksi!$I$16:$I$5015,$C123,Transaksi!$B$16:$B$5015,"&gt;="&amp;DATE(Dashboard!$C$4,7,1),Transaksi!$B$16:$B$5015,"&lt;="&amp;EOMONTH(DATE(Dashboard!$C$4,7,1),0)))</f>
        <v/>
      </c>
      <c r="K123" s="165">
        <f>IF($C123="","",SUMIFS(Transaksi!$F$16:$F$5015,Transaksi!$G$16:$G$5015,$A123,Transaksi!$H$16:$H$5015,$B123,Transaksi!$I$16:$I$5015,$C123,Transaksi!$B$16:$B$5015,"&gt;="&amp;DATE(Dashboard!$C$4,8,1),Transaksi!$B$16:$B$5015,"&lt;="&amp;EOMONTH(DATE(Dashboard!$C$4,8,1),0)))</f>
        <v/>
      </c>
      <c r="L123" s="165">
        <f>IF($C123="","",SUMIFS(Transaksi!$F$16:$F$5015,Transaksi!$G$16:$G$5015,$A123,Transaksi!$H$16:$H$5015,$B123,Transaksi!$I$16:$I$5015,$C123,Transaksi!$B$16:$B$5015,"&gt;="&amp;DATE(Dashboard!$C$4,9,1),Transaksi!$B$16:$B$5015,"&lt;="&amp;EOMONTH(DATE(Dashboard!$C$4,9,1),0)))</f>
        <v/>
      </c>
      <c r="M123" s="165">
        <f>IF($C123="","",SUMIFS(Transaksi!$F$16:$F$5015,Transaksi!$G$16:$G$5015,$A123,Transaksi!$H$16:$H$5015,$B123,Transaksi!$I$16:$I$5015,$C123,Transaksi!$B$16:$B$5015,"&gt;="&amp;DATE(Dashboard!$C$4,10,1),Transaksi!$B$16:$B$5015,"&lt;="&amp;EOMONTH(DATE(Dashboard!$C$4,10,1),0)))</f>
        <v/>
      </c>
      <c r="N123" s="165">
        <f>IF($C123="","",SUMIFS(Transaksi!$F$16:$F$5015,Transaksi!$G$16:$G$5015,$A123,Transaksi!$H$16:$H$5015,$B123,Transaksi!$I$16:$I$5015,$C123,Transaksi!$B$16:$B$5015,"&gt;="&amp;DATE(Dashboard!$C$4,11,1),Transaksi!$B$16:$B$5015,"&lt;="&amp;EOMONTH(DATE(Dashboard!$C$4,11,1),0)))</f>
        <v/>
      </c>
      <c r="O123" s="165">
        <f>IF($C123="","",SUMIFS(Transaksi!$F$16:$F$5015,Transaksi!$G$16:$G$5015,$A123,Transaksi!$H$16:$H$5015,$B123,Transaksi!$I$16:$I$5015,$C123,Transaksi!$B$16:$B$5015,"&gt;="&amp;DATE(Dashboard!$C$4,12,1),Transaksi!$B$16:$B$5015,"&lt;="&amp;EOMONTH(DATE(Dashboard!$C$4,12,1),0)))</f>
        <v/>
      </c>
      <c r="P123" s="166">
        <f>IF($C123="","",SUM(D123:O123))</f>
        <v/>
      </c>
    </row>
    <row r="124" ht="15" customHeight="1" s="94">
      <c r="A124" s="164">
        <f>IF(Kategori!C124="","",Kategori!A124)</f>
        <v/>
      </c>
      <c r="B124" s="164">
        <f>IF(Kategori!C124="","",Kategori!B124)</f>
        <v/>
      </c>
      <c r="C124" s="108">
        <f>IF(Kategori!C124="","",Kategori!C124)</f>
        <v/>
      </c>
      <c r="D124" s="165">
        <f>IF($C124="","",SUMIFS(Transaksi!$F$16:$F$5015,Transaksi!$G$16:$G$5015,$A124,Transaksi!$H$16:$H$5015,$B124,Transaksi!$I$16:$I$5015,$C124,Transaksi!$B$16:$B$5015,"&gt;="&amp;DATE(Dashboard!$C$4,1,1),Transaksi!$B$16:$B$5015,"&lt;="&amp;EOMONTH(DATE(Dashboard!$C$4,1,1),0)))</f>
        <v/>
      </c>
      <c r="E124" s="165">
        <f>IF($C124="","",SUMIFS(Transaksi!$F$16:$F$5015,Transaksi!$G$16:$G$5015,$A124,Transaksi!$H$16:$H$5015,$B124,Transaksi!$I$16:$I$5015,$C124,Transaksi!$B$16:$B$5015,"&gt;="&amp;DATE(Dashboard!$C$4,2,1),Transaksi!$B$16:$B$5015,"&lt;="&amp;EOMONTH(DATE(Dashboard!$C$4,2,1),0)))</f>
        <v/>
      </c>
      <c r="F124" s="165">
        <f>IF($C124="","",SUMIFS(Transaksi!$F$16:$F$5015,Transaksi!$G$16:$G$5015,$A124,Transaksi!$H$16:$H$5015,$B124,Transaksi!$I$16:$I$5015,$C124,Transaksi!$B$16:$B$5015,"&gt;="&amp;DATE(Dashboard!$C$4,3,1),Transaksi!$B$16:$B$5015,"&lt;="&amp;EOMONTH(DATE(Dashboard!$C$4,3,1),0)))</f>
        <v/>
      </c>
      <c r="G124" s="165">
        <f>IF($C124="","",SUMIFS(Transaksi!$F$16:$F$5015,Transaksi!$G$16:$G$5015,$A124,Transaksi!$H$16:$H$5015,$B124,Transaksi!$I$16:$I$5015,$C124,Transaksi!$B$16:$B$5015,"&gt;="&amp;DATE(Dashboard!$C$4,4,1),Transaksi!$B$16:$B$5015,"&lt;="&amp;EOMONTH(DATE(Dashboard!$C$4,4,1),0)))</f>
        <v/>
      </c>
      <c r="H124" s="165">
        <f>IF($C124="","",SUMIFS(Transaksi!$F$16:$F$5015,Transaksi!$G$16:$G$5015,$A124,Transaksi!$H$16:$H$5015,$B124,Transaksi!$I$16:$I$5015,$C124,Transaksi!$B$16:$B$5015,"&gt;="&amp;DATE(Dashboard!$C$4,5,1),Transaksi!$B$16:$B$5015,"&lt;="&amp;EOMONTH(DATE(Dashboard!$C$4,5,1),0)))</f>
        <v/>
      </c>
      <c r="I124" s="165">
        <f>IF($C124="","",SUMIFS(Transaksi!$F$16:$F$5015,Transaksi!$G$16:$G$5015,$A124,Transaksi!$H$16:$H$5015,$B124,Transaksi!$I$16:$I$5015,$C124,Transaksi!$B$16:$B$5015,"&gt;="&amp;DATE(Dashboard!$C$4,6,1),Transaksi!$B$16:$B$5015,"&lt;="&amp;EOMONTH(DATE(Dashboard!$C$4,6,1),0)))</f>
        <v/>
      </c>
      <c r="J124" s="165">
        <f>IF($C124="","",SUMIFS(Transaksi!$F$16:$F$5015,Transaksi!$G$16:$G$5015,$A124,Transaksi!$H$16:$H$5015,$B124,Transaksi!$I$16:$I$5015,$C124,Transaksi!$B$16:$B$5015,"&gt;="&amp;DATE(Dashboard!$C$4,7,1),Transaksi!$B$16:$B$5015,"&lt;="&amp;EOMONTH(DATE(Dashboard!$C$4,7,1),0)))</f>
        <v/>
      </c>
      <c r="K124" s="165">
        <f>IF($C124="","",SUMIFS(Transaksi!$F$16:$F$5015,Transaksi!$G$16:$G$5015,$A124,Transaksi!$H$16:$H$5015,$B124,Transaksi!$I$16:$I$5015,$C124,Transaksi!$B$16:$B$5015,"&gt;="&amp;DATE(Dashboard!$C$4,8,1),Transaksi!$B$16:$B$5015,"&lt;="&amp;EOMONTH(DATE(Dashboard!$C$4,8,1),0)))</f>
        <v/>
      </c>
      <c r="L124" s="165">
        <f>IF($C124="","",SUMIFS(Transaksi!$F$16:$F$5015,Transaksi!$G$16:$G$5015,$A124,Transaksi!$H$16:$H$5015,$B124,Transaksi!$I$16:$I$5015,$C124,Transaksi!$B$16:$B$5015,"&gt;="&amp;DATE(Dashboard!$C$4,9,1),Transaksi!$B$16:$B$5015,"&lt;="&amp;EOMONTH(DATE(Dashboard!$C$4,9,1),0)))</f>
        <v/>
      </c>
      <c r="M124" s="165">
        <f>IF($C124="","",SUMIFS(Transaksi!$F$16:$F$5015,Transaksi!$G$16:$G$5015,$A124,Transaksi!$H$16:$H$5015,$B124,Transaksi!$I$16:$I$5015,$C124,Transaksi!$B$16:$B$5015,"&gt;="&amp;DATE(Dashboard!$C$4,10,1),Transaksi!$B$16:$B$5015,"&lt;="&amp;EOMONTH(DATE(Dashboard!$C$4,10,1),0)))</f>
        <v/>
      </c>
      <c r="N124" s="165">
        <f>IF($C124="","",SUMIFS(Transaksi!$F$16:$F$5015,Transaksi!$G$16:$G$5015,$A124,Transaksi!$H$16:$H$5015,$B124,Transaksi!$I$16:$I$5015,$C124,Transaksi!$B$16:$B$5015,"&gt;="&amp;DATE(Dashboard!$C$4,11,1),Transaksi!$B$16:$B$5015,"&lt;="&amp;EOMONTH(DATE(Dashboard!$C$4,11,1),0)))</f>
        <v/>
      </c>
      <c r="O124" s="165">
        <f>IF($C124="","",SUMIFS(Transaksi!$F$16:$F$5015,Transaksi!$G$16:$G$5015,$A124,Transaksi!$H$16:$H$5015,$B124,Transaksi!$I$16:$I$5015,$C124,Transaksi!$B$16:$B$5015,"&gt;="&amp;DATE(Dashboard!$C$4,12,1),Transaksi!$B$16:$B$5015,"&lt;="&amp;EOMONTH(DATE(Dashboard!$C$4,12,1),0)))</f>
        <v/>
      </c>
      <c r="P124" s="166">
        <f>IF($C124="","",SUM(D124:O124))</f>
        <v/>
      </c>
    </row>
    <row r="125" ht="15" customHeight="1" s="94">
      <c r="A125" s="164">
        <f>IF(Kategori!C125="","",Kategori!A125)</f>
        <v/>
      </c>
      <c r="B125" s="164">
        <f>IF(Kategori!C125="","",Kategori!B125)</f>
        <v/>
      </c>
      <c r="C125" s="108">
        <f>IF(Kategori!C125="","",Kategori!C125)</f>
        <v/>
      </c>
      <c r="D125" s="165">
        <f>IF($C125="","",SUMIFS(Transaksi!$F$16:$F$5015,Transaksi!$G$16:$G$5015,$A125,Transaksi!$H$16:$H$5015,$B125,Transaksi!$I$16:$I$5015,$C125,Transaksi!$B$16:$B$5015,"&gt;="&amp;DATE(Dashboard!$C$4,1,1),Transaksi!$B$16:$B$5015,"&lt;="&amp;EOMONTH(DATE(Dashboard!$C$4,1,1),0)))</f>
        <v/>
      </c>
      <c r="E125" s="165">
        <f>IF($C125="","",SUMIFS(Transaksi!$F$16:$F$5015,Transaksi!$G$16:$G$5015,$A125,Transaksi!$H$16:$H$5015,$B125,Transaksi!$I$16:$I$5015,$C125,Transaksi!$B$16:$B$5015,"&gt;="&amp;DATE(Dashboard!$C$4,2,1),Transaksi!$B$16:$B$5015,"&lt;="&amp;EOMONTH(DATE(Dashboard!$C$4,2,1),0)))</f>
        <v/>
      </c>
      <c r="F125" s="165">
        <f>IF($C125="","",SUMIFS(Transaksi!$F$16:$F$5015,Transaksi!$G$16:$G$5015,$A125,Transaksi!$H$16:$H$5015,$B125,Transaksi!$I$16:$I$5015,$C125,Transaksi!$B$16:$B$5015,"&gt;="&amp;DATE(Dashboard!$C$4,3,1),Transaksi!$B$16:$B$5015,"&lt;="&amp;EOMONTH(DATE(Dashboard!$C$4,3,1),0)))</f>
        <v/>
      </c>
      <c r="G125" s="165">
        <f>IF($C125="","",SUMIFS(Transaksi!$F$16:$F$5015,Transaksi!$G$16:$G$5015,$A125,Transaksi!$H$16:$H$5015,$B125,Transaksi!$I$16:$I$5015,$C125,Transaksi!$B$16:$B$5015,"&gt;="&amp;DATE(Dashboard!$C$4,4,1),Transaksi!$B$16:$B$5015,"&lt;="&amp;EOMONTH(DATE(Dashboard!$C$4,4,1),0)))</f>
        <v/>
      </c>
      <c r="H125" s="165">
        <f>IF($C125="","",SUMIFS(Transaksi!$F$16:$F$5015,Transaksi!$G$16:$G$5015,$A125,Transaksi!$H$16:$H$5015,$B125,Transaksi!$I$16:$I$5015,$C125,Transaksi!$B$16:$B$5015,"&gt;="&amp;DATE(Dashboard!$C$4,5,1),Transaksi!$B$16:$B$5015,"&lt;="&amp;EOMONTH(DATE(Dashboard!$C$4,5,1),0)))</f>
        <v/>
      </c>
      <c r="I125" s="165">
        <f>IF($C125="","",SUMIFS(Transaksi!$F$16:$F$5015,Transaksi!$G$16:$G$5015,$A125,Transaksi!$H$16:$H$5015,$B125,Transaksi!$I$16:$I$5015,$C125,Transaksi!$B$16:$B$5015,"&gt;="&amp;DATE(Dashboard!$C$4,6,1),Transaksi!$B$16:$B$5015,"&lt;="&amp;EOMONTH(DATE(Dashboard!$C$4,6,1),0)))</f>
        <v/>
      </c>
      <c r="J125" s="165">
        <f>IF($C125="","",SUMIFS(Transaksi!$F$16:$F$5015,Transaksi!$G$16:$G$5015,$A125,Transaksi!$H$16:$H$5015,$B125,Transaksi!$I$16:$I$5015,$C125,Transaksi!$B$16:$B$5015,"&gt;="&amp;DATE(Dashboard!$C$4,7,1),Transaksi!$B$16:$B$5015,"&lt;="&amp;EOMONTH(DATE(Dashboard!$C$4,7,1),0)))</f>
        <v/>
      </c>
      <c r="K125" s="165">
        <f>IF($C125="","",SUMIFS(Transaksi!$F$16:$F$5015,Transaksi!$G$16:$G$5015,$A125,Transaksi!$H$16:$H$5015,$B125,Transaksi!$I$16:$I$5015,$C125,Transaksi!$B$16:$B$5015,"&gt;="&amp;DATE(Dashboard!$C$4,8,1),Transaksi!$B$16:$B$5015,"&lt;="&amp;EOMONTH(DATE(Dashboard!$C$4,8,1),0)))</f>
        <v/>
      </c>
      <c r="L125" s="165">
        <f>IF($C125="","",SUMIFS(Transaksi!$F$16:$F$5015,Transaksi!$G$16:$G$5015,$A125,Transaksi!$H$16:$H$5015,$B125,Transaksi!$I$16:$I$5015,$C125,Transaksi!$B$16:$B$5015,"&gt;="&amp;DATE(Dashboard!$C$4,9,1),Transaksi!$B$16:$B$5015,"&lt;="&amp;EOMONTH(DATE(Dashboard!$C$4,9,1),0)))</f>
        <v/>
      </c>
      <c r="M125" s="165">
        <f>IF($C125="","",SUMIFS(Transaksi!$F$16:$F$5015,Transaksi!$G$16:$G$5015,$A125,Transaksi!$H$16:$H$5015,$B125,Transaksi!$I$16:$I$5015,$C125,Transaksi!$B$16:$B$5015,"&gt;="&amp;DATE(Dashboard!$C$4,10,1),Transaksi!$B$16:$B$5015,"&lt;="&amp;EOMONTH(DATE(Dashboard!$C$4,10,1),0)))</f>
        <v/>
      </c>
      <c r="N125" s="165">
        <f>IF($C125="","",SUMIFS(Transaksi!$F$16:$F$5015,Transaksi!$G$16:$G$5015,$A125,Transaksi!$H$16:$H$5015,$B125,Transaksi!$I$16:$I$5015,$C125,Transaksi!$B$16:$B$5015,"&gt;="&amp;DATE(Dashboard!$C$4,11,1),Transaksi!$B$16:$B$5015,"&lt;="&amp;EOMONTH(DATE(Dashboard!$C$4,11,1),0)))</f>
        <v/>
      </c>
      <c r="O125" s="165">
        <f>IF($C125="","",SUMIFS(Transaksi!$F$16:$F$5015,Transaksi!$G$16:$G$5015,$A125,Transaksi!$H$16:$H$5015,$B125,Transaksi!$I$16:$I$5015,$C125,Transaksi!$B$16:$B$5015,"&gt;="&amp;DATE(Dashboard!$C$4,12,1),Transaksi!$B$16:$B$5015,"&lt;="&amp;EOMONTH(DATE(Dashboard!$C$4,12,1),0)))</f>
        <v/>
      </c>
      <c r="P125" s="166">
        <f>IF($C125="","",SUM(D125:O125))</f>
        <v/>
      </c>
    </row>
    <row r="126" ht="15" customHeight="1" s="94">
      <c r="A126" s="164">
        <f>IF(Kategori!C126="","",Kategori!A126)</f>
        <v/>
      </c>
      <c r="B126" s="164">
        <f>IF(Kategori!C126="","",Kategori!B126)</f>
        <v/>
      </c>
      <c r="C126" s="108">
        <f>IF(Kategori!C126="","",Kategori!C126)</f>
        <v/>
      </c>
      <c r="D126" s="165">
        <f>IF($C126="","",SUMIFS(Transaksi!$F$16:$F$5015,Transaksi!$G$16:$G$5015,$A126,Transaksi!$H$16:$H$5015,$B126,Transaksi!$I$16:$I$5015,$C126,Transaksi!$B$16:$B$5015,"&gt;="&amp;DATE(Dashboard!$C$4,1,1),Transaksi!$B$16:$B$5015,"&lt;="&amp;EOMONTH(DATE(Dashboard!$C$4,1,1),0)))</f>
        <v/>
      </c>
      <c r="E126" s="165">
        <f>IF($C126="","",SUMIFS(Transaksi!$F$16:$F$5015,Transaksi!$G$16:$G$5015,$A126,Transaksi!$H$16:$H$5015,$B126,Transaksi!$I$16:$I$5015,$C126,Transaksi!$B$16:$B$5015,"&gt;="&amp;DATE(Dashboard!$C$4,2,1),Transaksi!$B$16:$B$5015,"&lt;="&amp;EOMONTH(DATE(Dashboard!$C$4,2,1),0)))</f>
        <v/>
      </c>
      <c r="F126" s="165">
        <f>IF($C126="","",SUMIFS(Transaksi!$F$16:$F$5015,Transaksi!$G$16:$G$5015,$A126,Transaksi!$H$16:$H$5015,$B126,Transaksi!$I$16:$I$5015,$C126,Transaksi!$B$16:$B$5015,"&gt;="&amp;DATE(Dashboard!$C$4,3,1),Transaksi!$B$16:$B$5015,"&lt;="&amp;EOMONTH(DATE(Dashboard!$C$4,3,1),0)))</f>
        <v/>
      </c>
      <c r="G126" s="165">
        <f>IF($C126="","",SUMIFS(Transaksi!$F$16:$F$5015,Transaksi!$G$16:$G$5015,$A126,Transaksi!$H$16:$H$5015,$B126,Transaksi!$I$16:$I$5015,$C126,Transaksi!$B$16:$B$5015,"&gt;="&amp;DATE(Dashboard!$C$4,4,1),Transaksi!$B$16:$B$5015,"&lt;="&amp;EOMONTH(DATE(Dashboard!$C$4,4,1),0)))</f>
        <v/>
      </c>
      <c r="H126" s="165">
        <f>IF($C126="","",SUMIFS(Transaksi!$F$16:$F$5015,Transaksi!$G$16:$G$5015,$A126,Transaksi!$H$16:$H$5015,$B126,Transaksi!$I$16:$I$5015,$C126,Transaksi!$B$16:$B$5015,"&gt;="&amp;DATE(Dashboard!$C$4,5,1),Transaksi!$B$16:$B$5015,"&lt;="&amp;EOMONTH(DATE(Dashboard!$C$4,5,1),0)))</f>
        <v/>
      </c>
      <c r="I126" s="165">
        <f>IF($C126="","",SUMIFS(Transaksi!$F$16:$F$5015,Transaksi!$G$16:$G$5015,$A126,Transaksi!$H$16:$H$5015,$B126,Transaksi!$I$16:$I$5015,$C126,Transaksi!$B$16:$B$5015,"&gt;="&amp;DATE(Dashboard!$C$4,6,1),Transaksi!$B$16:$B$5015,"&lt;="&amp;EOMONTH(DATE(Dashboard!$C$4,6,1),0)))</f>
        <v/>
      </c>
      <c r="J126" s="165">
        <f>IF($C126="","",SUMIFS(Transaksi!$F$16:$F$5015,Transaksi!$G$16:$G$5015,$A126,Transaksi!$H$16:$H$5015,$B126,Transaksi!$I$16:$I$5015,$C126,Transaksi!$B$16:$B$5015,"&gt;="&amp;DATE(Dashboard!$C$4,7,1),Transaksi!$B$16:$B$5015,"&lt;="&amp;EOMONTH(DATE(Dashboard!$C$4,7,1),0)))</f>
        <v/>
      </c>
      <c r="K126" s="165">
        <f>IF($C126="","",SUMIFS(Transaksi!$F$16:$F$5015,Transaksi!$G$16:$G$5015,$A126,Transaksi!$H$16:$H$5015,$B126,Transaksi!$I$16:$I$5015,$C126,Transaksi!$B$16:$B$5015,"&gt;="&amp;DATE(Dashboard!$C$4,8,1),Transaksi!$B$16:$B$5015,"&lt;="&amp;EOMONTH(DATE(Dashboard!$C$4,8,1),0)))</f>
        <v/>
      </c>
      <c r="L126" s="165">
        <f>IF($C126="","",SUMIFS(Transaksi!$F$16:$F$5015,Transaksi!$G$16:$G$5015,$A126,Transaksi!$H$16:$H$5015,$B126,Transaksi!$I$16:$I$5015,$C126,Transaksi!$B$16:$B$5015,"&gt;="&amp;DATE(Dashboard!$C$4,9,1),Transaksi!$B$16:$B$5015,"&lt;="&amp;EOMONTH(DATE(Dashboard!$C$4,9,1),0)))</f>
        <v/>
      </c>
      <c r="M126" s="165">
        <f>IF($C126="","",SUMIFS(Transaksi!$F$16:$F$5015,Transaksi!$G$16:$G$5015,$A126,Transaksi!$H$16:$H$5015,$B126,Transaksi!$I$16:$I$5015,$C126,Transaksi!$B$16:$B$5015,"&gt;="&amp;DATE(Dashboard!$C$4,10,1),Transaksi!$B$16:$B$5015,"&lt;="&amp;EOMONTH(DATE(Dashboard!$C$4,10,1),0)))</f>
        <v/>
      </c>
      <c r="N126" s="165">
        <f>IF($C126="","",SUMIFS(Transaksi!$F$16:$F$5015,Transaksi!$G$16:$G$5015,$A126,Transaksi!$H$16:$H$5015,$B126,Transaksi!$I$16:$I$5015,$C126,Transaksi!$B$16:$B$5015,"&gt;="&amp;DATE(Dashboard!$C$4,11,1),Transaksi!$B$16:$B$5015,"&lt;="&amp;EOMONTH(DATE(Dashboard!$C$4,11,1),0)))</f>
        <v/>
      </c>
      <c r="O126" s="165">
        <f>IF($C126="","",SUMIFS(Transaksi!$F$16:$F$5015,Transaksi!$G$16:$G$5015,$A126,Transaksi!$H$16:$H$5015,$B126,Transaksi!$I$16:$I$5015,$C126,Transaksi!$B$16:$B$5015,"&gt;="&amp;DATE(Dashboard!$C$4,12,1),Transaksi!$B$16:$B$5015,"&lt;="&amp;EOMONTH(DATE(Dashboard!$C$4,12,1),0)))</f>
        <v/>
      </c>
      <c r="P126" s="166">
        <f>IF($C126="","",SUM(D126:O126))</f>
        <v/>
      </c>
    </row>
    <row r="127" ht="15" customHeight="1" s="94">
      <c r="A127" s="164">
        <f>IF(Kategori!C127="","",Kategori!A127)</f>
        <v/>
      </c>
      <c r="B127" s="164">
        <f>IF(Kategori!C127="","",Kategori!B127)</f>
        <v/>
      </c>
      <c r="C127" s="108">
        <f>IF(Kategori!C127="","",Kategori!C127)</f>
        <v/>
      </c>
      <c r="D127" s="165">
        <f>IF($C127="","",SUMIFS(Transaksi!$F$16:$F$5015,Transaksi!$G$16:$G$5015,$A127,Transaksi!$H$16:$H$5015,$B127,Transaksi!$I$16:$I$5015,$C127,Transaksi!$B$16:$B$5015,"&gt;="&amp;DATE(Dashboard!$C$4,1,1),Transaksi!$B$16:$B$5015,"&lt;="&amp;EOMONTH(DATE(Dashboard!$C$4,1,1),0)))</f>
        <v/>
      </c>
      <c r="E127" s="165">
        <f>IF($C127="","",SUMIFS(Transaksi!$F$16:$F$5015,Transaksi!$G$16:$G$5015,$A127,Transaksi!$H$16:$H$5015,$B127,Transaksi!$I$16:$I$5015,$C127,Transaksi!$B$16:$B$5015,"&gt;="&amp;DATE(Dashboard!$C$4,2,1),Transaksi!$B$16:$B$5015,"&lt;="&amp;EOMONTH(DATE(Dashboard!$C$4,2,1),0)))</f>
        <v/>
      </c>
      <c r="F127" s="165">
        <f>IF($C127="","",SUMIFS(Transaksi!$F$16:$F$5015,Transaksi!$G$16:$G$5015,$A127,Transaksi!$H$16:$H$5015,$B127,Transaksi!$I$16:$I$5015,$C127,Transaksi!$B$16:$B$5015,"&gt;="&amp;DATE(Dashboard!$C$4,3,1),Transaksi!$B$16:$B$5015,"&lt;="&amp;EOMONTH(DATE(Dashboard!$C$4,3,1),0)))</f>
        <v/>
      </c>
      <c r="G127" s="165">
        <f>IF($C127="","",SUMIFS(Transaksi!$F$16:$F$5015,Transaksi!$G$16:$G$5015,$A127,Transaksi!$H$16:$H$5015,$B127,Transaksi!$I$16:$I$5015,$C127,Transaksi!$B$16:$B$5015,"&gt;="&amp;DATE(Dashboard!$C$4,4,1),Transaksi!$B$16:$B$5015,"&lt;="&amp;EOMONTH(DATE(Dashboard!$C$4,4,1),0)))</f>
        <v/>
      </c>
      <c r="H127" s="165">
        <f>IF($C127="","",SUMIFS(Transaksi!$F$16:$F$5015,Transaksi!$G$16:$G$5015,$A127,Transaksi!$H$16:$H$5015,$B127,Transaksi!$I$16:$I$5015,$C127,Transaksi!$B$16:$B$5015,"&gt;="&amp;DATE(Dashboard!$C$4,5,1),Transaksi!$B$16:$B$5015,"&lt;="&amp;EOMONTH(DATE(Dashboard!$C$4,5,1),0)))</f>
        <v/>
      </c>
      <c r="I127" s="165">
        <f>IF($C127="","",SUMIFS(Transaksi!$F$16:$F$5015,Transaksi!$G$16:$G$5015,$A127,Transaksi!$H$16:$H$5015,$B127,Transaksi!$I$16:$I$5015,$C127,Transaksi!$B$16:$B$5015,"&gt;="&amp;DATE(Dashboard!$C$4,6,1),Transaksi!$B$16:$B$5015,"&lt;="&amp;EOMONTH(DATE(Dashboard!$C$4,6,1),0)))</f>
        <v/>
      </c>
      <c r="J127" s="165">
        <f>IF($C127="","",SUMIFS(Transaksi!$F$16:$F$5015,Transaksi!$G$16:$G$5015,$A127,Transaksi!$H$16:$H$5015,$B127,Transaksi!$I$16:$I$5015,$C127,Transaksi!$B$16:$B$5015,"&gt;="&amp;DATE(Dashboard!$C$4,7,1),Transaksi!$B$16:$B$5015,"&lt;="&amp;EOMONTH(DATE(Dashboard!$C$4,7,1),0)))</f>
        <v/>
      </c>
      <c r="K127" s="165">
        <f>IF($C127="","",SUMIFS(Transaksi!$F$16:$F$5015,Transaksi!$G$16:$G$5015,$A127,Transaksi!$H$16:$H$5015,$B127,Transaksi!$I$16:$I$5015,$C127,Transaksi!$B$16:$B$5015,"&gt;="&amp;DATE(Dashboard!$C$4,8,1),Transaksi!$B$16:$B$5015,"&lt;="&amp;EOMONTH(DATE(Dashboard!$C$4,8,1),0)))</f>
        <v/>
      </c>
      <c r="L127" s="165">
        <f>IF($C127="","",SUMIFS(Transaksi!$F$16:$F$5015,Transaksi!$G$16:$G$5015,$A127,Transaksi!$H$16:$H$5015,$B127,Transaksi!$I$16:$I$5015,$C127,Transaksi!$B$16:$B$5015,"&gt;="&amp;DATE(Dashboard!$C$4,9,1),Transaksi!$B$16:$B$5015,"&lt;="&amp;EOMONTH(DATE(Dashboard!$C$4,9,1),0)))</f>
        <v/>
      </c>
      <c r="M127" s="165">
        <f>IF($C127="","",SUMIFS(Transaksi!$F$16:$F$5015,Transaksi!$G$16:$G$5015,$A127,Transaksi!$H$16:$H$5015,$B127,Transaksi!$I$16:$I$5015,$C127,Transaksi!$B$16:$B$5015,"&gt;="&amp;DATE(Dashboard!$C$4,10,1),Transaksi!$B$16:$B$5015,"&lt;="&amp;EOMONTH(DATE(Dashboard!$C$4,10,1),0)))</f>
        <v/>
      </c>
      <c r="N127" s="165">
        <f>IF($C127="","",SUMIFS(Transaksi!$F$16:$F$5015,Transaksi!$G$16:$G$5015,$A127,Transaksi!$H$16:$H$5015,$B127,Transaksi!$I$16:$I$5015,$C127,Transaksi!$B$16:$B$5015,"&gt;="&amp;DATE(Dashboard!$C$4,11,1),Transaksi!$B$16:$B$5015,"&lt;="&amp;EOMONTH(DATE(Dashboard!$C$4,11,1),0)))</f>
        <v/>
      </c>
      <c r="O127" s="165">
        <f>IF($C127="","",SUMIFS(Transaksi!$F$16:$F$5015,Transaksi!$G$16:$G$5015,$A127,Transaksi!$H$16:$H$5015,$B127,Transaksi!$I$16:$I$5015,$C127,Transaksi!$B$16:$B$5015,"&gt;="&amp;DATE(Dashboard!$C$4,12,1),Transaksi!$B$16:$B$5015,"&lt;="&amp;EOMONTH(DATE(Dashboard!$C$4,12,1),0)))</f>
        <v/>
      </c>
      <c r="P127" s="166">
        <f>IF($C127="","",SUM(D127:O127))</f>
        <v/>
      </c>
    </row>
    <row r="128" ht="15" customHeight="1" s="94">
      <c r="A128" s="164">
        <f>IF(Kategori!C128="","",Kategori!A128)</f>
        <v/>
      </c>
      <c r="B128" s="164">
        <f>IF(Kategori!C128="","",Kategori!B128)</f>
        <v/>
      </c>
      <c r="C128" s="108">
        <f>IF(Kategori!C128="","",Kategori!C128)</f>
        <v/>
      </c>
      <c r="D128" s="165">
        <f>IF($C128="","",SUMIFS(Transaksi!$F$16:$F$5015,Transaksi!$G$16:$G$5015,$A128,Transaksi!$H$16:$H$5015,$B128,Transaksi!$I$16:$I$5015,$C128,Transaksi!$B$16:$B$5015,"&gt;="&amp;DATE(Dashboard!$C$4,1,1),Transaksi!$B$16:$B$5015,"&lt;="&amp;EOMONTH(DATE(Dashboard!$C$4,1,1),0)))</f>
        <v/>
      </c>
      <c r="E128" s="165">
        <f>IF($C128="","",SUMIFS(Transaksi!$F$16:$F$5015,Transaksi!$G$16:$G$5015,$A128,Transaksi!$H$16:$H$5015,$B128,Transaksi!$I$16:$I$5015,$C128,Transaksi!$B$16:$B$5015,"&gt;="&amp;DATE(Dashboard!$C$4,2,1),Transaksi!$B$16:$B$5015,"&lt;="&amp;EOMONTH(DATE(Dashboard!$C$4,2,1),0)))</f>
        <v/>
      </c>
      <c r="F128" s="165">
        <f>IF($C128="","",SUMIFS(Transaksi!$F$16:$F$5015,Transaksi!$G$16:$G$5015,$A128,Transaksi!$H$16:$H$5015,$B128,Transaksi!$I$16:$I$5015,$C128,Transaksi!$B$16:$B$5015,"&gt;="&amp;DATE(Dashboard!$C$4,3,1),Transaksi!$B$16:$B$5015,"&lt;="&amp;EOMONTH(DATE(Dashboard!$C$4,3,1),0)))</f>
        <v/>
      </c>
      <c r="G128" s="165">
        <f>IF($C128="","",SUMIFS(Transaksi!$F$16:$F$5015,Transaksi!$G$16:$G$5015,$A128,Transaksi!$H$16:$H$5015,$B128,Transaksi!$I$16:$I$5015,$C128,Transaksi!$B$16:$B$5015,"&gt;="&amp;DATE(Dashboard!$C$4,4,1),Transaksi!$B$16:$B$5015,"&lt;="&amp;EOMONTH(DATE(Dashboard!$C$4,4,1),0)))</f>
        <v/>
      </c>
      <c r="H128" s="165">
        <f>IF($C128="","",SUMIFS(Transaksi!$F$16:$F$5015,Transaksi!$G$16:$G$5015,$A128,Transaksi!$H$16:$H$5015,$B128,Transaksi!$I$16:$I$5015,$C128,Transaksi!$B$16:$B$5015,"&gt;="&amp;DATE(Dashboard!$C$4,5,1),Transaksi!$B$16:$B$5015,"&lt;="&amp;EOMONTH(DATE(Dashboard!$C$4,5,1),0)))</f>
        <v/>
      </c>
      <c r="I128" s="165">
        <f>IF($C128="","",SUMIFS(Transaksi!$F$16:$F$5015,Transaksi!$G$16:$G$5015,$A128,Transaksi!$H$16:$H$5015,$B128,Transaksi!$I$16:$I$5015,$C128,Transaksi!$B$16:$B$5015,"&gt;="&amp;DATE(Dashboard!$C$4,6,1),Transaksi!$B$16:$B$5015,"&lt;="&amp;EOMONTH(DATE(Dashboard!$C$4,6,1),0)))</f>
        <v/>
      </c>
      <c r="J128" s="165">
        <f>IF($C128="","",SUMIFS(Transaksi!$F$16:$F$5015,Transaksi!$G$16:$G$5015,$A128,Transaksi!$H$16:$H$5015,$B128,Transaksi!$I$16:$I$5015,$C128,Transaksi!$B$16:$B$5015,"&gt;="&amp;DATE(Dashboard!$C$4,7,1),Transaksi!$B$16:$B$5015,"&lt;="&amp;EOMONTH(DATE(Dashboard!$C$4,7,1),0)))</f>
        <v/>
      </c>
      <c r="K128" s="165">
        <f>IF($C128="","",SUMIFS(Transaksi!$F$16:$F$5015,Transaksi!$G$16:$G$5015,$A128,Transaksi!$H$16:$H$5015,$B128,Transaksi!$I$16:$I$5015,$C128,Transaksi!$B$16:$B$5015,"&gt;="&amp;DATE(Dashboard!$C$4,8,1),Transaksi!$B$16:$B$5015,"&lt;="&amp;EOMONTH(DATE(Dashboard!$C$4,8,1),0)))</f>
        <v/>
      </c>
      <c r="L128" s="165">
        <f>IF($C128="","",SUMIFS(Transaksi!$F$16:$F$5015,Transaksi!$G$16:$G$5015,$A128,Transaksi!$H$16:$H$5015,$B128,Transaksi!$I$16:$I$5015,$C128,Transaksi!$B$16:$B$5015,"&gt;="&amp;DATE(Dashboard!$C$4,9,1),Transaksi!$B$16:$B$5015,"&lt;="&amp;EOMONTH(DATE(Dashboard!$C$4,9,1),0)))</f>
        <v/>
      </c>
      <c r="M128" s="165">
        <f>IF($C128="","",SUMIFS(Transaksi!$F$16:$F$5015,Transaksi!$G$16:$G$5015,$A128,Transaksi!$H$16:$H$5015,$B128,Transaksi!$I$16:$I$5015,$C128,Transaksi!$B$16:$B$5015,"&gt;="&amp;DATE(Dashboard!$C$4,10,1),Transaksi!$B$16:$B$5015,"&lt;="&amp;EOMONTH(DATE(Dashboard!$C$4,10,1),0)))</f>
        <v/>
      </c>
      <c r="N128" s="165">
        <f>IF($C128="","",SUMIFS(Transaksi!$F$16:$F$5015,Transaksi!$G$16:$G$5015,$A128,Transaksi!$H$16:$H$5015,$B128,Transaksi!$I$16:$I$5015,$C128,Transaksi!$B$16:$B$5015,"&gt;="&amp;DATE(Dashboard!$C$4,11,1),Transaksi!$B$16:$B$5015,"&lt;="&amp;EOMONTH(DATE(Dashboard!$C$4,11,1),0)))</f>
        <v/>
      </c>
      <c r="O128" s="165">
        <f>IF($C128="","",SUMIFS(Transaksi!$F$16:$F$5015,Transaksi!$G$16:$G$5015,$A128,Transaksi!$H$16:$H$5015,$B128,Transaksi!$I$16:$I$5015,$C128,Transaksi!$B$16:$B$5015,"&gt;="&amp;DATE(Dashboard!$C$4,12,1),Transaksi!$B$16:$B$5015,"&lt;="&amp;EOMONTH(DATE(Dashboard!$C$4,12,1),0)))</f>
        <v/>
      </c>
      <c r="P128" s="166">
        <f>IF($C128="","",SUM(D128:O128))</f>
        <v/>
      </c>
    </row>
    <row r="129" ht="15" customHeight="1" s="94">
      <c r="A129" s="164">
        <f>IF(Kategori!C129="","",Kategori!A129)</f>
        <v/>
      </c>
      <c r="B129" s="164">
        <f>IF(Kategori!C129="","",Kategori!B129)</f>
        <v/>
      </c>
      <c r="C129" s="108">
        <f>IF(Kategori!C129="","",Kategori!C129)</f>
        <v/>
      </c>
      <c r="D129" s="165">
        <f>IF($C129="","",SUMIFS(Transaksi!$F$16:$F$5015,Transaksi!$G$16:$G$5015,$A129,Transaksi!$H$16:$H$5015,$B129,Transaksi!$I$16:$I$5015,$C129,Transaksi!$B$16:$B$5015,"&gt;="&amp;DATE(Dashboard!$C$4,1,1),Transaksi!$B$16:$B$5015,"&lt;="&amp;EOMONTH(DATE(Dashboard!$C$4,1,1),0)))</f>
        <v/>
      </c>
      <c r="E129" s="165">
        <f>IF($C129="","",SUMIFS(Transaksi!$F$16:$F$5015,Transaksi!$G$16:$G$5015,$A129,Transaksi!$H$16:$H$5015,$B129,Transaksi!$I$16:$I$5015,$C129,Transaksi!$B$16:$B$5015,"&gt;="&amp;DATE(Dashboard!$C$4,2,1),Transaksi!$B$16:$B$5015,"&lt;="&amp;EOMONTH(DATE(Dashboard!$C$4,2,1),0)))</f>
        <v/>
      </c>
      <c r="F129" s="165">
        <f>IF($C129="","",SUMIFS(Transaksi!$F$16:$F$5015,Transaksi!$G$16:$G$5015,$A129,Transaksi!$H$16:$H$5015,$B129,Transaksi!$I$16:$I$5015,$C129,Transaksi!$B$16:$B$5015,"&gt;="&amp;DATE(Dashboard!$C$4,3,1),Transaksi!$B$16:$B$5015,"&lt;="&amp;EOMONTH(DATE(Dashboard!$C$4,3,1),0)))</f>
        <v/>
      </c>
      <c r="G129" s="165">
        <f>IF($C129="","",SUMIFS(Transaksi!$F$16:$F$5015,Transaksi!$G$16:$G$5015,$A129,Transaksi!$H$16:$H$5015,$B129,Transaksi!$I$16:$I$5015,$C129,Transaksi!$B$16:$B$5015,"&gt;="&amp;DATE(Dashboard!$C$4,4,1),Transaksi!$B$16:$B$5015,"&lt;="&amp;EOMONTH(DATE(Dashboard!$C$4,4,1),0)))</f>
        <v/>
      </c>
      <c r="H129" s="165">
        <f>IF($C129="","",SUMIFS(Transaksi!$F$16:$F$5015,Transaksi!$G$16:$G$5015,$A129,Transaksi!$H$16:$H$5015,$B129,Transaksi!$I$16:$I$5015,$C129,Transaksi!$B$16:$B$5015,"&gt;="&amp;DATE(Dashboard!$C$4,5,1),Transaksi!$B$16:$B$5015,"&lt;="&amp;EOMONTH(DATE(Dashboard!$C$4,5,1),0)))</f>
        <v/>
      </c>
      <c r="I129" s="165">
        <f>IF($C129="","",SUMIFS(Transaksi!$F$16:$F$5015,Transaksi!$G$16:$G$5015,$A129,Transaksi!$H$16:$H$5015,$B129,Transaksi!$I$16:$I$5015,$C129,Transaksi!$B$16:$B$5015,"&gt;="&amp;DATE(Dashboard!$C$4,6,1),Transaksi!$B$16:$B$5015,"&lt;="&amp;EOMONTH(DATE(Dashboard!$C$4,6,1),0)))</f>
        <v/>
      </c>
      <c r="J129" s="165">
        <f>IF($C129="","",SUMIFS(Transaksi!$F$16:$F$5015,Transaksi!$G$16:$G$5015,$A129,Transaksi!$H$16:$H$5015,$B129,Transaksi!$I$16:$I$5015,$C129,Transaksi!$B$16:$B$5015,"&gt;="&amp;DATE(Dashboard!$C$4,7,1),Transaksi!$B$16:$B$5015,"&lt;="&amp;EOMONTH(DATE(Dashboard!$C$4,7,1),0)))</f>
        <v/>
      </c>
      <c r="K129" s="165">
        <f>IF($C129="","",SUMIFS(Transaksi!$F$16:$F$5015,Transaksi!$G$16:$G$5015,$A129,Transaksi!$H$16:$H$5015,$B129,Transaksi!$I$16:$I$5015,$C129,Transaksi!$B$16:$B$5015,"&gt;="&amp;DATE(Dashboard!$C$4,8,1),Transaksi!$B$16:$B$5015,"&lt;="&amp;EOMONTH(DATE(Dashboard!$C$4,8,1),0)))</f>
        <v/>
      </c>
      <c r="L129" s="165">
        <f>IF($C129="","",SUMIFS(Transaksi!$F$16:$F$5015,Transaksi!$G$16:$G$5015,$A129,Transaksi!$H$16:$H$5015,$B129,Transaksi!$I$16:$I$5015,$C129,Transaksi!$B$16:$B$5015,"&gt;="&amp;DATE(Dashboard!$C$4,9,1),Transaksi!$B$16:$B$5015,"&lt;="&amp;EOMONTH(DATE(Dashboard!$C$4,9,1),0)))</f>
        <v/>
      </c>
      <c r="M129" s="165">
        <f>IF($C129="","",SUMIFS(Transaksi!$F$16:$F$5015,Transaksi!$G$16:$G$5015,$A129,Transaksi!$H$16:$H$5015,$B129,Transaksi!$I$16:$I$5015,$C129,Transaksi!$B$16:$B$5015,"&gt;="&amp;DATE(Dashboard!$C$4,10,1),Transaksi!$B$16:$B$5015,"&lt;="&amp;EOMONTH(DATE(Dashboard!$C$4,10,1),0)))</f>
        <v/>
      </c>
      <c r="N129" s="165">
        <f>IF($C129="","",SUMIFS(Transaksi!$F$16:$F$5015,Transaksi!$G$16:$G$5015,$A129,Transaksi!$H$16:$H$5015,$B129,Transaksi!$I$16:$I$5015,$C129,Transaksi!$B$16:$B$5015,"&gt;="&amp;DATE(Dashboard!$C$4,11,1),Transaksi!$B$16:$B$5015,"&lt;="&amp;EOMONTH(DATE(Dashboard!$C$4,11,1),0)))</f>
        <v/>
      </c>
      <c r="O129" s="165">
        <f>IF($C129="","",SUMIFS(Transaksi!$F$16:$F$5015,Transaksi!$G$16:$G$5015,$A129,Transaksi!$H$16:$H$5015,$B129,Transaksi!$I$16:$I$5015,$C129,Transaksi!$B$16:$B$5015,"&gt;="&amp;DATE(Dashboard!$C$4,12,1),Transaksi!$B$16:$B$5015,"&lt;="&amp;EOMONTH(DATE(Dashboard!$C$4,12,1),0)))</f>
        <v/>
      </c>
      <c r="P129" s="166">
        <f>IF($C129="","",SUM(D129:O129))</f>
        <v/>
      </c>
    </row>
    <row r="130" ht="15" customHeight="1" s="94">
      <c r="A130" s="164">
        <f>IF(Kategori!C130="","",Kategori!A130)</f>
        <v/>
      </c>
      <c r="B130" s="164">
        <f>IF(Kategori!C130="","",Kategori!B130)</f>
        <v/>
      </c>
      <c r="C130" s="108">
        <f>IF(Kategori!C130="","",Kategori!C130)</f>
        <v/>
      </c>
      <c r="D130" s="165">
        <f>IF($C130="","",SUMIFS(Transaksi!$F$16:$F$5015,Transaksi!$G$16:$G$5015,$A130,Transaksi!$H$16:$H$5015,$B130,Transaksi!$I$16:$I$5015,$C130,Transaksi!$B$16:$B$5015,"&gt;="&amp;DATE(Dashboard!$C$4,1,1),Transaksi!$B$16:$B$5015,"&lt;="&amp;EOMONTH(DATE(Dashboard!$C$4,1,1),0)))</f>
        <v/>
      </c>
      <c r="E130" s="165">
        <f>IF($C130="","",SUMIFS(Transaksi!$F$16:$F$5015,Transaksi!$G$16:$G$5015,$A130,Transaksi!$H$16:$H$5015,$B130,Transaksi!$I$16:$I$5015,$C130,Transaksi!$B$16:$B$5015,"&gt;="&amp;DATE(Dashboard!$C$4,2,1),Transaksi!$B$16:$B$5015,"&lt;="&amp;EOMONTH(DATE(Dashboard!$C$4,2,1),0)))</f>
        <v/>
      </c>
      <c r="F130" s="165">
        <f>IF($C130="","",SUMIFS(Transaksi!$F$16:$F$5015,Transaksi!$G$16:$G$5015,$A130,Transaksi!$H$16:$H$5015,$B130,Transaksi!$I$16:$I$5015,$C130,Transaksi!$B$16:$B$5015,"&gt;="&amp;DATE(Dashboard!$C$4,3,1),Transaksi!$B$16:$B$5015,"&lt;="&amp;EOMONTH(DATE(Dashboard!$C$4,3,1),0)))</f>
        <v/>
      </c>
      <c r="G130" s="165">
        <f>IF($C130="","",SUMIFS(Transaksi!$F$16:$F$5015,Transaksi!$G$16:$G$5015,$A130,Transaksi!$H$16:$H$5015,$B130,Transaksi!$I$16:$I$5015,$C130,Transaksi!$B$16:$B$5015,"&gt;="&amp;DATE(Dashboard!$C$4,4,1),Transaksi!$B$16:$B$5015,"&lt;="&amp;EOMONTH(DATE(Dashboard!$C$4,4,1),0)))</f>
        <v/>
      </c>
      <c r="H130" s="165">
        <f>IF($C130="","",SUMIFS(Transaksi!$F$16:$F$5015,Transaksi!$G$16:$G$5015,$A130,Transaksi!$H$16:$H$5015,$B130,Transaksi!$I$16:$I$5015,$C130,Transaksi!$B$16:$B$5015,"&gt;="&amp;DATE(Dashboard!$C$4,5,1),Transaksi!$B$16:$B$5015,"&lt;="&amp;EOMONTH(DATE(Dashboard!$C$4,5,1),0)))</f>
        <v/>
      </c>
      <c r="I130" s="165">
        <f>IF($C130="","",SUMIFS(Transaksi!$F$16:$F$5015,Transaksi!$G$16:$G$5015,$A130,Transaksi!$H$16:$H$5015,$B130,Transaksi!$I$16:$I$5015,$C130,Transaksi!$B$16:$B$5015,"&gt;="&amp;DATE(Dashboard!$C$4,6,1),Transaksi!$B$16:$B$5015,"&lt;="&amp;EOMONTH(DATE(Dashboard!$C$4,6,1),0)))</f>
        <v/>
      </c>
      <c r="J130" s="165">
        <f>IF($C130="","",SUMIFS(Transaksi!$F$16:$F$5015,Transaksi!$G$16:$G$5015,$A130,Transaksi!$H$16:$H$5015,$B130,Transaksi!$I$16:$I$5015,$C130,Transaksi!$B$16:$B$5015,"&gt;="&amp;DATE(Dashboard!$C$4,7,1),Transaksi!$B$16:$B$5015,"&lt;="&amp;EOMONTH(DATE(Dashboard!$C$4,7,1),0)))</f>
        <v/>
      </c>
      <c r="K130" s="165">
        <f>IF($C130="","",SUMIFS(Transaksi!$F$16:$F$5015,Transaksi!$G$16:$G$5015,$A130,Transaksi!$H$16:$H$5015,$B130,Transaksi!$I$16:$I$5015,$C130,Transaksi!$B$16:$B$5015,"&gt;="&amp;DATE(Dashboard!$C$4,8,1),Transaksi!$B$16:$B$5015,"&lt;="&amp;EOMONTH(DATE(Dashboard!$C$4,8,1),0)))</f>
        <v/>
      </c>
      <c r="L130" s="165">
        <f>IF($C130="","",SUMIFS(Transaksi!$F$16:$F$5015,Transaksi!$G$16:$G$5015,$A130,Transaksi!$H$16:$H$5015,$B130,Transaksi!$I$16:$I$5015,$C130,Transaksi!$B$16:$B$5015,"&gt;="&amp;DATE(Dashboard!$C$4,9,1),Transaksi!$B$16:$B$5015,"&lt;="&amp;EOMONTH(DATE(Dashboard!$C$4,9,1),0)))</f>
        <v/>
      </c>
      <c r="M130" s="165">
        <f>IF($C130="","",SUMIFS(Transaksi!$F$16:$F$5015,Transaksi!$G$16:$G$5015,$A130,Transaksi!$H$16:$H$5015,$B130,Transaksi!$I$16:$I$5015,$C130,Transaksi!$B$16:$B$5015,"&gt;="&amp;DATE(Dashboard!$C$4,10,1),Transaksi!$B$16:$B$5015,"&lt;="&amp;EOMONTH(DATE(Dashboard!$C$4,10,1),0)))</f>
        <v/>
      </c>
      <c r="N130" s="165">
        <f>IF($C130="","",SUMIFS(Transaksi!$F$16:$F$5015,Transaksi!$G$16:$G$5015,$A130,Transaksi!$H$16:$H$5015,$B130,Transaksi!$I$16:$I$5015,$C130,Transaksi!$B$16:$B$5015,"&gt;="&amp;DATE(Dashboard!$C$4,11,1),Transaksi!$B$16:$B$5015,"&lt;="&amp;EOMONTH(DATE(Dashboard!$C$4,11,1),0)))</f>
        <v/>
      </c>
      <c r="O130" s="165">
        <f>IF($C130="","",SUMIFS(Transaksi!$F$16:$F$5015,Transaksi!$G$16:$G$5015,$A130,Transaksi!$H$16:$H$5015,$B130,Transaksi!$I$16:$I$5015,$C130,Transaksi!$B$16:$B$5015,"&gt;="&amp;DATE(Dashboard!$C$4,12,1),Transaksi!$B$16:$B$5015,"&lt;="&amp;EOMONTH(DATE(Dashboard!$C$4,12,1),0)))</f>
        <v/>
      </c>
      <c r="P130" s="166">
        <f>IF($C130="","",SUM(D130:O130))</f>
        <v/>
      </c>
    </row>
    <row r="131" ht="15" customHeight="1" s="94">
      <c r="A131" s="164">
        <f>IF(Kategori!C131="","",Kategori!A131)</f>
        <v/>
      </c>
      <c r="B131" s="164">
        <f>IF(Kategori!C131="","",Kategori!B131)</f>
        <v/>
      </c>
      <c r="C131" s="108">
        <f>IF(Kategori!C131="","",Kategori!C131)</f>
        <v/>
      </c>
      <c r="D131" s="165">
        <f>IF($C131="","",SUMIFS(Transaksi!$F$16:$F$5015,Transaksi!$G$16:$G$5015,$A131,Transaksi!$H$16:$H$5015,$B131,Transaksi!$I$16:$I$5015,$C131,Transaksi!$B$16:$B$5015,"&gt;="&amp;DATE(Dashboard!$C$4,1,1),Transaksi!$B$16:$B$5015,"&lt;="&amp;EOMONTH(DATE(Dashboard!$C$4,1,1),0)))</f>
        <v/>
      </c>
      <c r="E131" s="165">
        <f>IF($C131="","",SUMIFS(Transaksi!$F$16:$F$5015,Transaksi!$G$16:$G$5015,$A131,Transaksi!$H$16:$H$5015,$B131,Transaksi!$I$16:$I$5015,$C131,Transaksi!$B$16:$B$5015,"&gt;="&amp;DATE(Dashboard!$C$4,2,1),Transaksi!$B$16:$B$5015,"&lt;="&amp;EOMONTH(DATE(Dashboard!$C$4,2,1),0)))</f>
        <v/>
      </c>
      <c r="F131" s="165">
        <f>IF($C131="","",SUMIFS(Transaksi!$F$16:$F$5015,Transaksi!$G$16:$G$5015,$A131,Transaksi!$H$16:$H$5015,$B131,Transaksi!$I$16:$I$5015,$C131,Transaksi!$B$16:$B$5015,"&gt;="&amp;DATE(Dashboard!$C$4,3,1),Transaksi!$B$16:$B$5015,"&lt;="&amp;EOMONTH(DATE(Dashboard!$C$4,3,1),0)))</f>
        <v/>
      </c>
      <c r="G131" s="165">
        <f>IF($C131="","",SUMIFS(Transaksi!$F$16:$F$5015,Transaksi!$G$16:$G$5015,$A131,Transaksi!$H$16:$H$5015,$B131,Transaksi!$I$16:$I$5015,$C131,Transaksi!$B$16:$B$5015,"&gt;="&amp;DATE(Dashboard!$C$4,4,1),Transaksi!$B$16:$B$5015,"&lt;="&amp;EOMONTH(DATE(Dashboard!$C$4,4,1),0)))</f>
        <v/>
      </c>
      <c r="H131" s="165">
        <f>IF($C131="","",SUMIFS(Transaksi!$F$16:$F$5015,Transaksi!$G$16:$G$5015,$A131,Transaksi!$H$16:$H$5015,$B131,Transaksi!$I$16:$I$5015,$C131,Transaksi!$B$16:$B$5015,"&gt;="&amp;DATE(Dashboard!$C$4,5,1),Transaksi!$B$16:$B$5015,"&lt;="&amp;EOMONTH(DATE(Dashboard!$C$4,5,1),0)))</f>
        <v/>
      </c>
      <c r="I131" s="165">
        <f>IF($C131="","",SUMIFS(Transaksi!$F$16:$F$5015,Transaksi!$G$16:$G$5015,$A131,Transaksi!$H$16:$H$5015,$B131,Transaksi!$I$16:$I$5015,$C131,Transaksi!$B$16:$B$5015,"&gt;="&amp;DATE(Dashboard!$C$4,6,1),Transaksi!$B$16:$B$5015,"&lt;="&amp;EOMONTH(DATE(Dashboard!$C$4,6,1),0)))</f>
        <v/>
      </c>
      <c r="J131" s="165">
        <f>IF($C131="","",SUMIFS(Transaksi!$F$16:$F$5015,Transaksi!$G$16:$G$5015,$A131,Transaksi!$H$16:$H$5015,$B131,Transaksi!$I$16:$I$5015,$C131,Transaksi!$B$16:$B$5015,"&gt;="&amp;DATE(Dashboard!$C$4,7,1),Transaksi!$B$16:$B$5015,"&lt;="&amp;EOMONTH(DATE(Dashboard!$C$4,7,1),0)))</f>
        <v/>
      </c>
      <c r="K131" s="165">
        <f>IF($C131="","",SUMIFS(Transaksi!$F$16:$F$5015,Transaksi!$G$16:$G$5015,$A131,Transaksi!$H$16:$H$5015,$B131,Transaksi!$I$16:$I$5015,$C131,Transaksi!$B$16:$B$5015,"&gt;="&amp;DATE(Dashboard!$C$4,8,1),Transaksi!$B$16:$B$5015,"&lt;="&amp;EOMONTH(DATE(Dashboard!$C$4,8,1),0)))</f>
        <v/>
      </c>
      <c r="L131" s="165">
        <f>IF($C131="","",SUMIFS(Transaksi!$F$16:$F$5015,Transaksi!$G$16:$G$5015,$A131,Transaksi!$H$16:$H$5015,$B131,Transaksi!$I$16:$I$5015,$C131,Transaksi!$B$16:$B$5015,"&gt;="&amp;DATE(Dashboard!$C$4,9,1),Transaksi!$B$16:$B$5015,"&lt;="&amp;EOMONTH(DATE(Dashboard!$C$4,9,1),0)))</f>
        <v/>
      </c>
      <c r="M131" s="165">
        <f>IF($C131="","",SUMIFS(Transaksi!$F$16:$F$5015,Transaksi!$G$16:$G$5015,$A131,Transaksi!$H$16:$H$5015,$B131,Transaksi!$I$16:$I$5015,$C131,Transaksi!$B$16:$B$5015,"&gt;="&amp;DATE(Dashboard!$C$4,10,1),Transaksi!$B$16:$B$5015,"&lt;="&amp;EOMONTH(DATE(Dashboard!$C$4,10,1),0)))</f>
        <v/>
      </c>
      <c r="N131" s="165">
        <f>IF($C131="","",SUMIFS(Transaksi!$F$16:$F$5015,Transaksi!$G$16:$G$5015,$A131,Transaksi!$H$16:$H$5015,$B131,Transaksi!$I$16:$I$5015,$C131,Transaksi!$B$16:$B$5015,"&gt;="&amp;DATE(Dashboard!$C$4,11,1),Transaksi!$B$16:$B$5015,"&lt;="&amp;EOMONTH(DATE(Dashboard!$C$4,11,1),0)))</f>
        <v/>
      </c>
      <c r="O131" s="165">
        <f>IF($C131="","",SUMIFS(Transaksi!$F$16:$F$5015,Transaksi!$G$16:$G$5015,$A131,Transaksi!$H$16:$H$5015,$B131,Transaksi!$I$16:$I$5015,$C131,Transaksi!$B$16:$B$5015,"&gt;="&amp;DATE(Dashboard!$C$4,12,1),Transaksi!$B$16:$B$5015,"&lt;="&amp;EOMONTH(DATE(Dashboard!$C$4,12,1),0)))</f>
        <v/>
      </c>
      <c r="P131" s="166">
        <f>IF($C131="","",SUM(D131:O131))</f>
        <v/>
      </c>
    </row>
    <row r="132" ht="15" customHeight="1" s="94">
      <c r="A132" s="164">
        <f>IF(Kategori!C132="","",Kategori!A132)</f>
        <v/>
      </c>
      <c r="B132" s="164">
        <f>IF(Kategori!C132="","",Kategori!B132)</f>
        <v/>
      </c>
      <c r="C132" s="108">
        <f>IF(Kategori!C132="","",Kategori!C132)</f>
        <v/>
      </c>
      <c r="D132" s="165">
        <f>IF($C132="","",SUMIFS(Transaksi!$F$16:$F$5015,Transaksi!$G$16:$G$5015,$A132,Transaksi!$H$16:$H$5015,$B132,Transaksi!$I$16:$I$5015,$C132,Transaksi!$B$16:$B$5015,"&gt;="&amp;DATE(Dashboard!$C$4,1,1),Transaksi!$B$16:$B$5015,"&lt;="&amp;EOMONTH(DATE(Dashboard!$C$4,1,1),0)))</f>
        <v/>
      </c>
      <c r="E132" s="165">
        <f>IF($C132="","",SUMIFS(Transaksi!$F$16:$F$5015,Transaksi!$G$16:$G$5015,$A132,Transaksi!$H$16:$H$5015,$B132,Transaksi!$I$16:$I$5015,$C132,Transaksi!$B$16:$B$5015,"&gt;="&amp;DATE(Dashboard!$C$4,2,1),Transaksi!$B$16:$B$5015,"&lt;="&amp;EOMONTH(DATE(Dashboard!$C$4,2,1),0)))</f>
        <v/>
      </c>
      <c r="F132" s="165">
        <f>IF($C132="","",SUMIFS(Transaksi!$F$16:$F$5015,Transaksi!$G$16:$G$5015,$A132,Transaksi!$H$16:$H$5015,$B132,Transaksi!$I$16:$I$5015,$C132,Transaksi!$B$16:$B$5015,"&gt;="&amp;DATE(Dashboard!$C$4,3,1),Transaksi!$B$16:$B$5015,"&lt;="&amp;EOMONTH(DATE(Dashboard!$C$4,3,1),0)))</f>
        <v/>
      </c>
      <c r="G132" s="165">
        <f>IF($C132="","",SUMIFS(Transaksi!$F$16:$F$5015,Transaksi!$G$16:$G$5015,$A132,Transaksi!$H$16:$H$5015,$B132,Transaksi!$I$16:$I$5015,$C132,Transaksi!$B$16:$B$5015,"&gt;="&amp;DATE(Dashboard!$C$4,4,1),Transaksi!$B$16:$B$5015,"&lt;="&amp;EOMONTH(DATE(Dashboard!$C$4,4,1),0)))</f>
        <v/>
      </c>
      <c r="H132" s="165">
        <f>IF($C132="","",SUMIFS(Transaksi!$F$16:$F$5015,Transaksi!$G$16:$G$5015,$A132,Transaksi!$H$16:$H$5015,$B132,Transaksi!$I$16:$I$5015,$C132,Transaksi!$B$16:$B$5015,"&gt;="&amp;DATE(Dashboard!$C$4,5,1),Transaksi!$B$16:$B$5015,"&lt;="&amp;EOMONTH(DATE(Dashboard!$C$4,5,1),0)))</f>
        <v/>
      </c>
      <c r="I132" s="165">
        <f>IF($C132="","",SUMIFS(Transaksi!$F$16:$F$5015,Transaksi!$G$16:$G$5015,$A132,Transaksi!$H$16:$H$5015,$B132,Transaksi!$I$16:$I$5015,$C132,Transaksi!$B$16:$B$5015,"&gt;="&amp;DATE(Dashboard!$C$4,6,1),Transaksi!$B$16:$B$5015,"&lt;="&amp;EOMONTH(DATE(Dashboard!$C$4,6,1),0)))</f>
        <v/>
      </c>
      <c r="J132" s="165">
        <f>IF($C132="","",SUMIFS(Transaksi!$F$16:$F$5015,Transaksi!$G$16:$G$5015,$A132,Transaksi!$H$16:$H$5015,$B132,Transaksi!$I$16:$I$5015,$C132,Transaksi!$B$16:$B$5015,"&gt;="&amp;DATE(Dashboard!$C$4,7,1),Transaksi!$B$16:$B$5015,"&lt;="&amp;EOMONTH(DATE(Dashboard!$C$4,7,1),0)))</f>
        <v/>
      </c>
      <c r="K132" s="165">
        <f>IF($C132="","",SUMIFS(Transaksi!$F$16:$F$5015,Transaksi!$G$16:$G$5015,$A132,Transaksi!$H$16:$H$5015,$B132,Transaksi!$I$16:$I$5015,$C132,Transaksi!$B$16:$B$5015,"&gt;="&amp;DATE(Dashboard!$C$4,8,1),Transaksi!$B$16:$B$5015,"&lt;="&amp;EOMONTH(DATE(Dashboard!$C$4,8,1),0)))</f>
        <v/>
      </c>
      <c r="L132" s="165">
        <f>IF($C132="","",SUMIFS(Transaksi!$F$16:$F$5015,Transaksi!$G$16:$G$5015,$A132,Transaksi!$H$16:$H$5015,$B132,Transaksi!$I$16:$I$5015,$C132,Transaksi!$B$16:$B$5015,"&gt;="&amp;DATE(Dashboard!$C$4,9,1),Transaksi!$B$16:$B$5015,"&lt;="&amp;EOMONTH(DATE(Dashboard!$C$4,9,1),0)))</f>
        <v/>
      </c>
      <c r="M132" s="165">
        <f>IF($C132="","",SUMIFS(Transaksi!$F$16:$F$5015,Transaksi!$G$16:$G$5015,$A132,Transaksi!$H$16:$H$5015,$B132,Transaksi!$I$16:$I$5015,$C132,Transaksi!$B$16:$B$5015,"&gt;="&amp;DATE(Dashboard!$C$4,10,1),Transaksi!$B$16:$B$5015,"&lt;="&amp;EOMONTH(DATE(Dashboard!$C$4,10,1),0)))</f>
        <v/>
      </c>
      <c r="N132" s="165">
        <f>IF($C132="","",SUMIFS(Transaksi!$F$16:$F$5015,Transaksi!$G$16:$G$5015,$A132,Transaksi!$H$16:$H$5015,$B132,Transaksi!$I$16:$I$5015,$C132,Transaksi!$B$16:$B$5015,"&gt;="&amp;DATE(Dashboard!$C$4,11,1),Transaksi!$B$16:$B$5015,"&lt;="&amp;EOMONTH(DATE(Dashboard!$C$4,11,1),0)))</f>
        <v/>
      </c>
      <c r="O132" s="165">
        <f>IF($C132="","",SUMIFS(Transaksi!$F$16:$F$5015,Transaksi!$G$16:$G$5015,$A132,Transaksi!$H$16:$H$5015,$B132,Transaksi!$I$16:$I$5015,$C132,Transaksi!$B$16:$B$5015,"&gt;="&amp;DATE(Dashboard!$C$4,12,1),Transaksi!$B$16:$B$5015,"&lt;="&amp;EOMONTH(DATE(Dashboard!$C$4,12,1),0)))</f>
        <v/>
      </c>
      <c r="P132" s="166">
        <f>IF($C132="","",SUM(D132:O132))</f>
        <v/>
      </c>
    </row>
    <row r="133" ht="15" customHeight="1" s="94">
      <c r="A133" s="164">
        <f>IF(Kategori!C133="","",Kategori!A133)</f>
        <v/>
      </c>
      <c r="B133" s="164">
        <f>IF(Kategori!C133="","",Kategori!B133)</f>
        <v/>
      </c>
      <c r="C133" s="108">
        <f>IF(Kategori!C133="","",Kategori!C133)</f>
        <v/>
      </c>
      <c r="D133" s="165">
        <f>IF($C133="","",SUMIFS(Transaksi!$F$16:$F$5015,Transaksi!$G$16:$G$5015,$A133,Transaksi!$H$16:$H$5015,$B133,Transaksi!$I$16:$I$5015,$C133,Transaksi!$B$16:$B$5015,"&gt;="&amp;DATE(Dashboard!$C$4,1,1),Transaksi!$B$16:$B$5015,"&lt;="&amp;EOMONTH(DATE(Dashboard!$C$4,1,1),0)))</f>
        <v/>
      </c>
      <c r="E133" s="165">
        <f>IF($C133="","",SUMIFS(Transaksi!$F$16:$F$5015,Transaksi!$G$16:$G$5015,$A133,Transaksi!$H$16:$H$5015,$B133,Transaksi!$I$16:$I$5015,$C133,Transaksi!$B$16:$B$5015,"&gt;="&amp;DATE(Dashboard!$C$4,2,1),Transaksi!$B$16:$B$5015,"&lt;="&amp;EOMONTH(DATE(Dashboard!$C$4,2,1),0)))</f>
        <v/>
      </c>
      <c r="F133" s="165">
        <f>IF($C133="","",SUMIFS(Transaksi!$F$16:$F$5015,Transaksi!$G$16:$G$5015,$A133,Transaksi!$H$16:$H$5015,$B133,Transaksi!$I$16:$I$5015,$C133,Transaksi!$B$16:$B$5015,"&gt;="&amp;DATE(Dashboard!$C$4,3,1),Transaksi!$B$16:$B$5015,"&lt;="&amp;EOMONTH(DATE(Dashboard!$C$4,3,1),0)))</f>
        <v/>
      </c>
      <c r="G133" s="165">
        <f>IF($C133="","",SUMIFS(Transaksi!$F$16:$F$5015,Transaksi!$G$16:$G$5015,$A133,Transaksi!$H$16:$H$5015,$B133,Transaksi!$I$16:$I$5015,$C133,Transaksi!$B$16:$B$5015,"&gt;="&amp;DATE(Dashboard!$C$4,4,1),Transaksi!$B$16:$B$5015,"&lt;="&amp;EOMONTH(DATE(Dashboard!$C$4,4,1),0)))</f>
        <v/>
      </c>
      <c r="H133" s="165">
        <f>IF($C133="","",SUMIFS(Transaksi!$F$16:$F$5015,Transaksi!$G$16:$G$5015,$A133,Transaksi!$H$16:$H$5015,$B133,Transaksi!$I$16:$I$5015,$C133,Transaksi!$B$16:$B$5015,"&gt;="&amp;DATE(Dashboard!$C$4,5,1),Transaksi!$B$16:$B$5015,"&lt;="&amp;EOMONTH(DATE(Dashboard!$C$4,5,1),0)))</f>
        <v/>
      </c>
      <c r="I133" s="165">
        <f>IF($C133="","",SUMIFS(Transaksi!$F$16:$F$5015,Transaksi!$G$16:$G$5015,$A133,Transaksi!$H$16:$H$5015,$B133,Transaksi!$I$16:$I$5015,$C133,Transaksi!$B$16:$B$5015,"&gt;="&amp;DATE(Dashboard!$C$4,6,1),Transaksi!$B$16:$B$5015,"&lt;="&amp;EOMONTH(DATE(Dashboard!$C$4,6,1),0)))</f>
        <v/>
      </c>
      <c r="J133" s="165">
        <f>IF($C133="","",SUMIFS(Transaksi!$F$16:$F$5015,Transaksi!$G$16:$G$5015,$A133,Transaksi!$H$16:$H$5015,$B133,Transaksi!$I$16:$I$5015,$C133,Transaksi!$B$16:$B$5015,"&gt;="&amp;DATE(Dashboard!$C$4,7,1),Transaksi!$B$16:$B$5015,"&lt;="&amp;EOMONTH(DATE(Dashboard!$C$4,7,1),0)))</f>
        <v/>
      </c>
      <c r="K133" s="165">
        <f>IF($C133="","",SUMIFS(Transaksi!$F$16:$F$5015,Transaksi!$G$16:$G$5015,$A133,Transaksi!$H$16:$H$5015,$B133,Transaksi!$I$16:$I$5015,$C133,Transaksi!$B$16:$B$5015,"&gt;="&amp;DATE(Dashboard!$C$4,8,1),Transaksi!$B$16:$B$5015,"&lt;="&amp;EOMONTH(DATE(Dashboard!$C$4,8,1),0)))</f>
        <v/>
      </c>
      <c r="L133" s="165">
        <f>IF($C133="","",SUMIFS(Transaksi!$F$16:$F$5015,Transaksi!$G$16:$G$5015,$A133,Transaksi!$H$16:$H$5015,$B133,Transaksi!$I$16:$I$5015,$C133,Transaksi!$B$16:$B$5015,"&gt;="&amp;DATE(Dashboard!$C$4,9,1),Transaksi!$B$16:$B$5015,"&lt;="&amp;EOMONTH(DATE(Dashboard!$C$4,9,1),0)))</f>
        <v/>
      </c>
      <c r="M133" s="165">
        <f>IF($C133="","",SUMIFS(Transaksi!$F$16:$F$5015,Transaksi!$G$16:$G$5015,$A133,Transaksi!$H$16:$H$5015,$B133,Transaksi!$I$16:$I$5015,$C133,Transaksi!$B$16:$B$5015,"&gt;="&amp;DATE(Dashboard!$C$4,10,1),Transaksi!$B$16:$B$5015,"&lt;="&amp;EOMONTH(DATE(Dashboard!$C$4,10,1),0)))</f>
        <v/>
      </c>
      <c r="N133" s="165">
        <f>IF($C133="","",SUMIFS(Transaksi!$F$16:$F$5015,Transaksi!$G$16:$G$5015,$A133,Transaksi!$H$16:$H$5015,$B133,Transaksi!$I$16:$I$5015,$C133,Transaksi!$B$16:$B$5015,"&gt;="&amp;DATE(Dashboard!$C$4,11,1),Transaksi!$B$16:$B$5015,"&lt;="&amp;EOMONTH(DATE(Dashboard!$C$4,11,1),0)))</f>
        <v/>
      </c>
      <c r="O133" s="165">
        <f>IF($C133="","",SUMIFS(Transaksi!$F$16:$F$5015,Transaksi!$G$16:$G$5015,$A133,Transaksi!$H$16:$H$5015,$B133,Transaksi!$I$16:$I$5015,$C133,Transaksi!$B$16:$B$5015,"&gt;="&amp;DATE(Dashboard!$C$4,12,1),Transaksi!$B$16:$B$5015,"&lt;="&amp;EOMONTH(DATE(Dashboard!$C$4,12,1),0)))</f>
        <v/>
      </c>
      <c r="P133" s="166">
        <f>IF($C133="","",SUM(D133:O133))</f>
        <v/>
      </c>
    </row>
    <row r="134" ht="15" customHeight="1" s="94">
      <c r="A134" s="164">
        <f>IF(Kategori!C134="","",Kategori!A134)</f>
        <v/>
      </c>
      <c r="B134" s="164">
        <f>IF(Kategori!C134="","",Kategori!B134)</f>
        <v/>
      </c>
      <c r="C134" s="108">
        <f>IF(Kategori!C134="","",Kategori!C134)</f>
        <v/>
      </c>
      <c r="D134" s="165">
        <f>IF($C134="","",SUMIFS(Transaksi!$F$16:$F$5015,Transaksi!$G$16:$G$5015,$A134,Transaksi!$H$16:$H$5015,$B134,Transaksi!$I$16:$I$5015,$C134,Transaksi!$B$16:$B$5015,"&gt;="&amp;DATE(Dashboard!$C$4,1,1),Transaksi!$B$16:$B$5015,"&lt;="&amp;EOMONTH(DATE(Dashboard!$C$4,1,1),0)))</f>
        <v/>
      </c>
      <c r="E134" s="165">
        <f>IF($C134="","",SUMIFS(Transaksi!$F$16:$F$5015,Transaksi!$G$16:$G$5015,$A134,Transaksi!$H$16:$H$5015,$B134,Transaksi!$I$16:$I$5015,$C134,Transaksi!$B$16:$B$5015,"&gt;="&amp;DATE(Dashboard!$C$4,2,1),Transaksi!$B$16:$B$5015,"&lt;="&amp;EOMONTH(DATE(Dashboard!$C$4,2,1),0)))</f>
        <v/>
      </c>
      <c r="F134" s="165">
        <f>IF($C134="","",SUMIFS(Transaksi!$F$16:$F$5015,Transaksi!$G$16:$G$5015,$A134,Transaksi!$H$16:$H$5015,$B134,Transaksi!$I$16:$I$5015,$C134,Transaksi!$B$16:$B$5015,"&gt;="&amp;DATE(Dashboard!$C$4,3,1),Transaksi!$B$16:$B$5015,"&lt;="&amp;EOMONTH(DATE(Dashboard!$C$4,3,1),0)))</f>
        <v/>
      </c>
      <c r="G134" s="165">
        <f>IF($C134="","",SUMIFS(Transaksi!$F$16:$F$5015,Transaksi!$G$16:$G$5015,$A134,Transaksi!$H$16:$H$5015,$B134,Transaksi!$I$16:$I$5015,$C134,Transaksi!$B$16:$B$5015,"&gt;="&amp;DATE(Dashboard!$C$4,4,1),Transaksi!$B$16:$B$5015,"&lt;="&amp;EOMONTH(DATE(Dashboard!$C$4,4,1),0)))</f>
        <v/>
      </c>
      <c r="H134" s="165">
        <f>IF($C134="","",SUMIFS(Transaksi!$F$16:$F$5015,Transaksi!$G$16:$G$5015,$A134,Transaksi!$H$16:$H$5015,$B134,Transaksi!$I$16:$I$5015,$C134,Transaksi!$B$16:$B$5015,"&gt;="&amp;DATE(Dashboard!$C$4,5,1),Transaksi!$B$16:$B$5015,"&lt;="&amp;EOMONTH(DATE(Dashboard!$C$4,5,1),0)))</f>
        <v/>
      </c>
      <c r="I134" s="165">
        <f>IF($C134="","",SUMIFS(Transaksi!$F$16:$F$5015,Transaksi!$G$16:$G$5015,$A134,Transaksi!$H$16:$H$5015,$B134,Transaksi!$I$16:$I$5015,$C134,Transaksi!$B$16:$B$5015,"&gt;="&amp;DATE(Dashboard!$C$4,6,1),Transaksi!$B$16:$B$5015,"&lt;="&amp;EOMONTH(DATE(Dashboard!$C$4,6,1),0)))</f>
        <v/>
      </c>
      <c r="J134" s="165">
        <f>IF($C134="","",SUMIFS(Transaksi!$F$16:$F$5015,Transaksi!$G$16:$G$5015,$A134,Transaksi!$H$16:$H$5015,$B134,Transaksi!$I$16:$I$5015,$C134,Transaksi!$B$16:$B$5015,"&gt;="&amp;DATE(Dashboard!$C$4,7,1),Transaksi!$B$16:$B$5015,"&lt;="&amp;EOMONTH(DATE(Dashboard!$C$4,7,1),0)))</f>
        <v/>
      </c>
      <c r="K134" s="165">
        <f>IF($C134="","",SUMIFS(Transaksi!$F$16:$F$5015,Transaksi!$G$16:$G$5015,$A134,Transaksi!$H$16:$H$5015,$B134,Transaksi!$I$16:$I$5015,$C134,Transaksi!$B$16:$B$5015,"&gt;="&amp;DATE(Dashboard!$C$4,8,1),Transaksi!$B$16:$B$5015,"&lt;="&amp;EOMONTH(DATE(Dashboard!$C$4,8,1),0)))</f>
        <v/>
      </c>
      <c r="L134" s="165">
        <f>IF($C134="","",SUMIFS(Transaksi!$F$16:$F$5015,Transaksi!$G$16:$G$5015,$A134,Transaksi!$H$16:$H$5015,$B134,Transaksi!$I$16:$I$5015,$C134,Transaksi!$B$16:$B$5015,"&gt;="&amp;DATE(Dashboard!$C$4,9,1),Transaksi!$B$16:$B$5015,"&lt;="&amp;EOMONTH(DATE(Dashboard!$C$4,9,1),0)))</f>
        <v/>
      </c>
      <c r="M134" s="165">
        <f>IF($C134="","",SUMIFS(Transaksi!$F$16:$F$5015,Transaksi!$G$16:$G$5015,$A134,Transaksi!$H$16:$H$5015,$B134,Transaksi!$I$16:$I$5015,$C134,Transaksi!$B$16:$B$5015,"&gt;="&amp;DATE(Dashboard!$C$4,10,1),Transaksi!$B$16:$B$5015,"&lt;="&amp;EOMONTH(DATE(Dashboard!$C$4,10,1),0)))</f>
        <v/>
      </c>
      <c r="N134" s="165">
        <f>IF($C134="","",SUMIFS(Transaksi!$F$16:$F$5015,Transaksi!$G$16:$G$5015,$A134,Transaksi!$H$16:$H$5015,$B134,Transaksi!$I$16:$I$5015,$C134,Transaksi!$B$16:$B$5015,"&gt;="&amp;DATE(Dashboard!$C$4,11,1),Transaksi!$B$16:$B$5015,"&lt;="&amp;EOMONTH(DATE(Dashboard!$C$4,11,1),0)))</f>
        <v/>
      </c>
      <c r="O134" s="165">
        <f>IF($C134="","",SUMIFS(Transaksi!$F$16:$F$5015,Transaksi!$G$16:$G$5015,$A134,Transaksi!$H$16:$H$5015,$B134,Transaksi!$I$16:$I$5015,$C134,Transaksi!$B$16:$B$5015,"&gt;="&amp;DATE(Dashboard!$C$4,12,1),Transaksi!$B$16:$B$5015,"&lt;="&amp;EOMONTH(DATE(Dashboard!$C$4,12,1),0)))</f>
        <v/>
      </c>
      <c r="P134" s="166">
        <f>IF($C134="","",SUM(D134:O134))</f>
        <v/>
      </c>
    </row>
    <row r="135" ht="15" customHeight="1" s="94">
      <c r="A135" s="164">
        <f>IF(Kategori!C135="","",Kategori!A135)</f>
        <v/>
      </c>
      <c r="B135" s="164">
        <f>IF(Kategori!C135="","",Kategori!B135)</f>
        <v/>
      </c>
      <c r="C135" s="108">
        <f>IF(Kategori!C135="","",Kategori!C135)</f>
        <v/>
      </c>
      <c r="D135" s="165">
        <f>IF($C135="","",SUMIFS(Transaksi!$F$16:$F$5015,Transaksi!$G$16:$G$5015,$A135,Transaksi!$H$16:$H$5015,$B135,Transaksi!$I$16:$I$5015,$C135,Transaksi!$B$16:$B$5015,"&gt;="&amp;DATE(Dashboard!$C$4,1,1),Transaksi!$B$16:$B$5015,"&lt;="&amp;EOMONTH(DATE(Dashboard!$C$4,1,1),0)))</f>
        <v/>
      </c>
      <c r="E135" s="165">
        <f>IF($C135="","",SUMIFS(Transaksi!$F$16:$F$5015,Transaksi!$G$16:$G$5015,$A135,Transaksi!$H$16:$H$5015,$B135,Transaksi!$I$16:$I$5015,$C135,Transaksi!$B$16:$B$5015,"&gt;="&amp;DATE(Dashboard!$C$4,2,1),Transaksi!$B$16:$B$5015,"&lt;="&amp;EOMONTH(DATE(Dashboard!$C$4,2,1),0)))</f>
        <v/>
      </c>
      <c r="F135" s="165">
        <f>IF($C135="","",SUMIFS(Transaksi!$F$16:$F$5015,Transaksi!$G$16:$G$5015,$A135,Transaksi!$H$16:$H$5015,$B135,Transaksi!$I$16:$I$5015,$C135,Transaksi!$B$16:$B$5015,"&gt;="&amp;DATE(Dashboard!$C$4,3,1),Transaksi!$B$16:$B$5015,"&lt;="&amp;EOMONTH(DATE(Dashboard!$C$4,3,1),0)))</f>
        <v/>
      </c>
      <c r="G135" s="165">
        <f>IF($C135="","",SUMIFS(Transaksi!$F$16:$F$5015,Transaksi!$G$16:$G$5015,$A135,Transaksi!$H$16:$H$5015,$B135,Transaksi!$I$16:$I$5015,$C135,Transaksi!$B$16:$B$5015,"&gt;="&amp;DATE(Dashboard!$C$4,4,1),Transaksi!$B$16:$B$5015,"&lt;="&amp;EOMONTH(DATE(Dashboard!$C$4,4,1),0)))</f>
        <v/>
      </c>
      <c r="H135" s="165">
        <f>IF($C135="","",SUMIFS(Transaksi!$F$16:$F$5015,Transaksi!$G$16:$G$5015,$A135,Transaksi!$H$16:$H$5015,$B135,Transaksi!$I$16:$I$5015,$C135,Transaksi!$B$16:$B$5015,"&gt;="&amp;DATE(Dashboard!$C$4,5,1),Transaksi!$B$16:$B$5015,"&lt;="&amp;EOMONTH(DATE(Dashboard!$C$4,5,1),0)))</f>
        <v/>
      </c>
      <c r="I135" s="165">
        <f>IF($C135="","",SUMIFS(Transaksi!$F$16:$F$5015,Transaksi!$G$16:$G$5015,$A135,Transaksi!$H$16:$H$5015,$B135,Transaksi!$I$16:$I$5015,$C135,Transaksi!$B$16:$B$5015,"&gt;="&amp;DATE(Dashboard!$C$4,6,1),Transaksi!$B$16:$B$5015,"&lt;="&amp;EOMONTH(DATE(Dashboard!$C$4,6,1),0)))</f>
        <v/>
      </c>
      <c r="J135" s="165">
        <f>IF($C135="","",SUMIFS(Transaksi!$F$16:$F$5015,Transaksi!$G$16:$G$5015,$A135,Transaksi!$H$16:$H$5015,$B135,Transaksi!$I$16:$I$5015,$C135,Transaksi!$B$16:$B$5015,"&gt;="&amp;DATE(Dashboard!$C$4,7,1),Transaksi!$B$16:$B$5015,"&lt;="&amp;EOMONTH(DATE(Dashboard!$C$4,7,1),0)))</f>
        <v/>
      </c>
      <c r="K135" s="165">
        <f>IF($C135="","",SUMIFS(Transaksi!$F$16:$F$5015,Transaksi!$G$16:$G$5015,$A135,Transaksi!$H$16:$H$5015,$B135,Transaksi!$I$16:$I$5015,$C135,Transaksi!$B$16:$B$5015,"&gt;="&amp;DATE(Dashboard!$C$4,8,1),Transaksi!$B$16:$B$5015,"&lt;="&amp;EOMONTH(DATE(Dashboard!$C$4,8,1),0)))</f>
        <v/>
      </c>
      <c r="L135" s="165">
        <f>IF($C135="","",SUMIFS(Transaksi!$F$16:$F$5015,Transaksi!$G$16:$G$5015,$A135,Transaksi!$H$16:$H$5015,$B135,Transaksi!$I$16:$I$5015,$C135,Transaksi!$B$16:$B$5015,"&gt;="&amp;DATE(Dashboard!$C$4,9,1),Transaksi!$B$16:$B$5015,"&lt;="&amp;EOMONTH(DATE(Dashboard!$C$4,9,1),0)))</f>
        <v/>
      </c>
      <c r="M135" s="165">
        <f>IF($C135="","",SUMIFS(Transaksi!$F$16:$F$5015,Transaksi!$G$16:$G$5015,$A135,Transaksi!$H$16:$H$5015,$B135,Transaksi!$I$16:$I$5015,$C135,Transaksi!$B$16:$B$5015,"&gt;="&amp;DATE(Dashboard!$C$4,10,1),Transaksi!$B$16:$B$5015,"&lt;="&amp;EOMONTH(DATE(Dashboard!$C$4,10,1),0)))</f>
        <v/>
      </c>
      <c r="N135" s="165">
        <f>IF($C135="","",SUMIFS(Transaksi!$F$16:$F$5015,Transaksi!$G$16:$G$5015,$A135,Transaksi!$H$16:$H$5015,$B135,Transaksi!$I$16:$I$5015,$C135,Transaksi!$B$16:$B$5015,"&gt;="&amp;DATE(Dashboard!$C$4,11,1),Transaksi!$B$16:$B$5015,"&lt;="&amp;EOMONTH(DATE(Dashboard!$C$4,11,1),0)))</f>
        <v/>
      </c>
      <c r="O135" s="165">
        <f>IF($C135="","",SUMIFS(Transaksi!$F$16:$F$5015,Transaksi!$G$16:$G$5015,$A135,Transaksi!$H$16:$H$5015,$B135,Transaksi!$I$16:$I$5015,$C135,Transaksi!$B$16:$B$5015,"&gt;="&amp;DATE(Dashboard!$C$4,12,1),Transaksi!$B$16:$B$5015,"&lt;="&amp;EOMONTH(DATE(Dashboard!$C$4,12,1),0)))</f>
        <v/>
      </c>
      <c r="P135" s="166">
        <f>IF($C135="","",SUM(D135:O135))</f>
        <v/>
      </c>
    </row>
    <row r="136" ht="15" customHeight="1" s="94">
      <c r="A136" s="164">
        <f>IF(Kategori!C136="","",Kategori!A136)</f>
        <v/>
      </c>
      <c r="B136" s="164">
        <f>IF(Kategori!C136="","",Kategori!B136)</f>
        <v/>
      </c>
      <c r="C136" s="108">
        <f>IF(Kategori!C136="","",Kategori!C136)</f>
        <v/>
      </c>
      <c r="D136" s="165">
        <f>IF($C136="","",SUMIFS(Transaksi!$F$16:$F$5015,Transaksi!$G$16:$G$5015,$A136,Transaksi!$H$16:$H$5015,$B136,Transaksi!$I$16:$I$5015,$C136,Transaksi!$B$16:$B$5015,"&gt;="&amp;DATE(Dashboard!$C$4,1,1),Transaksi!$B$16:$B$5015,"&lt;="&amp;EOMONTH(DATE(Dashboard!$C$4,1,1),0)))</f>
        <v/>
      </c>
      <c r="E136" s="165">
        <f>IF($C136="","",SUMIFS(Transaksi!$F$16:$F$5015,Transaksi!$G$16:$G$5015,$A136,Transaksi!$H$16:$H$5015,$B136,Transaksi!$I$16:$I$5015,$C136,Transaksi!$B$16:$B$5015,"&gt;="&amp;DATE(Dashboard!$C$4,2,1),Transaksi!$B$16:$B$5015,"&lt;="&amp;EOMONTH(DATE(Dashboard!$C$4,2,1),0)))</f>
        <v/>
      </c>
      <c r="F136" s="165">
        <f>IF($C136="","",SUMIFS(Transaksi!$F$16:$F$5015,Transaksi!$G$16:$G$5015,$A136,Transaksi!$H$16:$H$5015,$B136,Transaksi!$I$16:$I$5015,$C136,Transaksi!$B$16:$B$5015,"&gt;="&amp;DATE(Dashboard!$C$4,3,1),Transaksi!$B$16:$B$5015,"&lt;="&amp;EOMONTH(DATE(Dashboard!$C$4,3,1),0)))</f>
        <v/>
      </c>
      <c r="G136" s="165">
        <f>IF($C136="","",SUMIFS(Transaksi!$F$16:$F$5015,Transaksi!$G$16:$G$5015,$A136,Transaksi!$H$16:$H$5015,$B136,Transaksi!$I$16:$I$5015,$C136,Transaksi!$B$16:$B$5015,"&gt;="&amp;DATE(Dashboard!$C$4,4,1),Transaksi!$B$16:$B$5015,"&lt;="&amp;EOMONTH(DATE(Dashboard!$C$4,4,1),0)))</f>
        <v/>
      </c>
      <c r="H136" s="165">
        <f>IF($C136="","",SUMIFS(Transaksi!$F$16:$F$5015,Transaksi!$G$16:$G$5015,$A136,Transaksi!$H$16:$H$5015,$B136,Transaksi!$I$16:$I$5015,$C136,Transaksi!$B$16:$B$5015,"&gt;="&amp;DATE(Dashboard!$C$4,5,1),Transaksi!$B$16:$B$5015,"&lt;="&amp;EOMONTH(DATE(Dashboard!$C$4,5,1),0)))</f>
        <v/>
      </c>
      <c r="I136" s="165">
        <f>IF($C136="","",SUMIFS(Transaksi!$F$16:$F$5015,Transaksi!$G$16:$G$5015,$A136,Transaksi!$H$16:$H$5015,$B136,Transaksi!$I$16:$I$5015,$C136,Transaksi!$B$16:$B$5015,"&gt;="&amp;DATE(Dashboard!$C$4,6,1),Transaksi!$B$16:$B$5015,"&lt;="&amp;EOMONTH(DATE(Dashboard!$C$4,6,1),0)))</f>
        <v/>
      </c>
      <c r="J136" s="165">
        <f>IF($C136="","",SUMIFS(Transaksi!$F$16:$F$5015,Transaksi!$G$16:$G$5015,$A136,Transaksi!$H$16:$H$5015,$B136,Transaksi!$I$16:$I$5015,$C136,Transaksi!$B$16:$B$5015,"&gt;="&amp;DATE(Dashboard!$C$4,7,1),Transaksi!$B$16:$B$5015,"&lt;="&amp;EOMONTH(DATE(Dashboard!$C$4,7,1),0)))</f>
        <v/>
      </c>
      <c r="K136" s="165">
        <f>IF($C136="","",SUMIFS(Transaksi!$F$16:$F$5015,Transaksi!$G$16:$G$5015,$A136,Transaksi!$H$16:$H$5015,$B136,Transaksi!$I$16:$I$5015,$C136,Transaksi!$B$16:$B$5015,"&gt;="&amp;DATE(Dashboard!$C$4,8,1),Transaksi!$B$16:$B$5015,"&lt;="&amp;EOMONTH(DATE(Dashboard!$C$4,8,1),0)))</f>
        <v/>
      </c>
      <c r="L136" s="165">
        <f>IF($C136="","",SUMIFS(Transaksi!$F$16:$F$5015,Transaksi!$G$16:$G$5015,$A136,Transaksi!$H$16:$H$5015,$B136,Transaksi!$I$16:$I$5015,$C136,Transaksi!$B$16:$B$5015,"&gt;="&amp;DATE(Dashboard!$C$4,9,1),Transaksi!$B$16:$B$5015,"&lt;="&amp;EOMONTH(DATE(Dashboard!$C$4,9,1),0)))</f>
        <v/>
      </c>
      <c r="M136" s="165">
        <f>IF($C136="","",SUMIFS(Transaksi!$F$16:$F$5015,Transaksi!$G$16:$G$5015,$A136,Transaksi!$H$16:$H$5015,$B136,Transaksi!$I$16:$I$5015,$C136,Transaksi!$B$16:$B$5015,"&gt;="&amp;DATE(Dashboard!$C$4,10,1),Transaksi!$B$16:$B$5015,"&lt;="&amp;EOMONTH(DATE(Dashboard!$C$4,10,1),0)))</f>
        <v/>
      </c>
      <c r="N136" s="165">
        <f>IF($C136="","",SUMIFS(Transaksi!$F$16:$F$5015,Transaksi!$G$16:$G$5015,$A136,Transaksi!$H$16:$H$5015,$B136,Transaksi!$I$16:$I$5015,$C136,Transaksi!$B$16:$B$5015,"&gt;="&amp;DATE(Dashboard!$C$4,11,1),Transaksi!$B$16:$B$5015,"&lt;="&amp;EOMONTH(DATE(Dashboard!$C$4,11,1),0)))</f>
        <v/>
      </c>
      <c r="O136" s="165">
        <f>IF($C136="","",SUMIFS(Transaksi!$F$16:$F$5015,Transaksi!$G$16:$G$5015,$A136,Transaksi!$H$16:$H$5015,$B136,Transaksi!$I$16:$I$5015,$C136,Transaksi!$B$16:$B$5015,"&gt;="&amp;DATE(Dashboard!$C$4,12,1),Transaksi!$B$16:$B$5015,"&lt;="&amp;EOMONTH(DATE(Dashboard!$C$4,12,1),0)))</f>
        <v/>
      </c>
      <c r="P136" s="166">
        <f>IF($C136="","",SUM(D136:O136))</f>
        <v/>
      </c>
    </row>
    <row r="137" ht="15" customHeight="1" s="94">
      <c r="A137" s="164">
        <f>IF(Kategori!C137="","",Kategori!A137)</f>
        <v/>
      </c>
      <c r="B137" s="164">
        <f>IF(Kategori!C137="","",Kategori!B137)</f>
        <v/>
      </c>
      <c r="C137" s="108">
        <f>IF(Kategori!C137="","",Kategori!C137)</f>
        <v/>
      </c>
      <c r="D137" s="165">
        <f>IF($C137="","",SUMIFS(Transaksi!$F$16:$F$5015,Transaksi!$G$16:$G$5015,$A137,Transaksi!$H$16:$H$5015,$B137,Transaksi!$I$16:$I$5015,$C137,Transaksi!$B$16:$B$5015,"&gt;="&amp;DATE(Dashboard!$C$4,1,1),Transaksi!$B$16:$B$5015,"&lt;="&amp;EOMONTH(DATE(Dashboard!$C$4,1,1),0)))</f>
        <v/>
      </c>
      <c r="E137" s="165">
        <f>IF($C137="","",SUMIFS(Transaksi!$F$16:$F$5015,Transaksi!$G$16:$G$5015,$A137,Transaksi!$H$16:$H$5015,$B137,Transaksi!$I$16:$I$5015,$C137,Transaksi!$B$16:$B$5015,"&gt;="&amp;DATE(Dashboard!$C$4,2,1),Transaksi!$B$16:$B$5015,"&lt;="&amp;EOMONTH(DATE(Dashboard!$C$4,2,1),0)))</f>
        <v/>
      </c>
      <c r="F137" s="165">
        <f>IF($C137="","",SUMIFS(Transaksi!$F$16:$F$5015,Transaksi!$G$16:$G$5015,$A137,Transaksi!$H$16:$H$5015,$B137,Transaksi!$I$16:$I$5015,$C137,Transaksi!$B$16:$B$5015,"&gt;="&amp;DATE(Dashboard!$C$4,3,1),Transaksi!$B$16:$B$5015,"&lt;="&amp;EOMONTH(DATE(Dashboard!$C$4,3,1),0)))</f>
        <v/>
      </c>
      <c r="G137" s="165">
        <f>IF($C137="","",SUMIFS(Transaksi!$F$16:$F$5015,Transaksi!$G$16:$G$5015,$A137,Transaksi!$H$16:$H$5015,$B137,Transaksi!$I$16:$I$5015,$C137,Transaksi!$B$16:$B$5015,"&gt;="&amp;DATE(Dashboard!$C$4,4,1),Transaksi!$B$16:$B$5015,"&lt;="&amp;EOMONTH(DATE(Dashboard!$C$4,4,1),0)))</f>
        <v/>
      </c>
      <c r="H137" s="165">
        <f>IF($C137="","",SUMIFS(Transaksi!$F$16:$F$5015,Transaksi!$G$16:$G$5015,$A137,Transaksi!$H$16:$H$5015,$B137,Transaksi!$I$16:$I$5015,$C137,Transaksi!$B$16:$B$5015,"&gt;="&amp;DATE(Dashboard!$C$4,5,1),Transaksi!$B$16:$B$5015,"&lt;="&amp;EOMONTH(DATE(Dashboard!$C$4,5,1),0)))</f>
        <v/>
      </c>
      <c r="I137" s="165">
        <f>IF($C137="","",SUMIFS(Transaksi!$F$16:$F$5015,Transaksi!$G$16:$G$5015,$A137,Transaksi!$H$16:$H$5015,$B137,Transaksi!$I$16:$I$5015,$C137,Transaksi!$B$16:$B$5015,"&gt;="&amp;DATE(Dashboard!$C$4,6,1),Transaksi!$B$16:$B$5015,"&lt;="&amp;EOMONTH(DATE(Dashboard!$C$4,6,1),0)))</f>
        <v/>
      </c>
      <c r="J137" s="165">
        <f>IF($C137="","",SUMIFS(Transaksi!$F$16:$F$5015,Transaksi!$G$16:$G$5015,$A137,Transaksi!$H$16:$H$5015,$B137,Transaksi!$I$16:$I$5015,$C137,Transaksi!$B$16:$B$5015,"&gt;="&amp;DATE(Dashboard!$C$4,7,1),Transaksi!$B$16:$B$5015,"&lt;="&amp;EOMONTH(DATE(Dashboard!$C$4,7,1),0)))</f>
        <v/>
      </c>
      <c r="K137" s="165">
        <f>IF($C137="","",SUMIFS(Transaksi!$F$16:$F$5015,Transaksi!$G$16:$G$5015,$A137,Transaksi!$H$16:$H$5015,$B137,Transaksi!$I$16:$I$5015,$C137,Transaksi!$B$16:$B$5015,"&gt;="&amp;DATE(Dashboard!$C$4,8,1),Transaksi!$B$16:$B$5015,"&lt;="&amp;EOMONTH(DATE(Dashboard!$C$4,8,1),0)))</f>
        <v/>
      </c>
      <c r="L137" s="165">
        <f>IF($C137="","",SUMIFS(Transaksi!$F$16:$F$5015,Transaksi!$G$16:$G$5015,$A137,Transaksi!$H$16:$H$5015,$B137,Transaksi!$I$16:$I$5015,$C137,Transaksi!$B$16:$B$5015,"&gt;="&amp;DATE(Dashboard!$C$4,9,1),Transaksi!$B$16:$B$5015,"&lt;="&amp;EOMONTH(DATE(Dashboard!$C$4,9,1),0)))</f>
        <v/>
      </c>
      <c r="M137" s="165">
        <f>IF($C137="","",SUMIFS(Transaksi!$F$16:$F$5015,Transaksi!$G$16:$G$5015,$A137,Transaksi!$H$16:$H$5015,$B137,Transaksi!$I$16:$I$5015,$C137,Transaksi!$B$16:$B$5015,"&gt;="&amp;DATE(Dashboard!$C$4,10,1),Transaksi!$B$16:$B$5015,"&lt;="&amp;EOMONTH(DATE(Dashboard!$C$4,10,1),0)))</f>
        <v/>
      </c>
      <c r="N137" s="165">
        <f>IF($C137="","",SUMIFS(Transaksi!$F$16:$F$5015,Transaksi!$G$16:$G$5015,$A137,Transaksi!$H$16:$H$5015,$B137,Transaksi!$I$16:$I$5015,$C137,Transaksi!$B$16:$B$5015,"&gt;="&amp;DATE(Dashboard!$C$4,11,1),Transaksi!$B$16:$B$5015,"&lt;="&amp;EOMONTH(DATE(Dashboard!$C$4,11,1),0)))</f>
        <v/>
      </c>
      <c r="O137" s="165">
        <f>IF($C137="","",SUMIFS(Transaksi!$F$16:$F$5015,Transaksi!$G$16:$G$5015,$A137,Transaksi!$H$16:$H$5015,$B137,Transaksi!$I$16:$I$5015,$C137,Transaksi!$B$16:$B$5015,"&gt;="&amp;DATE(Dashboard!$C$4,12,1),Transaksi!$B$16:$B$5015,"&lt;="&amp;EOMONTH(DATE(Dashboard!$C$4,12,1),0)))</f>
        <v/>
      </c>
      <c r="P137" s="166">
        <f>IF($C137="","",SUM(D137:O137))</f>
        <v/>
      </c>
    </row>
    <row r="138" ht="15" customHeight="1" s="94">
      <c r="A138" s="164">
        <f>IF(Kategori!C138="","",Kategori!A138)</f>
        <v/>
      </c>
      <c r="B138" s="164">
        <f>IF(Kategori!C138="","",Kategori!B138)</f>
        <v/>
      </c>
      <c r="C138" s="108">
        <f>IF(Kategori!C138="","",Kategori!C138)</f>
        <v/>
      </c>
      <c r="D138" s="165">
        <f>IF($C138="","",SUMIFS(Transaksi!$F$16:$F$5015,Transaksi!$G$16:$G$5015,$A138,Transaksi!$H$16:$H$5015,$B138,Transaksi!$I$16:$I$5015,$C138,Transaksi!$B$16:$B$5015,"&gt;="&amp;DATE(Dashboard!$C$4,1,1),Transaksi!$B$16:$B$5015,"&lt;="&amp;EOMONTH(DATE(Dashboard!$C$4,1,1),0)))</f>
        <v/>
      </c>
      <c r="E138" s="165">
        <f>IF($C138="","",SUMIFS(Transaksi!$F$16:$F$5015,Transaksi!$G$16:$G$5015,$A138,Transaksi!$H$16:$H$5015,$B138,Transaksi!$I$16:$I$5015,$C138,Transaksi!$B$16:$B$5015,"&gt;="&amp;DATE(Dashboard!$C$4,2,1),Transaksi!$B$16:$B$5015,"&lt;="&amp;EOMONTH(DATE(Dashboard!$C$4,2,1),0)))</f>
        <v/>
      </c>
      <c r="F138" s="165">
        <f>IF($C138="","",SUMIFS(Transaksi!$F$16:$F$5015,Transaksi!$G$16:$G$5015,$A138,Transaksi!$H$16:$H$5015,$B138,Transaksi!$I$16:$I$5015,$C138,Transaksi!$B$16:$B$5015,"&gt;="&amp;DATE(Dashboard!$C$4,3,1),Transaksi!$B$16:$B$5015,"&lt;="&amp;EOMONTH(DATE(Dashboard!$C$4,3,1),0)))</f>
        <v/>
      </c>
      <c r="G138" s="165">
        <f>IF($C138="","",SUMIFS(Transaksi!$F$16:$F$5015,Transaksi!$G$16:$G$5015,$A138,Transaksi!$H$16:$H$5015,$B138,Transaksi!$I$16:$I$5015,$C138,Transaksi!$B$16:$B$5015,"&gt;="&amp;DATE(Dashboard!$C$4,4,1),Transaksi!$B$16:$B$5015,"&lt;="&amp;EOMONTH(DATE(Dashboard!$C$4,4,1),0)))</f>
        <v/>
      </c>
      <c r="H138" s="165">
        <f>IF($C138="","",SUMIFS(Transaksi!$F$16:$F$5015,Transaksi!$G$16:$G$5015,$A138,Transaksi!$H$16:$H$5015,$B138,Transaksi!$I$16:$I$5015,$C138,Transaksi!$B$16:$B$5015,"&gt;="&amp;DATE(Dashboard!$C$4,5,1),Transaksi!$B$16:$B$5015,"&lt;="&amp;EOMONTH(DATE(Dashboard!$C$4,5,1),0)))</f>
        <v/>
      </c>
      <c r="I138" s="165">
        <f>IF($C138="","",SUMIFS(Transaksi!$F$16:$F$5015,Transaksi!$G$16:$G$5015,$A138,Transaksi!$H$16:$H$5015,$B138,Transaksi!$I$16:$I$5015,$C138,Transaksi!$B$16:$B$5015,"&gt;="&amp;DATE(Dashboard!$C$4,6,1),Transaksi!$B$16:$B$5015,"&lt;="&amp;EOMONTH(DATE(Dashboard!$C$4,6,1),0)))</f>
        <v/>
      </c>
      <c r="J138" s="165">
        <f>IF($C138="","",SUMIFS(Transaksi!$F$16:$F$5015,Transaksi!$G$16:$G$5015,$A138,Transaksi!$H$16:$H$5015,$B138,Transaksi!$I$16:$I$5015,$C138,Transaksi!$B$16:$B$5015,"&gt;="&amp;DATE(Dashboard!$C$4,7,1),Transaksi!$B$16:$B$5015,"&lt;="&amp;EOMONTH(DATE(Dashboard!$C$4,7,1),0)))</f>
        <v/>
      </c>
      <c r="K138" s="165">
        <f>IF($C138="","",SUMIFS(Transaksi!$F$16:$F$5015,Transaksi!$G$16:$G$5015,$A138,Transaksi!$H$16:$H$5015,$B138,Transaksi!$I$16:$I$5015,$C138,Transaksi!$B$16:$B$5015,"&gt;="&amp;DATE(Dashboard!$C$4,8,1),Transaksi!$B$16:$B$5015,"&lt;="&amp;EOMONTH(DATE(Dashboard!$C$4,8,1),0)))</f>
        <v/>
      </c>
      <c r="L138" s="165">
        <f>IF($C138="","",SUMIFS(Transaksi!$F$16:$F$5015,Transaksi!$G$16:$G$5015,$A138,Transaksi!$H$16:$H$5015,$B138,Transaksi!$I$16:$I$5015,$C138,Transaksi!$B$16:$B$5015,"&gt;="&amp;DATE(Dashboard!$C$4,9,1),Transaksi!$B$16:$B$5015,"&lt;="&amp;EOMONTH(DATE(Dashboard!$C$4,9,1),0)))</f>
        <v/>
      </c>
      <c r="M138" s="165">
        <f>IF($C138="","",SUMIFS(Transaksi!$F$16:$F$5015,Transaksi!$G$16:$G$5015,$A138,Transaksi!$H$16:$H$5015,$B138,Transaksi!$I$16:$I$5015,$C138,Transaksi!$B$16:$B$5015,"&gt;="&amp;DATE(Dashboard!$C$4,10,1),Transaksi!$B$16:$B$5015,"&lt;="&amp;EOMONTH(DATE(Dashboard!$C$4,10,1),0)))</f>
        <v/>
      </c>
      <c r="N138" s="165">
        <f>IF($C138="","",SUMIFS(Transaksi!$F$16:$F$5015,Transaksi!$G$16:$G$5015,$A138,Transaksi!$H$16:$H$5015,$B138,Transaksi!$I$16:$I$5015,$C138,Transaksi!$B$16:$B$5015,"&gt;="&amp;DATE(Dashboard!$C$4,11,1),Transaksi!$B$16:$B$5015,"&lt;="&amp;EOMONTH(DATE(Dashboard!$C$4,11,1),0)))</f>
        <v/>
      </c>
      <c r="O138" s="165">
        <f>IF($C138="","",SUMIFS(Transaksi!$F$16:$F$5015,Transaksi!$G$16:$G$5015,$A138,Transaksi!$H$16:$H$5015,$B138,Transaksi!$I$16:$I$5015,$C138,Transaksi!$B$16:$B$5015,"&gt;="&amp;DATE(Dashboard!$C$4,12,1),Transaksi!$B$16:$B$5015,"&lt;="&amp;EOMONTH(DATE(Dashboard!$C$4,12,1),0)))</f>
        <v/>
      </c>
      <c r="P138" s="166">
        <f>IF($C138="","",SUM(D138:O138))</f>
        <v/>
      </c>
    </row>
    <row r="139" ht="15" customHeight="1" s="94">
      <c r="A139" s="164">
        <f>IF(Kategori!C139="","",Kategori!A139)</f>
        <v/>
      </c>
      <c r="B139" s="164">
        <f>IF(Kategori!C139="","",Kategori!B139)</f>
        <v/>
      </c>
      <c r="C139" s="108">
        <f>IF(Kategori!C139="","",Kategori!C139)</f>
        <v/>
      </c>
      <c r="D139" s="165">
        <f>IF($C139="","",SUMIFS(Transaksi!$F$16:$F$5015,Transaksi!$G$16:$G$5015,$A139,Transaksi!$H$16:$H$5015,$B139,Transaksi!$I$16:$I$5015,$C139,Transaksi!$B$16:$B$5015,"&gt;="&amp;DATE(Dashboard!$C$4,1,1),Transaksi!$B$16:$B$5015,"&lt;="&amp;EOMONTH(DATE(Dashboard!$C$4,1,1),0)))</f>
        <v/>
      </c>
      <c r="E139" s="165">
        <f>IF($C139="","",SUMIFS(Transaksi!$F$16:$F$5015,Transaksi!$G$16:$G$5015,$A139,Transaksi!$H$16:$H$5015,$B139,Transaksi!$I$16:$I$5015,$C139,Transaksi!$B$16:$B$5015,"&gt;="&amp;DATE(Dashboard!$C$4,2,1),Transaksi!$B$16:$B$5015,"&lt;="&amp;EOMONTH(DATE(Dashboard!$C$4,2,1),0)))</f>
        <v/>
      </c>
      <c r="F139" s="165">
        <f>IF($C139="","",SUMIFS(Transaksi!$F$16:$F$5015,Transaksi!$G$16:$G$5015,$A139,Transaksi!$H$16:$H$5015,$B139,Transaksi!$I$16:$I$5015,$C139,Transaksi!$B$16:$B$5015,"&gt;="&amp;DATE(Dashboard!$C$4,3,1),Transaksi!$B$16:$B$5015,"&lt;="&amp;EOMONTH(DATE(Dashboard!$C$4,3,1),0)))</f>
        <v/>
      </c>
      <c r="G139" s="165">
        <f>IF($C139="","",SUMIFS(Transaksi!$F$16:$F$5015,Transaksi!$G$16:$G$5015,$A139,Transaksi!$H$16:$H$5015,$B139,Transaksi!$I$16:$I$5015,$C139,Transaksi!$B$16:$B$5015,"&gt;="&amp;DATE(Dashboard!$C$4,4,1),Transaksi!$B$16:$B$5015,"&lt;="&amp;EOMONTH(DATE(Dashboard!$C$4,4,1),0)))</f>
        <v/>
      </c>
      <c r="H139" s="165">
        <f>IF($C139="","",SUMIFS(Transaksi!$F$16:$F$5015,Transaksi!$G$16:$G$5015,$A139,Transaksi!$H$16:$H$5015,$B139,Transaksi!$I$16:$I$5015,$C139,Transaksi!$B$16:$B$5015,"&gt;="&amp;DATE(Dashboard!$C$4,5,1),Transaksi!$B$16:$B$5015,"&lt;="&amp;EOMONTH(DATE(Dashboard!$C$4,5,1),0)))</f>
        <v/>
      </c>
      <c r="I139" s="165">
        <f>IF($C139="","",SUMIFS(Transaksi!$F$16:$F$5015,Transaksi!$G$16:$G$5015,$A139,Transaksi!$H$16:$H$5015,$B139,Transaksi!$I$16:$I$5015,$C139,Transaksi!$B$16:$B$5015,"&gt;="&amp;DATE(Dashboard!$C$4,6,1),Transaksi!$B$16:$B$5015,"&lt;="&amp;EOMONTH(DATE(Dashboard!$C$4,6,1),0)))</f>
        <v/>
      </c>
      <c r="J139" s="165">
        <f>IF($C139="","",SUMIFS(Transaksi!$F$16:$F$5015,Transaksi!$G$16:$G$5015,$A139,Transaksi!$H$16:$H$5015,$B139,Transaksi!$I$16:$I$5015,$C139,Transaksi!$B$16:$B$5015,"&gt;="&amp;DATE(Dashboard!$C$4,7,1),Transaksi!$B$16:$B$5015,"&lt;="&amp;EOMONTH(DATE(Dashboard!$C$4,7,1),0)))</f>
        <v/>
      </c>
      <c r="K139" s="165">
        <f>IF($C139="","",SUMIFS(Transaksi!$F$16:$F$5015,Transaksi!$G$16:$G$5015,$A139,Transaksi!$H$16:$H$5015,$B139,Transaksi!$I$16:$I$5015,$C139,Transaksi!$B$16:$B$5015,"&gt;="&amp;DATE(Dashboard!$C$4,8,1),Transaksi!$B$16:$B$5015,"&lt;="&amp;EOMONTH(DATE(Dashboard!$C$4,8,1),0)))</f>
        <v/>
      </c>
      <c r="L139" s="165">
        <f>IF($C139="","",SUMIFS(Transaksi!$F$16:$F$5015,Transaksi!$G$16:$G$5015,$A139,Transaksi!$H$16:$H$5015,$B139,Transaksi!$I$16:$I$5015,$C139,Transaksi!$B$16:$B$5015,"&gt;="&amp;DATE(Dashboard!$C$4,9,1),Transaksi!$B$16:$B$5015,"&lt;="&amp;EOMONTH(DATE(Dashboard!$C$4,9,1),0)))</f>
        <v/>
      </c>
      <c r="M139" s="165">
        <f>IF($C139="","",SUMIFS(Transaksi!$F$16:$F$5015,Transaksi!$G$16:$G$5015,$A139,Transaksi!$H$16:$H$5015,$B139,Transaksi!$I$16:$I$5015,$C139,Transaksi!$B$16:$B$5015,"&gt;="&amp;DATE(Dashboard!$C$4,10,1),Transaksi!$B$16:$B$5015,"&lt;="&amp;EOMONTH(DATE(Dashboard!$C$4,10,1),0)))</f>
        <v/>
      </c>
      <c r="N139" s="165">
        <f>IF($C139="","",SUMIFS(Transaksi!$F$16:$F$5015,Transaksi!$G$16:$G$5015,$A139,Transaksi!$H$16:$H$5015,$B139,Transaksi!$I$16:$I$5015,$C139,Transaksi!$B$16:$B$5015,"&gt;="&amp;DATE(Dashboard!$C$4,11,1),Transaksi!$B$16:$B$5015,"&lt;="&amp;EOMONTH(DATE(Dashboard!$C$4,11,1),0)))</f>
        <v/>
      </c>
      <c r="O139" s="165">
        <f>IF($C139="","",SUMIFS(Transaksi!$F$16:$F$5015,Transaksi!$G$16:$G$5015,$A139,Transaksi!$H$16:$H$5015,$B139,Transaksi!$I$16:$I$5015,$C139,Transaksi!$B$16:$B$5015,"&gt;="&amp;DATE(Dashboard!$C$4,12,1),Transaksi!$B$16:$B$5015,"&lt;="&amp;EOMONTH(DATE(Dashboard!$C$4,12,1),0)))</f>
        <v/>
      </c>
      <c r="P139" s="166">
        <f>IF($C139="","",SUM(D139:O139))</f>
        <v/>
      </c>
    </row>
    <row r="140" ht="15" customHeight="1" s="94">
      <c r="A140" s="164">
        <f>IF(Kategori!C140="","",Kategori!A140)</f>
        <v/>
      </c>
      <c r="B140" s="164">
        <f>IF(Kategori!C140="","",Kategori!B140)</f>
        <v/>
      </c>
      <c r="C140" s="108">
        <f>IF(Kategori!C140="","",Kategori!C140)</f>
        <v/>
      </c>
      <c r="D140" s="165">
        <f>IF($C140="","",SUMIFS(Transaksi!$F$16:$F$5015,Transaksi!$G$16:$G$5015,$A140,Transaksi!$H$16:$H$5015,$B140,Transaksi!$I$16:$I$5015,$C140,Transaksi!$B$16:$B$5015,"&gt;="&amp;DATE(Dashboard!$C$4,1,1),Transaksi!$B$16:$B$5015,"&lt;="&amp;EOMONTH(DATE(Dashboard!$C$4,1,1),0)))</f>
        <v/>
      </c>
      <c r="E140" s="165">
        <f>IF($C140="","",SUMIFS(Transaksi!$F$16:$F$5015,Transaksi!$G$16:$G$5015,$A140,Transaksi!$H$16:$H$5015,$B140,Transaksi!$I$16:$I$5015,$C140,Transaksi!$B$16:$B$5015,"&gt;="&amp;DATE(Dashboard!$C$4,2,1),Transaksi!$B$16:$B$5015,"&lt;="&amp;EOMONTH(DATE(Dashboard!$C$4,2,1),0)))</f>
        <v/>
      </c>
      <c r="F140" s="165">
        <f>IF($C140="","",SUMIFS(Transaksi!$F$16:$F$5015,Transaksi!$G$16:$G$5015,$A140,Transaksi!$H$16:$H$5015,$B140,Transaksi!$I$16:$I$5015,$C140,Transaksi!$B$16:$B$5015,"&gt;="&amp;DATE(Dashboard!$C$4,3,1),Transaksi!$B$16:$B$5015,"&lt;="&amp;EOMONTH(DATE(Dashboard!$C$4,3,1),0)))</f>
        <v/>
      </c>
      <c r="G140" s="165">
        <f>IF($C140="","",SUMIFS(Transaksi!$F$16:$F$5015,Transaksi!$G$16:$G$5015,$A140,Transaksi!$H$16:$H$5015,$B140,Transaksi!$I$16:$I$5015,$C140,Transaksi!$B$16:$B$5015,"&gt;="&amp;DATE(Dashboard!$C$4,4,1),Transaksi!$B$16:$B$5015,"&lt;="&amp;EOMONTH(DATE(Dashboard!$C$4,4,1),0)))</f>
        <v/>
      </c>
      <c r="H140" s="165">
        <f>IF($C140="","",SUMIFS(Transaksi!$F$16:$F$5015,Transaksi!$G$16:$G$5015,$A140,Transaksi!$H$16:$H$5015,$B140,Transaksi!$I$16:$I$5015,$C140,Transaksi!$B$16:$B$5015,"&gt;="&amp;DATE(Dashboard!$C$4,5,1),Transaksi!$B$16:$B$5015,"&lt;="&amp;EOMONTH(DATE(Dashboard!$C$4,5,1),0)))</f>
        <v/>
      </c>
      <c r="I140" s="165">
        <f>IF($C140="","",SUMIFS(Transaksi!$F$16:$F$5015,Transaksi!$G$16:$G$5015,$A140,Transaksi!$H$16:$H$5015,$B140,Transaksi!$I$16:$I$5015,$C140,Transaksi!$B$16:$B$5015,"&gt;="&amp;DATE(Dashboard!$C$4,6,1),Transaksi!$B$16:$B$5015,"&lt;="&amp;EOMONTH(DATE(Dashboard!$C$4,6,1),0)))</f>
        <v/>
      </c>
      <c r="J140" s="165">
        <f>IF($C140="","",SUMIFS(Transaksi!$F$16:$F$5015,Transaksi!$G$16:$G$5015,$A140,Transaksi!$H$16:$H$5015,$B140,Transaksi!$I$16:$I$5015,$C140,Transaksi!$B$16:$B$5015,"&gt;="&amp;DATE(Dashboard!$C$4,7,1),Transaksi!$B$16:$B$5015,"&lt;="&amp;EOMONTH(DATE(Dashboard!$C$4,7,1),0)))</f>
        <v/>
      </c>
      <c r="K140" s="165">
        <f>IF($C140="","",SUMIFS(Transaksi!$F$16:$F$5015,Transaksi!$G$16:$G$5015,$A140,Transaksi!$H$16:$H$5015,$B140,Transaksi!$I$16:$I$5015,$C140,Transaksi!$B$16:$B$5015,"&gt;="&amp;DATE(Dashboard!$C$4,8,1),Transaksi!$B$16:$B$5015,"&lt;="&amp;EOMONTH(DATE(Dashboard!$C$4,8,1),0)))</f>
        <v/>
      </c>
      <c r="L140" s="165">
        <f>IF($C140="","",SUMIFS(Transaksi!$F$16:$F$5015,Transaksi!$G$16:$G$5015,$A140,Transaksi!$H$16:$H$5015,$B140,Transaksi!$I$16:$I$5015,$C140,Transaksi!$B$16:$B$5015,"&gt;="&amp;DATE(Dashboard!$C$4,9,1),Transaksi!$B$16:$B$5015,"&lt;="&amp;EOMONTH(DATE(Dashboard!$C$4,9,1),0)))</f>
        <v/>
      </c>
      <c r="M140" s="165">
        <f>IF($C140="","",SUMIFS(Transaksi!$F$16:$F$5015,Transaksi!$G$16:$G$5015,$A140,Transaksi!$H$16:$H$5015,$B140,Transaksi!$I$16:$I$5015,$C140,Transaksi!$B$16:$B$5015,"&gt;="&amp;DATE(Dashboard!$C$4,10,1),Transaksi!$B$16:$B$5015,"&lt;="&amp;EOMONTH(DATE(Dashboard!$C$4,10,1),0)))</f>
        <v/>
      </c>
      <c r="N140" s="165">
        <f>IF($C140="","",SUMIFS(Transaksi!$F$16:$F$5015,Transaksi!$G$16:$G$5015,$A140,Transaksi!$H$16:$H$5015,$B140,Transaksi!$I$16:$I$5015,$C140,Transaksi!$B$16:$B$5015,"&gt;="&amp;DATE(Dashboard!$C$4,11,1),Transaksi!$B$16:$B$5015,"&lt;="&amp;EOMONTH(DATE(Dashboard!$C$4,11,1),0)))</f>
        <v/>
      </c>
      <c r="O140" s="165">
        <f>IF($C140="","",SUMIFS(Transaksi!$F$16:$F$5015,Transaksi!$G$16:$G$5015,$A140,Transaksi!$H$16:$H$5015,$B140,Transaksi!$I$16:$I$5015,$C140,Transaksi!$B$16:$B$5015,"&gt;="&amp;DATE(Dashboard!$C$4,12,1),Transaksi!$B$16:$B$5015,"&lt;="&amp;EOMONTH(DATE(Dashboard!$C$4,12,1),0)))</f>
        <v/>
      </c>
      <c r="P140" s="166">
        <f>IF($C140="","",SUM(D140:O140))</f>
        <v/>
      </c>
    </row>
    <row r="141" ht="15" customHeight="1" s="94">
      <c r="A141" s="164">
        <f>IF(Kategori!C141="","",Kategori!A141)</f>
        <v/>
      </c>
      <c r="B141" s="164">
        <f>IF(Kategori!C141="","",Kategori!B141)</f>
        <v/>
      </c>
      <c r="C141" s="108">
        <f>IF(Kategori!C141="","",Kategori!C141)</f>
        <v/>
      </c>
      <c r="D141" s="165">
        <f>IF($C141="","",SUMIFS(Transaksi!$F$16:$F$5015,Transaksi!$G$16:$G$5015,$A141,Transaksi!$H$16:$H$5015,$B141,Transaksi!$I$16:$I$5015,$C141,Transaksi!$B$16:$B$5015,"&gt;="&amp;DATE(Dashboard!$C$4,1,1),Transaksi!$B$16:$B$5015,"&lt;="&amp;EOMONTH(DATE(Dashboard!$C$4,1,1),0)))</f>
        <v/>
      </c>
      <c r="E141" s="165">
        <f>IF($C141="","",SUMIFS(Transaksi!$F$16:$F$5015,Transaksi!$G$16:$G$5015,$A141,Transaksi!$H$16:$H$5015,$B141,Transaksi!$I$16:$I$5015,$C141,Transaksi!$B$16:$B$5015,"&gt;="&amp;DATE(Dashboard!$C$4,2,1),Transaksi!$B$16:$B$5015,"&lt;="&amp;EOMONTH(DATE(Dashboard!$C$4,2,1),0)))</f>
        <v/>
      </c>
      <c r="F141" s="165">
        <f>IF($C141="","",SUMIFS(Transaksi!$F$16:$F$5015,Transaksi!$G$16:$G$5015,$A141,Transaksi!$H$16:$H$5015,$B141,Transaksi!$I$16:$I$5015,$C141,Transaksi!$B$16:$B$5015,"&gt;="&amp;DATE(Dashboard!$C$4,3,1),Transaksi!$B$16:$B$5015,"&lt;="&amp;EOMONTH(DATE(Dashboard!$C$4,3,1),0)))</f>
        <v/>
      </c>
      <c r="G141" s="165">
        <f>IF($C141="","",SUMIFS(Transaksi!$F$16:$F$5015,Transaksi!$G$16:$G$5015,$A141,Transaksi!$H$16:$H$5015,$B141,Transaksi!$I$16:$I$5015,$C141,Transaksi!$B$16:$B$5015,"&gt;="&amp;DATE(Dashboard!$C$4,4,1),Transaksi!$B$16:$B$5015,"&lt;="&amp;EOMONTH(DATE(Dashboard!$C$4,4,1),0)))</f>
        <v/>
      </c>
      <c r="H141" s="165">
        <f>IF($C141="","",SUMIFS(Transaksi!$F$16:$F$5015,Transaksi!$G$16:$G$5015,$A141,Transaksi!$H$16:$H$5015,$B141,Transaksi!$I$16:$I$5015,$C141,Transaksi!$B$16:$B$5015,"&gt;="&amp;DATE(Dashboard!$C$4,5,1),Transaksi!$B$16:$B$5015,"&lt;="&amp;EOMONTH(DATE(Dashboard!$C$4,5,1),0)))</f>
        <v/>
      </c>
      <c r="I141" s="165">
        <f>IF($C141="","",SUMIFS(Transaksi!$F$16:$F$5015,Transaksi!$G$16:$G$5015,$A141,Transaksi!$H$16:$H$5015,$B141,Transaksi!$I$16:$I$5015,$C141,Transaksi!$B$16:$B$5015,"&gt;="&amp;DATE(Dashboard!$C$4,6,1),Transaksi!$B$16:$B$5015,"&lt;="&amp;EOMONTH(DATE(Dashboard!$C$4,6,1),0)))</f>
        <v/>
      </c>
      <c r="J141" s="165">
        <f>IF($C141="","",SUMIFS(Transaksi!$F$16:$F$5015,Transaksi!$G$16:$G$5015,$A141,Transaksi!$H$16:$H$5015,$B141,Transaksi!$I$16:$I$5015,$C141,Transaksi!$B$16:$B$5015,"&gt;="&amp;DATE(Dashboard!$C$4,7,1),Transaksi!$B$16:$B$5015,"&lt;="&amp;EOMONTH(DATE(Dashboard!$C$4,7,1),0)))</f>
        <v/>
      </c>
      <c r="K141" s="165">
        <f>IF($C141="","",SUMIFS(Transaksi!$F$16:$F$5015,Transaksi!$G$16:$G$5015,$A141,Transaksi!$H$16:$H$5015,$B141,Transaksi!$I$16:$I$5015,$C141,Transaksi!$B$16:$B$5015,"&gt;="&amp;DATE(Dashboard!$C$4,8,1),Transaksi!$B$16:$B$5015,"&lt;="&amp;EOMONTH(DATE(Dashboard!$C$4,8,1),0)))</f>
        <v/>
      </c>
      <c r="L141" s="165">
        <f>IF($C141="","",SUMIFS(Transaksi!$F$16:$F$5015,Transaksi!$G$16:$G$5015,$A141,Transaksi!$H$16:$H$5015,$B141,Transaksi!$I$16:$I$5015,$C141,Transaksi!$B$16:$B$5015,"&gt;="&amp;DATE(Dashboard!$C$4,9,1),Transaksi!$B$16:$B$5015,"&lt;="&amp;EOMONTH(DATE(Dashboard!$C$4,9,1),0)))</f>
        <v/>
      </c>
      <c r="M141" s="165">
        <f>IF($C141="","",SUMIFS(Transaksi!$F$16:$F$5015,Transaksi!$G$16:$G$5015,$A141,Transaksi!$H$16:$H$5015,$B141,Transaksi!$I$16:$I$5015,$C141,Transaksi!$B$16:$B$5015,"&gt;="&amp;DATE(Dashboard!$C$4,10,1),Transaksi!$B$16:$B$5015,"&lt;="&amp;EOMONTH(DATE(Dashboard!$C$4,10,1),0)))</f>
        <v/>
      </c>
      <c r="N141" s="165">
        <f>IF($C141="","",SUMIFS(Transaksi!$F$16:$F$5015,Transaksi!$G$16:$G$5015,$A141,Transaksi!$H$16:$H$5015,$B141,Transaksi!$I$16:$I$5015,$C141,Transaksi!$B$16:$B$5015,"&gt;="&amp;DATE(Dashboard!$C$4,11,1),Transaksi!$B$16:$B$5015,"&lt;="&amp;EOMONTH(DATE(Dashboard!$C$4,11,1),0)))</f>
        <v/>
      </c>
      <c r="O141" s="165">
        <f>IF($C141="","",SUMIFS(Transaksi!$F$16:$F$5015,Transaksi!$G$16:$G$5015,$A141,Transaksi!$H$16:$H$5015,$B141,Transaksi!$I$16:$I$5015,$C141,Transaksi!$B$16:$B$5015,"&gt;="&amp;DATE(Dashboard!$C$4,12,1),Transaksi!$B$16:$B$5015,"&lt;="&amp;EOMONTH(DATE(Dashboard!$C$4,12,1),0)))</f>
        <v/>
      </c>
      <c r="P141" s="166">
        <f>IF($C141="","",SUM(D141:O141))</f>
        <v/>
      </c>
    </row>
    <row r="142" ht="15" customHeight="1" s="94">
      <c r="A142" s="164">
        <f>IF(Kategori!C142="","",Kategori!A142)</f>
        <v/>
      </c>
      <c r="B142" s="164">
        <f>IF(Kategori!C142="","",Kategori!B142)</f>
        <v/>
      </c>
      <c r="C142" s="108">
        <f>IF(Kategori!C142="","",Kategori!C142)</f>
        <v/>
      </c>
      <c r="D142" s="165">
        <f>IF($C142="","",SUMIFS(Transaksi!$F$16:$F$5015,Transaksi!$G$16:$G$5015,$A142,Transaksi!$H$16:$H$5015,$B142,Transaksi!$I$16:$I$5015,$C142,Transaksi!$B$16:$B$5015,"&gt;="&amp;DATE(Dashboard!$C$4,1,1),Transaksi!$B$16:$B$5015,"&lt;="&amp;EOMONTH(DATE(Dashboard!$C$4,1,1),0)))</f>
        <v/>
      </c>
      <c r="E142" s="165">
        <f>IF($C142="","",SUMIFS(Transaksi!$F$16:$F$5015,Transaksi!$G$16:$G$5015,$A142,Transaksi!$H$16:$H$5015,$B142,Transaksi!$I$16:$I$5015,$C142,Transaksi!$B$16:$B$5015,"&gt;="&amp;DATE(Dashboard!$C$4,2,1),Transaksi!$B$16:$B$5015,"&lt;="&amp;EOMONTH(DATE(Dashboard!$C$4,2,1),0)))</f>
        <v/>
      </c>
      <c r="F142" s="165">
        <f>IF($C142="","",SUMIFS(Transaksi!$F$16:$F$5015,Transaksi!$G$16:$G$5015,$A142,Transaksi!$H$16:$H$5015,$B142,Transaksi!$I$16:$I$5015,$C142,Transaksi!$B$16:$B$5015,"&gt;="&amp;DATE(Dashboard!$C$4,3,1),Transaksi!$B$16:$B$5015,"&lt;="&amp;EOMONTH(DATE(Dashboard!$C$4,3,1),0)))</f>
        <v/>
      </c>
      <c r="G142" s="165">
        <f>IF($C142="","",SUMIFS(Transaksi!$F$16:$F$5015,Transaksi!$G$16:$G$5015,$A142,Transaksi!$H$16:$H$5015,$B142,Transaksi!$I$16:$I$5015,$C142,Transaksi!$B$16:$B$5015,"&gt;="&amp;DATE(Dashboard!$C$4,4,1),Transaksi!$B$16:$B$5015,"&lt;="&amp;EOMONTH(DATE(Dashboard!$C$4,4,1),0)))</f>
        <v/>
      </c>
      <c r="H142" s="165">
        <f>IF($C142="","",SUMIFS(Transaksi!$F$16:$F$5015,Transaksi!$G$16:$G$5015,$A142,Transaksi!$H$16:$H$5015,$B142,Transaksi!$I$16:$I$5015,$C142,Transaksi!$B$16:$B$5015,"&gt;="&amp;DATE(Dashboard!$C$4,5,1),Transaksi!$B$16:$B$5015,"&lt;="&amp;EOMONTH(DATE(Dashboard!$C$4,5,1),0)))</f>
        <v/>
      </c>
      <c r="I142" s="165">
        <f>IF($C142="","",SUMIFS(Transaksi!$F$16:$F$5015,Transaksi!$G$16:$G$5015,$A142,Transaksi!$H$16:$H$5015,$B142,Transaksi!$I$16:$I$5015,$C142,Transaksi!$B$16:$B$5015,"&gt;="&amp;DATE(Dashboard!$C$4,6,1),Transaksi!$B$16:$B$5015,"&lt;="&amp;EOMONTH(DATE(Dashboard!$C$4,6,1),0)))</f>
        <v/>
      </c>
      <c r="J142" s="165">
        <f>IF($C142="","",SUMIFS(Transaksi!$F$16:$F$5015,Transaksi!$G$16:$G$5015,$A142,Transaksi!$H$16:$H$5015,$B142,Transaksi!$I$16:$I$5015,$C142,Transaksi!$B$16:$B$5015,"&gt;="&amp;DATE(Dashboard!$C$4,7,1),Transaksi!$B$16:$B$5015,"&lt;="&amp;EOMONTH(DATE(Dashboard!$C$4,7,1),0)))</f>
        <v/>
      </c>
      <c r="K142" s="165">
        <f>IF($C142="","",SUMIFS(Transaksi!$F$16:$F$5015,Transaksi!$G$16:$G$5015,$A142,Transaksi!$H$16:$H$5015,$B142,Transaksi!$I$16:$I$5015,$C142,Transaksi!$B$16:$B$5015,"&gt;="&amp;DATE(Dashboard!$C$4,8,1),Transaksi!$B$16:$B$5015,"&lt;="&amp;EOMONTH(DATE(Dashboard!$C$4,8,1),0)))</f>
        <v/>
      </c>
      <c r="L142" s="165">
        <f>IF($C142="","",SUMIFS(Transaksi!$F$16:$F$5015,Transaksi!$G$16:$G$5015,$A142,Transaksi!$H$16:$H$5015,$B142,Transaksi!$I$16:$I$5015,$C142,Transaksi!$B$16:$B$5015,"&gt;="&amp;DATE(Dashboard!$C$4,9,1),Transaksi!$B$16:$B$5015,"&lt;="&amp;EOMONTH(DATE(Dashboard!$C$4,9,1),0)))</f>
        <v/>
      </c>
      <c r="M142" s="165">
        <f>IF($C142="","",SUMIFS(Transaksi!$F$16:$F$5015,Transaksi!$G$16:$G$5015,$A142,Transaksi!$H$16:$H$5015,$B142,Transaksi!$I$16:$I$5015,$C142,Transaksi!$B$16:$B$5015,"&gt;="&amp;DATE(Dashboard!$C$4,10,1),Transaksi!$B$16:$B$5015,"&lt;="&amp;EOMONTH(DATE(Dashboard!$C$4,10,1),0)))</f>
        <v/>
      </c>
      <c r="N142" s="165">
        <f>IF($C142="","",SUMIFS(Transaksi!$F$16:$F$5015,Transaksi!$G$16:$G$5015,$A142,Transaksi!$H$16:$H$5015,$B142,Transaksi!$I$16:$I$5015,$C142,Transaksi!$B$16:$B$5015,"&gt;="&amp;DATE(Dashboard!$C$4,11,1),Transaksi!$B$16:$B$5015,"&lt;="&amp;EOMONTH(DATE(Dashboard!$C$4,11,1),0)))</f>
        <v/>
      </c>
      <c r="O142" s="165">
        <f>IF($C142="","",SUMIFS(Transaksi!$F$16:$F$5015,Transaksi!$G$16:$G$5015,$A142,Transaksi!$H$16:$H$5015,$B142,Transaksi!$I$16:$I$5015,$C142,Transaksi!$B$16:$B$5015,"&gt;="&amp;DATE(Dashboard!$C$4,12,1),Transaksi!$B$16:$B$5015,"&lt;="&amp;EOMONTH(DATE(Dashboard!$C$4,12,1),0)))</f>
        <v/>
      </c>
      <c r="P142" s="166">
        <f>IF($C142="","",SUM(D142:O142))</f>
        <v/>
      </c>
    </row>
    <row r="143" ht="15" customHeight="1" s="94">
      <c r="A143" s="164">
        <f>IF(Kategori!C143="","",Kategori!A143)</f>
        <v/>
      </c>
      <c r="B143" s="164">
        <f>IF(Kategori!C143="","",Kategori!B143)</f>
        <v/>
      </c>
      <c r="C143" s="108">
        <f>IF(Kategori!C143="","",Kategori!C143)</f>
        <v/>
      </c>
      <c r="D143" s="165">
        <f>IF($C143="","",SUMIFS(Transaksi!$F$16:$F$5015,Transaksi!$G$16:$G$5015,$A143,Transaksi!$H$16:$H$5015,$B143,Transaksi!$I$16:$I$5015,$C143,Transaksi!$B$16:$B$5015,"&gt;="&amp;DATE(Dashboard!$C$4,1,1),Transaksi!$B$16:$B$5015,"&lt;="&amp;EOMONTH(DATE(Dashboard!$C$4,1,1),0)))</f>
        <v/>
      </c>
      <c r="E143" s="165">
        <f>IF($C143="","",SUMIFS(Transaksi!$F$16:$F$5015,Transaksi!$G$16:$G$5015,$A143,Transaksi!$H$16:$H$5015,$B143,Transaksi!$I$16:$I$5015,$C143,Transaksi!$B$16:$B$5015,"&gt;="&amp;DATE(Dashboard!$C$4,2,1),Transaksi!$B$16:$B$5015,"&lt;="&amp;EOMONTH(DATE(Dashboard!$C$4,2,1),0)))</f>
        <v/>
      </c>
      <c r="F143" s="165">
        <f>IF($C143="","",SUMIFS(Transaksi!$F$16:$F$5015,Transaksi!$G$16:$G$5015,$A143,Transaksi!$H$16:$H$5015,$B143,Transaksi!$I$16:$I$5015,$C143,Transaksi!$B$16:$B$5015,"&gt;="&amp;DATE(Dashboard!$C$4,3,1),Transaksi!$B$16:$B$5015,"&lt;="&amp;EOMONTH(DATE(Dashboard!$C$4,3,1),0)))</f>
        <v/>
      </c>
      <c r="G143" s="165">
        <f>IF($C143="","",SUMIFS(Transaksi!$F$16:$F$5015,Transaksi!$G$16:$G$5015,$A143,Transaksi!$H$16:$H$5015,$B143,Transaksi!$I$16:$I$5015,$C143,Transaksi!$B$16:$B$5015,"&gt;="&amp;DATE(Dashboard!$C$4,4,1),Transaksi!$B$16:$B$5015,"&lt;="&amp;EOMONTH(DATE(Dashboard!$C$4,4,1),0)))</f>
        <v/>
      </c>
      <c r="H143" s="165">
        <f>IF($C143="","",SUMIFS(Transaksi!$F$16:$F$5015,Transaksi!$G$16:$G$5015,$A143,Transaksi!$H$16:$H$5015,$B143,Transaksi!$I$16:$I$5015,$C143,Transaksi!$B$16:$B$5015,"&gt;="&amp;DATE(Dashboard!$C$4,5,1),Transaksi!$B$16:$B$5015,"&lt;="&amp;EOMONTH(DATE(Dashboard!$C$4,5,1),0)))</f>
        <v/>
      </c>
      <c r="I143" s="165">
        <f>IF($C143="","",SUMIFS(Transaksi!$F$16:$F$5015,Transaksi!$G$16:$G$5015,$A143,Transaksi!$H$16:$H$5015,$B143,Transaksi!$I$16:$I$5015,$C143,Transaksi!$B$16:$B$5015,"&gt;="&amp;DATE(Dashboard!$C$4,6,1),Transaksi!$B$16:$B$5015,"&lt;="&amp;EOMONTH(DATE(Dashboard!$C$4,6,1),0)))</f>
        <v/>
      </c>
      <c r="J143" s="165">
        <f>IF($C143="","",SUMIFS(Transaksi!$F$16:$F$5015,Transaksi!$G$16:$G$5015,$A143,Transaksi!$H$16:$H$5015,$B143,Transaksi!$I$16:$I$5015,$C143,Transaksi!$B$16:$B$5015,"&gt;="&amp;DATE(Dashboard!$C$4,7,1),Transaksi!$B$16:$B$5015,"&lt;="&amp;EOMONTH(DATE(Dashboard!$C$4,7,1),0)))</f>
        <v/>
      </c>
      <c r="K143" s="165">
        <f>IF($C143="","",SUMIFS(Transaksi!$F$16:$F$5015,Transaksi!$G$16:$G$5015,$A143,Transaksi!$H$16:$H$5015,$B143,Transaksi!$I$16:$I$5015,$C143,Transaksi!$B$16:$B$5015,"&gt;="&amp;DATE(Dashboard!$C$4,8,1),Transaksi!$B$16:$B$5015,"&lt;="&amp;EOMONTH(DATE(Dashboard!$C$4,8,1),0)))</f>
        <v/>
      </c>
      <c r="L143" s="165">
        <f>IF($C143="","",SUMIFS(Transaksi!$F$16:$F$5015,Transaksi!$G$16:$G$5015,$A143,Transaksi!$H$16:$H$5015,$B143,Transaksi!$I$16:$I$5015,$C143,Transaksi!$B$16:$B$5015,"&gt;="&amp;DATE(Dashboard!$C$4,9,1),Transaksi!$B$16:$B$5015,"&lt;="&amp;EOMONTH(DATE(Dashboard!$C$4,9,1),0)))</f>
        <v/>
      </c>
      <c r="M143" s="165">
        <f>IF($C143="","",SUMIFS(Transaksi!$F$16:$F$5015,Transaksi!$G$16:$G$5015,$A143,Transaksi!$H$16:$H$5015,$B143,Transaksi!$I$16:$I$5015,$C143,Transaksi!$B$16:$B$5015,"&gt;="&amp;DATE(Dashboard!$C$4,10,1),Transaksi!$B$16:$B$5015,"&lt;="&amp;EOMONTH(DATE(Dashboard!$C$4,10,1),0)))</f>
        <v/>
      </c>
      <c r="N143" s="165">
        <f>IF($C143="","",SUMIFS(Transaksi!$F$16:$F$5015,Transaksi!$G$16:$G$5015,$A143,Transaksi!$H$16:$H$5015,$B143,Transaksi!$I$16:$I$5015,$C143,Transaksi!$B$16:$B$5015,"&gt;="&amp;DATE(Dashboard!$C$4,11,1),Transaksi!$B$16:$B$5015,"&lt;="&amp;EOMONTH(DATE(Dashboard!$C$4,11,1),0)))</f>
        <v/>
      </c>
      <c r="O143" s="165">
        <f>IF($C143="","",SUMIFS(Transaksi!$F$16:$F$5015,Transaksi!$G$16:$G$5015,$A143,Transaksi!$H$16:$H$5015,$B143,Transaksi!$I$16:$I$5015,$C143,Transaksi!$B$16:$B$5015,"&gt;="&amp;DATE(Dashboard!$C$4,12,1),Transaksi!$B$16:$B$5015,"&lt;="&amp;EOMONTH(DATE(Dashboard!$C$4,12,1),0)))</f>
        <v/>
      </c>
      <c r="P143" s="166">
        <f>IF($C143="","",SUM(D143:O143))</f>
        <v/>
      </c>
    </row>
    <row r="144" ht="15" customHeight="1" s="94">
      <c r="A144" s="164">
        <f>IF(Kategori!C144="","",Kategori!A144)</f>
        <v/>
      </c>
      <c r="B144" s="164">
        <f>IF(Kategori!C144="","",Kategori!B144)</f>
        <v/>
      </c>
      <c r="C144" s="108">
        <f>IF(Kategori!C144="","",Kategori!C144)</f>
        <v/>
      </c>
      <c r="D144" s="165">
        <f>IF($C144="","",SUMIFS(Transaksi!$F$16:$F$5015,Transaksi!$G$16:$G$5015,$A144,Transaksi!$H$16:$H$5015,$B144,Transaksi!$I$16:$I$5015,$C144,Transaksi!$B$16:$B$5015,"&gt;="&amp;DATE(Dashboard!$C$4,1,1),Transaksi!$B$16:$B$5015,"&lt;="&amp;EOMONTH(DATE(Dashboard!$C$4,1,1),0)))</f>
        <v/>
      </c>
      <c r="E144" s="165">
        <f>IF($C144="","",SUMIFS(Transaksi!$F$16:$F$5015,Transaksi!$G$16:$G$5015,$A144,Transaksi!$H$16:$H$5015,$B144,Transaksi!$I$16:$I$5015,$C144,Transaksi!$B$16:$B$5015,"&gt;="&amp;DATE(Dashboard!$C$4,2,1),Transaksi!$B$16:$B$5015,"&lt;="&amp;EOMONTH(DATE(Dashboard!$C$4,2,1),0)))</f>
        <v/>
      </c>
      <c r="F144" s="165">
        <f>IF($C144="","",SUMIFS(Transaksi!$F$16:$F$5015,Transaksi!$G$16:$G$5015,$A144,Transaksi!$H$16:$H$5015,$B144,Transaksi!$I$16:$I$5015,$C144,Transaksi!$B$16:$B$5015,"&gt;="&amp;DATE(Dashboard!$C$4,3,1),Transaksi!$B$16:$B$5015,"&lt;="&amp;EOMONTH(DATE(Dashboard!$C$4,3,1),0)))</f>
        <v/>
      </c>
      <c r="G144" s="165">
        <f>IF($C144="","",SUMIFS(Transaksi!$F$16:$F$5015,Transaksi!$G$16:$G$5015,$A144,Transaksi!$H$16:$H$5015,$B144,Transaksi!$I$16:$I$5015,$C144,Transaksi!$B$16:$B$5015,"&gt;="&amp;DATE(Dashboard!$C$4,4,1),Transaksi!$B$16:$B$5015,"&lt;="&amp;EOMONTH(DATE(Dashboard!$C$4,4,1),0)))</f>
        <v/>
      </c>
      <c r="H144" s="165">
        <f>IF($C144="","",SUMIFS(Transaksi!$F$16:$F$5015,Transaksi!$G$16:$G$5015,$A144,Transaksi!$H$16:$H$5015,$B144,Transaksi!$I$16:$I$5015,$C144,Transaksi!$B$16:$B$5015,"&gt;="&amp;DATE(Dashboard!$C$4,5,1),Transaksi!$B$16:$B$5015,"&lt;="&amp;EOMONTH(DATE(Dashboard!$C$4,5,1),0)))</f>
        <v/>
      </c>
      <c r="I144" s="165">
        <f>IF($C144="","",SUMIFS(Transaksi!$F$16:$F$5015,Transaksi!$G$16:$G$5015,$A144,Transaksi!$H$16:$H$5015,$B144,Transaksi!$I$16:$I$5015,$C144,Transaksi!$B$16:$B$5015,"&gt;="&amp;DATE(Dashboard!$C$4,6,1),Transaksi!$B$16:$B$5015,"&lt;="&amp;EOMONTH(DATE(Dashboard!$C$4,6,1),0)))</f>
        <v/>
      </c>
      <c r="J144" s="165">
        <f>IF($C144="","",SUMIFS(Transaksi!$F$16:$F$5015,Transaksi!$G$16:$G$5015,$A144,Transaksi!$H$16:$H$5015,$B144,Transaksi!$I$16:$I$5015,$C144,Transaksi!$B$16:$B$5015,"&gt;="&amp;DATE(Dashboard!$C$4,7,1),Transaksi!$B$16:$B$5015,"&lt;="&amp;EOMONTH(DATE(Dashboard!$C$4,7,1),0)))</f>
        <v/>
      </c>
      <c r="K144" s="165">
        <f>IF($C144="","",SUMIFS(Transaksi!$F$16:$F$5015,Transaksi!$G$16:$G$5015,$A144,Transaksi!$H$16:$H$5015,$B144,Transaksi!$I$16:$I$5015,$C144,Transaksi!$B$16:$B$5015,"&gt;="&amp;DATE(Dashboard!$C$4,8,1),Transaksi!$B$16:$B$5015,"&lt;="&amp;EOMONTH(DATE(Dashboard!$C$4,8,1),0)))</f>
        <v/>
      </c>
      <c r="L144" s="165">
        <f>IF($C144="","",SUMIFS(Transaksi!$F$16:$F$5015,Transaksi!$G$16:$G$5015,$A144,Transaksi!$H$16:$H$5015,$B144,Transaksi!$I$16:$I$5015,$C144,Transaksi!$B$16:$B$5015,"&gt;="&amp;DATE(Dashboard!$C$4,9,1),Transaksi!$B$16:$B$5015,"&lt;="&amp;EOMONTH(DATE(Dashboard!$C$4,9,1),0)))</f>
        <v/>
      </c>
      <c r="M144" s="165">
        <f>IF($C144="","",SUMIFS(Transaksi!$F$16:$F$5015,Transaksi!$G$16:$G$5015,$A144,Transaksi!$H$16:$H$5015,$B144,Transaksi!$I$16:$I$5015,$C144,Transaksi!$B$16:$B$5015,"&gt;="&amp;DATE(Dashboard!$C$4,10,1),Transaksi!$B$16:$B$5015,"&lt;="&amp;EOMONTH(DATE(Dashboard!$C$4,10,1),0)))</f>
        <v/>
      </c>
      <c r="N144" s="165">
        <f>IF($C144="","",SUMIFS(Transaksi!$F$16:$F$5015,Transaksi!$G$16:$G$5015,$A144,Transaksi!$H$16:$H$5015,$B144,Transaksi!$I$16:$I$5015,$C144,Transaksi!$B$16:$B$5015,"&gt;="&amp;DATE(Dashboard!$C$4,11,1),Transaksi!$B$16:$B$5015,"&lt;="&amp;EOMONTH(DATE(Dashboard!$C$4,11,1),0)))</f>
        <v/>
      </c>
      <c r="O144" s="165">
        <f>IF($C144="","",SUMIFS(Transaksi!$F$16:$F$5015,Transaksi!$G$16:$G$5015,$A144,Transaksi!$H$16:$H$5015,$B144,Transaksi!$I$16:$I$5015,$C144,Transaksi!$B$16:$B$5015,"&gt;="&amp;DATE(Dashboard!$C$4,12,1),Transaksi!$B$16:$B$5015,"&lt;="&amp;EOMONTH(DATE(Dashboard!$C$4,12,1),0)))</f>
        <v/>
      </c>
      <c r="P144" s="166">
        <f>IF($C144="","",SUM(D144:O144))</f>
        <v/>
      </c>
    </row>
    <row r="145" ht="15" customHeight="1" s="94">
      <c r="A145" s="164">
        <f>IF(Kategori!C145="","",Kategori!A145)</f>
        <v/>
      </c>
      <c r="B145" s="164">
        <f>IF(Kategori!C145="","",Kategori!B145)</f>
        <v/>
      </c>
      <c r="C145" s="108">
        <f>IF(Kategori!C145="","",Kategori!C145)</f>
        <v/>
      </c>
      <c r="D145" s="165">
        <f>IF($C145="","",SUMIFS(Transaksi!$F$16:$F$5015,Transaksi!$G$16:$G$5015,$A145,Transaksi!$H$16:$H$5015,$B145,Transaksi!$I$16:$I$5015,$C145,Transaksi!$B$16:$B$5015,"&gt;="&amp;DATE(Dashboard!$C$4,1,1),Transaksi!$B$16:$B$5015,"&lt;="&amp;EOMONTH(DATE(Dashboard!$C$4,1,1),0)))</f>
        <v/>
      </c>
      <c r="E145" s="165">
        <f>IF($C145="","",SUMIFS(Transaksi!$F$16:$F$5015,Transaksi!$G$16:$G$5015,$A145,Transaksi!$H$16:$H$5015,$B145,Transaksi!$I$16:$I$5015,$C145,Transaksi!$B$16:$B$5015,"&gt;="&amp;DATE(Dashboard!$C$4,2,1),Transaksi!$B$16:$B$5015,"&lt;="&amp;EOMONTH(DATE(Dashboard!$C$4,2,1),0)))</f>
        <v/>
      </c>
      <c r="F145" s="165">
        <f>IF($C145="","",SUMIFS(Transaksi!$F$16:$F$5015,Transaksi!$G$16:$G$5015,$A145,Transaksi!$H$16:$H$5015,$B145,Transaksi!$I$16:$I$5015,$C145,Transaksi!$B$16:$B$5015,"&gt;="&amp;DATE(Dashboard!$C$4,3,1),Transaksi!$B$16:$B$5015,"&lt;="&amp;EOMONTH(DATE(Dashboard!$C$4,3,1),0)))</f>
        <v/>
      </c>
      <c r="G145" s="165">
        <f>IF($C145="","",SUMIFS(Transaksi!$F$16:$F$5015,Transaksi!$G$16:$G$5015,$A145,Transaksi!$H$16:$H$5015,$B145,Transaksi!$I$16:$I$5015,$C145,Transaksi!$B$16:$B$5015,"&gt;="&amp;DATE(Dashboard!$C$4,4,1),Transaksi!$B$16:$B$5015,"&lt;="&amp;EOMONTH(DATE(Dashboard!$C$4,4,1),0)))</f>
        <v/>
      </c>
      <c r="H145" s="165">
        <f>IF($C145="","",SUMIFS(Transaksi!$F$16:$F$5015,Transaksi!$G$16:$G$5015,$A145,Transaksi!$H$16:$H$5015,$B145,Transaksi!$I$16:$I$5015,$C145,Transaksi!$B$16:$B$5015,"&gt;="&amp;DATE(Dashboard!$C$4,5,1),Transaksi!$B$16:$B$5015,"&lt;="&amp;EOMONTH(DATE(Dashboard!$C$4,5,1),0)))</f>
        <v/>
      </c>
      <c r="I145" s="165">
        <f>IF($C145="","",SUMIFS(Transaksi!$F$16:$F$5015,Transaksi!$G$16:$G$5015,$A145,Transaksi!$H$16:$H$5015,$B145,Transaksi!$I$16:$I$5015,$C145,Transaksi!$B$16:$B$5015,"&gt;="&amp;DATE(Dashboard!$C$4,6,1),Transaksi!$B$16:$B$5015,"&lt;="&amp;EOMONTH(DATE(Dashboard!$C$4,6,1),0)))</f>
        <v/>
      </c>
      <c r="J145" s="165">
        <f>IF($C145="","",SUMIFS(Transaksi!$F$16:$F$5015,Transaksi!$G$16:$G$5015,$A145,Transaksi!$H$16:$H$5015,$B145,Transaksi!$I$16:$I$5015,$C145,Transaksi!$B$16:$B$5015,"&gt;="&amp;DATE(Dashboard!$C$4,7,1),Transaksi!$B$16:$B$5015,"&lt;="&amp;EOMONTH(DATE(Dashboard!$C$4,7,1),0)))</f>
        <v/>
      </c>
      <c r="K145" s="165">
        <f>IF($C145="","",SUMIFS(Transaksi!$F$16:$F$5015,Transaksi!$G$16:$G$5015,$A145,Transaksi!$H$16:$H$5015,$B145,Transaksi!$I$16:$I$5015,$C145,Transaksi!$B$16:$B$5015,"&gt;="&amp;DATE(Dashboard!$C$4,8,1),Transaksi!$B$16:$B$5015,"&lt;="&amp;EOMONTH(DATE(Dashboard!$C$4,8,1),0)))</f>
        <v/>
      </c>
      <c r="L145" s="165">
        <f>IF($C145="","",SUMIFS(Transaksi!$F$16:$F$5015,Transaksi!$G$16:$G$5015,$A145,Transaksi!$H$16:$H$5015,$B145,Transaksi!$I$16:$I$5015,$C145,Transaksi!$B$16:$B$5015,"&gt;="&amp;DATE(Dashboard!$C$4,9,1),Transaksi!$B$16:$B$5015,"&lt;="&amp;EOMONTH(DATE(Dashboard!$C$4,9,1),0)))</f>
        <v/>
      </c>
      <c r="M145" s="165">
        <f>IF($C145="","",SUMIFS(Transaksi!$F$16:$F$5015,Transaksi!$G$16:$G$5015,$A145,Transaksi!$H$16:$H$5015,$B145,Transaksi!$I$16:$I$5015,$C145,Transaksi!$B$16:$B$5015,"&gt;="&amp;DATE(Dashboard!$C$4,10,1),Transaksi!$B$16:$B$5015,"&lt;="&amp;EOMONTH(DATE(Dashboard!$C$4,10,1),0)))</f>
        <v/>
      </c>
      <c r="N145" s="165">
        <f>IF($C145="","",SUMIFS(Transaksi!$F$16:$F$5015,Transaksi!$G$16:$G$5015,$A145,Transaksi!$H$16:$H$5015,$B145,Transaksi!$I$16:$I$5015,$C145,Transaksi!$B$16:$B$5015,"&gt;="&amp;DATE(Dashboard!$C$4,11,1),Transaksi!$B$16:$B$5015,"&lt;="&amp;EOMONTH(DATE(Dashboard!$C$4,11,1),0)))</f>
        <v/>
      </c>
      <c r="O145" s="165">
        <f>IF($C145="","",SUMIFS(Transaksi!$F$16:$F$5015,Transaksi!$G$16:$G$5015,$A145,Transaksi!$H$16:$H$5015,$B145,Transaksi!$I$16:$I$5015,$C145,Transaksi!$B$16:$B$5015,"&gt;="&amp;DATE(Dashboard!$C$4,12,1),Transaksi!$B$16:$B$5015,"&lt;="&amp;EOMONTH(DATE(Dashboard!$C$4,12,1),0)))</f>
        <v/>
      </c>
      <c r="P145" s="166">
        <f>IF($C145="","",SUM(D145:O145))</f>
        <v/>
      </c>
    </row>
    <row r="146" ht="15" customHeight="1" s="94">
      <c r="A146" s="164">
        <f>IF(Kategori!C146="","",Kategori!A146)</f>
        <v/>
      </c>
      <c r="B146" s="164">
        <f>IF(Kategori!C146="","",Kategori!B146)</f>
        <v/>
      </c>
      <c r="C146" s="108">
        <f>IF(Kategori!C146="","",Kategori!C146)</f>
        <v/>
      </c>
      <c r="D146" s="165">
        <f>IF($C146="","",SUMIFS(Transaksi!$F$16:$F$5015,Transaksi!$G$16:$G$5015,$A146,Transaksi!$H$16:$H$5015,$B146,Transaksi!$I$16:$I$5015,$C146,Transaksi!$B$16:$B$5015,"&gt;="&amp;DATE(Dashboard!$C$4,1,1),Transaksi!$B$16:$B$5015,"&lt;="&amp;EOMONTH(DATE(Dashboard!$C$4,1,1),0)))</f>
        <v/>
      </c>
      <c r="E146" s="165">
        <f>IF($C146="","",SUMIFS(Transaksi!$F$16:$F$5015,Transaksi!$G$16:$G$5015,$A146,Transaksi!$H$16:$H$5015,$B146,Transaksi!$I$16:$I$5015,$C146,Transaksi!$B$16:$B$5015,"&gt;="&amp;DATE(Dashboard!$C$4,2,1),Transaksi!$B$16:$B$5015,"&lt;="&amp;EOMONTH(DATE(Dashboard!$C$4,2,1),0)))</f>
        <v/>
      </c>
      <c r="F146" s="165">
        <f>IF($C146="","",SUMIFS(Transaksi!$F$16:$F$5015,Transaksi!$G$16:$G$5015,$A146,Transaksi!$H$16:$H$5015,$B146,Transaksi!$I$16:$I$5015,$C146,Transaksi!$B$16:$B$5015,"&gt;="&amp;DATE(Dashboard!$C$4,3,1),Transaksi!$B$16:$B$5015,"&lt;="&amp;EOMONTH(DATE(Dashboard!$C$4,3,1),0)))</f>
        <v/>
      </c>
      <c r="G146" s="165">
        <f>IF($C146="","",SUMIFS(Transaksi!$F$16:$F$5015,Transaksi!$G$16:$G$5015,$A146,Transaksi!$H$16:$H$5015,$B146,Transaksi!$I$16:$I$5015,$C146,Transaksi!$B$16:$B$5015,"&gt;="&amp;DATE(Dashboard!$C$4,4,1),Transaksi!$B$16:$B$5015,"&lt;="&amp;EOMONTH(DATE(Dashboard!$C$4,4,1),0)))</f>
        <v/>
      </c>
      <c r="H146" s="165">
        <f>IF($C146="","",SUMIFS(Transaksi!$F$16:$F$5015,Transaksi!$G$16:$G$5015,$A146,Transaksi!$H$16:$H$5015,$B146,Transaksi!$I$16:$I$5015,$C146,Transaksi!$B$16:$B$5015,"&gt;="&amp;DATE(Dashboard!$C$4,5,1),Transaksi!$B$16:$B$5015,"&lt;="&amp;EOMONTH(DATE(Dashboard!$C$4,5,1),0)))</f>
        <v/>
      </c>
      <c r="I146" s="165">
        <f>IF($C146="","",SUMIFS(Transaksi!$F$16:$F$5015,Transaksi!$G$16:$G$5015,$A146,Transaksi!$H$16:$H$5015,$B146,Transaksi!$I$16:$I$5015,$C146,Transaksi!$B$16:$B$5015,"&gt;="&amp;DATE(Dashboard!$C$4,6,1),Transaksi!$B$16:$B$5015,"&lt;="&amp;EOMONTH(DATE(Dashboard!$C$4,6,1),0)))</f>
        <v/>
      </c>
      <c r="J146" s="165">
        <f>IF($C146="","",SUMIFS(Transaksi!$F$16:$F$5015,Transaksi!$G$16:$G$5015,$A146,Transaksi!$H$16:$H$5015,$B146,Transaksi!$I$16:$I$5015,$C146,Transaksi!$B$16:$B$5015,"&gt;="&amp;DATE(Dashboard!$C$4,7,1),Transaksi!$B$16:$B$5015,"&lt;="&amp;EOMONTH(DATE(Dashboard!$C$4,7,1),0)))</f>
        <v/>
      </c>
      <c r="K146" s="165">
        <f>IF($C146="","",SUMIFS(Transaksi!$F$16:$F$5015,Transaksi!$G$16:$G$5015,$A146,Transaksi!$H$16:$H$5015,$B146,Transaksi!$I$16:$I$5015,$C146,Transaksi!$B$16:$B$5015,"&gt;="&amp;DATE(Dashboard!$C$4,8,1),Transaksi!$B$16:$B$5015,"&lt;="&amp;EOMONTH(DATE(Dashboard!$C$4,8,1),0)))</f>
        <v/>
      </c>
      <c r="L146" s="165">
        <f>IF($C146="","",SUMIFS(Transaksi!$F$16:$F$5015,Transaksi!$G$16:$G$5015,$A146,Transaksi!$H$16:$H$5015,$B146,Transaksi!$I$16:$I$5015,$C146,Transaksi!$B$16:$B$5015,"&gt;="&amp;DATE(Dashboard!$C$4,9,1),Transaksi!$B$16:$B$5015,"&lt;="&amp;EOMONTH(DATE(Dashboard!$C$4,9,1),0)))</f>
        <v/>
      </c>
      <c r="M146" s="165">
        <f>IF($C146="","",SUMIFS(Transaksi!$F$16:$F$5015,Transaksi!$G$16:$G$5015,$A146,Transaksi!$H$16:$H$5015,$B146,Transaksi!$I$16:$I$5015,$C146,Transaksi!$B$16:$B$5015,"&gt;="&amp;DATE(Dashboard!$C$4,10,1),Transaksi!$B$16:$B$5015,"&lt;="&amp;EOMONTH(DATE(Dashboard!$C$4,10,1),0)))</f>
        <v/>
      </c>
      <c r="N146" s="165">
        <f>IF($C146="","",SUMIFS(Transaksi!$F$16:$F$5015,Transaksi!$G$16:$G$5015,$A146,Transaksi!$H$16:$H$5015,$B146,Transaksi!$I$16:$I$5015,$C146,Transaksi!$B$16:$B$5015,"&gt;="&amp;DATE(Dashboard!$C$4,11,1),Transaksi!$B$16:$B$5015,"&lt;="&amp;EOMONTH(DATE(Dashboard!$C$4,11,1),0)))</f>
        <v/>
      </c>
      <c r="O146" s="165">
        <f>IF($C146="","",SUMIFS(Transaksi!$F$16:$F$5015,Transaksi!$G$16:$G$5015,$A146,Transaksi!$H$16:$H$5015,$B146,Transaksi!$I$16:$I$5015,$C146,Transaksi!$B$16:$B$5015,"&gt;="&amp;DATE(Dashboard!$C$4,12,1),Transaksi!$B$16:$B$5015,"&lt;="&amp;EOMONTH(DATE(Dashboard!$C$4,12,1),0)))</f>
        <v/>
      </c>
      <c r="P146" s="166">
        <f>IF($C146="","",SUM(D146:O146))</f>
        <v/>
      </c>
    </row>
    <row r="147" ht="15" customHeight="1" s="94">
      <c r="A147" s="164">
        <f>IF(Kategori!C147="","",Kategori!A147)</f>
        <v/>
      </c>
      <c r="B147" s="164">
        <f>IF(Kategori!C147="","",Kategori!B147)</f>
        <v/>
      </c>
      <c r="C147" s="108">
        <f>IF(Kategori!C147="","",Kategori!C147)</f>
        <v/>
      </c>
      <c r="D147" s="165">
        <f>IF($C147="","",SUMIFS(Transaksi!$F$16:$F$5015,Transaksi!$G$16:$G$5015,$A147,Transaksi!$H$16:$H$5015,$B147,Transaksi!$I$16:$I$5015,$C147,Transaksi!$B$16:$B$5015,"&gt;="&amp;DATE(Dashboard!$C$4,1,1),Transaksi!$B$16:$B$5015,"&lt;="&amp;EOMONTH(DATE(Dashboard!$C$4,1,1),0)))</f>
        <v/>
      </c>
      <c r="E147" s="165">
        <f>IF($C147="","",SUMIFS(Transaksi!$F$16:$F$5015,Transaksi!$G$16:$G$5015,$A147,Transaksi!$H$16:$H$5015,$B147,Transaksi!$I$16:$I$5015,$C147,Transaksi!$B$16:$B$5015,"&gt;="&amp;DATE(Dashboard!$C$4,2,1),Transaksi!$B$16:$B$5015,"&lt;="&amp;EOMONTH(DATE(Dashboard!$C$4,2,1),0)))</f>
        <v/>
      </c>
      <c r="F147" s="165">
        <f>IF($C147="","",SUMIFS(Transaksi!$F$16:$F$5015,Transaksi!$G$16:$G$5015,$A147,Transaksi!$H$16:$H$5015,$B147,Transaksi!$I$16:$I$5015,$C147,Transaksi!$B$16:$B$5015,"&gt;="&amp;DATE(Dashboard!$C$4,3,1),Transaksi!$B$16:$B$5015,"&lt;="&amp;EOMONTH(DATE(Dashboard!$C$4,3,1),0)))</f>
        <v/>
      </c>
      <c r="G147" s="165">
        <f>IF($C147="","",SUMIFS(Transaksi!$F$16:$F$5015,Transaksi!$G$16:$G$5015,$A147,Transaksi!$H$16:$H$5015,$B147,Transaksi!$I$16:$I$5015,$C147,Transaksi!$B$16:$B$5015,"&gt;="&amp;DATE(Dashboard!$C$4,4,1),Transaksi!$B$16:$B$5015,"&lt;="&amp;EOMONTH(DATE(Dashboard!$C$4,4,1),0)))</f>
        <v/>
      </c>
      <c r="H147" s="165">
        <f>IF($C147="","",SUMIFS(Transaksi!$F$16:$F$5015,Transaksi!$G$16:$G$5015,$A147,Transaksi!$H$16:$H$5015,$B147,Transaksi!$I$16:$I$5015,$C147,Transaksi!$B$16:$B$5015,"&gt;="&amp;DATE(Dashboard!$C$4,5,1),Transaksi!$B$16:$B$5015,"&lt;="&amp;EOMONTH(DATE(Dashboard!$C$4,5,1),0)))</f>
        <v/>
      </c>
      <c r="I147" s="165">
        <f>IF($C147="","",SUMIFS(Transaksi!$F$16:$F$5015,Transaksi!$G$16:$G$5015,$A147,Transaksi!$H$16:$H$5015,$B147,Transaksi!$I$16:$I$5015,$C147,Transaksi!$B$16:$B$5015,"&gt;="&amp;DATE(Dashboard!$C$4,6,1),Transaksi!$B$16:$B$5015,"&lt;="&amp;EOMONTH(DATE(Dashboard!$C$4,6,1),0)))</f>
        <v/>
      </c>
      <c r="J147" s="165">
        <f>IF($C147="","",SUMIFS(Transaksi!$F$16:$F$5015,Transaksi!$G$16:$G$5015,$A147,Transaksi!$H$16:$H$5015,$B147,Transaksi!$I$16:$I$5015,$C147,Transaksi!$B$16:$B$5015,"&gt;="&amp;DATE(Dashboard!$C$4,7,1),Transaksi!$B$16:$B$5015,"&lt;="&amp;EOMONTH(DATE(Dashboard!$C$4,7,1),0)))</f>
        <v/>
      </c>
      <c r="K147" s="165">
        <f>IF($C147="","",SUMIFS(Transaksi!$F$16:$F$5015,Transaksi!$G$16:$G$5015,$A147,Transaksi!$H$16:$H$5015,$B147,Transaksi!$I$16:$I$5015,$C147,Transaksi!$B$16:$B$5015,"&gt;="&amp;DATE(Dashboard!$C$4,8,1),Transaksi!$B$16:$B$5015,"&lt;="&amp;EOMONTH(DATE(Dashboard!$C$4,8,1),0)))</f>
        <v/>
      </c>
      <c r="L147" s="165">
        <f>IF($C147="","",SUMIFS(Transaksi!$F$16:$F$5015,Transaksi!$G$16:$G$5015,$A147,Transaksi!$H$16:$H$5015,$B147,Transaksi!$I$16:$I$5015,$C147,Transaksi!$B$16:$B$5015,"&gt;="&amp;DATE(Dashboard!$C$4,9,1),Transaksi!$B$16:$B$5015,"&lt;="&amp;EOMONTH(DATE(Dashboard!$C$4,9,1),0)))</f>
        <v/>
      </c>
      <c r="M147" s="165">
        <f>IF($C147="","",SUMIFS(Transaksi!$F$16:$F$5015,Transaksi!$G$16:$G$5015,$A147,Transaksi!$H$16:$H$5015,$B147,Transaksi!$I$16:$I$5015,$C147,Transaksi!$B$16:$B$5015,"&gt;="&amp;DATE(Dashboard!$C$4,10,1),Transaksi!$B$16:$B$5015,"&lt;="&amp;EOMONTH(DATE(Dashboard!$C$4,10,1),0)))</f>
        <v/>
      </c>
      <c r="N147" s="165">
        <f>IF($C147="","",SUMIFS(Transaksi!$F$16:$F$5015,Transaksi!$G$16:$G$5015,$A147,Transaksi!$H$16:$H$5015,$B147,Transaksi!$I$16:$I$5015,$C147,Transaksi!$B$16:$B$5015,"&gt;="&amp;DATE(Dashboard!$C$4,11,1),Transaksi!$B$16:$B$5015,"&lt;="&amp;EOMONTH(DATE(Dashboard!$C$4,11,1),0)))</f>
        <v/>
      </c>
      <c r="O147" s="165">
        <f>IF($C147="","",SUMIFS(Transaksi!$F$16:$F$5015,Transaksi!$G$16:$G$5015,$A147,Transaksi!$H$16:$H$5015,$B147,Transaksi!$I$16:$I$5015,$C147,Transaksi!$B$16:$B$5015,"&gt;="&amp;DATE(Dashboard!$C$4,12,1),Transaksi!$B$16:$B$5015,"&lt;="&amp;EOMONTH(DATE(Dashboard!$C$4,12,1),0)))</f>
        <v/>
      </c>
      <c r="P147" s="166">
        <f>IF($C147="","",SUM(D147:O147))</f>
        <v/>
      </c>
    </row>
    <row r="148" ht="15" customHeight="1" s="94">
      <c r="A148" s="164">
        <f>IF(Kategori!C148="","",Kategori!A148)</f>
        <v/>
      </c>
      <c r="B148" s="164">
        <f>IF(Kategori!C148="","",Kategori!B148)</f>
        <v/>
      </c>
      <c r="C148" s="108">
        <f>IF(Kategori!C148="","",Kategori!C148)</f>
        <v/>
      </c>
      <c r="D148" s="165">
        <f>IF($C148="","",SUMIFS(Transaksi!$F$16:$F$5015,Transaksi!$G$16:$G$5015,$A148,Transaksi!$H$16:$H$5015,$B148,Transaksi!$I$16:$I$5015,$C148,Transaksi!$B$16:$B$5015,"&gt;="&amp;DATE(Dashboard!$C$4,1,1),Transaksi!$B$16:$B$5015,"&lt;="&amp;EOMONTH(DATE(Dashboard!$C$4,1,1),0)))</f>
        <v/>
      </c>
      <c r="E148" s="165">
        <f>IF($C148="","",SUMIFS(Transaksi!$F$16:$F$5015,Transaksi!$G$16:$G$5015,$A148,Transaksi!$H$16:$H$5015,$B148,Transaksi!$I$16:$I$5015,$C148,Transaksi!$B$16:$B$5015,"&gt;="&amp;DATE(Dashboard!$C$4,2,1),Transaksi!$B$16:$B$5015,"&lt;="&amp;EOMONTH(DATE(Dashboard!$C$4,2,1),0)))</f>
        <v/>
      </c>
      <c r="F148" s="165">
        <f>IF($C148="","",SUMIFS(Transaksi!$F$16:$F$5015,Transaksi!$G$16:$G$5015,$A148,Transaksi!$H$16:$H$5015,$B148,Transaksi!$I$16:$I$5015,$C148,Transaksi!$B$16:$B$5015,"&gt;="&amp;DATE(Dashboard!$C$4,3,1),Transaksi!$B$16:$B$5015,"&lt;="&amp;EOMONTH(DATE(Dashboard!$C$4,3,1),0)))</f>
        <v/>
      </c>
      <c r="G148" s="165">
        <f>IF($C148="","",SUMIFS(Transaksi!$F$16:$F$5015,Transaksi!$G$16:$G$5015,$A148,Transaksi!$H$16:$H$5015,$B148,Transaksi!$I$16:$I$5015,$C148,Transaksi!$B$16:$B$5015,"&gt;="&amp;DATE(Dashboard!$C$4,4,1),Transaksi!$B$16:$B$5015,"&lt;="&amp;EOMONTH(DATE(Dashboard!$C$4,4,1),0)))</f>
        <v/>
      </c>
      <c r="H148" s="165">
        <f>IF($C148="","",SUMIFS(Transaksi!$F$16:$F$5015,Transaksi!$G$16:$G$5015,$A148,Transaksi!$H$16:$H$5015,$B148,Transaksi!$I$16:$I$5015,$C148,Transaksi!$B$16:$B$5015,"&gt;="&amp;DATE(Dashboard!$C$4,5,1),Transaksi!$B$16:$B$5015,"&lt;="&amp;EOMONTH(DATE(Dashboard!$C$4,5,1),0)))</f>
        <v/>
      </c>
      <c r="I148" s="165">
        <f>IF($C148="","",SUMIFS(Transaksi!$F$16:$F$5015,Transaksi!$G$16:$G$5015,$A148,Transaksi!$H$16:$H$5015,$B148,Transaksi!$I$16:$I$5015,$C148,Transaksi!$B$16:$B$5015,"&gt;="&amp;DATE(Dashboard!$C$4,6,1),Transaksi!$B$16:$B$5015,"&lt;="&amp;EOMONTH(DATE(Dashboard!$C$4,6,1),0)))</f>
        <v/>
      </c>
      <c r="J148" s="165">
        <f>IF($C148="","",SUMIFS(Transaksi!$F$16:$F$5015,Transaksi!$G$16:$G$5015,$A148,Transaksi!$H$16:$H$5015,$B148,Transaksi!$I$16:$I$5015,$C148,Transaksi!$B$16:$B$5015,"&gt;="&amp;DATE(Dashboard!$C$4,7,1),Transaksi!$B$16:$B$5015,"&lt;="&amp;EOMONTH(DATE(Dashboard!$C$4,7,1),0)))</f>
        <v/>
      </c>
      <c r="K148" s="165">
        <f>IF($C148="","",SUMIFS(Transaksi!$F$16:$F$5015,Transaksi!$G$16:$G$5015,$A148,Transaksi!$H$16:$H$5015,$B148,Transaksi!$I$16:$I$5015,$C148,Transaksi!$B$16:$B$5015,"&gt;="&amp;DATE(Dashboard!$C$4,8,1),Transaksi!$B$16:$B$5015,"&lt;="&amp;EOMONTH(DATE(Dashboard!$C$4,8,1),0)))</f>
        <v/>
      </c>
      <c r="L148" s="165">
        <f>IF($C148="","",SUMIFS(Transaksi!$F$16:$F$5015,Transaksi!$G$16:$G$5015,$A148,Transaksi!$H$16:$H$5015,$B148,Transaksi!$I$16:$I$5015,$C148,Transaksi!$B$16:$B$5015,"&gt;="&amp;DATE(Dashboard!$C$4,9,1),Transaksi!$B$16:$B$5015,"&lt;="&amp;EOMONTH(DATE(Dashboard!$C$4,9,1),0)))</f>
        <v/>
      </c>
      <c r="M148" s="165">
        <f>IF($C148="","",SUMIFS(Transaksi!$F$16:$F$5015,Transaksi!$G$16:$G$5015,$A148,Transaksi!$H$16:$H$5015,$B148,Transaksi!$I$16:$I$5015,$C148,Transaksi!$B$16:$B$5015,"&gt;="&amp;DATE(Dashboard!$C$4,10,1),Transaksi!$B$16:$B$5015,"&lt;="&amp;EOMONTH(DATE(Dashboard!$C$4,10,1),0)))</f>
        <v/>
      </c>
      <c r="N148" s="165">
        <f>IF($C148="","",SUMIFS(Transaksi!$F$16:$F$5015,Transaksi!$G$16:$G$5015,$A148,Transaksi!$H$16:$H$5015,$B148,Transaksi!$I$16:$I$5015,$C148,Transaksi!$B$16:$B$5015,"&gt;="&amp;DATE(Dashboard!$C$4,11,1),Transaksi!$B$16:$B$5015,"&lt;="&amp;EOMONTH(DATE(Dashboard!$C$4,11,1),0)))</f>
        <v/>
      </c>
      <c r="O148" s="165">
        <f>IF($C148="","",SUMIFS(Transaksi!$F$16:$F$5015,Transaksi!$G$16:$G$5015,$A148,Transaksi!$H$16:$H$5015,$B148,Transaksi!$I$16:$I$5015,$C148,Transaksi!$B$16:$B$5015,"&gt;="&amp;DATE(Dashboard!$C$4,12,1),Transaksi!$B$16:$B$5015,"&lt;="&amp;EOMONTH(DATE(Dashboard!$C$4,12,1),0)))</f>
        <v/>
      </c>
      <c r="P148" s="166">
        <f>IF($C148="","",SUM(D148:O148))</f>
        <v/>
      </c>
    </row>
    <row r="149" ht="15" customHeight="1" s="94">
      <c r="A149" s="164">
        <f>IF(Kategori!C149="","",Kategori!A149)</f>
        <v/>
      </c>
      <c r="B149" s="164">
        <f>IF(Kategori!C149="","",Kategori!B149)</f>
        <v/>
      </c>
      <c r="C149" s="108">
        <f>IF(Kategori!C149="","",Kategori!C149)</f>
        <v/>
      </c>
      <c r="D149" s="165">
        <f>IF($C149="","",SUMIFS(Transaksi!$F$16:$F$5015,Transaksi!$G$16:$G$5015,$A149,Transaksi!$H$16:$H$5015,$B149,Transaksi!$I$16:$I$5015,$C149,Transaksi!$B$16:$B$5015,"&gt;="&amp;DATE(Dashboard!$C$4,1,1),Transaksi!$B$16:$B$5015,"&lt;="&amp;EOMONTH(DATE(Dashboard!$C$4,1,1),0)))</f>
        <v/>
      </c>
      <c r="E149" s="165">
        <f>IF($C149="","",SUMIFS(Transaksi!$F$16:$F$5015,Transaksi!$G$16:$G$5015,$A149,Transaksi!$H$16:$H$5015,$B149,Transaksi!$I$16:$I$5015,$C149,Transaksi!$B$16:$B$5015,"&gt;="&amp;DATE(Dashboard!$C$4,2,1),Transaksi!$B$16:$B$5015,"&lt;="&amp;EOMONTH(DATE(Dashboard!$C$4,2,1),0)))</f>
        <v/>
      </c>
      <c r="F149" s="165">
        <f>IF($C149="","",SUMIFS(Transaksi!$F$16:$F$5015,Transaksi!$G$16:$G$5015,$A149,Transaksi!$H$16:$H$5015,$B149,Transaksi!$I$16:$I$5015,$C149,Transaksi!$B$16:$B$5015,"&gt;="&amp;DATE(Dashboard!$C$4,3,1),Transaksi!$B$16:$B$5015,"&lt;="&amp;EOMONTH(DATE(Dashboard!$C$4,3,1),0)))</f>
        <v/>
      </c>
      <c r="G149" s="165">
        <f>IF($C149="","",SUMIFS(Transaksi!$F$16:$F$5015,Transaksi!$G$16:$G$5015,$A149,Transaksi!$H$16:$H$5015,$B149,Transaksi!$I$16:$I$5015,$C149,Transaksi!$B$16:$B$5015,"&gt;="&amp;DATE(Dashboard!$C$4,4,1),Transaksi!$B$16:$B$5015,"&lt;="&amp;EOMONTH(DATE(Dashboard!$C$4,4,1),0)))</f>
        <v/>
      </c>
      <c r="H149" s="165">
        <f>IF($C149="","",SUMIFS(Transaksi!$F$16:$F$5015,Transaksi!$G$16:$G$5015,$A149,Transaksi!$H$16:$H$5015,$B149,Transaksi!$I$16:$I$5015,$C149,Transaksi!$B$16:$B$5015,"&gt;="&amp;DATE(Dashboard!$C$4,5,1),Transaksi!$B$16:$B$5015,"&lt;="&amp;EOMONTH(DATE(Dashboard!$C$4,5,1),0)))</f>
        <v/>
      </c>
      <c r="I149" s="165">
        <f>IF($C149="","",SUMIFS(Transaksi!$F$16:$F$5015,Transaksi!$G$16:$G$5015,$A149,Transaksi!$H$16:$H$5015,$B149,Transaksi!$I$16:$I$5015,$C149,Transaksi!$B$16:$B$5015,"&gt;="&amp;DATE(Dashboard!$C$4,6,1),Transaksi!$B$16:$B$5015,"&lt;="&amp;EOMONTH(DATE(Dashboard!$C$4,6,1),0)))</f>
        <v/>
      </c>
      <c r="J149" s="165">
        <f>IF($C149="","",SUMIFS(Transaksi!$F$16:$F$5015,Transaksi!$G$16:$G$5015,$A149,Transaksi!$H$16:$H$5015,$B149,Transaksi!$I$16:$I$5015,$C149,Transaksi!$B$16:$B$5015,"&gt;="&amp;DATE(Dashboard!$C$4,7,1),Transaksi!$B$16:$B$5015,"&lt;="&amp;EOMONTH(DATE(Dashboard!$C$4,7,1),0)))</f>
        <v/>
      </c>
      <c r="K149" s="165">
        <f>IF($C149="","",SUMIFS(Transaksi!$F$16:$F$5015,Transaksi!$G$16:$G$5015,$A149,Transaksi!$H$16:$H$5015,$B149,Transaksi!$I$16:$I$5015,$C149,Transaksi!$B$16:$B$5015,"&gt;="&amp;DATE(Dashboard!$C$4,8,1),Transaksi!$B$16:$B$5015,"&lt;="&amp;EOMONTH(DATE(Dashboard!$C$4,8,1),0)))</f>
        <v/>
      </c>
      <c r="L149" s="165">
        <f>IF($C149="","",SUMIFS(Transaksi!$F$16:$F$5015,Transaksi!$G$16:$G$5015,$A149,Transaksi!$H$16:$H$5015,$B149,Transaksi!$I$16:$I$5015,$C149,Transaksi!$B$16:$B$5015,"&gt;="&amp;DATE(Dashboard!$C$4,9,1),Transaksi!$B$16:$B$5015,"&lt;="&amp;EOMONTH(DATE(Dashboard!$C$4,9,1),0)))</f>
        <v/>
      </c>
      <c r="M149" s="165">
        <f>IF($C149="","",SUMIFS(Transaksi!$F$16:$F$5015,Transaksi!$G$16:$G$5015,$A149,Transaksi!$H$16:$H$5015,$B149,Transaksi!$I$16:$I$5015,$C149,Transaksi!$B$16:$B$5015,"&gt;="&amp;DATE(Dashboard!$C$4,10,1),Transaksi!$B$16:$B$5015,"&lt;="&amp;EOMONTH(DATE(Dashboard!$C$4,10,1),0)))</f>
        <v/>
      </c>
      <c r="N149" s="165">
        <f>IF($C149="","",SUMIFS(Transaksi!$F$16:$F$5015,Transaksi!$G$16:$G$5015,$A149,Transaksi!$H$16:$H$5015,$B149,Transaksi!$I$16:$I$5015,$C149,Transaksi!$B$16:$B$5015,"&gt;="&amp;DATE(Dashboard!$C$4,11,1),Transaksi!$B$16:$B$5015,"&lt;="&amp;EOMONTH(DATE(Dashboard!$C$4,11,1),0)))</f>
        <v/>
      </c>
      <c r="O149" s="165">
        <f>IF($C149="","",SUMIFS(Transaksi!$F$16:$F$5015,Transaksi!$G$16:$G$5015,$A149,Transaksi!$H$16:$H$5015,$B149,Transaksi!$I$16:$I$5015,$C149,Transaksi!$B$16:$B$5015,"&gt;="&amp;DATE(Dashboard!$C$4,12,1),Transaksi!$B$16:$B$5015,"&lt;="&amp;EOMONTH(DATE(Dashboard!$C$4,12,1),0)))</f>
        <v/>
      </c>
      <c r="P149" s="166">
        <f>IF($C149="","",SUM(D149:O149))</f>
        <v/>
      </c>
    </row>
    <row r="150" ht="15" customHeight="1" s="94">
      <c r="A150" s="164">
        <f>IF(Kategori!C150="","",Kategori!A150)</f>
        <v/>
      </c>
      <c r="B150" s="164">
        <f>IF(Kategori!C150="","",Kategori!B150)</f>
        <v/>
      </c>
      <c r="C150" s="108">
        <f>IF(Kategori!C150="","",Kategori!C150)</f>
        <v/>
      </c>
      <c r="D150" s="165">
        <f>IF($C150="","",SUMIFS(Transaksi!$F$16:$F$5015,Transaksi!$G$16:$G$5015,$A150,Transaksi!$H$16:$H$5015,$B150,Transaksi!$I$16:$I$5015,$C150,Transaksi!$B$16:$B$5015,"&gt;="&amp;DATE(Dashboard!$C$4,1,1),Transaksi!$B$16:$B$5015,"&lt;="&amp;EOMONTH(DATE(Dashboard!$C$4,1,1),0)))</f>
        <v/>
      </c>
      <c r="E150" s="165">
        <f>IF($C150="","",SUMIFS(Transaksi!$F$16:$F$5015,Transaksi!$G$16:$G$5015,$A150,Transaksi!$H$16:$H$5015,$B150,Transaksi!$I$16:$I$5015,$C150,Transaksi!$B$16:$B$5015,"&gt;="&amp;DATE(Dashboard!$C$4,2,1),Transaksi!$B$16:$B$5015,"&lt;="&amp;EOMONTH(DATE(Dashboard!$C$4,2,1),0)))</f>
        <v/>
      </c>
      <c r="F150" s="165">
        <f>IF($C150="","",SUMIFS(Transaksi!$F$16:$F$5015,Transaksi!$G$16:$G$5015,$A150,Transaksi!$H$16:$H$5015,$B150,Transaksi!$I$16:$I$5015,$C150,Transaksi!$B$16:$B$5015,"&gt;="&amp;DATE(Dashboard!$C$4,3,1),Transaksi!$B$16:$B$5015,"&lt;="&amp;EOMONTH(DATE(Dashboard!$C$4,3,1),0)))</f>
        <v/>
      </c>
      <c r="G150" s="165">
        <f>IF($C150="","",SUMIFS(Transaksi!$F$16:$F$5015,Transaksi!$G$16:$G$5015,$A150,Transaksi!$H$16:$H$5015,$B150,Transaksi!$I$16:$I$5015,$C150,Transaksi!$B$16:$B$5015,"&gt;="&amp;DATE(Dashboard!$C$4,4,1),Transaksi!$B$16:$B$5015,"&lt;="&amp;EOMONTH(DATE(Dashboard!$C$4,4,1),0)))</f>
        <v/>
      </c>
      <c r="H150" s="165">
        <f>IF($C150="","",SUMIFS(Transaksi!$F$16:$F$5015,Transaksi!$G$16:$G$5015,$A150,Transaksi!$H$16:$H$5015,$B150,Transaksi!$I$16:$I$5015,$C150,Transaksi!$B$16:$B$5015,"&gt;="&amp;DATE(Dashboard!$C$4,5,1),Transaksi!$B$16:$B$5015,"&lt;="&amp;EOMONTH(DATE(Dashboard!$C$4,5,1),0)))</f>
        <v/>
      </c>
      <c r="I150" s="165">
        <f>IF($C150="","",SUMIFS(Transaksi!$F$16:$F$5015,Transaksi!$G$16:$G$5015,$A150,Transaksi!$H$16:$H$5015,$B150,Transaksi!$I$16:$I$5015,$C150,Transaksi!$B$16:$B$5015,"&gt;="&amp;DATE(Dashboard!$C$4,6,1),Transaksi!$B$16:$B$5015,"&lt;="&amp;EOMONTH(DATE(Dashboard!$C$4,6,1),0)))</f>
        <v/>
      </c>
      <c r="J150" s="165">
        <f>IF($C150="","",SUMIFS(Transaksi!$F$16:$F$5015,Transaksi!$G$16:$G$5015,$A150,Transaksi!$H$16:$H$5015,$B150,Transaksi!$I$16:$I$5015,$C150,Transaksi!$B$16:$B$5015,"&gt;="&amp;DATE(Dashboard!$C$4,7,1),Transaksi!$B$16:$B$5015,"&lt;="&amp;EOMONTH(DATE(Dashboard!$C$4,7,1),0)))</f>
        <v/>
      </c>
      <c r="K150" s="165">
        <f>IF($C150="","",SUMIFS(Transaksi!$F$16:$F$5015,Transaksi!$G$16:$G$5015,$A150,Transaksi!$H$16:$H$5015,$B150,Transaksi!$I$16:$I$5015,$C150,Transaksi!$B$16:$B$5015,"&gt;="&amp;DATE(Dashboard!$C$4,8,1),Transaksi!$B$16:$B$5015,"&lt;="&amp;EOMONTH(DATE(Dashboard!$C$4,8,1),0)))</f>
        <v/>
      </c>
      <c r="L150" s="165">
        <f>IF($C150="","",SUMIFS(Transaksi!$F$16:$F$5015,Transaksi!$G$16:$G$5015,$A150,Transaksi!$H$16:$H$5015,$B150,Transaksi!$I$16:$I$5015,$C150,Transaksi!$B$16:$B$5015,"&gt;="&amp;DATE(Dashboard!$C$4,9,1),Transaksi!$B$16:$B$5015,"&lt;="&amp;EOMONTH(DATE(Dashboard!$C$4,9,1),0)))</f>
        <v/>
      </c>
      <c r="M150" s="165">
        <f>IF($C150="","",SUMIFS(Transaksi!$F$16:$F$5015,Transaksi!$G$16:$G$5015,$A150,Transaksi!$H$16:$H$5015,$B150,Transaksi!$I$16:$I$5015,$C150,Transaksi!$B$16:$B$5015,"&gt;="&amp;DATE(Dashboard!$C$4,10,1),Transaksi!$B$16:$B$5015,"&lt;="&amp;EOMONTH(DATE(Dashboard!$C$4,10,1),0)))</f>
        <v/>
      </c>
      <c r="N150" s="165">
        <f>IF($C150="","",SUMIFS(Transaksi!$F$16:$F$5015,Transaksi!$G$16:$G$5015,$A150,Transaksi!$H$16:$H$5015,$B150,Transaksi!$I$16:$I$5015,$C150,Transaksi!$B$16:$B$5015,"&gt;="&amp;DATE(Dashboard!$C$4,11,1),Transaksi!$B$16:$B$5015,"&lt;="&amp;EOMONTH(DATE(Dashboard!$C$4,11,1),0)))</f>
        <v/>
      </c>
      <c r="O150" s="165">
        <f>IF($C150="","",SUMIFS(Transaksi!$F$16:$F$5015,Transaksi!$G$16:$G$5015,$A150,Transaksi!$H$16:$H$5015,$B150,Transaksi!$I$16:$I$5015,$C150,Transaksi!$B$16:$B$5015,"&gt;="&amp;DATE(Dashboard!$C$4,12,1),Transaksi!$B$16:$B$5015,"&lt;="&amp;EOMONTH(DATE(Dashboard!$C$4,12,1),0)))</f>
        <v/>
      </c>
      <c r="P150" s="166">
        <f>IF($C150="","",SUM(D150:O150))</f>
        <v/>
      </c>
    </row>
    <row r="151" ht="15" customHeight="1" s="94">
      <c r="A151" s="164">
        <f>IF(Kategori!C151="","",Kategori!A151)</f>
        <v/>
      </c>
      <c r="B151" s="164">
        <f>IF(Kategori!C151="","",Kategori!B151)</f>
        <v/>
      </c>
      <c r="C151" s="108">
        <f>IF(Kategori!C151="","",Kategori!C151)</f>
        <v/>
      </c>
      <c r="D151" s="165">
        <f>IF($C151="","",SUMIFS(Transaksi!$F$16:$F$5015,Transaksi!$G$16:$G$5015,$A151,Transaksi!$H$16:$H$5015,$B151,Transaksi!$I$16:$I$5015,$C151,Transaksi!$B$16:$B$5015,"&gt;="&amp;DATE(Dashboard!$C$4,1,1),Transaksi!$B$16:$B$5015,"&lt;="&amp;EOMONTH(DATE(Dashboard!$C$4,1,1),0)))</f>
        <v/>
      </c>
      <c r="E151" s="165">
        <f>IF($C151="","",SUMIFS(Transaksi!$F$16:$F$5015,Transaksi!$G$16:$G$5015,$A151,Transaksi!$H$16:$H$5015,$B151,Transaksi!$I$16:$I$5015,$C151,Transaksi!$B$16:$B$5015,"&gt;="&amp;DATE(Dashboard!$C$4,2,1),Transaksi!$B$16:$B$5015,"&lt;="&amp;EOMONTH(DATE(Dashboard!$C$4,2,1),0)))</f>
        <v/>
      </c>
      <c r="F151" s="165">
        <f>IF($C151="","",SUMIFS(Transaksi!$F$16:$F$5015,Transaksi!$G$16:$G$5015,$A151,Transaksi!$H$16:$H$5015,$B151,Transaksi!$I$16:$I$5015,$C151,Transaksi!$B$16:$B$5015,"&gt;="&amp;DATE(Dashboard!$C$4,3,1),Transaksi!$B$16:$B$5015,"&lt;="&amp;EOMONTH(DATE(Dashboard!$C$4,3,1),0)))</f>
        <v/>
      </c>
      <c r="G151" s="165">
        <f>IF($C151="","",SUMIFS(Transaksi!$F$16:$F$5015,Transaksi!$G$16:$G$5015,$A151,Transaksi!$H$16:$H$5015,$B151,Transaksi!$I$16:$I$5015,$C151,Transaksi!$B$16:$B$5015,"&gt;="&amp;DATE(Dashboard!$C$4,4,1),Transaksi!$B$16:$B$5015,"&lt;="&amp;EOMONTH(DATE(Dashboard!$C$4,4,1),0)))</f>
        <v/>
      </c>
      <c r="H151" s="165">
        <f>IF($C151="","",SUMIFS(Transaksi!$F$16:$F$5015,Transaksi!$G$16:$G$5015,$A151,Transaksi!$H$16:$H$5015,$B151,Transaksi!$I$16:$I$5015,$C151,Transaksi!$B$16:$B$5015,"&gt;="&amp;DATE(Dashboard!$C$4,5,1),Transaksi!$B$16:$B$5015,"&lt;="&amp;EOMONTH(DATE(Dashboard!$C$4,5,1),0)))</f>
        <v/>
      </c>
      <c r="I151" s="165">
        <f>IF($C151="","",SUMIFS(Transaksi!$F$16:$F$5015,Transaksi!$G$16:$G$5015,$A151,Transaksi!$H$16:$H$5015,$B151,Transaksi!$I$16:$I$5015,$C151,Transaksi!$B$16:$B$5015,"&gt;="&amp;DATE(Dashboard!$C$4,6,1),Transaksi!$B$16:$B$5015,"&lt;="&amp;EOMONTH(DATE(Dashboard!$C$4,6,1),0)))</f>
        <v/>
      </c>
      <c r="J151" s="165">
        <f>IF($C151="","",SUMIFS(Transaksi!$F$16:$F$5015,Transaksi!$G$16:$G$5015,$A151,Transaksi!$H$16:$H$5015,$B151,Transaksi!$I$16:$I$5015,$C151,Transaksi!$B$16:$B$5015,"&gt;="&amp;DATE(Dashboard!$C$4,7,1),Transaksi!$B$16:$B$5015,"&lt;="&amp;EOMONTH(DATE(Dashboard!$C$4,7,1),0)))</f>
        <v/>
      </c>
      <c r="K151" s="165">
        <f>IF($C151="","",SUMIFS(Transaksi!$F$16:$F$5015,Transaksi!$G$16:$G$5015,$A151,Transaksi!$H$16:$H$5015,$B151,Transaksi!$I$16:$I$5015,$C151,Transaksi!$B$16:$B$5015,"&gt;="&amp;DATE(Dashboard!$C$4,8,1),Transaksi!$B$16:$B$5015,"&lt;="&amp;EOMONTH(DATE(Dashboard!$C$4,8,1),0)))</f>
        <v/>
      </c>
      <c r="L151" s="165">
        <f>IF($C151="","",SUMIFS(Transaksi!$F$16:$F$5015,Transaksi!$G$16:$G$5015,$A151,Transaksi!$H$16:$H$5015,$B151,Transaksi!$I$16:$I$5015,$C151,Transaksi!$B$16:$B$5015,"&gt;="&amp;DATE(Dashboard!$C$4,9,1),Transaksi!$B$16:$B$5015,"&lt;="&amp;EOMONTH(DATE(Dashboard!$C$4,9,1),0)))</f>
        <v/>
      </c>
      <c r="M151" s="165">
        <f>IF($C151="","",SUMIFS(Transaksi!$F$16:$F$5015,Transaksi!$G$16:$G$5015,$A151,Transaksi!$H$16:$H$5015,$B151,Transaksi!$I$16:$I$5015,$C151,Transaksi!$B$16:$B$5015,"&gt;="&amp;DATE(Dashboard!$C$4,10,1),Transaksi!$B$16:$B$5015,"&lt;="&amp;EOMONTH(DATE(Dashboard!$C$4,10,1),0)))</f>
        <v/>
      </c>
      <c r="N151" s="165">
        <f>IF($C151="","",SUMIFS(Transaksi!$F$16:$F$5015,Transaksi!$G$16:$G$5015,$A151,Transaksi!$H$16:$H$5015,$B151,Transaksi!$I$16:$I$5015,$C151,Transaksi!$B$16:$B$5015,"&gt;="&amp;DATE(Dashboard!$C$4,11,1),Transaksi!$B$16:$B$5015,"&lt;="&amp;EOMONTH(DATE(Dashboard!$C$4,11,1),0)))</f>
        <v/>
      </c>
      <c r="O151" s="165">
        <f>IF($C151="","",SUMIFS(Transaksi!$F$16:$F$5015,Transaksi!$G$16:$G$5015,$A151,Transaksi!$H$16:$H$5015,$B151,Transaksi!$I$16:$I$5015,$C151,Transaksi!$B$16:$B$5015,"&gt;="&amp;DATE(Dashboard!$C$4,12,1),Transaksi!$B$16:$B$5015,"&lt;="&amp;EOMONTH(DATE(Dashboard!$C$4,12,1),0)))</f>
        <v/>
      </c>
      <c r="P151" s="166">
        <f>IF($C151="","",SUM(D151:O151))</f>
        <v/>
      </c>
    </row>
    <row r="152" ht="15" customHeight="1" s="94">
      <c r="A152" s="164">
        <f>IF(Kategori!C152="","",Kategori!A152)</f>
        <v/>
      </c>
      <c r="B152" s="164">
        <f>IF(Kategori!C152="","",Kategori!B152)</f>
        <v/>
      </c>
      <c r="C152" s="108">
        <f>IF(Kategori!C152="","",Kategori!C152)</f>
        <v/>
      </c>
      <c r="D152" s="165">
        <f>IF($C152="","",SUMIFS(Transaksi!$F$16:$F$5015,Transaksi!$G$16:$G$5015,$A152,Transaksi!$H$16:$H$5015,$B152,Transaksi!$I$16:$I$5015,$C152,Transaksi!$B$16:$B$5015,"&gt;="&amp;DATE(Dashboard!$C$4,1,1),Transaksi!$B$16:$B$5015,"&lt;="&amp;EOMONTH(DATE(Dashboard!$C$4,1,1),0)))</f>
        <v/>
      </c>
      <c r="E152" s="165">
        <f>IF($C152="","",SUMIFS(Transaksi!$F$16:$F$5015,Transaksi!$G$16:$G$5015,$A152,Transaksi!$H$16:$H$5015,$B152,Transaksi!$I$16:$I$5015,$C152,Transaksi!$B$16:$B$5015,"&gt;="&amp;DATE(Dashboard!$C$4,2,1),Transaksi!$B$16:$B$5015,"&lt;="&amp;EOMONTH(DATE(Dashboard!$C$4,2,1),0)))</f>
        <v/>
      </c>
      <c r="F152" s="165">
        <f>IF($C152="","",SUMIFS(Transaksi!$F$16:$F$5015,Transaksi!$G$16:$G$5015,$A152,Transaksi!$H$16:$H$5015,$B152,Transaksi!$I$16:$I$5015,$C152,Transaksi!$B$16:$B$5015,"&gt;="&amp;DATE(Dashboard!$C$4,3,1),Transaksi!$B$16:$B$5015,"&lt;="&amp;EOMONTH(DATE(Dashboard!$C$4,3,1),0)))</f>
        <v/>
      </c>
      <c r="G152" s="165">
        <f>IF($C152="","",SUMIFS(Transaksi!$F$16:$F$5015,Transaksi!$G$16:$G$5015,$A152,Transaksi!$H$16:$H$5015,$B152,Transaksi!$I$16:$I$5015,$C152,Transaksi!$B$16:$B$5015,"&gt;="&amp;DATE(Dashboard!$C$4,4,1),Transaksi!$B$16:$B$5015,"&lt;="&amp;EOMONTH(DATE(Dashboard!$C$4,4,1),0)))</f>
        <v/>
      </c>
      <c r="H152" s="165">
        <f>IF($C152="","",SUMIFS(Transaksi!$F$16:$F$5015,Transaksi!$G$16:$G$5015,$A152,Transaksi!$H$16:$H$5015,$B152,Transaksi!$I$16:$I$5015,$C152,Transaksi!$B$16:$B$5015,"&gt;="&amp;DATE(Dashboard!$C$4,5,1),Transaksi!$B$16:$B$5015,"&lt;="&amp;EOMONTH(DATE(Dashboard!$C$4,5,1),0)))</f>
        <v/>
      </c>
      <c r="I152" s="165">
        <f>IF($C152="","",SUMIFS(Transaksi!$F$16:$F$5015,Transaksi!$G$16:$G$5015,$A152,Transaksi!$H$16:$H$5015,$B152,Transaksi!$I$16:$I$5015,$C152,Transaksi!$B$16:$B$5015,"&gt;="&amp;DATE(Dashboard!$C$4,6,1),Transaksi!$B$16:$B$5015,"&lt;="&amp;EOMONTH(DATE(Dashboard!$C$4,6,1),0)))</f>
        <v/>
      </c>
      <c r="J152" s="165">
        <f>IF($C152="","",SUMIFS(Transaksi!$F$16:$F$5015,Transaksi!$G$16:$G$5015,$A152,Transaksi!$H$16:$H$5015,$B152,Transaksi!$I$16:$I$5015,$C152,Transaksi!$B$16:$B$5015,"&gt;="&amp;DATE(Dashboard!$C$4,7,1),Transaksi!$B$16:$B$5015,"&lt;="&amp;EOMONTH(DATE(Dashboard!$C$4,7,1),0)))</f>
        <v/>
      </c>
      <c r="K152" s="165">
        <f>IF($C152="","",SUMIFS(Transaksi!$F$16:$F$5015,Transaksi!$G$16:$G$5015,$A152,Transaksi!$H$16:$H$5015,$B152,Transaksi!$I$16:$I$5015,$C152,Transaksi!$B$16:$B$5015,"&gt;="&amp;DATE(Dashboard!$C$4,8,1),Transaksi!$B$16:$B$5015,"&lt;="&amp;EOMONTH(DATE(Dashboard!$C$4,8,1),0)))</f>
        <v/>
      </c>
      <c r="L152" s="165">
        <f>IF($C152="","",SUMIFS(Transaksi!$F$16:$F$5015,Transaksi!$G$16:$G$5015,$A152,Transaksi!$H$16:$H$5015,$B152,Transaksi!$I$16:$I$5015,$C152,Transaksi!$B$16:$B$5015,"&gt;="&amp;DATE(Dashboard!$C$4,9,1),Transaksi!$B$16:$B$5015,"&lt;="&amp;EOMONTH(DATE(Dashboard!$C$4,9,1),0)))</f>
        <v/>
      </c>
      <c r="M152" s="165">
        <f>IF($C152="","",SUMIFS(Transaksi!$F$16:$F$5015,Transaksi!$G$16:$G$5015,$A152,Transaksi!$H$16:$H$5015,$B152,Transaksi!$I$16:$I$5015,$C152,Transaksi!$B$16:$B$5015,"&gt;="&amp;DATE(Dashboard!$C$4,10,1),Transaksi!$B$16:$B$5015,"&lt;="&amp;EOMONTH(DATE(Dashboard!$C$4,10,1),0)))</f>
        <v/>
      </c>
      <c r="N152" s="165">
        <f>IF($C152="","",SUMIFS(Transaksi!$F$16:$F$5015,Transaksi!$G$16:$G$5015,$A152,Transaksi!$H$16:$H$5015,$B152,Transaksi!$I$16:$I$5015,$C152,Transaksi!$B$16:$B$5015,"&gt;="&amp;DATE(Dashboard!$C$4,11,1),Transaksi!$B$16:$B$5015,"&lt;="&amp;EOMONTH(DATE(Dashboard!$C$4,11,1),0)))</f>
        <v/>
      </c>
      <c r="O152" s="165">
        <f>IF($C152="","",SUMIFS(Transaksi!$F$16:$F$5015,Transaksi!$G$16:$G$5015,$A152,Transaksi!$H$16:$H$5015,$B152,Transaksi!$I$16:$I$5015,$C152,Transaksi!$B$16:$B$5015,"&gt;="&amp;DATE(Dashboard!$C$4,12,1),Transaksi!$B$16:$B$5015,"&lt;="&amp;EOMONTH(DATE(Dashboard!$C$4,12,1),0)))</f>
        <v/>
      </c>
      <c r="P152" s="166">
        <f>IF($C152="","",SUM(D152:O152))</f>
        <v/>
      </c>
    </row>
    <row r="153" ht="15" customHeight="1" s="94">
      <c r="A153" s="164">
        <f>IF(Kategori!C153="","",Kategori!A153)</f>
        <v/>
      </c>
      <c r="B153" s="164">
        <f>IF(Kategori!C153="","",Kategori!B153)</f>
        <v/>
      </c>
      <c r="C153" s="108">
        <f>IF(Kategori!C153="","",Kategori!C153)</f>
        <v/>
      </c>
      <c r="D153" s="165">
        <f>IF($C153="","",SUMIFS(Transaksi!$F$16:$F$5015,Transaksi!$G$16:$G$5015,$A153,Transaksi!$H$16:$H$5015,$B153,Transaksi!$I$16:$I$5015,$C153,Transaksi!$B$16:$B$5015,"&gt;="&amp;DATE(Dashboard!$C$4,1,1),Transaksi!$B$16:$B$5015,"&lt;="&amp;EOMONTH(DATE(Dashboard!$C$4,1,1),0)))</f>
        <v/>
      </c>
      <c r="E153" s="165">
        <f>IF($C153="","",SUMIFS(Transaksi!$F$16:$F$5015,Transaksi!$G$16:$G$5015,$A153,Transaksi!$H$16:$H$5015,$B153,Transaksi!$I$16:$I$5015,$C153,Transaksi!$B$16:$B$5015,"&gt;="&amp;DATE(Dashboard!$C$4,2,1),Transaksi!$B$16:$B$5015,"&lt;="&amp;EOMONTH(DATE(Dashboard!$C$4,2,1),0)))</f>
        <v/>
      </c>
      <c r="F153" s="165">
        <f>IF($C153="","",SUMIFS(Transaksi!$F$16:$F$5015,Transaksi!$G$16:$G$5015,$A153,Transaksi!$H$16:$H$5015,$B153,Transaksi!$I$16:$I$5015,$C153,Transaksi!$B$16:$B$5015,"&gt;="&amp;DATE(Dashboard!$C$4,3,1),Transaksi!$B$16:$B$5015,"&lt;="&amp;EOMONTH(DATE(Dashboard!$C$4,3,1),0)))</f>
        <v/>
      </c>
      <c r="G153" s="165">
        <f>IF($C153="","",SUMIFS(Transaksi!$F$16:$F$5015,Transaksi!$G$16:$G$5015,$A153,Transaksi!$H$16:$H$5015,$B153,Transaksi!$I$16:$I$5015,$C153,Transaksi!$B$16:$B$5015,"&gt;="&amp;DATE(Dashboard!$C$4,4,1),Transaksi!$B$16:$B$5015,"&lt;="&amp;EOMONTH(DATE(Dashboard!$C$4,4,1),0)))</f>
        <v/>
      </c>
      <c r="H153" s="165">
        <f>IF($C153="","",SUMIFS(Transaksi!$F$16:$F$5015,Transaksi!$G$16:$G$5015,$A153,Transaksi!$H$16:$H$5015,$B153,Transaksi!$I$16:$I$5015,$C153,Transaksi!$B$16:$B$5015,"&gt;="&amp;DATE(Dashboard!$C$4,5,1),Transaksi!$B$16:$B$5015,"&lt;="&amp;EOMONTH(DATE(Dashboard!$C$4,5,1),0)))</f>
        <v/>
      </c>
      <c r="I153" s="165">
        <f>IF($C153="","",SUMIFS(Transaksi!$F$16:$F$5015,Transaksi!$G$16:$G$5015,$A153,Transaksi!$H$16:$H$5015,$B153,Transaksi!$I$16:$I$5015,$C153,Transaksi!$B$16:$B$5015,"&gt;="&amp;DATE(Dashboard!$C$4,6,1),Transaksi!$B$16:$B$5015,"&lt;="&amp;EOMONTH(DATE(Dashboard!$C$4,6,1),0)))</f>
        <v/>
      </c>
      <c r="J153" s="165">
        <f>IF($C153="","",SUMIFS(Transaksi!$F$16:$F$5015,Transaksi!$G$16:$G$5015,$A153,Transaksi!$H$16:$H$5015,$B153,Transaksi!$I$16:$I$5015,$C153,Transaksi!$B$16:$B$5015,"&gt;="&amp;DATE(Dashboard!$C$4,7,1),Transaksi!$B$16:$B$5015,"&lt;="&amp;EOMONTH(DATE(Dashboard!$C$4,7,1),0)))</f>
        <v/>
      </c>
      <c r="K153" s="165">
        <f>IF($C153="","",SUMIFS(Transaksi!$F$16:$F$5015,Transaksi!$G$16:$G$5015,$A153,Transaksi!$H$16:$H$5015,$B153,Transaksi!$I$16:$I$5015,$C153,Transaksi!$B$16:$B$5015,"&gt;="&amp;DATE(Dashboard!$C$4,8,1),Transaksi!$B$16:$B$5015,"&lt;="&amp;EOMONTH(DATE(Dashboard!$C$4,8,1),0)))</f>
        <v/>
      </c>
      <c r="L153" s="165">
        <f>IF($C153="","",SUMIFS(Transaksi!$F$16:$F$5015,Transaksi!$G$16:$G$5015,$A153,Transaksi!$H$16:$H$5015,$B153,Transaksi!$I$16:$I$5015,$C153,Transaksi!$B$16:$B$5015,"&gt;="&amp;DATE(Dashboard!$C$4,9,1),Transaksi!$B$16:$B$5015,"&lt;="&amp;EOMONTH(DATE(Dashboard!$C$4,9,1),0)))</f>
        <v/>
      </c>
      <c r="M153" s="165">
        <f>IF($C153="","",SUMIFS(Transaksi!$F$16:$F$5015,Transaksi!$G$16:$G$5015,$A153,Transaksi!$H$16:$H$5015,$B153,Transaksi!$I$16:$I$5015,$C153,Transaksi!$B$16:$B$5015,"&gt;="&amp;DATE(Dashboard!$C$4,10,1),Transaksi!$B$16:$B$5015,"&lt;="&amp;EOMONTH(DATE(Dashboard!$C$4,10,1),0)))</f>
        <v/>
      </c>
      <c r="N153" s="165">
        <f>IF($C153="","",SUMIFS(Transaksi!$F$16:$F$5015,Transaksi!$G$16:$G$5015,$A153,Transaksi!$H$16:$H$5015,$B153,Transaksi!$I$16:$I$5015,$C153,Transaksi!$B$16:$B$5015,"&gt;="&amp;DATE(Dashboard!$C$4,11,1),Transaksi!$B$16:$B$5015,"&lt;="&amp;EOMONTH(DATE(Dashboard!$C$4,11,1),0)))</f>
        <v/>
      </c>
      <c r="O153" s="165">
        <f>IF($C153="","",SUMIFS(Transaksi!$F$16:$F$5015,Transaksi!$G$16:$G$5015,$A153,Transaksi!$H$16:$H$5015,$B153,Transaksi!$I$16:$I$5015,$C153,Transaksi!$B$16:$B$5015,"&gt;="&amp;DATE(Dashboard!$C$4,12,1),Transaksi!$B$16:$B$5015,"&lt;="&amp;EOMONTH(DATE(Dashboard!$C$4,12,1),0)))</f>
        <v/>
      </c>
      <c r="P153" s="166">
        <f>IF($C153="","",SUM(D153:O153))</f>
        <v/>
      </c>
    </row>
    <row r="154" ht="15" customHeight="1" s="94">
      <c r="A154" s="164">
        <f>IF(Kategori!C154="","",Kategori!A154)</f>
        <v/>
      </c>
      <c r="B154" s="164">
        <f>IF(Kategori!C154="","",Kategori!B154)</f>
        <v/>
      </c>
      <c r="C154" s="108">
        <f>IF(Kategori!C154="","",Kategori!C154)</f>
        <v/>
      </c>
      <c r="D154" s="165">
        <f>IF($C154="","",SUMIFS(Transaksi!$F$16:$F$5015,Transaksi!$G$16:$G$5015,$A154,Transaksi!$H$16:$H$5015,$B154,Transaksi!$I$16:$I$5015,$C154,Transaksi!$B$16:$B$5015,"&gt;="&amp;DATE(Dashboard!$C$4,1,1),Transaksi!$B$16:$B$5015,"&lt;="&amp;EOMONTH(DATE(Dashboard!$C$4,1,1),0)))</f>
        <v/>
      </c>
      <c r="E154" s="165">
        <f>IF($C154="","",SUMIFS(Transaksi!$F$16:$F$5015,Transaksi!$G$16:$G$5015,$A154,Transaksi!$H$16:$H$5015,$B154,Transaksi!$I$16:$I$5015,$C154,Transaksi!$B$16:$B$5015,"&gt;="&amp;DATE(Dashboard!$C$4,2,1),Transaksi!$B$16:$B$5015,"&lt;="&amp;EOMONTH(DATE(Dashboard!$C$4,2,1),0)))</f>
        <v/>
      </c>
      <c r="F154" s="165">
        <f>IF($C154="","",SUMIFS(Transaksi!$F$16:$F$5015,Transaksi!$G$16:$G$5015,$A154,Transaksi!$H$16:$H$5015,$B154,Transaksi!$I$16:$I$5015,$C154,Transaksi!$B$16:$B$5015,"&gt;="&amp;DATE(Dashboard!$C$4,3,1),Transaksi!$B$16:$B$5015,"&lt;="&amp;EOMONTH(DATE(Dashboard!$C$4,3,1),0)))</f>
        <v/>
      </c>
      <c r="G154" s="165">
        <f>IF($C154="","",SUMIFS(Transaksi!$F$16:$F$5015,Transaksi!$G$16:$G$5015,$A154,Transaksi!$H$16:$H$5015,$B154,Transaksi!$I$16:$I$5015,$C154,Transaksi!$B$16:$B$5015,"&gt;="&amp;DATE(Dashboard!$C$4,4,1),Transaksi!$B$16:$B$5015,"&lt;="&amp;EOMONTH(DATE(Dashboard!$C$4,4,1),0)))</f>
        <v/>
      </c>
      <c r="H154" s="165">
        <f>IF($C154="","",SUMIFS(Transaksi!$F$16:$F$5015,Transaksi!$G$16:$G$5015,$A154,Transaksi!$H$16:$H$5015,$B154,Transaksi!$I$16:$I$5015,$C154,Transaksi!$B$16:$B$5015,"&gt;="&amp;DATE(Dashboard!$C$4,5,1),Transaksi!$B$16:$B$5015,"&lt;="&amp;EOMONTH(DATE(Dashboard!$C$4,5,1),0)))</f>
        <v/>
      </c>
      <c r="I154" s="165">
        <f>IF($C154="","",SUMIFS(Transaksi!$F$16:$F$5015,Transaksi!$G$16:$G$5015,$A154,Transaksi!$H$16:$H$5015,$B154,Transaksi!$I$16:$I$5015,$C154,Transaksi!$B$16:$B$5015,"&gt;="&amp;DATE(Dashboard!$C$4,6,1),Transaksi!$B$16:$B$5015,"&lt;="&amp;EOMONTH(DATE(Dashboard!$C$4,6,1),0)))</f>
        <v/>
      </c>
      <c r="J154" s="165">
        <f>IF($C154="","",SUMIFS(Transaksi!$F$16:$F$5015,Transaksi!$G$16:$G$5015,$A154,Transaksi!$H$16:$H$5015,$B154,Transaksi!$I$16:$I$5015,$C154,Transaksi!$B$16:$B$5015,"&gt;="&amp;DATE(Dashboard!$C$4,7,1),Transaksi!$B$16:$B$5015,"&lt;="&amp;EOMONTH(DATE(Dashboard!$C$4,7,1),0)))</f>
        <v/>
      </c>
      <c r="K154" s="165">
        <f>IF($C154="","",SUMIFS(Transaksi!$F$16:$F$5015,Transaksi!$G$16:$G$5015,$A154,Transaksi!$H$16:$H$5015,$B154,Transaksi!$I$16:$I$5015,$C154,Transaksi!$B$16:$B$5015,"&gt;="&amp;DATE(Dashboard!$C$4,8,1),Transaksi!$B$16:$B$5015,"&lt;="&amp;EOMONTH(DATE(Dashboard!$C$4,8,1),0)))</f>
        <v/>
      </c>
      <c r="L154" s="165">
        <f>IF($C154="","",SUMIFS(Transaksi!$F$16:$F$5015,Transaksi!$G$16:$G$5015,$A154,Transaksi!$H$16:$H$5015,$B154,Transaksi!$I$16:$I$5015,$C154,Transaksi!$B$16:$B$5015,"&gt;="&amp;DATE(Dashboard!$C$4,9,1),Transaksi!$B$16:$B$5015,"&lt;="&amp;EOMONTH(DATE(Dashboard!$C$4,9,1),0)))</f>
        <v/>
      </c>
      <c r="M154" s="165">
        <f>IF($C154="","",SUMIFS(Transaksi!$F$16:$F$5015,Transaksi!$G$16:$G$5015,$A154,Transaksi!$H$16:$H$5015,$B154,Transaksi!$I$16:$I$5015,$C154,Transaksi!$B$16:$B$5015,"&gt;="&amp;DATE(Dashboard!$C$4,10,1),Transaksi!$B$16:$B$5015,"&lt;="&amp;EOMONTH(DATE(Dashboard!$C$4,10,1),0)))</f>
        <v/>
      </c>
      <c r="N154" s="165">
        <f>IF($C154="","",SUMIFS(Transaksi!$F$16:$F$5015,Transaksi!$G$16:$G$5015,$A154,Transaksi!$H$16:$H$5015,$B154,Transaksi!$I$16:$I$5015,$C154,Transaksi!$B$16:$B$5015,"&gt;="&amp;DATE(Dashboard!$C$4,11,1),Transaksi!$B$16:$B$5015,"&lt;="&amp;EOMONTH(DATE(Dashboard!$C$4,11,1),0)))</f>
        <v/>
      </c>
      <c r="O154" s="165">
        <f>IF($C154="","",SUMIFS(Transaksi!$F$16:$F$5015,Transaksi!$G$16:$G$5015,$A154,Transaksi!$H$16:$H$5015,$B154,Transaksi!$I$16:$I$5015,$C154,Transaksi!$B$16:$B$5015,"&gt;="&amp;DATE(Dashboard!$C$4,12,1),Transaksi!$B$16:$B$5015,"&lt;="&amp;EOMONTH(DATE(Dashboard!$C$4,12,1),0)))</f>
        <v/>
      </c>
      <c r="P154" s="166">
        <f>IF($C154="","",SUM(D154:O154))</f>
        <v/>
      </c>
    </row>
    <row r="155" ht="15" customHeight="1" s="94">
      <c r="A155" s="164">
        <f>IF(Kategori!C155="","",Kategori!A155)</f>
        <v/>
      </c>
      <c r="B155" s="164">
        <f>IF(Kategori!C155="","",Kategori!B155)</f>
        <v/>
      </c>
      <c r="C155" s="108">
        <f>IF(Kategori!C155="","",Kategori!C155)</f>
        <v/>
      </c>
      <c r="D155" s="165">
        <f>IF($C155="","",SUMIFS(Transaksi!$F$16:$F$5015,Transaksi!$G$16:$G$5015,$A155,Transaksi!$H$16:$H$5015,$B155,Transaksi!$I$16:$I$5015,$C155,Transaksi!$B$16:$B$5015,"&gt;="&amp;DATE(Dashboard!$C$4,1,1),Transaksi!$B$16:$B$5015,"&lt;="&amp;EOMONTH(DATE(Dashboard!$C$4,1,1),0)))</f>
        <v/>
      </c>
      <c r="E155" s="165">
        <f>IF($C155="","",SUMIFS(Transaksi!$F$16:$F$5015,Transaksi!$G$16:$G$5015,$A155,Transaksi!$H$16:$H$5015,$B155,Transaksi!$I$16:$I$5015,$C155,Transaksi!$B$16:$B$5015,"&gt;="&amp;DATE(Dashboard!$C$4,2,1),Transaksi!$B$16:$B$5015,"&lt;="&amp;EOMONTH(DATE(Dashboard!$C$4,2,1),0)))</f>
        <v/>
      </c>
      <c r="F155" s="165">
        <f>IF($C155="","",SUMIFS(Transaksi!$F$16:$F$5015,Transaksi!$G$16:$G$5015,$A155,Transaksi!$H$16:$H$5015,$B155,Transaksi!$I$16:$I$5015,$C155,Transaksi!$B$16:$B$5015,"&gt;="&amp;DATE(Dashboard!$C$4,3,1),Transaksi!$B$16:$B$5015,"&lt;="&amp;EOMONTH(DATE(Dashboard!$C$4,3,1),0)))</f>
        <v/>
      </c>
      <c r="G155" s="165">
        <f>IF($C155="","",SUMIFS(Transaksi!$F$16:$F$5015,Transaksi!$G$16:$G$5015,$A155,Transaksi!$H$16:$H$5015,$B155,Transaksi!$I$16:$I$5015,$C155,Transaksi!$B$16:$B$5015,"&gt;="&amp;DATE(Dashboard!$C$4,4,1),Transaksi!$B$16:$B$5015,"&lt;="&amp;EOMONTH(DATE(Dashboard!$C$4,4,1),0)))</f>
        <v/>
      </c>
      <c r="H155" s="165">
        <f>IF($C155="","",SUMIFS(Transaksi!$F$16:$F$5015,Transaksi!$G$16:$G$5015,$A155,Transaksi!$H$16:$H$5015,$B155,Transaksi!$I$16:$I$5015,$C155,Transaksi!$B$16:$B$5015,"&gt;="&amp;DATE(Dashboard!$C$4,5,1),Transaksi!$B$16:$B$5015,"&lt;="&amp;EOMONTH(DATE(Dashboard!$C$4,5,1),0)))</f>
        <v/>
      </c>
      <c r="I155" s="165">
        <f>IF($C155="","",SUMIFS(Transaksi!$F$16:$F$5015,Transaksi!$G$16:$G$5015,$A155,Transaksi!$H$16:$H$5015,$B155,Transaksi!$I$16:$I$5015,$C155,Transaksi!$B$16:$B$5015,"&gt;="&amp;DATE(Dashboard!$C$4,6,1),Transaksi!$B$16:$B$5015,"&lt;="&amp;EOMONTH(DATE(Dashboard!$C$4,6,1),0)))</f>
        <v/>
      </c>
      <c r="J155" s="165">
        <f>IF($C155="","",SUMIFS(Transaksi!$F$16:$F$5015,Transaksi!$G$16:$G$5015,$A155,Transaksi!$H$16:$H$5015,$B155,Transaksi!$I$16:$I$5015,$C155,Transaksi!$B$16:$B$5015,"&gt;="&amp;DATE(Dashboard!$C$4,7,1),Transaksi!$B$16:$B$5015,"&lt;="&amp;EOMONTH(DATE(Dashboard!$C$4,7,1),0)))</f>
        <v/>
      </c>
      <c r="K155" s="165">
        <f>IF($C155="","",SUMIFS(Transaksi!$F$16:$F$5015,Transaksi!$G$16:$G$5015,$A155,Transaksi!$H$16:$H$5015,$B155,Transaksi!$I$16:$I$5015,$C155,Transaksi!$B$16:$B$5015,"&gt;="&amp;DATE(Dashboard!$C$4,8,1),Transaksi!$B$16:$B$5015,"&lt;="&amp;EOMONTH(DATE(Dashboard!$C$4,8,1),0)))</f>
        <v/>
      </c>
      <c r="L155" s="165">
        <f>IF($C155="","",SUMIFS(Transaksi!$F$16:$F$5015,Transaksi!$G$16:$G$5015,$A155,Transaksi!$H$16:$H$5015,$B155,Transaksi!$I$16:$I$5015,$C155,Transaksi!$B$16:$B$5015,"&gt;="&amp;DATE(Dashboard!$C$4,9,1),Transaksi!$B$16:$B$5015,"&lt;="&amp;EOMONTH(DATE(Dashboard!$C$4,9,1),0)))</f>
        <v/>
      </c>
      <c r="M155" s="165">
        <f>IF($C155="","",SUMIFS(Transaksi!$F$16:$F$5015,Transaksi!$G$16:$G$5015,$A155,Transaksi!$H$16:$H$5015,$B155,Transaksi!$I$16:$I$5015,$C155,Transaksi!$B$16:$B$5015,"&gt;="&amp;DATE(Dashboard!$C$4,10,1),Transaksi!$B$16:$B$5015,"&lt;="&amp;EOMONTH(DATE(Dashboard!$C$4,10,1),0)))</f>
        <v/>
      </c>
      <c r="N155" s="165">
        <f>IF($C155="","",SUMIFS(Transaksi!$F$16:$F$5015,Transaksi!$G$16:$G$5015,$A155,Transaksi!$H$16:$H$5015,$B155,Transaksi!$I$16:$I$5015,$C155,Transaksi!$B$16:$B$5015,"&gt;="&amp;DATE(Dashboard!$C$4,11,1),Transaksi!$B$16:$B$5015,"&lt;="&amp;EOMONTH(DATE(Dashboard!$C$4,11,1),0)))</f>
        <v/>
      </c>
      <c r="O155" s="165">
        <f>IF($C155="","",SUMIFS(Transaksi!$F$16:$F$5015,Transaksi!$G$16:$G$5015,$A155,Transaksi!$H$16:$H$5015,$B155,Transaksi!$I$16:$I$5015,$C155,Transaksi!$B$16:$B$5015,"&gt;="&amp;DATE(Dashboard!$C$4,12,1),Transaksi!$B$16:$B$5015,"&lt;="&amp;EOMONTH(DATE(Dashboard!$C$4,12,1),0)))</f>
        <v/>
      </c>
      <c r="P155" s="166">
        <f>IF($C155="","",SUM(D155:O155))</f>
        <v/>
      </c>
    </row>
    <row r="156" ht="15" customHeight="1" s="94">
      <c r="A156" s="164">
        <f>IF(Kategori!C156="","",Kategori!A156)</f>
        <v/>
      </c>
      <c r="B156" s="164">
        <f>IF(Kategori!C156="","",Kategori!B156)</f>
        <v/>
      </c>
      <c r="C156" s="108">
        <f>IF(Kategori!C156="","",Kategori!C156)</f>
        <v/>
      </c>
      <c r="D156" s="165">
        <f>IF($C156="","",SUMIFS(Transaksi!$F$16:$F$5015,Transaksi!$G$16:$G$5015,$A156,Transaksi!$H$16:$H$5015,$B156,Transaksi!$I$16:$I$5015,$C156,Transaksi!$B$16:$B$5015,"&gt;="&amp;DATE(Dashboard!$C$4,1,1),Transaksi!$B$16:$B$5015,"&lt;="&amp;EOMONTH(DATE(Dashboard!$C$4,1,1),0)))</f>
        <v/>
      </c>
      <c r="E156" s="165">
        <f>IF($C156="","",SUMIFS(Transaksi!$F$16:$F$5015,Transaksi!$G$16:$G$5015,$A156,Transaksi!$H$16:$H$5015,$B156,Transaksi!$I$16:$I$5015,$C156,Transaksi!$B$16:$B$5015,"&gt;="&amp;DATE(Dashboard!$C$4,2,1),Transaksi!$B$16:$B$5015,"&lt;="&amp;EOMONTH(DATE(Dashboard!$C$4,2,1),0)))</f>
        <v/>
      </c>
      <c r="F156" s="165">
        <f>IF($C156="","",SUMIFS(Transaksi!$F$16:$F$5015,Transaksi!$G$16:$G$5015,$A156,Transaksi!$H$16:$H$5015,$B156,Transaksi!$I$16:$I$5015,$C156,Transaksi!$B$16:$B$5015,"&gt;="&amp;DATE(Dashboard!$C$4,3,1),Transaksi!$B$16:$B$5015,"&lt;="&amp;EOMONTH(DATE(Dashboard!$C$4,3,1),0)))</f>
        <v/>
      </c>
      <c r="G156" s="165">
        <f>IF($C156="","",SUMIFS(Transaksi!$F$16:$F$5015,Transaksi!$G$16:$G$5015,$A156,Transaksi!$H$16:$H$5015,$B156,Transaksi!$I$16:$I$5015,$C156,Transaksi!$B$16:$B$5015,"&gt;="&amp;DATE(Dashboard!$C$4,4,1),Transaksi!$B$16:$B$5015,"&lt;="&amp;EOMONTH(DATE(Dashboard!$C$4,4,1),0)))</f>
        <v/>
      </c>
      <c r="H156" s="165">
        <f>IF($C156="","",SUMIFS(Transaksi!$F$16:$F$5015,Transaksi!$G$16:$G$5015,$A156,Transaksi!$H$16:$H$5015,$B156,Transaksi!$I$16:$I$5015,$C156,Transaksi!$B$16:$B$5015,"&gt;="&amp;DATE(Dashboard!$C$4,5,1),Transaksi!$B$16:$B$5015,"&lt;="&amp;EOMONTH(DATE(Dashboard!$C$4,5,1),0)))</f>
        <v/>
      </c>
      <c r="I156" s="165">
        <f>IF($C156="","",SUMIFS(Transaksi!$F$16:$F$5015,Transaksi!$G$16:$G$5015,$A156,Transaksi!$H$16:$H$5015,$B156,Transaksi!$I$16:$I$5015,$C156,Transaksi!$B$16:$B$5015,"&gt;="&amp;DATE(Dashboard!$C$4,6,1),Transaksi!$B$16:$B$5015,"&lt;="&amp;EOMONTH(DATE(Dashboard!$C$4,6,1),0)))</f>
        <v/>
      </c>
      <c r="J156" s="165">
        <f>IF($C156="","",SUMIFS(Transaksi!$F$16:$F$5015,Transaksi!$G$16:$G$5015,$A156,Transaksi!$H$16:$H$5015,$B156,Transaksi!$I$16:$I$5015,$C156,Transaksi!$B$16:$B$5015,"&gt;="&amp;DATE(Dashboard!$C$4,7,1),Transaksi!$B$16:$B$5015,"&lt;="&amp;EOMONTH(DATE(Dashboard!$C$4,7,1),0)))</f>
        <v/>
      </c>
      <c r="K156" s="165">
        <f>IF($C156="","",SUMIFS(Transaksi!$F$16:$F$5015,Transaksi!$G$16:$G$5015,$A156,Transaksi!$H$16:$H$5015,$B156,Transaksi!$I$16:$I$5015,$C156,Transaksi!$B$16:$B$5015,"&gt;="&amp;DATE(Dashboard!$C$4,8,1),Transaksi!$B$16:$B$5015,"&lt;="&amp;EOMONTH(DATE(Dashboard!$C$4,8,1),0)))</f>
        <v/>
      </c>
      <c r="L156" s="165">
        <f>IF($C156="","",SUMIFS(Transaksi!$F$16:$F$5015,Transaksi!$G$16:$G$5015,$A156,Transaksi!$H$16:$H$5015,$B156,Transaksi!$I$16:$I$5015,$C156,Transaksi!$B$16:$B$5015,"&gt;="&amp;DATE(Dashboard!$C$4,9,1),Transaksi!$B$16:$B$5015,"&lt;="&amp;EOMONTH(DATE(Dashboard!$C$4,9,1),0)))</f>
        <v/>
      </c>
      <c r="M156" s="165">
        <f>IF($C156="","",SUMIFS(Transaksi!$F$16:$F$5015,Transaksi!$G$16:$G$5015,$A156,Transaksi!$H$16:$H$5015,$B156,Transaksi!$I$16:$I$5015,$C156,Transaksi!$B$16:$B$5015,"&gt;="&amp;DATE(Dashboard!$C$4,10,1),Transaksi!$B$16:$B$5015,"&lt;="&amp;EOMONTH(DATE(Dashboard!$C$4,10,1),0)))</f>
        <v/>
      </c>
      <c r="N156" s="165">
        <f>IF($C156="","",SUMIFS(Transaksi!$F$16:$F$5015,Transaksi!$G$16:$G$5015,$A156,Transaksi!$H$16:$H$5015,$B156,Transaksi!$I$16:$I$5015,$C156,Transaksi!$B$16:$B$5015,"&gt;="&amp;DATE(Dashboard!$C$4,11,1),Transaksi!$B$16:$B$5015,"&lt;="&amp;EOMONTH(DATE(Dashboard!$C$4,11,1),0)))</f>
        <v/>
      </c>
      <c r="O156" s="165">
        <f>IF($C156="","",SUMIFS(Transaksi!$F$16:$F$5015,Transaksi!$G$16:$G$5015,$A156,Transaksi!$H$16:$H$5015,$B156,Transaksi!$I$16:$I$5015,$C156,Transaksi!$B$16:$B$5015,"&gt;="&amp;DATE(Dashboard!$C$4,12,1),Transaksi!$B$16:$B$5015,"&lt;="&amp;EOMONTH(DATE(Dashboard!$C$4,12,1),0)))</f>
        <v/>
      </c>
      <c r="P156" s="166">
        <f>IF($C156="","",SUM(D156:O156))</f>
        <v/>
      </c>
    </row>
    <row r="157" ht="15" customHeight="1" s="94">
      <c r="A157" s="164">
        <f>IF(Kategori!C157="","",Kategori!A157)</f>
        <v/>
      </c>
      <c r="B157" s="164">
        <f>IF(Kategori!C157="","",Kategori!B157)</f>
        <v/>
      </c>
      <c r="C157" s="108">
        <f>IF(Kategori!C157="","",Kategori!C157)</f>
        <v/>
      </c>
      <c r="D157" s="165">
        <f>IF($C157="","",SUMIFS(Transaksi!$F$16:$F$5015,Transaksi!$G$16:$G$5015,$A157,Transaksi!$H$16:$H$5015,$B157,Transaksi!$I$16:$I$5015,$C157,Transaksi!$B$16:$B$5015,"&gt;="&amp;DATE(Dashboard!$C$4,1,1),Transaksi!$B$16:$B$5015,"&lt;="&amp;EOMONTH(DATE(Dashboard!$C$4,1,1),0)))</f>
        <v/>
      </c>
      <c r="E157" s="165">
        <f>IF($C157="","",SUMIFS(Transaksi!$F$16:$F$5015,Transaksi!$G$16:$G$5015,$A157,Transaksi!$H$16:$H$5015,$B157,Transaksi!$I$16:$I$5015,$C157,Transaksi!$B$16:$B$5015,"&gt;="&amp;DATE(Dashboard!$C$4,2,1),Transaksi!$B$16:$B$5015,"&lt;="&amp;EOMONTH(DATE(Dashboard!$C$4,2,1),0)))</f>
        <v/>
      </c>
      <c r="F157" s="165">
        <f>IF($C157="","",SUMIFS(Transaksi!$F$16:$F$5015,Transaksi!$G$16:$G$5015,$A157,Transaksi!$H$16:$H$5015,$B157,Transaksi!$I$16:$I$5015,$C157,Transaksi!$B$16:$B$5015,"&gt;="&amp;DATE(Dashboard!$C$4,3,1),Transaksi!$B$16:$B$5015,"&lt;="&amp;EOMONTH(DATE(Dashboard!$C$4,3,1),0)))</f>
        <v/>
      </c>
      <c r="G157" s="165">
        <f>IF($C157="","",SUMIFS(Transaksi!$F$16:$F$5015,Transaksi!$G$16:$G$5015,$A157,Transaksi!$H$16:$H$5015,$B157,Transaksi!$I$16:$I$5015,$C157,Transaksi!$B$16:$B$5015,"&gt;="&amp;DATE(Dashboard!$C$4,4,1),Transaksi!$B$16:$B$5015,"&lt;="&amp;EOMONTH(DATE(Dashboard!$C$4,4,1),0)))</f>
        <v/>
      </c>
      <c r="H157" s="165">
        <f>IF($C157="","",SUMIFS(Transaksi!$F$16:$F$5015,Transaksi!$G$16:$G$5015,$A157,Transaksi!$H$16:$H$5015,$B157,Transaksi!$I$16:$I$5015,$C157,Transaksi!$B$16:$B$5015,"&gt;="&amp;DATE(Dashboard!$C$4,5,1),Transaksi!$B$16:$B$5015,"&lt;="&amp;EOMONTH(DATE(Dashboard!$C$4,5,1),0)))</f>
        <v/>
      </c>
      <c r="I157" s="165">
        <f>IF($C157="","",SUMIFS(Transaksi!$F$16:$F$5015,Transaksi!$G$16:$G$5015,$A157,Transaksi!$H$16:$H$5015,$B157,Transaksi!$I$16:$I$5015,$C157,Transaksi!$B$16:$B$5015,"&gt;="&amp;DATE(Dashboard!$C$4,6,1),Transaksi!$B$16:$B$5015,"&lt;="&amp;EOMONTH(DATE(Dashboard!$C$4,6,1),0)))</f>
        <v/>
      </c>
      <c r="J157" s="165">
        <f>IF($C157="","",SUMIFS(Transaksi!$F$16:$F$5015,Transaksi!$G$16:$G$5015,$A157,Transaksi!$H$16:$H$5015,$B157,Transaksi!$I$16:$I$5015,$C157,Transaksi!$B$16:$B$5015,"&gt;="&amp;DATE(Dashboard!$C$4,7,1),Transaksi!$B$16:$B$5015,"&lt;="&amp;EOMONTH(DATE(Dashboard!$C$4,7,1),0)))</f>
        <v/>
      </c>
      <c r="K157" s="165">
        <f>IF($C157="","",SUMIFS(Transaksi!$F$16:$F$5015,Transaksi!$G$16:$G$5015,$A157,Transaksi!$H$16:$H$5015,$B157,Transaksi!$I$16:$I$5015,$C157,Transaksi!$B$16:$B$5015,"&gt;="&amp;DATE(Dashboard!$C$4,8,1),Transaksi!$B$16:$B$5015,"&lt;="&amp;EOMONTH(DATE(Dashboard!$C$4,8,1),0)))</f>
        <v/>
      </c>
      <c r="L157" s="165">
        <f>IF($C157="","",SUMIFS(Transaksi!$F$16:$F$5015,Transaksi!$G$16:$G$5015,$A157,Transaksi!$H$16:$H$5015,$B157,Transaksi!$I$16:$I$5015,$C157,Transaksi!$B$16:$B$5015,"&gt;="&amp;DATE(Dashboard!$C$4,9,1),Transaksi!$B$16:$B$5015,"&lt;="&amp;EOMONTH(DATE(Dashboard!$C$4,9,1),0)))</f>
        <v/>
      </c>
      <c r="M157" s="165">
        <f>IF($C157="","",SUMIFS(Transaksi!$F$16:$F$5015,Transaksi!$G$16:$G$5015,$A157,Transaksi!$H$16:$H$5015,$B157,Transaksi!$I$16:$I$5015,$C157,Transaksi!$B$16:$B$5015,"&gt;="&amp;DATE(Dashboard!$C$4,10,1),Transaksi!$B$16:$B$5015,"&lt;="&amp;EOMONTH(DATE(Dashboard!$C$4,10,1),0)))</f>
        <v/>
      </c>
      <c r="N157" s="165">
        <f>IF($C157="","",SUMIFS(Transaksi!$F$16:$F$5015,Transaksi!$G$16:$G$5015,$A157,Transaksi!$H$16:$H$5015,$B157,Transaksi!$I$16:$I$5015,$C157,Transaksi!$B$16:$B$5015,"&gt;="&amp;DATE(Dashboard!$C$4,11,1),Transaksi!$B$16:$B$5015,"&lt;="&amp;EOMONTH(DATE(Dashboard!$C$4,11,1),0)))</f>
        <v/>
      </c>
      <c r="O157" s="165">
        <f>IF($C157="","",SUMIFS(Transaksi!$F$16:$F$5015,Transaksi!$G$16:$G$5015,$A157,Transaksi!$H$16:$H$5015,$B157,Transaksi!$I$16:$I$5015,$C157,Transaksi!$B$16:$B$5015,"&gt;="&amp;DATE(Dashboard!$C$4,12,1),Transaksi!$B$16:$B$5015,"&lt;="&amp;EOMONTH(DATE(Dashboard!$C$4,12,1),0)))</f>
        <v/>
      </c>
      <c r="P157" s="166">
        <f>IF($C157="","",SUM(D157:O157))</f>
        <v/>
      </c>
    </row>
    <row r="158" ht="15" customHeight="1" s="94">
      <c r="A158" s="164">
        <f>IF(Kategori!C158="","",Kategori!A158)</f>
        <v/>
      </c>
      <c r="B158" s="164">
        <f>IF(Kategori!C158="","",Kategori!B158)</f>
        <v/>
      </c>
      <c r="C158" s="108">
        <f>IF(Kategori!C158="","",Kategori!C158)</f>
        <v/>
      </c>
      <c r="D158" s="165">
        <f>IF($C158="","",SUMIFS(Transaksi!$F$16:$F$5015,Transaksi!$G$16:$G$5015,$A158,Transaksi!$H$16:$H$5015,$B158,Transaksi!$I$16:$I$5015,$C158,Transaksi!$B$16:$B$5015,"&gt;="&amp;DATE(Dashboard!$C$4,1,1),Transaksi!$B$16:$B$5015,"&lt;="&amp;EOMONTH(DATE(Dashboard!$C$4,1,1),0)))</f>
        <v/>
      </c>
      <c r="E158" s="165">
        <f>IF($C158="","",SUMIFS(Transaksi!$F$16:$F$5015,Transaksi!$G$16:$G$5015,$A158,Transaksi!$H$16:$H$5015,$B158,Transaksi!$I$16:$I$5015,$C158,Transaksi!$B$16:$B$5015,"&gt;="&amp;DATE(Dashboard!$C$4,2,1),Transaksi!$B$16:$B$5015,"&lt;="&amp;EOMONTH(DATE(Dashboard!$C$4,2,1),0)))</f>
        <v/>
      </c>
      <c r="F158" s="165">
        <f>IF($C158="","",SUMIFS(Transaksi!$F$16:$F$5015,Transaksi!$G$16:$G$5015,$A158,Transaksi!$H$16:$H$5015,$B158,Transaksi!$I$16:$I$5015,$C158,Transaksi!$B$16:$B$5015,"&gt;="&amp;DATE(Dashboard!$C$4,3,1),Transaksi!$B$16:$B$5015,"&lt;="&amp;EOMONTH(DATE(Dashboard!$C$4,3,1),0)))</f>
        <v/>
      </c>
      <c r="G158" s="165">
        <f>IF($C158="","",SUMIFS(Transaksi!$F$16:$F$5015,Transaksi!$G$16:$G$5015,$A158,Transaksi!$H$16:$H$5015,$B158,Transaksi!$I$16:$I$5015,$C158,Transaksi!$B$16:$B$5015,"&gt;="&amp;DATE(Dashboard!$C$4,4,1),Transaksi!$B$16:$B$5015,"&lt;="&amp;EOMONTH(DATE(Dashboard!$C$4,4,1),0)))</f>
        <v/>
      </c>
      <c r="H158" s="165">
        <f>IF($C158="","",SUMIFS(Transaksi!$F$16:$F$5015,Transaksi!$G$16:$G$5015,$A158,Transaksi!$H$16:$H$5015,$B158,Transaksi!$I$16:$I$5015,$C158,Transaksi!$B$16:$B$5015,"&gt;="&amp;DATE(Dashboard!$C$4,5,1),Transaksi!$B$16:$B$5015,"&lt;="&amp;EOMONTH(DATE(Dashboard!$C$4,5,1),0)))</f>
        <v/>
      </c>
      <c r="I158" s="165">
        <f>IF($C158="","",SUMIFS(Transaksi!$F$16:$F$5015,Transaksi!$G$16:$G$5015,$A158,Transaksi!$H$16:$H$5015,$B158,Transaksi!$I$16:$I$5015,$C158,Transaksi!$B$16:$B$5015,"&gt;="&amp;DATE(Dashboard!$C$4,6,1),Transaksi!$B$16:$B$5015,"&lt;="&amp;EOMONTH(DATE(Dashboard!$C$4,6,1),0)))</f>
        <v/>
      </c>
      <c r="J158" s="165">
        <f>IF($C158="","",SUMIFS(Transaksi!$F$16:$F$5015,Transaksi!$G$16:$G$5015,$A158,Transaksi!$H$16:$H$5015,$B158,Transaksi!$I$16:$I$5015,$C158,Transaksi!$B$16:$B$5015,"&gt;="&amp;DATE(Dashboard!$C$4,7,1),Transaksi!$B$16:$B$5015,"&lt;="&amp;EOMONTH(DATE(Dashboard!$C$4,7,1),0)))</f>
        <v/>
      </c>
      <c r="K158" s="165">
        <f>IF($C158="","",SUMIFS(Transaksi!$F$16:$F$5015,Transaksi!$G$16:$G$5015,$A158,Transaksi!$H$16:$H$5015,$B158,Transaksi!$I$16:$I$5015,$C158,Transaksi!$B$16:$B$5015,"&gt;="&amp;DATE(Dashboard!$C$4,8,1),Transaksi!$B$16:$B$5015,"&lt;="&amp;EOMONTH(DATE(Dashboard!$C$4,8,1),0)))</f>
        <v/>
      </c>
      <c r="L158" s="165">
        <f>IF($C158="","",SUMIFS(Transaksi!$F$16:$F$5015,Transaksi!$G$16:$G$5015,$A158,Transaksi!$H$16:$H$5015,$B158,Transaksi!$I$16:$I$5015,$C158,Transaksi!$B$16:$B$5015,"&gt;="&amp;DATE(Dashboard!$C$4,9,1),Transaksi!$B$16:$B$5015,"&lt;="&amp;EOMONTH(DATE(Dashboard!$C$4,9,1),0)))</f>
        <v/>
      </c>
      <c r="M158" s="165">
        <f>IF($C158="","",SUMIFS(Transaksi!$F$16:$F$5015,Transaksi!$G$16:$G$5015,$A158,Transaksi!$H$16:$H$5015,$B158,Transaksi!$I$16:$I$5015,$C158,Transaksi!$B$16:$B$5015,"&gt;="&amp;DATE(Dashboard!$C$4,10,1),Transaksi!$B$16:$B$5015,"&lt;="&amp;EOMONTH(DATE(Dashboard!$C$4,10,1),0)))</f>
        <v/>
      </c>
      <c r="N158" s="165">
        <f>IF($C158="","",SUMIFS(Transaksi!$F$16:$F$5015,Transaksi!$G$16:$G$5015,$A158,Transaksi!$H$16:$H$5015,$B158,Transaksi!$I$16:$I$5015,$C158,Transaksi!$B$16:$B$5015,"&gt;="&amp;DATE(Dashboard!$C$4,11,1),Transaksi!$B$16:$B$5015,"&lt;="&amp;EOMONTH(DATE(Dashboard!$C$4,11,1),0)))</f>
        <v/>
      </c>
      <c r="O158" s="165">
        <f>IF($C158="","",SUMIFS(Transaksi!$F$16:$F$5015,Transaksi!$G$16:$G$5015,$A158,Transaksi!$H$16:$H$5015,$B158,Transaksi!$I$16:$I$5015,$C158,Transaksi!$B$16:$B$5015,"&gt;="&amp;DATE(Dashboard!$C$4,12,1),Transaksi!$B$16:$B$5015,"&lt;="&amp;EOMONTH(DATE(Dashboard!$C$4,12,1),0)))</f>
        <v/>
      </c>
      <c r="P158" s="166">
        <f>IF($C158="","",SUM(D158:O158))</f>
        <v/>
      </c>
    </row>
    <row r="159" ht="15" customHeight="1" s="94">
      <c r="A159" s="164">
        <f>IF(Kategori!C159="","",Kategori!A159)</f>
        <v/>
      </c>
      <c r="B159" s="164">
        <f>IF(Kategori!C159="","",Kategori!B159)</f>
        <v/>
      </c>
      <c r="C159" s="108">
        <f>IF(Kategori!C159="","",Kategori!C159)</f>
        <v/>
      </c>
      <c r="D159" s="165">
        <f>IF($C159="","",SUMIFS(Transaksi!$F$16:$F$5015,Transaksi!$G$16:$G$5015,$A159,Transaksi!$H$16:$H$5015,$B159,Transaksi!$I$16:$I$5015,$C159,Transaksi!$B$16:$B$5015,"&gt;="&amp;DATE(Dashboard!$C$4,1,1),Transaksi!$B$16:$B$5015,"&lt;="&amp;EOMONTH(DATE(Dashboard!$C$4,1,1),0)))</f>
        <v/>
      </c>
      <c r="E159" s="165">
        <f>IF($C159="","",SUMIFS(Transaksi!$F$16:$F$5015,Transaksi!$G$16:$G$5015,$A159,Transaksi!$H$16:$H$5015,$B159,Transaksi!$I$16:$I$5015,$C159,Transaksi!$B$16:$B$5015,"&gt;="&amp;DATE(Dashboard!$C$4,2,1),Transaksi!$B$16:$B$5015,"&lt;="&amp;EOMONTH(DATE(Dashboard!$C$4,2,1),0)))</f>
        <v/>
      </c>
      <c r="F159" s="165">
        <f>IF($C159="","",SUMIFS(Transaksi!$F$16:$F$5015,Transaksi!$G$16:$G$5015,$A159,Transaksi!$H$16:$H$5015,$B159,Transaksi!$I$16:$I$5015,$C159,Transaksi!$B$16:$B$5015,"&gt;="&amp;DATE(Dashboard!$C$4,3,1),Transaksi!$B$16:$B$5015,"&lt;="&amp;EOMONTH(DATE(Dashboard!$C$4,3,1),0)))</f>
        <v/>
      </c>
      <c r="G159" s="165">
        <f>IF($C159="","",SUMIFS(Transaksi!$F$16:$F$5015,Transaksi!$G$16:$G$5015,$A159,Transaksi!$H$16:$H$5015,$B159,Transaksi!$I$16:$I$5015,$C159,Transaksi!$B$16:$B$5015,"&gt;="&amp;DATE(Dashboard!$C$4,4,1),Transaksi!$B$16:$B$5015,"&lt;="&amp;EOMONTH(DATE(Dashboard!$C$4,4,1),0)))</f>
        <v/>
      </c>
      <c r="H159" s="165">
        <f>IF($C159="","",SUMIFS(Transaksi!$F$16:$F$5015,Transaksi!$G$16:$G$5015,$A159,Transaksi!$H$16:$H$5015,$B159,Transaksi!$I$16:$I$5015,$C159,Transaksi!$B$16:$B$5015,"&gt;="&amp;DATE(Dashboard!$C$4,5,1),Transaksi!$B$16:$B$5015,"&lt;="&amp;EOMONTH(DATE(Dashboard!$C$4,5,1),0)))</f>
        <v/>
      </c>
      <c r="I159" s="165">
        <f>IF($C159="","",SUMIFS(Transaksi!$F$16:$F$5015,Transaksi!$G$16:$G$5015,$A159,Transaksi!$H$16:$H$5015,$B159,Transaksi!$I$16:$I$5015,$C159,Transaksi!$B$16:$B$5015,"&gt;="&amp;DATE(Dashboard!$C$4,6,1),Transaksi!$B$16:$B$5015,"&lt;="&amp;EOMONTH(DATE(Dashboard!$C$4,6,1),0)))</f>
        <v/>
      </c>
      <c r="J159" s="165">
        <f>IF($C159="","",SUMIFS(Transaksi!$F$16:$F$5015,Transaksi!$G$16:$G$5015,$A159,Transaksi!$H$16:$H$5015,$B159,Transaksi!$I$16:$I$5015,$C159,Transaksi!$B$16:$B$5015,"&gt;="&amp;DATE(Dashboard!$C$4,7,1),Transaksi!$B$16:$B$5015,"&lt;="&amp;EOMONTH(DATE(Dashboard!$C$4,7,1),0)))</f>
        <v/>
      </c>
      <c r="K159" s="165">
        <f>IF($C159="","",SUMIFS(Transaksi!$F$16:$F$5015,Transaksi!$G$16:$G$5015,$A159,Transaksi!$H$16:$H$5015,$B159,Transaksi!$I$16:$I$5015,$C159,Transaksi!$B$16:$B$5015,"&gt;="&amp;DATE(Dashboard!$C$4,8,1),Transaksi!$B$16:$B$5015,"&lt;="&amp;EOMONTH(DATE(Dashboard!$C$4,8,1),0)))</f>
        <v/>
      </c>
      <c r="L159" s="165">
        <f>IF($C159="","",SUMIFS(Transaksi!$F$16:$F$5015,Transaksi!$G$16:$G$5015,$A159,Transaksi!$H$16:$H$5015,$B159,Transaksi!$I$16:$I$5015,$C159,Transaksi!$B$16:$B$5015,"&gt;="&amp;DATE(Dashboard!$C$4,9,1),Transaksi!$B$16:$B$5015,"&lt;="&amp;EOMONTH(DATE(Dashboard!$C$4,9,1),0)))</f>
        <v/>
      </c>
      <c r="M159" s="165">
        <f>IF($C159="","",SUMIFS(Transaksi!$F$16:$F$5015,Transaksi!$G$16:$G$5015,$A159,Transaksi!$H$16:$H$5015,$B159,Transaksi!$I$16:$I$5015,$C159,Transaksi!$B$16:$B$5015,"&gt;="&amp;DATE(Dashboard!$C$4,10,1),Transaksi!$B$16:$B$5015,"&lt;="&amp;EOMONTH(DATE(Dashboard!$C$4,10,1),0)))</f>
        <v/>
      </c>
      <c r="N159" s="165">
        <f>IF($C159="","",SUMIFS(Transaksi!$F$16:$F$5015,Transaksi!$G$16:$G$5015,$A159,Transaksi!$H$16:$H$5015,$B159,Transaksi!$I$16:$I$5015,$C159,Transaksi!$B$16:$B$5015,"&gt;="&amp;DATE(Dashboard!$C$4,11,1),Transaksi!$B$16:$B$5015,"&lt;="&amp;EOMONTH(DATE(Dashboard!$C$4,11,1),0)))</f>
        <v/>
      </c>
      <c r="O159" s="165">
        <f>IF($C159="","",SUMIFS(Transaksi!$F$16:$F$5015,Transaksi!$G$16:$G$5015,$A159,Transaksi!$H$16:$H$5015,$B159,Transaksi!$I$16:$I$5015,$C159,Transaksi!$B$16:$B$5015,"&gt;="&amp;DATE(Dashboard!$C$4,12,1),Transaksi!$B$16:$B$5015,"&lt;="&amp;EOMONTH(DATE(Dashboard!$C$4,12,1),0)))</f>
        <v/>
      </c>
      <c r="P159" s="166">
        <f>IF($C159="","",SUM(D159:O159))</f>
        <v/>
      </c>
    </row>
    <row r="160" ht="15" customHeight="1" s="94">
      <c r="A160" s="164">
        <f>IF(Kategori!C160="","",Kategori!A160)</f>
        <v/>
      </c>
      <c r="B160" s="164">
        <f>IF(Kategori!C160="","",Kategori!B160)</f>
        <v/>
      </c>
      <c r="C160" s="108">
        <f>IF(Kategori!C160="","",Kategori!C160)</f>
        <v/>
      </c>
      <c r="D160" s="165">
        <f>IF($C160="","",SUMIFS(Transaksi!$F$16:$F$5015,Transaksi!$G$16:$G$5015,$A160,Transaksi!$H$16:$H$5015,$B160,Transaksi!$I$16:$I$5015,$C160,Transaksi!$B$16:$B$5015,"&gt;="&amp;DATE(Dashboard!$C$4,1,1),Transaksi!$B$16:$B$5015,"&lt;="&amp;EOMONTH(DATE(Dashboard!$C$4,1,1),0)))</f>
        <v/>
      </c>
      <c r="E160" s="165">
        <f>IF($C160="","",SUMIFS(Transaksi!$F$16:$F$5015,Transaksi!$G$16:$G$5015,$A160,Transaksi!$H$16:$H$5015,$B160,Transaksi!$I$16:$I$5015,$C160,Transaksi!$B$16:$B$5015,"&gt;="&amp;DATE(Dashboard!$C$4,2,1),Transaksi!$B$16:$B$5015,"&lt;="&amp;EOMONTH(DATE(Dashboard!$C$4,2,1),0)))</f>
        <v/>
      </c>
      <c r="F160" s="165">
        <f>IF($C160="","",SUMIFS(Transaksi!$F$16:$F$5015,Transaksi!$G$16:$G$5015,$A160,Transaksi!$H$16:$H$5015,$B160,Transaksi!$I$16:$I$5015,$C160,Transaksi!$B$16:$B$5015,"&gt;="&amp;DATE(Dashboard!$C$4,3,1),Transaksi!$B$16:$B$5015,"&lt;="&amp;EOMONTH(DATE(Dashboard!$C$4,3,1),0)))</f>
        <v/>
      </c>
      <c r="G160" s="165">
        <f>IF($C160="","",SUMIFS(Transaksi!$F$16:$F$5015,Transaksi!$G$16:$G$5015,$A160,Transaksi!$H$16:$H$5015,$B160,Transaksi!$I$16:$I$5015,$C160,Transaksi!$B$16:$B$5015,"&gt;="&amp;DATE(Dashboard!$C$4,4,1),Transaksi!$B$16:$B$5015,"&lt;="&amp;EOMONTH(DATE(Dashboard!$C$4,4,1),0)))</f>
        <v/>
      </c>
      <c r="H160" s="165">
        <f>IF($C160="","",SUMIFS(Transaksi!$F$16:$F$5015,Transaksi!$G$16:$G$5015,$A160,Transaksi!$H$16:$H$5015,$B160,Transaksi!$I$16:$I$5015,$C160,Transaksi!$B$16:$B$5015,"&gt;="&amp;DATE(Dashboard!$C$4,5,1),Transaksi!$B$16:$B$5015,"&lt;="&amp;EOMONTH(DATE(Dashboard!$C$4,5,1),0)))</f>
        <v/>
      </c>
      <c r="I160" s="165">
        <f>IF($C160="","",SUMIFS(Transaksi!$F$16:$F$5015,Transaksi!$G$16:$G$5015,$A160,Transaksi!$H$16:$H$5015,$B160,Transaksi!$I$16:$I$5015,$C160,Transaksi!$B$16:$B$5015,"&gt;="&amp;DATE(Dashboard!$C$4,6,1),Transaksi!$B$16:$B$5015,"&lt;="&amp;EOMONTH(DATE(Dashboard!$C$4,6,1),0)))</f>
        <v/>
      </c>
      <c r="J160" s="165">
        <f>IF($C160="","",SUMIFS(Transaksi!$F$16:$F$5015,Transaksi!$G$16:$G$5015,$A160,Transaksi!$H$16:$H$5015,$B160,Transaksi!$I$16:$I$5015,$C160,Transaksi!$B$16:$B$5015,"&gt;="&amp;DATE(Dashboard!$C$4,7,1),Transaksi!$B$16:$B$5015,"&lt;="&amp;EOMONTH(DATE(Dashboard!$C$4,7,1),0)))</f>
        <v/>
      </c>
      <c r="K160" s="165">
        <f>IF($C160="","",SUMIFS(Transaksi!$F$16:$F$5015,Transaksi!$G$16:$G$5015,$A160,Transaksi!$H$16:$H$5015,$B160,Transaksi!$I$16:$I$5015,$C160,Transaksi!$B$16:$B$5015,"&gt;="&amp;DATE(Dashboard!$C$4,8,1),Transaksi!$B$16:$B$5015,"&lt;="&amp;EOMONTH(DATE(Dashboard!$C$4,8,1),0)))</f>
        <v/>
      </c>
      <c r="L160" s="165">
        <f>IF($C160="","",SUMIFS(Transaksi!$F$16:$F$5015,Transaksi!$G$16:$G$5015,$A160,Transaksi!$H$16:$H$5015,$B160,Transaksi!$I$16:$I$5015,$C160,Transaksi!$B$16:$B$5015,"&gt;="&amp;DATE(Dashboard!$C$4,9,1),Transaksi!$B$16:$B$5015,"&lt;="&amp;EOMONTH(DATE(Dashboard!$C$4,9,1),0)))</f>
        <v/>
      </c>
      <c r="M160" s="165">
        <f>IF($C160="","",SUMIFS(Transaksi!$F$16:$F$5015,Transaksi!$G$16:$G$5015,$A160,Transaksi!$H$16:$H$5015,$B160,Transaksi!$I$16:$I$5015,$C160,Transaksi!$B$16:$B$5015,"&gt;="&amp;DATE(Dashboard!$C$4,10,1),Transaksi!$B$16:$B$5015,"&lt;="&amp;EOMONTH(DATE(Dashboard!$C$4,10,1),0)))</f>
        <v/>
      </c>
      <c r="N160" s="165">
        <f>IF($C160="","",SUMIFS(Transaksi!$F$16:$F$5015,Transaksi!$G$16:$G$5015,$A160,Transaksi!$H$16:$H$5015,$B160,Transaksi!$I$16:$I$5015,$C160,Transaksi!$B$16:$B$5015,"&gt;="&amp;DATE(Dashboard!$C$4,11,1),Transaksi!$B$16:$B$5015,"&lt;="&amp;EOMONTH(DATE(Dashboard!$C$4,11,1),0)))</f>
        <v/>
      </c>
      <c r="O160" s="165">
        <f>IF($C160="","",SUMIFS(Transaksi!$F$16:$F$5015,Transaksi!$G$16:$G$5015,$A160,Transaksi!$H$16:$H$5015,$B160,Transaksi!$I$16:$I$5015,$C160,Transaksi!$B$16:$B$5015,"&gt;="&amp;DATE(Dashboard!$C$4,12,1),Transaksi!$B$16:$B$5015,"&lt;="&amp;EOMONTH(DATE(Dashboard!$C$4,12,1),0)))</f>
        <v/>
      </c>
      <c r="P160" s="166">
        <f>IF($C160="","",SUM(D160:O160))</f>
        <v/>
      </c>
    </row>
    <row r="161" ht="15" customHeight="1" s="94">
      <c r="A161" s="164">
        <f>IF(Kategori!C161="","",Kategori!A161)</f>
        <v/>
      </c>
      <c r="B161" s="164">
        <f>IF(Kategori!C161="","",Kategori!B161)</f>
        <v/>
      </c>
      <c r="C161" s="108">
        <f>IF(Kategori!C161="","",Kategori!C161)</f>
        <v/>
      </c>
      <c r="D161" s="165">
        <f>IF($C161="","",SUMIFS(Transaksi!$F$16:$F$5015,Transaksi!$G$16:$G$5015,$A161,Transaksi!$H$16:$H$5015,$B161,Transaksi!$I$16:$I$5015,$C161,Transaksi!$B$16:$B$5015,"&gt;="&amp;DATE(Dashboard!$C$4,1,1),Transaksi!$B$16:$B$5015,"&lt;="&amp;EOMONTH(DATE(Dashboard!$C$4,1,1),0)))</f>
        <v/>
      </c>
      <c r="E161" s="165">
        <f>IF($C161="","",SUMIFS(Transaksi!$F$16:$F$5015,Transaksi!$G$16:$G$5015,$A161,Transaksi!$H$16:$H$5015,$B161,Transaksi!$I$16:$I$5015,$C161,Transaksi!$B$16:$B$5015,"&gt;="&amp;DATE(Dashboard!$C$4,2,1),Transaksi!$B$16:$B$5015,"&lt;="&amp;EOMONTH(DATE(Dashboard!$C$4,2,1),0)))</f>
        <v/>
      </c>
      <c r="F161" s="165">
        <f>IF($C161="","",SUMIFS(Transaksi!$F$16:$F$5015,Transaksi!$G$16:$G$5015,$A161,Transaksi!$H$16:$H$5015,$B161,Transaksi!$I$16:$I$5015,$C161,Transaksi!$B$16:$B$5015,"&gt;="&amp;DATE(Dashboard!$C$4,3,1),Transaksi!$B$16:$B$5015,"&lt;="&amp;EOMONTH(DATE(Dashboard!$C$4,3,1),0)))</f>
        <v/>
      </c>
      <c r="G161" s="165">
        <f>IF($C161="","",SUMIFS(Transaksi!$F$16:$F$5015,Transaksi!$G$16:$G$5015,$A161,Transaksi!$H$16:$H$5015,$B161,Transaksi!$I$16:$I$5015,$C161,Transaksi!$B$16:$B$5015,"&gt;="&amp;DATE(Dashboard!$C$4,4,1),Transaksi!$B$16:$B$5015,"&lt;="&amp;EOMONTH(DATE(Dashboard!$C$4,4,1),0)))</f>
        <v/>
      </c>
      <c r="H161" s="165">
        <f>IF($C161="","",SUMIFS(Transaksi!$F$16:$F$5015,Transaksi!$G$16:$G$5015,$A161,Transaksi!$H$16:$H$5015,$B161,Transaksi!$I$16:$I$5015,$C161,Transaksi!$B$16:$B$5015,"&gt;="&amp;DATE(Dashboard!$C$4,5,1),Transaksi!$B$16:$B$5015,"&lt;="&amp;EOMONTH(DATE(Dashboard!$C$4,5,1),0)))</f>
        <v/>
      </c>
      <c r="I161" s="165">
        <f>IF($C161="","",SUMIFS(Transaksi!$F$16:$F$5015,Transaksi!$G$16:$G$5015,$A161,Transaksi!$H$16:$H$5015,$B161,Transaksi!$I$16:$I$5015,$C161,Transaksi!$B$16:$B$5015,"&gt;="&amp;DATE(Dashboard!$C$4,6,1),Transaksi!$B$16:$B$5015,"&lt;="&amp;EOMONTH(DATE(Dashboard!$C$4,6,1),0)))</f>
        <v/>
      </c>
      <c r="J161" s="165">
        <f>IF($C161="","",SUMIFS(Transaksi!$F$16:$F$5015,Transaksi!$G$16:$G$5015,$A161,Transaksi!$H$16:$H$5015,$B161,Transaksi!$I$16:$I$5015,$C161,Transaksi!$B$16:$B$5015,"&gt;="&amp;DATE(Dashboard!$C$4,7,1),Transaksi!$B$16:$B$5015,"&lt;="&amp;EOMONTH(DATE(Dashboard!$C$4,7,1),0)))</f>
        <v/>
      </c>
      <c r="K161" s="165">
        <f>IF($C161="","",SUMIFS(Transaksi!$F$16:$F$5015,Transaksi!$G$16:$G$5015,$A161,Transaksi!$H$16:$H$5015,$B161,Transaksi!$I$16:$I$5015,$C161,Transaksi!$B$16:$B$5015,"&gt;="&amp;DATE(Dashboard!$C$4,8,1),Transaksi!$B$16:$B$5015,"&lt;="&amp;EOMONTH(DATE(Dashboard!$C$4,8,1),0)))</f>
        <v/>
      </c>
      <c r="L161" s="165">
        <f>IF($C161="","",SUMIFS(Transaksi!$F$16:$F$5015,Transaksi!$G$16:$G$5015,$A161,Transaksi!$H$16:$H$5015,$B161,Transaksi!$I$16:$I$5015,$C161,Transaksi!$B$16:$B$5015,"&gt;="&amp;DATE(Dashboard!$C$4,9,1),Transaksi!$B$16:$B$5015,"&lt;="&amp;EOMONTH(DATE(Dashboard!$C$4,9,1),0)))</f>
        <v/>
      </c>
      <c r="M161" s="165">
        <f>IF($C161="","",SUMIFS(Transaksi!$F$16:$F$5015,Transaksi!$G$16:$G$5015,$A161,Transaksi!$H$16:$H$5015,$B161,Transaksi!$I$16:$I$5015,$C161,Transaksi!$B$16:$B$5015,"&gt;="&amp;DATE(Dashboard!$C$4,10,1),Transaksi!$B$16:$B$5015,"&lt;="&amp;EOMONTH(DATE(Dashboard!$C$4,10,1),0)))</f>
        <v/>
      </c>
      <c r="N161" s="165">
        <f>IF($C161="","",SUMIFS(Transaksi!$F$16:$F$5015,Transaksi!$G$16:$G$5015,$A161,Transaksi!$H$16:$H$5015,$B161,Transaksi!$I$16:$I$5015,$C161,Transaksi!$B$16:$B$5015,"&gt;="&amp;DATE(Dashboard!$C$4,11,1),Transaksi!$B$16:$B$5015,"&lt;="&amp;EOMONTH(DATE(Dashboard!$C$4,11,1),0)))</f>
        <v/>
      </c>
      <c r="O161" s="165">
        <f>IF($C161="","",SUMIFS(Transaksi!$F$16:$F$5015,Transaksi!$G$16:$G$5015,$A161,Transaksi!$H$16:$H$5015,$B161,Transaksi!$I$16:$I$5015,$C161,Transaksi!$B$16:$B$5015,"&gt;="&amp;DATE(Dashboard!$C$4,12,1),Transaksi!$B$16:$B$5015,"&lt;="&amp;EOMONTH(DATE(Dashboard!$C$4,12,1),0)))</f>
        <v/>
      </c>
      <c r="P161" s="166">
        <f>IF($C161="","",SUM(D161:O161))</f>
        <v/>
      </c>
    </row>
    <row r="162" ht="15" customHeight="1" s="94">
      <c r="A162" s="164">
        <f>IF(Kategori!C162="","",Kategori!A162)</f>
        <v/>
      </c>
      <c r="B162" s="164">
        <f>IF(Kategori!C162="","",Kategori!B162)</f>
        <v/>
      </c>
      <c r="C162" s="108">
        <f>IF(Kategori!C162="","",Kategori!C162)</f>
        <v/>
      </c>
      <c r="D162" s="165">
        <f>IF($C162="","",SUMIFS(Transaksi!$F$16:$F$5015,Transaksi!$G$16:$G$5015,$A162,Transaksi!$H$16:$H$5015,$B162,Transaksi!$I$16:$I$5015,$C162,Transaksi!$B$16:$B$5015,"&gt;="&amp;DATE(Dashboard!$C$4,1,1),Transaksi!$B$16:$B$5015,"&lt;="&amp;EOMONTH(DATE(Dashboard!$C$4,1,1),0)))</f>
        <v/>
      </c>
      <c r="E162" s="165">
        <f>IF($C162="","",SUMIFS(Transaksi!$F$16:$F$5015,Transaksi!$G$16:$G$5015,$A162,Transaksi!$H$16:$H$5015,$B162,Transaksi!$I$16:$I$5015,$C162,Transaksi!$B$16:$B$5015,"&gt;="&amp;DATE(Dashboard!$C$4,2,1),Transaksi!$B$16:$B$5015,"&lt;="&amp;EOMONTH(DATE(Dashboard!$C$4,2,1),0)))</f>
        <v/>
      </c>
      <c r="F162" s="165">
        <f>IF($C162="","",SUMIFS(Transaksi!$F$16:$F$5015,Transaksi!$G$16:$G$5015,$A162,Transaksi!$H$16:$H$5015,$B162,Transaksi!$I$16:$I$5015,$C162,Transaksi!$B$16:$B$5015,"&gt;="&amp;DATE(Dashboard!$C$4,3,1),Transaksi!$B$16:$B$5015,"&lt;="&amp;EOMONTH(DATE(Dashboard!$C$4,3,1),0)))</f>
        <v/>
      </c>
      <c r="G162" s="165">
        <f>IF($C162="","",SUMIFS(Transaksi!$F$16:$F$5015,Transaksi!$G$16:$G$5015,$A162,Transaksi!$H$16:$H$5015,$B162,Transaksi!$I$16:$I$5015,$C162,Transaksi!$B$16:$B$5015,"&gt;="&amp;DATE(Dashboard!$C$4,4,1),Transaksi!$B$16:$B$5015,"&lt;="&amp;EOMONTH(DATE(Dashboard!$C$4,4,1),0)))</f>
        <v/>
      </c>
      <c r="H162" s="165">
        <f>IF($C162="","",SUMIFS(Transaksi!$F$16:$F$5015,Transaksi!$G$16:$G$5015,$A162,Transaksi!$H$16:$H$5015,$B162,Transaksi!$I$16:$I$5015,$C162,Transaksi!$B$16:$B$5015,"&gt;="&amp;DATE(Dashboard!$C$4,5,1),Transaksi!$B$16:$B$5015,"&lt;="&amp;EOMONTH(DATE(Dashboard!$C$4,5,1),0)))</f>
        <v/>
      </c>
      <c r="I162" s="165">
        <f>IF($C162="","",SUMIFS(Transaksi!$F$16:$F$5015,Transaksi!$G$16:$G$5015,$A162,Transaksi!$H$16:$H$5015,$B162,Transaksi!$I$16:$I$5015,$C162,Transaksi!$B$16:$B$5015,"&gt;="&amp;DATE(Dashboard!$C$4,6,1),Transaksi!$B$16:$B$5015,"&lt;="&amp;EOMONTH(DATE(Dashboard!$C$4,6,1),0)))</f>
        <v/>
      </c>
      <c r="J162" s="165">
        <f>IF($C162="","",SUMIFS(Transaksi!$F$16:$F$5015,Transaksi!$G$16:$G$5015,$A162,Transaksi!$H$16:$H$5015,$B162,Transaksi!$I$16:$I$5015,$C162,Transaksi!$B$16:$B$5015,"&gt;="&amp;DATE(Dashboard!$C$4,7,1),Transaksi!$B$16:$B$5015,"&lt;="&amp;EOMONTH(DATE(Dashboard!$C$4,7,1),0)))</f>
        <v/>
      </c>
      <c r="K162" s="165">
        <f>IF($C162="","",SUMIFS(Transaksi!$F$16:$F$5015,Transaksi!$G$16:$G$5015,$A162,Transaksi!$H$16:$H$5015,$B162,Transaksi!$I$16:$I$5015,$C162,Transaksi!$B$16:$B$5015,"&gt;="&amp;DATE(Dashboard!$C$4,8,1),Transaksi!$B$16:$B$5015,"&lt;="&amp;EOMONTH(DATE(Dashboard!$C$4,8,1),0)))</f>
        <v/>
      </c>
      <c r="L162" s="165">
        <f>IF($C162="","",SUMIFS(Transaksi!$F$16:$F$5015,Transaksi!$G$16:$G$5015,$A162,Transaksi!$H$16:$H$5015,$B162,Transaksi!$I$16:$I$5015,$C162,Transaksi!$B$16:$B$5015,"&gt;="&amp;DATE(Dashboard!$C$4,9,1),Transaksi!$B$16:$B$5015,"&lt;="&amp;EOMONTH(DATE(Dashboard!$C$4,9,1),0)))</f>
        <v/>
      </c>
      <c r="M162" s="165">
        <f>IF($C162="","",SUMIFS(Transaksi!$F$16:$F$5015,Transaksi!$G$16:$G$5015,$A162,Transaksi!$H$16:$H$5015,$B162,Transaksi!$I$16:$I$5015,$C162,Transaksi!$B$16:$B$5015,"&gt;="&amp;DATE(Dashboard!$C$4,10,1),Transaksi!$B$16:$B$5015,"&lt;="&amp;EOMONTH(DATE(Dashboard!$C$4,10,1),0)))</f>
        <v/>
      </c>
      <c r="N162" s="165">
        <f>IF($C162="","",SUMIFS(Transaksi!$F$16:$F$5015,Transaksi!$G$16:$G$5015,$A162,Transaksi!$H$16:$H$5015,$B162,Transaksi!$I$16:$I$5015,$C162,Transaksi!$B$16:$B$5015,"&gt;="&amp;DATE(Dashboard!$C$4,11,1),Transaksi!$B$16:$B$5015,"&lt;="&amp;EOMONTH(DATE(Dashboard!$C$4,11,1),0)))</f>
        <v/>
      </c>
      <c r="O162" s="165">
        <f>IF($C162="","",SUMIFS(Transaksi!$F$16:$F$5015,Transaksi!$G$16:$G$5015,$A162,Transaksi!$H$16:$H$5015,$B162,Transaksi!$I$16:$I$5015,$C162,Transaksi!$B$16:$B$5015,"&gt;="&amp;DATE(Dashboard!$C$4,12,1),Transaksi!$B$16:$B$5015,"&lt;="&amp;EOMONTH(DATE(Dashboard!$C$4,12,1),0)))</f>
        <v/>
      </c>
      <c r="P162" s="166">
        <f>IF($C162="","",SUM(D162:O162))</f>
        <v/>
      </c>
    </row>
    <row r="163" ht="15" customHeight="1" s="94">
      <c r="A163" s="164">
        <f>IF(Kategori!C163="","",Kategori!A163)</f>
        <v/>
      </c>
      <c r="B163" s="164">
        <f>IF(Kategori!C163="","",Kategori!B163)</f>
        <v/>
      </c>
      <c r="C163" s="108">
        <f>IF(Kategori!C163="","",Kategori!C163)</f>
        <v/>
      </c>
      <c r="D163" s="165">
        <f>IF($C163="","",SUMIFS(Transaksi!$F$16:$F$5015,Transaksi!$G$16:$G$5015,$A163,Transaksi!$H$16:$H$5015,$B163,Transaksi!$I$16:$I$5015,$C163,Transaksi!$B$16:$B$5015,"&gt;="&amp;DATE(Dashboard!$C$4,1,1),Transaksi!$B$16:$B$5015,"&lt;="&amp;EOMONTH(DATE(Dashboard!$C$4,1,1),0)))</f>
        <v/>
      </c>
      <c r="E163" s="165">
        <f>IF($C163="","",SUMIFS(Transaksi!$F$16:$F$5015,Transaksi!$G$16:$G$5015,$A163,Transaksi!$H$16:$H$5015,$B163,Transaksi!$I$16:$I$5015,$C163,Transaksi!$B$16:$B$5015,"&gt;="&amp;DATE(Dashboard!$C$4,2,1),Transaksi!$B$16:$B$5015,"&lt;="&amp;EOMONTH(DATE(Dashboard!$C$4,2,1),0)))</f>
        <v/>
      </c>
      <c r="F163" s="165">
        <f>IF($C163="","",SUMIFS(Transaksi!$F$16:$F$5015,Transaksi!$G$16:$G$5015,$A163,Transaksi!$H$16:$H$5015,$B163,Transaksi!$I$16:$I$5015,$C163,Transaksi!$B$16:$B$5015,"&gt;="&amp;DATE(Dashboard!$C$4,3,1),Transaksi!$B$16:$B$5015,"&lt;="&amp;EOMONTH(DATE(Dashboard!$C$4,3,1),0)))</f>
        <v/>
      </c>
      <c r="G163" s="165">
        <f>IF($C163="","",SUMIFS(Transaksi!$F$16:$F$5015,Transaksi!$G$16:$G$5015,$A163,Transaksi!$H$16:$H$5015,$B163,Transaksi!$I$16:$I$5015,$C163,Transaksi!$B$16:$B$5015,"&gt;="&amp;DATE(Dashboard!$C$4,4,1),Transaksi!$B$16:$B$5015,"&lt;="&amp;EOMONTH(DATE(Dashboard!$C$4,4,1),0)))</f>
        <v/>
      </c>
      <c r="H163" s="165">
        <f>IF($C163="","",SUMIFS(Transaksi!$F$16:$F$5015,Transaksi!$G$16:$G$5015,$A163,Transaksi!$H$16:$H$5015,$B163,Transaksi!$I$16:$I$5015,$C163,Transaksi!$B$16:$B$5015,"&gt;="&amp;DATE(Dashboard!$C$4,5,1),Transaksi!$B$16:$B$5015,"&lt;="&amp;EOMONTH(DATE(Dashboard!$C$4,5,1),0)))</f>
        <v/>
      </c>
      <c r="I163" s="165">
        <f>IF($C163="","",SUMIFS(Transaksi!$F$16:$F$5015,Transaksi!$G$16:$G$5015,$A163,Transaksi!$H$16:$H$5015,$B163,Transaksi!$I$16:$I$5015,$C163,Transaksi!$B$16:$B$5015,"&gt;="&amp;DATE(Dashboard!$C$4,6,1),Transaksi!$B$16:$B$5015,"&lt;="&amp;EOMONTH(DATE(Dashboard!$C$4,6,1),0)))</f>
        <v/>
      </c>
      <c r="J163" s="165">
        <f>IF($C163="","",SUMIFS(Transaksi!$F$16:$F$5015,Transaksi!$G$16:$G$5015,$A163,Transaksi!$H$16:$H$5015,$B163,Transaksi!$I$16:$I$5015,$C163,Transaksi!$B$16:$B$5015,"&gt;="&amp;DATE(Dashboard!$C$4,7,1),Transaksi!$B$16:$B$5015,"&lt;="&amp;EOMONTH(DATE(Dashboard!$C$4,7,1),0)))</f>
        <v/>
      </c>
      <c r="K163" s="165">
        <f>IF($C163="","",SUMIFS(Transaksi!$F$16:$F$5015,Transaksi!$G$16:$G$5015,$A163,Transaksi!$H$16:$H$5015,$B163,Transaksi!$I$16:$I$5015,$C163,Transaksi!$B$16:$B$5015,"&gt;="&amp;DATE(Dashboard!$C$4,8,1),Transaksi!$B$16:$B$5015,"&lt;="&amp;EOMONTH(DATE(Dashboard!$C$4,8,1),0)))</f>
        <v/>
      </c>
      <c r="L163" s="165">
        <f>IF($C163="","",SUMIFS(Transaksi!$F$16:$F$5015,Transaksi!$G$16:$G$5015,$A163,Transaksi!$H$16:$H$5015,$B163,Transaksi!$I$16:$I$5015,$C163,Transaksi!$B$16:$B$5015,"&gt;="&amp;DATE(Dashboard!$C$4,9,1),Transaksi!$B$16:$B$5015,"&lt;="&amp;EOMONTH(DATE(Dashboard!$C$4,9,1),0)))</f>
        <v/>
      </c>
      <c r="M163" s="165">
        <f>IF($C163="","",SUMIFS(Transaksi!$F$16:$F$5015,Transaksi!$G$16:$G$5015,$A163,Transaksi!$H$16:$H$5015,$B163,Transaksi!$I$16:$I$5015,$C163,Transaksi!$B$16:$B$5015,"&gt;="&amp;DATE(Dashboard!$C$4,10,1),Transaksi!$B$16:$B$5015,"&lt;="&amp;EOMONTH(DATE(Dashboard!$C$4,10,1),0)))</f>
        <v/>
      </c>
      <c r="N163" s="165">
        <f>IF($C163="","",SUMIFS(Transaksi!$F$16:$F$5015,Transaksi!$G$16:$G$5015,$A163,Transaksi!$H$16:$H$5015,$B163,Transaksi!$I$16:$I$5015,$C163,Transaksi!$B$16:$B$5015,"&gt;="&amp;DATE(Dashboard!$C$4,11,1),Transaksi!$B$16:$B$5015,"&lt;="&amp;EOMONTH(DATE(Dashboard!$C$4,11,1),0)))</f>
        <v/>
      </c>
      <c r="O163" s="165">
        <f>IF($C163="","",SUMIFS(Transaksi!$F$16:$F$5015,Transaksi!$G$16:$G$5015,$A163,Transaksi!$H$16:$H$5015,$B163,Transaksi!$I$16:$I$5015,$C163,Transaksi!$B$16:$B$5015,"&gt;="&amp;DATE(Dashboard!$C$4,12,1),Transaksi!$B$16:$B$5015,"&lt;="&amp;EOMONTH(DATE(Dashboard!$C$4,12,1),0)))</f>
        <v/>
      </c>
      <c r="P163" s="166">
        <f>IF($C163="","",SUM(D163:O163))</f>
        <v/>
      </c>
    </row>
    <row r="164" ht="15" customHeight="1" s="94">
      <c r="A164" s="164">
        <f>IF(Kategori!C164="","",Kategori!A164)</f>
        <v/>
      </c>
      <c r="B164" s="164">
        <f>IF(Kategori!C164="","",Kategori!B164)</f>
        <v/>
      </c>
      <c r="C164" s="108">
        <f>IF(Kategori!C164="","",Kategori!C164)</f>
        <v/>
      </c>
      <c r="D164" s="165">
        <f>IF($C164="","",SUMIFS(Transaksi!$F$16:$F$5015,Transaksi!$G$16:$G$5015,$A164,Transaksi!$H$16:$H$5015,$B164,Transaksi!$I$16:$I$5015,$C164,Transaksi!$B$16:$B$5015,"&gt;="&amp;DATE(Dashboard!$C$4,1,1),Transaksi!$B$16:$B$5015,"&lt;="&amp;EOMONTH(DATE(Dashboard!$C$4,1,1),0)))</f>
        <v/>
      </c>
      <c r="E164" s="165">
        <f>IF($C164="","",SUMIFS(Transaksi!$F$16:$F$5015,Transaksi!$G$16:$G$5015,$A164,Transaksi!$H$16:$H$5015,$B164,Transaksi!$I$16:$I$5015,$C164,Transaksi!$B$16:$B$5015,"&gt;="&amp;DATE(Dashboard!$C$4,2,1),Transaksi!$B$16:$B$5015,"&lt;="&amp;EOMONTH(DATE(Dashboard!$C$4,2,1),0)))</f>
        <v/>
      </c>
      <c r="F164" s="165">
        <f>IF($C164="","",SUMIFS(Transaksi!$F$16:$F$5015,Transaksi!$G$16:$G$5015,$A164,Transaksi!$H$16:$H$5015,$B164,Transaksi!$I$16:$I$5015,$C164,Transaksi!$B$16:$B$5015,"&gt;="&amp;DATE(Dashboard!$C$4,3,1),Transaksi!$B$16:$B$5015,"&lt;="&amp;EOMONTH(DATE(Dashboard!$C$4,3,1),0)))</f>
        <v/>
      </c>
      <c r="G164" s="165">
        <f>IF($C164="","",SUMIFS(Transaksi!$F$16:$F$5015,Transaksi!$G$16:$G$5015,$A164,Transaksi!$H$16:$H$5015,$B164,Transaksi!$I$16:$I$5015,$C164,Transaksi!$B$16:$B$5015,"&gt;="&amp;DATE(Dashboard!$C$4,4,1),Transaksi!$B$16:$B$5015,"&lt;="&amp;EOMONTH(DATE(Dashboard!$C$4,4,1),0)))</f>
        <v/>
      </c>
      <c r="H164" s="165">
        <f>IF($C164="","",SUMIFS(Transaksi!$F$16:$F$5015,Transaksi!$G$16:$G$5015,$A164,Transaksi!$H$16:$H$5015,$B164,Transaksi!$I$16:$I$5015,$C164,Transaksi!$B$16:$B$5015,"&gt;="&amp;DATE(Dashboard!$C$4,5,1),Transaksi!$B$16:$B$5015,"&lt;="&amp;EOMONTH(DATE(Dashboard!$C$4,5,1),0)))</f>
        <v/>
      </c>
      <c r="I164" s="165">
        <f>IF($C164="","",SUMIFS(Transaksi!$F$16:$F$5015,Transaksi!$G$16:$G$5015,$A164,Transaksi!$H$16:$H$5015,$B164,Transaksi!$I$16:$I$5015,$C164,Transaksi!$B$16:$B$5015,"&gt;="&amp;DATE(Dashboard!$C$4,6,1),Transaksi!$B$16:$B$5015,"&lt;="&amp;EOMONTH(DATE(Dashboard!$C$4,6,1),0)))</f>
        <v/>
      </c>
      <c r="J164" s="165">
        <f>IF($C164="","",SUMIFS(Transaksi!$F$16:$F$5015,Transaksi!$G$16:$G$5015,$A164,Transaksi!$H$16:$H$5015,$B164,Transaksi!$I$16:$I$5015,$C164,Transaksi!$B$16:$B$5015,"&gt;="&amp;DATE(Dashboard!$C$4,7,1),Transaksi!$B$16:$B$5015,"&lt;="&amp;EOMONTH(DATE(Dashboard!$C$4,7,1),0)))</f>
        <v/>
      </c>
      <c r="K164" s="165">
        <f>IF($C164="","",SUMIFS(Transaksi!$F$16:$F$5015,Transaksi!$G$16:$G$5015,$A164,Transaksi!$H$16:$H$5015,$B164,Transaksi!$I$16:$I$5015,$C164,Transaksi!$B$16:$B$5015,"&gt;="&amp;DATE(Dashboard!$C$4,8,1),Transaksi!$B$16:$B$5015,"&lt;="&amp;EOMONTH(DATE(Dashboard!$C$4,8,1),0)))</f>
        <v/>
      </c>
      <c r="L164" s="165">
        <f>IF($C164="","",SUMIFS(Transaksi!$F$16:$F$5015,Transaksi!$G$16:$G$5015,$A164,Transaksi!$H$16:$H$5015,$B164,Transaksi!$I$16:$I$5015,$C164,Transaksi!$B$16:$B$5015,"&gt;="&amp;DATE(Dashboard!$C$4,9,1),Transaksi!$B$16:$B$5015,"&lt;="&amp;EOMONTH(DATE(Dashboard!$C$4,9,1),0)))</f>
        <v/>
      </c>
      <c r="M164" s="165">
        <f>IF($C164="","",SUMIFS(Transaksi!$F$16:$F$5015,Transaksi!$G$16:$G$5015,$A164,Transaksi!$H$16:$H$5015,$B164,Transaksi!$I$16:$I$5015,$C164,Transaksi!$B$16:$B$5015,"&gt;="&amp;DATE(Dashboard!$C$4,10,1),Transaksi!$B$16:$B$5015,"&lt;="&amp;EOMONTH(DATE(Dashboard!$C$4,10,1),0)))</f>
        <v/>
      </c>
      <c r="N164" s="165">
        <f>IF($C164="","",SUMIFS(Transaksi!$F$16:$F$5015,Transaksi!$G$16:$G$5015,$A164,Transaksi!$H$16:$H$5015,$B164,Transaksi!$I$16:$I$5015,$C164,Transaksi!$B$16:$B$5015,"&gt;="&amp;DATE(Dashboard!$C$4,11,1),Transaksi!$B$16:$B$5015,"&lt;="&amp;EOMONTH(DATE(Dashboard!$C$4,11,1),0)))</f>
        <v/>
      </c>
      <c r="O164" s="165">
        <f>IF($C164="","",SUMIFS(Transaksi!$F$16:$F$5015,Transaksi!$G$16:$G$5015,$A164,Transaksi!$H$16:$H$5015,$B164,Transaksi!$I$16:$I$5015,$C164,Transaksi!$B$16:$B$5015,"&gt;="&amp;DATE(Dashboard!$C$4,12,1),Transaksi!$B$16:$B$5015,"&lt;="&amp;EOMONTH(DATE(Dashboard!$C$4,12,1),0)))</f>
        <v/>
      </c>
      <c r="P164" s="166">
        <f>IF($C164="","",SUM(D164:O164))</f>
        <v/>
      </c>
    </row>
    <row r="165" ht="15" customHeight="1" s="94">
      <c r="A165" s="164">
        <f>IF(Kategori!C165="","",Kategori!A165)</f>
        <v/>
      </c>
      <c r="B165" s="164">
        <f>IF(Kategori!C165="","",Kategori!B165)</f>
        <v/>
      </c>
      <c r="C165" s="108">
        <f>IF(Kategori!C165="","",Kategori!C165)</f>
        <v/>
      </c>
      <c r="D165" s="165">
        <f>IF($C165="","",SUMIFS(Transaksi!$F$16:$F$5015,Transaksi!$G$16:$G$5015,$A165,Transaksi!$H$16:$H$5015,$B165,Transaksi!$I$16:$I$5015,$C165,Transaksi!$B$16:$B$5015,"&gt;="&amp;DATE(Dashboard!$C$4,1,1),Transaksi!$B$16:$B$5015,"&lt;="&amp;EOMONTH(DATE(Dashboard!$C$4,1,1),0)))</f>
        <v/>
      </c>
      <c r="E165" s="165">
        <f>IF($C165="","",SUMIFS(Transaksi!$F$16:$F$5015,Transaksi!$G$16:$G$5015,$A165,Transaksi!$H$16:$H$5015,$B165,Transaksi!$I$16:$I$5015,$C165,Transaksi!$B$16:$B$5015,"&gt;="&amp;DATE(Dashboard!$C$4,2,1),Transaksi!$B$16:$B$5015,"&lt;="&amp;EOMONTH(DATE(Dashboard!$C$4,2,1),0)))</f>
        <v/>
      </c>
      <c r="F165" s="165">
        <f>IF($C165="","",SUMIFS(Transaksi!$F$16:$F$5015,Transaksi!$G$16:$G$5015,$A165,Transaksi!$H$16:$H$5015,$B165,Transaksi!$I$16:$I$5015,$C165,Transaksi!$B$16:$B$5015,"&gt;="&amp;DATE(Dashboard!$C$4,3,1),Transaksi!$B$16:$B$5015,"&lt;="&amp;EOMONTH(DATE(Dashboard!$C$4,3,1),0)))</f>
        <v/>
      </c>
      <c r="G165" s="165">
        <f>IF($C165="","",SUMIFS(Transaksi!$F$16:$F$5015,Transaksi!$G$16:$G$5015,$A165,Transaksi!$H$16:$H$5015,$B165,Transaksi!$I$16:$I$5015,$C165,Transaksi!$B$16:$B$5015,"&gt;="&amp;DATE(Dashboard!$C$4,4,1),Transaksi!$B$16:$B$5015,"&lt;="&amp;EOMONTH(DATE(Dashboard!$C$4,4,1),0)))</f>
        <v/>
      </c>
      <c r="H165" s="165">
        <f>IF($C165="","",SUMIFS(Transaksi!$F$16:$F$5015,Transaksi!$G$16:$G$5015,$A165,Transaksi!$H$16:$H$5015,$B165,Transaksi!$I$16:$I$5015,$C165,Transaksi!$B$16:$B$5015,"&gt;="&amp;DATE(Dashboard!$C$4,5,1),Transaksi!$B$16:$B$5015,"&lt;="&amp;EOMONTH(DATE(Dashboard!$C$4,5,1),0)))</f>
        <v/>
      </c>
      <c r="I165" s="165">
        <f>IF($C165="","",SUMIFS(Transaksi!$F$16:$F$5015,Transaksi!$G$16:$G$5015,$A165,Transaksi!$H$16:$H$5015,$B165,Transaksi!$I$16:$I$5015,$C165,Transaksi!$B$16:$B$5015,"&gt;="&amp;DATE(Dashboard!$C$4,6,1),Transaksi!$B$16:$B$5015,"&lt;="&amp;EOMONTH(DATE(Dashboard!$C$4,6,1),0)))</f>
        <v/>
      </c>
      <c r="J165" s="165">
        <f>IF($C165="","",SUMIFS(Transaksi!$F$16:$F$5015,Transaksi!$G$16:$G$5015,$A165,Transaksi!$H$16:$H$5015,$B165,Transaksi!$I$16:$I$5015,$C165,Transaksi!$B$16:$B$5015,"&gt;="&amp;DATE(Dashboard!$C$4,7,1),Transaksi!$B$16:$B$5015,"&lt;="&amp;EOMONTH(DATE(Dashboard!$C$4,7,1),0)))</f>
        <v/>
      </c>
      <c r="K165" s="165">
        <f>IF($C165="","",SUMIFS(Transaksi!$F$16:$F$5015,Transaksi!$G$16:$G$5015,$A165,Transaksi!$H$16:$H$5015,$B165,Transaksi!$I$16:$I$5015,$C165,Transaksi!$B$16:$B$5015,"&gt;="&amp;DATE(Dashboard!$C$4,8,1),Transaksi!$B$16:$B$5015,"&lt;="&amp;EOMONTH(DATE(Dashboard!$C$4,8,1),0)))</f>
        <v/>
      </c>
      <c r="L165" s="165">
        <f>IF($C165="","",SUMIFS(Transaksi!$F$16:$F$5015,Transaksi!$G$16:$G$5015,$A165,Transaksi!$H$16:$H$5015,$B165,Transaksi!$I$16:$I$5015,$C165,Transaksi!$B$16:$B$5015,"&gt;="&amp;DATE(Dashboard!$C$4,9,1),Transaksi!$B$16:$B$5015,"&lt;="&amp;EOMONTH(DATE(Dashboard!$C$4,9,1),0)))</f>
        <v/>
      </c>
      <c r="M165" s="165">
        <f>IF($C165="","",SUMIFS(Transaksi!$F$16:$F$5015,Transaksi!$G$16:$G$5015,$A165,Transaksi!$H$16:$H$5015,$B165,Transaksi!$I$16:$I$5015,$C165,Transaksi!$B$16:$B$5015,"&gt;="&amp;DATE(Dashboard!$C$4,10,1),Transaksi!$B$16:$B$5015,"&lt;="&amp;EOMONTH(DATE(Dashboard!$C$4,10,1),0)))</f>
        <v/>
      </c>
      <c r="N165" s="165">
        <f>IF($C165="","",SUMIFS(Transaksi!$F$16:$F$5015,Transaksi!$G$16:$G$5015,$A165,Transaksi!$H$16:$H$5015,$B165,Transaksi!$I$16:$I$5015,$C165,Transaksi!$B$16:$B$5015,"&gt;="&amp;DATE(Dashboard!$C$4,11,1),Transaksi!$B$16:$B$5015,"&lt;="&amp;EOMONTH(DATE(Dashboard!$C$4,11,1),0)))</f>
        <v/>
      </c>
      <c r="O165" s="165">
        <f>IF($C165="","",SUMIFS(Transaksi!$F$16:$F$5015,Transaksi!$G$16:$G$5015,$A165,Transaksi!$H$16:$H$5015,$B165,Transaksi!$I$16:$I$5015,$C165,Transaksi!$B$16:$B$5015,"&gt;="&amp;DATE(Dashboard!$C$4,12,1),Transaksi!$B$16:$B$5015,"&lt;="&amp;EOMONTH(DATE(Dashboard!$C$4,12,1),0)))</f>
        <v/>
      </c>
      <c r="P165" s="166">
        <f>IF($C165="","",SUM(D165:O165))</f>
        <v/>
      </c>
    </row>
    <row r="166" ht="15" customHeight="1" s="94">
      <c r="A166" s="164">
        <f>IF(Kategori!C166="","",Kategori!A166)</f>
        <v/>
      </c>
      <c r="B166" s="164">
        <f>IF(Kategori!C166="","",Kategori!B166)</f>
        <v/>
      </c>
      <c r="C166" s="108">
        <f>IF(Kategori!C166="","",Kategori!C166)</f>
        <v/>
      </c>
      <c r="D166" s="165">
        <f>IF($C166="","",SUMIFS(Transaksi!$F$16:$F$5015,Transaksi!$G$16:$G$5015,$A166,Transaksi!$H$16:$H$5015,$B166,Transaksi!$I$16:$I$5015,$C166,Transaksi!$B$16:$B$5015,"&gt;="&amp;DATE(Dashboard!$C$4,1,1),Transaksi!$B$16:$B$5015,"&lt;="&amp;EOMONTH(DATE(Dashboard!$C$4,1,1),0)))</f>
        <v/>
      </c>
      <c r="E166" s="165">
        <f>IF($C166="","",SUMIFS(Transaksi!$F$16:$F$5015,Transaksi!$G$16:$G$5015,$A166,Transaksi!$H$16:$H$5015,$B166,Transaksi!$I$16:$I$5015,$C166,Transaksi!$B$16:$B$5015,"&gt;="&amp;DATE(Dashboard!$C$4,2,1),Transaksi!$B$16:$B$5015,"&lt;="&amp;EOMONTH(DATE(Dashboard!$C$4,2,1),0)))</f>
        <v/>
      </c>
      <c r="F166" s="165">
        <f>IF($C166="","",SUMIFS(Transaksi!$F$16:$F$5015,Transaksi!$G$16:$G$5015,$A166,Transaksi!$H$16:$H$5015,$B166,Transaksi!$I$16:$I$5015,$C166,Transaksi!$B$16:$B$5015,"&gt;="&amp;DATE(Dashboard!$C$4,3,1),Transaksi!$B$16:$B$5015,"&lt;="&amp;EOMONTH(DATE(Dashboard!$C$4,3,1),0)))</f>
        <v/>
      </c>
      <c r="G166" s="165">
        <f>IF($C166="","",SUMIFS(Transaksi!$F$16:$F$5015,Transaksi!$G$16:$G$5015,$A166,Transaksi!$H$16:$H$5015,$B166,Transaksi!$I$16:$I$5015,$C166,Transaksi!$B$16:$B$5015,"&gt;="&amp;DATE(Dashboard!$C$4,4,1),Transaksi!$B$16:$B$5015,"&lt;="&amp;EOMONTH(DATE(Dashboard!$C$4,4,1),0)))</f>
        <v/>
      </c>
      <c r="H166" s="165">
        <f>IF($C166="","",SUMIFS(Transaksi!$F$16:$F$5015,Transaksi!$G$16:$G$5015,$A166,Transaksi!$H$16:$H$5015,$B166,Transaksi!$I$16:$I$5015,$C166,Transaksi!$B$16:$B$5015,"&gt;="&amp;DATE(Dashboard!$C$4,5,1),Transaksi!$B$16:$B$5015,"&lt;="&amp;EOMONTH(DATE(Dashboard!$C$4,5,1),0)))</f>
        <v/>
      </c>
      <c r="I166" s="165">
        <f>IF($C166="","",SUMIFS(Transaksi!$F$16:$F$5015,Transaksi!$G$16:$G$5015,$A166,Transaksi!$H$16:$H$5015,$B166,Transaksi!$I$16:$I$5015,$C166,Transaksi!$B$16:$B$5015,"&gt;="&amp;DATE(Dashboard!$C$4,6,1),Transaksi!$B$16:$B$5015,"&lt;="&amp;EOMONTH(DATE(Dashboard!$C$4,6,1),0)))</f>
        <v/>
      </c>
      <c r="J166" s="165">
        <f>IF($C166="","",SUMIFS(Transaksi!$F$16:$F$5015,Transaksi!$G$16:$G$5015,$A166,Transaksi!$H$16:$H$5015,$B166,Transaksi!$I$16:$I$5015,$C166,Transaksi!$B$16:$B$5015,"&gt;="&amp;DATE(Dashboard!$C$4,7,1),Transaksi!$B$16:$B$5015,"&lt;="&amp;EOMONTH(DATE(Dashboard!$C$4,7,1),0)))</f>
        <v/>
      </c>
      <c r="K166" s="165">
        <f>IF($C166="","",SUMIFS(Transaksi!$F$16:$F$5015,Transaksi!$G$16:$G$5015,$A166,Transaksi!$H$16:$H$5015,$B166,Transaksi!$I$16:$I$5015,$C166,Transaksi!$B$16:$B$5015,"&gt;="&amp;DATE(Dashboard!$C$4,8,1),Transaksi!$B$16:$B$5015,"&lt;="&amp;EOMONTH(DATE(Dashboard!$C$4,8,1),0)))</f>
        <v/>
      </c>
      <c r="L166" s="165">
        <f>IF($C166="","",SUMIFS(Transaksi!$F$16:$F$5015,Transaksi!$G$16:$G$5015,$A166,Transaksi!$H$16:$H$5015,$B166,Transaksi!$I$16:$I$5015,$C166,Transaksi!$B$16:$B$5015,"&gt;="&amp;DATE(Dashboard!$C$4,9,1),Transaksi!$B$16:$B$5015,"&lt;="&amp;EOMONTH(DATE(Dashboard!$C$4,9,1),0)))</f>
        <v/>
      </c>
      <c r="M166" s="165">
        <f>IF($C166="","",SUMIFS(Transaksi!$F$16:$F$5015,Transaksi!$G$16:$G$5015,$A166,Transaksi!$H$16:$H$5015,$B166,Transaksi!$I$16:$I$5015,$C166,Transaksi!$B$16:$B$5015,"&gt;="&amp;DATE(Dashboard!$C$4,10,1),Transaksi!$B$16:$B$5015,"&lt;="&amp;EOMONTH(DATE(Dashboard!$C$4,10,1),0)))</f>
        <v/>
      </c>
      <c r="N166" s="165">
        <f>IF($C166="","",SUMIFS(Transaksi!$F$16:$F$5015,Transaksi!$G$16:$G$5015,$A166,Transaksi!$H$16:$H$5015,$B166,Transaksi!$I$16:$I$5015,$C166,Transaksi!$B$16:$B$5015,"&gt;="&amp;DATE(Dashboard!$C$4,11,1),Transaksi!$B$16:$B$5015,"&lt;="&amp;EOMONTH(DATE(Dashboard!$C$4,11,1),0)))</f>
        <v/>
      </c>
      <c r="O166" s="165">
        <f>IF($C166="","",SUMIFS(Transaksi!$F$16:$F$5015,Transaksi!$G$16:$G$5015,$A166,Transaksi!$H$16:$H$5015,$B166,Transaksi!$I$16:$I$5015,$C166,Transaksi!$B$16:$B$5015,"&gt;="&amp;DATE(Dashboard!$C$4,12,1),Transaksi!$B$16:$B$5015,"&lt;="&amp;EOMONTH(DATE(Dashboard!$C$4,12,1),0)))</f>
        <v/>
      </c>
      <c r="P166" s="166">
        <f>IF($C166="","",SUM(D166:O166))</f>
        <v/>
      </c>
    </row>
    <row r="167" ht="15" customHeight="1" s="94">
      <c r="A167" s="164">
        <f>IF(Kategori!C167="","",Kategori!A167)</f>
        <v/>
      </c>
      <c r="B167" s="164">
        <f>IF(Kategori!C167="","",Kategori!B167)</f>
        <v/>
      </c>
      <c r="C167" s="108">
        <f>IF(Kategori!C167="","",Kategori!C167)</f>
        <v/>
      </c>
      <c r="D167" s="165">
        <f>IF($C167="","",SUMIFS(Transaksi!$F$16:$F$5015,Transaksi!$G$16:$G$5015,$A167,Transaksi!$H$16:$H$5015,$B167,Transaksi!$I$16:$I$5015,$C167,Transaksi!$B$16:$B$5015,"&gt;="&amp;DATE(Dashboard!$C$4,1,1),Transaksi!$B$16:$B$5015,"&lt;="&amp;EOMONTH(DATE(Dashboard!$C$4,1,1),0)))</f>
        <v/>
      </c>
      <c r="E167" s="165">
        <f>IF($C167="","",SUMIFS(Transaksi!$F$16:$F$5015,Transaksi!$G$16:$G$5015,$A167,Transaksi!$H$16:$H$5015,$B167,Transaksi!$I$16:$I$5015,$C167,Transaksi!$B$16:$B$5015,"&gt;="&amp;DATE(Dashboard!$C$4,2,1),Transaksi!$B$16:$B$5015,"&lt;="&amp;EOMONTH(DATE(Dashboard!$C$4,2,1),0)))</f>
        <v/>
      </c>
      <c r="F167" s="165">
        <f>IF($C167="","",SUMIFS(Transaksi!$F$16:$F$5015,Transaksi!$G$16:$G$5015,$A167,Transaksi!$H$16:$H$5015,$B167,Transaksi!$I$16:$I$5015,$C167,Transaksi!$B$16:$B$5015,"&gt;="&amp;DATE(Dashboard!$C$4,3,1),Transaksi!$B$16:$B$5015,"&lt;="&amp;EOMONTH(DATE(Dashboard!$C$4,3,1),0)))</f>
        <v/>
      </c>
      <c r="G167" s="165">
        <f>IF($C167="","",SUMIFS(Transaksi!$F$16:$F$5015,Transaksi!$G$16:$G$5015,$A167,Transaksi!$H$16:$H$5015,$B167,Transaksi!$I$16:$I$5015,$C167,Transaksi!$B$16:$B$5015,"&gt;="&amp;DATE(Dashboard!$C$4,4,1),Transaksi!$B$16:$B$5015,"&lt;="&amp;EOMONTH(DATE(Dashboard!$C$4,4,1),0)))</f>
        <v/>
      </c>
      <c r="H167" s="165">
        <f>IF($C167="","",SUMIFS(Transaksi!$F$16:$F$5015,Transaksi!$G$16:$G$5015,$A167,Transaksi!$H$16:$H$5015,$B167,Transaksi!$I$16:$I$5015,$C167,Transaksi!$B$16:$B$5015,"&gt;="&amp;DATE(Dashboard!$C$4,5,1),Transaksi!$B$16:$B$5015,"&lt;="&amp;EOMONTH(DATE(Dashboard!$C$4,5,1),0)))</f>
        <v/>
      </c>
      <c r="I167" s="165">
        <f>IF($C167="","",SUMIFS(Transaksi!$F$16:$F$5015,Transaksi!$G$16:$G$5015,$A167,Transaksi!$H$16:$H$5015,$B167,Transaksi!$I$16:$I$5015,$C167,Transaksi!$B$16:$B$5015,"&gt;="&amp;DATE(Dashboard!$C$4,6,1),Transaksi!$B$16:$B$5015,"&lt;="&amp;EOMONTH(DATE(Dashboard!$C$4,6,1),0)))</f>
        <v/>
      </c>
      <c r="J167" s="165">
        <f>IF($C167="","",SUMIFS(Transaksi!$F$16:$F$5015,Transaksi!$G$16:$G$5015,$A167,Transaksi!$H$16:$H$5015,$B167,Transaksi!$I$16:$I$5015,$C167,Transaksi!$B$16:$B$5015,"&gt;="&amp;DATE(Dashboard!$C$4,7,1),Transaksi!$B$16:$B$5015,"&lt;="&amp;EOMONTH(DATE(Dashboard!$C$4,7,1),0)))</f>
        <v/>
      </c>
      <c r="K167" s="165">
        <f>IF($C167="","",SUMIFS(Transaksi!$F$16:$F$5015,Transaksi!$G$16:$G$5015,$A167,Transaksi!$H$16:$H$5015,$B167,Transaksi!$I$16:$I$5015,$C167,Transaksi!$B$16:$B$5015,"&gt;="&amp;DATE(Dashboard!$C$4,8,1),Transaksi!$B$16:$B$5015,"&lt;="&amp;EOMONTH(DATE(Dashboard!$C$4,8,1),0)))</f>
        <v/>
      </c>
      <c r="L167" s="165">
        <f>IF($C167="","",SUMIFS(Transaksi!$F$16:$F$5015,Transaksi!$G$16:$G$5015,$A167,Transaksi!$H$16:$H$5015,$B167,Transaksi!$I$16:$I$5015,$C167,Transaksi!$B$16:$B$5015,"&gt;="&amp;DATE(Dashboard!$C$4,9,1),Transaksi!$B$16:$B$5015,"&lt;="&amp;EOMONTH(DATE(Dashboard!$C$4,9,1),0)))</f>
        <v/>
      </c>
      <c r="M167" s="165">
        <f>IF($C167="","",SUMIFS(Transaksi!$F$16:$F$5015,Transaksi!$G$16:$G$5015,$A167,Transaksi!$H$16:$H$5015,$B167,Transaksi!$I$16:$I$5015,$C167,Transaksi!$B$16:$B$5015,"&gt;="&amp;DATE(Dashboard!$C$4,10,1),Transaksi!$B$16:$B$5015,"&lt;="&amp;EOMONTH(DATE(Dashboard!$C$4,10,1),0)))</f>
        <v/>
      </c>
      <c r="N167" s="165">
        <f>IF($C167="","",SUMIFS(Transaksi!$F$16:$F$5015,Transaksi!$G$16:$G$5015,$A167,Transaksi!$H$16:$H$5015,$B167,Transaksi!$I$16:$I$5015,$C167,Transaksi!$B$16:$B$5015,"&gt;="&amp;DATE(Dashboard!$C$4,11,1),Transaksi!$B$16:$B$5015,"&lt;="&amp;EOMONTH(DATE(Dashboard!$C$4,11,1),0)))</f>
        <v/>
      </c>
      <c r="O167" s="165">
        <f>IF($C167="","",SUMIFS(Transaksi!$F$16:$F$5015,Transaksi!$G$16:$G$5015,$A167,Transaksi!$H$16:$H$5015,$B167,Transaksi!$I$16:$I$5015,$C167,Transaksi!$B$16:$B$5015,"&gt;="&amp;DATE(Dashboard!$C$4,12,1),Transaksi!$B$16:$B$5015,"&lt;="&amp;EOMONTH(DATE(Dashboard!$C$4,12,1),0)))</f>
        <v/>
      </c>
      <c r="P167" s="166">
        <f>IF($C167="","",SUM(D167:O167))</f>
        <v/>
      </c>
    </row>
    <row r="168" ht="15" customHeight="1" s="94">
      <c r="A168" s="164">
        <f>IF(Kategori!C168="","",Kategori!A168)</f>
        <v/>
      </c>
      <c r="B168" s="164">
        <f>IF(Kategori!C168="","",Kategori!B168)</f>
        <v/>
      </c>
      <c r="C168" s="108">
        <f>IF(Kategori!C168="","",Kategori!C168)</f>
        <v/>
      </c>
      <c r="D168" s="165">
        <f>IF($C168="","",SUMIFS(Transaksi!$F$16:$F$5015,Transaksi!$G$16:$G$5015,$A168,Transaksi!$H$16:$H$5015,$B168,Transaksi!$I$16:$I$5015,$C168,Transaksi!$B$16:$B$5015,"&gt;="&amp;DATE(Dashboard!$C$4,1,1),Transaksi!$B$16:$B$5015,"&lt;="&amp;EOMONTH(DATE(Dashboard!$C$4,1,1),0)))</f>
        <v/>
      </c>
      <c r="E168" s="165">
        <f>IF($C168="","",SUMIFS(Transaksi!$F$16:$F$5015,Transaksi!$G$16:$G$5015,$A168,Transaksi!$H$16:$H$5015,$B168,Transaksi!$I$16:$I$5015,$C168,Transaksi!$B$16:$B$5015,"&gt;="&amp;DATE(Dashboard!$C$4,2,1),Transaksi!$B$16:$B$5015,"&lt;="&amp;EOMONTH(DATE(Dashboard!$C$4,2,1),0)))</f>
        <v/>
      </c>
      <c r="F168" s="165">
        <f>IF($C168="","",SUMIFS(Transaksi!$F$16:$F$5015,Transaksi!$G$16:$G$5015,$A168,Transaksi!$H$16:$H$5015,$B168,Transaksi!$I$16:$I$5015,$C168,Transaksi!$B$16:$B$5015,"&gt;="&amp;DATE(Dashboard!$C$4,3,1),Transaksi!$B$16:$B$5015,"&lt;="&amp;EOMONTH(DATE(Dashboard!$C$4,3,1),0)))</f>
        <v/>
      </c>
      <c r="G168" s="165">
        <f>IF($C168="","",SUMIFS(Transaksi!$F$16:$F$5015,Transaksi!$G$16:$G$5015,$A168,Transaksi!$H$16:$H$5015,$B168,Transaksi!$I$16:$I$5015,$C168,Transaksi!$B$16:$B$5015,"&gt;="&amp;DATE(Dashboard!$C$4,4,1),Transaksi!$B$16:$B$5015,"&lt;="&amp;EOMONTH(DATE(Dashboard!$C$4,4,1),0)))</f>
        <v/>
      </c>
      <c r="H168" s="165">
        <f>IF($C168="","",SUMIFS(Transaksi!$F$16:$F$5015,Transaksi!$G$16:$G$5015,$A168,Transaksi!$H$16:$H$5015,$B168,Transaksi!$I$16:$I$5015,$C168,Transaksi!$B$16:$B$5015,"&gt;="&amp;DATE(Dashboard!$C$4,5,1),Transaksi!$B$16:$B$5015,"&lt;="&amp;EOMONTH(DATE(Dashboard!$C$4,5,1),0)))</f>
        <v/>
      </c>
      <c r="I168" s="165">
        <f>IF($C168="","",SUMIFS(Transaksi!$F$16:$F$5015,Transaksi!$G$16:$G$5015,$A168,Transaksi!$H$16:$H$5015,$B168,Transaksi!$I$16:$I$5015,$C168,Transaksi!$B$16:$B$5015,"&gt;="&amp;DATE(Dashboard!$C$4,6,1),Transaksi!$B$16:$B$5015,"&lt;="&amp;EOMONTH(DATE(Dashboard!$C$4,6,1),0)))</f>
        <v/>
      </c>
      <c r="J168" s="165">
        <f>IF($C168="","",SUMIFS(Transaksi!$F$16:$F$5015,Transaksi!$G$16:$G$5015,$A168,Transaksi!$H$16:$H$5015,$B168,Transaksi!$I$16:$I$5015,$C168,Transaksi!$B$16:$B$5015,"&gt;="&amp;DATE(Dashboard!$C$4,7,1),Transaksi!$B$16:$B$5015,"&lt;="&amp;EOMONTH(DATE(Dashboard!$C$4,7,1),0)))</f>
        <v/>
      </c>
      <c r="K168" s="165">
        <f>IF($C168="","",SUMIFS(Transaksi!$F$16:$F$5015,Transaksi!$G$16:$G$5015,$A168,Transaksi!$H$16:$H$5015,$B168,Transaksi!$I$16:$I$5015,$C168,Transaksi!$B$16:$B$5015,"&gt;="&amp;DATE(Dashboard!$C$4,8,1),Transaksi!$B$16:$B$5015,"&lt;="&amp;EOMONTH(DATE(Dashboard!$C$4,8,1),0)))</f>
        <v/>
      </c>
      <c r="L168" s="165">
        <f>IF($C168="","",SUMIFS(Transaksi!$F$16:$F$5015,Transaksi!$G$16:$G$5015,$A168,Transaksi!$H$16:$H$5015,$B168,Transaksi!$I$16:$I$5015,$C168,Transaksi!$B$16:$B$5015,"&gt;="&amp;DATE(Dashboard!$C$4,9,1),Transaksi!$B$16:$B$5015,"&lt;="&amp;EOMONTH(DATE(Dashboard!$C$4,9,1),0)))</f>
        <v/>
      </c>
      <c r="M168" s="165">
        <f>IF($C168="","",SUMIFS(Transaksi!$F$16:$F$5015,Transaksi!$G$16:$G$5015,$A168,Transaksi!$H$16:$H$5015,$B168,Transaksi!$I$16:$I$5015,$C168,Transaksi!$B$16:$B$5015,"&gt;="&amp;DATE(Dashboard!$C$4,10,1),Transaksi!$B$16:$B$5015,"&lt;="&amp;EOMONTH(DATE(Dashboard!$C$4,10,1),0)))</f>
        <v/>
      </c>
      <c r="N168" s="165">
        <f>IF($C168="","",SUMIFS(Transaksi!$F$16:$F$5015,Transaksi!$G$16:$G$5015,$A168,Transaksi!$H$16:$H$5015,$B168,Transaksi!$I$16:$I$5015,$C168,Transaksi!$B$16:$B$5015,"&gt;="&amp;DATE(Dashboard!$C$4,11,1),Transaksi!$B$16:$B$5015,"&lt;="&amp;EOMONTH(DATE(Dashboard!$C$4,11,1),0)))</f>
        <v/>
      </c>
      <c r="O168" s="165">
        <f>IF($C168="","",SUMIFS(Transaksi!$F$16:$F$5015,Transaksi!$G$16:$G$5015,$A168,Transaksi!$H$16:$H$5015,$B168,Transaksi!$I$16:$I$5015,$C168,Transaksi!$B$16:$B$5015,"&gt;="&amp;DATE(Dashboard!$C$4,12,1),Transaksi!$B$16:$B$5015,"&lt;="&amp;EOMONTH(DATE(Dashboard!$C$4,12,1),0)))</f>
        <v/>
      </c>
      <c r="P168" s="166">
        <f>IF($C168="","",SUM(D168:O168))</f>
        <v/>
      </c>
    </row>
    <row r="169" ht="15" customHeight="1" s="94">
      <c r="A169" s="164">
        <f>IF(Kategori!C169="","",Kategori!A169)</f>
        <v/>
      </c>
      <c r="B169" s="164">
        <f>IF(Kategori!C169="","",Kategori!B169)</f>
        <v/>
      </c>
      <c r="C169" s="108">
        <f>IF(Kategori!C169="","",Kategori!C169)</f>
        <v/>
      </c>
      <c r="D169" s="165">
        <f>IF($C169="","",SUMIFS(Transaksi!$F$16:$F$5015,Transaksi!$G$16:$G$5015,$A169,Transaksi!$H$16:$H$5015,$B169,Transaksi!$I$16:$I$5015,$C169,Transaksi!$B$16:$B$5015,"&gt;="&amp;DATE(Dashboard!$C$4,1,1),Transaksi!$B$16:$B$5015,"&lt;="&amp;EOMONTH(DATE(Dashboard!$C$4,1,1),0)))</f>
        <v/>
      </c>
      <c r="E169" s="165">
        <f>IF($C169="","",SUMIFS(Transaksi!$F$16:$F$5015,Transaksi!$G$16:$G$5015,$A169,Transaksi!$H$16:$H$5015,$B169,Transaksi!$I$16:$I$5015,$C169,Transaksi!$B$16:$B$5015,"&gt;="&amp;DATE(Dashboard!$C$4,2,1),Transaksi!$B$16:$B$5015,"&lt;="&amp;EOMONTH(DATE(Dashboard!$C$4,2,1),0)))</f>
        <v/>
      </c>
      <c r="F169" s="165">
        <f>IF($C169="","",SUMIFS(Transaksi!$F$16:$F$5015,Transaksi!$G$16:$G$5015,$A169,Transaksi!$H$16:$H$5015,$B169,Transaksi!$I$16:$I$5015,$C169,Transaksi!$B$16:$B$5015,"&gt;="&amp;DATE(Dashboard!$C$4,3,1),Transaksi!$B$16:$B$5015,"&lt;="&amp;EOMONTH(DATE(Dashboard!$C$4,3,1),0)))</f>
        <v/>
      </c>
      <c r="G169" s="165">
        <f>IF($C169="","",SUMIFS(Transaksi!$F$16:$F$5015,Transaksi!$G$16:$G$5015,$A169,Transaksi!$H$16:$H$5015,$B169,Transaksi!$I$16:$I$5015,$C169,Transaksi!$B$16:$B$5015,"&gt;="&amp;DATE(Dashboard!$C$4,4,1),Transaksi!$B$16:$B$5015,"&lt;="&amp;EOMONTH(DATE(Dashboard!$C$4,4,1),0)))</f>
        <v/>
      </c>
      <c r="H169" s="165">
        <f>IF($C169="","",SUMIFS(Transaksi!$F$16:$F$5015,Transaksi!$G$16:$G$5015,$A169,Transaksi!$H$16:$H$5015,$B169,Transaksi!$I$16:$I$5015,$C169,Transaksi!$B$16:$B$5015,"&gt;="&amp;DATE(Dashboard!$C$4,5,1),Transaksi!$B$16:$B$5015,"&lt;="&amp;EOMONTH(DATE(Dashboard!$C$4,5,1),0)))</f>
        <v/>
      </c>
      <c r="I169" s="165">
        <f>IF($C169="","",SUMIFS(Transaksi!$F$16:$F$5015,Transaksi!$G$16:$G$5015,$A169,Transaksi!$H$16:$H$5015,$B169,Transaksi!$I$16:$I$5015,$C169,Transaksi!$B$16:$B$5015,"&gt;="&amp;DATE(Dashboard!$C$4,6,1),Transaksi!$B$16:$B$5015,"&lt;="&amp;EOMONTH(DATE(Dashboard!$C$4,6,1),0)))</f>
        <v/>
      </c>
      <c r="J169" s="165">
        <f>IF($C169="","",SUMIFS(Transaksi!$F$16:$F$5015,Transaksi!$G$16:$G$5015,$A169,Transaksi!$H$16:$H$5015,$B169,Transaksi!$I$16:$I$5015,$C169,Transaksi!$B$16:$B$5015,"&gt;="&amp;DATE(Dashboard!$C$4,7,1),Transaksi!$B$16:$B$5015,"&lt;="&amp;EOMONTH(DATE(Dashboard!$C$4,7,1),0)))</f>
        <v/>
      </c>
      <c r="K169" s="165">
        <f>IF($C169="","",SUMIFS(Transaksi!$F$16:$F$5015,Transaksi!$G$16:$G$5015,$A169,Transaksi!$H$16:$H$5015,$B169,Transaksi!$I$16:$I$5015,$C169,Transaksi!$B$16:$B$5015,"&gt;="&amp;DATE(Dashboard!$C$4,8,1),Transaksi!$B$16:$B$5015,"&lt;="&amp;EOMONTH(DATE(Dashboard!$C$4,8,1),0)))</f>
        <v/>
      </c>
      <c r="L169" s="165">
        <f>IF($C169="","",SUMIFS(Transaksi!$F$16:$F$5015,Transaksi!$G$16:$G$5015,$A169,Transaksi!$H$16:$H$5015,$B169,Transaksi!$I$16:$I$5015,$C169,Transaksi!$B$16:$B$5015,"&gt;="&amp;DATE(Dashboard!$C$4,9,1),Transaksi!$B$16:$B$5015,"&lt;="&amp;EOMONTH(DATE(Dashboard!$C$4,9,1),0)))</f>
        <v/>
      </c>
      <c r="M169" s="165">
        <f>IF($C169="","",SUMIFS(Transaksi!$F$16:$F$5015,Transaksi!$G$16:$G$5015,$A169,Transaksi!$H$16:$H$5015,$B169,Transaksi!$I$16:$I$5015,$C169,Transaksi!$B$16:$B$5015,"&gt;="&amp;DATE(Dashboard!$C$4,10,1),Transaksi!$B$16:$B$5015,"&lt;="&amp;EOMONTH(DATE(Dashboard!$C$4,10,1),0)))</f>
        <v/>
      </c>
      <c r="N169" s="165">
        <f>IF($C169="","",SUMIFS(Transaksi!$F$16:$F$5015,Transaksi!$G$16:$G$5015,$A169,Transaksi!$H$16:$H$5015,$B169,Transaksi!$I$16:$I$5015,$C169,Transaksi!$B$16:$B$5015,"&gt;="&amp;DATE(Dashboard!$C$4,11,1),Transaksi!$B$16:$B$5015,"&lt;="&amp;EOMONTH(DATE(Dashboard!$C$4,11,1),0)))</f>
        <v/>
      </c>
      <c r="O169" s="165">
        <f>IF($C169="","",SUMIFS(Transaksi!$F$16:$F$5015,Transaksi!$G$16:$G$5015,$A169,Transaksi!$H$16:$H$5015,$B169,Transaksi!$I$16:$I$5015,$C169,Transaksi!$B$16:$B$5015,"&gt;="&amp;DATE(Dashboard!$C$4,12,1),Transaksi!$B$16:$B$5015,"&lt;="&amp;EOMONTH(DATE(Dashboard!$C$4,12,1),0)))</f>
        <v/>
      </c>
      <c r="P169" s="166">
        <f>IF($C169="","",SUM(D169:O169))</f>
        <v/>
      </c>
    </row>
    <row r="170" ht="15" customHeight="1" s="94">
      <c r="A170" s="164">
        <f>IF(Kategori!C170="","",Kategori!A170)</f>
        <v/>
      </c>
      <c r="B170" s="164">
        <f>IF(Kategori!C170="","",Kategori!B170)</f>
        <v/>
      </c>
      <c r="C170" s="108">
        <f>IF(Kategori!C170="","",Kategori!C170)</f>
        <v/>
      </c>
      <c r="D170" s="165">
        <f>IF($C170="","",SUMIFS(Transaksi!$F$16:$F$5015,Transaksi!$G$16:$G$5015,$A170,Transaksi!$H$16:$H$5015,$B170,Transaksi!$I$16:$I$5015,$C170,Transaksi!$B$16:$B$5015,"&gt;="&amp;DATE(Dashboard!$C$4,1,1),Transaksi!$B$16:$B$5015,"&lt;="&amp;EOMONTH(DATE(Dashboard!$C$4,1,1),0)))</f>
        <v/>
      </c>
      <c r="E170" s="165">
        <f>IF($C170="","",SUMIFS(Transaksi!$F$16:$F$5015,Transaksi!$G$16:$G$5015,$A170,Transaksi!$H$16:$H$5015,$B170,Transaksi!$I$16:$I$5015,$C170,Transaksi!$B$16:$B$5015,"&gt;="&amp;DATE(Dashboard!$C$4,2,1),Transaksi!$B$16:$B$5015,"&lt;="&amp;EOMONTH(DATE(Dashboard!$C$4,2,1),0)))</f>
        <v/>
      </c>
      <c r="F170" s="165">
        <f>IF($C170="","",SUMIFS(Transaksi!$F$16:$F$5015,Transaksi!$G$16:$G$5015,$A170,Transaksi!$H$16:$H$5015,$B170,Transaksi!$I$16:$I$5015,$C170,Transaksi!$B$16:$B$5015,"&gt;="&amp;DATE(Dashboard!$C$4,3,1),Transaksi!$B$16:$B$5015,"&lt;="&amp;EOMONTH(DATE(Dashboard!$C$4,3,1),0)))</f>
        <v/>
      </c>
      <c r="G170" s="165">
        <f>IF($C170="","",SUMIFS(Transaksi!$F$16:$F$5015,Transaksi!$G$16:$G$5015,$A170,Transaksi!$H$16:$H$5015,$B170,Transaksi!$I$16:$I$5015,$C170,Transaksi!$B$16:$B$5015,"&gt;="&amp;DATE(Dashboard!$C$4,4,1),Transaksi!$B$16:$B$5015,"&lt;="&amp;EOMONTH(DATE(Dashboard!$C$4,4,1),0)))</f>
        <v/>
      </c>
      <c r="H170" s="165">
        <f>IF($C170="","",SUMIFS(Transaksi!$F$16:$F$5015,Transaksi!$G$16:$G$5015,$A170,Transaksi!$H$16:$H$5015,$B170,Transaksi!$I$16:$I$5015,$C170,Transaksi!$B$16:$B$5015,"&gt;="&amp;DATE(Dashboard!$C$4,5,1),Transaksi!$B$16:$B$5015,"&lt;="&amp;EOMONTH(DATE(Dashboard!$C$4,5,1),0)))</f>
        <v/>
      </c>
      <c r="I170" s="165">
        <f>IF($C170="","",SUMIFS(Transaksi!$F$16:$F$5015,Transaksi!$G$16:$G$5015,$A170,Transaksi!$H$16:$H$5015,$B170,Transaksi!$I$16:$I$5015,$C170,Transaksi!$B$16:$B$5015,"&gt;="&amp;DATE(Dashboard!$C$4,6,1),Transaksi!$B$16:$B$5015,"&lt;="&amp;EOMONTH(DATE(Dashboard!$C$4,6,1),0)))</f>
        <v/>
      </c>
      <c r="J170" s="165">
        <f>IF($C170="","",SUMIFS(Transaksi!$F$16:$F$5015,Transaksi!$G$16:$G$5015,$A170,Transaksi!$H$16:$H$5015,$B170,Transaksi!$I$16:$I$5015,$C170,Transaksi!$B$16:$B$5015,"&gt;="&amp;DATE(Dashboard!$C$4,7,1),Transaksi!$B$16:$B$5015,"&lt;="&amp;EOMONTH(DATE(Dashboard!$C$4,7,1),0)))</f>
        <v/>
      </c>
      <c r="K170" s="165">
        <f>IF($C170="","",SUMIFS(Transaksi!$F$16:$F$5015,Transaksi!$G$16:$G$5015,$A170,Transaksi!$H$16:$H$5015,$B170,Transaksi!$I$16:$I$5015,$C170,Transaksi!$B$16:$B$5015,"&gt;="&amp;DATE(Dashboard!$C$4,8,1),Transaksi!$B$16:$B$5015,"&lt;="&amp;EOMONTH(DATE(Dashboard!$C$4,8,1),0)))</f>
        <v/>
      </c>
      <c r="L170" s="165">
        <f>IF($C170="","",SUMIFS(Transaksi!$F$16:$F$5015,Transaksi!$G$16:$G$5015,$A170,Transaksi!$H$16:$H$5015,$B170,Transaksi!$I$16:$I$5015,$C170,Transaksi!$B$16:$B$5015,"&gt;="&amp;DATE(Dashboard!$C$4,9,1),Transaksi!$B$16:$B$5015,"&lt;="&amp;EOMONTH(DATE(Dashboard!$C$4,9,1),0)))</f>
        <v/>
      </c>
      <c r="M170" s="165">
        <f>IF($C170="","",SUMIFS(Transaksi!$F$16:$F$5015,Transaksi!$G$16:$G$5015,$A170,Transaksi!$H$16:$H$5015,$B170,Transaksi!$I$16:$I$5015,$C170,Transaksi!$B$16:$B$5015,"&gt;="&amp;DATE(Dashboard!$C$4,10,1),Transaksi!$B$16:$B$5015,"&lt;="&amp;EOMONTH(DATE(Dashboard!$C$4,10,1),0)))</f>
        <v/>
      </c>
      <c r="N170" s="165">
        <f>IF($C170="","",SUMIFS(Transaksi!$F$16:$F$5015,Transaksi!$G$16:$G$5015,$A170,Transaksi!$H$16:$H$5015,$B170,Transaksi!$I$16:$I$5015,$C170,Transaksi!$B$16:$B$5015,"&gt;="&amp;DATE(Dashboard!$C$4,11,1),Transaksi!$B$16:$B$5015,"&lt;="&amp;EOMONTH(DATE(Dashboard!$C$4,11,1),0)))</f>
        <v/>
      </c>
      <c r="O170" s="165">
        <f>IF($C170="","",SUMIFS(Transaksi!$F$16:$F$5015,Transaksi!$G$16:$G$5015,$A170,Transaksi!$H$16:$H$5015,$B170,Transaksi!$I$16:$I$5015,$C170,Transaksi!$B$16:$B$5015,"&gt;="&amp;DATE(Dashboard!$C$4,12,1),Transaksi!$B$16:$B$5015,"&lt;="&amp;EOMONTH(DATE(Dashboard!$C$4,12,1),0)))</f>
        <v/>
      </c>
      <c r="P170" s="166">
        <f>IF($C170="","",SUM(D170:O170))</f>
        <v/>
      </c>
    </row>
    <row r="171" ht="15" customHeight="1" s="94">
      <c r="A171" s="164">
        <f>IF(Kategori!C171="","",Kategori!A171)</f>
        <v/>
      </c>
      <c r="B171" s="164">
        <f>IF(Kategori!C171="","",Kategori!B171)</f>
        <v/>
      </c>
      <c r="C171" s="108">
        <f>IF(Kategori!C171="","",Kategori!C171)</f>
        <v/>
      </c>
      <c r="D171" s="165">
        <f>IF($C171="","",SUMIFS(Transaksi!$F$16:$F$5015,Transaksi!$G$16:$G$5015,$A171,Transaksi!$H$16:$H$5015,$B171,Transaksi!$I$16:$I$5015,$C171,Transaksi!$B$16:$B$5015,"&gt;="&amp;DATE(Dashboard!$C$4,1,1),Transaksi!$B$16:$B$5015,"&lt;="&amp;EOMONTH(DATE(Dashboard!$C$4,1,1),0)))</f>
        <v/>
      </c>
      <c r="E171" s="165">
        <f>IF($C171="","",SUMIFS(Transaksi!$F$16:$F$5015,Transaksi!$G$16:$G$5015,$A171,Transaksi!$H$16:$H$5015,$B171,Transaksi!$I$16:$I$5015,$C171,Transaksi!$B$16:$B$5015,"&gt;="&amp;DATE(Dashboard!$C$4,2,1),Transaksi!$B$16:$B$5015,"&lt;="&amp;EOMONTH(DATE(Dashboard!$C$4,2,1),0)))</f>
        <v/>
      </c>
      <c r="F171" s="165">
        <f>IF($C171="","",SUMIFS(Transaksi!$F$16:$F$5015,Transaksi!$G$16:$G$5015,$A171,Transaksi!$H$16:$H$5015,$B171,Transaksi!$I$16:$I$5015,$C171,Transaksi!$B$16:$B$5015,"&gt;="&amp;DATE(Dashboard!$C$4,3,1),Transaksi!$B$16:$B$5015,"&lt;="&amp;EOMONTH(DATE(Dashboard!$C$4,3,1),0)))</f>
        <v/>
      </c>
      <c r="G171" s="165">
        <f>IF($C171="","",SUMIFS(Transaksi!$F$16:$F$5015,Transaksi!$G$16:$G$5015,$A171,Transaksi!$H$16:$H$5015,$B171,Transaksi!$I$16:$I$5015,$C171,Transaksi!$B$16:$B$5015,"&gt;="&amp;DATE(Dashboard!$C$4,4,1),Transaksi!$B$16:$B$5015,"&lt;="&amp;EOMONTH(DATE(Dashboard!$C$4,4,1),0)))</f>
        <v/>
      </c>
      <c r="H171" s="165">
        <f>IF($C171="","",SUMIFS(Transaksi!$F$16:$F$5015,Transaksi!$G$16:$G$5015,$A171,Transaksi!$H$16:$H$5015,$B171,Transaksi!$I$16:$I$5015,$C171,Transaksi!$B$16:$B$5015,"&gt;="&amp;DATE(Dashboard!$C$4,5,1),Transaksi!$B$16:$B$5015,"&lt;="&amp;EOMONTH(DATE(Dashboard!$C$4,5,1),0)))</f>
        <v/>
      </c>
      <c r="I171" s="165">
        <f>IF($C171="","",SUMIFS(Transaksi!$F$16:$F$5015,Transaksi!$G$16:$G$5015,$A171,Transaksi!$H$16:$H$5015,$B171,Transaksi!$I$16:$I$5015,$C171,Transaksi!$B$16:$B$5015,"&gt;="&amp;DATE(Dashboard!$C$4,6,1),Transaksi!$B$16:$B$5015,"&lt;="&amp;EOMONTH(DATE(Dashboard!$C$4,6,1),0)))</f>
        <v/>
      </c>
      <c r="J171" s="165">
        <f>IF($C171="","",SUMIFS(Transaksi!$F$16:$F$5015,Transaksi!$G$16:$G$5015,$A171,Transaksi!$H$16:$H$5015,$B171,Transaksi!$I$16:$I$5015,$C171,Transaksi!$B$16:$B$5015,"&gt;="&amp;DATE(Dashboard!$C$4,7,1),Transaksi!$B$16:$B$5015,"&lt;="&amp;EOMONTH(DATE(Dashboard!$C$4,7,1),0)))</f>
        <v/>
      </c>
      <c r="K171" s="165">
        <f>IF($C171="","",SUMIFS(Transaksi!$F$16:$F$5015,Transaksi!$G$16:$G$5015,$A171,Transaksi!$H$16:$H$5015,$B171,Transaksi!$I$16:$I$5015,$C171,Transaksi!$B$16:$B$5015,"&gt;="&amp;DATE(Dashboard!$C$4,8,1),Transaksi!$B$16:$B$5015,"&lt;="&amp;EOMONTH(DATE(Dashboard!$C$4,8,1),0)))</f>
        <v/>
      </c>
      <c r="L171" s="165">
        <f>IF($C171="","",SUMIFS(Transaksi!$F$16:$F$5015,Transaksi!$G$16:$G$5015,$A171,Transaksi!$H$16:$H$5015,$B171,Transaksi!$I$16:$I$5015,$C171,Transaksi!$B$16:$B$5015,"&gt;="&amp;DATE(Dashboard!$C$4,9,1),Transaksi!$B$16:$B$5015,"&lt;="&amp;EOMONTH(DATE(Dashboard!$C$4,9,1),0)))</f>
        <v/>
      </c>
      <c r="M171" s="165">
        <f>IF($C171="","",SUMIFS(Transaksi!$F$16:$F$5015,Transaksi!$G$16:$G$5015,$A171,Transaksi!$H$16:$H$5015,$B171,Transaksi!$I$16:$I$5015,$C171,Transaksi!$B$16:$B$5015,"&gt;="&amp;DATE(Dashboard!$C$4,10,1),Transaksi!$B$16:$B$5015,"&lt;="&amp;EOMONTH(DATE(Dashboard!$C$4,10,1),0)))</f>
        <v/>
      </c>
      <c r="N171" s="165">
        <f>IF($C171="","",SUMIFS(Transaksi!$F$16:$F$5015,Transaksi!$G$16:$G$5015,$A171,Transaksi!$H$16:$H$5015,$B171,Transaksi!$I$16:$I$5015,$C171,Transaksi!$B$16:$B$5015,"&gt;="&amp;DATE(Dashboard!$C$4,11,1),Transaksi!$B$16:$B$5015,"&lt;="&amp;EOMONTH(DATE(Dashboard!$C$4,11,1),0)))</f>
        <v/>
      </c>
      <c r="O171" s="165">
        <f>IF($C171="","",SUMIFS(Transaksi!$F$16:$F$5015,Transaksi!$G$16:$G$5015,$A171,Transaksi!$H$16:$H$5015,$B171,Transaksi!$I$16:$I$5015,$C171,Transaksi!$B$16:$B$5015,"&gt;="&amp;DATE(Dashboard!$C$4,12,1),Transaksi!$B$16:$B$5015,"&lt;="&amp;EOMONTH(DATE(Dashboard!$C$4,12,1),0)))</f>
        <v/>
      </c>
      <c r="P171" s="166">
        <f>IF($C171="","",SUM(D171:O171))</f>
        <v/>
      </c>
    </row>
    <row r="172" ht="15" customHeight="1" s="94">
      <c r="A172" s="164">
        <f>IF(Kategori!C172="","",Kategori!A172)</f>
        <v/>
      </c>
      <c r="B172" s="164">
        <f>IF(Kategori!C172="","",Kategori!B172)</f>
        <v/>
      </c>
      <c r="C172" s="108">
        <f>IF(Kategori!C172="","",Kategori!C172)</f>
        <v/>
      </c>
      <c r="D172" s="165">
        <f>IF($C172="","",SUMIFS(Transaksi!$F$16:$F$5015,Transaksi!$G$16:$G$5015,$A172,Transaksi!$H$16:$H$5015,$B172,Transaksi!$I$16:$I$5015,$C172,Transaksi!$B$16:$B$5015,"&gt;="&amp;DATE(Dashboard!$C$4,1,1),Transaksi!$B$16:$B$5015,"&lt;="&amp;EOMONTH(DATE(Dashboard!$C$4,1,1),0)))</f>
        <v/>
      </c>
      <c r="E172" s="165">
        <f>IF($C172="","",SUMIFS(Transaksi!$F$16:$F$5015,Transaksi!$G$16:$G$5015,$A172,Transaksi!$H$16:$H$5015,$B172,Transaksi!$I$16:$I$5015,$C172,Transaksi!$B$16:$B$5015,"&gt;="&amp;DATE(Dashboard!$C$4,2,1),Transaksi!$B$16:$B$5015,"&lt;="&amp;EOMONTH(DATE(Dashboard!$C$4,2,1),0)))</f>
        <v/>
      </c>
      <c r="F172" s="165">
        <f>IF($C172="","",SUMIFS(Transaksi!$F$16:$F$5015,Transaksi!$G$16:$G$5015,$A172,Transaksi!$H$16:$H$5015,$B172,Transaksi!$I$16:$I$5015,$C172,Transaksi!$B$16:$B$5015,"&gt;="&amp;DATE(Dashboard!$C$4,3,1),Transaksi!$B$16:$B$5015,"&lt;="&amp;EOMONTH(DATE(Dashboard!$C$4,3,1),0)))</f>
        <v/>
      </c>
      <c r="G172" s="165">
        <f>IF($C172="","",SUMIFS(Transaksi!$F$16:$F$5015,Transaksi!$G$16:$G$5015,$A172,Transaksi!$H$16:$H$5015,$B172,Transaksi!$I$16:$I$5015,$C172,Transaksi!$B$16:$B$5015,"&gt;="&amp;DATE(Dashboard!$C$4,4,1),Transaksi!$B$16:$B$5015,"&lt;="&amp;EOMONTH(DATE(Dashboard!$C$4,4,1),0)))</f>
        <v/>
      </c>
      <c r="H172" s="165">
        <f>IF($C172="","",SUMIFS(Transaksi!$F$16:$F$5015,Transaksi!$G$16:$G$5015,$A172,Transaksi!$H$16:$H$5015,$B172,Transaksi!$I$16:$I$5015,$C172,Transaksi!$B$16:$B$5015,"&gt;="&amp;DATE(Dashboard!$C$4,5,1),Transaksi!$B$16:$B$5015,"&lt;="&amp;EOMONTH(DATE(Dashboard!$C$4,5,1),0)))</f>
        <v/>
      </c>
      <c r="I172" s="165">
        <f>IF($C172="","",SUMIFS(Transaksi!$F$16:$F$5015,Transaksi!$G$16:$G$5015,$A172,Transaksi!$H$16:$H$5015,$B172,Transaksi!$I$16:$I$5015,$C172,Transaksi!$B$16:$B$5015,"&gt;="&amp;DATE(Dashboard!$C$4,6,1),Transaksi!$B$16:$B$5015,"&lt;="&amp;EOMONTH(DATE(Dashboard!$C$4,6,1),0)))</f>
        <v/>
      </c>
      <c r="J172" s="165">
        <f>IF($C172="","",SUMIFS(Transaksi!$F$16:$F$5015,Transaksi!$G$16:$G$5015,$A172,Transaksi!$H$16:$H$5015,$B172,Transaksi!$I$16:$I$5015,$C172,Transaksi!$B$16:$B$5015,"&gt;="&amp;DATE(Dashboard!$C$4,7,1),Transaksi!$B$16:$B$5015,"&lt;="&amp;EOMONTH(DATE(Dashboard!$C$4,7,1),0)))</f>
        <v/>
      </c>
      <c r="K172" s="165">
        <f>IF($C172="","",SUMIFS(Transaksi!$F$16:$F$5015,Transaksi!$G$16:$G$5015,$A172,Transaksi!$H$16:$H$5015,$B172,Transaksi!$I$16:$I$5015,$C172,Transaksi!$B$16:$B$5015,"&gt;="&amp;DATE(Dashboard!$C$4,8,1),Transaksi!$B$16:$B$5015,"&lt;="&amp;EOMONTH(DATE(Dashboard!$C$4,8,1),0)))</f>
        <v/>
      </c>
      <c r="L172" s="165">
        <f>IF($C172="","",SUMIFS(Transaksi!$F$16:$F$5015,Transaksi!$G$16:$G$5015,$A172,Transaksi!$H$16:$H$5015,$B172,Transaksi!$I$16:$I$5015,$C172,Transaksi!$B$16:$B$5015,"&gt;="&amp;DATE(Dashboard!$C$4,9,1),Transaksi!$B$16:$B$5015,"&lt;="&amp;EOMONTH(DATE(Dashboard!$C$4,9,1),0)))</f>
        <v/>
      </c>
      <c r="M172" s="165">
        <f>IF($C172="","",SUMIFS(Transaksi!$F$16:$F$5015,Transaksi!$G$16:$G$5015,$A172,Transaksi!$H$16:$H$5015,$B172,Transaksi!$I$16:$I$5015,$C172,Transaksi!$B$16:$B$5015,"&gt;="&amp;DATE(Dashboard!$C$4,10,1),Transaksi!$B$16:$B$5015,"&lt;="&amp;EOMONTH(DATE(Dashboard!$C$4,10,1),0)))</f>
        <v/>
      </c>
      <c r="N172" s="165">
        <f>IF($C172="","",SUMIFS(Transaksi!$F$16:$F$5015,Transaksi!$G$16:$G$5015,$A172,Transaksi!$H$16:$H$5015,$B172,Transaksi!$I$16:$I$5015,$C172,Transaksi!$B$16:$B$5015,"&gt;="&amp;DATE(Dashboard!$C$4,11,1),Transaksi!$B$16:$B$5015,"&lt;="&amp;EOMONTH(DATE(Dashboard!$C$4,11,1),0)))</f>
        <v/>
      </c>
      <c r="O172" s="165">
        <f>IF($C172="","",SUMIFS(Transaksi!$F$16:$F$5015,Transaksi!$G$16:$G$5015,$A172,Transaksi!$H$16:$H$5015,$B172,Transaksi!$I$16:$I$5015,$C172,Transaksi!$B$16:$B$5015,"&gt;="&amp;DATE(Dashboard!$C$4,12,1),Transaksi!$B$16:$B$5015,"&lt;="&amp;EOMONTH(DATE(Dashboard!$C$4,12,1),0)))</f>
        <v/>
      </c>
      <c r="P172" s="166">
        <f>IF($C172="","",SUM(D172:O172))</f>
        <v/>
      </c>
    </row>
    <row r="173" ht="15" customHeight="1" s="94">
      <c r="A173" s="164">
        <f>IF(Kategori!C173="","",Kategori!A173)</f>
        <v/>
      </c>
      <c r="B173" s="164">
        <f>IF(Kategori!C173="","",Kategori!B173)</f>
        <v/>
      </c>
      <c r="C173" s="108">
        <f>IF(Kategori!C173="","",Kategori!C173)</f>
        <v/>
      </c>
      <c r="D173" s="165">
        <f>IF($C173="","",SUMIFS(Transaksi!$F$16:$F$5015,Transaksi!$G$16:$G$5015,$A173,Transaksi!$H$16:$H$5015,$B173,Transaksi!$I$16:$I$5015,$C173,Transaksi!$B$16:$B$5015,"&gt;="&amp;DATE(Dashboard!$C$4,1,1),Transaksi!$B$16:$B$5015,"&lt;="&amp;EOMONTH(DATE(Dashboard!$C$4,1,1),0)))</f>
        <v/>
      </c>
      <c r="E173" s="165">
        <f>IF($C173="","",SUMIFS(Transaksi!$F$16:$F$5015,Transaksi!$G$16:$G$5015,$A173,Transaksi!$H$16:$H$5015,$B173,Transaksi!$I$16:$I$5015,$C173,Transaksi!$B$16:$B$5015,"&gt;="&amp;DATE(Dashboard!$C$4,2,1),Transaksi!$B$16:$B$5015,"&lt;="&amp;EOMONTH(DATE(Dashboard!$C$4,2,1),0)))</f>
        <v/>
      </c>
      <c r="F173" s="165">
        <f>IF($C173="","",SUMIFS(Transaksi!$F$16:$F$5015,Transaksi!$G$16:$G$5015,$A173,Transaksi!$H$16:$H$5015,$B173,Transaksi!$I$16:$I$5015,$C173,Transaksi!$B$16:$B$5015,"&gt;="&amp;DATE(Dashboard!$C$4,3,1),Transaksi!$B$16:$B$5015,"&lt;="&amp;EOMONTH(DATE(Dashboard!$C$4,3,1),0)))</f>
        <v/>
      </c>
      <c r="G173" s="165">
        <f>IF($C173="","",SUMIFS(Transaksi!$F$16:$F$5015,Transaksi!$G$16:$G$5015,$A173,Transaksi!$H$16:$H$5015,$B173,Transaksi!$I$16:$I$5015,$C173,Transaksi!$B$16:$B$5015,"&gt;="&amp;DATE(Dashboard!$C$4,4,1),Transaksi!$B$16:$B$5015,"&lt;="&amp;EOMONTH(DATE(Dashboard!$C$4,4,1),0)))</f>
        <v/>
      </c>
      <c r="H173" s="165">
        <f>IF($C173="","",SUMIFS(Transaksi!$F$16:$F$5015,Transaksi!$G$16:$G$5015,$A173,Transaksi!$H$16:$H$5015,$B173,Transaksi!$I$16:$I$5015,$C173,Transaksi!$B$16:$B$5015,"&gt;="&amp;DATE(Dashboard!$C$4,5,1),Transaksi!$B$16:$B$5015,"&lt;="&amp;EOMONTH(DATE(Dashboard!$C$4,5,1),0)))</f>
        <v/>
      </c>
      <c r="I173" s="165">
        <f>IF($C173="","",SUMIFS(Transaksi!$F$16:$F$5015,Transaksi!$G$16:$G$5015,$A173,Transaksi!$H$16:$H$5015,$B173,Transaksi!$I$16:$I$5015,$C173,Transaksi!$B$16:$B$5015,"&gt;="&amp;DATE(Dashboard!$C$4,6,1),Transaksi!$B$16:$B$5015,"&lt;="&amp;EOMONTH(DATE(Dashboard!$C$4,6,1),0)))</f>
        <v/>
      </c>
      <c r="J173" s="165">
        <f>IF($C173="","",SUMIFS(Transaksi!$F$16:$F$5015,Transaksi!$G$16:$G$5015,$A173,Transaksi!$H$16:$H$5015,$B173,Transaksi!$I$16:$I$5015,$C173,Transaksi!$B$16:$B$5015,"&gt;="&amp;DATE(Dashboard!$C$4,7,1),Transaksi!$B$16:$B$5015,"&lt;="&amp;EOMONTH(DATE(Dashboard!$C$4,7,1),0)))</f>
        <v/>
      </c>
      <c r="K173" s="165">
        <f>IF($C173="","",SUMIFS(Transaksi!$F$16:$F$5015,Transaksi!$G$16:$G$5015,$A173,Transaksi!$H$16:$H$5015,$B173,Transaksi!$I$16:$I$5015,$C173,Transaksi!$B$16:$B$5015,"&gt;="&amp;DATE(Dashboard!$C$4,8,1),Transaksi!$B$16:$B$5015,"&lt;="&amp;EOMONTH(DATE(Dashboard!$C$4,8,1),0)))</f>
        <v/>
      </c>
      <c r="L173" s="165">
        <f>IF($C173="","",SUMIFS(Transaksi!$F$16:$F$5015,Transaksi!$G$16:$G$5015,$A173,Transaksi!$H$16:$H$5015,$B173,Transaksi!$I$16:$I$5015,$C173,Transaksi!$B$16:$B$5015,"&gt;="&amp;DATE(Dashboard!$C$4,9,1),Transaksi!$B$16:$B$5015,"&lt;="&amp;EOMONTH(DATE(Dashboard!$C$4,9,1),0)))</f>
        <v/>
      </c>
      <c r="M173" s="165">
        <f>IF($C173="","",SUMIFS(Transaksi!$F$16:$F$5015,Transaksi!$G$16:$G$5015,$A173,Transaksi!$H$16:$H$5015,$B173,Transaksi!$I$16:$I$5015,$C173,Transaksi!$B$16:$B$5015,"&gt;="&amp;DATE(Dashboard!$C$4,10,1),Transaksi!$B$16:$B$5015,"&lt;="&amp;EOMONTH(DATE(Dashboard!$C$4,10,1),0)))</f>
        <v/>
      </c>
      <c r="N173" s="165">
        <f>IF($C173="","",SUMIFS(Transaksi!$F$16:$F$5015,Transaksi!$G$16:$G$5015,$A173,Transaksi!$H$16:$H$5015,$B173,Transaksi!$I$16:$I$5015,$C173,Transaksi!$B$16:$B$5015,"&gt;="&amp;DATE(Dashboard!$C$4,11,1),Transaksi!$B$16:$B$5015,"&lt;="&amp;EOMONTH(DATE(Dashboard!$C$4,11,1),0)))</f>
        <v/>
      </c>
      <c r="O173" s="165">
        <f>IF($C173="","",SUMIFS(Transaksi!$F$16:$F$5015,Transaksi!$G$16:$G$5015,$A173,Transaksi!$H$16:$H$5015,$B173,Transaksi!$I$16:$I$5015,$C173,Transaksi!$B$16:$B$5015,"&gt;="&amp;DATE(Dashboard!$C$4,12,1),Transaksi!$B$16:$B$5015,"&lt;="&amp;EOMONTH(DATE(Dashboard!$C$4,12,1),0)))</f>
        <v/>
      </c>
      <c r="P173" s="166">
        <f>IF($C173="","",SUM(D173:O173))</f>
        <v/>
      </c>
    </row>
    <row r="174" ht="15" customHeight="1" s="94">
      <c r="A174" s="164">
        <f>IF(Kategori!C174="","",Kategori!A174)</f>
        <v/>
      </c>
      <c r="B174" s="164">
        <f>IF(Kategori!C174="","",Kategori!B174)</f>
        <v/>
      </c>
      <c r="C174" s="108">
        <f>IF(Kategori!C174="","",Kategori!C174)</f>
        <v/>
      </c>
      <c r="D174" s="165">
        <f>IF($C174="","",SUMIFS(Transaksi!$F$16:$F$5015,Transaksi!$G$16:$G$5015,$A174,Transaksi!$H$16:$H$5015,$B174,Transaksi!$I$16:$I$5015,$C174,Transaksi!$B$16:$B$5015,"&gt;="&amp;DATE(Dashboard!$C$4,1,1),Transaksi!$B$16:$B$5015,"&lt;="&amp;EOMONTH(DATE(Dashboard!$C$4,1,1),0)))</f>
        <v/>
      </c>
      <c r="E174" s="165">
        <f>IF($C174="","",SUMIFS(Transaksi!$F$16:$F$5015,Transaksi!$G$16:$G$5015,$A174,Transaksi!$H$16:$H$5015,$B174,Transaksi!$I$16:$I$5015,$C174,Transaksi!$B$16:$B$5015,"&gt;="&amp;DATE(Dashboard!$C$4,2,1),Transaksi!$B$16:$B$5015,"&lt;="&amp;EOMONTH(DATE(Dashboard!$C$4,2,1),0)))</f>
        <v/>
      </c>
      <c r="F174" s="165">
        <f>IF($C174="","",SUMIFS(Transaksi!$F$16:$F$5015,Transaksi!$G$16:$G$5015,$A174,Transaksi!$H$16:$H$5015,$B174,Transaksi!$I$16:$I$5015,$C174,Transaksi!$B$16:$B$5015,"&gt;="&amp;DATE(Dashboard!$C$4,3,1),Transaksi!$B$16:$B$5015,"&lt;="&amp;EOMONTH(DATE(Dashboard!$C$4,3,1),0)))</f>
        <v/>
      </c>
      <c r="G174" s="165">
        <f>IF($C174="","",SUMIFS(Transaksi!$F$16:$F$5015,Transaksi!$G$16:$G$5015,$A174,Transaksi!$H$16:$H$5015,$B174,Transaksi!$I$16:$I$5015,$C174,Transaksi!$B$16:$B$5015,"&gt;="&amp;DATE(Dashboard!$C$4,4,1),Transaksi!$B$16:$B$5015,"&lt;="&amp;EOMONTH(DATE(Dashboard!$C$4,4,1),0)))</f>
        <v/>
      </c>
      <c r="H174" s="165">
        <f>IF($C174="","",SUMIFS(Transaksi!$F$16:$F$5015,Transaksi!$G$16:$G$5015,$A174,Transaksi!$H$16:$H$5015,$B174,Transaksi!$I$16:$I$5015,$C174,Transaksi!$B$16:$B$5015,"&gt;="&amp;DATE(Dashboard!$C$4,5,1),Transaksi!$B$16:$B$5015,"&lt;="&amp;EOMONTH(DATE(Dashboard!$C$4,5,1),0)))</f>
        <v/>
      </c>
      <c r="I174" s="165">
        <f>IF($C174="","",SUMIFS(Transaksi!$F$16:$F$5015,Transaksi!$G$16:$G$5015,$A174,Transaksi!$H$16:$H$5015,$B174,Transaksi!$I$16:$I$5015,$C174,Transaksi!$B$16:$B$5015,"&gt;="&amp;DATE(Dashboard!$C$4,6,1),Transaksi!$B$16:$B$5015,"&lt;="&amp;EOMONTH(DATE(Dashboard!$C$4,6,1),0)))</f>
        <v/>
      </c>
      <c r="J174" s="165">
        <f>IF($C174="","",SUMIFS(Transaksi!$F$16:$F$5015,Transaksi!$G$16:$G$5015,$A174,Transaksi!$H$16:$H$5015,$B174,Transaksi!$I$16:$I$5015,$C174,Transaksi!$B$16:$B$5015,"&gt;="&amp;DATE(Dashboard!$C$4,7,1),Transaksi!$B$16:$B$5015,"&lt;="&amp;EOMONTH(DATE(Dashboard!$C$4,7,1),0)))</f>
        <v/>
      </c>
      <c r="K174" s="165">
        <f>IF($C174="","",SUMIFS(Transaksi!$F$16:$F$5015,Transaksi!$G$16:$G$5015,$A174,Transaksi!$H$16:$H$5015,$B174,Transaksi!$I$16:$I$5015,$C174,Transaksi!$B$16:$B$5015,"&gt;="&amp;DATE(Dashboard!$C$4,8,1),Transaksi!$B$16:$B$5015,"&lt;="&amp;EOMONTH(DATE(Dashboard!$C$4,8,1),0)))</f>
        <v/>
      </c>
      <c r="L174" s="165">
        <f>IF($C174="","",SUMIFS(Transaksi!$F$16:$F$5015,Transaksi!$G$16:$G$5015,$A174,Transaksi!$H$16:$H$5015,$B174,Transaksi!$I$16:$I$5015,$C174,Transaksi!$B$16:$B$5015,"&gt;="&amp;DATE(Dashboard!$C$4,9,1),Transaksi!$B$16:$B$5015,"&lt;="&amp;EOMONTH(DATE(Dashboard!$C$4,9,1),0)))</f>
        <v/>
      </c>
      <c r="M174" s="165">
        <f>IF($C174="","",SUMIFS(Transaksi!$F$16:$F$5015,Transaksi!$G$16:$G$5015,$A174,Transaksi!$H$16:$H$5015,$B174,Transaksi!$I$16:$I$5015,$C174,Transaksi!$B$16:$B$5015,"&gt;="&amp;DATE(Dashboard!$C$4,10,1),Transaksi!$B$16:$B$5015,"&lt;="&amp;EOMONTH(DATE(Dashboard!$C$4,10,1),0)))</f>
        <v/>
      </c>
      <c r="N174" s="165">
        <f>IF($C174="","",SUMIFS(Transaksi!$F$16:$F$5015,Transaksi!$G$16:$G$5015,$A174,Transaksi!$H$16:$H$5015,$B174,Transaksi!$I$16:$I$5015,$C174,Transaksi!$B$16:$B$5015,"&gt;="&amp;DATE(Dashboard!$C$4,11,1),Transaksi!$B$16:$B$5015,"&lt;="&amp;EOMONTH(DATE(Dashboard!$C$4,11,1),0)))</f>
        <v/>
      </c>
      <c r="O174" s="165">
        <f>IF($C174="","",SUMIFS(Transaksi!$F$16:$F$5015,Transaksi!$G$16:$G$5015,$A174,Transaksi!$H$16:$H$5015,$B174,Transaksi!$I$16:$I$5015,$C174,Transaksi!$B$16:$B$5015,"&gt;="&amp;DATE(Dashboard!$C$4,12,1),Transaksi!$B$16:$B$5015,"&lt;="&amp;EOMONTH(DATE(Dashboard!$C$4,12,1),0)))</f>
        <v/>
      </c>
      <c r="P174" s="166">
        <f>IF($C174="","",SUM(D174:O174))</f>
        <v/>
      </c>
    </row>
    <row r="175" ht="15" customHeight="1" s="94">
      <c r="A175" s="164">
        <f>IF(Kategori!C175="","",Kategori!A175)</f>
        <v/>
      </c>
      <c r="B175" s="164">
        <f>IF(Kategori!C175="","",Kategori!B175)</f>
        <v/>
      </c>
      <c r="C175" s="108">
        <f>IF(Kategori!C175="","",Kategori!C175)</f>
        <v/>
      </c>
      <c r="D175" s="165">
        <f>IF($C175="","",SUMIFS(Transaksi!$F$16:$F$5015,Transaksi!$G$16:$G$5015,$A175,Transaksi!$H$16:$H$5015,$B175,Transaksi!$I$16:$I$5015,$C175,Transaksi!$B$16:$B$5015,"&gt;="&amp;DATE(Dashboard!$C$4,1,1),Transaksi!$B$16:$B$5015,"&lt;="&amp;EOMONTH(DATE(Dashboard!$C$4,1,1),0)))</f>
        <v/>
      </c>
      <c r="E175" s="165">
        <f>IF($C175="","",SUMIFS(Transaksi!$F$16:$F$5015,Transaksi!$G$16:$G$5015,$A175,Transaksi!$H$16:$H$5015,$B175,Transaksi!$I$16:$I$5015,$C175,Transaksi!$B$16:$B$5015,"&gt;="&amp;DATE(Dashboard!$C$4,2,1),Transaksi!$B$16:$B$5015,"&lt;="&amp;EOMONTH(DATE(Dashboard!$C$4,2,1),0)))</f>
        <v/>
      </c>
      <c r="F175" s="165">
        <f>IF($C175="","",SUMIFS(Transaksi!$F$16:$F$5015,Transaksi!$G$16:$G$5015,$A175,Transaksi!$H$16:$H$5015,$B175,Transaksi!$I$16:$I$5015,$C175,Transaksi!$B$16:$B$5015,"&gt;="&amp;DATE(Dashboard!$C$4,3,1),Transaksi!$B$16:$B$5015,"&lt;="&amp;EOMONTH(DATE(Dashboard!$C$4,3,1),0)))</f>
        <v/>
      </c>
      <c r="G175" s="165">
        <f>IF($C175="","",SUMIFS(Transaksi!$F$16:$F$5015,Transaksi!$G$16:$G$5015,$A175,Transaksi!$H$16:$H$5015,$B175,Transaksi!$I$16:$I$5015,$C175,Transaksi!$B$16:$B$5015,"&gt;="&amp;DATE(Dashboard!$C$4,4,1),Transaksi!$B$16:$B$5015,"&lt;="&amp;EOMONTH(DATE(Dashboard!$C$4,4,1),0)))</f>
        <v/>
      </c>
      <c r="H175" s="165">
        <f>IF($C175="","",SUMIFS(Transaksi!$F$16:$F$5015,Transaksi!$G$16:$G$5015,$A175,Transaksi!$H$16:$H$5015,$B175,Transaksi!$I$16:$I$5015,$C175,Transaksi!$B$16:$B$5015,"&gt;="&amp;DATE(Dashboard!$C$4,5,1),Transaksi!$B$16:$B$5015,"&lt;="&amp;EOMONTH(DATE(Dashboard!$C$4,5,1),0)))</f>
        <v/>
      </c>
      <c r="I175" s="165">
        <f>IF($C175="","",SUMIFS(Transaksi!$F$16:$F$5015,Transaksi!$G$16:$G$5015,$A175,Transaksi!$H$16:$H$5015,$B175,Transaksi!$I$16:$I$5015,$C175,Transaksi!$B$16:$B$5015,"&gt;="&amp;DATE(Dashboard!$C$4,6,1),Transaksi!$B$16:$B$5015,"&lt;="&amp;EOMONTH(DATE(Dashboard!$C$4,6,1),0)))</f>
        <v/>
      </c>
      <c r="J175" s="165">
        <f>IF($C175="","",SUMIFS(Transaksi!$F$16:$F$5015,Transaksi!$G$16:$G$5015,$A175,Transaksi!$H$16:$H$5015,$B175,Transaksi!$I$16:$I$5015,$C175,Transaksi!$B$16:$B$5015,"&gt;="&amp;DATE(Dashboard!$C$4,7,1),Transaksi!$B$16:$B$5015,"&lt;="&amp;EOMONTH(DATE(Dashboard!$C$4,7,1),0)))</f>
        <v/>
      </c>
      <c r="K175" s="165">
        <f>IF($C175="","",SUMIFS(Transaksi!$F$16:$F$5015,Transaksi!$G$16:$G$5015,$A175,Transaksi!$H$16:$H$5015,$B175,Transaksi!$I$16:$I$5015,$C175,Transaksi!$B$16:$B$5015,"&gt;="&amp;DATE(Dashboard!$C$4,8,1),Transaksi!$B$16:$B$5015,"&lt;="&amp;EOMONTH(DATE(Dashboard!$C$4,8,1),0)))</f>
        <v/>
      </c>
      <c r="L175" s="165">
        <f>IF($C175="","",SUMIFS(Transaksi!$F$16:$F$5015,Transaksi!$G$16:$G$5015,$A175,Transaksi!$H$16:$H$5015,$B175,Transaksi!$I$16:$I$5015,$C175,Transaksi!$B$16:$B$5015,"&gt;="&amp;DATE(Dashboard!$C$4,9,1),Transaksi!$B$16:$B$5015,"&lt;="&amp;EOMONTH(DATE(Dashboard!$C$4,9,1),0)))</f>
        <v/>
      </c>
      <c r="M175" s="165">
        <f>IF($C175="","",SUMIFS(Transaksi!$F$16:$F$5015,Transaksi!$G$16:$G$5015,$A175,Transaksi!$H$16:$H$5015,$B175,Transaksi!$I$16:$I$5015,$C175,Transaksi!$B$16:$B$5015,"&gt;="&amp;DATE(Dashboard!$C$4,10,1),Transaksi!$B$16:$B$5015,"&lt;="&amp;EOMONTH(DATE(Dashboard!$C$4,10,1),0)))</f>
        <v/>
      </c>
      <c r="N175" s="165">
        <f>IF($C175="","",SUMIFS(Transaksi!$F$16:$F$5015,Transaksi!$G$16:$G$5015,$A175,Transaksi!$H$16:$H$5015,$B175,Transaksi!$I$16:$I$5015,$C175,Transaksi!$B$16:$B$5015,"&gt;="&amp;DATE(Dashboard!$C$4,11,1),Transaksi!$B$16:$B$5015,"&lt;="&amp;EOMONTH(DATE(Dashboard!$C$4,11,1),0)))</f>
        <v/>
      </c>
      <c r="O175" s="165">
        <f>IF($C175="","",SUMIFS(Transaksi!$F$16:$F$5015,Transaksi!$G$16:$G$5015,$A175,Transaksi!$H$16:$H$5015,$B175,Transaksi!$I$16:$I$5015,$C175,Transaksi!$B$16:$B$5015,"&gt;="&amp;DATE(Dashboard!$C$4,12,1),Transaksi!$B$16:$B$5015,"&lt;="&amp;EOMONTH(DATE(Dashboard!$C$4,12,1),0)))</f>
        <v/>
      </c>
      <c r="P175" s="166">
        <f>IF($C175="","",SUM(D175:O175))</f>
        <v/>
      </c>
    </row>
    <row r="176" ht="15" customHeight="1" s="94">
      <c r="A176" s="164">
        <f>IF(Kategori!C176="","",Kategori!A176)</f>
        <v/>
      </c>
      <c r="B176" s="164">
        <f>IF(Kategori!C176="","",Kategori!B176)</f>
        <v/>
      </c>
      <c r="C176" s="108">
        <f>IF(Kategori!C176="","",Kategori!C176)</f>
        <v/>
      </c>
      <c r="D176" s="165">
        <f>IF($C176="","",SUMIFS(Transaksi!$F$16:$F$5015,Transaksi!$G$16:$G$5015,$A176,Transaksi!$H$16:$H$5015,$B176,Transaksi!$I$16:$I$5015,$C176,Transaksi!$B$16:$B$5015,"&gt;="&amp;DATE(Dashboard!$C$4,1,1),Transaksi!$B$16:$B$5015,"&lt;="&amp;EOMONTH(DATE(Dashboard!$C$4,1,1),0)))</f>
        <v/>
      </c>
      <c r="E176" s="165">
        <f>IF($C176="","",SUMIFS(Transaksi!$F$16:$F$5015,Transaksi!$G$16:$G$5015,$A176,Transaksi!$H$16:$H$5015,$B176,Transaksi!$I$16:$I$5015,$C176,Transaksi!$B$16:$B$5015,"&gt;="&amp;DATE(Dashboard!$C$4,2,1),Transaksi!$B$16:$B$5015,"&lt;="&amp;EOMONTH(DATE(Dashboard!$C$4,2,1),0)))</f>
        <v/>
      </c>
      <c r="F176" s="165">
        <f>IF($C176="","",SUMIFS(Transaksi!$F$16:$F$5015,Transaksi!$G$16:$G$5015,$A176,Transaksi!$H$16:$H$5015,$B176,Transaksi!$I$16:$I$5015,$C176,Transaksi!$B$16:$B$5015,"&gt;="&amp;DATE(Dashboard!$C$4,3,1),Transaksi!$B$16:$B$5015,"&lt;="&amp;EOMONTH(DATE(Dashboard!$C$4,3,1),0)))</f>
        <v/>
      </c>
      <c r="G176" s="165">
        <f>IF($C176="","",SUMIFS(Transaksi!$F$16:$F$5015,Transaksi!$G$16:$G$5015,$A176,Transaksi!$H$16:$H$5015,$B176,Transaksi!$I$16:$I$5015,$C176,Transaksi!$B$16:$B$5015,"&gt;="&amp;DATE(Dashboard!$C$4,4,1),Transaksi!$B$16:$B$5015,"&lt;="&amp;EOMONTH(DATE(Dashboard!$C$4,4,1),0)))</f>
        <v/>
      </c>
      <c r="H176" s="165">
        <f>IF($C176="","",SUMIFS(Transaksi!$F$16:$F$5015,Transaksi!$G$16:$G$5015,$A176,Transaksi!$H$16:$H$5015,$B176,Transaksi!$I$16:$I$5015,$C176,Transaksi!$B$16:$B$5015,"&gt;="&amp;DATE(Dashboard!$C$4,5,1),Transaksi!$B$16:$B$5015,"&lt;="&amp;EOMONTH(DATE(Dashboard!$C$4,5,1),0)))</f>
        <v/>
      </c>
      <c r="I176" s="165">
        <f>IF($C176="","",SUMIFS(Transaksi!$F$16:$F$5015,Transaksi!$G$16:$G$5015,$A176,Transaksi!$H$16:$H$5015,$B176,Transaksi!$I$16:$I$5015,$C176,Transaksi!$B$16:$B$5015,"&gt;="&amp;DATE(Dashboard!$C$4,6,1),Transaksi!$B$16:$B$5015,"&lt;="&amp;EOMONTH(DATE(Dashboard!$C$4,6,1),0)))</f>
        <v/>
      </c>
      <c r="J176" s="165">
        <f>IF($C176="","",SUMIFS(Transaksi!$F$16:$F$5015,Transaksi!$G$16:$G$5015,$A176,Transaksi!$H$16:$H$5015,$B176,Transaksi!$I$16:$I$5015,$C176,Transaksi!$B$16:$B$5015,"&gt;="&amp;DATE(Dashboard!$C$4,7,1),Transaksi!$B$16:$B$5015,"&lt;="&amp;EOMONTH(DATE(Dashboard!$C$4,7,1),0)))</f>
        <v/>
      </c>
      <c r="K176" s="165">
        <f>IF($C176="","",SUMIFS(Transaksi!$F$16:$F$5015,Transaksi!$G$16:$G$5015,$A176,Transaksi!$H$16:$H$5015,$B176,Transaksi!$I$16:$I$5015,$C176,Transaksi!$B$16:$B$5015,"&gt;="&amp;DATE(Dashboard!$C$4,8,1),Transaksi!$B$16:$B$5015,"&lt;="&amp;EOMONTH(DATE(Dashboard!$C$4,8,1),0)))</f>
        <v/>
      </c>
      <c r="L176" s="165">
        <f>IF($C176="","",SUMIFS(Transaksi!$F$16:$F$5015,Transaksi!$G$16:$G$5015,$A176,Transaksi!$H$16:$H$5015,$B176,Transaksi!$I$16:$I$5015,$C176,Transaksi!$B$16:$B$5015,"&gt;="&amp;DATE(Dashboard!$C$4,9,1),Transaksi!$B$16:$B$5015,"&lt;="&amp;EOMONTH(DATE(Dashboard!$C$4,9,1),0)))</f>
        <v/>
      </c>
      <c r="M176" s="165">
        <f>IF($C176="","",SUMIFS(Transaksi!$F$16:$F$5015,Transaksi!$G$16:$G$5015,$A176,Transaksi!$H$16:$H$5015,$B176,Transaksi!$I$16:$I$5015,$C176,Transaksi!$B$16:$B$5015,"&gt;="&amp;DATE(Dashboard!$C$4,10,1),Transaksi!$B$16:$B$5015,"&lt;="&amp;EOMONTH(DATE(Dashboard!$C$4,10,1),0)))</f>
        <v/>
      </c>
      <c r="N176" s="165">
        <f>IF($C176="","",SUMIFS(Transaksi!$F$16:$F$5015,Transaksi!$G$16:$G$5015,$A176,Transaksi!$H$16:$H$5015,$B176,Transaksi!$I$16:$I$5015,$C176,Transaksi!$B$16:$B$5015,"&gt;="&amp;DATE(Dashboard!$C$4,11,1),Transaksi!$B$16:$B$5015,"&lt;="&amp;EOMONTH(DATE(Dashboard!$C$4,11,1),0)))</f>
        <v/>
      </c>
      <c r="O176" s="165">
        <f>IF($C176="","",SUMIFS(Transaksi!$F$16:$F$5015,Transaksi!$G$16:$G$5015,$A176,Transaksi!$H$16:$H$5015,$B176,Transaksi!$I$16:$I$5015,$C176,Transaksi!$B$16:$B$5015,"&gt;="&amp;DATE(Dashboard!$C$4,12,1),Transaksi!$B$16:$B$5015,"&lt;="&amp;EOMONTH(DATE(Dashboard!$C$4,12,1),0)))</f>
        <v/>
      </c>
      <c r="P176" s="166">
        <f>IF($C176="","",SUM(D176:O176))</f>
        <v/>
      </c>
    </row>
    <row r="177" ht="15" customHeight="1" s="94">
      <c r="A177" s="164">
        <f>IF(Kategori!C177="","",Kategori!A177)</f>
        <v/>
      </c>
      <c r="B177" s="164">
        <f>IF(Kategori!C177="","",Kategori!B177)</f>
        <v/>
      </c>
      <c r="C177" s="108">
        <f>IF(Kategori!C177="","",Kategori!C177)</f>
        <v/>
      </c>
      <c r="D177" s="165">
        <f>IF($C177="","",SUMIFS(Transaksi!$F$16:$F$5015,Transaksi!$G$16:$G$5015,$A177,Transaksi!$H$16:$H$5015,$B177,Transaksi!$I$16:$I$5015,$C177,Transaksi!$B$16:$B$5015,"&gt;="&amp;DATE(Dashboard!$C$4,1,1),Transaksi!$B$16:$B$5015,"&lt;="&amp;EOMONTH(DATE(Dashboard!$C$4,1,1),0)))</f>
        <v/>
      </c>
      <c r="E177" s="165">
        <f>IF($C177="","",SUMIFS(Transaksi!$F$16:$F$5015,Transaksi!$G$16:$G$5015,$A177,Transaksi!$H$16:$H$5015,$B177,Transaksi!$I$16:$I$5015,$C177,Transaksi!$B$16:$B$5015,"&gt;="&amp;DATE(Dashboard!$C$4,2,1),Transaksi!$B$16:$B$5015,"&lt;="&amp;EOMONTH(DATE(Dashboard!$C$4,2,1),0)))</f>
        <v/>
      </c>
      <c r="F177" s="165">
        <f>IF($C177="","",SUMIFS(Transaksi!$F$16:$F$5015,Transaksi!$G$16:$G$5015,$A177,Transaksi!$H$16:$H$5015,$B177,Transaksi!$I$16:$I$5015,$C177,Transaksi!$B$16:$B$5015,"&gt;="&amp;DATE(Dashboard!$C$4,3,1),Transaksi!$B$16:$B$5015,"&lt;="&amp;EOMONTH(DATE(Dashboard!$C$4,3,1),0)))</f>
        <v/>
      </c>
      <c r="G177" s="165">
        <f>IF($C177="","",SUMIFS(Transaksi!$F$16:$F$5015,Transaksi!$G$16:$G$5015,$A177,Transaksi!$H$16:$H$5015,$B177,Transaksi!$I$16:$I$5015,$C177,Transaksi!$B$16:$B$5015,"&gt;="&amp;DATE(Dashboard!$C$4,4,1),Transaksi!$B$16:$B$5015,"&lt;="&amp;EOMONTH(DATE(Dashboard!$C$4,4,1),0)))</f>
        <v/>
      </c>
      <c r="H177" s="165">
        <f>IF($C177="","",SUMIFS(Transaksi!$F$16:$F$5015,Transaksi!$G$16:$G$5015,$A177,Transaksi!$H$16:$H$5015,$B177,Transaksi!$I$16:$I$5015,$C177,Transaksi!$B$16:$B$5015,"&gt;="&amp;DATE(Dashboard!$C$4,5,1),Transaksi!$B$16:$B$5015,"&lt;="&amp;EOMONTH(DATE(Dashboard!$C$4,5,1),0)))</f>
        <v/>
      </c>
      <c r="I177" s="165">
        <f>IF($C177="","",SUMIFS(Transaksi!$F$16:$F$5015,Transaksi!$G$16:$G$5015,$A177,Transaksi!$H$16:$H$5015,$B177,Transaksi!$I$16:$I$5015,$C177,Transaksi!$B$16:$B$5015,"&gt;="&amp;DATE(Dashboard!$C$4,6,1),Transaksi!$B$16:$B$5015,"&lt;="&amp;EOMONTH(DATE(Dashboard!$C$4,6,1),0)))</f>
        <v/>
      </c>
      <c r="J177" s="165">
        <f>IF($C177="","",SUMIFS(Transaksi!$F$16:$F$5015,Transaksi!$G$16:$G$5015,$A177,Transaksi!$H$16:$H$5015,$B177,Transaksi!$I$16:$I$5015,$C177,Transaksi!$B$16:$B$5015,"&gt;="&amp;DATE(Dashboard!$C$4,7,1),Transaksi!$B$16:$B$5015,"&lt;="&amp;EOMONTH(DATE(Dashboard!$C$4,7,1),0)))</f>
        <v/>
      </c>
      <c r="K177" s="165">
        <f>IF($C177="","",SUMIFS(Transaksi!$F$16:$F$5015,Transaksi!$G$16:$G$5015,$A177,Transaksi!$H$16:$H$5015,$B177,Transaksi!$I$16:$I$5015,$C177,Transaksi!$B$16:$B$5015,"&gt;="&amp;DATE(Dashboard!$C$4,8,1),Transaksi!$B$16:$B$5015,"&lt;="&amp;EOMONTH(DATE(Dashboard!$C$4,8,1),0)))</f>
        <v/>
      </c>
      <c r="L177" s="165">
        <f>IF($C177="","",SUMIFS(Transaksi!$F$16:$F$5015,Transaksi!$G$16:$G$5015,$A177,Transaksi!$H$16:$H$5015,$B177,Transaksi!$I$16:$I$5015,$C177,Transaksi!$B$16:$B$5015,"&gt;="&amp;DATE(Dashboard!$C$4,9,1),Transaksi!$B$16:$B$5015,"&lt;="&amp;EOMONTH(DATE(Dashboard!$C$4,9,1),0)))</f>
        <v/>
      </c>
      <c r="M177" s="165">
        <f>IF($C177="","",SUMIFS(Transaksi!$F$16:$F$5015,Transaksi!$G$16:$G$5015,$A177,Transaksi!$H$16:$H$5015,$B177,Transaksi!$I$16:$I$5015,$C177,Transaksi!$B$16:$B$5015,"&gt;="&amp;DATE(Dashboard!$C$4,10,1),Transaksi!$B$16:$B$5015,"&lt;="&amp;EOMONTH(DATE(Dashboard!$C$4,10,1),0)))</f>
        <v/>
      </c>
      <c r="N177" s="165">
        <f>IF($C177="","",SUMIFS(Transaksi!$F$16:$F$5015,Transaksi!$G$16:$G$5015,$A177,Transaksi!$H$16:$H$5015,$B177,Transaksi!$I$16:$I$5015,$C177,Transaksi!$B$16:$B$5015,"&gt;="&amp;DATE(Dashboard!$C$4,11,1),Transaksi!$B$16:$B$5015,"&lt;="&amp;EOMONTH(DATE(Dashboard!$C$4,11,1),0)))</f>
        <v/>
      </c>
      <c r="O177" s="165">
        <f>IF($C177="","",SUMIFS(Transaksi!$F$16:$F$5015,Transaksi!$G$16:$G$5015,$A177,Transaksi!$H$16:$H$5015,$B177,Transaksi!$I$16:$I$5015,$C177,Transaksi!$B$16:$B$5015,"&gt;="&amp;DATE(Dashboard!$C$4,12,1),Transaksi!$B$16:$B$5015,"&lt;="&amp;EOMONTH(DATE(Dashboard!$C$4,12,1),0)))</f>
        <v/>
      </c>
      <c r="P177" s="166">
        <f>IF($C177="","",SUM(D177:O177))</f>
        <v/>
      </c>
    </row>
    <row r="178" ht="15" customHeight="1" s="94">
      <c r="A178" s="164">
        <f>IF(Kategori!C178="","",Kategori!A178)</f>
        <v/>
      </c>
      <c r="B178" s="164">
        <f>IF(Kategori!C178="","",Kategori!B178)</f>
        <v/>
      </c>
      <c r="C178" s="108">
        <f>IF(Kategori!C178="","",Kategori!C178)</f>
        <v/>
      </c>
      <c r="D178" s="165">
        <f>IF($C178="","",SUMIFS(Transaksi!$F$16:$F$5015,Transaksi!$G$16:$G$5015,$A178,Transaksi!$H$16:$H$5015,$B178,Transaksi!$I$16:$I$5015,$C178,Transaksi!$B$16:$B$5015,"&gt;="&amp;DATE(Dashboard!$C$4,1,1),Transaksi!$B$16:$B$5015,"&lt;="&amp;EOMONTH(DATE(Dashboard!$C$4,1,1),0)))</f>
        <v/>
      </c>
      <c r="E178" s="165">
        <f>IF($C178="","",SUMIFS(Transaksi!$F$16:$F$5015,Transaksi!$G$16:$G$5015,$A178,Transaksi!$H$16:$H$5015,$B178,Transaksi!$I$16:$I$5015,$C178,Transaksi!$B$16:$B$5015,"&gt;="&amp;DATE(Dashboard!$C$4,2,1),Transaksi!$B$16:$B$5015,"&lt;="&amp;EOMONTH(DATE(Dashboard!$C$4,2,1),0)))</f>
        <v/>
      </c>
      <c r="F178" s="165">
        <f>IF($C178="","",SUMIFS(Transaksi!$F$16:$F$5015,Transaksi!$G$16:$G$5015,$A178,Transaksi!$H$16:$H$5015,$B178,Transaksi!$I$16:$I$5015,$C178,Transaksi!$B$16:$B$5015,"&gt;="&amp;DATE(Dashboard!$C$4,3,1),Transaksi!$B$16:$B$5015,"&lt;="&amp;EOMONTH(DATE(Dashboard!$C$4,3,1),0)))</f>
        <v/>
      </c>
      <c r="G178" s="165">
        <f>IF($C178="","",SUMIFS(Transaksi!$F$16:$F$5015,Transaksi!$G$16:$G$5015,$A178,Transaksi!$H$16:$H$5015,$B178,Transaksi!$I$16:$I$5015,$C178,Transaksi!$B$16:$B$5015,"&gt;="&amp;DATE(Dashboard!$C$4,4,1),Transaksi!$B$16:$B$5015,"&lt;="&amp;EOMONTH(DATE(Dashboard!$C$4,4,1),0)))</f>
        <v/>
      </c>
      <c r="H178" s="165">
        <f>IF($C178="","",SUMIFS(Transaksi!$F$16:$F$5015,Transaksi!$G$16:$G$5015,$A178,Transaksi!$H$16:$H$5015,$B178,Transaksi!$I$16:$I$5015,$C178,Transaksi!$B$16:$B$5015,"&gt;="&amp;DATE(Dashboard!$C$4,5,1),Transaksi!$B$16:$B$5015,"&lt;="&amp;EOMONTH(DATE(Dashboard!$C$4,5,1),0)))</f>
        <v/>
      </c>
      <c r="I178" s="165">
        <f>IF($C178="","",SUMIFS(Transaksi!$F$16:$F$5015,Transaksi!$G$16:$G$5015,$A178,Transaksi!$H$16:$H$5015,$B178,Transaksi!$I$16:$I$5015,$C178,Transaksi!$B$16:$B$5015,"&gt;="&amp;DATE(Dashboard!$C$4,6,1),Transaksi!$B$16:$B$5015,"&lt;="&amp;EOMONTH(DATE(Dashboard!$C$4,6,1),0)))</f>
        <v/>
      </c>
      <c r="J178" s="165">
        <f>IF($C178="","",SUMIFS(Transaksi!$F$16:$F$5015,Transaksi!$G$16:$G$5015,$A178,Transaksi!$H$16:$H$5015,$B178,Transaksi!$I$16:$I$5015,$C178,Transaksi!$B$16:$B$5015,"&gt;="&amp;DATE(Dashboard!$C$4,7,1),Transaksi!$B$16:$B$5015,"&lt;="&amp;EOMONTH(DATE(Dashboard!$C$4,7,1),0)))</f>
        <v/>
      </c>
      <c r="K178" s="165">
        <f>IF($C178="","",SUMIFS(Transaksi!$F$16:$F$5015,Transaksi!$G$16:$G$5015,$A178,Transaksi!$H$16:$H$5015,$B178,Transaksi!$I$16:$I$5015,$C178,Transaksi!$B$16:$B$5015,"&gt;="&amp;DATE(Dashboard!$C$4,8,1),Transaksi!$B$16:$B$5015,"&lt;="&amp;EOMONTH(DATE(Dashboard!$C$4,8,1),0)))</f>
        <v/>
      </c>
      <c r="L178" s="165">
        <f>IF($C178="","",SUMIFS(Transaksi!$F$16:$F$5015,Transaksi!$G$16:$G$5015,$A178,Transaksi!$H$16:$H$5015,$B178,Transaksi!$I$16:$I$5015,$C178,Transaksi!$B$16:$B$5015,"&gt;="&amp;DATE(Dashboard!$C$4,9,1),Transaksi!$B$16:$B$5015,"&lt;="&amp;EOMONTH(DATE(Dashboard!$C$4,9,1),0)))</f>
        <v/>
      </c>
      <c r="M178" s="165">
        <f>IF($C178="","",SUMIFS(Transaksi!$F$16:$F$5015,Transaksi!$G$16:$G$5015,$A178,Transaksi!$H$16:$H$5015,$B178,Transaksi!$I$16:$I$5015,$C178,Transaksi!$B$16:$B$5015,"&gt;="&amp;DATE(Dashboard!$C$4,10,1),Transaksi!$B$16:$B$5015,"&lt;="&amp;EOMONTH(DATE(Dashboard!$C$4,10,1),0)))</f>
        <v/>
      </c>
      <c r="N178" s="165">
        <f>IF($C178="","",SUMIFS(Transaksi!$F$16:$F$5015,Transaksi!$G$16:$G$5015,$A178,Transaksi!$H$16:$H$5015,$B178,Transaksi!$I$16:$I$5015,$C178,Transaksi!$B$16:$B$5015,"&gt;="&amp;DATE(Dashboard!$C$4,11,1),Transaksi!$B$16:$B$5015,"&lt;="&amp;EOMONTH(DATE(Dashboard!$C$4,11,1),0)))</f>
        <v/>
      </c>
      <c r="O178" s="165">
        <f>IF($C178="","",SUMIFS(Transaksi!$F$16:$F$5015,Transaksi!$G$16:$G$5015,$A178,Transaksi!$H$16:$H$5015,$B178,Transaksi!$I$16:$I$5015,$C178,Transaksi!$B$16:$B$5015,"&gt;="&amp;DATE(Dashboard!$C$4,12,1),Transaksi!$B$16:$B$5015,"&lt;="&amp;EOMONTH(DATE(Dashboard!$C$4,12,1),0)))</f>
        <v/>
      </c>
      <c r="P178" s="166">
        <f>IF($C178="","",SUM(D178:O178))</f>
        <v/>
      </c>
    </row>
    <row r="179" ht="15" customHeight="1" s="94">
      <c r="A179" s="164">
        <f>IF(Kategori!C179="","",Kategori!A179)</f>
        <v/>
      </c>
      <c r="B179" s="164">
        <f>IF(Kategori!C179="","",Kategori!B179)</f>
        <v/>
      </c>
      <c r="C179" s="108">
        <f>IF(Kategori!C179="","",Kategori!C179)</f>
        <v/>
      </c>
      <c r="D179" s="165">
        <f>IF($C179="","",SUMIFS(Transaksi!$F$16:$F$5015,Transaksi!$G$16:$G$5015,$A179,Transaksi!$H$16:$H$5015,$B179,Transaksi!$I$16:$I$5015,$C179,Transaksi!$B$16:$B$5015,"&gt;="&amp;DATE(Dashboard!$C$4,1,1),Transaksi!$B$16:$B$5015,"&lt;="&amp;EOMONTH(DATE(Dashboard!$C$4,1,1),0)))</f>
        <v/>
      </c>
      <c r="E179" s="165">
        <f>IF($C179="","",SUMIFS(Transaksi!$F$16:$F$5015,Transaksi!$G$16:$G$5015,$A179,Transaksi!$H$16:$H$5015,$B179,Transaksi!$I$16:$I$5015,$C179,Transaksi!$B$16:$B$5015,"&gt;="&amp;DATE(Dashboard!$C$4,2,1),Transaksi!$B$16:$B$5015,"&lt;="&amp;EOMONTH(DATE(Dashboard!$C$4,2,1),0)))</f>
        <v/>
      </c>
      <c r="F179" s="165">
        <f>IF($C179="","",SUMIFS(Transaksi!$F$16:$F$5015,Transaksi!$G$16:$G$5015,$A179,Transaksi!$H$16:$H$5015,$B179,Transaksi!$I$16:$I$5015,$C179,Transaksi!$B$16:$B$5015,"&gt;="&amp;DATE(Dashboard!$C$4,3,1),Transaksi!$B$16:$B$5015,"&lt;="&amp;EOMONTH(DATE(Dashboard!$C$4,3,1),0)))</f>
        <v/>
      </c>
      <c r="G179" s="165">
        <f>IF($C179="","",SUMIFS(Transaksi!$F$16:$F$5015,Transaksi!$G$16:$G$5015,$A179,Transaksi!$H$16:$H$5015,$B179,Transaksi!$I$16:$I$5015,$C179,Transaksi!$B$16:$B$5015,"&gt;="&amp;DATE(Dashboard!$C$4,4,1),Transaksi!$B$16:$B$5015,"&lt;="&amp;EOMONTH(DATE(Dashboard!$C$4,4,1),0)))</f>
        <v/>
      </c>
      <c r="H179" s="165">
        <f>IF($C179="","",SUMIFS(Transaksi!$F$16:$F$5015,Transaksi!$G$16:$G$5015,$A179,Transaksi!$H$16:$H$5015,$B179,Transaksi!$I$16:$I$5015,$C179,Transaksi!$B$16:$B$5015,"&gt;="&amp;DATE(Dashboard!$C$4,5,1),Transaksi!$B$16:$B$5015,"&lt;="&amp;EOMONTH(DATE(Dashboard!$C$4,5,1),0)))</f>
        <v/>
      </c>
      <c r="I179" s="165">
        <f>IF($C179="","",SUMIFS(Transaksi!$F$16:$F$5015,Transaksi!$G$16:$G$5015,$A179,Transaksi!$H$16:$H$5015,$B179,Transaksi!$I$16:$I$5015,$C179,Transaksi!$B$16:$B$5015,"&gt;="&amp;DATE(Dashboard!$C$4,6,1),Transaksi!$B$16:$B$5015,"&lt;="&amp;EOMONTH(DATE(Dashboard!$C$4,6,1),0)))</f>
        <v/>
      </c>
      <c r="J179" s="165">
        <f>IF($C179="","",SUMIFS(Transaksi!$F$16:$F$5015,Transaksi!$G$16:$G$5015,$A179,Transaksi!$H$16:$H$5015,$B179,Transaksi!$I$16:$I$5015,$C179,Transaksi!$B$16:$B$5015,"&gt;="&amp;DATE(Dashboard!$C$4,7,1),Transaksi!$B$16:$B$5015,"&lt;="&amp;EOMONTH(DATE(Dashboard!$C$4,7,1),0)))</f>
        <v/>
      </c>
      <c r="K179" s="165">
        <f>IF($C179="","",SUMIFS(Transaksi!$F$16:$F$5015,Transaksi!$G$16:$G$5015,$A179,Transaksi!$H$16:$H$5015,$B179,Transaksi!$I$16:$I$5015,$C179,Transaksi!$B$16:$B$5015,"&gt;="&amp;DATE(Dashboard!$C$4,8,1),Transaksi!$B$16:$B$5015,"&lt;="&amp;EOMONTH(DATE(Dashboard!$C$4,8,1),0)))</f>
        <v/>
      </c>
      <c r="L179" s="165">
        <f>IF($C179="","",SUMIFS(Transaksi!$F$16:$F$5015,Transaksi!$G$16:$G$5015,$A179,Transaksi!$H$16:$H$5015,$B179,Transaksi!$I$16:$I$5015,$C179,Transaksi!$B$16:$B$5015,"&gt;="&amp;DATE(Dashboard!$C$4,9,1),Transaksi!$B$16:$B$5015,"&lt;="&amp;EOMONTH(DATE(Dashboard!$C$4,9,1),0)))</f>
        <v/>
      </c>
      <c r="M179" s="165">
        <f>IF($C179="","",SUMIFS(Transaksi!$F$16:$F$5015,Transaksi!$G$16:$G$5015,$A179,Transaksi!$H$16:$H$5015,$B179,Transaksi!$I$16:$I$5015,$C179,Transaksi!$B$16:$B$5015,"&gt;="&amp;DATE(Dashboard!$C$4,10,1),Transaksi!$B$16:$B$5015,"&lt;="&amp;EOMONTH(DATE(Dashboard!$C$4,10,1),0)))</f>
        <v/>
      </c>
      <c r="N179" s="165">
        <f>IF($C179="","",SUMIFS(Transaksi!$F$16:$F$5015,Transaksi!$G$16:$G$5015,$A179,Transaksi!$H$16:$H$5015,$B179,Transaksi!$I$16:$I$5015,$C179,Transaksi!$B$16:$B$5015,"&gt;="&amp;DATE(Dashboard!$C$4,11,1),Transaksi!$B$16:$B$5015,"&lt;="&amp;EOMONTH(DATE(Dashboard!$C$4,11,1),0)))</f>
        <v/>
      </c>
      <c r="O179" s="165">
        <f>IF($C179="","",SUMIFS(Transaksi!$F$16:$F$5015,Transaksi!$G$16:$G$5015,$A179,Transaksi!$H$16:$H$5015,$B179,Transaksi!$I$16:$I$5015,$C179,Transaksi!$B$16:$B$5015,"&gt;="&amp;DATE(Dashboard!$C$4,12,1),Transaksi!$B$16:$B$5015,"&lt;="&amp;EOMONTH(DATE(Dashboard!$C$4,12,1),0)))</f>
        <v/>
      </c>
      <c r="P179" s="166">
        <f>IF($C179="","",SUM(D179:O179))</f>
        <v/>
      </c>
    </row>
    <row r="180" ht="15" customHeight="1" s="94">
      <c r="A180" s="164">
        <f>IF(Kategori!C180="","",Kategori!A180)</f>
        <v/>
      </c>
      <c r="B180" s="164">
        <f>IF(Kategori!C180="","",Kategori!B180)</f>
        <v/>
      </c>
      <c r="C180" s="108">
        <f>IF(Kategori!C180="","",Kategori!C180)</f>
        <v/>
      </c>
      <c r="D180" s="165">
        <f>IF($C180="","",SUMIFS(Transaksi!$F$16:$F$5015,Transaksi!$G$16:$G$5015,$A180,Transaksi!$H$16:$H$5015,$B180,Transaksi!$I$16:$I$5015,$C180,Transaksi!$B$16:$B$5015,"&gt;="&amp;DATE(Dashboard!$C$4,1,1),Transaksi!$B$16:$B$5015,"&lt;="&amp;EOMONTH(DATE(Dashboard!$C$4,1,1),0)))</f>
        <v/>
      </c>
      <c r="E180" s="165">
        <f>IF($C180="","",SUMIFS(Transaksi!$F$16:$F$5015,Transaksi!$G$16:$G$5015,$A180,Transaksi!$H$16:$H$5015,$B180,Transaksi!$I$16:$I$5015,$C180,Transaksi!$B$16:$B$5015,"&gt;="&amp;DATE(Dashboard!$C$4,2,1),Transaksi!$B$16:$B$5015,"&lt;="&amp;EOMONTH(DATE(Dashboard!$C$4,2,1),0)))</f>
        <v/>
      </c>
      <c r="F180" s="165">
        <f>IF($C180="","",SUMIFS(Transaksi!$F$16:$F$5015,Transaksi!$G$16:$G$5015,$A180,Transaksi!$H$16:$H$5015,$B180,Transaksi!$I$16:$I$5015,$C180,Transaksi!$B$16:$B$5015,"&gt;="&amp;DATE(Dashboard!$C$4,3,1),Transaksi!$B$16:$B$5015,"&lt;="&amp;EOMONTH(DATE(Dashboard!$C$4,3,1),0)))</f>
        <v/>
      </c>
      <c r="G180" s="165">
        <f>IF($C180="","",SUMIFS(Transaksi!$F$16:$F$5015,Transaksi!$G$16:$G$5015,$A180,Transaksi!$H$16:$H$5015,$B180,Transaksi!$I$16:$I$5015,$C180,Transaksi!$B$16:$B$5015,"&gt;="&amp;DATE(Dashboard!$C$4,4,1),Transaksi!$B$16:$B$5015,"&lt;="&amp;EOMONTH(DATE(Dashboard!$C$4,4,1),0)))</f>
        <v/>
      </c>
      <c r="H180" s="165">
        <f>IF($C180="","",SUMIFS(Transaksi!$F$16:$F$5015,Transaksi!$G$16:$G$5015,$A180,Transaksi!$H$16:$H$5015,$B180,Transaksi!$I$16:$I$5015,$C180,Transaksi!$B$16:$B$5015,"&gt;="&amp;DATE(Dashboard!$C$4,5,1),Transaksi!$B$16:$B$5015,"&lt;="&amp;EOMONTH(DATE(Dashboard!$C$4,5,1),0)))</f>
        <v/>
      </c>
      <c r="I180" s="165">
        <f>IF($C180="","",SUMIFS(Transaksi!$F$16:$F$5015,Transaksi!$G$16:$G$5015,$A180,Transaksi!$H$16:$H$5015,$B180,Transaksi!$I$16:$I$5015,$C180,Transaksi!$B$16:$B$5015,"&gt;="&amp;DATE(Dashboard!$C$4,6,1),Transaksi!$B$16:$B$5015,"&lt;="&amp;EOMONTH(DATE(Dashboard!$C$4,6,1),0)))</f>
        <v/>
      </c>
      <c r="J180" s="165">
        <f>IF($C180="","",SUMIFS(Transaksi!$F$16:$F$5015,Transaksi!$G$16:$G$5015,$A180,Transaksi!$H$16:$H$5015,$B180,Transaksi!$I$16:$I$5015,$C180,Transaksi!$B$16:$B$5015,"&gt;="&amp;DATE(Dashboard!$C$4,7,1),Transaksi!$B$16:$B$5015,"&lt;="&amp;EOMONTH(DATE(Dashboard!$C$4,7,1),0)))</f>
        <v/>
      </c>
      <c r="K180" s="165">
        <f>IF($C180="","",SUMIFS(Transaksi!$F$16:$F$5015,Transaksi!$G$16:$G$5015,$A180,Transaksi!$H$16:$H$5015,$B180,Transaksi!$I$16:$I$5015,$C180,Transaksi!$B$16:$B$5015,"&gt;="&amp;DATE(Dashboard!$C$4,8,1),Transaksi!$B$16:$B$5015,"&lt;="&amp;EOMONTH(DATE(Dashboard!$C$4,8,1),0)))</f>
        <v/>
      </c>
      <c r="L180" s="165">
        <f>IF($C180="","",SUMIFS(Transaksi!$F$16:$F$5015,Transaksi!$G$16:$G$5015,$A180,Transaksi!$H$16:$H$5015,$B180,Transaksi!$I$16:$I$5015,$C180,Transaksi!$B$16:$B$5015,"&gt;="&amp;DATE(Dashboard!$C$4,9,1),Transaksi!$B$16:$B$5015,"&lt;="&amp;EOMONTH(DATE(Dashboard!$C$4,9,1),0)))</f>
        <v/>
      </c>
      <c r="M180" s="165">
        <f>IF($C180="","",SUMIFS(Transaksi!$F$16:$F$5015,Transaksi!$G$16:$G$5015,$A180,Transaksi!$H$16:$H$5015,$B180,Transaksi!$I$16:$I$5015,$C180,Transaksi!$B$16:$B$5015,"&gt;="&amp;DATE(Dashboard!$C$4,10,1),Transaksi!$B$16:$B$5015,"&lt;="&amp;EOMONTH(DATE(Dashboard!$C$4,10,1),0)))</f>
        <v/>
      </c>
      <c r="N180" s="165">
        <f>IF($C180="","",SUMIFS(Transaksi!$F$16:$F$5015,Transaksi!$G$16:$G$5015,$A180,Transaksi!$H$16:$H$5015,$B180,Transaksi!$I$16:$I$5015,$C180,Transaksi!$B$16:$B$5015,"&gt;="&amp;DATE(Dashboard!$C$4,11,1),Transaksi!$B$16:$B$5015,"&lt;="&amp;EOMONTH(DATE(Dashboard!$C$4,11,1),0)))</f>
        <v/>
      </c>
      <c r="O180" s="165">
        <f>IF($C180="","",SUMIFS(Transaksi!$F$16:$F$5015,Transaksi!$G$16:$G$5015,$A180,Transaksi!$H$16:$H$5015,$B180,Transaksi!$I$16:$I$5015,$C180,Transaksi!$B$16:$B$5015,"&gt;="&amp;DATE(Dashboard!$C$4,12,1),Transaksi!$B$16:$B$5015,"&lt;="&amp;EOMONTH(DATE(Dashboard!$C$4,12,1),0)))</f>
        <v/>
      </c>
      <c r="P180" s="166">
        <f>IF($C180="","",SUM(D180:O180))</f>
        <v/>
      </c>
    </row>
    <row r="181" ht="15" customHeight="1" s="94">
      <c r="A181" s="164">
        <f>IF(Kategori!C181="","",Kategori!A181)</f>
        <v/>
      </c>
      <c r="B181" s="164">
        <f>IF(Kategori!C181="","",Kategori!B181)</f>
        <v/>
      </c>
      <c r="C181" s="108">
        <f>IF(Kategori!C181="","",Kategori!C181)</f>
        <v/>
      </c>
      <c r="D181" s="165">
        <f>IF($C181="","",SUMIFS(Transaksi!$F$16:$F$5015,Transaksi!$G$16:$G$5015,$A181,Transaksi!$H$16:$H$5015,$B181,Transaksi!$I$16:$I$5015,$C181,Transaksi!$B$16:$B$5015,"&gt;="&amp;DATE(Dashboard!$C$4,1,1),Transaksi!$B$16:$B$5015,"&lt;="&amp;EOMONTH(DATE(Dashboard!$C$4,1,1),0)))</f>
        <v/>
      </c>
      <c r="E181" s="165">
        <f>IF($C181="","",SUMIFS(Transaksi!$F$16:$F$5015,Transaksi!$G$16:$G$5015,$A181,Transaksi!$H$16:$H$5015,$B181,Transaksi!$I$16:$I$5015,$C181,Transaksi!$B$16:$B$5015,"&gt;="&amp;DATE(Dashboard!$C$4,2,1),Transaksi!$B$16:$B$5015,"&lt;="&amp;EOMONTH(DATE(Dashboard!$C$4,2,1),0)))</f>
        <v/>
      </c>
      <c r="F181" s="165">
        <f>IF($C181="","",SUMIFS(Transaksi!$F$16:$F$5015,Transaksi!$G$16:$G$5015,$A181,Transaksi!$H$16:$H$5015,$B181,Transaksi!$I$16:$I$5015,$C181,Transaksi!$B$16:$B$5015,"&gt;="&amp;DATE(Dashboard!$C$4,3,1),Transaksi!$B$16:$B$5015,"&lt;="&amp;EOMONTH(DATE(Dashboard!$C$4,3,1),0)))</f>
        <v/>
      </c>
      <c r="G181" s="165">
        <f>IF($C181="","",SUMIFS(Transaksi!$F$16:$F$5015,Transaksi!$G$16:$G$5015,$A181,Transaksi!$H$16:$H$5015,$B181,Transaksi!$I$16:$I$5015,$C181,Transaksi!$B$16:$B$5015,"&gt;="&amp;DATE(Dashboard!$C$4,4,1),Transaksi!$B$16:$B$5015,"&lt;="&amp;EOMONTH(DATE(Dashboard!$C$4,4,1),0)))</f>
        <v/>
      </c>
      <c r="H181" s="165">
        <f>IF($C181="","",SUMIFS(Transaksi!$F$16:$F$5015,Transaksi!$G$16:$G$5015,$A181,Transaksi!$H$16:$H$5015,$B181,Transaksi!$I$16:$I$5015,$C181,Transaksi!$B$16:$B$5015,"&gt;="&amp;DATE(Dashboard!$C$4,5,1),Transaksi!$B$16:$B$5015,"&lt;="&amp;EOMONTH(DATE(Dashboard!$C$4,5,1),0)))</f>
        <v/>
      </c>
      <c r="I181" s="165">
        <f>IF($C181="","",SUMIFS(Transaksi!$F$16:$F$5015,Transaksi!$G$16:$G$5015,$A181,Transaksi!$H$16:$H$5015,$B181,Transaksi!$I$16:$I$5015,$C181,Transaksi!$B$16:$B$5015,"&gt;="&amp;DATE(Dashboard!$C$4,6,1),Transaksi!$B$16:$B$5015,"&lt;="&amp;EOMONTH(DATE(Dashboard!$C$4,6,1),0)))</f>
        <v/>
      </c>
      <c r="J181" s="165">
        <f>IF($C181="","",SUMIFS(Transaksi!$F$16:$F$5015,Transaksi!$G$16:$G$5015,$A181,Transaksi!$H$16:$H$5015,$B181,Transaksi!$I$16:$I$5015,$C181,Transaksi!$B$16:$B$5015,"&gt;="&amp;DATE(Dashboard!$C$4,7,1),Transaksi!$B$16:$B$5015,"&lt;="&amp;EOMONTH(DATE(Dashboard!$C$4,7,1),0)))</f>
        <v/>
      </c>
      <c r="K181" s="165">
        <f>IF($C181="","",SUMIFS(Transaksi!$F$16:$F$5015,Transaksi!$G$16:$G$5015,$A181,Transaksi!$H$16:$H$5015,$B181,Transaksi!$I$16:$I$5015,$C181,Transaksi!$B$16:$B$5015,"&gt;="&amp;DATE(Dashboard!$C$4,8,1),Transaksi!$B$16:$B$5015,"&lt;="&amp;EOMONTH(DATE(Dashboard!$C$4,8,1),0)))</f>
        <v/>
      </c>
      <c r="L181" s="165">
        <f>IF($C181="","",SUMIFS(Transaksi!$F$16:$F$5015,Transaksi!$G$16:$G$5015,$A181,Transaksi!$H$16:$H$5015,$B181,Transaksi!$I$16:$I$5015,$C181,Transaksi!$B$16:$B$5015,"&gt;="&amp;DATE(Dashboard!$C$4,9,1),Transaksi!$B$16:$B$5015,"&lt;="&amp;EOMONTH(DATE(Dashboard!$C$4,9,1),0)))</f>
        <v/>
      </c>
      <c r="M181" s="165">
        <f>IF($C181="","",SUMIFS(Transaksi!$F$16:$F$5015,Transaksi!$G$16:$G$5015,$A181,Transaksi!$H$16:$H$5015,$B181,Transaksi!$I$16:$I$5015,$C181,Transaksi!$B$16:$B$5015,"&gt;="&amp;DATE(Dashboard!$C$4,10,1),Transaksi!$B$16:$B$5015,"&lt;="&amp;EOMONTH(DATE(Dashboard!$C$4,10,1),0)))</f>
        <v/>
      </c>
      <c r="N181" s="165">
        <f>IF($C181="","",SUMIFS(Transaksi!$F$16:$F$5015,Transaksi!$G$16:$G$5015,$A181,Transaksi!$H$16:$H$5015,$B181,Transaksi!$I$16:$I$5015,$C181,Transaksi!$B$16:$B$5015,"&gt;="&amp;DATE(Dashboard!$C$4,11,1),Transaksi!$B$16:$B$5015,"&lt;="&amp;EOMONTH(DATE(Dashboard!$C$4,11,1),0)))</f>
        <v/>
      </c>
      <c r="O181" s="165">
        <f>IF($C181="","",SUMIFS(Transaksi!$F$16:$F$5015,Transaksi!$G$16:$G$5015,$A181,Transaksi!$H$16:$H$5015,$B181,Transaksi!$I$16:$I$5015,$C181,Transaksi!$B$16:$B$5015,"&gt;="&amp;DATE(Dashboard!$C$4,12,1),Transaksi!$B$16:$B$5015,"&lt;="&amp;EOMONTH(DATE(Dashboard!$C$4,12,1),0)))</f>
        <v/>
      </c>
      <c r="P181" s="166">
        <f>IF($C181="","",SUM(D181:O181))</f>
        <v/>
      </c>
    </row>
    <row r="182" ht="15" customHeight="1" s="94">
      <c r="A182" s="164">
        <f>IF(Kategori!C182="","",Kategori!A182)</f>
        <v/>
      </c>
      <c r="B182" s="164">
        <f>IF(Kategori!C182="","",Kategori!B182)</f>
        <v/>
      </c>
      <c r="C182" s="108">
        <f>IF(Kategori!C182="","",Kategori!C182)</f>
        <v/>
      </c>
      <c r="D182" s="165">
        <f>IF($C182="","",SUMIFS(Transaksi!$F$16:$F$5015,Transaksi!$G$16:$G$5015,$A182,Transaksi!$H$16:$H$5015,$B182,Transaksi!$I$16:$I$5015,$C182,Transaksi!$B$16:$B$5015,"&gt;="&amp;DATE(Dashboard!$C$4,1,1),Transaksi!$B$16:$B$5015,"&lt;="&amp;EOMONTH(DATE(Dashboard!$C$4,1,1),0)))</f>
        <v/>
      </c>
      <c r="E182" s="165">
        <f>IF($C182="","",SUMIFS(Transaksi!$F$16:$F$5015,Transaksi!$G$16:$G$5015,$A182,Transaksi!$H$16:$H$5015,$B182,Transaksi!$I$16:$I$5015,$C182,Transaksi!$B$16:$B$5015,"&gt;="&amp;DATE(Dashboard!$C$4,2,1),Transaksi!$B$16:$B$5015,"&lt;="&amp;EOMONTH(DATE(Dashboard!$C$4,2,1),0)))</f>
        <v/>
      </c>
      <c r="F182" s="165">
        <f>IF($C182="","",SUMIFS(Transaksi!$F$16:$F$5015,Transaksi!$G$16:$G$5015,$A182,Transaksi!$H$16:$H$5015,$B182,Transaksi!$I$16:$I$5015,$C182,Transaksi!$B$16:$B$5015,"&gt;="&amp;DATE(Dashboard!$C$4,3,1),Transaksi!$B$16:$B$5015,"&lt;="&amp;EOMONTH(DATE(Dashboard!$C$4,3,1),0)))</f>
        <v/>
      </c>
      <c r="G182" s="165">
        <f>IF($C182="","",SUMIFS(Transaksi!$F$16:$F$5015,Transaksi!$G$16:$G$5015,$A182,Transaksi!$H$16:$H$5015,$B182,Transaksi!$I$16:$I$5015,$C182,Transaksi!$B$16:$B$5015,"&gt;="&amp;DATE(Dashboard!$C$4,4,1),Transaksi!$B$16:$B$5015,"&lt;="&amp;EOMONTH(DATE(Dashboard!$C$4,4,1),0)))</f>
        <v/>
      </c>
      <c r="H182" s="165">
        <f>IF($C182="","",SUMIFS(Transaksi!$F$16:$F$5015,Transaksi!$G$16:$G$5015,$A182,Transaksi!$H$16:$H$5015,$B182,Transaksi!$I$16:$I$5015,$C182,Transaksi!$B$16:$B$5015,"&gt;="&amp;DATE(Dashboard!$C$4,5,1),Transaksi!$B$16:$B$5015,"&lt;="&amp;EOMONTH(DATE(Dashboard!$C$4,5,1),0)))</f>
        <v/>
      </c>
      <c r="I182" s="165">
        <f>IF($C182="","",SUMIFS(Transaksi!$F$16:$F$5015,Transaksi!$G$16:$G$5015,$A182,Transaksi!$H$16:$H$5015,$B182,Transaksi!$I$16:$I$5015,$C182,Transaksi!$B$16:$B$5015,"&gt;="&amp;DATE(Dashboard!$C$4,6,1),Transaksi!$B$16:$B$5015,"&lt;="&amp;EOMONTH(DATE(Dashboard!$C$4,6,1),0)))</f>
        <v/>
      </c>
      <c r="J182" s="165">
        <f>IF($C182="","",SUMIFS(Transaksi!$F$16:$F$5015,Transaksi!$G$16:$G$5015,$A182,Transaksi!$H$16:$H$5015,$B182,Transaksi!$I$16:$I$5015,$C182,Transaksi!$B$16:$B$5015,"&gt;="&amp;DATE(Dashboard!$C$4,7,1),Transaksi!$B$16:$B$5015,"&lt;="&amp;EOMONTH(DATE(Dashboard!$C$4,7,1),0)))</f>
        <v/>
      </c>
      <c r="K182" s="165">
        <f>IF($C182="","",SUMIFS(Transaksi!$F$16:$F$5015,Transaksi!$G$16:$G$5015,$A182,Transaksi!$H$16:$H$5015,$B182,Transaksi!$I$16:$I$5015,$C182,Transaksi!$B$16:$B$5015,"&gt;="&amp;DATE(Dashboard!$C$4,8,1),Transaksi!$B$16:$B$5015,"&lt;="&amp;EOMONTH(DATE(Dashboard!$C$4,8,1),0)))</f>
        <v/>
      </c>
      <c r="L182" s="165">
        <f>IF($C182="","",SUMIFS(Transaksi!$F$16:$F$5015,Transaksi!$G$16:$G$5015,$A182,Transaksi!$H$16:$H$5015,$B182,Transaksi!$I$16:$I$5015,$C182,Transaksi!$B$16:$B$5015,"&gt;="&amp;DATE(Dashboard!$C$4,9,1),Transaksi!$B$16:$B$5015,"&lt;="&amp;EOMONTH(DATE(Dashboard!$C$4,9,1),0)))</f>
        <v/>
      </c>
      <c r="M182" s="165">
        <f>IF($C182="","",SUMIFS(Transaksi!$F$16:$F$5015,Transaksi!$G$16:$G$5015,$A182,Transaksi!$H$16:$H$5015,$B182,Transaksi!$I$16:$I$5015,$C182,Transaksi!$B$16:$B$5015,"&gt;="&amp;DATE(Dashboard!$C$4,10,1),Transaksi!$B$16:$B$5015,"&lt;="&amp;EOMONTH(DATE(Dashboard!$C$4,10,1),0)))</f>
        <v/>
      </c>
      <c r="N182" s="165">
        <f>IF($C182="","",SUMIFS(Transaksi!$F$16:$F$5015,Transaksi!$G$16:$G$5015,$A182,Transaksi!$H$16:$H$5015,$B182,Transaksi!$I$16:$I$5015,$C182,Transaksi!$B$16:$B$5015,"&gt;="&amp;DATE(Dashboard!$C$4,11,1),Transaksi!$B$16:$B$5015,"&lt;="&amp;EOMONTH(DATE(Dashboard!$C$4,11,1),0)))</f>
        <v/>
      </c>
      <c r="O182" s="165">
        <f>IF($C182="","",SUMIFS(Transaksi!$F$16:$F$5015,Transaksi!$G$16:$G$5015,$A182,Transaksi!$H$16:$H$5015,$B182,Transaksi!$I$16:$I$5015,$C182,Transaksi!$B$16:$B$5015,"&gt;="&amp;DATE(Dashboard!$C$4,12,1),Transaksi!$B$16:$B$5015,"&lt;="&amp;EOMONTH(DATE(Dashboard!$C$4,12,1),0)))</f>
        <v/>
      </c>
      <c r="P182" s="166">
        <f>IF($C182="","",SUM(D182:O182))</f>
        <v/>
      </c>
    </row>
    <row r="183" ht="15" customHeight="1" s="94">
      <c r="A183" s="164">
        <f>IF(Kategori!C183="","",Kategori!A183)</f>
        <v/>
      </c>
      <c r="B183" s="164">
        <f>IF(Kategori!C183="","",Kategori!B183)</f>
        <v/>
      </c>
      <c r="C183" s="108">
        <f>IF(Kategori!C183="","",Kategori!C183)</f>
        <v/>
      </c>
      <c r="D183" s="165">
        <f>IF($C183="","",SUMIFS(Transaksi!$F$16:$F$5015,Transaksi!$G$16:$G$5015,$A183,Transaksi!$H$16:$H$5015,$B183,Transaksi!$I$16:$I$5015,$C183,Transaksi!$B$16:$B$5015,"&gt;="&amp;DATE(Dashboard!$C$4,1,1),Transaksi!$B$16:$B$5015,"&lt;="&amp;EOMONTH(DATE(Dashboard!$C$4,1,1),0)))</f>
        <v/>
      </c>
      <c r="E183" s="165">
        <f>IF($C183="","",SUMIFS(Transaksi!$F$16:$F$5015,Transaksi!$G$16:$G$5015,$A183,Transaksi!$H$16:$H$5015,$B183,Transaksi!$I$16:$I$5015,$C183,Transaksi!$B$16:$B$5015,"&gt;="&amp;DATE(Dashboard!$C$4,2,1),Transaksi!$B$16:$B$5015,"&lt;="&amp;EOMONTH(DATE(Dashboard!$C$4,2,1),0)))</f>
        <v/>
      </c>
      <c r="F183" s="165">
        <f>IF($C183="","",SUMIFS(Transaksi!$F$16:$F$5015,Transaksi!$G$16:$G$5015,$A183,Transaksi!$H$16:$H$5015,$B183,Transaksi!$I$16:$I$5015,$C183,Transaksi!$B$16:$B$5015,"&gt;="&amp;DATE(Dashboard!$C$4,3,1),Transaksi!$B$16:$B$5015,"&lt;="&amp;EOMONTH(DATE(Dashboard!$C$4,3,1),0)))</f>
        <v/>
      </c>
      <c r="G183" s="165">
        <f>IF($C183="","",SUMIFS(Transaksi!$F$16:$F$5015,Transaksi!$G$16:$G$5015,$A183,Transaksi!$H$16:$H$5015,$B183,Transaksi!$I$16:$I$5015,$C183,Transaksi!$B$16:$B$5015,"&gt;="&amp;DATE(Dashboard!$C$4,4,1),Transaksi!$B$16:$B$5015,"&lt;="&amp;EOMONTH(DATE(Dashboard!$C$4,4,1),0)))</f>
        <v/>
      </c>
      <c r="H183" s="165">
        <f>IF($C183="","",SUMIFS(Transaksi!$F$16:$F$5015,Transaksi!$G$16:$G$5015,$A183,Transaksi!$H$16:$H$5015,$B183,Transaksi!$I$16:$I$5015,$C183,Transaksi!$B$16:$B$5015,"&gt;="&amp;DATE(Dashboard!$C$4,5,1),Transaksi!$B$16:$B$5015,"&lt;="&amp;EOMONTH(DATE(Dashboard!$C$4,5,1),0)))</f>
        <v/>
      </c>
      <c r="I183" s="165">
        <f>IF($C183="","",SUMIFS(Transaksi!$F$16:$F$5015,Transaksi!$G$16:$G$5015,$A183,Transaksi!$H$16:$H$5015,$B183,Transaksi!$I$16:$I$5015,$C183,Transaksi!$B$16:$B$5015,"&gt;="&amp;DATE(Dashboard!$C$4,6,1),Transaksi!$B$16:$B$5015,"&lt;="&amp;EOMONTH(DATE(Dashboard!$C$4,6,1),0)))</f>
        <v/>
      </c>
      <c r="J183" s="165">
        <f>IF($C183="","",SUMIFS(Transaksi!$F$16:$F$5015,Transaksi!$G$16:$G$5015,$A183,Transaksi!$H$16:$H$5015,$B183,Transaksi!$I$16:$I$5015,$C183,Transaksi!$B$16:$B$5015,"&gt;="&amp;DATE(Dashboard!$C$4,7,1),Transaksi!$B$16:$B$5015,"&lt;="&amp;EOMONTH(DATE(Dashboard!$C$4,7,1),0)))</f>
        <v/>
      </c>
      <c r="K183" s="165">
        <f>IF($C183="","",SUMIFS(Transaksi!$F$16:$F$5015,Transaksi!$G$16:$G$5015,$A183,Transaksi!$H$16:$H$5015,$B183,Transaksi!$I$16:$I$5015,$C183,Transaksi!$B$16:$B$5015,"&gt;="&amp;DATE(Dashboard!$C$4,8,1),Transaksi!$B$16:$B$5015,"&lt;="&amp;EOMONTH(DATE(Dashboard!$C$4,8,1),0)))</f>
        <v/>
      </c>
      <c r="L183" s="165">
        <f>IF($C183="","",SUMIFS(Transaksi!$F$16:$F$5015,Transaksi!$G$16:$G$5015,$A183,Transaksi!$H$16:$H$5015,$B183,Transaksi!$I$16:$I$5015,$C183,Transaksi!$B$16:$B$5015,"&gt;="&amp;DATE(Dashboard!$C$4,9,1),Transaksi!$B$16:$B$5015,"&lt;="&amp;EOMONTH(DATE(Dashboard!$C$4,9,1),0)))</f>
        <v/>
      </c>
      <c r="M183" s="165">
        <f>IF($C183="","",SUMIFS(Transaksi!$F$16:$F$5015,Transaksi!$G$16:$G$5015,$A183,Transaksi!$H$16:$H$5015,$B183,Transaksi!$I$16:$I$5015,$C183,Transaksi!$B$16:$B$5015,"&gt;="&amp;DATE(Dashboard!$C$4,10,1),Transaksi!$B$16:$B$5015,"&lt;="&amp;EOMONTH(DATE(Dashboard!$C$4,10,1),0)))</f>
        <v/>
      </c>
      <c r="N183" s="165">
        <f>IF($C183="","",SUMIFS(Transaksi!$F$16:$F$5015,Transaksi!$G$16:$G$5015,$A183,Transaksi!$H$16:$H$5015,$B183,Transaksi!$I$16:$I$5015,$C183,Transaksi!$B$16:$B$5015,"&gt;="&amp;DATE(Dashboard!$C$4,11,1),Transaksi!$B$16:$B$5015,"&lt;="&amp;EOMONTH(DATE(Dashboard!$C$4,11,1),0)))</f>
        <v/>
      </c>
      <c r="O183" s="165">
        <f>IF($C183="","",SUMIFS(Transaksi!$F$16:$F$5015,Transaksi!$G$16:$G$5015,$A183,Transaksi!$H$16:$H$5015,$B183,Transaksi!$I$16:$I$5015,$C183,Transaksi!$B$16:$B$5015,"&gt;="&amp;DATE(Dashboard!$C$4,12,1),Transaksi!$B$16:$B$5015,"&lt;="&amp;EOMONTH(DATE(Dashboard!$C$4,12,1),0)))</f>
        <v/>
      </c>
      <c r="P183" s="166">
        <f>IF($C183="","",SUM(D183:O183))</f>
        <v/>
      </c>
    </row>
    <row r="184" ht="15" customHeight="1" s="94">
      <c r="A184" s="164">
        <f>IF(Kategori!C184="","",Kategori!A184)</f>
        <v/>
      </c>
      <c r="B184" s="164">
        <f>IF(Kategori!C184="","",Kategori!B184)</f>
        <v/>
      </c>
      <c r="C184" s="108">
        <f>IF(Kategori!C184="","",Kategori!C184)</f>
        <v/>
      </c>
      <c r="D184" s="165">
        <f>IF($C184="","",SUMIFS(Transaksi!$F$16:$F$5015,Transaksi!$G$16:$G$5015,$A184,Transaksi!$H$16:$H$5015,$B184,Transaksi!$I$16:$I$5015,$C184,Transaksi!$B$16:$B$5015,"&gt;="&amp;DATE(Dashboard!$C$4,1,1),Transaksi!$B$16:$B$5015,"&lt;="&amp;EOMONTH(DATE(Dashboard!$C$4,1,1),0)))</f>
        <v/>
      </c>
      <c r="E184" s="165">
        <f>IF($C184="","",SUMIFS(Transaksi!$F$16:$F$5015,Transaksi!$G$16:$G$5015,$A184,Transaksi!$H$16:$H$5015,$B184,Transaksi!$I$16:$I$5015,$C184,Transaksi!$B$16:$B$5015,"&gt;="&amp;DATE(Dashboard!$C$4,2,1),Transaksi!$B$16:$B$5015,"&lt;="&amp;EOMONTH(DATE(Dashboard!$C$4,2,1),0)))</f>
        <v/>
      </c>
      <c r="F184" s="165">
        <f>IF($C184="","",SUMIFS(Transaksi!$F$16:$F$5015,Transaksi!$G$16:$G$5015,$A184,Transaksi!$H$16:$H$5015,$B184,Transaksi!$I$16:$I$5015,$C184,Transaksi!$B$16:$B$5015,"&gt;="&amp;DATE(Dashboard!$C$4,3,1),Transaksi!$B$16:$B$5015,"&lt;="&amp;EOMONTH(DATE(Dashboard!$C$4,3,1),0)))</f>
        <v/>
      </c>
      <c r="G184" s="165">
        <f>IF($C184="","",SUMIFS(Transaksi!$F$16:$F$5015,Transaksi!$G$16:$G$5015,$A184,Transaksi!$H$16:$H$5015,$B184,Transaksi!$I$16:$I$5015,$C184,Transaksi!$B$16:$B$5015,"&gt;="&amp;DATE(Dashboard!$C$4,4,1),Transaksi!$B$16:$B$5015,"&lt;="&amp;EOMONTH(DATE(Dashboard!$C$4,4,1),0)))</f>
        <v/>
      </c>
      <c r="H184" s="165">
        <f>IF($C184="","",SUMIFS(Transaksi!$F$16:$F$5015,Transaksi!$G$16:$G$5015,$A184,Transaksi!$H$16:$H$5015,$B184,Transaksi!$I$16:$I$5015,$C184,Transaksi!$B$16:$B$5015,"&gt;="&amp;DATE(Dashboard!$C$4,5,1),Transaksi!$B$16:$B$5015,"&lt;="&amp;EOMONTH(DATE(Dashboard!$C$4,5,1),0)))</f>
        <v/>
      </c>
      <c r="I184" s="165">
        <f>IF($C184="","",SUMIFS(Transaksi!$F$16:$F$5015,Transaksi!$G$16:$G$5015,$A184,Transaksi!$H$16:$H$5015,$B184,Transaksi!$I$16:$I$5015,$C184,Transaksi!$B$16:$B$5015,"&gt;="&amp;DATE(Dashboard!$C$4,6,1),Transaksi!$B$16:$B$5015,"&lt;="&amp;EOMONTH(DATE(Dashboard!$C$4,6,1),0)))</f>
        <v/>
      </c>
      <c r="J184" s="165">
        <f>IF($C184="","",SUMIFS(Transaksi!$F$16:$F$5015,Transaksi!$G$16:$G$5015,$A184,Transaksi!$H$16:$H$5015,$B184,Transaksi!$I$16:$I$5015,$C184,Transaksi!$B$16:$B$5015,"&gt;="&amp;DATE(Dashboard!$C$4,7,1),Transaksi!$B$16:$B$5015,"&lt;="&amp;EOMONTH(DATE(Dashboard!$C$4,7,1),0)))</f>
        <v/>
      </c>
      <c r="K184" s="165">
        <f>IF($C184="","",SUMIFS(Transaksi!$F$16:$F$5015,Transaksi!$G$16:$G$5015,$A184,Transaksi!$H$16:$H$5015,$B184,Transaksi!$I$16:$I$5015,$C184,Transaksi!$B$16:$B$5015,"&gt;="&amp;DATE(Dashboard!$C$4,8,1),Transaksi!$B$16:$B$5015,"&lt;="&amp;EOMONTH(DATE(Dashboard!$C$4,8,1),0)))</f>
        <v/>
      </c>
      <c r="L184" s="165">
        <f>IF($C184="","",SUMIFS(Transaksi!$F$16:$F$5015,Transaksi!$G$16:$G$5015,$A184,Transaksi!$H$16:$H$5015,$B184,Transaksi!$I$16:$I$5015,$C184,Transaksi!$B$16:$B$5015,"&gt;="&amp;DATE(Dashboard!$C$4,9,1),Transaksi!$B$16:$B$5015,"&lt;="&amp;EOMONTH(DATE(Dashboard!$C$4,9,1),0)))</f>
        <v/>
      </c>
      <c r="M184" s="165">
        <f>IF($C184="","",SUMIFS(Transaksi!$F$16:$F$5015,Transaksi!$G$16:$G$5015,$A184,Transaksi!$H$16:$H$5015,$B184,Transaksi!$I$16:$I$5015,$C184,Transaksi!$B$16:$B$5015,"&gt;="&amp;DATE(Dashboard!$C$4,10,1),Transaksi!$B$16:$B$5015,"&lt;="&amp;EOMONTH(DATE(Dashboard!$C$4,10,1),0)))</f>
        <v/>
      </c>
      <c r="N184" s="165">
        <f>IF($C184="","",SUMIFS(Transaksi!$F$16:$F$5015,Transaksi!$G$16:$G$5015,$A184,Transaksi!$H$16:$H$5015,$B184,Transaksi!$I$16:$I$5015,$C184,Transaksi!$B$16:$B$5015,"&gt;="&amp;DATE(Dashboard!$C$4,11,1),Transaksi!$B$16:$B$5015,"&lt;="&amp;EOMONTH(DATE(Dashboard!$C$4,11,1),0)))</f>
        <v/>
      </c>
      <c r="O184" s="165">
        <f>IF($C184="","",SUMIFS(Transaksi!$F$16:$F$5015,Transaksi!$G$16:$G$5015,$A184,Transaksi!$H$16:$H$5015,$B184,Transaksi!$I$16:$I$5015,$C184,Transaksi!$B$16:$B$5015,"&gt;="&amp;DATE(Dashboard!$C$4,12,1),Transaksi!$B$16:$B$5015,"&lt;="&amp;EOMONTH(DATE(Dashboard!$C$4,12,1),0)))</f>
        <v/>
      </c>
      <c r="P184" s="166">
        <f>IF($C184="","",SUM(D184:O184))</f>
        <v/>
      </c>
    </row>
    <row r="185" ht="15" customHeight="1" s="94">
      <c r="A185" s="164">
        <f>IF(Kategori!C185="","",Kategori!A185)</f>
        <v/>
      </c>
      <c r="B185" s="164">
        <f>IF(Kategori!C185="","",Kategori!B185)</f>
        <v/>
      </c>
      <c r="C185" s="108">
        <f>IF(Kategori!C185="","",Kategori!C185)</f>
        <v/>
      </c>
      <c r="D185" s="165">
        <f>IF($C185="","",SUMIFS(Transaksi!$F$16:$F$5015,Transaksi!$G$16:$G$5015,$A185,Transaksi!$H$16:$H$5015,$B185,Transaksi!$I$16:$I$5015,$C185,Transaksi!$B$16:$B$5015,"&gt;="&amp;DATE(Dashboard!$C$4,1,1),Transaksi!$B$16:$B$5015,"&lt;="&amp;EOMONTH(DATE(Dashboard!$C$4,1,1),0)))</f>
        <v/>
      </c>
      <c r="E185" s="165">
        <f>IF($C185="","",SUMIFS(Transaksi!$F$16:$F$5015,Transaksi!$G$16:$G$5015,$A185,Transaksi!$H$16:$H$5015,$B185,Transaksi!$I$16:$I$5015,$C185,Transaksi!$B$16:$B$5015,"&gt;="&amp;DATE(Dashboard!$C$4,2,1),Transaksi!$B$16:$B$5015,"&lt;="&amp;EOMONTH(DATE(Dashboard!$C$4,2,1),0)))</f>
        <v/>
      </c>
      <c r="F185" s="165">
        <f>IF($C185="","",SUMIFS(Transaksi!$F$16:$F$5015,Transaksi!$G$16:$G$5015,$A185,Transaksi!$H$16:$H$5015,$B185,Transaksi!$I$16:$I$5015,$C185,Transaksi!$B$16:$B$5015,"&gt;="&amp;DATE(Dashboard!$C$4,3,1),Transaksi!$B$16:$B$5015,"&lt;="&amp;EOMONTH(DATE(Dashboard!$C$4,3,1),0)))</f>
        <v/>
      </c>
      <c r="G185" s="165">
        <f>IF($C185="","",SUMIFS(Transaksi!$F$16:$F$5015,Transaksi!$G$16:$G$5015,$A185,Transaksi!$H$16:$H$5015,$B185,Transaksi!$I$16:$I$5015,$C185,Transaksi!$B$16:$B$5015,"&gt;="&amp;DATE(Dashboard!$C$4,4,1),Transaksi!$B$16:$B$5015,"&lt;="&amp;EOMONTH(DATE(Dashboard!$C$4,4,1),0)))</f>
        <v/>
      </c>
      <c r="H185" s="165">
        <f>IF($C185="","",SUMIFS(Transaksi!$F$16:$F$5015,Transaksi!$G$16:$G$5015,$A185,Transaksi!$H$16:$H$5015,$B185,Transaksi!$I$16:$I$5015,$C185,Transaksi!$B$16:$B$5015,"&gt;="&amp;DATE(Dashboard!$C$4,5,1),Transaksi!$B$16:$B$5015,"&lt;="&amp;EOMONTH(DATE(Dashboard!$C$4,5,1),0)))</f>
        <v/>
      </c>
      <c r="I185" s="165">
        <f>IF($C185="","",SUMIFS(Transaksi!$F$16:$F$5015,Transaksi!$G$16:$G$5015,$A185,Transaksi!$H$16:$H$5015,$B185,Transaksi!$I$16:$I$5015,$C185,Transaksi!$B$16:$B$5015,"&gt;="&amp;DATE(Dashboard!$C$4,6,1),Transaksi!$B$16:$B$5015,"&lt;="&amp;EOMONTH(DATE(Dashboard!$C$4,6,1),0)))</f>
        <v/>
      </c>
      <c r="J185" s="165">
        <f>IF($C185="","",SUMIFS(Transaksi!$F$16:$F$5015,Transaksi!$G$16:$G$5015,$A185,Transaksi!$H$16:$H$5015,$B185,Transaksi!$I$16:$I$5015,$C185,Transaksi!$B$16:$B$5015,"&gt;="&amp;DATE(Dashboard!$C$4,7,1),Transaksi!$B$16:$B$5015,"&lt;="&amp;EOMONTH(DATE(Dashboard!$C$4,7,1),0)))</f>
        <v/>
      </c>
      <c r="K185" s="165">
        <f>IF($C185="","",SUMIFS(Transaksi!$F$16:$F$5015,Transaksi!$G$16:$G$5015,$A185,Transaksi!$H$16:$H$5015,$B185,Transaksi!$I$16:$I$5015,$C185,Transaksi!$B$16:$B$5015,"&gt;="&amp;DATE(Dashboard!$C$4,8,1),Transaksi!$B$16:$B$5015,"&lt;="&amp;EOMONTH(DATE(Dashboard!$C$4,8,1),0)))</f>
        <v/>
      </c>
      <c r="L185" s="165">
        <f>IF($C185="","",SUMIFS(Transaksi!$F$16:$F$5015,Transaksi!$G$16:$G$5015,$A185,Transaksi!$H$16:$H$5015,$B185,Transaksi!$I$16:$I$5015,$C185,Transaksi!$B$16:$B$5015,"&gt;="&amp;DATE(Dashboard!$C$4,9,1),Transaksi!$B$16:$B$5015,"&lt;="&amp;EOMONTH(DATE(Dashboard!$C$4,9,1),0)))</f>
        <v/>
      </c>
      <c r="M185" s="165">
        <f>IF($C185="","",SUMIFS(Transaksi!$F$16:$F$5015,Transaksi!$G$16:$G$5015,$A185,Transaksi!$H$16:$H$5015,$B185,Transaksi!$I$16:$I$5015,$C185,Transaksi!$B$16:$B$5015,"&gt;="&amp;DATE(Dashboard!$C$4,10,1),Transaksi!$B$16:$B$5015,"&lt;="&amp;EOMONTH(DATE(Dashboard!$C$4,10,1),0)))</f>
        <v/>
      </c>
      <c r="N185" s="165">
        <f>IF($C185="","",SUMIFS(Transaksi!$F$16:$F$5015,Transaksi!$G$16:$G$5015,$A185,Transaksi!$H$16:$H$5015,$B185,Transaksi!$I$16:$I$5015,$C185,Transaksi!$B$16:$B$5015,"&gt;="&amp;DATE(Dashboard!$C$4,11,1),Transaksi!$B$16:$B$5015,"&lt;="&amp;EOMONTH(DATE(Dashboard!$C$4,11,1),0)))</f>
        <v/>
      </c>
      <c r="O185" s="165">
        <f>IF($C185="","",SUMIFS(Transaksi!$F$16:$F$5015,Transaksi!$G$16:$G$5015,$A185,Transaksi!$H$16:$H$5015,$B185,Transaksi!$I$16:$I$5015,$C185,Transaksi!$B$16:$B$5015,"&gt;="&amp;DATE(Dashboard!$C$4,12,1),Transaksi!$B$16:$B$5015,"&lt;="&amp;EOMONTH(DATE(Dashboard!$C$4,12,1),0)))</f>
        <v/>
      </c>
      <c r="P185" s="166">
        <f>IF($C185="","",SUM(D185:O185))</f>
        <v/>
      </c>
    </row>
    <row r="186" ht="15" customHeight="1" s="94">
      <c r="A186" s="164">
        <f>IF(Kategori!C186="","",Kategori!A186)</f>
        <v/>
      </c>
      <c r="B186" s="164">
        <f>IF(Kategori!C186="","",Kategori!B186)</f>
        <v/>
      </c>
      <c r="C186" s="108">
        <f>IF(Kategori!C186="","",Kategori!C186)</f>
        <v/>
      </c>
      <c r="D186" s="165">
        <f>IF($C186="","",SUMIFS(Transaksi!$F$16:$F$5015,Transaksi!$G$16:$G$5015,$A186,Transaksi!$H$16:$H$5015,$B186,Transaksi!$I$16:$I$5015,$C186,Transaksi!$B$16:$B$5015,"&gt;="&amp;DATE(Dashboard!$C$4,1,1),Transaksi!$B$16:$B$5015,"&lt;="&amp;EOMONTH(DATE(Dashboard!$C$4,1,1),0)))</f>
        <v/>
      </c>
      <c r="E186" s="165">
        <f>IF($C186="","",SUMIFS(Transaksi!$F$16:$F$5015,Transaksi!$G$16:$G$5015,$A186,Transaksi!$H$16:$H$5015,$B186,Transaksi!$I$16:$I$5015,$C186,Transaksi!$B$16:$B$5015,"&gt;="&amp;DATE(Dashboard!$C$4,2,1),Transaksi!$B$16:$B$5015,"&lt;="&amp;EOMONTH(DATE(Dashboard!$C$4,2,1),0)))</f>
        <v/>
      </c>
      <c r="F186" s="165">
        <f>IF($C186="","",SUMIFS(Transaksi!$F$16:$F$5015,Transaksi!$G$16:$G$5015,$A186,Transaksi!$H$16:$H$5015,$B186,Transaksi!$I$16:$I$5015,$C186,Transaksi!$B$16:$B$5015,"&gt;="&amp;DATE(Dashboard!$C$4,3,1),Transaksi!$B$16:$B$5015,"&lt;="&amp;EOMONTH(DATE(Dashboard!$C$4,3,1),0)))</f>
        <v/>
      </c>
      <c r="G186" s="165">
        <f>IF($C186="","",SUMIFS(Transaksi!$F$16:$F$5015,Transaksi!$G$16:$G$5015,$A186,Transaksi!$H$16:$H$5015,$B186,Transaksi!$I$16:$I$5015,$C186,Transaksi!$B$16:$B$5015,"&gt;="&amp;DATE(Dashboard!$C$4,4,1),Transaksi!$B$16:$B$5015,"&lt;="&amp;EOMONTH(DATE(Dashboard!$C$4,4,1),0)))</f>
        <v/>
      </c>
      <c r="H186" s="165">
        <f>IF($C186="","",SUMIFS(Transaksi!$F$16:$F$5015,Transaksi!$G$16:$G$5015,$A186,Transaksi!$H$16:$H$5015,$B186,Transaksi!$I$16:$I$5015,$C186,Transaksi!$B$16:$B$5015,"&gt;="&amp;DATE(Dashboard!$C$4,5,1),Transaksi!$B$16:$B$5015,"&lt;="&amp;EOMONTH(DATE(Dashboard!$C$4,5,1),0)))</f>
        <v/>
      </c>
      <c r="I186" s="165">
        <f>IF($C186="","",SUMIFS(Transaksi!$F$16:$F$5015,Transaksi!$G$16:$G$5015,$A186,Transaksi!$H$16:$H$5015,$B186,Transaksi!$I$16:$I$5015,$C186,Transaksi!$B$16:$B$5015,"&gt;="&amp;DATE(Dashboard!$C$4,6,1),Transaksi!$B$16:$B$5015,"&lt;="&amp;EOMONTH(DATE(Dashboard!$C$4,6,1),0)))</f>
        <v/>
      </c>
      <c r="J186" s="165">
        <f>IF($C186="","",SUMIFS(Transaksi!$F$16:$F$5015,Transaksi!$G$16:$G$5015,$A186,Transaksi!$H$16:$H$5015,$B186,Transaksi!$I$16:$I$5015,$C186,Transaksi!$B$16:$B$5015,"&gt;="&amp;DATE(Dashboard!$C$4,7,1),Transaksi!$B$16:$B$5015,"&lt;="&amp;EOMONTH(DATE(Dashboard!$C$4,7,1),0)))</f>
        <v/>
      </c>
      <c r="K186" s="165">
        <f>IF($C186="","",SUMIFS(Transaksi!$F$16:$F$5015,Transaksi!$G$16:$G$5015,$A186,Transaksi!$H$16:$H$5015,$B186,Transaksi!$I$16:$I$5015,$C186,Transaksi!$B$16:$B$5015,"&gt;="&amp;DATE(Dashboard!$C$4,8,1),Transaksi!$B$16:$B$5015,"&lt;="&amp;EOMONTH(DATE(Dashboard!$C$4,8,1),0)))</f>
        <v/>
      </c>
      <c r="L186" s="165">
        <f>IF($C186="","",SUMIFS(Transaksi!$F$16:$F$5015,Transaksi!$G$16:$G$5015,$A186,Transaksi!$H$16:$H$5015,$B186,Transaksi!$I$16:$I$5015,$C186,Transaksi!$B$16:$B$5015,"&gt;="&amp;DATE(Dashboard!$C$4,9,1),Transaksi!$B$16:$B$5015,"&lt;="&amp;EOMONTH(DATE(Dashboard!$C$4,9,1),0)))</f>
        <v/>
      </c>
      <c r="M186" s="165">
        <f>IF($C186="","",SUMIFS(Transaksi!$F$16:$F$5015,Transaksi!$G$16:$G$5015,$A186,Transaksi!$H$16:$H$5015,$B186,Transaksi!$I$16:$I$5015,$C186,Transaksi!$B$16:$B$5015,"&gt;="&amp;DATE(Dashboard!$C$4,10,1),Transaksi!$B$16:$B$5015,"&lt;="&amp;EOMONTH(DATE(Dashboard!$C$4,10,1),0)))</f>
        <v/>
      </c>
      <c r="N186" s="165">
        <f>IF($C186="","",SUMIFS(Transaksi!$F$16:$F$5015,Transaksi!$G$16:$G$5015,$A186,Transaksi!$H$16:$H$5015,$B186,Transaksi!$I$16:$I$5015,$C186,Transaksi!$B$16:$B$5015,"&gt;="&amp;DATE(Dashboard!$C$4,11,1),Transaksi!$B$16:$B$5015,"&lt;="&amp;EOMONTH(DATE(Dashboard!$C$4,11,1),0)))</f>
        <v/>
      </c>
      <c r="O186" s="165">
        <f>IF($C186="","",SUMIFS(Transaksi!$F$16:$F$5015,Transaksi!$G$16:$G$5015,$A186,Transaksi!$H$16:$H$5015,$B186,Transaksi!$I$16:$I$5015,$C186,Transaksi!$B$16:$B$5015,"&gt;="&amp;DATE(Dashboard!$C$4,12,1),Transaksi!$B$16:$B$5015,"&lt;="&amp;EOMONTH(DATE(Dashboard!$C$4,12,1),0)))</f>
        <v/>
      </c>
      <c r="P186" s="166">
        <f>IF($C186="","",SUM(D186:O186))</f>
        <v/>
      </c>
    </row>
    <row r="187" ht="15" customHeight="1" s="94">
      <c r="A187" s="164">
        <f>IF(Kategori!C187="","",Kategori!A187)</f>
        <v/>
      </c>
      <c r="B187" s="164">
        <f>IF(Kategori!C187="","",Kategori!B187)</f>
        <v/>
      </c>
      <c r="C187" s="108">
        <f>IF(Kategori!C187="","",Kategori!C187)</f>
        <v/>
      </c>
      <c r="D187" s="165">
        <f>IF($C187="","",SUMIFS(Transaksi!$F$16:$F$5015,Transaksi!$G$16:$G$5015,$A187,Transaksi!$H$16:$H$5015,$B187,Transaksi!$I$16:$I$5015,$C187,Transaksi!$B$16:$B$5015,"&gt;="&amp;DATE(Dashboard!$C$4,1,1),Transaksi!$B$16:$B$5015,"&lt;="&amp;EOMONTH(DATE(Dashboard!$C$4,1,1),0)))</f>
        <v/>
      </c>
      <c r="E187" s="165">
        <f>IF($C187="","",SUMIFS(Transaksi!$F$16:$F$5015,Transaksi!$G$16:$G$5015,$A187,Transaksi!$H$16:$H$5015,$B187,Transaksi!$I$16:$I$5015,$C187,Transaksi!$B$16:$B$5015,"&gt;="&amp;DATE(Dashboard!$C$4,2,1),Transaksi!$B$16:$B$5015,"&lt;="&amp;EOMONTH(DATE(Dashboard!$C$4,2,1),0)))</f>
        <v/>
      </c>
      <c r="F187" s="165">
        <f>IF($C187="","",SUMIFS(Transaksi!$F$16:$F$5015,Transaksi!$G$16:$G$5015,$A187,Transaksi!$H$16:$H$5015,$B187,Transaksi!$I$16:$I$5015,$C187,Transaksi!$B$16:$B$5015,"&gt;="&amp;DATE(Dashboard!$C$4,3,1),Transaksi!$B$16:$B$5015,"&lt;="&amp;EOMONTH(DATE(Dashboard!$C$4,3,1),0)))</f>
        <v/>
      </c>
      <c r="G187" s="165">
        <f>IF($C187="","",SUMIFS(Transaksi!$F$16:$F$5015,Transaksi!$G$16:$G$5015,$A187,Transaksi!$H$16:$H$5015,$B187,Transaksi!$I$16:$I$5015,$C187,Transaksi!$B$16:$B$5015,"&gt;="&amp;DATE(Dashboard!$C$4,4,1),Transaksi!$B$16:$B$5015,"&lt;="&amp;EOMONTH(DATE(Dashboard!$C$4,4,1),0)))</f>
        <v/>
      </c>
      <c r="H187" s="165">
        <f>IF($C187="","",SUMIFS(Transaksi!$F$16:$F$5015,Transaksi!$G$16:$G$5015,$A187,Transaksi!$H$16:$H$5015,$B187,Transaksi!$I$16:$I$5015,$C187,Transaksi!$B$16:$B$5015,"&gt;="&amp;DATE(Dashboard!$C$4,5,1),Transaksi!$B$16:$B$5015,"&lt;="&amp;EOMONTH(DATE(Dashboard!$C$4,5,1),0)))</f>
        <v/>
      </c>
      <c r="I187" s="165">
        <f>IF($C187="","",SUMIFS(Transaksi!$F$16:$F$5015,Transaksi!$G$16:$G$5015,$A187,Transaksi!$H$16:$H$5015,$B187,Transaksi!$I$16:$I$5015,$C187,Transaksi!$B$16:$B$5015,"&gt;="&amp;DATE(Dashboard!$C$4,6,1),Transaksi!$B$16:$B$5015,"&lt;="&amp;EOMONTH(DATE(Dashboard!$C$4,6,1),0)))</f>
        <v/>
      </c>
      <c r="J187" s="165">
        <f>IF($C187="","",SUMIFS(Transaksi!$F$16:$F$5015,Transaksi!$G$16:$G$5015,$A187,Transaksi!$H$16:$H$5015,$B187,Transaksi!$I$16:$I$5015,$C187,Transaksi!$B$16:$B$5015,"&gt;="&amp;DATE(Dashboard!$C$4,7,1),Transaksi!$B$16:$B$5015,"&lt;="&amp;EOMONTH(DATE(Dashboard!$C$4,7,1),0)))</f>
        <v/>
      </c>
      <c r="K187" s="165">
        <f>IF($C187="","",SUMIFS(Transaksi!$F$16:$F$5015,Transaksi!$G$16:$G$5015,$A187,Transaksi!$H$16:$H$5015,$B187,Transaksi!$I$16:$I$5015,$C187,Transaksi!$B$16:$B$5015,"&gt;="&amp;DATE(Dashboard!$C$4,8,1),Transaksi!$B$16:$B$5015,"&lt;="&amp;EOMONTH(DATE(Dashboard!$C$4,8,1),0)))</f>
        <v/>
      </c>
      <c r="L187" s="165">
        <f>IF($C187="","",SUMIFS(Transaksi!$F$16:$F$5015,Transaksi!$G$16:$G$5015,$A187,Transaksi!$H$16:$H$5015,$B187,Transaksi!$I$16:$I$5015,$C187,Transaksi!$B$16:$B$5015,"&gt;="&amp;DATE(Dashboard!$C$4,9,1),Transaksi!$B$16:$B$5015,"&lt;="&amp;EOMONTH(DATE(Dashboard!$C$4,9,1),0)))</f>
        <v/>
      </c>
      <c r="M187" s="165">
        <f>IF($C187="","",SUMIFS(Transaksi!$F$16:$F$5015,Transaksi!$G$16:$G$5015,$A187,Transaksi!$H$16:$H$5015,$B187,Transaksi!$I$16:$I$5015,$C187,Transaksi!$B$16:$B$5015,"&gt;="&amp;DATE(Dashboard!$C$4,10,1),Transaksi!$B$16:$B$5015,"&lt;="&amp;EOMONTH(DATE(Dashboard!$C$4,10,1),0)))</f>
        <v/>
      </c>
      <c r="N187" s="165">
        <f>IF($C187="","",SUMIFS(Transaksi!$F$16:$F$5015,Transaksi!$G$16:$G$5015,$A187,Transaksi!$H$16:$H$5015,$B187,Transaksi!$I$16:$I$5015,$C187,Transaksi!$B$16:$B$5015,"&gt;="&amp;DATE(Dashboard!$C$4,11,1),Transaksi!$B$16:$B$5015,"&lt;="&amp;EOMONTH(DATE(Dashboard!$C$4,11,1),0)))</f>
        <v/>
      </c>
      <c r="O187" s="165">
        <f>IF($C187="","",SUMIFS(Transaksi!$F$16:$F$5015,Transaksi!$G$16:$G$5015,$A187,Transaksi!$H$16:$H$5015,$B187,Transaksi!$I$16:$I$5015,$C187,Transaksi!$B$16:$B$5015,"&gt;="&amp;DATE(Dashboard!$C$4,12,1),Transaksi!$B$16:$B$5015,"&lt;="&amp;EOMONTH(DATE(Dashboard!$C$4,12,1),0)))</f>
        <v/>
      </c>
      <c r="P187" s="166">
        <f>IF($C187="","",SUM(D187:O187))</f>
        <v/>
      </c>
    </row>
    <row r="188" ht="15" customHeight="1" s="94">
      <c r="A188" s="164">
        <f>IF(Kategori!C188="","",Kategori!A188)</f>
        <v/>
      </c>
      <c r="B188" s="164">
        <f>IF(Kategori!C188="","",Kategori!B188)</f>
        <v/>
      </c>
      <c r="C188" s="108">
        <f>IF(Kategori!C188="","",Kategori!C188)</f>
        <v/>
      </c>
      <c r="D188" s="165">
        <f>IF($C188="","",SUMIFS(Transaksi!$F$16:$F$5015,Transaksi!$G$16:$G$5015,$A188,Transaksi!$H$16:$H$5015,$B188,Transaksi!$I$16:$I$5015,$C188,Transaksi!$B$16:$B$5015,"&gt;="&amp;DATE(Dashboard!$C$4,1,1),Transaksi!$B$16:$B$5015,"&lt;="&amp;EOMONTH(DATE(Dashboard!$C$4,1,1),0)))</f>
        <v/>
      </c>
      <c r="E188" s="165">
        <f>IF($C188="","",SUMIFS(Transaksi!$F$16:$F$5015,Transaksi!$G$16:$G$5015,$A188,Transaksi!$H$16:$H$5015,$B188,Transaksi!$I$16:$I$5015,$C188,Transaksi!$B$16:$B$5015,"&gt;="&amp;DATE(Dashboard!$C$4,2,1),Transaksi!$B$16:$B$5015,"&lt;="&amp;EOMONTH(DATE(Dashboard!$C$4,2,1),0)))</f>
        <v/>
      </c>
      <c r="F188" s="165">
        <f>IF($C188="","",SUMIFS(Transaksi!$F$16:$F$5015,Transaksi!$G$16:$G$5015,$A188,Transaksi!$H$16:$H$5015,$B188,Transaksi!$I$16:$I$5015,$C188,Transaksi!$B$16:$B$5015,"&gt;="&amp;DATE(Dashboard!$C$4,3,1),Transaksi!$B$16:$B$5015,"&lt;="&amp;EOMONTH(DATE(Dashboard!$C$4,3,1),0)))</f>
        <v/>
      </c>
      <c r="G188" s="165">
        <f>IF($C188="","",SUMIFS(Transaksi!$F$16:$F$5015,Transaksi!$G$16:$G$5015,$A188,Transaksi!$H$16:$H$5015,$B188,Transaksi!$I$16:$I$5015,$C188,Transaksi!$B$16:$B$5015,"&gt;="&amp;DATE(Dashboard!$C$4,4,1),Transaksi!$B$16:$B$5015,"&lt;="&amp;EOMONTH(DATE(Dashboard!$C$4,4,1),0)))</f>
        <v/>
      </c>
      <c r="H188" s="165">
        <f>IF($C188="","",SUMIFS(Transaksi!$F$16:$F$5015,Transaksi!$G$16:$G$5015,$A188,Transaksi!$H$16:$H$5015,$B188,Transaksi!$I$16:$I$5015,$C188,Transaksi!$B$16:$B$5015,"&gt;="&amp;DATE(Dashboard!$C$4,5,1),Transaksi!$B$16:$B$5015,"&lt;="&amp;EOMONTH(DATE(Dashboard!$C$4,5,1),0)))</f>
        <v/>
      </c>
      <c r="I188" s="165">
        <f>IF($C188="","",SUMIFS(Transaksi!$F$16:$F$5015,Transaksi!$G$16:$G$5015,$A188,Transaksi!$H$16:$H$5015,$B188,Transaksi!$I$16:$I$5015,$C188,Transaksi!$B$16:$B$5015,"&gt;="&amp;DATE(Dashboard!$C$4,6,1),Transaksi!$B$16:$B$5015,"&lt;="&amp;EOMONTH(DATE(Dashboard!$C$4,6,1),0)))</f>
        <v/>
      </c>
      <c r="J188" s="165">
        <f>IF($C188="","",SUMIFS(Transaksi!$F$16:$F$5015,Transaksi!$G$16:$G$5015,$A188,Transaksi!$H$16:$H$5015,$B188,Transaksi!$I$16:$I$5015,$C188,Transaksi!$B$16:$B$5015,"&gt;="&amp;DATE(Dashboard!$C$4,7,1),Transaksi!$B$16:$B$5015,"&lt;="&amp;EOMONTH(DATE(Dashboard!$C$4,7,1),0)))</f>
        <v/>
      </c>
      <c r="K188" s="165">
        <f>IF($C188="","",SUMIFS(Transaksi!$F$16:$F$5015,Transaksi!$G$16:$G$5015,$A188,Transaksi!$H$16:$H$5015,$B188,Transaksi!$I$16:$I$5015,$C188,Transaksi!$B$16:$B$5015,"&gt;="&amp;DATE(Dashboard!$C$4,8,1),Transaksi!$B$16:$B$5015,"&lt;="&amp;EOMONTH(DATE(Dashboard!$C$4,8,1),0)))</f>
        <v/>
      </c>
      <c r="L188" s="165">
        <f>IF($C188="","",SUMIFS(Transaksi!$F$16:$F$5015,Transaksi!$G$16:$G$5015,$A188,Transaksi!$H$16:$H$5015,$B188,Transaksi!$I$16:$I$5015,$C188,Transaksi!$B$16:$B$5015,"&gt;="&amp;DATE(Dashboard!$C$4,9,1),Transaksi!$B$16:$B$5015,"&lt;="&amp;EOMONTH(DATE(Dashboard!$C$4,9,1),0)))</f>
        <v/>
      </c>
      <c r="M188" s="165">
        <f>IF($C188="","",SUMIFS(Transaksi!$F$16:$F$5015,Transaksi!$G$16:$G$5015,$A188,Transaksi!$H$16:$H$5015,$B188,Transaksi!$I$16:$I$5015,$C188,Transaksi!$B$16:$B$5015,"&gt;="&amp;DATE(Dashboard!$C$4,10,1),Transaksi!$B$16:$B$5015,"&lt;="&amp;EOMONTH(DATE(Dashboard!$C$4,10,1),0)))</f>
        <v/>
      </c>
      <c r="N188" s="165">
        <f>IF($C188="","",SUMIFS(Transaksi!$F$16:$F$5015,Transaksi!$G$16:$G$5015,$A188,Transaksi!$H$16:$H$5015,$B188,Transaksi!$I$16:$I$5015,$C188,Transaksi!$B$16:$B$5015,"&gt;="&amp;DATE(Dashboard!$C$4,11,1),Transaksi!$B$16:$B$5015,"&lt;="&amp;EOMONTH(DATE(Dashboard!$C$4,11,1),0)))</f>
        <v/>
      </c>
      <c r="O188" s="165">
        <f>IF($C188="","",SUMIFS(Transaksi!$F$16:$F$5015,Transaksi!$G$16:$G$5015,$A188,Transaksi!$H$16:$H$5015,$B188,Transaksi!$I$16:$I$5015,$C188,Transaksi!$B$16:$B$5015,"&gt;="&amp;DATE(Dashboard!$C$4,12,1),Transaksi!$B$16:$B$5015,"&lt;="&amp;EOMONTH(DATE(Dashboard!$C$4,12,1),0)))</f>
        <v/>
      </c>
      <c r="P188" s="166">
        <f>IF($C188="","",SUM(D188:O188))</f>
        <v/>
      </c>
    </row>
    <row r="189" ht="15" customHeight="1" s="94">
      <c r="A189" s="164">
        <f>IF(Kategori!C189="","",Kategori!A189)</f>
        <v/>
      </c>
      <c r="B189" s="164">
        <f>IF(Kategori!C189="","",Kategori!B189)</f>
        <v/>
      </c>
      <c r="C189" s="108">
        <f>IF(Kategori!C189="","",Kategori!C189)</f>
        <v/>
      </c>
      <c r="D189" s="165">
        <f>IF($C189="","",SUMIFS(Transaksi!$F$16:$F$5015,Transaksi!$G$16:$G$5015,$A189,Transaksi!$H$16:$H$5015,$B189,Transaksi!$I$16:$I$5015,$C189,Transaksi!$B$16:$B$5015,"&gt;="&amp;DATE(Dashboard!$C$4,1,1),Transaksi!$B$16:$B$5015,"&lt;="&amp;EOMONTH(DATE(Dashboard!$C$4,1,1),0)))</f>
        <v/>
      </c>
      <c r="E189" s="165">
        <f>IF($C189="","",SUMIFS(Transaksi!$F$16:$F$5015,Transaksi!$G$16:$G$5015,$A189,Transaksi!$H$16:$H$5015,$B189,Transaksi!$I$16:$I$5015,$C189,Transaksi!$B$16:$B$5015,"&gt;="&amp;DATE(Dashboard!$C$4,2,1),Transaksi!$B$16:$B$5015,"&lt;="&amp;EOMONTH(DATE(Dashboard!$C$4,2,1),0)))</f>
        <v/>
      </c>
      <c r="F189" s="165">
        <f>IF($C189="","",SUMIFS(Transaksi!$F$16:$F$5015,Transaksi!$G$16:$G$5015,$A189,Transaksi!$H$16:$H$5015,$B189,Transaksi!$I$16:$I$5015,$C189,Transaksi!$B$16:$B$5015,"&gt;="&amp;DATE(Dashboard!$C$4,3,1),Transaksi!$B$16:$B$5015,"&lt;="&amp;EOMONTH(DATE(Dashboard!$C$4,3,1),0)))</f>
        <v/>
      </c>
      <c r="G189" s="165">
        <f>IF($C189="","",SUMIFS(Transaksi!$F$16:$F$5015,Transaksi!$G$16:$G$5015,$A189,Transaksi!$H$16:$H$5015,$B189,Transaksi!$I$16:$I$5015,$C189,Transaksi!$B$16:$B$5015,"&gt;="&amp;DATE(Dashboard!$C$4,4,1),Transaksi!$B$16:$B$5015,"&lt;="&amp;EOMONTH(DATE(Dashboard!$C$4,4,1),0)))</f>
        <v/>
      </c>
      <c r="H189" s="165">
        <f>IF($C189="","",SUMIFS(Transaksi!$F$16:$F$5015,Transaksi!$G$16:$G$5015,$A189,Transaksi!$H$16:$H$5015,$B189,Transaksi!$I$16:$I$5015,$C189,Transaksi!$B$16:$B$5015,"&gt;="&amp;DATE(Dashboard!$C$4,5,1),Transaksi!$B$16:$B$5015,"&lt;="&amp;EOMONTH(DATE(Dashboard!$C$4,5,1),0)))</f>
        <v/>
      </c>
      <c r="I189" s="165">
        <f>IF($C189="","",SUMIFS(Transaksi!$F$16:$F$5015,Transaksi!$G$16:$G$5015,$A189,Transaksi!$H$16:$H$5015,$B189,Transaksi!$I$16:$I$5015,$C189,Transaksi!$B$16:$B$5015,"&gt;="&amp;DATE(Dashboard!$C$4,6,1),Transaksi!$B$16:$B$5015,"&lt;="&amp;EOMONTH(DATE(Dashboard!$C$4,6,1),0)))</f>
        <v/>
      </c>
      <c r="J189" s="165">
        <f>IF($C189="","",SUMIFS(Transaksi!$F$16:$F$5015,Transaksi!$G$16:$G$5015,$A189,Transaksi!$H$16:$H$5015,$B189,Transaksi!$I$16:$I$5015,$C189,Transaksi!$B$16:$B$5015,"&gt;="&amp;DATE(Dashboard!$C$4,7,1),Transaksi!$B$16:$B$5015,"&lt;="&amp;EOMONTH(DATE(Dashboard!$C$4,7,1),0)))</f>
        <v/>
      </c>
      <c r="K189" s="165">
        <f>IF($C189="","",SUMIFS(Transaksi!$F$16:$F$5015,Transaksi!$G$16:$G$5015,$A189,Transaksi!$H$16:$H$5015,$B189,Transaksi!$I$16:$I$5015,$C189,Transaksi!$B$16:$B$5015,"&gt;="&amp;DATE(Dashboard!$C$4,8,1),Transaksi!$B$16:$B$5015,"&lt;="&amp;EOMONTH(DATE(Dashboard!$C$4,8,1),0)))</f>
        <v/>
      </c>
      <c r="L189" s="165">
        <f>IF($C189="","",SUMIFS(Transaksi!$F$16:$F$5015,Transaksi!$G$16:$G$5015,$A189,Transaksi!$H$16:$H$5015,$B189,Transaksi!$I$16:$I$5015,$C189,Transaksi!$B$16:$B$5015,"&gt;="&amp;DATE(Dashboard!$C$4,9,1),Transaksi!$B$16:$B$5015,"&lt;="&amp;EOMONTH(DATE(Dashboard!$C$4,9,1),0)))</f>
        <v/>
      </c>
      <c r="M189" s="165">
        <f>IF($C189="","",SUMIFS(Transaksi!$F$16:$F$5015,Transaksi!$G$16:$G$5015,$A189,Transaksi!$H$16:$H$5015,$B189,Transaksi!$I$16:$I$5015,$C189,Transaksi!$B$16:$B$5015,"&gt;="&amp;DATE(Dashboard!$C$4,10,1),Transaksi!$B$16:$B$5015,"&lt;="&amp;EOMONTH(DATE(Dashboard!$C$4,10,1),0)))</f>
        <v/>
      </c>
      <c r="N189" s="165">
        <f>IF($C189="","",SUMIFS(Transaksi!$F$16:$F$5015,Transaksi!$G$16:$G$5015,$A189,Transaksi!$H$16:$H$5015,$B189,Transaksi!$I$16:$I$5015,$C189,Transaksi!$B$16:$B$5015,"&gt;="&amp;DATE(Dashboard!$C$4,11,1),Transaksi!$B$16:$B$5015,"&lt;="&amp;EOMONTH(DATE(Dashboard!$C$4,11,1),0)))</f>
        <v/>
      </c>
      <c r="O189" s="165">
        <f>IF($C189="","",SUMIFS(Transaksi!$F$16:$F$5015,Transaksi!$G$16:$G$5015,$A189,Transaksi!$H$16:$H$5015,$B189,Transaksi!$I$16:$I$5015,$C189,Transaksi!$B$16:$B$5015,"&gt;="&amp;DATE(Dashboard!$C$4,12,1),Transaksi!$B$16:$B$5015,"&lt;="&amp;EOMONTH(DATE(Dashboard!$C$4,12,1),0)))</f>
        <v/>
      </c>
      <c r="P189" s="166">
        <f>IF($C189="","",SUM(D189:O189))</f>
        <v/>
      </c>
    </row>
    <row r="190" ht="15" customHeight="1" s="94">
      <c r="A190" s="164">
        <f>IF(Kategori!C190="","",Kategori!A190)</f>
        <v/>
      </c>
      <c r="B190" s="164">
        <f>IF(Kategori!C190="","",Kategori!B190)</f>
        <v/>
      </c>
      <c r="C190" s="108">
        <f>IF(Kategori!C190="","",Kategori!C190)</f>
        <v/>
      </c>
      <c r="D190" s="165">
        <f>IF($C190="","",SUMIFS(Transaksi!$F$16:$F$5015,Transaksi!$G$16:$G$5015,$A190,Transaksi!$H$16:$H$5015,$B190,Transaksi!$I$16:$I$5015,$C190,Transaksi!$B$16:$B$5015,"&gt;="&amp;DATE(Dashboard!$C$4,1,1),Transaksi!$B$16:$B$5015,"&lt;="&amp;EOMONTH(DATE(Dashboard!$C$4,1,1),0)))</f>
        <v/>
      </c>
      <c r="E190" s="165">
        <f>IF($C190="","",SUMIFS(Transaksi!$F$16:$F$5015,Transaksi!$G$16:$G$5015,$A190,Transaksi!$H$16:$H$5015,$B190,Transaksi!$I$16:$I$5015,$C190,Transaksi!$B$16:$B$5015,"&gt;="&amp;DATE(Dashboard!$C$4,2,1),Transaksi!$B$16:$B$5015,"&lt;="&amp;EOMONTH(DATE(Dashboard!$C$4,2,1),0)))</f>
        <v/>
      </c>
      <c r="F190" s="165">
        <f>IF($C190="","",SUMIFS(Transaksi!$F$16:$F$5015,Transaksi!$G$16:$G$5015,$A190,Transaksi!$H$16:$H$5015,$B190,Transaksi!$I$16:$I$5015,$C190,Transaksi!$B$16:$B$5015,"&gt;="&amp;DATE(Dashboard!$C$4,3,1),Transaksi!$B$16:$B$5015,"&lt;="&amp;EOMONTH(DATE(Dashboard!$C$4,3,1),0)))</f>
        <v/>
      </c>
      <c r="G190" s="165">
        <f>IF($C190="","",SUMIFS(Transaksi!$F$16:$F$5015,Transaksi!$G$16:$G$5015,$A190,Transaksi!$H$16:$H$5015,$B190,Transaksi!$I$16:$I$5015,$C190,Transaksi!$B$16:$B$5015,"&gt;="&amp;DATE(Dashboard!$C$4,4,1),Transaksi!$B$16:$B$5015,"&lt;="&amp;EOMONTH(DATE(Dashboard!$C$4,4,1),0)))</f>
        <v/>
      </c>
      <c r="H190" s="165">
        <f>IF($C190="","",SUMIFS(Transaksi!$F$16:$F$5015,Transaksi!$G$16:$G$5015,$A190,Transaksi!$H$16:$H$5015,$B190,Transaksi!$I$16:$I$5015,$C190,Transaksi!$B$16:$B$5015,"&gt;="&amp;DATE(Dashboard!$C$4,5,1),Transaksi!$B$16:$B$5015,"&lt;="&amp;EOMONTH(DATE(Dashboard!$C$4,5,1),0)))</f>
        <v/>
      </c>
      <c r="I190" s="165">
        <f>IF($C190="","",SUMIFS(Transaksi!$F$16:$F$5015,Transaksi!$G$16:$G$5015,$A190,Transaksi!$H$16:$H$5015,$B190,Transaksi!$I$16:$I$5015,$C190,Transaksi!$B$16:$B$5015,"&gt;="&amp;DATE(Dashboard!$C$4,6,1),Transaksi!$B$16:$B$5015,"&lt;="&amp;EOMONTH(DATE(Dashboard!$C$4,6,1),0)))</f>
        <v/>
      </c>
      <c r="J190" s="165">
        <f>IF($C190="","",SUMIFS(Transaksi!$F$16:$F$5015,Transaksi!$G$16:$G$5015,$A190,Transaksi!$H$16:$H$5015,$B190,Transaksi!$I$16:$I$5015,$C190,Transaksi!$B$16:$B$5015,"&gt;="&amp;DATE(Dashboard!$C$4,7,1),Transaksi!$B$16:$B$5015,"&lt;="&amp;EOMONTH(DATE(Dashboard!$C$4,7,1),0)))</f>
        <v/>
      </c>
      <c r="K190" s="165">
        <f>IF($C190="","",SUMIFS(Transaksi!$F$16:$F$5015,Transaksi!$G$16:$G$5015,$A190,Transaksi!$H$16:$H$5015,$B190,Transaksi!$I$16:$I$5015,$C190,Transaksi!$B$16:$B$5015,"&gt;="&amp;DATE(Dashboard!$C$4,8,1),Transaksi!$B$16:$B$5015,"&lt;="&amp;EOMONTH(DATE(Dashboard!$C$4,8,1),0)))</f>
        <v/>
      </c>
      <c r="L190" s="165">
        <f>IF($C190="","",SUMIFS(Transaksi!$F$16:$F$5015,Transaksi!$G$16:$G$5015,$A190,Transaksi!$H$16:$H$5015,$B190,Transaksi!$I$16:$I$5015,$C190,Transaksi!$B$16:$B$5015,"&gt;="&amp;DATE(Dashboard!$C$4,9,1),Transaksi!$B$16:$B$5015,"&lt;="&amp;EOMONTH(DATE(Dashboard!$C$4,9,1),0)))</f>
        <v/>
      </c>
      <c r="M190" s="165">
        <f>IF($C190="","",SUMIFS(Transaksi!$F$16:$F$5015,Transaksi!$G$16:$G$5015,$A190,Transaksi!$H$16:$H$5015,$B190,Transaksi!$I$16:$I$5015,$C190,Transaksi!$B$16:$B$5015,"&gt;="&amp;DATE(Dashboard!$C$4,10,1),Transaksi!$B$16:$B$5015,"&lt;="&amp;EOMONTH(DATE(Dashboard!$C$4,10,1),0)))</f>
        <v/>
      </c>
      <c r="N190" s="165">
        <f>IF($C190="","",SUMIFS(Transaksi!$F$16:$F$5015,Transaksi!$G$16:$G$5015,$A190,Transaksi!$H$16:$H$5015,$B190,Transaksi!$I$16:$I$5015,$C190,Transaksi!$B$16:$B$5015,"&gt;="&amp;DATE(Dashboard!$C$4,11,1),Transaksi!$B$16:$B$5015,"&lt;="&amp;EOMONTH(DATE(Dashboard!$C$4,11,1),0)))</f>
        <v/>
      </c>
      <c r="O190" s="165">
        <f>IF($C190="","",SUMIFS(Transaksi!$F$16:$F$5015,Transaksi!$G$16:$G$5015,$A190,Transaksi!$H$16:$H$5015,$B190,Transaksi!$I$16:$I$5015,$C190,Transaksi!$B$16:$B$5015,"&gt;="&amp;DATE(Dashboard!$C$4,12,1),Transaksi!$B$16:$B$5015,"&lt;="&amp;EOMONTH(DATE(Dashboard!$C$4,12,1),0)))</f>
        <v/>
      </c>
      <c r="P190" s="166">
        <f>IF($C190="","",SUM(D190:O190))</f>
        <v/>
      </c>
    </row>
    <row r="191" ht="15" customHeight="1" s="94">
      <c r="A191" s="164">
        <f>IF(Kategori!C191="","",Kategori!A191)</f>
        <v/>
      </c>
      <c r="B191" s="164">
        <f>IF(Kategori!C191="","",Kategori!B191)</f>
        <v/>
      </c>
      <c r="C191" s="108">
        <f>IF(Kategori!C191="","",Kategori!C191)</f>
        <v/>
      </c>
      <c r="D191" s="165">
        <f>IF($C191="","",SUMIFS(Transaksi!$F$16:$F$5015,Transaksi!$G$16:$G$5015,$A191,Transaksi!$H$16:$H$5015,$B191,Transaksi!$I$16:$I$5015,$C191,Transaksi!$B$16:$B$5015,"&gt;="&amp;DATE(Dashboard!$C$4,1,1),Transaksi!$B$16:$B$5015,"&lt;="&amp;EOMONTH(DATE(Dashboard!$C$4,1,1),0)))</f>
        <v/>
      </c>
      <c r="E191" s="165">
        <f>IF($C191="","",SUMIFS(Transaksi!$F$16:$F$5015,Transaksi!$G$16:$G$5015,$A191,Transaksi!$H$16:$H$5015,$B191,Transaksi!$I$16:$I$5015,$C191,Transaksi!$B$16:$B$5015,"&gt;="&amp;DATE(Dashboard!$C$4,2,1),Transaksi!$B$16:$B$5015,"&lt;="&amp;EOMONTH(DATE(Dashboard!$C$4,2,1),0)))</f>
        <v/>
      </c>
      <c r="F191" s="165">
        <f>IF($C191="","",SUMIFS(Transaksi!$F$16:$F$5015,Transaksi!$G$16:$G$5015,$A191,Transaksi!$H$16:$H$5015,$B191,Transaksi!$I$16:$I$5015,$C191,Transaksi!$B$16:$B$5015,"&gt;="&amp;DATE(Dashboard!$C$4,3,1),Transaksi!$B$16:$B$5015,"&lt;="&amp;EOMONTH(DATE(Dashboard!$C$4,3,1),0)))</f>
        <v/>
      </c>
      <c r="G191" s="165">
        <f>IF($C191="","",SUMIFS(Transaksi!$F$16:$F$5015,Transaksi!$G$16:$G$5015,$A191,Transaksi!$H$16:$H$5015,$B191,Transaksi!$I$16:$I$5015,$C191,Transaksi!$B$16:$B$5015,"&gt;="&amp;DATE(Dashboard!$C$4,4,1),Transaksi!$B$16:$B$5015,"&lt;="&amp;EOMONTH(DATE(Dashboard!$C$4,4,1),0)))</f>
        <v/>
      </c>
      <c r="H191" s="165">
        <f>IF($C191="","",SUMIFS(Transaksi!$F$16:$F$5015,Transaksi!$G$16:$G$5015,$A191,Transaksi!$H$16:$H$5015,$B191,Transaksi!$I$16:$I$5015,$C191,Transaksi!$B$16:$B$5015,"&gt;="&amp;DATE(Dashboard!$C$4,5,1),Transaksi!$B$16:$B$5015,"&lt;="&amp;EOMONTH(DATE(Dashboard!$C$4,5,1),0)))</f>
        <v/>
      </c>
      <c r="I191" s="165">
        <f>IF($C191="","",SUMIFS(Transaksi!$F$16:$F$5015,Transaksi!$G$16:$G$5015,$A191,Transaksi!$H$16:$H$5015,$B191,Transaksi!$I$16:$I$5015,$C191,Transaksi!$B$16:$B$5015,"&gt;="&amp;DATE(Dashboard!$C$4,6,1),Transaksi!$B$16:$B$5015,"&lt;="&amp;EOMONTH(DATE(Dashboard!$C$4,6,1),0)))</f>
        <v/>
      </c>
      <c r="J191" s="165">
        <f>IF($C191="","",SUMIFS(Transaksi!$F$16:$F$5015,Transaksi!$G$16:$G$5015,$A191,Transaksi!$H$16:$H$5015,$B191,Transaksi!$I$16:$I$5015,$C191,Transaksi!$B$16:$B$5015,"&gt;="&amp;DATE(Dashboard!$C$4,7,1),Transaksi!$B$16:$B$5015,"&lt;="&amp;EOMONTH(DATE(Dashboard!$C$4,7,1),0)))</f>
        <v/>
      </c>
      <c r="K191" s="165">
        <f>IF($C191="","",SUMIFS(Transaksi!$F$16:$F$5015,Transaksi!$G$16:$G$5015,$A191,Transaksi!$H$16:$H$5015,$B191,Transaksi!$I$16:$I$5015,$C191,Transaksi!$B$16:$B$5015,"&gt;="&amp;DATE(Dashboard!$C$4,8,1),Transaksi!$B$16:$B$5015,"&lt;="&amp;EOMONTH(DATE(Dashboard!$C$4,8,1),0)))</f>
        <v/>
      </c>
      <c r="L191" s="165">
        <f>IF($C191="","",SUMIFS(Transaksi!$F$16:$F$5015,Transaksi!$G$16:$G$5015,$A191,Transaksi!$H$16:$H$5015,$B191,Transaksi!$I$16:$I$5015,$C191,Transaksi!$B$16:$B$5015,"&gt;="&amp;DATE(Dashboard!$C$4,9,1),Transaksi!$B$16:$B$5015,"&lt;="&amp;EOMONTH(DATE(Dashboard!$C$4,9,1),0)))</f>
        <v/>
      </c>
      <c r="M191" s="165">
        <f>IF($C191="","",SUMIFS(Transaksi!$F$16:$F$5015,Transaksi!$G$16:$G$5015,$A191,Transaksi!$H$16:$H$5015,$B191,Transaksi!$I$16:$I$5015,$C191,Transaksi!$B$16:$B$5015,"&gt;="&amp;DATE(Dashboard!$C$4,10,1),Transaksi!$B$16:$B$5015,"&lt;="&amp;EOMONTH(DATE(Dashboard!$C$4,10,1),0)))</f>
        <v/>
      </c>
      <c r="N191" s="165">
        <f>IF($C191="","",SUMIFS(Transaksi!$F$16:$F$5015,Transaksi!$G$16:$G$5015,$A191,Transaksi!$H$16:$H$5015,$B191,Transaksi!$I$16:$I$5015,$C191,Transaksi!$B$16:$B$5015,"&gt;="&amp;DATE(Dashboard!$C$4,11,1),Transaksi!$B$16:$B$5015,"&lt;="&amp;EOMONTH(DATE(Dashboard!$C$4,11,1),0)))</f>
        <v/>
      </c>
      <c r="O191" s="165">
        <f>IF($C191="","",SUMIFS(Transaksi!$F$16:$F$5015,Transaksi!$G$16:$G$5015,$A191,Transaksi!$H$16:$H$5015,$B191,Transaksi!$I$16:$I$5015,$C191,Transaksi!$B$16:$B$5015,"&gt;="&amp;DATE(Dashboard!$C$4,12,1),Transaksi!$B$16:$B$5015,"&lt;="&amp;EOMONTH(DATE(Dashboard!$C$4,12,1),0)))</f>
        <v/>
      </c>
      <c r="P191" s="166">
        <f>IF($C191="","",SUM(D191:O191))</f>
        <v/>
      </c>
    </row>
    <row r="192" ht="15" customHeight="1" s="94">
      <c r="A192" s="164">
        <f>IF(Kategori!C192="","",Kategori!A192)</f>
        <v/>
      </c>
      <c r="B192" s="164">
        <f>IF(Kategori!C192="","",Kategori!B192)</f>
        <v/>
      </c>
      <c r="C192" s="108">
        <f>IF(Kategori!C192="","",Kategori!C192)</f>
        <v/>
      </c>
      <c r="D192" s="165">
        <f>IF($C192="","",SUMIFS(Transaksi!$F$16:$F$5015,Transaksi!$G$16:$G$5015,$A192,Transaksi!$H$16:$H$5015,$B192,Transaksi!$I$16:$I$5015,$C192,Transaksi!$B$16:$B$5015,"&gt;="&amp;DATE(Dashboard!$C$4,1,1),Transaksi!$B$16:$B$5015,"&lt;="&amp;EOMONTH(DATE(Dashboard!$C$4,1,1),0)))</f>
        <v/>
      </c>
      <c r="E192" s="165">
        <f>IF($C192="","",SUMIFS(Transaksi!$F$16:$F$5015,Transaksi!$G$16:$G$5015,$A192,Transaksi!$H$16:$H$5015,$B192,Transaksi!$I$16:$I$5015,$C192,Transaksi!$B$16:$B$5015,"&gt;="&amp;DATE(Dashboard!$C$4,2,1),Transaksi!$B$16:$B$5015,"&lt;="&amp;EOMONTH(DATE(Dashboard!$C$4,2,1),0)))</f>
        <v/>
      </c>
      <c r="F192" s="165">
        <f>IF($C192="","",SUMIFS(Transaksi!$F$16:$F$5015,Transaksi!$G$16:$G$5015,$A192,Transaksi!$H$16:$H$5015,$B192,Transaksi!$I$16:$I$5015,$C192,Transaksi!$B$16:$B$5015,"&gt;="&amp;DATE(Dashboard!$C$4,3,1),Transaksi!$B$16:$B$5015,"&lt;="&amp;EOMONTH(DATE(Dashboard!$C$4,3,1),0)))</f>
        <v/>
      </c>
      <c r="G192" s="165">
        <f>IF($C192="","",SUMIFS(Transaksi!$F$16:$F$5015,Transaksi!$G$16:$G$5015,$A192,Transaksi!$H$16:$H$5015,$B192,Transaksi!$I$16:$I$5015,$C192,Transaksi!$B$16:$B$5015,"&gt;="&amp;DATE(Dashboard!$C$4,4,1),Transaksi!$B$16:$B$5015,"&lt;="&amp;EOMONTH(DATE(Dashboard!$C$4,4,1),0)))</f>
        <v/>
      </c>
      <c r="H192" s="165">
        <f>IF($C192="","",SUMIFS(Transaksi!$F$16:$F$5015,Transaksi!$G$16:$G$5015,$A192,Transaksi!$H$16:$H$5015,$B192,Transaksi!$I$16:$I$5015,$C192,Transaksi!$B$16:$B$5015,"&gt;="&amp;DATE(Dashboard!$C$4,5,1),Transaksi!$B$16:$B$5015,"&lt;="&amp;EOMONTH(DATE(Dashboard!$C$4,5,1),0)))</f>
        <v/>
      </c>
      <c r="I192" s="165">
        <f>IF($C192="","",SUMIFS(Transaksi!$F$16:$F$5015,Transaksi!$G$16:$G$5015,$A192,Transaksi!$H$16:$H$5015,$B192,Transaksi!$I$16:$I$5015,$C192,Transaksi!$B$16:$B$5015,"&gt;="&amp;DATE(Dashboard!$C$4,6,1),Transaksi!$B$16:$B$5015,"&lt;="&amp;EOMONTH(DATE(Dashboard!$C$4,6,1),0)))</f>
        <v/>
      </c>
      <c r="J192" s="165">
        <f>IF($C192="","",SUMIFS(Transaksi!$F$16:$F$5015,Transaksi!$G$16:$G$5015,$A192,Transaksi!$H$16:$H$5015,$B192,Transaksi!$I$16:$I$5015,$C192,Transaksi!$B$16:$B$5015,"&gt;="&amp;DATE(Dashboard!$C$4,7,1),Transaksi!$B$16:$B$5015,"&lt;="&amp;EOMONTH(DATE(Dashboard!$C$4,7,1),0)))</f>
        <v/>
      </c>
      <c r="K192" s="165">
        <f>IF($C192="","",SUMIFS(Transaksi!$F$16:$F$5015,Transaksi!$G$16:$G$5015,$A192,Transaksi!$H$16:$H$5015,$B192,Transaksi!$I$16:$I$5015,$C192,Transaksi!$B$16:$B$5015,"&gt;="&amp;DATE(Dashboard!$C$4,8,1),Transaksi!$B$16:$B$5015,"&lt;="&amp;EOMONTH(DATE(Dashboard!$C$4,8,1),0)))</f>
        <v/>
      </c>
      <c r="L192" s="165">
        <f>IF($C192="","",SUMIFS(Transaksi!$F$16:$F$5015,Transaksi!$G$16:$G$5015,$A192,Transaksi!$H$16:$H$5015,$B192,Transaksi!$I$16:$I$5015,$C192,Transaksi!$B$16:$B$5015,"&gt;="&amp;DATE(Dashboard!$C$4,9,1),Transaksi!$B$16:$B$5015,"&lt;="&amp;EOMONTH(DATE(Dashboard!$C$4,9,1),0)))</f>
        <v/>
      </c>
      <c r="M192" s="165">
        <f>IF($C192="","",SUMIFS(Transaksi!$F$16:$F$5015,Transaksi!$G$16:$G$5015,$A192,Transaksi!$H$16:$H$5015,$B192,Transaksi!$I$16:$I$5015,$C192,Transaksi!$B$16:$B$5015,"&gt;="&amp;DATE(Dashboard!$C$4,10,1),Transaksi!$B$16:$B$5015,"&lt;="&amp;EOMONTH(DATE(Dashboard!$C$4,10,1),0)))</f>
        <v/>
      </c>
      <c r="N192" s="165">
        <f>IF($C192="","",SUMIFS(Transaksi!$F$16:$F$5015,Transaksi!$G$16:$G$5015,$A192,Transaksi!$H$16:$H$5015,$B192,Transaksi!$I$16:$I$5015,$C192,Transaksi!$B$16:$B$5015,"&gt;="&amp;DATE(Dashboard!$C$4,11,1),Transaksi!$B$16:$B$5015,"&lt;="&amp;EOMONTH(DATE(Dashboard!$C$4,11,1),0)))</f>
        <v/>
      </c>
      <c r="O192" s="165">
        <f>IF($C192="","",SUMIFS(Transaksi!$F$16:$F$5015,Transaksi!$G$16:$G$5015,$A192,Transaksi!$H$16:$H$5015,$B192,Transaksi!$I$16:$I$5015,$C192,Transaksi!$B$16:$B$5015,"&gt;="&amp;DATE(Dashboard!$C$4,12,1),Transaksi!$B$16:$B$5015,"&lt;="&amp;EOMONTH(DATE(Dashboard!$C$4,12,1),0)))</f>
        <v/>
      </c>
      <c r="P192" s="166">
        <f>IF($C192="","",SUM(D192:O192))</f>
        <v/>
      </c>
    </row>
    <row r="193" ht="15" customHeight="1" s="94">
      <c r="A193" s="164">
        <f>IF(Kategori!C193="","",Kategori!A193)</f>
        <v/>
      </c>
      <c r="B193" s="164">
        <f>IF(Kategori!C193="","",Kategori!B193)</f>
        <v/>
      </c>
      <c r="C193" s="108">
        <f>IF(Kategori!C193="","",Kategori!C193)</f>
        <v/>
      </c>
      <c r="D193" s="165">
        <f>IF($C193="","",SUMIFS(Transaksi!$F$16:$F$5015,Transaksi!$G$16:$G$5015,$A193,Transaksi!$H$16:$H$5015,$B193,Transaksi!$I$16:$I$5015,$C193,Transaksi!$B$16:$B$5015,"&gt;="&amp;DATE(Dashboard!$C$4,1,1),Transaksi!$B$16:$B$5015,"&lt;="&amp;EOMONTH(DATE(Dashboard!$C$4,1,1),0)))</f>
        <v/>
      </c>
      <c r="E193" s="165">
        <f>IF($C193="","",SUMIFS(Transaksi!$F$16:$F$5015,Transaksi!$G$16:$G$5015,$A193,Transaksi!$H$16:$H$5015,$B193,Transaksi!$I$16:$I$5015,$C193,Transaksi!$B$16:$B$5015,"&gt;="&amp;DATE(Dashboard!$C$4,2,1),Transaksi!$B$16:$B$5015,"&lt;="&amp;EOMONTH(DATE(Dashboard!$C$4,2,1),0)))</f>
        <v/>
      </c>
      <c r="F193" s="165">
        <f>IF($C193="","",SUMIFS(Transaksi!$F$16:$F$5015,Transaksi!$G$16:$G$5015,$A193,Transaksi!$H$16:$H$5015,$B193,Transaksi!$I$16:$I$5015,$C193,Transaksi!$B$16:$B$5015,"&gt;="&amp;DATE(Dashboard!$C$4,3,1),Transaksi!$B$16:$B$5015,"&lt;="&amp;EOMONTH(DATE(Dashboard!$C$4,3,1),0)))</f>
        <v/>
      </c>
      <c r="G193" s="165">
        <f>IF($C193="","",SUMIFS(Transaksi!$F$16:$F$5015,Transaksi!$G$16:$G$5015,$A193,Transaksi!$H$16:$H$5015,$B193,Transaksi!$I$16:$I$5015,$C193,Transaksi!$B$16:$B$5015,"&gt;="&amp;DATE(Dashboard!$C$4,4,1),Transaksi!$B$16:$B$5015,"&lt;="&amp;EOMONTH(DATE(Dashboard!$C$4,4,1),0)))</f>
        <v/>
      </c>
      <c r="H193" s="165">
        <f>IF($C193="","",SUMIFS(Transaksi!$F$16:$F$5015,Transaksi!$G$16:$G$5015,$A193,Transaksi!$H$16:$H$5015,$B193,Transaksi!$I$16:$I$5015,$C193,Transaksi!$B$16:$B$5015,"&gt;="&amp;DATE(Dashboard!$C$4,5,1),Transaksi!$B$16:$B$5015,"&lt;="&amp;EOMONTH(DATE(Dashboard!$C$4,5,1),0)))</f>
        <v/>
      </c>
      <c r="I193" s="165">
        <f>IF($C193="","",SUMIFS(Transaksi!$F$16:$F$5015,Transaksi!$G$16:$G$5015,$A193,Transaksi!$H$16:$H$5015,$B193,Transaksi!$I$16:$I$5015,$C193,Transaksi!$B$16:$B$5015,"&gt;="&amp;DATE(Dashboard!$C$4,6,1),Transaksi!$B$16:$B$5015,"&lt;="&amp;EOMONTH(DATE(Dashboard!$C$4,6,1),0)))</f>
        <v/>
      </c>
      <c r="J193" s="165">
        <f>IF($C193="","",SUMIFS(Transaksi!$F$16:$F$5015,Transaksi!$G$16:$G$5015,$A193,Transaksi!$H$16:$H$5015,$B193,Transaksi!$I$16:$I$5015,$C193,Transaksi!$B$16:$B$5015,"&gt;="&amp;DATE(Dashboard!$C$4,7,1),Transaksi!$B$16:$B$5015,"&lt;="&amp;EOMONTH(DATE(Dashboard!$C$4,7,1),0)))</f>
        <v/>
      </c>
      <c r="K193" s="165">
        <f>IF($C193="","",SUMIFS(Transaksi!$F$16:$F$5015,Transaksi!$G$16:$G$5015,$A193,Transaksi!$H$16:$H$5015,$B193,Transaksi!$I$16:$I$5015,$C193,Transaksi!$B$16:$B$5015,"&gt;="&amp;DATE(Dashboard!$C$4,8,1),Transaksi!$B$16:$B$5015,"&lt;="&amp;EOMONTH(DATE(Dashboard!$C$4,8,1),0)))</f>
        <v/>
      </c>
      <c r="L193" s="165">
        <f>IF($C193="","",SUMIFS(Transaksi!$F$16:$F$5015,Transaksi!$G$16:$G$5015,$A193,Transaksi!$H$16:$H$5015,$B193,Transaksi!$I$16:$I$5015,$C193,Transaksi!$B$16:$B$5015,"&gt;="&amp;DATE(Dashboard!$C$4,9,1),Transaksi!$B$16:$B$5015,"&lt;="&amp;EOMONTH(DATE(Dashboard!$C$4,9,1),0)))</f>
        <v/>
      </c>
      <c r="M193" s="165">
        <f>IF($C193="","",SUMIFS(Transaksi!$F$16:$F$5015,Transaksi!$G$16:$G$5015,$A193,Transaksi!$H$16:$H$5015,$B193,Transaksi!$I$16:$I$5015,$C193,Transaksi!$B$16:$B$5015,"&gt;="&amp;DATE(Dashboard!$C$4,10,1),Transaksi!$B$16:$B$5015,"&lt;="&amp;EOMONTH(DATE(Dashboard!$C$4,10,1),0)))</f>
        <v/>
      </c>
      <c r="N193" s="165">
        <f>IF($C193="","",SUMIFS(Transaksi!$F$16:$F$5015,Transaksi!$G$16:$G$5015,$A193,Transaksi!$H$16:$H$5015,$B193,Transaksi!$I$16:$I$5015,$C193,Transaksi!$B$16:$B$5015,"&gt;="&amp;DATE(Dashboard!$C$4,11,1),Transaksi!$B$16:$B$5015,"&lt;="&amp;EOMONTH(DATE(Dashboard!$C$4,11,1),0)))</f>
        <v/>
      </c>
      <c r="O193" s="165">
        <f>IF($C193="","",SUMIFS(Transaksi!$F$16:$F$5015,Transaksi!$G$16:$G$5015,$A193,Transaksi!$H$16:$H$5015,$B193,Transaksi!$I$16:$I$5015,$C193,Transaksi!$B$16:$B$5015,"&gt;="&amp;DATE(Dashboard!$C$4,12,1),Transaksi!$B$16:$B$5015,"&lt;="&amp;EOMONTH(DATE(Dashboard!$C$4,12,1),0)))</f>
        <v/>
      </c>
      <c r="P193" s="166">
        <f>IF($C193="","",SUM(D193:O193))</f>
        <v/>
      </c>
    </row>
    <row r="194" ht="15" customHeight="1" s="94">
      <c r="A194" s="164">
        <f>IF(Kategori!C194="","",Kategori!A194)</f>
        <v/>
      </c>
      <c r="B194" s="164">
        <f>IF(Kategori!C194="","",Kategori!B194)</f>
        <v/>
      </c>
      <c r="C194" s="108">
        <f>IF(Kategori!C194="","",Kategori!C194)</f>
        <v/>
      </c>
      <c r="D194" s="165">
        <f>IF($C194="","",SUMIFS(Transaksi!$F$16:$F$5015,Transaksi!$G$16:$G$5015,$A194,Transaksi!$H$16:$H$5015,$B194,Transaksi!$I$16:$I$5015,$C194,Transaksi!$B$16:$B$5015,"&gt;="&amp;DATE(Dashboard!$C$4,1,1),Transaksi!$B$16:$B$5015,"&lt;="&amp;EOMONTH(DATE(Dashboard!$C$4,1,1),0)))</f>
        <v/>
      </c>
      <c r="E194" s="165">
        <f>IF($C194="","",SUMIFS(Transaksi!$F$16:$F$5015,Transaksi!$G$16:$G$5015,$A194,Transaksi!$H$16:$H$5015,$B194,Transaksi!$I$16:$I$5015,$C194,Transaksi!$B$16:$B$5015,"&gt;="&amp;DATE(Dashboard!$C$4,2,1),Transaksi!$B$16:$B$5015,"&lt;="&amp;EOMONTH(DATE(Dashboard!$C$4,2,1),0)))</f>
        <v/>
      </c>
      <c r="F194" s="165">
        <f>IF($C194="","",SUMIFS(Transaksi!$F$16:$F$5015,Transaksi!$G$16:$G$5015,$A194,Transaksi!$H$16:$H$5015,$B194,Transaksi!$I$16:$I$5015,$C194,Transaksi!$B$16:$B$5015,"&gt;="&amp;DATE(Dashboard!$C$4,3,1),Transaksi!$B$16:$B$5015,"&lt;="&amp;EOMONTH(DATE(Dashboard!$C$4,3,1),0)))</f>
        <v/>
      </c>
      <c r="G194" s="165">
        <f>IF($C194="","",SUMIFS(Transaksi!$F$16:$F$5015,Transaksi!$G$16:$G$5015,$A194,Transaksi!$H$16:$H$5015,$B194,Transaksi!$I$16:$I$5015,$C194,Transaksi!$B$16:$B$5015,"&gt;="&amp;DATE(Dashboard!$C$4,4,1),Transaksi!$B$16:$B$5015,"&lt;="&amp;EOMONTH(DATE(Dashboard!$C$4,4,1),0)))</f>
        <v/>
      </c>
      <c r="H194" s="165">
        <f>IF($C194="","",SUMIFS(Transaksi!$F$16:$F$5015,Transaksi!$G$16:$G$5015,$A194,Transaksi!$H$16:$H$5015,$B194,Transaksi!$I$16:$I$5015,$C194,Transaksi!$B$16:$B$5015,"&gt;="&amp;DATE(Dashboard!$C$4,5,1),Transaksi!$B$16:$B$5015,"&lt;="&amp;EOMONTH(DATE(Dashboard!$C$4,5,1),0)))</f>
        <v/>
      </c>
      <c r="I194" s="165">
        <f>IF($C194="","",SUMIFS(Transaksi!$F$16:$F$5015,Transaksi!$G$16:$G$5015,$A194,Transaksi!$H$16:$H$5015,$B194,Transaksi!$I$16:$I$5015,$C194,Transaksi!$B$16:$B$5015,"&gt;="&amp;DATE(Dashboard!$C$4,6,1),Transaksi!$B$16:$B$5015,"&lt;="&amp;EOMONTH(DATE(Dashboard!$C$4,6,1),0)))</f>
        <v/>
      </c>
      <c r="J194" s="165">
        <f>IF($C194="","",SUMIFS(Transaksi!$F$16:$F$5015,Transaksi!$G$16:$G$5015,$A194,Transaksi!$H$16:$H$5015,$B194,Transaksi!$I$16:$I$5015,$C194,Transaksi!$B$16:$B$5015,"&gt;="&amp;DATE(Dashboard!$C$4,7,1),Transaksi!$B$16:$B$5015,"&lt;="&amp;EOMONTH(DATE(Dashboard!$C$4,7,1),0)))</f>
        <v/>
      </c>
      <c r="K194" s="165">
        <f>IF($C194="","",SUMIFS(Transaksi!$F$16:$F$5015,Transaksi!$G$16:$G$5015,$A194,Transaksi!$H$16:$H$5015,$B194,Transaksi!$I$16:$I$5015,$C194,Transaksi!$B$16:$B$5015,"&gt;="&amp;DATE(Dashboard!$C$4,8,1),Transaksi!$B$16:$B$5015,"&lt;="&amp;EOMONTH(DATE(Dashboard!$C$4,8,1),0)))</f>
        <v/>
      </c>
      <c r="L194" s="165">
        <f>IF($C194="","",SUMIFS(Transaksi!$F$16:$F$5015,Transaksi!$G$16:$G$5015,$A194,Transaksi!$H$16:$H$5015,$B194,Transaksi!$I$16:$I$5015,$C194,Transaksi!$B$16:$B$5015,"&gt;="&amp;DATE(Dashboard!$C$4,9,1),Transaksi!$B$16:$B$5015,"&lt;="&amp;EOMONTH(DATE(Dashboard!$C$4,9,1),0)))</f>
        <v/>
      </c>
      <c r="M194" s="165">
        <f>IF($C194="","",SUMIFS(Transaksi!$F$16:$F$5015,Transaksi!$G$16:$G$5015,$A194,Transaksi!$H$16:$H$5015,$B194,Transaksi!$I$16:$I$5015,$C194,Transaksi!$B$16:$B$5015,"&gt;="&amp;DATE(Dashboard!$C$4,10,1),Transaksi!$B$16:$B$5015,"&lt;="&amp;EOMONTH(DATE(Dashboard!$C$4,10,1),0)))</f>
        <v/>
      </c>
      <c r="N194" s="165">
        <f>IF($C194="","",SUMIFS(Transaksi!$F$16:$F$5015,Transaksi!$G$16:$G$5015,$A194,Transaksi!$H$16:$H$5015,$B194,Transaksi!$I$16:$I$5015,$C194,Transaksi!$B$16:$B$5015,"&gt;="&amp;DATE(Dashboard!$C$4,11,1),Transaksi!$B$16:$B$5015,"&lt;="&amp;EOMONTH(DATE(Dashboard!$C$4,11,1),0)))</f>
        <v/>
      </c>
      <c r="O194" s="165">
        <f>IF($C194="","",SUMIFS(Transaksi!$F$16:$F$5015,Transaksi!$G$16:$G$5015,$A194,Transaksi!$H$16:$H$5015,$B194,Transaksi!$I$16:$I$5015,$C194,Transaksi!$B$16:$B$5015,"&gt;="&amp;DATE(Dashboard!$C$4,12,1),Transaksi!$B$16:$B$5015,"&lt;="&amp;EOMONTH(DATE(Dashboard!$C$4,12,1),0)))</f>
        <v/>
      </c>
      <c r="P194" s="166">
        <f>IF($C194="","",SUM(D194:O194))</f>
        <v/>
      </c>
    </row>
    <row r="195" ht="15" customHeight="1" s="94">
      <c r="A195" s="164">
        <f>IF(Kategori!C195="","",Kategori!A195)</f>
        <v/>
      </c>
      <c r="B195" s="164">
        <f>IF(Kategori!C195="","",Kategori!B195)</f>
        <v/>
      </c>
      <c r="C195" s="108">
        <f>IF(Kategori!C195="","",Kategori!C195)</f>
        <v/>
      </c>
      <c r="D195" s="165">
        <f>IF($C195="","",SUMIFS(Transaksi!$F$16:$F$5015,Transaksi!$G$16:$G$5015,$A195,Transaksi!$H$16:$H$5015,$B195,Transaksi!$I$16:$I$5015,$C195,Transaksi!$B$16:$B$5015,"&gt;="&amp;DATE(Dashboard!$C$4,1,1),Transaksi!$B$16:$B$5015,"&lt;="&amp;EOMONTH(DATE(Dashboard!$C$4,1,1),0)))</f>
        <v/>
      </c>
      <c r="E195" s="165">
        <f>IF($C195="","",SUMIFS(Transaksi!$F$16:$F$5015,Transaksi!$G$16:$G$5015,$A195,Transaksi!$H$16:$H$5015,$B195,Transaksi!$I$16:$I$5015,$C195,Transaksi!$B$16:$B$5015,"&gt;="&amp;DATE(Dashboard!$C$4,2,1),Transaksi!$B$16:$B$5015,"&lt;="&amp;EOMONTH(DATE(Dashboard!$C$4,2,1),0)))</f>
        <v/>
      </c>
      <c r="F195" s="165">
        <f>IF($C195="","",SUMIFS(Transaksi!$F$16:$F$5015,Transaksi!$G$16:$G$5015,$A195,Transaksi!$H$16:$H$5015,$B195,Transaksi!$I$16:$I$5015,$C195,Transaksi!$B$16:$B$5015,"&gt;="&amp;DATE(Dashboard!$C$4,3,1),Transaksi!$B$16:$B$5015,"&lt;="&amp;EOMONTH(DATE(Dashboard!$C$4,3,1),0)))</f>
        <v/>
      </c>
      <c r="G195" s="165">
        <f>IF($C195="","",SUMIFS(Transaksi!$F$16:$F$5015,Transaksi!$G$16:$G$5015,$A195,Transaksi!$H$16:$H$5015,$B195,Transaksi!$I$16:$I$5015,$C195,Transaksi!$B$16:$B$5015,"&gt;="&amp;DATE(Dashboard!$C$4,4,1),Transaksi!$B$16:$B$5015,"&lt;="&amp;EOMONTH(DATE(Dashboard!$C$4,4,1),0)))</f>
        <v/>
      </c>
      <c r="H195" s="165">
        <f>IF($C195="","",SUMIFS(Transaksi!$F$16:$F$5015,Transaksi!$G$16:$G$5015,$A195,Transaksi!$H$16:$H$5015,$B195,Transaksi!$I$16:$I$5015,$C195,Transaksi!$B$16:$B$5015,"&gt;="&amp;DATE(Dashboard!$C$4,5,1),Transaksi!$B$16:$B$5015,"&lt;="&amp;EOMONTH(DATE(Dashboard!$C$4,5,1),0)))</f>
        <v/>
      </c>
      <c r="I195" s="165">
        <f>IF($C195="","",SUMIFS(Transaksi!$F$16:$F$5015,Transaksi!$G$16:$G$5015,$A195,Transaksi!$H$16:$H$5015,$B195,Transaksi!$I$16:$I$5015,$C195,Transaksi!$B$16:$B$5015,"&gt;="&amp;DATE(Dashboard!$C$4,6,1),Transaksi!$B$16:$B$5015,"&lt;="&amp;EOMONTH(DATE(Dashboard!$C$4,6,1),0)))</f>
        <v/>
      </c>
      <c r="J195" s="165">
        <f>IF($C195="","",SUMIFS(Transaksi!$F$16:$F$5015,Transaksi!$G$16:$G$5015,$A195,Transaksi!$H$16:$H$5015,$B195,Transaksi!$I$16:$I$5015,$C195,Transaksi!$B$16:$B$5015,"&gt;="&amp;DATE(Dashboard!$C$4,7,1),Transaksi!$B$16:$B$5015,"&lt;="&amp;EOMONTH(DATE(Dashboard!$C$4,7,1),0)))</f>
        <v/>
      </c>
      <c r="K195" s="165">
        <f>IF($C195="","",SUMIFS(Transaksi!$F$16:$F$5015,Transaksi!$G$16:$G$5015,$A195,Transaksi!$H$16:$H$5015,$B195,Transaksi!$I$16:$I$5015,$C195,Transaksi!$B$16:$B$5015,"&gt;="&amp;DATE(Dashboard!$C$4,8,1),Transaksi!$B$16:$B$5015,"&lt;="&amp;EOMONTH(DATE(Dashboard!$C$4,8,1),0)))</f>
        <v/>
      </c>
      <c r="L195" s="165">
        <f>IF($C195="","",SUMIFS(Transaksi!$F$16:$F$5015,Transaksi!$G$16:$G$5015,$A195,Transaksi!$H$16:$H$5015,$B195,Transaksi!$I$16:$I$5015,$C195,Transaksi!$B$16:$B$5015,"&gt;="&amp;DATE(Dashboard!$C$4,9,1),Transaksi!$B$16:$B$5015,"&lt;="&amp;EOMONTH(DATE(Dashboard!$C$4,9,1),0)))</f>
        <v/>
      </c>
      <c r="M195" s="165">
        <f>IF($C195="","",SUMIFS(Transaksi!$F$16:$F$5015,Transaksi!$G$16:$G$5015,$A195,Transaksi!$H$16:$H$5015,$B195,Transaksi!$I$16:$I$5015,$C195,Transaksi!$B$16:$B$5015,"&gt;="&amp;DATE(Dashboard!$C$4,10,1),Transaksi!$B$16:$B$5015,"&lt;="&amp;EOMONTH(DATE(Dashboard!$C$4,10,1),0)))</f>
        <v/>
      </c>
      <c r="N195" s="165">
        <f>IF($C195="","",SUMIFS(Transaksi!$F$16:$F$5015,Transaksi!$G$16:$G$5015,$A195,Transaksi!$H$16:$H$5015,$B195,Transaksi!$I$16:$I$5015,$C195,Transaksi!$B$16:$B$5015,"&gt;="&amp;DATE(Dashboard!$C$4,11,1),Transaksi!$B$16:$B$5015,"&lt;="&amp;EOMONTH(DATE(Dashboard!$C$4,11,1),0)))</f>
        <v/>
      </c>
      <c r="O195" s="165">
        <f>IF($C195="","",SUMIFS(Transaksi!$F$16:$F$5015,Transaksi!$G$16:$G$5015,$A195,Transaksi!$H$16:$H$5015,$B195,Transaksi!$I$16:$I$5015,$C195,Transaksi!$B$16:$B$5015,"&gt;="&amp;DATE(Dashboard!$C$4,12,1),Transaksi!$B$16:$B$5015,"&lt;="&amp;EOMONTH(DATE(Dashboard!$C$4,12,1),0)))</f>
        <v/>
      </c>
      <c r="P195" s="166">
        <f>IF($C195="","",SUM(D195:O195))</f>
        <v/>
      </c>
    </row>
    <row r="196" ht="15" customHeight="1" s="94">
      <c r="A196" s="164">
        <f>IF(Kategori!C196="","",Kategori!A196)</f>
        <v/>
      </c>
      <c r="B196" s="164">
        <f>IF(Kategori!C196="","",Kategori!B196)</f>
        <v/>
      </c>
      <c r="C196" s="108">
        <f>IF(Kategori!C196="","",Kategori!C196)</f>
        <v/>
      </c>
      <c r="D196" s="165">
        <f>IF($C196="","",SUMIFS(Transaksi!$F$16:$F$5015,Transaksi!$G$16:$G$5015,$A196,Transaksi!$H$16:$H$5015,$B196,Transaksi!$I$16:$I$5015,$C196,Transaksi!$B$16:$B$5015,"&gt;="&amp;DATE(Dashboard!$C$4,1,1),Transaksi!$B$16:$B$5015,"&lt;="&amp;EOMONTH(DATE(Dashboard!$C$4,1,1),0)))</f>
        <v/>
      </c>
      <c r="E196" s="165">
        <f>IF($C196="","",SUMIFS(Transaksi!$F$16:$F$5015,Transaksi!$G$16:$G$5015,$A196,Transaksi!$H$16:$H$5015,$B196,Transaksi!$I$16:$I$5015,$C196,Transaksi!$B$16:$B$5015,"&gt;="&amp;DATE(Dashboard!$C$4,2,1),Transaksi!$B$16:$B$5015,"&lt;="&amp;EOMONTH(DATE(Dashboard!$C$4,2,1),0)))</f>
        <v/>
      </c>
      <c r="F196" s="165">
        <f>IF($C196="","",SUMIFS(Transaksi!$F$16:$F$5015,Transaksi!$G$16:$G$5015,$A196,Transaksi!$H$16:$H$5015,$B196,Transaksi!$I$16:$I$5015,$C196,Transaksi!$B$16:$B$5015,"&gt;="&amp;DATE(Dashboard!$C$4,3,1),Transaksi!$B$16:$B$5015,"&lt;="&amp;EOMONTH(DATE(Dashboard!$C$4,3,1),0)))</f>
        <v/>
      </c>
      <c r="G196" s="165">
        <f>IF($C196="","",SUMIFS(Transaksi!$F$16:$F$5015,Transaksi!$G$16:$G$5015,$A196,Transaksi!$H$16:$H$5015,$B196,Transaksi!$I$16:$I$5015,$C196,Transaksi!$B$16:$B$5015,"&gt;="&amp;DATE(Dashboard!$C$4,4,1),Transaksi!$B$16:$B$5015,"&lt;="&amp;EOMONTH(DATE(Dashboard!$C$4,4,1),0)))</f>
        <v/>
      </c>
      <c r="H196" s="165">
        <f>IF($C196="","",SUMIFS(Transaksi!$F$16:$F$5015,Transaksi!$G$16:$G$5015,$A196,Transaksi!$H$16:$H$5015,$B196,Transaksi!$I$16:$I$5015,$C196,Transaksi!$B$16:$B$5015,"&gt;="&amp;DATE(Dashboard!$C$4,5,1),Transaksi!$B$16:$B$5015,"&lt;="&amp;EOMONTH(DATE(Dashboard!$C$4,5,1),0)))</f>
        <v/>
      </c>
      <c r="I196" s="165">
        <f>IF($C196="","",SUMIFS(Transaksi!$F$16:$F$5015,Transaksi!$G$16:$G$5015,$A196,Transaksi!$H$16:$H$5015,$B196,Transaksi!$I$16:$I$5015,$C196,Transaksi!$B$16:$B$5015,"&gt;="&amp;DATE(Dashboard!$C$4,6,1),Transaksi!$B$16:$B$5015,"&lt;="&amp;EOMONTH(DATE(Dashboard!$C$4,6,1),0)))</f>
        <v/>
      </c>
      <c r="J196" s="165">
        <f>IF($C196="","",SUMIFS(Transaksi!$F$16:$F$5015,Transaksi!$G$16:$G$5015,$A196,Transaksi!$H$16:$H$5015,$B196,Transaksi!$I$16:$I$5015,$C196,Transaksi!$B$16:$B$5015,"&gt;="&amp;DATE(Dashboard!$C$4,7,1),Transaksi!$B$16:$B$5015,"&lt;="&amp;EOMONTH(DATE(Dashboard!$C$4,7,1),0)))</f>
        <v/>
      </c>
      <c r="K196" s="165">
        <f>IF($C196="","",SUMIFS(Transaksi!$F$16:$F$5015,Transaksi!$G$16:$G$5015,$A196,Transaksi!$H$16:$H$5015,$B196,Transaksi!$I$16:$I$5015,$C196,Transaksi!$B$16:$B$5015,"&gt;="&amp;DATE(Dashboard!$C$4,8,1),Transaksi!$B$16:$B$5015,"&lt;="&amp;EOMONTH(DATE(Dashboard!$C$4,8,1),0)))</f>
        <v/>
      </c>
      <c r="L196" s="165">
        <f>IF($C196="","",SUMIFS(Transaksi!$F$16:$F$5015,Transaksi!$G$16:$G$5015,$A196,Transaksi!$H$16:$H$5015,$B196,Transaksi!$I$16:$I$5015,$C196,Transaksi!$B$16:$B$5015,"&gt;="&amp;DATE(Dashboard!$C$4,9,1),Transaksi!$B$16:$B$5015,"&lt;="&amp;EOMONTH(DATE(Dashboard!$C$4,9,1),0)))</f>
        <v/>
      </c>
      <c r="M196" s="165">
        <f>IF($C196="","",SUMIFS(Transaksi!$F$16:$F$5015,Transaksi!$G$16:$G$5015,$A196,Transaksi!$H$16:$H$5015,$B196,Transaksi!$I$16:$I$5015,$C196,Transaksi!$B$16:$B$5015,"&gt;="&amp;DATE(Dashboard!$C$4,10,1),Transaksi!$B$16:$B$5015,"&lt;="&amp;EOMONTH(DATE(Dashboard!$C$4,10,1),0)))</f>
        <v/>
      </c>
      <c r="N196" s="165">
        <f>IF($C196="","",SUMIFS(Transaksi!$F$16:$F$5015,Transaksi!$G$16:$G$5015,$A196,Transaksi!$H$16:$H$5015,$B196,Transaksi!$I$16:$I$5015,$C196,Transaksi!$B$16:$B$5015,"&gt;="&amp;DATE(Dashboard!$C$4,11,1),Transaksi!$B$16:$B$5015,"&lt;="&amp;EOMONTH(DATE(Dashboard!$C$4,11,1),0)))</f>
        <v/>
      </c>
      <c r="O196" s="165">
        <f>IF($C196="","",SUMIFS(Transaksi!$F$16:$F$5015,Transaksi!$G$16:$G$5015,$A196,Transaksi!$H$16:$H$5015,$B196,Transaksi!$I$16:$I$5015,$C196,Transaksi!$B$16:$B$5015,"&gt;="&amp;DATE(Dashboard!$C$4,12,1),Transaksi!$B$16:$B$5015,"&lt;="&amp;EOMONTH(DATE(Dashboard!$C$4,12,1),0)))</f>
        <v/>
      </c>
      <c r="P196" s="166">
        <f>IF($C196="","",SUM(D196:O196))</f>
        <v/>
      </c>
    </row>
    <row r="197" ht="15" customHeight="1" s="94">
      <c r="A197" s="164">
        <f>IF(Kategori!C197="","",Kategori!A197)</f>
        <v/>
      </c>
      <c r="B197" s="164">
        <f>IF(Kategori!C197="","",Kategori!B197)</f>
        <v/>
      </c>
      <c r="C197" s="108">
        <f>IF(Kategori!C197="","",Kategori!C197)</f>
        <v/>
      </c>
      <c r="D197" s="165">
        <f>IF($C197="","",SUMIFS(Transaksi!$F$16:$F$5015,Transaksi!$G$16:$G$5015,$A197,Transaksi!$H$16:$H$5015,$B197,Transaksi!$I$16:$I$5015,$C197,Transaksi!$B$16:$B$5015,"&gt;="&amp;DATE(Dashboard!$C$4,1,1),Transaksi!$B$16:$B$5015,"&lt;="&amp;EOMONTH(DATE(Dashboard!$C$4,1,1),0)))</f>
        <v/>
      </c>
      <c r="E197" s="165">
        <f>IF($C197="","",SUMIFS(Transaksi!$F$16:$F$5015,Transaksi!$G$16:$G$5015,$A197,Transaksi!$H$16:$H$5015,$B197,Transaksi!$I$16:$I$5015,$C197,Transaksi!$B$16:$B$5015,"&gt;="&amp;DATE(Dashboard!$C$4,2,1),Transaksi!$B$16:$B$5015,"&lt;="&amp;EOMONTH(DATE(Dashboard!$C$4,2,1),0)))</f>
        <v/>
      </c>
      <c r="F197" s="165">
        <f>IF($C197="","",SUMIFS(Transaksi!$F$16:$F$5015,Transaksi!$G$16:$G$5015,$A197,Transaksi!$H$16:$H$5015,$B197,Transaksi!$I$16:$I$5015,$C197,Transaksi!$B$16:$B$5015,"&gt;="&amp;DATE(Dashboard!$C$4,3,1),Transaksi!$B$16:$B$5015,"&lt;="&amp;EOMONTH(DATE(Dashboard!$C$4,3,1),0)))</f>
        <v/>
      </c>
      <c r="G197" s="165">
        <f>IF($C197="","",SUMIFS(Transaksi!$F$16:$F$5015,Transaksi!$G$16:$G$5015,$A197,Transaksi!$H$16:$H$5015,$B197,Transaksi!$I$16:$I$5015,$C197,Transaksi!$B$16:$B$5015,"&gt;="&amp;DATE(Dashboard!$C$4,4,1),Transaksi!$B$16:$B$5015,"&lt;="&amp;EOMONTH(DATE(Dashboard!$C$4,4,1),0)))</f>
        <v/>
      </c>
      <c r="H197" s="165">
        <f>IF($C197="","",SUMIFS(Transaksi!$F$16:$F$5015,Transaksi!$G$16:$G$5015,$A197,Transaksi!$H$16:$H$5015,$B197,Transaksi!$I$16:$I$5015,$C197,Transaksi!$B$16:$B$5015,"&gt;="&amp;DATE(Dashboard!$C$4,5,1),Transaksi!$B$16:$B$5015,"&lt;="&amp;EOMONTH(DATE(Dashboard!$C$4,5,1),0)))</f>
        <v/>
      </c>
      <c r="I197" s="165">
        <f>IF($C197="","",SUMIFS(Transaksi!$F$16:$F$5015,Transaksi!$G$16:$G$5015,$A197,Transaksi!$H$16:$H$5015,$B197,Transaksi!$I$16:$I$5015,$C197,Transaksi!$B$16:$B$5015,"&gt;="&amp;DATE(Dashboard!$C$4,6,1),Transaksi!$B$16:$B$5015,"&lt;="&amp;EOMONTH(DATE(Dashboard!$C$4,6,1),0)))</f>
        <v/>
      </c>
      <c r="J197" s="165">
        <f>IF($C197="","",SUMIFS(Transaksi!$F$16:$F$5015,Transaksi!$G$16:$G$5015,$A197,Transaksi!$H$16:$H$5015,$B197,Transaksi!$I$16:$I$5015,$C197,Transaksi!$B$16:$B$5015,"&gt;="&amp;DATE(Dashboard!$C$4,7,1),Transaksi!$B$16:$B$5015,"&lt;="&amp;EOMONTH(DATE(Dashboard!$C$4,7,1),0)))</f>
        <v/>
      </c>
      <c r="K197" s="165">
        <f>IF($C197="","",SUMIFS(Transaksi!$F$16:$F$5015,Transaksi!$G$16:$G$5015,$A197,Transaksi!$H$16:$H$5015,$B197,Transaksi!$I$16:$I$5015,$C197,Transaksi!$B$16:$B$5015,"&gt;="&amp;DATE(Dashboard!$C$4,8,1),Transaksi!$B$16:$B$5015,"&lt;="&amp;EOMONTH(DATE(Dashboard!$C$4,8,1),0)))</f>
        <v/>
      </c>
      <c r="L197" s="165">
        <f>IF($C197="","",SUMIFS(Transaksi!$F$16:$F$5015,Transaksi!$G$16:$G$5015,$A197,Transaksi!$H$16:$H$5015,$B197,Transaksi!$I$16:$I$5015,$C197,Transaksi!$B$16:$B$5015,"&gt;="&amp;DATE(Dashboard!$C$4,9,1),Transaksi!$B$16:$B$5015,"&lt;="&amp;EOMONTH(DATE(Dashboard!$C$4,9,1),0)))</f>
        <v/>
      </c>
      <c r="M197" s="165">
        <f>IF($C197="","",SUMIFS(Transaksi!$F$16:$F$5015,Transaksi!$G$16:$G$5015,$A197,Transaksi!$H$16:$H$5015,$B197,Transaksi!$I$16:$I$5015,$C197,Transaksi!$B$16:$B$5015,"&gt;="&amp;DATE(Dashboard!$C$4,10,1),Transaksi!$B$16:$B$5015,"&lt;="&amp;EOMONTH(DATE(Dashboard!$C$4,10,1),0)))</f>
        <v/>
      </c>
      <c r="N197" s="165">
        <f>IF($C197="","",SUMIFS(Transaksi!$F$16:$F$5015,Transaksi!$G$16:$G$5015,$A197,Transaksi!$H$16:$H$5015,$B197,Transaksi!$I$16:$I$5015,$C197,Transaksi!$B$16:$B$5015,"&gt;="&amp;DATE(Dashboard!$C$4,11,1),Transaksi!$B$16:$B$5015,"&lt;="&amp;EOMONTH(DATE(Dashboard!$C$4,11,1),0)))</f>
        <v/>
      </c>
      <c r="O197" s="165">
        <f>IF($C197="","",SUMIFS(Transaksi!$F$16:$F$5015,Transaksi!$G$16:$G$5015,$A197,Transaksi!$H$16:$H$5015,$B197,Transaksi!$I$16:$I$5015,$C197,Transaksi!$B$16:$B$5015,"&gt;="&amp;DATE(Dashboard!$C$4,12,1),Transaksi!$B$16:$B$5015,"&lt;="&amp;EOMONTH(DATE(Dashboard!$C$4,12,1),0)))</f>
        <v/>
      </c>
      <c r="P197" s="166">
        <f>IF($C197="","",SUM(D197:O197))</f>
        <v/>
      </c>
    </row>
    <row r="198" ht="15" customHeight="1" s="94">
      <c r="A198" s="164">
        <f>IF(Kategori!C198="","",Kategori!A198)</f>
        <v/>
      </c>
      <c r="B198" s="164">
        <f>IF(Kategori!C198="","",Kategori!B198)</f>
        <v/>
      </c>
      <c r="C198" s="108">
        <f>IF(Kategori!C198="","",Kategori!C198)</f>
        <v/>
      </c>
      <c r="D198" s="165">
        <f>IF($C198="","",SUMIFS(Transaksi!$F$16:$F$5015,Transaksi!$G$16:$G$5015,$A198,Transaksi!$H$16:$H$5015,$B198,Transaksi!$I$16:$I$5015,$C198,Transaksi!$B$16:$B$5015,"&gt;="&amp;DATE(Dashboard!$C$4,1,1),Transaksi!$B$16:$B$5015,"&lt;="&amp;EOMONTH(DATE(Dashboard!$C$4,1,1),0)))</f>
        <v/>
      </c>
      <c r="E198" s="165">
        <f>IF($C198="","",SUMIFS(Transaksi!$F$16:$F$5015,Transaksi!$G$16:$G$5015,$A198,Transaksi!$H$16:$H$5015,$B198,Transaksi!$I$16:$I$5015,$C198,Transaksi!$B$16:$B$5015,"&gt;="&amp;DATE(Dashboard!$C$4,2,1),Transaksi!$B$16:$B$5015,"&lt;="&amp;EOMONTH(DATE(Dashboard!$C$4,2,1),0)))</f>
        <v/>
      </c>
      <c r="F198" s="165">
        <f>IF($C198="","",SUMIFS(Transaksi!$F$16:$F$5015,Transaksi!$G$16:$G$5015,$A198,Transaksi!$H$16:$H$5015,$B198,Transaksi!$I$16:$I$5015,$C198,Transaksi!$B$16:$B$5015,"&gt;="&amp;DATE(Dashboard!$C$4,3,1),Transaksi!$B$16:$B$5015,"&lt;="&amp;EOMONTH(DATE(Dashboard!$C$4,3,1),0)))</f>
        <v/>
      </c>
      <c r="G198" s="165">
        <f>IF($C198="","",SUMIFS(Transaksi!$F$16:$F$5015,Transaksi!$G$16:$G$5015,$A198,Transaksi!$H$16:$H$5015,$B198,Transaksi!$I$16:$I$5015,$C198,Transaksi!$B$16:$B$5015,"&gt;="&amp;DATE(Dashboard!$C$4,4,1),Transaksi!$B$16:$B$5015,"&lt;="&amp;EOMONTH(DATE(Dashboard!$C$4,4,1),0)))</f>
        <v/>
      </c>
      <c r="H198" s="165">
        <f>IF($C198="","",SUMIFS(Transaksi!$F$16:$F$5015,Transaksi!$G$16:$G$5015,$A198,Transaksi!$H$16:$H$5015,$B198,Transaksi!$I$16:$I$5015,$C198,Transaksi!$B$16:$B$5015,"&gt;="&amp;DATE(Dashboard!$C$4,5,1),Transaksi!$B$16:$B$5015,"&lt;="&amp;EOMONTH(DATE(Dashboard!$C$4,5,1),0)))</f>
        <v/>
      </c>
      <c r="I198" s="165">
        <f>IF($C198="","",SUMIFS(Transaksi!$F$16:$F$5015,Transaksi!$G$16:$G$5015,$A198,Transaksi!$H$16:$H$5015,$B198,Transaksi!$I$16:$I$5015,$C198,Transaksi!$B$16:$B$5015,"&gt;="&amp;DATE(Dashboard!$C$4,6,1),Transaksi!$B$16:$B$5015,"&lt;="&amp;EOMONTH(DATE(Dashboard!$C$4,6,1),0)))</f>
        <v/>
      </c>
      <c r="J198" s="165">
        <f>IF($C198="","",SUMIFS(Transaksi!$F$16:$F$5015,Transaksi!$G$16:$G$5015,$A198,Transaksi!$H$16:$H$5015,$B198,Transaksi!$I$16:$I$5015,$C198,Transaksi!$B$16:$B$5015,"&gt;="&amp;DATE(Dashboard!$C$4,7,1),Transaksi!$B$16:$B$5015,"&lt;="&amp;EOMONTH(DATE(Dashboard!$C$4,7,1),0)))</f>
        <v/>
      </c>
      <c r="K198" s="165">
        <f>IF($C198="","",SUMIFS(Transaksi!$F$16:$F$5015,Transaksi!$G$16:$G$5015,$A198,Transaksi!$H$16:$H$5015,$B198,Transaksi!$I$16:$I$5015,$C198,Transaksi!$B$16:$B$5015,"&gt;="&amp;DATE(Dashboard!$C$4,8,1),Transaksi!$B$16:$B$5015,"&lt;="&amp;EOMONTH(DATE(Dashboard!$C$4,8,1),0)))</f>
        <v/>
      </c>
      <c r="L198" s="165">
        <f>IF($C198="","",SUMIFS(Transaksi!$F$16:$F$5015,Transaksi!$G$16:$G$5015,$A198,Transaksi!$H$16:$H$5015,$B198,Transaksi!$I$16:$I$5015,$C198,Transaksi!$B$16:$B$5015,"&gt;="&amp;DATE(Dashboard!$C$4,9,1),Transaksi!$B$16:$B$5015,"&lt;="&amp;EOMONTH(DATE(Dashboard!$C$4,9,1),0)))</f>
        <v/>
      </c>
      <c r="M198" s="165">
        <f>IF($C198="","",SUMIFS(Transaksi!$F$16:$F$5015,Transaksi!$G$16:$G$5015,$A198,Transaksi!$H$16:$H$5015,$B198,Transaksi!$I$16:$I$5015,$C198,Transaksi!$B$16:$B$5015,"&gt;="&amp;DATE(Dashboard!$C$4,10,1),Transaksi!$B$16:$B$5015,"&lt;="&amp;EOMONTH(DATE(Dashboard!$C$4,10,1),0)))</f>
        <v/>
      </c>
      <c r="N198" s="165">
        <f>IF($C198="","",SUMIFS(Transaksi!$F$16:$F$5015,Transaksi!$G$16:$G$5015,$A198,Transaksi!$H$16:$H$5015,$B198,Transaksi!$I$16:$I$5015,$C198,Transaksi!$B$16:$B$5015,"&gt;="&amp;DATE(Dashboard!$C$4,11,1),Transaksi!$B$16:$B$5015,"&lt;="&amp;EOMONTH(DATE(Dashboard!$C$4,11,1),0)))</f>
        <v/>
      </c>
      <c r="O198" s="165">
        <f>IF($C198="","",SUMIFS(Transaksi!$F$16:$F$5015,Transaksi!$G$16:$G$5015,$A198,Transaksi!$H$16:$H$5015,$B198,Transaksi!$I$16:$I$5015,$C198,Transaksi!$B$16:$B$5015,"&gt;="&amp;DATE(Dashboard!$C$4,12,1),Transaksi!$B$16:$B$5015,"&lt;="&amp;EOMONTH(DATE(Dashboard!$C$4,12,1),0)))</f>
        <v/>
      </c>
      <c r="P198" s="166">
        <f>IF($C198="","",SUM(D198:O198))</f>
        <v/>
      </c>
    </row>
    <row r="199" ht="15" customHeight="1" s="94">
      <c r="A199" s="164">
        <f>IF(Kategori!C199="","",Kategori!A199)</f>
        <v/>
      </c>
      <c r="B199" s="164">
        <f>IF(Kategori!C199="","",Kategori!B199)</f>
        <v/>
      </c>
      <c r="C199" s="108">
        <f>IF(Kategori!C199="","",Kategori!C199)</f>
        <v/>
      </c>
      <c r="D199" s="165">
        <f>IF($C199="","",SUMIFS(Transaksi!$F$16:$F$5015,Transaksi!$G$16:$G$5015,$A199,Transaksi!$H$16:$H$5015,$B199,Transaksi!$I$16:$I$5015,$C199,Transaksi!$B$16:$B$5015,"&gt;="&amp;DATE(Dashboard!$C$4,1,1),Transaksi!$B$16:$B$5015,"&lt;="&amp;EOMONTH(DATE(Dashboard!$C$4,1,1),0)))</f>
        <v/>
      </c>
      <c r="E199" s="165">
        <f>IF($C199="","",SUMIFS(Transaksi!$F$16:$F$5015,Transaksi!$G$16:$G$5015,$A199,Transaksi!$H$16:$H$5015,$B199,Transaksi!$I$16:$I$5015,$C199,Transaksi!$B$16:$B$5015,"&gt;="&amp;DATE(Dashboard!$C$4,2,1),Transaksi!$B$16:$B$5015,"&lt;="&amp;EOMONTH(DATE(Dashboard!$C$4,2,1),0)))</f>
        <v/>
      </c>
      <c r="F199" s="165">
        <f>IF($C199="","",SUMIFS(Transaksi!$F$16:$F$5015,Transaksi!$G$16:$G$5015,$A199,Transaksi!$H$16:$H$5015,$B199,Transaksi!$I$16:$I$5015,$C199,Transaksi!$B$16:$B$5015,"&gt;="&amp;DATE(Dashboard!$C$4,3,1),Transaksi!$B$16:$B$5015,"&lt;="&amp;EOMONTH(DATE(Dashboard!$C$4,3,1),0)))</f>
        <v/>
      </c>
      <c r="G199" s="165">
        <f>IF($C199="","",SUMIFS(Transaksi!$F$16:$F$5015,Transaksi!$G$16:$G$5015,$A199,Transaksi!$H$16:$H$5015,$B199,Transaksi!$I$16:$I$5015,$C199,Transaksi!$B$16:$B$5015,"&gt;="&amp;DATE(Dashboard!$C$4,4,1),Transaksi!$B$16:$B$5015,"&lt;="&amp;EOMONTH(DATE(Dashboard!$C$4,4,1),0)))</f>
        <v/>
      </c>
      <c r="H199" s="165">
        <f>IF($C199="","",SUMIFS(Transaksi!$F$16:$F$5015,Transaksi!$G$16:$G$5015,$A199,Transaksi!$H$16:$H$5015,$B199,Transaksi!$I$16:$I$5015,$C199,Transaksi!$B$16:$B$5015,"&gt;="&amp;DATE(Dashboard!$C$4,5,1),Transaksi!$B$16:$B$5015,"&lt;="&amp;EOMONTH(DATE(Dashboard!$C$4,5,1),0)))</f>
        <v/>
      </c>
      <c r="I199" s="165">
        <f>IF($C199="","",SUMIFS(Transaksi!$F$16:$F$5015,Transaksi!$G$16:$G$5015,$A199,Transaksi!$H$16:$H$5015,$B199,Transaksi!$I$16:$I$5015,$C199,Transaksi!$B$16:$B$5015,"&gt;="&amp;DATE(Dashboard!$C$4,6,1),Transaksi!$B$16:$B$5015,"&lt;="&amp;EOMONTH(DATE(Dashboard!$C$4,6,1),0)))</f>
        <v/>
      </c>
      <c r="J199" s="165">
        <f>IF($C199="","",SUMIFS(Transaksi!$F$16:$F$5015,Transaksi!$G$16:$G$5015,$A199,Transaksi!$H$16:$H$5015,$B199,Transaksi!$I$16:$I$5015,$C199,Transaksi!$B$16:$B$5015,"&gt;="&amp;DATE(Dashboard!$C$4,7,1),Transaksi!$B$16:$B$5015,"&lt;="&amp;EOMONTH(DATE(Dashboard!$C$4,7,1),0)))</f>
        <v/>
      </c>
      <c r="K199" s="165">
        <f>IF($C199="","",SUMIFS(Transaksi!$F$16:$F$5015,Transaksi!$G$16:$G$5015,$A199,Transaksi!$H$16:$H$5015,$B199,Transaksi!$I$16:$I$5015,$C199,Transaksi!$B$16:$B$5015,"&gt;="&amp;DATE(Dashboard!$C$4,8,1),Transaksi!$B$16:$B$5015,"&lt;="&amp;EOMONTH(DATE(Dashboard!$C$4,8,1),0)))</f>
        <v/>
      </c>
      <c r="L199" s="165">
        <f>IF($C199="","",SUMIFS(Transaksi!$F$16:$F$5015,Transaksi!$G$16:$G$5015,$A199,Transaksi!$H$16:$H$5015,$B199,Transaksi!$I$16:$I$5015,$C199,Transaksi!$B$16:$B$5015,"&gt;="&amp;DATE(Dashboard!$C$4,9,1),Transaksi!$B$16:$B$5015,"&lt;="&amp;EOMONTH(DATE(Dashboard!$C$4,9,1),0)))</f>
        <v/>
      </c>
      <c r="M199" s="165">
        <f>IF($C199="","",SUMIFS(Transaksi!$F$16:$F$5015,Transaksi!$G$16:$G$5015,$A199,Transaksi!$H$16:$H$5015,$B199,Transaksi!$I$16:$I$5015,$C199,Transaksi!$B$16:$B$5015,"&gt;="&amp;DATE(Dashboard!$C$4,10,1),Transaksi!$B$16:$B$5015,"&lt;="&amp;EOMONTH(DATE(Dashboard!$C$4,10,1),0)))</f>
        <v/>
      </c>
      <c r="N199" s="165">
        <f>IF($C199="","",SUMIFS(Transaksi!$F$16:$F$5015,Transaksi!$G$16:$G$5015,$A199,Transaksi!$H$16:$H$5015,$B199,Transaksi!$I$16:$I$5015,$C199,Transaksi!$B$16:$B$5015,"&gt;="&amp;DATE(Dashboard!$C$4,11,1),Transaksi!$B$16:$B$5015,"&lt;="&amp;EOMONTH(DATE(Dashboard!$C$4,11,1),0)))</f>
        <v/>
      </c>
      <c r="O199" s="165">
        <f>IF($C199="","",SUMIFS(Transaksi!$F$16:$F$5015,Transaksi!$G$16:$G$5015,$A199,Transaksi!$H$16:$H$5015,$B199,Transaksi!$I$16:$I$5015,$C199,Transaksi!$B$16:$B$5015,"&gt;="&amp;DATE(Dashboard!$C$4,12,1),Transaksi!$B$16:$B$5015,"&lt;="&amp;EOMONTH(DATE(Dashboard!$C$4,12,1),0)))</f>
        <v/>
      </c>
      <c r="P199" s="166">
        <f>IF($C199="","",SUM(D199:O199))</f>
        <v/>
      </c>
    </row>
    <row r="200" ht="15" customHeight="1" s="94">
      <c r="A200" s="164">
        <f>IF(Kategori!C200="","",Kategori!A200)</f>
        <v/>
      </c>
      <c r="B200" s="164">
        <f>IF(Kategori!C200="","",Kategori!B200)</f>
        <v/>
      </c>
      <c r="C200" s="108">
        <f>IF(Kategori!C200="","",Kategori!C200)</f>
        <v/>
      </c>
      <c r="D200" s="165">
        <f>IF($C200="","",SUMIFS(Transaksi!$F$16:$F$5015,Transaksi!$G$16:$G$5015,$A200,Transaksi!$H$16:$H$5015,$B200,Transaksi!$I$16:$I$5015,$C200,Transaksi!$B$16:$B$5015,"&gt;="&amp;DATE(Dashboard!$C$4,1,1),Transaksi!$B$16:$B$5015,"&lt;="&amp;EOMONTH(DATE(Dashboard!$C$4,1,1),0)))</f>
        <v/>
      </c>
      <c r="E200" s="165">
        <f>IF($C200="","",SUMIFS(Transaksi!$F$16:$F$5015,Transaksi!$G$16:$G$5015,$A200,Transaksi!$H$16:$H$5015,$B200,Transaksi!$I$16:$I$5015,$C200,Transaksi!$B$16:$B$5015,"&gt;="&amp;DATE(Dashboard!$C$4,2,1),Transaksi!$B$16:$B$5015,"&lt;="&amp;EOMONTH(DATE(Dashboard!$C$4,2,1),0)))</f>
        <v/>
      </c>
      <c r="F200" s="165">
        <f>IF($C200="","",SUMIFS(Transaksi!$F$16:$F$5015,Transaksi!$G$16:$G$5015,$A200,Transaksi!$H$16:$H$5015,$B200,Transaksi!$I$16:$I$5015,$C200,Transaksi!$B$16:$B$5015,"&gt;="&amp;DATE(Dashboard!$C$4,3,1),Transaksi!$B$16:$B$5015,"&lt;="&amp;EOMONTH(DATE(Dashboard!$C$4,3,1),0)))</f>
        <v/>
      </c>
      <c r="G200" s="165">
        <f>IF($C200="","",SUMIFS(Transaksi!$F$16:$F$5015,Transaksi!$G$16:$G$5015,$A200,Transaksi!$H$16:$H$5015,$B200,Transaksi!$I$16:$I$5015,$C200,Transaksi!$B$16:$B$5015,"&gt;="&amp;DATE(Dashboard!$C$4,4,1),Transaksi!$B$16:$B$5015,"&lt;="&amp;EOMONTH(DATE(Dashboard!$C$4,4,1),0)))</f>
        <v/>
      </c>
      <c r="H200" s="165">
        <f>IF($C200="","",SUMIFS(Transaksi!$F$16:$F$5015,Transaksi!$G$16:$G$5015,$A200,Transaksi!$H$16:$H$5015,$B200,Transaksi!$I$16:$I$5015,$C200,Transaksi!$B$16:$B$5015,"&gt;="&amp;DATE(Dashboard!$C$4,5,1),Transaksi!$B$16:$B$5015,"&lt;="&amp;EOMONTH(DATE(Dashboard!$C$4,5,1),0)))</f>
        <v/>
      </c>
      <c r="I200" s="165">
        <f>IF($C200="","",SUMIFS(Transaksi!$F$16:$F$5015,Transaksi!$G$16:$G$5015,$A200,Transaksi!$H$16:$H$5015,$B200,Transaksi!$I$16:$I$5015,$C200,Transaksi!$B$16:$B$5015,"&gt;="&amp;DATE(Dashboard!$C$4,6,1),Transaksi!$B$16:$B$5015,"&lt;="&amp;EOMONTH(DATE(Dashboard!$C$4,6,1),0)))</f>
        <v/>
      </c>
      <c r="J200" s="165">
        <f>IF($C200="","",SUMIFS(Transaksi!$F$16:$F$5015,Transaksi!$G$16:$G$5015,$A200,Transaksi!$H$16:$H$5015,$B200,Transaksi!$I$16:$I$5015,$C200,Transaksi!$B$16:$B$5015,"&gt;="&amp;DATE(Dashboard!$C$4,7,1),Transaksi!$B$16:$B$5015,"&lt;="&amp;EOMONTH(DATE(Dashboard!$C$4,7,1),0)))</f>
        <v/>
      </c>
      <c r="K200" s="165">
        <f>IF($C200="","",SUMIFS(Transaksi!$F$16:$F$5015,Transaksi!$G$16:$G$5015,$A200,Transaksi!$H$16:$H$5015,$B200,Transaksi!$I$16:$I$5015,$C200,Transaksi!$B$16:$B$5015,"&gt;="&amp;DATE(Dashboard!$C$4,8,1),Transaksi!$B$16:$B$5015,"&lt;="&amp;EOMONTH(DATE(Dashboard!$C$4,8,1),0)))</f>
        <v/>
      </c>
      <c r="L200" s="165">
        <f>IF($C200="","",SUMIFS(Transaksi!$F$16:$F$5015,Transaksi!$G$16:$G$5015,$A200,Transaksi!$H$16:$H$5015,$B200,Transaksi!$I$16:$I$5015,$C200,Transaksi!$B$16:$B$5015,"&gt;="&amp;DATE(Dashboard!$C$4,9,1),Transaksi!$B$16:$B$5015,"&lt;="&amp;EOMONTH(DATE(Dashboard!$C$4,9,1),0)))</f>
        <v/>
      </c>
      <c r="M200" s="165">
        <f>IF($C200="","",SUMIFS(Transaksi!$F$16:$F$5015,Transaksi!$G$16:$G$5015,$A200,Transaksi!$H$16:$H$5015,$B200,Transaksi!$I$16:$I$5015,$C200,Transaksi!$B$16:$B$5015,"&gt;="&amp;DATE(Dashboard!$C$4,10,1),Transaksi!$B$16:$B$5015,"&lt;="&amp;EOMONTH(DATE(Dashboard!$C$4,10,1),0)))</f>
        <v/>
      </c>
      <c r="N200" s="165">
        <f>IF($C200="","",SUMIFS(Transaksi!$F$16:$F$5015,Transaksi!$G$16:$G$5015,$A200,Transaksi!$H$16:$H$5015,$B200,Transaksi!$I$16:$I$5015,$C200,Transaksi!$B$16:$B$5015,"&gt;="&amp;DATE(Dashboard!$C$4,11,1),Transaksi!$B$16:$B$5015,"&lt;="&amp;EOMONTH(DATE(Dashboard!$C$4,11,1),0)))</f>
        <v/>
      </c>
      <c r="O200" s="165">
        <f>IF($C200="","",SUMIFS(Transaksi!$F$16:$F$5015,Transaksi!$G$16:$G$5015,$A200,Transaksi!$H$16:$H$5015,$B200,Transaksi!$I$16:$I$5015,$C200,Transaksi!$B$16:$B$5015,"&gt;="&amp;DATE(Dashboard!$C$4,12,1),Transaksi!$B$16:$B$5015,"&lt;="&amp;EOMONTH(DATE(Dashboard!$C$4,12,1),0)))</f>
        <v/>
      </c>
      <c r="P200" s="166">
        <f>IF($C200="","",SUM(D200:O200))</f>
        <v/>
      </c>
    </row>
    <row r="201" ht="15" customHeight="1" s="94">
      <c r="A201" s="164">
        <f>IF(Kategori!C201="","",Kategori!A201)</f>
        <v/>
      </c>
      <c r="B201" s="164">
        <f>IF(Kategori!C201="","",Kategori!B201)</f>
        <v/>
      </c>
      <c r="C201" s="108">
        <f>IF(Kategori!C201="","",Kategori!C201)</f>
        <v/>
      </c>
      <c r="D201" s="165">
        <f>IF($C201="","",SUMIFS(Transaksi!$F$16:$F$5015,Transaksi!$G$16:$G$5015,$A201,Transaksi!$H$16:$H$5015,$B201,Transaksi!$I$16:$I$5015,$C201,Transaksi!$B$16:$B$5015,"&gt;="&amp;DATE(Dashboard!$C$4,1,1),Transaksi!$B$16:$B$5015,"&lt;="&amp;EOMONTH(DATE(Dashboard!$C$4,1,1),0)))</f>
        <v/>
      </c>
      <c r="E201" s="165">
        <f>IF($C201="","",SUMIFS(Transaksi!$F$16:$F$5015,Transaksi!$G$16:$G$5015,$A201,Transaksi!$H$16:$H$5015,$B201,Transaksi!$I$16:$I$5015,$C201,Transaksi!$B$16:$B$5015,"&gt;="&amp;DATE(Dashboard!$C$4,2,1),Transaksi!$B$16:$B$5015,"&lt;="&amp;EOMONTH(DATE(Dashboard!$C$4,2,1),0)))</f>
        <v/>
      </c>
      <c r="F201" s="165">
        <f>IF($C201="","",SUMIFS(Transaksi!$F$16:$F$5015,Transaksi!$G$16:$G$5015,$A201,Transaksi!$H$16:$H$5015,$B201,Transaksi!$I$16:$I$5015,$C201,Transaksi!$B$16:$B$5015,"&gt;="&amp;DATE(Dashboard!$C$4,3,1),Transaksi!$B$16:$B$5015,"&lt;="&amp;EOMONTH(DATE(Dashboard!$C$4,3,1),0)))</f>
        <v/>
      </c>
      <c r="G201" s="165">
        <f>IF($C201="","",SUMIFS(Transaksi!$F$16:$F$5015,Transaksi!$G$16:$G$5015,$A201,Transaksi!$H$16:$H$5015,$B201,Transaksi!$I$16:$I$5015,$C201,Transaksi!$B$16:$B$5015,"&gt;="&amp;DATE(Dashboard!$C$4,4,1),Transaksi!$B$16:$B$5015,"&lt;="&amp;EOMONTH(DATE(Dashboard!$C$4,4,1),0)))</f>
        <v/>
      </c>
      <c r="H201" s="165">
        <f>IF($C201="","",SUMIFS(Transaksi!$F$16:$F$5015,Transaksi!$G$16:$G$5015,$A201,Transaksi!$H$16:$H$5015,$B201,Transaksi!$I$16:$I$5015,$C201,Transaksi!$B$16:$B$5015,"&gt;="&amp;DATE(Dashboard!$C$4,5,1),Transaksi!$B$16:$B$5015,"&lt;="&amp;EOMONTH(DATE(Dashboard!$C$4,5,1),0)))</f>
        <v/>
      </c>
      <c r="I201" s="165">
        <f>IF($C201="","",SUMIFS(Transaksi!$F$16:$F$5015,Transaksi!$G$16:$G$5015,$A201,Transaksi!$H$16:$H$5015,$B201,Transaksi!$I$16:$I$5015,$C201,Transaksi!$B$16:$B$5015,"&gt;="&amp;DATE(Dashboard!$C$4,6,1),Transaksi!$B$16:$B$5015,"&lt;="&amp;EOMONTH(DATE(Dashboard!$C$4,6,1),0)))</f>
        <v/>
      </c>
      <c r="J201" s="165">
        <f>IF($C201="","",SUMIFS(Transaksi!$F$16:$F$5015,Transaksi!$G$16:$G$5015,$A201,Transaksi!$H$16:$H$5015,$B201,Transaksi!$I$16:$I$5015,$C201,Transaksi!$B$16:$B$5015,"&gt;="&amp;DATE(Dashboard!$C$4,7,1),Transaksi!$B$16:$B$5015,"&lt;="&amp;EOMONTH(DATE(Dashboard!$C$4,7,1),0)))</f>
        <v/>
      </c>
      <c r="K201" s="165">
        <f>IF($C201="","",SUMIFS(Transaksi!$F$16:$F$5015,Transaksi!$G$16:$G$5015,$A201,Transaksi!$H$16:$H$5015,$B201,Transaksi!$I$16:$I$5015,$C201,Transaksi!$B$16:$B$5015,"&gt;="&amp;DATE(Dashboard!$C$4,8,1),Transaksi!$B$16:$B$5015,"&lt;="&amp;EOMONTH(DATE(Dashboard!$C$4,8,1),0)))</f>
        <v/>
      </c>
      <c r="L201" s="165">
        <f>IF($C201="","",SUMIFS(Transaksi!$F$16:$F$5015,Transaksi!$G$16:$G$5015,$A201,Transaksi!$H$16:$H$5015,$B201,Transaksi!$I$16:$I$5015,$C201,Transaksi!$B$16:$B$5015,"&gt;="&amp;DATE(Dashboard!$C$4,9,1),Transaksi!$B$16:$B$5015,"&lt;="&amp;EOMONTH(DATE(Dashboard!$C$4,9,1),0)))</f>
        <v/>
      </c>
      <c r="M201" s="165">
        <f>IF($C201="","",SUMIFS(Transaksi!$F$16:$F$5015,Transaksi!$G$16:$G$5015,$A201,Transaksi!$H$16:$H$5015,$B201,Transaksi!$I$16:$I$5015,$C201,Transaksi!$B$16:$B$5015,"&gt;="&amp;DATE(Dashboard!$C$4,10,1),Transaksi!$B$16:$B$5015,"&lt;="&amp;EOMONTH(DATE(Dashboard!$C$4,10,1),0)))</f>
        <v/>
      </c>
      <c r="N201" s="165">
        <f>IF($C201="","",SUMIFS(Transaksi!$F$16:$F$5015,Transaksi!$G$16:$G$5015,$A201,Transaksi!$H$16:$H$5015,$B201,Transaksi!$I$16:$I$5015,$C201,Transaksi!$B$16:$B$5015,"&gt;="&amp;DATE(Dashboard!$C$4,11,1),Transaksi!$B$16:$B$5015,"&lt;="&amp;EOMONTH(DATE(Dashboard!$C$4,11,1),0)))</f>
        <v/>
      </c>
      <c r="O201" s="165">
        <f>IF($C201="","",SUMIFS(Transaksi!$F$16:$F$5015,Transaksi!$G$16:$G$5015,$A201,Transaksi!$H$16:$H$5015,$B201,Transaksi!$I$16:$I$5015,$C201,Transaksi!$B$16:$B$5015,"&gt;="&amp;DATE(Dashboard!$C$4,12,1),Transaksi!$B$16:$B$5015,"&lt;="&amp;EOMONTH(DATE(Dashboard!$C$4,12,1),0)))</f>
        <v/>
      </c>
      <c r="P201" s="166">
        <f>IF($C201="","",SUM(D201:O201))</f>
        <v/>
      </c>
    </row>
    <row r="202" ht="15" customHeight="1" s="94">
      <c r="A202" s="164">
        <f>IF(Kategori!C202="","",Kategori!A202)</f>
        <v/>
      </c>
      <c r="B202" s="164">
        <f>IF(Kategori!C202="","",Kategori!B202)</f>
        <v/>
      </c>
      <c r="C202" s="108">
        <f>IF(Kategori!C202="","",Kategori!C202)</f>
        <v/>
      </c>
      <c r="D202" s="165">
        <f>IF($C202="","",SUMIFS(Transaksi!$F$16:$F$5015,Transaksi!$G$16:$G$5015,$A202,Transaksi!$H$16:$H$5015,$B202,Transaksi!$I$16:$I$5015,$C202,Transaksi!$B$16:$B$5015,"&gt;="&amp;DATE(Dashboard!$C$4,1,1),Transaksi!$B$16:$B$5015,"&lt;="&amp;EOMONTH(DATE(Dashboard!$C$4,1,1),0)))</f>
        <v/>
      </c>
      <c r="E202" s="165">
        <f>IF($C202="","",SUMIFS(Transaksi!$F$16:$F$5015,Transaksi!$G$16:$G$5015,$A202,Transaksi!$H$16:$H$5015,$B202,Transaksi!$I$16:$I$5015,$C202,Transaksi!$B$16:$B$5015,"&gt;="&amp;DATE(Dashboard!$C$4,2,1),Transaksi!$B$16:$B$5015,"&lt;="&amp;EOMONTH(DATE(Dashboard!$C$4,2,1),0)))</f>
        <v/>
      </c>
      <c r="F202" s="165">
        <f>IF($C202="","",SUMIFS(Transaksi!$F$16:$F$5015,Transaksi!$G$16:$G$5015,$A202,Transaksi!$H$16:$H$5015,$B202,Transaksi!$I$16:$I$5015,$C202,Transaksi!$B$16:$B$5015,"&gt;="&amp;DATE(Dashboard!$C$4,3,1),Transaksi!$B$16:$B$5015,"&lt;="&amp;EOMONTH(DATE(Dashboard!$C$4,3,1),0)))</f>
        <v/>
      </c>
      <c r="G202" s="165">
        <f>IF($C202="","",SUMIFS(Transaksi!$F$16:$F$5015,Transaksi!$G$16:$G$5015,$A202,Transaksi!$H$16:$H$5015,$B202,Transaksi!$I$16:$I$5015,$C202,Transaksi!$B$16:$B$5015,"&gt;="&amp;DATE(Dashboard!$C$4,4,1),Transaksi!$B$16:$B$5015,"&lt;="&amp;EOMONTH(DATE(Dashboard!$C$4,4,1),0)))</f>
        <v/>
      </c>
      <c r="H202" s="165">
        <f>IF($C202="","",SUMIFS(Transaksi!$F$16:$F$5015,Transaksi!$G$16:$G$5015,$A202,Transaksi!$H$16:$H$5015,$B202,Transaksi!$I$16:$I$5015,$C202,Transaksi!$B$16:$B$5015,"&gt;="&amp;DATE(Dashboard!$C$4,5,1),Transaksi!$B$16:$B$5015,"&lt;="&amp;EOMONTH(DATE(Dashboard!$C$4,5,1),0)))</f>
        <v/>
      </c>
      <c r="I202" s="165">
        <f>IF($C202="","",SUMIFS(Transaksi!$F$16:$F$5015,Transaksi!$G$16:$G$5015,$A202,Transaksi!$H$16:$H$5015,$B202,Transaksi!$I$16:$I$5015,$C202,Transaksi!$B$16:$B$5015,"&gt;="&amp;DATE(Dashboard!$C$4,6,1),Transaksi!$B$16:$B$5015,"&lt;="&amp;EOMONTH(DATE(Dashboard!$C$4,6,1),0)))</f>
        <v/>
      </c>
      <c r="J202" s="165">
        <f>IF($C202="","",SUMIFS(Transaksi!$F$16:$F$5015,Transaksi!$G$16:$G$5015,$A202,Transaksi!$H$16:$H$5015,$B202,Transaksi!$I$16:$I$5015,$C202,Transaksi!$B$16:$B$5015,"&gt;="&amp;DATE(Dashboard!$C$4,7,1),Transaksi!$B$16:$B$5015,"&lt;="&amp;EOMONTH(DATE(Dashboard!$C$4,7,1),0)))</f>
        <v/>
      </c>
      <c r="K202" s="165">
        <f>IF($C202="","",SUMIFS(Transaksi!$F$16:$F$5015,Transaksi!$G$16:$G$5015,$A202,Transaksi!$H$16:$H$5015,$B202,Transaksi!$I$16:$I$5015,$C202,Transaksi!$B$16:$B$5015,"&gt;="&amp;DATE(Dashboard!$C$4,8,1),Transaksi!$B$16:$B$5015,"&lt;="&amp;EOMONTH(DATE(Dashboard!$C$4,8,1),0)))</f>
        <v/>
      </c>
      <c r="L202" s="165">
        <f>IF($C202="","",SUMIFS(Transaksi!$F$16:$F$5015,Transaksi!$G$16:$G$5015,$A202,Transaksi!$H$16:$H$5015,$B202,Transaksi!$I$16:$I$5015,$C202,Transaksi!$B$16:$B$5015,"&gt;="&amp;DATE(Dashboard!$C$4,9,1),Transaksi!$B$16:$B$5015,"&lt;="&amp;EOMONTH(DATE(Dashboard!$C$4,9,1),0)))</f>
        <v/>
      </c>
      <c r="M202" s="165">
        <f>IF($C202="","",SUMIFS(Transaksi!$F$16:$F$5015,Transaksi!$G$16:$G$5015,$A202,Transaksi!$H$16:$H$5015,$B202,Transaksi!$I$16:$I$5015,$C202,Transaksi!$B$16:$B$5015,"&gt;="&amp;DATE(Dashboard!$C$4,10,1),Transaksi!$B$16:$B$5015,"&lt;="&amp;EOMONTH(DATE(Dashboard!$C$4,10,1),0)))</f>
        <v/>
      </c>
      <c r="N202" s="165">
        <f>IF($C202="","",SUMIFS(Transaksi!$F$16:$F$5015,Transaksi!$G$16:$G$5015,$A202,Transaksi!$H$16:$H$5015,$B202,Transaksi!$I$16:$I$5015,$C202,Transaksi!$B$16:$B$5015,"&gt;="&amp;DATE(Dashboard!$C$4,11,1),Transaksi!$B$16:$B$5015,"&lt;="&amp;EOMONTH(DATE(Dashboard!$C$4,11,1),0)))</f>
        <v/>
      </c>
      <c r="O202" s="165">
        <f>IF($C202="","",SUMIFS(Transaksi!$F$16:$F$5015,Transaksi!$G$16:$G$5015,$A202,Transaksi!$H$16:$H$5015,$B202,Transaksi!$I$16:$I$5015,$C202,Transaksi!$B$16:$B$5015,"&gt;="&amp;DATE(Dashboard!$C$4,12,1),Transaksi!$B$16:$B$5015,"&lt;="&amp;EOMONTH(DATE(Dashboard!$C$4,12,1),0)))</f>
        <v/>
      </c>
      <c r="P202" s="166">
        <f>IF($C202="","",SUM(D202:O202))</f>
        <v/>
      </c>
    </row>
    <row r="203" ht="15" customHeight="1" s="94">
      <c r="A203" s="164">
        <f>IF(Kategori!C203="","",Kategori!A203)</f>
        <v/>
      </c>
      <c r="B203" s="164">
        <f>IF(Kategori!C203="","",Kategori!B203)</f>
        <v/>
      </c>
      <c r="C203" s="108">
        <f>IF(Kategori!C203="","",Kategori!C203)</f>
        <v/>
      </c>
      <c r="D203" s="165">
        <f>IF($C203="","",SUMIFS(Transaksi!$F$16:$F$5015,Transaksi!$G$16:$G$5015,$A203,Transaksi!$H$16:$H$5015,$B203,Transaksi!$I$16:$I$5015,$C203,Transaksi!$B$16:$B$5015,"&gt;="&amp;DATE(Dashboard!$C$4,1,1),Transaksi!$B$16:$B$5015,"&lt;="&amp;EOMONTH(DATE(Dashboard!$C$4,1,1),0)))</f>
        <v/>
      </c>
      <c r="E203" s="165">
        <f>IF($C203="","",SUMIFS(Transaksi!$F$16:$F$5015,Transaksi!$G$16:$G$5015,$A203,Transaksi!$H$16:$H$5015,$B203,Transaksi!$I$16:$I$5015,$C203,Transaksi!$B$16:$B$5015,"&gt;="&amp;DATE(Dashboard!$C$4,2,1),Transaksi!$B$16:$B$5015,"&lt;="&amp;EOMONTH(DATE(Dashboard!$C$4,2,1),0)))</f>
        <v/>
      </c>
      <c r="F203" s="165">
        <f>IF($C203="","",SUMIFS(Transaksi!$F$16:$F$5015,Transaksi!$G$16:$G$5015,$A203,Transaksi!$H$16:$H$5015,$B203,Transaksi!$I$16:$I$5015,$C203,Transaksi!$B$16:$B$5015,"&gt;="&amp;DATE(Dashboard!$C$4,3,1),Transaksi!$B$16:$B$5015,"&lt;="&amp;EOMONTH(DATE(Dashboard!$C$4,3,1),0)))</f>
        <v/>
      </c>
      <c r="G203" s="165">
        <f>IF($C203="","",SUMIFS(Transaksi!$F$16:$F$5015,Transaksi!$G$16:$G$5015,$A203,Transaksi!$H$16:$H$5015,$B203,Transaksi!$I$16:$I$5015,$C203,Transaksi!$B$16:$B$5015,"&gt;="&amp;DATE(Dashboard!$C$4,4,1),Transaksi!$B$16:$B$5015,"&lt;="&amp;EOMONTH(DATE(Dashboard!$C$4,4,1),0)))</f>
        <v/>
      </c>
      <c r="H203" s="165">
        <f>IF($C203="","",SUMIFS(Transaksi!$F$16:$F$5015,Transaksi!$G$16:$G$5015,$A203,Transaksi!$H$16:$H$5015,$B203,Transaksi!$I$16:$I$5015,$C203,Transaksi!$B$16:$B$5015,"&gt;="&amp;DATE(Dashboard!$C$4,5,1),Transaksi!$B$16:$B$5015,"&lt;="&amp;EOMONTH(DATE(Dashboard!$C$4,5,1),0)))</f>
        <v/>
      </c>
      <c r="I203" s="165">
        <f>IF($C203="","",SUMIFS(Transaksi!$F$16:$F$5015,Transaksi!$G$16:$G$5015,$A203,Transaksi!$H$16:$H$5015,$B203,Transaksi!$I$16:$I$5015,$C203,Transaksi!$B$16:$B$5015,"&gt;="&amp;DATE(Dashboard!$C$4,6,1),Transaksi!$B$16:$B$5015,"&lt;="&amp;EOMONTH(DATE(Dashboard!$C$4,6,1),0)))</f>
        <v/>
      </c>
      <c r="J203" s="165">
        <f>IF($C203="","",SUMIFS(Transaksi!$F$16:$F$5015,Transaksi!$G$16:$G$5015,$A203,Transaksi!$H$16:$H$5015,$B203,Transaksi!$I$16:$I$5015,$C203,Transaksi!$B$16:$B$5015,"&gt;="&amp;DATE(Dashboard!$C$4,7,1),Transaksi!$B$16:$B$5015,"&lt;="&amp;EOMONTH(DATE(Dashboard!$C$4,7,1),0)))</f>
        <v/>
      </c>
      <c r="K203" s="165">
        <f>IF($C203="","",SUMIFS(Transaksi!$F$16:$F$5015,Transaksi!$G$16:$G$5015,$A203,Transaksi!$H$16:$H$5015,$B203,Transaksi!$I$16:$I$5015,$C203,Transaksi!$B$16:$B$5015,"&gt;="&amp;DATE(Dashboard!$C$4,8,1),Transaksi!$B$16:$B$5015,"&lt;="&amp;EOMONTH(DATE(Dashboard!$C$4,8,1),0)))</f>
        <v/>
      </c>
      <c r="L203" s="165">
        <f>IF($C203="","",SUMIFS(Transaksi!$F$16:$F$5015,Transaksi!$G$16:$G$5015,$A203,Transaksi!$H$16:$H$5015,$B203,Transaksi!$I$16:$I$5015,$C203,Transaksi!$B$16:$B$5015,"&gt;="&amp;DATE(Dashboard!$C$4,9,1),Transaksi!$B$16:$B$5015,"&lt;="&amp;EOMONTH(DATE(Dashboard!$C$4,9,1),0)))</f>
        <v/>
      </c>
      <c r="M203" s="165">
        <f>IF($C203="","",SUMIFS(Transaksi!$F$16:$F$5015,Transaksi!$G$16:$G$5015,$A203,Transaksi!$H$16:$H$5015,$B203,Transaksi!$I$16:$I$5015,$C203,Transaksi!$B$16:$B$5015,"&gt;="&amp;DATE(Dashboard!$C$4,10,1),Transaksi!$B$16:$B$5015,"&lt;="&amp;EOMONTH(DATE(Dashboard!$C$4,10,1),0)))</f>
        <v/>
      </c>
      <c r="N203" s="165">
        <f>IF($C203="","",SUMIFS(Transaksi!$F$16:$F$5015,Transaksi!$G$16:$G$5015,$A203,Transaksi!$H$16:$H$5015,$B203,Transaksi!$I$16:$I$5015,$C203,Transaksi!$B$16:$B$5015,"&gt;="&amp;DATE(Dashboard!$C$4,11,1),Transaksi!$B$16:$B$5015,"&lt;="&amp;EOMONTH(DATE(Dashboard!$C$4,11,1),0)))</f>
        <v/>
      </c>
      <c r="O203" s="165">
        <f>IF($C203="","",SUMIFS(Transaksi!$F$16:$F$5015,Transaksi!$G$16:$G$5015,$A203,Transaksi!$H$16:$H$5015,$B203,Transaksi!$I$16:$I$5015,$C203,Transaksi!$B$16:$B$5015,"&gt;="&amp;DATE(Dashboard!$C$4,12,1),Transaksi!$B$16:$B$5015,"&lt;="&amp;EOMONTH(DATE(Dashboard!$C$4,12,1),0)))</f>
        <v/>
      </c>
      <c r="P203" s="166">
        <f>IF($C203="","",SUM(D203:O203))</f>
        <v/>
      </c>
    </row>
    <row r="204" ht="15" customHeight="1" s="94">
      <c r="A204" s="164">
        <f>IF(Kategori!C204="","",Kategori!A204)</f>
        <v/>
      </c>
      <c r="B204" s="164">
        <f>IF(Kategori!C204="","",Kategori!B204)</f>
        <v/>
      </c>
      <c r="C204" s="108">
        <f>IF(Kategori!C204="","",Kategori!C204)</f>
        <v/>
      </c>
      <c r="D204" s="165">
        <f>IF($C204="","",SUMIFS(Transaksi!$F$16:$F$5015,Transaksi!$G$16:$G$5015,$A204,Transaksi!$H$16:$H$5015,$B204,Transaksi!$I$16:$I$5015,$C204,Transaksi!$B$16:$B$5015,"&gt;="&amp;DATE(Dashboard!$C$4,1,1),Transaksi!$B$16:$B$5015,"&lt;="&amp;EOMONTH(DATE(Dashboard!$C$4,1,1),0)))</f>
        <v/>
      </c>
      <c r="E204" s="165">
        <f>IF($C204="","",SUMIFS(Transaksi!$F$16:$F$5015,Transaksi!$G$16:$G$5015,$A204,Transaksi!$H$16:$H$5015,$B204,Transaksi!$I$16:$I$5015,$C204,Transaksi!$B$16:$B$5015,"&gt;="&amp;DATE(Dashboard!$C$4,2,1),Transaksi!$B$16:$B$5015,"&lt;="&amp;EOMONTH(DATE(Dashboard!$C$4,2,1),0)))</f>
        <v/>
      </c>
      <c r="F204" s="165">
        <f>IF($C204="","",SUMIFS(Transaksi!$F$16:$F$5015,Transaksi!$G$16:$G$5015,$A204,Transaksi!$H$16:$H$5015,$B204,Transaksi!$I$16:$I$5015,$C204,Transaksi!$B$16:$B$5015,"&gt;="&amp;DATE(Dashboard!$C$4,3,1),Transaksi!$B$16:$B$5015,"&lt;="&amp;EOMONTH(DATE(Dashboard!$C$4,3,1),0)))</f>
        <v/>
      </c>
      <c r="G204" s="165">
        <f>IF($C204="","",SUMIFS(Transaksi!$F$16:$F$5015,Transaksi!$G$16:$G$5015,$A204,Transaksi!$H$16:$H$5015,$B204,Transaksi!$I$16:$I$5015,$C204,Transaksi!$B$16:$B$5015,"&gt;="&amp;DATE(Dashboard!$C$4,4,1),Transaksi!$B$16:$B$5015,"&lt;="&amp;EOMONTH(DATE(Dashboard!$C$4,4,1),0)))</f>
        <v/>
      </c>
      <c r="H204" s="165">
        <f>IF($C204="","",SUMIFS(Transaksi!$F$16:$F$5015,Transaksi!$G$16:$G$5015,$A204,Transaksi!$H$16:$H$5015,$B204,Transaksi!$I$16:$I$5015,$C204,Transaksi!$B$16:$B$5015,"&gt;="&amp;DATE(Dashboard!$C$4,5,1),Transaksi!$B$16:$B$5015,"&lt;="&amp;EOMONTH(DATE(Dashboard!$C$4,5,1),0)))</f>
        <v/>
      </c>
      <c r="I204" s="165">
        <f>IF($C204="","",SUMIFS(Transaksi!$F$16:$F$5015,Transaksi!$G$16:$G$5015,$A204,Transaksi!$H$16:$H$5015,$B204,Transaksi!$I$16:$I$5015,$C204,Transaksi!$B$16:$B$5015,"&gt;="&amp;DATE(Dashboard!$C$4,6,1),Transaksi!$B$16:$B$5015,"&lt;="&amp;EOMONTH(DATE(Dashboard!$C$4,6,1),0)))</f>
        <v/>
      </c>
      <c r="J204" s="165">
        <f>IF($C204="","",SUMIFS(Transaksi!$F$16:$F$5015,Transaksi!$G$16:$G$5015,$A204,Transaksi!$H$16:$H$5015,$B204,Transaksi!$I$16:$I$5015,$C204,Transaksi!$B$16:$B$5015,"&gt;="&amp;DATE(Dashboard!$C$4,7,1),Transaksi!$B$16:$B$5015,"&lt;="&amp;EOMONTH(DATE(Dashboard!$C$4,7,1),0)))</f>
        <v/>
      </c>
      <c r="K204" s="165">
        <f>IF($C204="","",SUMIFS(Transaksi!$F$16:$F$5015,Transaksi!$G$16:$G$5015,$A204,Transaksi!$H$16:$H$5015,$B204,Transaksi!$I$16:$I$5015,$C204,Transaksi!$B$16:$B$5015,"&gt;="&amp;DATE(Dashboard!$C$4,8,1),Transaksi!$B$16:$B$5015,"&lt;="&amp;EOMONTH(DATE(Dashboard!$C$4,8,1),0)))</f>
        <v/>
      </c>
      <c r="L204" s="165">
        <f>IF($C204="","",SUMIFS(Transaksi!$F$16:$F$5015,Transaksi!$G$16:$G$5015,$A204,Transaksi!$H$16:$H$5015,$B204,Transaksi!$I$16:$I$5015,$C204,Transaksi!$B$16:$B$5015,"&gt;="&amp;DATE(Dashboard!$C$4,9,1),Transaksi!$B$16:$B$5015,"&lt;="&amp;EOMONTH(DATE(Dashboard!$C$4,9,1),0)))</f>
        <v/>
      </c>
      <c r="M204" s="165">
        <f>IF($C204="","",SUMIFS(Transaksi!$F$16:$F$5015,Transaksi!$G$16:$G$5015,$A204,Transaksi!$H$16:$H$5015,$B204,Transaksi!$I$16:$I$5015,$C204,Transaksi!$B$16:$B$5015,"&gt;="&amp;DATE(Dashboard!$C$4,10,1),Transaksi!$B$16:$B$5015,"&lt;="&amp;EOMONTH(DATE(Dashboard!$C$4,10,1),0)))</f>
        <v/>
      </c>
      <c r="N204" s="165">
        <f>IF($C204="","",SUMIFS(Transaksi!$F$16:$F$5015,Transaksi!$G$16:$G$5015,$A204,Transaksi!$H$16:$H$5015,$B204,Transaksi!$I$16:$I$5015,$C204,Transaksi!$B$16:$B$5015,"&gt;="&amp;DATE(Dashboard!$C$4,11,1),Transaksi!$B$16:$B$5015,"&lt;="&amp;EOMONTH(DATE(Dashboard!$C$4,11,1),0)))</f>
        <v/>
      </c>
      <c r="O204" s="165">
        <f>IF($C204="","",SUMIFS(Transaksi!$F$16:$F$5015,Transaksi!$G$16:$G$5015,$A204,Transaksi!$H$16:$H$5015,$B204,Transaksi!$I$16:$I$5015,$C204,Transaksi!$B$16:$B$5015,"&gt;="&amp;DATE(Dashboard!$C$4,12,1),Transaksi!$B$16:$B$5015,"&lt;="&amp;EOMONTH(DATE(Dashboard!$C$4,12,1),0)))</f>
        <v/>
      </c>
      <c r="P204" s="166">
        <f>IF($C204="","",SUM(D204:O204))</f>
        <v/>
      </c>
    </row>
    <row r="205" ht="15" customHeight="1" s="94">
      <c r="A205" s="164">
        <f>IF(Kategori!C205="","",Kategori!A205)</f>
        <v/>
      </c>
      <c r="B205" s="164">
        <f>IF(Kategori!C205="","",Kategori!B205)</f>
        <v/>
      </c>
      <c r="C205" s="108">
        <f>IF(Kategori!C205="","",Kategori!C205)</f>
        <v/>
      </c>
      <c r="D205" s="165">
        <f>IF($C205="","",SUMIFS(Transaksi!$F$16:$F$5015,Transaksi!$G$16:$G$5015,$A205,Transaksi!$H$16:$H$5015,$B205,Transaksi!$I$16:$I$5015,$C205,Transaksi!$B$16:$B$5015,"&gt;="&amp;DATE(Dashboard!$C$4,1,1),Transaksi!$B$16:$B$5015,"&lt;="&amp;EOMONTH(DATE(Dashboard!$C$4,1,1),0)))</f>
        <v/>
      </c>
      <c r="E205" s="165">
        <f>IF($C205="","",SUMIFS(Transaksi!$F$16:$F$5015,Transaksi!$G$16:$G$5015,$A205,Transaksi!$H$16:$H$5015,$B205,Transaksi!$I$16:$I$5015,$C205,Transaksi!$B$16:$B$5015,"&gt;="&amp;DATE(Dashboard!$C$4,2,1),Transaksi!$B$16:$B$5015,"&lt;="&amp;EOMONTH(DATE(Dashboard!$C$4,2,1),0)))</f>
        <v/>
      </c>
      <c r="F205" s="165">
        <f>IF($C205="","",SUMIFS(Transaksi!$F$16:$F$5015,Transaksi!$G$16:$G$5015,$A205,Transaksi!$H$16:$H$5015,$B205,Transaksi!$I$16:$I$5015,$C205,Transaksi!$B$16:$B$5015,"&gt;="&amp;DATE(Dashboard!$C$4,3,1),Transaksi!$B$16:$B$5015,"&lt;="&amp;EOMONTH(DATE(Dashboard!$C$4,3,1),0)))</f>
        <v/>
      </c>
      <c r="G205" s="165">
        <f>IF($C205="","",SUMIFS(Transaksi!$F$16:$F$5015,Transaksi!$G$16:$G$5015,$A205,Transaksi!$H$16:$H$5015,$B205,Transaksi!$I$16:$I$5015,$C205,Transaksi!$B$16:$B$5015,"&gt;="&amp;DATE(Dashboard!$C$4,4,1),Transaksi!$B$16:$B$5015,"&lt;="&amp;EOMONTH(DATE(Dashboard!$C$4,4,1),0)))</f>
        <v/>
      </c>
      <c r="H205" s="165">
        <f>IF($C205="","",SUMIFS(Transaksi!$F$16:$F$5015,Transaksi!$G$16:$G$5015,$A205,Transaksi!$H$16:$H$5015,$B205,Transaksi!$I$16:$I$5015,$C205,Transaksi!$B$16:$B$5015,"&gt;="&amp;DATE(Dashboard!$C$4,5,1),Transaksi!$B$16:$B$5015,"&lt;="&amp;EOMONTH(DATE(Dashboard!$C$4,5,1),0)))</f>
        <v/>
      </c>
      <c r="I205" s="165">
        <f>IF($C205="","",SUMIFS(Transaksi!$F$16:$F$5015,Transaksi!$G$16:$G$5015,$A205,Transaksi!$H$16:$H$5015,$B205,Transaksi!$I$16:$I$5015,$C205,Transaksi!$B$16:$B$5015,"&gt;="&amp;DATE(Dashboard!$C$4,6,1),Transaksi!$B$16:$B$5015,"&lt;="&amp;EOMONTH(DATE(Dashboard!$C$4,6,1),0)))</f>
        <v/>
      </c>
      <c r="J205" s="165">
        <f>IF($C205="","",SUMIFS(Transaksi!$F$16:$F$5015,Transaksi!$G$16:$G$5015,$A205,Transaksi!$H$16:$H$5015,$B205,Transaksi!$I$16:$I$5015,$C205,Transaksi!$B$16:$B$5015,"&gt;="&amp;DATE(Dashboard!$C$4,7,1),Transaksi!$B$16:$B$5015,"&lt;="&amp;EOMONTH(DATE(Dashboard!$C$4,7,1),0)))</f>
        <v/>
      </c>
      <c r="K205" s="165">
        <f>IF($C205="","",SUMIFS(Transaksi!$F$16:$F$5015,Transaksi!$G$16:$G$5015,$A205,Transaksi!$H$16:$H$5015,$B205,Transaksi!$I$16:$I$5015,$C205,Transaksi!$B$16:$B$5015,"&gt;="&amp;DATE(Dashboard!$C$4,8,1),Transaksi!$B$16:$B$5015,"&lt;="&amp;EOMONTH(DATE(Dashboard!$C$4,8,1),0)))</f>
        <v/>
      </c>
      <c r="L205" s="165">
        <f>IF($C205="","",SUMIFS(Transaksi!$F$16:$F$5015,Transaksi!$G$16:$G$5015,$A205,Transaksi!$H$16:$H$5015,$B205,Transaksi!$I$16:$I$5015,$C205,Transaksi!$B$16:$B$5015,"&gt;="&amp;DATE(Dashboard!$C$4,9,1),Transaksi!$B$16:$B$5015,"&lt;="&amp;EOMONTH(DATE(Dashboard!$C$4,9,1),0)))</f>
        <v/>
      </c>
      <c r="M205" s="165">
        <f>IF($C205="","",SUMIFS(Transaksi!$F$16:$F$5015,Transaksi!$G$16:$G$5015,$A205,Transaksi!$H$16:$H$5015,$B205,Transaksi!$I$16:$I$5015,$C205,Transaksi!$B$16:$B$5015,"&gt;="&amp;DATE(Dashboard!$C$4,10,1),Transaksi!$B$16:$B$5015,"&lt;="&amp;EOMONTH(DATE(Dashboard!$C$4,10,1),0)))</f>
        <v/>
      </c>
      <c r="N205" s="165">
        <f>IF($C205="","",SUMIFS(Transaksi!$F$16:$F$5015,Transaksi!$G$16:$G$5015,$A205,Transaksi!$H$16:$H$5015,$B205,Transaksi!$I$16:$I$5015,$C205,Transaksi!$B$16:$B$5015,"&gt;="&amp;DATE(Dashboard!$C$4,11,1),Transaksi!$B$16:$B$5015,"&lt;="&amp;EOMONTH(DATE(Dashboard!$C$4,11,1),0)))</f>
        <v/>
      </c>
      <c r="O205" s="165">
        <f>IF($C205="","",SUMIFS(Transaksi!$F$16:$F$5015,Transaksi!$G$16:$G$5015,$A205,Transaksi!$H$16:$H$5015,$B205,Transaksi!$I$16:$I$5015,$C205,Transaksi!$B$16:$B$5015,"&gt;="&amp;DATE(Dashboard!$C$4,12,1),Transaksi!$B$16:$B$5015,"&lt;="&amp;EOMONTH(DATE(Dashboard!$C$4,12,1),0)))</f>
        <v/>
      </c>
      <c r="P205" s="166">
        <f>IF($C205="","",SUM(D205:O205))</f>
        <v/>
      </c>
    </row>
    <row r="206" ht="15" customHeight="1" s="94">
      <c r="A206" s="164">
        <f>IF(Kategori!C206="","",Kategori!A206)</f>
        <v/>
      </c>
      <c r="B206" s="164">
        <f>IF(Kategori!C206="","",Kategori!B206)</f>
        <v/>
      </c>
      <c r="C206" s="108">
        <f>IF(Kategori!C206="","",Kategori!C206)</f>
        <v/>
      </c>
      <c r="D206" s="165">
        <f>IF($C206="","",SUMIFS(Transaksi!$F$16:$F$5015,Transaksi!$G$16:$G$5015,$A206,Transaksi!$H$16:$H$5015,$B206,Transaksi!$I$16:$I$5015,$C206,Transaksi!$B$16:$B$5015,"&gt;="&amp;DATE(Dashboard!$C$4,1,1),Transaksi!$B$16:$B$5015,"&lt;="&amp;EOMONTH(DATE(Dashboard!$C$4,1,1),0)))</f>
        <v/>
      </c>
      <c r="E206" s="165">
        <f>IF($C206="","",SUMIFS(Transaksi!$F$16:$F$5015,Transaksi!$G$16:$G$5015,$A206,Transaksi!$H$16:$H$5015,$B206,Transaksi!$I$16:$I$5015,$C206,Transaksi!$B$16:$B$5015,"&gt;="&amp;DATE(Dashboard!$C$4,2,1),Transaksi!$B$16:$B$5015,"&lt;="&amp;EOMONTH(DATE(Dashboard!$C$4,2,1),0)))</f>
        <v/>
      </c>
      <c r="F206" s="165">
        <f>IF($C206="","",SUMIFS(Transaksi!$F$16:$F$5015,Transaksi!$G$16:$G$5015,$A206,Transaksi!$H$16:$H$5015,$B206,Transaksi!$I$16:$I$5015,$C206,Transaksi!$B$16:$B$5015,"&gt;="&amp;DATE(Dashboard!$C$4,3,1),Transaksi!$B$16:$B$5015,"&lt;="&amp;EOMONTH(DATE(Dashboard!$C$4,3,1),0)))</f>
        <v/>
      </c>
      <c r="G206" s="165">
        <f>IF($C206="","",SUMIFS(Transaksi!$F$16:$F$5015,Transaksi!$G$16:$G$5015,$A206,Transaksi!$H$16:$H$5015,$B206,Transaksi!$I$16:$I$5015,$C206,Transaksi!$B$16:$B$5015,"&gt;="&amp;DATE(Dashboard!$C$4,4,1),Transaksi!$B$16:$B$5015,"&lt;="&amp;EOMONTH(DATE(Dashboard!$C$4,4,1),0)))</f>
        <v/>
      </c>
      <c r="H206" s="165">
        <f>IF($C206="","",SUMIFS(Transaksi!$F$16:$F$5015,Transaksi!$G$16:$G$5015,$A206,Transaksi!$H$16:$H$5015,$B206,Transaksi!$I$16:$I$5015,$C206,Transaksi!$B$16:$B$5015,"&gt;="&amp;DATE(Dashboard!$C$4,5,1),Transaksi!$B$16:$B$5015,"&lt;="&amp;EOMONTH(DATE(Dashboard!$C$4,5,1),0)))</f>
        <v/>
      </c>
      <c r="I206" s="165">
        <f>IF($C206="","",SUMIFS(Transaksi!$F$16:$F$5015,Transaksi!$G$16:$G$5015,$A206,Transaksi!$H$16:$H$5015,$B206,Transaksi!$I$16:$I$5015,$C206,Transaksi!$B$16:$B$5015,"&gt;="&amp;DATE(Dashboard!$C$4,6,1),Transaksi!$B$16:$B$5015,"&lt;="&amp;EOMONTH(DATE(Dashboard!$C$4,6,1),0)))</f>
        <v/>
      </c>
      <c r="J206" s="165">
        <f>IF($C206="","",SUMIFS(Transaksi!$F$16:$F$5015,Transaksi!$G$16:$G$5015,$A206,Transaksi!$H$16:$H$5015,$B206,Transaksi!$I$16:$I$5015,$C206,Transaksi!$B$16:$B$5015,"&gt;="&amp;DATE(Dashboard!$C$4,7,1),Transaksi!$B$16:$B$5015,"&lt;="&amp;EOMONTH(DATE(Dashboard!$C$4,7,1),0)))</f>
        <v/>
      </c>
      <c r="K206" s="165">
        <f>IF($C206="","",SUMIFS(Transaksi!$F$16:$F$5015,Transaksi!$G$16:$G$5015,$A206,Transaksi!$H$16:$H$5015,$B206,Transaksi!$I$16:$I$5015,$C206,Transaksi!$B$16:$B$5015,"&gt;="&amp;DATE(Dashboard!$C$4,8,1),Transaksi!$B$16:$B$5015,"&lt;="&amp;EOMONTH(DATE(Dashboard!$C$4,8,1),0)))</f>
        <v/>
      </c>
      <c r="L206" s="165">
        <f>IF($C206="","",SUMIFS(Transaksi!$F$16:$F$5015,Transaksi!$G$16:$G$5015,$A206,Transaksi!$H$16:$H$5015,$B206,Transaksi!$I$16:$I$5015,$C206,Transaksi!$B$16:$B$5015,"&gt;="&amp;DATE(Dashboard!$C$4,9,1),Transaksi!$B$16:$B$5015,"&lt;="&amp;EOMONTH(DATE(Dashboard!$C$4,9,1),0)))</f>
        <v/>
      </c>
      <c r="M206" s="165">
        <f>IF($C206="","",SUMIFS(Transaksi!$F$16:$F$5015,Transaksi!$G$16:$G$5015,$A206,Transaksi!$H$16:$H$5015,$B206,Transaksi!$I$16:$I$5015,$C206,Transaksi!$B$16:$B$5015,"&gt;="&amp;DATE(Dashboard!$C$4,10,1),Transaksi!$B$16:$B$5015,"&lt;="&amp;EOMONTH(DATE(Dashboard!$C$4,10,1),0)))</f>
        <v/>
      </c>
      <c r="N206" s="165">
        <f>IF($C206="","",SUMIFS(Transaksi!$F$16:$F$5015,Transaksi!$G$16:$G$5015,$A206,Transaksi!$H$16:$H$5015,$B206,Transaksi!$I$16:$I$5015,$C206,Transaksi!$B$16:$B$5015,"&gt;="&amp;DATE(Dashboard!$C$4,11,1),Transaksi!$B$16:$B$5015,"&lt;="&amp;EOMONTH(DATE(Dashboard!$C$4,11,1),0)))</f>
        <v/>
      </c>
      <c r="O206" s="165">
        <f>IF($C206="","",SUMIFS(Transaksi!$F$16:$F$5015,Transaksi!$G$16:$G$5015,$A206,Transaksi!$H$16:$H$5015,$B206,Transaksi!$I$16:$I$5015,$C206,Transaksi!$B$16:$B$5015,"&gt;="&amp;DATE(Dashboard!$C$4,12,1),Transaksi!$B$16:$B$5015,"&lt;="&amp;EOMONTH(DATE(Dashboard!$C$4,12,1),0)))</f>
        <v/>
      </c>
      <c r="P206" s="166">
        <f>IF($C206="","",SUM(D206:O206))</f>
        <v/>
      </c>
    </row>
    <row r="207" ht="15" customHeight="1" s="94">
      <c r="A207" s="164">
        <f>IF(Kategori!C207="","",Kategori!A207)</f>
        <v/>
      </c>
      <c r="B207" s="164">
        <f>IF(Kategori!C207="","",Kategori!B207)</f>
        <v/>
      </c>
      <c r="C207" s="108">
        <f>IF(Kategori!C207="","",Kategori!C207)</f>
        <v/>
      </c>
      <c r="D207" s="165">
        <f>IF($C207="","",SUMIFS(Transaksi!$F$16:$F$5015,Transaksi!$G$16:$G$5015,$A207,Transaksi!$H$16:$H$5015,$B207,Transaksi!$I$16:$I$5015,$C207,Transaksi!$B$16:$B$5015,"&gt;="&amp;DATE(Dashboard!$C$4,1,1),Transaksi!$B$16:$B$5015,"&lt;="&amp;EOMONTH(DATE(Dashboard!$C$4,1,1),0)))</f>
        <v/>
      </c>
      <c r="E207" s="165">
        <f>IF($C207="","",SUMIFS(Transaksi!$F$16:$F$5015,Transaksi!$G$16:$G$5015,$A207,Transaksi!$H$16:$H$5015,$B207,Transaksi!$I$16:$I$5015,$C207,Transaksi!$B$16:$B$5015,"&gt;="&amp;DATE(Dashboard!$C$4,2,1),Transaksi!$B$16:$B$5015,"&lt;="&amp;EOMONTH(DATE(Dashboard!$C$4,2,1),0)))</f>
        <v/>
      </c>
      <c r="F207" s="165">
        <f>IF($C207="","",SUMIFS(Transaksi!$F$16:$F$5015,Transaksi!$G$16:$G$5015,$A207,Transaksi!$H$16:$H$5015,$B207,Transaksi!$I$16:$I$5015,$C207,Transaksi!$B$16:$B$5015,"&gt;="&amp;DATE(Dashboard!$C$4,3,1),Transaksi!$B$16:$B$5015,"&lt;="&amp;EOMONTH(DATE(Dashboard!$C$4,3,1),0)))</f>
        <v/>
      </c>
      <c r="G207" s="165">
        <f>IF($C207="","",SUMIFS(Transaksi!$F$16:$F$5015,Transaksi!$G$16:$G$5015,$A207,Transaksi!$H$16:$H$5015,$B207,Transaksi!$I$16:$I$5015,$C207,Transaksi!$B$16:$B$5015,"&gt;="&amp;DATE(Dashboard!$C$4,4,1),Transaksi!$B$16:$B$5015,"&lt;="&amp;EOMONTH(DATE(Dashboard!$C$4,4,1),0)))</f>
        <v/>
      </c>
      <c r="H207" s="165">
        <f>IF($C207="","",SUMIFS(Transaksi!$F$16:$F$5015,Transaksi!$G$16:$G$5015,$A207,Transaksi!$H$16:$H$5015,$B207,Transaksi!$I$16:$I$5015,$C207,Transaksi!$B$16:$B$5015,"&gt;="&amp;DATE(Dashboard!$C$4,5,1),Transaksi!$B$16:$B$5015,"&lt;="&amp;EOMONTH(DATE(Dashboard!$C$4,5,1),0)))</f>
        <v/>
      </c>
      <c r="I207" s="165">
        <f>IF($C207="","",SUMIFS(Transaksi!$F$16:$F$5015,Transaksi!$G$16:$G$5015,$A207,Transaksi!$H$16:$H$5015,$B207,Transaksi!$I$16:$I$5015,$C207,Transaksi!$B$16:$B$5015,"&gt;="&amp;DATE(Dashboard!$C$4,6,1),Transaksi!$B$16:$B$5015,"&lt;="&amp;EOMONTH(DATE(Dashboard!$C$4,6,1),0)))</f>
        <v/>
      </c>
      <c r="J207" s="165">
        <f>IF($C207="","",SUMIFS(Transaksi!$F$16:$F$5015,Transaksi!$G$16:$G$5015,$A207,Transaksi!$H$16:$H$5015,$B207,Transaksi!$I$16:$I$5015,$C207,Transaksi!$B$16:$B$5015,"&gt;="&amp;DATE(Dashboard!$C$4,7,1),Transaksi!$B$16:$B$5015,"&lt;="&amp;EOMONTH(DATE(Dashboard!$C$4,7,1),0)))</f>
        <v/>
      </c>
      <c r="K207" s="165">
        <f>IF($C207="","",SUMIFS(Transaksi!$F$16:$F$5015,Transaksi!$G$16:$G$5015,$A207,Transaksi!$H$16:$H$5015,$B207,Transaksi!$I$16:$I$5015,$C207,Transaksi!$B$16:$B$5015,"&gt;="&amp;DATE(Dashboard!$C$4,8,1),Transaksi!$B$16:$B$5015,"&lt;="&amp;EOMONTH(DATE(Dashboard!$C$4,8,1),0)))</f>
        <v/>
      </c>
      <c r="L207" s="165">
        <f>IF($C207="","",SUMIFS(Transaksi!$F$16:$F$5015,Transaksi!$G$16:$G$5015,$A207,Transaksi!$H$16:$H$5015,$B207,Transaksi!$I$16:$I$5015,$C207,Transaksi!$B$16:$B$5015,"&gt;="&amp;DATE(Dashboard!$C$4,9,1),Transaksi!$B$16:$B$5015,"&lt;="&amp;EOMONTH(DATE(Dashboard!$C$4,9,1),0)))</f>
        <v/>
      </c>
      <c r="M207" s="165">
        <f>IF($C207="","",SUMIFS(Transaksi!$F$16:$F$5015,Transaksi!$G$16:$G$5015,$A207,Transaksi!$H$16:$H$5015,$B207,Transaksi!$I$16:$I$5015,$C207,Transaksi!$B$16:$B$5015,"&gt;="&amp;DATE(Dashboard!$C$4,10,1),Transaksi!$B$16:$B$5015,"&lt;="&amp;EOMONTH(DATE(Dashboard!$C$4,10,1),0)))</f>
        <v/>
      </c>
      <c r="N207" s="165">
        <f>IF($C207="","",SUMIFS(Transaksi!$F$16:$F$5015,Transaksi!$G$16:$G$5015,$A207,Transaksi!$H$16:$H$5015,$B207,Transaksi!$I$16:$I$5015,$C207,Transaksi!$B$16:$B$5015,"&gt;="&amp;DATE(Dashboard!$C$4,11,1),Transaksi!$B$16:$B$5015,"&lt;="&amp;EOMONTH(DATE(Dashboard!$C$4,11,1),0)))</f>
        <v/>
      </c>
      <c r="O207" s="165">
        <f>IF($C207="","",SUMIFS(Transaksi!$F$16:$F$5015,Transaksi!$G$16:$G$5015,$A207,Transaksi!$H$16:$H$5015,$B207,Transaksi!$I$16:$I$5015,$C207,Transaksi!$B$16:$B$5015,"&gt;="&amp;DATE(Dashboard!$C$4,12,1),Transaksi!$B$16:$B$5015,"&lt;="&amp;EOMONTH(DATE(Dashboard!$C$4,12,1),0)))</f>
        <v/>
      </c>
      <c r="P207" s="166">
        <f>IF($C207="","",SUM(D207:O207))</f>
        <v/>
      </c>
    </row>
    <row r="208" ht="15" customHeight="1" s="94">
      <c r="A208" s="164">
        <f>IF(Kategori!C208="","",Kategori!A208)</f>
        <v/>
      </c>
      <c r="B208" s="164">
        <f>IF(Kategori!C208="","",Kategori!B208)</f>
        <v/>
      </c>
      <c r="C208" s="108">
        <f>IF(Kategori!C208="","",Kategori!C208)</f>
        <v/>
      </c>
      <c r="D208" s="165">
        <f>IF($C208="","",SUMIFS(Transaksi!$F$16:$F$5015,Transaksi!$G$16:$G$5015,$A208,Transaksi!$H$16:$H$5015,$B208,Transaksi!$I$16:$I$5015,$C208,Transaksi!$B$16:$B$5015,"&gt;="&amp;DATE(Dashboard!$C$4,1,1),Transaksi!$B$16:$B$5015,"&lt;="&amp;EOMONTH(DATE(Dashboard!$C$4,1,1),0)))</f>
        <v/>
      </c>
      <c r="E208" s="165">
        <f>IF($C208="","",SUMIFS(Transaksi!$F$16:$F$5015,Transaksi!$G$16:$G$5015,$A208,Transaksi!$H$16:$H$5015,$B208,Transaksi!$I$16:$I$5015,$C208,Transaksi!$B$16:$B$5015,"&gt;="&amp;DATE(Dashboard!$C$4,2,1),Transaksi!$B$16:$B$5015,"&lt;="&amp;EOMONTH(DATE(Dashboard!$C$4,2,1),0)))</f>
        <v/>
      </c>
      <c r="F208" s="165">
        <f>IF($C208="","",SUMIFS(Transaksi!$F$16:$F$5015,Transaksi!$G$16:$G$5015,$A208,Transaksi!$H$16:$H$5015,$B208,Transaksi!$I$16:$I$5015,$C208,Transaksi!$B$16:$B$5015,"&gt;="&amp;DATE(Dashboard!$C$4,3,1),Transaksi!$B$16:$B$5015,"&lt;="&amp;EOMONTH(DATE(Dashboard!$C$4,3,1),0)))</f>
        <v/>
      </c>
      <c r="G208" s="165">
        <f>IF($C208="","",SUMIFS(Transaksi!$F$16:$F$5015,Transaksi!$G$16:$G$5015,$A208,Transaksi!$H$16:$H$5015,$B208,Transaksi!$I$16:$I$5015,$C208,Transaksi!$B$16:$B$5015,"&gt;="&amp;DATE(Dashboard!$C$4,4,1),Transaksi!$B$16:$B$5015,"&lt;="&amp;EOMONTH(DATE(Dashboard!$C$4,4,1),0)))</f>
        <v/>
      </c>
      <c r="H208" s="165">
        <f>IF($C208="","",SUMIFS(Transaksi!$F$16:$F$5015,Transaksi!$G$16:$G$5015,$A208,Transaksi!$H$16:$H$5015,$B208,Transaksi!$I$16:$I$5015,$C208,Transaksi!$B$16:$B$5015,"&gt;="&amp;DATE(Dashboard!$C$4,5,1),Transaksi!$B$16:$B$5015,"&lt;="&amp;EOMONTH(DATE(Dashboard!$C$4,5,1),0)))</f>
        <v/>
      </c>
      <c r="I208" s="165">
        <f>IF($C208="","",SUMIFS(Transaksi!$F$16:$F$5015,Transaksi!$G$16:$G$5015,$A208,Transaksi!$H$16:$H$5015,$B208,Transaksi!$I$16:$I$5015,$C208,Transaksi!$B$16:$B$5015,"&gt;="&amp;DATE(Dashboard!$C$4,6,1),Transaksi!$B$16:$B$5015,"&lt;="&amp;EOMONTH(DATE(Dashboard!$C$4,6,1),0)))</f>
        <v/>
      </c>
      <c r="J208" s="165">
        <f>IF($C208="","",SUMIFS(Transaksi!$F$16:$F$5015,Transaksi!$G$16:$G$5015,$A208,Transaksi!$H$16:$H$5015,$B208,Transaksi!$I$16:$I$5015,$C208,Transaksi!$B$16:$B$5015,"&gt;="&amp;DATE(Dashboard!$C$4,7,1),Transaksi!$B$16:$B$5015,"&lt;="&amp;EOMONTH(DATE(Dashboard!$C$4,7,1),0)))</f>
        <v/>
      </c>
      <c r="K208" s="165">
        <f>IF($C208="","",SUMIFS(Transaksi!$F$16:$F$5015,Transaksi!$G$16:$G$5015,$A208,Transaksi!$H$16:$H$5015,$B208,Transaksi!$I$16:$I$5015,$C208,Transaksi!$B$16:$B$5015,"&gt;="&amp;DATE(Dashboard!$C$4,8,1),Transaksi!$B$16:$B$5015,"&lt;="&amp;EOMONTH(DATE(Dashboard!$C$4,8,1),0)))</f>
        <v/>
      </c>
      <c r="L208" s="165">
        <f>IF($C208="","",SUMIFS(Transaksi!$F$16:$F$5015,Transaksi!$G$16:$G$5015,$A208,Transaksi!$H$16:$H$5015,$B208,Transaksi!$I$16:$I$5015,$C208,Transaksi!$B$16:$B$5015,"&gt;="&amp;DATE(Dashboard!$C$4,9,1),Transaksi!$B$16:$B$5015,"&lt;="&amp;EOMONTH(DATE(Dashboard!$C$4,9,1),0)))</f>
        <v/>
      </c>
      <c r="M208" s="165">
        <f>IF($C208="","",SUMIFS(Transaksi!$F$16:$F$5015,Transaksi!$G$16:$G$5015,$A208,Transaksi!$H$16:$H$5015,$B208,Transaksi!$I$16:$I$5015,$C208,Transaksi!$B$16:$B$5015,"&gt;="&amp;DATE(Dashboard!$C$4,10,1),Transaksi!$B$16:$B$5015,"&lt;="&amp;EOMONTH(DATE(Dashboard!$C$4,10,1),0)))</f>
        <v/>
      </c>
      <c r="N208" s="165">
        <f>IF($C208="","",SUMIFS(Transaksi!$F$16:$F$5015,Transaksi!$G$16:$G$5015,$A208,Transaksi!$H$16:$H$5015,$B208,Transaksi!$I$16:$I$5015,$C208,Transaksi!$B$16:$B$5015,"&gt;="&amp;DATE(Dashboard!$C$4,11,1),Transaksi!$B$16:$B$5015,"&lt;="&amp;EOMONTH(DATE(Dashboard!$C$4,11,1),0)))</f>
        <v/>
      </c>
      <c r="O208" s="165">
        <f>IF($C208="","",SUMIFS(Transaksi!$F$16:$F$5015,Transaksi!$G$16:$G$5015,$A208,Transaksi!$H$16:$H$5015,$B208,Transaksi!$I$16:$I$5015,$C208,Transaksi!$B$16:$B$5015,"&gt;="&amp;DATE(Dashboard!$C$4,12,1),Transaksi!$B$16:$B$5015,"&lt;="&amp;EOMONTH(DATE(Dashboard!$C$4,12,1),0)))</f>
        <v/>
      </c>
      <c r="P208" s="166">
        <f>IF($C208="","",SUM(D208:O208))</f>
        <v/>
      </c>
    </row>
    <row r="209" ht="15" customHeight="1" s="94">
      <c r="A209" s="164">
        <f>IF(Kategori!C209="","",Kategori!A209)</f>
        <v/>
      </c>
      <c r="B209" s="164">
        <f>IF(Kategori!C209="","",Kategori!B209)</f>
        <v/>
      </c>
      <c r="C209" s="108">
        <f>IF(Kategori!C209="","",Kategori!C209)</f>
        <v/>
      </c>
      <c r="D209" s="165">
        <f>IF($C209="","",SUMIFS(Transaksi!$F$16:$F$5015,Transaksi!$G$16:$G$5015,$A209,Transaksi!$H$16:$H$5015,$B209,Transaksi!$I$16:$I$5015,$C209,Transaksi!$B$16:$B$5015,"&gt;="&amp;DATE(Dashboard!$C$4,1,1),Transaksi!$B$16:$B$5015,"&lt;="&amp;EOMONTH(DATE(Dashboard!$C$4,1,1),0)))</f>
        <v/>
      </c>
      <c r="E209" s="165">
        <f>IF($C209="","",SUMIFS(Transaksi!$F$16:$F$5015,Transaksi!$G$16:$G$5015,$A209,Transaksi!$H$16:$H$5015,$B209,Transaksi!$I$16:$I$5015,$C209,Transaksi!$B$16:$B$5015,"&gt;="&amp;DATE(Dashboard!$C$4,2,1),Transaksi!$B$16:$B$5015,"&lt;="&amp;EOMONTH(DATE(Dashboard!$C$4,2,1),0)))</f>
        <v/>
      </c>
      <c r="F209" s="165">
        <f>IF($C209="","",SUMIFS(Transaksi!$F$16:$F$5015,Transaksi!$G$16:$G$5015,$A209,Transaksi!$H$16:$H$5015,$B209,Transaksi!$I$16:$I$5015,$C209,Transaksi!$B$16:$B$5015,"&gt;="&amp;DATE(Dashboard!$C$4,3,1),Transaksi!$B$16:$B$5015,"&lt;="&amp;EOMONTH(DATE(Dashboard!$C$4,3,1),0)))</f>
        <v/>
      </c>
      <c r="G209" s="165">
        <f>IF($C209="","",SUMIFS(Transaksi!$F$16:$F$5015,Transaksi!$G$16:$G$5015,$A209,Transaksi!$H$16:$H$5015,$B209,Transaksi!$I$16:$I$5015,$C209,Transaksi!$B$16:$B$5015,"&gt;="&amp;DATE(Dashboard!$C$4,4,1),Transaksi!$B$16:$B$5015,"&lt;="&amp;EOMONTH(DATE(Dashboard!$C$4,4,1),0)))</f>
        <v/>
      </c>
      <c r="H209" s="165">
        <f>IF($C209="","",SUMIFS(Transaksi!$F$16:$F$5015,Transaksi!$G$16:$G$5015,$A209,Transaksi!$H$16:$H$5015,$B209,Transaksi!$I$16:$I$5015,$C209,Transaksi!$B$16:$B$5015,"&gt;="&amp;DATE(Dashboard!$C$4,5,1),Transaksi!$B$16:$B$5015,"&lt;="&amp;EOMONTH(DATE(Dashboard!$C$4,5,1),0)))</f>
        <v/>
      </c>
      <c r="I209" s="165">
        <f>IF($C209="","",SUMIFS(Transaksi!$F$16:$F$5015,Transaksi!$G$16:$G$5015,$A209,Transaksi!$H$16:$H$5015,$B209,Transaksi!$I$16:$I$5015,$C209,Transaksi!$B$16:$B$5015,"&gt;="&amp;DATE(Dashboard!$C$4,6,1),Transaksi!$B$16:$B$5015,"&lt;="&amp;EOMONTH(DATE(Dashboard!$C$4,6,1),0)))</f>
        <v/>
      </c>
      <c r="J209" s="165">
        <f>IF($C209="","",SUMIFS(Transaksi!$F$16:$F$5015,Transaksi!$G$16:$G$5015,$A209,Transaksi!$H$16:$H$5015,$B209,Transaksi!$I$16:$I$5015,$C209,Transaksi!$B$16:$B$5015,"&gt;="&amp;DATE(Dashboard!$C$4,7,1),Transaksi!$B$16:$B$5015,"&lt;="&amp;EOMONTH(DATE(Dashboard!$C$4,7,1),0)))</f>
        <v/>
      </c>
      <c r="K209" s="165">
        <f>IF($C209="","",SUMIFS(Transaksi!$F$16:$F$5015,Transaksi!$G$16:$G$5015,$A209,Transaksi!$H$16:$H$5015,$B209,Transaksi!$I$16:$I$5015,$C209,Transaksi!$B$16:$B$5015,"&gt;="&amp;DATE(Dashboard!$C$4,8,1),Transaksi!$B$16:$B$5015,"&lt;="&amp;EOMONTH(DATE(Dashboard!$C$4,8,1),0)))</f>
        <v/>
      </c>
      <c r="L209" s="165">
        <f>IF($C209="","",SUMIFS(Transaksi!$F$16:$F$5015,Transaksi!$G$16:$G$5015,$A209,Transaksi!$H$16:$H$5015,$B209,Transaksi!$I$16:$I$5015,$C209,Transaksi!$B$16:$B$5015,"&gt;="&amp;DATE(Dashboard!$C$4,9,1),Transaksi!$B$16:$B$5015,"&lt;="&amp;EOMONTH(DATE(Dashboard!$C$4,9,1),0)))</f>
        <v/>
      </c>
      <c r="M209" s="165">
        <f>IF($C209="","",SUMIFS(Transaksi!$F$16:$F$5015,Transaksi!$G$16:$G$5015,$A209,Transaksi!$H$16:$H$5015,$B209,Transaksi!$I$16:$I$5015,$C209,Transaksi!$B$16:$B$5015,"&gt;="&amp;DATE(Dashboard!$C$4,10,1),Transaksi!$B$16:$B$5015,"&lt;="&amp;EOMONTH(DATE(Dashboard!$C$4,10,1),0)))</f>
        <v/>
      </c>
      <c r="N209" s="165">
        <f>IF($C209="","",SUMIFS(Transaksi!$F$16:$F$5015,Transaksi!$G$16:$G$5015,$A209,Transaksi!$H$16:$H$5015,$B209,Transaksi!$I$16:$I$5015,$C209,Transaksi!$B$16:$B$5015,"&gt;="&amp;DATE(Dashboard!$C$4,11,1),Transaksi!$B$16:$B$5015,"&lt;="&amp;EOMONTH(DATE(Dashboard!$C$4,11,1),0)))</f>
        <v/>
      </c>
      <c r="O209" s="165">
        <f>IF($C209="","",SUMIFS(Transaksi!$F$16:$F$5015,Transaksi!$G$16:$G$5015,$A209,Transaksi!$H$16:$H$5015,$B209,Transaksi!$I$16:$I$5015,$C209,Transaksi!$B$16:$B$5015,"&gt;="&amp;DATE(Dashboard!$C$4,12,1),Transaksi!$B$16:$B$5015,"&lt;="&amp;EOMONTH(DATE(Dashboard!$C$4,12,1),0)))</f>
        <v/>
      </c>
      <c r="P209" s="166">
        <f>IF($C209="","",SUM(D209:O209))</f>
        <v/>
      </c>
    </row>
    <row r="210" ht="15" customHeight="1" s="94">
      <c r="A210" s="164">
        <f>IF(Kategori!C210="","",Kategori!A210)</f>
        <v/>
      </c>
      <c r="B210" s="164">
        <f>IF(Kategori!C210="","",Kategori!B210)</f>
        <v/>
      </c>
      <c r="C210" s="108">
        <f>IF(Kategori!C210="","",Kategori!C210)</f>
        <v/>
      </c>
      <c r="D210" s="165">
        <f>IF($C210="","",SUMIFS(Transaksi!$F$16:$F$5015,Transaksi!$G$16:$G$5015,$A210,Transaksi!$H$16:$H$5015,$B210,Transaksi!$I$16:$I$5015,$C210,Transaksi!$B$16:$B$5015,"&gt;="&amp;DATE(Dashboard!$C$4,1,1),Transaksi!$B$16:$B$5015,"&lt;="&amp;EOMONTH(DATE(Dashboard!$C$4,1,1),0)))</f>
        <v/>
      </c>
      <c r="E210" s="165">
        <f>IF($C210="","",SUMIFS(Transaksi!$F$16:$F$5015,Transaksi!$G$16:$G$5015,$A210,Transaksi!$H$16:$H$5015,$B210,Transaksi!$I$16:$I$5015,$C210,Transaksi!$B$16:$B$5015,"&gt;="&amp;DATE(Dashboard!$C$4,2,1),Transaksi!$B$16:$B$5015,"&lt;="&amp;EOMONTH(DATE(Dashboard!$C$4,2,1),0)))</f>
        <v/>
      </c>
      <c r="F210" s="165">
        <f>IF($C210="","",SUMIFS(Transaksi!$F$16:$F$5015,Transaksi!$G$16:$G$5015,$A210,Transaksi!$H$16:$H$5015,$B210,Transaksi!$I$16:$I$5015,$C210,Transaksi!$B$16:$B$5015,"&gt;="&amp;DATE(Dashboard!$C$4,3,1),Transaksi!$B$16:$B$5015,"&lt;="&amp;EOMONTH(DATE(Dashboard!$C$4,3,1),0)))</f>
        <v/>
      </c>
      <c r="G210" s="165">
        <f>IF($C210="","",SUMIFS(Transaksi!$F$16:$F$5015,Transaksi!$G$16:$G$5015,$A210,Transaksi!$H$16:$H$5015,$B210,Transaksi!$I$16:$I$5015,$C210,Transaksi!$B$16:$B$5015,"&gt;="&amp;DATE(Dashboard!$C$4,4,1),Transaksi!$B$16:$B$5015,"&lt;="&amp;EOMONTH(DATE(Dashboard!$C$4,4,1),0)))</f>
        <v/>
      </c>
      <c r="H210" s="165">
        <f>IF($C210="","",SUMIFS(Transaksi!$F$16:$F$5015,Transaksi!$G$16:$G$5015,$A210,Transaksi!$H$16:$H$5015,$B210,Transaksi!$I$16:$I$5015,$C210,Transaksi!$B$16:$B$5015,"&gt;="&amp;DATE(Dashboard!$C$4,5,1),Transaksi!$B$16:$B$5015,"&lt;="&amp;EOMONTH(DATE(Dashboard!$C$4,5,1),0)))</f>
        <v/>
      </c>
      <c r="I210" s="165">
        <f>IF($C210="","",SUMIFS(Transaksi!$F$16:$F$5015,Transaksi!$G$16:$G$5015,$A210,Transaksi!$H$16:$H$5015,$B210,Transaksi!$I$16:$I$5015,$C210,Transaksi!$B$16:$B$5015,"&gt;="&amp;DATE(Dashboard!$C$4,6,1),Transaksi!$B$16:$B$5015,"&lt;="&amp;EOMONTH(DATE(Dashboard!$C$4,6,1),0)))</f>
        <v/>
      </c>
      <c r="J210" s="165">
        <f>IF($C210="","",SUMIFS(Transaksi!$F$16:$F$5015,Transaksi!$G$16:$G$5015,$A210,Transaksi!$H$16:$H$5015,$B210,Transaksi!$I$16:$I$5015,$C210,Transaksi!$B$16:$B$5015,"&gt;="&amp;DATE(Dashboard!$C$4,7,1),Transaksi!$B$16:$B$5015,"&lt;="&amp;EOMONTH(DATE(Dashboard!$C$4,7,1),0)))</f>
        <v/>
      </c>
      <c r="K210" s="165">
        <f>IF($C210="","",SUMIFS(Transaksi!$F$16:$F$5015,Transaksi!$G$16:$G$5015,$A210,Transaksi!$H$16:$H$5015,$B210,Transaksi!$I$16:$I$5015,$C210,Transaksi!$B$16:$B$5015,"&gt;="&amp;DATE(Dashboard!$C$4,8,1),Transaksi!$B$16:$B$5015,"&lt;="&amp;EOMONTH(DATE(Dashboard!$C$4,8,1),0)))</f>
        <v/>
      </c>
      <c r="L210" s="165">
        <f>IF($C210="","",SUMIFS(Transaksi!$F$16:$F$5015,Transaksi!$G$16:$G$5015,$A210,Transaksi!$H$16:$H$5015,$B210,Transaksi!$I$16:$I$5015,$C210,Transaksi!$B$16:$B$5015,"&gt;="&amp;DATE(Dashboard!$C$4,9,1),Transaksi!$B$16:$B$5015,"&lt;="&amp;EOMONTH(DATE(Dashboard!$C$4,9,1),0)))</f>
        <v/>
      </c>
      <c r="M210" s="165">
        <f>IF($C210="","",SUMIFS(Transaksi!$F$16:$F$5015,Transaksi!$G$16:$G$5015,$A210,Transaksi!$H$16:$H$5015,$B210,Transaksi!$I$16:$I$5015,$C210,Transaksi!$B$16:$B$5015,"&gt;="&amp;DATE(Dashboard!$C$4,10,1),Transaksi!$B$16:$B$5015,"&lt;="&amp;EOMONTH(DATE(Dashboard!$C$4,10,1),0)))</f>
        <v/>
      </c>
      <c r="N210" s="165">
        <f>IF($C210="","",SUMIFS(Transaksi!$F$16:$F$5015,Transaksi!$G$16:$G$5015,$A210,Transaksi!$H$16:$H$5015,$B210,Transaksi!$I$16:$I$5015,$C210,Transaksi!$B$16:$B$5015,"&gt;="&amp;DATE(Dashboard!$C$4,11,1),Transaksi!$B$16:$B$5015,"&lt;="&amp;EOMONTH(DATE(Dashboard!$C$4,11,1),0)))</f>
        <v/>
      </c>
      <c r="O210" s="165">
        <f>IF($C210="","",SUMIFS(Transaksi!$F$16:$F$5015,Transaksi!$G$16:$G$5015,$A210,Transaksi!$H$16:$H$5015,$B210,Transaksi!$I$16:$I$5015,$C210,Transaksi!$B$16:$B$5015,"&gt;="&amp;DATE(Dashboard!$C$4,12,1),Transaksi!$B$16:$B$5015,"&lt;="&amp;EOMONTH(DATE(Dashboard!$C$4,12,1),0)))</f>
        <v/>
      </c>
      <c r="P210" s="166">
        <f>IF($C210="","",SUM(D210:O210))</f>
        <v/>
      </c>
    </row>
    <row r="211" ht="15" customHeight="1" s="94">
      <c r="A211" s="164">
        <f>IF(Kategori!C211="","",Kategori!A211)</f>
        <v/>
      </c>
      <c r="B211" s="164">
        <f>IF(Kategori!C211="","",Kategori!B211)</f>
        <v/>
      </c>
      <c r="C211" s="108">
        <f>IF(Kategori!C211="","",Kategori!C211)</f>
        <v/>
      </c>
      <c r="D211" s="165">
        <f>IF($C211="","",SUMIFS(Transaksi!$F$16:$F$5015,Transaksi!$G$16:$G$5015,$A211,Transaksi!$H$16:$H$5015,$B211,Transaksi!$I$16:$I$5015,$C211,Transaksi!$B$16:$B$5015,"&gt;="&amp;DATE(Dashboard!$C$4,1,1),Transaksi!$B$16:$B$5015,"&lt;="&amp;EOMONTH(DATE(Dashboard!$C$4,1,1),0)))</f>
        <v/>
      </c>
      <c r="E211" s="165">
        <f>IF($C211="","",SUMIFS(Transaksi!$F$16:$F$5015,Transaksi!$G$16:$G$5015,$A211,Transaksi!$H$16:$H$5015,$B211,Transaksi!$I$16:$I$5015,$C211,Transaksi!$B$16:$B$5015,"&gt;="&amp;DATE(Dashboard!$C$4,2,1),Transaksi!$B$16:$B$5015,"&lt;="&amp;EOMONTH(DATE(Dashboard!$C$4,2,1),0)))</f>
        <v/>
      </c>
      <c r="F211" s="165">
        <f>IF($C211="","",SUMIFS(Transaksi!$F$16:$F$5015,Transaksi!$G$16:$G$5015,$A211,Transaksi!$H$16:$H$5015,$B211,Transaksi!$I$16:$I$5015,$C211,Transaksi!$B$16:$B$5015,"&gt;="&amp;DATE(Dashboard!$C$4,3,1),Transaksi!$B$16:$B$5015,"&lt;="&amp;EOMONTH(DATE(Dashboard!$C$4,3,1),0)))</f>
        <v/>
      </c>
      <c r="G211" s="165">
        <f>IF($C211="","",SUMIFS(Transaksi!$F$16:$F$5015,Transaksi!$G$16:$G$5015,$A211,Transaksi!$H$16:$H$5015,$B211,Transaksi!$I$16:$I$5015,$C211,Transaksi!$B$16:$B$5015,"&gt;="&amp;DATE(Dashboard!$C$4,4,1),Transaksi!$B$16:$B$5015,"&lt;="&amp;EOMONTH(DATE(Dashboard!$C$4,4,1),0)))</f>
        <v/>
      </c>
      <c r="H211" s="165">
        <f>IF($C211="","",SUMIFS(Transaksi!$F$16:$F$5015,Transaksi!$G$16:$G$5015,$A211,Transaksi!$H$16:$H$5015,$B211,Transaksi!$I$16:$I$5015,$C211,Transaksi!$B$16:$B$5015,"&gt;="&amp;DATE(Dashboard!$C$4,5,1),Transaksi!$B$16:$B$5015,"&lt;="&amp;EOMONTH(DATE(Dashboard!$C$4,5,1),0)))</f>
        <v/>
      </c>
      <c r="I211" s="165">
        <f>IF($C211="","",SUMIFS(Transaksi!$F$16:$F$5015,Transaksi!$G$16:$G$5015,$A211,Transaksi!$H$16:$H$5015,$B211,Transaksi!$I$16:$I$5015,$C211,Transaksi!$B$16:$B$5015,"&gt;="&amp;DATE(Dashboard!$C$4,6,1),Transaksi!$B$16:$B$5015,"&lt;="&amp;EOMONTH(DATE(Dashboard!$C$4,6,1),0)))</f>
        <v/>
      </c>
      <c r="J211" s="165">
        <f>IF($C211="","",SUMIFS(Transaksi!$F$16:$F$5015,Transaksi!$G$16:$G$5015,$A211,Transaksi!$H$16:$H$5015,$B211,Transaksi!$I$16:$I$5015,$C211,Transaksi!$B$16:$B$5015,"&gt;="&amp;DATE(Dashboard!$C$4,7,1),Transaksi!$B$16:$B$5015,"&lt;="&amp;EOMONTH(DATE(Dashboard!$C$4,7,1),0)))</f>
        <v/>
      </c>
      <c r="K211" s="165">
        <f>IF($C211="","",SUMIFS(Transaksi!$F$16:$F$5015,Transaksi!$G$16:$G$5015,$A211,Transaksi!$H$16:$H$5015,$B211,Transaksi!$I$16:$I$5015,$C211,Transaksi!$B$16:$B$5015,"&gt;="&amp;DATE(Dashboard!$C$4,8,1),Transaksi!$B$16:$B$5015,"&lt;="&amp;EOMONTH(DATE(Dashboard!$C$4,8,1),0)))</f>
        <v/>
      </c>
      <c r="L211" s="165">
        <f>IF($C211="","",SUMIFS(Transaksi!$F$16:$F$5015,Transaksi!$G$16:$G$5015,$A211,Transaksi!$H$16:$H$5015,$B211,Transaksi!$I$16:$I$5015,$C211,Transaksi!$B$16:$B$5015,"&gt;="&amp;DATE(Dashboard!$C$4,9,1),Transaksi!$B$16:$B$5015,"&lt;="&amp;EOMONTH(DATE(Dashboard!$C$4,9,1),0)))</f>
        <v/>
      </c>
      <c r="M211" s="165">
        <f>IF($C211="","",SUMIFS(Transaksi!$F$16:$F$5015,Transaksi!$G$16:$G$5015,$A211,Transaksi!$H$16:$H$5015,$B211,Transaksi!$I$16:$I$5015,$C211,Transaksi!$B$16:$B$5015,"&gt;="&amp;DATE(Dashboard!$C$4,10,1),Transaksi!$B$16:$B$5015,"&lt;="&amp;EOMONTH(DATE(Dashboard!$C$4,10,1),0)))</f>
        <v/>
      </c>
      <c r="N211" s="165">
        <f>IF($C211="","",SUMIFS(Transaksi!$F$16:$F$5015,Transaksi!$G$16:$G$5015,$A211,Transaksi!$H$16:$H$5015,$B211,Transaksi!$I$16:$I$5015,$C211,Transaksi!$B$16:$B$5015,"&gt;="&amp;DATE(Dashboard!$C$4,11,1),Transaksi!$B$16:$B$5015,"&lt;="&amp;EOMONTH(DATE(Dashboard!$C$4,11,1),0)))</f>
        <v/>
      </c>
      <c r="O211" s="165">
        <f>IF($C211="","",SUMIFS(Transaksi!$F$16:$F$5015,Transaksi!$G$16:$G$5015,$A211,Transaksi!$H$16:$H$5015,$B211,Transaksi!$I$16:$I$5015,$C211,Transaksi!$B$16:$B$5015,"&gt;="&amp;DATE(Dashboard!$C$4,12,1),Transaksi!$B$16:$B$5015,"&lt;="&amp;EOMONTH(DATE(Dashboard!$C$4,12,1),0)))</f>
        <v/>
      </c>
      <c r="P211" s="166">
        <f>IF($C211="","",SUM(D211:O211))</f>
        <v/>
      </c>
    </row>
    <row r="212" ht="15" customHeight="1" s="94">
      <c r="A212" s="164">
        <f>IF(Kategori!C212="","",Kategori!A212)</f>
        <v/>
      </c>
      <c r="B212" s="164">
        <f>IF(Kategori!C212="","",Kategori!B212)</f>
        <v/>
      </c>
      <c r="C212" s="108">
        <f>IF(Kategori!C212="","",Kategori!C212)</f>
        <v/>
      </c>
      <c r="D212" s="165">
        <f>IF($C212="","",SUMIFS(Transaksi!$F$16:$F$5015,Transaksi!$G$16:$G$5015,$A212,Transaksi!$H$16:$H$5015,$B212,Transaksi!$I$16:$I$5015,$C212,Transaksi!$B$16:$B$5015,"&gt;="&amp;DATE(Dashboard!$C$4,1,1),Transaksi!$B$16:$B$5015,"&lt;="&amp;EOMONTH(DATE(Dashboard!$C$4,1,1),0)))</f>
        <v/>
      </c>
      <c r="E212" s="165">
        <f>IF($C212="","",SUMIFS(Transaksi!$F$16:$F$5015,Transaksi!$G$16:$G$5015,$A212,Transaksi!$H$16:$H$5015,$B212,Transaksi!$I$16:$I$5015,$C212,Transaksi!$B$16:$B$5015,"&gt;="&amp;DATE(Dashboard!$C$4,2,1),Transaksi!$B$16:$B$5015,"&lt;="&amp;EOMONTH(DATE(Dashboard!$C$4,2,1),0)))</f>
        <v/>
      </c>
      <c r="F212" s="165">
        <f>IF($C212="","",SUMIFS(Transaksi!$F$16:$F$5015,Transaksi!$G$16:$G$5015,$A212,Transaksi!$H$16:$H$5015,$B212,Transaksi!$I$16:$I$5015,$C212,Transaksi!$B$16:$B$5015,"&gt;="&amp;DATE(Dashboard!$C$4,3,1),Transaksi!$B$16:$B$5015,"&lt;="&amp;EOMONTH(DATE(Dashboard!$C$4,3,1),0)))</f>
        <v/>
      </c>
      <c r="G212" s="165">
        <f>IF($C212="","",SUMIFS(Transaksi!$F$16:$F$5015,Transaksi!$G$16:$G$5015,$A212,Transaksi!$H$16:$H$5015,$B212,Transaksi!$I$16:$I$5015,$C212,Transaksi!$B$16:$B$5015,"&gt;="&amp;DATE(Dashboard!$C$4,4,1),Transaksi!$B$16:$B$5015,"&lt;="&amp;EOMONTH(DATE(Dashboard!$C$4,4,1),0)))</f>
        <v/>
      </c>
      <c r="H212" s="165">
        <f>IF($C212="","",SUMIFS(Transaksi!$F$16:$F$5015,Transaksi!$G$16:$G$5015,$A212,Transaksi!$H$16:$H$5015,$B212,Transaksi!$I$16:$I$5015,$C212,Transaksi!$B$16:$B$5015,"&gt;="&amp;DATE(Dashboard!$C$4,5,1),Transaksi!$B$16:$B$5015,"&lt;="&amp;EOMONTH(DATE(Dashboard!$C$4,5,1),0)))</f>
        <v/>
      </c>
      <c r="I212" s="165">
        <f>IF($C212="","",SUMIFS(Transaksi!$F$16:$F$5015,Transaksi!$G$16:$G$5015,$A212,Transaksi!$H$16:$H$5015,$B212,Transaksi!$I$16:$I$5015,$C212,Transaksi!$B$16:$B$5015,"&gt;="&amp;DATE(Dashboard!$C$4,6,1),Transaksi!$B$16:$B$5015,"&lt;="&amp;EOMONTH(DATE(Dashboard!$C$4,6,1),0)))</f>
        <v/>
      </c>
      <c r="J212" s="165">
        <f>IF($C212="","",SUMIFS(Transaksi!$F$16:$F$5015,Transaksi!$G$16:$G$5015,$A212,Transaksi!$H$16:$H$5015,$B212,Transaksi!$I$16:$I$5015,$C212,Transaksi!$B$16:$B$5015,"&gt;="&amp;DATE(Dashboard!$C$4,7,1),Transaksi!$B$16:$B$5015,"&lt;="&amp;EOMONTH(DATE(Dashboard!$C$4,7,1),0)))</f>
        <v/>
      </c>
      <c r="K212" s="165">
        <f>IF($C212="","",SUMIFS(Transaksi!$F$16:$F$5015,Transaksi!$G$16:$G$5015,$A212,Transaksi!$H$16:$H$5015,$B212,Transaksi!$I$16:$I$5015,$C212,Transaksi!$B$16:$B$5015,"&gt;="&amp;DATE(Dashboard!$C$4,8,1),Transaksi!$B$16:$B$5015,"&lt;="&amp;EOMONTH(DATE(Dashboard!$C$4,8,1),0)))</f>
        <v/>
      </c>
      <c r="L212" s="165">
        <f>IF($C212="","",SUMIFS(Transaksi!$F$16:$F$5015,Transaksi!$G$16:$G$5015,$A212,Transaksi!$H$16:$H$5015,$B212,Transaksi!$I$16:$I$5015,$C212,Transaksi!$B$16:$B$5015,"&gt;="&amp;DATE(Dashboard!$C$4,9,1),Transaksi!$B$16:$B$5015,"&lt;="&amp;EOMONTH(DATE(Dashboard!$C$4,9,1),0)))</f>
        <v/>
      </c>
      <c r="M212" s="165">
        <f>IF($C212="","",SUMIFS(Transaksi!$F$16:$F$5015,Transaksi!$G$16:$G$5015,$A212,Transaksi!$H$16:$H$5015,$B212,Transaksi!$I$16:$I$5015,$C212,Transaksi!$B$16:$B$5015,"&gt;="&amp;DATE(Dashboard!$C$4,10,1),Transaksi!$B$16:$B$5015,"&lt;="&amp;EOMONTH(DATE(Dashboard!$C$4,10,1),0)))</f>
        <v/>
      </c>
      <c r="N212" s="165">
        <f>IF($C212="","",SUMIFS(Transaksi!$F$16:$F$5015,Transaksi!$G$16:$G$5015,$A212,Transaksi!$H$16:$H$5015,$B212,Transaksi!$I$16:$I$5015,$C212,Transaksi!$B$16:$B$5015,"&gt;="&amp;DATE(Dashboard!$C$4,11,1),Transaksi!$B$16:$B$5015,"&lt;="&amp;EOMONTH(DATE(Dashboard!$C$4,11,1),0)))</f>
        <v/>
      </c>
      <c r="O212" s="165">
        <f>IF($C212="","",SUMIFS(Transaksi!$F$16:$F$5015,Transaksi!$G$16:$G$5015,$A212,Transaksi!$H$16:$H$5015,$B212,Transaksi!$I$16:$I$5015,$C212,Transaksi!$B$16:$B$5015,"&gt;="&amp;DATE(Dashboard!$C$4,12,1),Transaksi!$B$16:$B$5015,"&lt;="&amp;EOMONTH(DATE(Dashboard!$C$4,12,1),0)))</f>
        <v/>
      </c>
      <c r="P212" s="166">
        <f>IF($C212="","",SUM(D212:O212))</f>
        <v/>
      </c>
    </row>
    <row r="213" ht="15" customHeight="1" s="94">
      <c r="A213" s="164">
        <f>IF(Kategori!C213="","",Kategori!A213)</f>
        <v/>
      </c>
      <c r="B213" s="164">
        <f>IF(Kategori!C213="","",Kategori!B213)</f>
        <v/>
      </c>
      <c r="C213" s="108">
        <f>IF(Kategori!C213="","",Kategori!C213)</f>
        <v/>
      </c>
      <c r="D213" s="165">
        <f>IF($C213="","",SUMIFS(Transaksi!$F$16:$F$5015,Transaksi!$G$16:$G$5015,$A213,Transaksi!$H$16:$H$5015,$B213,Transaksi!$I$16:$I$5015,$C213,Transaksi!$B$16:$B$5015,"&gt;="&amp;DATE(Dashboard!$C$4,1,1),Transaksi!$B$16:$B$5015,"&lt;="&amp;EOMONTH(DATE(Dashboard!$C$4,1,1),0)))</f>
        <v/>
      </c>
      <c r="E213" s="165">
        <f>IF($C213="","",SUMIFS(Transaksi!$F$16:$F$5015,Transaksi!$G$16:$G$5015,$A213,Transaksi!$H$16:$H$5015,$B213,Transaksi!$I$16:$I$5015,$C213,Transaksi!$B$16:$B$5015,"&gt;="&amp;DATE(Dashboard!$C$4,2,1),Transaksi!$B$16:$B$5015,"&lt;="&amp;EOMONTH(DATE(Dashboard!$C$4,2,1),0)))</f>
        <v/>
      </c>
      <c r="F213" s="165">
        <f>IF($C213="","",SUMIFS(Transaksi!$F$16:$F$5015,Transaksi!$G$16:$G$5015,$A213,Transaksi!$H$16:$H$5015,$B213,Transaksi!$I$16:$I$5015,$C213,Transaksi!$B$16:$B$5015,"&gt;="&amp;DATE(Dashboard!$C$4,3,1),Transaksi!$B$16:$B$5015,"&lt;="&amp;EOMONTH(DATE(Dashboard!$C$4,3,1),0)))</f>
        <v/>
      </c>
      <c r="G213" s="165">
        <f>IF($C213="","",SUMIFS(Transaksi!$F$16:$F$5015,Transaksi!$G$16:$G$5015,$A213,Transaksi!$H$16:$H$5015,$B213,Transaksi!$I$16:$I$5015,$C213,Transaksi!$B$16:$B$5015,"&gt;="&amp;DATE(Dashboard!$C$4,4,1),Transaksi!$B$16:$B$5015,"&lt;="&amp;EOMONTH(DATE(Dashboard!$C$4,4,1),0)))</f>
        <v/>
      </c>
      <c r="H213" s="165">
        <f>IF($C213="","",SUMIFS(Transaksi!$F$16:$F$5015,Transaksi!$G$16:$G$5015,$A213,Transaksi!$H$16:$H$5015,$B213,Transaksi!$I$16:$I$5015,$C213,Transaksi!$B$16:$B$5015,"&gt;="&amp;DATE(Dashboard!$C$4,5,1),Transaksi!$B$16:$B$5015,"&lt;="&amp;EOMONTH(DATE(Dashboard!$C$4,5,1),0)))</f>
        <v/>
      </c>
      <c r="I213" s="165">
        <f>IF($C213="","",SUMIFS(Transaksi!$F$16:$F$5015,Transaksi!$G$16:$G$5015,$A213,Transaksi!$H$16:$H$5015,$B213,Transaksi!$I$16:$I$5015,$C213,Transaksi!$B$16:$B$5015,"&gt;="&amp;DATE(Dashboard!$C$4,6,1),Transaksi!$B$16:$B$5015,"&lt;="&amp;EOMONTH(DATE(Dashboard!$C$4,6,1),0)))</f>
        <v/>
      </c>
      <c r="J213" s="165">
        <f>IF($C213="","",SUMIFS(Transaksi!$F$16:$F$5015,Transaksi!$G$16:$G$5015,$A213,Transaksi!$H$16:$H$5015,$B213,Transaksi!$I$16:$I$5015,$C213,Transaksi!$B$16:$B$5015,"&gt;="&amp;DATE(Dashboard!$C$4,7,1),Transaksi!$B$16:$B$5015,"&lt;="&amp;EOMONTH(DATE(Dashboard!$C$4,7,1),0)))</f>
        <v/>
      </c>
      <c r="K213" s="165">
        <f>IF($C213="","",SUMIFS(Transaksi!$F$16:$F$5015,Transaksi!$G$16:$G$5015,$A213,Transaksi!$H$16:$H$5015,$B213,Transaksi!$I$16:$I$5015,$C213,Transaksi!$B$16:$B$5015,"&gt;="&amp;DATE(Dashboard!$C$4,8,1),Transaksi!$B$16:$B$5015,"&lt;="&amp;EOMONTH(DATE(Dashboard!$C$4,8,1),0)))</f>
        <v/>
      </c>
      <c r="L213" s="165">
        <f>IF($C213="","",SUMIFS(Transaksi!$F$16:$F$5015,Transaksi!$G$16:$G$5015,$A213,Transaksi!$H$16:$H$5015,$B213,Transaksi!$I$16:$I$5015,$C213,Transaksi!$B$16:$B$5015,"&gt;="&amp;DATE(Dashboard!$C$4,9,1),Transaksi!$B$16:$B$5015,"&lt;="&amp;EOMONTH(DATE(Dashboard!$C$4,9,1),0)))</f>
        <v/>
      </c>
      <c r="M213" s="165">
        <f>IF($C213="","",SUMIFS(Transaksi!$F$16:$F$5015,Transaksi!$G$16:$G$5015,$A213,Transaksi!$H$16:$H$5015,$B213,Transaksi!$I$16:$I$5015,$C213,Transaksi!$B$16:$B$5015,"&gt;="&amp;DATE(Dashboard!$C$4,10,1),Transaksi!$B$16:$B$5015,"&lt;="&amp;EOMONTH(DATE(Dashboard!$C$4,10,1),0)))</f>
        <v/>
      </c>
      <c r="N213" s="165">
        <f>IF($C213="","",SUMIFS(Transaksi!$F$16:$F$5015,Transaksi!$G$16:$G$5015,$A213,Transaksi!$H$16:$H$5015,$B213,Transaksi!$I$16:$I$5015,$C213,Transaksi!$B$16:$B$5015,"&gt;="&amp;DATE(Dashboard!$C$4,11,1),Transaksi!$B$16:$B$5015,"&lt;="&amp;EOMONTH(DATE(Dashboard!$C$4,11,1),0)))</f>
        <v/>
      </c>
      <c r="O213" s="165">
        <f>IF($C213="","",SUMIFS(Transaksi!$F$16:$F$5015,Transaksi!$G$16:$G$5015,$A213,Transaksi!$H$16:$H$5015,$B213,Transaksi!$I$16:$I$5015,$C213,Transaksi!$B$16:$B$5015,"&gt;="&amp;DATE(Dashboard!$C$4,12,1),Transaksi!$B$16:$B$5015,"&lt;="&amp;EOMONTH(DATE(Dashboard!$C$4,12,1),0)))</f>
        <v/>
      </c>
      <c r="P213" s="166">
        <f>IF($C213="","",SUM(D213:O213))</f>
        <v/>
      </c>
    </row>
    <row r="214" ht="15" customHeight="1" s="94">
      <c r="A214" s="164">
        <f>IF(Kategori!C214="","",Kategori!A214)</f>
        <v/>
      </c>
      <c r="B214" s="164">
        <f>IF(Kategori!C214="","",Kategori!B214)</f>
        <v/>
      </c>
      <c r="C214" s="108">
        <f>IF(Kategori!C214="","",Kategori!C214)</f>
        <v/>
      </c>
      <c r="D214" s="165">
        <f>IF($C214="","",SUMIFS(Transaksi!$F$16:$F$5015,Transaksi!$G$16:$G$5015,$A214,Transaksi!$H$16:$H$5015,$B214,Transaksi!$I$16:$I$5015,$C214,Transaksi!$B$16:$B$5015,"&gt;="&amp;DATE(Dashboard!$C$4,1,1),Transaksi!$B$16:$B$5015,"&lt;="&amp;EOMONTH(DATE(Dashboard!$C$4,1,1),0)))</f>
        <v/>
      </c>
      <c r="E214" s="165">
        <f>IF($C214="","",SUMIFS(Transaksi!$F$16:$F$5015,Transaksi!$G$16:$G$5015,$A214,Transaksi!$H$16:$H$5015,$B214,Transaksi!$I$16:$I$5015,$C214,Transaksi!$B$16:$B$5015,"&gt;="&amp;DATE(Dashboard!$C$4,2,1),Transaksi!$B$16:$B$5015,"&lt;="&amp;EOMONTH(DATE(Dashboard!$C$4,2,1),0)))</f>
        <v/>
      </c>
      <c r="F214" s="165">
        <f>IF($C214="","",SUMIFS(Transaksi!$F$16:$F$5015,Transaksi!$G$16:$G$5015,$A214,Transaksi!$H$16:$H$5015,$B214,Transaksi!$I$16:$I$5015,$C214,Transaksi!$B$16:$B$5015,"&gt;="&amp;DATE(Dashboard!$C$4,3,1),Transaksi!$B$16:$B$5015,"&lt;="&amp;EOMONTH(DATE(Dashboard!$C$4,3,1),0)))</f>
        <v/>
      </c>
      <c r="G214" s="165">
        <f>IF($C214="","",SUMIFS(Transaksi!$F$16:$F$5015,Transaksi!$G$16:$G$5015,$A214,Transaksi!$H$16:$H$5015,$B214,Transaksi!$I$16:$I$5015,$C214,Transaksi!$B$16:$B$5015,"&gt;="&amp;DATE(Dashboard!$C$4,4,1),Transaksi!$B$16:$B$5015,"&lt;="&amp;EOMONTH(DATE(Dashboard!$C$4,4,1),0)))</f>
        <v/>
      </c>
      <c r="H214" s="165">
        <f>IF($C214="","",SUMIFS(Transaksi!$F$16:$F$5015,Transaksi!$G$16:$G$5015,$A214,Transaksi!$H$16:$H$5015,$B214,Transaksi!$I$16:$I$5015,$C214,Transaksi!$B$16:$B$5015,"&gt;="&amp;DATE(Dashboard!$C$4,5,1),Transaksi!$B$16:$B$5015,"&lt;="&amp;EOMONTH(DATE(Dashboard!$C$4,5,1),0)))</f>
        <v/>
      </c>
      <c r="I214" s="165">
        <f>IF($C214="","",SUMIFS(Transaksi!$F$16:$F$5015,Transaksi!$G$16:$G$5015,$A214,Transaksi!$H$16:$H$5015,$B214,Transaksi!$I$16:$I$5015,$C214,Transaksi!$B$16:$B$5015,"&gt;="&amp;DATE(Dashboard!$C$4,6,1),Transaksi!$B$16:$B$5015,"&lt;="&amp;EOMONTH(DATE(Dashboard!$C$4,6,1),0)))</f>
        <v/>
      </c>
      <c r="J214" s="165">
        <f>IF($C214="","",SUMIFS(Transaksi!$F$16:$F$5015,Transaksi!$G$16:$G$5015,$A214,Transaksi!$H$16:$H$5015,$B214,Transaksi!$I$16:$I$5015,$C214,Transaksi!$B$16:$B$5015,"&gt;="&amp;DATE(Dashboard!$C$4,7,1),Transaksi!$B$16:$B$5015,"&lt;="&amp;EOMONTH(DATE(Dashboard!$C$4,7,1),0)))</f>
        <v/>
      </c>
      <c r="K214" s="165">
        <f>IF($C214="","",SUMIFS(Transaksi!$F$16:$F$5015,Transaksi!$G$16:$G$5015,$A214,Transaksi!$H$16:$H$5015,$B214,Transaksi!$I$16:$I$5015,$C214,Transaksi!$B$16:$B$5015,"&gt;="&amp;DATE(Dashboard!$C$4,8,1),Transaksi!$B$16:$B$5015,"&lt;="&amp;EOMONTH(DATE(Dashboard!$C$4,8,1),0)))</f>
        <v/>
      </c>
      <c r="L214" s="165">
        <f>IF($C214="","",SUMIFS(Transaksi!$F$16:$F$5015,Transaksi!$G$16:$G$5015,$A214,Transaksi!$H$16:$H$5015,$B214,Transaksi!$I$16:$I$5015,$C214,Transaksi!$B$16:$B$5015,"&gt;="&amp;DATE(Dashboard!$C$4,9,1),Transaksi!$B$16:$B$5015,"&lt;="&amp;EOMONTH(DATE(Dashboard!$C$4,9,1),0)))</f>
        <v/>
      </c>
      <c r="M214" s="165">
        <f>IF($C214="","",SUMIFS(Transaksi!$F$16:$F$5015,Transaksi!$G$16:$G$5015,$A214,Transaksi!$H$16:$H$5015,$B214,Transaksi!$I$16:$I$5015,$C214,Transaksi!$B$16:$B$5015,"&gt;="&amp;DATE(Dashboard!$C$4,10,1),Transaksi!$B$16:$B$5015,"&lt;="&amp;EOMONTH(DATE(Dashboard!$C$4,10,1),0)))</f>
        <v/>
      </c>
      <c r="N214" s="165">
        <f>IF($C214="","",SUMIFS(Transaksi!$F$16:$F$5015,Transaksi!$G$16:$G$5015,$A214,Transaksi!$H$16:$H$5015,$B214,Transaksi!$I$16:$I$5015,$C214,Transaksi!$B$16:$B$5015,"&gt;="&amp;DATE(Dashboard!$C$4,11,1),Transaksi!$B$16:$B$5015,"&lt;="&amp;EOMONTH(DATE(Dashboard!$C$4,11,1),0)))</f>
        <v/>
      </c>
      <c r="O214" s="165">
        <f>IF($C214="","",SUMIFS(Transaksi!$F$16:$F$5015,Transaksi!$G$16:$G$5015,$A214,Transaksi!$H$16:$H$5015,$B214,Transaksi!$I$16:$I$5015,$C214,Transaksi!$B$16:$B$5015,"&gt;="&amp;DATE(Dashboard!$C$4,12,1),Transaksi!$B$16:$B$5015,"&lt;="&amp;EOMONTH(DATE(Dashboard!$C$4,12,1),0)))</f>
        <v/>
      </c>
      <c r="P214" s="166">
        <f>IF($C214="","",SUM(D214:O214))</f>
        <v/>
      </c>
    </row>
    <row r="215" ht="15" customHeight="1" s="94">
      <c r="A215" s="164">
        <f>IF(Kategori!C215="","",Kategori!A215)</f>
        <v/>
      </c>
      <c r="B215" s="164">
        <f>IF(Kategori!C215="","",Kategori!B215)</f>
        <v/>
      </c>
      <c r="C215" s="108">
        <f>IF(Kategori!C215="","",Kategori!C215)</f>
        <v/>
      </c>
      <c r="D215" s="165">
        <f>IF($C215="","",SUMIFS(Transaksi!$F$16:$F$5015,Transaksi!$G$16:$G$5015,$A215,Transaksi!$H$16:$H$5015,$B215,Transaksi!$I$16:$I$5015,$C215,Transaksi!$B$16:$B$5015,"&gt;="&amp;DATE(Dashboard!$C$4,1,1),Transaksi!$B$16:$B$5015,"&lt;="&amp;EOMONTH(DATE(Dashboard!$C$4,1,1),0)))</f>
        <v/>
      </c>
      <c r="E215" s="165">
        <f>IF($C215="","",SUMIFS(Transaksi!$F$16:$F$5015,Transaksi!$G$16:$G$5015,$A215,Transaksi!$H$16:$H$5015,$B215,Transaksi!$I$16:$I$5015,$C215,Transaksi!$B$16:$B$5015,"&gt;="&amp;DATE(Dashboard!$C$4,2,1),Transaksi!$B$16:$B$5015,"&lt;="&amp;EOMONTH(DATE(Dashboard!$C$4,2,1),0)))</f>
        <v/>
      </c>
      <c r="F215" s="165">
        <f>IF($C215="","",SUMIFS(Transaksi!$F$16:$F$5015,Transaksi!$G$16:$G$5015,$A215,Transaksi!$H$16:$H$5015,$B215,Transaksi!$I$16:$I$5015,$C215,Transaksi!$B$16:$B$5015,"&gt;="&amp;DATE(Dashboard!$C$4,3,1),Transaksi!$B$16:$B$5015,"&lt;="&amp;EOMONTH(DATE(Dashboard!$C$4,3,1),0)))</f>
        <v/>
      </c>
      <c r="G215" s="165">
        <f>IF($C215="","",SUMIFS(Transaksi!$F$16:$F$5015,Transaksi!$G$16:$G$5015,$A215,Transaksi!$H$16:$H$5015,$B215,Transaksi!$I$16:$I$5015,$C215,Transaksi!$B$16:$B$5015,"&gt;="&amp;DATE(Dashboard!$C$4,4,1),Transaksi!$B$16:$B$5015,"&lt;="&amp;EOMONTH(DATE(Dashboard!$C$4,4,1),0)))</f>
        <v/>
      </c>
      <c r="H215" s="165">
        <f>IF($C215="","",SUMIFS(Transaksi!$F$16:$F$5015,Transaksi!$G$16:$G$5015,$A215,Transaksi!$H$16:$H$5015,$B215,Transaksi!$I$16:$I$5015,$C215,Transaksi!$B$16:$B$5015,"&gt;="&amp;DATE(Dashboard!$C$4,5,1),Transaksi!$B$16:$B$5015,"&lt;="&amp;EOMONTH(DATE(Dashboard!$C$4,5,1),0)))</f>
        <v/>
      </c>
      <c r="I215" s="165">
        <f>IF($C215="","",SUMIFS(Transaksi!$F$16:$F$5015,Transaksi!$G$16:$G$5015,$A215,Transaksi!$H$16:$H$5015,$B215,Transaksi!$I$16:$I$5015,$C215,Transaksi!$B$16:$B$5015,"&gt;="&amp;DATE(Dashboard!$C$4,6,1),Transaksi!$B$16:$B$5015,"&lt;="&amp;EOMONTH(DATE(Dashboard!$C$4,6,1),0)))</f>
        <v/>
      </c>
      <c r="J215" s="165">
        <f>IF($C215="","",SUMIFS(Transaksi!$F$16:$F$5015,Transaksi!$G$16:$G$5015,$A215,Transaksi!$H$16:$H$5015,$B215,Transaksi!$I$16:$I$5015,$C215,Transaksi!$B$16:$B$5015,"&gt;="&amp;DATE(Dashboard!$C$4,7,1),Transaksi!$B$16:$B$5015,"&lt;="&amp;EOMONTH(DATE(Dashboard!$C$4,7,1),0)))</f>
        <v/>
      </c>
      <c r="K215" s="165">
        <f>IF($C215="","",SUMIFS(Transaksi!$F$16:$F$5015,Transaksi!$G$16:$G$5015,$A215,Transaksi!$H$16:$H$5015,$B215,Transaksi!$I$16:$I$5015,$C215,Transaksi!$B$16:$B$5015,"&gt;="&amp;DATE(Dashboard!$C$4,8,1),Transaksi!$B$16:$B$5015,"&lt;="&amp;EOMONTH(DATE(Dashboard!$C$4,8,1),0)))</f>
        <v/>
      </c>
      <c r="L215" s="165">
        <f>IF($C215="","",SUMIFS(Transaksi!$F$16:$F$5015,Transaksi!$G$16:$G$5015,$A215,Transaksi!$H$16:$H$5015,$B215,Transaksi!$I$16:$I$5015,$C215,Transaksi!$B$16:$B$5015,"&gt;="&amp;DATE(Dashboard!$C$4,9,1),Transaksi!$B$16:$B$5015,"&lt;="&amp;EOMONTH(DATE(Dashboard!$C$4,9,1),0)))</f>
        <v/>
      </c>
      <c r="M215" s="165">
        <f>IF($C215="","",SUMIFS(Transaksi!$F$16:$F$5015,Transaksi!$G$16:$G$5015,$A215,Transaksi!$H$16:$H$5015,$B215,Transaksi!$I$16:$I$5015,$C215,Transaksi!$B$16:$B$5015,"&gt;="&amp;DATE(Dashboard!$C$4,10,1),Transaksi!$B$16:$B$5015,"&lt;="&amp;EOMONTH(DATE(Dashboard!$C$4,10,1),0)))</f>
        <v/>
      </c>
      <c r="N215" s="165">
        <f>IF($C215="","",SUMIFS(Transaksi!$F$16:$F$5015,Transaksi!$G$16:$G$5015,$A215,Transaksi!$H$16:$H$5015,$B215,Transaksi!$I$16:$I$5015,$C215,Transaksi!$B$16:$B$5015,"&gt;="&amp;DATE(Dashboard!$C$4,11,1),Transaksi!$B$16:$B$5015,"&lt;="&amp;EOMONTH(DATE(Dashboard!$C$4,11,1),0)))</f>
        <v/>
      </c>
      <c r="O215" s="165">
        <f>IF($C215="","",SUMIFS(Transaksi!$F$16:$F$5015,Transaksi!$G$16:$G$5015,$A215,Transaksi!$H$16:$H$5015,$B215,Transaksi!$I$16:$I$5015,$C215,Transaksi!$B$16:$B$5015,"&gt;="&amp;DATE(Dashboard!$C$4,12,1),Transaksi!$B$16:$B$5015,"&lt;="&amp;EOMONTH(DATE(Dashboard!$C$4,12,1),0)))</f>
        <v/>
      </c>
      <c r="P215" s="166">
        <f>IF($C215="","",SUM(D215:O215))</f>
        <v/>
      </c>
    </row>
    <row r="216" ht="15" customHeight="1" s="94">
      <c r="A216" s="164">
        <f>IF(Kategori!C216="","",Kategori!A216)</f>
        <v/>
      </c>
      <c r="B216" s="164">
        <f>IF(Kategori!C216="","",Kategori!B216)</f>
        <v/>
      </c>
      <c r="C216" s="108">
        <f>IF(Kategori!C216="","",Kategori!C216)</f>
        <v/>
      </c>
      <c r="D216" s="165">
        <f>IF($C216="","",SUMIFS(Transaksi!$F$16:$F$5015,Transaksi!$G$16:$G$5015,$A216,Transaksi!$H$16:$H$5015,$B216,Transaksi!$I$16:$I$5015,$C216,Transaksi!$B$16:$B$5015,"&gt;="&amp;DATE(Dashboard!$C$4,1,1),Transaksi!$B$16:$B$5015,"&lt;="&amp;EOMONTH(DATE(Dashboard!$C$4,1,1),0)))</f>
        <v/>
      </c>
      <c r="E216" s="165">
        <f>IF($C216="","",SUMIFS(Transaksi!$F$16:$F$5015,Transaksi!$G$16:$G$5015,$A216,Transaksi!$H$16:$H$5015,$B216,Transaksi!$I$16:$I$5015,$C216,Transaksi!$B$16:$B$5015,"&gt;="&amp;DATE(Dashboard!$C$4,2,1),Transaksi!$B$16:$B$5015,"&lt;="&amp;EOMONTH(DATE(Dashboard!$C$4,2,1),0)))</f>
        <v/>
      </c>
      <c r="F216" s="165">
        <f>IF($C216="","",SUMIFS(Transaksi!$F$16:$F$5015,Transaksi!$G$16:$G$5015,$A216,Transaksi!$H$16:$H$5015,$B216,Transaksi!$I$16:$I$5015,$C216,Transaksi!$B$16:$B$5015,"&gt;="&amp;DATE(Dashboard!$C$4,3,1),Transaksi!$B$16:$B$5015,"&lt;="&amp;EOMONTH(DATE(Dashboard!$C$4,3,1),0)))</f>
        <v/>
      </c>
      <c r="G216" s="165">
        <f>IF($C216="","",SUMIFS(Transaksi!$F$16:$F$5015,Transaksi!$G$16:$G$5015,$A216,Transaksi!$H$16:$H$5015,$B216,Transaksi!$I$16:$I$5015,$C216,Transaksi!$B$16:$B$5015,"&gt;="&amp;DATE(Dashboard!$C$4,4,1),Transaksi!$B$16:$B$5015,"&lt;="&amp;EOMONTH(DATE(Dashboard!$C$4,4,1),0)))</f>
        <v/>
      </c>
      <c r="H216" s="165">
        <f>IF($C216="","",SUMIFS(Transaksi!$F$16:$F$5015,Transaksi!$G$16:$G$5015,$A216,Transaksi!$H$16:$H$5015,$B216,Transaksi!$I$16:$I$5015,$C216,Transaksi!$B$16:$B$5015,"&gt;="&amp;DATE(Dashboard!$C$4,5,1),Transaksi!$B$16:$B$5015,"&lt;="&amp;EOMONTH(DATE(Dashboard!$C$4,5,1),0)))</f>
        <v/>
      </c>
      <c r="I216" s="165">
        <f>IF($C216="","",SUMIFS(Transaksi!$F$16:$F$5015,Transaksi!$G$16:$G$5015,$A216,Transaksi!$H$16:$H$5015,$B216,Transaksi!$I$16:$I$5015,$C216,Transaksi!$B$16:$B$5015,"&gt;="&amp;DATE(Dashboard!$C$4,6,1),Transaksi!$B$16:$B$5015,"&lt;="&amp;EOMONTH(DATE(Dashboard!$C$4,6,1),0)))</f>
        <v/>
      </c>
      <c r="J216" s="165">
        <f>IF($C216="","",SUMIFS(Transaksi!$F$16:$F$5015,Transaksi!$G$16:$G$5015,$A216,Transaksi!$H$16:$H$5015,$B216,Transaksi!$I$16:$I$5015,$C216,Transaksi!$B$16:$B$5015,"&gt;="&amp;DATE(Dashboard!$C$4,7,1),Transaksi!$B$16:$B$5015,"&lt;="&amp;EOMONTH(DATE(Dashboard!$C$4,7,1),0)))</f>
        <v/>
      </c>
      <c r="K216" s="165">
        <f>IF($C216="","",SUMIFS(Transaksi!$F$16:$F$5015,Transaksi!$G$16:$G$5015,$A216,Transaksi!$H$16:$H$5015,$B216,Transaksi!$I$16:$I$5015,$C216,Transaksi!$B$16:$B$5015,"&gt;="&amp;DATE(Dashboard!$C$4,8,1),Transaksi!$B$16:$B$5015,"&lt;="&amp;EOMONTH(DATE(Dashboard!$C$4,8,1),0)))</f>
        <v/>
      </c>
      <c r="L216" s="165">
        <f>IF($C216="","",SUMIFS(Transaksi!$F$16:$F$5015,Transaksi!$G$16:$G$5015,$A216,Transaksi!$H$16:$H$5015,$B216,Transaksi!$I$16:$I$5015,$C216,Transaksi!$B$16:$B$5015,"&gt;="&amp;DATE(Dashboard!$C$4,9,1),Transaksi!$B$16:$B$5015,"&lt;="&amp;EOMONTH(DATE(Dashboard!$C$4,9,1),0)))</f>
        <v/>
      </c>
      <c r="M216" s="165">
        <f>IF($C216="","",SUMIFS(Transaksi!$F$16:$F$5015,Transaksi!$G$16:$G$5015,$A216,Transaksi!$H$16:$H$5015,$B216,Transaksi!$I$16:$I$5015,$C216,Transaksi!$B$16:$B$5015,"&gt;="&amp;DATE(Dashboard!$C$4,10,1),Transaksi!$B$16:$B$5015,"&lt;="&amp;EOMONTH(DATE(Dashboard!$C$4,10,1),0)))</f>
        <v/>
      </c>
      <c r="N216" s="165">
        <f>IF($C216="","",SUMIFS(Transaksi!$F$16:$F$5015,Transaksi!$G$16:$G$5015,$A216,Transaksi!$H$16:$H$5015,$B216,Transaksi!$I$16:$I$5015,$C216,Transaksi!$B$16:$B$5015,"&gt;="&amp;DATE(Dashboard!$C$4,11,1),Transaksi!$B$16:$B$5015,"&lt;="&amp;EOMONTH(DATE(Dashboard!$C$4,11,1),0)))</f>
        <v/>
      </c>
      <c r="O216" s="165">
        <f>IF($C216="","",SUMIFS(Transaksi!$F$16:$F$5015,Transaksi!$G$16:$G$5015,$A216,Transaksi!$H$16:$H$5015,$B216,Transaksi!$I$16:$I$5015,$C216,Transaksi!$B$16:$B$5015,"&gt;="&amp;DATE(Dashboard!$C$4,12,1),Transaksi!$B$16:$B$5015,"&lt;="&amp;EOMONTH(DATE(Dashboard!$C$4,12,1),0)))</f>
        <v/>
      </c>
      <c r="P216" s="166">
        <f>IF($C216="","",SUM(D216:O216))</f>
        <v/>
      </c>
    </row>
    <row r="217" ht="15" customHeight="1" s="94">
      <c r="A217" s="164">
        <f>IF(Kategori!C217="","",Kategori!A217)</f>
        <v/>
      </c>
      <c r="B217" s="164">
        <f>IF(Kategori!C217="","",Kategori!B217)</f>
        <v/>
      </c>
      <c r="C217" s="108">
        <f>IF(Kategori!C217="","",Kategori!C217)</f>
        <v/>
      </c>
      <c r="D217" s="165">
        <f>IF($C217="","",SUMIFS(Transaksi!$F$16:$F$5015,Transaksi!$G$16:$G$5015,$A217,Transaksi!$H$16:$H$5015,$B217,Transaksi!$I$16:$I$5015,$C217,Transaksi!$B$16:$B$5015,"&gt;="&amp;DATE(Dashboard!$C$4,1,1),Transaksi!$B$16:$B$5015,"&lt;="&amp;EOMONTH(DATE(Dashboard!$C$4,1,1),0)))</f>
        <v/>
      </c>
      <c r="E217" s="165">
        <f>IF($C217="","",SUMIFS(Transaksi!$F$16:$F$5015,Transaksi!$G$16:$G$5015,$A217,Transaksi!$H$16:$H$5015,$B217,Transaksi!$I$16:$I$5015,$C217,Transaksi!$B$16:$B$5015,"&gt;="&amp;DATE(Dashboard!$C$4,2,1),Transaksi!$B$16:$B$5015,"&lt;="&amp;EOMONTH(DATE(Dashboard!$C$4,2,1),0)))</f>
        <v/>
      </c>
      <c r="F217" s="165">
        <f>IF($C217="","",SUMIFS(Transaksi!$F$16:$F$5015,Transaksi!$G$16:$G$5015,$A217,Transaksi!$H$16:$H$5015,$B217,Transaksi!$I$16:$I$5015,$C217,Transaksi!$B$16:$B$5015,"&gt;="&amp;DATE(Dashboard!$C$4,3,1),Transaksi!$B$16:$B$5015,"&lt;="&amp;EOMONTH(DATE(Dashboard!$C$4,3,1),0)))</f>
        <v/>
      </c>
      <c r="G217" s="165">
        <f>IF($C217="","",SUMIFS(Transaksi!$F$16:$F$5015,Transaksi!$G$16:$G$5015,$A217,Transaksi!$H$16:$H$5015,$B217,Transaksi!$I$16:$I$5015,$C217,Transaksi!$B$16:$B$5015,"&gt;="&amp;DATE(Dashboard!$C$4,4,1),Transaksi!$B$16:$B$5015,"&lt;="&amp;EOMONTH(DATE(Dashboard!$C$4,4,1),0)))</f>
        <v/>
      </c>
      <c r="H217" s="165">
        <f>IF($C217="","",SUMIFS(Transaksi!$F$16:$F$5015,Transaksi!$G$16:$G$5015,$A217,Transaksi!$H$16:$H$5015,$B217,Transaksi!$I$16:$I$5015,$C217,Transaksi!$B$16:$B$5015,"&gt;="&amp;DATE(Dashboard!$C$4,5,1),Transaksi!$B$16:$B$5015,"&lt;="&amp;EOMONTH(DATE(Dashboard!$C$4,5,1),0)))</f>
        <v/>
      </c>
      <c r="I217" s="165">
        <f>IF($C217="","",SUMIFS(Transaksi!$F$16:$F$5015,Transaksi!$G$16:$G$5015,$A217,Transaksi!$H$16:$H$5015,$B217,Transaksi!$I$16:$I$5015,$C217,Transaksi!$B$16:$B$5015,"&gt;="&amp;DATE(Dashboard!$C$4,6,1),Transaksi!$B$16:$B$5015,"&lt;="&amp;EOMONTH(DATE(Dashboard!$C$4,6,1),0)))</f>
        <v/>
      </c>
      <c r="J217" s="165">
        <f>IF($C217="","",SUMIFS(Transaksi!$F$16:$F$5015,Transaksi!$G$16:$G$5015,$A217,Transaksi!$H$16:$H$5015,$B217,Transaksi!$I$16:$I$5015,$C217,Transaksi!$B$16:$B$5015,"&gt;="&amp;DATE(Dashboard!$C$4,7,1),Transaksi!$B$16:$B$5015,"&lt;="&amp;EOMONTH(DATE(Dashboard!$C$4,7,1),0)))</f>
        <v/>
      </c>
      <c r="K217" s="165">
        <f>IF($C217="","",SUMIFS(Transaksi!$F$16:$F$5015,Transaksi!$G$16:$G$5015,$A217,Transaksi!$H$16:$H$5015,$B217,Transaksi!$I$16:$I$5015,$C217,Transaksi!$B$16:$B$5015,"&gt;="&amp;DATE(Dashboard!$C$4,8,1),Transaksi!$B$16:$B$5015,"&lt;="&amp;EOMONTH(DATE(Dashboard!$C$4,8,1),0)))</f>
        <v/>
      </c>
      <c r="L217" s="165">
        <f>IF($C217="","",SUMIFS(Transaksi!$F$16:$F$5015,Transaksi!$G$16:$G$5015,$A217,Transaksi!$H$16:$H$5015,$B217,Transaksi!$I$16:$I$5015,$C217,Transaksi!$B$16:$B$5015,"&gt;="&amp;DATE(Dashboard!$C$4,9,1),Transaksi!$B$16:$B$5015,"&lt;="&amp;EOMONTH(DATE(Dashboard!$C$4,9,1),0)))</f>
        <v/>
      </c>
      <c r="M217" s="165">
        <f>IF($C217="","",SUMIFS(Transaksi!$F$16:$F$5015,Transaksi!$G$16:$G$5015,$A217,Transaksi!$H$16:$H$5015,$B217,Transaksi!$I$16:$I$5015,$C217,Transaksi!$B$16:$B$5015,"&gt;="&amp;DATE(Dashboard!$C$4,10,1),Transaksi!$B$16:$B$5015,"&lt;="&amp;EOMONTH(DATE(Dashboard!$C$4,10,1),0)))</f>
        <v/>
      </c>
      <c r="N217" s="165">
        <f>IF($C217="","",SUMIFS(Transaksi!$F$16:$F$5015,Transaksi!$G$16:$G$5015,$A217,Transaksi!$H$16:$H$5015,$B217,Transaksi!$I$16:$I$5015,$C217,Transaksi!$B$16:$B$5015,"&gt;="&amp;DATE(Dashboard!$C$4,11,1),Transaksi!$B$16:$B$5015,"&lt;="&amp;EOMONTH(DATE(Dashboard!$C$4,11,1),0)))</f>
        <v/>
      </c>
      <c r="O217" s="165">
        <f>IF($C217="","",SUMIFS(Transaksi!$F$16:$F$5015,Transaksi!$G$16:$G$5015,$A217,Transaksi!$H$16:$H$5015,$B217,Transaksi!$I$16:$I$5015,$C217,Transaksi!$B$16:$B$5015,"&gt;="&amp;DATE(Dashboard!$C$4,12,1),Transaksi!$B$16:$B$5015,"&lt;="&amp;EOMONTH(DATE(Dashboard!$C$4,12,1),0)))</f>
        <v/>
      </c>
      <c r="P217" s="166">
        <f>IF($C217="","",SUM(D217:O217))</f>
        <v/>
      </c>
    </row>
    <row r="218" ht="15" customHeight="1" s="94">
      <c r="A218" s="164">
        <f>IF(Kategori!C218="","",Kategori!A218)</f>
        <v/>
      </c>
      <c r="B218" s="164">
        <f>IF(Kategori!C218="","",Kategori!B218)</f>
        <v/>
      </c>
      <c r="C218" s="108">
        <f>IF(Kategori!C218="","",Kategori!C218)</f>
        <v/>
      </c>
      <c r="D218" s="165">
        <f>IF($C218="","",SUMIFS(Transaksi!$F$16:$F$5015,Transaksi!$G$16:$G$5015,$A218,Transaksi!$H$16:$H$5015,$B218,Transaksi!$I$16:$I$5015,$C218,Transaksi!$B$16:$B$5015,"&gt;="&amp;DATE(Dashboard!$C$4,1,1),Transaksi!$B$16:$B$5015,"&lt;="&amp;EOMONTH(DATE(Dashboard!$C$4,1,1),0)))</f>
        <v/>
      </c>
      <c r="E218" s="165">
        <f>IF($C218="","",SUMIFS(Transaksi!$F$16:$F$5015,Transaksi!$G$16:$G$5015,$A218,Transaksi!$H$16:$H$5015,$B218,Transaksi!$I$16:$I$5015,$C218,Transaksi!$B$16:$B$5015,"&gt;="&amp;DATE(Dashboard!$C$4,2,1),Transaksi!$B$16:$B$5015,"&lt;="&amp;EOMONTH(DATE(Dashboard!$C$4,2,1),0)))</f>
        <v/>
      </c>
      <c r="F218" s="165">
        <f>IF($C218="","",SUMIFS(Transaksi!$F$16:$F$5015,Transaksi!$G$16:$G$5015,$A218,Transaksi!$H$16:$H$5015,$B218,Transaksi!$I$16:$I$5015,$C218,Transaksi!$B$16:$B$5015,"&gt;="&amp;DATE(Dashboard!$C$4,3,1),Transaksi!$B$16:$B$5015,"&lt;="&amp;EOMONTH(DATE(Dashboard!$C$4,3,1),0)))</f>
        <v/>
      </c>
      <c r="G218" s="165">
        <f>IF($C218="","",SUMIFS(Transaksi!$F$16:$F$5015,Transaksi!$G$16:$G$5015,$A218,Transaksi!$H$16:$H$5015,$B218,Transaksi!$I$16:$I$5015,$C218,Transaksi!$B$16:$B$5015,"&gt;="&amp;DATE(Dashboard!$C$4,4,1),Transaksi!$B$16:$B$5015,"&lt;="&amp;EOMONTH(DATE(Dashboard!$C$4,4,1),0)))</f>
        <v/>
      </c>
      <c r="H218" s="165">
        <f>IF($C218="","",SUMIFS(Transaksi!$F$16:$F$5015,Transaksi!$G$16:$G$5015,$A218,Transaksi!$H$16:$H$5015,$B218,Transaksi!$I$16:$I$5015,$C218,Transaksi!$B$16:$B$5015,"&gt;="&amp;DATE(Dashboard!$C$4,5,1),Transaksi!$B$16:$B$5015,"&lt;="&amp;EOMONTH(DATE(Dashboard!$C$4,5,1),0)))</f>
        <v/>
      </c>
      <c r="I218" s="165">
        <f>IF($C218="","",SUMIFS(Transaksi!$F$16:$F$5015,Transaksi!$G$16:$G$5015,$A218,Transaksi!$H$16:$H$5015,$B218,Transaksi!$I$16:$I$5015,$C218,Transaksi!$B$16:$B$5015,"&gt;="&amp;DATE(Dashboard!$C$4,6,1),Transaksi!$B$16:$B$5015,"&lt;="&amp;EOMONTH(DATE(Dashboard!$C$4,6,1),0)))</f>
        <v/>
      </c>
      <c r="J218" s="165">
        <f>IF($C218="","",SUMIFS(Transaksi!$F$16:$F$5015,Transaksi!$G$16:$G$5015,$A218,Transaksi!$H$16:$H$5015,$B218,Transaksi!$I$16:$I$5015,$C218,Transaksi!$B$16:$B$5015,"&gt;="&amp;DATE(Dashboard!$C$4,7,1),Transaksi!$B$16:$B$5015,"&lt;="&amp;EOMONTH(DATE(Dashboard!$C$4,7,1),0)))</f>
        <v/>
      </c>
      <c r="K218" s="165">
        <f>IF($C218="","",SUMIFS(Transaksi!$F$16:$F$5015,Transaksi!$G$16:$G$5015,$A218,Transaksi!$H$16:$H$5015,$B218,Transaksi!$I$16:$I$5015,$C218,Transaksi!$B$16:$B$5015,"&gt;="&amp;DATE(Dashboard!$C$4,8,1),Transaksi!$B$16:$B$5015,"&lt;="&amp;EOMONTH(DATE(Dashboard!$C$4,8,1),0)))</f>
        <v/>
      </c>
      <c r="L218" s="165">
        <f>IF($C218="","",SUMIFS(Transaksi!$F$16:$F$5015,Transaksi!$G$16:$G$5015,$A218,Transaksi!$H$16:$H$5015,$B218,Transaksi!$I$16:$I$5015,$C218,Transaksi!$B$16:$B$5015,"&gt;="&amp;DATE(Dashboard!$C$4,9,1),Transaksi!$B$16:$B$5015,"&lt;="&amp;EOMONTH(DATE(Dashboard!$C$4,9,1),0)))</f>
        <v/>
      </c>
      <c r="M218" s="165">
        <f>IF($C218="","",SUMIFS(Transaksi!$F$16:$F$5015,Transaksi!$G$16:$G$5015,$A218,Transaksi!$H$16:$H$5015,$B218,Transaksi!$I$16:$I$5015,$C218,Transaksi!$B$16:$B$5015,"&gt;="&amp;DATE(Dashboard!$C$4,10,1),Transaksi!$B$16:$B$5015,"&lt;="&amp;EOMONTH(DATE(Dashboard!$C$4,10,1),0)))</f>
        <v/>
      </c>
      <c r="N218" s="165">
        <f>IF($C218="","",SUMIFS(Transaksi!$F$16:$F$5015,Transaksi!$G$16:$G$5015,$A218,Transaksi!$H$16:$H$5015,$B218,Transaksi!$I$16:$I$5015,$C218,Transaksi!$B$16:$B$5015,"&gt;="&amp;DATE(Dashboard!$C$4,11,1),Transaksi!$B$16:$B$5015,"&lt;="&amp;EOMONTH(DATE(Dashboard!$C$4,11,1),0)))</f>
        <v/>
      </c>
      <c r="O218" s="165">
        <f>IF($C218="","",SUMIFS(Transaksi!$F$16:$F$5015,Transaksi!$G$16:$G$5015,$A218,Transaksi!$H$16:$H$5015,$B218,Transaksi!$I$16:$I$5015,$C218,Transaksi!$B$16:$B$5015,"&gt;="&amp;DATE(Dashboard!$C$4,12,1),Transaksi!$B$16:$B$5015,"&lt;="&amp;EOMONTH(DATE(Dashboard!$C$4,12,1),0)))</f>
        <v/>
      </c>
      <c r="P218" s="166">
        <f>IF($C218="","",SUM(D218:O218))</f>
        <v/>
      </c>
    </row>
    <row r="219" ht="15" customHeight="1" s="94">
      <c r="A219" s="164">
        <f>IF(Kategori!C219="","",Kategori!A219)</f>
        <v/>
      </c>
      <c r="B219" s="164">
        <f>IF(Kategori!C219="","",Kategori!B219)</f>
        <v/>
      </c>
      <c r="C219" s="108">
        <f>IF(Kategori!C219="","",Kategori!C219)</f>
        <v/>
      </c>
      <c r="D219" s="165">
        <f>IF($C219="","",SUMIFS(Transaksi!$F$16:$F$5015,Transaksi!$G$16:$G$5015,$A219,Transaksi!$H$16:$H$5015,$B219,Transaksi!$I$16:$I$5015,$C219,Transaksi!$B$16:$B$5015,"&gt;="&amp;DATE(Dashboard!$C$4,1,1),Transaksi!$B$16:$B$5015,"&lt;="&amp;EOMONTH(DATE(Dashboard!$C$4,1,1),0)))</f>
        <v/>
      </c>
      <c r="E219" s="165">
        <f>IF($C219="","",SUMIFS(Transaksi!$F$16:$F$5015,Transaksi!$G$16:$G$5015,$A219,Transaksi!$H$16:$H$5015,$B219,Transaksi!$I$16:$I$5015,$C219,Transaksi!$B$16:$B$5015,"&gt;="&amp;DATE(Dashboard!$C$4,2,1),Transaksi!$B$16:$B$5015,"&lt;="&amp;EOMONTH(DATE(Dashboard!$C$4,2,1),0)))</f>
        <v/>
      </c>
      <c r="F219" s="165">
        <f>IF($C219="","",SUMIFS(Transaksi!$F$16:$F$5015,Transaksi!$G$16:$G$5015,$A219,Transaksi!$H$16:$H$5015,$B219,Transaksi!$I$16:$I$5015,$C219,Transaksi!$B$16:$B$5015,"&gt;="&amp;DATE(Dashboard!$C$4,3,1),Transaksi!$B$16:$B$5015,"&lt;="&amp;EOMONTH(DATE(Dashboard!$C$4,3,1),0)))</f>
        <v/>
      </c>
      <c r="G219" s="165">
        <f>IF($C219="","",SUMIFS(Transaksi!$F$16:$F$5015,Transaksi!$G$16:$G$5015,$A219,Transaksi!$H$16:$H$5015,$B219,Transaksi!$I$16:$I$5015,$C219,Transaksi!$B$16:$B$5015,"&gt;="&amp;DATE(Dashboard!$C$4,4,1),Transaksi!$B$16:$B$5015,"&lt;="&amp;EOMONTH(DATE(Dashboard!$C$4,4,1),0)))</f>
        <v/>
      </c>
      <c r="H219" s="165">
        <f>IF($C219="","",SUMIFS(Transaksi!$F$16:$F$5015,Transaksi!$G$16:$G$5015,$A219,Transaksi!$H$16:$H$5015,$B219,Transaksi!$I$16:$I$5015,$C219,Transaksi!$B$16:$B$5015,"&gt;="&amp;DATE(Dashboard!$C$4,5,1),Transaksi!$B$16:$B$5015,"&lt;="&amp;EOMONTH(DATE(Dashboard!$C$4,5,1),0)))</f>
        <v/>
      </c>
      <c r="I219" s="165">
        <f>IF($C219="","",SUMIFS(Transaksi!$F$16:$F$5015,Transaksi!$G$16:$G$5015,$A219,Transaksi!$H$16:$H$5015,$B219,Transaksi!$I$16:$I$5015,$C219,Transaksi!$B$16:$B$5015,"&gt;="&amp;DATE(Dashboard!$C$4,6,1),Transaksi!$B$16:$B$5015,"&lt;="&amp;EOMONTH(DATE(Dashboard!$C$4,6,1),0)))</f>
        <v/>
      </c>
      <c r="J219" s="165">
        <f>IF($C219="","",SUMIFS(Transaksi!$F$16:$F$5015,Transaksi!$G$16:$G$5015,$A219,Transaksi!$H$16:$H$5015,$B219,Transaksi!$I$16:$I$5015,$C219,Transaksi!$B$16:$B$5015,"&gt;="&amp;DATE(Dashboard!$C$4,7,1),Transaksi!$B$16:$B$5015,"&lt;="&amp;EOMONTH(DATE(Dashboard!$C$4,7,1),0)))</f>
        <v/>
      </c>
      <c r="K219" s="165">
        <f>IF($C219="","",SUMIFS(Transaksi!$F$16:$F$5015,Transaksi!$G$16:$G$5015,$A219,Transaksi!$H$16:$H$5015,$B219,Transaksi!$I$16:$I$5015,$C219,Transaksi!$B$16:$B$5015,"&gt;="&amp;DATE(Dashboard!$C$4,8,1),Transaksi!$B$16:$B$5015,"&lt;="&amp;EOMONTH(DATE(Dashboard!$C$4,8,1),0)))</f>
        <v/>
      </c>
      <c r="L219" s="165">
        <f>IF($C219="","",SUMIFS(Transaksi!$F$16:$F$5015,Transaksi!$G$16:$G$5015,$A219,Transaksi!$H$16:$H$5015,$B219,Transaksi!$I$16:$I$5015,$C219,Transaksi!$B$16:$B$5015,"&gt;="&amp;DATE(Dashboard!$C$4,9,1),Transaksi!$B$16:$B$5015,"&lt;="&amp;EOMONTH(DATE(Dashboard!$C$4,9,1),0)))</f>
        <v/>
      </c>
      <c r="M219" s="165">
        <f>IF($C219="","",SUMIFS(Transaksi!$F$16:$F$5015,Transaksi!$G$16:$G$5015,$A219,Transaksi!$H$16:$H$5015,$B219,Transaksi!$I$16:$I$5015,$C219,Transaksi!$B$16:$B$5015,"&gt;="&amp;DATE(Dashboard!$C$4,10,1),Transaksi!$B$16:$B$5015,"&lt;="&amp;EOMONTH(DATE(Dashboard!$C$4,10,1),0)))</f>
        <v/>
      </c>
      <c r="N219" s="165">
        <f>IF($C219="","",SUMIFS(Transaksi!$F$16:$F$5015,Transaksi!$G$16:$G$5015,$A219,Transaksi!$H$16:$H$5015,$B219,Transaksi!$I$16:$I$5015,$C219,Transaksi!$B$16:$B$5015,"&gt;="&amp;DATE(Dashboard!$C$4,11,1),Transaksi!$B$16:$B$5015,"&lt;="&amp;EOMONTH(DATE(Dashboard!$C$4,11,1),0)))</f>
        <v/>
      </c>
      <c r="O219" s="165">
        <f>IF($C219="","",SUMIFS(Transaksi!$F$16:$F$5015,Transaksi!$G$16:$G$5015,$A219,Transaksi!$H$16:$H$5015,$B219,Transaksi!$I$16:$I$5015,$C219,Transaksi!$B$16:$B$5015,"&gt;="&amp;DATE(Dashboard!$C$4,12,1),Transaksi!$B$16:$B$5015,"&lt;="&amp;EOMONTH(DATE(Dashboard!$C$4,12,1),0)))</f>
        <v/>
      </c>
      <c r="P219" s="166">
        <f>IF($C219="","",SUM(D219:O219))</f>
        <v/>
      </c>
    </row>
    <row r="220" ht="15" customHeight="1" s="94">
      <c r="A220" s="164">
        <f>IF(Kategori!C220="","",Kategori!A220)</f>
        <v/>
      </c>
      <c r="B220" s="164">
        <f>IF(Kategori!C220="","",Kategori!B220)</f>
        <v/>
      </c>
      <c r="C220" s="108">
        <f>IF(Kategori!C220="","",Kategori!C220)</f>
        <v/>
      </c>
      <c r="D220" s="165">
        <f>IF($C220="","",SUMIFS(Transaksi!$F$16:$F$5015,Transaksi!$G$16:$G$5015,$A220,Transaksi!$H$16:$H$5015,$B220,Transaksi!$I$16:$I$5015,$C220,Transaksi!$B$16:$B$5015,"&gt;="&amp;DATE(Dashboard!$C$4,1,1),Transaksi!$B$16:$B$5015,"&lt;="&amp;EOMONTH(DATE(Dashboard!$C$4,1,1),0)))</f>
        <v/>
      </c>
      <c r="E220" s="165">
        <f>IF($C220="","",SUMIFS(Transaksi!$F$16:$F$5015,Transaksi!$G$16:$G$5015,$A220,Transaksi!$H$16:$H$5015,$B220,Transaksi!$I$16:$I$5015,$C220,Transaksi!$B$16:$B$5015,"&gt;="&amp;DATE(Dashboard!$C$4,2,1),Transaksi!$B$16:$B$5015,"&lt;="&amp;EOMONTH(DATE(Dashboard!$C$4,2,1),0)))</f>
        <v/>
      </c>
      <c r="F220" s="165">
        <f>IF($C220="","",SUMIFS(Transaksi!$F$16:$F$5015,Transaksi!$G$16:$G$5015,$A220,Transaksi!$H$16:$H$5015,$B220,Transaksi!$I$16:$I$5015,$C220,Transaksi!$B$16:$B$5015,"&gt;="&amp;DATE(Dashboard!$C$4,3,1),Transaksi!$B$16:$B$5015,"&lt;="&amp;EOMONTH(DATE(Dashboard!$C$4,3,1),0)))</f>
        <v/>
      </c>
      <c r="G220" s="165">
        <f>IF($C220="","",SUMIFS(Transaksi!$F$16:$F$5015,Transaksi!$G$16:$G$5015,$A220,Transaksi!$H$16:$H$5015,$B220,Transaksi!$I$16:$I$5015,$C220,Transaksi!$B$16:$B$5015,"&gt;="&amp;DATE(Dashboard!$C$4,4,1),Transaksi!$B$16:$B$5015,"&lt;="&amp;EOMONTH(DATE(Dashboard!$C$4,4,1),0)))</f>
        <v/>
      </c>
      <c r="H220" s="165">
        <f>IF($C220="","",SUMIFS(Transaksi!$F$16:$F$5015,Transaksi!$G$16:$G$5015,$A220,Transaksi!$H$16:$H$5015,$B220,Transaksi!$I$16:$I$5015,$C220,Transaksi!$B$16:$B$5015,"&gt;="&amp;DATE(Dashboard!$C$4,5,1),Transaksi!$B$16:$B$5015,"&lt;="&amp;EOMONTH(DATE(Dashboard!$C$4,5,1),0)))</f>
        <v/>
      </c>
      <c r="I220" s="165">
        <f>IF($C220="","",SUMIFS(Transaksi!$F$16:$F$5015,Transaksi!$G$16:$G$5015,$A220,Transaksi!$H$16:$H$5015,$B220,Transaksi!$I$16:$I$5015,$C220,Transaksi!$B$16:$B$5015,"&gt;="&amp;DATE(Dashboard!$C$4,6,1),Transaksi!$B$16:$B$5015,"&lt;="&amp;EOMONTH(DATE(Dashboard!$C$4,6,1),0)))</f>
        <v/>
      </c>
      <c r="J220" s="165">
        <f>IF($C220="","",SUMIFS(Transaksi!$F$16:$F$5015,Transaksi!$G$16:$G$5015,$A220,Transaksi!$H$16:$H$5015,$B220,Transaksi!$I$16:$I$5015,$C220,Transaksi!$B$16:$B$5015,"&gt;="&amp;DATE(Dashboard!$C$4,7,1),Transaksi!$B$16:$B$5015,"&lt;="&amp;EOMONTH(DATE(Dashboard!$C$4,7,1),0)))</f>
        <v/>
      </c>
      <c r="K220" s="165">
        <f>IF($C220="","",SUMIFS(Transaksi!$F$16:$F$5015,Transaksi!$G$16:$G$5015,$A220,Transaksi!$H$16:$H$5015,$B220,Transaksi!$I$16:$I$5015,$C220,Transaksi!$B$16:$B$5015,"&gt;="&amp;DATE(Dashboard!$C$4,8,1),Transaksi!$B$16:$B$5015,"&lt;="&amp;EOMONTH(DATE(Dashboard!$C$4,8,1),0)))</f>
        <v/>
      </c>
      <c r="L220" s="165">
        <f>IF($C220="","",SUMIFS(Transaksi!$F$16:$F$5015,Transaksi!$G$16:$G$5015,$A220,Transaksi!$H$16:$H$5015,$B220,Transaksi!$I$16:$I$5015,$C220,Transaksi!$B$16:$B$5015,"&gt;="&amp;DATE(Dashboard!$C$4,9,1),Transaksi!$B$16:$B$5015,"&lt;="&amp;EOMONTH(DATE(Dashboard!$C$4,9,1),0)))</f>
        <v/>
      </c>
      <c r="M220" s="165">
        <f>IF($C220="","",SUMIFS(Transaksi!$F$16:$F$5015,Transaksi!$G$16:$G$5015,$A220,Transaksi!$H$16:$H$5015,$B220,Transaksi!$I$16:$I$5015,$C220,Transaksi!$B$16:$B$5015,"&gt;="&amp;DATE(Dashboard!$C$4,10,1),Transaksi!$B$16:$B$5015,"&lt;="&amp;EOMONTH(DATE(Dashboard!$C$4,10,1),0)))</f>
        <v/>
      </c>
      <c r="N220" s="165">
        <f>IF($C220="","",SUMIFS(Transaksi!$F$16:$F$5015,Transaksi!$G$16:$G$5015,$A220,Transaksi!$H$16:$H$5015,$B220,Transaksi!$I$16:$I$5015,$C220,Transaksi!$B$16:$B$5015,"&gt;="&amp;DATE(Dashboard!$C$4,11,1),Transaksi!$B$16:$B$5015,"&lt;="&amp;EOMONTH(DATE(Dashboard!$C$4,11,1),0)))</f>
        <v/>
      </c>
      <c r="O220" s="165">
        <f>IF($C220="","",SUMIFS(Transaksi!$F$16:$F$5015,Transaksi!$G$16:$G$5015,$A220,Transaksi!$H$16:$H$5015,$B220,Transaksi!$I$16:$I$5015,$C220,Transaksi!$B$16:$B$5015,"&gt;="&amp;DATE(Dashboard!$C$4,12,1),Transaksi!$B$16:$B$5015,"&lt;="&amp;EOMONTH(DATE(Dashboard!$C$4,12,1),0)))</f>
        <v/>
      </c>
      <c r="P220" s="166">
        <f>IF($C220="","",SUM(D220:O220))</f>
        <v/>
      </c>
    </row>
    <row r="221" ht="15" customHeight="1" s="94">
      <c r="A221" s="164">
        <f>IF(Kategori!C221="","",Kategori!A221)</f>
        <v/>
      </c>
      <c r="B221" s="164">
        <f>IF(Kategori!C221="","",Kategori!B221)</f>
        <v/>
      </c>
      <c r="C221" s="108">
        <f>IF(Kategori!C221="","",Kategori!C221)</f>
        <v/>
      </c>
      <c r="D221" s="165">
        <f>IF($C221="","",SUMIFS(Transaksi!$F$16:$F$5015,Transaksi!$G$16:$G$5015,$A221,Transaksi!$H$16:$H$5015,$B221,Transaksi!$I$16:$I$5015,$C221,Transaksi!$B$16:$B$5015,"&gt;="&amp;DATE(Dashboard!$C$4,1,1),Transaksi!$B$16:$B$5015,"&lt;="&amp;EOMONTH(DATE(Dashboard!$C$4,1,1),0)))</f>
        <v/>
      </c>
      <c r="E221" s="165">
        <f>IF($C221="","",SUMIFS(Transaksi!$F$16:$F$5015,Transaksi!$G$16:$G$5015,$A221,Transaksi!$H$16:$H$5015,$B221,Transaksi!$I$16:$I$5015,$C221,Transaksi!$B$16:$B$5015,"&gt;="&amp;DATE(Dashboard!$C$4,2,1),Transaksi!$B$16:$B$5015,"&lt;="&amp;EOMONTH(DATE(Dashboard!$C$4,2,1),0)))</f>
        <v/>
      </c>
      <c r="F221" s="165">
        <f>IF($C221="","",SUMIFS(Transaksi!$F$16:$F$5015,Transaksi!$G$16:$G$5015,$A221,Transaksi!$H$16:$H$5015,$B221,Transaksi!$I$16:$I$5015,$C221,Transaksi!$B$16:$B$5015,"&gt;="&amp;DATE(Dashboard!$C$4,3,1),Transaksi!$B$16:$B$5015,"&lt;="&amp;EOMONTH(DATE(Dashboard!$C$4,3,1),0)))</f>
        <v/>
      </c>
      <c r="G221" s="165">
        <f>IF($C221="","",SUMIFS(Transaksi!$F$16:$F$5015,Transaksi!$G$16:$G$5015,$A221,Transaksi!$H$16:$H$5015,$B221,Transaksi!$I$16:$I$5015,$C221,Transaksi!$B$16:$B$5015,"&gt;="&amp;DATE(Dashboard!$C$4,4,1),Transaksi!$B$16:$B$5015,"&lt;="&amp;EOMONTH(DATE(Dashboard!$C$4,4,1),0)))</f>
        <v/>
      </c>
      <c r="H221" s="165">
        <f>IF($C221="","",SUMIFS(Transaksi!$F$16:$F$5015,Transaksi!$G$16:$G$5015,$A221,Transaksi!$H$16:$H$5015,$B221,Transaksi!$I$16:$I$5015,$C221,Transaksi!$B$16:$B$5015,"&gt;="&amp;DATE(Dashboard!$C$4,5,1),Transaksi!$B$16:$B$5015,"&lt;="&amp;EOMONTH(DATE(Dashboard!$C$4,5,1),0)))</f>
        <v/>
      </c>
      <c r="I221" s="165">
        <f>IF($C221="","",SUMIFS(Transaksi!$F$16:$F$5015,Transaksi!$G$16:$G$5015,$A221,Transaksi!$H$16:$H$5015,$B221,Transaksi!$I$16:$I$5015,$C221,Transaksi!$B$16:$B$5015,"&gt;="&amp;DATE(Dashboard!$C$4,6,1),Transaksi!$B$16:$B$5015,"&lt;="&amp;EOMONTH(DATE(Dashboard!$C$4,6,1),0)))</f>
        <v/>
      </c>
      <c r="J221" s="165">
        <f>IF($C221="","",SUMIFS(Transaksi!$F$16:$F$5015,Transaksi!$G$16:$G$5015,$A221,Transaksi!$H$16:$H$5015,$B221,Transaksi!$I$16:$I$5015,$C221,Transaksi!$B$16:$B$5015,"&gt;="&amp;DATE(Dashboard!$C$4,7,1),Transaksi!$B$16:$B$5015,"&lt;="&amp;EOMONTH(DATE(Dashboard!$C$4,7,1),0)))</f>
        <v/>
      </c>
      <c r="K221" s="165">
        <f>IF($C221="","",SUMIFS(Transaksi!$F$16:$F$5015,Transaksi!$G$16:$G$5015,$A221,Transaksi!$H$16:$H$5015,$B221,Transaksi!$I$16:$I$5015,$C221,Transaksi!$B$16:$B$5015,"&gt;="&amp;DATE(Dashboard!$C$4,8,1),Transaksi!$B$16:$B$5015,"&lt;="&amp;EOMONTH(DATE(Dashboard!$C$4,8,1),0)))</f>
        <v/>
      </c>
      <c r="L221" s="165">
        <f>IF($C221="","",SUMIFS(Transaksi!$F$16:$F$5015,Transaksi!$G$16:$G$5015,$A221,Transaksi!$H$16:$H$5015,$B221,Transaksi!$I$16:$I$5015,$C221,Transaksi!$B$16:$B$5015,"&gt;="&amp;DATE(Dashboard!$C$4,9,1),Transaksi!$B$16:$B$5015,"&lt;="&amp;EOMONTH(DATE(Dashboard!$C$4,9,1),0)))</f>
        <v/>
      </c>
      <c r="M221" s="165">
        <f>IF($C221="","",SUMIFS(Transaksi!$F$16:$F$5015,Transaksi!$G$16:$G$5015,$A221,Transaksi!$H$16:$H$5015,$B221,Transaksi!$I$16:$I$5015,$C221,Transaksi!$B$16:$B$5015,"&gt;="&amp;DATE(Dashboard!$C$4,10,1),Transaksi!$B$16:$B$5015,"&lt;="&amp;EOMONTH(DATE(Dashboard!$C$4,10,1),0)))</f>
        <v/>
      </c>
      <c r="N221" s="165">
        <f>IF($C221="","",SUMIFS(Transaksi!$F$16:$F$5015,Transaksi!$G$16:$G$5015,$A221,Transaksi!$H$16:$H$5015,$B221,Transaksi!$I$16:$I$5015,$C221,Transaksi!$B$16:$B$5015,"&gt;="&amp;DATE(Dashboard!$C$4,11,1),Transaksi!$B$16:$B$5015,"&lt;="&amp;EOMONTH(DATE(Dashboard!$C$4,11,1),0)))</f>
        <v/>
      </c>
      <c r="O221" s="165">
        <f>IF($C221="","",SUMIFS(Transaksi!$F$16:$F$5015,Transaksi!$G$16:$G$5015,$A221,Transaksi!$H$16:$H$5015,$B221,Transaksi!$I$16:$I$5015,$C221,Transaksi!$B$16:$B$5015,"&gt;="&amp;DATE(Dashboard!$C$4,12,1),Transaksi!$B$16:$B$5015,"&lt;="&amp;EOMONTH(DATE(Dashboard!$C$4,12,1),0)))</f>
        <v/>
      </c>
      <c r="P221" s="166">
        <f>IF($C221="","",SUM(D221:O221))</f>
        <v/>
      </c>
    </row>
    <row r="222" ht="15" customHeight="1" s="94">
      <c r="A222" s="164">
        <f>IF(Kategori!C222="","",Kategori!A222)</f>
        <v/>
      </c>
      <c r="B222" s="164">
        <f>IF(Kategori!C222="","",Kategori!B222)</f>
        <v/>
      </c>
      <c r="C222" s="108">
        <f>IF(Kategori!C222="","",Kategori!C222)</f>
        <v/>
      </c>
      <c r="D222" s="165">
        <f>IF($C222="","",SUMIFS(Transaksi!$F$16:$F$5015,Transaksi!$G$16:$G$5015,$A222,Transaksi!$H$16:$H$5015,$B222,Transaksi!$I$16:$I$5015,$C222,Transaksi!$B$16:$B$5015,"&gt;="&amp;DATE(Dashboard!$C$4,1,1),Transaksi!$B$16:$B$5015,"&lt;="&amp;EOMONTH(DATE(Dashboard!$C$4,1,1),0)))</f>
        <v/>
      </c>
      <c r="E222" s="165">
        <f>IF($C222="","",SUMIFS(Transaksi!$F$16:$F$5015,Transaksi!$G$16:$G$5015,$A222,Transaksi!$H$16:$H$5015,$B222,Transaksi!$I$16:$I$5015,$C222,Transaksi!$B$16:$B$5015,"&gt;="&amp;DATE(Dashboard!$C$4,2,1),Transaksi!$B$16:$B$5015,"&lt;="&amp;EOMONTH(DATE(Dashboard!$C$4,2,1),0)))</f>
        <v/>
      </c>
      <c r="F222" s="165">
        <f>IF($C222="","",SUMIFS(Transaksi!$F$16:$F$5015,Transaksi!$G$16:$G$5015,$A222,Transaksi!$H$16:$H$5015,$B222,Transaksi!$I$16:$I$5015,$C222,Transaksi!$B$16:$B$5015,"&gt;="&amp;DATE(Dashboard!$C$4,3,1),Transaksi!$B$16:$B$5015,"&lt;="&amp;EOMONTH(DATE(Dashboard!$C$4,3,1),0)))</f>
        <v/>
      </c>
      <c r="G222" s="165">
        <f>IF($C222="","",SUMIFS(Transaksi!$F$16:$F$5015,Transaksi!$G$16:$G$5015,$A222,Transaksi!$H$16:$H$5015,$B222,Transaksi!$I$16:$I$5015,$C222,Transaksi!$B$16:$B$5015,"&gt;="&amp;DATE(Dashboard!$C$4,4,1),Transaksi!$B$16:$B$5015,"&lt;="&amp;EOMONTH(DATE(Dashboard!$C$4,4,1),0)))</f>
        <v/>
      </c>
      <c r="H222" s="165">
        <f>IF($C222="","",SUMIFS(Transaksi!$F$16:$F$5015,Transaksi!$G$16:$G$5015,$A222,Transaksi!$H$16:$H$5015,$B222,Transaksi!$I$16:$I$5015,$C222,Transaksi!$B$16:$B$5015,"&gt;="&amp;DATE(Dashboard!$C$4,5,1),Transaksi!$B$16:$B$5015,"&lt;="&amp;EOMONTH(DATE(Dashboard!$C$4,5,1),0)))</f>
        <v/>
      </c>
      <c r="I222" s="165">
        <f>IF($C222="","",SUMIFS(Transaksi!$F$16:$F$5015,Transaksi!$G$16:$G$5015,$A222,Transaksi!$H$16:$H$5015,$B222,Transaksi!$I$16:$I$5015,$C222,Transaksi!$B$16:$B$5015,"&gt;="&amp;DATE(Dashboard!$C$4,6,1),Transaksi!$B$16:$B$5015,"&lt;="&amp;EOMONTH(DATE(Dashboard!$C$4,6,1),0)))</f>
        <v/>
      </c>
      <c r="J222" s="165">
        <f>IF($C222="","",SUMIFS(Transaksi!$F$16:$F$5015,Transaksi!$G$16:$G$5015,$A222,Transaksi!$H$16:$H$5015,$B222,Transaksi!$I$16:$I$5015,$C222,Transaksi!$B$16:$B$5015,"&gt;="&amp;DATE(Dashboard!$C$4,7,1),Transaksi!$B$16:$B$5015,"&lt;="&amp;EOMONTH(DATE(Dashboard!$C$4,7,1),0)))</f>
        <v/>
      </c>
      <c r="K222" s="165">
        <f>IF($C222="","",SUMIFS(Transaksi!$F$16:$F$5015,Transaksi!$G$16:$G$5015,$A222,Transaksi!$H$16:$H$5015,$B222,Transaksi!$I$16:$I$5015,$C222,Transaksi!$B$16:$B$5015,"&gt;="&amp;DATE(Dashboard!$C$4,8,1),Transaksi!$B$16:$B$5015,"&lt;="&amp;EOMONTH(DATE(Dashboard!$C$4,8,1),0)))</f>
        <v/>
      </c>
      <c r="L222" s="165">
        <f>IF($C222="","",SUMIFS(Transaksi!$F$16:$F$5015,Transaksi!$G$16:$G$5015,$A222,Transaksi!$H$16:$H$5015,$B222,Transaksi!$I$16:$I$5015,$C222,Transaksi!$B$16:$B$5015,"&gt;="&amp;DATE(Dashboard!$C$4,9,1),Transaksi!$B$16:$B$5015,"&lt;="&amp;EOMONTH(DATE(Dashboard!$C$4,9,1),0)))</f>
        <v/>
      </c>
      <c r="M222" s="165">
        <f>IF($C222="","",SUMIFS(Transaksi!$F$16:$F$5015,Transaksi!$G$16:$G$5015,$A222,Transaksi!$H$16:$H$5015,$B222,Transaksi!$I$16:$I$5015,$C222,Transaksi!$B$16:$B$5015,"&gt;="&amp;DATE(Dashboard!$C$4,10,1),Transaksi!$B$16:$B$5015,"&lt;="&amp;EOMONTH(DATE(Dashboard!$C$4,10,1),0)))</f>
        <v/>
      </c>
      <c r="N222" s="165">
        <f>IF($C222="","",SUMIFS(Transaksi!$F$16:$F$5015,Transaksi!$G$16:$G$5015,$A222,Transaksi!$H$16:$H$5015,$B222,Transaksi!$I$16:$I$5015,$C222,Transaksi!$B$16:$B$5015,"&gt;="&amp;DATE(Dashboard!$C$4,11,1),Transaksi!$B$16:$B$5015,"&lt;="&amp;EOMONTH(DATE(Dashboard!$C$4,11,1),0)))</f>
        <v/>
      </c>
      <c r="O222" s="165">
        <f>IF($C222="","",SUMIFS(Transaksi!$F$16:$F$5015,Transaksi!$G$16:$G$5015,$A222,Transaksi!$H$16:$H$5015,$B222,Transaksi!$I$16:$I$5015,$C222,Transaksi!$B$16:$B$5015,"&gt;="&amp;DATE(Dashboard!$C$4,12,1),Transaksi!$B$16:$B$5015,"&lt;="&amp;EOMONTH(DATE(Dashboard!$C$4,12,1),0)))</f>
        <v/>
      </c>
      <c r="P222" s="166">
        <f>IF($C222="","",SUM(D222:O222))</f>
        <v/>
      </c>
    </row>
    <row r="223" ht="15" customHeight="1" s="94">
      <c r="A223" s="164">
        <f>IF(Kategori!C223="","",Kategori!A223)</f>
        <v/>
      </c>
      <c r="B223" s="164">
        <f>IF(Kategori!C223="","",Kategori!B223)</f>
        <v/>
      </c>
      <c r="C223" s="108">
        <f>IF(Kategori!C223="","",Kategori!C223)</f>
        <v/>
      </c>
      <c r="D223" s="165">
        <f>IF($C223="","",SUMIFS(Transaksi!$F$16:$F$5015,Transaksi!$G$16:$G$5015,$A223,Transaksi!$H$16:$H$5015,$B223,Transaksi!$I$16:$I$5015,$C223,Transaksi!$B$16:$B$5015,"&gt;="&amp;DATE(Dashboard!$C$4,1,1),Transaksi!$B$16:$B$5015,"&lt;="&amp;EOMONTH(DATE(Dashboard!$C$4,1,1),0)))</f>
        <v/>
      </c>
      <c r="E223" s="165">
        <f>IF($C223="","",SUMIFS(Transaksi!$F$16:$F$5015,Transaksi!$G$16:$G$5015,$A223,Transaksi!$H$16:$H$5015,$B223,Transaksi!$I$16:$I$5015,$C223,Transaksi!$B$16:$B$5015,"&gt;="&amp;DATE(Dashboard!$C$4,2,1),Transaksi!$B$16:$B$5015,"&lt;="&amp;EOMONTH(DATE(Dashboard!$C$4,2,1),0)))</f>
        <v/>
      </c>
      <c r="F223" s="165">
        <f>IF($C223="","",SUMIFS(Transaksi!$F$16:$F$5015,Transaksi!$G$16:$G$5015,$A223,Transaksi!$H$16:$H$5015,$B223,Transaksi!$I$16:$I$5015,$C223,Transaksi!$B$16:$B$5015,"&gt;="&amp;DATE(Dashboard!$C$4,3,1),Transaksi!$B$16:$B$5015,"&lt;="&amp;EOMONTH(DATE(Dashboard!$C$4,3,1),0)))</f>
        <v/>
      </c>
      <c r="G223" s="165">
        <f>IF($C223="","",SUMIFS(Transaksi!$F$16:$F$5015,Transaksi!$G$16:$G$5015,$A223,Transaksi!$H$16:$H$5015,$B223,Transaksi!$I$16:$I$5015,$C223,Transaksi!$B$16:$B$5015,"&gt;="&amp;DATE(Dashboard!$C$4,4,1),Transaksi!$B$16:$B$5015,"&lt;="&amp;EOMONTH(DATE(Dashboard!$C$4,4,1),0)))</f>
        <v/>
      </c>
      <c r="H223" s="165">
        <f>IF($C223="","",SUMIFS(Transaksi!$F$16:$F$5015,Transaksi!$G$16:$G$5015,$A223,Transaksi!$H$16:$H$5015,$B223,Transaksi!$I$16:$I$5015,$C223,Transaksi!$B$16:$B$5015,"&gt;="&amp;DATE(Dashboard!$C$4,5,1),Transaksi!$B$16:$B$5015,"&lt;="&amp;EOMONTH(DATE(Dashboard!$C$4,5,1),0)))</f>
        <v/>
      </c>
      <c r="I223" s="165">
        <f>IF($C223="","",SUMIFS(Transaksi!$F$16:$F$5015,Transaksi!$G$16:$G$5015,$A223,Transaksi!$H$16:$H$5015,$B223,Transaksi!$I$16:$I$5015,$C223,Transaksi!$B$16:$B$5015,"&gt;="&amp;DATE(Dashboard!$C$4,6,1),Transaksi!$B$16:$B$5015,"&lt;="&amp;EOMONTH(DATE(Dashboard!$C$4,6,1),0)))</f>
        <v/>
      </c>
      <c r="J223" s="165">
        <f>IF($C223="","",SUMIFS(Transaksi!$F$16:$F$5015,Transaksi!$G$16:$G$5015,$A223,Transaksi!$H$16:$H$5015,$B223,Transaksi!$I$16:$I$5015,$C223,Transaksi!$B$16:$B$5015,"&gt;="&amp;DATE(Dashboard!$C$4,7,1),Transaksi!$B$16:$B$5015,"&lt;="&amp;EOMONTH(DATE(Dashboard!$C$4,7,1),0)))</f>
        <v/>
      </c>
      <c r="K223" s="165">
        <f>IF($C223="","",SUMIFS(Transaksi!$F$16:$F$5015,Transaksi!$G$16:$G$5015,$A223,Transaksi!$H$16:$H$5015,$B223,Transaksi!$I$16:$I$5015,$C223,Transaksi!$B$16:$B$5015,"&gt;="&amp;DATE(Dashboard!$C$4,8,1),Transaksi!$B$16:$B$5015,"&lt;="&amp;EOMONTH(DATE(Dashboard!$C$4,8,1),0)))</f>
        <v/>
      </c>
      <c r="L223" s="165">
        <f>IF($C223="","",SUMIFS(Transaksi!$F$16:$F$5015,Transaksi!$G$16:$G$5015,$A223,Transaksi!$H$16:$H$5015,$B223,Transaksi!$I$16:$I$5015,$C223,Transaksi!$B$16:$B$5015,"&gt;="&amp;DATE(Dashboard!$C$4,9,1),Transaksi!$B$16:$B$5015,"&lt;="&amp;EOMONTH(DATE(Dashboard!$C$4,9,1),0)))</f>
        <v/>
      </c>
      <c r="M223" s="165">
        <f>IF($C223="","",SUMIFS(Transaksi!$F$16:$F$5015,Transaksi!$G$16:$G$5015,$A223,Transaksi!$H$16:$H$5015,$B223,Transaksi!$I$16:$I$5015,$C223,Transaksi!$B$16:$B$5015,"&gt;="&amp;DATE(Dashboard!$C$4,10,1),Transaksi!$B$16:$B$5015,"&lt;="&amp;EOMONTH(DATE(Dashboard!$C$4,10,1),0)))</f>
        <v/>
      </c>
      <c r="N223" s="165">
        <f>IF($C223="","",SUMIFS(Transaksi!$F$16:$F$5015,Transaksi!$G$16:$G$5015,$A223,Transaksi!$H$16:$H$5015,$B223,Transaksi!$I$16:$I$5015,$C223,Transaksi!$B$16:$B$5015,"&gt;="&amp;DATE(Dashboard!$C$4,11,1),Transaksi!$B$16:$B$5015,"&lt;="&amp;EOMONTH(DATE(Dashboard!$C$4,11,1),0)))</f>
        <v/>
      </c>
      <c r="O223" s="165">
        <f>IF($C223="","",SUMIFS(Transaksi!$F$16:$F$5015,Transaksi!$G$16:$G$5015,$A223,Transaksi!$H$16:$H$5015,$B223,Transaksi!$I$16:$I$5015,$C223,Transaksi!$B$16:$B$5015,"&gt;="&amp;DATE(Dashboard!$C$4,12,1),Transaksi!$B$16:$B$5015,"&lt;="&amp;EOMONTH(DATE(Dashboard!$C$4,12,1),0)))</f>
        <v/>
      </c>
      <c r="P223" s="166">
        <f>IF($C223="","",SUM(D223:O223))</f>
        <v/>
      </c>
    </row>
    <row r="224" ht="15" customHeight="1" s="94">
      <c r="A224" s="164">
        <f>IF(Kategori!C224="","",Kategori!A224)</f>
        <v/>
      </c>
      <c r="B224" s="164">
        <f>IF(Kategori!C224="","",Kategori!B224)</f>
        <v/>
      </c>
      <c r="C224" s="108">
        <f>IF(Kategori!C224="","",Kategori!C224)</f>
        <v/>
      </c>
      <c r="D224" s="165">
        <f>IF($C224="","",SUMIFS(Transaksi!$F$16:$F$5015,Transaksi!$G$16:$G$5015,$A224,Transaksi!$H$16:$H$5015,$B224,Transaksi!$I$16:$I$5015,$C224,Transaksi!$B$16:$B$5015,"&gt;="&amp;DATE(Dashboard!$C$4,1,1),Transaksi!$B$16:$B$5015,"&lt;="&amp;EOMONTH(DATE(Dashboard!$C$4,1,1),0)))</f>
        <v/>
      </c>
      <c r="E224" s="165">
        <f>IF($C224="","",SUMIFS(Transaksi!$F$16:$F$5015,Transaksi!$G$16:$G$5015,$A224,Transaksi!$H$16:$H$5015,$B224,Transaksi!$I$16:$I$5015,$C224,Transaksi!$B$16:$B$5015,"&gt;="&amp;DATE(Dashboard!$C$4,2,1),Transaksi!$B$16:$B$5015,"&lt;="&amp;EOMONTH(DATE(Dashboard!$C$4,2,1),0)))</f>
        <v/>
      </c>
      <c r="F224" s="165">
        <f>IF($C224="","",SUMIFS(Transaksi!$F$16:$F$5015,Transaksi!$G$16:$G$5015,$A224,Transaksi!$H$16:$H$5015,$B224,Transaksi!$I$16:$I$5015,$C224,Transaksi!$B$16:$B$5015,"&gt;="&amp;DATE(Dashboard!$C$4,3,1),Transaksi!$B$16:$B$5015,"&lt;="&amp;EOMONTH(DATE(Dashboard!$C$4,3,1),0)))</f>
        <v/>
      </c>
      <c r="G224" s="165">
        <f>IF($C224="","",SUMIFS(Transaksi!$F$16:$F$5015,Transaksi!$G$16:$G$5015,$A224,Transaksi!$H$16:$H$5015,$B224,Transaksi!$I$16:$I$5015,$C224,Transaksi!$B$16:$B$5015,"&gt;="&amp;DATE(Dashboard!$C$4,4,1),Transaksi!$B$16:$B$5015,"&lt;="&amp;EOMONTH(DATE(Dashboard!$C$4,4,1),0)))</f>
        <v/>
      </c>
      <c r="H224" s="165">
        <f>IF($C224="","",SUMIFS(Transaksi!$F$16:$F$5015,Transaksi!$G$16:$G$5015,$A224,Transaksi!$H$16:$H$5015,$B224,Transaksi!$I$16:$I$5015,$C224,Transaksi!$B$16:$B$5015,"&gt;="&amp;DATE(Dashboard!$C$4,5,1),Transaksi!$B$16:$B$5015,"&lt;="&amp;EOMONTH(DATE(Dashboard!$C$4,5,1),0)))</f>
        <v/>
      </c>
      <c r="I224" s="165">
        <f>IF($C224="","",SUMIFS(Transaksi!$F$16:$F$5015,Transaksi!$G$16:$G$5015,$A224,Transaksi!$H$16:$H$5015,$B224,Transaksi!$I$16:$I$5015,$C224,Transaksi!$B$16:$B$5015,"&gt;="&amp;DATE(Dashboard!$C$4,6,1),Transaksi!$B$16:$B$5015,"&lt;="&amp;EOMONTH(DATE(Dashboard!$C$4,6,1),0)))</f>
        <v/>
      </c>
      <c r="J224" s="165">
        <f>IF($C224="","",SUMIFS(Transaksi!$F$16:$F$5015,Transaksi!$G$16:$G$5015,$A224,Transaksi!$H$16:$H$5015,$B224,Transaksi!$I$16:$I$5015,$C224,Transaksi!$B$16:$B$5015,"&gt;="&amp;DATE(Dashboard!$C$4,7,1),Transaksi!$B$16:$B$5015,"&lt;="&amp;EOMONTH(DATE(Dashboard!$C$4,7,1),0)))</f>
        <v/>
      </c>
      <c r="K224" s="165">
        <f>IF($C224="","",SUMIFS(Transaksi!$F$16:$F$5015,Transaksi!$G$16:$G$5015,$A224,Transaksi!$H$16:$H$5015,$B224,Transaksi!$I$16:$I$5015,$C224,Transaksi!$B$16:$B$5015,"&gt;="&amp;DATE(Dashboard!$C$4,8,1),Transaksi!$B$16:$B$5015,"&lt;="&amp;EOMONTH(DATE(Dashboard!$C$4,8,1),0)))</f>
        <v/>
      </c>
      <c r="L224" s="165">
        <f>IF($C224="","",SUMIFS(Transaksi!$F$16:$F$5015,Transaksi!$G$16:$G$5015,$A224,Transaksi!$H$16:$H$5015,$B224,Transaksi!$I$16:$I$5015,$C224,Transaksi!$B$16:$B$5015,"&gt;="&amp;DATE(Dashboard!$C$4,9,1),Transaksi!$B$16:$B$5015,"&lt;="&amp;EOMONTH(DATE(Dashboard!$C$4,9,1),0)))</f>
        <v/>
      </c>
      <c r="M224" s="165">
        <f>IF($C224="","",SUMIFS(Transaksi!$F$16:$F$5015,Transaksi!$G$16:$G$5015,$A224,Transaksi!$H$16:$H$5015,$B224,Transaksi!$I$16:$I$5015,$C224,Transaksi!$B$16:$B$5015,"&gt;="&amp;DATE(Dashboard!$C$4,10,1),Transaksi!$B$16:$B$5015,"&lt;="&amp;EOMONTH(DATE(Dashboard!$C$4,10,1),0)))</f>
        <v/>
      </c>
      <c r="N224" s="165">
        <f>IF($C224="","",SUMIFS(Transaksi!$F$16:$F$5015,Transaksi!$G$16:$G$5015,$A224,Transaksi!$H$16:$H$5015,$B224,Transaksi!$I$16:$I$5015,$C224,Transaksi!$B$16:$B$5015,"&gt;="&amp;DATE(Dashboard!$C$4,11,1),Transaksi!$B$16:$B$5015,"&lt;="&amp;EOMONTH(DATE(Dashboard!$C$4,11,1),0)))</f>
        <v/>
      </c>
      <c r="O224" s="165">
        <f>IF($C224="","",SUMIFS(Transaksi!$F$16:$F$5015,Transaksi!$G$16:$G$5015,$A224,Transaksi!$H$16:$H$5015,$B224,Transaksi!$I$16:$I$5015,$C224,Transaksi!$B$16:$B$5015,"&gt;="&amp;DATE(Dashboard!$C$4,12,1),Transaksi!$B$16:$B$5015,"&lt;="&amp;EOMONTH(DATE(Dashboard!$C$4,12,1),0)))</f>
        <v/>
      </c>
      <c r="P224" s="166">
        <f>IF($C224="","",SUM(D224:O224))</f>
        <v/>
      </c>
    </row>
    <row r="225" ht="15" customHeight="1" s="94">
      <c r="A225" s="164">
        <f>IF(Kategori!C225="","",Kategori!A225)</f>
        <v/>
      </c>
      <c r="B225" s="164">
        <f>IF(Kategori!C225="","",Kategori!B225)</f>
        <v/>
      </c>
      <c r="C225" s="108">
        <f>IF(Kategori!C225="","",Kategori!C225)</f>
        <v/>
      </c>
      <c r="D225" s="165">
        <f>IF($C225="","",SUMIFS(Transaksi!$F$16:$F$5015,Transaksi!$G$16:$G$5015,$A225,Transaksi!$H$16:$H$5015,$B225,Transaksi!$I$16:$I$5015,$C225,Transaksi!$B$16:$B$5015,"&gt;="&amp;DATE(Dashboard!$C$4,1,1),Transaksi!$B$16:$B$5015,"&lt;="&amp;EOMONTH(DATE(Dashboard!$C$4,1,1),0)))</f>
        <v/>
      </c>
      <c r="E225" s="165">
        <f>IF($C225="","",SUMIFS(Transaksi!$F$16:$F$5015,Transaksi!$G$16:$G$5015,$A225,Transaksi!$H$16:$H$5015,$B225,Transaksi!$I$16:$I$5015,$C225,Transaksi!$B$16:$B$5015,"&gt;="&amp;DATE(Dashboard!$C$4,2,1),Transaksi!$B$16:$B$5015,"&lt;="&amp;EOMONTH(DATE(Dashboard!$C$4,2,1),0)))</f>
        <v/>
      </c>
      <c r="F225" s="165">
        <f>IF($C225="","",SUMIFS(Transaksi!$F$16:$F$5015,Transaksi!$G$16:$G$5015,$A225,Transaksi!$H$16:$H$5015,$B225,Transaksi!$I$16:$I$5015,$C225,Transaksi!$B$16:$B$5015,"&gt;="&amp;DATE(Dashboard!$C$4,3,1),Transaksi!$B$16:$B$5015,"&lt;="&amp;EOMONTH(DATE(Dashboard!$C$4,3,1),0)))</f>
        <v/>
      </c>
      <c r="G225" s="165">
        <f>IF($C225="","",SUMIFS(Transaksi!$F$16:$F$5015,Transaksi!$G$16:$G$5015,$A225,Transaksi!$H$16:$H$5015,$B225,Transaksi!$I$16:$I$5015,$C225,Transaksi!$B$16:$B$5015,"&gt;="&amp;DATE(Dashboard!$C$4,4,1),Transaksi!$B$16:$B$5015,"&lt;="&amp;EOMONTH(DATE(Dashboard!$C$4,4,1),0)))</f>
        <v/>
      </c>
      <c r="H225" s="165">
        <f>IF($C225="","",SUMIFS(Transaksi!$F$16:$F$5015,Transaksi!$G$16:$G$5015,$A225,Transaksi!$H$16:$H$5015,$B225,Transaksi!$I$16:$I$5015,$C225,Transaksi!$B$16:$B$5015,"&gt;="&amp;DATE(Dashboard!$C$4,5,1),Transaksi!$B$16:$B$5015,"&lt;="&amp;EOMONTH(DATE(Dashboard!$C$4,5,1),0)))</f>
        <v/>
      </c>
      <c r="I225" s="165">
        <f>IF($C225="","",SUMIFS(Transaksi!$F$16:$F$5015,Transaksi!$G$16:$G$5015,$A225,Transaksi!$H$16:$H$5015,$B225,Transaksi!$I$16:$I$5015,$C225,Transaksi!$B$16:$B$5015,"&gt;="&amp;DATE(Dashboard!$C$4,6,1),Transaksi!$B$16:$B$5015,"&lt;="&amp;EOMONTH(DATE(Dashboard!$C$4,6,1),0)))</f>
        <v/>
      </c>
      <c r="J225" s="165">
        <f>IF($C225="","",SUMIFS(Transaksi!$F$16:$F$5015,Transaksi!$G$16:$G$5015,$A225,Transaksi!$H$16:$H$5015,$B225,Transaksi!$I$16:$I$5015,$C225,Transaksi!$B$16:$B$5015,"&gt;="&amp;DATE(Dashboard!$C$4,7,1),Transaksi!$B$16:$B$5015,"&lt;="&amp;EOMONTH(DATE(Dashboard!$C$4,7,1),0)))</f>
        <v/>
      </c>
      <c r="K225" s="165">
        <f>IF($C225="","",SUMIFS(Transaksi!$F$16:$F$5015,Transaksi!$G$16:$G$5015,$A225,Transaksi!$H$16:$H$5015,$B225,Transaksi!$I$16:$I$5015,$C225,Transaksi!$B$16:$B$5015,"&gt;="&amp;DATE(Dashboard!$C$4,8,1),Transaksi!$B$16:$B$5015,"&lt;="&amp;EOMONTH(DATE(Dashboard!$C$4,8,1),0)))</f>
        <v/>
      </c>
      <c r="L225" s="165">
        <f>IF($C225="","",SUMIFS(Transaksi!$F$16:$F$5015,Transaksi!$G$16:$G$5015,$A225,Transaksi!$H$16:$H$5015,$B225,Transaksi!$I$16:$I$5015,$C225,Transaksi!$B$16:$B$5015,"&gt;="&amp;DATE(Dashboard!$C$4,9,1),Transaksi!$B$16:$B$5015,"&lt;="&amp;EOMONTH(DATE(Dashboard!$C$4,9,1),0)))</f>
        <v/>
      </c>
      <c r="M225" s="165">
        <f>IF($C225="","",SUMIFS(Transaksi!$F$16:$F$5015,Transaksi!$G$16:$G$5015,$A225,Transaksi!$H$16:$H$5015,$B225,Transaksi!$I$16:$I$5015,$C225,Transaksi!$B$16:$B$5015,"&gt;="&amp;DATE(Dashboard!$C$4,10,1),Transaksi!$B$16:$B$5015,"&lt;="&amp;EOMONTH(DATE(Dashboard!$C$4,10,1),0)))</f>
        <v/>
      </c>
      <c r="N225" s="165">
        <f>IF($C225="","",SUMIFS(Transaksi!$F$16:$F$5015,Transaksi!$G$16:$G$5015,$A225,Transaksi!$H$16:$H$5015,$B225,Transaksi!$I$16:$I$5015,$C225,Transaksi!$B$16:$B$5015,"&gt;="&amp;DATE(Dashboard!$C$4,11,1),Transaksi!$B$16:$B$5015,"&lt;="&amp;EOMONTH(DATE(Dashboard!$C$4,11,1),0)))</f>
        <v/>
      </c>
      <c r="O225" s="165">
        <f>IF($C225="","",SUMIFS(Transaksi!$F$16:$F$5015,Transaksi!$G$16:$G$5015,$A225,Transaksi!$H$16:$H$5015,$B225,Transaksi!$I$16:$I$5015,$C225,Transaksi!$B$16:$B$5015,"&gt;="&amp;DATE(Dashboard!$C$4,12,1),Transaksi!$B$16:$B$5015,"&lt;="&amp;EOMONTH(DATE(Dashboard!$C$4,12,1),0)))</f>
        <v/>
      </c>
      <c r="P225" s="166">
        <f>IF($C225="","",SUM(D225:O225))</f>
        <v/>
      </c>
    </row>
    <row r="226" ht="15" customHeight="1" s="94">
      <c r="A226" s="164">
        <f>IF(Kategori!C226="","",Kategori!A226)</f>
        <v/>
      </c>
      <c r="B226" s="164">
        <f>IF(Kategori!C226="","",Kategori!B226)</f>
        <v/>
      </c>
      <c r="C226" s="108">
        <f>IF(Kategori!C226="","",Kategori!C226)</f>
        <v/>
      </c>
      <c r="D226" s="165">
        <f>IF($C226="","",SUMIFS(Transaksi!$F$16:$F$5015,Transaksi!$G$16:$G$5015,$A226,Transaksi!$H$16:$H$5015,$B226,Transaksi!$I$16:$I$5015,$C226,Transaksi!$B$16:$B$5015,"&gt;="&amp;DATE(Dashboard!$C$4,1,1),Transaksi!$B$16:$B$5015,"&lt;="&amp;EOMONTH(DATE(Dashboard!$C$4,1,1),0)))</f>
        <v/>
      </c>
      <c r="E226" s="165">
        <f>IF($C226="","",SUMIFS(Transaksi!$F$16:$F$5015,Transaksi!$G$16:$G$5015,$A226,Transaksi!$H$16:$H$5015,$B226,Transaksi!$I$16:$I$5015,$C226,Transaksi!$B$16:$B$5015,"&gt;="&amp;DATE(Dashboard!$C$4,2,1),Transaksi!$B$16:$B$5015,"&lt;="&amp;EOMONTH(DATE(Dashboard!$C$4,2,1),0)))</f>
        <v/>
      </c>
      <c r="F226" s="165">
        <f>IF($C226="","",SUMIFS(Transaksi!$F$16:$F$5015,Transaksi!$G$16:$G$5015,$A226,Transaksi!$H$16:$H$5015,$B226,Transaksi!$I$16:$I$5015,$C226,Transaksi!$B$16:$B$5015,"&gt;="&amp;DATE(Dashboard!$C$4,3,1),Transaksi!$B$16:$B$5015,"&lt;="&amp;EOMONTH(DATE(Dashboard!$C$4,3,1),0)))</f>
        <v/>
      </c>
      <c r="G226" s="165">
        <f>IF($C226="","",SUMIFS(Transaksi!$F$16:$F$5015,Transaksi!$G$16:$G$5015,$A226,Transaksi!$H$16:$H$5015,$B226,Transaksi!$I$16:$I$5015,$C226,Transaksi!$B$16:$B$5015,"&gt;="&amp;DATE(Dashboard!$C$4,4,1),Transaksi!$B$16:$B$5015,"&lt;="&amp;EOMONTH(DATE(Dashboard!$C$4,4,1),0)))</f>
        <v/>
      </c>
      <c r="H226" s="165">
        <f>IF($C226="","",SUMIFS(Transaksi!$F$16:$F$5015,Transaksi!$G$16:$G$5015,$A226,Transaksi!$H$16:$H$5015,$B226,Transaksi!$I$16:$I$5015,$C226,Transaksi!$B$16:$B$5015,"&gt;="&amp;DATE(Dashboard!$C$4,5,1),Transaksi!$B$16:$B$5015,"&lt;="&amp;EOMONTH(DATE(Dashboard!$C$4,5,1),0)))</f>
        <v/>
      </c>
      <c r="I226" s="165">
        <f>IF($C226="","",SUMIFS(Transaksi!$F$16:$F$5015,Transaksi!$G$16:$G$5015,$A226,Transaksi!$H$16:$H$5015,$B226,Transaksi!$I$16:$I$5015,$C226,Transaksi!$B$16:$B$5015,"&gt;="&amp;DATE(Dashboard!$C$4,6,1),Transaksi!$B$16:$B$5015,"&lt;="&amp;EOMONTH(DATE(Dashboard!$C$4,6,1),0)))</f>
        <v/>
      </c>
      <c r="J226" s="165">
        <f>IF($C226="","",SUMIFS(Transaksi!$F$16:$F$5015,Transaksi!$G$16:$G$5015,$A226,Transaksi!$H$16:$H$5015,$B226,Transaksi!$I$16:$I$5015,$C226,Transaksi!$B$16:$B$5015,"&gt;="&amp;DATE(Dashboard!$C$4,7,1),Transaksi!$B$16:$B$5015,"&lt;="&amp;EOMONTH(DATE(Dashboard!$C$4,7,1),0)))</f>
        <v/>
      </c>
      <c r="K226" s="165">
        <f>IF($C226="","",SUMIFS(Transaksi!$F$16:$F$5015,Transaksi!$G$16:$G$5015,$A226,Transaksi!$H$16:$H$5015,$B226,Transaksi!$I$16:$I$5015,$C226,Transaksi!$B$16:$B$5015,"&gt;="&amp;DATE(Dashboard!$C$4,8,1),Transaksi!$B$16:$B$5015,"&lt;="&amp;EOMONTH(DATE(Dashboard!$C$4,8,1),0)))</f>
        <v/>
      </c>
      <c r="L226" s="165">
        <f>IF($C226="","",SUMIFS(Transaksi!$F$16:$F$5015,Transaksi!$G$16:$G$5015,$A226,Transaksi!$H$16:$H$5015,$B226,Transaksi!$I$16:$I$5015,$C226,Transaksi!$B$16:$B$5015,"&gt;="&amp;DATE(Dashboard!$C$4,9,1),Transaksi!$B$16:$B$5015,"&lt;="&amp;EOMONTH(DATE(Dashboard!$C$4,9,1),0)))</f>
        <v/>
      </c>
      <c r="M226" s="165">
        <f>IF($C226="","",SUMIFS(Transaksi!$F$16:$F$5015,Transaksi!$G$16:$G$5015,$A226,Transaksi!$H$16:$H$5015,$B226,Transaksi!$I$16:$I$5015,$C226,Transaksi!$B$16:$B$5015,"&gt;="&amp;DATE(Dashboard!$C$4,10,1),Transaksi!$B$16:$B$5015,"&lt;="&amp;EOMONTH(DATE(Dashboard!$C$4,10,1),0)))</f>
        <v/>
      </c>
      <c r="N226" s="165">
        <f>IF($C226="","",SUMIFS(Transaksi!$F$16:$F$5015,Transaksi!$G$16:$G$5015,$A226,Transaksi!$H$16:$H$5015,$B226,Transaksi!$I$16:$I$5015,$C226,Transaksi!$B$16:$B$5015,"&gt;="&amp;DATE(Dashboard!$C$4,11,1),Transaksi!$B$16:$B$5015,"&lt;="&amp;EOMONTH(DATE(Dashboard!$C$4,11,1),0)))</f>
        <v/>
      </c>
      <c r="O226" s="165">
        <f>IF($C226="","",SUMIFS(Transaksi!$F$16:$F$5015,Transaksi!$G$16:$G$5015,$A226,Transaksi!$H$16:$H$5015,$B226,Transaksi!$I$16:$I$5015,$C226,Transaksi!$B$16:$B$5015,"&gt;="&amp;DATE(Dashboard!$C$4,12,1),Transaksi!$B$16:$B$5015,"&lt;="&amp;EOMONTH(DATE(Dashboard!$C$4,12,1),0)))</f>
        <v/>
      </c>
      <c r="P226" s="166">
        <f>IF($C226="","",SUM(D226:O226))</f>
        <v/>
      </c>
    </row>
    <row r="227" ht="15" customHeight="1" s="94">
      <c r="A227" s="164">
        <f>IF(Kategori!C227="","",Kategori!A227)</f>
        <v/>
      </c>
      <c r="B227" s="164">
        <f>IF(Kategori!C227="","",Kategori!B227)</f>
        <v/>
      </c>
      <c r="C227" s="108">
        <f>IF(Kategori!C227="","",Kategori!C227)</f>
        <v/>
      </c>
      <c r="D227" s="165">
        <f>IF($C227="","",SUMIFS(Transaksi!$F$16:$F$5015,Transaksi!$G$16:$G$5015,$A227,Transaksi!$H$16:$H$5015,$B227,Transaksi!$I$16:$I$5015,$C227,Transaksi!$B$16:$B$5015,"&gt;="&amp;DATE(Dashboard!$C$4,1,1),Transaksi!$B$16:$B$5015,"&lt;="&amp;EOMONTH(DATE(Dashboard!$C$4,1,1),0)))</f>
        <v/>
      </c>
      <c r="E227" s="165">
        <f>IF($C227="","",SUMIFS(Transaksi!$F$16:$F$5015,Transaksi!$G$16:$G$5015,$A227,Transaksi!$H$16:$H$5015,$B227,Transaksi!$I$16:$I$5015,$C227,Transaksi!$B$16:$B$5015,"&gt;="&amp;DATE(Dashboard!$C$4,2,1),Transaksi!$B$16:$B$5015,"&lt;="&amp;EOMONTH(DATE(Dashboard!$C$4,2,1),0)))</f>
        <v/>
      </c>
      <c r="F227" s="165">
        <f>IF($C227="","",SUMIFS(Transaksi!$F$16:$F$5015,Transaksi!$G$16:$G$5015,$A227,Transaksi!$H$16:$H$5015,$B227,Transaksi!$I$16:$I$5015,$C227,Transaksi!$B$16:$B$5015,"&gt;="&amp;DATE(Dashboard!$C$4,3,1),Transaksi!$B$16:$B$5015,"&lt;="&amp;EOMONTH(DATE(Dashboard!$C$4,3,1),0)))</f>
        <v/>
      </c>
      <c r="G227" s="165">
        <f>IF($C227="","",SUMIFS(Transaksi!$F$16:$F$5015,Transaksi!$G$16:$G$5015,$A227,Transaksi!$H$16:$H$5015,$B227,Transaksi!$I$16:$I$5015,$C227,Transaksi!$B$16:$B$5015,"&gt;="&amp;DATE(Dashboard!$C$4,4,1),Transaksi!$B$16:$B$5015,"&lt;="&amp;EOMONTH(DATE(Dashboard!$C$4,4,1),0)))</f>
        <v/>
      </c>
      <c r="H227" s="165">
        <f>IF($C227="","",SUMIFS(Transaksi!$F$16:$F$5015,Transaksi!$G$16:$G$5015,$A227,Transaksi!$H$16:$H$5015,$B227,Transaksi!$I$16:$I$5015,$C227,Transaksi!$B$16:$B$5015,"&gt;="&amp;DATE(Dashboard!$C$4,5,1),Transaksi!$B$16:$B$5015,"&lt;="&amp;EOMONTH(DATE(Dashboard!$C$4,5,1),0)))</f>
        <v/>
      </c>
      <c r="I227" s="165">
        <f>IF($C227="","",SUMIFS(Transaksi!$F$16:$F$5015,Transaksi!$G$16:$G$5015,$A227,Transaksi!$H$16:$H$5015,$B227,Transaksi!$I$16:$I$5015,$C227,Transaksi!$B$16:$B$5015,"&gt;="&amp;DATE(Dashboard!$C$4,6,1),Transaksi!$B$16:$B$5015,"&lt;="&amp;EOMONTH(DATE(Dashboard!$C$4,6,1),0)))</f>
        <v/>
      </c>
      <c r="J227" s="165">
        <f>IF($C227="","",SUMIFS(Transaksi!$F$16:$F$5015,Transaksi!$G$16:$G$5015,$A227,Transaksi!$H$16:$H$5015,$B227,Transaksi!$I$16:$I$5015,$C227,Transaksi!$B$16:$B$5015,"&gt;="&amp;DATE(Dashboard!$C$4,7,1),Transaksi!$B$16:$B$5015,"&lt;="&amp;EOMONTH(DATE(Dashboard!$C$4,7,1),0)))</f>
        <v/>
      </c>
      <c r="K227" s="165">
        <f>IF($C227="","",SUMIFS(Transaksi!$F$16:$F$5015,Transaksi!$G$16:$G$5015,$A227,Transaksi!$H$16:$H$5015,$B227,Transaksi!$I$16:$I$5015,$C227,Transaksi!$B$16:$B$5015,"&gt;="&amp;DATE(Dashboard!$C$4,8,1),Transaksi!$B$16:$B$5015,"&lt;="&amp;EOMONTH(DATE(Dashboard!$C$4,8,1),0)))</f>
        <v/>
      </c>
      <c r="L227" s="165">
        <f>IF($C227="","",SUMIFS(Transaksi!$F$16:$F$5015,Transaksi!$G$16:$G$5015,$A227,Transaksi!$H$16:$H$5015,$B227,Transaksi!$I$16:$I$5015,$C227,Transaksi!$B$16:$B$5015,"&gt;="&amp;DATE(Dashboard!$C$4,9,1),Transaksi!$B$16:$B$5015,"&lt;="&amp;EOMONTH(DATE(Dashboard!$C$4,9,1),0)))</f>
        <v/>
      </c>
      <c r="M227" s="165">
        <f>IF($C227="","",SUMIFS(Transaksi!$F$16:$F$5015,Transaksi!$G$16:$G$5015,$A227,Transaksi!$H$16:$H$5015,$B227,Transaksi!$I$16:$I$5015,$C227,Transaksi!$B$16:$B$5015,"&gt;="&amp;DATE(Dashboard!$C$4,10,1),Transaksi!$B$16:$B$5015,"&lt;="&amp;EOMONTH(DATE(Dashboard!$C$4,10,1),0)))</f>
        <v/>
      </c>
      <c r="N227" s="165">
        <f>IF($C227="","",SUMIFS(Transaksi!$F$16:$F$5015,Transaksi!$G$16:$G$5015,$A227,Transaksi!$H$16:$H$5015,$B227,Transaksi!$I$16:$I$5015,$C227,Transaksi!$B$16:$B$5015,"&gt;="&amp;DATE(Dashboard!$C$4,11,1),Transaksi!$B$16:$B$5015,"&lt;="&amp;EOMONTH(DATE(Dashboard!$C$4,11,1),0)))</f>
        <v/>
      </c>
      <c r="O227" s="165">
        <f>IF($C227="","",SUMIFS(Transaksi!$F$16:$F$5015,Transaksi!$G$16:$G$5015,$A227,Transaksi!$H$16:$H$5015,$B227,Transaksi!$I$16:$I$5015,$C227,Transaksi!$B$16:$B$5015,"&gt;="&amp;DATE(Dashboard!$C$4,12,1),Transaksi!$B$16:$B$5015,"&lt;="&amp;EOMONTH(DATE(Dashboard!$C$4,12,1),0)))</f>
        <v/>
      </c>
      <c r="P227" s="166">
        <f>IF($C227="","",SUM(D227:O227))</f>
        <v/>
      </c>
    </row>
    <row r="228" ht="15" customHeight="1" s="94">
      <c r="A228" s="164">
        <f>IF(Kategori!C228="","",Kategori!A228)</f>
        <v/>
      </c>
      <c r="B228" s="164">
        <f>IF(Kategori!C228="","",Kategori!B228)</f>
        <v/>
      </c>
      <c r="C228" s="108">
        <f>IF(Kategori!C228="","",Kategori!C228)</f>
        <v/>
      </c>
      <c r="D228" s="165">
        <f>IF($C228="","",SUMIFS(Transaksi!$F$16:$F$5015,Transaksi!$G$16:$G$5015,$A228,Transaksi!$H$16:$H$5015,$B228,Transaksi!$I$16:$I$5015,$C228,Transaksi!$B$16:$B$5015,"&gt;="&amp;DATE(Dashboard!$C$4,1,1),Transaksi!$B$16:$B$5015,"&lt;="&amp;EOMONTH(DATE(Dashboard!$C$4,1,1),0)))</f>
        <v/>
      </c>
      <c r="E228" s="165">
        <f>IF($C228="","",SUMIFS(Transaksi!$F$16:$F$5015,Transaksi!$G$16:$G$5015,$A228,Transaksi!$H$16:$H$5015,$B228,Transaksi!$I$16:$I$5015,$C228,Transaksi!$B$16:$B$5015,"&gt;="&amp;DATE(Dashboard!$C$4,2,1),Transaksi!$B$16:$B$5015,"&lt;="&amp;EOMONTH(DATE(Dashboard!$C$4,2,1),0)))</f>
        <v/>
      </c>
      <c r="F228" s="165">
        <f>IF($C228="","",SUMIFS(Transaksi!$F$16:$F$5015,Transaksi!$G$16:$G$5015,$A228,Transaksi!$H$16:$H$5015,$B228,Transaksi!$I$16:$I$5015,$C228,Transaksi!$B$16:$B$5015,"&gt;="&amp;DATE(Dashboard!$C$4,3,1),Transaksi!$B$16:$B$5015,"&lt;="&amp;EOMONTH(DATE(Dashboard!$C$4,3,1),0)))</f>
        <v/>
      </c>
      <c r="G228" s="165">
        <f>IF($C228="","",SUMIFS(Transaksi!$F$16:$F$5015,Transaksi!$G$16:$G$5015,$A228,Transaksi!$H$16:$H$5015,$B228,Transaksi!$I$16:$I$5015,$C228,Transaksi!$B$16:$B$5015,"&gt;="&amp;DATE(Dashboard!$C$4,4,1),Transaksi!$B$16:$B$5015,"&lt;="&amp;EOMONTH(DATE(Dashboard!$C$4,4,1),0)))</f>
        <v/>
      </c>
      <c r="H228" s="165">
        <f>IF($C228="","",SUMIFS(Transaksi!$F$16:$F$5015,Transaksi!$G$16:$G$5015,$A228,Transaksi!$H$16:$H$5015,$B228,Transaksi!$I$16:$I$5015,$C228,Transaksi!$B$16:$B$5015,"&gt;="&amp;DATE(Dashboard!$C$4,5,1),Transaksi!$B$16:$B$5015,"&lt;="&amp;EOMONTH(DATE(Dashboard!$C$4,5,1),0)))</f>
        <v/>
      </c>
      <c r="I228" s="165">
        <f>IF($C228="","",SUMIFS(Transaksi!$F$16:$F$5015,Transaksi!$G$16:$G$5015,$A228,Transaksi!$H$16:$H$5015,$B228,Transaksi!$I$16:$I$5015,$C228,Transaksi!$B$16:$B$5015,"&gt;="&amp;DATE(Dashboard!$C$4,6,1),Transaksi!$B$16:$B$5015,"&lt;="&amp;EOMONTH(DATE(Dashboard!$C$4,6,1),0)))</f>
        <v/>
      </c>
      <c r="J228" s="165">
        <f>IF($C228="","",SUMIFS(Transaksi!$F$16:$F$5015,Transaksi!$G$16:$G$5015,$A228,Transaksi!$H$16:$H$5015,$B228,Transaksi!$I$16:$I$5015,$C228,Transaksi!$B$16:$B$5015,"&gt;="&amp;DATE(Dashboard!$C$4,7,1),Transaksi!$B$16:$B$5015,"&lt;="&amp;EOMONTH(DATE(Dashboard!$C$4,7,1),0)))</f>
        <v/>
      </c>
      <c r="K228" s="165">
        <f>IF($C228="","",SUMIFS(Transaksi!$F$16:$F$5015,Transaksi!$G$16:$G$5015,$A228,Transaksi!$H$16:$H$5015,$B228,Transaksi!$I$16:$I$5015,$C228,Transaksi!$B$16:$B$5015,"&gt;="&amp;DATE(Dashboard!$C$4,8,1),Transaksi!$B$16:$B$5015,"&lt;="&amp;EOMONTH(DATE(Dashboard!$C$4,8,1),0)))</f>
        <v/>
      </c>
      <c r="L228" s="165">
        <f>IF($C228="","",SUMIFS(Transaksi!$F$16:$F$5015,Transaksi!$G$16:$G$5015,$A228,Transaksi!$H$16:$H$5015,$B228,Transaksi!$I$16:$I$5015,$C228,Transaksi!$B$16:$B$5015,"&gt;="&amp;DATE(Dashboard!$C$4,9,1),Transaksi!$B$16:$B$5015,"&lt;="&amp;EOMONTH(DATE(Dashboard!$C$4,9,1),0)))</f>
        <v/>
      </c>
      <c r="M228" s="165">
        <f>IF($C228="","",SUMIFS(Transaksi!$F$16:$F$5015,Transaksi!$G$16:$G$5015,$A228,Transaksi!$H$16:$H$5015,$B228,Transaksi!$I$16:$I$5015,$C228,Transaksi!$B$16:$B$5015,"&gt;="&amp;DATE(Dashboard!$C$4,10,1),Transaksi!$B$16:$B$5015,"&lt;="&amp;EOMONTH(DATE(Dashboard!$C$4,10,1),0)))</f>
        <v/>
      </c>
      <c r="N228" s="165">
        <f>IF($C228="","",SUMIFS(Transaksi!$F$16:$F$5015,Transaksi!$G$16:$G$5015,$A228,Transaksi!$H$16:$H$5015,$B228,Transaksi!$I$16:$I$5015,$C228,Transaksi!$B$16:$B$5015,"&gt;="&amp;DATE(Dashboard!$C$4,11,1),Transaksi!$B$16:$B$5015,"&lt;="&amp;EOMONTH(DATE(Dashboard!$C$4,11,1),0)))</f>
        <v/>
      </c>
      <c r="O228" s="165">
        <f>IF($C228="","",SUMIFS(Transaksi!$F$16:$F$5015,Transaksi!$G$16:$G$5015,$A228,Transaksi!$H$16:$H$5015,$B228,Transaksi!$I$16:$I$5015,$C228,Transaksi!$B$16:$B$5015,"&gt;="&amp;DATE(Dashboard!$C$4,12,1),Transaksi!$B$16:$B$5015,"&lt;="&amp;EOMONTH(DATE(Dashboard!$C$4,12,1),0)))</f>
        <v/>
      </c>
      <c r="P228" s="166">
        <f>IF($C228="","",SUM(D228:O228))</f>
        <v/>
      </c>
    </row>
    <row r="229" ht="15" customHeight="1" s="94">
      <c r="A229" s="164">
        <f>IF(Kategori!C229="","",Kategori!A229)</f>
        <v/>
      </c>
      <c r="B229" s="164">
        <f>IF(Kategori!C229="","",Kategori!B229)</f>
        <v/>
      </c>
      <c r="C229" s="108">
        <f>IF(Kategori!C229="","",Kategori!C229)</f>
        <v/>
      </c>
      <c r="D229" s="165">
        <f>IF($C229="","",SUMIFS(Transaksi!$F$16:$F$5015,Transaksi!$G$16:$G$5015,$A229,Transaksi!$H$16:$H$5015,$B229,Transaksi!$I$16:$I$5015,$C229,Transaksi!$B$16:$B$5015,"&gt;="&amp;DATE(Dashboard!$C$4,1,1),Transaksi!$B$16:$B$5015,"&lt;="&amp;EOMONTH(DATE(Dashboard!$C$4,1,1),0)))</f>
        <v/>
      </c>
      <c r="E229" s="165">
        <f>IF($C229="","",SUMIFS(Transaksi!$F$16:$F$5015,Transaksi!$G$16:$G$5015,$A229,Transaksi!$H$16:$H$5015,$B229,Transaksi!$I$16:$I$5015,$C229,Transaksi!$B$16:$B$5015,"&gt;="&amp;DATE(Dashboard!$C$4,2,1),Transaksi!$B$16:$B$5015,"&lt;="&amp;EOMONTH(DATE(Dashboard!$C$4,2,1),0)))</f>
        <v/>
      </c>
      <c r="F229" s="165">
        <f>IF($C229="","",SUMIFS(Transaksi!$F$16:$F$5015,Transaksi!$G$16:$G$5015,$A229,Transaksi!$H$16:$H$5015,$B229,Transaksi!$I$16:$I$5015,$C229,Transaksi!$B$16:$B$5015,"&gt;="&amp;DATE(Dashboard!$C$4,3,1),Transaksi!$B$16:$B$5015,"&lt;="&amp;EOMONTH(DATE(Dashboard!$C$4,3,1),0)))</f>
        <v/>
      </c>
      <c r="G229" s="165">
        <f>IF($C229="","",SUMIFS(Transaksi!$F$16:$F$5015,Transaksi!$G$16:$G$5015,$A229,Transaksi!$H$16:$H$5015,$B229,Transaksi!$I$16:$I$5015,$C229,Transaksi!$B$16:$B$5015,"&gt;="&amp;DATE(Dashboard!$C$4,4,1),Transaksi!$B$16:$B$5015,"&lt;="&amp;EOMONTH(DATE(Dashboard!$C$4,4,1),0)))</f>
        <v/>
      </c>
      <c r="H229" s="165">
        <f>IF($C229="","",SUMIFS(Transaksi!$F$16:$F$5015,Transaksi!$G$16:$G$5015,$A229,Transaksi!$H$16:$H$5015,$B229,Transaksi!$I$16:$I$5015,$C229,Transaksi!$B$16:$B$5015,"&gt;="&amp;DATE(Dashboard!$C$4,5,1),Transaksi!$B$16:$B$5015,"&lt;="&amp;EOMONTH(DATE(Dashboard!$C$4,5,1),0)))</f>
        <v/>
      </c>
      <c r="I229" s="165">
        <f>IF($C229="","",SUMIFS(Transaksi!$F$16:$F$5015,Transaksi!$G$16:$G$5015,$A229,Transaksi!$H$16:$H$5015,$B229,Transaksi!$I$16:$I$5015,$C229,Transaksi!$B$16:$B$5015,"&gt;="&amp;DATE(Dashboard!$C$4,6,1),Transaksi!$B$16:$B$5015,"&lt;="&amp;EOMONTH(DATE(Dashboard!$C$4,6,1),0)))</f>
        <v/>
      </c>
      <c r="J229" s="165">
        <f>IF($C229="","",SUMIFS(Transaksi!$F$16:$F$5015,Transaksi!$G$16:$G$5015,$A229,Transaksi!$H$16:$H$5015,$B229,Transaksi!$I$16:$I$5015,$C229,Transaksi!$B$16:$B$5015,"&gt;="&amp;DATE(Dashboard!$C$4,7,1),Transaksi!$B$16:$B$5015,"&lt;="&amp;EOMONTH(DATE(Dashboard!$C$4,7,1),0)))</f>
        <v/>
      </c>
      <c r="K229" s="165">
        <f>IF($C229="","",SUMIFS(Transaksi!$F$16:$F$5015,Transaksi!$G$16:$G$5015,$A229,Transaksi!$H$16:$H$5015,$B229,Transaksi!$I$16:$I$5015,$C229,Transaksi!$B$16:$B$5015,"&gt;="&amp;DATE(Dashboard!$C$4,8,1),Transaksi!$B$16:$B$5015,"&lt;="&amp;EOMONTH(DATE(Dashboard!$C$4,8,1),0)))</f>
        <v/>
      </c>
      <c r="L229" s="165">
        <f>IF($C229="","",SUMIFS(Transaksi!$F$16:$F$5015,Transaksi!$G$16:$G$5015,$A229,Transaksi!$H$16:$H$5015,$B229,Transaksi!$I$16:$I$5015,$C229,Transaksi!$B$16:$B$5015,"&gt;="&amp;DATE(Dashboard!$C$4,9,1),Transaksi!$B$16:$B$5015,"&lt;="&amp;EOMONTH(DATE(Dashboard!$C$4,9,1),0)))</f>
        <v/>
      </c>
      <c r="M229" s="165">
        <f>IF($C229="","",SUMIFS(Transaksi!$F$16:$F$5015,Transaksi!$G$16:$G$5015,$A229,Transaksi!$H$16:$H$5015,$B229,Transaksi!$I$16:$I$5015,$C229,Transaksi!$B$16:$B$5015,"&gt;="&amp;DATE(Dashboard!$C$4,10,1),Transaksi!$B$16:$B$5015,"&lt;="&amp;EOMONTH(DATE(Dashboard!$C$4,10,1),0)))</f>
        <v/>
      </c>
      <c r="N229" s="165">
        <f>IF($C229="","",SUMIFS(Transaksi!$F$16:$F$5015,Transaksi!$G$16:$G$5015,$A229,Transaksi!$H$16:$H$5015,$B229,Transaksi!$I$16:$I$5015,$C229,Transaksi!$B$16:$B$5015,"&gt;="&amp;DATE(Dashboard!$C$4,11,1),Transaksi!$B$16:$B$5015,"&lt;="&amp;EOMONTH(DATE(Dashboard!$C$4,11,1),0)))</f>
        <v/>
      </c>
      <c r="O229" s="165">
        <f>IF($C229="","",SUMIFS(Transaksi!$F$16:$F$5015,Transaksi!$G$16:$G$5015,$A229,Transaksi!$H$16:$H$5015,$B229,Transaksi!$I$16:$I$5015,$C229,Transaksi!$B$16:$B$5015,"&gt;="&amp;DATE(Dashboard!$C$4,12,1),Transaksi!$B$16:$B$5015,"&lt;="&amp;EOMONTH(DATE(Dashboard!$C$4,12,1),0)))</f>
        <v/>
      </c>
      <c r="P229" s="166">
        <f>IF($C229="","",SUM(D229:O229))</f>
        <v/>
      </c>
    </row>
    <row r="230" ht="15" customHeight="1" s="94">
      <c r="A230" s="164">
        <f>IF(Kategori!C230="","",Kategori!A230)</f>
        <v/>
      </c>
      <c r="B230" s="164">
        <f>IF(Kategori!C230="","",Kategori!B230)</f>
        <v/>
      </c>
      <c r="C230" s="108">
        <f>IF(Kategori!C230="","",Kategori!C230)</f>
        <v/>
      </c>
      <c r="D230" s="165">
        <f>IF($C230="","",SUMIFS(Transaksi!$F$16:$F$5015,Transaksi!$G$16:$G$5015,$A230,Transaksi!$H$16:$H$5015,$B230,Transaksi!$I$16:$I$5015,$C230,Transaksi!$B$16:$B$5015,"&gt;="&amp;DATE(Dashboard!$C$4,1,1),Transaksi!$B$16:$B$5015,"&lt;="&amp;EOMONTH(DATE(Dashboard!$C$4,1,1),0)))</f>
        <v/>
      </c>
      <c r="E230" s="165">
        <f>IF($C230="","",SUMIFS(Transaksi!$F$16:$F$5015,Transaksi!$G$16:$G$5015,$A230,Transaksi!$H$16:$H$5015,$B230,Transaksi!$I$16:$I$5015,$C230,Transaksi!$B$16:$B$5015,"&gt;="&amp;DATE(Dashboard!$C$4,2,1),Transaksi!$B$16:$B$5015,"&lt;="&amp;EOMONTH(DATE(Dashboard!$C$4,2,1),0)))</f>
        <v/>
      </c>
      <c r="F230" s="165">
        <f>IF($C230="","",SUMIFS(Transaksi!$F$16:$F$5015,Transaksi!$G$16:$G$5015,$A230,Transaksi!$H$16:$H$5015,$B230,Transaksi!$I$16:$I$5015,$C230,Transaksi!$B$16:$B$5015,"&gt;="&amp;DATE(Dashboard!$C$4,3,1),Transaksi!$B$16:$B$5015,"&lt;="&amp;EOMONTH(DATE(Dashboard!$C$4,3,1),0)))</f>
        <v/>
      </c>
      <c r="G230" s="165">
        <f>IF($C230="","",SUMIFS(Transaksi!$F$16:$F$5015,Transaksi!$G$16:$G$5015,$A230,Transaksi!$H$16:$H$5015,$B230,Transaksi!$I$16:$I$5015,$C230,Transaksi!$B$16:$B$5015,"&gt;="&amp;DATE(Dashboard!$C$4,4,1),Transaksi!$B$16:$B$5015,"&lt;="&amp;EOMONTH(DATE(Dashboard!$C$4,4,1),0)))</f>
        <v/>
      </c>
      <c r="H230" s="165">
        <f>IF($C230="","",SUMIFS(Transaksi!$F$16:$F$5015,Transaksi!$G$16:$G$5015,$A230,Transaksi!$H$16:$H$5015,$B230,Transaksi!$I$16:$I$5015,$C230,Transaksi!$B$16:$B$5015,"&gt;="&amp;DATE(Dashboard!$C$4,5,1),Transaksi!$B$16:$B$5015,"&lt;="&amp;EOMONTH(DATE(Dashboard!$C$4,5,1),0)))</f>
        <v/>
      </c>
      <c r="I230" s="165">
        <f>IF($C230="","",SUMIFS(Transaksi!$F$16:$F$5015,Transaksi!$G$16:$G$5015,$A230,Transaksi!$H$16:$H$5015,$B230,Transaksi!$I$16:$I$5015,$C230,Transaksi!$B$16:$B$5015,"&gt;="&amp;DATE(Dashboard!$C$4,6,1),Transaksi!$B$16:$B$5015,"&lt;="&amp;EOMONTH(DATE(Dashboard!$C$4,6,1),0)))</f>
        <v/>
      </c>
      <c r="J230" s="165">
        <f>IF($C230="","",SUMIFS(Transaksi!$F$16:$F$5015,Transaksi!$G$16:$G$5015,$A230,Transaksi!$H$16:$H$5015,$B230,Transaksi!$I$16:$I$5015,$C230,Transaksi!$B$16:$B$5015,"&gt;="&amp;DATE(Dashboard!$C$4,7,1),Transaksi!$B$16:$B$5015,"&lt;="&amp;EOMONTH(DATE(Dashboard!$C$4,7,1),0)))</f>
        <v/>
      </c>
      <c r="K230" s="165">
        <f>IF($C230="","",SUMIFS(Transaksi!$F$16:$F$5015,Transaksi!$G$16:$G$5015,$A230,Transaksi!$H$16:$H$5015,$B230,Transaksi!$I$16:$I$5015,$C230,Transaksi!$B$16:$B$5015,"&gt;="&amp;DATE(Dashboard!$C$4,8,1),Transaksi!$B$16:$B$5015,"&lt;="&amp;EOMONTH(DATE(Dashboard!$C$4,8,1),0)))</f>
        <v/>
      </c>
      <c r="L230" s="165">
        <f>IF($C230="","",SUMIFS(Transaksi!$F$16:$F$5015,Transaksi!$G$16:$G$5015,$A230,Transaksi!$H$16:$H$5015,$B230,Transaksi!$I$16:$I$5015,$C230,Transaksi!$B$16:$B$5015,"&gt;="&amp;DATE(Dashboard!$C$4,9,1),Transaksi!$B$16:$B$5015,"&lt;="&amp;EOMONTH(DATE(Dashboard!$C$4,9,1),0)))</f>
        <v/>
      </c>
      <c r="M230" s="165">
        <f>IF($C230="","",SUMIFS(Transaksi!$F$16:$F$5015,Transaksi!$G$16:$G$5015,$A230,Transaksi!$H$16:$H$5015,$B230,Transaksi!$I$16:$I$5015,$C230,Transaksi!$B$16:$B$5015,"&gt;="&amp;DATE(Dashboard!$C$4,10,1),Transaksi!$B$16:$B$5015,"&lt;="&amp;EOMONTH(DATE(Dashboard!$C$4,10,1),0)))</f>
        <v/>
      </c>
      <c r="N230" s="165">
        <f>IF($C230="","",SUMIFS(Transaksi!$F$16:$F$5015,Transaksi!$G$16:$G$5015,$A230,Transaksi!$H$16:$H$5015,$B230,Transaksi!$I$16:$I$5015,$C230,Transaksi!$B$16:$B$5015,"&gt;="&amp;DATE(Dashboard!$C$4,11,1),Transaksi!$B$16:$B$5015,"&lt;="&amp;EOMONTH(DATE(Dashboard!$C$4,11,1),0)))</f>
        <v/>
      </c>
      <c r="O230" s="165">
        <f>IF($C230="","",SUMIFS(Transaksi!$F$16:$F$5015,Transaksi!$G$16:$G$5015,$A230,Transaksi!$H$16:$H$5015,$B230,Transaksi!$I$16:$I$5015,$C230,Transaksi!$B$16:$B$5015,"&gt;="&amp;DATE(Dashboard!$C$4,12,1),Transaksi!$B$16:$B$5015,"&lt;="&amp;EOMONTH(DATE(Dashboard!$C$4,12,1),0)))</f>
        <v/>
      </c>
      <c r="P230" s="166">
        <f>IF($C230="","",SUM(D230:O230))</f>
        <v/>
      </c>
    </row>
    <row r="231" ht="15" customHeight="1" s="94">
      <c r="A231" s="164">
        <f>IF(Kategori!C231="","",Kategori!A231)</f>
        <v/>
      </c>
      <c r="B231" s="164">
        <f>IF(Kategori!C231="","",Kategori!B231)</f>
        <v/>
      </c>
      <c r="C231" s="108">
        <f>IF(Kategori!C231="","",Kategori!C231)</f>
        <v/>
      </c>
      <c r="D231" s="165">
        <f>IF($C231="","",SUMIFS(Transaksi!$F$16:$F$5015,Transaksi!$G$16:$G$5015,$A231,Transaksi!$H$16:$H$5015,$B231,Transaksi!$I$16:$I$5015,$C231,Transaksi!$B$16:$B$5015,"&gt;="&amp;DATE(Dashboard!$C$4,1,1),Transaksi!$B$16:$B$5015,"&lt;="&amp;EOMONTH(DATE(Dashboard!$C$4,1,1),0)))</f>
        <v/>
      </c>
      <c r="E231" s="165">
        <f>IF($C231="","",SUMIFS(Transaksi!$F$16:$F$5015,Transaksi!$G$16:$G$5015,$A231,Transaksi!$H$16:$H$5015,$B231,Transaksi!$I$16:$I$5015,$C231,Transaksi!$B$16:$B$5015,"&gt;="&amp;DATE(Dashboard!$C$4,2,1),Transaksi!$B$16:$B$5015,"&lt;="&amp;EOMONTH(DATE(Dashboard!$C$4,2,1),0)))</f>
        <v/>
      </c>
      <c r="F231" s="165">
        <f>IF($C231="","",SUMIFS(Transaksi!$F$16:$F$5015,Transaksi!$G$16:$G$5015,$A231,Transaksi!$H$16:$H$5015,$B231,Transaksi!$I$16:$I$5015,$C231,Transaksi!$B$16:$B$5015,"&gt;="&amp;DATE(Dashboard!$C$4,3,1),Transaksi!$B$16:$B$5015,"&lt;="&amp;EOMONTH(DATE(Dashboard!$C$4,3,1),0)))</f>
        <v/>
      </c>
      <c r="G231" s="165">
        <f>IF($C231="","",SUMIFS(Transaksi!$F$16:$F$5015,Transaksi!$G$16:$G$5015,$A231,Transaksi!$H$16:$H$5015,$B231,Transaksi!$I$16:$I$5015,$C231,Transaksi!$B$16:$B$5015,"&gt;="&amp;DATE(Dashboard!$C$4,4,1),Transaksi!$B$16:$B$5015,"&lt;="&amp;EOMONTH(DATE(Dashboard!$C$4,4,1),0)))</f>
        <v/>
      </c>
      <c r="H231" s="165">
        <f>IF($C231="","",SUMIFS(Transaksi!$F$16:$F$5015,Transaksi!$G$16:$G$5015,$A231,Transaksi!$H$16:$H$5015,$B231,Transaksi!$I$16:$I$5015,$C231,Transaksi!$B$16:$B$5015,"&gt;="&amp;DATE(Dashboard!$C$4,5,1),Transaksi!$B$16:$B$5015,"&lt;="&amp;EOMONTH(DATE(Dashboard!$C$4,5,1),0)))</f>
        <v/>
      </c>
      <c r="I231" s="165">
        <f>IF($C231="","",SUMIFS(Transaksi!$F$16:$F$5015,Transaksi!$G$16:$G$5015,$A231,Transaksi!$H$16:$H$5015,$B231,Transaksi!$I$16:$I$5015,$C231,Transaksi!$B$16:$B$5015,"&gt;="&amp;DATE(Dashboard!$C$4,6,1),Transaksi!$B$16:$B$5015,"&lt;="&amp;EOMONTH(DATE(Dashboard!$C$4,6,1),0)))</f>
        <v/>
      </c>
      <c r="J231" s="165">
        <f>IF($C231="","",SUMIFS(Transaksi!$F$16:$F$5015,Transaksi!$G$16:$G$5015,$A231,Transaksi!$H$16:$H$5015,$B231,Transaksi!$I$16:$I$5015,$C231,Transaksi!$B$16:$B$5015,"&gt;="&amp;DATE(Dashboard!$C$4,7,1),Transaksi!$B$16:$B$5015,"&lt;="&amp;EOMONTH(DATE(Dashboard!$C$4,7,1),0)))</f>
        <v/>
      </c>
      <c r="K231" s="165">
        <f>IF($C231="","",SUMIFS(Transaksi!$F$16:$F$5015,Transaksi!$G$16:$G$5015,$A231,Transaksi!$H$16:$H$5015,$B231,Transaksi!$I$16:$I$5015,$C231,Transaksi!$B$16:$B$5015,"&gt;="&amp;DATE(Dashboard!$C$4,8,1),Transaksi!$B$16:$B$5015,"&lt;="&amp;EOMONTH(DATE(Dashboard!$C$4,8,1),0)))</f>
        <v/>
      </c>
      <c r="L231" s="165">
        <f>IF($C231="","",SUMIFS(Transaksi!$F$16:$F$5015,Transaksi!$G$16:$G$5015,$A231,Transaksi!$H$16:$H$5015,$B231,Transaksi!$I$16:$I$5015,$C231,Transaksi!$B$16:$B$5015,"&gt;="&amp;DATE(Dashboard!$C$4,9,1),Transaksi!$B$16:$B$5015,"&lt;="&amp;EOMONTH(DATE(Dashboard!$C$4,9,1),0)))</f>
        <v/>
      </c>
      <c r="M231" s="165">
        <f>IF($C231="","",SUMIFS(Transaksi!$F$16:$F$5015,Transaksi!$G$16:$G$5015,$A231,Transaksi!$H$16:$H$5015,$B231,Transaksi!$I$16:$I$5015,$C231,Transaksi!$B$16:$B$5015,"&gt;="&amp;DATE(Dashboard!$C$4,10,1),Transaksi!$B$16:$B$5015,"&lt;="&amp;EOMONTH(DATE(Dashboard!$C$4,10,1),0)))</f>
        <v/>
      </c>
      <c r="N231" s="165">
        <f>IF($C231="","",SUMIFS(Transaksi!$F$16:$F$5015,Transaksi!$G$16:$G$5015,$A231,Transaksi!$H$16:$H$5015,$B231,Transaksi!$I$16:$I$5015,$C231,Transaksi!$B$16:$B$5015,"&gt;="&amp;DATE(Dashboard!$C$4,11,1),Transaksi!$B$16:$B$5015,"&lt;="&amp;EOMONTH(DATE(Dashboard!$C$4,11,1),0)))</f>
        <v/>
      </c>
      <c r="O231" s="165">
        <f>IF($C231="","",SUMIFS(Transaksi!$F$16:$F$5015,Transaksi!$G$16:$G$5015,$A231,Transaksi!$H$16:$H$5015,$B231,Transaksi!$I$16:$I$5015,$C231,Transaksi!$B$16:$B$5015,"&gt;="&amp;DATE(Dashboard!$C$4,12,1),Transaksi!$B$16:$B$5015,"&lt;="&amp;EOMONTH(DATE(Dashboard!$C$4,12,1),0)))</f>
        <v/>
      </c>
      <c r="P231" s="166">
        <f>IF($C231="","",SUM(D231:O231))</f>
        <v/>
      </c>
    </row>
    <row r="232" ht="15" customHeight="1" s="94">
      <c r="A232" s="164">
        <f>IF(Kategori!C232="","",Kategori!A232)</f>
        <v/>
      </c>
      <c r="B232" s="164">
        <f>IF(Kategori!C232="","",Kategori!B232)</f>
        <v/>
      </c>
      <c r="C232" s="108">
        <f>IF(Kategori!C232="","",Kategori!C232)</f>
        <v/>
      </c>
      <c r="D232" s="165">
        <f>IF($C232="","",SUMIFS(Transaksi!$F$16:$F$5015,Transaksi!$G$16:$G$5015,$A232,Transaksi!$H$16:$H$5015,$B232,Transaksi!$I$16:$I$5015,$C232,Transaksi!$B$16:$B$5015,"&gt;="&amp;DATE(Dashboard!$C$4,1,1),Transaksi!$B$16:$B$5015,"&lt;="&amp;EOMONTH(DATE(Dashboard!$C$4,1,1),0)))</f>
        <v/>
      </c>
      <c r="E232" s="165">
        <f>IF($C232="","",SUMIFS(Transaksi!$F$16:$F$5015,Transaksi!$G$16:$G$5015,$A232,Transaksi!$H$16:$H$5015,$B232,Transaksi!$I$16:$I$5015,$C232,Transaksi!$B$16:$B$5015,"&gt;="&amp;DATE(Dashboard!$C$4,2,1),Transaksi!$B$16:$B$5015,"&lt;="&amp;EOMONTH(DATE(Dashboard!$C$4,2,1),0)))</f>
        <v/>
      </c>
      <c r="F232" s="165">
        <f>IF($C232="","",SUMIFS(Transaksi!$F$16:$F$5015,Transaksi!$G$16:$G$5015,$A232,Transaksi!$H$16:$H$5015,$B232,Transaksi!$I$16:$I$5015,$C232,Transaksi!$B$16:$B$5015,"&gt;="&amp;DATE(Dashboard!$C$4,3,1),Transaksi!$B$16:$B$5015,"&lt;="&amp;EOMONTH(DATE(Dashboard!$C$4,3,1),0)))</f>
        <v/>
      </c>
      <c r="G232" s="165">
        <f>IF($C232="","",SUMIFS(Transaksi!$F$16:$F$5015,Transaksi!$G$16:$G$5015,$A232,Transaksi!$H$16:$H$5015,$B232,Transaksi!$I$16:$I$5015,$C232,Transaksi!$B$16:$B$5015,"&gt;="&amp;DATE(Dashboard!$C$4,4,1),Transaksi!$B$16:$B$5015,"&lt;="&amp;EOMONTH(DATE(Dashboard!$C$4,4,1),0)))</f>
        <v/>
      </c>
      <c r="H232" s="165">
        <f>IF($C232="","",SUMIFS(Transaksi!$F$16:$F$5015,Transaksi!$G$16:$G$5015,$A232,Transaksi!$H$16:$H$5015,$B232,Transaksi!$I$16:$I$5015,$C232,Transaksi!$B$16:$B$5015,"&gt;="&amp;DATE(Dashboard!$C$4,5,1),Transaksi!$B$16:$B$5015,"&lt;="&amp;EOMONTH(DATE(Dashboard!$C$4,5,1),0)))</f>
        <v/>
      </c>
      <c r="I232" s="165">
        <f>IF($C232="","",SUMIFS(Transaksi!$F$16:$F$5015,Transaksi!$G$16:$G$5015,$A232,Transaksi!$H$16:$H$5015,$B232,Transaksi!$I$16:$I$5015,$C232,Transaksi!$B$16:$B$5015,"&gt;="&amp;DATE(Dashboard!$C$4,6,1),Transaksi!$B$16:$B$5015,"&lt;="&amp;EOMONTH(DATE(Dashboard!$C$4,6,1),0)))</f>
        <v/>
      </c>
      <c r="J232" s="165">
        <f>IF($C232="","",SUMIFS(Transaksi!$F$16:$F$5015,Transaksi!$G$16:$G$5015,$A232,Transaksi!$H$16:$H$5015,$B232,Transaksi!$I$16:$I$5015,$C232,Transaksi!$B$16:$B$5015,"&gt;="&amp;DATE(Dashboard!$C$4,7,1),Transaksi!$B$16:$B$5015,"&lt;="&amp;EOMONTH(DATE(Dashboard!$C$4,7,1),0)))</f>
        <v/>
      </c>
      <c r="K232" s="165">
        <f>IF($C232="","",SUMIFS(Transaksi!$F$16:$F$5015,Transaksi!$G$16:$G$5015,$A232,Transaksi!$H$16:$H$5015,$B232,Transaksi!$I$16:$I$5015,$C232,Transaksi!$B$16:$B$5015,"&gt;="&amp;DATE(Dashboard!$C$4,8,1),Transaksi!$B$16:$B$5015,"&lt;="&amp;EOMONTH(DATE(Dashboard!$C$4,8,1),0)))</f>
        <v/>
      </c>
      <c r="L232" s="165">
        <f>IF($C232="","",SUMIFS(Transaksi!$F$16:$F$5015,Transaksi!$G$16:$G$5015,$A232,Transaksi!$H$16:$H$5015,$B232,Transaksi!$I$16:$I$5015,$C232,Transaksi!$B$16:$B$5015,"&gt;="&amp;DATE(Dashboard!$C$4,9,1),Transaksi!$B$16:$B$5015,"&lt;="&amp;EOMONTH(DATE(Dashboard!$C$4,9,1),0)))</f>
        <v/>
      </c>
      <c r="M232" s="165">
        <f>IF($C232="","",SUMIFS(Transaksi!$F$16:$F$5015,Transaksi!$G$16:$G$5015,$A232,Transaksi!$H$16:$H$5015,$B232,Transaksi!$I$16:$I$5015,$C232,Transaksi!$B$16:$B$5015,"&gt;="&amp;DATE(Dashboard!$C$4,10,1),Transaksi!$B$16:$B$5015,"&lt;="&amp;EOMONTH(DATE(Dashboard!$C$4,10,1),0)))</f>
        <v/>
      </c>
      <c r="N232" s="165">
        <f>IF($C232="","",SUMIFS(Transaksi!$F$16:$F$5015,Transaksi!$G$16:$G$5015,$A232,Transaksi!$H$16:$H$5015,$B232,Transaksi!$I$16:$I$5015,$C232,Transaksi!$B$16:$B$5015,"&gt;="&amp;DATE(Dashboard!$C$4,11,1),Transaksi!$B$16:$B$5015,"&lt;="&amp;EOMONTH(DATE(Dashboard!$C$4,11,1),0)))</f>
        <v/>
      </c>
      <c r="O232" s="165">
        <f>IF($C232="","",SUMIFS(Transaksi!$F$16:$F$5015,Transaksi!$G$16:$G$5015,$A232,Transaksi!$H$16:$H$5015,$B232,Transaksi!$I$16:$I$5015,$C232,Transaksi!$B$16:$B$5015,"&gt;="&amp;DATE(Dashboard!$C$4,12,1),Transaksi!$B$16:$B$5015,"&lt;="&amp;EOMONTH(DATE(Dashboard!$C$4,12,1),0)))</f>
        <v/>
      </c>
      <c r="P232" s="166">
        <f>IF($C232="","",SUM(D232:O232))</f>
        <v/>
      </c>
    </row>
    <row r="233" ht="15" customHeight="1" s="94">
      <c r="A233" s="164">
        <f>IF(Kategori!C233="","",Kategori!A233)</f>
        <v/>
      </c>
      <c r="B233" s="164">
        <f>IF(Kategori!C233="","",Kategori!B233)</f>
        <v/>
      </c>
      <c r="C233" s="108">
        <f>IF(Kategori!C233="","",Kategori!C233)</f>
        <v/>
      </c>
      <c r="D233" s="165">
        <f>IF($C233="","",SUMIFS(Transaksi!$F$16:$F$5015,Transaksi!$G$16:$G$5015,$A233,Transaksi!$H$16:$H$5015,$B233,Transaksi!$I$16:$I$5015,$C233,Transaksi!$B$16:$B$5015,"&gt;="&amp;DATE(Dashboard!$C$4,1,1),Transaksi!$B$16:$B$5015,"&lt;="&amp;EOMONTH(DATE(Dashboard!$C$4,1,1),0)))</f>
        <v/>
      </c>
      <c r="E233" s="165">
        <f>IF($C233="","",SUMIFS(Transaksi!$F$16:$F$5015,Transaksi!$G$16:$G$5015,$A233,Transaksi!$H$16:$H$5015,$B233,Transaksi!$I$16:$I$5015,$C233,Transaksi!$B$16:$B$5015,"&gt;="&amp;DATE(Dashboard!$C$4,2,1),Transaksi!$B$16:$B$5015,"&lt;="&amp;EOMONTH(DATE(Dashboard!$C$4,2,1),0)))</f>
        <v/>
      </c>
      <c r="F233" s="165">
        <f>IF($C233="","",SUMIFS(Transaksi!$F$16:$F$5015,Transaksi!$G$16:$G$5015,$A233,Transaksi!$H$16:$H$5015,$B233,Transaksi!$I$16:$I$5015,$C233,Transaksi!$B$16:$B$5015,"&gt;="&amp;DATE(Dashboard!$C$4,3,1),Transaksi!$B$16:$B$5015,"&lt;="&amp;EOMONTH(DATE(Dashboard!$C$4,3,1),0)))</f>
        <v/>
      </c>
      <c r="G233" s="165">
        <f>IF($C233="","",SUMIFS(Transaksi!$F$16:$F$5015,Transaksi!$G$16:$G$5015,$A233,Transaksi!$H$16:$H$5015,$B233,Transaksi!$I$16:$I$5015,$C233,Transaksi!$B$16:$B$5015,"&gt;="&amp;DATE(Dashboard!$C$4,4,1),Transaksi!$B$16:$B$5015,"&lt;="&amp;EOMONTH(DATE(Dashboard!$C$4,4,1),0)))</f>
        <v/>
      </c>
      <c r="H233" s="165">
        <f>IF($C233="","",SUMIFS(Transaksi!$F$16:$F$5015,Transaksi!$G$16:$G$5015,$A233,Transaksi!$H$16:$H$5015,$B233,Transaksi!$I$16:$I$5015,$C233,Transaksi!$B$16:$B$5015,"&gt;="&amp;DATE(Dashboard!$C$4,5,1),Transaksi!$B$16:$B$5015,"&lt;="&amp;EOMONTH(DATE(Dashboard!$C$4,5,1),0)))</f>
        <v/>
      </c>
      <c r="I233" s="165">
        <f>IF($C233="","",SUMIFS(Transaksi!$F$16:$F$5015,Transaksi!$G$16:$G$5015,$A233,Transaksi!$H$16:$H$5015,$B233,Transaksi!$I$16:$I$5015,$C233,Transaksi!$B$16:$B$5015,"&gt;="&amp;DATE(Dashboard!$C$4,6,1),Transaksi!$B$16:$B$5015,"&lt;="&amp;EOMONTH(DATE(Dashboard!$C$4,6,1),0)))</f>
        <v/>
      </c>
      <c r="J233" s="165">
        <f>IF($C233="","",SUMIFS(Transaksi!$F$16:$F$5015,Transaksi!$G$16:$G$5015,$A233,Transaksi!$H$16:$H$5015,$B233,Transaksi!$I$16:$I$5015,$C233,Transaksi!$B$16:$B$5015,"&gt;="&amp;DATE(Dashboard!$C$4,7,1),Transaksi!$B$16:$B$5015,"&lt;="&amp;EOMONTH(DATE(Dashboard!$C$4,7,1),0)))</f>
        <v/>
      </c>
      <c r="K233" s="165">
        <f>IF($C233="","",SUMIFS(Transaksi!$F$16:$F$5015,Transaksi!$G$16:$G$5015,$A233,Transaksi!$H$16:$H$5015,$B233,Transaksi!$I$16:$I$5015,$C233,Transaksi!$B$16:$B$5015,"&gt;="&amp;DATE(Dashboard!$C$4,8,1),Transaksi!$B$16:$B$5015,"&lt;="&amp;EOMONTH(DATE(Dashboard!$C$4,8,1),0)))</f>
        <v/>
      </c>
      <c r="L233" s="165">
        <f>IF($C233="","",SUMIFS(Transaksi!$F$16:$F$5015,Transaksi!$G$16:$G$5015,$A233,Transaksi!$H$16:$H$5015,$B233,Transaksi!$I$16:$I$5015,$C233,Transaksi!$B$16:$B$5015,"&gt;="&amp;DATE(Dashboard!$C$4,9,1),Transaksi!$B$16:$B$5015,"&lt;="&amp;EOMONTH(DATE(Dashboard!$C$4,9,1),0)))</f>
        <v/>
      </c>
      <c r="M233" s="165">
        <f>IF($C233="","",SUMIFS(Transaksi!$F$16:$F$5015,Transaksi!$G$16:$G$5015,$A233,Transaksi!$H$16:$H$5015,$B233,Transaksi!$I$16:$I$5015,$C233,Transaksi!$B$16:$B$5015,"&gt;="&amp;DATE(Dashboard!$C$4,10,1),Transaksi!$B$16:$B$5015,"&lt;="&amp;EOMONTH(DATE(Dashboard!$C$4,10,1),0)))</f>
        <v/>
      </c>
      <c r="N233" s="165">
        <f>IF($C233="","",SUMIFS(Transaksi!$F$16:$F$5015,Transaksi!$G$16:$G$5015,$A233,Transaksi!$H$16:$H$5015,$B233,Transaksi!$I$16:$I$5015,$C233,Transaksi!$B$16:$B$5015,"&gt;="&amp;DATE(Dashboard!$C$4,11,1),Transaksi!$B$16:$B$5015,"&lt;="&amp;EOMONTH(DATE(Dashboard!$C$4,11,1),0)))</f>
        <v/>
      </c>
      <c r="O233" s="165">
        <f>IF($C233="","",SUMIFS(Transaksi!$F$16:$F$5015,Transaksi!$G$16:$G$5015,$A233,Transaksi!$H$16:$H$5015,$B233,Transaksi!$I$16:$I$5015,$C233,Transaksi!$B$16:$B$5015,"&gt;="&amp;DATE(Dashboard!$C$4,12,1),Transaksi!$B$16:$B$5015,"&lt;="&amp;EOMONTH(DATE(Dashboard!$C$4,12,1),0)))</f>
        <v/>
      </c>
      <c r="P233" s="166">
        <f>IF($C233="","",SUM(D233:O233))</f>
        <v/>
      </c>
    </row>
    <row r="234" ht="15" customHeight="1" s="94">
      <c r="A234" s="164">
        <f>IF(Kategori!C234="","",Kategori!A234)</f>
        <v/>
      </c>
      <c r="B234" s="164">
        <f>IF(Kategori!C234="","",Kategori!B234)</f>
        <v/>
      </c>
      <c r="C234" s="108">
        <f>IF(Kategori!C234="","",Kategori!C234)</f>
        <v/>
      </c>
      <c r="D234" s="165">
        <f>IF($C234="","",SUMIFS(Transaksi!$F$16:$F$5015,Transaksi!$G$16:$G$5015,$A234,Transaksi!$H$16:$H$5015,$B234,Transaksi!$I$16:$I$5015,$C234,Transaksi!$B$16:$B$5015,"&gt;="&amp;DATE(Dashboard!$C$4,1,1),Transaksi!$B$16:$B$5015,"&lt;="&amp;EOMONTH(DATE(Dashboard!$C$4,1,1),0)))</f>
        <v/>
      </c>
      <c r="E234" s="165">
        <f>IF($C234="","",SUMIFS(Transaksi!$F$16:$F$5015,Transaksi!$G$16:$G$5015,$A234,Transaksi!$H$16:$H$5015,$B234,Transaksi!$I$16:$I$5015,$C234,Transaksi!$B$16:$B$5015,"&gt;="&amp;DATE(Dashboard!$C$4,2,1),Transaksi!$B$16:$B$5015,"&lt;="&amp;EOMONTH(DATE(Dashboard!$C$4,2,1),0)))</f>
        <v/>
      </c>
      <c r="F234" s="165">
        <f>IF($C234="","",SUMIFS(Transaksi!$F$16:$F$5015,Transaksi!$G$16:$G$5015,$A234,Transaksi!$H$16:$H$5015,$B234,Transaksi!$I$16:$I$5015,$C234,Transaksi!$B$16:$B$5015,"&gt;="&amp;DATE(Dashboard!$C$4,3,1),Transaksi!$B$16:$B$5015,"&lt;="&amp;EOMONTH(DATE(Dashboard!$C$4,3,1),0)))</f>
        <v/>
      </c>
      <c r="G234" s="165">
        <f>IF($C234="","",SUMIFS(Transaksi!$F$16:$F$5015,Transaksi!$G$16:$G$5015,$A234,Transaksi!$H$16:$H$5015,$B234,Transaksi!$I$16:$I$5015,$C234,Transaksi!$B$16:$B$5015,"&gt;="&amp;DATE(Dashboard!$C$4,4,1),Transaksi!$B$16:$B$5015,"&lt;="&amp;EOMONTH(DATE(Dashboard!$C$4,4,1),0)))</f>
        <v/>
      </c>
      <c r="H234" s="165">
        <f>IF($C234="","",SUMIFS(Transaksi!$F$16:$F$5015,Transaksi!$G$16:$G$5015,$A234,Transaksi!$H$16:$H$5015,$B234,Transaksi!$I$16:$I$5015,$C234,Transaksi!$B$16:$B$5015,"&gt;="&amp;DATE(Dashboard!$C$4,5,1),Transaksi!$B$16:$B$5015,"&lt;="&amp;EOMONTH(DATE(Dashboard!$C$4,5,1),0)))</f>
        <v/>
      </c>
      <c r="I234" s="165">
        <f>IF($C234="","",SUMIFS(Transaksi!$F$16:$F$5015,Transaksi!$G$16:$G$5015,$A234,Transaksi!$H$16:$H$5015,$B234,Transaksi!$I$16:$I$5015,$C234,Transaksi!$B$16:$B$5015,"&gt;="&amp;DATE(Dashboard!$C$4,6,1),Transaksi!$B$16:$B$5015,"&lt;="&amp;EOMONTH(DATE(Dashboard!$C$4,6,1),0)))</f>
        <v/>
      </c>
      <c r="J234" s="165">
        <f>IF($C234="","",SUMIFS(Transaksi!$F$16:$F$5015,Transaksi!$G$16:$G$5015,$A234,Transaksi!$H$16:$H$5015,$B234,Transaksi!$I$16:$I$5015,$C234,Transaksi!$B$16:$B$5015,"&gt;="&amp;DATE(Dashboard!$C$4,7,1),Transaksi!$B$16:$B$5015,"&lt;="&amp;EOMONTH(DATE(Dashboard!$C$4,7,1),0)))</f>
        <v/>
      </c>
      <c r="K234" s="165">
        <f>IF($C234="","",SUMIFS(Transaksi!$F$16:$F$5015,Transaksi!$G$16:$G$5015,$A234,Transaksi!$H$16:$H$5015,$B234,Transaksi!$I$16:$I$5015,$C234,Transaksi!$B$16:$B$5015,"&gt;="&amp;DATE(Dashboard!$C$4,8,1),Transaksi!$B$16:$B$5015,"&lt;="&amp;EOMONTH(DATE(Dashboard!$C$4,8,1),0)))</f>
        <v/>
      </c>
      <c r="L234" s="165">
        <f>IF($C234="","",SUMIFS(Transaksi!$F$16:$F$5015,Transaksi!$G$16:$G$5015,$A234,Transaksi!$H$16:$H$5015,$B234,Transaksi!$I$16:$I$5015,$C234,Transaksi!$B$16:$B$5015,"&gt;="&amp;DATE(Dashboard!$C$4,9,1),Transaksi!$B$16:$B$5015,"&lt;="&amp;EOMONTH(DATE(Dashboard!$C$4,9,1),0)))</f>
        <v/>
      </c>
      <c r="M234" s="165">
        <f>IF($C234="","",SUMIFS(Transaksi!$F$16:$F$5015,Transaksi!$G$16:$G$5015,$A234,Transaksi!$H$16:$H$5015,$B234,Transaksi!$I$16:$I$5015,$C234,Transaksi!$B$16:$B$5015,"&gt;="&amp;DATE(Dashboard!$C$4,10,1),Transaksi!$B$16:$B$5015,"&lt;="&amp;EOMONTH(DATE(Dashboard!$C$4,10,1),0)))</f>
        <v/>
      </c>
      <c r="N234" s="165">
        <f>IF($C234="","",SUMIFS(Transaksi!$F$16:$F$5015,Transaksi!$G$16:$G$5015,$A234,Transaksi!$H$16:$H$5015,$B234,Transaksi!$I$16:$I$5015,$C234,Transaksi!$B$16:$B$5015,"&gt;="&amp;DATE(Dashboard!$C$4,11,1),Transaksi!$B$16:$B$5015,"&lt;="&amp;EOMONTH(DATE(Dashboard!$C$4,11,1),0)))</f>
        <v/>
      </c>
      <c r="O234" s="165">
        <f>IF($C234="","",SUMIFS(Transaksi!$F$16:$F$5015,Transaksi!$G$16:$G$5015,$A234,Transaksi!$H$16:$H$5015,$B234,Transaksi!$I$16:$I$5015,$C234,Transaksi!$B$16:$B$5015,"&gt;="&amp;DATE(Dashboard!$C$4,12,1),Transaksi!$B$16:$B$5015,"&lt;="&amp;EOMONTH(DATE(Dashboard!$C$4,12,1),0)))</f>
        <v/>
      </c>
      <c r="P234" s="166">
        <f>IF($C234="","",SUM(D234:O234))</f>
        <v/>
      </c>
    </row>
    <row r="235" ht="15" customHeight="1" s="94">
      <c r="A235" s="164">
        <f>IF(Kategori!C235="","",Kategori!A235)</f>
        <v/>
      </c>
      <c r="B235" s="164">
        <f>IF(Kategori!C235="","",Kategori!B235)</f>
        <v/>
      </c>
      <c r="C235" s="108">
        <f>IF(Kategori!C235="","",Kategori!C235)</f>
        <v/>
      </c>
      <c r="D235" s="165">
        <f>IF($C235="","",SUMIFS(Transaksi!$F$16:$F$5015,Transaksi!$G$16:$G$5015,$A235,Transaksi!$H$16:$H$5015,$B235,Transaksi!$I$16:$I$5015,$C235,Transaksi!$B$16:$B$5015,"&gt;="&amp;DATE(Dashboard!$C$4,1,1),Transaksi!$B$16:$B$5015,"&lt;="&amp;EOMONTH(DATE(Dashboard!$C$4,1,1),0)))</f>
        <v/>
      </c>
      <c r="E235" s="165">
        <f>IF($C235="","",SUMIFS(Transaksi!$F$16:$F$5015,Transaksi!$G$16:$G$5015,$A235,Transaksi!$H$16:$H$5015,$B235,Transaksi!$I$16:$I$5015,$C235,Transaksi!$B$16:$B$5015,"&gt;="&amp;DATE(Dashboard!$C$4,2,1),Transaksi!$B$16:$B$5015,"&lt;="&amp;EOMONTH(DATE(Dashboard!$C$4,2,1),0)))</f>
        <v/>
      </c>
      <c r="F235" s="165">
        <f>IF($C235="","",SUMIFS(Transaksi!$F$16:$F$5015,Transaksi!$G$16:$G$5015,$A235,Transaksi!$H$16:$H$5015,$B235,Transaksi!$I$16:$I$5015,$C235,Transaksi!$B$16:$B$5015,"&gt;="&amp;DATE(Dashboard!$C$4,3,1),Transaksi!$B$16:$B$5015,"&lt;="&amp;EOMONTH(DATE(Dashboard!$C$4,3,1),0)))</f>
        <v/>
      </c>
      <c r="G235" s="165">
        <f>IF($C235="","",SUMIFS(Transaksi!$F$16:$F$5015,Transaksi!$G$16:$G$5015,$A235,Transaksi!$H$16:$H$5015,$B235,Transaksi!$I$16:$I$5015,$C235,Transaksi!$B$16:$B$5015,"&gt;="&amp;DATE(Dashboard!$C$4,4,1),Transaksi!$B$16:$B$5015,"&lt;="&amp;EOMONTH(DATE(Dashboard!$C$4,4,1),0)))</f>
        <v/>
      </c>
      <c r="H235" s="165">
        <f>IF($C235="","",SUMIFS(Transaksi!$F$16:$F$5015,Transaksi!$G$16:$G$5015,$A235,Transaksi!$H$16:$H$5015,$B235,Transaksi!$I$16:$I$5015,$C235,Transaksi!$B$16:$B$5015,"&gt;="&amp;DATE(Dashboard!$C$4,5,1),Transaksi!$B$16:$B$5015,"&lt;="&amp;EOMONTH(DATE(Dashboard!$C$4,5,1),0)))</f>
        <v/>
      </c>
      <c r="I235" s="165">
        <f>IF($C235="","",SUMIFS(Transaksi!$F$16:$F$5015,Transaksi!$G$16:$G$5015,$A235,Transaksi!$H$16:$H$5015,$B235,Transaksi!$I$16:$I$5015,$C235,Transaksi!$B$16:$B$5015,"&gt;="&amp;DATE(Dashboard!$C$4,6,1),Transaksi!$B$16:$B$5015,"&lt;="&amp;EOMONTH(DATE(Dashboard!$C$4,6,1),0)))</f>
        <v/>
      </c>
      <c r="J235" s="165">
        <f>IF($C235="","",SUMIFS(Transaksi!$F$16:$F$5015,Transaksi!$G$16:$G$5015,$A235,Transaksi!$H$16:$H$5015,$B235,Transaksi!$I$16:$I$5015,$C235,Transaksi!$B$16:$B$5015,"&gt;="&amp;DATE(Dashboard!$C$4,7,1),Transaksi!$B$16:$B$5015,"&lt;="&amp;EOMONTH(DATE(Dashboard!$C$4,7,1),0)))</f>
        <v/>
      </c>
      <c r="K235" s="165">
        <f>IF($C235="","",SUMIFS(Transaksi!$F$16:$F$5015,Transaksi!$G$16:$G$5015,$A235,Transaksi!$H$16:$H$5015,$B235,Transaksi!$I$16:$I$5015,$C235,Transaksi!$B$16:$B$5015,"&gt;="&amp;DATE(Dashboard!$C$4,8,1),Transaksi!$B$16:$B$5015,"&lt;="&amp;EOMONTH(DATE(Dashboard!$C$4,8,1),0)))</f>
        <v/>
      </c>
      <c r="L235" s="165">
        <f>IF($C235="","",SUMIFS(Transaksi!$F$16:$F$5015,Transaksi!$G$16:$G$5015,$A235,Transaksi!$H$16:$H$5015,$B235,Transaksi!$I$16:$I$5015,$C235,Transaksi!$B$16:$B$5015,"&gt;="&amp;DATE(Dashboard!$C$4,9,1),Transaksi!$B$16:$B$5015,"&lt;="&amp;EOMONTH(DATE(Dashboard!$C$4,9,1),0)))</f>
        <v/>
      </c>
      <c r="M235" s="165">
        <f>IF($C235="","",SUMIFS(Transaksi!$F$16:$F$5015,Transaksi!$G$16:$G$5015,$A235,Transaksi!$H$16:$H$5015,$B235,Transaksi!$I$16:$I$5015,$C235,Transaksi!$B$16:$B$5015,"&gt;="&amp;DATE(Dashboard!$C$4,10,1),Transaksi!$B$16:$B$5015,"&lt;="&amp;EOMONTH(DATE(Dashboard!$C$4,10,1),0)))</f>
        <v/>
      </c>
      <c r="N235" s="165">
        <f>IF($C235="","",SUMIFS(Transaksi!$F$16:$F$5015,Transaksi!$G$16:$G$5015,$A235,Transaksi!$H$16:$H$5015,$B235,Transaksi!$I$16:$I$5015,$C235,Transaksi!$B$16:$B$5015,"&gt;="&amp;DATE(Dashboard!$C$4,11,1),Transaksi!$B$16:$B$5015,"&lt;="&amp;EOMONTH(DATE(Dashboard!$C$4,11,1),0)))</f>
        <v/>
      </c>
      <c r="O235" s="165">
        <f>IF($C235="","",SUMIFS(Transaksi!$F$16:$F$5015,Transaksi!$G$16:$G$5015,$A235,Transaksi!$H$16:$H$5015,$B235,Transaksi!$I$16:$I$5015,$C235,Transaksi!$B$16:$B$5015,"&gt;="&amp;DATE(Dashboard!$C$4,12,1),Transaksi!$B$16:$B$5015,"&lt;="&amp;EOMONTH(DATE(Dashboard!$C$4,12,1),0)))</f>
        <v/>
      </c>
      <c r="P235" s="166">
        <f>IF($C235="","",SUM(D235:O235))</f>
        <v/>
      </c>
    </row>
    <row r="236" ht="15" customHeight="1" s="94">
      <c r="A236" s="164">
        <f>IF(Kategori!C236="","",Kategori!A236)</f>
        <v/>
      </c>
      <c r="B236" s="164">
        <f>IF(Kategori!C236="","",Kategori!B236)</f>
        <v/>
      </c>
      <c r="C236" s="108">
        <f>IF(Kategori!C236="","",Kategori!C236)</f>
        <v/>
      </c>
      <c r="D236" s="165">
        <f>IF($C236="","",SUMIFS(Transaksi!$F$16:$F$5015,Transaksi!$G$16:$G$5015,$A236,Transaksi!$H$16:$H$5015,$B236,Transaksi!$I$16:$I$5015,$C236,Transaksi!$B$16:$B$5015,"&gt;="&amp;DATE(Dashboard!$C$4,1,1),Transaksi!$B$16:$B$5015,"&lt;="&amp;EOMONTH(DATE(Dashboard!$C$4,1,1),0)))</f>
        <v/>
      </c>
      <c r="E236" s="165">
        <f>IF($C236="","",SUMIFS(Transaksi!$F$16:$F$5015,Transaksi!$G$16:$G$5015,$A236,Transaksi!$H$16:$H$5015,$B236,Transaksi!$I$16:$I$5015,$C236,Transaksi!$B$16:$B$5015,"&gt;="&amp;DATE(Dashboard!$C$4,2,1),Transaksi!$B$16:$B$5015,"&lt;="&amp;EOMONTH(DATE(Dashboard!$C$4,2,1),0)))</f>
        <v/>
      </c>
      <c r="F236" s="165">
        <f>IF($C236="","",SUMIFS(Transaksi!$F$16:$F$5015,Transaksi!$G$16:$G$5015,$A236,Transaksi!$H$16:$H$5015,$B236,Transaksi!$I$16:$I$5015,$C236,Transaksi!$B$16:$B$5015,"&gt;="&amp;DATE(Dashboard!$C$4,3,1),Transaksi!$B$16:$B$5015,"&lt;="&amp;EOMONTH(DATE(Dashboard!$C$4,3,1),0)))</f>
        <v/>
      </c>
      <c r="G236" s="165">
        <f>IF($C236="","",SUMIFS(Transaksi!$F$16:$F$5015,Transaksi!$G$16:$G$5015,$A236,Transaksi!$H$16:$H$5015,$B236,Transaksi!$I$16:$I$5015,$C236,Transaksi!$B$16:$B$5015,"&gt;="&amp;DATE(Dashboard!$C$4,4,1),Transaksi!$B$16:$B$5015,"&lt;="&amp;EOMONTH(DATE(Dashboard!$C$4,4,1),0)))</f>
        <v/>
      </c>
      <c r="H236" s="165">
        <f>IF($C236="","",SUMIFS(Transaksi!$F$16:$F$5015,Transaksi!$G$16:$G$5015,$A236,Transaksi!$H$16:$H$5015,$B236,Transaksi!$I$16:$I$5015,$C236,Transaksi!$B$16:$B$5015,"&gt;="&amp;DATE(Dashboard!$C$4,5,1),Transaksi!$B$16:$B$5015,"&lt;="&amp;EOMONTH(DATE(Dashboard!$C$4,5,1),0)))</f>
        <v/>
      </c>
      <c r="I236" s="165">
        <f>IF($C236="","",SUMIFS(Transaksi!$F$16:$F$5015,Transaksi!$G$16:$G$5015,$A236,Transaksi!$H$16:$H$5015,$B236,Transaksi!$I$16:$I$5015,$C236,Transaksi!$B$16:$B$5015,"&gt;="&amp;DATE(Dashboard!$C$4,6,1),Transaksi!$B$16:$B$5015,"&lt;="&amp;EOMONTH(DATE(Dashboard!$C$4,6,1),0)))</f>
        <v/>
      </c>
      <c r="J236" s="165">
        <f>IF($C236="","",SUMIFS(Transaksi!$F$16:$F$5015,Transaksi!$G$16:$G$5015,$A236,Transaksi!$H$16:$H$5015,$B236,Transaksi!$I$16:$I$5015,$C236,Transaksi!$B$16:$B$5015,"&gt;="&amp;DATE(Dashboard!$C$4,7,1),Transaksi!$B$16:$B$5015,"&lt;="&amp;EOMONTH(DATE(Dashboard!$C$4,7,1),0)))</f>
        <v/>
      </c>
      <c r="K236" s="165">
        <f>IF($C236="","",SUMIFS(Transaksi!$F$16:$F$5015,Transaksi!$G$16:$G$5015,$A236,Transaksi!$H$16:$H$5015,$B236,Transaksi!$I$16:$I$5015,$C236,Transaksi!$B$16:$B$5015,"&gt;="&amp;DATE(Dashboard!$C$4,8,1),Transaksi!$B$16:$B$5015,"&lt;="&amp;EOMONTH(DATE(Dashboard!$C$4,8,1),0)))</f>
        <v/>
      </c>
      <c r="L236" s="165">
        <f>IF($C236="","",SUMIFS(Transaksi!$F$16:$F$5015,Transaksi!$G$16:$G$5015,$A236,Transaksi!$H$16:$H$5015,$B236,Transaksi!$I$16:$I$5015,$C236,Transaksi!$B$16:$B$5015,"&gt;="&amp;DATE(Dashboard!$C$4,9,1),Transaksi!$B$16:$B$5015,"&lt;="&amp;EOMONTH(DATE(Dashboard!$C$4,9,1),0)))</f>
        <v/>
      </c>
      <c r="M236" s="165">
        <f>IF($C236="","",SUMIFS(Transaksi!$F$16:$F$5015,Transaksi!$G$16:$G$5015,$A236,Transaksi!$H$16:$H$5015,$B236,Transaksi!$I$16:$I$5015,$C236,Transaksi!$B$16:$B$5015,"&gt;="&amp;DATE(Dashboard!$C$4,10,1),Transaksi!$B$16:$B$5015,"&lt;="&amp;EOMONTH(DATE(Dashboard!$C$4,10,1),0)))</f>
        <v/>
      </c>
      <c r="N236" s="165">
        <f>IF($C236="","",SUMIFS(Transaksi!$F$16:$F$5015,Transaksi!$G$16:$G$5015,$A236,Transaksi!$H$16:$H$5015,$B236,Transaksi!$I$16:$I$5015,$C236,Transaksi!$B$16:$B$5015,"&gt;="&amp;DATE(Dashboard!$C$4,11,1),Transaksi!$B$16:$B$5015,"&lt;="&amp;EOMONTH(DATE(Dashboard!$C$4,11,1),0)))</f>
        <v/>
      </c>
      <c r="O236" s="165">
        <f>IF($C236="","",SUMIFS(Transaksi!$F$16:$F$5015,Transaksi!$G$16:$G$5015,$A236,Transaksi!$H$16:$H$5015,$B236,Transaksi!$I$16:$I$5015,$C236,Transaksi!$B$16:$B$5015,"&gt;="&amp;DATE(Dashboard!$C$4,12,1),Transaksi!$B$16:$B$5015,"&lt;="&amp;EOMONTH(DATE(Dashboard!$C$4,12,1),0)))</f>
        <v/>
      </c>
      <c r="P236" s="166">
        <f>IF($C236="","",SUM(D236:O236))</f>
        <v/>
      </c>
    </row>
    <row r="237" ht="15" customHeight="1" s="94">
      <c r="A237" s="164">
        <f>IF(Kategori!C237="","",Kategori!A237)</f>
        <v/>
      </c>
      <c r="B237" s="164">
        <f>IF(Kategori!C237="","",Kategori!B237)</f>
        <v/>
      </c>
      <c r="C237" s="108">
        <f>IF(Kategori!C237="","",Kategori!C237)</f>
        <v/>
      </c>
      <c r="D237" s="165">
        <f>IF($C237="","",SUMIFS(Transaksi!$F$16:$F$5015,Transaksi!$G$16:$G$5015,$A237,Transaksi!$H$16:$H$5015,$B237,Transaksi!$I$16:$I$5015,$C237,Transaksi!$B$16:$B$5015,"&gt;="&amp;DATE(Dashboard!$C$4,1,1),Transaksi!$B$16:$B$5015,"&lt;="&amp;EOMONTH(DATE(Dashboard!$C$4,1,1),0)))</f>
        <v/>
      </c>
      <c r="E237" s="165">
        <f>IF($C237="","",SUMIFS(Transaksi!$F$16:$F$5015,Transaksi!$G$16:$G$5015,$A237,Transaksi!$H$16:$H$5015,$B237,Transaksi!$I$16:$I$5015,$C237,Transaksi!$B$16:$B$5015,"&gt;="&amp;DATE(Dashboard!$C$4,2,1),Transaksi!$B$16:$B$5015,"&lt;="&amp;EOMONTH(DATE(Dashboard!$C$4,2,1),0)))</f>
        <v/>
      </c>
      <c r="F237" s="165">
        <f>IF($C237="","",SUMIFS(Transaksi!$F$16:$F$5015,Transaksi!$G$16:$G$5015,$A237,Transaksi!$H$16:$H$5015,$B237,Transaksi!$I$16:$I$5015,$C237,Transaksi!$B$16:$B$5015,"&gt;="&amp;DATE(Dashboard!$C$4,3,1),Transaksi!$B$16:$B$5015,"&lt;="&amp;EOMONTH(DATE(Dashboard!$C$4,3,1),0)))</f>
        <v/>
      </c>
      <c r="G237" s="165">
        <f>IF($C237="","",SUMIFS(Transaksi!$F$16:$F$5015,Transaksi!$G$16:$G$5015,$A237,Transaksi!$H$16:$H$5015,$B237,Transaksi!$I$16:$I$5015,$C237,Transaksi!$B$16:$B$5015,"&gt;="&amp;DATE(Dashboard!$C$4,4,1),Transaksi!$B$16:$B$5015,"&lt;="&amp;EOMONTH(DATE(Dashboard!$C$4,4,1),0)))</f>
        <v/>
      </c>
      <c r="H237" s="165">
        <f>IF($C237="","",SUMIFS(Transaksi!$F$16:$F$5015,Transaksi!$G$16:$G$5015,$A237,Transaksi!$H$16:$H$5015,$B237,Transaksi!$I$16:$I$5015,$C237,Transaksi!$B$16:$B$5015,"&gt;="&amp;DATE(Dashboard!$C$4,5,1),Transaksi!$B$16:$B$5015,"&lt;="&amp;EOMONTH(DATE(Dashboard!$C$4,5,1),0)))</f>
        <v/>
      </c>
      <c r="I237" s="165">
        <f>IF($C237="","",SUMIFS(Transaksi!$F$16:$F$5015,Transaksi!$G$16:$G$5015,$A237,Transaksi!$H$16:$H$5015,$B237,Transaksi!$I$16:$I$5015,$C237,Transaksi!$B$16:$B$5015,"&gt;="&amp;DATE(Dashboard!$C$4,6,1),Transaksi!$B$16:$B$5015,"&lt;="&amp;EOMONTH(DATE(Dashboard!$C$4,6,1),0)))</f>
        <v/>
      </c>
      <c r="J237" s="165">
        <f>IF($C237="","",SUMIFS(Transaksi!$F$16:$F$5015,Transaksi!$G$16:$G$5015,$A237,Transaksi!$H$16:$H$5015,$B237,Transaksi!$I$16:$I$5015,$C237,Transaksi!$B$16:$B$5015,"&gt;="&amp;DATE(Dashboard!$C$4,7,1),Transaksi!$B$16:$B$5015,"&lt;="&amp;EOMONTH(DATE(Dashboard!$C$4,7,1),0)))</f>
        <v/>
      </c>
      <c r="K237" s="165">
        <f>IF($C237="","",SUMIFS(Transaksi!$F$16:$F$5015,Transaksi!$G$16:$G$5015,$A237,Transaksi!$H$16:$H$5015,$B237,Transaksi!$I$16:$I$5015,$C237,Transaksi!$B$16:$B$5015,"&gt;="&amp;DATE(Dashboard!$C$4,8,1),Transaksi!$B$16:$B$5015,"&lt;="&amp;EOMONTH(DATE(Dashboard!$C$4,8,1),0)))</f>
        <v/>
      </c>
      <c r="L237" s="165">
        <f>IF($C237="","",SUMIFS(Transaksi!$F$16:$F$5015,Transaksi!$G$16:$G$5015,$A237,Transaksi!$H$16:$H$5015,$B237,Transaksi!$I$16:$I$5015,$C237,Transaksi!$B$16:$B$5015,"&gt;="&amp;DATE(Dashboard!$C$4,9,1),Transaksi!$B$16:$B$5015,"&lt;="&amp;EOMONTH(DATE(Dashboard!$C$4,9,1),0)))</f>
        <v/>
      </c>
      <c r="M237" s="165">
        <f>IF($C237="","",SUMIFS(Transaksi!$F$16:$F$5015,Transaksi!$G$16:$G$5015,$A237,Transaksi!$H$16:$H$5015,$B237,Transaksi!$I$16:$I$5015,$C237,Transaksi!$B$16:$B$5015,"&gt;="&amp;DATE(Dashboard!$C$4,10,1),Transaksi!$B$16:$B$5015,"&lt;="&amp;EOMONTH(DATE(Dashboard!$C$4,10,1),0)))</f>
        <v/>
      </c>
      <c r="N237" s="165">
        <f>IF($C237="","",SUMIFS(Transaksi!$F$16:$F$5015,Transaksi!$G$16:$G$5015,$A237,Transaksi!$H$16:$H$5015,$B237,Transaksi!$I$16:$I$5015,$C237,Transaksi!$B$16:$B$5015,"&gt;="&amp;DATE(Dashboard!$C$4,11,1),Transaksi!$B$16:$B$5015,"&lt;="&amp;EOMONTH(DATE(Dashboard!$C$4,11,1),0)))</f>
        <v/>
      </c>
      <c r="O237" s="165">
        <f>IF($C237="","",SUMIFS(Transaksi!$F$16:$F$5015,Transaksi!$G$16:$G$5015,$A237,Transaksi!$H$16:$H$5015,$B237,Transaksi!$I$16:$I$5015,$C237,Transaksi!$B$16:$B$5015,"&gt;="&amp;DATE(Dashboard!$C$4,12,1),Transaksi!$B$16:$B$5015,"&lt;="&amp;EOMONTH(DATE(Dashboard!$C$4,12,1),0)))</f>
        <v/>
      </c>
      <c r="P237" s="166">
        <f>IF($C237="","",SUM(D237:O237))</f>
        <v/>
      </c>
    </row>
    <row r="238" ht="15" customHeight="1" s="94">
      <c r="A238" s="164">
        <f>IF(Kategori!C238="","",Kategori!A238)</f>
        <v/>
      </c>
      <c r="B238" s="164">
        <f>IF(Kategori!C238="","",Kategori!B238)</f>
        <v/>
      </c>
      <c r="C238" s="108">
        <f>IF(Kategori!C238="","",Kategori!C238)</f>
        <v/>
      </c>
      <c r="D238" s="165">
        <f>IF($C238="","",SUMIFS(Transaksi!$F$16:$F$5015,Transaksi!$G$16:$G$5015,$A238,Transaksi!$H$16:$H$5015,$B238,Transaksi!$I$16:$I$5015,$C238,Transaksi!$B$16:$B$5015,"&gt;="&amp;DATE(Dashboard!$C$4,1,1),Transaksi!$B$16:$B$5015,"&lt;="&amp;EOMONTH(DATE(Dashboard!$C$4,1,1),0)))</f>
        <v/>
      </c>
      <c r="E238" s="165">
        <f>IF($C238="","",SUMIFS(Transaksi!$F$16:$F$5015,Transaksi!$G$16:$G$5015,$A238,Transaksi!$H$16:$H$5015,$B238,Transaksi!$I$16:$I$5015,$C238,Transaksi!$B$16:$B$5015,"&gt;="&amp;DATE(Dashboard!$C$4,2,1),Transaksi!$B$16:$B$5015,"&lt;="&amp;EOMONTH(DATE(Dashboard!$C$4,2,1),0)))</f>
        <v/>
      </c>
      <c r="F238" s="165">
        <f>IF($C238="","",SUMIFS(Transaksi!$F$16:$F$5015,Transaksi!$G$16:$G$5015,$A238,Transaksi!$H$16:$H$5015,$B238,Transaksi!$I$16:$I$5015,$C238,Transaksi!$B$16:$B$5015,"&gt;="&amp;DATE(Dashboard!$C$4,3,1),Transaksi!$B$16:$B$5015,"&lt;="&amp;EOMONTH(DATE(Dashboard!$C$4,3,1),0)))</f>
        <v/>
      </c>
      <c r="G238" s="165">
        <f>IF($C238="","",SUMIFS(Transaksi!$F$16:$F$5015,Transaksi!$G$16:$G$5015,$A238,Transaksi!$H$16:$H$5015,$B238,Transaksi!$I$16:$I$5015,$C238,Transaksi!$B$16:$B$5015,"&gt;="&amp;DATE(Dashboard!$C$4,4,1),Transaksi!$B$16:$B$5015,"&lt;="&amp;EOMONTH(DATE(Dashboard!$C$4,4,1),0)))</f>
        <v/>
      </c>
      <c r="H238" s="165">
        <f>IF($C238="","",SUMIFS(Transaksi!$F$16:$F$5015,Transaksi!$G$16:$G$5015,$A238,Transaksi!$H$16:$H$5015,$B238,Transaksi!$I$16:$I$5015,$C238,Transaksi!$B$16:$B$5015,"&gt;="&amp;DATE(Dashboard!$C$4,5,1),Transaksi!$B$16:$B$5015,"&lt;="&amp;EOMONTH(DATE(Dashboard!$C$4,5,1),0)))</f>
        <v/>
      </c>
      <c r="I238" s="165">
        <f>IF($C238="","",SUMIFS(Transaksi!$F$16:$F$5015,Transaksi!$G$16:$G$5015,$A238,Transaksi!$H$16:$H$5015,$B238,Transaksi!$I$16:$I$5015,$C238,Transaksi!$B$16:$B$5015,"&gt;="&amp;DATE(Dashboard!$C$4,6,1),Transaksi!$B$16:$B$5015,"&lt;="&amp;EOMONTH(DATE(Dashboard!$C$4,6,1),0)))</f>
        <v/>
      </c>
      <c r="J238" s="165">
        <f>IF($C238="","",SUMIFS(Transaksi!$F$16:$F$5015,Transaksi!$G$16:$G$5015,$A238,Transaksi!$H$16:$H$5015,$B238,Transaksi!$I$16:$I$5015,$C238,Transaksi!$B$16:$B$5015,"&gt;="&amp;DATE(Dashboard!$C$4,7,1),Transaksi!$B$16:$B$5015,"&lt;="&amp;EOMONTH(DATE(Dashboard!$C$4,7,1),0)))</f>
        <v/>
      </c>
      <c r="K238" s="165">
        <f>IF($C238="","",SUMIFS(Transaksi!$F$16:$F$5015,Transaksi!$G$16:$G$5015,$A238,Transaksi!$H$16:$H$5015,$B238,Transaksi!$I$16:$I$5015,$C238,Transaksi!$B$16:$B$5015,"&gt;="&amp;DATE(Dashboard!$C$4,8,1),Transaksi!$B$16:$B$5015,"&lt;="&amp;EOMONTH(DATE(Dashboard!$C$4,8,1),0)))</f>
        <v/>
      </c>
      <c r="L238" s="165">
        <f>IF($C238="","",SUMIFS(Transaksi!$F$16:$F$5015,Transaksi!$G$16:$G$5015,$A238,Transaksi!$H$16:$H$5015,$B238,Transaksi!$I$16:$I$5015,$C238,Transaksi!$B$16:$B$5015,"&gt;="&amp;DATE(Dashboard!$C$4,9,1),Transaksi!$B$16:$B$5015,"&lt;="&amp;EOMONTH(DATE(Dashboard!$C$4,9,1),0)))</f>
        <v/>
      </c>
      <c r="M238" s="165">
        <f>IF($C238="","",SUMIFS(Transaksi!$F$16:$F$5015,Transaksi!$G$16:$G$5015,$A238,Transaksi!$H$16:$H$5015,$B238,Transaksi!$I$16:$I$5015,$C238,Transaksi!$B$16:$B$5015,"&gt;="&amp;DATE(Dashboard!$C$4,10,1),Transaksi!$B$16:$B$5015,"&lt;="&amp;EOMONTH(DATE(Dashboard!$C$4,10,1),0)))</f>
        <v/>
      </c>
      <c r="N238" s="165">
        <f>IF($C238="","",SUMIFS(Transaksi!$F$16:$F$5015,Transaksi!$G$16:$G$5015,$A238,Transaksi!$H$16:$H$5015,$B238,Transaksi!$I$16:$I$5015,$C238,Transaksi!$B$16:$B$5015,"&gt;="&amp;DATE(Dashboard!$C$4,11,1),Transaksi!$B$16:$B$5015,"&lt;="&amp;EOMONTH(DATE(Dashboard!$C$4,11,1),0)))</f>
        <v/>
      </c>
      <c r="O238" s="165">
        <f>IF($C238="","",SUMIFS(Transaksi!$F$16:$F$5015,Transaksi!$G$16:$G$5015,$A238,Transaksi!$H$16:$H$5015,$B238,Transaksi!$I$16:$I$5015,$C238,Transaksi!$B$16:$B$5015,"&gt;="&amp;DATE(Dashboard!$C$4,12,1),Transaksi!$B$16:$B$5015,"&lt;="&amp;EOMONTH(DATE(Dashboard!$C$4,12,1),0)))</f>
        <v/>
      </c>
      <c r="P238" s="166">
        <f>IF($C238="","",SUM(D238:O238))</f>
        <v/>
      </c>
    </row>
    <row r="239" ht="15" customHeight="1" s="94">
      <c r="A239" s="164">
        <f>IF(Kategori!C239="","",Kategori!A239)</f>
        <v/>
      </c>
      <c r="B239" s="164">
        <f>IF(Kategori!C239="","",Kategori!B239)</f>
        <v/>
      </c>
      <c r="C239" s="108">
        <f>IF(Kategori!C239="","",Kategori!C239)</f>
        <v/>
      </c>
      <c r="D239" s="165">
        <f>IF($C239="","",SUMIFS(Transaksi!$F$16:$F$5015,Transaksi!$G$16:$G$5015,$A239,Transaksi!$H$16:$H$5015,$B239,Transaksi!$I$16:$I$5015,$C239,Transaksi!$B$16:$B$5015,"&gt;="&amp;DATE(Dashboard!$C$4,1,1),Transaksi!$B$16:$B$5015,"&lt;="&amp;EOMONTH(DATE(Dashboard!$C$4,1,1),0)))</f>
        <v/>
      </c>
      <c r="E239" s="165">
        <f>IF($C239="","",SUMIFS(Transaksi!$F$16:$F$5015,Transaksi!$G$16:$G$5015,$A239,Transaksi!$H$16:$H$5015,$B239,Transaksi!$I$16:$I$5015,$C239,Transaksi!$B$16:$B$5015,"&gt;="&amp;DATE(Dashboard!$C$4,2,1),Transaksi!$B$16:$B$5015,"&lt;="&amp;EOMONTH(DATE(Dashboard!$C$4,2,1),0)))</f>
        <v/>
      </c>
      <c r="F239" s="165">
        <f>IF($C239="","",SUMIFS(Transaksi!$F$16:$F$5015,Transaksi!$G$16:$G$5015,$A239,Transaksi!$H$16:$H$5015,$B239,Transaksi!$I$16:$I$5015,$C239,Transaksi!$B$16:$B$5015,"&gt;="&amp;DATE(Dashboard!$C$4,3,1),Transaksi!$B$16:$B$5015,"&lt;="&amp;EOMONTH(DATE(Dashboard!$C$4,3,1),0)))</f>
        <v/>
      </c>
      <c r="G239" s="165">
        <f>IF($C239="","",SUMIFS(Transaksi!$F$16:$F$5015,Transaksi!$G$16:$G$5015,$A239,Transaksi!$H$16:$H$5015,$B239,Transaksi!$I$16:$I$5015,$C239,Transaksi!$B$16:$B$5015,"&gt;="&amp;DATE(Dashboard!$C$4,4,1),Transaksi!$B$16:$B$5015,"&lt;="&amp;EOMONTH(DATE(Dashboard!$C$4,4,1),0)))</f>
        <v/>
      </c>
      <c r="H239" s="165">
        <f>IF($C239="","",SUMIFS(Transaksi!$F$16:$F$5015,Transaksi!$G$16:$G$5015,$A239,Transaksi!$H$16:$H$5015,$B239,Transaksi!$I$16:$I$5015,$C239,Transaksi!$B$16:$B$5015,"&gt;="&amp;DATE(Dashboard!$C$4,5,1),Transaksi!$B$16:$B$5015,"&lt;="&amp;EOMONTH(DATE(Dashboard!$C$4,5,1),0)))</f>
        <v/>
      </c>
      <c r="I239" s="165">
        <f>IF($C239="","",SUMIFS(Transaksi!$F$16:$F$5015,Transaksi!$G$16:$G$5015,$A239,Transaksi!$H$16:$H$5015,$B239,Transaksi!$I$16:$I$5015,$C239,Transaksi!$B$16:$B$5015,"&gt;="&amp;DATE(Dashboard!$C$4,6,1),Transaksi!$B$16:$B$5015,"&lt;="&amp;EOMONTH(DATE(Dashboard!$C$4,6,1),0)))</f>
        <v/>
      </c>
      <c r="J239" s="165">
        <f>IF($C239="","",SUMIFS(Transaksi!$F$16:$F$5015,Transaksi!$G$16:$G$5015,$A239,Transaksi!$H$16:$H$5015,$B239,Transaksi!$I$16:$I$5015,$C239,Transaksi!$B$16:$B$5015,"&gt;="&amp;DATE(Dashboard!$C$4,7,1),Transaksi!$B$16:$B$5015,"&lt;="&amp;EOMONTH(DATE(Dashboard!$C$4,7,1),0)))</f>
        <v/>
      </c>
      <c r="K239" s="165">
        <f>IF($C239="","",SUMIFS(Transaksi!$F$16:$F$5015,Transaksi!$G$16:$G$5015,$A239,Transaksi!$H$16:$H$5015,$B239,Transaksi!$I$16:$I$5015,$C239,Transaksi!$B$16:$B$5015,"&gt;="&amp;DATE(Dashboard!$C$4,8,1),Transaksi!$B$16:$B$5015,"&lt;="&amp;EOMONTH(DATE(Dashboard!$C$4,8,1),0)))</f>
        <v/>
      </c>
      <c r="L239" s="165">
        <f>IF($C239="","",SUMIFS(Transaksi!$F$16:$F$5015,Transaksi!$G$16:$G$5015,$A239,Transaksi!$H$16:$H$5015,$B239,Transaksi!$I$16:$I$5015,$C239,Transaksi!$B$16:$B$5015,"&gt;="&amp;DATE(Dashboard!$C$4,9,1),Transaksi!$B$16:$B$5015,"&lt;="&amp;EOMONTH(DATE(Dashboard!$C$4,9,1),0)))</f>
        <v/>
      </c>
      <c r="M239" s="165">
        <f>IF($C239="","",SUMIFS(Transaksi!$F$16:$F$5015,Transaksi!$G$16:$G$5015,$A239,Transaksi!$H$16:$H$5015,$B239,Transaksi!$I$16:$I$5015,$C239,Transaksi!$B$16:$B$5015,"&gt;="&amp;DATE(Dashboard!$C$4,10,1),Transaksi!$B$16:$B$5015,"&lt;="&amp;EOMONTH(DATE(Dashboard!$C$4,10,1),0)))</f>
        <v/>
      </c>
      <c r="N239" s="165">
        <f>IF($C239="","",SUMIFS(Transaksi!$F$16:$F$5015,Transaksi!$G$16:$G$5015,$A239,Transaksi!$H$16:$H$5015,$B239,Transaksi!$I$16:$I$5015,$C239,Transaksi!$B$16:$B$5015,"&gt;="&amp;DATE(Dashboard!$C$4,11,1),Transaksi!$B$16:$B$5015,"&lt;="&amp;EOMONTH(DATE(Dashboard!$C$4,11,1),0)))</f>
        <v/>
      </c>
      <c r="O239" s="165">
        <f>IF($C239="","",SUMIFS(Transaksi!$F$16:$F$5015,Transaksi!$G$16:$G$5015,$A239,Transaksi!$H$16:$H$5015,$B239,Transaksi!$I$16:$I$5015,$C239,Transaksi!$B$16:$B$5015,"&gt;="&amp;DATE(Dashboard!$C$4,12,1),Transaksi!$B$16:$B$5015,"&lt;="&amp;EOMONTH(DATE(Dashboard!$C$4,12,1),0)))</f>
        <v/>
      </c>
      <c r="P239" s="166">
        <f>IF($C239="","",SUM(D239:O239))</f>
        <v/>
      </c>
    </row>
    <row r="240" ht="15" customHeight="1" s="94">
      <c r="A240" s="164">
        <f>IF(Kategori!C240="","",Kategori!A240)</f>
        <v/>
      </c>
      <c r="B240" s="164">
        <f>IF(Kategori!C240="","",Kategori!B240)</f>
        <v/>
      </c>
      <c r="C240" s="108">
        <f>IF(Kategori!C240="","",Kategori!C240)</f>
        <v/>
      </c>
      <c r="D240" s="165">
        <f>IF($C240="","",SUMIFS(Transaksi!$F$16:$F$5015,Transaksi!$G$16:$G$5015,$A240,Transaksi!$H$16:$H$5015,$B240,Transaksi!$I$16:$I$5015,$C240,Transaksi!$B$16:$B$5015,"&gt;="&amp;DATE(Dashboard!$C$4,1,1),Transaksi!$B$16:$B$5015,"&lt;="&amp;EOMONTH(DATE(Dashboard!$C$4,1,1),0)))</f>
        <v/>
      </c>
      <c r="E240" s="165">
        <f>IF($C240="","",SUMIFS(Transaksi!$F$16:$F$5015,Transaksi!$G$16:$G$5015,$A240,Transaksi!$H$16:$H$5015,$B240,Transaksi!$I$16:$I$5015,$C240,Transaksi!$B$16:$B$5015,"&gt;="&amp;DATE(Dashboard!$C$4,2,1),Transaksi!$B$16:$B$5015,"&lt;="&amp;EOMONTH(DATE(Dashboard!$C$4,2,1),0)))</f>
        <v/>
      </c>
      <c r="F240" s="165">
        <f>IF($C240="","",SUMIFS(Transaksi!$F$16:$F$5015,Transaksi!$G$16:$G$5015,$A240,Transaksi!$H$16:$H$5015,$B240,Transaksi!$I$16:$I$5015,$C240,Transaksi!$B$16:$B$5015,"&gt;="&amp;DATE(Dashboard!$C$4,3,1),Transaksi!$B$16:$B$5015,"&lt;="&amp;EOMONTH(DATE(Dashboard!$C$4,3,1),0)))</f>
        <v/>
      </c>
      <c r="G240" s="165">
        <f>IF($C240="","",SUMIFS(Transaksi!$F$16:$F$5015,Transaksi!$G$16:$G$5015,$A240,Transaksi!$H$16:$H$5015,$B240,Transaksi!$I$16:$I$5015,$C240,Transaksi!$B$16:$B$5015,"&gt;="&amp;DATE(Dashboard!$C$4,4,1),Transaksi!$B$16:$B$5015,"&lt;="&amp;EOMONTH(DATE(Dashboard!$C$4,4,1),0)))</f>
        <v/>
      </c>
      <c r="H240" s="165">
        <f>IF($C240="","",SUMIFS(Transaksi!$F$16:$F$5015,Transaksi!$G$16:$G$5015,$A240,Transaksi!$H$16:$H$5015,$B240,Transaksi!$I$16:$I$5015,$C240,Transaksi!$B$16:$B$5015,"&gt;="&amp;DATE(Dashboard!$C$4,5,1),Transaksi!$B$16:$B$5015,"&lt;="&amp;EOMONTH(DATE(Dashboard!$C$4,5,1),0)))</f>
        <v/>
      </c>
      <c r="I240" s="165">
        <f>IF($C240="","",SUMIFS(Transaksi!$F$16:$F$5015,Transaksi!$G$16:$G$5015,$A240,Transaksi!$H$16:$H$5015,$B240,Transaksi!$I$16:$I$5015,$C240,Transaksi!$B$16:$B$5015,"&gt;="&amp;DATE(Dashboard!$C$4,6,1),Transaksi!$B$16:$B$5015,"&lt;="&amp;EOMONTH(DATE(Dashboard!$C$4,6,1),0)))</f>
        <v/>
      </c>
      <c r="J240" s="165">
        <f>IF($C240="","",SUMIFS(Transaksi!$F$16:$F$5015,Transaksi!$G$16:$G$5015,$A240,Transaksi!$H$16:$H$5015,$B240,Transaksi!$I$16:$I$5015,$C240,Transaksi!$B$16:$B$5015,"&gt;="&amp;DATE(Dashboard!$C$4,7,1),Transaksi!$B$16:$B$5015,"&lt;="&amp;EOMONTH(DATE(Dashboard!$C$4,7,1),0)))</f>
        <v/>
      </c>
      <c r="K240" s="165">
        <f>IF($C240="","",SUMIFS(Transaksi!$F$16:$F$5015,Transaksi!$G$16:$G$5015,$A240,Transaksi!$H$16:$H$5015,$B240,Transaksi!$I$16:$I$5015,$C240,Transaksi!$B$16:$B$5015,"&gt;="&amp;DATE(Dashboard!$C$4,8,1),Transaksi!$B$16:$B$5015,"&lt;="&amp;EOMONTH(DATE(Dashboard!$C$4,8,1),0)))</f>
        <v/>
      </c>
      <c r="L240" s="165">
        <f>IF($C240="","",SUMIFS(Transaksi!$F$16:$F$5015,Transaksi!$G$16:$G$5015,$A240,Transaksi!$H$16:$H$5015,$B240,Transaksi!$I$16:$I$5015,$C240,Transaksi!$B$16:$B$5015,"&gt;="&amp;DATE(Dashboard!$C$4,9,1),Transaksi!$B$16:$B$5015,"&lt;="&amp;EOMONTH(DATE(Dashboard!$C$4,9,1),0)))</f>
        <v/>
      </c>
      <c r="M240" s="165">
        <f>IF($C240="","",SUMIFS(Transaksi!$F$16:$F$5015,Transaksi!$G$16:$G$5015,$A240,Transaksi!$H$16:$H$5015,$B240,Transaksi!$I$16:$I$5015,$C240,Transaksi!$B$16:$B$5015,"&gt;="&amp;DATE(Dashboard!$C$4,10,1),Transaksi!$B$16:$B$5015,"&lt;="&amp;EOMONTH(DATE(Dashboard!$C$4,10,1),0)))</f>
        <v/>
      </c>
      <c r="N240" s="165">
        <f>IF($C240="","",SUMIFS(Transaksi!$F$16:$F$5015,Transaksi!$G$16:$G$5015,$A240,Transaksi!$H$16:$H$5015,$B240,Transaksi!$I$16:$I$5015,$C240,Transaksi!$B$16:$B$5015,"&gt;="&amp;DATE(Dashboard!$C$4,11,1),Transaksi!$B$16:$B$5015,"&lt;="&amp;EOMONTH(DATE(Dashboard!$C$4,11,1),0)))</f>
        <v/>
      </c>
      <c r="O240" s="165">
        <f>IF($C240="","",SUMIFS(Transaksi!$F$16:$F$5015,Transaksi!$G$16:$G$5015,$A240,Transaksi!$H$16:$H$5015,$B240,Transaksi!$I$16:$I$5015,$C240,Transaksi!$B$16:$B$5015,"&gt;="&amp;DATE(Dashboard!$C$4,12,1),Transaksi!$B$16:$B$5015,"&lt;="&amp;EOMONTH(DATE(Dashboard!$C$4,12,1),0)))</f>
        <v/>
      </c>
      <c r="P240" s="166">
        <f>IF($C240="","",SUM(D240:O240))</f>
        <v/>
      </c>
    </row>
    <row r="241" ht="15" customHeight="1" s="94">
      <c r="A241" s="164">
        <f>IF(Kategori!C241="","",Kategori!A241)</f>
        <v/>
      </c>
      <c r="B241" s="164">
        <f>IF(Kategori!C241="","",Kategori!B241)</f>
        <v/>
      </c>
      <c r="C241" s="108">
        <f>IF(Kategori!C241="","",Kategori!C241)</f>
        <v/>
      </c>
      <c r="D241" s="165">
        <f>IF($C241="","",SUMIFS(Transaksi!$F$16:$F$5015,Transaksi!$G$16:$G$5015,$A241,Transaksi!$H$16:$H$5015,$B241,Transaksi!$I$16:$I$5015,$C241,Transaksi!$B$16:$B$5015,"&gt;="&amp;DATE(Dashboard!$C$4,1,1),Transaksi!$B$16:$B$5015,"&lt;="&amp;EOMONTH(DATE(Dashboard!$C$4,1,1),0)))</f>
        <v/>
      </c>
      <c r="E241" s="165">
        <f>IF($C241="","",SUMIFS(Transaksi!$F$16:$F$5015,Transaksi!$G$16:$G$5015,$A241,Transaksi!$H$16:$H$5015,$B241,Transaksi!$I$16:$I$5015,$C241,Transaksi!$B$16:$B$5015,"&gt;="&amp;DATE(Dashboard!$C$4,2,1),Transaksi!$B$16:$B$5015,"&lt;="&amp;EOMONTH(DATE(Dashboard!$C$4,2,1),0)))</f>
        <v/>
      </c>
      <c r="F241" s="165">
        <f>IF($C241="","",SUMIFS(Transaksi!$F$16:$F$5015,Transaksi!$G$16:$G$5015,$A241,Transaksi!$H$16:$H$5015,$B241,Transaksi!$I$16:$I$5015,$C241,Transaksi!$B$16:$B$5015,"&gt;="&amp;DATE(Dashboard!$C$4,3,1),Transaksi!$B$16:$B$5015,"&lt;="&amp;EOMONTH(DATE(Dashboard!$C$4,3,1),0)))</f>
        <v/>
      </c>
      <c r="G241" s="165">
        <f>IF($C241="","",SUMIFS(Transaksi!$F$16:$F$5015,Transaksi!$G$16:$G$5015,$A241,Transaksi!$H$16:$H$5015,$B241,Transaksi!$I$16:$I$5015,$C241,Transaksi!$B$16:$B$5015,"&gt;="&amp;DATE(Dashboard!$C$4,4,1),Transaksi!$B$16:$B$5015,"&lt;="&amp;EOMONTH(DATE(Dashboard!$C$4,4,1),0)))</f>
        <v/>
      </c>
      <c r="H241" s="165">
        <f>IF($C241="","",SUMIFS(Transaksi!$F$16:$F$5015,Transaksi!$G$16:$G$5015,$A241,Transaksi!$H$16:$H$5015,$B241,Transaksi!$I$16:$I$5015,$C241,Transaksi!$B$16:$B$5015,"&gt;="&amp;DATE(Dashboard!$C$4,5,1),Transaksi!$B$16:$B$5015,"&lt;="&amp;EOMONTH(DATE(Dashboard!$C$4,5,1),0)))</f>
        <v/>
      </c>
      <c r="I241" s="165">
        <f>IF($C241="","",SUMIFS(Transaksi!$F$16:$F$5015,Transaksi!$G$16:$G$5015,$A241,Transaksi!$H$16:$H$5015,$B241,Transaksi!$I$16:$I$5015,$C241,Transaksi!$B$16:$B$5015,"&gt;="&amp;DATE(Dashboard!$C$4,6,1),Transaksi!$B$16:$B$5015,"&lt;="&amp;EOMONTH(DATE(Dashboard!$C$4,6,1),0)))</f>
        <v/>
      </c>
      <c r="J241" s="165">
        <f>IF($C241="","",SUMIFS(Transaksi!$F$16:$F$5015,Transaksi!$G$16:$G$5015,$A241,Transaksi!$H$16:$H$5015,$B241,Transaksi!$I$16:$I$5015,$C241,Transaksi!$B$16:$B$5015,"&gt;="&amp;DATE(Dashboard!$C$4,7,1),Transaksi!$B$16:$B$5015,"&lt;="&amp;EOMONTH(DATE(Dashboard!$C$4,7,1),0)))</f>
        <v/>
      </c>
      <c r="K241" s="165">
        <f>IF($C241="","",SUMIFS(Transaksi!$F$16:$F$5015,Transaksi!$G$16:$G$5015,$A241,Transaksi!$H$16:$H$5015,$B241,Transaksi!$I$16:$I$5015,$C241,Transaksi!$B$16:$B$5015,"&gt;="&amp;DATE(Dashboard!$C$4,8,1),Transaksi!$B$16:$B$5015,"&lt;="&amp;EOMONTH(DATE(Dashboard!$C$4,8,1),0)))</f>
        <v/>
      </c>
      <c r="L241" s="165">
        <f>IF($C241="","",SUMIFS(Transaksi!$F$16:$F$5015,Transaksi!$G$16:$G$5015,$A241,Transaksi!$H$16:$H$5015,$B241,Transaksi!$I$16:$I$5015,$C241,Transaksi!$B$16:$B$5015,"&gt;="&amp;DATE(Dashboard!$C$4,9,1),Transaksi!$B$16:$B$5015,"&lt;="&amp;EOMONTH(DATE(Dashboard!$C$4,9,1),0)))</f>
        <v/>
      </c>
      <c r="M241" s="165">
        <f>IF($C241="","",SUMIFS(Transaksi!$F$16:$F$5015,Transaksi!$G$16:$G$5015,$A241,Transaksi!$H$16:$H$5015,$B241,Transaksi!$I$16:$I$5015,$C241,Transaksi!$B$16:$B$5015,"&gt;="&amp;DATE(Dashboard!$C$4,10,1),Transaksi!$B$16:$B$5015,"&lt;="&amp;EOMONTH(DATE(Dashboard!$C$4,10,1),0)))</f>
        <v/>
      </c>
      <c r="N241" s="165">
        <f>IF($C241="","",SUMIFS(Transaksi!$F$16:$F$5015,Transaksi!$G$16:$G$5015,$A241,Transaksi!$H$16:$H$5015,$B241,Transaksi!$I$16:$I$5015,$C241,Transaksi!$B$16:$B$5015,"&gt;="&amp;DATE(Dashboard!$C$4,11,1),Transaksi!$B$16:$B$5015,"&lt;="&amp;EOMONTH(DATE(Dashboard!$C$4,11,1),0)))</f>
        <v/>
      </c>
      <c r="O241" s="165">
        <f>IF($C241="","",SUMIFS(Transaksi!$F$16:$F$5015,Transaksi!$G$16:$G$5015,$A241,Transaksi!$H$16:$H$5015,$B241,Transaksi!$I$16:$I$5015,$C241,Transaksi!$B$16:$B$5015,"&gt;="&amp;DATE(Dashboard!$C$4,12,1),Transaksi!$B$16:$B$5015,"&lt;="&amp;EOMONTH(DATE(Dashboard!$C$4,12,1),0)))</f>
        <v/>
      </c>
      <c r="P241" s="166">
        <f>IF($C241="","",SUM(D241:O241))</f>
        <v/>
      </c>
    </row>
    <row r="242" ht="15" customHeight="1" s="94">
      <c r="A242" s="164">
        <f>IF(Kategori!C242="","",Kategori!A242)</f>
        <v/>
      </c>
      <c r="B242" s="164">
        <f>IF(Kategori!C242="","",Kategori!B242)</f>
        <v/>
      </c>
      <c r="C242" s="108">
        <f>IF(Kategori!C242="","",Kategori!C242)</f>
        <v/>
      </c>
      <c r="D242" s="165">
        <f>IF($C242="","",SUMIFS(Transaksi!$F$16:$F$5015,Transaksi!$G$16:$G$5015,$A242,Transaksi!$H$16:$H$5015,$B242,Transaksi!$I$16:$I$5015,$C242,Transaksi!$B$16:$B$5015,"&gt;="&amp;DATE(Dashboard!$C$4,1,1),Transaksi!$B$16:$B$5015,"&lt;="&amp;EOMONTH(DATE(Dashboard!$C$4,1,1),0)))</f>
        <v/>
      </c>
      <c r="E242" s="165">
        <f>IF($C242="","",SUMIFS(Transaksi!$F$16:$F$5015,Transaksi!$G$16:$G$5015,$A242,Transaksi!$H$16:$H$5015,$B242,Transaksi!$I$16:$I$5015,$C242,Transaksi!$B$16:$B$5015,"&gt;="&amp;DATE(Dashboard!$C$4,2,1),Transaksi!$B$16:$B$5015,"&lt;="&amp;EOMONTH(DATE(Dashboard!$C$4,2,1),0)))</f>
        <v/>
      </c>
      <c r="F242" s="165">
        <f>IF($C242="","",SUMIFS(Transaksi!$F$16:$F$5015,Transaksi!$G$16:$G$5015,$A242,Transaksi!$H$16:$H$5015,$B242,Transaksi!$I$16:$I$5015,$C242,Transaksi!$B$16:$B$5015,"&gt;="&amp;DATE(Dashboard!$C$4,3,1),Transaksi!$B$16:$B$5015,"&lt;="&amp;EOMONTH(DATE(Dashboard!$C$4,3,1),0)))</f>
        <v/>
      </c>
      <c r="G242" s="165">
        <f>IF($C242="","",SUMIFS(Transaksi!$F$16:$F$5015,Transaksi!$G$16:$G$5015,$A242,Transaksi!$H$16:$H$5015,$B242,Transaksi!$I$16:$I$5015,$C242,Transaksi!$B$16:$B$5015,"&gt;="&amp;DATE(Dashboard!$C$4,4,1),Transaksi!$B$16:$B$5015,"&lt;="&amp;EOMONTH(DATE(Dashboard!$C$4,4,1),0)))</f>
        <v/>
      </c>
      <c r="H242" s="165">
        <f>IF($C242="","",SUMIFS(Transaksi!$F$16:$F$5015,Transaksi!$G$16:$G$5015,$A242,Transaksi!$H$16:$H$5015,$B242,Transaksi!$I$16:$I$5015,$C242,Transaksi!$B$16:$B$5015,"&gt;="&amp;DATE(Dashboard!$C$4,5,1),Transaksi!$B$16:$B$5015,"&lt;="&amp;EOMONTH(DATE(Dashboard!$C$4,5,1),0)))</f>
        <v/>
      </c>
      <c r="I242" s="165">
        <f>IF($C242="","",SUMIFS(Transaksi!$F$16:$F$5015,Transaksi!$G$16:$G$5015,$A242,Transaksi!$H$16:$H$5015,$B242,Transaksi!$I$16:$I$5015,$C242,Transaksi!$B$16:$B$5015,"&gt;="&amp;DATE(Dashboard!$C$4,6,1),Transaksi!$B$16:$B$5015,"&lt;="&amp;EOMONTH(DATE(Dashboard!$C$4,6,1),0)))</f>
        <v/>
      </c>
      <c r="J242" s="165">
        <f>IF($C242="","",SUMIFS(Transaksi!$F$16:$F$5015,Transaksi!$G$16:$G$5015,$A242,Transaksi!$H$16:$H$5015,$B242,Transaksi!$I$16:$I$5015,$C242,Transaksi!$B$16:$B$5015,"&gt;="&amp;DATE(Dashboard!$C$4,7,1),Transaksi!$B$16:$B$5015,"&lt;="&amp;EOMONTH(DATE(Dashboard!$C$4,7,1),0)))</f>
        <v/>
      </c>
      <c r="K242" s="165">
        <f>IF($C242="","",SUMIFS(Transaksi!$F$16:$F$5015,Transaksi!$G$16:$G$5015,$A242,Transaksi!$H$16:$H$5015,$B242,Transaksi!$I$16:$I$5015,$C242,Transaksi!$B$16:$B$5015,"&gt;="&amp;DATE(Dashboard!$C$4,8,1),Transaksi!$B$16:$B$5015,"&lt;="&amp;EOMONTH(DATE(Dashboard!$C$4,8,1),0)))</f>
        <v/>
      </c>
      <c r="L242" s="165">
        <f>IF($C242="","",SUMIFS(Transaksi!$F$16:$F$5015,Transaksi!$G$16:$G$5015,$A242,Transaksi!$H$16:$H$5015,$B242,Transaksi!$I$16:$I$5015,$C242,Transaksi!$B$16:$B$5015,"&gt;="&amp;DATE(Dashboard!$C$4,9,1),Transaksi!$B$16:$B$5015,"&lt;="&amp;EOMONTH(DATE(Dashboard!$C$4,9,1),0)))</f>
        <v/>
      </c>
      <c r="M242" s="165">
        <f>IF($C242="","",SUMIFS(Transaksi!$F$16:$F$5015,Transaksi!$G$16:$G$5015,$A242,Transaksi!$H$16:$H$5015,$B242,Transaksi!$I$16:$I$5015,$C242,Transaksi!$B$16:$B$5015,"&gt;="&amp;DATE(Dashboard!$C$4,10,1),Transaksi!$B$16:$B$5015,"&lt;="&amp;EOMONTH(DATE(Dashboard!$C$4,10,1),0)))</f>
        <v/>
      </c>
      <c r="N242" s="165">
        <f>IF($C242="","",SUMIFS(Transaksi!$F$16:$F$5015,Transaksi!$G$16:$G$5015,$A242,Transaksi!$H$16:$H$5015,$B242,Transaksi!$I$16:$I$5015,$C242,Transaksi!$B$16:$B$5015,"&gt;="&amp;DATE(Dashboard!$C$4,11,1),Transaksi!$B$16:$B$5015,"&lt;="&amp;EOMONTH(DATE(Dashboard!$C$4,11,1),0)))</f>
        <v/>
      </c>
      <c r="O242" s="165">
        <f>IF($C242="","",SUMIFS(Transaksi!$F$16:$F$5015,Transaksi!$G$16:$G$5015,$A242,Transaksi!$H$16:$H$5015,$B242,Transaksi!$I$16:$I$5015,$C242,Transaksi!$B$16:$B$5015,"&gt;="&amp;DATE(Dashboard!$C$4,12,1),Transaksi!$B$16:$B$5015,"&lt;="&amp;EOMONTH(DATE(Dashboard!$C$4,12,1),0)))</f>
        <v/>
      </c>
      <c r="P242" s="166">
        <f>IF($C242="","",SUM(D242:O242))</f>
        <v/>
      </c>
    </row>
    <row r="243" ht="15" customHeight="1" s="94">
      <c r="A243" s="164">
        <f>IF(Kategori!C243="","",Kategori!A243)</f>
        <v/>
      </c>
      <c r="B243" s="164">
        <f>IF(Kategori!C243="","",Kategori!B243)</f>
        <v/>
      </c>
      <c r="C243" s="108">
        <f>IF(Kategori!C243="","",Kategori!C243)</f>
        <v/>
      </c>
      <c r="D243" s="165">
        <f>IF($C243="","",SUMIFS(Transaksi!$F$16:$F$5015,Transaksi!$G$16:$G$5015,$A243,Transaksi!$H$16:$H$5015,$B243,Transaksi!$I$16:$I$5015,$C243,Transaksi!$B$16:$B$5015,"&gt;="&amp;DATE(Dashboard!$C$4,1,1),Transaksi!$B$16:$B$5015,"&lt;="&amp;EOMONTH(DATE(Dashboard!$C$4,1,1),0)))</f>
        <v/>
      </c>
      <c r="E243" s="165">
        <f>IF($C243="","",SUMIFS(Transaksi!$F$16:$F$5015,Transaksi!$G$16:$G$5015,$A243,Transaksi!$H$16:$H$5015,$B243,Transaksi!$I$16:$I$5015,$C243,Transaksi!$B$16:$B$5015,"&gt;="&amp;DATE(Dashboard!$C$4,2,1),Transaksi!$B$16:$B$5015,"&lt;="&amp;EOMONTH(DATE(Dashboard!$C$4,2,1),0)))</f>
        <v/>
      </c>
      <c r="F243" s="165">
        <f>IF($C243="","",SUMIFS(Transaksi!$F$16:$F$5015,Transaksi!$G$16:$G$5015,$A243,Transaksi!$H$16:$H$5015,$B243,Transaksi!$I$16:$I$5015,$C243,Transaksi!$B$16:$B$5015,"&gt;="&amp;DATE(Dashboard!$C$4,3,1),Transaksi!$B$16:$B$5015,"&lt;="&amp;EOMONTH(DATE(Dashboard!$C$4,3,1),0)))</f>
        <v/>
      </c>
      <c r="G243" s="165">
        <f>IF($C243="","",SUMIFS(Transaksi!$F$16:$F$5015,Transaksi!$G$16:$G$5015,$A243,Transaksi!$H$16:$H$5015,$B243,Transaksi!$I$16:$I$5015,$C243,Transaksi!$B$16:$B$5015,"&gt;="&amp;DATE(Dashboard!$C$4,4,1),Transaksi!$B$16:$B$5015,"&lt;="&amp;EOMONTH(DATE(Dashboard!$C$4,4,1),0)))</f>
        <v/>
      </c>
      <c r="H243" s="165">
        <f>IF($C243="","",SUMIFS(Transaksi!$F$16:$F$5015,Transaksi!$G$16:$G$5015,$A243,Transaksi!$H$16:$H$5015,$B243,Transaksi!$I$16:$I$5015,$C243,Transaksi!$B$16:$B$5015,"&gt;="&amp;DATE(Dashboard!$C$4,5,1),Transaksi!$B$16:$B$5015,"&lt;="&amp;EOMONTH(DATE(Dashboard!$C$4,5,1),0)))</f>
        <v/>
      </c>
      <c r="I243" s="165">
        <f>IF($C243="","",SUMIFS(Transaksi!$F$16:$F$5015,Transaksi!$G$16:$G$5015,$A243,Transaksi!$H$16:$H$5015,$B243,Transaksi!$I$16:$I$5015,$C243,Transaksi!$B$16:$B$5015,"&gt;="&amp;DATE(Dashboard!$C$4,6,1),Transaksi!$B$16:$B$5015,"&lt;="&amp;EOMONTH(DATE(Dashboard!$C$4,6,1),0)))</f>
        <v/>
      </c>
      <c r="J243" s="165">
        <f>IF($C243="","",SUMIFS(Transaksi!$F$16:$F$5015,Transaksi!$G$16:$G$5015,$A243,Transaksi!$H$16:$H$5015,$B243,Transaksi!$I$16:$I$5015,$C243,Transaksi!$B$16:$B$5015,"&gt;="&amp;DATE(Dashboard!$C$4,7,1),Transaksi!$B$16:$B$5015,"&lt;="&amp;EOMONTH(DATE(Dashboard!$C$4,7,1),0)))</f>
        <v/>
      </c>
      <c r="K243" s="165">
        <f>IF($C243="","",SUMIFS(Transaksi!$F$16:$F$5015,Transaksi!$G$16:$G$5015,$A243,Transaksi!$H$16:$H$5015,$B243,Transaksi!$I$16:$I$5015,$C243,Transaksi!$B$16:$B$5015,"&gt;="&amp;DATE(Dashboard!$C$4,8,1),Transaksi!$B$16:$B$5015,"&lt;="&amp;EOMONTH(DATE(Dashboard!$C$4,8,1),0)))</f>
        <v/>
      </c>
      <c r="L243" s="165">
        <f>IF($C243="","",SUMIFS(Transaksi!$F$16:$F$5015,Transaksi!$G$16:$G$5015,$A243,Transaksi!$H$16:$H$5015,$B243,Transaksi!$I$16:$I$5015,$C243,Transaksi!$B$16:$B$5015,"&gt;="&amp;DATE(Dashboard!$C$4,9,1),Transaksi!$B$16:$B$5015,"&lt;="&amp;EOMONTH(DATE(Dashboard!$C$4,9,1),0)))</f>
        <v/>
      </c>
      <c r="M243" s="165">
        <f>IF($C243="","",SUMIFS(Transaksi!$F$16:$F$5015,Transaksi!$G$16:$G$5015,$A243,Transaksi!$H$16:$H$5015,$B243,Transaksi!$I$16:$I$5015,$C243,Transaksi!$B$16:$B$5015,"&gt;="&amp;DATE(Dashboard!$C$4,10,1),Transaksi!$B$16:$B$5015,"&lt;="&amp;EOMONTH(DATE(Dashboard!$C$4,10,1),0)))</f>
        <v/>
      </c>
      <c r="N243" s="165">
        <f>IF($C243="","",SUMIFS(Transaksi!$F$16:$F$5015,Transaksi!$G$16:$G$5015,$A243,Transaksi!$H$16:$H$5015,$B243,Transaksi!$I$16:$I$5015,$C243,Transaksi!$B$16:$B$5015,"&gt;="&amp;DATE(Dashboard!$C$4,11,1),Transaksi!$B$16:$B$5015,"&lt;="&amp;EOMONTH(DATE(Dashboard!$C$4,11,1),0)))</f>
        <v/>
      </c>
      <c r="O243" s="165">
        <f>IF($C243="","",SUMIFS(Transaksi!$F$16:$F$5015,Transaksi!$G$16:$G$5015,$A243,Transaksi!$H$16:$H$5015,$B243,Transaksi!$I$16:$I$5015,$C243,Transaksi!$B$16:$B$5015,"&gt;="&amp;DATE(Dashboard!$C$4,12,1),Transaksi!$B$16:$B$5015,"&lt;="&amp;EOMONTH(DATE(Dashboard!$C$4,12,1),0)))</f>
        <v/>
      </c>
      <c r="P243" s="166">
        <f>IF($C243="","",SUM(D243:O243))</f>
        <v/>
      </c>
    </row>
    <row r="244" ht="15" customHeight="1" s="94">
      <c r="A244" s="164">
        <f>IF(Kategori!C244="","",Kategori!A244)</f>
        <v/>
      </c>
      <c r="B244" s="164">
        <f>IF(Kategori!C244="","",Kategori!B244)</f>
        <v/>
      </c>
      <c r="C244" s="108">
        <f>IF(Kategori!C244="","",Kategori!C244)</f>
        <v/>
      </c>
      <c r="D244" s="165">
        <f>IF($C244="","",SUMIFS(Transaksi!$F$16:$F$5015,Transaksi!$G$16:$G$5015,$A244,Transaksi!$H$16:$H$5015,$B244,Transaksi!$I$16:$I$5015,$C244,Transaksi!$B$16:$B$5015,"&gt;="&amp;DATE(Dashboard!$C$4,1,1),Transaksi!$B$16:$B$5015,"&lt;="&amp;EOMONTH(DATE(Dashboard!$C$4,1,1),0)))</f>
        <v/>
      </c>
      <c r="E244" s="165">
        <f>IF($C244="","",SUMIFS(Transaksi!$F$16:$F$5015,Transaksi!$G$16:$G$5015,$A244,Transaksi!$H$16:$H$5015,$B244,Transaksi!$I$16:$I$5015,$C244,Transaksi!$B$16:$B$5015,"&gt;="&amp;DATE(Dashboard!$C$4,2,1),Transaksi!$B$16:$B$5015,"&lt;="&amp;EOMONTH(DATE(Dashboard!$C$4,2,1),0)))</f>
        <v/>
      </c>
      <c r="F244" s="165">
        <f>IF($C244="","",SUMIFS(Transaksi!$F$16:$F$5015,Transaksi!$G$16:$G$5015,$A244,Transaksi!$H$16:$H$5015,$B244,Transaksi!$I$16:$I$5015,$C244,Transaksi!$B$16:$B$5015,"&gt;="&amp;DATE(Dashboard!$C$4,3,1),Transaksi!$B$16:$B$5015,"&lt;="&amp;EOMONTH(DATE(Dashboard!$C$4,3,1),0)))</f>
        <v/>
      </c>
      <c r="G244" s="165">
        <f>IF($C244="","",SUMIFS(Transaksi!$F$16:$F$5015,Transaksi!$G$16:$G$5015,$A244,Transaksi!$H$16:$H$5015,$B244,Transaksi!$I$16:$I$5015,$C244,Transaksi!$B$16:$B$5015,"&gt;="&amp;DATE(Dashboard!$C$4,4,1),Transaksi!$B$16:$B$5015,"&lt;="&amp;EOMONTH(DATE(Dashboard!$C$4,4,1),0)))</f>
        <v/>
      </c>
      <c r="H244" s="165">
        <f>IF($C244="","",SUMIFS(Transaksi!$F$16:$F$5015,Transaksi!$G$16:$G$5015,$A244,Transaksi!$H$16:$H$5015,$B244,Transaksi!$I$16:$I$5015,$C244,Transaksi!$B$16:$B$5015,"&gt;="&amp;DATE(Dashboard!$C$4,5,1),Transaksi!$B$16:$B$5015,"&lt;="&amp;EOMONTH(DATE(Dashboard!$C$4,5,1),0)))</f>
        <v/>
      </c>
      <c r="I244" s="165">
        <f>IF($C244="","",SUMIFS(Transaksi!$F$16:$F$5015,Transaksi!$G$16:$G$5015,$A244,Transaksi!$H$16:$H$5015,$B244,Transaksi!$I$16:$I$5015,$C244,Transaksi!$B$16:$B$5015,"&gt;="&amp;DATE(Dashboard!$C$4,6,1),Transaksi!$B$16:$B$5015,"&lt;="&amp;EOMONTH(DATE(Dashboard!$C$4,6,1),0)))</f>
        <v/>
      </c>
      <c r="J244" s="165">
        <f>IF($C244="","",SUMIFS(Transaksi!$F$16:$F$5015,Transaksi!$G$16:$G$5015,$A244,Transaksi!$H$16:$H$5015,$B244,Transaksi!$I$16:$I$5015,$C244,Transaksi!$B$16:$B$5015,"&gt;="&amp;DATE(Dashboard!$C$4,7,1),Transaksi!$B$16:$B$5015,"&lt;="&amp;EOMONTH(DATE(Dashboard!$C$4,7,1),0)))</f>
        <v/>
      </c>
      <c r="K244" s="165">
        <f>IF($C244="","",SUMIFS(Transaksi!$F$16:$F$5015,Transaksi!$G$16:$G$5015,$A244,Transaksi!$H$16:$H$5015,$B244,Transaksi!$I$16:$I$5015,$C244,Transaksi!$B$16:$B$5015,"&gt;="&amp;DATE(Dashboard!$C$4,8,1),Transaksi!$B$16:$B$5015,"&lt;="&amp;EOMONTH(DATE(Dashboard!$C$4,8,1),0)))</f>
        <v/>
      </c>
      <c r="L244" s="165">
        <f>IF($C244="","",SUMIFS(Transaksi!$F$16:$F$5015,Transaksi!$G$16:$G$5015,$A244,Transaksi!$H$16:$H$5015,$B244,Transaksi!$I$16:$I$5015,$C244,Transaksi!$B$16:$B$5015,"&gt;="&amp;DATE(Dashboard!$C$4,9,1),Transaksi!$B$16:$B$5015,"&lt;="&amp;EOMONTH(DATE(Dashboard!$C$4,9,1),0)))</f>
        <v/>
      </c>
      <c r="M244" s="165">
        <f>IF($C244="","",SUMIFS(Transaksi!$F$16:$F$5015,Transaksi!$G$16:$G$5015,$A244,Transaksi!$H$16:$H$5015,$B244,Transaksi!$I$16:$I$5015,$C244,Transaksi!$B$16:$B$5015,"&gt;="&amp;DATE(Dashboard!$C$4,10,1),Transaksi!$B$16:$B$5015,"&lt;="&amp;EOMONTH(DATE(Dashboard!$C$4,10,1),0)))</f>
        <v/>
      </c>
      <c r="N244" s="165">
        <f>IF($C244="","",SUMIFS(Transaksi!$F$16:$F$5015,Transaksi!$G$16:$G$5015,$A244,Transaksi!$H$16:$H$5015,$B244,Transaksi!$I$16:$I$5015,$C244,Transaksi!$B$16:$B$5015,"&gt;="&amp;DATE(Dashboard!$C$4,11,1),Transaksi!$B$16:$B$5015,"&lt;="&amp;EOMONTH(DATE(Dashboard!$C$4,11,1),0)))</f>
        <v/>
      </c>
      <c r="O244" s="165">
        <f>IF($C244="","",SUMIFS(Transaksi!$F$16:$F$5015,Transaksi!$G$16:$G$5015,$A244,Transaksi!$H$16:$H$5015,$B244,Transaksi!$I$16:$I$5015,$C244,Transaksi!$B$16:$B$5015,"&gt;="&amp;DATE(Dashboard!$C$4,12,1),Transaksi!$B$16:$B$5015,"&lt;="&amp;EOMONTH(DATE(Dashboard!$C$4,12,1),0)))</f>
        <v/>
      </c>
      <c r="P244" s="166">
        <f>IF($C244="","",SUM(D244:O244))</f>
        <v/>
      </c>
    </row>
    <row r="245" ht="15" customHeight="1" s="94">
      <c r="A245" s="164">
        <f>IF(Kategori!C245="","",Kategori!A245)</f>
        <v/>
      </c>
      <c r="B245" s="164">
        <f>IF(Kategori!C245="","",Kategori!B245)</f>
        <v/>
      </c>
      <c r="C245" s="108">
        <f>IF(Kategori!C245="","",Kategori!C245)</f>
        <v/>
      </c>
      <c r="D245" s="165">
        <f>IF($C245="","",SUMIFS(Transaksi!$F$16:$F$5015,Transaksi!$G$16:$G$5015,$A245,Transaksi!$H$16:$H$5015,$B245,Transaksi!$I$16:$I$5015,$C245,Transaksi!$B$16:$B$5015,"&gt;="&amp;DATE(Dashboard!$C$4,1,1),Transaksi!$B$16:$B$5015,"&lt;="&amp;EOMONTH(DATE(Dashboard!$C$4,1,1),0)))</f>
        <v/>
      </c>
      <c r="E245" s="165">
        <f>IF($C245="","",SUMIFS(Transaksi!$F$16:$F$5015,Transaksi!$G$16:$G$5015,$A245,Transaksi!$H$16:$H$5015,$B245,Transaksi!$I$16:$I$5015,$C245,Transaksi!$B$16:$B$5015,"&gt;="&amp;DATE(Dashboard!$C$4,2,1),Transaksi!$B$16:$B$5015,"&lt;="&amp;EOMONTH(DATE(Dashboard!$C$4,2,1),0)))</f>
        <v/>
      </c>
      <c r="F245" s="165">
        <f>IF($C245="","",SUMIFS(Transaksi!$F$16:$F$5015,Transaksi!$G$16:$G$5015,$A245,Transaksi!$H$16:$H$5015,$B245,Transaksi!$I$16:$I$5015,$C245,Transaksi!$B$16:$B$5015,"&gt;="&amp;DATE(Dashboard!$C$4,3,1),Transaksi!$B$16:$B$5015,"&lt;="&amp;EOMONTH(DATE(Dashboard!$C$4,3,1),0)))</f>
        <v/>
      </c>
      <c r="G245" s="165">
        <f>IF($C245="","",SUMIFS(Transaksi!$F$16:$F$5015,Transaksi!$G$16:$G$5015,$A245,Transaksi!$H$16:$H$5015,$B245,Transaksi!$I$16:$I$5015,$C245,Transaksi!$B$16:$B$5015,"&gt;="&amp;DATE(Dashboard!$C$4,4,1),Transaksi!$B$16:$B$5015,"&lt;="&amp;EOMONTH(DATE(Dashboard!$C$4,4,1),0)))</f>
        <v/>
      </c>
      <c r="H245" s="165">
        <f>IF($C245="","",SUMIFS(Transaksi!$F$16:$F$5015,Transaksi!$G$16:$G$5015,$A245,Transaksi!$H$16:$H$5015,$B245,Transaksi!$I$16:$I$5015,$C245,Transaksi!$B$16:$B$5015,"&gt;="&amp;DATE(Dashboard!$C$4,5,1),Transaksi!$B$16:$B$5015,"&lt;="&amp;EOMONTH(DATE(Dashboard!$C$4,5,1),0)))</f>
        <v/>
      </c>
      <c r="I245" s="165">
        <f>IF($C245="","",SUMIFS(Transaksi!$F$16:$F$5015,Transaksi!$G$16:$G$5015,$A245,Transaksi!$H$16:$H$5015,$B245,Transaksi!$I$16:$I$5015,$C245,Transaksi!$B$16:$B$5015,"&gt;="&amp;DATE(Dashboard!$C$4,6,1),Transaksi!$B$16:$B$5015,"&lt;="&amp;EOMONTH(DATE(Dashboard!$C$4,6,1),0)))</f>
        <v/>
      </c>
      <c r="J245" s="165">
        <f>IF($C245="","",SUMIFS(Transaksi!$F$16:$F$5015,Transaksi!$G$16:$G$5015,$A245,Transaksi!$H$16:$H$5015,$B245,Transaksi!$I$16:$I$5015,$C245,Transaksi!$B$16:$B$5015,"&gt;="&amp;DATE(Dashboard!$C$4,7,1),Transaksi!$B$16:$B$5015,"&lt;="&amp;EOMONTH(DATE(Dashboard!$C$4,7,1),0)))</f>
        <v/>
      </c>
      <c r="K245" s="165">
        <f>IF($C245="","",SUMIFS(Transaksi!$F$16:$F$5015,Transaksi!$G$16:$G$5015,$A245,Transaksi!$H$16:$H$5015,$B245,Transaksi!$I$16:$I$5015,$C245,Transaksi!$B$16:$B$5015,"&gt;="&amp;DATE(Dashboard!$C$4,8,1),Transaksi!$B$16:$B$5015,"&lt;="&amp;EOMONTH(DATE(Dashboard!$C$4,8,1),0)))</f>
        <v/>
      </c>
      <c r="L245" s="165">
        <f>IF($C245="","",SUMIFS(Transaksi!$F$16:$F$5015,Transaksi!$G$16:$G$5015,$A245,Transaksi!$H$16:$H$5015,$B245,Transaksi!$I$16:$I$5015,$C245,Transaksi!$B$16:$B$5015,"&gt;="&amp;DATE(Dashboard!$C$4,9,1),Transaksi!$B$16:$B$5015,"&lt;="&amp;EOMONTH(DATE(Dashboard!$C$4,9,1),0)))</f>
        <v/>
      </c>
      <c r="M245" s="165">
        <f>IF($C245="","",SUMIFS(Transaksi!$F$16:$F$5015,Transaksi!$G$16:$G$5015,$A245,Transaksi!$H$16:$H$5015,$B245,Transaksi!$I$16:$I$5015,$C245,Transaksi!$B$16:$B$5015,"&gt;="&amp;DATE(Dashboard!$C$4,10,1),Transaksi!$B$16:$B$5015,"&lt;="&amp;EOMONTH(DATE(Dashboard!$C$4,10,1),0)))</f>
        <v/>
      </c>
      <c r="N245" s="165">
        <f>IF($C245="","",SUMIFS(Transaksi!$F$16:$F$5015,Transaksi!$G$16:$G$5015,$A245,Transaksi!$H$16:$H$5015,$B245,Transaksi!$I$16:$I$5015,$C245,Transaksi!$B$16:$B$5015,"&gt;="&amp;DATE(Dashboard!$C$4,11,1),Transaksi!$B$16:$B$5015,"&lt;="&amp;EOMONTH(DATE(Dashboard!$C$4,11,1),0)))</f>
        <v/>
      </c>
      <c r="O245" s="165">
        <f>IF($C245="","",SUMIFS(Transaksi!$F$16:$F$5015,Transaksi!$G$16:$G$5015,$A245,Transaksi!$H$16:$H$5015,$B245,Transaksi!$I$16:$I$5015,$C245,Transaksi!$B$16:$B$5015,"&gt;="&amp;DATE(Dashboard!$C$4,12,1),Transaksi!$B$16:$B$5015,"&lt;="&amp;EOMONTH(DATE(Dashboard!$C$4,12,1),0)))</f>
        <v/>
      </c>
      <c r="P245" s="166">
        <f>IF($C245="","",SUM(D245:O245))</f>
        <v/>
      </c>
    </row>
    <row r="246" ht="15" customHeight="1" s="94">
      <c r="A246" s="164">
        <f>IF(Kategori!C246="","",Kategori!A246)</f>
        <v/>
      </c>
      <c r="B246" s="164">
        <f>IF(Kategori!C246="","",Kategori!B246)</f>
        <v/>
      </c>
      <c r="C246" s="108">
        <f>IF(Kategori!C246="","",Kategori!C246)</f>
        <v/>
      </c>
      <c r="D246" s="165">
        <f>IF($C246="","",SUMIFS(Transaksi!$F$16:$F$5015,Transaksi!$G$16:$G$5015,$A246,Transaksi!$H$16:$H$5015,$B246,Transaksi!$I$16:$I$5015,$C246,Transaksi!$B$16:$B$5015,"&gt;="&amp;DATE(Dashboard!$C$4,1,1),Transaksi!$B$16:$B$5015,"&lt;="&amp;EOMONTH(DATE(Dashboard!$C$4,1,1),0)))</f>
        <v/>
      </c>
      <c r="E246" s="165">
        <f>IF($C246="","",SUMIFS(Transaksi!$F$16:$F$5015,Transaksi!$G$16:$G$5015,$A246,Transaksi!$H$16:$H$5015,$B246,Transaksi!$I$16:$I$5015,$C246,Transaksi!$B$16:$B$5015,"&gt;="&amp;DATE(Dashboard!$C$4,2,1),Transaksi!$B$16:$B$5015,"&lt;="&amp;EOMONTH(DATE(Dashboard!$C$4,2,1),0)))</f>
        <v/>
      </c>
      <c r="F246" s="165">
        <f>IF($C246="","",SUMIFS(Transaksi!$F$16:$F$5015,Transaksi!$G$16:$G$5015,$A246,Transaksi!$H$16:$H$5015,$B246,Transaksi!$I$16:$I$5015,$C246,Transaksi!$B$16:$B$5015,"&gt;="&amp;DATE(Dashboard!$C$4,3,1),Transaksi!$B$16:$B$5015,"&lt;="&amp;EOMONTH(DATE(Dashboard!$C$4,3,1),0)))</f>
        <v/>
      </c>
      <c r="G246" s="165">
        <f>IF($C246="","",SUMIFS(Transaksi!$F$16:$F$5015,Transaksi!$G$16:$G$5015,$A246,Transaksi!$H$16:$H$5015,$B246,Transaksi!$I$16:$I$5015,$C246,Transaksi!$B$16:$B$5015,"&gt;="&amp;DATE(Dashboard!$C$4,4,1),Transaksi!$B$16:$B$5015,"&lt;="&amp;EOMONTH(DATE(Dashboard!$C$4,4,1),0)))</f>
        <v/>
      </c>
      <c r="H246" s="165">
        <f>IF($C246="","",SUMIFS(Transaksi!$F$16:$F$5015,Transaksi!$G$16:$G$5015,$A246,Transaksi!$H$16:$H$5015,$B246,Transaksi!$I$16:$I$5015,$C246,Transaksi!$B$16:$B$5015,"&gt;="&amp;DATE(Dashboard!$C$4,5,1),Transaksi!$B$16:$B$5015,"&lt;="&amp;EOMONTH(DATE(Dashboard!$C$4,5,1),0)))</f>
        <v/>
      </c>
      <c r="I246" s="165">
        <f>IF($C246="","",SUMIFS(Transaksi!$F$16:$F$5015,Transaksi!$G$16:$G$5015,$A246,Transaksi!$H$16:$H$5015,$B246,Transaksi!$I$16:$I$5015,$C246,Transaksi!$B$16:$B$5015,"&gt;="&amp;DATE(Dashboard!$C$4,6,1),Transaksi!$B$16:$B$5015,"&lt;="&amp;EOMONTH(DATE(Dashboard!$C$4,6,1),0)))</f>
        <v/>
      </c>
      <c r="J246" s="165">
        <f>IF($C246="","",SUMIFS(Transaksi!$F$16:$F$5015,Transaksi!$G$16:$G$5015,$A246,Transaksi!$H$16:$H$5015,$B246,Transaksi!$I$16:$I$5015,$C246,Transaksi!$B$16:$B$5015,"&gt;="&amp;DATE(Dashboard!$C$4,7,1),Transaksi!$B$16:$B$5015,"&lt;="&amp;EOMONTH(DATE(Dashboard!$C$4,7,1),0)))</f>
        <v/>
      </c>
      <c r="K246" s="165">
        <f>IF($C246="","",SUMIFS(Transaksi!$F$16:$F$5015,Transaksi!$G$16:$G$5015,$A246,Transaksi!$H$16:$H$5015,$B246,Transaksi!$I$16:$I$5015,$C246,Transaksi!$B$16:$B$5015,"&gt;="&amp;DATE(Dashboard!$C$4,8,1),Transaksi!$B$16:$B$5015,"&lt;="&amp;EOMONTH(DATE(Dashboard!$C$4,8,1),0)))</f>
        <v/>
      </c>
      <c r="L246" s="165">
        <f>IF($C246="","",SUMIFS(Transaksi!$F$16:$F$5015,Transaksi!$G$16:$G$5015,$A246,Transaksi!$H$16:$H$5015,$B246,Transaksi!$I$16:$I$5015,$C246,Transaksi!$B$16:$B$5015,"&gt;="&amp;DATE(Dashboard!$C$4,9,1),Transaksi!$B$16:$B$5015,"&lt;="&amp;EOMONTH(DATE(Dashboard!$C$4,9,1),0)))</f>
        <v/>
      </c>
      <c r="M246" s="165">
        <f>IF($C246="","",SUMIFS(Transaksi!$F$16:$F$5015,Transaksi!$G$16:$G$5015,$A246,Transaksi!$H$16:$H$5015,$B246,Transaksi!$I$16:$I$5015,$C246,Transaksi!$B$16:$B$5015,"&gt;="&amp;DATE(Dashboard!$C$4,10,1),Transaksi!$B$16:$B$5015,"&lt;="&amp;EOMONTH(DATE(Dashboard!$C$4,10,1),0)))</f>
        <v/>
      </c>
      <c r="N246" s="165">
        <f>IF($C246="","",SUMIFS(Transaksi!$F$16:$F$5015,Transaksi!$G$16:$G$5015,$A246,Transaksi!$H$16:$H$5015,$B246,Transaksi!$I$16:$I$5015,$C246,Transaksi!$B$16:$B$5015,"&gt;="&amp;DATE(Dashboard!$C$4,11,1),Transaksi!$B$16:$B$5015,"&lt;="&amp;EOMONTH(DATE(Dashboard!$C$4,11,1),0)))</f>
        <v/>
      </c>
      <c r="O246" s="165">
        <f>IF($C246="","",SUMIFS(Transaksi!$F$16:$F$5015,Transaksi!$G$16:$G$5015,$A246,Transaksi!$H$16:$H$5015,$B246,Transaksi!$I$16:$I$5015,$C246,Transaksi!$B$16:$B$5015,"&gt;="&amp;DATE(Dashboard!$C$4,12,1),Transaksi!$B$16:$B$5015,"&lt;="&amp;EOMONTH(DATE(Dashboard!$C$4,12,1),0)))</f>
        <v/>
      </c>
      <c r="P246" s="166">
        <f>IF($C246="","",SUM(D246:O246))</f>
        <v/>
      </c>
    </row>
    <row r="247" ht="15" customHeight="1" s="94">
      <c r="A247" s="164">
        <f>IF(Kategori!C247="","",Kategori!A247)</f>
        <v/>
      </c>
      <c r="B247" s="164">
        <f>IF(Kategori!C247="","",Kategori!B247)</f>
        <v/>
      </c>
      <c r="C247" s="108">
        <f>IF(Kategori!C247="","",Kategori!C247)</f>
        <v/>
      </c>
      <c r="D247" s="165">
        <f>IF($C247="","",SUMIFS(Transaksi!$F$16:$F$5015,Transaksi!$G$16:$G$5015,$A247,Transaksi!$H$16:$H$5015,$B247,Transaksi!$I$16:$I$5015,$C247,Transaksi!$B$16:$B$5015,"&gt;="&amp;DATE(Dashboard!$C$4,1,1),Transaksi!$B$16:$B$5015,"&lt;="&amp;EOMONTH(DATE(Dashboard!$C$4,1,1),0)))</f>
        <v/>
      </c>
      <c r="E247" s="165">
        <f>IF($C247="","",SUMIFS(Transaksi!$F$16:$F$5015,Transaksi!$G$16:$G$5015,$A247,Transaksi!$H$16:$H$5015,$B247,Transaksi!$I$16:$I$5015,$C247,Transaksi!$B$16:$B$5015,"&gt;="&amp;DATE(Dashboard!$C$4,2,1),Transaksi!$B$16:$B$5015,"&lt;="&amp;EOMONTH(DATE(Dashboard!$C$4,2,1),0)))</f>
        <v/>
      </c>
      <c r="F247" s="165">
        <f>IF($C247="","",SUMIFS(Transaksi!$F$16:$F$5015,Transaksi!$G$16:$G$5015,$A247,Transaksi!$H$16:$H$5015,$B247,Transaksi!$I$16:$I$5015,$C247,Transaksi!$B$16:$B$5015,"&gt;="&amp;DATE(Dashboard!$C$4,3,1),Transaksi!$B$16:$B$5015,"&lt;="&amp;EOMONTH(DATE(Dashboard!$C$4,3,1),0)))</f>
        <v/>
      </c>
      <c r="G247" s="165">
        <f>IF($C247="","",SUMIFS(Transaksi!$F$16:$F$5015,Transaksi!$G$16:$G$5015,$A247,Transaksi!$H$16:$H$5015,$B247,Transaksi!$I$16:$I$5015,$C247,Transaksi!$B$16:$B$5015,"&gt;="&amp;DATE(Dashboard!$C$4,4,1),Transaksi!$B$16:$B$5015,"&lt;="&amp;EOMONTH(DATE(Dashboard!$C$4,4,1),0)))</f>
        <v/>
      </c>
      <c r="H247" s="165">
        <f>IF($C247="","",SUMIFS(Transaksi!$F$16:$F$5015,Transaksi!$G$16:$G$5015,$A247,Transaksi!$H$16:$H$5015,$B247,Transaksi!$I$16:$I$5015,$C247,Transaksi!$B$16:$B$5015,"&gt;="&amp;DATE(Dashboard!$C$4,5,1),Transaksi!$B$16:$B$5015,"&lt;="&amp;EOMONTH(DATE(Dashboard!$C$4,5,1),0)))</f>
        <v/>
      </c>
      <c r="I247" s="165">
        <f>IF($C247="","",SUMIFS(Transaksi!$F$16:$F$5015,Transaksi!$G$16:$G$5015,$A247,Transaksi!$H$16:$H$5015,$B247,Transaksi!$I$16:$I$5015,$C247,Transaksi!$B$16:$B$5015,"&gt;="&amp;DATE(Dashboard!$C$4,6,1),Transaksi!$B$16:$B$5015,"&lt;="&amp;EOMONTH(DATE(Dashboard!$C$4,6,1),0)))</f>
        <v/>
      </c>
      <c r="J247" s="165">
        <f>IF($C247="","",SUMIFS(Transaksi!$F$16:$F$5015,Transaksi!$G$16:$G$5015,$A247,Transaksi!$H$16:$H$5015,$B247,Transaksi!$I$16:$I$5015,$C247,Transaksi!$B$16:$B$5015,"&gt;="&amp;DATE(Dashboard!$C$4,7,1),Transaksi!$B$16:$B$5015,"&lt;="&amp;EOMONTH(DATE(Dashboard!$C$4,7,1),0)))</f>
        <v/>
      </c>
      <c r="K247" s="165">
        <f>IF($C247="","",SUMIFS(Transaksi!$F$16:$F$5015,Transaksi!$G$16:$G$5015,$A247,Transaksi!$H$16:$H$5015,$B247,Transaksi!$I$16:$I$5015,$C247,Transaksi!$B$16:$B$5015,"&gt;="&amp;DATE(Dashboard!$C$4,8,1),Transaksi!$B$16:$B$5015,"&lt;="&amp;EOMONTH(DATE(Dashboard!$C$4,8,1),0)))</f>
        <v/>
      </c>
      <c r="L247" s="165">
        <f>IF($C247="","",SUMIFS(Transaksi!$F$16:$F$5015,Transaksi!$G$16:$G$5015,$A247,Transaksi!$H$16:$H$5015,$B247,Transaksi!$I$16:$I$5015,$C247,Transaksi!$B$16:$B$5015,"&gt;="&amp;DATE(Dashboard!$C$4,9,1),Transaksi!$B$16:$B$5015,"&lt;="&amp;EOMONTH(DATE(Dashboard!$C$4,9,1),0)))</f>
        <v/>
      </c>
      <c r="M247" s="165">
        <f>IF($C247="","",SUMIFS(Transaksi!$F$16:$F$5015,Transaksi!$G$16:$G$5015,$A247,Transaksi!$H$16:$H$5015,$B247,Transaksi!$I$16:$I$5015,$C247,Transaksi!$B$16:$B$5015,"&gt;="&amp;DATE(Dashboard!$C$4,10,1),Transaksi!$B$16:$B$5015,"&lt;="&amp;EOMONTH(DATE(Dashboard!$C$4,10,1),0)))</f>
        <v/>
      </c>
      <c r="N247" s="165">
        <f>IF($C247="","",SUMIFS(Transaksi!$F$16:$F$5015,Transaksi!$G$16:$G$5015,$A247,Transaksi!$H$16:$H$5015,$B247,Transaksi!$I$16:$I$5015,$C247,Transaksi!$B$16:$B$5015,"&gt;="&amp;DATE(Dashboard!$C$4,11,1),Transaksi!$B$16:$B$5015,"&lt;="&amp;EOMONTH(DATE(Dashboard!$C$4,11,1),0)))</f>
        <v/>
      </c>
      <c r="O247" s="165">
        <f>IF($C247="","",SUMIFS(Transaksi!$F$16:$F$5015,Transaksi!$G$16:$G$5015,$A247,Transaksi!$H$16:$H$5015,$B247,Transaksi!$I$16:$I$5015,$C247,Transaksi!$B$16:$B$5015,"&gt;="&amp;DATE(Dashboard!$C$4,12,1),Transaksi!$B$16:$B$5015,"&lt;="&amp;EOMONTH(DATE(Dashboard!$C$4,12,1),0)))</f>
        <v/>
      </c>
      <c r="P247" s="166">
        <f>IF($C247="","",SUM(D247:O247))</f>
        <v/>
      </c>
    </row>
    <row r="248" ht="15" customHeight="1" s="94">
      <c r="A248" s="164">
        <f>IF(Kategori!C248="","",Kategori!A248)</f>
        <v/>
      </c>
      <c r="B248" s="164">
        <f>IF(Kategori!C248="","",Kategori!B248)</f>
        <v/>
      </c>
      <c r="C248" s="108">
        <f>IF(Kategori!C248="","",Kategori!C248)</f>
        <v/>
      </c>
      <c r="D248" s="165">
        <f>IF($C248="","",SUMIFS(Transaksi!$F$16:$F$5015,Transaksi!$G$16:$G$5015,$A248,Transaksi!$H$16:$H$5015,$B248,Transaksi!$I$16:$I$5015,$C248,Transaksi!$B$16:$B$5015,"&gt;="&amp;DATE(Dashboard!$C$4,1,1),Transaksi!$B$16:$B$5015,"&lt;="&amp;EOMONTH(DATE(Dashboard!$C$4,1,1),0)))</f>
        <v/>
      </c>
      <c r="E248" s="165">
        <f>IF($C248="","",SUMIFS(Transaksi!$F$16:$F$5015,Transaksi!$G$16:$G$5015,$A248,Transaksi!$H$16:$H$5015,$B248,Transaksi!$I$16:$I$5015,$C248,Transaksi!$B$16:$B$5015,"&gt;="&amp;DATE(Dashboard!$C$4,2,1),Transaksi!$B$16:$B$5015,"&lt;="&amp;EOMONTH(DATE(Dashboard!$C$4,2,1),0)))</f>
        <v/>
      </c>
      <c r="F248" s="165">
        <f>IF($C248="","",SUMIFS(Transaksi!$F$16:$F$5015,Transaksi!$G$16:$G$5015,$A248,Transaksi!$H$16:$H$5015,$B248,Transaksi!$I$16:$I$5015,$C248,Transaksi!$B$16:$B$5015,"&gt;="&amp;DATE(Dashboard!$C$4,3,1),Transaksi!$B$16:$B$5015,"&lt;="&amp;EOMONTH(DATE(Dashboard!$C$4,3,1),0)))</f>
        <v/>
      </c>
      <c r="G248" s="165">
        <f>IF($C248="","",SUMIFS(Transaksi!$F$16:$F$5015,Transaksi!$G$16:$G$5015,$A248,Transaksi!$H$16:$H$5015,$B248,Transaksi!$I$16:$I$5015,$C248,Transaksi!$B$16:$B$5015,"&gt;="&amp;DATE(Dashboard!$C$4,4,1),Transaksi!$B$16:$B$5015,"&lt;="&amp;EOMONTH(DATE(Dashboard!$C$4,4,1),0)))</f>
        <v/>
      </c>
      <c r="H248" s="165">
        <f>IF($C248="","",SUMIFS(Transaksi!$F$16:$F$5015,Transaksi!$G$16:$G$5015,$A248,Transaksi!$H$16:$H$5015,$B248,Transaksi!$I$16:$I$5015,$C248,Transaksi!$B$16:$B$5015,"&gt;="&amp;DATE(Dashboard!$C$4,5,1),Transaksi!$B$16:$B$5015,"&lt;="&amp;EOMONTH(DATE(Dashboard!$C$4,5,1),0)))</f>
        <v/>
      </c>
      <c r="I248" s="165">
        <f>IF($C248="","",SUMIFS(Transaksi!$F$16:$F$5015,Transaksi!$G$16:$G$5015,$A248,Transaksi!$H$16:$H$5015,$B248,Transaksi!$I$16:$I$5015,$C248,Transaksi!$B$16:$B$5015,"&gt;="&amp;DATE(Dashboard!$C$4,6,1),Transaksi!$B$16:$B$5015,"&lt;="&amp;EOMONTH(DATE(Dashboard!$C$4,6,1),0)))</f>
        <v/>
      </c>
      <c r="J248" s="165">
        <f>IF($C248="","",SUMIFS(Transaksi!$F$16:$F$5015,Transaksi!$G$16:$G$5015,$A248,Transaksi!$H$16:$H$5015,$B248,Transaksi!$I$16:$I$5015,$C248,Transaksi!$B$16:$B$5015,"&gt;="&amp;DATE(Dashboard!$C$4,7,1),Transaksi!$B$16:$B$5015,"&lt;="&amp;EOMONTH(DATE(Dashboard!$C$4,7,1),0)))</f>
        <v/>
      </c>
      <c r="K248" s="165">
        <f>IF($C248="","",SUMIFS(Transaksi!$F$16:$F$5015,Transaksi!$G$16:$G$5015,$A248,Transaksi!$H$16:$H$5015,$B248,Transaksi!$I$16:$I$5015,$C248,Transaksi!$B$16:$B$5015,"&gt;="&amp;DATE(Dashboard!$C$4,8,1),Transaksi!$B$16:$B$5015,"&lt;="&amp;EOMONTH(DATE(Dashboard!$C$4,8,1),0)))</f>
        <v/>
      </c>
      <c r="L248" s="165">
        <f>IF($C248="","",SUMIFS(Transaksi!$F$16:$F$5015,Transaksi!$G$16:$G$5015,$A248,Transaksi!$H$16:$H$5015,$B248,Transaksi!$I$16:$I$5015,$C248,Transaksi!$B$16:$B$5015,"&gt;="&amp;DATE(Dashboard!$C$4,9,1),Transaksi!$B$16:$B$5015,"&lt;="&amp;EOMONTH(DATE(Dashboard!$C$4,9,1),0)))</f>
        <v/>
      </c>
      <c r="M248" s="165">
        <f>IF($C248="","",SUMIFS(Transaksi!$F$16:$F$5015,Transaksi!$G$16:$G$5015,$A248,Transaksi!$H$16:$H$5015,$B248,Transaksi!$I$16:$I$5015,$C248,Transaksi!$B$16:$B$5015,"&gt;="&amp;DATE(Dashboard!$C$4,10,1),Transaksi!$B$16:$B$5015,"&lt;="&amp;EOMONTH(DATE(Dashboard!$C$4,10,1),0)))</f>
        <v/>
      </c>
      <c r="N248" s="165">
        <f>IF($C248="","",SUMIFS(Transaksi!$F$16:$F$5015,Transaksi!$G$16:$G$5015,$A248,Transaksi!$H$16:$H$5015,$B248,Transaksi!$I$16:$I$5015,$C248,Transaksi!$B$16:$B$5015,"&gt;="&amp;DATE(Dashboard!$C$4,11,1),Transaksi!$B$16:$B$5015,"&lt;="&amp;EOMONTH(DATE(Dashboard!$C$4,11,1),0)))</f>
        <v/>
      </c>
      <c r="O248" s="165">
        <f>IF($C248="","",SUMIFS(Transaksi!$F$16:$F$5015,Transaksi!$G$16:$G$5015,$A248,Transaksi!$H$16:$H$5015,$B248,Transaksi!$I$16:$I$5015,$C248,Transaksi!$B$16:$B$5015,"&gt;="&amp;DATE(Dashboard!$C$4,12,1),Transaksi!$B$16:$B$5015,"&lt;="&amp;EOMONTH(DATE(Dashboard!$C$4,12,1),0)))</f>
        <v/>
      </c>
      <c r="P248" s="166">
        <f>IF($C248="","",SUM(D248:O248))</f>
        <v/>
      </c>
    </row>
    <row r="249" ht="15" customHeight="1" s="94">
      <c r="A249" s="164">
        <f>IF(Kategori!C249="","",Kategori!A249)</f>
        <v/>
      </c>
      <c r="B249" s="164">
        <f>IF(Kategori!C249="","",Kategori!B249)</f>
        <v/>
      </c>
      <c r="C249" s="108">
        <f>IF(Kategori!C249="","",Kategori!C249)</f>
        <v/>
      </c>
      <c r="D249" s="165">
        <f>IF($C249="","",SUMIFS(Transaksi!$F$16:$F$5015,Transaksi!$G$16:$G$5015,$A249,Transaksi!$H$16:$H$5015,$B249,Transaksi!$I$16:$I$5015,$C249,Transaksi!$B$16:$B$5015,"&gt;="&amp;DATE(Dashboard!$C$4,1,1),Transaksi!$B$16:$B$5015,"&lt;="&amp;EOMONTH(DATE(Dashboard!$C$4,1,1),0)))</f>
        <v/>
      </c>
      <c r="E249" s="165">
        <f>IF($C249="","",SUMIFS(Transaksi!$F$16:$F$5015,Transaksi!$G$16:$G$5015,$A249,Transaksi!$H$16:$H$5015,$B249,Transaksi!$I$16:$I$5015,$C249,Transaksi!$B$16:$B$5015,"&gt;="&amp;DATE(Dashboard!$C$4,2,1),Transaksi!$B$16:$B$5015,"&lt;="&amp;EOMONTH(DATE(Dashboard!$C$4,2,1),0)))</f>
        <v/>
      </c>
      <c r="F249" s="165">
        <f>IF($C249="","",SUMIFS(Transaksi!$F$16:$F$5015,Transaksi!$G$16:$G$5015,$A249,Transaksi!$H$16:$H$5015,$B249,Transaksi!$I$16:$I$5015,$C249,Transaksi!$B$16:$B$5015,"&gt;="&amp;DATE(Dashboard!$C$4,3,1),Transaksi!$B$16:$B$5015,"&lt;="&amp;EOMONTH(DATE(Dashboard!$C$4,3,1),0)))</f>
        <v/>
      </c>
      <c r="G249" s="165">
        <f>IF($C249="","",SUMIFS(Transaksi!$F$16:$F$5015,Transaksi!$G$16:$G$5015,$A249,Transaksi!$H$16:$H$5015,$B249,Transaksi!$I$16:$I$5015,$C249,Transaksi!$B$16:$B$5015,"&gt;="&amp;DATE(Dashboard!$C$4,4,1),Transaksi!$B$16:$B$5015,"&lt;="&amp;EOMONTH(DATE(Dashboard!$C$4,4,1),0)))</f>
        <v/>
      </c>
      <c r="H249" s="165">
        <f>IF($C249="","",SUMIFS(Transaksi!$F$16:$F$5015,Transaksi!$G$16:$G$5015,$A249,Transaksi!$H$16:$H$5015,$B249,Transaksi!$I$16:$I$5015,$C249,Transaksi!$B$16:$B$5015,"&gt;="&amp;DATE(Dashboard!$C$4,5,1),Transaksi!$B$16:$B$5015,"&lt;="&amp;EOMONTH(DATE(Dashboard!$C$4,5,1),0)))</f>
        <v/>
      </c>
      <c r="I249" s="165">
        <f>IF($C249="","",SUMIFS(Transaksi!$F$16:$F$5015,Transaksi!$G$16:$G$5015,$A249,Transaksi!$H$16:$H$5015,$B249,Transaksi!$I$16:$I$5015,$C249,Transaksi!$B$16:$B$5015,"&gt;="&amp;DATE(Dashboard!$C$4,6,1),Transaksi!$B$16:$B$5015,"&lt;="&amp;EOMONTH(DATE(Dashboard!$C$4,6,1),0)))</f>
        <v/>
      </c>
      <c r="J249" s="165">
        <f>IF($C249="","",SUMIFS(Transaksi!$F$16:$F$5015,Transaksi!$G$16:$G$5015,$A249,Transaksi!$H$16:$H$5015,$B249,Transaksi!$I$16:$I$5015,$C249,Transaksi!$B$16:$B$5015,"&gt;="&amp;DATE(Dashboard!$C$4,7,1),Transaksi!$B$16:$B$5015,"&lt;="&amp;EOMONTH(DATE(Dashboard!$C$4,7,1),0)))</f>
        <v/>
      </c>
      <c r="K249" s="165">
        <f>IF($C249="","",SUMIFS(Transaksi!$F$16:$F$5015,Transaksi!$G$16:$G$5015,$A249,Transaksi!$H$16:$H$5015,$B249,Transaksi!$I$16:$I$5015,$C249,Transaksi!$B$16:$B$5015,"&gt;="&amp;DATE(Dashboard!$C$4,8,1),Transaksi!$B$16:$B$5015,"&lt;="&amp;EOMONTH(DATE(Dashboard!$C$4,8,1),0)))</f>
        <v/>
      </c>
      <c r="L249" s="165">
        <f>IF($C249="","",SUMIFS(Transaksi!$F$16:$F$5015,Transaksi!$G$16:$G$5015,$A249,Transaksi!$H$16:$H$5015,$B249,Transaksi!$I$16:$I$5015,$C249,Transaksi!$B$16:$B$5015,"&gt;="&amp;DATE(Dashboard!$C$4,9,1),Transaksi!$B$16:$B$5015,"&lt;="&amp;EOMONTH(DATE(Dashboard!$C$4,9,1),0)))</f>
        <v/>
      </c>
      <c r="M249" s="165">
        <f>IF($C249="","",SUMIFS(Transaksi!$F$16:$F$5015,Transaksi!$G$16:$G$5015,$A249,Transaksi!$H$16:$H$5015,$B249,Transaksi!$I$16:$I$5015,$C249,Transaksi!$B$16:$B$5015,"&gt;="&amp;DATE(Dashboard!$C$4,10,1),Transaksi!$B$16:$B$5015,"&lt;="&amp;EOMONTH(DATE(Dashboard!$C$4,10,1),0)))</f>
        <v/>
      </c>
      <c r="N249" s="165">
        <f>IF($C249="","",SUMIFS(Transaksi!$F$16:$F$5015,Transaksi!$G$16:$G$5015,$A249,Transaksi!$H$16:$H$5015,$B249,Transaksi!$I$16:$I$5015,$C249,Transaksi!$B$16:$B$5015,"&gt;="&amp;DATE(Dashboard!$C$4,11,1),Transaksi!$B$16:$B$5015,"&lt;="&amp;EOMONTH(DATE(Dashboard!$C$4,11,1),0)))</f>
        <v/>
      </c>
      <c r="O249" s="165">
        <f>IF($C249="","",SUMIFS(Transaksi!$F$16:$F$5015,Transaksi!$G$16:$G$5015,$A249,Transaksi!$H$16:$H$5015,$B249,Transaksi!$I$16:$I$5015,$C249,Transaksi!$B$16:$B$5015,"&gt;="&amp;DATE(Dashboard!$C$4,12,1),Transaksi!$B$16:$B$5015,"&lt;="&amp;EOMONTH(DATE(Dashboard!$C$4,12,1),0)))</f>
        <v/>
      </c>
      <c r="P249" s="166">
        <f>IF($C249="","",SUM(D249:O249))</f>
        <v/>
      </c>
    </row>
    <row r="250" ht="15" customHeight="1" s="94">
      <c r="A250" s="164">
        <f>IF(Kategori!C250="","",Kategori!A250)</f>
        <v/>
      </c>
      <c r="B250" s="164">
        <f>IF(Kategori!C250="","",Kategori!B250)</f>
        <v/>
      </c>
      <c r="C250" s="108">
        <f>IF(Kategori!C250="","",Kategori!C250)</f>
        <v/>
      </c>
      <c r="D250" s="165">
        <f>IF($C250="","",SUMIFS(Transaksi!$F$16:$F$5015,Transaksi!$G$16:$G$5015,$A250,Transaksi!$H$16:$H$5015,$B250,Transaksi!$I$16:$I$5015,$C250,Transaksi!$B$16:$B$5015,"&gt;="&amp;DATE(Dashboard!$C$4,1,1),Transaksi!$B$16:$B$5015,"&lt;="&amp;EOMONTH(DATE(Dashboard!$C$4,1,1),0)))</f>
        <v/>
      </c>
      <c r="E250" s="165">
        <f>IF($C250="","",SUMIFS(Transaksi!$F$16:$F$5015,Transaksi!$G$16:$G$5015,$A250,Transaksi!$H$16:$H$5015,$B250,Transaksi!$I$16:$I$5015,$C250,Transaksi!$B$16:$B$5015,"&gt;="&amp;DATE(Dashboard!$C$4,2,1),Transaksi!$B$16:$B$5015,"&lt;="&amp;EOMONTH(DATE(Dashboard!$C$4,2,1),0)))</f>
        <v/>
      </c>
      <c r="F250" s="165">
        <f>IF($C250="","",SUMIFS(Transaksi!$F$16:$F$5015,Transaksi!$G$16:$G$5015,$A250,Transaksi!$H$16:$H$5015,$B250,Transaksi!$I$16:$I$5015,$C250,Transaksi!$B$16:$B$5015,"&gt;="&amp;DATE(Dashboard!$C$4,3,1),Transaksi!$B$16:$B$5015,"&lt;="&amp;EOMONTH(DATE(Dashboard!$C$4,3,1),0)))</f>
        <v/>
      </c>
      <c r="G250" s="165">
        <f>IF($C250="","",SUMIFS(Transaksi!$F$16:$F$5015,Transaksi!$G$16:$G$5015,$A250,Transaksi!$H$16:$H$5015,$B250,Transaksi!$I$16:$I$5015,$C250,Transaksi!$B$16:$B$5015,"&gt;="&amp;DATE(Dashboard!$C$4,4,1),Transaksi!$B$16:$B$5015,"&lt;="&amp;EOMONTH(DATE(Dashboard!$C$4,4,1),0)))</f>
        <v/>
      </c>
      <c r="H250" s="165">
        <f>IF($C250="","",SUMIFS(Transaksi!$F$16:$F$5015,Transaksi!$G$16:$G$5015,$A250,Transaksi!$H$16:$H$5015,$B250,Transaksi!$I$16:$I$5015,$C250,Transaksi!$B$16:$B$5015,"&gt;="&amp;DATE(Dashboard!$C$4,5,1),Transaksi!$B$16:$B$5015,"&lt;="&amp;EOMONTH(DATE(Dashboard!$C$4,5,1),0)))</f>
        <v/>
      </c>
      <c r="I250" s="165">
        <f>IF($C250="","",SUMIFS(Transaksi!$F$16:$F$5015,Transaksi!$G$16:$G$5015,$A250,Transaksi!$H$16:$H$5015,$B250,Transaksi!$I$16:$I$5015,$C250,Transaksi!$B$16:$B$5015,"&gt;="&amp;DATE(Dashboard!$C$4,6,1),Transaksi!$B$16:$B$5015,"&lt;="&amp;EOMONTH(DATE(Dashboard!$C$4,6,1),0)))</f>
        <v/>
      </c>
      <c r="J250" s="165">
        <f>IF($C250="","",SUMIFS(Transaksi!$F$16:$F$5015,Transaksi!$G$16:$G$5015,$A250,Transaksi!$H$16:$H$5015,$B250,Transaksi!$I$16:$I$5015,$C250,Transaksi!$B$16:$B$5015,"&gt;="&amp;DATE(Dashboard!$C$4,7,1),Transaksi!$B$16:$B$5015,"&lt;="&amp;EOMONTH(DATE(Dashboard!$C$4,7,1),0)))</f>
        <v/>
      </c>
      <c r="K250" s="165">
        <f>IF($C250="","",SUMIFS(Transaksi!$F$16:$F$5015,Transaksi!$G$16:$G$5015,$A250,Transaksi!$H$16:$H$5015,$B250,Transaksi!$I$16:$I$5015,$C250,Transaksi!$B$16:$B$5015,"&gt;="&amp;DATE(Dashboard!$C$4,8,1),Transaksi!$B$16:$B$5015,"&lt;="&amp;EOMONTH(DATE(Dashboard!$C$4,8,1),0)))</f>
        <v/>
      </c>
      <c r="L250" s="165">
        <f>IF($C250="","",SUMIFS(Transaksi!$F$16:$F$5015,Transaksi!$G$16:$G$5015,$A250,Transaksi!$H$16:$H$5015,$B250,Transaksi!$I$16:$I$5015,$C250,Transaksi!$B$16:$B$5015,"&gt;="&amp;DATE(Dashboard!$C$4,9,1),Transaksi!$B$16:$B$5015,"&lt;="&amp;EOMONTH(DATE(Dashboard!$C$4,9,1),0)))</f>
        <v/>
      </c>
      <c r="M250" s="165">
        <f>IF($C250="","",SUMIFS(Transaksi!$F$16:$F$5015,Transaksi!$G$16:$G$5015,$A250,Transaksi!$H$16:$H$5015,$B250,Transaksi!$I$16:$I$5015,$C250,Transaksi!$B$16:$B$5015,"&gt;="&amp;DATE(Dashboard!$C$4,10,1),Transaksi!$B$16:$B$5015,"&lt;="&amp;EOMONTH(DATE(Dashboard!$C$4,10,1),0)))</f>
        <v/>
      </c>
      <c r="N250" s="165">
        <f>IF($C250="","",SUMIFS(Transaksi!$F$16:$F$5015,Transaksi!$G$16:$G$5015,$A250,Transaksi!$H$16:$H$5015,$B250,Transaksi!$I$16:$I$5015,$C250,Transaksi!$B$16:$B$5015,"&gt;="&amp;DATE(Dashboard!$C$4,11,1),Transaksi!$B$16:$B$5015,"&lt;="&amp;EOMONTH(DATE(Dashboard!$C$4,11,1),0)))</f>
        <v/>
      </c>
      <c r="O250" s="165">
        <f>IF($C250="","",SUMIFS(Transaksi!$F$16:$F$5015,Transaksi!$G$16:$G$5015,$A250,Transaksi!$H$16:$H$5015,$B250,Transaksi!$I$16:$I$5015,$C250,Transaksi!$B$16:$B$5015,"&gt;="&amp;DATE(Dashboard!$C$4,12,1),Transaksi!$B$16:$B$5015,"&lt;="&amp;EOMONTH(DATE(Dashboard!$C$4,12,1),0)))</f>
        <v/>
      </c>
      <c r="P250" s="166">
        <f>IF($C250="","",SUM(D250:O250))</f>
        <v/>
      </c>
    </row>
    <row r="251" ht="15" customHeight="1" s="94">
      <c r="A251" s="164">
        <f>IF(Kategori!C251="","",Kategori!A251)</f>
        <v/>
      </c>
      <c r="B251" s="164">
        <f>IF(Kategori!C251="","",Kategori!B251)</f>
        <v/>
      </c>
      <c r="C251" s="108">
        <f>IF(Kategori!C251="","",Kategori!C251)</f>
        <v/>
      </c>
      <c r="D251" s="165">
        <f>IF($C251="","",SUMIFS(Transaksi!$F$16:$F$5015,Transaksi!$G$16:$G$5015,$A251,Transaksi!$H$16:$H$5015,$B251,Transaksi!$I$16:$I$5015,$C251,Transaksi!$B$16:$B$5015,"&gt;="&amp;DATE(Dashboard!$C$4,1,1),Transaksi!$B$16:$B$5015,"&lt;="&amp;EOMONTH(DATE(Dashboard!$C$4,1,1),0)))</f>
        <v/>
      </c>
      <c r="E251" s="165">
        <f>IF($C251="","",SUMIFS(Transaksi!$F$16:$F$5015,Transaksi!$G$16:$G$5015,$A251,Transaksi!$H$16:$H$5015,$B251,Transaksi!$I$16:$I$5015,$C251,Transaksi!$B$16:$B$5015,"&gt;="&amp;DATE(Dashboard!$C$4,2,1),Transaksi!$B$16:$B$5015,"&lt;="&amp;EOMONTH(DATE(Dashboard!$C$4,2,1),0)))</f>
        <v/>
      </c>
      <c r="F251" s="165">
        <f>IF($C251="","",SUMIFS(Transaksi!$F$16:$F$5015,Transaksi!$G$16:$G$5015,$A251,Transaksi!$H$16:$H$5015,$B251,Transaksi!$I$16:$I$5015,$C251,Transaksi!$B$16:$B$5015,"&gt;="&amp;DATE(Dashboard!$C$4,3,1),Transaksi!$B$16:$B$5015,"&lt;="&amp;EOMONTH(DATE(Dashboard!$C$4,3,1),0)))</f>
        <v/>
      </c>
      <c r="G251" s="165">
        <f>IF($C251="","",SUMIFS(Transaksi!$F$16:$F$5015,Transaksi!$G$16:$G$5015,$A251,Transaksi!$H$16:$H$5015,$B251,Transaksi!$I$16:$I$5015,$C251,Transaksi!$B$16:$B$5015,"&gt;="&amp;DATE(Dashboard!$C$4,4,1),Transaksi!$B$16:$B$5015,"&lt;="&amp;EOMONTH(DATE(Dashboard!$C$4,4,1),0)))</f>
        <v/>
      </c>
      <c r="H251" s="165">
        <f>IF($C251="","",SUMIFS(Transaksi!$F$16:$F$5015,Transaksi!$G$16:$G$5015,$A251,Transaksi!$H$16:$H$5015,$B251,Transaksi!$I$16:$I$5015,$C251,Transaksi!$B$16:$B$5015,"&gt;="&amp;DATE(Dashboard!$C$4,5,1),Transaksi!$B$16:$B$5015,"&lt;="&amp;EOMONTH(DATE(Dashboard!$C$4,5,1),0)))</f>
        <v/>
      </c>
      <c r="I251" s="165">
        <f>IF($C251="","",SUMIFS(Transaksi!$F$16:$F$5015,Transaksi!$G$16:$G$5015,$A251,Transaksi!$H$16:$H$5015,$B251,Transaksi!$I$16:$I$5015,$C251,Transaksi!$B$16:$B$5015,"&gt;="&amp;DATE(Dashboard!$C$4,6,1),Transaksi!$B$16:$B$5015,"&lt;="&amp;EOMONTH(DATE(Dashboard!$C$4,6,1),0)))</f>
        <v/>
      </c>
      <c r="J251" s="165">
        <f>IF($C251="","",SUMIFS(Transaksi!$F$16:$F$5015,Transaksi!$G$16:$G$5015,$A251,Transaksi!$H$16:$H$5015,$B251,Transaksi!$I$16:$I$5015,$C251,Transaksi!$B$16:$B$5015,"&gt;="&amp;DATE(Dashboard!$C$4,7,1),Transaksi!$B$16:$B$5015,"&lt;="&amp;EOMONTH(DATE(Dashboard!$C$4,7,1),0)))</f>
        <v/>
      </c>
      <c r="K251" s="165">
        <f>IF($C251="","",SUMIFS(Transaksi!$F$16:$F$5015,Transaksi!$G$16:$G$5015,$A251,Transaksi!$H$16:$H$5015,$B251,Transaksi!$I$16:$I$5015,$C251,Transaksi!$B$16:$B$5015,"&gt;="&amp;DATE(Dashboard!$C$4,8,1),Transaksi!$B$16:$B$5015,"&lt;="&amp;EOMONTH(DATE(Dashboard!$C$4,8,1),0)))</f>
        <v/>
      </c>
      <c r="L251" s="165">
        <f>IF($C251="","",SUMIFS(Transaksi!$F$16:$F$5015,Transaksi!$G$16:$G$5015,$A251,Transaksi!$H$16:$H$5015,$B251,Transaksi!$I$16:$I$5015,$C251,Transaksi!$B$16:$B$5015,"&gt;="&amp;DATE(Dashboard!$C$4,9,1),Transaksi!$B$16:$B$5015,"&lt;="&amp;EOMONTH(DATE(Dashboard!$C$4,9,1),0)))</f>
        <v/>
      </c>
      <c r="M251" s="165">
        <f>IF($C251="","",SUMIFS(Transaksi!$F$16:$F$5015,Transaksi!$G$16:$G$5015,$A251,Transaksi!$H$16:$H$5015,$B251,Transaksi!$I$16:$I$5015,$C251,Transaksi!$B$16:$B$5015,"&gt;="&amp;DATE(Dashboard!$C$4,10,1),Transaksi!$B$16:$B$5015,"&lt;="&amp;EOMONTH(DATE(Dashboard!$C$4,10,1),0)))</f>
        <v/>
      </c>
      <c r="N251" s="165">
        <f>IF($C251="","",SUMIFS(Transaksi!$F$16:$F$5015,Transaksi!$G$16:$G$5015,$A251,Transaksi!$H$16:$H$5015,$B251,Transaksi!$I$16:$I$5015,$C251,Transaksi!$B$16:$B$5015,"&gt;="&amp;DATE(Dashboard!$C$4,11,1),Transaksi!$B$16:$B$5015,"&lt;="&amp;EOMONTH(DATE(Dashboard!$C$4,11,1),0)))</f>
        <v/>
      </c>
      <c r="O251" s="165">
        <f>IF($C251="","",SUMIFS(Transaksi!$F$16:$F$5015,Transaksi!$G$16:$G$5015,$A251,Transaksi!$H$16:$H$5015,$B251,Transaksi!$I$16:$I$5015,$C251,Transaksi!$B$16:$B$5015,"&gt;="&amp;DATE(Dashboard!$C$4,12,1),Transaksi!$B$16:$B$5015,"&lt;="&amp;EOMONTH(DATE(Dashboard!$C$4,12,1),0)))</f>
        <v/>
      </c>
      <c r="P251" s="166">
        <f>IF($C251="","",SUM(D251:O251))</f>
        <v/>
      </c>
    </row>
    <row r="252" ht="15" customHeight="1" s="94">
      <c r="A252" s="164">
        <f>IF(Kategori!C252="","",Kategori!A252)</f>
        <v/>
      </c>
      <c r="B252" s="164">
        <f>IF(Kategori!C252="","",Kategori!B252)</f>
        <v/>
      </c>
      <c r="C252" s="108">
        <f>IF(Kategori!C252="","",Kategori!C252)</f>
        <v/>
      </c>
      <c r="D252" s="165">
        <f>IF($C252="","",SUMIFS(Transaksi!$F$16:$F$5015,Transaksi!$G$16:$G$5015,$A252,Transaksi!$H$16:$H$5015,$B252,Transaksi!$I$16:$I$5015,$C252,Transaksi!$B$16:$B$5015,"&gt;="&amp;DATE(Dashboard!$C$4,1,1),Transaksi!$B$16:$B$5015,"&lt;="&amp;EOMONTH(DATE(Dashboard!$C$4,1,1),0)))</f>
        <v/>
      </c>
      <c r="E252" s="165">
        <f>IF($C252="","",SUMIFS(Transaksi!$F$16:$F$5015,Transaksi!$G$16:$G$5015,$A252,Transaksi!$H$16:$H$5015,$B252,Transaksi!$I$16:$I$5015,$C252,Transaksi!$B$16:$B$5015,"&gt;="&amp;DATE(Dashboard!$C$4,2,1),Transaksi!$B$16:$B$5015,"&lt;="&amp;EOMONTH(DATE(Dashboard!$C$4,2,1),0)))</f>
        <v/>
      </c>
      <c r="F252" s="165">
        <f>IF($C252="","",SUMIFS(Transaksi!$F$16:$F$5015,Transaksi!$G$16:$G$5015,$A252,Transaksi!$H$16:$H$5015,$B252,Transaksi!$I$16:$I$5015,$C252,Transaksi!$B$16:$B$5015,"&gt;="&amp;DATE(Dashboard!$C$4,3,1),Transaksi!$B$16:$B$5015,"&lt;="&amp;EOMONTH(DATE(Dashboard!$C$4,3,1),0)))</f>
        <v/>
      </c>
      <c r="G252" s="165">
        <f>IF($C252="","",SUMIFS(Transaksi!$F$16:$F$5015,Transaksi!$G$16:$G$5015,$A252,Transaksi!$H$16:$H$5015,$B252,Transaksi!$I$16:$I$5015,$C252,Transaksi!$B$16:$B$5015,"&gt;="&amp;DATE(Dashboard!$C$4,4,1),Transaksi!$B$16:$B$5015,"&lt;="&amp;EOMONTH(DATE(Dashboard!$C$4,4,1),0)))</f>
        <v/>
      </c>
      <c r="H252" s="165">
        <f>IF($C252="","",SUMIFS(Transaksi!$F$16:$F$5015,Transaksi!$G$16:$G$5015,$A252,Transaksi!$H$16:$H$5015,$B252,Transaksi!$I$16:$I$5015,$C252,Transaksi!$B$16:$B$5015,"&gt;="&amp;DATE(Dashboard!$C$4,5,1),Transaksi!$B$16:$B$5015,"&lt;="&amp;EOMONTH(DATE(Dashboard!$C$4,5,1),0)))</f>
        <v/>
      </c>
      <c r="I252" s="165">
        <f>IF($C252="","",SUMIFS(Transaksi!$F$16:$F$5015,Transaksi!$G$16:$G$5015,$A252,Transaksi!$H$16:$H$5015,$B252,Transaksi!$I$16:$I$5015,$C252,Transaksi!$B$16:$B$5015,"&gt;="&amp;DATE(Dashboard!$C$4,6,1),Transaksi!$B$16:$B$5015,"&lt;="&amp;EOMONTH(DATE(Dashboard!$C$4,6,1),0)))</f>
        <v/>
      </c>
      <c r="J252" s="165">
        <f>IF($C252="","",SUMIFS(Transaksi!$F$16:$F$5015,Transaksi!$G$16:$G$5015,$A252,Transaksi!$H$16:$H$5015,$B252,Transaksi!$I$16:$I$5015,$C252,Transaksi!$B$16:$B$5015,"&gt;="&amp;DATE(Dashboard!$C$4,7,1),Transaksi!$B$16:$B$5015,"&lt;="&amp;EOMONTH(DATE(Dashboard!$C$4,7,1),0)))</f>
        <v/>
      </c>
      <c r="K252" s="165">
        <f>IF($C252="","",SUMIFS(Transaksi!$F$16:$F$5015,Transaksi!$G$16:$G$5015,$A252,Transaksi!$H$16:$H$5015,$B252,Transaksi!$I$16:$I$5015,$C252,Transaksi!$B$16:$B$5015,"&gt;="&amp;DATE(Dashboard!$C$4,8,1),Transaksi!$B$16:$B$5015,"&lt;="&amp;EOMONTH(DATE(Dashboard!$C$4,8,1),0)))</f>
        <v/>
      </c>
      <c r="L252" s="165">
        <f>IF($C252="","",SUMIFS(Transaksi!$F$16:$F$5015,Transaksi!$G$16:$G$5015,$A252,Transaksi!$H$16:$H$5015,$B252,Transaksi!$I$16:$I$5015,$C252,Transaksi!$B$16:$B$5015,"&gt;="&amp;DATE(Dashboard!$C$4,9,1),Transaksi!$B$16:$B$5015,"&lt;="&amp;EOMONTH(DATE(Dashboard!$C$4,9,1),0)))</f>
        <v/>
      </c>
      <c r="M252" s="165">
        <f>IF($C252="","",SUMIFS(Transaksi!$F$16:$F$5015,Transaksi!$G$16:$G$5015,$A252,Transaksi!$H$16:$H$5015,$B252,Transaksi!$I$16:$I$5015,$C252,Transaksi!$B$16:$B$5015,"&gt;="&amp;DATE(Dashboard!$C$4,10,1),Transaksi!$B$16:$B$5015,"&lt;="&amp;EOMONTH(DATE(Dashboard!$C$4,10,1),0)))</f>
        <v/>
      </c>
      <c r="N252" s="165">
        <f>IF($C252="","",SUMIFS(Transaksi!$F$16:$F$5015,Transaksi!$G$16:$G$5015,$A252,Transaksi!$H$16:$H$5015,$B252,Transaksi!$I$16:$I$5015,$C252,Transaksi!$B$16:$B$5015,"&gt;="&amp;DATE(Dashboard!$C$4,11,1),Transaksi!$B$16:$B$5015,"&lt;="&amp;EOMONTH(DATE(Dashboard!$C$4,11,1),0)))</f>
        <v/>
      </c>
      <c r="O252" s="165">
        <f>IF($C252="","",SUMIFS(Transaksi!$F$16:$F$5015,Transaksi!$G$16:$G$5015,$A252,Transaksi!$H$16:$H$5015,$B252,Transaksi!$I$16:$I$5015,$C252,Transaksi!$B$16:$B$5015,"&gt;="&amp;DATE(Dashboard!$C$4,12,1),Transaksi!$B$16:$B$5015,"&lt;="&amp;EOMONTH(DATE(Dashboard!$C$4,12,1),0)))</f>
        <v/>
      </c>
      <c r="P252" s="166">
        <f>IF($C252="","",SUM(D252:O252))</f>
        <v/>
      </c>
    </row>
    <row r="253" ht="15" customHeight="1" s="94">
      <c r="A253" s="164">
        <f>IF(Kategori!C253="","",Kategori!A253)</f>
        <v/>
      </c>
      <c r="B253" s="164">
        <f>IF(Kategori!C253="","",Kategori!B253)</f>
        <v/>
      </c>
      <c r="C253" s="108">
        <f>IF(Kategori!C253="","",Kategori!C253)</f>
        <v/>
      </c>
      <c r="D253" s="165">
        <f>IF($C253="","",SUMIFS(Transaksi!$F$16:$F$5015,Transaksi!$G$16:$G$5015,$A253,Transaksi!$H$16:$H$5015,$B253,Transaksi!$I$16:$I$5015,$C253,Transaksi!$B$16:$B$5015,"&gt;="&amp;DATE(Dashboard!$C$4,1,1),Transaksi!$B$16:$B$5015,"&lt;="&amp;EOMONTH(DATE(Dashboard!$C$4,1,1),0)))</f>
        <v/>
      </c>
      <c r="E253" s="165">
        <f>IF($C253="","",SUMIFS(Transaksi!$F$16:$F$5015,Transaksi!$G$16:$G$5015,$A253,Transaksi!$H$16:$H$5015,$B253,Transaksi!$I$16:$I$5015,$C253,Transaksi!$B$16:$B$5015,"&gt;="&amp;DATE(Dashboard!$C$4,2,1),Transaksi!$B$16:$B$5015,"&lt;="&amp;EOMONTH(DATE(Dashboard!$C$4,2,1),0)))</f>
        <v/>
      </c>
      <c r="F253" s="165">
        <f>IF($C253="","",SUMIFS(Transaksi!$F$16:$F$5015,Transaksi!$G$16:$G$5015,$A253,Transaksi!$H$16:$H$5015,$B253,Transaksi!$I$16:$I$5015,$C253,Transaksi!$B$16:$B$5015,"&gt;="&amp;DATE(Dashboard!$C$4,3,1),Transaksi!$B$16:$B$5015,"&lt;="&amp;EOMONTH(DATE(Dashboard!$C$4,3,1),0)))</f>
        <v/>
      </c>
      <c r="G253" s="165">
        <f>IF($C253="","",SUMIFS(Transaksi!$F$16:$F$5015,Transaksi!$G$16:$G$5015,$A253,Transaksi!$H$16:$H$5015,$B253,Transaksi!$I$16:$I$5015,$C253,Transaksi!$B$16:$B$5015,"&gt;="&amp;DATE(Dashboard!$C$4,4,1),Transaksi!$B$16:$B$5015,"&lt;="&amp;EOMONTH(DATE(Dashboard!$C$4,4,1),0)))</f>
        <v/>
      </c>
      <c r="H253" s="165">
        <f>IF($C253="","",SUMIFS(Transaksi!$F$16:$F$5015,Transaksi!$G$16:$G$5015,$A253,Transaksi!$H$16:$H$5015,$B253,Transaksi!$I$16:$I$5015,$C253,Transaksi!$B$16:$B$5015,"&gt;="&amp;DATE(Dashboard!$C$4,5,1),Transaksi!$B$16:$B$5015,"&lt;="&amp;EOMONTH(DATE(Dashboard!$C$4,5,1),0)))</f>
        <v/>
      </c>
      <c r="I253" s="165">
        <f>IF($C253="","",SUMIFS(Transaksi!$F$16:$F$5015,Transaksi!$G$16:$G$5015,$A253,Transaksi!$H$16:$H$5015,$B253,Transaksi!$I$16:$I$5015,$C253,Transaksi!$B$16:$B$5015,"&gt;="&amp;DATE(Dashboard!$C$4,6,1),Transaksi!$B$16:$B$5015,"&lt;="&amp;EOMONTH(DATE(Dashboard!$C$4,6,1),0)))</f>
        <v/>
      </c>
      <c r="J253" s="165">
        <f>IF($C253="","",SUMIFS(Transaksi!$F$16:$F$5015,Transaksi!$G$16:$G$5015,$A253,Transaksi!$H$16:$H$5015,$B253,Transaksi!$I$16:$I$5015,$C253,Transaksi!$B$16:$B$5015,"&gt;="&amp;DATE(Dashboard!$C$4,7,1),Transaksi!$B$16:$B$5015,"&lt;="&amp;EOMONTH(DATE(Dashboard!$C$4,7,1),0)))</f>
        <v/>
      </c>
      <c r="K253" s="165">
        <f>IF($C253="","",SUMIFS(Transaksi!$F$16:$F$5015,Transaksi!$G$16:$G$5015,$A253,Transaksi!$H$16:$H$5015,$B253,Transaksi!$I$16:$I$5015,$C253,Transaksi!$B$16:$B$5015,"&gt;="&amp;DATE(Dashboard!$C$4,8,1),Transaksi!$B$16:$B$5015,"&lt;="&amp;EOMONTH(DATE(Dashboard!$C$4,8,1),0)))</f>
        <v/>
      </c>
      <c r="L253" s="165">
        <f>IF($C253="","",SUMIFS(Transaksi!$F$16:$F$5015,Transaksi!$G$16:$G$5015,$A253,Transaksi!$H$16:$H$5015,$B253,Transaksi!$I$16:$I$5015,$C253,Transaksi!$B$16:$B$5015,"&gt;="&amp;DATE(Dashboard!$C$4,9,1),Transaksi!$B$16:$B$5015,"&lt;="&amp;EOMONTH(DATE(Dashboard!$C$4,9,1),0)))</f>
        <v/>
      </c>
      <c r="M253" s="165">
        <f>IF($C253="","",SUMIFS(Transaksi!$F$16:$F$5015,Transaksi!$G$16:$G$5015,$A253,Transaksi!$H$16:$H$5015,$B253,Transaksi!$I$16:$I$5015,$C253,Transaksi!$B$16:$B$5015,"&gt;="&amp;DATE(Dashboard!$C$4,10,1),Transaksi!$B$16:$B$5015,"&lt;="&amp;EOMONTH(DATE(Dashboard!$C$4,10,1),0)))</f>
        <v/>
      </c>
      <c r="N253" s="165">
        <f>IF($C253="","",SUMIFS(Transaksi!$F$16:$F$5015,Transaksi!$G$16:$G$5015,$A253,Transaksi!$H$16:$H$5015,$B253,Transaksi!$I$16:$I$5015,$C253,Transaksi!$B$16:$B$5015,"&gt;="&amp;DATE(Dashboard!$C$4,11,1),Transaksi!$B$16:$B$5015,"&lt;="&amp;EOMONTH(DATE(Dashboard!$C$4,11,1),0)))</f>
        <v/>
      </c>
      <c r="O253" s="165">
        <f>IF($C253="","",SUMIFS(Transaksi!$F$16:$F$5015,Transaksi!$G$16:$G$5015,$A253,Transaksi!$H$16:$H$5015,$B253,Transaksi!$I$16:$I$5015,$C253,Transaksi!$B$16:$B$5015,"&gt;="&amp;DATE(Dashboard!$C$4,12,1),Transaksi!$B$16:$B$5015,"&lt;="&amp;EOMONTH(DATE(Dashboard!$C$4,12,1),0)))</f>
        <v/>
      </c>
      <c r="P253" s="166">
        <f>IF($C253="","",SUM(D253:O253))</f>
        <v/>
      </c>
    </row>
    <row r="254" ht="15" customHeight="1" s="94">
      <c r="A254" s="164">
        <f>IF(Kategori!C254="","",Kategori!A254)</f>
        <v/>
      </c>
      <c r="B254" s="164">
        <f>IF(Kategori!C254="","",Kategori!B254)</f>
        <v/>
      </c>
      <c r="C254" s="108">
        <f>IF(Kategori!C254="","",Kategori!C254)</f>
        <v/>
      </c>
      <c r="D254" s="165">
        <f>IF($C254="","",SUMIFS(Transaksi!$F$16:$F$5015,Transaksi!$G$16:$G$5015,$A254,Transaksi!$H$16:$H$5015,$B254,Transaksi!$I$16:$I$5015,$C254,Transaksi!$B$16:$B$5015,"&gt;="&amp;DATE(Dashboard!$C$4,1,1),Transaksi!$B$16:$B$5015,"&lt;="&amp;EOMONTH(DATE(Dashboard!$C$4,1,1),0)))</f>
        <v/>
      </c>
      <c r="E254" s="165">
        <f>IF($C254="","",SUMIFS(Transaksi!$F$16:$F$5015,Transaksi!$G$16:$G$5015,$A254,Transaksi!$H$16:$H$5015,$B254,Transaksi!$I$16:$I$5015,$C254,Transaksi!$B$16:$B$5015,"&gt;="&amp;DATE(Dashboard!$C$4,2,1),Transaksi!$B$16:$B$5015,"&lt;="&amp;EOMONTH(DATE(Dashboard!$C$4,2,1),0)))</f>
        <v/>
      </c>
      <c r="F254" s="165">
        <f>IF($C254="","",SUMIFS(Transaksi!$F$16:$F$5015,Transaksi!$G$16:$G$5015,$A254,Transaksi!$H$16:$H$5015,$B254,Transaksi!$I$16:$I$5015,$C254,Transaksi!$B$16:$B$5015,"&gt;="&amp;DATE(Dashboard!$C$4,3,1),Transaksi!$B$16:$B$5015,"&lt;="&amp;EOMONTH(DATE(Dashboard!$C$4,3,1),0)))</f>
        <v/>
      </c>
      <c r="G254" s="165">
        <f>IF($C254="","",SUMIFS(Transaksi!$F$16:$F$5015,Transaksi!$G$16:$G$5015,$A254,Transaksi!$H$16:$H$5015,$B254,Transaksi!$I$16:$I$5015,$C254,Transaksi!$B$16:$B$5015,"&gt;="&amp;DATE(Dashboard!$C$4,4,1),Transaksi!$B$16:$B$5015,"&lt;="&amp;EOMONTH(DATE(Dashboard!$C$4,4,1),0)))</f>
        <v/>
      </c>
      <c r="H254" s="165">
        <f>IF($C254="","",SUMIFS(Transaksi!$F$16:$F$5015,Transaksi!$G$16:$G$5015,$A254,Transaksi!$H$16:$H$5015,$B254,Transaksi!$I$16:$I$5015,$C254,Transaksi!$B$16:$B$5015,"&gt;="&amp;DATE(Dashboard!$C$4,5,1),Transaksi!$B$16:$B$5015,"&lt;="&amp;EOMONTH(DATE(Dashboard!$C$4,5,1),0)))</f>
        <v/>
      </c>
      <c r="I254" s="165">
        <f>IF($C254="","",SUMIFS(Transaksi!$F$16:$F$5015,Transaksi!$G$16:$G$5015,$A254,Transaksi!$H$16:$H$5015,$B254,Transaksi!$I$16:$I$5015,$C254,Transaksi!$B$16:$B$5015,"&gt;="&amp;DATE(Dashboard!$C$4,6,1),Transaksi!$B$16:$B$5015,"&lt;="&amp;EOMONTH(DATE(Dashboard!$C$4,6,1),0)))</f>
        <v/>
      </c>
      <c r="J254" s="165">
        <f>IF($C254="","",SUMIFS(Transaksi!$F$16:$F$5015,Transaksi!$G$16:$G$5015,$A254,Transaksi!$H$16:$H$5015,$B254,Transaksi!$I$16:$I$5015,$C254,Transaksi!$B$16:$B$5015,"&gt;="&amp;DATE(Dashboard!$C$4,7,1),Transaksi!$B$16:$B$5015,"&lt;="&amp;EOMONTH(DATE(Dashboard!$C$4,7,1),0)))</f>
        <v/>
      </c>
      <c r="K254" s="165">
        <f>IF($C254="","",SUMIFS(Transaksi!$F$16:$F$5015,Transaksi!$G$16:$G$5015,$A254,Transaksi!$H$16:$H$5015,$B254,Transaksi!$I$16:$I$5015,$C254,Transaksi!$B$16:$B$5015,"&gt;="&amp;DATE(Dashboard!$C$4,8,1),Transaksi!$B$16:$B$5015,"&lt;="&amp;EOMONTH(DATE(Dashboard!$C$4,8,1),0)))</f>
        <v/>
      </c>
      <c r="L254" s="165">
        <f>IF($C254="","",SUMIFS(Transaksi!$F$16:$F$5015,Transaksi!$G$16:$G$5015,$A254,Transaksi!$H$16:$H$5015,$B254,Transaksi!$I$16:$I$5015,$C254,Transaksi!$B$16:$B$5015,"&gt;="&amp;DATE(Dashboard!$C$4,9,1),Transaksi!$B$16:$B$5015,"&lt;="&amp;EOMONTH(DATE(Dashboard!$C$4,9,1),0)))</f>
        <v/>
      </c>
      <c r="M254" s="165">
        <f>IF($C254="","",SUMIFS(Transaksi!$F$16:$F$5015,Transaksi!$G$16:$G$5015,$A254,Transaksi!$H$16:$H$5015,$B254,Transaksi!$I$16:$I$5015,$C254,Transaksi!$B$16:$B$5015,"&gt;="&amp;DATE(Dashboard!$C$4,10,1),Transaksi!$B$16:$B$5015,"&lt;="&amp;EOMONTH(DATE(Dashboard!$C$4,10,1),0)))</f>
        <v/>
      </c>
      <c r="N254" s="165">
        <f>IF($C254="","",SUMIFS(Transaksi!$F$16:$F$5015,Transaksi!$G$16:$G$5015,$A254,Transaksi!$H$16:$H$5015,$B254,Transaksi!$I$16:$I$5015,$C254,Transaksi!$B$16:$B$5015,"&gt;="&amp;DATE(Dashboard!$C$4,11,1),Transaksi!$B$16:$B$5015,"&lt;="&amp;EOMONTH(DATE(Dashboard!$C$4,11,1),0)))</f>
        <v/>
      </c>
      <c r="O254" s="165">
        <f>IF($C254="","",SUMIFS(Transaksi!$F$16:$F$5015,Transaksi!$G$16:$G$5015,$A254,Transaksi!$H$16:$H$5015,$B254,Transaksi!$I$16:$I$5015,$C254,Transaksi!$B$16:$B$5015,"&gt;="&amp;DATE(Dashboard!$C$4,12,1),Transaksi!$B$16:$B$5015,"&lt;="&amp;EOMONTH(DATE(Dashboard!$C$4,12,1),0)))</f>
        <v/>
      </c>
      <c r="P254" s="166">
        <f>IF($C254="","",SUM(D254:O254))</f>
        <v/>
      </c>
    </row>
    <row r="255" ht="15" customHeight="1" s="94">
      <c r="A255" s="164">
        <f>IF(Kategori!C255="","",Kategori!A255)</f>
        <v/>
      </c>
      <c r="B255" s="164">
        <f>IF(Kategori!C255="","",Kategori!B255)</f>
        <v/>
      </c>
      <c r="C255" s="108">
        <f>IF(Kategori!C255="","",Kategori!C255)</f>
        <v/>
      </c>
      <c r="D255" s="165">
        <f>IF($C255="","",SUMIFS(Transaksi!$F$16:$F$5015,Transaksi!$G$16:$G$5015,$A255,Transaksi!$H$16:$H$5015,$B255,Transaksi!$I$16:$I$5015,$C255,Transaksi!$B$16:$B$5015,"&gt;="&amp;DATE(Dashboard!$C$4,1,1),Transaksi!$B$16:$B$5015,"&lt;="&amp;EOMONTH(DATE(Dashboard!$C$4,1,1),0)))</f>
        <v/>
      </c>
      <c r="E255" s="165">
        <f>IF($C255="","",SUMIFS(Transaksi!$F$16:$F$5015,Transaksi!$G$16:$G$5015,$A255,Transaksi!$H$16:$H$5015,$B255,Transaksi!$I$16:$I$5015,$C255,Transaksi!$B$16:$B$5015,"&gt;="&amp;DATE(Dashboard!$C$4,2,1),Transaksi!$B$16:$B$5015,"&lt;="&amp;EOMONTH(DATE(Dashboard!$C$4,2,1),0)))</f>
        <v/>
      </c>
      <c r="F255" s="165">
        <f>IF($C255="","",SUMIFS(Transaksi!$F$16:$F$5015,Transaksi!$G$16:$G$5015,$A255,Transaksi!$H$16:$H$5015,$B255,Transaksi!$I$16:$I$5015,$C255,Transaksi!$B$16:$B$5015,"&gt;="&amp;DATE(Dashboard!$C$4,3,1),Transaksi!$B$16:$B$5015,"&lt;="&amp;EOMONTH(DATE(Dashboard!$C$4,3,1),0)))</f>
        <v/>
      </c>
      <c r="G255" s="165">
        <f>IF($C255="","",SUMIFS(Transaksi!$F$16:$F$5015,Transaksi!$G$16:$G$5015,$A255,Transaksi!$H$16:$H$5015,$B255,Transaksi!$I$16:$I$5015,$C255,Transaksi!$B$16:$B$5015,"&gt;="&amp;DATE(Dashboard!$C$4,4,1),Transaksi!$B$16:$B$5015,"&lt;="&amp;EOMONTH(DATE(Dashboard!$C$4,4,1),0)))</f>
        <v/>
      </c>
      <c r="H255" s="165">
        <f>IF($C255="","",SUMIFS(Transaksi!$F$16:$F$5015,Transaksi!$G$16:$G$5015,$A255,Transaksi!$H$16:$H$5015,$B255,Transaksi!$I$16:$I$5015,$C255,Transaksi!$B$16:$B$5015,"&gt;="&amp;DATE(Dashboard!$C$4,5,1),Transaksi!$B$16:$B$5015,"&lt;="&amp;EOMONTH(DATE(Dashboard!$C$4,5,1),0)))</f>
        <v/>
      </c>
      <c r="I255" s="165">
        <f>IF($C255="","",SUMIFS(Transaksi!$F$16:$F$5015,Transaksi!$G$16:$G$5015,$A255,Transaksi!$H$16:$H$5015,$B255,Transaksi!$I$16:$I$5015,$C255,Transaksi!$B$16:$B$5015,"&gt;="&amp;DATE(Dashboard!$C$4,6,1),Transaksi!$B$16:$B$5015,"&lt;="&amp;EOMONTH(DATE(Dashboard!$C$4,6,1),0)))</f>
        <v/>
      </c>
      <c r="J255" s="165">
        <f>IF($C255="","",SUMIFS(Transaksi!$F$16:$F$5015,Transaksi!$G$16:$G$5015,$A255,Transaksi!$H$16:$H$5015,$B255,Transaksi!$I$16:$I$5015,$C255,Transaksi!$B$16:$B$5015,"&gt;="&amp;DATE(Dashboard!$C$4,7,1),Transaksi!$B$16:$B$5015,"&lt;="&amp;EOMONTH(DATE(Dashboard!$C$4,7,1),0)))</f>
        <v/>
      </c>
      <c r="K255" s="165">
        <f>IF($C255="","",SUMIFS(Transaksi!$F$16:$F$5015,Transaksi!$G$16:$G$5015,$A255,Transaksi!$H$16:$H$5015,$B255,Transaksi!$I$16:$I$5015,$C255,Transaksi!$B$16:$B$5015,"&gt;="&amp;DATE(Dashboard!$C$4,8,1),Transaksi!$B$16:$B$5015,"&lt;="&amp;EOMONTH(DATE(Dashboard!$C$4,8,1),0)))</f>
        <v/>
      </c>
      <c r="L255" s="165">
        <f>IF($C255="","",SUMIFS(Transaksi!$F$16:$F$5015,Transaksi!$G$16:$G$5015,$A255,Transaksi!$H$16:$H$5015,$B255,Transaksi!$I$16:$I$5015,$C255,Transaksi!$B$16:$B$5015,"&gt;="&amp;DATE(Dashboard!$C$4,9,1),Transaksi!$B$16:$B$5015,"&lt;="&amp;EOMONTH(DATE(Dashboard!$C$4,9,1),0)))</f>
        <v/>
      </c>
      <c r="M255" s="165">
        <f>IF($C255="","",SUMIFS(Transaksi!$F$16:$F$5015,Transaksi!$G$16:$G$5015,$A255,Transaksi!$H$16:$H$5015,$B255,Transaksi!$I$16:$I$5015,$C255,Transaksi!$B$16:$B$5015,"&gt;="&amp;DATE(Dashboard!$C$4,10,1),Transaksi!$B$16:$B$5015,"&lt;="&amp;EOMONTH(DATE(Dashboard!$C$4,10,1),0)))</f>
        <v/>
      </c>
      <c r="N255" s="165">
        <f>IF($C255="","",SUMIFS(Transaksi!$F$16:$F$5015,Transaksi!$G$16:$G$5015,$A255,Transaksi!$H$16:$H$5015,$B255,Transaksi!$I$16:$I$5015,$C255,Transaksi!$B$16:$B$5015,"&gt;="&amp;DATE(Dashboard!$C$4,11,1),Transaksi!$B$16:$B$5015,"&lt;="&amp;EOMONTH(DATE(Dashboard!$C$4,11,1),0)))</f>
        <v/>
      </c>
      <c r="O255" s="165">
        <f>IF($C255="","",SUMIFS(Transaksi!$F$16:$F$5015,Transaksi!$G$16:$G$5015,$A255,Transaksi!$H$16:$H$5015,$B255,Transaksi!$I$16:$I$5015,$C255,Transaksi!$B$16:$B$5015,"&gt;="&amp;DATE(Dashboard!$C$4,12,1),Transaksi!$B$16:$B$5015,"&lt;="&amp;EOMONTH(DATE(Dashboard!$C$4,12,1),0)))</f>
        <v/>
      </c>
      <c r="P255" s="166">
        <f>IF($C255="","",SUM(D255:O255))</f>
        <v/>
      </c>
    </row>
    <row r="256" ht="15" customHeight="1" s="94">
      <c r="A256" s="164">
        <f>IF(Kategori!C256="","",Kategori!A256)</f>
        <v/>
      </c>
      <c r="B256" s="164">
        <f>IF(Kategori!C256="","",Kategori!B256)</f>
        <v/>
      </c>
      <c r="C256" s="108">
        <f>IF(Kategori!C256="","",Kategori!C256)</f>
        <v/>
      </c>
      <c r="D256" s="165">
        <f>IF($C256="","",SUMIFS(Transaksi!$F$16:$F$5015,Transaksi!$G$16:$G$5015,$A256,Transaksi!$H$16:$H$5015,$B256,Transaksi!$I$16:$I$5015,$C256,Transaksi!$B$16:$B$5015,"&gt;="&amp;DATE(Dashboard!$C$4,1,1),Transaksi!$B$16:$B$5015,"&lt;="&amp;EOMONTH(DATE(Dashboard!$C$4,1,1),0)))</f>
        <v/>
      </c>
      <c r="E256" s="165">
        <f>IF($C256="","",SUMIFS(Transaksi!$F$16:$F$5015,Transaksi!$G$16:$G$5015,$A256,Transaksi!$H$16:$H$5015,$B256,Transaksi!$I$16:$I$5015,$C256,Transaksi!$B$16:$B$5015,"&gt;="&amp;DATE(Dashboard!$C$4,2,1),Transaksi!$B$16:$B$5015,"&lt;="&amp;EOMONTH(DATE(Dashboard!$C$4,2,1),0)))</f>
        <v/>
      </c>
      <c r="F256" s="165">
        <f>IF($C256="","",SUMIFS(Transaksi!$F$16:$F$5015,Transaksi!$G$16:$G$5015,$A256,Transaksi!$H$16:$H$5015,$B256,Transaksi!$I$16:$I$5015,$C256,Transaksi!$B$16:$B$5015,"&gt;="&amp;DATE(Dashboard!$C$4,3,1),Transaksi!$B$16:$B$5015,"&lt;="&amp;EOMONTH(DATE(Dashboard!$C$4,3,1),0)))</f>
        <v/>
      </c>
      <c r="G256" s="165">
        <f>IF($C256="","",SUMIFS(Transaksi!$F$16:$F$5015,Transaksi!$G$16:$G$5015,$A256,Transaksi!$H$16:$H$5015,$B256,Transaksi!$I$16:$I$5015,$C256,Transaksi!$B$16:$B$5015,"&gt;="&amp;DATE(Dashboard!$C$4,4,1),Transaksi!$B$16:$B$5015,"&lt;="&amp;EOMONTH(DATE(Dashboard!$C$4,4,1),0)))</f>
        <v/>
      </c>
      <c r="H256" s="165">
        <f>IF($C256="","",SUMIFS(Transaksi!$F$16:$F$5015,Transaksi!$G$16:$G$5015,$A256,Transaksi!$H$16:$H$5015,$B256,Transaksi!$I$16:$I$5015,$C256,Transaksi!$B$16:$B$5015,"&gt;="&amp;DATE(Dashboard!$C$4,5,1),Transaksi!$B$16:$B$5015,"&lt;="&amp;EOMONTH(DATE(Dashboard!$C$4,5,1),0)))</f>
        <v/>
      </c>
      <c r="I256" s="165">
        <f>IF($C256="","",SUMIFS(Transaksi!$F$16:$F$5015,Transaksi!$G$16:$G$5015,$A256,Transaksi!$H$16:$H$5015,$B256,Transaksi!$I$16:$I$5015,$C256,Transaksi!$B$16:$B$5015,"&gt;="&amp;DATE(Dashboard!$C$4,6,1),Transaksi!$B$16:$B$5015,"&lt;="&amp;EOMONTH(DATE(Dashboard!$C$4,6,1),0)))</f>
        <v/>
      </c>
      <c r="J256" s="165">
        <f>IF($C256="","",SUMIFS(Transaksi!$F$16:$F$5015,Transaksi!$G$16:$G$5015,$A256,Transaksi!$H$16:$H$5015,$B256,Transaksi!$I$16:$I$5015,$C256,Transaksi!$B$16:$B$5015,"&gt;="&amp;DATE(Dashboard!$C$4,7,1),Transaksi!$B$16:$B$5015,"&lt;="&amp;EOMONTH(DATE(Dashboard!$C$4,7,1),0)))</f>
        <v/>
      </c>
      <c r="K256" s="165">
        <f>IF($C256="","",SUMIFS(Transaksi!$F$16:$F$5015,Transaksi!$G$16:$G$5015,$A256,Transaksi!$H$16:$H$5015,$B256,Transaksi!$I$16:$I$5015,$C256,Transaksi!$B$16:$B$5015,"&gt;="&amp;DATE(Dashboard!$C$4,8,1),Transaksi!$B$16:$B$5015,"&lt;="&amp;EOMONTH(DATE(Dashboard!$C$4,8,1),0)))</f>
        <v/>
      </c>
      <c r="L256" s="165">
        <f>IF($C256="","",SUMIFS(Transaksi!$F$16:$F$5015,Transaksi!$G$16:$G$5015,$A256,Transaksi!$H$16:$H$5015,$B256,Transaksi!$I$16:$I$5015,$C256,Transaksi!$B$16:$B$5015,"&gt;="&amp;DATE(Dashboard!$C$4,9,1),Transaksi!$B$16:$B$5015,"&lt;="&amp;EOMONTH(DATE(Dashboard!$C$4,9,1),0)))</f>
        <v/>
      </c>
      <c r="M256" s="165">
        <f>IF($C256="","",SUMIFS(Transaksi!$F$16:$F$5015,Transaksi!$G$16:$G$5015,$A256,Transaksi!$H$16:$H$5015,$B256,Transaksi!$I$16:$I$5015,$C256,Transaksi!$B$16:$B$5015,"&gt;="&amp;DATE(Dashboard!$C$4,10,1),Transaksi!$B$16:$B$5015,"&lt;="&amp;EOMONTH(DATE(Dashboard!$C$4,10,1),0)))</f>
        <v/>
      </c>
      <c r="N256" s="165">
        <f>IF($C256="","",SUMIFS(Transaksi!$F$16:$F$5015,Transaksi!$G$16:$G$5015,$A256,Transaksi!$H$16:$H$5015,$B256,Transaksi!$I$16:$I$5015,$C256,Transaksi!$B$16:$B$5015,"&gt;="&amp;DATE(Dashboard!$C$4,11,1),Transaksi!$B$16:$B$5015,"&lt;="&amp;EOMONTH(DATE(Dashboard!$C$4,11,1),0)))</f>
        <v/>
      </c>
      <c r="O256" s="165">
        <f>IF($C256="","",SUMIFS(Transaksi!$F$16:$F$5015,Transaksi!$G$16:$G$5015,$A256,Transaksi!$H$16:$H$5015,$B256,Transaksi!$I$16:$I$5015,$C256,Transaksi!$B$16:$B$5015,"&gt;="&amp;DATE(Dashboard!$C$4,12,1),Transaksi!$B$16:$B$5015,"&lt;="&amp;EOMONTH(DATE(Dashboard!$C$4,12,1),0)))</f>
        <v/>
      </c>
      <c r="P256" s="166">
        <f>IF($C256="","",SUM(D256:O256))</f>
        <v/>
      </c>
    </row>
    <row r="257" ht="15" customHeight="1" s="94">
      <c r="A257" s="164">
        <f>IF(Kategori!C257="","",Kategori!A257)</f>
        <v/>
      </c>
      <c r="B257" s="164">
        <f>IF(Kategori!C257="","",Kategori!B257)</f>
        <v/>
      </c>
      <c r="C257" s="108">
        <f>IF(Kategori!C257="","",Kategori!C257)</f>
        <v/>
      </c>
      <c r="D257" s="165">
        <f>IF($C257="","",SUMIFS(Transaksi!$F$16:$F$5015,Transaksi!$G$16:$G$5015,$A257,Transaksi!$H$16:$H$5015,$B257,Transaksi!$I$16:$I$5015,$C257,Transaksi!$B$16:$B$5015,"&gt;="&amp;DATE(Dashboard!$C$4,1,1),Transaksi!$B$16:$B$5015,"&lt;="&amp;EOMONTH(DATE(Dashboard!$C$4,1,1),0)))</f>
        <v/>
      </c>
      <c r="E257" s="165">
        <f>IF($C257="","",SUMIFS(Transaksi!$F$16:$F$5015,Transaksi!$G$16:$G$5015,$A257,Transaksi!$H$16:$H$5015,$B257,Transaksi!$I$16:$I$5015,$C257,Transaksi!$B$16:$B$5015,"&gt;="&amp;DATE(Dashboard!$C$4,2,1),Transaksi!$B$16:$B$5015,"&lt;="&amp;EOMONTH(DATE(Dashboard!$C$4,2,1),0)))</f>
        <v/>
      </c>
      <c r="F257" s="165">
        <f>IF($C257="","",SUMIFS(Transaksi!$F$16:$F$5015,Transaksi!$G$16:$G$5015,$A257,Transaksi!$H$16:$H$5015,$B257,Transaksi!$I$16:$I$5015,$C257,Transaksi!$B$16:$B$5015,"&gt;="&amp;DATE(Dashboard!$C$4,3,1),Transaksi!$B$16:$B$5015,"&lt;="&amp;EOMONTH(DATE(Dashboard!$C$4,3,1),0)))</f>
        <v/>
      </c>
      <c r="G257" s="165">
        <f>IF($C257="","",SUMIFS(Transaksi!$F$16:$F$5015,Transaksi!$G$16:$G$5015,$A257,Transaksi!$H$16:$H$5015,$B257,Transaksi!$I$16:$I$5015,$C257,Transaksi!$B$16:$B$5015,"&gt;="&amp;DATE(Dashboard!$C$4,4,1),Transaksi!$B$16:$B$5015,"&lt;="&amp;EOMONTH(DATE(Dashboard!$C$4,4,1),0)))</f>
        <v/>
      </c>
      <c r="H257" s="165">
        <f>IF($C257="","",SUMIFS(Transaksi!$F$16:$F$5015,Transaksi!$G$16:$G$5015,$A257,Transaksi!$H$16:$H$5015,$B257,Transaksi!$I$16:$I$5015,$C257,Transaksi!$B$16:$B$5015,"&gt;="&amp;DATE(Dashboard!$C$4,5,1),Transaksi!$B$16:$B$5015,"&lt;="&amp;EOMONTH(DATE(Dashboard!$C$4,5,1),0)))</f>
        <v/>
      </c>
      <c r="I257" s="165">
        <f>IF($C257="","",SUMIFS(Transaksi!$F$16:$F$5015,Transaksi!$G$16:$G$5015,$A257,Transaksi!$H$16:$H$5015,$B257,Transaksi!$I$16:$I$5015,$C257,Transaksi!$B$16:$B$5015,"&gt;="&amp;DATE(Dashboard!$C$4,6,1),Transaksi!$B$16:$B$5015,"&lt;="&amp;EOMONTH(DATE(Dashboard!$C$4,6,1),0)))</f>
        <v/>
      </c>
      <c r="J257" s="165">
        <f>IF($C257="","",SUMIFS(Transaksi!$F$16:$F$5015,Transaksi!$G$16:$G$5015,$A257,Transaksi!$H$16:$H$5015,$B257,Transaksi!$I$16:$I$5015,$C257,Transaksi!$B$16:$B$5015,"&gt;="&amp;DATE(Dashboard!$C$4,7,1),Transaksi!$B$16:$B$5015,"&lt;="&amp;EOMONTH(DATE(Dashboard!$C$4,7,1),0)))</f>
        <v/>
      </c>
      <c r="K257" s="165">
        <f>IF($C257="","",SUMIFS(Transaksi!$F$16:$F$5015,Transaksi!$G$16:$G$5015,$A257,Transaksi!$H$16:$H$5015,$B257,Transaksi!$I$16:$I$5015,$C257,Transaksi!$B$16:$B$5015,"&gt;="&amp;DATE(Dashboard!$C$4,8,1),Transaksi!$B$16:$B$5015,"&lt;="&amp;EOMONTH(DATE(Dashboard!$C$4,8,1),0)))</f>
        <v/>
      </c>
      <c r="L257" s="165">
        <f>IF($C257="","",SUMIFS(Transaksi!$F$16:$F$5015,Transaksi!$G$16:$G$5015,$A257,Transaksi!$H$16:$H$5015,$B257,Transaksi!$I$16:$I$5015,$C257,Transaksi!$B$16:$B$5015,"&gt;="&amp;DATE(Dashboard!$C$4,9,1),Transaksi!$B$16:$B$5015,"&lt;="&amp;EOMONTH(DATE(Dashboard!$C$4,9,1),0)))</f>
        <v/>
      </c>
      <c r="M257" s="165">
        <f>IF($C257="","",SUMIFS(Transaksi!$F$16:$F$5015,Transaksi!$G$16:$G$5015,$A257,Transaksi!$H$16:$H$5015,$B257,Transaksi!$I$16:$I$5015,$C257,Transaksi!$B$16:$B$5015,"&gt;="&amp;DATE(Dashboard!$C$4,10,1),Transaksi!$B$16:$B$5015,"&lt;="&amp;EOMONTH(DATE(Dashboard!$C$4,10,1),0)))</f>
        <v/>
      </c>
      <c r="N257" s="165">
        <f>IF($C257="","",SUMIFS(Transaksi!$F$16:$F$5015,Transaksi!$G$16:$G$5015,$A257,Transaksi!$H$16:$H$5015,$B257,Transaksi!$I$16:$I$5015,$C257,Transaksi!$B$16:$B$5015,"&gt;="&amp;DATE(Dashboard!$C$4,11,1),Transaksi!$B$16:$B$5015,"&lt;="&amp;EOMONTH(DATE(Dashboard!$C$4,11,1),0)))</f>
        <v/>
      </c>
      <c r="O257" s="165">
        <f>IF($C257="","",SUMIFS(Transaksi!$F$16:$F$5015,Transaksi!$G$16:$G$5015,$A257,Transaksi!$H$16:$H$5015,$B257,Transaksi!$I$16:$I$5015,$C257,Transaksi!$B$16:$B$5015,"&gt;="&amp;DATE(Dashboard!$C$4,12,1),Transaksi!$B$16:$B$5015,"&lt;="&amp;EOMONTH(DATE(Dashboard!$C$4,12,1),0)))</f>
        <v/>
      </c>
      <c r="P257" s="166">
        <f>IF($C257="","",SUM(D257:O257))</f>
        <v/>
      </c>
    </row>
    <row r="258" ht="15" customHeight="1" s="94">
      <c r="A258" s="164">
        <f>IF(Kategori!C258="","",Kategori!A258)</f>
        <v/>
      </c>
      <c r="B258" s="164">
        <f>IF(Kategori!C258="","",Kategori!B258)</f>
        <v/>
      </c>
      <c r="C258" s="108">
        <f>IF(Kategori!C258="","",Kategori!C258)</f>
        <v/>
      </c>
      <c r="D258" s="165">
        <f>IF($C258="","",SUMIFS(Transaksi!$F$16:$F$5015,Transaksi!$G$16:$G$5015,$A258,Transaksi!$H$16:$H$5015,$B258,Transaksi!$I$16:$I$5015,$C258,Transaksi!$B$16:$B$5015,"&gt;="&amp;DATE(Dashboard!$C$4,1,1),Transaksi!$B$16:$B$5015,"&lt;="&amp;EOMONTH(DATE(Dashboard!$C$4,1,1),0)))</f>
        <v/>
      </c>
      <c r="E258" s="165">
        <f>IF($C258="","",SUMIFS(Transaksi!$F$16:$F$5015,Transaksi!$G$16:$G$5015,$A258,Transaksi!$H$16:$H$5015,$B258,Transaksi!$I$16:$I$5015,$C258,Transaksi!$B$16:$B$5015,"&gt;="&amp;DATE(Dashboard!$C$4,2,1),Transaksi!$B$16:$B$5015,"&lt;="&amp;EOMONTH(DATE(Dashboard!$C$4,2,1),0)))</f>
        <v/>
      </c>
      <c r="F258" s="165">
        <f>IF($C258="","",SUMIFS(Transaksi!$F$16:$F$5015,Transaksi!$G$16:$G$5015,$A258,Transaksi!$H$16:$H$5015,$B258,Transaksi!$I$16:$I$5015,$C258,Transaksi!$B$16:$B$5015,"&gt;="&amp;DATE(Dashboard!$C$4,3,1),Transaksi!$B$16:$B$5015,"&lt;="&amp;EOMONTH(DATE(Dashboard!$C$4,3,1),0)))</f>
        <v/>
      </c>
      <c r="G258" s="165">
        <f>IF($C258="","",SUMIFS(Transaksi!$F$16:$F$5015,Transaksi!$G$16:$G$5015,$A258,Transaksi!$H$16:$H$5015,$B258,Transaksi!$I$16:$I$5015,$C258,Transaksi!$B$16:$B$5015,"&gt;="&amp;DATE(Dashboard!$C$4,4,1),Transaksi!$B$16:$B$5015,"&lt;="&amp;EOMONTH(DATE(Dashboard!$C$4,4,1),0)))</f>
        <v/>
      </c>
      <c r="H258" s="165">
        <f>IF($C258="","",SUMIFS(Transaksi!$F$16:$F$5015,Transaksi!$G$16:$G$5015,$A258,Transaksi!$H$16:$H$5015,$B258,Transaksi!$I$16:$I$5015,$C258,Transaksi!$B$16:$B$5015,"&gt;="&amp;DATE(Dashboard!$C$4,5,1),Transaksi!$B$16:$B$5015,"&lt;="&amp;EOMONTH(DATE(Dashboard!$C$4,5,1),0)))</f>
        <v/>
      </c>
      <c r="I258" s="165">
        <f>IF($C258="","",SUMIFS(Transaksi!$F$16:$F$5015,Transaksi!$G$16:$G$5015,$A258,Transaksi!$H$16:$H$5015,$B258,Transaksi!$I$16:$I$5015,$C258,Transaksi!$B$16:$B$5015,"&gt;="&amp;DATE(Dashboard!$C$4,6,1),Transaksi!$B$16:$B$5015,"&lt;="&amp;EOMONTH(DATE(Dashboard!$C$4,6,1),0)))</f>
        <v/>
      </c>
      <c r="J258" s="165">
        <f>IF($C258="","",SUMIFS(Transaksi!$F$16:$F$5015,Transaksi!$G$16:$G$5015,$A258,Transaksi!$H$16:$H$5015,$B258,Transaksi!$I$16:$I$5015,$C258,Transaksi!$B$16:$B$5015,"&gt;="&amp;DATE(Dashboard!$C$4,7,1),Transaksi!$B$16:$B$5015,"&lt;="&amp;EOMONTH(DATE(Dashboard!$C$4,7,1),0)))</f>
        <v/>
      </c>
      <c r="K258" s="165">
        <f>IF($C258="","",SUMIFS(Transaksi!$F$16:$F$5015,Transaksi!$G$16:$G$5015,$A258,Transaksi!$H$16:$H$5015,$B258,Transaksi!$I$16:$I$5015,$C258,Transaksi!$B$16:$B$5015,"&gt;="&amp;DATE(Dashboard!$C$4,8,1),Transaksi!$B$16:$B$5015,"&lt;="&amp;EOMONTH(DATE(Dashboard!$C$4,8,1),0)))</f>
        <v/>
      </c>
      <c r="L258" s="165">
        <f>IF($C258="","",SUMIFS(Transaksi!$F$16:$F$5015,Transaksi!$G$16:$G$5015,$A258,Transaksi!$H$16:$H$5015,$B258,Transaksi!$I$16:$I$5015,$C258,Transaksi!$B$16:$B$5015,"&gt;="&amp;DATE(Dashboard!$C$4,9,1),Transaksi!$B$16:$B$5015,"&lt;="&amp;EOMONTH(DATE(Dashboard!$C$4,9,1),0)))</f>
        <v/>
      </c>
      <c r="M258" s="165">
        <f>IF($C258="","",SUMIFS(Transaksi!$F$16:$F$5015,Transaksi!$G$16:$G$5015,$A258,Transaksi!$H$16:$H$5015,$B258,Transaksi!$I$16:$I$5015,$C258,Transaksi!$B$16:$B$5015,"&gt;="&amp;DATE(Dashboard!$C$4,10,1),Transaksi!$B$16:$B$5015,"&lt;="&amp;EOMONTH(DATE(Dashboard!$C$4,10,1),0)))</f>
        <v/>
      </c>
      <c r="N258" s="165">
        <f>IF($C258="","",SUMIFS(Transaksi!$F$16:$F$5015,Transaksi!$G$16:$G$5015,$A258,Transaksi!$H$16:$H$5015,$B258,Transaksi!$I$16:$I$5015,$C258,Transaksi!$B$16:$B$5015,"&gt;="&amp;DATE(Dashboard!$C$4,11,1),Transaksi!$B$16:$B$5015,"&lt;="&amp;EOMONTH(DATE(Dashboard!$C$4,11,1),0)))</f>
        <v/>
      </c>
      <c r="O258" s="165">
        <f>IF($C258="","",SUMIFS(Transaksi!$F$16:$F$5015,Transaksi!$G$16:$G$5015,$A258,Transaksi!$H$16:$H$5015,$B258,Transaksi!$I$16:$I$5015,$C258,Transaksi!$B$16:$B$5015,"&gt;="&amp;DATE(Dashboard!$C$4,12,1),Transaksi!$B$16:$B$5015,"&lt;="&amp;EOMONTH(DATE(Dashboard!$C$4,12,1),0)))</f>
        <v/>
      </c>
      <c r="P258" s="166">
        <f>IF($C258="","",SUM(D258:O258))</f>
        <v/>
      </c>
    </row>
    <row r="259" ht="15" customHeight="1" s="94">
      <c r="A259" s="164">
        <f>IF(Kategori!C259="","",Kategori!A259)</f>
        <v/>
      </c>
      <c r="B259" s="164">
        <f>IF(Kategori!C259="","",Kategori!B259)</f>
        <v/>
      </c>
      <c r="C259" s="108">
        <f>IF(Kategori!C259="","",Kategori!C259)</f>
        <v/>
      </c>
      <c r="D259" s="165">
        <f>IF($C259="","",SUMIFS(Transaksi!$F$16:$F$5015,Transaksi!$G$16:$G$5015,$A259,Transaksi!$H$16:$H$5015,$B259,Transaksi!$I$16:$I$5015,$C259,Transaksi!$B$16:$B$5015,"&gt;="&amp;DATE(Dashboard!$C$4,1,1),Transaksi!$B$16:$B$5015,"&lt;="&amp;EOMONTH(DATE(Dashboard!$C$4,1,1),0)))</f>
        <v/>
      </c>
      <c r="E259" s="165">
        <f>IF($C259="","",SUMIFS(Transaksi!$F$16:$F$5015,Transaksi!$G$16:$G$5015,$A259,Transaksi!$H$16:$H$5015,$B259,Transaksi!$I$16:$I$5015,$C259,Transaksi!$B$16:$B$5015,"&gt;="&amp;DATE(Dashboard!$C$4,2,1),Transaksi!$B$16:$B$5015,"&lt;="&amp;EOMONTH(DATE(Dashboard!$C$4,2,1),0)))</f>
        <v/>
      </c>
      <c r="F259" s="165">
        <f>IF($C259="","",SUMIFS(Transaksi!$F$16:$F$5015,Transaksi!$G$16:$G$5015,$A259,Transaksi!$H$16:$H$5015,$B259,Transaksi!$I$16:$I$5015,$C259,Transaksi!$B$16:$B$5015,"&gt;="&amp;DATE(Dashboard!$C$4,3,1),Transaksi!$B$16:$B$5015,"&lt;="&amp;EOMONTH(DATE(Dashboard!$C$4,3,1),0)))</f>
        <v/>
      </c>
      <c r="G259" s="165">
        <f>IF($C259="","",SUMIFS(Transaksi!$F$16:$F$5015,Transaksi!$G$16:$G$5015,$A259,Transaksi!$H$16:$H$5015,$B259,Transaksi!$I$16:$I$5015,$C259,Transaksi!$B$16:$B$5015,"&gt;="&amp;DATE(Dashboard!$C$4,4,1),Transaksi!$B$16:$B$5015,"&lt;="&amp;EOMONTH(DATE(Dashboard!$C$4,4,1),0)))</f>
        <v/>
      </c>
      <c r="H259" s="165">
        <f>IF($C259="","",SUMIFS(Transaksi!$F$16:$F$5015,Transaksi!$G$16:$G$5015,$A259,Transaksi!$H$16:$H$5015,$B259,Transaksi!$I$16:$I$5015,$C259,Transaksi!$B$16:$B$5015,"&gt;="&amp;DATE(Dashboard!$C$4,5,1),Transaksi!$B$16:$B$5015,"&lt;="&amp;EOMONTH(DATE(Dashboard!$C$4,5,1),0)))</f>
        <v/>
      </c>
      <c r="I259" s="165">
        <f>IF($C259="","",SUMIFS(Transaksi!$F$16:$F$5015,Transaksi!$G$16:$G$5015,$A259,Transaksi!$H$16:$H$5015,$B259,Transaksi!$I$16:$I$5015,$C259,Transaksi!$B$16:$B$5015,"&gt;="&amp;DATE(Dashboard!$C$4,6,1),Transaksi!$B$16:$B$5015,"&lt;="&amp;EOMONTH(DATE(Dashboard!$C$4,6,1),0)))</f>
        <v/>
      </c>
      <c r="J259" s="165">
        <f>IF($C259="","",SUMIFS(Transaksi!$F$16:$F$5015,Transaksi!$G$16:$G$5015,$A259,Transaksi!$H$16:$H$5015,$B259,Transaksi!$I$16:$I$5015,$C259,Transaksi!$B$16:$B$5015,"&gt;="&amp;DATE(Dashboard!$C$4,7,1),Transaksi!$B$16:$B$5015,"&lt;="&amp;EOMONTH(DATE(Dashboard!$C$4,7,1),0)))</f>
        <v/>
      </c>
      <c r="K259" s="165">
        <f>IF($C259="","",SUMIFS(Transaksi!$F$16:$F$5015,Transaksi!$G$16:$G$5015,$A259,Transaksi!$H$16:$H$5015,$B259,Transaksi!$I$16:$I$5015,$C259,Transaksi!$B$16:$B$5015,"&gt;="&amp;DATE(Dashboard!$C$4,8,1),Transaksi!$B$16:$B$5015,"&lt;="&amp;EOMONTH(DATE(Dashboard!$C$4,8,1),0)))</f>
        <v/>
      </c>
      <c r="L259" s="165">
        <f>IF($C259="","",SUMIFS(Transaksi!$F$16:$F$5015,Transaksi!$G$16:$G$5015,$A259,Transaksi!$H$16:$H$5015,$B259,Transaksi!$I$16:$I$5015,$C259,Transaksi!$B$16:$B$5015,"&gt;="&amp;DATE(Dashboard!$C$4,9,1),Transaksi!$B$16:$B$5015,"&lt;="&amp;EOMONTH(DATE(Dashboard!$C$4,9,1),0)))</f>
        <v/>
      </c>
      <c r="M259" s="165">
        <f>IF($C259="","",SUMIFS(Transaksi!$F$16:$F$5015,Transaksi!$G$16:$G$5015,$A259,Transaksi!$H$16:$H$5015,$B259,Transaksi!$I$16:$I$5015,$C259,Transaksi!$B$16:$B$5015,"&gt;="&amp;DATE(Dashboard!$C$4,10,1),Transaksi!$B$16:$B$5015,"&lt;="&amp;EOMONTH(DATE(Dashboard!$C$4,10,1),0)))</f>
        <v/>
      </c>
      <c r="N259" s="165">
        <f>IF($C259="","",SUMIFS(Transaksi!$F$16:$F$5015,Transaksi!$G$16:$G$5015,$A259,Transaksi!$H$16:$H$5015,$B259,Transaksi!$I$16:$I$5015,$C259,Transaksi!$B$16:$B$5015,"&gt;="&amp;DATE(Dashboard!$C$4,11,1),Transaksi!$B$16:$B$5015,"&lt;="&amp;EOMONTH(DATE(Dashboard!$C$4,11,1),0)))</f>
        <v/>
      </c>
      <c r="O259" s="165">
        <f>IF($C259="","",SUMIFS(Transaksi!$F$16:$F$5015,Transaksi!$G$16:$G$5015,$A259,Transaksi!$H$16:$H$5015,$B259,Transaksi!$I$16:$I$5015,$C259,Transaksi!$B$16:$B$5015,"&gt;="&amp;DATE(Dashboard!$C$4,12,1),Transaksi!$B$16:$B$5015,"&lt;="&amp;EOMONTH(DATE(Dashboard!$C$4,12,1),0)))</f>
        <v/>
      </c>
      <c r="P259" s="166">
        <f>IF($C259="","",SUM(D259:O259))</f>
        <v/>
      </c>
    </row>
    <row r="260" ht="15" customHeight="1" s="94">
      <c r="A260" s="164">
        <f>IF(Kategori!C260="","",Kategori!A260)</f>
        <v/>
      </c>
      <c r="B260" s="164">
        <f>IF(Kategori!C260="","",Kategori!B260)</f>
        <v/>
      </c>
      <c r="C260" s="108">
        <f>IF(Kategori!C260="","",Kategori!C260)</f>
        <v/>
      </c>
      <c r="D260" s="165">
        <f>IF($C260="","",SUMIFS(Transaksi!$F$16:$F$5015,Transaksi!$G$16:$G$5015,$A260,Transaksi!$H$16:$H$5015,$B260,Transaksi!$I$16:$I$5015,$C260,Transaksi!$B$16:$B$5015,"&gt;="&amp;DATE(Dashboard!$C$4,1,1),Transaksi!$B$16:$B$5015,"&lt;="&amp;EOMONTH(DATE(Dashboard!$C$4,1,1),0)))</f>
        <v/>
      </c>
      <c r="E260" s="165">
        <f>IF($C260="","",SUMIFS(Transaksi!$F$16:$F$5015,Transaksi!$G$16:$G$5015,$A260,Transaksi!$H$16:$H$5015,$B260,Transaksi!$I$16:$I$5015,$C260,Transaksi!$B$16:$B$5015,"&gt;="&amp;DATE(Dashboard!$C$4,2,1),Transaksi!$B$16:$B$5015,"&lt;="&amp;EOMONTH(DATE(Dashboard!$C$4,2,1),0)))</f>
        <v/>
      </c>
      <c r="F260" s="165">
        <f>IF($C260="","",SUMIFS(Transaksi!$F$16:$F$5015,Transaksi!$G$16:$G$5015,$A260,Transaksi!$H$16:$H$5015,$B260,Transaksi!$I$16:$I$5015,$C260,Transaksi!$B$16:$B$5015,"&gt;="&amp;DATE(Dashboard!$C$4,3,1),Transaksi!$B$16:$B$5015,"&lt;="&amp;EOMONTH(DATE(Dashboard!$C$4,3,1),0)))</f>
        <v/>
      </c>
      <c r="G260" s="165">
        <f>IF($C260="","",SUMIFS(Transaksi!$F$16:$F$5015,Transaksi!$G$16:$G$5015,$A260,Transaksi!$H$16:$H$5015,$B260,Transaksi!$I$16:$I$5015,$C260,Transaksi!$B$16:$B$5015,"&gt;="&amp;DATE(Dashboard!$C$4,4,1),Transaksi!$B$16:$B$5015,"&lt;="&amp;EOMONTH(DATE(Dashboard!$C$4,4,1),0)))</f>
        <v/>
      </c>
      <c r="H260" s="165">
        <f>IF($C260="","",SUMIFS(Transaksi!$F$16:$F$5015,Transaksi!$G$16:$G$5015,$A260,Transaksi!$H$16:$H$5015,$B260,Transaksi!$I$16:$I$5015,$C260,Transaksi!$B$16:$B$5015,"&gt;="&amp;DATE(Dashboard!$C$4,5,1),Transaksi!$B$16:$B$5015,"&lt;="&amp;EOMONTH(DATE(Dashboard!$C$4,5,1),0)))</f>
        <v/>
      </c>
      <c r="I260" s="165">
        <f>IF($C260="","",SUMIFS(Transaksi!$F$16:$F$5015,Transaksi!$G$16:$G$5015,$A260,Transaksi!$H$16:$H$5015,$B260,Transaksi!$I$16:$I$5015,$C260,Transaksi!$B$16:$B$5015,"&gt;="&amp;DATE(Dashboard!$C$4,6,1),Transaksi!$B$16:$B$5015,"&lt;="&amp;EOMONTH(DATE(Dashboard!$C$4,6,1),0)))</f>
        <v/>
      </c>
      <c r="J260" s="165">
        <f>IF($C260="","",SUMIFS(Transaksi!$F$16:$F$5015,Transaksi!$G$16:$G$5015,$A260,Transaksi!$H$16:$H$5015,$B260,Transaksi!$I$16:$I$5015,$C260,Transaksi!$B$16:$B$5015,"&gt;="&amp;DATE(Dashboard!$C$4,7,1),Transaksi!$B$16:$B$5015,"&lt;="&amp;EOMONTH(DATE(Dashboard!$C$4,7,1),0)))</f>
        <v/>
      </c>
      <c r="K260" s="165">
        <f>IF($C260="","",SUMIFS(Transaksi!$F$16:$F$5015,Transaksi!$G$16:$G$5015,$A260,Transaksi!$H$16:$H$5015,$B260,Transaksi!$I$16:$I$5015,$C260,Transaksi!$B$16:$B$5015,"&gt;="&amp;DATE(Dashboard!$C$4,8,1),Transaksi!$B$16:$B$5015,"&lt;="&amp;EOMONTH(DATE(Dashboard!$C$4,8,1),0)))</f>
        <v/>
      </c>
      <c r="L260" s="165">
        <f>IF($C260="","",SUMIFS(Transaksi!$F$16:$F$5015,Transaksi!$G$16:$G$5015,$A260,Transaksi!$H$16:$H$5015,$B260,Transaksi!$I$16:$I$5015,$C260,Transaksi!$B$16:$B$5015,"&gt;="&amp;DATE(Dashboard!$C$4,9,1),Transaksi!$B$16:$B$5015,"&lt;="&amp;EOMONTH(DATE(Dashboard!$C$4,9,1),0)))</f>
        <v/>
      </c>
      <c r="M260" s="165">
        <f>IF($C260="","",SUMIFS(Transaksi!$F$16:$F$5015,Transaksi!$G$16:$G$5015,$A260,Transaksi!$H$16:$H$5015,$B260,Transaksi!$I$16:$I$5015,$C260,Transaksi!$B$16:$B$5015,"&gt;="&amp;DATE(Dashboard!$C$4,10,1),Transaksi!$B$16:$B$5015,"&lt;="&amp;EOMONTH(DATE(Dashboard!$C$4,10,1),0)))</f>
        <v/>
      </c>
      <c r="N260" s="165">
        <f>IF($C260="","",SUMIFS(Transaksi!$F$16:$F$5015,Transaksi!$G$16:$G$5015,$A260,Transaksi!$H$16:$H$5015,$B260,Transaksi!$I$16:$I$5015,$C260,Transaksi!$B$16:$B$5015,"&gt;="&amp;DATE(Dashboard!$C$4,11,1),Transaksi!$B$16:$B$5015,"&lt;="&amp;EOMONTH(DATE(Dashboard!$C$4,11,1),0)))</f>
        <v/>
      </c>
      <c r="O260" s="165">
        <f>IF($C260="","",SUMIFS(Transaksi!$F$16:$F$5015,Transaksi!$G$16:$G$5015,$A260,Transaksi!$H$16:$H$5015,$B260,Transaksi!$I$16:$I$5015,$C260,Transaksi!$B$16:$B$5015,"&gt;="&amp;DATE(Dashboard!$C$4,12,1),Transaksi!$B$16:$B$5015,"&lt;="&amp;EOMONTH(DATE(Dashboard!$C$4,12,1),0)))</f>
        <v/>
      </c>
      <c r="P260" s="166">
        <f>IF($C260="","",SUM(D260:O260))</f>
        <v/>
      </c>
    </row>
    <row r="261" ht="15" customHeight="1" s="94">
      <c r="A261" s="164">
        <f>IF(Kategori!C261="","",Kategori!A261)</f>
        <v/>
      </c>
      <c r="B261" s="164">
        <f>IF(Kategori!C261="","",Kategori!B261)</f>
        <v/>
      </c>
      <c r="C261" s="108">
        <f>IF(Kategori!C261="","",Kategori!C261)</f>
        <v/>
      </c>
      <c r="D261" s="165">
        <f>IF($C261="","",SUMIFS(Transaksi!$F$16:$F$5015,Transaksi!$G$16:$G$5015,$A261,Transaksi!$H$16:$H$5015,$B261,Transaksi!$I$16:$I$5015,$C261,Transaksi!$B$16:$B$5015,"&gt;="&amp;DATE(Dashboard!$C$4,1,1),Transaksi!$B$16:$B$5015,"&lt;="&amp;EOMONTH(DATE(Dashboard!$C$4,1,1),0)))</f>
        <v/>
      </c>
      <c r="E261" s="165">
        <f>IF($C261="","",SUMIFS(Transaksi!$F$16:$F$5015,Transaksi!$G$16:$G$5015,$A261,Transaksi!$H$16:$H$5015,$B261,Transaksi!$I$16:$I$5015,$C261,Transaksi!$B$16:$B$5015,"&gt;="&amp;DATE(Dashboard!$C$4,2,1),Transaksi!$B$16:$B$5015,"&lt;="&amp;EOMONTH(DATE(Dashboard!$C$4,2,1),0)))</f>
        <v/>
      </c>
      <c r="F261" s="165">
        <f>IF($C261="","",SUMIFS(Transaksi!$F$16:$F$5015,Transaksi!$G$16:$G$5015,$A261,Transaksi!$H$16:$H$5015,$B261,Transaksi!$I$16:$I$5015,$C261,Transaksi!$B$16:$B$5015,"&gt;="&amp;DATE(Dashboard!$C$4,3,1),Transaksi!$B$16:$B$5015,"&lt;="&amp;EOMONTH(DATE(Dashboard!$C$4,3,1),0)))</f>
        <v/>
      </c>
      <c r="G261" s="165">
        <f>IF($C261="","",SUMIFS(Transaksi!$F$16:$F$5015,Transaksi!$G$16:$G$5015,$A261,Transaksi!$H$16:$H$5015,$B261,Transaksi!$I$16:$I$5015,$C261,Transaksi!$B$16:$B$5015,"&gt;="&amp;DATE(Dashboard!$C$4,4,1),Transaksi!$B$16:$B$5015,"&lt;="&amp;EOMONTH(DATE(Dashboard!$C$4,4,1),0)))</f>
        <v/>
      </c>
      <c r="H261" s="165">
        <f>IF($C261="","",SUMIFS(Transaksi!$F$16:$F$5015,Transaksi!$G$16:$G$5015,$A261,Transaksi!$H$16:$H$5015,$B261,Transaksi!$I$16:$I$5015,$C261,Transaksi!$B$16:$B$5015,"&gt;="&amp;DATE(Dashboard!$C$4,5,1),Transaksi!$B$16:$B$5015,"&lt;="&amp;EOMONTH(DATE(Dashboard!$C$4,5,1),0)))</f>
        <v/>
      </c>
      <c r="I261" s="165">
        <f>IF($C261="","",SUMIFS(Transaksi!$F$16:$F$5015,Transaksi!$G$16:$G$5015,$A261,Transaksi!$H$16:$H$5015,$B261,Transaksi!$I$16:$I$5015,$C261,Transaksi!$B$16:$B$5015,"&gt;="&amp;DATE(Dashboard!$C$4,6,1),Transaksi!$B$16:$B$5015,"&lt;="&amp;EOMONTH(DATE(Dashboard!$C$4,6,1),0)))</f>
        <v/>
      </c>
      <c r="J261" s="165">
        <f>IF($C261="","",SUMIFS(Transaksi!$F$16:$F$5015,Transaksi!$G$16:$G$5015,$A261,Transaksi!$H$16:$H$5015,$B261,Transaksi!$I$16:$I$5015,$C261,Transaksi!$B$16:$B$5015,"&gt;="&amp;DATE(Dashboard!$C$4,7,1),Transaksi!$B$16:$B$5015,"&lt;="&amp;EOMONTH(DATE(Dashboard!$C$4,7,1),0)))</f>
        <v/>
      </c>
      <c r="K261" s="165">
        <f>IF($C261="","",SUMIFS(Transaksi!$F$16:$F$5015,Transaksi!$G$16:$G$5015,$A261,Transaksi!$H$16:$H$5015,$B261,Transaksi!$I$16:$I$5015,$C261,Transaksi!$B$16:$B$5015,"&gt;="&amp;DATE(Dashboard!$C$4,8,1),Transaksi!$B$16:$B$5015,"&lt;="&amp;EOMONTH(DATE(Dashboard!$C$4,8,1),0)))</f>
        <v/>
      </c>
      <c r="L261" s="165">
        <f>IF($C261="","",SUMIFS(Transaksi!$F$16:$F$5015,Transaksi!$G$16:$G$5015,$A261,Transaksi!$H$16:$H$5015,$B261,Transaksi!$I$16:$I$5015,$C261,Transaksi!$B$16:$B$5015,"&gt;="&amp;DATE(Dashboard!$C$4,9,1),Transaksi!$B$16:$B$5015,"&lt;="&amp;EOMONTH(DATE(Dashboard!$C$4,9,1),0)))</f>
        <v/>
      </c>
      <c r="M261" s="165">
        <f>IF($C261="","",SUMIFS(Transaksi!$F$16:$F$5015,Transaksi!$G$16:$G$5015,$A261,Transaksi!$H$16:$H$5015,$B261,Transaksi!$I$16:$I$5015,$C261,Transaksi!$B$16:$B$5015,"&gt;="&amp;DATE(Dashboard!$C$4,10,1),Transaksi!$B$16:$B$5015,"&lt;="&amp;EOMONTH(DATE(Dashboard!$C$4,10,1),0)))</f>
        <v/>
      </c>
      <c r="N261" s="165">
        <f>IF($C261="","",SUMIFS(Transaksi!$F$16:$F$5015,Transaksi!$G$16:$G$5015,$A261,Transaksi!$H$16:$H$5015,$B261,Transaksi!$I$16:$I$5015,$C261,Transaksi!$B$16:$B$5015,"&gt;="&amp;DATE(Dashboard!$C$4,11,1),Transaksi!$B$16:$B$5015,"&lt;="&amp;EOMONTH(DATE(Dashboard!$C$4,11,1),0)))</f>
        <v/>
      </c>
      <c r="O261" s="165">
        <f>IF($C261="","",SUMIFS(Transaksi!$F$16:$F$5015,Transaksi!$G$16:$G$5015,$A261,Transaksi!$H$16:$H$5015,$B261,Transaksi!$I$16:$I$5015,$C261,Transaksi!$B$16:$B$5015,"&gt;="&amp;DATE(Dashboard!$C$4,12,1),Transaksi!$B$16:$B$5015,"&lt;="&amp;EOMONTH(DATE(Dashboard!$C$4,12,1),0)))</f>
        <v/>
      </c>
      <c r="P261" s="166">
        <f>IF($C261="","",SUM(D261:O261))</f>
        <v/>
      </c>
    </row>
    <row r="262" ht="15" customHeight="1" s="94">
      <c r="A262" s="164">
        <f>IF(Kategori!C262="","",Kategori!A262)</f>
        <v/>
      </c>
      <c r="B262" s="164">
        <f>IF(Kategori!C262="","",Kategori!B262)</f>
        <v/>
      </c>
      <c r="C262" s="108">
        <f>IF(Kategori!C262="","",Kategori!C262)</f>
        <v/>
      </c>
      <c r="D262" s="165">
        <f>IF($C262="","",SUMIFS(Transaksi!$F$16:$F$5015,Transaksi!$G$16:$G$5015,$A262,Transaksi!$H$16:$H$5015,$B262,Transaksi!$I$16:$I$5015,$C262,Transaksi!$B$16:$B$5015,"&gt;="&amp;DATE(Dashboard!$C$4,1,1),Transaksi!$B$16:$B$5015,"&lt;="&amp;EOMONTH(DATE(Dashboard!$C$4,1,1),0)))</f>
        <v/>
      </c>
      <c r="E262" s="165">
        <f>IF($C262="","",SUMIFS(Transaksi!$F$16:$F$5015,Transaksi!$G$16:$G$5015,$A262,Transaksi!$H$16:$H$5015,$B262,Transaksi!$I$16:$I$5015,$C262,Transaksi!$B$16:$B$5015,"&gt;="&amp;DATE(Dashboard!$C$4,2,1),Transaksi!$B$16:$B$5015,"&lt;="&amp;EOMONTH(DATE(Dashboard!$C$4,2,1),0)))</f>
        <v/>
      </c>
      <c r="F262" s="165">
        <f>IF($C262="","",SUMIFS(Transaksi!$F$16:$F$5015,Transaksi!$G$16:$G$5015,$A262,Transaksi!$H$16:$H$5015,$B262,Transaksi!$I$16:$I$5015,$C262,Transaksi!$B$16:$B$5015,"&gt;="&amp;DATE(Dashboard!$C$4,3,1),Transaksi!$B$16:$B$5015,"&lt;="&amp;EOMONTH(DATE(Dashboard!$C$4,3,1),0)))</f>
        <v/>
      </c>
      <c r="G262" s="165">
        <f>IF($C262="","",SUMIFS(Transaksi!$F$16:$F$5015,Transaksi!$G$16:$G$5015,$A262,Transaksi!$H$16:$H$5015,$B262,Transaksi!$I$16:$I$5015,$C262,Transaksi!$B$16:$B$5015,"&gt;="&amp;DATE(Dashboard!$C$4,4,1),Transaksi!$B$16:$B$5015,"&lt;="&amp;EOMONTH(DATE(Dashboard!$C$4,4,1),0)))</f>
        <v/>
      </c>
      <c r="H262" s="165">
        <f>IF($C262="","",SUMIFS(Transaksi!$F$16:$F$5015,Transaksi!$G$16:$G$5015,$A262,Transaksi!$H$16:$H$5015,$B262,Transaksi!$I$16:$I$5015,$C262,Transaksi!$B$16:$B$5015,"&gt;="&amp;DATE(Dashboard!$C$4,5,1),Transaksi!$B$16:$B$5015,"&lt;="&amp;EOMONTH(DATE(Dashboard!$C$4,5,1),0)))</f>
        <v/>
      </c>
      <c r="I262" s="165">
        <f>IF($C262="","",SUMIFS(Transaksi!$F$16:$F$5015,Transaksi!$G$16:$G$5015,$A262,Transaksi!$H$16:$H$5015,$B262,Transaksi!$I$16:$I$5015,$C262,Transaksi!$B$16:$B$5015,"&gt;="&amp;DATE(Dashboard!$C$4,6,1),Transaksi!$B$16:$B$5015,"&lt;="&amp;EOMONTH(DATE(Dashboard!$C$4,6,1),0)))</f>
        <v/>
      </c>
      <c r="J262" s="165">
        <f>IF($C262="","",SUMIFS(Transaksi!$F$16:$F$5015,Transaksi!$G$16:$G$5015,$A262,Transaksi!$H$16:$H$5015,$B262,Transaksi!$I$16:$I$5015,$C262,Transaksi!$B$16:$B$5015,"&gt;="&amp;DATE(Dashboard!$C$4,7,1),Transaksi!$B$16:$B$5015,"&lt;="&amp;EOMONTH(DATE(Dashboard!$C$4,7,1),0)))</f>
        <v/>
      </c>
      <c r="K262" s="165">
        <f>IF($C262="","",SUMIFS(Transaksi!$F$16:$F$5015,Transaksi!$G$16:$G$5015,$A262,Transaksi!$H$16:$H$5015,$B262,Transaksi!$I$16:$I$5015,$C262,Transaksi!$B$16:$B$5015,"&gt;="&amp;DATE(Dashboard!$C$4,8,1),Transaksi!$B$16:$B$5015,"&lt;="&amp;EOMONTH(DATE(Dashboard!$C$4,8,1),0)))</f>
        <v/>
      </c>
      <c r="L262" s="165">
        <f>IF($C262="","",SUMIFS(Transaksi!$F$16:$F$5015,Transaksi!$G$16:$G$5015,$A262,Transaksi!$H$16:$H$5015,$B262,Transaksi!$I$16:$I$5015,$C262,Transaksi!$B$16:$B$5015,"&gt;="&amp;DATE(Dashboard!$C$4,9,1),Transaksi!$B$16:$B$5015,"&lt;="&amp;EOMONTH(DATE(Dashboard!$C$4,9,1),0)))</f>
        <v/>
      </c>
      <c r="M262" s="165">
        <f>IF($C262="","",SUMIFS(Transaksi!$F$16:$F$5015,Transaksi!$G$16:$G$5015,$A262,Transaksi!$H$16:$H$5015,$B262,Transaksi!$I$16:$I$5015,$C262,Transaksi!$B$16:$B$5015,"&gt;="&amp;DATE(Dashboard!$C$4,10,1),Transaksi!$B$16:$B$5015,"&lt;="&amp;EOMONTH(DATE(Dashboard!$C$4,10,1),0)))</f>
        <v/>
      </c>
      <c r="N262" s="165">
        <f>IF($C262="","",SUMIFS(Transaksi!$F$16:$F$5015,Transaksi!$G$16:$G$5015,$A262,Transaksi!$H$16:$H$5015,$B262,Transaksi!$I$16:$I$5015,$C262,Transaksi!$B$16:$B$5015,"&gt;="&amp;DATE(Dashboard!$C$4,11,1),Transaksi!$B$16:$B$5015,"&lt;="&amp;EOMONTH(DATE(Dashboard!$C$4,11,1),0)))</f>
        <v/>
      </c>
      <c r="O262" s="165">
        <f>IF($C262="","",SUMIFS(Transaksi!$F$16:$F$5015,Transaksi!$G$16:$G$5015,$A262,Transaksi!$H$16:$H$5015,$B262,Transaksi!$I$16:$I$5015,$C262,Transaksi!$B$16:$B$5015,"&gt;="&amp;DATE(Dashboard!$C$4,12,1),Transaksi!$B$16:$B$5015,"&lt;="&amp;EOMONTH(DATE(Dashboard!$C$4,12,1),0)))</f>
        <v/>
      </c>
      <c r="P262" s="166">
        <f>IF($C262="","",SUM(D262:O262))</f>
        <v/>
      </c>
    </row>
    <row r="263" ht="15" customHeight="1" s="94">
      <c r="A263" s="164">
        <f>IF(Kategori!C263="","",Kategori!A263)</f>
        <v/>
      </c>
      <c r="B263" s="164">
        <f>IF(Kategori!C263="","",Kategori!B263)</f>
        <v/>
      </c>
      <c r="C263" s="108">
        <f>IF(Kategori!C263="","",Kategori!C263)</f>
        <v/>
      </c>
      <c r="D263" s="165">
        <f>IF($C263="","",SUMIFS(Transaksi!$F$16:$F$5015,Transaksi!$G$16:$G$5015,$A263,Transaksi!$H$16:$H$5015,$B263,Transaksi!$I$16:$I$5015,$C263,Transaksi!$B$16:$B$5015,"&gt;="&amp;DATE(Dashboard!$C$4,1,1),Transaksi!$B$16:$B$5015,"&lt;="&amp;EOMONTH(DATE(Dashboard!$C$4,1,1),0)))</f>
        <v/>
      </c>
      <c r="E263" s="165">
        <f>IF($C263="","",SUMIFS(Transaksi!$F$16:$F$5015,Transaksi!$G$16:$G$5015,$A263,Transaksi!$H$16:$H$5015,$B263,Transaksi!$I$16:$I$5015,$C263,Transaksi!$B$16:$B$5015,"&gt;="&amp;DATE(Dashboard!$C$4,2,1),Transaksi!$B$16:$B$5015,"&lt;="&amp;EOMONTH(DATE(Dashboard!$C$4,2,1),0)))</f>
        <v/>
      </c>
      <c r="F263" s="165">
        <f>IF($C263="","",SUMIFS(Transaksi!$F$16:$F$5015,Transaksi!$G$16:$G$5015,$A263,Transaksi!$H$16:$H$5015,$B263,Transaksi!$I$16:$I$5015,$C263,Transaksi!$B$16:$B$5015,"&gt;="&amp;DATE(Dashboard!$C$4,3,1),Transaksi!$B$16:$B$5015,"&lt;="&amp;EOMONTH(DATE(Dashboard!$C$4,3,1),0)))</f>
        <v/>
      </c>
      <c r="G263" s="165">
        <f>IF($C263="","",SUMIFS(Transaksi!$F$16:$F$5015,Transaksi!$G$16:$G$5015,$A263,Transaksi!$H$16:$H$5015,$B263,Transaksi!$I$16:$I$5015,$C263,Transaksi!$B$16:$B$5015,"&gt;="&amp;DATE(Dashboard!$C$4,4,1),Transaksi!$B$16:$B$5015,"&lt;="&amp;EOMONTH(DATE(Dashboard!$C$4,4,1),0)))</f>
        <v/>
      </c>
      <c r="H263" s="165">
        <f>IF($C263="","",SUMIFS(Transaksi!$F$16:$F$5015,Transaksi!$G$16:$G$5015,$A263,Transaksi!$H$16:$H$5015,$B263,Transaksi!$I$16:$I$5015,$C263,Transaksi!$B$16:$B$5015,"&gt;="&amp;DATE(Dashboard!$C$4,5,1),Transaksi!$B$16:$B$5015,"&lt;="&amp;EOMONTH(DATE(Dashboard!$C$4,5,1),0)))</f>
        <v/>
      </c>
      <c r="I263" s="165">
        <f>IF($C263="","",SUMIFS(Transaksi!$F$16:$F$5015,Transaksi!$G$16:$G$5015,$A263,Transaksi!$H$16:$H$5015,$B263,Transaksi!$I$16:$I$5015,$C263,Transaksi!$B$16:$B$5015,"&gt;="&amp;DATE(Dashboard!$C$4,6,1),Transaksi!$B$16:$B$5015,"&lt;="&amp;EOMONTH(DATE(Dashboard!$C$4,6,1),0)))</f>
        <v/>
      </c>
      <c r="J263" s="165">
        <f>IF($C263="","",SUMIFS(Transaksi!$F$16:$F$5015,Transaksi!$G$16:$G$5015,$A263,Transaksi!$H$16:$H$5015,$B263,Transaksi!$I$16:$I$5015,$C263,Transaksi!$B$16:$B$5015,"&gt;="&amp;DATE(Dashboard!$C$4,7,1),Transaksi!$B$16:$B$5015,"&lt;="&amp;EOMONTH(DATE(Dashboard!$C$4,7,1),0)))</f>
        <v/>
      </c>
      <c r="K263" s="165">
        <f>IF($C263="","",SUMIFS(Transaksi!$F$16:$F$5015,Transaksi!$G$16:$G$5015,$A263,Transaksi!$H$16:$H$5015,$B263,Transaksi!$I$16:$I$5015,$C263,Transaksi!$B$16:$B$5015,"&gt;="&amp;DATE(Dashboard!$C$4,8,1),Transaksi!$B$16:$B$5015,"&lt;="&amp;EOMONTH(DATE(Dashboard!$C$4,8,1),0)))</f>
        <v/>
      </c>
      <c r="L263" s="165">
        <f>IF($C263="","",SUMIFS(Transaksi!$F$16:$F$5015,Transaksi!$G$16:$G$5015,$A263,Transaksi!$H$16:$H$5015,$B263,Transaksi!$I$16:$I$5015,$C263,Transaksi!$B$16:$B$5015,"&gt;="&amp;DATE(Dashboard!$C$4,9,1),Transaksi!$B$16:$B$5015,"&lt;="&amp;EOMONTH(DATE(Dashboard!$C$4,9,1),0)))</f>
        <v/>
      </c>
      <c r="M263" s="165">
        <f>IF($C263="","",SUMIFS(Transaksi!$F$16:$F$5015,Transaksi!$G$16:$G$5015,$A263,Transaksi!$H$16:$H$5015,$B263,Transaksi!$I$16:$I$5015,$C263,Transaksi!$B$16:$B$5015,"&gt;="&amp;DATE(Dashboard!$C$4,10,1),Transaksi!$B$16:$B$5015,"&lt;="&amp;EOMONTH(DATE(Dashboard!$C$4,10,1),0)))</f>
        <v/>
      </c>
      <c r="N263" s="165">
        <f>IF($C263="","",SUMIFS(Transaksi!$F$16:$F$5015,Transaksi!$G$16:$G$5015,$A263,Transaksi!$H$16:$H$5015,$B263,Transaksi!$I$16:$I$5015,$C263,Transaksi!$B$16:$B$5015,"&gt;="&amp;DATE(Dashboard!$C$4,11,1),Transaksi!$B$16:$B$5015,"&lt;="&amp;EOMONTH(DATE(Dashboard!$C$4,11,1),0)))</f>
        <v/>
      </c>
      <c r="O263" s="165">
        <f>IF($C263="","",SUMIFS(Transaksi!$F$16:$F$5015,Transaksi!$G$16:$G$5015,$A263,Transaksi!$H$16:$H$5015,$B263,Transaksi!$I$16:$I$5015,$C263,Transaksi!$B$16:$B$5015,"&gt;="&amp;DATE(Dashboard!$C$4,12,1),Transaksi!$B$16:$B$5015,"&lt;="&amp;EOMONTH(DATE(Dashboard!$C$4,12,1),0)))</f>
        <v/>
      </c>
      <c r="P263" s="166">
        <f>IF($C263="","",SUM(D263:O263))</f>
        <v/>
      </c>
    </row>
    <row r="264" ht="15" customHeight="1" s="94">
      <c r="A264" s="164">
        <f>IF(Kategori!C264="","",Kategori!A264)</f>
        <v/>
      </c>
      <c r="B264" s="164">
        <f>IF(Kategori!C264="","",Kategori!B264)</f>
        <v/>
      </c>
      <c r="C264" s="108">
        <f>IF(Kategori!C264="","",Kategori!C264)</f>
        <v/>
      </c>
      <c r="D264" s="165">
        <f>IF($C264="","",SUMIFS(Transaksi!$F$16:$F$5015,Transaksi!$G$16:$G$5015,$A264,Transaksi!$H$16:$H$5015,$B264,Transaksi!$I$16:$I$5015,$C264,Transaksi!$B$16:$B$5015,"&gt;="&amp;DATE(Dashboard!$C$4,1,1),Transaksi!$B$16:$B$5015,"&lt;="&amp;EOMONTH(DATE(Dashboard!$C$4,1,1),0)))</f>
        <v/>
      </c>
      <c r="E264" s="165">
        <f>IF($C264="","",SUMIFS(Transaksi!$F$16:$F$5015,Transaksi!$G$16:$G$5015,$A264,Transaksi!$H$16:$H$5015,$B264,Transaksi!$I$16:$I$5015,$C264,Transaksi!$B$16:$B$5015,"&gt;="&amp;DATE(Dashboard!$C$4,2,1),Transaksi!$B$16:$B$5015,"&lt;="&amp;EOMONTH(DATE(Dashboard!$C$4,2,1),0)))</f>
        <v/>
      </c>
      <c r="F264" s="165">
        <f>IF($C264="","",SUMIFS(Transaksi!$F$16:$F$5015,Transaksi!$G$16:$G$5015,$A264,Transaksi!$H$16:$H$5015,$B264,Transaksi!$I$16:$I$5015,$C264,Transaksi!$B$16:$B$5015,"&gt;="&amp;DATE(Dashboard!$C$4,3,1),Transaksi!$B$16:$B$5015,"&lt;="&amp;EOMONTH(DATE(Dashboard!$C$4,3,1),0)))</f>
        <v/>
      </c>
      <c r="G264" s="165">
        <f>IF($C264="","",SUMIFS(Transaksi!$F$16:$F$5015,Transaksi!$G$16:$G$5015,$A264,Transaksi!$H$16:$H$5015,$B264,Transaksi!$I$16:$I$5015,$C264,Transaksi!$B$16:$B$5015,"&gt;="&amp;DATE(Dashboard!$C$4,4,1),Transaksi!$B$16:$B$5015,"&lt;="&amp;EOMONTH(DATE(Dashboard!$C$4,4,1),0)))</f>
        <v/>
      </c>
      <c r="H264" s="165">
        <f>IF($C264="","",SUMIFS(Transaksi!$F$16:$F$5015,Transaksi!$G$16:$G$5015,$A264,Transaksi!$H$16:$H$5015,$B264,Transaksi!$I$16:$I$5015,$C264,Transaksi!$B$16:$B$5015,"&gt;="&amp;DATE(Dashboard!$C$4,5,1),Transaksi!$B$16:$B$5015,"&lt;="&amp;EOMONTH(DATE(Dashboard!$C$4,5,1),0)))</f>
        <v/>
      </c>
      <c r="I264" s="165">
        <f>IF($C264="","",SUMIFS(Transaksi!$F$16:$F$5015,Transaksi!$G$16:$G$5015,$A264,Transaksi!$H$16:$H$5015,$B264,Transaksi!$I$16:$I$5015,$C264,Transaksi!$B$16:$B$5015,"&gt;="&amp;DATE(Dashboard!$C$4,6,1),Transaksi!$B$16:$B$5015,"&lt;="&amp;EOMONTH(DATE(Dashboard!$C$4,6,1),0)))</f>
        <v/>
      </c>
      <c r="J264" s="165">
        <f>IF($C264="","",SUMIFS(Transaksi!$F$16:$F$5015,Transaksi!$G$16:$G$5015,$A264,Transaksi!$H$16:$H$5015,$B264,Transaksi!$I$16:$I$5015,$C264,Transaksi!$B$16:$B$5015,"&gt;="&amp;DATE(Dashboard!$C$4,7,1),Transaksi!$B$16:$B$5015,"&lt;="&amp;EOMONTH(DATE(Dashboard!$C$4,7,1),0)))</f>
        <v/>
      </c>
      <c r="K264" s="165">
        <f>IF($C264="","",SUMIFS(Transaksi!$F$16:$F$5015,Transaksi!$G$16:$G$5015,$A264,Transaksi!$H$16:$H$5015,$B264,Transaksi!$I$16:$I$5015,$C264,Transaksi!$B$16:$B$5015,"&gt;="&amp;DATE(Dashboard!$C$4,8,1),Transaksi!$B$16:$B$5015,"&lt;="&amp;EOMONTH(DATE(Dashboard!$C$4,8,1),0)))</f>
        <v/>
      </c>
      <c r="L264" s="165">
        <f>IF($C264="","",SUMIFS(Transaksi!$F$16:$F$5015,Transaksi!$G$16:$G$5015,$A264,Transaksi!$H$16:$H$5015,$B264,Transaksi!$I$16:$I$5015,$C264,Transaksi!$B$16:$B$5015,"&gt;="&amp;DATE(Dashboard!$C$4,9,1),Transaksi!$B$16:$B$5015,"&lt;="&amp;EOMONTH(DATE(Dashboard!$C$4,9,1),0)))</f>
        <v/>
      </c>
      <c r="M264" s="165">
        <f>IF($C264="","",SUMIFS(Transaksi!$F$16:$F$5015,Transaksi!$G$16:$G$5015,$A264,Transaksi!$H$16:$H$5015,$B264,Transaksi!$I$16:$I$5015,$C264,Transaksi!$B$16:$B$5015,"&gt;="&amp;DATE(Dashboard!$C$4,10,1),Transaksi!$B$16:$B$5015,"&lt;="&amp;EOMONTH(DATE(Dashboard!$C$4,10,1),0)))</f>
        <v/>
      </c>
      <c r="N264" s="165">
        <f>IF($C264="","",SUMIFS(Transaksi!$F$16:$F$5015,Transaksi!$G$16:$G$5015,$A264,Transaksi!$H$16:$H$5015,$B264,Transaksi!$I$16:$I$5015,$C264,Transaksi!$B$16:$B$5015,"&gt;="&amp;DATE(Dashboard!$C$4,11,1),Transaksi!$B$16:$B$5015,"&lt;="&amp;EOMONTH(DATE(Dashboard!$C$4,11,1),0)))</f>
        <v/>
      </c>
      <c r="O264" s="165">
        <f>IF($C264="","",SUMIFS(Transaksi!$F$16:$F$5015,Transaksi!$G$16:$G$5015,$A264,Transaksi!$H$16:$H$5015,$B264,Transaksi!$I$16:$I$5015,$C264,Transaksi!$B$16:$B$5015,"&gt;="&amp;DATE(Dashboard!$C$4,12,1),Transaksi!$B$16:$B$5015,"&lt;="&amp;EOMONTH(DATE(Dashboard!$C$4,12,1),0)))</f>
        <v/>
      </c>
      <c r="P264" s="166">
        <f>IF($C264="","",SUM(D264:O264))</f>
        <v/>
      </c>
    </row>
    <row r="265" ht="15" customHeight="1" s="94">
      <c r="A265" s="164">
        <f>IF(Kategori!C265="","",Kategori!A265)</f>
        <v/>
      </c>
      <c r="B265" s="164">
        <f>IF(Kategori!C265="","",Kategori!B265)</f>
        <v/>
      </c>
      <c r="C265" s="108">
        <f>IF(Kategori!C265="","",Kategori!C265)</f>
        <v/>
      </c>
      <c r="D265" s="165">
        <f>IF($C265="","",SUMIFS(Transaksi!$F$16:$F$5015,Transaksi!$G$16:$G$5015,$A265,Transaksi!$H$16:$H$5015,$B265,Transaksi!$I$16:$I$5015,$C265,Transaksi!$B$16:$B$5015,"&gt;="&amp;DATE(Dashboard!$C$4,1,1),Transaksi!$B$16:$B$5015,"&lt;="&amp;EOMONTH(DATE(Dashboard!$C$4,1,1),0)))</f>
        <v/>
      </c>
      <c r="E265" s="165">
        <f>IF($C265="","",SUMIFS(Transaksi!$F$16:$F$5015,Transaksi!$G$16:$G$5015,$A265,Transaksi!$H$16:$H$5015,$B265,Transaksi!$I$16:$I$5015,$C265,Transaksi!$B$16:$B$5015,"&gt;="&amp;DATE(Dashboard!$C$4,2,1),Transaksi!$B$16:$B$5015,"&lt;="&amp;EOMONTH(DATE(Dashboard!$C$4,2,1),0)))</f>
        <v/>
      </c>
      <c r="F265" s="165">
        <f>IF($C265="","",SUMIFS(Transaksi!$F$16:$F$5015,Transaksi!$G$16:$G$5015,$A265,Transaksi!$H$16:$H$5015,$B265,Transaksi!$I$16:$I$5015,$C265,Transaksi!$B$16:$B$5015,"&gt;="&amp;DATE(Dashboard!$C$4,3,1),Transaksi!$B$16:$B$5015,"&lt;="&amp;EOMONTH(DATE(Dashboard!$C$4,3,1),0)))</f>
        <v/>
      </c>
      <c r="G265" s="165">
        <f>IF($C265="","",SUMIFS(Transaksi!$F$16:$F$5015,Transaksi!$G$16:$G$5015,$A265,Transaksi!$H$16:$H$5015,$B265,Transaksi!$I$16:$I$5015,$C265,Transaksi!$B$16:$B$5015,"&gt;="&amp;DATE(Dashboard!$C$4,4,1),Transaksi!$B$16:$B$5015,"&lt;="&amp;EOMONTH(DATE(Dashboard!$C$4,4,1),0)))</f>
        <v/>
      </c>
      <c r="H265" s="165">
        <f>IF($C265="","",SUMIFS(Transaksi!$F$16:$F$5015,Transaksi!$G$16:$G$5015,$A265,Transaksi!$H$16:$H$5015,$B265,Transaksi!$I$16:$I$5015,$C265,Transaksi!$B$16:$B$5015,"&gt;="&amp;DATE(Dashboard!$C$4,5,1),Transaksi!$B$16:$B$5015,"&lt;="&amp;EOMONTH(DATE(Dashboard!$C$4,5,1),0)))</f>
        <v/>
      </c>
      <c r="I265" s="165">
        <f>IF($C265="","",SUMIFS(Transaksi!$F$16:$F$5015,Transaksi!$G$16:$G$5015,$A265,Transaksi!$H$16:$H$5015,$B265,Transaksi!$I$16:$I$5015,$C265,Transaksi!$B$16:$B$5015,"&gt;="&amp;DATE(Dashboard!$C$4,6,1),Transaksi!$B$16:$B$5015,"&lt;="&amp;EOMONTH(DATE(Dashboard!$C$4,6,1),0)))</f>
        <v/>
      </c>
      <c r="J265" s="165">
        <f>IF($C265="","",SUMIFS(Transaksi!$F$16:$F$5015,Transaksi!$G$16:$G$5015,$A265,Transaksi!$H$16:$H$5015,$B265,Transaksi!$I$16:$I$5015,$C265,Transaksi!$B$16:$B$5015,"&gt;="&amp;DATE(Dashboard!$C$4,7,1),Transaksi!$B$16:$B$5015,"&lt;="&amp;EOMONTH(DATE(Dashboard!$C$4,7,1),0)))</f>
        <v/>
      </c>
      <c r="K265" s="165">
        <f>IF($C265="","",SUMIFS(Transaksi!$F$16:$F$5015,Transaksi!$G$16:$G$5015,$A265,Transaksi!$H$16:$H$5015,$B265,Transaksi!$I$16:$I$5015,$C265,Transaksi!$B$16:$B$5015,"&gt;="&amp;DATE(Dashboard!$C$4,8,1),Transaksi!$B$16:$B$5015,"&lt;="&amp;EOMONTH(DATE(Dashboard!$C$4,8,1),0)))</f>
        <v/>
      </c>
      <c r="L265" s="165">
        <f>IF($C265="","",SUMIFS(Transaksi!$F$16:$F$5015,Transaksi!$G$16:$G$5015,$A265,Transaksi!$H$16:$H$5015,$B265,Transaksi!$I$16:$I$5015,$C265,Transaksi!$B$16:$B$5015,"&gt;="&amp;DATE(Dashboard!$C$4,9,1),Transaksi!$B$16:$B$5015,"&lt;="&amp;EOMONTH(DATE(Dashboard!$C$4,9,1),0)))</f>
        <v/>
      </c>
      <c r="M265" s="165">
        <f>IF($C265="","",SUMIFS(Transaksi!$F$16:$F$5015,Transaksi!$G$16:$G$5015,$A265,Transaksi!$H$16:$H$5015,$B265,Transaksi!$I$16:$I$5015,$C265,Transaksi!$B$16:$B$5015,"&gt;="&amp;DATE(Dashboard!$C$4,10,1),Transaksi!$B$16:$B$5015,"&lt;="&amp;EOMONTH(DATE(Dashboard!$C$4,10,1),0)))</f>
        <v/>
      </c>
      <c r="N265" s="165">
        <f>IF($C265="","",SUMIFS(Transaksi!$F$16:$F$5015,Transaksi!$G$16:$G$5015,$A265,Transaksi!$H$16:$H$5015,$B265,Transaksi!$I$16:$I$5015,$C265,Transaksi!$B$16:$B$5015,"&gt;="&amp;DATE(Dashboard!$C$4,11,1),Transaksi!$B$16:$B$5015,"&lt;="&amp;EOMONTH(DATE(Dashboard!$C$4,11,1),0)))</f>
        <v/>
      </c>
      <c r="O265" s="165">
        <f>IF($C265="","",SUMIFS(Transaksi!$F$16:$F$5015,Transaksi!$G$16:$G$5015,$A265,Transaksi!$H$16:$H$5015,$B265,Transaksi!$I$16:$I$5015,$C265,Transaksi!$B$16:$B$5015,"&gt;="&amp;DATE(Dashboard!$C$4,12,1),Transaksi!$B$16:$B$5015,"&lt;="&amp;EOMONTH(DATE(Dashboard!$C$4,12,1),0)))</f>
        <v/>
      </c>
      <c r="P265" s="166">
        <f>IF($C265="","",SUM(D265:O265))</f>
        <v/>
      </c>
    </row>
    <row r="266" ht="15" customHeight="1" s="94">
      <c r="A266" s="164">
        <f>IF(Kategori!C266="","",Kategori!A266)</f>
        <v/>
      </c>
      <c r="B266" s="164">
        <f>IF(Kategori!C266="","",Kategori!B266)</f>
        <v/>
      </c>
      <c r="C266" s="108">
        <f>IF(Kategori!C266="","",Kategori!C266)</f>
        <v/>
      </c>
      <c r="D266" s="165">
        <f>IF($C266="","",SUMIFS(Transaksi!$F$16:$F$5015,Transaksi!$G$16:$G$5015,$A266,Transaksi!$H$16:$H$5015,$B266,Transaksi!$I$16:$I$5015,$C266,Transaksi!$B$16:$B$5015,"&gt;="&amp;DATE(Dashboard!$C$4,1,1),Transaksi!$B$16:$B$5015,"&lt;="&amp;EOMONTH(DATE(Dashboard!$C$4,1,1),0)))</f>
        <v/>
      </c>
      <c r="E266" s="165">
        <f>IF($C266="","",SUMIFS(Transaksi!$F$16:$F$5015,Transaksi!$G$16:$G$5015,$A266,Transaksi!$H$16:$H$5015,$B266,Transaksi!$I$16:$I$5015,$C266,Transaksi!$B$16:$B$5015,"&gt;="&amp;DATE(Dashboard!$C$4,2,1),Transaksi!$B$16:$B$5015,"&lt;="&amp;EOMONTH(DATE(Dashboard!$C$4,2,1),0)))</f>
        <v/>
      </c>
      <c r="F266" s="165">
        <f>IF($C266="","",SUMIFS(Transaksi!$F$16:$F$5015,Transaksi!$G$16:$G$5015,$A266,Transaksi!$H$16:$H$5015,$B266,Transaksi!$I$16:$I$5015,$C266,Transaksi!$B$16:$B$5015,"&gt;="&amp;DATE(Dashboard!$C$4,3,1),Transaksi!$B$16:$B$5015,"&lt;="&amp;EOMONTH(DATE(Dashboard!$C$4,3,1),0)))</f>
        <v/>
      </c>
      <c r="G266" s="165">
        <f>IF($C266="","",SUMIFS(Transaksi!$F$16:$F$5015,Transaksi!$G$16:$G$5015,$A266,Transaksi!$H$16:$H$5015,$B266,Transaksi!$I$16:$I$5015,$C266,Transaksi!$B$16:$B$5015,"&gt;="&amp;DATE(Dashboard!$C$4,4,1),Transaksi!$B$16:$B$5015,"&lt;="&amp;EOMONTH(DATE(Dashboard!$C$4,4,1),0)))</f>
        <v/>
      </c>
      <c r="H266" s="165">
        <f>IF($C266="","",SUMIFS(Transaksi!$F$16:$F$5015,Transaksi!$G$16:$G$5015,$A266,Transaksi!$H$16:$H$5015,$B266,Transaksi!$I$16:$I$5015,$C266,Transaksi!$B$16:$B$5015,"&gt;="&amp;DATE(Dashboard!$C$4,5,1),Transaksi!$B$16:$B$5015,"&lt;="&amp;EOMONTH(DATE(Dashboard!$C$4,5,1),0)))</f>
        <v/>
      </c>
      <c r="I266" s="165">
        <f>IF($C266="","",SUMIFS(Transaksi!$F$16:$F$5015,Transaksi!$G$16:$G$5015,$A266,Transaksi!$H$16:$H$5015,$B266,Transaksi!$I$16:$I$5015,$C266,Transaksi!$B$16:$B$5015,"&gt;="&amp;DATE(Dashboard!$C$4,6,1),Transaksi!$B$16:$B$5015,"&lt;="&amp;EOMONTH(DATE(Dashboard!$C$4,6,1),0)))</f>
        <v/>
      </c>
      <c r="J266" s="165">
        <f>IF($C266="","",SUMIFS(Transaksi!$F$16:$F$5015,Transaksi!$G$16:$G$5015,$A266,Transaksi!$H$16:$H$5015,$B266,Transaksi!$I$16:$I$5015,$C266,Transaksi!$B$16:$B$5015,"&gt;="&amp;DATE(Dashboard!$C$4,7,1),Transaksi!$B$16:$B$5015,"&lt;="&amp;EOMONTH(DATE(Dashboard!$C$4,7,1),0)))</f>
        <v/>
      </c>
      <c r="K266" s="165">
        <f>IF($C266="","",SUMIFS(Transaksi!$F$16:$F$5015,Transaksi!$G$16:$G$5015,$A266,Transaksi!$H$16:$H$5015,$B266,Transaksi!$I$16:$I$5015,$C266,Transaksi!$B$16:$B$5015,"&gt;="&amp;DATE(Dashboard!$C$4,8,1),Transaksi!$B$16:$B$5015,"&lt;="&amp;EOMONTH(DATE(Dashboard!$C$4,8,1),0)))</f>
        <v/>
      </c>
      <c r="L266" s="165">
        <f>IF($C266="","",SUMIFS(Transaksi!$F$16:$F$5015,Transaksi!$G$16:$G$5015,$A266,Transaksi!$H$16:$H$5015,$B266,Transaksi!$I$16:$I$5015,$C266,Transaksi!$B$16:$B$5015,"&gt;="&amp;DATE(Dashboard!$C$4,9,1),Transaksi!$B$16:$B$5015,"&lt;="&amp;EOMONTH(DATE(Dashboard!$C$4,9,1),0)))</f>
        <v/>
      </c>
      <c r="M266" s="165">
        <f>IF($C266="","",SUMIFS(Transaksi!$F$16:$F$5015,Transaksi!$G$16:$G$5015,$A266,Transaksi!$H$16:$H$5015,$B266,Transaksi!$I$16:$I$5015,$C266,Transaksi!$B$16:$B$5015,"&gt;="&amp;DATE(Dashboard!$C$4,10,1),Transaksi!$B$16:$B$5015,"&lt;="&amp;EOMONTH(DATE(Dashboard!$C$4,10,1),0)))</f>
        <v/>
      </c>
      <c r="N266" s="165">
        <f>IF($C266="","",SUMIFS(Transaksi!$F$16:$F$5015,Transaksi!$G$16:$G$5015,$A266,Transaksi!$H$16:$H$5015,$B266,Transaksi!$I$16:$I$5015,$C266,Transaksi!$B$16:$B$5015,"&gt;="&amp;DATE(Dashboard!$C$4,11,1),Transaksi!$B$16:$B$5015,"&lt;="&amp;EOMONTH(DATE(Dashboard!$C$4,11,1),0)))</f>
        <v/>
      </c>
      <c r="O266" s="165">
        <f>IF($C266="","",SUMIFS(Transaksi!$F$16:$F$5015,Transaksi!$G$16:$G$5015,$A266,Transaksi!$H$16:$H$5015,$B266,Transaksi!$I$16:$I$5015,$C266,Transaksi!$B$16:$B$5015,"&gt;="&amp;DATE(Dashboard!$C$4,12,1),Transaksi!$B$16:$B$5015,"&lt;="&amp;EOMONTH(DATE(Dashboard!$C$4,12,1),0)))</f>
        <v/>
      </c>
      <c r="P266" s="166">
        <f>IF($C266="","",SUM(D266:O266))</f>
        <v/>
      </c>
    </row>
    <row r="267" ht="15" customHeight="1" s="94">
      <c r="A267" s="164">
        <f>IF(Kategori!C267="","",Kategori!A267)</f>
        <v/>
      </c>
      <c r="B267" s="164">
        <f>IF(Kategori!C267="","",Kategori!B267)</f>
        <v/>
      </c>
      <c r="C267" s="108">
        <f>IF(Kategori!C267="","",Kategori!C267)</f>
        <v/>
      </c>
      <c r="D267" s="165">
        <f>IF($C267="","",SUMIFS(Transaksi!$F$16:$F$5015,Transaksi!$G$16:$G$5015,$A267,Transaksi!$H$16:$H$5015,$B267,Transaksi!$I$16:$I$5015,$C267,Transaksi!$B$16:$B$5015,"&gt;="&amp;DATE(Dashboard!$C$4,1,1),Transaksi!$B$16:$B$5015,"&lt;="&amp;EOMONTH(DATE(Dashboard!$C$4,1,1),0)))</f>
        <v/>
      </c>
      <c r="E267" s="165">
        <f>IF($C267="","",SUMIFS(Transaksi!$F$16:$F$5015,Transaksi!$G$16:$G$5015,$A267,Transaksi!$H$16:$H$5015,$B267,Transaksi!$I$16:$I$5015,$C267,Transaksi!$B$16:$B$5015,"&gt;="&amp;DATE(Dashboard!$C$4,2,1),Transaksi!$B$16:$B$5015,"&lt;="&amp;EOMONTH(DATE(Dashboard!$C$4,2,1),0)))</f>
        <v/>
      </c>
      <c r="F267" s="165">
        <f>IF($C267="","",SUMIFS(Transaksi!$F$16:$F$5015,Transaksi!$G$16:$G$5015,$A267,Transaksi!$H$16:$H$5015,$B267,Transaksi!$I$16:$I$5015,$C267,Transaksi!$B$16:$B$5015,"&gt;="&amp;DATE(Dashboard!$C$4,3,1),Transaksi!$B$16:$B$5015,"&lt;="&amp;EOMONTH(DATE(Dashboard!$C$4,3,1),0)))</f>
        <v/>
      </c>
      <c r="G267" s="165">
        <f>IF($C267="","",SUMIFS(Transaksi!$F$16:$F$5015,Transaksi!$G$16:$G$5015,$A267,Transaksi!$H$16:$H$5015,$B267,Transaksi!$I$16:$I$5015,$C267,Transaksi!$B$16:$B$5015,"&gt;="&amp;DATE(Dashboard!$C$4,4,1),Transaksi!$B$16:$B$5015,"&lt;="&amp;EOMONTH(DATE(Dashboard!$C$4,4,1),0)))</f>
        <v/>
      </c>
      <c r="H267" s="165">
        <f>IF($C267="","",SUMIFS(Transaksi!$F$16:$F$5015,Transaksi!$G$16:$G$5015,$A267,Transaksi!$H$16:$H$5015,$B267,Transaksi!$I$16:$I$5015,$C267,Transaksi!$B$16:$B$5015,"&gt;="&amp;DATE(Dashboard!$C$4,5,1),Transaksi!$B$16:$B$5015,"&lt;="&amp;EOMONTH(DATE(Dashboard!$C$4,5,1),0)))</f>
        <v/>
      </c>
      <c r="I267" s="165">
        <f>IF($C267="","",SUMIFS(Transaksi!$F$16:$F$5015,Transaksi!$G$16:$G$5015,$A267,Transaksi!$H$16:$H$5015,$B267,Transaksi!$I$16:$I$5015,$C267,Transaksi!$B$16:$B$5015,"&gt;="&amp;DATE(Dashboard!$C$4,6,1),Transaksi!$B$16:$B$5015,"&lt;="&amp;EOMONTH(DATE(Dashboard!$C$4,6,1),0)))</f>
        <v/>
      </c>
      <c r="J267" s="165">
        <f>IF($C267="","",SUMIFS(Transaksi!$F$16:$F$5015,Transaksi!$G$16:$G$5015,$A267,Transaksi!$H$16:$H$5015,$B267,Transaksi!$I$16:$I$5015,$C267,Transaksi!$B$16:$B$5015,"&gt;="&amp;DATE(Dashboard!$C$4,7,1),Transaksi!$B$16:$B$5015,"&lt;="&amp;EOMONTH(DATE(Dashboard!$C$4,7,1),0)))</f>
        <v/>
      </c>
      <c r="K267" s="165">
        <f>IF($C267="","",SUMIFS(Transaksi!$F$16:$F$5015,Transaksi!$G$16:$G$5015,$A267,Transaksi!$H$16:$H$5015,$B267,Transaksi!$I$16:$I$5015,$C267,Transaksi!$B$16:$B$5015,"&gt;="&amp;DATE(Dashboard!$C$4,8,1),Transaksi!$B$16:$B$5015,"&lt;="&amp;EOMONTH(DATE(Dashboard!$C$4,8,1),0)))</f>
        <v/>
      </c>
      <c r="L267" s="165">
        <f>IF($C267="","",SUMIFS(Transaksi!$F$16:$F$5015,Transaksi!$G$16:$G$5015,$A267,Transaksi!$H$16:$H$5015,$B267,Transaksi!$I$16:$I$5015,$C267,Transaksi!$B$16:$B$5015,"&gt;="&amp;DATE(Dashboard!$C$4,9,1),Transaksi!$B$16:$B$5015,"&lt;="&amp;EOMONTH(DATE(Dashboard!$C$4,9,1),0)))</f>
        <v/>
      </c>
      <c r="M267" s="165">
        <f>IF($C267="","",SUMIFS(Transaksi!$F$16:$F$5015,Transaksi!$G$16:$G$5015,$A267,Transaksi!$H$16:$H$5015,$B267,Transaksi!$I$16:$I$5015,$C267,Transaksi!$B$16:$B$5015,"&gt;="&amp;DATE(Dashboard!$C$4,10,1),Transaksi!$B$16:$B$5015,"&lt;="&amp;EOMONTH(DATE(Dashboard!$C$4,10,1),0)))</f>
        <v/>
      </c>
      <c r="N267" s="165">
        <f>IF($C267="","",SUMIFS(Transaksi!$F$16:$F$5015,Transaksi!$G$16:$G$5015,$A267,Transaksi!$H$16:$H$5015,$B267,Transaksi!$I$16:$I$5015,$C267,Transaksi!$B$16:$B$5015,"&gt;="&amp;DATE(Dashboard!$C$4,11,1),Transaksi!$B$16:$B$5015,"&lt;="&amp;EOMONTH(DATE(Dashboard!$C$4,11,1),0)))</f>
        <v/>
      </c>
      <c r="O267" s="165">
        <f>IF($C267="","",SUMIFS(Transaksi!$F$16:$F$5015,Transaksi!$G$16:$G$5015,$A267,Transaksi!$H$16:$H$5015,$B267,Transaksi!$I$16:$I$5015,$C267,Transaksi!$B$16:$B$5015,"&gt;="&amp;DATE(Dashboard!$C$4,12,1),Transaksi!$B$16:$B$5015,"&lt;="&amp;EOMONTH(DATE(Dashboard!$C$4,12,1),0)))</f>
        <v/>
      </c>
      <c r="P267" s="166">
        <f>IF($C267="","",SUM(D267:O267))</f>
        <v/>
      </c>
    </row>
    <row r="268" ht="15" customHeight="1" s="94">
      <c r="A268" s="164">
        <f>IF(Kategori!C268="","",Kategori!A268)</f>
        <v/>
      </c>
      <c r="B268" s="164">
        <f>IF(Kategori!C268="","",Kategori!B268)</f>
        <v/>
      </c>
      <c r="C268" s="108">
        <f>IF(Kategori!C268="","",Kategori!C268)</f>
        <v/>
      </c>
      <c r="D268" s="165">
        <f>IF($C268="","",SUMIFS(Transaksi!$F$16:$F$5015,Transaksi!$G$16:$G$5015,$A268,Transaksi!$H$16:$H$5015,$B268,Transaksi!$I$16:$I$5015,$C268,Transaksi!$B$16:$B$5015,"&gt;="&amp;DATE(Dashboard!$C$4,1,1),Transaksi!$B$16:$B$5015,"&lt;="&amp;EOMONTH(DATE(Dashboard!$C$4,1,1),0)))</f>
        <v/>
      </c>
      <c r="E268" s="165">
        <f>IF($C268="","",SUMIFS(Transaksi!$F$16:$F$5015,Transaksi!$G$16:$G$5015,$A268,Transaksi!$H$16:$H$5015,$B268,Transaksi!$I$16:$I$5015,$C268,Transaksi!$B$16:$B$5015,"&gt;="&amp;DATE(Dashboard!$C$4,2,1),Transaksi!$B$16:$B$5015,"&lt;="&amp;EOMONTH(DATE(Dashboard!$C$4,2,1),0)))</f>
        <v/>
      </c>
      <c r="F268" s="165">
        <f>IF($C268="","",SUMIFS(Transaksi!$F$16:$F$5015,Transaksi!$G$16:$G$5015,$A268,Transaksi!$H$16:$H$5015,$B268,Transaksi!$I$16:$I$5015,$C268,Transaksi!$B$16:$B$5015,"&gt;="&amp;DATE(Dashboard!$C$4,3,1),Transaksi!$B$16:$B$5015,"&lt;="&amp;EOMONTH(DATE(Dashboard!$C$4,3,1),0)))</f>
        <v/>
      </c>
      <c r="G268" s="165">
        <f>IF($C268="","",SUMIFS(Transaksi!$F$16:$F$5015,Transaksi!$G$16:$G$5015,$A268,Transaksi!$H$16:$H$5015,$B268,Transaksi!$I$16:$I$5015,$C268,Transaksi!$B$16:$B$5015,"&gt;="&amp;DATE(Dashboard!$C$4,4,1),Transaksi!$B$16:$B$5015,"&lt;="&amp;EOMONTH(DATE(Dashboard!$C$4,4,1),0)))</f>
        <v/>
      </c>
      <c r="H268" s="165">
        <f>IF($C268="","",SUMIFS(Transaksi!$F$16:$F$5015,Transaksi!$G$16:$G$5015,$A268,Transaksi!$H$16:$H$5015,$B268,Transaksi!$I$16:$I$5015,$C268,Transaksi!$B$16:$B$5015,"&gt;="&amp;DATE(Dashboard!$C$4,5,1),Transaksi!$B$16:$B$5015,"&lt;="&amp;EOMONTH(DATE(Dashboard!$C$4,5,1),0)))</f>
        <v/>
      </c>
      <c r="I268" s="165">
        <f>IF($C268="","",SUMIFS(Transaksi!$F$16:$F$5015,Transaksi!$G$16:$G$5015,$A268,Transaksi!$H$16:$H$5015,$B268,Transaksi!$I$16:$I$5015,$C268,Transaksi!$B$16:$B$5015,"&gt;="&amp;DATE(Dashboard!$C$4,6,1),Transaksi!$B$16:$B$5015,"&lt;="&amp;EOMONTH(DATE(Dashboard!$C$4,6,1),0)))</f>
        <v/>
      </c>
      <c r="J268" s="165">
        <f>IF($C268="","",SUMIFS(Transaksi!$F$16:$F$5015,Transaksi!$G$16:$G$5015,$A268,Transaksi!$H$16:$H$5015,$B268,Transaksi!$I$16:$I$5015,$C268,Transaksi!$B$16:$B$5015,"&gt;="&amp;DATE(Dashboard!$C$4,7,1),Transaksi!$B$16:$B$5015,"&lt;="&amp;EOMONTH(DATE(Dashboard!$C$4,7,1),0)))</f>
        <v/>
      </c>
      <c r="K268" s="165">
        <f>IF($C268="","",SUMIFS(Transaksi!$F$16:$F$5015,Transaksi!$G$16:$G$5015,$A268,Transaksi!$H$16:$H$5015,$B268,Transaksi!$I$16:$I$5015,$C268,Transaksi!$B$16:$B$5015,"&gt;="&amp;DATE(Dashboard!$C$4,8,1),Transaksi!$B$16:$B$5015,"&lt;="&amp;EOMONTH(DATE(Dashboard!$C$4,8,1),0)))</f>
        <v/>
      </c>
      <c r="L268" s="165">
        <f>IF($C268="","",SUMIFS(Transaksi!$F$16:$F$5015,Transaksi!$G$16:$G$5015,$A268,Transaksi!$H$16:$H$5015,$B268,Transaksi!$I$16:$I$5015,$C268,Transaksi!$B$16:$B$5015,"&gt;="&amp;DATE(Dashboard!$C$4,9,1),Transaksi!$B$16:$B$5015,"&lt;="&amp;EOMONTH(DATE(Dashboard!$C$4,9,1),0)))</f>
        <v/>
      </c>
      <c r="M268" s="165">
        <f>IF($C268="","",SUMIFS(Transaksi!$F$16:$F$5015,Transaksi!$G$16:$G$5015,$A268,Transaksi!$H$16:$H$5015,$B268,Transaksi!$I$16:$I$5015,$C268,Transaksi!$B$16:$B$5015,"&gt;="&amp;DATE(Dashboard!$C$4,10,1),Transaksi!$B$16:$B$5015,"&lt;="&amp;EOMONTH(DATE(Dashboard!$C$4,10,1),0)))</f>
        <v/>
      </c>
      <c r="N268" s="165">
        <f>IF($C268="","",SUMIFS(Transaksi!$F$16:$F$5015,Transaksi!$G$16:$G$5015,$A268,Transaksi!$H$16:$H$5015,$B268,Transaksi!$I$16:$I$5015,$C268,Transaksi!$B$16:$B$5015,"&gt;="&amp;DATE(Dashboard!$C$4,11,1),Transaksi!$B$16:$B$5015,"&lt;="&amp;EOMONTH(DATE(Dashboard!$C$4,11,1),0)))</f>
        <v/>
      </c>
      <c r="O268" s="165">
        <f>IF($C268="","",SUMIFS(Transaksi!$F$16:$F$5015,Transaksi!$G$16:$G$5015,$A268,Transaksi!$H$16:$H$5015,$B268,Transaksi!$I$16:$I$5015,$C268,Transaksi!$B$16:$B$5015,"&gt;="&amp;DATE(Dashboard!$C$4,12,1),Transaksi!$B$16:$B$5015,"&lt;="&amp;EOMONTH(DATE(Dashboard!$C$4,12,1),0)))</f>
        <v/>
      </c>
      <c r="P268" s="166">
        <f>IF($C268="","",SUM(D268:O268))</f>
        <v/>
      </c>
    </row>
    <row r="269" ht="15" customHeight="1" s="94">
      <c r="A269" s="164">
        <f>IF(Kategori!C269="","",Kategori!A269)</f>
        <v/>
      </c>
      <c r="B269" s="164">
        <f>IF(Kategori!C269="","",Kategori!B269)</f>
        <v/>
      </c>
      <c r="C269" s="108">
        <f>IF(Kategori!C269="","",Kategori!C269)</f>
        <v/>
      </c>
      <c r="D269" s="165">
        <f>IF($C269="","",SUMIFS(Transaksi!$F$16:$F$5015,Transaksi!$G$16:$G$5015,$A269,Transaksi!$H$16:$H$5015,$B269,Transaksi!$I$16:$I$5015,$C269,Transaksi!$B$16:$B$5015,"&gt;="&amp;DATE(Dashboard!$C$4,1,1),Transaksi!$B$16:$B$5015,"&lt;="&amp;EOMONTH(DATE(Dashboard!$C$4,1,1),0)))</f>
        <v/>
      </c>
      <c r="E269" s="165">
        <f>IF($C269="","",SUMIFS(Transaksi!$F$16:$F$5015,Transaksi!$G$16:$G$5015,$A269,Transaksi!$H$16:$H$5015,$B269,Transaksi!$I$16:$I$5015,$C269,Transaksi!$B$16:$B$5015,"&gt;="&amp;DATE(Dashboard!$C$4,2,1),Transaksi!$B$16:$B$5015,"&lt;="&amp;EOMONTH(DATE(Dashboard!$C$4,2,1),0)))</f>
        <v/>
      </c>
      <c r="F269" s="165">
        <f>IF($C269="","",SUMIFS(Transaksi!$F$16:$F$5015,Transaksi!$G$16:$G$5015,$A269,Transaksi!$H$16:$H$5015,$B269,Transaksi!$I$16:$I$5015,$C269,Transaksi!$B$16:$B$5015,"&gt;="&amp;DATE(Dashboard!$C$4,3,1),Transaksi!$B$16:$B$5015,"&lt;="&amp;EOMONTH(DATE(Dashboard!$C$4,3,1),0)))</f>
        <v/>
      </c>
      <c r="G269" s="165">
        <f>IF($C269="","",SUMIFS(Transaksi!$F$16:$F$5015,Transaksi!$G$16:$G$5015,$A269,Transaksi!$H$16:$H$5015,$B269,Transaksi!$I$16:$I$5015,$C269,Transaksi!$B$16:$B$5015,"&gt;="&amp;DATE(Dashboard!$C$4,4,1),Transaksi!$B$16:$B$5015,"&lt;="&amp;EOMONTH(DATE(Dashboard!$C$4,4,1),0)))</f>
        <v/>
      </c>
      <c r="H269" s="165">
        <f>IF($C269="","",SUMIFS(Transaksi!$F$16:$F$5015,Transaksi!$G$16:$G$5015,$A269,Transaksi!$H$16:$H$5015,$B269,Transaksi!$I$16:$I$5015,$C269,Transaksi!$B$16:$B$5015,"&gt;="&amp;DATE(Dashboard!$C$4,5,1),Transaksi!$B$16:$B$5015,"&lt;="&amp;EOMONTH(DATE(Dashboard!$C$4,5,1),0)))</f>
        <v/>
      </c>
      <c r="I269" s="165">
        <f>IF($C269="","",SUMIFS(Transaksi!$F$16:$F$5015,Transaksi!$G$16:$G$5015,$A269,Transaksi!$H$16:$H$5015,$B269,Transaksi!$I$16:$I$5015,$C269,Transaksi!$B$16:$B$5015,"&gt;="&amp;DATE(Dashboard!$C$4,6,1),Transaksi!$B$16:$B$5015,"&lt;="&amp;EOMONTH(DATE(Dashboard!$C$4,6,1),0)))</f>
        <v/>
      </c>
      <c r="J269" s="165">
        <f>IF($C269="","",SUMIFS(Transaksi!$F$16:$F$5015,Transaksi!$G$16:$G$5015,$A269,Transaksi!$H$16:$H$5015,$B269,Transaksi!$I$16:$I$5015,$C269,Transaksi!$B$16:$B$5015,"&gt;="&amp;DATE(Dashboard!$C$4,7,1),Transaksi!$B$16:$B$5015,"&lt;="&amp;EOMONTH(DATE(Dashboard!$C$4,7,1),0)))</f>
        <v/>
      </c>
      <c r="K269" s="165">
        <f>IF($C269="","",SUMIFS(Transaksi!$F$16:$F$5015,Transaksi!$G$16:$G$5015,$A269,Transaksi!$H$16:$H$5015,$B269,Transaksi!$I$16:$I$5015,$C269,Transaksi!$B$16:$B$5015,"&gt;="&amp;DATE(Dashboard!$C$4,8,1),Transaksi!$B$16:$B$5015,"&lt;="&amp;EOMONTH(DATE(Dashboard!$C$4,8,1),0)))</f>
        <v/>
      </c>
      <c r="L269" s="165">
        <f>IF($C269="","",SUMIFS(Transaksi!$F$16:$F$5015,Transaksi!$G$16:$G$5015,$A269,Transaksi!$H$16:$H$5015,$B269,Transaksi!$I$16:$I$5015,$C269,Transaksi!$B$16:$B$5015,"&gt;="&amp;DATE(Dashboard!$C$4,9,1),Transaksi!$B$16:$B$5015,"&lt;="&amp;EOMONTH(DATE(Dashboard!$C$4,9,1),0)))</f>
        <v/>
      </c>
      <c r="M269" s="165">
        <f>IF($C269="","",SUMIFS(Transaksi!$F$16:$F$5015,Transaksi!$G$16:$G$5015,$A269,Transaksi!$H$16:$H$5015,$B269,Transaksi!$I$16:$I$5015,$C269,Transaksi!$B$16:$B$5015,"&gt;="&amp;DATE(Dashboard!$C$4,10,1),Transaksi!$B$16:$B$5015,"&lt;="&amp;EOMONTH(DATE(Dashboard!$C$4,10,1),0)))</f>
        <v/>
      </c>
      <c r="N269" s="165">
        <f>IF($C269="","",SUMIFS(Transaksi!$F$16:$F$5015,Transaksi!$G$16:$G$5015,$A269,Transaksi!$H$16:$H$5015,$B269,Transaksi!$I$16:$I$5015,$C269,Transaksi!$B$16:$B$5015,"&gt;="&amp;DATE(Dashboard!$C$4,11,1),Transaksi!$B$16:$B$5015,"&lt;="&amp;EOMONTH(DATE(Dashboard!$C$4,11,1),0)))</f>
        <v/>
      </c>
      <c r="O269" s="165">
        <f>IF($C269="","",SUMIFS(Transaksi!$F$16:$F$5015,Transaksi!$G$16:$G$5015,$A269,Transaksi!$H$16:$H$5015,$B269,Transaksi!$I$16:$I$5015,$C269,Transaksi!$B$16:$B$5015,"&gt;="&amp;DATE(Dashboard!$C$4,12,1),Transaksi!$B$16:$B$5015,"&lt;="&amp;EOMONTH(DATE(Dashboard!$C$4,12,1),0)))</f>
        <v/>
      </c>
      <c r="P269" s="166">
        <f>IF($C269="","",SUM(D269:O269))</f>
        <v/>
      </c>
    </row>
    <row r="270" ht="15" customHeight="1" s="94">
      <c r="A270" s="164">
        <f>IF(Kategori!C270="","",Kategori!A270)</f>
        <v/>
      </c>
      <c r="B270" s="164">
        <f>IF(Kategori!C270="","",Kategori!B270)</f>
        <v/>
      </c>
      <c r="C270" s="108">
        <f>IF(Kategori!C270="","",Kategori!C270)</f>
        <v/>
      </c>
      <c r="D270" s="165">
        <f>IF($C270="","",SUMIFS(Transaksi!$F$16:$F$5015,Transaksi!$G$16:$G$5015,$A270,Transaksi!$H$16:$H$5015,$B270,Transaksi!$I$16:$I$5015,$C270,Transaksi!$B$16:$B$5015,"&gt;="&amp;DATE(Dashboard!$C$4,1,1),Transaksi!$B$16:$B$5015,"&lt;="&amp;EOMONTH(DATE(Dashboard!$C$4,1,1),0)))</f>
        <v/>
      </c>
      <c r="E270" s="165">
        <f>IF($C270="","",SUMIFS(Transaksi!$F$16:$F$5015,Transaksi!$G$16:$G$5015,$A270,Transaksi!$H$16:$H$5015,$B270,Transaksi!$I$16:$I$5015,$C270,Transaksi!$B$16:$B$5015,"&gt;="&amp;DATE(Dashboard!$C$4,2,1),Transaksi!$B$16:$B$5015,"&lt;="&amp;EOMONTH(DATE(Dashboard!$C$4,2,1),0)))</f>
        <v/>
      </c>
      <c r="F270" s="165">
        <f>IF($C270="","",SUMIFS(Transaksi!$F$16:$F$5015,Transaksi!$G$16:$G$5015,$A270,Transaksi!$H$16:$H$5015,$B270,Transaksi!$I$16:$I$5015,$C270,Transaksi!$B$16:$B$5015,"&gt;="&amp;DATE(Dashboard!$C$4,3,1),Transaksi!$B$16:$B$5015,"&lt;="&amp;EOMONTH(DATE(Dashboard!$C$4,3,1),0)))</f>
        <v/>
      </c>
      <c r="G270" s="165">
        <f>IF($C270="","",SUMIFS(Transaksi!$F$16:$F$5015,Transaksi!$G$16:$G$5015,$A270,Transaksi!$H$16:$H$5015,$B270,Transaksi!$I$16:$I$5015,$C270,Transaksi!$B$16:$B$5015,"&gt;="&amp;DATE(Dashboard!$C$4,4,1),Transaksi!$B$16:$B$5015,"&lt;="&amp;EOMONTH(DATE(Dashboard!$C$4,4,1),0)))</f>
        <v/>
      </c>
      <c r="H270" s="165">
        <f>IF($C270="","",SUMIFS(Transaksi!$F$16:$F$5015,Transaksi!$G$16:$G$5015,$A270,Transaksi!$H$16:$H$5015,$B270,Transaksi!$I$16:$I$5015,$C270,Transaksi!$B$16:$B$5015,"&gt;="&amp;DATE(Dashboard!$C$4,5,1),Transaksi!$B$16:$B$5015,"&lt;="&amp;EOMONTH(DATE(Dashboard!$C$4,5,1),0)))</f>
        <v/>
      </c>
      <c r="I270" s="165">
        <f>IF($C270="","",SUMIFS(Transaksi!$F$16:$F$5015,Transaksi!$G$16:$G$5015,$A270,Transaksi!$H$16:$H$5015,$B270,Transaksi!$I$16:$I$5015,$C270,Transaksi!$B$16:$B$5015,"&gt;="&amp;DATE(Dashboard!$C$4,6,1),Transaksi!$B$16:$B$5015,"&lt;="&amp;EOMONTH(DATE(Dashboard!$C$4,6,1),0)))</f>
        <v/>
      </c>
      <c r="J270" s="165">
        <f>IF($C270="","",SUMIFS(Transaksi!$F$16:$F$5015,Transaksi!$G$16:$G$5015,$A270,Transaksi!$H$16:$H$5015,$B270,Transaksi!$I$16:$I$5015,$C270,Transaksi!$B$16:$B$5015,"&gt;="&amp;DATE(Dashboard!$C$4,7,1),Transaksi!$B$16:$B$5015,"&lt;="&amp;EOMONTH(DATE(Dashboard!$C$4,7,1),0)))</f>
        <v/>
      </c>
      <c r="K270" s="165">
        <f>IF($C270="","",SUMIFS(Transaksi!$F$16:$F$5015,Transaksi!$G$16:$G$5015,$A270,Transaksi!$H$16:$H$5015,$B270,Transaksi!$I$16:$I$5015,$C270,Transaksi!$B$16:$B$5015,"&gt;="&amp;DATE(Dashboard!$C$4,8,1),Transaksi!$B$16:$B$5015,"&lt;="&amp;EOMONTH(DATE(Dashboard!$C$4,8,1),0)))</f>
        <v/>
      </c>
      <c r="L270" s="165">
        <f>IF($C270="","",SUMIFS(Transaksi!$F$16:$F$5015,Transaksi!$G$16:$G$5015,$A270,Transaksi!$H$16:$H$5015,$B270,Transaksi!$I$16:$I$5015,$C270,Transaksi!$B$16:$B$5015,"&gt;="&amp;DATE(Dashboard!$C$4,9,1),Transaksi!$B$16:$B$5015,"&lt;="&amp;EOMONTH(DATE(Dashboard!$C$4,9,1),0)))</f>
        <v/>
      </c>
      <c r="M270" s="165">
        <f>IF($C270="","",SUMIFS(Transaksi!$F$16:$F$5015,Transaksi!$G$16:$G$5015,$A270,Transaksi!$H$16:$H$5015,$B270,Transaksi!$I$16:$I$5015,$C270,Transaksi!$B$16:$B$5015,"&gt;="&amp;DATE(Dashboard!$C$4,10,1),Transaksi!$B$16:$B$5015,"&lt;="&amp;EOMONTH(DATE(Dashboard!$C$4,10,1),0)))</f>
        <v/>
      </c>
      <c r="N270" s="165">
        <f>IF($C270="","",SUMIFS(Transaksi!$F$16:$F$5015,Transaksi!$G$16:$G$5015,$A270,Transaksi!$H$16:$H$5015,$B270,Transaksi!$I$16:$I$5015,$C270,Transaksi!$B$16:$B$5015,"&gt;="&amp;DATE(Dashboard!$C$4,11,1),Transaksi!$B$16:$B$5015,"&lt;="&amp;EOMONTH(DATE(Dashboard!$C$4,11,1),0)))</f>
        <v/>
      </c>
      <c r="O270" s="165">
        <f>IF($C270="","",SUMIFS(Transaksi!$F$16:$F$5015,Transaksi!$G$16:$G$5015,$A270,Transaksi!$H$16:$H$5015,$B270,Transaksi!$I$16:$I$5015,$C270,Transaksi!$B$16:$B$5015,"&gt;="&amp;DATE(Dashboard!$C$4,12,1),Transaksi!$B$16:$B$5015,"&lt;="&amp;EOMONTH(DATE(Dashboard!$C$4,12,1),0)))</f>
        <v/>
      </c>
      <c r="P270" s="166">
        <f>IF($C270="","",SUM(D270:O270))</f>
        <v/>
      </c>
    </row>
    <row r="271" ht="15" customHeight="1" s="94">
      <c r="A271" s="164">
        <f>IF(Kategori!C271="","",Kategori!A271)</f>
        <v/>
      </c>
      <c r="B271" s="164">
        <f>IF(Kategori!C271="","",Kategori!B271)</f>
        <v/>
      </c>
      <c r="C271" s="108">
        <f>IF(Kategori!C271="","",Kategori!C271)</f>
        <v/>
      </c>
      <c r="D271" s="165">
        <f>IF($C271="","",SUMIFS(Transaksi!$F$16:$F$5015,Transaksi!$G$16:$G$5015,$A271,Transaksi!$H$16:$H$5015,$B271,Transaksi!$I$16:$I$5015,$C271,Transaksi!$B$16:$B$5015,"&gt;="&amp;DATE(Dashboard!$C$4,1,1),Transaksi!$B$16:$B$5015,"&lt;="&amp;EOMONTH(DATE(Dashboard!$C$4,1,1),0)))</f>
        <v/>
      </c>
      <c r="E271" s="165">
        <f>IF($C271="","",SUMIFS(Transaksi!$F$16:$F$5015,Transaksi!$G$16:$G$5015,$A271,Transaksi!$H$16:$H$5015,$B271,Transaksi!$I$16:$I$5015,$C271,Transaksi!$B$16:$B$5015,"&gt;="&amp;DATE(Dashboard!$C$4,2,1),Transaksi!$B$16:$B$5015,"&lt;="&amp;EOMONTH(DATE(Dashboard!$C$4,2,1),0)))</f>
        <v/>
      </c>
      <c r="F271" s="165">
        <f>IF($C271="","",SUMIFS(Transaksi!$F$16:$F$5015,Transaksi!$G$16:$G$5015,$A271,Transaksi!$H$16:$H$5015,$B271,Transaksi!$I$16:$I$5015,$C271,Transaksi!$B$16:$B$5015,"&gt;="&amp;DATE(Dashboard!$C$4,3,1),Transaksi!$B$16:$B$5015,"&lt;="&amp;EOMONTH(DATE(Dashboard!$C$4,3,1),0)))</f>
        <v/>
      </c>
      <c r="G271" s="165">
        <f>IF($C271="","",SUMIFS(Transaksi!$F$16:$F$5015,Transaksi!$G$16:$G$5015,$A271,Transaksi!$H$16:$H$5015,$B271,Transaksi!$I$16:$I$5015,$C271,Transaksi!$B$16:$B$5015,"&gt;="&amp;DATE(Dashboard!$C$4,4,1),Transaksi!$B$16:$B$5015,"&lt;="&amp;EOMONTH(DATE(Dashboard!$C$4,4,1),0)))</f>
        <v/>
      </c>
      <c r="H271" s="165">
        <f>IF($C271="","",SUMIFS(Transaksi!$F$16:$F$5015,Transaksi!$G$16:$G$5015,$A271,Transaksi!$H$16:$H$5015,$B271,Transaksi!$I$16:$I$5015,$C271,Transaksi!$B$16:$B$5015,"&gt;="&amp;DATE(Dashboard!$C$4,5,1),Transaksi!$B$16:$B$5015,"&lt;="&amp;EOMONTH(DATE(Dashboard!$C$4,5,1),0)))</f>
        <v/>
      </c>
      <c r="I271" s="165">
        <f>IF($C271="","",SUMIFS(Transaksi!$F$16:$F$5015,Transaksi!$G$16:$G$5015,$A271,Transaksi!$H$16:$H$5015,$B271,Transaksi!$I$16:$I$5015,$C271,Transaksi!$B$16:$B$5015,"&gt;="&amp;DATE(Dashboard!$C$4,6,1),Transaksi!$B$16:$B$5015,"&lt;="&amp;EOMONTH(DATE(Dashboard!$C$4,6,1),0)))</f>
        <v/>
      </c>
      <c r="J271" s="165">
        <f>IF($C271="","",SUMIFS(Transaksi!$F$16:$F$5015,Transaksi!$G$16:$G$5015,$A271,Transaksi!$H$16:$H$5015,$B271,Transaksi!$I$16:$I$5015,$C271,Transaksi!$B$16:$B$5015,"&gt;="&amp;DATE(Dashboard!$C$4,7,1),Transaksi!$B$16:$B$5015,"&lt;="&amp;EOMONTH(DATE(Dashboard!$C$4,7,1),0)))</f>
        <v/>
      </c>
      <c r="K271" s="165">
        <f>IF($C271="","",SUMIFS(Transaksi!$F$16:$F$5015,Transaksi!$G$16:$G$5015,$A271,Transaksi!$H$16:$H$5015,$B271,Transaksi!$I$16:$I$5015,$C271,Transaksi!$B$16:$B$5015,"&gt;="&amp;DATE(Dashboard!$C$4,8,1),Transaksi!$B$16:$B$5015,"&lt;="&amp;EOMONTH(DATE(Dashboard!$C$4,8,1),0)))</f>
        <v/>
      </c>
      <c r="L271" s="165">
        <f>IF($C271="","",SUMIFS(Transaksi!$F$16:$F$5015,Transaksi!$G$16:$G$5015,$A271,Transaksi!$H$16:$H$5015,$B271,Transaksi!$I$16:$I$5015,$C271,Transaksi!$B$16:$B$5015,"&gt;="&amp;DATE(Dashboard!$C$4,9,1),Transaksi!$B$16:$B$5015,"&lt;="&amp;EOMONTH(DATE(Dashboard!$C$4,9,1),0)))</f>
        <v/>
      </c>
      <c r="M271" s="165">
        <f>IF($C271="","",SUMIFS(Transaksi!$F$16:$F$5015,Transaksi!$G$16:$G$5015,$A271,Transaksi!$H$16:$H$5015,$B271,Transaksi!$I$16:$I$5015,$C271,Transaksi!$B$16:$B$5015,"&gt;="&amp;DATE(Dashboard!$C$4,10,1),Transaksi!$B$16:$B$5015,"&lt;="&amp;EOMONTH(DATE(Dashboard!$C$4,10,1),0)))</f>
        <v/>
      </c>
      <c r="N271" s="165">
        <f>IF($C271="","",SUMIFS(Transaksi!$F$16:$F$5015,Transaksi!$G$16:$G$5015,$A271,Transaksi!$H$16:$H$5015,$B271,Transaksi!$I$16:$I$5015,$C271,Transaksi!$B$16:$B$5015,"&gt;="&amp;DATE(Dashboard!$C$4,11,1),Transaksi!$B$16:$B$5015,"&lt;="&amp;EOMONTH(DATE(Dashboard!$C$4,11,1),0)))</f>
        <v/>
      </c>
      <c r="O271" s="165">
        <f>IF($C271="","",SUMIFS(Transaksi!$F$16:$F$5015,Transaksi!$G$16:$G$5015,$A271,Transaksi!$H$16:$H$5015,$B271,Transaksi!$I$16:$I$5015,$C271,Transaksi!$B$16:$B$5015,"&gt;="&amp;DATE(Dashboard!$C$4,12,1),Transaksi!$B$16:$B$5015,"&lt;="&amp;EOMONTH(DATE(Dashboard!$C$4,12,1),0)))</f>
        <v/>
      </c>
      <c r="P271" s="166">
        <f>IF($C271="","",SUM(D271:O271))</f>
        <v/>
      </c>
    </row>
    <row r="272" ht="15" customHeight="1" s="94">
      <c r="A272" s="164">
        <f>IF(Kategori!C272="","",Kategori!A272)</f>
        <v/>
      </c>
      <c r="B272" s="164">
        <f>IF(Kategori!C272="","",Kategori!B272)</f>
        <v/>
      </c>
      <c r="C272" s="108">
        <f>IF(Kategori!C272="","",Kategori!C272)</f>
        <v/>
      </c>
      <c r="D272" s="165">
        <f>IF($C272="","",SUMIFS(Transaksi!$F$16:$F$5015,Transaksi!$G$16:$G$5015,$A272,Transaksi!$H$16:$H$5015,$B272,Transaksi!$I$16:$I$5015,$C272,Transaksi!$B$16:$B$5015,"&gt;="&amp;DATE(Dashboard!$C$4,1,1),Transaksi!$B$16:$B$5015,"&lt;="&amp;EOMONTH(DATE(Dashboard!$C$4,1,1),0)))</f>
        <v/>
      </c>
      <c r="E272" s="165">
        <f>IF($C272="","",SUMIFS(Transaksi!$F$16:$F$5015,Transaksi!$G$16:$G$5015,$A272,Transaksi!$H$16:$H$5015,$B272,Transaksi!$I$16:$I$5015,$C272,Transaksi!$B$16:$B$5015,"&gt;="&amp;DATE(Dashboard!$C$4,2,1),Transaksi!$B$16:$B$5015,"&lt;="&amp;EOMONTH(DATE(Dashboard!$C$4,2,1),0)))</f>
        <v/>
      </c>
      <c r="F272" s="165">
        <f>IF($C272="","",SUMIFS(Transaksi!$F$16:$F$5015,Transaksi!$G$16:$G$5015,$A272,Transaksi!$H$16:$H$5015,$B272,Transaksi!$I$16:$I$5015,$C272,Transaksi!$B$16:$B$5015,"&gt;="&amp;DATE(Dashboard!$C$4,3,1),Transaksi!$B$16:$B$5015,"&lt;="&amp;EOMONTH(DATE(Dashboard!$C$4,3,1),0)))</f>
        <v/>
      </c>
      <c r="G272" s="165">
        <f>IF($C272="","",SUMIFS(Transaksi!$F$16:$F$5015,Transaksi!$G$16:$G$5015,$A272,Transaksi!$H$16:$H$5015,$B272,Transaksi!$I$16:$I$5015,$C272,Transaksi!$B$16:$B$5015,"&gt;="&amp;DATE(Dashboard!$C$4,4,1),Transaksi!$B$16:$B$5015,"&lt;="&amp;EOMONTH(DATE(Dashboard!$C$4,4,1),0)))</f>
        <v/>
      </c>
      <c r="H272" s="165">
        <f>IF($C272="","",SUMIFS(Transaksi!$F$16:$F$5015,Transaksi!$G$16:$G$5015,$A272,Transaksi!$H$16:$H$5015,$B272,Transaksi!$I$16:$I$5015,$C272,Transaksi!$B$16:$B$5015,"&gt;="&amp;DATE(Dashboard!$C$4,5,1),Transaksi!$B$16:$B$5015,"&lt;="&amp;EOMONTH(DATE(Dashboard!$C$4,5,1),0)))</f>
        <v/>
      </c>
      <c r="I272" s="165">
        <f>IF($C272="","",SUMIFS(Transaksi!$F$16:$F$5015,Transaksi!$G$16:$G$5015,$A272,Transaksi!$H$16:$H$5015,$B272,Transaksi!$I$16:$I$5015,$C272,Transaksi!$B$16:$B$5015,"&gt;="&amp;DATE(Dashboard!$C$4,6,1),Transaksi!$B$16:$B$5015,"&lt;="&amp;EOMONTH(DATE(Dashboard!$C$4,6,1),0)))</f>
        <v/>
      </c>
      <c r="J272" s="165">
        <f>IF($C272="","",SUMIFS(Transaksi!$F$16:$F$5015,Transaksi!$G$16:$G$5015,$A272,Transaksi!$H$16:$H$5015,$B272,Transaksi!$I$16:$I$5015,$C272,Transaksi!$B$16:$B$5015,"&gt;="&amp;DATE(Dashboard!$C$4,7,1),Transaksi!$B$16:$B$5015,"&lt;="&amp;EOMONTH(DATE(Dashboard!$C$4,7,1),0)))</f>
        <v/>
      </c>
      <c r="K272" s="165">
        <f>IF($C272="","",SUMIFS(Transaksi!$F$16:$F$5015,Transaksi!$G$16:$G$5015,$A272,Transaksi!$H$16:$H$5015,$B272,Transaksi!$I$16:$I$5015,$C272,Transaksi!$B$16:$B$5015,"&gt;="&amp;DATE(Dashboard!$C$4,8,1),Transaksi!$B$16:$B$5015,"&lt;="&amp;EOMONTH(DATE(Dashboard!$C$4,8,1),0)))</f>
        <v/>
      </c>
      <c r="L272" s="165">
        <f>IF($C272="","",SUMIFS(Transaksi!$F$16:$F$5015,Transaksi!$G$16:$G$5015,$A272,Transaksi!$H$16:$H$5015,$B272,Transaksi!$I$16:$I$5015,$C272,Transaksi!$B$16:$B$5015,"&gt;="&amp;DATE(Dashboard!$C$4,9,1),Transaksi!$B$16:$B$5015,"&lt;="&amp;EOMONTH(DATE(Dashboard!$C$4,9,1),0)))</f>
        <v/>
      </c>
      <c r="M272" s="165">
        <f>IF($C272="","",SUMIFS(Transaksi!$F$16:$F$5015,Transaksi!$G$16:$G$5015,$A272,Transaksi!$H$16:$H$5015,$B272,Transaksi!$I$16:$I$5015,$C272,Transaksi!$B$16:$B$5015,"&gt;="&amp;DATE(Dashboard!$C$4,10,1),Transaksi!$B$16:$B$5015,"&lt;="&amp;EOMONTH(DATE(Dashboard!$C$4,10,1),0)))</f>
        <v/>
      </c>
      <c r="N272" s="165">
        <f>IF($C272="","",SUMIFS(Transaksi!$F$16:$F$5015,Transaksi!$G$16:$G$5015,$A272,Transaksi!$H$16:$H$5015,$B272,Transaksi!$I$16:$I$5015,$C272,Transaksi!$B$16:$B$5015,"&gt;="&amp;DATE(Dashboard!$C$4,11,1),Transaksi!$B$16:$B$5015,"&lt;="&amp;EOMONTH(DATE(Dashboard!$C$4,11,1),0)))</f>
        <v/>
      </c>
      <c r="O272" s="165">
        <f>IF($C272="","",SUMIFS(Transaksi!$F$16:$F$5015,Transaksi!$G$16:$G$5015,$A272,Transaksi!$H$16:$H$5015,$B272,Transaksi!$I$16:$I$5015,$C272,Transaksi!$B$16:$B$5015,"&gt;="&amp;DATE(Dashboard!$C$4,12,1),Transaksi!$B$16:$B$5015,"&lt;="&amp;EOMONTH(DATE(Dashboard!$C$4,12,1),0)))</f>
        <v/>
      </c>
      <c r="P272" s="166">
        <f>IF($C272="","",SUM(D272:O272))</f>
        <v/>
      </c>
    </row>
    <row r="273" ht="15" customHeight="1" s="94">
      <c r="A273" s="164">
        <f>IF(Kategori!C273="","",Kategori!A273)</f>
        <v/>
      </c>
      <c r="B273" s="164">
        <f>IF(Kategori!C273="","",Kategori!B273)</f>
        <v/>
      </c>
      <c r="C273" s="108">
        <f>IF(Kategori!C273="","",Kategori!C273)</f>
        <v/>
      </c>
      <c r="D273" s="165">
        <f>IF($C273="","",SUMIFS(Transaksi!$F$16:$F$5015,Transaksi!$G$16:$G$5015,$A273,Transaksi!$H$16:$H$5015,$B273,Transaksi!$I$16:$I$5015,$C273,Transaksi!$B$16:$B$5015,"&gt;="&amp;DATE(Dashboard!$C$4,1,1),Transaksi!$B$16:$B$5015,"&lt;="&amp;EOMONTH(DATE(Dashboard!$C$4,1,1),0)))</f>
        <v/>
      </c>
      <c r="E273" s="165">
        <f>IF($C273="","",SUMIFS(Transaksi!$F$16:$F$5015,Transaksi!$G$16:$G$5015,$A273,Transaksi!$H$16:$H$5015,$B273,Transaksi!$I$16:$I$5015,$C273,Transaksi!$B$16:$B$5015,"&gt;="&amp;DATE(Dashboard!$C$4,2,1),Transaksi!$B$16:$B$5015,"&lt;="&amp;EOMONTH(DATE(Dashboard!$C$4,2,1),0)))</f>
        <v/>
      </c>
      <c r="F273" s="165">
        <f>IF($C273="","",SUMIFS(Transaksi!$F$16:$F$5015,Transaksi!$G$16:$G$5015,$A273,Transaksi!$H$16:$H$5015,$B273,Transaksi!$I$16:$I$5015,$C273,Transaksi!$B$16:$B$5015,"&gt;="&amp;DATE(Dashboard!$C$4,3,1),Transaksi!$B$16:$B$5015,"&lt;="&amp;EOMONTH(DATE(Dashboard!$C$4,3,1),0)))</f>
        <v/>
      </c>
      <c r="G273" s="165">
        <f>IF($C273="","",SUMIFS(Transaksi!$F$16:$F$5015,Transaksi!$G$16:$G$5015,$A273,Transaksi!$H$16:$H$5015,$B273,Transaksi!$I$16:$I$5015,$C273,Transaksi!$B$16:$B$5015,"&gt;="&amp;DATE(Dashboard!$C$4,4,1),Transaksi!$B$16:$B$5015,"&lt;="&amp;EOMONTH(DATE(Dashboard!$C$4,4,1),0)))</f>
        <v/>
      </c>
      <c r="H273" s="165">
        <f>IF($C273="","",SUMIFS(Transaksi!$F$16:$F$5015,Transaksi!$G$16:$G$5015,$A273,Transaksi!$H$16:$H$5015,$B273,Transaksi!$I$16:$I$5015,$C273,Transaksi!$B$16:$B$5015,"&gt;="&amp;DATE(Dashboard!$C$4,5,1),Transaksi!$B$16:$B$5015,"&lt;="&amp;EOMONTH(DATE(Dashboard!$C$4,5,1),0)))</f>
        <v/>
      </c>
      <c r="I273" s="165">
        <f>IF($C273="","",SUMIFS(Transaksi!$F$16:$F$5015,Transaksi!$G$16:$G$5015,$A273,Transaksi!$H$16:$H$5015,$B273,Transaksi!$I$16:$I$5015,$C273,Transaksi!$B$16:$B$5015,"&gt;="&amp;DATE(Dashboard!$C$4,6,1),Transaksi!$B$16:$B$5015,"&lt;="&amp;EOMONTH(DATE(Dashboard!$C$4,6,1),0)))</f>
        <v/>
      </c>
      <c r="J273" s="165">
        <f>IF($C273="","",SUMIFS(Transaksi!$F$16:$F$5015,Transaksi!$G$16:$G$5015,$A273,Transaksi!$H$16:$H$5015,$B273,Transaksi!$I$16:$I$5015,$C273,Transaksi!$B$16:$B$5015,"&gt;="&amp;DATE(Dashboard!$C$4,7,1),Transaksi!$B$16:$B$5015,"&lt;="&amp;EOMONTH(DATE(Dashboard!$C$4,7,1),0)))</f>
        <v/>
      </c>
      <c r="K273" s="165">
        <f>IF($C273="","",SUMIFS(Transaksi!$F$16:$F$5015,Transaksi!$G$16:$G$5015,$A273,Transaksi!$H$16:$H$5015,$B273,Transaksi!$I$16:$I$5015,$C273,Transaksi!$B$16:$B$5015,"&gt;="&amp;DATE(Dashboard!$C$4,8,1),Transaksi!$B$16:$B$5015,"&lt;="&amp;EOMONTH(DATE(Dashboard!$C$4,8,1),0)))</f>
        <v/>
      </c>
      <c r="L273" s="165">
        <f>IF($C273="","",SUMIFS(Transaksi!$F$16:$F$5015,Transaksi!$G$16:$G$5015,$A273,Transaksi!$H$16:$H$5015,$B273,Transaksi!$I$16:$I$5015,$C273,Transaksi!$B$16:$B$5015,"&gt;="&amp;DATE(Dashboard!$C$4,9,1),Transaksi!$B$16:$B$5015,"&lt;="&amp;EOMONTH(DATE(Dashboard!$C$4,9,1),0)))</f>
        <v/>
      </c>
      <c r="M273" s="165">
        <f>IF($C273="","",SUMIFS(Transaksi!$F$16:$F$5015,Transaksi!$G$16:$G$5015,$A273,Transaksi!$H$16:$H$5015,$B273,Transaksi!$I$16:$I$5015,$C273,Transaksi!$B$16:$B$5015,"&gt;="&amp;DATE(Dashboard!$C$4,10,1),Transaksi!$B$16:$B$5015,"&lt;="&amp;EOMONTH(DATE(Dashboard!$C$4,10,1),0)))</f>
        <v/>
      </c>
      <c r="N273" s="165">
        <f>IF($C273="","",SUMIFS(Transaksi!$F$16:$F$5015,Transaksi!$G$16:$G$5015,$A273,Transaksi!$H$16:$H$5015,$B273,Transaksi!$I$16:$I$5015,$C273,Transaksi!$B$16:$B$5015,"&gt;="&amp;DATE(Dashboard!$C$4,11,1),Transaksi!$B$16:$B$5015,"&lt;="&amp;EOMONTH(DATE(Dashboard!$C$4,11,1),0)))</f>
        <v/>
      </c>
      <c r="O273" s="165">
        <f>IF($C273="","",SUMIFS(Transaksi!$F$16:$F$5015,Transaksi!$G$16:$G$5015,$A273,Transaksi!$H$16:$H$5015,$B273,Transaksi!$I$16:$I$5015,$C273,Transaksi!$B$16:$B$5015,"&gt;="&amp;DATE(Dashboard!$C$4,12,1),Transaksi!$B$16:$B$5015,"&lt;="&amp;EOMONTH(DATE(Dashboard!$C$4,12,1),0)))</f>
        <v/>
      </c>
      <c r="P273" s="166">
        <f>IF($C273="","",SUM(D273:O273))</f>
        <v/>
      </c>
    </row>
    <row r="274" ht="15" customHeight="1" s="94">
      <c r="A274" s="164">
        <f>IF(Kategori!C274="","",Kategori!A274)</f>
        <v/>
      </c>
      <c r="B274" s="164">
        <f>IF(Kategori!C274="","",Kategori!B274)</f>
        <v/>
      </c>
      <c r="C274" s="108">
        <f>IF(Kategori!C274="","",Kategori!C274)</f>
        <v/>
      </c>
      <c r="D274" s="165">
        <f>IF($C274="","",SUMIFS(Transaksi!$F$16:$F$5015,Transaksi!$G$16:$G$5015,$A274,Transaksi!$H$16:$H$5015,$B274,Transaksi!$I$16:$I$5015,$C274,Transaksi!$B$16:$B$5015,"&gt;="&amp;DATE(Dashboard!$C$4,1,1),Transaksi!$B$16:$B$5015,"&lt;="&amp;EOMONTH(DATE(Dashboard!$C$4,1,1),0)))</f>
        <v/>
      </c>
      <c r="E274" s="165">
        <f>IF($C274="","",SUMIFS(Transaksi!$F$16:$F$5015,Transaksi!$G$16:$G$5015,$A274,Transaksi!$H$16:$H$5015,$B274,Transaksi!$I$16:$I$5015,$C274,Transaksi!$B$16:$B$5015,"&gt;="&amp;DATE(Dashboard!$C$4,2,1),Transaksi!$B$16:$B$5015,"&lt;="&amp;EOMONTH(DATE(Dashboard!$C$4,2,1),0)))</f>
        <v/>
      </c>
      <c r="F274" s="165">
        <f>IF($C274="","",SUMIFS(Transaksi!$F$16:$F$5015,Transaksi!$G$16:$G$5015,$A274,Transaksi!$H$16:$H$5015,$B274,Transaksi!$I$16:$I$5015,$C274,Transaksi!$B$16:$B$5015,"&gt;="&amp;DATE(Dashboard!$C$4,3,1),Transaksi!$B$16:$B$5015,"&lt;="&amp;EOMONTH(DATE(Dashboard!$C$4,3,1),0)))</f>
        <v/>
      </c>
      <c r="G274" s="165">
        <f>IF($C274="","",SUMIFS(Transaksi!$F$16:$F$5015,Transaksi!$G$16:$G$5015,$A274,Transaksi!$H$16:$H$5015,$B274,Transaksi!$I$16:$I$5015,$C274,Transaksi!$B$16:$B$5015,"&gt;="&amp;DATE(Dashboard!$C$4,4,1),Transaksi!$B$16:$B$5015,"&lt;="&amp;EOMONTH(DATE(Dashboard!$C$4,4,1),0)))</f>
        <v/>
      </c>
      <c r="H274" s="165">
        <f>IF($C274="","",SUMIFS(Transaksi!$F$16:$F$5015,Transaksi!$G$16:$G$5015,$A274,Transaksi!$H$16:$H$5015,$B274,Transaksi!$I$16:$I$5015,$C274,Transaksi!$B$16:$B$5015,"&gt;="&amp;DATE(Dashboard!$C$4,5,1),Transaksi!$B$16:$B$5015,"&lt;="&amp;EOMONTH(DATE(Dashboard!$C$4,5,1),0)))</f>
        <v/>
      </c>
      <c r="I274" s="165">
        <f>IF($C274="","",SUMIFS(Transaksi!$F$16:$F$5015,Transaksi!$G$16:$G$5015,$A274,Transaksi!$H$16:$H$5015,$B274,Transaksi!$I$16:$I$5015,$C274,Transaksi!$B$16:$B$5015,"&gt;="&amp;DATE(Dashboard!$C$4,6,1),Transaksi!$B$16:$B$5015,"&lt;="&amp;EOMONTH(DATE(Dashboard!$C$4,6,1),0)))</f>
        <v/>
      </c>
      <c r="J274" s="165">
        <f>IF($C274="","",SUMIFS(Transaksi!$F$16:$F$5015,Transaksi!$G$16:$G$5015,$A274,Transaksi!$H$16:$H$5015,$B274,Transaksi!$I$16:$I$5015,$C274,Transaksi!$B$16:$B$5015,"&gt;="&amp;DATE(Dashboard!$C$4,7,1),Transaksi!$B$16:$B$5015,"&lt;="&amp;EOMONTH(DATE(Dashboard!$C$4,7,1),0)))</f>
        <v/>
      </c>
      <c r="K274" s="165">
        <f>IF($C274="","",SUMIFS(Transaksi!$F$16:$F$5015,Transaksi!$G$16:$G$5015,$A274,Transaksi!$H$16:$H$5015,$B274,Transaksi!$I$16:$I$5015,$C274,Transaksi!$B$16:$B$5015,"&gt;="&amp;DATE(Dashboard!$C$4,8,1),Transaksi!$B$16:$B$5015,"&lt;="&amp;EOMONTH(DATE(Dashboard!$C$4,8,1),0)))</f>
        <v/>
      </c>
      <c r="L274" s="165">
        <f>IF($C274="","",SUMIFS(Transaksi!$F$16:$F$5015,Transaksi!$G$16:$G$5015,$A274,Transaksi!$H$16:$H$5015,$B274,Transaksi!$I$16:$I$5015,$C274,Transaksi!$B$16:$B$5015,"&gt;="&amp;DATE(Dashboard!$C$4,9,1),Transaksi!$B$16:$B$5015,"&lt;="&amp;EOMONTH(DATE(Dashboard!$C$4,9,1),0)))</f>
        <v/>
      </c>
      <c r="M274" s="165">
        <f>IF($C274="","",SUMIFS(Transaksi!$F$16:$F$5015,Transaksi!$G$16:$G$5015,$A274,Transaksi!$H$16:$H$5015,$B274,Transaksi!$I$16:$I$5015,$C274,Transaksi!$B$16:$B$5015,"&gt;="&amp;DATE(Dashboard!$C$4,10,1),Transaksi!$B$16:$B$5015,"&lt;="&amp;EOMONTH(DATE(Dashboard!$C$4,10,1),0)))</f>
        <v/>
      </c>
      <c r="N274" s="165">
        <f>IF($C274="","",SUMIFS(Transaksi!$F$16:$F$5015,Transaksi!$G$16:$G$5015,$A274,Transaksi!$H$16:$H$5015,$B274,Transaksi!$I$16:$I$5015,$C274,Transaksi!$B$16:$B$5015,"&gt;="&amp;DATE(Dashboard!$C$4,11,1),Transaksi!$B$16:$B$5015,"&lt;="&amp;EOMONTH(DATE(Dashboard!$C$4,11,1),0)))</f>
        <v/>
      </c>
      <c r="O274" s="165">
        <f>IF($C274="","",SUMIFS(Transaksi!$F$16:$F$5015,Transaksi!$G$16:$G$5015,$A274,Transaksi!$H$16:$H$5015,$B274,Transaksi!$I$16:$I$5015,$C274,Transaksi!$B$16:$B$5015,"&gt;="&amp;DATE(Dashboard!$C$4,12,1),Transaksi!$B$16:$B$5015,"&lt;="&amp;EOMONTH(DATE(Dashboard!$C$4,12,1),0)))</f>
        <v/>
      </c>
      <c r="P274" s="166">
        <f>IF($C274="","",SUM(D274:O274))</f>
        <v/>
      </c>
    </row>
    <row r="275" ht="15" customHeight="1" s="94">
      <c r="A275" s="164">
        <f>IF(Kategori!C275="","",Kategori!A275)</f>
        <v/>
      </c>
      <c r="B275" s="164">
        <f>IF(Kategori!C275="","",Kategori!B275)</f>
        <v/>
      </c>
      <c r="C275" s="108">
        <f>IF(Kategori!C275="","",Kategori!C275)</f>
        <v/>
      </c>
      <c r="D275" s="165">
        <f>IF($C275="","",SUMIFS(Transaksi!$F$16:$F$5015,Transaksi!$G$16:$G$5015,$A275,Transaksi!$H$16:$H$5015,$B275,Transaksi!$I$16:$I$5015,$C275,Transaksi!$B$16:$B$5015,"&gt;="&amp;DATE(Dashboard!$C$4,1,1),Transaksi!$B$16:$B$5015,"&lt;="&amp;EOMONTH(DATE(Dashboard!$C$4,1,1),0)))</f>
        <v/>
      </c>
      <c r="E275" s="165">
        <f>IF($C275="","",SUMIFS(Transaksi!$F$16:$F$5015,Transaksi!$G$16:$G$5015,$A275,Transaksi!$H$16:$H$5015,$B275,Transaksi!$I$16:$I$5015,$C275,Transaksi!$B$16:$B$5015,"&gt;="&amp;DATE(Dashboard!$C$4,2,1),Transaksi!$B$16:$B$5015,"&lt;="&amp;EOMONTH(DATE(Dashboard!$C$4,2,1),0)))</f>
        <v/>
      </c>
      <c r="F275" s="165">
        <f>IF($C275="","",SUMIFS(Transaksi!$F$16:$F$5015,Transaksi!$G$16:$G$5015,$A275,Transaksi!$H$16:$H$5015,$B275,Transaksi!$I$16:$I$5015,$C275,Transaksi!$B$16:$B$5015,"&gt;="&amp;DATE(Dashboard!$C$4,3,1),Transaksi!$B$16:$B$5015,"&lt;="&amp;EOMONTH(DATE(Dashboard!$C$4,3,1),0)))</f>
        <v/>
      </c>
      <c r="G275" s="165">
        <f>IF($C275="","",SUMIFS(Transaksi!$F$16:$F$5015,Transaksi!$G$16:$G$5015,$A275,Transaksi!$H$16:$H$5015,$B275,Transaksi!$I$16:$I$5015,$C275,Transaksi!$B$16:$B$5015,"&gt;="&amp;DATE(Dashboard!$C$4,4,1),Transaksi!$B$16:$B$5015,"&lt;="&amp;EOMONTH(DATE(Dashboard!$C$4,4,1),0)))</f>
        <v/>
      </c>
      <c r="H275" s="165">
        <f>IF($C275="","",SUMIFS(Transaksi!$F$16:$F$5015,Transaksi!$G$16:$G$5015,$A275,Transaksi!$H$16:$H$5015,$B275,Transaksi!$I$16:$I$5015,$C275,Transaksi!$B$16:$B$5015,"&gt;="&amp;DATE(Dashboard!$C$4,5,1),Transaksi!$B$16:$B$5015,"&lt;="&amp;EOMONTH(DATE(Dashboard!$C$4,5,1),0)))</f>
        <v/>
      </c>
      <c r="I275" s="165">
        <f>IF($C275="","",SUMIFS(Transaksi!$F$16:$F$5015,Transaksi!$G$16:$G$5015,$A275,Transaksi!$H$16:$H$5015,$B275,Transaksi!$I$16:$I$5015,$C275,Transaksi!$B$16:$B$5015,"&gt;="&amp;DATE(Dashboard!$C$4,6,1),Transaksi!$B$16:$B$5015,"&lt;="&amp;EOMONTH(DATE(Dashboard!$C$4,6,1),0)))</f>
        <v/>
      </c>
      <c r="J275" s="165">
        <f>IF($C275="","",SUMIFS(Transaksi!$F$16:$F$5015,Transaksi!$G$16:$G$5015,$A275,Transaksi!$H$16:$H$5015,$B275,Transaksi!$I$16:$I$5015,$C275,Transaksi!$B$16:$B$5015,"&gt;="&amp;DATE(Dashboard!$C$4,7,1),Transaksi!$B$16:$B$5015,"&lt;="&amp;EOMONTH(DATE(Dashboard!$C$4,7,1),0)))</f>
        <v/>
      </c>
      <c r="K275" s="165">
        <f>IF($C275="","",SUMIFS(Transaksi!$F$16:$F$5015,Transaksi!$G$16:$G$5015,$A275,Transaksi!$H$16:$H$5015,$B275,Transaksi!$I$16:$I$5015,$C275,Transaksi!$B$16:$B$5015,"&gt;="&amp;DATE(Dashboard!$C$4,8,1),Transaksi!$B$16:$B$5015,"&lt;="&amp;EOMONTH(DATE(Dashboard!$C$4,8,1),0)))</f>
        <v/>
      </c>
      <c r="L275" s="165">
        <f>IF($C275="","",SUMIFS(Transaksi!$F$16:$F$5015,Transaksi!$G$16:$G$5015,$A275,Transaksi!$H$16:$H$5015,$B275,Transaksi!$I$16:$I$5015,$C275,Transaksi!$B$16:$B$5015,"&gt;="&amp;DATE(Dashboard!$C$4,9,1),Transaksi!$B$16:$B$5015,"&lt;="&amp;EOMONTH(DATE(Dashboard!$C$4,9,1),0)))</f>
        <v/>
      </c>
      <c r="M275" s="165">
        <f>IF($C275="","",SUMIFS(Transaksi!$F$16:$F$5015,Transaksi!$G$16:$G$5015,$A275,Transaksi!$H$16:$H$5015,$B275,Transaksi!$I$16:$I$5015,$C275,Transaksi!$B$16:$B$5015,"&gt;="&amp;DATE(Dashboard!$C$4,10,1),Transaksi!$B$16:$B$5015,"&lt;="&amp;EOMONTH(DATE(Dashboard!$C$4,10,1),0)))</f>
        <v/>
      </c>
      <c r="N275" s="165">
        <f>IF($C275="","",SUMIFS(Transaksi!$F$16:$F$5015,Transaksi!$G$16:$G$5015,$A275,Transaksi!$H$16:$H$5015,$B275,Transaksi!$I$16:$I$5015,$C275,Transaksi!$B$16:$B$5015,"&gt;="&amp;DATE(Dashboard!$C$4,11,1),Transaksi!$B$16:$B$5015,"&lt;="&amp;EOMONTH(DATE(Dashboard!$C$4,11,1),0)))</f>
        <v/>
      </c>
      <c r="O275" s="165">
        <f>IF($C275="","",SUMIFS(Transaksi!$F$16:$F$5015,Transaksi!$G$16:$G$5015,$A275,Transaksi!$H$16:$H$5015,$B275,Transaksi!$I$16:$I$5015,$C275,Transaksi!$B$16:$B$5015,"&gt;="&amp;DATE(Dashboard!$C$4,12,1),Transaksi!$B$16:$B$5015,"&lt;="&amp;EOMONTH(DATE(Dashboard!$C$4,12,1),0)))</f>
        <v/>
      </c>
      <c r="P275" s="166">
        <f>IF($C275="","",SUM(D275:O275))</f>
        <v/>
      </c>
    </row>
    <row r="276" ht="15" customHeight="1" s="94">
      <c r="A276" s="164">
        <f>IF(Kategori!C276="","",Kategori!A276)</f>
        <v/>
      </c>
      <c r="B276" s="164">
        <f>IF(Kategori!C276="","",Kategori!B276)</f>
        <v/>
      </c>
      <c r="C276" s="108">
        <f>IF(Kategori!C276="","",Kategori!C276)</f>
        <v/>
      </c>
      <c r="D276" s="165">
        <f>IF($C276="","",SUMIFS(Transaksi!$F$16:$F$5015,Transaksi!$G$16:$G$5015,$A276,Transaksi!$H$16:$H$5015,$B276,Transaksi!$I$16:$I$5015,$C276,Transaksi!$B$16:$B$5015,"&gt;="&amp;DATE(Dashboard!$C$4,1,1),Transaksi!$B$16:$B$5015,"&lt;="&amp;EOMONTH(DATE(Dashboard!$C$4,1,1),0)))</f>
        <v/>
      </c>
      <c r="E276" s="165">
        <f>IF($C276="","",SUMIFS(Transaksi!$F$16:$F$5015,Transaksi!$G$16:$G$5015,$A276,Transaksi!$H$16:$H$5015,$B276,Transaksi!$I$16:$I$5015,$C276,Transaksi!$B$16:$B$5015,"&gt;="&amp;DATE(Dashboard!$C$4,2,1),Transaksi!$B$16:$B$5015,"&lt;="&amp;EOMONTH(DATE(Dashboard!$C$4,2,1),0)))</f>
        <v/>
      </c>
      <c r="F276" s="165">
        <f>IF($C276="","",SUMIFS(Transaksi!$F$16:$F$5015,Transaksi!$G$16:$G$5015,$A276,Transaksi!$H$16:$H$5015,$B276,Transaksi!$I$16:$I$5015,$C276,Transaksi!$B$16:$B$5015,"&gt;="&amp;DATE(Dashboard!$C$4,3,1),Transaksi!$B$16:$B$5015,"&lt;="&amp;EOMONTH(DATE(Dashboard!$C$4,3,1),0)))</f>
        <v/>
      </c>
      <c r="G276" s="165">
        <f>IF($C276="","",SUMIFS(Transaksi!$F$16:$F$5015,Transaksi!$G$16:$G$5015,$A276,Transaksi!$H$16:$H$5015,$B276,Transaksi!$I$16:$I$5015,$C276,Transaksi!$B$16:$B$5015,"&gt;="&amp;DATE(Dashboard!$C$4,4,1),Transaksi!$B$16:$B$5015,"&lt;="&amp;EOMONTH(DATE(Dashboard!$C$4,4,1),0)))</f>
        <v/>
      </c>
      <c r="H276" s="165">
        <f>IF($C276="","",SUMIFS(Transaksi!$F$16:$F$5015,Transaksi!$G$16:$G$5015,$A276,Transaksi!$H$16:$H$5015,$B276,Transaksi!$I$16:$I$5015,$C276,Transaksi!$B$16:$B$5015,"&gt;="&amp;DATE(Dashboard!$C$4,5,1),Transaksi!$B$16:$B$5015,"&lt;="&amp;EOMONTH(DATE(Dashboard!$C$4,5,1),0)))</f>
        <v/>
      </c>
      <c r="I276" s="165">
        <f>IF($C276="","",SUMIFS(Transaksi!$F$16:$F$5015,Transaksi!$G$16:$G$5015,$A276,Transaksi!$H$16:$H$5015,$B276,Transaksi!$I$16:$I$5015,$C276,Transaksi!$B$16:$B$5015,"&gt;="&amp;DATE(Dashboard!$C$4,6,1),Transaksi!$B$16:$B$5015,"&lt;="&amp;EOMONTH(DATE(Dashboard!$C$4,6,1),0)))</f>
        <v/>
      </c>
      <c r="J276" s="165">
        <f>IF($C276="","",SUMIFS(Transaksi!$F$16:$F$5015,Transaksi!$G$16:$G$5015,$A276,Transaksi!$H$16:$H$5015,$B276,Transaksi!$I$16:$I$5015,$C276,Transaksi!$B$16:$B$5015,"&gt;="&amp;DATE(Dashboard!$C$4,7,1),Transaksi!$B$16:$B$5015,"&lt;="&amp;EOMONTH(DATE(Dashboard!$C$4,7,1),0)))</f>
        <v/>
      </c>
      <c r="K276" s="165">
        <f>IF($C276="","",SUMIFS(Transaksi!$F$16:$F$5015,Transaksi!$G$16:$G$5015,$A276,Transaksi!$H$16:$H$5015,$B276,Transaksi!$I$16:$I$5015,$C276,Transaksi!$B$16:$B$5015,"&gt;="&amp;DATE(Dashboard!$C$4,8,1),Transaksi!$B$16:$B$5015,"&lt;="&amp;EOMONTH(DATE(Dashboard!$C$4,8,1),0)))</f>
        <v/>
      </c>
      <c r="L276" s="165">
        <f>IF($C276="","",SUMIFS(Transaksi!$F$16:$F$5015,Transaksi!$G$16:$G$5015,$A276,Transaksi!$H$16:$H$5015,$B276,Transaksi!$I$16:$I$5015,$C276,Transaksi!$B$16:$B$5015,"&gt;="&amp;DATE(Dashboard!$C$4,9,1),Transaksi!$B$16:$B$5015,"&lt;="&amp;EOMONTH(DATE(Dashboard!$C$4,9,1),0)))</f>
        <v/>
      </c>
      <c r="M276" s="165">
        <f>IF($C276="","",SUMIFS(Transaksi!$F$16:$F$5015,Transaksi!$G$16:$G$5015,$A276,Transaksi!$H$16:$H$5015,$B276,Transaksi!$I$16:$I$5015,$C276,Transaksi!$B$16:$B$5015,"&gt;="&amp;DATE(Dashboard!$C$4,10,1),Transaksi!$B$16:$B$5015,"&lt;="&amp;EOMONTH(DATE(Dashboard!$C$4,10,1),0)))</f>
        <v/>
      </c>
      <c r="N276" s="165">
        <f>IF($C276="","",SUMIFS(Transaksi!$F$16:$F$5015,Transaksi!$G$16:$G$5015,$A276,Transaksi!$H$16:$H$5015,$B276,Transaksi!$I$16:$I$5015,$C276,Transaksi!$B$16:$B$5015,"&gt;="&amp;DATE(Dashboard!$C$4,11,1),Transaksi!$B$16:$B$5015,"&lt;="&amp;EOMONTH(DATE(Dashboard!$C$4,11,1),0)))</f>
        <v/>
      </c>
      <c r="O276" s="165">
        <f>IF($C276="","",SUMIFS(Transaksi!$F$16:$F$5015,Transaksi!$G$16:$G$5015,$A276,Transaksi!$H$16:$H$5015,$B276,Transaksi!$I$16:$I$5015,$C276,Transaksi!$B$16:$B$5015,"&gt;="&amp;DATE(Dashboard!$C$4,12,1),Transaksi!$B$16:$B$5015,"&lt;="&amp;EOMONTH(DATE(Dashboard!$C$4,12,1),0)))</f>
        <v/>
      </c>
      <c r="P276" s="166">
        <f>IF($C276="","",SUM(D276:O276))</f>
        <v/>
      </c>
    </row>
    <row r="277" ht="15" customHeight="1" s="94">
      <c r="A277" s="164">
        <f>IF(Kategori!C277="","",Kategori!A277)</f>
        <v/>
      </c>
      <c r="B277" s="164">
        <f>IF(Kategori!C277="","",Kategori!B277)</f>
        <v/>
      </c>
      <c r="C277" s="108">
        <f>IF(Kategori!C277="","",Kategori!C277)</f>
        <v/>
      </c>
      <c r="D277" s="165">
        <f>IF($C277="","",SUMIFS(Transaksi!$F$16:$F$5015,Transaksi!$G$16:$G$5015,$A277,Transaksi!$H$16:$H$5015,$B277,Transaksi!$I$16:$I$5015,$C277,Transaksi!$B$16:$B$5015,"&gt;="&amp;DATE(Dashboard!$C$4,1,1),Transaksi!$B$16:$B$5015,"&lt;="&amp;EOMONTH(DATE(Dashboard!$C$4,1,1),0)))</f>
        <v/>
      </c>
      <c r="E277" s="165">
        <f>IF($C277="","",SUMIFS(Transaksi!$F$16:$F$5015,Transaksi!$G$16:$G$5015,$A277,Transaksi!$H$16:$H$5015,$B277,Transaksi!$I$16:$I$5015,$C277,Transaksi!$B$16:$B$5015,"&gt;="&amp;DATE(Dashboard!$C$4,2,1),Transaksi!$B$16:$B$5015,"&lt;="&amp;EOMONTH(DATE(Dashboard!$C$4,2,1),0)))</f>
        <v/>
      </c>
      <c r="F277" s="165">
        <f>IF($C277="","",SUMIFS(Transaksi!$F$16:$F$5015,Transaksi!$G$16:$G$5015,$A277,Transaksi!$H$16:$H$5015,$B277,Transaksi!$I$16:$I$5015,$C277,Transaksi!$B$16:$B$5015,"&gt;="&amp;DATE(Dashboard!$C$4,3,1),Transaksi!$B$16:$B$5015,"&lt;="&amp;EOMONTH(DATE(Dashboard!$C$4,3,1),0)))</f>
        <v/>
      </c>
      <c r="G277" s="165">
        <f>IF($C277="","",SUMIFS(Transaksi!$F$16:$F$5015,Transaksi!$G$16:$G$5015,$A277,Transaksi!$H$16:$H$5015,$B277,Transaksi!$I$16:$I$5015,$C277,Transaksi!$B$16:$B$5015,"&gt;="&amp;DATE(Dashboard!$C$4,4,1),Transaksi!$B$16:$B$5015,"&lt;="&amp;EOMONTH(DATE(Dashboard!$C$4,4,1),0)))</f>
        <v/>
      </c>
      <c r="H277" s="165">
        <f>IF($C277="","",SUMIFS(Transaksi!$F$16:$F$5015,Transaksi!$G$16:$G$5015,$A277,Transaksi!$H$16:$H$5015,$B277,Transaksi!$I$16:$I$5015,$C277,Transaksi!$B$16:$B$5015,"&gt;="&amp;DATE(Dashboard!$C$4,5,1),Transaksi!$B$16:$B$5015,"&lt;="&amp;EOMONTH(DATE(Dashboard!$C$4,5,1),0)))</f>
        <v/>
      </c>
      <c r="I277" s="165">
        <f>IF($C277="","",SUMIFS(Transaksi!$F$16:$F$5015,Transaksi!$G$16:$G$5015,$A277,Transaksi!$H$16:$H$5015,$B277,Transaksi!$I$16:$I$5015,$C277,Transaksi!$B$16:$B$5015,"&gt;="&amp;DATE(Dashboard!$C$4,6,1),Transaksi!$B$16:$B$5015,"&lt;="&amp;EOMONTH(DATE(Dashboard!$C$4,6,1),0)))</f>
        <v/>
      </c>
      <c r="J277" s="165">
        <f>IF($C277="","",SUMIFS(Transaksi!$F$16:$F$5015,Transaksi!$G$16:$G$5015,$A277,Transaksi!$H$16:$H$5015,$B277,Transaksi!$I$16:$I$5015,$C277,Transaksi!$B$16:$B$5015,"&gt;="&amp;DATE(Dashboard!$C$4,7,1),Transaksi!$B$16:$B$5015,"&lt;="&amp;EOMONTH(DATE(Dashboard!$C$4,7,1),0)))</f>
        <v/>
      </c>
      <c r="K277" s="165">
        <f>IF($C277="","",SUMIFS(Transaksi!$F$16:$F$5015,Transaksi!$G$16:$G$5015,$A277,Transaksi!$H$16:$H$5015,$B277,Transaksi!$I$16:$I$5015,$C277,Transaksi!$B$16:$B$5015,"&gt;="&amp;DATE(Dashboard!$C$4,8,1),Transaksi!$B$16:$B$5015,"&lt;="&amp;EOMONTH(DATE(Dashboard!$C$4,8,1),0)))</f>
        <v/>
      </c>
      <c r="L277" s="165">
        <f>IF($C277="","",SUMIFS(Transaksi!$F$16:$F$5015,Transaksi!$G$16:$G$5015,$A277,Transaksi!$H$16:$H$5015,$B277,Transaksi!$I$16:$I$5015,$C277,Transaksi!$B$16:$B$5015,"&gt;="&amp;DATE(Dashboard!$C$4,9,1),Transaksi!$B$16:$B$5015,"&lt;="&amp;EOMONTH(DATE(Dashboard!$C$4,9,1),0)))</f>
        <v/>
      </c>
      <c r="M277" s="165">
        <f>IF($C277="","",SUMIFS(Transaksi!$F$16:$F$5015,Transaksi!$G$16:$G$5015,$A277,Transaksi!$H$16:$H$5015,$B277,Transaksi!$I$16:$I$5015,$C277,Transaksi!$B$16:$B$5015,"&gt;="&amp;DATE(Dashboard!$C$4,10,1),Transaksi!$B$16:$B$5015,"&lt;="&amp;EOMONTH(DATE(Dashboard!$C$4,10,1),0)))</f>
        <v/>
      </c>
      <c r="N277" s="165">
        <f>IF($C277="","",SUMIFS(Transaksi!$F$16:$F$5015,Transaksi!$G$16:$G$5015,$A277,Transaksi!$H$16:$H$5015,$B277,Transaksi!$I$16:$I$5015,$C277,Transaksi!$B$16:$B$5015,"&gt;="&amp;DATE(Dashboard!$C$4,11,1),Transaksi!$B$16:$B$5015,"&lt;="&amp;EOMONTH(DATE(Dashboard!$C$4,11,1),0)))</f>
        <v/>
      </c>
      <c r="O277" s="165">
        <f>IF($C277="","",SUMIFS(Transaksi!$F$16:$F$5015,Transaksi!$G$16:$G$5015,$A277,Transaksi!$H$16:$H$5015,$B277,Transaksi!$I$16:$I$5015,$C277,Transaksi!$B$16:$B$5015,"&gt;="&amp;DATE(Dashboard!$C$4,12,1),Transaksi!$B$16:$B$5015,"&lt;="&amp;EOMONTH(DATE(Dashboard!$C$4,12,1),0)))</f>
        <v/>
      </c>
      <c r="P277" s="166">
        <f>IF($C277="","",SUM(D277:O277))</f>
        <v/>
      </c>
    </row>
    <row r="278" ht="15" customHeight="1" s="94">
      <c r="A278" s="164">
        <f>IF(Kategori!C278="","",Kategori!A278)</f>
        <v/>
      </c>
      <c r="B278" s="164">
        <f>IF(Kategori!C278="","",Kategori!B278)</f>
        <v/>
      </c>
      <c r="C278" s="108">
        <f>IF(Kategori!C278="","",Kategori!C278)</f>
        <v/>
      </c>
      <c r="D278" s="165">
        <f>IF($C278="","",SUMIFS(Transaksi!$F$16:$F$5015,Transaksi!$G$16:$G$5015,$A278,Transaksi!$H$16:$H$5015,$B278,Transaksi!$I$16:$I$5015,$C278,Transaksi!$B$16:$B$5015,"&gt;="&amp;DATE(Dashboard!$C$4,1,1),Transaksi!$B$16:$B$5015,"&lt;="&amp;EOMONTH(DATE(Dashboard!$C$4,1,1),0)))</f>
        <v/>
      </c>
      <c r="E278" s="165">
        <f>IF($C278="","",SUMIFS(Transaksi!$F$16:$F$5015,Transaksi!$G$16:$G$5015,$A278,Transaksi!$H$16:$H$5015,$B278,Transaksi!$I$16:$I$5015,$C278,Transaksi!$B$16:$B$5015,"&gt;="&amp;DATE(Dashboard!$C$4,2,1),Transaksi!$B$16:$B$5015,"&lt;="&amp;EOMONTH(DATE(Dashboard!$C$4,2,1),0)))</f>
        <v/>
      </c>
      <c r="F278" s="165">
        <f>IF($C278="","",SUMIFS(Transaksi!$F$16:$F$5015,Transaksi!$G$16:$G$5015,$A278,Transaksi!$H$16:$H$5015,$B278,Transaksi!$I$16:$I$5015,$C278,Transaksi!$B$16:$B$5015,"&gt;="&amp;DATE(Dashboard!$C$4,3,1),Transaksi!$B$16:$B$5015,"&lt;="&amp;EOMONTH(DATE(Dashboard!$C$4,3,1),0)))</f>
        <v/>
      </c>
      <c r="G278" s="165">
        <f>IF($C278="","",SUMIFS(Transaksi!$F$16:$F$5015,Transaksi!$G$16:$G$5015,$A278,Transaksi!$H$16:$H$5015,$B278,Transaksi!$I$16:$I$5015,$C278,Transaksi!$B$16:$B$5015,"&gt;="&amp;DATE(Dashboard!$C$4,4,1),Transaksi!$B$16:$B$5015,"&lt;="&amp;EOMONTH(DATE(Dashboard!$C$4,4,1),0)))</f>
        <v/>
      </c>
      <c r="H278" s="165">
        <f>IF($C278="","",SUMIFS(Transaksi!$F$16:$F$5015,Transaksi!$G$16:$G$5015,$A278,Transaksi!$H$16:$H$5015,$B278,Transaksi!$I$16:$I$5015,$C278,Transaksi!$B$16:$B$5015,"&gt;="&amp;DATE(Dashboard!$C$4,5,1),Transaksi!$B$16:$B$5015,"&lt;="&amp;EOMONTH(DATE(Dashboard!$C$4,5,1),0)))</f>
        <v/>
      </c>
      <c r="I278" s="165">
        <f>IF($C278="","",SUMIFS(Transaksi!$F$16:$F$5015,Transaksi!$G$16:$G$5015,$A278,Transaksi!$H$16:$H$5015,$B278,Transaksi!$I$16:$I$5015,$C278,Transaksi!$B$16:$B$5015,"&gt;="&amp;DATE(Dashboard!$C$4,6,1),Transaksi!$B$16:$B$5015,"&lt;="&amp;EOMONTH(DATE(Dashboard!$C$4,6,1),0)))</f>
        <v/>
      </c>
      <c r="J278" s="165">
        <f>IF($C278="","",SUMIFS(Transaksi!$F$16:$F$5015,Transaksi!$G$16:$G$5015,$A278,Transaksi!$H$16:$H$5015,$B278,Transaksi!$I$16:$I$5015,$C278,Transaksi!$B$16:$B$5015,"&gt;="&amp;DATE(Dashboard!$C$4,7,1),Transaksi!$B$16:$B$5015,"&lt;="&amp;EOMONTH(DATE(Dashboard!$C$4,7,1),0)))</f>
        <v/>
      </c>
      <c r="K278" s="165">
        <f>IF($C278="","",SUMIFS(Transaksi!$F$16:$F$5015,Transaksi!$G$16:$G$5015,$A278,Transaksi!$H$16:$H$5015,$B278,Transaksi!$I$16:$I$5015,$C278,Transaksi!$B$16:$B$5015,"&gt;="&amp;DATE(Dashboard!$C$4,8,1),Transaksi!$B$16:$B$5015,"&lt;="&amp;EOMONTH(DATE(Dashboard!$C$4,8,1),0)))</f>
        <v/>
      </c>
      <c r="L278" s="165">
        <f>IF($C278="","",SUMIFS(Transaksi!$F$16:$F$5015,Transaksi!$G$16:$G$5015,$A278,Transaksi!$H$16:$H$5015,$B278,Transaksi!$I$16:$I$5015,$C278,Transaksi!$B$16:$B$5015,"&gt;="&amp;DATE(Dashboard!$C$4,9,1),Transaksi!$B$16:$B$5015,"&lt;="&amp;EOMONTH(DATE(Dashboard!$C$4,9,1),0)))</f>
        <v/>
      </c>
      <c r="M278" s="165">
        <f>IF($C278="","",SUMIFS(Transaksi!$F$16:$F$5015,Transaksi!$G$16:$G$5015,$A278,Transaksi!$H$16:$H$5015,$B278,Transaksi!$I$16:$I$5015,$C278,Transaksi!$B$16:$B$5015,"&gt;="&amp;DATE(Dashboard!$C$4,10,1),Transaksi!$B$16:$B$5015,"&lt;="&amp;EOMONTH(DATE(Dashboard!$C$4,10,1),0)))</f>
        <v/>
      </c>
      <c r="N278" s="165">
        <f>IF($C278="","",SUMIFS(Transaksi!$F$16:$F$5015,Transaksi!$G$16:$G$5015,$A278,Transaksi!$H$16:$H$5015,$B278,Transaksi!$I$16:$I$5015,$C278,Transaksi!$B$16:$B$5015,"&gt;="&amp;DATE(Dashboard!$C$4,11,1),Transaksi!$B$16:$B$5015,"&lt;="&amp;EOMONTH(DATE(Dashboard!$C$4,11,1),0)))</f>
        <v/>
      </c>
      <c r="O278" s="165">
        <f>IF($C278="","",SUMIFS(Transaksi!$F$16:$F$5015,Transaksi!$G$16:$G$5015,$A278,Transaksi!$H$16:$H$5015,$B278,Transaksi!$I$16:$I$5015,$C278,Transaksi!$B$16:$B$5015,"&gt;="&amp;DATE(Dashboard!$C$4,12,1),Transaksi!$B$16:$B$5015,"&lt;="&amp;EOMONTH(DATE(Dashboard!$C$4,12,1),0)))</f>
        <v/>
      </c>
      <c r="P278" s="166">
        <f>IF($C278="","",SUM(D278:O278))</f>
        <v/>
      </c>
    </row>
    <row r="279" ht="15" customHeight="1" s="94">
      <c r="A279" s="164">
        <f>IF(Kategori!C279="","",Kategori!A279)</f>
        <v/>
      </c>
      <c r="B279" s="164">
        <f>IF(Kategori!C279="","",Kategori!B279)</f>
        <v/>
      </c>
      <c r="C279" s="108">
        <f>IF(Kategori!C279="","",Kategori!C279)</f>
        <v/>
      </c>
      <c r="D279" s="165">
        <f>IF($C279="","",SUMIFS(Transaksi!$F$16:$F$5015,Transaksi!$G$16:$G$5015,$A279,Transaksi!$H$16:$H$5015,$B279,Transaksi!$I$16:$I$5015,$C279,Transaksi!$B$16:$B$5015,"&gt;="&amp;DATE(Dashboard!$C$4,1,1),Transaksi!$B$16:$B$5015,"&lt;="&amp;EOMONTH(DATE(Dashboard!$C$4,1,1),0)))</f>
        <v/>
      </c>
      <c r="E279" s="165">
        <f>IF($C279="","",SUMIFS(Transaksi!$F$16:$F$5015,Transaksi!$G$16:$G$5015,$A279,Transaksi!$H$16:$H$5015,$B279,Transaksi!$I$16:$I$5015,$C279,Transaksi!$B$16:$B$5015,"&gt;="&amp;DATE(Dashboard!$C$4,2,1),Transaksi!$B$16:$B$5015,"&lt;="&amp;EOMONTH(DATE(Dashboard!$C$4,2,1),0)))</f>
        <v/>
      </c>
      <c r="F279" s="165">
        <f>IF($C279="","",SUMIFS(Transaksi!$F$16:$F$5015,Transaksi!$G$16:$G$5015,$A279,Transaksi!$H$16:$H$5015,$B279,Transaksi!$I$16:$I$5015,$C279,Transaksi!$B$16:$B$5015,"&gt;="&amp;DATE(Dashboard!$C$4,3,1),Transaksi!$B$16:$B$5015,"&lt;="&amp;EOMONTH(DATE(Dashboard!$C$4,3,1),0)))</f>
        <v/>
      </c>
      <c r="G279" s="165">
        <f>IF($C279="","",SUMIFS(Transaksi!$F$16:$F$5015,Transaksi!$G$16:$G$5015,$A279,Transaksi!$H$16:$H$5015,$B279,Transaksi!$I$16:$I$5015,$C279,Transaksi!$B$16:$B$5015,"&gt;="&amp;DATE(Dashboard!$C$4,4,1),Transaksi!$B$16:$B$5015,"&lt;="&amp;EOMONTH(DATE(Dashboard!$C$4,4,1),0)))</f>
        <v/>
      </c>
      <c r="H279" s="165">
        <f>IF($C279="","",SUMIFS(Transaksi!$F$16:$F$5015,Transaksi!$G$16:$G$5015,$A279,Transaksi!$H$16:$H$5015,$B279,Transaksi!$I$16:$I$5015,$C279,Transaksi!$B$16:$B$5015,"&gt;="&amp;DATE(Dashboard!$C$4,5,1),Transaksi!$B$16:$B$5015,"&lt;="&amp;EOMONTH(DATE(Dashboard!$C$4,5,1),0)))</f>
        <v/>
      </c>
      <c r="I279" s="165">
        <f>IF($C279="","",SUMIFS(Transaksi!$F$16:$F$5015,Transaksi!$G$16:$G$5015,$A279,Transaksi!$H$16:$H$5015,$B279,Transaksi!$I$16:$I$5015,$C279,Transaksi!$B$16:$B$5015,"&gt;="&amp;DATE(Dashboard!$C$4,6,1),Transaksi!$B$16:$B$5015,"&lt;="&amp;EOMONTH(DATE(Dashboard!$C$4,6,1),0)))</f>
        <v/>
      </c>
      <c r="J279" s="165">
        <f>IF($C279="","",SUMIFS(Transaksi!$F$16:$F$5015,Transaksi!$G$16:$G$5015,$A279,Transaksi!$H$16:$H$5015,$B279,Transaksi!$I$16:$I$5015,$C279,Transaksi!$B$16:$B$5015,"&gt;="&amp;DATE(Dashboard!$C$4,7,1),Transaksi!$B$16:$B$5015,"&lt;="&amp;EOMONTH(DATE(Dashboard!$C$4,7,1),0)))</f>
        <v/>
      </c>
      <c r="K279" s="165">
        <f>IF($C279="","",SUMIFS(Transaksi!$F$16:$F$5015,Transaksi!$G$16:$G$5015,$A279,Transaksi!$H$16:$H$5015,$B279,Transaksi!$I$16:$I$5015,$C279,Transaksi!$B$16:$B$5015,"&gt;="&amp;DATE(Dashboard!$C$4,8,1),Transaksi!$B$16:$B$5015,"&lt;="&amp;EOMONTH(DATE(Dashboard!$C$4,8,1),0)))</f>
        <v/>
      </c>
      <c r="L279" s="165">
        <f>IF($C279="","",SUMIFS(Transaksi!$F$16:$F$5015,Transaksi!$G$16:$G$5015,$A279,Transaksi!$H$16:$H$5015,$B279,Transaksi!$I$16:$I$5015,$C279,Transaksi!$B$16:$B$5015,"&gt;="&amp;DATE(Dashboard!$C$4,9,1),Transaksi!$B$16:$B$5015,"&lt;="&amp;EOMONTH(DATE(Dashboard!$C$4,9,1),0)))</f>
        <v/>
      </c>
      <c r="M279" s="165">
        <f>IF($C279="","",SUMIFS(Transaksi!$F$16:$F$5015,Transaksi!$G$16:$G$5015,$A279,Transaksi!$H$16:$H$5015,$B279,Transaksi!$I$16:$I$5015,$C279,Transaksi!$B$16:$B$5015,"&gt;="&amp;DATE(Dashboard!$C$4,10,1),Transaksi!$B$16:$B$5015,"&lt;="&amp;EOMONTH(DATE(Dashboard!$C$4,10,1),0)))</f>
        <v/>
      </c>
      <c r="N279" s="165">
        <f>IF($C279="","",SUMIFS(Transaksi!$F$16:$F$5015,Transaksi!$G$16:$G$5015,$A279,Transaksi!$H$16:$H$5015,$B279,Transaksi!$I$16:$I$5015,$C279,Transaksi!$B$16:$B$5015,"&gt;="&amp;DATE(Dashboard!$C$4,11,1),Transaksi!$B$16:$B$5015,"&lt;="&amp;EOMONTH(DATE(Dashboard!$C$4,11,1),0)))</f>
        <v/>
      </c>
      <c r="O279" s="165">
        <f>IF($C279="","",SUMIFS(Transaksi!$F$16:$F$5015,Transaksi!$G$16:$G$5015,$A279,Transaksi!$H$16:$H$5015,$B279,Transaksi!$I$16:$I$5015,$C279,Transaksi!$B$16:$B$5015,"&gt;="&amp;DATE(Dashboard!$C$4,12,1),Transaksi!$B$16:$B$5015,"&lt;="&amp;EOMONTH(DATE(Dashboard!$C$4,12,1),0)))</f>
        <v/>
      </c>
      <c r="P279" s="166">
        <f>IF($C279="","",SUM(D279:O279))</f>
        <v/>
      </c>
    </row>
    <row r="280" ht="15" customHeight="1" s="94">
      <c r="A280" s="164">
        <f>IF(Kategori!C280="","",Kategori!A280)</f>
        <v/>
      </c>
      <c r="B280" s="164">
        <f>IF(Kategori!C280="","",Kategori!B280)</f>
        <v/>
      </c>
      <c r="C280" s="108">
        <f>IF(Kategori!C280="","",Kategori!C280)</f>
        <v/>
      </c>
      <c r="D280" s="165">
        <f>IF($C280="","",SUMIFS(Transaksi!$F$16:$F$5015,Transaksi!$G$16:$G$5015,$A280,Transaksi!$H$16:$H$5015,$B280,Transaksi!$I$16:$I$5015,$C280,Transaksi!$B$16:$B$5015,"&gt;="&amp;DATE(Dashboard!$C$4,1,1),Transaksi!$B$16:$B$5015,"&lt;="&amp;EOMONTH(DATE(Dashboard!$C$4,1,1),0)))</f>
        <v/>
      </c>
      <c r="E280" s="165">
        <f>IF($C280="","",SUMIFS(Transaksi!$F$16:$F$5015,Transaksi!$G$16:$G$5015,$A280,Transaksi!$H$16:$H$5015,$B280,Transaksi!$I$16:$I$5015,$C280,Transaksi!$B$16:$B$5015,"&gt;="&amp;DATE(Dashboard!$C$4,2,1),Transaksi!$B$16:$B$5015,"&lt;="&amp;EOMONTH(DATE(Dashboard!$C$4,2,1),0)))</f>
        <v/>
      </c>
      <c r="F280" s="165">
        <f>IF($C280="","",SUMIFS(Transaksi!$F$16:$F$5015,Transaksi!$G$16:$G$5015,$A280,Transaksi!$H$16:$H$5015,$B280,Transaksi!$I$16:$I$5015,$C280,Transaksi!$B$16:$B$5015,"&gt;="&amp;DATE(Dashboard!$C$4,3,1),Transaksi!$B$16:$B$5015,"&lt;="&amp;EOMONTH(DATE(Dashboard!$C$4,3,1),0)))</f>
        <v/>
      </c>
      <c r="G280" s="165">
        <f>IF($C280="","",SUMIFS(Transaksi!$F$16:$F$5015,Transaksi!$G$16:$G$5015,$A280,Transaksi!$H$16:$H$5015,$B280,Transaksi!$I$16:$I$5015,$C280,Transaksi!$B$16:$B$5015,"&gt;="&amp;DATE(Dashboard!$C$4,4,1),Transaksi!$B$16:$B$5015,"&lt;="&amp;EOMONTH(DATE(Dashboard!$C$4,4,1),0)))</f>
        <v/>
      </c>
      <c r="H280" s="165">
        <f>IF($C280="","",SUMIFS(Transaksi!$F$16:$F$5015,Transaksi!$G$16:$G$5015,$A280,Transaksi!$H$16:$H$5015,$B280,Transaksi!$I$16:$I$5015,$C280,Transaksi!$B$16:$B$5015,"&gt;="&amp;DATE(Dashboard!$C$4,5,1),Transaksi!$B$16:$B$5015,"&lt;="&amp;EOMONTH(DATE(Dashboard!$C$4,5,1),0)))</f>
        <v/>
      </c>
      <c r="I280" s="165">
        <f>IF($C280="","",SUMIFS(Transaksi!$F$16:$F$5015,Transaksi!$G$16:$G$5015,$A280,Transaksi!$H$16:$H$5015,$B280,Transaksi!$I$16:$I$5015,$C280,Transaksi!$B$16:$B$5015,"&gt;="&amp;DATE(Dashboard!$C$4,6,1),Transaksi!$B$16:$B$5015,"&lt;="&amp;EOMONTH(DATE(Dashboard!$C$4,6,1),0)))</f>
        <v/>
      </c>
      <c r="J280" s="165">
        <f>IF($C280="","",SUMIFS(Transaksi!$F$16:$F$5015,Transaksi!$G$16:$G$5015,$A280,Transaksi!$H$16:$H$5015,$B280,Transaksi!$I$16:$I$5015,$C280,Transaksi!$B$16:$B$5015,"&gt;="&amp;DATE(Dashboard!$C$4,7,1),Transaksi!$B$16:$B$5015,"&lt;="&amp;EOMONTH(DATE(Dashboard!$C$4,7,1),0)))</f>
        <v/>
      </c>
      <c r="K280" s="165">
        <f>IF($C280="","",SUMIFS(Transaksi!$F$16:$F$5015,Transaksi!$G$16:$G$5015,$A280,Transaksi!$H$16:$H$5015,$B280,Transaksi!$I$16:$I$5015,$C280,Transaksi!$B$16:$B$5015,"&gt;="&amp;DATE(Dashboard!$C$4,8,1),Transaksi!$B$16:$B$5015,"&lt;="&amp;EOMONTH(DATE(Dashboard!$C$4,8,1),0)))</f>
        <v/>
      </c>
      <c r="L280" s="165">
        <f>IF($C280="","",SUMIFS(Transaksi!$F$16:$F$5015,Transaksi!$G$16:$G$5015,$A280,Transaksi!$H$16:$H$5015,$B280,Transaksi!$I$16:$I$5015,$C280,Transaksi!$B$16:$B$5015,"&gt;="&amp;DATE(Dashboard!$C$4,9,1),Transaksi!$B$16:$B$5015,"&lt;="&amp;EOMONTH(DATE(Dashboard!$C$4,9,1),0)))</f>
        <v/>
      </c>
      <c r="M280" s="165">
        <f>IF($C280="","",SUMIFS(Transaksi!$F$16:$F$5015,Transaksi!$G$16:$G$5015,$A280,Transaksi!$H$16:$H$5015,$B280,Transaksi!$I$16:$I$5015,$C280,Transaksi!$B$16:$B$5015,"&gt;="&amp;DATE(Dashboard!$C$4,10,1),Transaksi!$B$16:$B$5015,"&lt;="&amp;EOMONTH(DATE(Dashboard!$C$4,10,1),0)))</f>
        <v/>
      </c>
      <c r="N280" s="165">
        <f>IF($C280="","",SUMIFS(Transaksi!$F$16:$F$5015,Transaksi!$G$16:$G$5015,$A280,Transaksi!$H$16:$H$5015,$B280,Transaksi!$I$16:$I$5015,$C280,Transaksi!$B$16:$B$5015,"&gt;="&amp;DATE(Dashboard!$C$4,11,1),Transaksi!$B$16:$B$5015,"&lt;="&amp;EOMONTH(DATE(Dashboard!$C$4,11,1),0)))</f>
        <v/>
      </c>
      <c r="O280" s="165">
        <f>IF($C280="","",SUMIFS(Transaksi!$F$16:$F$5015,Transaksi!$G$16:$G$5015,$A280,Transaksi!$H$16:$H$5015,$B280,Transaksi!$I$16:$I$5015,$C280,Transaksi!$B$16:$B$5015,"&gt;="&amp;DATE(Dashboard!$C$4,12,1),Transaksi!$B$16:$B$5015,"&lt;="&amp;EOMONTH(DATE(Dashboard!$C$4,12,1),0)))</f>
        <v/>
      </c>
      <c r="P280" s="166">
        <f>IF($C280="","",SUM(D280:O280))</f>
        <v/>
      </c>
    </row>
    <row r="281" ht="15" customHeight="1" s="94">
      <c r="A281" s="164">
        <f>IF(Kategori!C281="","",Kategori!A281)</f>
        <v/>
      </c>
      <c r="B281" s="164">
        <f>IF(Kategori!C281="","",Kategori!B281)</f>
        <v/>
      </c>
      <c r="C281" s="108">
        <f>IF(Kategori!C281="","",Kategori!C281)</f>
        <v/>
      </c>
      <c r="D281" s="165">
        <f>IF($C281="","",SUMIFS(Transaksi!$F$16:$F$5015,Transaksi!$G$16:$G$5015,$A281,Transaksi!$H$16:$H$5015,$B281,Transaksi!$I$16:$I$5015,$C281,Transaksi!$B$16:$B$5015,"&gt;="&amp;DATE(Dashboard!$C$4,1,1),Transaksi!$B$16:$B$5015,"&lt;="&amp;EOMONTH(DATE(Dashboard!$C$4,1,1),0)))</f>
        <v/>
      </c>
      <c r="E281" s="165">
        <f>IF($C281="","",SUMIFS(Transaksi!$F$16:$F$5015,Transaksi!$G$16:$G$5015,$A281,Transaksi!$H$16:$H$5015,$B281,Transaksi!$I$16:$I$5015,$C281,Transaksi!$B$16:$B$5015,"&gt;="&amp;DATE(Dashboard!$C$4,2,1),Transaksi!$B$16:$B$5015,"&lt;="&amp;EOMONTH(DATE(Dashboard!$C$4,2,1),0)))</f>
        <v/>
      </c>
      <c r="F281" s="165">
        <f>IF($C281="","",SUMIFS(Transaksi!$F$16:$F$5015,Transaksi!$G$16:$G$5015,$A281,Transaksi!$H$16:$H$5015,$B281,Transaksi!$I$16:$I$5015,$C281,Transaksi!$B$16:$B$5015,"&gt;="&amp;DATE(Dashboard!$C$4,3,1),Transaksi!$B$16:$B$5015,"&lt;="&amp;EOMONTH(DATE(Dashboard!$C$4,3,1),0)))</f>
        <v/>
      </c>
      <c r="G281" s="165">
        <f>IF($C281="","",SUMIFS(Transaksi!$F$16:$F$5015,Transaksi!$G$16:$G$5015,$A281,Transaksi!$H$16:$H$5015,$B281,Transaksi!$I$16:$I$5015,$C281,Transaksi!$B$16:$B$5015,"&gt;="&amp;DATE(Dashboard!$C$4,4,1),Transaksi!$B$16:$B$5015,"&lt;="&amp;EOMONTH(DATE(Dashboard!$C$4,4,1),0)))</f>
        <v/>
      </c>
      <c r="H281" s="165">
        <f>IF($C281="","",SUMIFS(Transaksi!$F$16:$F$5015,Transaksi!$G$16:$G$5015,$A281,Transaksi!$H$16:$H$5015,$B281,Transaksi!$I$16:$I$5015,$C281,Transaksi!$B$16:$B$5015,"&gt;="&amp;DATE(Dashboard!$C$4,5,1),Transaksi!$B$16:$B$5015,"&lt;="&amp;EOMONTH(DATE(Dashboard!$C$4,5,1),0)))</f>
        <v/>
      </c>
      <c r="I281" s="165">
        <f>IF($C281="","",SUMIFS(Transaksi!$F$16:$F$5015,Transaksi!$G$16:$G$5015,$A281,Transaksi!$H$16:$H$5015,$B281,Transaksi!$I$16:$I$5015,$C281,Transaksi!$B$16:$B$5015,"&gt;="&amp;DATE(Dashboard!$C$4,6,1),Transaksi!$B$16:$B$5015,"&lt;="&amp;EOMONTH(DATE(Dashboard!$C$4,6,1),0)))</f>
        <v/>
      </c>
      <c r="J281" s="165">
        <f>IF($C281="","",SUMIFS(Transaksi!$F$16:$F$5015,Transaksi!$G$16:$G$5015,$A281,Transaksi!$H$16:$H$5015,$B281,Transaksi!$I$16:$I$5015,$C281,Transaksi!$B$16:$B$5015,"&gt;="&amp;DATE(Dashboard!$C$4,7,1),Transaksi!$B$16:$B$5015,"&lt;="&amp;EOMONTH(DATE(Dashboard!$C$4,7,1),0)))</f>
        <v/>
      </c>
      <c r="K281" s="165">
        <f>IF($C281="","",SUMIFS(Transaksi!$F$16:$F$5015,Transaksi!$G$16:$G$5015,$A281,Transaksi!$H$16:$H$5015,$B281,Transaksi!$I$16:$I$5015,$C281,Transaksi!$B$16:$B$5015,"&gt;="&amp;DATE(Dashboard!$C$4,8,1),Transaksi!$B$16:$B$5015,"&lt;="&amp;EOMONTH(DATE(Dashboard!$C$4,8,1),0)))</f>
        <v/>
      </c>
      <c r="L281" s="165">
        <f>IF($C281="","",SUMIFS(Transaksi!$F$16:$F$5015,Transaksi!$G$16:$G$5015,$A281,Transaksi!$H$16:$H$5015,$B281,Transaksi!$I$16:$I$5015,$C281,Transaksi!$B$16:$B$5015,"&gt;="&amp;DATE(Dashboard!$C$4,9,1),Transaksi!$B$16:$B$5015,"&lt;="&amp;EOMONTH(DATE(Dashboard!$C$4,9,1),0)))</f>
        <v/>
      </c>
      <c r="M281" s="165">
        <f>IF($C281="","",SUMIFS(Transaksi!$F$16:$F$5015,Transaksi!$G$16:$G$5015,$A281,Transaksi!$H$16:$H$5015,$B281,Transaksi!$I$16:$I$5015,$C281,Transaksi!$B$16:$B$5015,"&gt;="&amp;DATE(Dashboard!$C$4,10,1),Transaksi!$B$16:$B$5015,"&lt;="&amp;EOMONTH(DATE(Dashboard!$C$4,10,1),0)))</f>
        <v/>
      </c>
      <c r="N281" s="165">
        <f>IF($C281="","",SUMIFS(Transaksi!$F$16:$F$5015,Transaksi!$G$16:$G$5015,$A281,Transaksi!$H$16:$H$5015,$B281,Transaksi!$I$16:$I$5015,$C281,Transaksi!$B$16:$B$5015,"&gt;="&amp;DATE(Dashboard!$C$4,11,1),Transaksi!$B$16:$B$5015,"&lt;="&amp;EOMONTH(DATE(Dashboard!$C$4,11,1),0)))</f>
        <v/>
      </c>
      <c r="O281" s="165">
        <f>IF($C281="","",SUMIFS(Transaksi!$F$16:$F$5015,Transaksi!$G$16:$G$5015,$A281,Transaksi!$H$16:$H$5015,$B281,Transaksi!$I$16:$I$5015,$C281,Transaksi!$B$16:$B$5015,"&gt;="&amp;DATE(Dashboard!$C$4,12,1),Transaksi!$B$16:$B$5015,"&lt;="&amp;EOMONTH(DATE(Dashboard!$C$4,12,1),0)))</f>
        <v/>
      </c>
      <c r="P281" s="166">
        <f>IF($C281="","",SUM(D281:O281))</f>
        <v/>
      </c>
    </row>
    <row r="282" ht="15" customHeight="1" s="94">
      <c r="A282" s="164">
        <f>IF(Kategori!C282="","",Kategori!A282)</f>
        <v/>
      </c>
      <c r="B282" s="164">
        <f>IF(Kategori!C282="","",Kategori!B282)</f>
        <v/>
      </c>
      <c r="C282" s="108">
        <f>IF(Kategori!C282="","",Kategori!C282)</f>
        <v/>
      </c>
      <c r="D282" s="165">
        <f>IF($C282="","",SUMIFS(Transaksi!$F$16:$F$5015,Transaksi!$G$16:$G$5015,$A282,Transaksi!$H$16:$H$5015,$B282,Transaksi!$I$16:$I$5015,$C282,Transaksi!$B$16:$B$5015,"&gt;="&amp;DATE(Dashboard!$C$4,1,1),Transaksi!$B$16:$B$5015,"&lt;="&amp;EOMONTH(DATE(Dashboard!$C$4,1,1),0)))</f>
        <v/>
      </c>
      <c r="E282" s="165">
        <f>IF($C282="","",SUMIFS(Transaksi!$F$16:$F$5015,Transaksi!$G$16:$G$5015,$A282,Transaksi!$H$16:$H$5015,$B282,Transaksi!$I$16:$I$5015,$C282,Transaksi!$B$16:$B$5015,"&gt;="&amp;DATE(Dashboard!$C$4,2,1),Transaksi!$B$16:$B$5015,"&lt;="&amp;EOMONTH(DATE(Dashboard!$C$4,2,1),0)))</f>
        <v/>
      </c>
      <c r="F282" s="165">
        <f>IF($C282="","",SUMIFS(Transaksi!$F$16:$F$5015,Transaksi!$G$16:$G$5015,$A282,Transaksi!$H$16:$H$5015,$B282,Transaksi!$I$16:$I$5015,$C282,Transaksi!$B$16:$B$5015,"&gt;="&amp;DATE(Dashboard!$C$4,3,1),Transaksi!$B$16:$B$5015,"&lt;="&amp;EOMONTH(DATE(Dashboard!$C$4,3,1),0)))</f>
        <v/>
      </c>
      <c r="G282" s="165">
        <f>IF($C282="","",SUMIFS(Transaksi!$F$16:$F$5015,Transaksi!$G$16:$G$5015,$A282,Transaksi!$H$16:$H$5015,$B282,Transaksi!$I$16:$I$5015,$C282,Transaksi!$B$16:$B$5015,"&gt;="&amp;DATE(Dashboard!$C$4,4,1),Transaksi!$B$16:$B$5015,"&lt;="&amp;EOMONTH(DATE(Dashboard!$C$4,4,1),0)))</f>
        <v/>
      </c>
      <c r="H282" s="165">
        <f>IF($C282="","",SUMIFS(Transaksi!$F$16:$F$5015,Transaksi!$G$16:$G$5015,$A282,Transaksi!$H$16:$H$5015,$B282,Transaksi!$I$16:$I$5015,$C282,Transaksi!$B$16:$B$5015,"&gt;="&amp;DATE(Dashboard!$C$4,5,1),Transaksi!$B$16:$B$5015,"&lt;="&amp;EOMONTH(DATE(Dashboard!$C$4,5,1),0)))</f>
        <v/>
      </c>
      <c r="I282" s="165">
        <f>IF($C282="","",SUMIFS(Transaksi!$F$16:$F$5015,Transaksi!$G$16:$G$5015,$A282,Transaksi!$H$16:$H$5015,$B282,Transaksi!$I$16:$I$5015,$C282,Transaksi!$B$16:$B$5015,"&gt;="&amp;DATE(Dashboard!$C$4,6,1),Transaksi!$B$16:$B$5015,"&lt;="&amp;EOMONTH(DATE(Dashboard!$C$4,6,1),0)))</f>
        <v/>
      </c>
      <c r="J282" s="165">
        <f>IF($C282="","",SUMIFS(Transaksi!$F$16:$F$5015,Transaksi!$G$16:$G$5015,$A282,Transaksi!$H$16:$H$5015,$B282,Transaksi!$I$16:$I$5015,$C282,Transaksi!$B$16:$B$5015,"&gt;="&amp;DATE(Dashboard!$C$4,7,1),Transaksi!$B$16:$B$5015,"&lt;="&amp;EOMONTH(DATE(Dashboard!$C$4,7,1),0)))</f>
        <v/>
      </c>
      <c r="K282" s="165">
        <f>IF($C282="","",SUMIFS(Transaksi!$F$16:$F$5015,Transaksi!$G$16:$G$5015,$A282,Transaksi!$H$16:$H$5015,$B282,Transaksi!$I$16:$I$5015,$C282,Transaksi!$B$16:$B$5015,"&gt;="&amp;DATE(Dashboard!$C$4,8,1),Transaksi!$B$16:$B$5015,"&lt;="&amp;EOMONTH(DATE(Dashboard!$C$4,8,1),0)))</f>
        <v/>
      </c>
      <c r="L282" s="165">
        <f>IF($C282="","",SUMIFS(Transaksi!$F$16:$F$5015,Transaksi!$G$16:$G$5015,$A282,Transaksi!$H$16:$H$5015,$B282,Transaksi!$I$16:$I$5015,$C282,Transaksi!$B$16:$B$5015,"&gt;="&amp;DATE(Dashboard!$C$4,9,1),Transaksi!$B$16:$B$5015,"&lt;="&amp;EOMONTH(DATE(Dashboard!$C$4,9,1),0)))</f>
        <v/>
      </c>
      <c r="M282" s="165">
        <f>IF($C282="","",SUMIFS(Transaksi!$F$16:$F$5015,Transaksi!$G$16:$G$5015,$A282,Transaksi!$H$16:$H$5015,$B282,Transaksi!$I$16:$I$5015,$C282,Transaksi!$B$16:$B$5015,"&gt;="&amp;DATE(Dashboard!$C$4,10,1),Transaksi!$B$16:$B$5015,"&lt;="&amp;EOMONTH(DATE(Dashboard!$C$4,10,1),0)))</f>
        <v/>
      </c>
      <c r="N282" s="165">
        <f>IF($C282="","",SUMIFS(Transaksi!$F$16:$F$5015,Transaksi!$G$16:$G$5015,$A282,Transaksi!$H$16:$H$5015,$B282,Transaksi!$I$16:$I$5015,$C282,Transaksi!$B$16:$B$5015,"&gt;="&amp;DATE(Dashboard!$C$4,11,1),Transaksi!$B$16:$B$5015,"&lt;="&amp;EOMONTH(DATE(Dashboard!$C$4,11,1),0)))</f>
        <v/>
      </c>
      <c r="O282" s="165">
        <f>IF($C282="","",SUMIFS(Transaksi!$F$16:$F$5015,Transaksi!$G$16:$G$5015,$A282,Transaksi!$H$16:$H$5015,$B282,Transaksi!$I$16:$I$5015,$C282,Transaksi!$B$16:$B$5015,"&gt;="&amp;DATE(Dashboard!$C$4,12,1),Transaksi!$B$16:$B$5015,"&lt;="&amp;EOMONTH(DATE(Dashboard!$C$4,12,1),0)))</f>
        <v/>
      </c>
      <c r="P282" s="166">
        <f>IF($C282="","",SUM(D282:O282))</f>
        <v/>
      </c>
    </row>
    <row r="283" ht="15" customHeight="1" s="94">
      <c r="A283" s="164">
        <f>IF(Kategori!C283="","",Kategori!A283)</f>
        <v/>
      </c>
      <c r="B283" s="164">
        <f>IF(Kategori!C283="","",Kategori!B283)</f>
        <v/>
      </c>
      <c r="C283" s="108">
        <f>IF(Kategori!C283="","",Kategori!C283)</f>
        <v/>
      </c>
      <c r="D283" s="165">
        <f>IF($C283="","",SUMIFS(Transaksi!$F$16:$F$5015,Transaksi!$G$16:$G$5015,$A283,Transaksi!$H$16:$H$5015,$B283,Transaksi!$I$16:$I$5015,$C283,Transaksi!$B$16:$B$5015,"&gt;="&amp;DATE(Dashboard!$C$4,1,1),Transaksi!$B$16:$B$5015,"&lt;="&amp;EOMONTH(DATE(Dashboard!$C$4,1,1),0)))</f>
        <v/>
      </c>
      <c r="E283" s="165">
        <f>IF($C283="","",SUMIFS(Transaksi!$F$16:$F$5015,Transaksi!$G$16:$G$5015,$A283,Transaksi!$H$16:$H$5015,$B283,Transaksi!$I$16:$I$5015,$C283,Transaksi!$B$16:$B$5015,"&gt;="&amp;DATE(Dashboard!$C$4,2,1),Transaksi!$B$16:$B$5015,"&lt;="&amp;EOMONTH(DATE(Dashboard!$C$4,2,1),0)))</f>
        <v/>
      </c>
      <c r="F283" s="165">
        <f>IF($C283="","",SUMIFS(Transaksi!$F$16:$F$5015,Transaksi!$G$16:$G$5015,$A283,Transaksi!$H$16:$H$5015,$B283,Transaksi!$I$16:$I$5015,$C283,Transaksi!$B$16:$B$5015,"&gt;="&amp;DATE(Dashboard!$C$4,3,1),Transaksi!$B$16:$B$5015,"&lt;="&amp;EOMONTH(DATE(Dashboard!$C$4,3,1),0)))</f>
        <v/>
      </c>
      <c r="G283" s="165">
        <f>IF($C283="","",SUMIFS(Transaksi!$F$16:$F$5015,Transaksi!$G$16:$G$5015,$A283,Transaksi!$H$16:$H$5015,$B283,Transaksi!$I$16:$I$5015,$C283,Transaksi!$B$16:$B$5015,"&gt;="&amp;DATE(Dashboard!$C$4,4,1),Transaksi!$B$16:$B$5015,"&lt;="&amp;EOMONTH(DATE(Dashboard!$C$4,4,1),0)))</f>
        <v/>
      </c>
      <c r="H283" s="165">
        <f>IF($C283="","",SUMIFS(Transaksi!$F$16:$F$5015,Transaksi!$G$16:$G$5015,$A283,Transaksi!$H$16:$H$5015,$B283,Transaksi!$I$16:$I$5015,$C283,Transaksi!$B$16:$B$5015,"&gt;="&amp;DATE(Dashboard!$C$4,5,1),Transaksi!$B$16:$B$5015,"&lt;="&amp;EOMONTH(DATE(Dashboard!$C$4,5,1),0)))</f>
        <v/>
      </c>
      <c r="I283" s="165">
        <f>IF($C283="","",SUMIFS(Transaksi!$F$16:$F$5015,Transaksi!$G$16:$G$5015,$A283,Transaksi!$H$16:$H$5015,$B283,Transaksi!$I$16:$I$5015,$C283,Transaksi!$B$16:$B$5015,"&gt;="&amp;DATE(Dashboard!$C$4,6,1),Transaksi!$B$16:$B$5015,"&lt;="&amp;EOMONTH(DATE(Dashboard!$C$4,6,1),0)))</f>
        <v/>
      </c>
      <c r="J283" s="165">
        <f>IF($C283="","",SUMIFS(Transaksi!$F$16:$F$5015,Transaksi!$G$16:$G$5015,$A283,Transaksi!$H$16:$H$5015,$B283,Transaksi!$I$16:$I$5015,$C283,Transaksi!$B$16:$B$5015,"&gt;="&amp;DATE(Dashboard!$C$4,7,1),Transaksi!$B$16:$B$5015,"&lt;="&amp;EOMONTH(DATE(Dashboard!$C$4,7,1),0)))</f>
        <v/>
      </c>
      <c r="K283" s="165">
        <f>IF($C283="","",SUMIFS(Transaksi!$F$16:$F$5015,Transaksi!$G$16:$G$5015,$A283,Transaksi!$H$16:$H$5015,$B283,Transaksi!$I$16:$I$5015,$C283,Transaksi!$B$16:$B$5015,"&gt;="&amp;DATE(Dashboard!$C$4,8,1),Transaksi!$B$16:$B$5015,"&lt;="&amp;EOMONTH(DATE(Dashboard!$C$4,8,1),0)))</f>
        <v/>
      </c>
      <c r="L283" s="165">
        <f>IF($C283="","",SUMIFS(Transaksi!$F$16:$F$5015,Transaksi!$G$16:$G$5015,$A283,Transaksi!$H$16:$H$5015,$B283,Transaksi!$I$16:$I$5015,$C283,Transaksi!$B$16:$B$5015,"&gt;="&amp;DATE(Dashboard!$C$4,9,1),Transaksi!$B$16:$B$5015,"&lt;="&amp;EOMONTH(DATE(Dashboard!$C$4,9,1),0)))</f>
        <v/>
      </c>
      <c r="M283" s="165">
        <f>IF($C283="","",SUMIFS(Transaksi!$F$16:$F$5015,Transaksi!$G$16:$G$5015,$A283,Transaksi!$H$16:$H$5015,$B283,Transaksi!$I$16:$I$5015,$C283,Transaksi!$B$16:$B$5015,"&gt;="&amp;DATE(Dashboard!$C$4,10,1),Transaksi!$B$16:$B$5015,"&lt;="&amp;EOMONTH(DATE(Dashboard!$C$4,10,1),0)))</f>
        <v/>
      </c>
      <c r="N283" s="165">
        <f>IF($C283="","",SUMIFS(Transaksi!$F$16:$F$5015,Transaksi!$G$16:$G$5015,$A283,Transaksi!$H$16:$H$5015,$B283,Transaksi!$I$16:$I$5015,$C283,Transaksi!$B$16:$B$5015,"&gt;="&amp;DATE(Dashboard!$C$4,11,1),Transaksi!$B$16:$B$5015,"&lt;="&amp;EOMONTH(DATE(Dashboard!$C$4,11,1),0)))</f>
        <v/>
      </c>
      <c r="O283" s="165">
        <f>IF($C283="","",SUMIFS(Transaksi!$F$16:$F$5015,Transaksi!$G$16:$G$5015,$A283,Transaksi!$H$16:$H$5015,$B283,Transaksi!$I$16:$I$5015,$C283,Transaksi!$B$16:$B$5015,"&gt;="&amp;DATE(Dashboard!$C$4,12,1),Transaksi!$B$16:$B$5015,"&lt;="&amp;EOMONTH(DATE(Dashboard!$C$4,12,1),0)))</f>
        <v/>
      </c>
      <c r="P283" s="166">
        <f>IF($C283="","",SUM(D283:O283))</f>
        <v/>
      </c>
    </row>
    <row r="284" ht="15" customHeight="1" s="94">
      <c r="A284" s="164">
        <f>IF(Kategori!C284="","",Kategori!A284)</f>
        <v/>
      </c>
      <c r="B284" s="164">
        <f>IF(Kategori!C284="","",Kategori!B284)</f>
        <v/>
      </c>
      <c r="C284" s="108">
        <f>IF(Kategori!C284="","",Kategori!C284)</f>
        <v/>
      </c>
      <c r="D284" s="165">
        <f>IF($C284="","",SUMIFS(Transaksi!$F$16:$F$5015,Transaksi!$G$16:$G$5015,$A284,Transaksi!$H$16:$H$5015,$B284,Transaksi!$I$16:$I$5015,$C284,Transaksi!$B$16:$B$5015,"&gt;="&amp;DATE(Dashboard!$C$4,1,1),Transaksi!$B$16:$B$5015,"&lt;="&amp;EOMONTH(DATE(Dashboard!$C$4,1,1),0)))</f>
        <v/>
      </c>
      <c r="E284" s="165">
        <f>IF($C284="","",SUMIFS(Transaksi!$F$16:$F$5015,Transaksi!$G$16:$G$5015,$A284,Transaksi!$H$16:$H$5015,$B284,Transaksi!$I$16:$I$5015,$C284,Transaksi!$B$16:$B$5015,"&gt;="&amp;DATE(Dashboard!$C$4,2,1),Transaksi!$B$16:$B$5015,"&lt;="&amp;EOMONTH(DATE(Dashboard!$C$4,2,1),0)))</f>
        <v/>
      </c>
      <c r="F284" s="165">
        <f>IF($C284="","",SUMIFS(Transaksi!$F$16:$F$5015,Transaksi!$G$16:$G$5015,$A284,Transaksi!$H$16:$H$5015,$B284,Transaksi!$I$16:$I$5015,$C284,Transaksi!$B$16:$B$5015,"&gt;="&amp;DATE(Dashboard!$C$4,3,1),Transaksi!$B$16:$B$5015,"&lt;="&amp;EOMONTH(DATE(Dashboard!$C$4,3,1),0)))</f>
        <v/>
      </c>
      <c r="G284" s="165">
        <f>IF($C284="","",SUMIFS(Transaksi!$F$16:$F$5015,Transaksi!$G$16:$G$5015,$A284,Transaksi!$H$16:$H$5015,$B284,Transaksi!$I$16:$I$5015,$C284,Transaksi!$B$16:$B$5015,"&gt;="&amp;DATE(Dashboard!$C$4,4,1),Transaksi!$B$16:$B$5015,"&lt;="&amp;EOMONTH(DATE(Dashboard!$C$4,4,1),0)))</f>
        <v/>
      </c>
      <c r="H284" s="165">
        <f>IF($C284="","",SUMIFS(Transaksi!$F$16:$F$5015,Transaksi!$G$16:$G$5015,$A284,Transaksi!$H$16:$H$5015,$B284,Transaksi!$I$16:$I$5015,$C284,Transaksi!$B$16:$B$5015,"&gt;="&amp;DATE(Dashboard!$C$4,5,1),Transaksi!$B$16:$B$5015,"&lt;="&amp;EOMONTH(DATE(Dashboard!$C$4,5,1),0)))</f>
        <v/>
      </c>
      <c r="I284" s="165">
        <f>IF($C284="","",SUMIFS(Transaksi!$F$16:$F$5015,Transaksi!$G$16:$G$5015,$A284,Transaksi!$H$16:$H$5015,$B284,Transaksi!$I$16:$I$5015,$C284,Transaksi!$B$16:$B$5015,"&gt;="&amp;DATE(Dashboard!$C$4,6,1),Transaksi!$B$16:$B$5015,"&lt;="&amp;EOMONTH(DATE(Dashboard!$C$4,6,1),0)))</f>
        <v/>
      </c>
      <c r="J284" s="165">
        <f>IF($C284="","",SUMIFS(Transaksi!$F$16:$F$5015,Transaksi!$G$16:$G$5015,$A284,Transaksi!$H$16:$H$5015,$B284,Transaksi!$I$16:$I$5015,$C284,Transaksi!$B$16:$B$5015,"&gt;="&amp;DATE(Dashboard!$C$4,7,1),Transaksi!$B$16:$B$5015,"&lt;="&amp;EOMONTH(DATE(Dashboard!$C$4,7,1),0)))</f>
        <v/>
      </c>
      <c r="K284" s="165">
        <f>IF($C284="","",SUMIFS(Transaksi!$F$16:$F$5015,Transaksi!$G$16:$G$5015,$A284,Transaksi!$H$16:$H$5015,$B284,Transaksi!$I$16:$I$5015,$C284,Transaksi!$B$16:$B$5015,"&gt;="&amp;DATE(Dashboard!$C$4,8,1),Transaksi!$B$16:$B$5015,"&lt;="&amp;EOMONTH(DATE(Dashboard!$C$4,8,1),0)))</f>
        <v/>
      </c>
      <c r="L284" s="165">
        <f>IF($C284="","",SUMIFS(Transaksi!$F$16:$F$5015,Transaksi!$G$16:$G$5015,$A284,Transaksi!$H$16:$H$5015,$B284,Transaksi!$I$16:$I$5015,$C284,Transaksi!$B$16:$B$5015,"&gt;="&amp;DATE(Dashboard!$C$4,9,1),Transaksi!$B$16:$B$5015,"&lt;="&amp;EOMONTH(DATE(Dashboard!$C$4,9,1),0)))</f>
        <v/>
      </c>
      <c r="M284" s="165">
        <f>IF($C284="","",SUMIFS(Transaksi!$F$16:$F$5015,Transaksi!$G$16:$G$5015,$A284,Transaksi!$H$16:$H$5015,$B284,Transaksi!$I$16:$I$5015,$C284,Transaksi!$B$16:$B$5015,"&gt;="&amp;DATE(Dashboard!$C$4,10,1),Transaksi!$B$16:$B$5015,"&lt;="&amp;EOMONTH(DATE(Dashboard!$C$4,10,1),0)))</f>
        <v/>
      </c>
      <c r="N284" s="165">
        <f>IF($C284="","",SUMIFS(Transaksi!$F$16:$F$5015,Transaksi!$G$16:$G$5015,$A284,Transaksi!$H$16:$H$5015,$B284,Transaksi!$I$16:$I$5015,$C284,Transaksi!$B$16:$B$5015,"&gt;="&amp;DATE(Dashboard!$C$4,11,1),Transaksi!$B$16:$B$5015,"&lt;="&amp;EOMONTH(DATE(Dashboard!$C$4,11,1),0)))</f>
        <v/>
      </c>
      <c r="O284" s="165">
        <f>IF($C284="","",SUMIFS(Transaksi!$F$16:$F$5015,Transaksi!$G$16:$G$5015,$A284,Transaksi!$H$16:$H$5015,$B284,Transaksi!$I$16:$I$5015,$C284,Transaksi!$B$16:$B$5015,"&gt;="&amp;DATE(Dashboard!$C$4,12,1),Transaksi!$B$16:$B$5015,"&lt;="&amp;EOMONTH(DATE(Dashboard!$C$4,12,1),0)))</f>
        <v/>
      </c>
      <c r="P284" s="166">
        <f>IF($C284="","",SUM(D284:O284))</f>
        <v/>
      </c>
    </row>
    <row r="285" ht="15" customHeight="1" s="94">
      <c r="A285" s="164">
        <f>IF(Kategori!C285="","",Kategori!A285)</f>
        <v/>
      </c>
      <c r="B285" s="164">
        <f>IF(Kategori!C285="","",Kategori!B285)</f>
        <v/>
      </c>
      <c r="C285" s="108">
        <f>IF(Kategori!C285="","",Kategori!C285)</f>
        <v/>
      </c>
      <c r="D285" s="165">
        <f>IF($C285="","",SUMIFS(Transaksi!$F$16:$F$5015,Transaksi!$G$16:$G$5015,$A285,Transaksi!$H$16:$H$5015,$B285,Transaksi!$I$16:$I$5015,$C285,Transaksi!$B$16:$B$5015,"&gt;="&amp;DATE(Dashboard!$C$4,1,1),Transaksi!$B$16:$B$5015,"&lt;="&amp;EOMONTH(DATE(Dashboard!$C$4,1,1),0)))</f>
        <v/>
      </c>
      <c r="E285" s="165">
        <f>IF($C285="","",SUMIFS(Transaksi!$F$16:$F$5015,Transaksi!$G$16:$G$5015,$A285,Transaksi!$H$16:$H$5015,$B285,Transaksi!$I$16:$I$5015,$C285,Transaksi!$B$16:$B$5015,"&gt;="&amp;DATE(Dashboard!$C$4,2,1),Transaksi!$B$16:$B$5015,"&lt;="&amp;EOMONTH(DATE(Dashboard!$C$4,2,1),0)))</f>
        <v/>
      </c>
      <c r="F285" s="165">
        <f>IF($C285="","",SUMIFS(Transaksi!$F$16:$F$5015,Transaksi!$G$16:$G$5015,$A285,Transaksi!$H$16:$H$5015,$B285,Transaksi!$I$16:$I$5015,$C285,Transaksi!$B$16:$B$5015,"&gt;="&amp;DATE(Dashboard!$C$4,3,1),Transaksi!$B$16:$B$5015,"&lt;="&amp;EOMONTH(DATE(Dashboard!$C$4,3,1),0)))</f>
        <v/>
      </c>
      <c r="G285" s="165">
        <f>IF($C285="","",SUMIFS(Transaksi!$F$16:$F$5015,Transaksi!$G$16:$G$5015,$A285,Transaksi!$H$16:$H$5015,$B285,Transaksi!$I$16:$I$5015,$C285,Transaksi!$B$16:$B$5015,"&gt;="&amp;DATE(Dashboard!$C$4,4,1),Transaksi!$B$16:$B$5015,"&lt;="&amp;EOMONTH(DATE(Dashboard!$C$4,4,1),0)))</f>
        <v/>
      </c>
      <c r="H285" s="165">
        <f>IF($C285="","",SUMIFS(Transaksi!$F$16:$F$5015,Transaksi!$G$16:$G$5015,$A285,Transaksi!$H$16:$H$5015,$B285,Transaksi!$I$16:$I$5015,$C285,Transaksi!$B$16:$B$5015,"&gt;="&amp;DATE(Dashboard!$C$4,5,1),Transaksi!$B$16:$B$5015,"&lt;="&amp;EOMONTH(DATE(Dashboard!$C$4,5,1),0)))</f>
        <v/>
      </c>
      <c r="I285" s="165">
        <f>IF($C285="","",SUMIFS(Transaksi!$F$16:$F$5015,Transaksi!$G$16:$G$5015,$A285,Transaksi!$H$16:$H$5015,$B285,Transaksi!$I$16:$I$5015,$C285,Transaksi!$B$16:$B$5015,"&gt;="&amp;DATE(Dashboard!$C$4,6,1),Transaksi!$B$16:$B$5015,"&lt;="&amp;EOMONTH(DATE(Dashboard!$C$4,6,1),0)))</f>
        <v/>
      </c>
      <c r="J285" s="165">
        <f>IF($C285="","",SUMIFS(Transaksi!$F$16:$F$5015,Transaksi!$G$16:$G$5015,$A285,Transaksi!$H$16:$H$5015,$B285,Transaksi!$I$16:$I$5015,$C285,Transaksi!$B$16:$B$5015,"&gt;="&amp;DATE(Dashboard!$C$4,7,1),Transaksi!$B$16:$B$5015,"&lt;="&amp;EOMONTH(DATE(Dashboard!$C$4,7,1),0)))</f>
        <v/>
      </c>
      <c r="K285" s="165">
        <f>IF($C285="","",SUMIFS(Transaksi!$F$16:$F$5015,Transaksi!$G$16:$G$5015,$A285,Transaksi!$H$16:$H$5015,$B285,Transaksi!$I$16:$I$5015,$C285,Transaksi!$B$16:$B$5015,"&gt;="&amp;DATE(Dashboard!$C$4,8,1),Transaksi!$B$16:$B$5015,"&lt;="&amp;EOMONTH(DATE(Dashboard!$C$4,8,1),0)))</f>
        <v/>
      </c>
      <c r="L285" s="165">
        <f>IF($C285="","",SUMIFS(Transaksi!$F$16:$F$5015,Transaksi!$G$16:$G$5015,$A285,Transaksi!$H$16:$H$5015,$B285,Transaksi!$I$16:$I$5015,$C285,Transaksi!$B$16:$B$5015,"&gt;="&amp;DATE(Dashboard!$C$4,9,1),Transaksi!$B$16:$B$5015,"&lt;="&amp;EOMONTH(DATE(Dashboard!$C$4,9,1),0)))</f>
        <v/>
      </c>
      <c r="M285" s="165">
        <f>IF($C285="","",SUMIFS(Transaksi!$F$16:$F$5015,Transaksi!$G$16:$G$5015,$A285,Transaksi!$H$16:$H$5015,$B285,Transaksi!$I$16:$I$5015,$C285,Transaksi!$B$16:$B$5015,"&gt;="&amp;DATE(Dashboard!$C$4,10,1),Transaksi!$B$16:$B$5015,"&lt;="&amp;EOMONTH(DATE(Dashboard!$C$4,10,1),0)))</f>
        <v/>
      </c>
      <c r="N285" s="165">
        <f>IF($C285="","",SUMIFS(Transaksi!$F$16:$F$5015,Transaksi!$G$16:$G$5015,$A285,Transaksi!$H$16:$H$5015,$B285,Transaksi!$I$16:$I$5015,$C285,Transaksi!$B$16:$B$5015,"&gt;="&amp;DATE(Dashboard!$C$4,11,1),Transaksi!$B$16:$B$5015,"&lt;="&amp;EOMONTH(DATE(Dashboard!$C$4,11,1),0)))</f>
        <v/>
      </c>
      <c r="O285" s="165">
        <f>IF($C285="","",SUMIFS(Transaksi!$F$16:$F$5015,Transaksi!$G$16:$G$5015,$A285,Transaksi!$H$16:$H$5015,$B285,Transaksi!$I$16:$I$5015,$C285,Transaksi!$B$16:$B$5015,"&gt;="&amp;DATE(Dashboard!$C$4,12,1),Transaksi!$B$16:$B$5015,"&lt;="&amp;EOMONTH(DATE(Dashboard!$C$4,12,1),0)))</f>
        <v/>
      </c>
      <c r="P285" s="166">
        <f>IF($C285="","",SUM(D285:O285))</f>
        <v/>
      </c>
    </row>
    <row r="286" ht="15" customHeight="1" s="94">
      <c r="A286" s="164">
        <f>IF(Kategori!C286="","",Kategori!A286)</f>
        <v/>
      </c>
      <c r="B286" s="164">
        <f>IF(Kategori!C286="","",Kategori!B286)</f>
        <v/>
      </c>
      <c r="C286" s="108">
        <f>IF(Kategori!C286="","",Kategori!C286)</f>
        <v/>
      </c>
      <c r="D286" s="165">
        <f>IF($C286="","",SUMIFS(Transaksi!$F$16:$F$5015,Transaksi!$G$16:$G$5015,$A286,Transaksi!$H$16:$H$5015,$B286,Transaksi!$I$16:$I$5015,$C286,Transaksi!$B$16:$B$5015,"&gt;="&amp;DATE(Dashboard!$C$4,1,1),Transaksi!$B$16:$B$5015,"&lt;="&amp;EOMONTH(DATE(Dashboard!$C$4,1,1),0)))</f>
        <v/>
      </c>
      <c r="E286" s="165">
        <f>IF($C286="","",SUMIFS(Transaksi!$F$16:$F$5015,Transaksi!$G$16:$G$5015,$A286,Transaksi!$H$16:$H$5015,$B286,Transaksi!$I$16:$I$5015,$C286,Transaksi!$B$16:$B$5015,"&gt;="&amp;DATE(Dashboard!$C$4,2,1),Transaksi!$B$16:$B$5015,"&lt;="&amp;EOMONTH(DATE(Dashboard!$C$4,2,1),0)))</f>
        <v/>
      </c>
      <c r="F286" s="165">
        <f>IF($C286="","",SUMIFS(Transaksi!$F$16:$F$5015,Transaksi!$G$16:$G$5015,$A286,Transaksi!$H$16:$H$5015,$B286,Transaksi!$I$16:$I$5015,$C286,Transaksi!$B$16:$B$5015,"&gt;="&amp;DATE(Dashboard!$C$4,3,1),Transaksi!$B$16:$B$5015,"&lt;="&amp;EOMONTH(DATE(Dashboard!$C$4,3,1),0)))</f>
        <v/>
      </c>
      <c r="G286" s="165">
        <f>IF($C286="","",SUMIFS(Transaksi!$F$16:$F$5015,Transaksi!$G$16:$G$5015,$A286,Transaksi!$H$16:$H$5015,$B286,Transaksi!$I$16:$I$5015,$C286,Transaksi!$B$16:$B$5015,"&gt;="&amp;DATE(Dashboard!$C$4,4,1),Transaksi!$B$16:$B$5015,"&lt;="&amp;EOMONTH(DATE(Dashboard!$C$4,4,1),0)))</f>
        <v/>
      </c>
      <c r="H286" s="165">
        <f>IF($C286="","",SUMIFS(Transaksi!$F$16:$F$5015,Transaksi!$G$16:$G$5015,$A286,Transaksi!$H$16:$H$5015,$B286,Transaksi!$I$16:$I$5015,$C286,Transaksi!$B$16:$B$5015,"&gt;="&amp;DATE(Dashboard!$C$4,5,1),Transaksi!$B$16:$B$5015,"&lt;="&amp;EOMONTH(DATE(Dashboard!$C$4,5,1),0)))</f>
        <v/>
      </c>
      <c r="I286" s="165">
        <f>IF($C286="","",SUMIFS(Transaksi!$F$16:$F$5015,Transaksi!$G$16:$G$5015,$A286,Transaksi!$H$16:$H$5015,$B286,Transaksi!$I$16:$I$5015,$C286,Transaksi!$B$16:$B$5015,"&gt;="&amp;DATE(Dashboard!$C$4,6,1),Transaksi!$B$16:$B$5015,"&lt;="&amp;EOMONTH(DATE(Dashboard!$C$4,6,1),0)))</f>
        <v/>
      </c>
      <c r="J286" s="165">
        <f>IF($C286="","",SUMIFS(Transaksi!$F$16:$F$5015,Transaksi!$G$16:$G$5015,$A286,Transaksi!$H$16:$H$5015,$B286,Transaksi!$I$16:$I$5015,$C286,Transaksi!$B$16:$B$5015,"&gt;="&amp;DATE(Dashboard!$C$4,7,1),Transaksi!$B$16:$B$5015,"&lt;="&amp;EOMONTH(DATE(Dashboard!$C$4,7,1),0)))</f>
        <v/>
      </c>
      <c r="K286" s="165">
        <f>IF($C286="","",SUMIFS(Transaksi!$F$16:$F$5015,Transaksi!$G$16:$G$5015,$A286,Transaksi!$H$16:$H$5015,$B286,Transaksi!$I$16:$I$5015,$C286,Transaksi!$B$16:$B$5015,"&gt;="&amp;DATE(Dashboard!$C$4,8,1),Transaksi!$B$16:$B$5015,"&lt;="&amp;EOMONTH(DATE(Dashboard!$C$4,8,1),0)))</f>
        <v/>
      </c>
      <c r="L286" s="165">
        <f>IF($C286="","",SUMIFS(Transaksi!$F$16:$F$5015,Transaksi!$G$16:$G$5015,$A286,Transaksi!$H$16:$H$5015,$B286,Transaksi!$I$16:$I$5015,$C286,Transaksi!$B$16:$B$5015,"&gt;="&amp;DATE(Dashboard!$C$4,9,1),Transaksi!$B$16:$B$5015,"&lt;="&amp;EOMONTH(DATE(Dashboard!$C$4,9,1),0)))</f>
        <v/>
      </c>
      <c r="M286" s="165">
        <f>IF($C286="","",SUMIFS(Transaksi!$F$16:$F$5015,Transaksi!$G$16:$G$5015,$A286,Transaksi!$H$16:$H$5015,$B286,Transaksi!$I$16:$I$5015,$C286,Transaksi!$B$16:$B$5015,"&gt;="&amp;DATE(Dashboard!$C$4,10,1),Transaksi!$B$16:$B$5015,"&lt;="&amp;EOMONTH(DATE(Dashboard!$C$4,10,1),0)))</f>
        <v/>
      </c>
      <c r="N286" s="165">
        <f>IF($C286="","",SUMIFS(Transaksi!$F$16:$F$5015,Transaksi!$G$16:$G$5015,$A286,Transaksi!$H$16:$H$5015,$B286,Transaksi!$I$16:$I$5015,$C286,Transaksi!$B$16:$B$5015,"&gt;="&amp;DATE(Dashboard!$C$4,11,1),Transaksi!$B$16:$B$5015,"&lt;="&amp;EOMONTH(DATE(Dashboard!$C$4,11,1),0)))</f>
        <v/>
      </c>
      <c r="O286" s="165">
        <f>IF($C286="","",SUMIFS(Transaksi!$F$16:$F$5015,Transaksi!$G$16:$G$5015,$A286,Transaksi!$H$16:$H$5015,$B286,Transaksi!$I$16:$I$5015,$C286,Transaksi!$B$16:$B$5015,"&gt;="&amp;DATE(Dashboard!$C$4,12,1),Transaksi!$B$16:$B$5015,"&lt;="&amp;EOMONTH(DATE(Dashboard!$C$4,12,1),0)))</f>
        <v/>
      </c>
      <c r="P286" s="166">
        <f>IF($C286="","",SUM(D286:O286))</f>
        <v/>
      </c>
    </row>
    <row r="287" ht="15" customHeight="1" s="94">
      <c r="A287" s="164">
        <f>IF(Kategori!C287="","",Kategori!A287)</f>
        <v/>
      </c>
      <c r="B287" s="164">
        <f>IF(Kategori!C287="","",Kategori!B287)</f>
        <v/>
      </c>
      <c r="C287" s="108">
        <f>IF(Kategori!C287="","",Kategori!C287)</f>
        <v/>
      </c>
      <c r="D287" s="165">
        <f>IF($C287="","",SUMIFS(Transaksi!$F$16:$F$5015,Transaksi!$G$16:$G$5015,$A287,Transaksi!$H$16:$H$5015,$B287,Transaksi!$I$16:$I$5015,$C287,Transaksi!$B$16:$B$5015,"&gt;="&amp;DATE(Dashboard!$C$4,1,1),Transaksi!$B$16:$B$5015,"&lt;="&amp;EOMONTH(DATE(Dashboard!$C$4,1,1),0)))</f>
        <v/>
      </c>
      <c r="E287" s="165">
        <f>IF($C287="","",SUMIFS(Transaksi!$F$16:$F$5015,Transaksi!$G$16:$G$5015,$A287,Transaksi!$H$16:$H$5015,$B287,Transaksi!$I$16:$I$5015,$C287,Transaksi!$B$16:$B$5015,"&gt;="&amp;DATE(Dashboard!$C$4,2,1),Transaksi!$B$16:$B$5015,"&lt;="&amp;EOMONTH(DATE(Dashboard!$C$4,2,1),0)))</f>
        <v/>
      </c>
      <c r="F287" s="165">
        <f>IF($C287="","",SUMIFS(Transaksi!$F$16:$F$5015,Transaksi!$G$16:$G$5015,$A287,Transaksi!$H$16:$H$5015,$B287,Transaksi!$I$16:$I$5015,$C287,Transaksi!$B$16:$B$5015,"&gt;="&amp;DATE(Dashboard!$C$4,3,1),Transaksi!$B$16:$B$5015,"&lt;="&amp;EOMONTH(DATE(Dashboard!$C$4,3,1),0)))</f>
        <v/>
      </c>
      <c r="G287" s="165">
        <f>IF($C287="","",SUMIFS(Transaksi!$F$16:$F$5015,Transaksi!$G$16:$G$5015,$A287,Transaksi!$H$16:$H$5015,$B287,Transaksi!$I$16:$I$5015,$C287,Transaksi!$B$16:$B$5015,"&gt;="&amp;DATE(Dashboard!$C$4,4,1),Transaksi!$B$16:$B$5015,"&lt;="&amp;EOMONTH(DATE(Dashboard!$C$4,4,1),0)))</f>
        <v/>
      </c>
      <c r="H287" s="165">
        <f>IF($C287="","",SUMIFS(Transaksi!$F$16:$F$5015,Transaksi!$G$16:$G$5015,$A287,Transaksi!$H$16:$H$5015,$B287,Transaksi!$I$16:$I$5015,$C287,Transaksi!$B$16:$B$5015,"&gt;="&amp;DATE(Dashboard!$C$4,5,1),Transaksi!$B$16:$B$5015,"&lt;="&amp;EOMONTH(DATE(Dashboard!$C$4,5,1),0)))</f>
        <v/>
      </c>
      <c r="I287" s="165">
        <f>IF($C287="","",SUMIFS(Transaksi!$F$16:$F$5015,Transaksi!$G$16:$G$5015,$A287,Transaksi!$H$16:$H$5015,$B287,Transaksi!$I$16:$I$5015,$C287,Transaksi!$B$16:$B$5015,"&gt;="&amp;DATE(Dashboard!$C$4,6,1),Transaksi!$B$16:$B$5015,"&lt;="&amp;EOMONTH(DATE(Dashboard!$C$4,6,1),0)))</f>
        <v/>
      </c>
      <c r="J287" s="165">
        <f>IF($C287="","",SUMIFS(Transaksi!$F$16:$F$5015,Transaksi!$G$16:$G$5015,$A287,Transaksi!$H$16:$H$5015,$B287,Transaksi!$I$16:$I$5015,$C287,Transaksi!$B$16:$B$5015,"&gt;="&amp;DATE(Dashboard!$C$4,7,1),Transaksi!$B$16:$B$5015,"&lt;="&amp;EOMONTH(DATE(Dashboard!$C$4,7,1),0)))</f>
        <v/>
      </c>
      <c r="K287" s="165">
        <f>IF($C287="","",SUMIFS(Transaksi!$F$16:$F$5015,Transaksi!$G$16:$G$5015,$A287,Transaksi!$H$16:$H$5015,$B287,Transaksi!$I$16:$I$5015,$C287,Transaksi!$B$16:$B$5015,"&gt;="&amp;DATE(Dashboard!$C$4,8,1),Transaksi!$B$16:$B$5015,"&lt;="&amp;EOMONTH(DATE(Dashboard!$C$4,8,1),0)))</f>
        <v/>
      </c>
      <c r="L287" s="165">
        <f>IF($C287="","",SUMIFS(Transaksi!$F$16:$F$5015,Transaksi!$G$16:$G$5015,$A287,Transaksi!$H$16:$H$5015,$B287,Transaksi!$I$16:$I$5015,$C287,Transaksi!$B$16:$B$5015,"&gt;="&amp;DATE(Dashboard!$C$4,9,1),Transaksi!$B$16:$B$5015,"&lt;="&amp;EOMONTH(DATE(Dashboard!$C$4,9,1),0)))</f>
        <v/>
      </c>
      <c r="M287" s="165">
        <f>IF($C287="","",SUMIFS(Transaksi!$F$16:$F$5015,Transaksi!$G$16:$G$5015,$A287,Transaksi!$H$16:$H$5015,$B287,Transaksi!$I$16:$I$5015,$C287,Transaksi!$B$16:$B$5015,"&gt;="&amp;DATE(Dashboard!$C$4,10,1),Transaksi!$B$16:$B$5015,"&lt;="&amp;EOMONTH(DATE(Dashboard!$C$4,10,1),0)))</f>
        <v/>
      </c>
      <c r="N287" s="165">
        <f>IF($C287="","",SUMIFS(Transaksi!$F$16:$F$5015,Transaksi!$G$16:$G$5015,$A287,Transaksi!$H$16:$H$5015,$B287,Transaksi!$I$16:$I$5015,$C287,Transaksi!$B$16:$B$5015,"&gt;="&amp;DATE(Dashboard!$C$4,11,1),Transaksi!$B$16:$B$5015,"&lt;="&amp;EOMONTH(DATE(Dashboard!$C$4,11,1),0)))</f>
        <v/>
      </c>
      <c r="O287" s="165">
        <f>IF($C287="","",SUMIFS(Transaksi!$F$16:$F$5015,Transaksi!$G$16:$G$5015,$A287,Transaksi!$H$16:$H$5015,$B287,Transaksi!$I$16:$I$5015,$C287,Transaksi!$B$16:$B$5015,"&gt;="&amp;DATE(Dashboard!$C$4,12,1),Transaksi!$B$16:$B$5015,"&lt;="&amp;EOMONTH(DATE(Dashboard!$C$4,12,1),0)))</f>
        <v/>
      </c>
      <c r="P287" s="166">
        <f>IF($C287="","",SUM(D287:O287))</f>
        <v/>
      </c>
    </row>
    <row r="288" ht="15" customHeight="1" s="94">
      <c r="A288" s="164">
        <f>IF(Kategori!C288="","",Kategori!A288)</f>
        <v/>
      </c>
      <c r="B288" s="164">
        <f>IF(Kategori!C288="","",Kategori!B288)</f>
        <v/>
      </c>
      <c r="C288" s="108">
        <f>IF(Kategori!C288="","",Kategori!C288)</f>
        <v/>
      </c>
      <c r="D288" s="165">
        <f>IF($C288="","",SUMIFS(Transaksi!$F$16:$F$5015,Transaksi!$G$16:$G$5015,$A288,Transaksi!$H$16:$H$5015,$B288,Transaksi!$I$16:$I$5015,$C288,Transaksi!$B$16:$B$5015,"&gt;="&amp;DATE(Dashboard!$C$4,1,1),Transaksi!$B$16:$B$5015,"&lt;="&amp;EOMONTH(DATE(Dashboard!$C$4,1,1),0)))</f>
        <v/>
      </c>
      <c r="E288" s="165">
        <f>IF($C288="","",SUMIFS(Transaksi!$F$16:$F$5015,Transaksi!$G$16:$G$5015,$A288,Transaksi!$H$16:$H$5015,$B288,Transaksi!$I$16:$I$5015,$C288,Transaksi!$B$16:$B$5015,"&gt;="&amp;DATE(Dashboard!$C$4,2,1),Transaksi!$B$16:$B$5015,"&lt;="&amp;EOMONTH(DATE(Dashboard!$C$4,2,1),0)))</f>
        <v/>
      </c>
      <c r="F288" s="165">
        <f>IF($C288="","",SUMIFS(Transaksi!$F$16:$F$5015,Transaksi!$G$16:$G$5015,$A288,Transaksi!$H$16:$H$5015,$B288,Transaksi!$I$16:$I$5015,$C288,Transaksi!$B$16:$B$5015,"&gt;="&amp;DATE(Dashboard!$C$4,3,1),Transaksi!$B$16:$B$5015,"&lt;="&amp;EOMONTH(DATE(Dashboard!$C$4,3,1),0)))</f>
        <v/>
      </c>
      <c r="G288" s="165">
        <f>IF($C288="","",SUMIFS(Transaksi!$F$16:$F$5015,Transaksi!$G$16:$G$5015,$A288,Transaksi!$H$16:$H$5015,$B288,Transaksi!$I$16:$I$5015,$C288,Transaksi!$B$16:$B$5015,"&gt;="&amp;DATE(Dashboard!$C$4,4,1),Transaksi!$B$16:$B$5015,"&lt;="&amp;EOMONTH(DATE(Dashboard!$C$4,4,1),0)))</f>
        <v/>
      </c>
      <c r="H288" s="165">
        <f>IF($C288="","",SUMIFS(Transaksi!$F$16:$F$5015,Transaksi!$G$16:$G$5015,$A288,Transaksi!$H$16:$H$5015,$B288,Transaksi!$I$16:$I$5015,$C288,Transaksi!$B$16:$B$5015,"&gt;="&amp;DATE(Dashboard!$C$4,5,1),Transaksi!$B$16:$B$5015,"&lt;="&amp;EOMONTH(DATE(Dashboard!$C$4,5,1),0)))</f>
        <v/>
      </c>
      <c r="I288" s="165">
        <f>IF($C288="","",SUMIFS(Transaksi!$F$16:$F$5015,Transaksi!$G$16:$G$5015,$A288,Transaksi!$H$16:$H$5015,$B288,Transaksi!$I$16:$I$5015,$C288,Transaksi!$B$16:$B$5015,"&gt;="&amp;DATE(Dashboard!$C$4,6,1),Transaksi!$B$16:$B$5015,"&lt;="&amp;EOMONTH(DATE(Dashboard!$C$4,6,1),0)))</f>
        <v/>
      </c>
      <c r="J288" s="165">
        <f>IF($C288="","",SUMIFS(Transaksi!$F$16:$F$5015,Transaksi!$G$16:$G$5015,$A288,Transaksi!$H$16:$H$5015,$B288,Transaksi!$I$16:$I$5015,$C288,Transaksi!$B$16:$B$5015,"&gt;="&amp;DATE(Dashboard!$C$4,7,1),Transaksi!$B$16:$B$5015,"&lt;="&amp;EOMONTH(DATE(Dashboard!$C$4,7,1),0)))</f>
        <v/>
      </c>
      <c r="K288" s="165">
        <f>IF($C288="","",SUMIFS(Transaksi!$F$16:$F$5015,Transaksi!$G$16:$G$5015,$A288,Transaksi!$H$16:$H$5015,$B288,Transaksi!$I$16:$I$5015,$C288,Transaksi!$B$16:$B$5015,"&gt;="&amp;DATE(Dashboard!$C$4,8,1),Transaksi!$B$16:$B$5015,"&lt;="&amp;EOMONTH(DATE(Dashboard!$C$4,8,1),0)))</f>
        <v/>
      </c>
      <c r="L288" s="165">
        <f>IF($C288="","",SUMIFS(Transaksi!$F$16:$F$5015,Transaksi!$G$16:$G$5015,$A288,Transaksi!$H$16:$H$5015,$B288,Transaksi!$I$16:$I$5015,$C288,Transaksi!$B$16:$B$5015,"&gt;="&amp;DATE(Dashboard!$C$4,9,1),Transaksi!$B$16:$B$5015,"&lt;="&amp;EOMONTH(DATE(Dashboard!$C$4,9,1),0)))</f>
        <v/>
      </c>
      <c r="M288" s="165">
        <f>IF($C288="","",SUMIFS(Transaksi!$F$16:$F$5015,Transaksi!$G$16:$G$5015,$A288,Transaksi!$H$16:$H$5015,$B288,Transaksi!$I$16:$I$5015,$C288,Transaksi!$B$16:$B$5015,"&gt;="&amp;DATE(Dashboard!$C$4,10,1),Transaksi!$B$16:$B$5015,"&lt;="&amp;EOMONTH(DATE(Dashboard!$C$4,10,1),0)))</f>
        <v/>
      </c>
      <c r="N288" s="165">
        <f>IF($C288="","",SUMIFS(Transaksi!$F$16:$F$5015,Transaksi!$G$16:$G$5015,$A288,Transaksi!$H$16:$H$5015,$B288,Transaksi!$I$16:$I$5015,$C288,Transaksi!$B$16:$B$5015,"&gt;="&amp;DATE(Dashboard!$C$4,11,1),Transaksi!$B$16:$B$5015,"&lt;="&amp;EOMONTH(DATE(Dashboard!$C$4,11,1),0)))</f>
        <v/>
      </c>
      <c r="O288" s="165">
        <f>IF($C288="","",SUMIFS(Transaksi!$F$16:$F$5015,Transaksi!$G$16:$G$5015,$A288,Transaksi!$H$16:$H$5015,$B288,Transaksi!$I$16:$I$5015,$C288,Transaksi!$B$16:$B$5015,"&gt;="&amp;DATE(Dashboard!$C$4,12,1),Transaksi!$B$16:$B$5015,"&lt;="&amp;EOMONTH(DATE(Dashboard!$C$4,12,1),0)))</f>
        <v/>
      </c>
      <c r="P288" s="166">
        <f>IF($C288="","",SUM(D288:O288))</f>
        <v/>
      </c>
    </row>
    <row r="289" ht="15" customHeight="1" s="94">
      <c r="A289" s="164">
        <f>IF(Kategori!C289="","",Kategori!A289)</f>
        <v/>
      </c>
      <c r="B289" s="164">
        <f>IF(Kategori!C289="","",Kategori!B289)</f>
        <v/>
      </c>
      <c r="C289" s="108">
        <f>IF(Kategori!C289="","",Kategori!C289)</f>
        <v/>
      </c>
      <c r="D289" s="165">
        <f>IF($C289="","",SUMIFS(Transaksi!$F$16:$F$5015,Transaksi!$G$16:$G$5015,$A289,Transaksi!$H$16:$H$5015,$B289,Transaksi!$I$16:$I$5015,$C289,Transaksi!$B$16:$B$5015,"&gt;="&amp;DATE(Dashboard!$C$4,1,1),Transaksi!$B$16:$B$5015,"&lt;="&amp;EOMONTH(DATE(Dashboard!$C$4,1,1),0)))</f>
        <v/>
      </c>
      <c r="E289" s="165">
        <f>IF($C289="","",SUMIFS(Transaksi!$F$16:$F$5015,Transaksi!$G$16:$G$5015,$A289,Transaksi!$H$16:$H$5015,$B289,Transaksi!$I$16:$I$5015,$C289,Transaksi!$B$16:$B$5015,"&gt;="&amp;DATE(Dashboard!$C$4,2,1),Transaksi!$B$16:$B$5015,"&lt;="&amp;EOMONTH(DATE(Dashboard!$C$4,2,1),0)))</f>
        <v/>
      </c>
      <c r="F289" s="165">
        <f>IF($C289="","",SUMIFS(Transaksi!$F$16:$F$5015,Transaksi!$G$16:$G$5015,$A289,Transaksi!$H$16:$H$5015,$B289,Transaksi!$I$16:$I$5015,$C289,Transaksi!$B$16:$B$5015,"&gt;="&amp;DATE(Dashboard!$C$4,3,1),Transaksi!$B$16:$B$5015,"&lt;="&amp;EOMONTH(DATE(Dashboard!$C$4,3,1),0)))</f>
        <v/>
      </c>
      <c r="G289" s="165">
        <f>IF($C289="","",SUMIFS(Transaksi!$F$16:$F$5015,Transaksi!$G$16:$G$5015,$A289,Transaksi!$H$16:$H$5015,$B289,Transaksi!$I$16:$I$5015,$C289,Transaksi!$B$16:$B$5015,"&gt;="&amp;DATE(Dashboard!$C$4,4,1),Transaksi!$B$16:$B$5015,"&lt;="&amp;EOMONTH(DATE(Dashboard!$C$4,4,1),0)))</f>
        <v/>
      </c>
      <c r="H289" s="165">
        <f>IF($C289="","",SUMIFS(Transaksi!$F$16:$F$5015,Transaksi!$G$16:$G$5015,$A289,Transaksi!$H$16:$H$5015,$B289,Transaksi!$I$16:$I$5015,$C289,Transaksi!$B$16:$B$5015,"&gt;="&amp;DATE(Dashboard!$C$4,5,1),Transaksi!$B$16:$B$5015,"&lt;="&amp;EOMONTH(DATE(Dashboard!$C$4,5,1),0)))</f>
        <v/>
      </c>
      <c r="I289" s="165">
        <f>IF($C289="","",SUMIFS(Transaksi!$F$16:$F$5015,Transaksi!$G$16:$G$5015,$A289,Transaksi!$H$16:$H$5015,$B289,Transaksi!$I$16:$I$5015,$C289,Transaksi!$B$16:$B$5015,"&gt;="&amp;DATE(Dashboard!$C$4,6,1),Transaksi!$B$16:$B$5015,"&lt;="&amp;EOMONTH(DATE(Dashboard!$C$4,6,1),0)))</f>
        <v/>
      </c>
      <c r="J289" s="165">
        <f>IF($C289="","",SUMIFS(Transaksi!$F$16:$F$5015,Transaksi!$G$16:$G$5015,$A289,Transaksi!$H$16:$H$5015,$B289,Transaksi!$I$16:$I$5015,$C289,Transaksi!$B$16:$B$5015,"&gt;="&amp;DATE(Dashboard!$C$4,7,1),Transaksi!$B$16:$B$5015,"&lt;="&amp;EOMONTH(DATE(Dashboard!$C$4,7,1),0)))</f>
        <v/>
      </c>
      <c r="K289" s="165">
        <f>IF($C289="","",SUMIFS(Transaksi!$F$16:$F$5015,Transaksi!$G$16:$G$5015,$A289,Transaksi!$H$16:$H$5015,$B289,Transaksi!$I$16:$I$5015,$C289,Transaksi!$B$16:$B$5015,"&gt;="&amp;DATE(Dashboard!$C$4,8,1),Transaksi!$B$16:$B$5015,"&lt;="&amp;EOMONTH(DATE(Dashboard!$C$4,8,1),0)))</f>
        <v/>
      </c>
      <c r="L289" s="165">
        <f>IF($C289="","",SUMIFS(Transaksi!$F$16:$F$5015,Transaksi!$G$16:$G$5015,$A289,Transaksi!$H$16:$H$5015,$B289,Transaksi!$I$16:$I$5015,$C289,Transaksi!$B$16:$B$5015,"&gt;="&amp;DATE(Dashboard!$C$4,9,1),Transaksi!$B$16:$B$5015,"&lt;="&amp;EOMONTH(DATE(Dashboard!$C$4,9,1),0)))</f>
        <v/>
      </c>
      <c r="M289" s="165">
        <f>IF($C289="","",SUMIFS(Transaksi!$F$16:$F$5015,Transaksi!$G$16:$G$5015,$A289,Transaksi!$H$16:$H$5015,$B289,Transaksi!$I$16:$I$5015,$C289,Transaksi!$B$16:$B$5015,"&gt;="&amp;DATE(Dashboard!$C$4,10,1),Transaksi!$B$16:$B$5015,"&lt;="&amp;EOMONTH(DATE(Dashboard!$C$4,10,1),0)))</f>
        <v/>
      </c>
      <c r="N289" s="165">
        <f>IF($C289="","",SUMIFS(Transaksi!$F$16:$F$5015,Transaksi!$G$16:$G$5015,$A289,Transaksi!$H$16:$H$5015,$B289,Transaksi!$I$16:$I$5015,$C289,Transaksi!$B$16:$B$5015,"&gt;="&amp;DATE(Dashboard!$C$4,11,1),Transaksi!$B$16:$B$5015,"&lt;="&amp;EOMONTH(DATE(Dashboard!$C$4,11,1),0)))</f>
        <v/>
      </c>
      <c r="O289" s="165">
        <f>IF($C289="","",SUMIFS(Transaksi!$F$16:$F$5015,Transaksi!$G$16:$G$5015,$A289,Transaksi!$H$16:$H$5015,$B289,Transaksi!$I$16:$I$5015,$C289,Transaksi!$B$16:$B$5015,"&gt;="&amp;DATE(Dashboard!$C$4,12,1),Transaksi!$B$16:$B$5015,"&lt;="&amp;EOMONTH(DATE(Dashboard!$C$4,12,1),0)))</f>
        <v/>
      </c>
      <c r="P289" s="166">
        <f>IF($C289="","",SUM(D289:O289))</f>
        <v/>
      </c>
    </row>
    <row r="290" ht="15" customHeight="1" s="94">
      <c r="A290" s="164">
        <f>IF(Kategori!C290="","",Kategori!A290)</f>
        <v/>
      </c>
      <c r="B290" s="164">
        <f>IF(Kategori!C290="","",Kategori!B290)</f>
        <v/>
      </c>
      <c r="C290" s="108">
        <f>IF(Kategori!C290="","",Kategori!C290)</f>
        <v/>
      </c>
      <c r="D290" s="165">
        <f>IF($C290="","",SUMIFS(Transaksi!$F$16:$F$5015,Transaksi!$G$16:$G$5015,$A290,Transaksi!$H$16:$H$5015,$B290,Transaksi!$I$16:$I$5015,$C290,Transaksi!$B$16:$B$5015,"&gt;="&amp;DATE(Dashboard!$C$4,1,1),Transaksi!$B$16:$B$5015,"&lt;="&amp;EOMONTH(DATE(Dashboard!$C$4,1,1),0)))</f>
        <v/>
      </c>
      <c r="E290" s="165">
        <f>IF($C290="","",SUMIFS(Transaksi!$F$16:$F$5015,Transaksi!$G$16:$G$5015,$A290,Transaksi!$H$16:$H$5015,$B290,Transaksi!$I$16:$I$5015,$C290,Transaksi!$B$16:$B$5015,"&gt;="&amp;DATE(Dashboard!$C$4,2,1),Transaksi!$B$16:$B$5015,"&lt;="&amp;EOMONTH(DATE(Dashboard!$C$4,2,1),0)))</f>
        <v/>
      </c>
      <c r="F290" s="165">
        <f>IF($C290="","",SUMIFS(Transaksi!$F$16:$F$5015,Transaksi!$G$16:$G$5015,$A290,Transaksi!$H$16:$H$5015,$B290,Transaksi!$I$16:$I$5015,$C290,Transaksi!$B$16:$B$5015,"&gt;="&amp;DATE(Dashboard!$C$4,3,1),Transaksi!$B$16:$B$5015,"&lt;="&amp;EOMONTH(DATE(Dashboard!$C$4,3,1),0)))</f>
        <v/>
      </c>
      <c r="G290" s="165">
        <f>IF($C290="","",SUMIFS(Transaksi!$F$16:$F$5015,Transaksi!$G$16:$G$5015,$A290,Transaksi!$H$16:$H$5015,$B290,Transaksi!$I$16:$I$5015,$C290,Transaksi!$B$16:$B$5015,"&gt;="&amp;DATE(Dashboard!$C$4,4,1),Transaksi!$B$16:$B$5015,"&lt;="&amp;EOMONTH(DATE(Dashboard!$C$4,4,1),0)))</f>
        <v/>
      </c>
      <c r="H290" s="165">
        <f>IF($C290="","",SUMIFS(Transaksi!$F$16:$F$5015,Transaksi!$G$16:$G$5015,$A290,Transaksi!$H$16:$H$5015,$B290,Transaksi!$I$16:$I$5015,$C290,Transaksi!$B$16:$B$5015,"&gt;="&amp;DATE(Dashboard!$C$4,5,1),Transaksi!$B$16:$B$5015,"&lt;="&amp;EOMONTH(DATE(Dashboard!$C$4,5,1),0)))</f>
        <v/>
      </c>
      <c r="I290" s="165">
        <f>IF($C290="","",SUMIFS(Transaksi!$F$16:$F$5015,Transaksi!$G$16:$G$5015,$A290,Transaksi!$H$16:$H$5015,$B290,Transaksi!$I$16:$I$5015,$C290,Transaksi!$B$16:$B$5015,"&gt;="&amp;DATE(Dashboard!$C$4,6,1),Transaksi!$B$16:$B$5015,"&lt;="&amp;EOMONTH(DATE(Dashboard!$C$4,6,1),0)))</f>
        <v/>
      </c>
      <c r="J290" s="165">
        <f>IF($C290="","",SUMIFS(Transaksi!$F$16:$F$5015,Transaksi!$G$16:$G$5015,$A290,Transaksi!$H$16:$H$5015,$B290,Transaksi!$I$16:$I$5015,$C290,Transaksi!$B$16:$B$5015,"&gt;="&amp;DATE(Dashboard!$C$4,7,1),Transaksi!$B$16:$B$5015,"&lt;="&amp;EOMONTH(DATE(Dashboard!$C$4,7,1),0)))</f>
        <v/>
      </c>
      <c r="K290" s="165">
        <f>IF($C290="","",SUMIFS(Transaksi!$F$16:$F$5015,Transaksi!$G$16:$G$5015,$A290,Transaksi!$H$16:$H$5015,$B290,Transaksi!$I$16:$I$5015,$C290,Transaksi!$B$16:$B$5015,"&gt;="&amp;DATE(Dashboard!$C$4,8,1),Transaksi!$B$16:$B$5015,"&lt;="&amp;EOMONTH(DATE(Dashboard!$C$4,8,1),0)))</f>
        <v/>
      </c>
      <c r="L290" s="165">
        <f>IF($C290="","",SUMIFS(Transaksi!$F$16:$F$5015,Transaksi!$G$16:$G$5015,$A290,Transaksi!$H$16:$H$5015,$B290,Transaksi!$I$16:$I$5015,$C290,Transaksi!$B$16:$B$5015,"&gt;="&amp;DATE(Dashboard!$C$4,9,1),Transaksi!$B$16:$B$5015,"&lt;="&amp;EOMONTH(DATE(Dashboard!$C$4,9,1),0)))</f>
        <v/>
      </c>
      <c r="M290" s="165">
        <f>IF($C290="","",SUMIFS(Transaksi!$F$16:$F$5015,Transaksi!$G$16:$G$5015,$A290,Transaksi!$H$16:$H$5015,$B290,Transaksi!$I$16:$I$5015,$C290,Transaksi!$B$16:$B$5015,"&gt;="&amp;DATE(Dashboard!$C$4,10,1),Transaksi!$B$16:$B$5015,"&lt;="&amp;EOMONTH(DATE(Dashboard!$C$4,10,1),0)))</f>
        <v/>
      </c>
      <c r="N290" s="165">
        <f>IF($C290="","",SUMIFS(Transaksi!$F$16:$F$5015,Transaksi!$G$16:$G$5015,$A290,Transaksi!$H$16:$H$5015,$B290,Transaksi!$I$16:$I$5015,$C290,Transaksi!$B$16:$B$5015,"&gt;="&amp;DATE(Dashboard!$C$4,11,1),Transaksi!$B$16:$B$5015,"&lt;="&amp;EOMONTH(DATE(Dashboard!$C$4,11,1),0)))</f>
        <v/>
      </c>
      <c r="O290" s="165">
        <f>IF($C290="","",SUMIFS(Transaksi!$F$16:$F$5015,Transaksi!$G$16:$G$5015,$A290,Transaksi!$H$16:$H$5015,$B290,Transaksi!$I$16:$I$5015,$C290,Transaksi!$B$16:$B$5015,"&gt;="&amp;DATE(Dashboard!$C$4,12,1),Transaksi!$B$16:$B$5015,"&lt;="&amp;EOMONTH(DATE(Dashboard!$C$4,12,1),0)))</f>
        <v/>
      </c>
      <c r="P290" s="166">
        <f>IF($C290="","",SUM(D290:O290))</f>
        <v/>
      </c>
    </row>
    <row r="291" ht="15" customHeight="1" s="94">
      <c r="A291" s="164">
        <f>IF(Kategori!C291="","",Kategori!A291)</f>
        <v/>
      </c>
      <c r="B291" s="164">
        <f>IF(Kategori!C291="","",Kategori!B291)</f>
        <v/>
      </c>
      <c r="C291" s="108">
        <f>IF(Kategori!C291="","",Kategori!C291)</f>
        <v/>
      </c>
      <c r="D291" s="165">
        <f>IF($C291="","",SUMIFS(Transaksi!$F$16:$F$5015,Transaksi!$G$16:$G$5015,$A291,Transaksi!$H$16:$H$5015,$B291,Transaksi!$I$16:$I$5015,$C291,Transaksi!$B$16:$B$5015,"&gt;="&amp;DATE(Dashboard!$C$4,1,1),Transaksi!$B$16:$B$5015,"&lt;="&amp;EOMONTH(DATE(Dashboard!$C$4,1,1),0)))</f>
        <v/>
      </c>
      <c r="E291" s="165">
        <f>IF($C291="","",SUMIFS(Transaksi!$F$16:$F$5015,Transaksi!$G$16:$G$5015,$A291,Transaksi!$H$16:$H$5015,$B291,Transaksi!$I$16:$I$5015,$C291,Transaksi!$B$16:$B$5015,"&gt;="&amp;DATE(Dashboard!$C$4,2,1),Transaksi!$B$16:$B$5015,"&lt;="&amp;EOMONTH(DATE(Dashboard!$C$4,2,1),0)))</f>
        <v/>
      </c>
      <c r="F291" s="165">
        <f>IF($C291="","",SUMIFS(Transaksi!$F$16:$F$5015,Transaksi!$G$16:$G$5015,$A291,Transaksi!$H$16:$H$5015,$B291,Transaksi!$I$16:$I$5015,$C291,Transaksi!$B$16:$B$5015,"&gt;="&amp;DATE(Dashboard!$C$4,3,1),Transaksi!$B$16:$B$5015,"&lt;="&amp;EOMONTH(DATE(Dashboard!$C$4,3,1),0)))</f>
        <v/>
      </c>
      <c r="G291" s="165">
        <f>IF($C291="","",SUMIFS(Transaksi!$F$16:$F$5015,Transaksi!$G$16:$G$5015,$A291,Transaksi!$H$16:$H$5015,$B291,Transaksi!$I$16:$I$5015,$C291,Transaksi!$B$16:$B$5015,"&gt;="&amp;DATE(Dashboard!$C$4,4,1),Transaksi!$B$16:$B$5015,"&lt;="&amp;EOMONTH(DATE(Dashboard!$C$4,4,1),0)))</f>
        <v/>
      </c>
      <c r="H291" s="165">
        <f>IF($C291="","",SUMIFS(Transaksi!$F$16:$F$5015,Transaksi!$G$16:$G$5015,$A291,Transaksi!$H$16:$H$5015,$B291,Transaksi!$I$16:$I$5015,$C291,Transaksi!$B$16:$B$5015,"&gt;="&amp;DATE(Dashboard!$C$4,5,1),Transaksi!$B$16:$B$5015,"&lt;="&amp;EOMONTH(DATE(Dashboard!$C$4,5,1),0)))</f>
        <v/>
      </c>
      <c r="I291" s="165">
        <f>IF($C291="","",SUMIFS(Transaksi!$F$16:$F$5015,Transaksi!$G$16:$G$5015,$A291,Transaksi!$H$16:$H$5015,$B291,Transaksi!$I$16:$I$5015,$C291,Transaksi!$B$16:$B$5015,"&gt;="&amp;DATE(Dashboard!$C$4,6,1),Transaksi!$B$16:$B$5015,"&lt;="&amp;EOMONTH(DATE(Dashboard!$C$4,6,1),0)))</f>
        <v/>
      </c>
      <c r="J291" s="165">
        <f>IF($C291="","",SUMIFS(Transaksi!$F$16:$F$5015,Transaksi!$G$16:$G$5015,$A291,Transaksi!$H$16:$H$5015,$B291,Transaksi!$I$16:$I$5015,$C291,Transaksi!$B$16:$B$5015,"&gt;="&amp;DATE(Dashboard!$C$4,7,1),Transaksi!$B$16:$B$5015,"&lt;="&amp;EOMONTH(DATE(Dashboard!$C$4,7,1),0)))</f>
        <v/>
      </c>
      <c r="K291" s="165">
        <f>IF($C291="","",SUMIFS(Transaksi!$F$16:$F$5015,Transaksi!$G$16:$G$5015,$A291,Transaksi!$H$16:$H$5015,$B291,Transaksi!$I$16:$I$5015,$C291,Transaksi!$B$16:$B$5015,"&gt;="&amp;DATE(Dashboard!$C$4,8,1),Transaksi!$B$16:$B$5015,"&lt;="&amp;EOMONTH(DATE(Dashboard!$C$4,8,1),0)))</f>
        <v/>
      </c>
      <c r="L291" s="165">
        <f>IF($C291="","",SUMIFS(Transaksi!$F$16:$F$5015,Transaksi!$G$16:$G$5015,$A291,Transaksi!$H$16:$H$5015,$B291,Transaksi!$I$16:$I$5015,$C291,Transaksi!$B$16:$B$5015,"&gt;="&amp;DATE(Dashboard!$C$4,9,1),Transaksi!$B$16:$B$5015,"&lt;="&amp;EOMONTH(DATE(Dashboard!$C$4,9,1),0)))</f>
        <v/>
      </c>
      <c r="M291" s="165">
        <f>IF($C291="","",SUMIFS(Transaksi!$F$16:$F$5015,Transaksi!$G$16:$G$5015,$A291,Transaksi!$H$16:$H$5015,$B291,Transaksi!$I$16:$I$5015,$C291,Transaksi!$B$16:$B$5015,"&gt;="&amp;DATE(Dashboard!$C$4,10,1),Transaksi!$B$16:$B$5015,"&lt;="&amp;EOMONTH(DATE(Dashboard!$C$4,10,1),0)))</f>
        <v/>
      </c>
      <c r="N291" s="165">
        <f>IF($C291="","",SUMIFS(Transaksi!$F$16:$F$5015,Transaksi!$G$16:$G$5015,$A291,Transaksi!$H$16:$H$5015,$B291,Transaksi!$I$16:$I$5015,$C291,Transaksi!$B$16:$B$5015,"&gt;="&amp;DATE(Dashboard!$C$4,11,1),Transaksi!$B$16:$B$5015,"&lt;="&amp;EOMONTH(DATE(Dashboard!$C$4,11,1),0)))</f>
        <v/>
      </c>
      <c r="O291" s="165">
        <f>IF($C291="","",SUMIFS(Transaksi!$F$16:$F$5015,Transaksi!$G$16:$G$5015,$A291,Transaksi!$H$16:$H$5015,$B291,Transaksi!$I$16:$I$5015,$C291,Transaksi!$B$16:$B$5015,"&gt;="&amp;DATE(Dashboard!$C$4,12,1),Transaksi!$B$16:$B$5015,"&lt;="&amp;EOMONTH(DATE(Dashboard!$C$4,12,1),0)))</f>
        <v/>
      </c>
      <c r="P291" s="166">
        <f>IF($C291="","",SUM(D291:O291))</f>
        <v/>
      </c>
    </row>
    <row r="292" ht="15" customHeight="1" s="94">
      <c r="A292" s="164">
        <f>IF(Kategori!C292="","",Kategori!A292)</f>
        <v/>
      </c>
      <c r="B292" s="164">
        <f>IF(Kategori!C292="","",Kategori!B292)</f>
        <v/>
      </c>
      <c r="C292" s="108">
        <f>IF(Kategori!C292="","",Kategori!C292)</f>
        <v/>
      </c>
      <c r="D292" s="165">
        <f>IF($C292="","",SUMIFS(Transaksi!$F$16:$F$5015,Transaksi!$G$16:$G$5015,$A292,Transaksi!$H$16:$H$5015,$B292,Transaksi!$I$16:$I$5015,$C292,Transaksi!$B$16:$B$5015,"&gt;="&amp;DATE(Dashboard!$C$4,1,1),Transaksi!$B$16:$B$5015,"&lt;="&amp;EOMONTH(DATE(Dashboard!$C$4,1,1),0)))</f>
        <v/>
      </c>
      <c r="E292" s="165">
        <f>IF($C292="","",SUMIFS(Transaksi!$F$16:$F$5015,Transaksi!$G$16:$G$5015,$A292,Transaksi!$H$16:$H$5015,$B292,Transaksi!$I$16:$I$5015,$C292,Transaksi!$B$16:$B$5015,"&gt;="&amp;DATE(Dashboard!$C$4,2,1),Transaksi!$B$16:$B$5015,"&lt;="&amp;EOMONTH(DATE(Dashboard!$C$4,2,1),0)))</f>
        <v/>
      </c>
      <c r="F292" s="165">
        <f>IF($C292="","",SUMIFS(Transaksi!$F$16:$F$5015,Transaksi!$G$16:$G$5015,$A292,Transaksi!$H$16:$H$5015,$B292,Transaksi!$I$16:$I$5015,$C292,Transaksi!$B$16:$B$5015,"&gt;="&amp;DATE(Dashboard!$C$4,3,1),Transaksi!$B$16:$B$5015,"&lt;="&amp;EOMONTH(DATE(Dashboard!$C$4,3,1),0)))</f>
        <v/>
      </c>
      <c r="G292" s="165">
        <f>IF($C292="","",SUMIFS(Transaksi!$F$16:$F$5015,Transaksi!$G$16:$G$5015,$A292,Transaksi!$H$16:$H$5015,$B292,Transaksi!$I$16:$I$5015,$C292,Transaksi!$B$16:$B$5015,"&gt;="&amp;DATE(Dashboard!$C$4,4,1),Transaksi!$B$16:$B$5015,"&lt;="&amp;EOMONTH(DATE(Dashboard!$C$4,4,1),0)))</f>
        <v/>
      </c>
      <c r="H292" s="165">
        <f>IF($C292="","",SUMIFS(Transaksi!$F$16:$F$5015,Transaksi!$G$16:$G$5015,$A292,Transaksi!$H$16:$H$5015,$B292,Transaksi!$I$16:$I$5015,$C292,Transaksi!$B$16:$B$5015,"&gt;="&amp;DATE(Dashboard!$C$4,5,1),Transaksi!$B$16:$B$5015,"&lt;="&amp;EOMONTH(DATE(Dashboard!$C$4,5,1),0)))</f>
        <v/>
      </c>
      <c r="I292" s="165">
        <f>IF($C292="","",SUMIFS(Transaksi!$F$16:$F$5015,Transaksi!$G$16:$G$5015,$A292,Transaksi!$H$16:$H$5015,$B292,Transaksi!$I$16:$I$5015,$C292,Transaksi!$B$16:$B$5015,"&gt;="&amp;DATE(Dashboard!$C$4,6,1),Transaksi!$B$16:$B$5015,"&lt;="&amp;EOMONTH(DATE(Dashboard!$C$4,6,1),0)))</f>
        <v/>
      </c>
      <c r="J292" s="165">
        <f>IF($C292="","",SUMIFS(Transaksi!$F$16:$F$5015,Transaksi!$G$16:$G$5015,$A292,Transaksi!$H$16:$H$5015,$B292,Transaksi!$I$16:$I$5015,$C292,Transaksi!$B$16:$B$5015,"&gt;="&amp;DATE(Dashboard!$C$4,7,1),Transaksi!$B$16:$B$5015,"&lt;="&amp;EOMONTH(DATE(Dashboard!$C$4,7,1),0)))</f>
        <v/>
      </c>
      <c r="K292" s="165">
        <f>IF($C292="","",SUMIFS(Transaksi!$F$16:$F$5015,Transaksi!$G$16:$G$5015,$A292,Transaksi!$H$16:$H$5015,$B292,Transaksi!$I$16:$I$5015,$C292,Transaksi!$B$16:$B$5015,"&gt;="&amp;DATE(Dashboard!$C$4,8,1),Transaksi!$B$16:$B$5015,"&lt;="&amp;EOMONTH(DATE(Dashboard!$C$4,8,1),0)))</f>
        <v/>
      </c>
      <c r="L292" s="165">
        <f>IF($C292="","",SUMIFS(Transaksi!$F$16:$F$5015,Transaksi!$G$16:$G$5015,$A292,Transaksi!$H$16:$H$5015,$B292,Transaksi!$I$16:$I$5015,$C292,Transaksi!$B$16:$B$5015,"&gt;="&amp;DATE(Dashboard!$C$4,9,1),Transaksi!$B$16:$B$5015,"&lt;="&amp;EOMONTH(DATE(Dashboard!$C$4,9,1),0)))</f>
        <v/>
      </c>
      <c r="M292" s="165">
        <f>IF($C292="","",SUMIFS(Transaksi!$F$16:$F$5015,Transaksi!$G$16:$G$5015,$A292,Transaksi!$H$16:$H$5015,$B292,Transaksi!$I$16:$I$5015,$C292,Transaksi!$B$16:$B$5015,"&gt;="&amp;DATE(Dashboard!$C$4,10,1),Transaksi!$B$16:$B$5015,"&lt;="&amp;EOMONTH(DATE(Dashboard!$C$4,10,1),0)))</f>
        <v/>
      </c>
      <c r="N292" s="165">
        <f>IF($C292="","",SUMIFS(Transaksi!$F$16:$F$5015,Transaksi!$G$16:$G$5015,$A292,Transaksi!$H$16:$H$5015,$B292,Transaksi!$I$16:$I$5015,$C292,Transaksi!$B$16:$B$5015,"&gt;="&amp;DATE(Dashboard!$C$4,11,1),Transaksi!$B$16:$B$5015,"&lt;="&amp;EOMONTH(DATE(Dashboard!$C$4,11,1),0)))</f>
        <v/>
      </c>
      <c r="O292" s="165">
        <f>IF($C292="","",SUMIFS(Transaksi!$F$16:$F$5015,Transaksi!$G$16:$G$5015,$A292,Transaksi!$H$16:$H$5015,$B292,Transaksi!$I$16:$I$5015,$C292,Transaksi!$B$16:$B$5015,"&gt;="&amp;DATE(Dashboard!$C$4,12,1),Transaksi!$B$16:$B$5015,"&lt;="&amp;EOMONTH(DATE(Dashboard!$C$4,12,1),0)))</f>
        <v/>
      </c>
      <c r="P292" s="166">
        <f>IF($C292="","",SUM(D292:O292))</f>
        <v/>
      </c>
    </row>
    <row r="293" ht="15" customHeight="1" s="94">
      <c r="A293" s="164">
        <f>IF(Kategori!C293="","",Kategori!A293)</f>
        <v/>
      </c>
      <c r="B293" s="164">
        <f>IF(Kategori!C293="","",Kategori!B293)</f>
        <v/>
      </c>
      <c r="C293" s="108">
        <f>IF(Kategori!C293="","",Kategori!C293)</f>
        <v/>
      </c>
      <c r="D293" s="165">
        <f>IF($C293="","",SUMIFS(Transaksi!$F$16:$F$5015,Transaksi!$G$16:$G$5015,$A293,Transaksi!$H$16:$H$5015,$B293,Transaksi!$I$16:$I$5015,$C293,Transaksi!$B$16:$B$5015,"&gt;="&amp;DATE(Dashboard!$C$4,1,1),Transaksi!$B$16:$B$5015,"&lt;="&amp;EOMONTH(DATE(Dashboard!$C$4,1,1),0)))</f>
        <v/>
      </c>
      <c r="E293" s="165">
        <f>IF($C293="","",SUMIFS(Transaksi!$F$16:$F$5015,Transaksi!$G$16:$G$5015,$A293,Transaksi!$H$16:$H$5015,$B293,Transaksi!$I$16:$I$5015,$C293,Transaksi!$B$16:$B$5015,"&gt;="&amp;DATE(Dashboard!$C$4,2,1),Transaksi!$B$16:$B$5015,"&lt;="&amp;EOMONTH(DATE(Dashboard!$C$4,2,1),0)))</f>
        <v/>
      </c>
      <c r="F293" s="165">
        <f>IF($C293="","",SUMIFS(Transaksi!$F$16:$F$5015,Transaksi!$G$16:$G$5015,$A293,Transaksi!$H$16:$H$5015,$B293,Transaksi!$I$16:$I$5015,$C293,Transaksi!$B$16:$B$5015,"&gt;="&amp;DATE(Dashboard!$C$4,3,1),Transaksi!$B$16:$B$5015,"&lt;="&amp;EOMONTH(DATE(Dashboard!$C$4,3,1),0)))</f>
        <v/>
      </c>
      <c r="G293" s="165">
        <f>IF($C293="","",SUMIFS(Transaksi!$F$16:$F$5015,Transaksi!$G$16:$G$5015,$A293,Transaksi!$H$16:$H$5015,$B293,Transaksi!$I$16:$I$5015,$C293,Transaksi!$B$16:$B$5015,"&gt;="&amp;DATE(Dashboard!$C$4,4,1),Transaksi!$B$16:$B$5015,"&lt;="&amp;EOMONTH(DATE(Dashboard!$C$4,4,1),0)))</f>
        <v/>
      </c>
      <c r="H293" s="165">
        <f>IF($C293="","",SUMIFS(Transaksi!$F$16:$F$5015,Transaksi!$G$16:$G$5015,$A293,Transaksi!$H$16:$H$5015,$B293,Transaksi!$I$16:$I$5015,$C293,Transaksi!$B$16:$B$5015,"&gt;="&amp;DATE(Dashboard!$C$4,5,1),Transaksi!$B$16:$B$5015,"&lt;="&amp;EOMONTH(DATE(Dashboard!$C$4,5,1),0)))</f>
        <v/>
      </c>
      <c r="I293" s="165">
        <f>IF($C293="","",SUMIFS(Transaksi!$F$16:$F$5015,Transaksi!$G$16:$G$5015,$A293,Transaksi!$H$16:$H$5015,$B293,Transaksi!$I$16:$I$5015,$C293,Transaksi!$B$16:$B$5015,"&gt;="&amp;DATE(Dashboard!$C$4,6,1),Transaksi!$B$16:$B$5015,"&lt;="&amp;EOMONTH(DATE(Dashboard!$C$4,6,1),0)))</f>
        <v/>
      </c>
      <c r="J293" s="165">
        <f>IF($C293="","",SUMIFS(Transaksi!$F$16:$F$5015,Transaksi!$G$16:$G$5015,$A293,Transaksi!$H$16:$H$5015,$B293,Transaksi!$I$16:$I$5015,$C293,Transaksi!$B$16:$B$5015,"&gt;="&amp;DATE(Dashboard!$C$4,7,1),Transaksi!$B$16:$B$5015,"&lt;="&amp;EOMONTH(DATE(Dashboard!$C$4,7,1),0)))</f>
        <v/>
      </c>
      <c r="K293" s="165">
        <f>IF($C293="","",SUMIFS(Transaksi!$F$16:$F$5015,Transaksi!$G$16:$G$5015,$A293,Transaksi!$H$16:$H$5015,$B293,Transaksi!$I$16:$I$5015,$C293,Transaksi!$B$16:$B$5015,"&gt;="&amp;DATE(Dashboard!$C$4,8,1),Transaksi!$B$16:$B$5015,"&lt;="&amp;EOMONTH(DATE(Dashboard!$C$4,8,1),0)))</f>
        <v/>
      </c>
      <c r="L293" s="165">
        <f>IF($C293="","",SUMIFS(Transaksi!$F$16:$F$5015,Transaksi!$G$16:$G$5015,$A293,Transaksi!$H$16:$H$5015,$B293,Transaksi!$I$16:$I$5015,$C293,Transaksi!$B$16:$B$5015,"&gt;="&amp;DATE(Dashboard!$C$4,9,1),Transaksi!$B$16:$B$5015,"&lt;="&amp;EOMONTH(DATE(Dashboard!$C$4,9,1),0)))</f>
        <v/>
      </c>
      <c r="M293" s="165">
        <f>IF($C293="","",SUMIFS(Transaksi!$F$16:$F$5015,Transaksi!$G$16:$G$5015,$A293,Transaksi!$H$16:$H$5015,$B293,Transaksi!$I$16:$I$5015,$C293,Transaksi!$B$16:$B$5015,"&gt;="&amp;DATE(Dashboard!$C$4,10,1),Transaksi!$B$16:$B$5015,"&lt;="&amp;EOMONTH(DATE(Dashboard!$C$4,10,1),0)))</f>
        <v/>
      </c>
      <c r="N293" s="165">
        <f>IF($C293="","",SUMIFS(Transaksi!$F$16:$F$5015,Transaksi!$G$16:$G$5015,$A293,Transaksi!$H$16:$H$5015,$B293,Transaksi!$I$16:$I$5015,$C293,Transaksi!$B$16:$B$5015,"&gt;="&amp;DATE(Dashboard!$C$4,11,1),Transaksi!$B$16:$B$5015,"&lt;="&amp;EOMONTH(DATE(Dashboard!$C$4,11,1),0)))</f>
        <v/>
      </c>
      <c r="O293" s="165">
        <f>IF($C293="","",SUMIFS(Transaksi!$F$16:$F$5015,Transaksi!$G$16:$G$5015,$A293,Transaksi!$H$16:$H$5015,$B293,Transaksi!$I$16:$I$5015,$C293,Transaksi!$B$16:$B$5015,"&gt;="&amp;DATE(Dashboard!$C$4,12,1),Transaksi!$B$16:$B$5015,"&lt;="&amp;EOMONTH(DATE(Dashboard!$C$4,12,1),0)))</f>
        <v/>
      </c>
      <c r="P293" s="166">
        <f>IF($C293="","",SUM(D293:O293))</f>
        <v/>
      </c>
    </row>
    <row r="294" ht="15" customHeight="1" s="94">
      <c r="A294" s="164">
        <f>IF(Kategori!C294="","",Kategori!A294)</f>
        <v/>
      </c>
      <c r="B294" s="164">
        <f>IF(Kategori!C294="","",Kategori!B294)</f>
        <v/>
      </c>
      <c r="C294" s="108">
        <f>IF(Kategori!C294="","",Kategori!C294)</f>
        <v/>
      </c>
      <c r="D294" s="165">
        <f>IF($C294="","",SUMIFS(Transaksi!$F$16:$F$5015,Transaksi!$G$16:$G$5015,$A294,Transaksi!$H$16:$H$5015,$B294,Transaksi!$I$16:$I$5015,$C294,Transaksi!$B$16:$B$5015,"&gt;="&amp;DATE(Dashboard!$C$4,1,1),Transaksi!$B$16:$B$5015,"&lt;="&amp;EOMONTH(DATE(Dashboard!$C$4,1,1),0)))</f>
        <v/>
      </c>
      <c r="E294" s="165">
        <f>IF($C294="","",SUMIFS(Transaksi!$F$16:$F$5015,Transaksi!$G$16:$G$5015,$A294,Transaksi!$H$16:$H$5015,$B294,Transaksi!$I$16:$I$5015,$C294,Transaksi!$B$16:$B$5015,"&gt;="&amp;DATE(Dashboard!$C$4,2,1),Transaksi!$B$16:$B$5015,"&lt;="&amp;EOMONTH(DATE(Dashboard!$C$4,2,1),0)))</f>
        <v/>
      </c>
      <c r="F294" s="165">
        <f>IF($C294="","",SUMIFS(Transaksi!$F$16:$F$5015,Transaksi!$G$16:$G$5015,$A294,Transaksi!$H$16:$H$5015,$B294,Transaksi!$I$16:$I$5015,$C294,Transaksi!$B$16:$B$5015,"&gt;="&amp;DATE(Dashboard!$C$4,3,1),Transaksi!$B$16:$B$5015,"&lt;="&amp;EOMONTH(DATE(Dashboard!$C$4,3,1),0)))</f>
        <v/>
      </c>
      <c r="G294" s="165">
        <f>IF($C294="","",SUMIFS(Transaksi!$F$16:$F$5015,Transaksi!$G$16:$G$5015,$A294,Transaksi!$H$16:$H$5015,$B294,Transaksi!$I$16:$I$5015,$C294,Transaksi!$B$16:$B$5015,"&gt;="&amp;DATE(Dashboard!$C$4,4,1),Transaksi!$B$16:$B$5015,"&lt;="&amp;EOMONTH(DATE(Dashboard!$C$4,4,1),0)))</f>
        <v/>
      </c>
      <c r="H294" s="165">
        <f>IF($C294="","",SUMIFS(Transaksi!$F$16:$F$5015,Transaksi!$G$16:$G$5015,$A294,Transaksi!$H$16:$H$5015,$B294,Transaksi!$I$16:$I$5015,$C294,Transaksi!$B$16:$B$5015,"&gt;="&amp;DATE(Dashboard!$C$4,5,1),Transaksi!$B$16:$B$5015,"&lt;="&amp;EOMONTH(DATE(Dashboard!$C$4,5,1),0)))</f>
        <v/>
      </c>
      <c r="I294" s="165">
        <f>IF($C294="","",SUMIFS(Transaksi!$F$16:$F$5015,Transaksi!$G$16:$G$5015,$A294,Transaksi!$H$16:$H$5015,$B294,Transaksi!$I$16:$I$5015,$C294,Transaksi!$B$16:$B$5015,"&gt;="&amp;DATE(Dashboard!$C$4,6,1),Transaksi!$B$16:$B$5015,"&lt;="&amp;EOMONTH(DATE(Dashboard!$C$4,6,1),0)))</f>
        <v/>
      </c>
      <c r="J294" s="165">
        <f>IF($C294="","",SUMIFS(Transaksi!$F$16:$F$5015,Transaksi!$G$16:$G$5015,$A294,Transaksi!$H$16:$H$5015,$B294,Transaksi!$I$16:$I$5015,$C294,Transaksi!$B$16:$B$5015,"&gt;="&amp;DATE(Dashboard!$C$4,7,1),Transaksi!$B$16:$B$5015,"&lt;="&amp;EOMONTH(DATE(Dashboard!$C$4,7,1),0)))</f>
        <v/>
      </c>
      <c r="K294" s="165">
        <f>IF($C294="","",SUMIFS(Transaksi!$F$16:$F$5015,Transaksi!$G$16:$G$5015,$A294,Transaksi!$H$16:$H$5015,$B294,Transaksi!$I$16:$I$5015,$C294,Transaksi!$B$16:$B$5015,"&gt;="&amp;DATE(Dashboard!$C$4,8,1),Transaksi!$B$16:$B$5015,"&lt;="&amp;EOMONTH(DATE(Dashboard!$C$4,8,1),0)))</f>
        <v/>
      </c>
      <c r="L294" s="165">
        <f>IF($C294="","",SUMIFS(Transaksi!$F$16:$F$5015,Transaksi!$G$16:$G$5015,$A294,Transaksi!$H$16:$H$5015,$B294,Transaksi!$I$16:$I$5015,$C294,Transaksi!$B$16:$B$5015,"&gt;="&amp;DATE(Dashboard!$C$4,9,1),Transaksi!$B$16:$B$5015,"&lt;="&amp;EOMONTH(DATE(Dashboard!$C$4,9,1),0)))</f>
        <v/>
      </c>
      <c r="M294" s="165">
        <f>IF($C294="","",SUMIFS(Transaksi!$F$16:$F$5015,Transaksi!$G$16:$G$5015,$A294,Transaksi!$H$16:$H$5015,$B294,Transaksi!$I$16:$I$5015,$C294,Transaksi!$B$16:$B$5015,"&gt;="&amp;DATE(Dashboard!$C$4,10,1),Transaksi!$B$16:$B$5015,"&lt;="&amp;EOMONTH(DATE(Dashboard!$C$4,10,1),0)))</f>
        <v/>
      </c>
      <c r="N294" s="165">
        <f>IF($C294="","",SUMIFS(Transaksi!$F$16:$F$5015,Transaksi!$G$16:$G$5015,$A294,Transaksi!$H$16:$H$5015,$B294,Transaksi!$I$16:$I$5015,$C294,Transaksi!$B$16:$B$5015,"&gt;="&amp;DATE(Dashboard!$C$4,11,1),Transaksi!$B$16:$B$5015,"&lt;="&amp;EOMONTH(DATE(Dashboard!$C$4,11,1),0)))</f>
        <v/>
      </c>
      <c r="O294" s="165">
        <f>IF($C294="","",SUMIFS(Transaksi!$F$16:$F$5015,Transaksi!$G$16:$G$5015,$A294,Transaksi!$H$16:$H$5015,$B294,Transaksi!$I$16:$I$5015,$C294,Transaksi!$B$16:$B$5015,"&gt;="&amp;DATE(Dashboard!$C$4,12,1),Transaksi!$B$16:$B$5015,"&lt;="&amp;EOMONTH(DATE(Dashboard!$C$4,12,1),0)))</f>
        <v/>
      </c>
      <c r="P294" s="166">
        <f>IF($C294="","",SUM(D294:O294))</f>
        <v/>
      </c>
    </row>
    <row r="295" ht="15" customHeight="1" s="94">
      <c r="A295" s="164">
        <f>IF(Kategori!C295="","",Kategori!A295)</f>
        <v/>
      </c>
      <c r="B295" s="164">
        <f>IF(Kategori!C295="","",Kategori!B295)</f>
        <v/>
      </c>
      <c r="C295" s="108">
        <f>IF(Kategori!C295="","",Kategori!C295)</f>
        <v/>
      </c>
      <c r="D295" s="165">
        <f>IF($C295="","",SUMIFS(Transaksi!$F$16:$F$5015,Transaksi!$G$16:$G$5015,$A295,Transaksi!$H$16:$H$5015,$B295,Transaksi!$I$16:$I$5015,$C295,Transaksi!$B$16:$B$5015,"&gt;="&amp;DATE(Dashboard!$C$4,1,1),Transaksi!$B$16:$B$5015,"&lt;="&amp;EOMONTH(DATE(Dashboard!$C$4,1,1),0)))</f>
        <v/>
      </c>
      <c r="E295" s="165">
        <f>IF($C295="","",SUMIFS(Transaksi!$F$16:$F$5015,Transaksi!$G$16:$G$5015,$A295,Transaksi!$H$16:$H$5015,$B295,Transaksi!$I$16:$I$5015,$C295,Transaksi!$B$16:$B$5015,"&gt;="&amp;DATE(Dashboard!$C$4,2,1),Transaksi!$B$16:$B$5015,"&lt;="&amp;EOMONTH(DATE(Dashboard!$C$4,2,1),0)))</f>
        <v/>
      </c>
      <c r="F295" s="165">
        <f>IF($C295="","",SUMIFS(Transaksi!$F$16:$F$5015,Transaksi!$G$16:$G$5015,$A295,Transaksi!$H$16:$H$5015,$B295,Transaksi!$I$16:$I$5015,$C295,Transaksi!$B$16:$B$5015,"&gt;="&amp;DATE(Dashboard!$C$4,3,1),Transaksi!$B$16:$B$5015,"&lt;="&amp;EOMONTH(DATE(Dashboard!$C$4,3,1),0)))</f>
        <v/>
      </c>
      <c r="G295" s="165">
        <f>IF($C295="","",SUMIFS(Transaksi!$F$16:$F$5015,Transaksi!$G$16:$G$5015,$A295,Transaksi!$H$16:$H$5015,$B295,Transaksi!$I$16:$I$5015,$C295,Transaksi!$B$16:$B$5015,"&gt;="&amp;DATE(Dashboard!$C$4,4,1),Transaksi!$B$16:$B$5015,"&lt;="&amp;EOMONTH(DATE(Dashboard!$C$4,4,1),0)))</f>
        <v/>
      </c>
      <c r="H295" s="165">
        <f>IF($C295="","",SUMIFS(Transaksi!$F$16:$F$5015,Transaksi!$G$16:$G$5015,$A295,Transaksi!$H$16:$H$5015,$B295,Transaksi!$I$16:$I$5015,$C295,Transaksi!$B$16:$B$5015,"&gt;="&amp;DATE(Dashboard!$C$4,5,1),Transaksi!$B$16:$B$5015,"&lt;="&amp;EOMONTH(DATE(Dashboard!$C$4,5,1),0)))</f>
        <v/>
      </c>
      <c r="I295" s="165">
        <f>IF($C295="","",SUMIFS(Transaksi!$F$16:$F$5015,Transaksi!$G$16:$G$5015,$A295,Transaksi!$H$16:$H$5015,$B295,Transaksi!$I$16:$I$5015,$C295,Transaksi!$B$16:$B$5015,"&gt;="&amp;DATE(Dashboard!$C$4,6,1),Transaksi!$B$16:$B$5015,"&lt;="&amp;EOMONTH(DATE(Dashboard!$C$4,6,1),0)))</f>
        <v/>
      </c>
      <c r="J295" s="165">
        <f>IF($C295="","",SUMIFS(Transaksi!$F$16:$F$5015,Transaksi!$G$16:$G$5015,$A295,Transaksi!$H$16:$H$5015,$B295,Transaksi!$I$16:$I$5015,$C295,Transaksi!$B$16:$B$5015,"&gt;="&amp;DATE(Dashboard!$C$4,7,1),Transaksi!$B$16:$B$5015,"&lt;="&amp;EOMONTH(DATE(Dashboard!$C$4,7,1),0)))</f>
        <v/>
      </c>
      <c r="K295" s="165">
        <f>IF($C295="","",SUMIFS(Transaksi!$F$16:$F$5015,Transaksi!$G$16:$G$5015,$A295,Transaksi!$H$16:$H$5015,$B295,Transaksi!$I$16:$I$5015,$C295,Transaksi!$B$16:$B$5015,"&gt;="&amp;DATE(Dashboard!$C$4,8,1),Transaksi!$B$16:$B$5015,"&lt;="&amp;EOMONTH(DATE(Dashboard!$C$4,8,1),0)))</f>
        <v/>
      </c>
      <c r="L295" s="165">
        <f>IF($C295="","",SUMIFS(Transaksi!$F$16:$F$5015,Transaksi!$G$16:$G$5015,$A295,Transaksi!$H$16:$H$5015,$B295,Transaksi!$I$16:$I$5015,$C295,Transaksi!$B$16:$B$5015,"&gt;="&amp;DATE(Dashboard!$C$4,9,1),Transaksi!$B$16:$B$5015,"&lt;="&amp;EOMONTH(DATE(Dashboard!$C$4,9,1),0)))</f>
        <v/>
      </c>
      <c r="M295" s="165">
        <f>IF($C295="","",SUMIFS(Transaksi!$F$16:$F$5015,Transaksi!$G$16:$G$5015,$A295,Transaksi!$H$16:$H$5015,$B295,Transaksi!$I$16:$I$5015,$C295,Transaksi!$B$16:$B$5015,"&gt;="&amp;DATE(Dashboard!$C$4,10,1),Transaksi!$B$16:$B$5015,"&lt;="&amp;EOMONTH(DATE(Dashboard!$C$4,10,1),0)))</f>
        <v/>
      </c>
      <c r="N295" s="165">
        <f>IF($C295="","",SUMIFS(Transaksi!$F$16:$F$5015,Transaksi!$G$16:$G$5015,$A295,Transaksi!$H$16:$H$5015,$B295,Transaksi!$I$16:$I$5015,$C295,Transaksi!$B$16:$B$5015,"&gt;="&amp;DATE(Dashboard!$C$4,11,1),Transaksi!$B$16:$B$5015,"&lt;="&amp;EOMONTH(DATE(Dashboard!$C$4,11,1),0)))</f>
        <v/>
      </c>
      <c r="O295" s="165">
        <f>IF($C295="","",SUMIFS(Transaksi!$F$16:$F$5015,Transaksi!$G$16:$G$5015,$A295,Transaksi!$H$16:$H$5015,$B295,Transaksi!$I$16:$I$5015,$C295,Transaksi!$B$16:$B$5015,"&gt;="&amp;DATE(Dashboard!$C$4,12,1),Transaksi!$B$16:$B$5015,"&lt;="&amp;EOMONTH(DATE(Dashboard!$C$4,12,1),0)))</f>
        <v/>
      </c>
      <c r="P295" s="166">
        <f>IF($C295="","",SUM(D295:O295))</f>
        <v/>
      </c>
    </row>
    <row r="296" ht="15" customHeight="1" s="94">
      <c r="A296" s="164">
        <f>IF(Kategori!C296="","",Kategori!A296)</f>
        <v/>
      </c>
      <c r="B296" s="164">
        <f>IF(Kategori!C296="","",Kategori!B296)</f>
        <v/>
      </c>
      <c r="C296" s="108">
        <f>IF(Kategori!C296="","",Kategori!C296)</f>
        <v/>
      </c>
      <c r="D296" s="165">
        <f>IF($C296="","",SUMIFS(Transaksi!$F$16:$F$5015,Transaksi!$G$16:$G$5015,$A296,Transaksi!$H$16:$H$5015,$B296,Transaksi!$I$16:$I$5015,$C296,Transaksi!$B$16:$B$5015,"&gt;="&amp;DATE(Dashboard!$C$4,1,1),Transaksi!$B$16:$B$5015,"&lt;="&amp;EOMONTH(DATE(Dashboard!$C$4,1,1),0)))</f>
        <v/>
      </c>
      <c r="E296" s="165">
        <f>IF($C296="","",SUMIFS(Transaksi!$F$16:$F$5015,Transaksi!$G$16:$G$5015,$A296,Transaksi!$H$16:$H$5015,$B296,Transaksi!$I$16:$I$5015,$C296,Transaksi!$B$16:$B$5015,"&gt;="&amp;DATE(Dashboard!$C$4,2,1),Transaksi!$B$16:$B$5015,"&lt;="&amp;EOMONTH(DATE(Dashboard!$C$4,2,1),0)))</f>
        <v/>
      </c>
      <c r="F296" s="165">
        <f>IF($C296="","",SUMIFS(Transaksi!$F$16:$F$5015,Transaksi!$G$16:$G$5015,$A296,Transaksi!$H$16:$H$5015,$B296,Transaksi!$I$16:$I$5015,$C296,Transaksi!$B$16:$B$5015,"&gt;="&amp;DATE(Dashboard!$C$4,3,1),Transaksi!$B$16:$B$5015,"&lt;="&amp;EOMONTH(DATE(Dashboard!$C$4,3,1),0)))</f>
        <v/>
      </c>
      <c r="G296" s="165">
        <f>IF($C296="","",SUMIFS(Transaksi!$F$16:$F$5015,Transaksi!$G$16:$G$5015,$A296,Transaksi!$H$16:$H$5015,$B296,Transaksi!$I$16:$I$5015,$C296,Transaksi!$B$16:$B$5015,"&gt;="&amp;DATE(Dashboard!$C$4,4,1),Transaksi!$B$16:$B$5015,"&lt;="&amp;EOMONTH(DATE(Dashboard!$C$4,4,1),0)))</f>
        <v/>
      </c>
      <c r="H296" s="165">
        <f>IF($C296="","",SUMIFS(Transaksi!$F$16:$F$5015,Transaksi!$G$16:$G$5015,$A296,Transaksi!$H$16:$H$5015,$B296,Transaksi!$I$16:$I$5015,$C296,Transaksi!$B$16:$B$5015,"&gt;="&amp;DATE(Dashboard!$C$4,5,1),Transaksi!$B$16:$B$5015,"&lt;="&amp;EOMONTH(DATE(Dashboard!$C$4,5,1),0)))</f>
        <v/>
      </c>
      <c r="I296" s="165">
        <f>IF($C296="","",SUMIFS(Transaksi!$F$16:$F$5015,Transaksi!$G$16:$G$5015,$A296,Transaksi!$H$16:$H$5015,$B296,Transaksi!$I$16:$I$5015,$C296,Transaksi!$B$16:$B$5015,"&gt;="&amp;DATE(Dashboard!$C$4,6,1),Transaksi!$B$16:$B$5015,"&lt;="&amp;EOMONTH(DATE(Dashboard!$C$4,6,1),0)))</f>
        <v/>
      </c>
      <c r="J296" s="165">
        <f>IF($C296="","",SUMIFS(Transaksi!$F$16:$F$5015,Transaksi!$G$16:$G$5015,$A296,Transaksi!$H$16:$H$5015,$B296,Transaksi!$I$16:$I$5015,$C296,Transaksi!$B$16:$B$5015,"&gt;="&amp;DATE(Dashboard!$C$4,7,1),Transaksi!$B$16:$B$5015,"&lt;="&amp;EOMONTH(DATE(Dashboard!$C$4,7,1),0)))</f>
        <v/>
      </c>
      <c r="K296" s="165">
        <f>IF($C296="","",SUMIFS(Transaksi!$F$16:$F$5015,Transaksi!$G$16:$G$5015,$A296,Transaksi!$H$16:$H$5015,$B296,Transaksi!$I$16:$I$5015,$C296,Transaksi!$B$16:$B$5015,"&gt;="&amp;DATE(Dashboard!$C$4,8,1),Transaksi!$B$16:$B$5015,"&lt;="&amp;EOMONTH(DATE(Dashboard!$C$4,8,1),0)))</f>
        <v/>
      </c>
      <c r="L296" s="165">
        <f>IF($C296="","",SUMIFS(Transaksi!$F$16:$F$5015,Transaksi!$G$16:$G$5015,$A296,Transaksi!$H$16:$H$5015,$B296,Transaksi!$I$16:$I$5015,$C296,Transaksi!$B$16:$B$5015,"&gt;="&amp;DATE(Dashboard!$C$4,9,1),Transaksi!$B$16:$B$5015,"&lt;="&amp;EOMONTH(DATE(Dashboard!$C$4,9,1),0)))</f>
        <v/>
      </c>
      <c r="M296" s="165">
        <f>IF($C296="","",SUMIFS(Transaksi!$F$16:$F$5015,Transaksi!$G$16:$G$5015,$A296,Transaksi!$H$16:$H$5015,$B296,Transaksi!$I$16:$I$5015,$C296,Transaksi!$B$16:$B$5015,"&gt;="&amp;DATE(Dashboard!$C$4,10,1),Transaksi!$B$16:$B$5015,"&lt;="&amp;EOMONTH(DATE(Dashboard!$C$4,10,1),0)))</f>
        <v/>
      </c>
      <c r="N296" s="165">
        <f>IF($C296="","",SUMIFS(Transaksi!$F$16:$F$5015,Transaksi!$G$16:$G$5015,$A296,Transaksi!$H$16:$H$5015,$B296,Transaksi!$I$16:$I$5015,$C296,Transaksi!$B$16:$B$5015,"&gt;="&amp;DATE(Dashboard!$C$4,11,1),Transaksi!$B$16:$B$5015,"&lt;="&amp;EOMONTH(DATE(Dashboard!$C$4,11,1),0)))</f>
        <v/>
      </c>
      <c r="O296" s="165">
        <f>IF($C296="","",SUMIFS(Transaksi!$F$16:$F$5015,Transaksi!$G$16:$G$5015,$A296,Transaksi!$H$16:$H$5015,$B296,Transaksi!$I$16:$I$5015,$C296,Transaksi!$B$16:$B$5015,"&gt;="&amp;DATE(Dashboard!$C$4,12,1),Transaksi!$B$16:$B$5015,"&lt;="&amp;EOMONTH(DATE(Dashboard!$C$4,12,1),0)))</f>
        <v/>
      </c>
      <c r="P296" s="166">
        <f>IF($C296="","",SUM(D296:O296))</f>
        <v/>
      </c>
    </row>
    <row r="297" ht="15" customHeight="1" s="94">
      <c r="A297" s="164">
        <f>IF(Kategori!C297="","",Kategori!A297)</f>
        <v/>
      </c>
      <c r="B297" s="164">
        <f>IF(Kategori!C297="","",Kategori!B297)</f>
        <v/>
      </c>
      <c r="C297" s="108">
        <f>IF(Kategori!C297="","",Kategori!C297)</f>
        <v/>
      </c>
      <c r="D297" s="165">
        <f>IF($C297="","",SUMIFS(Transaksi!$F$16:$F$5015,Transaksi!$G$16:$G$5015,$A297,Transaksi!$H$16:$H$5015,$B297,Transaksi!$I$16:$I$5015,$C297,Transaksi!$B$16:$B$5015,"&gt;="&amp;DATE(Dashboard!$C$4,1,1),Transaksi!$B$16:$B$5015,"&lt;="&amp;EOMONTH(DATE(Dashboard!$C$4,1,1),0)))</f>
        <v/>
      </c>
      <c r="E297" s="165">
        <f>IF($C297="","",SUMIFS(Transaksi!$F$16:$F$5015,Transaksi!$G$16:$G$5015,$A297,Transaksi!$H$16:$H$5015,$B297,Transaksi!$I$16:$I$5015,$C297,Transaksi!$B$16:$B$5015,"&gt;="&amp;DATE(Dashboard!$C$4,2,1),Transaksi!$B$16:$B$5015,"&lt;="&amp;EOMONTH(DATE(Dashboard!$C$4,2,1),0)))</f>
        <v/>
      </c>
      <c r="F297" s="165">
        <f>IF($C297="","",SUMIFS(Transaksi!$F$16:$F$5015,Transaksi!$G$16:$G$5015,$A297,Transaksi!$H$16:$H$5015,$B297,Transaksi!$I$16:$I$5015,$C297,Transaksi!$B$16:$B$5015,"&gt;="&amp;DATE(Dashboard!$C$4,3,1),Transaksi!$B$16:$B$5015,"&lt;="&amp;EOMONTH(DATE(Dashboard!$C$4,3,1),0)))</f>
        <v/>
      </c>
      <c r="G297" s="165">
        <f>IF($C297="","",SUMIFS(Transaksi!$F$16:$F$5015,Transaksi!$G$16:$G$5015,$A297,Transaksi!$H$16:$H$5015,$B297,Transaksi!$I$16:$I$5015,$C297,Transaksi!$B$16:$B$5015,"&gt;="&amp;DATE(Dashboard!$C$4,4,1),Transaksi!$B$16:$B$5015,"&lt;="&amp;EOMONTH(DATE(Dashboard!$C$4,4,1),0)))</f>
        <v/>
      </c>
      <c r="H297" s="165">
        <f>IF($C297="","",SUMIFS(Transaksi!$F$16:$F$5015,Transaksi!$G$16:$G$5015,$A297,Transaksi!$H$16:$H$5015,$B297,Transaksi!$I$16:$I$5015,$C297,Transaksi!$B$16:$B$5015,"&gt;="&amp;DATE(Dashboard!$C$4,5,1),Transaksi!$B$16:$B$5015,"&lt;="&amp;EOMONTH(DATE(Dashboard!$C$4,5,1),0)))</f>
        <v/>
      </c>
      <c r="I297" s="165">
        <f>IF($C297="","",SUMIFS(Transaksi!$F$16:$F$5015,Transaksi!$G$16:$G$5015,$A297,Transaksi!$H$16:$H$5015,$B297,Transaksi!$I$16:$I$5015,$C297,Transaksi!$B$16:$B$5015,"&gt;="&amp;DATE(Dashboard!$C$4,6,1),Transaksi!$B$16:$B$5015,"&lt;="&amp;EOMONTH(DATE(Dashboard!$C$4,6,1),0)))</f>
        <v/>
      </c>
      <c r="J297" s="165">
        <f>IF($C297="","",SUMIFS(Transaksi!$F$16:$F$5015,Transaksi!$G$16:$G$5015,$A297,Transaksi!$H$16:$H$5015,$B297,Transaksi!$I$16:$I$5015,$C297,Transaksi!$B$16:$B$5015,"&gt;="&amp;DATE(Dashboard!$C$4,7,1),Transaksi!$B$16:$B$5015,"&lt;="&amp;EOMONTH(DATE(Dashboard!$C$4,7,1),0)))</f>
        <v/>
      </c>
      <c r="K297" s="165">
        <f>IF($C297="","",SUMIFS(Transaksi!$F$16:$F$5015,Transaksi!$G$16:$G$5015,$A297,Transaksi!$H$16:$H$5015,$B297,Transaksi!$I$16:$I$5015,$C297,Transaksi!$B$16:$B$5015,"&gt;="&amp;DATE(Dashboard!$C$4,8,1),Transaksi!$B$16:$B$5015,"&lt;="&amp;EOMONTH(DATE(Dashboard!$C$4,8,1),0)))</f>
        <v/>
      </c>
      <c r="L297" s="165">
        <f>IF($C297="","",SUMIFS(Transaksi!$F$16:$F$5015,Transaksi!$G$16:$G$5015,$A297,Transaksi!$H$16:$H$5015,$B297,Transaksi!$I$16:$I$5015,$C297,Transaksi!$B$16:$B$5015,"&gt;="&amp;DATE(Dashboard!$C$4,9,1),Transaksi!$B$16:$B$5015,"&lt;="&amp;EOMONTH(DATE(Dashboard!$C$4,9,1),0)))</f>
        <v/>
      </c>
      <c r="M297" s="165">
        <f>IF($C297="","",SUMIFS(Transaksi!$F$16:$F$5015,Transaksi!$G$16:$G$5015,$A297,Transaksi!$H$16:$H$5015,$B297,Transaksi!$I$16:$I$5015,$C297,Transaksi!$B$16:$B$5015,"&gt;="&amp;DATE(Dashboard!$C$4,10,1),Transaksi!$B$16:$B$5015,"&lt;="&amp;EOMONTH(DATE(Dashboard!$C$4,10,1),0)))</f>
        <v/>
      </c>
      <c r="N297" s="165">
        <f>IF($C297="","",SUMIFS(Transaksi!$F$16:$F$5015,Transaksi!$G$16:$G$5015,$A297,Transaksi!$H$16:$H$5015,$B297,Transaksi!$I$16:$I$5015,$C297,Transaksi!$B$16:$B$5015,"&gt;="&amp;DATE(Dashboard!$C$4,11,1),Transaksi!$B$16:$B$5015,"&lt;="&amp;EOMONTH(DATE(Dashboard!$C$4,11,1),0)))</f>
        <v/>
      </c>
      <c r="O297" s="165">
        <f>IF($C297="","",SUMIFS(Transaksi!$F$16:$F$5015,Transaksi!$G$16:$G$5015,$A297,Transaksi!$H$16:$H$5015,$B297,Transaksi!$I$16:$I$5015,$C297,Transaksi!$B$16:$B$5015,"&gt;="&amp;DATE(Dashboard!$C$4,12,1),Transaksi!$B$16:$B$5015,"&lt;="&amp;EOMONTH(DATE(Dashboard!$C$4,12,1),0)))</f>
        <v/>
      </c>
      <c r="P297" s="166">
        <f>IF($C297="","",SUM(D297:O297))</f>
        <v/>
      </c>
    </row>
    <row r="298" ht="15" customHeight="1" s="94">
      <c r="A298" s="164">
        <f>IF(Kategori!C298="","",Kategori!A298)</f>
        <v/>
      </c>
      <c r="B298" s="164">
        <f>IF(Kategori!C298="","",Kategori!B298)</f>
        <v/>
      </c>
      <c r="C298" s="108">
        <f>IF(Kategori!C298="","",Kategori!C298)</f>
        <v/>
      </c>
      <c r="D298" s="165">
        <f>IF($C298="","",SUMIFS(Transaksi!$F$16:$F$5015,Transaksi!$G$16:$G$5015,$A298,Transaksi!$H$16:$H$5015,$B298,Transaksi!$I$16:$I$5015,$C298,Transaksi!$B$16:$B$5015,"&gt;="&amp;DATE(Dashboard!$C$4,1,1),Transaksi!$B$16:$B$5015,"&lt;="&amp;EOMONTH(DATE(Dashboard!$C$4,1,1),0)))</f>
        <v/>
      </c>
      <c r="E298" s="165">
        <f>IF($C298="","",SUMIFS(Transaksi!$F$16:$F$5015,Transaksi!$G$16:$G$5015,$A298,Transaksi!$H$16:$H$5015,$B298,Transaksi!$I$16:$I$5015,$C298,Transaksi!$B$16:$B$5015,"&gt;="&amp;DATE(Dashboard!$C$4,2,1),Transaksi!$B$16:$B$5015,"&lt;="&amp;EOMONTH(DATE(Dashboard!$C$4,2,1),0)))</f>
        <v/>
      </c>
      <c r="F298" s="165">
        <f>IF($C298="","",SUMIFS(Transaksi!$F$16:$F$5015,Transaksi!$G$16:$G$5015,$A298,Transaksi!$H$16:$H$5015,$B298,Transaksi!$I$16:$I$5015,$C298,Transaksi!$B$16:$B$5015,"&gt;="&amp;DATE(Dashboard!$C$4,3,1),Transaksi!$B$16:$B$5015,"&lt;="&amp;EOMONTH(DATE(Dashboard!$C$4,3,1),0)))</f>
        <v/>
      </c>
      <c r="G298" s="165">
        <f>IF($C298="","",SUMIFS(Transaksi!$F$16:$F$5015,Transaksi!$G$16:$G$5015,$A298,Transaksi!$H$16:$H$5015,$B298,Transaksi!$I$16:$I$5015,$C298,Transaksi!$B$16:$B$5015,"&gt;="&amp;DATE(Dashboard!$C$4,4,1),Transaksi!$B$16:$B$5015,"&lt;="&amp;EOMONTH(DATE(Dashboard!$C$4,4,1),0)))</f>
        <v/>
      </c>
      <c r="H298" s="165">
        <f>IF($C298="","",SUMIFS(Transaksi!$F$16:$F$5015,Transaksi!$G$16:$G$5015,$A298,Transaksi!$H$16:$H$5015,$B298,Transaksi!$I$16:$I$5015,$C298,Transaksi!$B$16:$B$5015,"&gt;="&amp;DATE(Dashboard!$C$4,5,1),Transaksi!$B$16:$B$5015,"&lt;="&amp;EOMONTH(DATE(Dashboard!$C$4,5,1),0)))</f>
        <v/>
      </c>
      <c r="I298" s="165">
        <f>IF($C298="","",SUMIFS(Transaksi!$F$16:$F$5015,Transaksi!$G$16:$G$5015,$A298,Transaksi!$H$16:$H$5015,$B298,Transaksi!$I$16:$I$5015,$C298,Transaksi!$B$16:$B$5015,"&gt;="&amp;DATE(Dashboard!$C$4,6,1),Transaksi!$B$16:$B$5015,"&lt;="&amp;EOMONTH(DATE(Dashboard!$C$4,6,1),0)))</f>
        <v/>
      </c>
      <c r="J298" s="165">
        <f>IF($C298="","",SUMIFS(Transaksi!$F$16:$F$5015,Transaksi!$G$16:$G$5015,$A298,Transaksi!$H$16:$H$5015,$B298,Transaksi!$I$16:$I$5015,$C298,Transaksi!$B$16:$B$5015,"&gt;="&amp;DATE(Dashboard!$C$4,7,1),Transaksi!$B$16:$B$5015,"&lt;="&amp;EOMONTH(DATE(Dashboard!$C$4,7,1),0)))</f>
        <v/>
      </c>
      <c r="K298" s="165">
        <f>IF($C298="","",SUMIFS(Transaksi!$F$16:$F$5015,Transaksi!$G$16:$G$5015,$A298,Transaksi!$H$16:$H$5015,$B298,Transaksi!$I$16:$I$5015,$C298,Transaksi!$B$16:$B$5015,"&gt;="&amp;DATE(Dashboard!$C$4,8,1),Transaksi!$B$16:$B$5015,"&lt;="&amp;EOMONTH(DATE(Dashboard!$C$4,8,1),0)))</f>
        <v/>
      </c>
      <c r="L298" s="165">
        <f>IF($C298="","",SUMIFS(Transaksi!$F$16:$F$5015,Transaksi!$G$16:$G$5015,$A298,Transaksi!$H$16:$H$5015,$B298,Transaksi!$I$16:$I$5015,$C298,Transaksi!$B$16:$B$5015,"&gt;="&amp;DATE(Dashboard!$C$4,9,1),Transaksi!$B$16:$B$5015,"&lt;="&amp;EOMONTH(DATE(Dashboard!$C$4,9,1),0)))</f>
        <v/>
      </c>
      <c r="M298" s="165">
        <f>IF($C298="","",SUMIFS(Transaksi!$F$16:$F$5015,Transaksi!$G$16:$G$5015,$A298,Transaksi!$H$16:$H$5015,$B298,Transaksi!$I$16:$I$5015,$C298,Transaksi!$B$16:$B$5015,"&gt;="&amp;DATE(Dashboard!$C$4,10,1),Transaksi!$B$16:$B$5015,"&lt;="&amp;EOMONTH(DATE(Dashboard!$C$4,10,1),0)))</f>
        <v/>
      </c>
      <c r="N298" s="165">
        <f>IF($C298="","",SUMIFS(Transaksi!$F$16:$F$5015,Transaksi!$G$16:$G$5015,$A298,Transaksi!$H$16:$H$5015,$B298,Transaksi!$I$16:$I$5015,$C298,Transaksi!$B$16:$B$5015,"&gt;="&amp;DATE(Dashboard!$C$4,11,1),Transaksi!$B$16:$B$5015,"&lt;="&amp;EOMONTH(DATE(Dashboard!$C$4,11,1),0)))</f>
        <v/>
      </c>
      <c r="O298" s="165">
        <f>IF($C298="","",SUMIFS(Transaksi!$F$16:$F$5015,Transaksi!$G$16:$G$5015,$A298,Transaksi!$H$16:$H$5015,$B298,Transaksi!$I$16:$I$5015,$C298,Transaksi!$B$16:$B$5015,"&gt;="&amp;DATE(Dashboard!$C$4,12,1),Transaksi!$B$16:$B$5015,"&lt;="&amp;EOMONTH(DATE(Dashboard!$C$4,12,1),0)))</f>
        <v/>
      </c>
      <c r="P298" s="166">
        <f>IF($C298="","",SUM(D298:O298))</f>
        <v/>
      </c>
    </row>
    <row r="299" ht="15" customHeight="1" s="94">
      <c r="A299" s="164">
        <f>IF(Kategori!C299="","",Kategori!A299)</f>
        <v/>
      </c>
      <c r="B299" s="164">
        <f>IF(Kategori!C299="","",Kategori!B299)</f>
        <v/>
      </c>
      <c r="C299" s="108">
        <f>IF(Kategori!C299="","",Kategori!C299)</f>
        <v/>
      </c>
      <c r="D299" s="165">
        <f>IF($C299="","",SUMIFS(Transaksi!$F$16:$F$5015,Transaksi!$G$16:$G$5015,$A299,Transaksi!$H$16:$H$5015,$B299,Transaksi!$I$16:$I$5015,$C299,Transaksi!$B$16:$B$5015,"&gt;="&amp;DATE(Dashboard!$C$4,1,1),Transaksi!$B$16:$B$5015,"&lt;="&amp;EOMONTH(DATE(Dashboard!$C$4,1,1),0)))</f>
        <v/>
      </c>
      <c r="E299" s="165">
        <f>IF($C299="","",SUMIFS(Transaksi!$F$16:$F$5015,Transaksi!$G$16:$G$5015,$A299,Transaksi!$H$16:$H$5015,$B299,Transaksi!$I$16:$I$5015,$C299,Transaksi!$B$16:$B$5015,"&gt;="&amp;DATE(Dashboard!$C$4,2,1),Transaksi!$B$16:$B$5015,"&lt;="&amp;EOMONTH(DATE(Dashboard!$C$4,2,1),0)))</f>
        <v/>
      </c>
      <c r="F299" s="165">
        <f>IF($C299="","",SUMIFS(Transaksi!$F$16:$F$5015,Transaksi!$G$16:$G$5015,$A299,Transaksi!$H$16:$H$5015,$B299,Transaksi!$I$16:$I$5015,$C299,Transaksi!$B$16:$B$5015,"&gt;="&amp;DATE(Dashboard!$C$4,3,1),Transaksi!$B$16:$B$5015,"&lt;="&amp;EOMONTH(DATE(Dashboard!$C$4,3,1),0)))</f>
        <v/>
      </c>
      <c r="G299" s="165">
        <f>IF($C299="","",SUMIFS(Transaksi!$F$16:$F$5015,Transaksi!$G$16:$G$5015,$A299,Transaksi!$H$16:$H$5015,$B299,Transaksi!$I$16:$I$5015,$C299,Transaksi!$B$16:$B$5015,"&gt;="&amp;DATE(Dashboard!$C$4,4,1),Transaksi!$B$16:$B$5015,"&lt;="&amp;EOMONTH(DATE(Dashboard!$C$4,4,1),0)))</f>
        <v/>
      </c>
      <c r="H299" s="165">
        <f>IF($C299="","",SUMIFS(Transaksi!$F$16:$F$5015,Transaksi!$G$16:$G$5015,$A299,Transaksi!$H$16:$H$5015,$B299,Transaksi!$I$16:$I$5015,$C299,Transaksi!$B$16:$B$5015,"&gt;="&amp;DATE(Dashboard!$C$4,5,1),Transaksi!$B$16:$B$5015,"&lt;="&amp;EOMONTH(DATE(Dashboard!$C$4,5,1),0)))</f>
        <v/>
      </c>
      <c r="I299" s="165">
        <f>IF($C299="","",SUMIFS(Transaksi!$F$16:$F$5015,Transaksi!$G$16:$G$5015,$A299,Transaksi!$H$16:$H$5015,$B299,Transaksi!$I$16:$I$5015,$C299,Transaksi!$B$16:$B$5015,"&gt;="&amp;DATE(Dashboard!$C$4,6,1),Transaksi!$B$16:$B$5015,"&lt;="&amp;EOMONTH(DATE(Dashboard!$C$4,6,1),0)))</f>
        <v/>
      </c>
      <c r="J299" s="165">
        <f>IF($C299="","",SUMIFS(Transaksi!$F$16:$F$5015,Transaksi!$G$16:$G$5015,$A299,Transaksi!$H$16:$H$5015,$B299,Transaksi!$I$16:$I$5015,$C299,Transaksi!$B$16:$B$5015,"&gt;="&amp;DATE(Dashboard!$C$4,7,1),Transaksi!$B$16:$B$5015,"&lt;="&amp;EOMONTH(DATE(Dashboard!$C$4,7,1),0)))</f>
        <v/>
      </c>
      <c r="K299" s="165">
        <f>IF($C299="","",SUMIFS(Transaksi!$F$16:$F$5015,Transaksi!$G$16:$G$5015,$A299,Transaksi!$H$16:$H$5015,$B299,Transaksi!$I$16:$I$5015,$C299,Transaksi!$B$16:$B$5015,"&gt;="&amp;DATE(Dashboard!$C$4,8,1),Transaksi!$B$16:$B$5015,"&lt;="&amp;EOMONTH(DATE(Dashboard!$C$4,8,1),0)))</f>
        <v/>
      </c>
      <c r="L299" s="165">
        <f>IF($C299="","",SUMIFS(Transaksi!$F$16:$F$5015,Transaksi!$G$16:$G$5015,$A299,Transaksi!$H$16:$H$5015,$B299,Transaksi!$I$16:$I$5015,$C299,Transaksi!$B$16:$B$5015,"&gt;="&amp;DATE(Dashboard!$C$4,9,1),Transaksi!$B$16:$B$5015,"&lt;="&amp;EOMONTH(DATE(Dashboard!$C$4,9,1),0)))</f>
        <v/>
      </c>
      <c r="M299" s="165">
        <f>IF($C299="","",SUMIFS(Transaksi!$F$16:$F$5015,Transaksi!$G$16:$G$5015,$A299,Transaksi!$H$16:$H$5015,$B299,Transaksi!$I$16:$I$5015,$C299,Transaksi!$B$16:$B$5015,"&gt;="&amp;DATE(Dashboard!$C$4,10,1),Transaksi!$B$16:$B$5015,"&lt;="&amp;EOMONTH(DATE(Dashboard!$C$4,10,1),0)))</f>
        <v/>
      </c>
      <c r="N299" s="165">
        <f>IF($C299="","",SUMIFS(Transaksi!$F$16:$F$5015,Transaksi!$G$16:$G$5015,$A299,Transaksi!$H$16:$H$5015,$B299,Transaksi!$I$16:$I$5015,$C299,Transaksi!$B$16:$B$5015,"&gt;="&amp;DATE(Dashboard!$C$4,11,1),Transaksi!$B$16:$B$5015,"&lt;="&amp;EOMONTH(DATE(Dashboard!$C$4,11,1),0)))</f>
        <v/>
      </c>
      <c r="O299" s="165">
        <f>IF($C299="","",SUMIFS(Transaksi!$F$16:$F$5015,Transaksi!$G$16:$G$5015,$A299,Transaksi!$H$16:$H$5015,$B299,Transaksi!$I$16:$I$5015,$C299,Transaksi!$B$16:$B$5015,"&gt;="&amp;DATE(Dashboard!$C$4,12,1),Transaksi!$B$16:$B$5015,"&lt;="&amp;EOMONTH(DATE(Dashboard!$C$4,12,1),0)))</f>
        <v/>
      </c>
      <c r="P299" s="166">
        <f>IF($C299="","",SUM(D299:O299))</f>
        <v/>
      </c>
    </row>
    <row r="300" ht="15" customHeight="1" s="94">
      <c r="A300" s="164">
        <f>IF(Kategori!C300="","",Kategori!A300)</f>
        <v/>
      </c>
      <c r="B300" s="164">
        <f>IF(Kategori!C300="","",Kategori!B300)</f>
        <v/>
      </c>
      <c r="C300" s="108">
        <f>IF(Kategori!C300="","",Kategori!C300)</f>
        <v/>
      </c>
      <c r="D300" s="165">
        <f>IF($C300="","",SUMIFS(Transaksi!$F$16:$F$5015,Transaksi!$G$16:$G$5015,$A300,Transaksi!$H$16:$H$5015,$B300,Transaksi!$I$16:$I$5015,$C300,Transaksi!$B$16:$B$5015,"&gt;="&amp;DATE(Dashboard!$C$4,1,1),Transaksi!$B$16:$B$5015,"&lt;="&amp;EOMONTH(DATE(Dashboard!$C$4,1,1),0)))</f>
        <v/>
      </c>
      <c r="E300" s="165">
        <f>IF($C300="","",SUMIFS(Transaksi!$F$16:$F$5015,Transaksi!$G$16:$G$5015,$A300,Transaksi!$H$16:$H$5015,$B300,Transaksi!$I$16:$I$5015,$C300,Transaksi!$B$16:$B$5015,"&gt;="&amp;DATE(Dashboard!$C$4,2,1),Transaksi!$B$16:$B$5015,"&lt;="&amp;EOMONTH(DATE(Dashboard!$C$4,2,1),0)))</f>
        <v/>
      </c>
      <c r="F300" s="165">
        <f>IF($C300="","",SUMIFS(Transaksi!$F$16:$F$5015,Transaksi!$G$16:$G$5015,$A300,Transaksi!$H$16:$H$5015,$B300,Transaksi!$I$16:$I$5015,$C300,Transaksi!$B$16:$B$5015,"&gt;="&amp;DATE(Dashboard!$C$4,3,1),Transaksi!$B$16:$B$5015,"&lt;="&amp;EOMONTH(DATE(Dashboard!$C$4,3,1),0)))</f>
        <v/>
      </c>
      <c r="G300" s="165">
        <f>IF($C300="","",SUMIFS(Transaksi!$F$16:$F$5015,Transaksi!$G$16:$G$5015,$A300,Transaksi!$H$16:$H$5015,$B300,Transaksi!$I$16:$I$5015,$C300,Transaksi!$B$16:$B$5015,"&gt;="&amp;DATE(Dashboard!$C$4,4,1),Transaksi!$B$16:$B$5015,"&lt;="&amp;EOMONTH(DATE(Dashboard!$C$4,4,1),0)))</f>
        <v/>
      </c>
      <c r="H300" s="165">
        <f>IF($C300="","",SUMIFS(Transaksi!$F$16:$F$5015,Transaksi!$G$16:$G$5015,$A300,Transaksi!$H$16:$H$5015,$B300,Transaksi!$I$16:$I$5015,$C300,Transaksi!$B$16:$B$5015,"&gt;="&amp;DATE(Dashboard!$C$4,5,1),Transaksi!$B$16:$B$5015,"&lt;="&amp;EOMONTH(DATE(Dashboard!$C$4,5,1),0)))</f>
        <v/>
      </c>
      <c r="I300" s="165">
        <f>IF($C300="","",SUMIFS(Transaksi!$F$16:$F$5015,Transaksi!$G$16:$G$5015,$A300,Transaksi!$H$16:$H$5015,$B300,Transaksi!$I$16:$I$5015,$C300,Transaksi!$B$16:$B$5015,"&gt;="&amp;DATE(Dashboard!$C$4,6,1),Transaksi!$B$16:$B$5015,"&lt;="&amp;EOMONTH(DATE(Dashboard!$C$4,6,1),0)))</f>
        <v/>
      </c>
      <c r="J300" s="165">
        <f>IF($C300="","",SUMIFS(Transaksi!$F$16:$F$5015,Transaksi!$G$16:$G$5015,$A300,Transaksi!$H$16:$H$5015,$B300,Transaksi!$I$16:$I$5015,$C300,Transaksi!$B$16:$B$5015,"&gt;="&amp;DATE(Dashboard!$C$4,7,1),Transaksi!$B$16:$B$5015,"&lt;="&amp;EOMONTH(DATE(Dashboard!$C$4,7,1),0)))</f>
        <v/>
      </c>
      <c r="K300" s="165">
        <f>IF($C300="","",SUMIFS(Transaksi!$F$16:$F$5015,Transaksi!$G$16:$G$5015,$A300,Transaksi!$H$16:$H$5015,$B300,Transaksi!$I$16:$I$5015,$C300,Transaksi!$B$16:$B$5015,"&gt;="&amp;DATE(Dashboard!$C$4,8,1),Transaksi!$B$16:$B$5015,"&lt;="&amp;EOMONTH(DATE(Dashboard!$C$4,8,1),0)))</f>
        <v/>
      </c>
      <c r="L300" s="165">
        <f>IF($C300="","",SUMIFS(Transaksi!$F$16:$F$5015,Transaksi!$G$16:$G$5015,$A300,Transaksi!$H$16:$H$5015,$B300,Transaksi!$I$16:$I$5015,$C300,Transaksi!$B$16:$B$5015,"&gt;="&amp;DATE(Dashboard!$C$4,9,1),Transaksi!$B$16:$B$5015,"&lt;="&amp;EOMONTH(DATE(Dashboard!$C$4,9,1),0)))</f>
        <v/>
      </c>
      <c r="M300" s="165">
        <f>IF($C300="","",SUMIFS(Transaksi!$F$16:$F$5015,Transaksi!$G$16:$G$5015,$A300,Transaksi!$H$16:$H$5015,$B300,Transaksi!$I$16:$I$5015,$C300,Transaksi!$B$16:$B$5015,"&gt;="&amp;DATE(Dashboard!$C$4,10,1),Transaksi!$B$16:$B$5015,"&lt;="&amp;EOMONTH(DATE(Dashboard!$C$4,10,1),0)))</f>
        <v/>
      </c>
      <c r="N300" s="165">
        <f>IF($C300="","",SUMIFS(Transaksi!$F$16:$F$5015,Transaksi!$G$16:$G$5015,$A300,Transaksi!$H$16:$H$5015,$B300,Transaksi!$I$16:$I$5015,$C300,Transaksi!$B$16:$B$5015,"&gt;="&amp;DATE(Dashboard!$C$4,11,1),Transaksi!$B$16:$B$5015,"&lt;="&amp;EOMONTH(DATE(Dashboard!$C$4,11,1),0)))</f>
        <v/>
      </c>
      <c r="O300" s="165">
        <f>IF($C300="","",SUMIFS(Transaksi!$F$16:$F$5015,Transaksi!$G$16:$G$5015,$A300,Transaksi!$H$16:$H$5015,$B300,Transaksi!$I$16:$I$5015,$C300,Transaksi!$B$16:$B$5015,"&gt;="&amp;DATE(Dashboard!$C$4,12,1),Transaksi!$B$16:$B$5015,"&lt;="&amp;EOMONTH(DATE(Dashboard!$C$4,12,1),0)))</f>
        <v/>
      </c>
      <c r="P300" s="166">
        <f>IF($C300="","",SUM(D300:O300))</f>
        <v/>
      </c>
    </row>
    <row r="301" ht="15" customHeight="1" s="94">
      <c r="A301" s="164">
        <f>IF(Kategori!C301="","",Kategori!A301)</f>
        <v/>
      </c>
      <c r="B301" s="164">
        <f>IF(Kategori!C301="","",Kategori!B301)</f>
        <v/>
      </c>
      <c r="C301" s="108">
        <f>IF(Kategori!C301="","",Kategori!C301)</f>
        <v/>
      </c>
      <c r="D301" s="165">
        <f>IF($C301="","",SUMIFS(Transaksi!$F$16:$F$5015,Transaksi!$G$16:$G$5015,$A301,Transaksi!$H$16:$H$5015,$B301,Transaksi!$I$16:$I$5015,$C301,Transaksi!$B$16:$B$5015,"&gt;="&amp;DATE(Dashboard!$C$4,1,1),Transaksi!$B$16:$B$5015,"&lt;="&amp;EOMONTH(DATE(Dashboard!$C$4,1,1),0)))</f>
        <v/>
      </c>
      <c r="E301" s="165">
        <f>IF($C301="","",SUMIFS(Transaksi!$F$16:$F$5015,Transaksi!$G$16:$G$5015,$A301,Transaksi!$H$16:$H$5015,$B301,Transaksi!$I$16:$I$5015,$C301,Transaksi!$B$16:$B$5015,"&gt;="&amp;DATE(Dashboard!$C$4,2,1),Transaksi!$B$16:$B$5015,"&lt;="&amp;EOMONTH(DATE(Dashboard!$C$4,2,1),0)))</f>
        <v/>
      </c>
      <c r="F301" s="165">
        <f>IF($C301="","",SUMIFS(Transaksi!$F$16:$F$5015,Transaksi!$G$16:$G$5015,$A301,Transaksi!$H$16:$H$5015,$B301,Transaksi!$I$16:$I$5015,$C301,Transaksi!$B$16:$B$5015,"&gt;="&amp;DATE(Dashboard!$C$4,3,1),Transaksi!$B$16:$B$5015,"&lt;="&amp;EOMONTH(DATE(Dashboard!$C$4,3,1),0)))</f>
        <v/>
      </c>
      <c r="G301" s="165">
        <f>IF($C301="","",SUMIFS(Transaksi!$F$16:$F$5015,Transaksi!$G$16:$G$5015,$A301,Transaksi!$H$16:$H$5015,$B301,Transaksi!$I$16:$I$5015,$C301,Transaksi!$B$16:$B$5015,"&gt;="&amp;DATE(Dashboard!$C$4,4,1),Transaksi!$B$16:$B$5015,"&lt;="&amp;EOMONTH(DATE(Dashboard!$C$4,4,1),0)))</f>
        <v/>
      </c>
      <c r="H301" s="165">
        <f>IF($C301="","",SUMIFS(Transaksi!$F$16:$F$5015,Transaksi!$G$16:$G$5015,$A301,Transaksi!$H$16:$H$5015,$B301,Transaksi!$I$16:$I$5015,$C301,Transaksi!$B$16:$B$5015,"&gt;="&amp;DATE(Dashboard!$C$4,5,1),Transaksi!$B$16:$B$5015,"&lt;="&amp;EOMONTH(DATE(Dashboard!$C$4,5,1),0)))</f>
        <v/>
      </c>
      <c r="I301" s="165">
        <f>IF($C301="","",SUMIFS(Transaksi!$F$16:$F$5015,Transaksi!$G$16:$G$5015,$A301,Transaksi!$H$16:$H$5015,$B301,Transaksi!$I$16:$I$5015,$C301,Transaksi!$B$16:$B$5015,"&gt;="&amp;DATE(Dashboard!$C$4,6,1),Transaksi!$B$16:$B$5015,"&lt;="&amp;EOMONTH(DATE(Dashboard!$C$4,6,1),0)))</f>
        <v/>
      </c>
      <c r="J301" s="165">
        <f>IF($C301="","",SUMIFS(Transaksi!$F$16:$F$5015,Transaksi!$G$16:$G$5015,$A301,Transaksi!$H$16:$H$5015,$B301,Transaksi!$I$16:$I$5015,$C301,Transaksi!$B$16:$B$5015,"&gt;="&amp;DATE(Dashboard!$C$4,7,1),Transaksi!$B$16:$B$5015,"&lt;="&amp;EOMONTH(DATE(Dashboard!$C$4,7,1),0)))</f>
        <v/>
      </c>
      <c r="K301" s="165">
        <f>IF($C301="","",SUMIFS(Transaksi!$F$16:$F$5015,Transaksi!$G$16:$G$5015,$A301,Transaksi!$H$16:$H$5015,$B301,Transaksi!$I$16:$I$5015,$C301,Transaksi!$B$16:$B$5015,"&gt;="&amp;DATE(Dashboard!$C$4,8,1),Transaksi!$B$16:$B$5015,"&lt;="&amp;EOMONTH(DATE(Dashboard!$C$4,8,1),0)))</f>
        <v/>
      </c>
      <c r="L301" s="165">
        <f>IF($C301="","",SUMIFS(Transaksi!$F$16:$F$5015,Transaksi!$G$16:$G$5015,$A301,Transaksi!$H$16:$H$5015,$B301,Transaksi!$I$16:$I$5015,$C301,Transaksi!$B$16:$B$5015,"&gt;="&amp;DATE(Dashboard!$C$4,9,1),Transaksi!$B$16:$B$5015,"&lt;="&amp;EOMONTH(DATE(Dashboard!$C$4,9,1),0)))</f>
        <v/>
      </c>
      <c r="M301" s="165">
        <f>IF($C301="","",SUMIFS(Transaksi!$F$16:$F$5015,Transaksi!$G$16:$G$5015,$A301,Transaksi!$H$16:$H$5015,$B301,Transaksi!$I$16:$I$5015,$C301,Transaksi!$B$16:$B$5015,"&gt;="&amp;DATE(Dashboard!$C$4,10,1),Transaksi!$B$16:$B$5015,"&lt;="&amp;EOMONTH(DATE(Dashboard!$C$4,10,1),0)))</f>
        <v/>
      </c>
      <c r="N301" s="165">
        <f>IF($C301="","",SUMIFS(Transaksi!$F$16:$F$5015,Transaksi!$G$16:$G$5015,$A301,Transaksi!$H$16:$H$5015,$B301,Transaksi!$I$16:$I$5015,$C301,Transaksi!$B$16:$B$5015,"&gt;="&amp;DATE(Dashboard!$C$4,11,1),Transaksi!$B$16:$B$5015,"&lt;="&amp;EOMONTH(DATE(Dashboard!$C$4,11,1),0)))</f>
        <v/>
      </c>
      <c r="O301" s="165">
        <f>IF($C301="","",SUMIFS(Transaksi!$F$16:$F$5015,Transaksi!$G$16:$G$5015,$A301,Transaksi!$H$16:$H$5015,$B301,Transaksi!$I$16:$I$5015,$C301,Transaksi!$B$16:$B$5015,"&gt;="&amp;DATE(Dashboard!$C$4,12,1),Transaksi!$B$16:$B$5015,"&lt;="&amp;EOMONTH(DATE(Dashboard!$C$4,12,1),0)))</f>
        <v/>
      </c>
      <c r="P301" s="166">
        <f>IF($C301="","",SUM(D301:O301))</f>
        <v/>
      </c>
    </row>
    <row r="302" ht="15" customHeight="1" s="94">
      <c r="A302" s="164">
        <f>IF(Kategori!C302="","",Kategori!A302)</f>
        <v/>
      </c>
      <c r="B302" s="164">
        <f>IF(Kategori!C302="","",Kategori!B302)</f>
        <v/>
      </c>
      <c r="C302" s="108">
        <f>IF(Kategori!C302="","",Kategori!C302)</f>
        <v/>
      </c>
      <c r="D302" s="165">
        <f>IF($C302="","",SUMIFS(Transaksi!$F$16:$F$5015,Transaksi!$G$16:$G$5015,$A302,Transaksi!$H$16:$H$5015,$B302,Transaksi!$I$16:$I$5015,$C302,Transaksi!$B$16:$B$5015,"&gt;="&amp;DATE(Dashboard!$C$4,1,1),Transaksi!$B$16:$B$5015,"&lt;="&amp;EOMONTH(DATE(Dashboard!$C$4,1,1),0)))</f>
        <v/>
      </c>
      <c r="E302" s="165">
        <f>IF($C302="","",SUMIFS(Transaksi!$F$16:$F$5015,Transaksi!$G$16:$G$5015,$A302,Transaksi!$H$16:$H$5015,$B302,Transaksi!$I$16:$I$5015,$C302,Transaksi!$B$16:$B$5015,"&gt;="&amp;DATE(Dashboard!$C$4,2,1),Transaksi!$B$16:$B$5015,"&lt;="&amp;EOMONTH(DATE(Dashboard!$C$4,2,1),0)))</f>
        <v/>
      </c>
      <c r="F302" s="165">
        <f>IF($C302="","",SUMIFS(Transaksi!$F$16:$F$5015,Transaksi!$G$16:$G$5015,$A302,Transaksi!$H$16:$H$5015,$B302,Transaksi!$I$16:$I$5015,$C302,Transaksi!$B$16:$B$5015,"&gt;="&amp;DATE(Dashboard!$C$4,3,1),Transaksi!$B$16:$B$5015,"&lt;="&amp;EOMONTH(DATE(Dashboard!$C$4,3,1),0)))</f>
        <v/>
      </c>
      <c r="G302" s="165">
        <f>IF($C302="","",SUMIFS(Transaksi!$F$16:$F$5015,Transaksi!$G$16:$G$5015,$A302,Transaksi!$H$16:$H$5015,$B302,Transaksi!$I$16:$I$5015,$C302,Transaksi!$B$16:$B$5015,"&gt;="&amp;DATE(Dashboard!$C$4,4,1),Transaksi!$B$16:$B$5015,"&lt;="&amp;EOMONTH(DATE(Dashboard!$C$4,4,1),0)))</f>
        <v/>
      </c>
      <c r="H302" s="165">
        <f>IF($C302="","",SUMIFS(Transaksi!$F$16:$F$5015,Transaksi!$G$16:$G$5015,$A302,Transaksi!$H$16:$H$5015,$B302,Transaksi!$I$16:$I$5015,$C302,Transaksi!$B$16:$B$5015,"&gt;="&amp;DATE(Dashboard!$C$4,5,1),Transaksi!$B$16:$B$5015,"&lt;="&amp;EOMONTH(DATE(Dashboard!$C$4,5,1),0)))</f>
        <v/>
      </c>
      <c r="I302" s="165">
        <f>IF($C302="","",SUMIFS(Transaksi!$F$16:$F$5015,Transaksi!$G$16:$G$5015,$A302,Transaksi!$H$16:$H$5015,$B302,Transaksi!$I$16:$I$5015,$C302,Transaksi!$B$16:$B$5015,"&gt;="&amp;DATE(Dashboard!$C$4,6,1),Transaksi!$B$16:$B$5015,"&lt;="&amp;EOMONTH(DATE(Dashboard!$C$4,6,1),0)))</f>
        <v/>
      </c>
      <c r="J302" s="165">
        <f>IF($C302="","",SUMIFS(Transaksi!$F$16:$F$5015,Transaksi!$G$16:$G$5015,$A302,Transaksi!$H$16:$H$5015,$B302,Transaksi!$I$16:$I$5015,$C302,Transaksi!$B$16:$B$5015,"&gt;="&amp;DATE(Dashboard!$C$4,7,1),Transaksi!$B$16:$B$5015,"&lt;="&amp;EOMONTH(DATE(Dashboard!$C$4,7,1),0)))</f>
        <v/>
      </c>
      <c r="K302" s="165">
        <f>IF($C302="","",SUMIFS(Transaksi!$F$16:$F$5015,Transaksi!$G$16:$G$5015,$A302,Transaksi!$H$16:$H$5015,$B302,Transaksi!$I$16:$I$5015,$C302,Transaksi!$B$16:$B$5015,"&gt;="&amp;DATE(Dashboard!$C$4,8,1),Transaksi!$B$16:$B$5015,"&lt;="&amp;EOMONTH(DATE(Dashboard!$C$4,8,1),0)))</f>
        <v/>
      </c>
      <c r="L302" s="165">
        <f>IF($C302="","",SUMIFS(Transaksi!$F$16:$F$5015,Transaksi!$G$16:$G$5015,$A302,Transaksi!$H$16:$H$5015,$B302,Transaksi!$I$16:$I$5015,$C302,Transaksi!$B$16:$B$5015,"&gt;="&amp;DATE(Dashboard!$C$4,9,1),Transaksi!$B$16:$B$5015,"&lt;="&amp;EOMONTH(DATE(Dashboard!$C$4,9,1),0)))</f>
        <v/>
      </c>
      <c r="M302" s="165">
        <f>IF($C302="","",SUMIFS(Transaksi!$F$16:$F$5015,Transaksi!$G$16:$G$5015,$A302,Transaksi!$H$16:$H$5015,$B302,Transaksi!$I$16:$I$5015,$C302,Transaksi!$B$16:$B$5015,"&gt;="&amp;DATE(Dashboard!$C$4,10,1),Transaksi!$B$16:$B$5015,"&lt;="&amp;EOMONTH(DATE(Dashboard!$C$4,10,1),0)))</f>
        <v/>
      </c>
      <c r="N302" s="165">
        <f>IF($C302="","",SUMIFS(Transaksi!$F$16:$F$5015,Transaksi!$G$16:$G$5015,$A302,Transaksi!$H$16:$H$5015,$B302,Transaksi!$I$16:$I$5015,$C302,Transaksi!$B$16:$B$5015,"&gt;="&amp;DATE(Dashboard!$C$4,11,1),Transaksi!$B$16:$B$5015,"&lt;="&amp;EOMONTH(DATE(Dashboard!$C$4,11,1),0)))</f>
        <v/>
      </c>
      <c r="O302" s="165">
        <f>IF($C302="","",SUMIFS(Transaksi!$F$16:$F$5015,Transaksi!$G$16:$G$5015,$A302,Transaksi!$H$16:$H$5015,$B302,Transaksi!$I$16:$I$5015,$C302,Transaksi!$B$16:$B$5015,"&gt;="&amp;DATE(Dashboard!$C$4,12,1),Transaksi!$B$16:$B$5015,"&lt;="&amp;EOMONTH(DATE(Dashboard!$C$4,12,1),0)))</f>
        <v/>
      </c>
      <c r="P302" s="166">
        <f>IF($C302="","",SUM(D302:O302))</f>
        <v/>
      </c>
    </row>
    <row r="303" ht="15" customHeight="1" s="94">
      <c r="A303" s="164">
        <f>IF(Kategori!C303="","",Kategori!A303)</f>
        <v/>
      </c>
      <c r="B303" s="164">
        <f>IF(Kategori!C303="","",Kategori!B303)</f>
        <v/>
      </c>
      <c r="C303" s="108">
        <f>IF(Kategori!C303="","",Kategori!C303)</f>
        <v/>
      </c>
      <c r="D303" s="165">
        <f>IF($C303="","",SUMIFS(Transaksi!$F$16:$F$5015,Transaksi!$G$16:$G$5015,$A303,Transaksi!$H$16:$H$5015,$B303,Transaksi!$I$16:$I$5015,$C303,Transaksi!$B$16:$B$5015,"&gt;="&amp;DATE(Dashboard!$C$4,1,1),Transaksi!$B$16:$B$5015,"&lt;="&amp;EOMONTH(DATE(Dashboard!$C$4,1,1),0)))</f>
        <v/>
      </c>
      <c r="E303" s="165">
        <f>IF($C303="","",SUMIFS(Transaksi!$F$16:$F$5015,Transaksi!$G$16:$G$5015,$A303,Transaksi!$H$16:$H$5015,$B303,Transaksi!$I$16:$I$5015,$C303,Transaksi!$B$16:$B$5015,"&gt;="&amp;DATE(Dashboard!$C$4,2,1),Transaksi!$B$16:$B$5015,"&lt;="&amp;EOMONTH(DATE(Dashboard!$C$4,2,1),0)))</f>
        <v/>
      </c>
      <c r="F303" s="165">
        <f>IF($C303="","",SUMIFS(Transaksi!$F$16:$F$5015,Transaksi!$G$16:$G$5015,$A303,Transaksi!$H$16:$H$5015,$B303,Transaksi!$I$16:$I$5015,$C303,Transaksi!$B$16:$B$5015,"&gt;="&amp;DATE(Dashboard!$C$4,3,1),Transaksi!$B$16:$B$5015,"&lt;="&amp;EOMONTH(DATE(Dashboard!$C$4,3,1),0)))</f>
        <v/>
      </c>
      <c r="G303" s="165">
        <f>IF($C303="","",SUMIFS(Transaksi!$F$16:$F$5015,Transaksi!$G$16:$G$5015,$A303,Transaksi!$H$16:$H$5015,$B303,Transaksi!$I$16:$I$5015,$C303,Transaksi!$B$16:$B$5015,"&gt;="&amp;DATE(Dashboard!$C$4,4,1),Transaksi!$B$16:$B$5015,"&lt;="&amp;EOMONTH(DATE(Dashboard!$C$4,4,1),0)))</f>
        <v/>
      </c>
      <c r="H303" s="165">
        <f>IF($C303="","",SUMIFS(Transaksi!$F$16:$F$5015,Transaksi!$G$16:$G$5015,$A303,Transaksi!$H$16:$H$5015,$B303,Transaksi!$I$16:$I$5015,$C303,Transaksi!$B$16:$B$5015,"&gt;="&amp;DATE(Dashboard!$C$4,5,1),Transaksi!$B$16:$B$5015,"&lt;="&amp;EOMONTH(DATE(Dashboard!$C$4,5,1),0)))</f>
        <v/>
      </c>
      <c r="I303" s="165">
        <f>IF($C303="","",SUMIFS(Transaksi!$F$16:$F$5015,Transaksi!$G$16:$G$5015,$A303,Transaksi!$H$16:$H$5015,$B303,Transaksi!$I$16:$I$5015,$C303,Transaksi!$B$16:$B$5015,"&gt;="&amp;DATE(Dashboard!$C$4,6,1),Transaksi!$B$16:$B$5015,"&lt;="&amp;EOMONTH(DATE(Dashboard!$C$4,6,1),0)))</f>
        <v/>
      </c>
      <c r="J303" s="165">
        <f>IF($C303="","",SUMIFS(Transaksi!$F$16:$F$5015,Transaksi!$G$16:$G$5015,$A303,Transaksi!$H$16:$H$5015,$B303,Transaksi!$I$16:$I$5015,$C303,Transaksi!$B$16:$B$5015,"&gt;="&amp;DATE(Dashboard!$C$4,7,1),Transaksi!$B$16:$B$5015,"&lt;="&amp;EOMONTH(DATE(Dashboard!$C$4,7,1),0)))</f>
        <v/>
      </c>
      <c r="K303" s="165">
        <f>IF($C303="","",SUMIFS(Transaksi!$F$16:$F$5015,Transaksi!$G$16:$G$5015,$A303,Transaksi!$H$16:$H$5015,$B303,Transaksi!$I$16:$I$5015,$C303,Transaksi!$B$16:$B$5015,"&gt;="&amp;DATE(Dashboard!$C$4,8,1),Transaksi!$B$16:$B$5015,"&lt;="&amp;EOMONTH(DATE(Dashboard!$C$4,8,1),0)))</f>
        <v/>
      </c>
      <c r="L303" s="165">
        <f>IF($C303="","",SUMIFS(Transaksi!$F$16:$F$5015,Transaksi!$G$16:$G$5015,$A303,Transaksi!$H$16:$H$5015,$B303,Transaksi!$I$16:$I$5015,$C303,Transaksi!$B$16:$B$5015,"&gt;="&amp;DATE(Dashboard!$C$4,9,1),Transaksi!$B$16:$B$5015,"&lt;="&amp;EOMONTH(DATE(Dashboard!$C$4,9,1),0)))</f>
        <v/>
      </c>
      <c r="M303" s="165">
        <f>IF($C303="","",SUMIFS(Transaksi!$F$16:$F$5015,Transaksi!$G$16:$G$5015,$A303,Transaksi!$H$16:$H$5015,$B303,Transaksi!$I$16:$I$5015,$C303,Transaksi!$B$16:$B$5015,"&gt;="&amp;DATE(Dashboard!$C$4,10,1),Transaksi!$B$16:$B$5015,"&lt;="&amp;EOMONTH(DATE(Dashboard!$C$4,10,1),0)))</f>
        <v/>
      </c>
      <c r="N303" s="165">
        <f>IF($C303="","",SUMIFS(Transaksi!$F$16:$F$5015,Transaksi!$G$16:$G$5015,$A303,Transaksi!$H$16:$H$5015,$B303,Transaksi!$I$16:$I$5015,$C303,Transaksi!$B$16:$B$5015,"&gt;="&amp;DATE(Dashboard!$C$4,11,1),Transaksi!$B$16:$B$5015,"&lt;="&amp;EOMONTH(DATE(Dashboard!$C$4,11,1),0)))</f>
        <v/>
      </c>
      <c r="O303" s="165">
        <f>IF($C303="","",SUMIFS(Transaksi!$F$16:$F$5015,Transaksi!$G$16:$G$5015,$A303,Transaksi!$H$16:$H$5015,$B303,Transaksi!$I$16:$I$5015,$C303,Transaksi!$B$16:$B$5015,"&gt;="&amp;DATE(Dashboard!$C$4,12,1),Transaksi!$B$16:$B$5015,"&lt;="&amp;EOMONTH(DATE(Dashboard!$C$4,12,1),0)))</f>
        <v/>
      </c>
      <c r="P303" s="166">
        <f>IF($C303="","",SUM(D303:O303))</f>
        <v/>
      </c>
    </row>
    <row r="304" ht="15" customHeight="1" s="94">
      <c r="A304" s="164">
        <f>IF(Kategori!C304="","",Kategori!A304)</f>
        <v/>
      </c>
      <c r="B304" s="164">
        <f>IF(Kategori!C304="","",Kategori!B304)</f>
        <v/>
      </c>
      <c r="C304" s="108">
        <f>IF(Kategori!C304="","",Kategori!C304)</f>
        <v/>
      </c>
      <c r="D304" s="165">
        <f>IF($C304="","",SUMIFS(Transaksi!$F$16:$F$5015,Transaksi!$G$16:$G$5015,$A304,Transaksi!$H$16:$H$5015,$B304,Transaksi!$I$16:$I$5015,$C304,Transaksi!$B$16:$B$5015,"&gt;="&amp;DATE(Dashboard!$C$4,1,1),Transaksi!$B$16:$B$5015,"&lt;="&amp;EOMONTH(DATE(Dashboard!$C$4,1,1),0)))</f>
        <v/>
      </c>
      <c r="E304" s="165">
        <f>IF($C304="","",SUMIFS(Transaksi!$F$16:$F$5015,Transaksi!$G$16:$G$5015,$A304,Transaksi!$H$16:$H$5015,$B304,Transaksi!$I$16:$I$5015,$C304,Transaksi!$B$16:$B$5015,"&gt;="&amp;DATE(Dashboard!$C$4,2,1),Transaksi!$B$16:$B$5015,"&lt;="&amp;EOMONTH(DATE(Dashboard!$C$4,2,1),0)))</f>
        <v/>
      </c>
      <c r="F304" s="165">
        <f>IF($C304="","",SUMIFS(Transaksi!$F$16:$F$5015,Transaksi!$G$16:$G$5015,$A304,Transaksi!$H$16:$H$5015,$B304,Transaksi!$I$16:$I$5015,$C304,Transaksi!$B$16:$B$5015,"&gt;="&amp;DATE(Dashboard!$C$4,3,1),Transaksi!$B$16:$B$5015,"&lt;="&amp;EOMONTH(DATE(Dashboard!$C$4,3,1),0)))</f>
        <v/>
      </c>
      <c r="G304" s="165">
        <f>IF($C304="","",SUMIFS(Transaksi!$F$16:$F$5015,Transaksi!$G$16:$G$5015,$A304,Transaksi!$H$16:$H$5015,$B304,Transaksi!$I$16:$I$5015,$C304,Transaksi!$B$16:$B$5015,"&gt;="&amp;DATE(Dashboard!$C$4,4,1),Transaksi!$B$16:$B$5015,"&lt;="&amp;EOMONTH(DATE(Dashboard!$C$4,4,1),0)))</f>
        <v/>
      </c>
      <c r="H304" s="165">
        <f>IF($C304="","",SUMIFS(Transaksi!$F$16:$F$5015,Transaksi!$G$16:$G$5015,$A304,Transaksi!$H$16:$H$5015,$B304,Transaksi!$I$16:$I$5015,$C304,Transaksi!$B$16:$B$5015,"&gt;="&amp;DATE(Dashboard!$C$4,5,1),Transaksi!$B$16:$B$5015,"&lt;="&amp;EOMONTH(DATE(Dashboard!$C$4,5,1),0)))</f>
        <v/>
      </c>
      <c r="I304" s="165">
        <f>IF($C304="","",SUMIFS(Transaksi!$F$16:$F$5015,Transaksi!$G$16:$G$5015,$A304,Transaksi!$H$16:$H$5015,$B304,Transaksi!$I$16:$I$5015,$C304,Transaksi!$B$16:$B$5015,"&gt;="&amp;DATE(Dashboard!$C$4,6,1),Transaksi!$B$16:$B$5015,"&lt;="&amp;EOMONTH(DATE(Dashboard!$C$4,6,1),0)))</f>
        <v/>
      </c>
      <c r="J304" s="165">
        <f>IF($C304="","",SUMIFS(Transaksi!$F$16:$F$5015,Transaksi!$G$16:$G$5015,$A304,Transaksi!$H$16:$H$5015,$B304,Transaksi!$I$16:$I$5015,$C304,Transaksi!$B$16:$B$5015,"&gt;="&amp;DATE(Dashboard!$C$4,7,1),Transaksi!$B$16:$B$5015,"&lt;="&amp;EOMONTH(DATE(Dashboard!$C$4,7,1),0)))</f>
        <v/>
      </c>
      <c r="K304" s="165">
        <f>IF($C304="","",SUMIFS(Transaksi!$F$16:$F$5015,Transaksi!$G$16:$G$5015,$A304,Transaksi!$H$16:$H$5015,$B304,Transaksi!$I$16:$I$5015,$C304,Transaksi!$B$16:$B$5015,"&gt;="&amp;DATE(Dashboard!$C$4,8,1),Transaksi!$B$16:$B$5015,"&lt;="&amp;EOMONTH(DATE(Dashboard!$C$4,8,1),0)))</f>
        <v/>
      </c>
      <c r="L304" s="165">
        <f>IF($C304="","",SUMIFS(Transaksi!$F$16:$F$5015,Transaksi!$G$16:$G$5015,$A304,Transaksi!$H$16:$H$5015,$B304,Transaksi!$I$16:$I$5015,$C304,Transaksi!$B$16:$B$5015,"&gt;="&amp;DATE(Dashboard!$C$4,9,1),Transaksi!$B$16:$B$5015,"&lt;="&amp;EOMONTH(DATE(Dashboard!$C$4,9,1),0)))</f>
        <v/>
      </c>
      <c r="M304" s="165">
        <f>IF($C304="","",SUMIFS(Transaksi!$F$16:$F$5015,Transaksi!$G$16:$G$5015,$A304,Transaksi!$H$16:$H$5015,$B304,Transaksi!$I$16:$I$5015,$C304,Transaksi!$B$16:$B$5015,"&gt;="&amp;DATE(Dashboard!$C$4,10,1),Transaksi!$B$16:$B$5015,"&lt;="&amp;EOMONTH(DATE(Dashboard!$C$4,10,1),0)))</f>
        <v/>
      </c>
      <c r="N304" s="165">
        <f>IF($C304="","",SUMIFS(Transaksi!$F$16:$F$5015,Transaksi!$G$16:$G$5015,$A304,Transaksi!$H$16:$H$5015,$B304,Transaksi!$I$16:$I$5015,$C304,Transaksi!$B$16:$B$5015,"&gt;="&amp;DATE(Dashboard!$C$4,11,1),Transaksi!$B$16:$B$5015,"&lt;="&amp;EOMONTH(DATE(Dashboard!$C$4,11,1),0)))</f>
        <v/>
      </c>
      <c r="O304" s="165">
        <f>IF($C304="","",SUMIFS(Transaksi!$F$16:$F$5015,Transaksi!$G$16:$G$5015,$A304,Transaksi!$H$16:$H$5015,$B304,Transaksi!$I$16:$I$5015,$C304,Transaksi!$B$16:$B$5015,"&gt;="&amp;DATE(Dashboard!$C$4,12,1),Transaksi!$B$16:$B$5015,"&lt;="&amp;EOMONTH(DATE(Dashboard!$C$4,12,1),0)))</f>
        <v/>
      </c>
      <c r="P304" s="166">
        <f>IF($C304="","",SUM(D304:O304))</f>
        <v/>
      </c>
    </row>
  </sheetData>
  <autoFilter ref="A4:P304"/>
  <mergeCells count="2">
    <mergeCell ref="A1:P1"/>
    <mergeCell ref="A2:P2"/>
  </mergeCells>
  <conditionalFormatting sqref="A5:P304">
    <cfRule type="expression" rank="0" priority="2" equalAverage="0" aboveAverage="0" dxfId="14" text="" percent="0" bottom="0">
      <formula>$A5="Pendapatan"</formula>
    </cfRule>
    <cfRule type="expression" rank="0" priority="3" equalAverage="0" aboveAverage="0" dxfId="15" text="" percent="0" bottom="0">
      <formula>$A5="Pengeluaran"</formula>
    </cfRule>
    <cfRule type="expression" rank="0" priority="4" equalAverage="0" aboveAverage="0" dxfId="16" text="" percent="0" bottom="0">
      <formula>$A5="Pindah Uang"</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G229"/>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7421875" defaultRowHeight="15" zeroHeight="0" outlineLevelRow="0"/>
  <cols>
    <col width="11.97" customWidth="1" style="93" min="1" max="1"/>
    <col width="13.99" customWidth="1" style="93" min="2" max="2"/>
    <col width="16.95" customWidth="1" style="93" min="3" max="4"/>
    <col width="18.96" customWidth="1" style="93" min="5" max="6"/>
    <col width="16.95" customWidth="1" style="93" min="7" max="7"/>
  </cols>
  <sheetData>
    <row r="1" ht="30" customHeight="1" s="94">
      <c r="A1" s="95" t="inlineStr">
        <is>
          <t>REKAP BULANAN &amp; TAHUNAN 2024–2040</t>
        </is>
      </c>
    </row>
    <row r="2" ht="30" customHeight="1" s="94">
      <c r="A2" s="98" t="inlineStr">
        <is>
          <t>Pendapatan, pengeluaran, dan selisih setiap bulan dan tahun.</t>
        </is>
      </c>
    </row>
    <row r="3"/>
    <row r="4" ht="24.75" customHeight="1" s="94">
      <c r="A4" s="103" t="inlineStr">
        <is>
          <t>Tahun</t>
        </is>
      </c>
      <c r="B4" s="103" t="inlineStr">
        <is>
          <t>Bulan</t>
        </is>
      </c>
      <c r="C4" s="103" t="inlineStr">
        <is>
          <t>Pendapatan</t>
        </is>
      </c>
      <c r="D4" s="103" t="inlineStr">
        <is>
          <t>Pengeluaran</t>
        </is>
      </c>
      <c r="E4" s="103" t="inlineStr">
        <is>
          <t>Selisih (sebelum tabungan)</t>
        </is>
      </c>
      <c r="F4" s="103" t="inlineStr">
        <is>
          <t>Uang mama (masuk − keluar)</t>
        </is>
      </c>
      <c r="G4" s="103" t="inlineStr">
        <is>
          <t>Ditabung (bersih)</t>
        </is>
      </c>
    </row>
    <row r="5" ht="15" customHeight="1" s="94">
      <c r="A5" s="164" t="n">
        <v>2024</v>
      </c>
      <c r="B5" s="164" t="inlineStr">
        <is>
          <t>Jan</t>
        </is>
      </c>
      <c r="C5" s="165">
        <f>SUMIFS(Transaksi!$F$16:$F$5015,Transaksi!$G$16:$G$5015,"Pendapatan",Transaksi!$B$16:$B$5015,"&gt;="&amp;DATE(2024,1,1),Transaksi!$B$16:$B$5015,"&lt;="&amp;EOMONTH(DATE(2024,1,1),0))</f>
        <v/>
      </c>
      <c r="D5" s="165">
        <f>SUMIFS(Transaksi!$F$16:$F$5015,Transaksi!$G$16:$G$5015,"Pengeluaran",Transaksi!$B$16:$B$5015,"&gt;="&amp;DATE(2024,1,1),Transaksi!$B$16:$B$5015,"&lt;="&amp;EOMONTH(DATE(2024,1,1),0))</f>
        <v/>
      </c>
      <c r="E5" s="166">
        <f>C5-D5</f>
        <v/>
      </c>
      <c r="F5" s="165">
        <f>(SUMIFS(Transaksi!$F$16:$F$5015,Transaksi!$G$16:$G$5015,"Pendapatan",Transaksi!$B$16:$B$5015,"&gt;="&amp;DATE(2024,1,1),Transaksi!$B$16:$B$5015,"&lt;="&amp;EOMONTH(DATE(2024,1,1),0),Transaksi!$H$16:$H$5015,"Uang Kos Mama")+SUMIFS(Transaksi!$F$16:$F$5015,Transaksi!$G$16:$G$5015,"Pendapatan",Transaksi!$B$16:$B$5015,"&gt;="&amp;DATE(2024,1,1),Transaksi!$B$16:$B$5015,"&lt;="&amp;EOMONTH(DATE(2024,1,1),0),Transaksi!$H$16:$H$5015,"Uang Kedai"))-(SUMIFS(Transaksi!$F$16:$F$5015,Transaksi!$G$16:$G$5015,"Pengeluaran",Transaksi!$B$16:$B$5015,"&gt;="&amp;DATE(2024,1,1),Transaksi!$B$16:$B$5015,"&lt;="&amp;EOMONTH(DATE(2024,1,1),0),Transaksi!$H$16:$H$5015,"Pengeluaran Uang Kos")+SUMIFS(Transaksi!$F$16:$F$5015,Transaksi!$G$16:$G$5015,"Pengeluaran",Transaksi!$B$16:$B$5015,"&gt;="&amp;DATE(2024,1,1),Transaksi!$B$16:$B$5015,"&lt;="&amp;EOMONTH(DATE(2024,1,1),0),Transaksi!$H$16:$H$5015,"Pengeluaran Uang Kedai")+(SUMIFS(Transaksi!$F$16:$F$5015,Transaksi!$G$16:$G$5015,"Tabungan",Transaksi!$D$16:$D$5015,"Keluar",Transaksi!$H$16:$H$5015,"Reksadana uang kos mama",Transaksi!$B$16:$B$5015,"&gt;="&amp;DATE(2024,1,1),Transaksi!$B$16:$B$5015,"&lt;="&amp;EOMONTH(DATE(2024,1,1),0))-SUMIFS(Transaksi!$F$16:$F$5015,Transaksi!$G$16:$G$5015,"Tabungan",Transaksi!$D$16:$D$5015,"Masuk",Transaksi!$H$16:$H$5015,"Reksadana uang kos mama",Transaksi!$B$16:$B$5015,"&gt;="&amp;DATE(2024,1,1),Transaksi!$B$16:$B$5015,"&lt;="&amp;EOMONTH(DATE(2024,1,1),0))))</f>
        <v/>
      </c>
      <c r="G5" s="165">
        <f>(SUMIFS(Transaksi!$F$16:$F$5015,Transaksi!$G$16:$G$5015,"Tabungan",Transaksi!$D$16:$D$5015,"Keluar",Transaksi!$H$16:$H$5015,"&lt;&gt;Reksadana uang kos mama",Transaksi!$B$16:$B$5015,"&gt;="&amp;DATE(2024,1,1),Transaksi!$B$16:$B$5015,"&lt;="&amp;EOMONTH(DATE(2024,1,1),0))-SUMIFS(Transaksi!$F$16:$F$5015,Transaksi!$G$16:$G$5015,"Tabungan",Transaksi!$D$16:$D$5015,"Masuk",Transaksi!$H$16:$H$5015,"&lt;&gt;Reksadana uang kos mama",Transaksi!$B$16:$B$5015,"&gt;="&amp;DATE(2024,1,1),Transaksi!$B$16:$B$5015,"&lt;="&amp;EOMONTH(DATE(2024,1,1),0)))</f>
        <v/>
      </c>
    </row>
    <row r="6" ht="15" customHeight="1" s="94">
      <c r="A6" s="164" t="n">
        <v>2024</v>
      </c>
      <c r="B6" s="164" t="inlineStr">
        <is>
          <t>Feb</t>
        </is>
      </c>
      <c r="C6" s="165">
        <f>SUMIFS(Transaksi!$F$16:$F$5015,Transaksi!$G$16:$G$5015,"Pendapatan",Transaksi!$B$16:$B$5015,"&gt;="&amp;DATE(2024,2,1),Transaksi!$B$16:$B$5015,"&lt;="&amp;EOMONTH(DATE(2024,2,1),0))</f>
        <v/>
      </c>
      <c r="D6" s="165">
        <f>SUMIFS(Transaksi!$F$16:$F$5015,Transaksi!$G$16:$G$5015,"Pengeluaran",Transaksi!$B$16:$B$5015,"&gt;="&amp;DATE(2024,2,1),Transaksi!$B$16:$B$5015,"&lt;="&amp;EOMONTH(DATE(2024,2,1),0))</f>
        <v/>
      </c>
      <c r="E6" s="166">
        <f>C6-D6</f>
        <v/>
      </c>
      <c r="F6" s="165">
        <f>(SUMIFS(Transaksi!$F$16:$F$5015,Transaksi!$G$16:$G$5015,"Pendapatan",Transaksi!$B$16:$B$5015,"&gt;="&amp;DATE(2024,2,1),Transaksi!$B$16:$B$5015,"&lt;="&amp;EOMONTH(DATE(2024,2,1),0),Transaksi!$H$16:$H$5015,"Uang Kos Mama")+SUMIFS(Transaksi!$F$16:$F$5015,Transaksi!$G$16:$G$5015,"Pendapatan",Transaksi!$B$16:$B$5015,"&gt;="&amp;DATE(2024,2,1),Transaksi!$B$16:$B$5015,"&lt;="&amp;EOMONTH(DATE(2024,2,1),0),Transaksi!$H$16:$H$5015,"Uang Kedai"))-(SUMIFS(Transaksi!$F$16:$F$5015,Transaksi!$G$16:$G$5015,"Pengeluaran",Transaksi!$B$16:$B$5015,"&gt;="&amp;DATE(2024,2,1),Transaksi!$B$16:$B$5015,"&lt;="&amp;EOMONTH(DATE(2024,2,1),0),Transaksi!$H$16:$H$5015,"Pengeluaran Uang Kos")+SUMIFS(Transaksi!$F$16:$F$5015,Transaksi!$G$16:$G$5015,"Pengeluaran",Transaksi!$B$16:$B$5015,"&gt;="&amp;DATE(2024,2,1),Transaksi!$B$16:$B$5015,"&lt;="&amp;EOMONTH(DATE(2024,2,1),0),Transaksi!$H$16:$H$5015,"Pengeluaran Uang Kedai")+(SUMIFS(Transaksi!$F$16:$F$5015,Transaksi!$G$16:$G$5015,"Tabungan",Transaksi!$D$16:$D$5015,"Keluar",Transaksi!$H$16:$H$5015,"Reksadana uang kos mama",Transaksi!$B$16:$B$5015,"&gt;="&amp;DATE(2024,2,1),Transaksi!$B$16:$B$5015,"&lt;="&amp;EOMONTH(DATE(2024,2,1),0))-SUMIFS(Transaksi!$F$16:$F$5015,Transaksi!$G$16:$G$5015,"Tabungan",Transaksi!$D$16:$D$5015,"Masuk",Transaksi!$H$16:$H$5015,"Reksadana uang kos mama",Transaksi!$B$16:$B$5015,"&gt;="&amp;DATE(2024,2,1),Transaksi!$B$16:$B$5015,"&lt;="&amp;EOMONTH(DATE(2024,2,1),0))))</f>
        <v/>
      </c>
      <c r="G6" s="165">
        <f>(SUMIFS(Transaksi!$F$16:$F$5015,Transaksi!$G$16:$G$5015,"Tabungan",Transaksi!$D$16:$D$5015,"Keluar",Transaksi!$H$16:$H$5015,"&lt;&gt;Reksadana uang kos mama",Transaksi!$B$16:$B$5015,"&gt;="&amp;DATE(2024,2,1),Transaksi!$B$16:$B$5015,"&lt;="&amp;EOMONTH(DATE(2024,2,1),0))-SUMIFS(Transaksi!$F$16:$F$5015,Transaksi!$G$16:$G$5015,"Tabungan",Transaksi!$D$16:$D$5015,"Masuk",Transaksi!$H$16:$H$5015,"&lt;&gt;Reksadana uang kos mama",Transaksi!$B$16:$B$5015,"&gt;="&amp;DATE(2024,2,1),Transaksi!$B$16:$B$5015,"&lt;="&amp;EOMONTH(DATE(2024,2,1),0)))</f>
        <v/>
      </c>
    </row>
    <row r="7" ht="15" customHeight="1" s="94">
      <c r="A7" s="164" t="n">
        <v>2024</v>
      </c>
      <c r="B7" s="164" t="inlineStr">
        <is>
          <t>Mar</t>
        </is>
      </c>
      <c r="C7" s="165">
        <f>SUMIFS(Transaksi!$F$16:$F$5015,Transaksi!$G$16:$G$5015,"Pendapatan",Transaksi!$B$16:$B$5015,"&gt;="&amp;DATE(2024,3,1),Transaksi!$B$16:$B$5015,"&lt;="&amp;EOMONTH(DATE(2024,3,1),0))</f>
        <v/>
      </c>
      <c r="D7" s="165">
        <f>SUMIFS(Transaksi!$F$16:$F$5015,Transaksi!$G$16:$G$5015,"Pengeluaran",Transaksi!$B$16:$B$5015,"&gt;="&amp;DATE(2024,3,1),Transaksi!$B$16:$B$5015,"&lt;="&amp;EOMONTH(DATE(2024,3,1),0))</f>
        <v/>
      </c>
      <c r="E7" s="166">
        <f>C7-D7</f>
        <v/>
      </c>
      <c r="F7" s="165">
        <f>(SUMIFS(Transaksi!$F$16:$F$5015,Transaksi!$G$16:$G$5015,"Pendapatan",Transaksi!$B$16:$B$5015,"&gt;="&amp;DATE(2024,3,1),Transaksi!$B$16:$B$5015,"&lt;="&amp;EOMONTH(DATE(2024,3,1),0),Transaksi!$H$16:$H$5015,"Uang Kos Mama")+SUMIFS(Transaksi!$F$16:$F$5015,Transaksi!$G$16:$G$5015,"Pendapatan",Transaksi!$B$16:$B$5015,"&gt;="&amp;DATE(2024,3,1),Transaksi!$B$16:$B$5015,"&lt;="&amp;EOMONTH(DATE(2024,3,1),0),Transaksi!$H$16:$H$5015,"Uang Kedai"))-(SUMIFS(Transaksi!$F$16:$F$5015,Transaksi!$G$16:$G$5015,"Pengeluaran",Transaksi!$B$16:$B$5015,"&gt;="&amp;DATE(2024,3,1),Transaksi!$B$16:$B$5015,"&lt;="&amp;EOMONTH(DATE(2024,3,1),0),Transaksi!$H$16:$H$5015,"Pengeluaran Uang Kos")+SUMIFS(Transaksi!$F$16:$F$5015,Transaksi!$G$16:$G$5015,"Pengeluaran",Transaksi!$B$16:$B$5015,"&gt;="&amp;DATE(2024,3,1),Transaksi!$B$16:$B$5015,"&lt;="&amp;EOMONTH(DATE(2024,3,1),0),Transaksi!$H$16:$H$5015,"Pengeluaran Uang Kedai")+(SUMIFS(Transaksi!$F$16:$F$5015,Transaksi!$G$16:$G$5015,"Tabungan",Transaksi!$D$16:$D$5015,"Keluar",Transaksi!$H$16:$H$5015,"Reksadana uang kos mama",Transaksi!$B$16:$B$5015,"&gt;="&amp;DATE(2024,3,1),Transaksi!$B$16:$B$5015,"&lt;="&amp;EOMONTH(DATE(2024,3,1),0))-SUMIFS(Transaksi!$F$16:$F$5015,Transaksi!$G$16:$G$5015,"Tabungan",Transaksi!$D$16:$D$5015,"Masuk",Transaksi!$H$16:$H$5015,"Reksadana uang kos mama",Transaksi!$B$16:$B$5015,"&gt;="&amp;DATE(2024,3,1),Transaksi!$B$16:$B$5015,"&lt;="&amp;EOMONTH(DATE(2024,3,1),0))))</f>
        <v/>
      </c>
      <c r="G7" s="165">
        <f>(SUMIFS(Transaksi!$F$16:$F$5015,Transaksi!$G$16:$G$5015,"Tabungan",Transaksi!$D$16:$D$5015,"Keluar",Transaksi!$H$16:$H$5015,"&lt;&gt;Reksadana uang kos mama",Transaksi!$B$16:$B$5015,"&gt;="&amp;DATE(2024,3,1),Transaksi!$B$16:$B$5015,"&lt;="&amp;EOMONTH(DATE(2024,3,1),0))-SUMIFS(Transaksi!$F$16:$F$5015,Transaksi!$G$16:$G$5015,"Tabungan",Transaksi!$D$16:$D$5015,"Masuk",Transaksi!$H$16:$H$5015,"&lt;&gt;Reksadana uang kos mama",Transaksi!$B$16:$B$5015,"&gt;="&amp;DATE(2024,3,1),Transaksi!$B$16:$B$5015,"&lt;="&amp;EOMONTH(DATE(2024,3,1),0)))</f>
        <v/>
      </c>
    </row>
    <row r="8" ht="15" customHeight="1" s="94">
      <c r="A8" s="164" t="n">
        <v>2024</v>
      </c>
      <c r="B8" s="164" t="inlineStr">
        <is>
          <t>Apr</t>
        </is>
      </c>
      <c r="C8" s="165">
        <f>SUMIFS(Transaksi!$F$16:$F$5015,Transaksi!$G$16:$G$5015,"Pendapatan",Transaksi!$B$16:$B$5015,"&gt;="&amp;DATE(2024,4,1),Transaksi!$B$16:$B$5015,"&lt;="&amp;EOMONTH(DATE(2024,4,1),0))</f>
        <v/>
      </c>
      <c r="D8" s="165">
        <f>SUMIFS(Transaksi!$F$16:$F$5015,Transaksi!$G$16:$G$5015,"Pengeluaran",Transaksi!$B$16:$B$5015,"&gt;="&amp;DATE(2024,4,1),Transaksi!$B$16:$B$5015,"&lt;="&amp;EOMONTH(DATE(2024,4,1),0))</f>
        <v/>
      </c>
      <c r="E8" s="166">
        <f>C8-D8</f>
        <v/>
      </c>
      <c r="F8" s="165">
        <f>(SUMIFS(Transaksi!$F$16:$F$5015,Transaksi!$G$16:$G$5015,"Pendapatan",Transaksi!$B$16:$B$5015,"&gt;="&amp;DATE(2024,4,1),Transaksi!$B$16:$B$5015,"&lt;="&amp;EOMONTH(DATE(2024,4,1),0),Transaksi!$H$16:$H$5015,"Uang Kos Mama")+SUMIFS(Transaksi!$F$16:$F$5015,Transaksi!$G$16:$G$5015,"Pendapatan",Transaksi!$B$16:$B$5015,"&gt;="&amp;DATE(2024,4,1),Transaksi!$B$16:$B$5015,"&lt;="&amp;EOMONTH(DATE(2024,4,1),0),Transaksi!$H$16:$H$5015,"Uang Kedai"))-(SUMIFS(Transaksi!$F$16:$F$5015,Transaksi!$G$16:$G$5015,"Pengeluaran",Transaksi!$B$16:$B$5015,"&gt;="&amp;DATE(2024,4,1),Transaksi!$B$16:$B$5015,"&lt;="&amp;EOMONTH(DATE(2024,4,1),0),Transaksi!$H$16:$H$5015,"Pengeluaran Uang Kos")+SUMIFS(Transaksi!$F$16:$F$5015,Transaksi!$G$16:$G$5015,"Pengeluaran",Transaksi!$B$16:$B$5015,"&gt;="&amp;DATE(2024,4,1),Transaksi!$B$16:$B$5015,"&lt;="&amp;EOMONTH(DATE(2024,4,1),0),Transaksi!$H$16:$H$5015,"Pengeluaran Uang Kedai")+(SUMIFS(Transaksi!$F$16:$F$5015,Transaksi!$G$16:$G$5015,"Tabungan",Transaksi!$D$16:$D$5015,"Keluar",Transaksi!$H$16:$H$5015,"Reksadana uang kos mama",Transaksi!$B$16:$B$5015,"&gt;="&amp;DATE(2024,4,1),Transaksi!$B$16:$B$5015,"&lt;="&amp;EOMONTH(DATE(2024,4,1),0))-SUMIFS(Transaksi!$F$16:$F$5015,Transaksi!$G$16:$G$5015,"Tabungan",Transaksi!$D$16:$D$5015,"Masuk",Transaksi!$H$16:$H$5015,"Reksadana uang kos mama",Transaksi!$B$16:$B$5015,"&gt;="&amp;DATE(2024,4,1),Transaksi!$B$16:$B$5015,"&lt;="&amp;EOMONTH(DATE(2024,4,1),0))))</f>
        <v/>
      </c>
      <c r="G8" s="165">
        <f>(SUMIFS(Transaksi!$F$16:$F$5015,Transaksi!$G$16:$G$5015,"Tabungan",Transaksi!$D$16:$D$5015,"Keluar",Transaksi!$H$16:$H$5015,"&lt;&gt;Reksadana uang kos mama",Transaksi!$B$16:$B$5015,"&gt;="&amp;DATE(2024,4,1),Transaksi!$B$16:$B$5015,"&lt;="&amp;EOMONTH(DATE(2024,4,1),0))-SUMIFS(Transaksi!$F$16:$F$5015,Transaksi!$G$16:$G$5015,"Tabungan",Transaksi!$D$16:$D$5015,"Masuk",Transaksi!$H$16:$H$5015,"&lt;&gt;Reksadana uang kos mama",Transaksi!$B$16:$B$5015,"&gt;="&amp;DATE(2024,4,1),Transaksi!$B$16:$B$5015,"&lt;="&amp;EOMONTH(DATE(2024,4,1),0)))</f>
        <v/>
      </c>
    </row>
    <row r="9" ht="15" customHeight="1" s="94">
      <c r="A9" s="164" t="n">
        <v>2024</v>
      </c>
      <c r="B9" s="164" t="inlineStr">
        <is>
          <t>Mei</t>
        </is>
      </c>
      <c r="C9" s="165">
        <f>SUMIFS(Transaksi!$F$16:$F$5015,Transaksi!$G$16:$G$5015,"Pendapatan",Transaksi!$B$16:$B$5015,"&gt;="&amp;DATE(2024,5,1),Transaksi!$B$16:$B$5015,"&lt;="&amp;EOMONTH(DATE(2024,5,1),0))</f>
        <v/>
      </c>
      <c r="D9" s="165">
        <f>SUMIFS(Transaksi!$F$16:$F$5015,Transaksi!$G$16:$G$5015,"Pengeluaran",Transaksi!$B$16:$B$5015,"&gt;="&amp;DATE(2024,5,1),Transaksi!$B$16:$B$5015,"&lt;="&amp;EOMONTH(DATE(2024,5,1),0))</f>
        <v/>
      </c>
      <c r="E9" s="166">
        <f>C9-D9</f>
        <v/>
      </c>
      <c r="F9" s="165">
        <f>(SUMIFS(Transaksi!$F$16:$F$5015,Transaksi!$G$16:$G$5015,"Pendapatan",Transaksi!$B$16:$B$5015,"&gt;="&amp;DATE(2024,5,1),Transaksi!$B$16:$B$5015,"&lt;="&amp;EOMONTH(DATE(2024,5,1),0),Transaksi!$H$16:$H$5015,"Uang Kos Mama")+SUMIFS(Transaksi!$F$16:$F$5015,Transaksi!$G$16:$G$5015,"Pendapatan",Transaksi!$B$16:$B$5015,"&gt;="&amp;DATE(2024,5,1),Transaksi!$B$16:$B$5015,"&lt;="&amp;EOMONTH(DATE(2024,5,1),0),Transaksi!$H$16:$H$5015,"Uang Kedai"))-(SUMIFS(Transaksi!$F$16:$F$5015,Transaksi!$G$16:$G$5015,"Pengeluaran",Transaksi!$B$16:$B$5015,"&gt;="&amp;DATE(2024,5,1),Transaksi!$B$16:$B$5015,"&lt;="&amp;EOMONTH(DATE(2024,5,1),0),Transaksi!$H$16:$H$5015,"Pengeluaran Uang Kos")+SUMIFS(Transaksi!$F$16:$F$5015,Transaksi!$G$16:$G$5015,"Pengeluaran",Transaksi!$B$16:$B$5015,"&gt;="&amp;DATE(2024,5,1),Transaksi!$B$16:$B$5015,"&lt;="&amp;EOMONTH(DATE(2024,5,1),0),Transaksi!$H$16:$H$5015,"Pengeluaran Uang Kedai")+(SUMIFS(Transaksi!$F$16:$F$5015,Transaksi!$G$16:$G$5015,"Tabungan",Transaksi!$D$16:$D$5015,"Keluar",Transaksi!$H$16:$H$5015,"Reksadana uang kos mama",Transaksi!$B$16:$B$5015,"&gt;="&amp;DATE(2024,5,1),Transaksi!$B$16:$B$5015,"&lt;="&amp;EOMONTH(DATE(2024,5,1),0))-SUMIFS(Transaksi!$F$16:$F$5015,Transaksi!$G$16:$G$5015,"Tabungan",Transaksi!$D$16:$D$5015,"Masuk",Transaksi!$H$16:$H$5015,"Reksadana uang kos mama",Transaksi!$B$16:$B$5015,"&gt;="&amp;DATE(2024,5,1),Transaksi!$B$16:$B$5015,"&lt;="&amp;EOMONTH(DATE(2024,5,1),0))))</f>
        <v/>
      </c>
      <c r="G9" s="165">
        <f>(SUMIFS(Transaksi!$F$16:$F$5015,Transaksi!$G$16:$G$5015,"Tabungan",Transaksi!$D$16:$D$5015,"Keluar",Transaksi!$H$16:$H$5015,"&lt;&gt;Reksadana uang kos mama",Transaksi!$B$16:$B$5015,"&gt;="&amp;DATE(2024,5,1),Transaksi!$B$16:$B$5015,"&lt;="&amp;EOMONTH(DATE(2024,5,1),0))-SUMIFS(Transaksi!$F$16:$F$5015,Transaksi!$G$16:$G$5015,"Tabungan",Transaksi!$D$16:$D$5015,"Masuk",Transaksi!$H$16:$H$5015,"&lt;&gt;Reksadana uang kos mama",Transaksi!$B$16:$B$5015,"&gt;="&amp;DATE(2024,5,1),Transaksi!$B$16:$B$5015,"&lt;="&amp;EOMONTH(DATE(2024,5,1),0)))</f>
        <v/>
      </c>
    </row>
    <row r="10" ht="15" customHeight="1" s="94">
      <c r="A10" s="164" t="n">
        <v>2024</v>
      </c>
      <c r="B10" s="164" t="inlineStr">
        <is>
          <t>Jun</t>
        </is>
      </c>
      <c r="C10" s="165">
        <f>SUMIFS(Transaksi!$F$16:$F$5015,Transaksi!$G$16:$G$5015,"Pendapatan",Transaksi!$B$16:$B$5015,"&gt;="&amp;DATE(2024,6,1),Transaksi!$B$16:$B$5015,"&lt;="&amp;EOMONTH(DATE(2024,6,1),0))</f>
        <v/>
      </c>
      <c r="D10" s="165">
        <f>SUMIFS(Transaksi!$F$16:$F$5015,Transaksi!$G$16:$G$5015,"Pengeluaran",Transaksi!$B$16:$B$5015,"&gt;="&amp;DATE(2024,6,1),Transaksi!$B$16:$B$5015,"&lt;="&amp;EOMONTH(DATE(2024,6,1),0))</f>
        <v/>
      </c>
      <c r="E10" s="166">
        <f>C10-D10</f>
        <v/>
      </c>
      <c r="F10" s="165">
        <f>(SUMIFS(Transaksi!$F$16:$F$5015,Transaksi!$G$16:$G$5015,"Pendapatan",Transaksi!$B$16:$B$5015,"&gt;="&amp;DATE(2024,6,1),Transaksi!$B$16:$B$5015,"&lt;="&amp;EOMONTH(DATE(2024,6,1),0),Transaksi!$H$16:$H$5015,"Uang Kos Mama")+SUMIFS(Transaksi!$F$16:$F$5015,Transaksi!$G$16:$G$5015,"Pendapatan",Transaksi!$B$16:$B$5015,"&gt;="&amp;DATE(2024,6,1),Transaksi!$B$16:$B$5015,"&lt;="&amp;EOMONTH(DATE(2024,6,1),0),Transaksi!$H$16:$H$5015,"Uang Kedai"))-(SUMIFS(Transaksi!$F$16:$F$5015,Transaksi!$G$16:$G$5015,"Pengeluaran",Transaksi!$B$16:$B$5015,"&gt;="&amp;DATE(2024,6,1),Transaksi!$B$16:$B$5015,"&lt;="&amp;EOMONTH(DATE(2024,6,1),0),Transaksi!$H$16:$H$5015,"Pengeluaran Uang Kos")+SUMIFS(Transaksi!$F$16:$F$5015,Transaksi!$G$16:$G$5015,"Pengeluaran",Transaksi!$B$16:$B$5015,"&gt;="&amp;DATE(2024,6,1),Transaksi!$B$16:$B$5015,"&lt;="&amp;EOMONTH(DATE(2024,6,1),0),Transaksi!$H$16:$H$5015,"Pengeluaran Uang Kedai")+(SUMIFS(Transaksi!$F$16:$F$5015,Transaksi!$G$16:$G$5015,"Tabungan",Transaksi!$D$16:$D$5015,"Keluar",Transaksi!$H$16:$H$5015,"Reksadana uang kos mama",Transaksi!$B$16:$B$5015,"&gt;="&amp;DATE(2024,6,1),Transaksi!$B$16:$B$5015,"&lt;="&amp;EOMONTH(DATE(2024,6,1),0))-SUMIFS(Transaksi!$F$16:$F$5015,Transaksi!$G$16:$G$5015,"Tabungan",Transaksi!$D$16:$D$5015,"Masuk",Transaksi!$H$16:$H$5015,"Reksadana uang kos mama",Transaksi!$B$16:$B$5015,"&gt;="&amp;DATE(2024,6,1),Transaksi!$B$16:$B$5015,"&lt;="&amp;EOMONTH(DATE(2024,6,1),0))))</f>
        <v/>
      </c>
      <c r="G10" s="165">
        <f>(SUMIFS(Transaksi!$F$16:$F$5015,Transaksi!$G$16:$G$5015,"Tabungan",Transaksi!$D$16:$D$5015,"Keluar",Transaksi!$H$16:$H$5015,"&lt;&gt;Reksadana uang kos mama",Transaksi!$B$16:$B$5015,"&gt;="&amp;DATE(2024,6,1),Transaksi!$B$16:$B$5015,"&lt;="&amp;EOMONTH(DATE(2024,6,1),0))-SUMIFS(Transaksi!$F$16:$F$5015,Transaksi!$G$16:$G$5015,"Tabungan",Transaksi!$D$16:$D$5015,"Masuk",Transaksi!$H$16:$H$5015,"&lt;&gt;Reksadana uang kos mama",Transaksi!$B$16:$B$5015,"&gt;="&amp;DATE(2024,6,1),Transaksi!$B$16:$B$5015,"&lt;="&amp;EOMONTH(DATE(2024,6,1),0)))</f>
        <v/>
      </c>
    </row>
    <row r="11" ht="15" customHeight="1" s="94">
      <c r="A11" s="164" t="n">
        <v>2024</v>
      </c>
      <c r="B11" s="164" t="inlineStr">
        <is>
          <t>Jul</t>
        </is>
      </c>
      <c r="C11" s="165">
        <f>SUMIFS(Transaksi!$F$16:$F$5015,Transaksi!$G$16:$G$5015,"Pendapatan",Transaksi!$B$16:$B$5015,"&gt;="&amp;DATE(2024,7,1),Transaksi!$B$16:$B$5015,"&lt;="&amp;EOMONTH(DATE(2024,7,1),0))</f>
        <v/>
      </c>
      <c r="D11" s="165">
        <f>SUMIFS(Transaksi!$F$16:$F$5015,Transaksi!$G$16:$G$5015,"Pengeluaran",Transaksi!$B$16:$B$5015,"&gt;="&amp;DATE(2024,7,1),Transaksi!$B$16:$B$5015,"&lt;="&amp;EOMONTH(DATE(2024,7,1),0))</f>
        <v/>
      </c>
      <c r="E11" s="166">
        <f>C11-D11</f>
        <v/>
      </c>
      <c r="F11" s="165">
        <f>(SUMIFS(Transaksi!$F$16:$F$5015,Transaksi!$G$16:$G$5015,"Pendapatan",Transaksi!$B$16:$B$5015,"&gt;="&amp;DATE(2024,7,1),Transaksi!$B$16:$B$5015,"&lt;="&amp;EOMONTH(DATE(2024,7,1),0),Transaksi!$H$16:$H$5015,"Uang Kos Mama")+SUMIFS(Transaksi!$F$16:$F$5015,Transaksi!$G$16:$G$5015,"Pendapatan",Transaksi!$B$16:$B$5015,"&gt;="&amp;DATE(2024,7,1),Transaksi!$B$16:$B$5015,"&lt;="&amp;EOMONTH(DATE(2024,7,1),0),Transaksi!$H$16:$H$5015,"Uang Kedai"))-(SUMIFS(Transaksi!$F$16:$F$5015,Transaksi!$G$16:$G$5015,"Pengeluaran",Transaksi!$B$16:$B$5015,"&gt;="&amp;DATE(2024,7,1),Transaksi!$B$16:$B$5015,"&lt;="&amp;EOMONTH(DATE(2024,7,1),0),Transaksi!$H$16:$H$5015,"Pengeluaran Uang Kos")+SUMIFS(Transaksi!$F$16:$F$5015,Transaksi!$G$16:$G$5015,"Pengeluaran",Transaksi!$B$16:$B$5015,"&gt;="&amp;DATE(2024,7,1),Transaksi!$B$16:$B$5015,"&lt;="&amp;EOMONTH(DATE(2024,7,1),0),Transaksi!$H$16:$H$5015,"Pengeluaran Uang Kedai")+(SUMIFS(Transaksi!$F$16:$F$5015,Transaksi!$G$16:$G$5015,"Tabungan",Transaksi!$D$16:$D$5015,"Keluar",Transaksi!$H$16:$H$5015,"Reksadana uang kos mama",Transaksi!$B$16:$B$5015,"&gt;="&amp;DATE(2024,7,1),Transaksi!$B$16:$B$5015,"&lt;="&amp;EOMONTH(DATE(2024,7,1),0))-SUMIFS(Transaksi!$F$16:$F$5015,Transaksi!$G$16:$G$5015,"Tabungan",Transaksi!$D$16:$D$5015,"Masuk",Transaksi!$H$16:$H$5015,"Reksadana uang kos mama",Transaksi!$B$16:$B$5015,"&gt;="&amp;DATE(2024,7,1),Transaksi!$B$16:$B$5015,"&lt;="&amp;EOMONTH(DATE(2024,7,1),0))))</f>
        <v/>
      </c>
      <c r="G11" s="165">
        <f>(SUMIFS(Transaksi!$F$16:$F$5015,Transaksi!$G$16:$G$5015,"Tabungan",Transaksi!$D$16:$D$5015,"Keluar",Transaksi!$H$16:$H$5015,"&lt;&gt;Reksadana uang kos mama",Transaksi!$B$16:$B$5015,"&gt;="&amp;DATE(2024,7,1),Transaksi!$B$16:$B$5015,"&lt;="&amp;EOMONTH(DATE(2024,7,1),0))-SUMIFS(Transaksi!$F$16:$F$5015,Transaksi!$G$16:$G$5015,"Tabungan",Transaksi!$D$16:$D$5015,"Masuk",Transaksi!$H$16:$H$5015,"&lt;&gt;Reksadana uang kos mama",Transaksi!$B$16:$B$5015,"&gt;="&amp;DATE(2024,7,1),Transaksi!$B$16:$B$5015,"&lt;="&amp;EOMONTH(DATE(2024,7,1),0)))</f>
        <v/>
      </c>
    </row>
    <row r="12" ht="15" customHeight="1" s="94">
      <c r="A12" s="164" t="n">
        <v>2024</v>
      </c>
      <c r="B12" s="164" t="inlineStr">
        <is>
          <t>Agu</t>
        </is>
      </c>
      <c r="C12" s="165">
        <f>SUMIFS(Transaksi!$F$16:$F$5015,Transaksi!$G$16:$G$5015,"Pendapatan",Transaksi!$B$16:$B$5015,"&gt;="&amp;DATE(2024,8,1),Transaksi!$B$16:$B$5015,"&lt;="&amp;EOMONTH(DATE(2024,8,1),0))</f>
        <v/>
      </c>
      <c r="D12" s="165">
        <f>SUMIFS(Transaksi!$F$16:$F$5015,Transaksi!$G$16:$G$5015,"Pengeluaran",Transaksi!$B$16:$B$5015,"&gt;="&amp;DATE(2024,8,1),Transaksi!$B$16:$B$5015,"&lt;="&amp;EOMONTH(DATE(2024,8,1),0))</f>
        <v/>
      </c>
      <c r="E12" s="166">
        <f>C12-D12</f>
        <v/>
      </c>
      <c r="F12" s="165">
        <f>(SUMIFS(Transaksi!$F$16:$F$5015,Transaksi!$G$16:$G$5015,"Pendapatan",Transaksi!$B$16:$B$5015,"&gt;="&amp;DATE(2024,8,1),Transaksi!$B$16:$B$5015,"&lt;="&amp;EOMONTH(DATE(2024,8,1),0),Transaksi!$H$16:$H$5015,"Uang Kos Mama")+SUMIFS(Transaksi!$F$16:$F$5015,Transaksi!$G$16:$G$5015,"Pendapatan",Transaksi!$B$16:$B$5015,"&gt;="&amp;DATE(2024,8,1),Transaksi!$B$16:$B$5015,"&lt;="&amp;EOMONTH(DATE(2024,8,1),0),Transaksi!$H$16:$H$5015,"Uang Kedai"))-(SUMIFS(Transaksi!$F$16:$F$5015,Transaksi!$G$16:$G$5015,"Pengeluaran",Transaksi!$B$16:$B$5015,"&gt;="&amp;DATE(2024,8,1),Transaksi!$B$16:$B$5015,"&lt;="&amp;EOMONTH(DATE(2024,8,1),0),Transaksi!$H$16:$H$5015,"Pengeluaran Uang Kos")+SUMIFS(Transaksi!$F$16:$F$5015,Transaksi!$G$16:$G$5015,"Pengeluaran",Transaksi!$B$16:$B$5015,"&gt;="&amp;DATE(2024,8,1),Transaksi!$B$16:$B$5015,"&lt;="&amp;EOMONTH(DATE(2024,8,1),0),Transaksi!$H$16:$H$5015,"Pengeluaran Uang Kedai")+(SUMIFS(Transaksi!$F$16:$F$5015,Transaksi!$G$16:$G$5015,"Tabungan",Transaksi!$D$16:$D$5015,"Keluar",Transaksi!$H$16:$H$5015,"Reksadana uang kos mama",Transaksi!$B$16:$B$5015,"&gt;="&amp;DATE(2024,8,1),Transaksi!$B$16:$B$5015,"&lt;="&amp;EOMONTH(DATE(2024,8,1),0))-SUMIFS(Transaksi!$F$16:$F$5015,Transaksi!$G$16:$G$5015,"Tabungan",Transaksi!$D$16:$D$5015,"Masuk",Transaksi!$H$16:$H$5015,"Reksadana uang kos mama",Transaksi!$B$16:$B$5015,"&gt;="&amp;DATE(2024,8,1),Transaksi!$B$16:$B$5015,"&lt;="&amp;EOMONTH(DATE(2024,8,1),0))))</f>
        <v/>
      </c>
      <c r="G12" s="165">
        <f>(SUMIFS(Transaksi!$F$16:$F$5015,Transaksi!$G$16:$G$5015,"Tabungan",Transaksi!$D$16:$D$5015,"Keluar",Transaksi!$H$16:$H$5015,"&lt;&gt;Reksadana uang kos mama",Transaksi!$B$16:$B$5015,"&gt;="&amp;DATE(2024,8,1),Transaksi!$B$16:$B$5015,"&lt;="&amp;EOMONTH(DATE(2024,8,1),0))-SUMIFS(Transaksi!$F$16:$F$5015,Transaksi!$G$16:$G$5015,"Tabungan",Transaksi!$D$16:$D$5015,"Masuk",Transaksi!$H$16:$H$5015,"&lt;&gt;Reksadana uang kos mama",Transaksi!$B$16:$B$5015,"&gt;="&amp;DATE(2024,8,1),Transaksi!$B$16:$B$5015,"&lt;="&amp;EOMONTH(DATE(2024,8,1),0)))</f>
        <v/>
      </c>
    </row>
    <row r="13" ht="15" customHeight="1" s="94">
      <c r="A13" s="164" t="n">
        <v>2024</v>
      </c>
      <c r="B13" s="164" t="inlineStr">
        <is>
          <t>Sep</t>
        </is>
      </c>
      <c r="C13" s="165">
        <f>SUMIFS(Transaksi!$F$16:$F$5015,Transaksi!$G$16:$G$5015,"Pendapatan",Transaksi!$B$16:$B$5015,"&gt;="&amp;DATE(2024,9,1),Transaksi!$B$16:$B$5015,"&lt;="&amp;EOMONTH(DATE(2024,9,1),0))</f>
        <v/>
      </c>
      <c r="D13" s="165">
        <f>SUMIFS(Transaksi!$F$16:$F$5015,Transaksi!$G$16:$G$5015,"Pengeluaran",Transaksi!$B$16:$B$5015,"&gt;="&amp;DATE(2024,9,1),Transaksi!$B$16:$B$5015,"&lt;="&amp;EOMONTH(DATE(2024,9,1),0))</f>
        <v/>
      </c>
      <c r="E13" s="166">
        <f>C13-D13</f>
        <v/>
      </c>
      <c r="F13" s="165">
        <f>(SUMIFS(Transaksi!$F$16:$F$5015,Transaksi!$G$16:$G$5015,"Pendapatan",Transaksi!$B$16:$B$5015,"&gt;="&amp;DATE(2024,9,1),Transaksi!$B$16:$B$5015,"&lt;="&amp;EOMONTH(DATE(2024,9,1),0),Transaksi!$H$16:$H$5015,"Uang Kos Mama")+SUMIFS(Transaksi!$F$16:$F$5015,Transaksi!$G$16:$G$5015,"Pendapatan",Transaksi!$B$16:$B$5015,"&gt;="&amp;DATE(2024,9,1),Transaksi!$B$16:$B$5015,"&lt;="&amp;EOMONTH(DATE(2024,9,1),0),Transaksi!$H$16:$H$5015,"Uang Kedai"))-(SUMIFS(Transaksi!$F$16:$F$5015,Transaksi!$G$16:$G$5015,"Pengeluaran",Transaksi!$B$16:$B$5015,"&gt;="&amp;DATE(2024,9,1),Transaksi!$B$16:$B$5015,"&lt;="&amp;EOMONTH(DATE(2024,9,1),0),Transaksi!$H$16:$H$5015,"Pengeluaran Uang Kos")+SUMIFS(Transaksi!$F$16:$F$5015,Transaksi!$G$16:$G$5015,"Pengeluaran",Transaksi!$B$16:$B$5015,"&gt;="&amp;DATE(2024,9,1),Transaksi!$B$16:$B$5015,"&lt;="&amp;EOMONTH(DATE(2024,9,1),0),Transaksi!$H$16:$H$5015,"Pengeluaran Uang Kedai")+(SUMIFS(Transaksi!$F$16:$F$5015,Transaksi!$G$16:$G$5015,"Tabungan",Transaksi!$D$16:$D$5015,"Keluar",Transaksi!$H$16:$H$5015,"Reksadana uang kos mama",Transaksi!$B$16:$B$5015,"&gt;="&amp;DATE(2024,9,1),Transaksi!$B$16:$B$5015,"&lt;="&amp;EOMONTH(DATE(2024,9,1),0))-SUMIFS(Transaksi!$F$16:$F$5015,Transaksi!$G$16:$G$5015,"Tabungan",Transaksi!$D$16:$D$5015,"Masuk",Transaksi!$H$16:$H$5015,"Reksadana uang kos mama",Transaksi!$B$16:$B$5015,"&gt;="&amp;DATE(2024,9,1),Transaksi!$B$16:$B$5015,"&lt;="&amp;EOMONTH(DATE(2024,9,1),0))))</f>
        <v/>
      </c>
      <c r="G13" s="165">
        <f>(SUMIFS(Transaksi!$F$16:$F$5015,Transaksi!$G$16:$G$5015,"Tabungan",Transaksi!$D$16:$D$5015,"Keluar",Transaksi!$H$16:$H$5015,"&lt;&gt;Reksadana uang kos mama",Transaksi!$B$16:$B$5015,"&gt;="&amp;DATE(2024,9,1),Transaksi!$B$16:$B$5015,"&lt;="&amp;EOMONTH(DATE(2024,9,1),0))-SUMIFS(Transaksi!$F$16:$F$5015,Transaksi!$G$16:$G$5015,"Tabungan",Transaksi!$D$16:$D$5015,"Masuk",Transaksi!$H$16:$H$5015,"&lt;&gt;Reksadana uang kos mama",Transaksi!$B$16:$B$5015,"&gt;="&amp;DATE(2024,9,1),Transaksi!$B$16:$B$5015,"&lt;="&amp;EOMONTH(DATE(2024,9,1),0)))</f>
        <v/>
      </c>
    </row>
    <row r="14" ht="15" customHeight="1" s="94">
      <c r="A14" s="164" t="n">
        <v>2024</v>
      </c>
      <c r="B14" s="164" t="inlineStr">
        <is>
          <t>Okt</t>
        </is>
      </c>
      <c r="C14" s="165">
        <f>SUMIFS(Transaksi!$F$16:$F$5015,Transaksi!$G$16:$G$5015,"Pendapatan",Transaksi!$B$16:$B$5015,"&gt;="&amp;DATE(2024,10,1),Transaksi!$B$16:$B$5015,"&lt;="&amp;EOMONTH(DATE(2024,10,1),0))</f>
        <v/>
      </c>
      <c r="D14" s="165">
        <f>SUMIFS(Transaksi!$F$16:$F$5015,Transaksi!$G$16:$G$5015,"Pengeluaran",Transaksi!$B$16:$B$5015,"&gt;="&amp;DATE(2024,10,1),Transaksi!$B$16:$B$5015,"&lt;="&amp;EOMONTH(DATE(2024,10,1),0))</f>
        <v/>
      </c>
      <c r="E14" s="166">
        <f>C14-D14</f>
        <v/>
      </c>
      <c r="F14" s="165">
        <f>(SUMIFS(Transaksi!$F$16:$F$5015,Transaksi!$G$16:$G$5015,"Pendapatan",Transaksi!$B$16:$B$5015,"&gt;="&amp;DATE(2024,10,1),Transaksi!$B$16:$B$5015,"&lt;="&amp;EOMONTH(DATE(2024,10,1),0),Transaksi!$H$16:$H$5015,"Uang Kos Mama")+SUMIFS(Transaksi!$F$16:$F$5015,Transaksi!$G$16:$G$5015,"Pendapatan",Transaksi!$B$16:$B$5015,"&gt;="&amp;DATE(2024,10,1),Transaksi!$B$16:$B$5015,"&lt;="&amp;EOMONTH(DATE(2024,10,1),0),Transaksi!$H$16:$H$5015,"Uang Kedai"))-(SUMIFS(Transaksi!$F$16:$F$5015,Transaksi!$G$16:$G$5015,"Pengeluaran",Transaksi!$B$16:$B$5015,"&gt;="&amp;DATE(2024,10,1),Transaksi!$B$16:$B$5015,"&lt;="&amp;EOMONTH(DATE(2024,10,1),0),Transaksi!$H$16:$H$5015,"Pengeluaran Uang Kos")+SUMIFS(Transaksi!$F$16:$F$5015,Transaksi!$G$16:$G$5015,"Pengeluaran",Transaksi!$B$16:$B$5015,"&gt;="&amp;DATE(2024,10,1),Transaksi!$B$16:$B$5015,"&lt;="&amp;EOMONTH(DATE(2024,10,1),0),Transaksi!$H$16:$H$5015,"Pengeluaran Uang Kedai")+(SUMIFS(Transaksi!$F$16:$F$5015,Transaksi!$G$16:$G$5015,"Tabungan",Transaksi!$D$16:$D$5015,"Keluar",Transaksi!$H$16:$H$5015,"Reksadana uang kos mama",Transaksi!$B$16:$B$5015,"&gt;="&amp;DATE(2024,10,1),Transaksi!$B$16:$B$5015,"&lt;="&amp;EOMONTH(DATE(2024,10,1),0))-SUMIFS(Transaksi!$F$16:$F$5015,Transaksi!$G$16:$G$5015,"Tabungan",Transaksi!$D$16:$D$5015,"Masuk",Transaksi!$H$16:$H$5015,"Reksadana uang kos mama",Transaksi!$B$16:$B$5015,"&gt;="&amp;DATE(2024,10,1),Transaksi!$B$16:$B$5015,"&lt;="&amp;EOMONTH(DATE(2024,10,1),0))))</f>
        <v/>
      </c>
      <c r="G14" s="165">
        <f>(SUMIFS(Transaksi!$F$16:$F$5015,Transaksi!$G$16:$G$5015,"Tabungan",Transaksi!$D$16:$D$5015,"Keluar",Transaksi!$H$16:$H$5015,"&lt;&gt;Reksadana uang kos mama",Transaksi!$B$16:$B$5015,"&gt;="&amp;DATE(2024,10,1),Transaksi!$B$16:$B$5015,"&lt;="&amp;EOMONTH(DATE(2024,10,1),0))-SUMIFS(Transaksi!$F$16:$F$5015,Transaksi!$G$16:$G$5015,"Tabungan",Transaksi!$D$16:$D$5015,"Masuk",Transaksi!$H$16:$H$5015,"&lt;&gt;Reksadana uang kos mama",Transaksi!$B$16:$B$5015,"&gt;="&amp;DATE(2024,10,1),Transaksi!$B$16:$B$5015,"&lt;="&amp;EOMONTH(DATE(2024,10,1),0)))</f>
        <v/>
      </c>
    </row>
    <row r="15" ht="15" customHeight="1" s="94">
      <c r="A15" s="164" t="n">
        <v>2024</v>
      </c>
      <c r="B15" s="164" t="inlineStr">
        <is>
          <t>Nov</t>
        </is>
      </c>
      <c r="C15" s="165">
        <f>SUMIFS(Transaksi!$F$16:$F$5015,Transaksi!$G$16:$G$5015,"Pendapatan",Transaksi!$B$16:$B$5015,"&gt;="&amp;DATE(2024,11,1),Transaksi!$B$16:$B$5015,"&lt;="&amp;EOMONTH(DATE(2024,11,1),0))</f>
        <v/>
      </c>
      <c r="D15" s="165">
        <f>SUMIFS(Transaksi!$F$16:$F$5015,Transaksi!$G$16:$G$5015,"Pengeluaran",Transaksi!$B$16:$B$5015,"&gt;="&amp;DATE(2024,11,1),Transaksi!$B$16:$B$5015,"&lt;="&amp;EOMONTH(DATE(2024,11,1),0))</f>
        <v/>
      </c>
      <c r="E15" s="166">
        <f>C15-D15</f>
        <v/>
      </c>
      <c r="F15" s="165">
        <f>(SUMIFS(Transaksi!$F$16:$F$5015,Transaksi!$G$16:$G$5015,"Pendapatan",Transaksi!$B$16:$B$5015,"&gt;="&amp;DATE(2024,11,1),Transaksi!$B$16:$B$5015,"&lt;="&amp;EOMONTH(DATE(2024,11,1),0),Transaksi!$H$16:$H$5015,"Uang Kos Mama")+SUMIFS(Transaksi!$F$16:$F$5015,Transaksi!$G$16:$G$5015,"Pendapatan",Transaksi!$B$16:$B$5015,"&gt;="&amp;DATE(2024,11,1),Transaksi!$B$16:$B$5015,"&lt;="&amp;EOMONTH(DATE(2024,11,1),0),Transaksi!$H$16:$H$5015,"Uang Kedai"))-(SUMIFS(Transaksi!$F$16:$F$5015,Transaksi!$G$16:$G$5015,"Pengeluaran",Transaksi!$B$16:$B$5015,"&gt;="&amp;DATE(2024,11,1),Transaksi!$B$16:$B$5015,"&lt;="&amp;EOMONTH(DATE(2024,11,1),0),Transaksi!$H$16:$H$5015,"Pengeluaran Uang Kos")+SUMIFS(Transaksi!$F$16:$F$5015,Transaksi!$G$16:$G$5015,"Pengeluaran",Transaksi!$B$16:$B$5015,"&gt;="&amp;DATE(2024,11,1),Transaksi!$B$16:$B$5015,"&lt;="&amp;EOMONTH(DATE(2024,11,1),0),Transaksi!$H$16:$H$5015,"Pengeluaran Uang Kedai")+(SUMIFS(Transaksi!$F$16:$F$5015,Transaksi!$G$16:$G$5015,"Tabungan",Transaksi!$D$16:$D$5015,"Keluar",Transaksi!$H$16:$H$5015,"Reksadana uang kos mama",Transaksi!$B$16:$B$5015,"&gt;="&amp;DATE(2024,11,1),Transaksi!$B$16:$B$5015,"&lt;="&amp;EOMONTH(DATE(2024,11,1),0))-SUMIFS(Transaksi!$F$16:$F$5015,Transaksi!$G$16:$G$5015,"Tabungan",Transaksi!$D$16:$D$5015,"Masuk",Transaksi!$H$16:$H$5015,"Reksadana uang kos mama",Transaksi!$B$16:$B$5015,"&gt;="&amp;DATE(2024,11,1),Transaksi!$B$16:$B$5015,"&lt;="&amp;EOMONTH(DATE(2024,11,1),0))))</f>
        <v/>
      </c>
      <c r="G15" s="165">
        <f>(SUMIFS(Transaksi!$F$16:$F$5015,Transaksi!$G$16:$G$5015,"Tabungan",Transaksi!$D$16:$D$5015,"Keluar",Transaksi!$H$16:$H$5015,"&lt;&gt;Reksadana uang kos mama",Transaksi!$B$16:$B$5015,"&gt;="&amp;DATE(2024,11,1),Transaksi!$B$16:$B$5015,"&lt;="&amp;EOMONTH(DATE(2024,11,1),0))-SUMIFS(Transaksi!$F$16:$F$5015,Transaksi!$G$16:$G$5015,"Tabungan",Transaksi!$D$16:$D$5015,"Masuk",Transaksi!$H$16:$H$5015,"&lt;&gt;Reksadana uang kos mama",Transaksi!$B$16:$B$5015,"&gt;="&amp;DATE(2024,11,1),Transaksi!$B$16:$B$5015,"&lt;="&amp;EOMONTH(DATE(2024,11,1),0)))</f>
        <v/>
      </c>
    </row>
    <row r="16" ht="15" customHeight="1" s="94">
      <c r="A16" s="164" t="n">
        <v>2024</v>
      </c>
      <c r="B16" s="164" t="inlineStr">
        <is>
          <t>Des</t>
        </is>
      </c>
      <c r="C16" s="165">
        <f>SUMIFS(Transaksi!$F$16:$F$5015,Transaksi!$G$16:$G$5015,"Pendapatan",Transaksi!$B$16:$B$5015,"&gt;="&amp;DATE(2024,12,1),Transaksi!$B$16:$B$5015,"&lt;="&amp;EOMONTH(DATE(2024,12,1),0))</f>
        <v/>
      </c>
      <c r="D16" s="165">
        <f>SUMIFS(Transaksi!$F$16:$F$5015,Transaksi!$G$16:$G$5015,"Pengeluaran",Transaksi!$B$16:$B$5015,"&gt;="&amp;DATE(2024,12,1),Transaksi!$B$16:$B$5015,"&lt;="&amp;EOMONTH(DATE(2024,12,1),0))</f>
        <v/>
      </c>
      <c r="E16" s="166">
        <f>C16-D16</f>
        <v/>
      </c>
      <c r="F16" s="165">
        <f>(SUMIFS(Transaksi!$F$16:$F$5015,Transaksi!$G$16:$G$5015,"Pendapatan",Transaksi!$B$16:$B$5015,"&gt;="&amp;DATE(2024,12,1),Transaksi!$B$16:$B$5015,"&lt;="&amp;EOMONTH(DATE(2024,12,1),0),Transaksi!$H$16:$H$5015,"Uang Kos Mama")+SUMIFS(Transaksi!$F$16:$F$5015,Transaksi!$G$16:$G$5015,"Pendapatan",Transaksi!$B$16:$B$5015,"&gt;="&amp;DATE(2024,12,1),Transaksi!$B$16:$B$5015,"&lt;="&amp;EOMONTH(DATE(2024,12,1),0),Transaksi!$H$16:$H$5015,"Uang Kedai"))-(SUMIFS(Transaksi!$F$16:$F$5015,Transaksi!$G$16:$G$5015,"Pengeluaran",Transaksi!$B$16:$B$5015,"&gt;="&amp;DATE(2024,12,1),Transaksi!$B$16:$B$5015,"&lt;="&amp;EOMONTH(DATE(2024,12,1),0),Transaksi!$H$16:$H$5015,"Pengeluaran Uang Kos")+SUMIFS(Transaksi!$F$16:$F$5015,Transaksi!$G$16:$G$5015,"Pengeluaran",Transaksi!$B$16:$B$5015,"&gt;="&amp;DATE(2024,12,1),Transaksi!$B$16:$B$5015,"&lt;="&amp;EOMONTH(DATE(2024,12,1),0),Transaksi!$H$16:$H$5015,"Pengeluaran Uang Kedai")+(SUMIFS(Transaksi!$F$16:$F$5015,Transaksi!$G$16:$G$5015,"Tabungan",Transaksi!$D$16:$D$5015,"Keluar",Transaksi!$H$16:$H$5015,"Reksadana uang kos mama",Transaksi!$B$16:$B$5015,"&gt;="&amp;DATE(2024,12,1),Transaksi!$B$16:$B$5015,"&lt;="&amp;EOMONTH(DATE(2024,12,1),0))-SUMIFS(Transaksi!$F$16:$F$5015,Transaksi!$G$16:$G$5015,"Tabungan",Transaksi!$D$16:$D$5015,"Masuk",Transaksi!$H$16:$H$5015,"Reksadana uang kos mama",Transaksi!$B$16:$B$5015,"&gt;="&amp;DATE(2024,12,1),Transaksi!$B$16:$B$5015,"&lt;="&amp;EOMONTH(DATE(2024,12,1),0))))</f>
        <v/>
      </c>
      <c r="G16" s="165">
        <f>(SUMIFS(Transaksi!$F$16:$F$5015,Transaksi!$G$16:$G$5015,"Tabungan",Transaksi!$D$16:$D$5015,"Keluar",Transaksi!$H$16:$H$5015,"&lt;&gt;Reksadana uang kos mama",Transaksi!$B$16:$B$5015,"&gt;="&amp;DATE(2024,12,1),Transaksi!$B$16:$B$5015,"&lt;="&amp;EOMONTH(DATE(2024,12,1),0))-SUMIFS(Transaksi!$F$16:$F$5015,Transaksi!$G$16:$G$5015,"Tabungan",Transaksi!$D$16:$D$5015,"Masuk",Transaksi!$H$16:$H$5015,"&lt;&gt;Reksadana uang kos mama",Transaksi!$B$16:$B$5015,"&gt;="&amp;DATE(2024,12,1),Transaksi!$B$16:$B$5015,"&lt;="&amp;EOMONTH(DATE(2024,12,1),0)))</f>
        <v/>
      </c>
    </row>
    <row r="17" ht="15" customHeight="1" s="94">
      <c r="A17" s="164" t="n">
        <v>2025</v>
      </c>
      <c r="B17" s="164" t="inlineStr">
        <is>
          <t>Jan</t>
        </is>
      </c>
      <c r="C17" s="165">
        <f>SUMIFS(Transaksi!$F$16:$F$5015,Transaksi!$G$16:$G$5015,"Pendapatan",Transaksi!$B$16:$B$5015,"&gt;="&amp;DATE(2025,1,1),Transaksi!$B$16:$B$5015,"&lt;="&amp;EOMONTH(DATE(2025,1,1),0))</f>
        <v/>
      </c>
      <c r="D17" s="165">
        <f>SUMIFS(Transaksi!$F$16:$F$5015,Transaksi!$G$16:$G$5015,"Pengeluaran",Transaksi!$B$16:$B$5015,"&gt;="&amp;DATE(2025,1,1),Transaksi!$B$16:$B$5015,"&lt;="&amp;EOMONTH(DATE(2025,1,1),0))</f>
        <v/>
      </c>
      <c r="E17" s="166">
        <f>C17-D17</f>
        <v/>
      </c>
      <c r="F17" s="165">
        <f>(SUMIFS(Transaksi!$F$16:$F$5015,Transaksi!$G$16:$G$5015,"Pendapatan",Transaksi!$B$16:$B$5015,"&gt;="&amp;DATE(2025,1,1),Transaksi!$B$16:$B$5015,"&lt;="&amp;EOMONTH(DATE(2025,1,1),0),Transaksi!$H$16:$H$5015,"Uang Kos Mama")+SUMIFS(Transaksi!$F$16:$F$5015,Transaksi!$G$16:$G$5015,"Pendapatan",Transaksi!$B$16:$B$5015,"&gt;="&amp;DATE(2025,1,1),Transaksi!$B$16:$B$5015,"&lt;="&amp;EOMONTH(DATE(2025,1,1),0),Transaksi!$H$16:$H$5015,"Uang Kedai"))-(SUMIFS(Transaksi!$F$16:$F$5015,Transaksi!$G$16:$G$5015,"Pengeluaran",Transaksi!$B$16:$B$5015,"&gt;="&amp;DATE(2025,1,1),Transaksi!$B$16:$B$5015,"&lt;="&amp;EOMONTH(DATE(2025,1,1),0),Transaksi!$H$16:$H$5015,"Pengeluaran Uang Kos")+SUMIFS(Transaksi!$F$16:$F$5015,Transaksi!$G$16:$G$5015,"Pengeluaran",Transaksi!$B$16:$B$5015,"&gt;="&amp;DATE(2025,1,1),Transaksi!$B$16:$B$5015,"&lt;="&amp;EOMONTH(DATE(2025,1,1),0),Transaksi!$H$16:$H$5015,"Pengeluaran Uang Kedai")+(SUMIFS(Transaksi!$F$16:$F$5015,Transaksi!$G$16:$G$5015,"Tabungan",Transaksi!$D$16:$D$5015,"Keluar",Transaksi!$H$16:$H$5015,"Reksadana uang kos mama",Transaksi!$B$16:$B$5015,"&gt;="&amp;DATE(2025,1,1),Transaksi!$B$16:$B$5015,"&lt;="&amp;EOMONTH(DATE(2025,1,1),0))-SUMIFS(Transaksi!$F$16:$F$5015,Transaksi!$G$16:$G$5015,"Tabungan",Transaksi!$D$16:$D$5015,"Masuk",Transaksi!$H$16:$H$5015,"Reksadana uang kos mama",Transaksi!$B$16:$B$5015,"&gt;="&amp;DATE(2025,1,1),Transaksi!$B$16:$B$5015,"&lt;="&amp;EOMONTH(DATE(2025,1,1),0))))</f>
        <v/>
      </c>
      <c r="G17" s="165">
        <f>(SUMIFS(Transaksi!$F$16:$F$5015,Transaksi!$G$16:$G$5015,"Tabungan",Transaksi!$D$16:$D$5015,"Keluar",Transaksi!$H$16:$H$5015,"&lt;&gt;Reksadana uang kos mama",Transaksi!$B$16:$B$5015,"&gt;="&amp;DATE(2025,1,1),Transaksi!$B$16:$B$5015,"&lt;="&amp;EOMONTH(DATE(2025,1,1),0))-SUMIFS(Transaksi!$F$16:$F$5015,Transaksi!$G$16:$G$5015,"Tabungan",Transaksi!$D$16:$D$5015,"Masuk",Transaksi!$H$16:$H$5015,"&lt;&gt;Reksadana uang kos mama",Transaksi!$B$16:$B$5015,"&gt;="&amp;DATE(2025,1,1),Transaksi!$B$16:$B$5015,"&lt;="&amp;EOMONTH(DATE(2025,1,1),0)))</f>
        <v/>
      </c>
    </row>
    <row r="18" ht="15" customHeight="1" s="94">
      <c r="A18" s="164" t="n">
        <v>2025</v>
      </c>
      <c r="B18" s="164" t="inlineStr">
        <is>
          <t>Feb</t>
        </is>
      </c>
      <c r="C18" s="165">
        <f>SUMIFS(Transaksi!$F$16:$F$5015,Transaksi!$G$16:$G$5015,"Pendapatan",Transaksi!$B$16:$B$5015,"&gt;="&amp;DATE(2025,2,1),Transaksi!$B$16:$B$5015,"&lt;="&amp;EOMONTH(DATE(2025,2,1),0))</f>
        <v/>
      </c>
      <c r="D18" s="165">
        <f>SUMIFS(Transaksi!$F$16:$F$5015,Transaksi!$G$16:$G$5015,"Pengeluaran",Transaksi!$B$16:$B$5015,"&gt;="&amp;DATE(2025,2,1),Transaksi!$B$16:$B$5015,"&lt;="&amp;EOMONTH(DATE(2025,2,1),0))</f>
        <v/>
      </c>
      <c r="E18" s="166">
        <f>C18-D18</f>
        <v/>
      </c>
      <c r="F18" s="165">
        <f>(SUMIFS(Transaksi!$F$16:$F$5015,Transaksi!$G$16:$G$5015,"Pendapatan",Transaksi!$B$16:$B$5015,"&gt;="&amp;DATE(2025,2,1),Transaksi!$B$16:$B$5015,"&lt;="&amp;EOMONTH(DATE(2025,2,1),0),Transaksi!$H$16:$H$5015,"Uang Kos Mama")+SUMIFS(Transaksi!$F$16:$F$5015,Transaksi!$G$16:$G$5015,"Pendapatan",Transaksi!$B$16:$B$5015,"&gt;="&amp;DATE(2025,2,1),Transaksi!$B$16:$B$5015,"&lt;="&amp;EOMONTH(DATE(2025,2,1),0),Transaksi!$H$16:$H$5015,"Uang Kedai"))-(SUMIFS(Transaksi!$F$16:$F$5015,Transaksi!$G$16:$G$5015,"Pengeluaran",Transaksi!$B$16:$B$5015,"&gt;="&amp;DATE(2025,2,1),Transaksi!$B$16:$B$5015,"&lt;="&amp;EOMONTH(DATE(2025,2,1),0),Transaksi!$H$16:$H$5015,"Pengeluaran Uang Kos")+SUMIFS(Transaksi!$F$16:$F$5015,Transaksi!$G$16:$G$5015,"Pengeluaran",Transaksi!$B$16:$B$5015,"&gt;="&amp;DATE(2025,2,1),Transaksi!$B$16:$B$5015,"&lt;="&amp;EOMONTH(DATE(2025,2,1),0),Transaksi!$H$16:$H$5015,"Pengeluaran Uang Kedai")+(SUMIFS(Transaksi!$F$16:$F$5015,Transaksi!$G$16:$G$5015,"Tabungan",Transaksi!$D$16:$D$5015,"Keluar",Transaksi!$H$16:$H$5015,"Reksadana uang kos mama",Transaksi!$B$16:$B$5015,"&gt;="&amp;DATE(2025,2,1),Transaksi!$B$16:$B$5015,"&lt;="&amp;EOMONTH(DATE(2025,2,1),0))-SUMIFS(Transaksi!$F$16:$F$5015,Transaksi!$G$16:$G$5015,"Tabungan",Transaksi!$D$16:$D$5015,"Masuk",Transaksi!$H$16:$H$5015,"Reksadana uang kos mama",Transaksi!$B$16:$B$5015,"&gt;="&amp;DATE(2025,2,1),Transaksi!$B$16:$B$5015,"&lt;="&amp;EOMONTH(DATE(2025,2,1),0))))</f>
        <v/>
      </c>
      <c r="G18" s="165">
        <f>(SUMIFS(Transaksi!$F$16:$F$5015,Transaksi!$G$16:$G$5015,"Tabungan",Transaksi!$D$16:$D$5015,"Keluar",Transaksi!$H$16:$H$5015,"&lt;&gt;Reksadana uang kos mama",Transaksi!$B$16:$B$5015,"&gt;="&amp;DATE(2025,2,1),Transaksi!$B$16:$B$5015,"&lt;="&amp;EOMONTH(DATE(2025,2,1),0))-SUMIFS(Transaksi!$F$16:$F$5015,Transaksi!$G$16:$G$5015,"Tabungan",Transaksi!$D$16:$D$5015,"Masuk",Transaksi!$H$16:$H$5015,"&lt;&gt;Reksadana uang kos mama",Transaksi!$B$16:$B$5015,"&gt;="&amp;DATE(2025,2,1),Transaksi!$B$16:$B$5015,"&lt;="&amp;EOMONTH(DATE(2025,2,1),0)))</f>
        <v/>
      </c>
    </row>
    <row r="19" ht="15" customHeight="1" s="94">
      <c r="A19" s="164" t="n">
        <v>2025</v>
      </c>
      <c r="B19" s="164" t="inlineStr">
        <is>
          <t>Mar</t>
        </is>
      </c>
      <c r="C19" s="165">
        <f>SUMIFS(Transaksi!$F$16:$F$5015,Transaksi!$G$16:$G$5015,"Pendapatan",Transaksi!$B$16:$B$5015,"&gt;="&amp;DATE(2025,3,1),Transaksi!$B$16:$B$5015,"&lt;="&amp;EOMONTH(DATE(2025,3,1),0))</f>
        <v/>
      </c>
      <c r="D19" s="165">
        <f>SUMIFS(Transaksi!$F$16:$F$5015,Transaksi!$G$16:$G$5015,"Pengeluaran",Transaksi!$B$16:$B$5015,"&gt;="&amp;DATE(2025,3,1),Transaksi!$B$16:$B$5015,"&lt;="&amp;EOMONTH(DATE(2025,3,1),0))</f>
        <v/>
      </c>
      <c r="E19" s="166">
        <f>C19-D19</f>
        <v/>
      </c>
      <c r="F19" s="165">
        <f>(SUMIFS(Transaksi!$F$16:$F$5015,Transaksi!$G$16:$G$5015,"Pendapatan",Transaksi!$B$16:$B$5015,"&gt;="&amp;DATE(2025,3,1),Transaksi!$B$16:$B$5015,"&lt;="&amp;EOMONTH(DATE(2025,3,1),0),Transaksi!$H$16:$H$5015,"Uang Kos Mama")+SUMIFS(Transaksi!$F$16:$F$5015,Transaksi!$G$16:$G$5015,"Pendapatan",Transaksi!$B$16:$B$5015,"&gt;="&amp;DATE(2025,3,1),Transaksi!$B$16:$B$5015,"&lt;="&amp;EOMONTH(DATE(2025,3,1),0),Transaksi!$H$16:$H$5015,"Uang Kedai"))-(SUMIFS(Transaksi!$F$16:$F$5015,Transaksi!$G$16:$G$5015,"Pengeluaran",Transaksi!$B$16:$B$5015,"&gt;="&amp;DATE(2025,3,1),Transaksi!$B$16:$B$5015,"&lt;="&amp;EOMONTH(DATE(2025,3,1),0),Transaksi!$H$16:$H$5015,"Pengeluaran Uang Kos")+SUMIFS(Transaksi!$F$16:$F$5015,Transaksi!$G$16:$G$5015,"Pengeluaran",Transaksi!$B$16:$B$5015,"&gt;="&amp;DATE(2025,3,1),Transaksi!$B$16:$B$5015,"&lt;="&amp;EOMONTH(DATE(2025,3,1),0),Transaksi!$H$16:$H$5015,"Pengeluaran Uang Kedai")+(SUMIFS(Transaksi!$F$16:$F$5015,Transaksi!$G$16:$G$5015,"Tabungan",Transaksi!$D$16:$D$5015,"Keluar",Transaksi!$H$16:$H$5015,"Reksadana uang kos mama",Transaksi!$B$16:$B$5015,"&gt;="&amp;DATE(2025,3,1),Transaksi!$B$16:$B$5015,"&lt;="&amp;EOMONTH(DATE(2025,3,1),0))-SUMIFS(Transaksi!$F$16:$F$5015,Transaksi!$G$16:$G$5015,"Tabungan",Transaksi!$D$16:$D$5015,"Masuk",Transaksi!$H$16:$H$5015,"Reksadana uang kos mama",Transaksi!$B$16:$B$5015,"&gt;="&amp;DATE(2025,3,1),Transaksi!$B$16:$B$5015,"&lt;="&amp;EOMONTH(DATE(2025,3,1),0))))</f>
        <v/>
      </c>
      <c r="G19" s="165">
        <f>(SUMIFS(Transaksi!$F$16:$F$5015,Transaksi!$G$16:$G$5015,"Tabungan",Transaksi!$D$16:$D$5015,"Keluar",Transaksi!$H$16:$H$5015,"&lt;&gt;Reksadana uang kos mama",Transaksi!$B$16:$B$5015,"&gt;="&amp;DATE(2025,3,1),Transaksi!$B$16:$B$5015,"&lt;="&amp;EOMONTH(DATE(2025,3,1),0))-SUMIFS(Transaksi!$F$16:$F$5015,Transaksi!$G$16:$G$5015,"Tabungan",Transaksi!$D$16:$D$5015,"Masuk",Transaksi!$H$16:$H$5015,"&lt;&gt;Reksadana uang kos mama",Transaksi!$B$16:$B$5015,"&gt;="&amp;DATE(2025,3,1),Transaksi!$B$16:$B$5015,"&lt;="&amp;EOMONTH(DATE(2025,3,1),0)))</f>
        <v/>
      </c>
    </row>
    <row r="20" ht="15" customHeight="1" s="94">
      <c r="A20" s="164" t="n">
        <v>2025</v>
      </c>
      <c r="B20" s="164" t="inlineStr">
        <is>
          <t>Apr</t>
        </is>
      </c>
      <c r="C20" s="165">
        <f>SUMIFS(Transaksi!$F$16:$F$5015,Transaksi!$G$16:$G$5015,"Pendapatan",Transaksi!$B$16:$B$5015,"&gt;="&amp;DATE(2025,4,1),Transaksi!$B$16:$B$5015,"&lt;="&amp;EOMONTH(DATE(2025,4,1),0))</f>
        <v/>
      </c>
      <c r="D20" s="165">
        <f>SUMIFS(Transaksi!$F$16:$F$5015,Transaksi!$G$16:$G$5015,"Pengeluaran",Transaksi!$B$16:$B$5015,"&gt;="&amp;DATE(2025,4,1),Transaksi!$B$16:$B$5015,"&lt;="&amp;EOMONTH(DATE(2025,4,1),0))</f>
        <v/>
      </c>
      <c r="E20" s="166">
        <f>C20-D20</f>
        <v/>
      </c>
      <c r="F20" s="165">
        <f>(SUMIFS(Transaksi!$F$16:$F$5015,Transaksi!$G$16:$G$5015,"Pendapatan",Transaksi!$B$16:$B$5015,"&gt;="&amp;DATE(2025,4,1),Transaksi!$B$16:$B$5015,"&lt;="&amp;EOMONTH(DATE(2025,4,1),0),Transaksi!$H$16:$H$5015,"Uang Kos Mama")+SUMIFS(Transaksi!$F$16:$F$5015,Transaksi!$G$16:$G$5015,"Pendapatan",Transaksi!$B$16:$B$5015,"&gt;="&amp;DATE(2025,4,1),Transaksi!$B$16:$B$5015,"&lt;="&amp;EOMONTH(DATE(2025,4,1),0),Transaksi!$H$16:$H$5015,"Uang Kedai"))-(SUMIFS(Transaksi!$F$16:$F$5015,Transaksi!$G$16:$G$5015,"Pengeluaran",Transaksi!$B$16:$B$5015,"&gt;="&amp;DATE(2025,4,1),Transaksi!$B$16:$B$5015,"&lt;="&amp;EOMONTH(DATE(2025,4,1),0),Transaksi!$H$16:$H$5015,"Pengeluaran Uang Kos")+SUMIFS(Transaksi!$F$16:$F$5015,Transaksi!$G$16:$G$5015,"Pengeluaran",Transaksi!$B$16:$B$5015,"&gt;="&amp;DATE(2025,4,1),Transaksi!$B$16:$B$5015,"&lt;="&amp;EOMONTH(DATE(2025,4,1),0),Transaksi!$H$16:$H$5015,"Pengeluaran Uang Kedai")+(SUMIFS(Transaksi!$F$16:$F$5015,Transaksi!$G$16:$G$5015,"Tabungan",Transaksi!$D$16:$D$5015,"Keluar",Transaksi!$H$16:$H$5015,"Reksadana uang kos mama",Transaksi!$B$16:$B$5015,"&gt;="&amp;DATE(2025,4,1),Transaksi!$B$16:$B$5015,"&lt;="&amp;EOMONTH(DATE(2025,4,1),0))-SUMIFS(Transaksi!$F$16:$F$5015,Transaksi!$G$16:$G$5015,"Tabungan",Transaksi!$D$16:$D$5015,"Masuk",Transaksi!$H$16:$H$5015,"Reksadana uang kos mama",Transaksi!$B$16:$B$5015,"&gt;="&amp;DATE(2025,4,1),Transaksi!$B$16:$B$5015,"&lt;="&amp;EOMONTH(DATE(2025,4,1),0))))</f>
        <v/>
      </c>
      <c r="G20" s="165">
        <f>(SUMIFS(Transaksi!$F$16:$F$5015,Transaksi!$G$16:$G$5015,"Tabungan",Transaksi!$D$16:$D$5015,"Keluar",Transaksi!$H$16:$H$5015,"&lt;&gt;Reksadana uang kos mama",Transaksi!$B$16:$B$5015,"&gt;="&amp;DATE(2025,4,1),Transaksi!$B$16:$B$5015,"&lt;="&amp;EOMONTH(DATE(2025,4,1),0))-SUMIFS(Transaksi!$F$16:$F$5015,Transaksi!$G$16:$G$5015,"Tabungan",Transaksi!$D$16:$D$5015,"Masuk",Transaksi!$H$16:$H$5015,"&lt;&gt;Reksadana uang kos mama",Transaksi!$B$16:$B$5015,"&gt;="&amp;DATE(2025,4,1),Transaksi!$B$16:$B$5015,"&lt;="&amp;EOMONTH(DATE(2025,4,1),0)))</f>
        <v/>
      </c>
    </row>
    <row r="21" ht="15" customHeight="1" s="94">
      <c r="A21" s="164" t="n">
        <v>2025</v>
      </c>
      <c r="B21" s="164" t="inlineStr">
        <is>
          <t>Mei</t>
        </is>
      </c>
      <c r="C21" s="165">
        <f>SUMIFS(Transaksi!$F$16:$F$5015,Transaksi!$G$16:$G$5015,"Pendapatan",Transaksi!$B$16:$B$5015,"&gt;="&amp;DATE(2025,5,1),Transaksi!$B$16:$B$5015,"&lt;="&amp;EOMONTH(DATE(2025,5,1),0))</f>
        <v/>
      </c>
      <c r="D21" s="165">
        <f>SUMIFS(Transaksi!$F$16:$F$5015,Transaksi!$G$16:$G$5015,"Pengeluaran",Transaksi!$B$16:$B$5015,"&gt;="&amp;DATE(2025,5,1),Transaksi!$B$16:$B$5015,"&lt;="&amp;EOMONTH(DATE(2025,5,1),0))</f>
        <v/>
      </c>
      <c r="E21" s="166">
        <f>C21-D21</f>
        <v/>
      </c>
      <c r="F21" s="165">
        <f>(SUMIFS(Transaksi!$F$16:$F$5015,Transaksi!$G$16:$G$5015,"Pendapatan",Transaksi!$B$16:$B$5015,"&gt;="&amp;DATE(2025,5,1),Transaksi!$B$16:$B$5015,"&lt;="&amp;EOMONTH(DATE(2025,5,1),0),Transaksi!$H$16:$H$5015,"Uang Kos Mama")+SUMIFS(Transaksi!$F$16:$F$5015,Transaksi!$G$16:$G$5015,"Pendapatan",Transaksi!$B$16:$B$5015,"&gt;="&amp;DATE(2025,5,1),Transaksi!$B$16:$B$5015,"&lt;="&amp;EOMONTH(DATE(2025,5,1),0),Transaksi!$H$16:$H$5015,"Uang Kedai"))-(SUMIFS(Transaksi!$F$16:$F$5015,Transaksi!$G$16:$G$5015,"Pengeluaran",Transaksi!$B$16:$B$5015,"&gt;="&amp;DATE(2025,5,1),Transaksi!$B$16:$B$5015,"&lt;="&amp;EOMONTH(DATE(2025,5,1),0),Transaksi!$H$16:$H$5015,"Pengeluaran Uang Kos")+SUMIFS(Transaksi!$F$16:$F$5015,Transaksi!$G$16:$G$5015,"Pengeluaran",Transaksi!$B$16:$B$5015,"&gt;="&amp;DATE(2025,5,1),Transaksi!$B$16:$B$5015,"&lt;="&amp;EOMONTH(DATE(2025,5,1),0),Transaksi!$H$16:$H$5015,"Pengeluaran Uang Kedai")+(SUMIFS(Transaksi!$F$16:$F$5015,Transaksi!$G$16:$G$5015,"Tabungan",Transaksi!$D$16:$D$5015,"Keluar",Transaksi!$H$16:$H$5015,"Reksadana uang kos mama",Transaksi!$B$16:$B$5015,"&gt;="&amp;DATE(2025,5,1),Transaksi!$B$16:$B$5015,"&lt;="&amp;EOMONTH(DATE(2025,5,1),0))-SUMIFS(Transaksi!$F$16:$F$5015,Transaksi!$G$16:$G$5015,"Tabungan",Transaksi!$D$16:$D$5015,"Masuk",Transaksi!$H$16:$H$5015,"Reksadana uang kos mama",Transaksi!$B$16:$B$5015,"&gt;="&amp;DATE(2025,5,1),Transaksi!$B$16:$B$5015,"&lt;="&amp;EOMONTH(DATE(2025,5,1),0))))</f>
        <v/>
      </c>
      <c r="G21" s="165">
        <f>(SUMIFS(Transaksi!$F$16:$F$5015,Transaksi!$G$16:$G$5015,"Tabungan",Transaksi!$D$16:$D$5015,"Keluar",Transaksi!$H$16:$H$5015,"&lt;&gt;Reksadana uang kos mama",Transaksi!$B$16:$B$5015,"&gt;="&amp;DATE(2025,5,1),Transaksi!$B$16:$B$5015,"&lt;="&amp;EOMONTH(DATE(2025,5,1),0))-SUMIFS(Transaksi!$F$16:$F$5015,Transaksi!$G$16:$G$5015,"Tabungan",Transaksi!$D$16:$D$5015,"Masuk",Transaksi!$H$16:$H$5015,"&lt;&gt;Reksadana uang kos mama",Transaksi!$B$16:$B$5015,"&gt;="&amp;DATE(2025,5,1),Transaksi!$B$16:$B$5015,"&lt;="&amp;EOMONTH(DATE(2025,5,1),0)))</f>
        <v/>
      </c>
    </row>
    <row r="22" ht="15" customHeight="1" s="94">
      <c r="A22" s="164" t="n">
        <v>2025</v>
      </c>
      <c r="B22" s="164" t="inlineStr">
        <is>
          <t>Jun</t>
        </is>
      </c>
      <c r="C22" s="165">
        <f>SUMIFS(Transaksi!$F$16:$F$5015,Transaksi!$G$16:$G$5015,"Pendapatan",Transaksi!$B$16:$B$5015,"&gt;="&amp;DATE(2025,6,1),Transaksi!$B$16:$B$5015,"&lt;="&amp;EOMONTH(DATE(2025,6,1),0))</f>
        <v/>
      </c>
      <c r="D22" s="165">
        <f>SUMIFS(Transaksi!$F$16:$F$5015,Transaksi!$G$16:$G$5015,"Pengeluaran",Transaksi!$B$16:$B$5015,"&gt;="&amp;DATE(2025,6,1),Transaksi!$B$16:$B$5015,"&lt;="&amp;EOMONTH(DATE(2025,6,1),0))</f>
        <v/>
      </c>
      <c r="E22" s="166">
        <f>C22-D22</f>
        <v/>
      </c>
      <c r="F22" s="165">
        <f>(SUMIFS(Transaksi!$F$16:$F$5015,Transaksi!$G$16:$G$5015,"Pendapatan",Transaksi!$B$16:$B$5015,"&gt;="&amp;DATE(2025,6,1),Transaksi!$B$16:$B$5015,"&lt;="&amp;EOMONTH(DATE(2025,6,1),0),Transaksi!$H$16:$H$5015,"Uang Kos Mama")+SUMIFS(Transaksi!$F$16:$F$5015,Transaksi!$G$16:$G$5015,"Pendapatan",Transaksi!$B$16:$B$5015,"&gt;="&amp;DATE(2025,6,1),Transaksi!$B$16:$B$5015,"&lt;="&amp;EOMONTH(DATE(2025,6,1),0),Transaksi!$H$16:$H$5015,"Uang Kedai"))-(SUMIFS(Transaksi!$F$16:$F$5015,Transaksi!$G$16:$G$5015,"Pengeluaran",Transaksi!$B$16:$B$5015,"&gt;="&amp;DATE(2025,6,1),Transaksi!$B$16:$B$5015,"&lt;="&amp;EOMONTH(DATE(2025,6,1),0),Transaksi!$H$16:$H$5015,"Pengeluaran Uang Kos")+SUMIFS(Transaksi!$F$16:$F$5015,Transaksi!$G$16:$G$5015,"Pengeluaran",Transaksi!$B$16:$B$5015,"&gt;="&amp;DATE(2025,6,1),Transaksi!$B$16:$B$5015,"&lt;="&amp;EOMONTH(DATE(2025,6,1),0),Transaksi!$H$16:$H$5015,"Pengeluaran Uang Kedai")+(SUMIFS(Transaksi!$F$16:$F$5015,Transaksi!$G$16:$G$5015,"Tabungan",Transaksi!$D$16:$D$5015,"Keluar",Transaksi!$H$16:$H$5015,"Reksadana uang kos mama",Transaksi!$B$16:$B$5015,"&gt;="&amp;DATE(2025,6,1),Transaksi!$B$16:$B$5015,"&lt;="&amp;EOMONTH(DATE(2025,6,1),0))-SUMIFS(Transaksi!$F$16:$F$5015,Transaksi!$G$16:$G$5015,"Tabungan",Transaksi!$D$16:$D$5015,"Masuk",Transaksi!$H$16:$H$5015,"Reksadana uang kos mama",Transaksi!$B$16:$B$5015,"&gt;="&amp;DATE(2025,6,1),Transaksi!$B$16:$B$5015,"&lt;="&amp;EOMONTH(DATE(2025,6,1),0))))</f>
        <v/>
      </c>
      <c r="G22" s="165">
        <f>(SUMIFS(Transaksi!$F$16:$F$5015,Transaksi!$G$16:$G$5015,"Tabungan",Transaksi!$D$16:$D$5015,"Keluar",Transaksi!$H$16:$H$5015,"&lt;&gt;Reksadana uang kos mama",Transaksi!$B$16:$B$5015,"&gt;="&amp;DATE(2025,6,1),Transaksi!$B$16:$B$5015,"&lt;="&amp;EOMONTH(DATE(2025,6,1),0))-SUMIFS(Transaksi!$F$16:$F$5015,Transaksi!$G$16:$G$5015,"Tabungan",Transaksi!$D$16:$D$5015,"Masuk",Transaksi!$H$16:$H$5015,"&lt;&gt;Reksadana uang kos mama",Transaksi!$B$16:$B$5015,"&gt;="&amp;DATE(2025,6,1),Transaksi!$B$16:$B$5015,"&lt;="&amp;EOMONTH(DATE(2025,6,1),0)))</f>
        <v/>
      </c>
    </row>
    <row r="23" ht="15" customHeight="1" s="94">
      <c r="A23" s="164" t="n">
        <v>2025</v>
      </c>
      <c r="B23" s="164" t="inlineStr">
        <is>
          <t>Jul</t>
        </is>
      </c>
      <c r="C23" s="165">
        <f>SUMIFS(Transaksi!$F$16:$F$5015,Transaksi!$G$16:$G$5015,"Pendapatan",Transaksi!$B$16:$B$5015,"&gt;="&amp;DATE(2025,7,1),Transaksi!$B$16:$B$5015,"&lt;="&amp;EOMONTH(DATE(2025,7,1),0))</f>
        <v/>
      </c>
      <c r="D23" s="165">
        <f>SUMIFS(Transaksi!$F$16:$F$5015,Transaksi!$G$16:$G$5015,"Pengeluaran",Transaksi!$B$16:$B$5015,"&gt;="&amp;DATE(2025,7,1),Transaksi!$B$16:$B$5015,"&lt;="&amp;EOMONTH(DATE(2025,7,1),0))</f>
        <v/>
      </c>
      <c r="E23" s="166">
        <f>C23-D23</f>
        <v/>
      </c>
      <c r="F23" s="165">
        <f>(SUMIFS(Transaksi!$F$16:$F$5015,Transaksi!$G$16:$G$5015,"Pendapatan",Transaksi!$B$16:$B$5015,"&gt;="&amp;DATE(2025,7,1),Transaksi!$B$16:$B$5015,"&lt;="&amp;EOMONTH(DATE(2025,7,1),0),Transaksi!$H$16:$H$5015,"Uang Kos Mama")+SUMIFS(Transaksi!$F$16:$F$5015,Transaksi!$G$16:$G$5015,"Pendapatan",Transaksi!$B$16:$B$5015,"&gt;="&amp;DATE(2025,7,1),Transaksi!$B$16:$B$5015,"&lt;="&amp;EOMONTH(DATE(2025,7,1),0),Transaksi!$H$16:$H$5015,"Uang Kedai"))-(SUMIFS(Transaksi!$F$16:$F$5015,Transaksi!$G$16:$G$5015,"Pengeluaran",Transaksi!$B$16:$B$5015,"&gt;="&amp;DATE(2025,7,1),Transaksi!$B$16:$B$5015,"&lt;="&amp;EOMONTH(DATE(2025,7,1),0),Transaksi!$H$16:$H$5015,"Pengeluaran Uang Kos")+SUMIFS(Transaksi!$F$16:$F$5015,Transaksi!$G$16:$G$5015,"Pengeluaran",Transaksi!$B$16:$B$5015,"&gt;="&amp;DATE(2025,7,1),Transaksi!$B$16:$B$5015,"&lt;="&amp;EOMONTH(DATE(2025,7,1),0),Transaksi!$H$16:$H$5015,"Pengeluaran Uang Kedai")+(SUMIFS(Transaksi!$F$16:$F$5015,Transaksi!$G$16:$G$5015,"Tabungan",Transaksi!$D$16:$D$5015,"Keluar",Transaksi!$H$16:$H$5015,"Reksadana uang kos mama",Transaksi!$B$16:$B$5015,"&gt;="&amp;DATE(2025,7,1),Transaksi!$B$16:$B$5015,"&lt;="&amp;EOMONTH(DATE(2025,7,1),0))-SUMIFS(Transaksi!$F$16:$F$5015,Transaksi!$G$16:$G$5015,"Tabungan",Transaksi!$D$16:$D$5015,"Masuk",Transaksi!$H$16:$H$5015,"Reksadana uang kos mama",Transaksi!$B$16:$B$5015,"&gt;="&amp;DATE(2025,7,1),Transaksi!$B$16:$B$5015,"&lt;="&amp;EOMONTH(DATE(2025,7,1),0))))</f>
        <v/>
      </c>
      <c r="G23" s="165">
        <f>(SUMIFS(Transaksi!$F$16:$F$5015,Transaksi!$G$16:$G$5015,"Tabungan",Transaksi!$D$16:$D$5015,"Keluar",Transaksi!$H$16:$H$5015,"&lt;&gt;Reksadana uang kos mama",Transaksi!$B$16:$B$5015,"&gt;="&amp;DATE(2025,7,1),Transaksi!$B$16:$B$5015,"&lt;="&amp;EOMONTH(DATE(2025,7,1),0))-SUMIFS(Transaksi!$F$16:$F$5015,Transaksi!$G$16:$G$5015,"Tabungan",Transaksi!$D$16:$D$5015,"Masuk",Transaksi!$H$16:$H$5015,"&lt;&gt;Reksadana uang kos mama",Transaksi!$B$16:$B$5015,"&gt;="&amp;DATE(2025,7,1),Transaksi!$B$16:$B$5015,"&lt;="&amp;EOMONTH(DATE(2025,7,1),0)))</f>
        <v/>
      </c>
    </row>
    <row r="24" ht="15" customHeight="1" s="94">
      <c r="A24" s="164" t="n">
        <v>2025</v>
      </c>
      <c r="B24" s="164" t="inlineStr">
        <is>
          <t>Agu</t>
        </is>
      </c>
      <c r="C24" s="165">
        <f>SUMIFS(Transaksi!$F$16:$F$5015,Transaksi!$G$16:$G$5015,"Pendapatan",Transaksi!$B$16:$B$5015,"&gt;="&amp;DATE(2025,8,1),Transaksi!$B$16:$B$5015,"&lt;="&amp;EOMONTH(DATE(2025,8,1),0))</f>
        <v/>
      </c>
      <c r="D24" s="165">
        <f>SUMIFS(Transaksi!$F$16:$F$5015,Transaksi!$G$16:$G$5015,"Pengeluaran",Transaksi!$B$16:$B$5015,"&gt;="&amp;DATE(2025,8,1),Transaksi!$B$16:$B$5015,"&lt;="&amp;EOMONTH(DATE(2025,8,1),0))</f>
        <v/>
      </c>
      <c r="E24" s="166">
        <f>C24-D24</f>
        <v/>
      </c>
      <c r="F24" s="165">
        <f>(SUMIFS(Transaksi!$F$16:$F$5015,Transaksi!$G$16:$G$5015,"Pendapatan",Transaksi!$B$16:$B$5015,"&gt;="&amp;DATE(2025,8,1),Transaksi!$B$16:$B$5015,"&lt;="&amp;EOMONTH(DATE(2025,8,1),0),Transaksi!$H$16:$H$5015,"Uang Kos Mama")+SUMIFS(Transaksi!$F$16:$F$5015,Transaksi!$G$16:$G$5015,"Pendapatan",Transaksi!$B$16:$B$5015,"&gt;="&amp;DATE(2025,8,1),Transaksi!$B$16:$B$5015,"&lt;="&amp;EOMONTH(DATE(2025,8,1),0),Transaksi!$H$16:$H$5015,"Uang Kedai"))-(SUMIFS(Transaksi!$F$16:$F$5015,Transaksi!$G$16:$G$5015,"Pengeluaran",Transaksi!$B$16:$B$5015,"&gt;="&amp;DATE(2025,8,1),Transaksi!$B$16:$B$5015,"&lt;="&amp;EOMONTH(DATE(2025,8,1),0),Transaksi!$H$16:$H$5015,"Pengeluaran Uang Kos")+SUMIFS(Transaksi!$F$16:$F$5015,Transaksi!$G$16:$G$5015,"Pengeluaran",Transaksi!$B$16:$B$5015,"&gt;="&amp;DATE(2025,8,1),Transaksi!$B$16:$B$5015,"&lt;="&amp;EOMONTH(DATE(2025,8,1),0),Transaksi!$H$16:$H$5015,"Pengeluaran Uang Kedai")+(SUMIFS(Transaksi!$F$16:$F$5015,Transaksi!$G$16:$G$5015,"Tabungan",Transaksi!$D$16:$D$5015,"Keluar",Transaksi!$H$16:$H$5015,"Reksadana uang kos mama",Transaksi!$B$16:$B$5015,"&gt;="&amp;DATE(2025,8,1),Transaksi!$B$16:$B$5015,"&lt;="&amp;EOMONTH(DATE(2025,8,1),0))-SUMIFS(Transaksi!$F$16:$F$5015,Transaksi!$G$16:$G$5015,"Tabungan",Transaksi!$D$16:$D$5015,"Masuk",Transaksi!$H$16:$H$5015,"Reksadana uang kos mama",Transaksi!$B$16:$B$5015,"&gt;="&amp;DATE(2025,8,1),Transaksi!$B$16:$B$5015,"&lt;="&amp;EOMONTH(DATE(2025,8,1),0))))</f>
        <v/>
      </c>
      <c r="G24" s="165">
        <f>(SUMIFS(Transaksi!$F$16:$F$5015,Transaksi!$G$16:$G$5015,"Tabungan",Transaksi!$D$16:$D$5015,"Keluar",Transaksi!$H$16:$H$5015,"&lt;&gt;Reksadana uang kos mama",Transaksi!$B$16:$B$5015,"&gt;="&amp;DATE(2025,8,1),Transaksi!$B$16:$B$5015,"&lt;="&amp;EOMONTH(DATE(2025,8,1),0))-SUMIFS(Transaksi!$F$16:$F$5015,Transaksi!$G$16:$G$5015,"Tabungan",Transaksi!$D$16:$D$5015,"Masuk",Transaksi!$H$16:$H$5015,"&lt;&gt;Reksadana uang kos mama",Transaksi!$B$16:$B$5015,"&gt;="&amp;DATE(2025,8,1),Transaksi!$B$16:$B$5015,"&lt;="&amp;EOMONTH(DATE(2025,8,1),0)))</f>
        <v/>
      </c>
    </row>
    <row r="25" ht="15" customHeight="1" s="94">
      <c r="A25" s="164" t="n">
        <v>2025</v>
      </c>
      <c r="B25" s="164" t="inlineStr">
        <is>
          <t>Sep</t>
        </is>
      </c>
      <c r="C25" s="165">
        <f>SUMIFS(Transaksi!$F$16:$F$5015,Transaksi!$G$16:$G$5015,"Pendapatan",Transaksi!$B$16:$B$5015,"&gt;="&amp;DATE(2025,9,1),Transaksi!$B$16:$B$5015,"&lt;="&amp;EOMONTH(DATE(2025,9,1),0))</f>
        <v/>
      </c>
      <c r="D25" s="165">
        <f>SUMIFS(Transaksi!$F$16:$F$5015,Transaksi!$G$16:$G$5015,"Pengeluaran",Transaksi!$B$16:$B$5015,"&gt;="&amp;DATE(2025,9,1),Transaksi!$B$16:$B$5015,"&lt;="&amp;EOMONTH(DATE(2025,9,1),0))</f>
        <v/>
      </c>
      <c r="E25" s="166">
        <f>C25-D25</f>
        <v/>
      </c>
      <c r="F25" s="165">
        <f>(SUMIFS(Transaksi!$F$16:$F$5015,Transaksi!$G$16:$G$5015,"Pendapatan",Transaksi!$B$16:$B$5015,"&gt;="&amp;DATE(2025,9,1),Transaksi!$B$16:$B$5015,"&lt;="&amp;EOMONTH(DATE(2025,9,1),0),Transaksi!$H$16:$H$5015,"Uang Kos Mama")+SUMIFS(Transaksi!$F$16:$F$5015,Transaksi!$G$16:$G$5015,"Pendapatan",Transaksi!$B$16:$B$5015,"&gt;="&amp;DATE(2025,9,1),Transaksi!$B$16:$B$5015,"&lt;="&amp;EOMONTH(DATE(2025,9,1),0),Transaksi!$H$16:$H$5015,"Uang Kedai"))-(SUMIFS(Transaksi!$F$16:$F$5015,Transaksi!$G$16:$G$5015,"Pengeluaran",Transaksi!$B$16:$B$5015,"&gt;="&amp;DATE(2025,9,1),Transaksi!$B$16:$B$5015,"&lt;="&amp;EOMONTH(DATE(2025,9,1),0),Transaksi!$H$16:$H$5015,"Pengeluaran Uang Kos")+SUMIFS(Transaksi!$F$16:$F$5015,Transaksi!$G$16:$G$5015,"Pengeluaran",Transaksi!$B$16:$B$5015,"&gt;="&amp;DATE(2025,9,1),Transaksi!$B$16:$B$5015,"&lt;="&amp;EOMONTH(DATE(2025,9,1),0),Transaksi!$H$16:$H$5015,"Pengeluaran Uang Kedai")+(SUMIFS(Transaksi!$F$16:$F$5015,Transaksi!$G$16:$G$5015,"Tabungan",Transaksi!$D$16:$D$5015,"Keluar",Transaksi!$H$16:$H$5015,"Reksadana uang kos mama",Transaksi!$B$16:$B$5015,"&gt;="&amp;DATE(2025,9,1),Transaksi!$B$16:$B$5015,"&lt;="&amp;EOMONTH(DATE(2025,9,1),0))-SUMIFS(Transaksi!$F$16:$F$5015,Transaksi!$G$16:$G$5015,"Tabungan",Transaksi!$D$16:$D$5015,"Masuk",Transaksi!$H$16:$H$5015,"Reksadana uang kos mama",Transaksi!$B$16:$B$5015,"&gt;="&amp;DATE(2025,9,1),Transaksi!$B$16:$B$5015,"&lt;="&amp;EOMONTH(DATE(2025,9,1),0))))</f>
        <v/>
      </c>
      <c r="G25" s="165">
        <f>(SUMIFS(Transaksi!$F$16:$F$5015,Transaksi!$G$16:$G$5015,"Tabungan",Transaksi!$D$16:$D$5015,"Keluar",Transaksi!$H$16:$H$5015,"&lt;&gt;Reksadana uang kos mama",Transaksi!$B$16:$B$5015,"&gt;="&amp;DATE(2025,9,1),Transaksi!$B$16:$B$5015,"&lt;="&amp;EOMONTH(DATE(2025,9,1),0))-SUMIFS(Transaksi!$F$16:$F$5015,Transaksi!$G$16:$G$5015,"Tabungan",Transaksi!$D$16:$D$5015,"Masuk",Transaksi!$H$16:$H$5015,"&lt;&gt;Reksadana uang kos mama",Transaksi!$B$16:$B$5015,"&gt;="&amp;DATE(2025,9,1),Transaksi!$B$16:$B$5015,"&lt;="&amp;EOMONTH(DATE(2025,9,1),0)))</f>
        <v/>
      </c>
    </row>
    <row r="26" ht="15" customHeight="1" s="94">
      <c r="A26" s="164" t="n">
        <v>2025</v>
      </c>
      <c r="B26" s="164" t="inlineStr">
        <is>
          <t>Okt</t>
        </is>
      </c>
      <c r="C26" s="165">
        <f>SUMIFS(Transaksi!$F$16:$F$5015,Transaksi!$G$16:$G$5015,"Pendapatan",Transaksi!$B$16:$B$5015,"&gt;="&amp;DATE(2025,10,1),Transaksi!$B$16:$B$5015,"&lt;="&amp;EOMONTH(DATE(2025,10,1),0))</f>
        <v/>
      </c>
      <c r="D26" s="165">
        <f>SUMIFS(Transaksi!$F$16:$F$5015,Transaksi!$G$16:$G$5015,"Pengeluaran",Transaksi!$B$16:$B$5015,"&gt;="&amp;DATE(2025,10,1),Transaksi!$B$16:$B$5015,"&lt;="&amp;EOMONTH(DATE(2025,10,1),0))</f>
        <v/>
      </c>
      <c r="E26" s="166">
        <f>C26-D26</f>
        <v/>
      </c>
      <c r="F26" s="165">
        <f>(SUMIFS(Transaksi!$F$16:$F$5015,Transaksi!$G$16:$G$5015,"Pendapatan",Transaksi!$B$16:$B$5015,"&gt;="&amp;DATE(2025,10,1),Transaksi!$B$16:$B$5015,"&lt;="&amp;EOMONTH(DATE(2025,10,1),0),Transaksi!$H$16:$H$5015,"Uang Kos Mama")+SUMIFS(Transaksi!$F$16:$F$5015,Transaksi!$G$16:$G$5015,"Pendapatan",Transaksi!$B$16:$B$5015,"&gt;="&amp;DATE(2025,10,1),Transaksi!$B$16:$B$5015,"&lt;="&amp;EOMONTH(DATE(2025,10,1),0),Transaksi!$H$16:$H$5015,"Uang Kedai"))-(SUMIFS(Transaksi!$F$16:$F$5015,Transaksi!$G$16:$G$5015,"Pengeluaran",Transaksi!$B$16:$B$5015,"&gt;="&amp;DATE(2025,10,1),Transaksi!$B$16:$B$5015,"&lt;="&amp;EOMONTH(DATE(2025,10,1),0),Transaksi!$H$16:$H$5015,"Pengeluaran Uang Kos")+SUMIFS(Transaksi!$F$16:$F$5015,Transaksi!$G$16:$G$5015,"Pengeluaran",Transaksi!$B$16:$B$5015,"&gt;="&amp;DATE(2025,10,1),Transaksi!$B$16:$B$5015,"&lt;="&amp;EOMONTH(DATE(2025,10,1),0),Transaksi!$H$16:$H$5015,"Pengeluaran Uang Kedai")+(SUMIFS(Transaksi!$F$16:$F$5015,Transaksi!$G$16:$G$5015,"Tabungan",Transaksi!$D$16:$D$5015,"Keluar",Transaksi!$H$16:$H$5015,"Reksadana uang kos mama",Transaksi!$B$16:$B$5015,"&gt;="&amp;DATE(2025,10,1),Transaksi!$B$16:$B$5015,"&lt;="&amp;EOMONTH(DATE(2025,10,1),0))-SUMIFS(Transaksi!$F$16:$F$5015,Transaksi!$G$16:$G$5015,"Tabungan",Transaksi!$D$16:$D$5015,"Masuk",Transaksi!$H$16:$H$5015,"Reksadana uang kos mama",Transaksi!$B$16:$B$5015,"&gt;="&amp;DATE(2025,10,1),Transaksi!$B$16:$B$5015,"&lt;="&amp;EOMONTH(DATE(2025,10,1),0))))</f>
        <v/>
      </c>
      <c r="G26" s="165">
        <f>(SUMIFS(Transaksi!$F$16:$F$5015,Transaksi!$G$16:$G$5015,"Tabungan",Transaksi!$D$16:$D$5015,"Keluar",Transaksi!$H$16:$H$5015,"&lt;&gt;Reksadana uang kos mama",Transaksi!$B$16:$B$5015,"&gt;="&amp;DATE(2025,10,1),Transaksi!$B$16:$B$5015,"&lt;="&amp;EOMONTH(DATE(2025,10,1),0))-SUMIFS(Transaksi!$F$16:$F$5015,Transaksi!$G$16:$G$5015,"Tabungan",Transaksi!$D$16:$D$5015,"Masuk",Transaksi!$H$16:$H$5015,"&lt;&gt;Reksadana uang kos mama",Transaksi!$B$16:$B$5015,"&gt;="&amp;DATE(2025,10,1),Transaksi!$B$16:$B$5015,"&lt;="&amp;EOMONTH(DATE(2025,10,1),0)))</f>
        <v/>
      </c>
    </row>
    <row r="27" ht="15" customHeight="1" s="94">
      <c r="A27" s="164" t="n">
        <v>2025</v>
      </c>
      <c r="B27" s="164" t="inlineStr">
        <is>
          <t>Nov</t>
        </is>
      </c>
      <c r="C27" s="165">
        <f>SUMIFS(Transaksi!$F$16:$F$5015,Transaksi!$G$16:$G$5015,"Pendapatan",Transaksi!$B$16:$B$5015,"&gt;="&amp;DATE(2025,11,1),Transaksi!$B$16:$B$5015,"&lt;="&amp;EOMONTH(DATE(2025,11,1),0))</f>
        <v/>
      </c>
      <c r="D27" s="165">
        <f>SUMIFS(Transaksi!$F$16:$F$5015,Transaksi!$G$16:$G$5015,"Pengeluaran",Transaksi!$B$16:$B$5015,"&gt;="&amp;DATE(2025,11,1),Transaksi!$B$16:$B$5015,"&lt;="&amp;EOMONTH(DATE(2025,11,1),0))</f>
        <v/>
      </c>
      <c r="E27" s="166">
        <f>C27-D27</f>
        <v/>
      </c>
      <c r="F27" s="165">
        <f>(SUMIFS(Transaksi!$F$16:$F$5015,Transaksi!$G$16:$G$5015,"Pendapatan",Transaksi!$B$16:$B$5015,"&gt;="&amp;DATE(2025,11,1),Transaksi!$B$16:$B$5015,"&lt;="&amp;EOMONTH(DATE(2025,11,1),0),Transaksi!$H$16:$H$5015,"Uang Kos Mama")+SUMIFS(Transaksi!$F$16:$F$5015,Transaksi!$G$16:$G$5015,"Pendapatan",Transaksi!$B$16:$B$5015,"&gt;="&amp;DATE(2025,11,1),Transaksi!$B$16:$B$5015,"&lt;="&amp;EOMONTH(DATE(2025,11,1),0),Transaksi!$H$16:$H$5015,"Uang Kedai"))-(SUMIFS(Transaksi!$F$16:$F$5015,Transaksi!$G$16:$G$5015,"Pengeluaran",Transaksi!$B$16:$B$5015,"&gt;="&amp;DATE(2025,11,1),Transaksi!$B$16:$B$5015,"&lt;="&amp;EOMONTH(DATE(2025,11,1),0),Transaksi!$H$16:$H$5015,"Pengeluaran Uang Kos")+SUMIFS(Transaksi!$F$16:$F$5015,Transaksi!$G$16:$G$5015,"Pengeluaran",Transaksi!$B$16:$B$5015,"&gt;="&amp;DATE(2025,11,1),Transaksi!$B$16:$B$5015,"&lt;="&amp;EOMONTH(DATE(2025,11,1),0),Transaksi!$H$16:$H$5015,"Pengeluaran Uang Kedai")+(SUMIFS(Transaksi!$F$16:$F$5015,Transaksi!$G$16:$G$5015,"Tabungan",Transaksi!$D$16:$D$5015,"Keluar",Transaksi!$H$16:$H$5015,"Reksadana uang kos mama",Transaksi!$B$16:$B$5015,"&gt;="&amp;DATE(2025,11,1),Transaksi!$B$16:$B$5015,"&lt;="&amp;EOMONTH(DATE(2025,11,1),0))-SUMIFS(Transaksi!$F$16:$F$5015,Transaksi!$G$16:$G$5015,"Tabungan",Transaksi!$D$16:$D$5015,"Masuk",Transaksi!$H$16:$H$5015,"Reksadana uang kos mama",Transaksi!$B$16:$B$5015,"&gt;="&amp;DATE(2025,11,1),Transaksi!$B$16:$B$5015,"&lt;="&amp;EOMONTH(DATE(2025,11,1),0))))</f>
        <v/>
      </c>
      <c r="G27" s="165">
        <f>(SUMIFS(Transaksi!$F$16:$F$5015,Transaksi!$G$16:$G$5015,"Tabungan",Transaksi!$D$16:$D$5015,"Keluar",Transaksi!$H$16:$H$5015,"&lt;&gt;Reksadana uang kos mama",Transaksi!$B$16:$B$5015,"&gt;="&amp;DATE(2025,11,1),Transaksi!$B$16:$B$5015,"&lt;="&amp;EOMONTH(DATE(2025,11,1),0))-SUMIFS(Transaksi!$F$16:$F$5015,Transaksi!$G$16:$G$5015,"Tabungan",Transaksi!$D$16:$D$5015,"Masuk",Transaksi!$H$16:$H$5015,"&lt;&gt;Reksadana uang kos mama",Transaksi!$B$16:$B$5015,"&gt;="&amp;DATE(2025,11,1),Transaksi!$B$16:$B$5015,"&lt;="&amp;EOMONTH(DATE(2025,11,1),0)))</f>
        <v/>
      </c>
    </row>
    <row r="28" ht="15" customHeight="1" s="94">
      <c r="A28" s="164" t="n">
        <v>2025</v>
      </c>
      <c r="B28" s="164" t="inlineStr">
        <is>
          <t>Des</t>
        </is>
      </c>
      <c r="C28" s="165">
        <f>SUMIFS(Transaksi!$F$16:$F$5015,Transaksi!$G$16:$G$5015,"Pendapatan",Transaksi!$B$16:$B$5015,"&gt;="&amp;DATE(2025,12,1),Transaksi!$B$16:$B$5015,"&lt;="&amp;EOMONTH(DATE(2025,12,1),0))</f>
        <v/>
      </c>
      <c r="D28" s="165">
        <f>SUMIFS(Transaksi!$F$16:$F$5015,Transaksi!$G$16:$G$5015,"Pengeluaran",Transaksi!$B$16:$B$5015,"&gt;="&amp;DATE(2025,12,1),Transaksi!$B$16:$B$5015,"&lt;="&amp;EOMONTH(DATE(2025,12,1),0))</f>
        <v/>
      </c>
      <c r="E28" s="166">
        <f>C28-D28</f>
        <v/>
      </c>
      <c r="F28" s="165">
        <f>(SUMIFS(Transaksi!$F$16:$F$5015,Transaksi!$G$16:$G$5015,"Pendapatan",Transaksi!$B$16:$B$5015,"&gt;="&amp;DATE(2025,12,1),Transaksi!$B$16:$B$5015,"&lt;="&amp;EOMONTH(DATE(2025,12,1),0),Transaksi!$H$16:$H$5015,"Uang Kos Mama")+SUMIFS(Transaksi!$F$16:$F$5015,Transaksi!$G$16:$G$5015,"Pendapatan",Transaksi!$B$16:$B$5015,"&gt;="&amp;DATE(2025,12,1),Transaksi!$B$16:$B$5015,"&lt;="&amp;EOMONTH(DATE(2025,12,1),0),Transaksi!$H$16:$H$5015,"Uang Kedai"))-(SUMIFS(Transaksi!$F$16:$F$5015,Transaksi!$G$16:$G$5015,"Pengeluaran",Transaksi!$B$16:$B$5015,"&gt;="&amp;DATE(2025,12,1),Transaksi!$B$16:$B$5015,"&lt;="&amp;EOMONTH(DATE(2025,12,1),0),Transaksi!$H$16:$H$5015,"Pengeluaran Uang Kos")+SUMIFS(Transaksi!$F$16:$F$5015,Transaksi!$G$16:$G$5015,"Pengeluaran",Transaksi!$B$16:$B$5015,"&gt;="&amp;DATE(2025,12,1),Transaksi!$B$16:$B$5015,"&lt;="&amp;EOMONTH(DATE(2025,12,1),0),Transaksi!$H$16:$H$5015,"Pengeluaran Uang Kedai")+(SUMIFS(Transaksi!$F$16:$F$5015,Transaksi!$G$16:$G$5015,"Tabungan",Transaksi!$D$16:$D$5015,"Keluar",Transaksi!$H$16:$H$5015,"Reksadana uang kos mama",Transaksi!$B$16:$B$5015,"&gt;="&amp;DATE(2025,12,1),Transaksi!$B$16:$B$5015,"&lt;="&amp;EOMONTH(DATE(2025,12,1),0))-SUMIFS(Transaksi!$F$16:$F$5015,Transaksi!$G$16:$G$5015,"Tabungan",Transaksi!$D$16:$D$5015,"Masuk",Transaksi!$H$16:$H$5015,"Reksadana uang kos mama",Transaksi!$B$16:$B$5015,"&gt;="&amp;DATE(2025,12,1),Transaksi!$B$16:$B$5015,"&lt;="&amp;EOMONTH(DATE(2025,12,1),0))))</f>
        <v/>
      </c>
      <c r="G28" s="165">
        <f>(SUMIFS(Transaksi!$F$16:$F$5015,Transaksi!$G$16:$G$5015,"Tabungan",Transaksi!$D$16:$D$5015,"Keluar",Transaksi!$H$16:$H$5015,"&lt;&gt;Reksadana uang kos mama",Transaksi!$B$16:$B$5015,"&gt;="&amp;DATE(2025,12,1),Transaksi!$B$16:$B$5015,"&lt;="&amp;EOMONTH(DATE(2025,12,1),0))-SUMIFS(Transaksi!$F$16:$F$5015,Transaksi!$G$16:$G$5015,"Tabungan",Transaksi!$D$16:$D$5015,"Masuk",Transaksi!$H$16:$H$5015,"&lt;&gt;Reksadana uang kos mama",Transaksi!$B$16:$B$5015,"&gt;="&amp;DATE(2025,12,1),Transaksi!$B$16:$B$5015,"&lt;="&amp;EOMONTH(DATE(2025,12,1),0)))</f>
        <v/>
      </c>
    </row>
    <row r="29" ht="15" customHeight="1" s="94">
      <c r="A29" s="164" t="n">
        <v>2026</v>
      </c>
      <c r="B29" s="164" t="inlineStr">
        <is>
          <t>Jan</t>
        </is>
      </c>
      <c r="C29" s="165">
        <f>SUMIFS(Transaksi!$F$16:$F$5015,Transaksi!$G$16:$G$5015,"Pendapatan",Transaksi!$B$16:$B$5015,"&gt;="&amp;DATE(2026,1,1),Transaksi!$B$16:$B$5015,"&lt;="&amp;EOMONTH(DATE(2026,1,1),0))</f>
        <v/>
      </c>
      <c r="D29" s="165">
        <f>SUMIFS(Transaksi!$F$16:$F$5015,Transaksi!$G$16:$G$5015,"Pengeluaran",Transaksi!$B$16:$B$5015,"&gt;="&amp;DATE(2026,1,1),Transaksi!$B$16:$B$5015,"&lt;="&amp;EOMONTH(DATE(2026,1,1),0))</f>
        <v/>
      </c>
      <c r="E29" s="166">
        <f>C29-D29</f>
        <v/>
      </c>
      <c r="F29" s="165">
        <f>(SUMIFS(Transaksi!$F$16:$F$5015,Transaksi!$G$16:$G$5015,"Pendapatan",Transaksi!$B$16:$B$5015,"&gt;="&amp;DATE(2026,1,1),Transaksi!$B$16:$B$5015,"&lt;="&amp;EOMONTH(DATE(2026,1,1),0),Transaksi!$H$16:$H$5015,"Uang Kos Mama")+SUMIFS(Transaksi!$F$16:$F$5015,Transaksi!$G$16:$G$5015,"Pendapatan",Transaksi!$B$16:$B$5015,"&gt;="&amp;DATE(2026,1,1),Transaksi!$B$16:$B$5015,"&lt;="&amp;EOMONTH(DATE(2026,1,1),0),Transaksi!$H$16:$H$5015,"Uang Kedai"))-(SUMIFS(Transaksi!$F$16:$F$5015,Transaksi!$G$16:$G$5015,"Pengeluaran",Transaksi!$B$16:$B$5015,"&gt;="&amp;DATE(2026,1,1),Transaksi!$B$16:$B$5015,"&lt;="&amp;EOMONTH(DATE(2026,1,1),0),Transaksi!$H$16:$H$5015,"Pengeluaran Uang Kos")+SUMIFS(Transaksi!$F$16:$F$5015,Transaksi!$G$16:$G$5015,"Pengeluaran",Transaksi!$B$16:$B$5015,"&gt;="&amp;DATE(2026,1,1),Transaksi!$B$16:$B$5015,"&lt;="&amp;EOMONTH(DATE(2026,1,1),0),Transaksi!$H$16:$H$5015,"Pengeluaran Uang Kedai")+(SUMIFS(Transaksi!$F$16:$F$5015,Transaksi!$G$16:$G$5015,"Tabungan",Transaksi!$D$16:$D$5015,"Keluar",Transaksi!$H$16:$H$5015,"Reksadana uang kos mama",Transaksi!$B$16:$B$5015,"&gt;="&amp;DATE(2026,1,1),Transaksi!$B$16:$B$5015,"&lt;="&amp;EOMONTH(DATE(2026,1,1),0))-SUMIFS(Transaksi!$F$16:$F$5015,Transaksi!$G$16:$G$5015,"Tabungan",Transaksi!$D$16:$D$5015,"Masuk",Transaksi!$H$16:$H$5015,"Reksadana uang kos mama",Transaksi!$B$16:$B$5015,"&gt;="&amp;DATE(2026,1,1),Transaksi!$B$16:$B$5015,"&lt;="&amp;EOMONTH(DATE(2026,1,1),0))))</f>
        <v/>
      </c>
      <c r="G29" s="165">
        <f>(SUMIFS(Transaksi!$F$16:$F$5015,Transaksi!$G$16:$G$5015,"Tabungan",Transaksi!$D$16:$D$5015,"Keluar",Transaksi!$H$16:$H$5015,"&lt;&gt;Reksadana uang kos mama",Transaksi!$B$16:$B$5015,"&gt;="&amp;DATE(2026,1,1),Transaksi!$B$16:$B$5015,"&lt;="&amp;EOMONTH(DATE(2026,1,1),0))-SUMIFS(Transaksi!$F$16:$F$5015,Transaksi!$G$16:$G$5015,"Tabungan",Transaksi!$D$16:$D$5015,"Masuk",Transaksi!$H$16:$H$5015,"&lt;&gt;Reksadana uang kos mama",Transaksi!$B$16:$B$5015,"&gt;="&amp;DATE(2026,1,1),Transaksi!$B$16:$B$5015,"&lt;="&amp;EOMONTH(DATE(2026,1,1),0)))</f>
        <v/>
      </c>
    </row>
    <row r="30" ht="15" customHeight="1" s="94">
      <c r="A30" s="164" t="n">
        <v>2026</v>
      </c>
      <c r="B30" s="164" t="inlineStr">
        <is>
          <t>Feb</t>
        </is>
      </c>
      <c r="C30" s="165">
        <f>SUMIFS(Transaksi!$F$16:$F$5015,Transaksi!$G$16:$G$5015,"Pendapatan",Transaksi!$B$16:$B$5015,"&gt;="&amp;DATE(2026,2,1),Transaksi!$B$16:$B$5015,"&lt;="&amp;EOMONTH(DATE(2026,2,1),0))</f>
        <v/>
      </c>
      <c r="D30" s="165">
        <f>SUMIFS(Transaksi!$F$16:$F$5015,Transaksi!$G$16:$G$5015,"Pengeluaran",Transaksi!$B$16:$B$5015,"&gt;="&amp;DATE(2026,2,1),Transaksi!$B$16:$B$5015,"&lt;="&amp;EOMONTH(DATE(2026,2,1),0))</f>
        <v/>
      </c>
      <c r="E30" s="166">
        <f>C30-D30</f>
        <v/>
      </c>
      <c r="F30" s="165">
        <f>(SUMIFS(Transaksi!$F$16:$F$5015,Transaksi!$G$16:$G$5015,"Pendapatan",Transaksi!$B$16:$B$5015,"&gt;="&amp;DATE(2026,2,1),Transaksi!$B$16:$B$5015,"&lt;="&amp;EOMONTH(DATE(2026,2,1),0),Transaksi!$H$16:$H$5015,"Uang Kos Mama")+SUMIFS(Transaksi!$F$16:$F$5015,Transaksi!$G$16:$G$5015,"Pendapatan",Transaksi!$B$16:$B$5015,"&gt;="&amp;DATE(2026,2,1),Transaksi!$B$16:$B$5015,"&lt;="&amp;EOMONTH(DATE(2026,2,1),0),Transaksi!$H$16:$H$5015,"Uang Kedai"))-(SUMIFS(Transaksi!$F$16:$F$5015,Transaksi!$G$16:$G$5015,"Pengeluaran",Transaksi!$B$16:$B$5015,"&gt;="&amp;DATE(2026,2,1),Transaksi!$B$16:$B$5015,"&lt;="&amp;EOMONTH(DATE(2026,2,1),0),Transaksi!$H$16:$H$5015,"Pengeluaran Uang Kos")+SUMIFS(Transaksi!$F$16:$F$5015,Transaksi!$G$16:$G$5015,"Pengeluaran",Transaksi!$B$16:$B$5015,"&gt;="&amp;DATE(2026,2,1),Transaksi!$B$16:$B$5015,"&lt;="&amp;EOMONTH(DATE(2026,2,1),0),Transaksi!$H$16:$H$5015,"Pengeluaran Uang Kedai")+(SUMIFS(Transaksi!$F$16:$F$5015,Transaksi!$G$16:$G$5015,"Tabungan",Transaksi!$D$16:$D$5015,"Keluar",Transaksi!$H$16:$H$5015,"Reksadana uang kos mama",Transaksi!$B$16:$B$5015,"&gt;="&amp;DATE(2026,2,1),Transaksi!$B$16:$B$5015,"&lt;="&amp;EOMONTH(DATE(2026,2,1),0))-SUMIFS(Transaksi!$F$16:$F$5015,Transaksi!$G$16:$G$5015,"Tabungan",Transaksi!$D$16:$D$5015,"Masuk",Transaksi!$H$16:$H$5015,"Reksadana uang kos mama",Transaksi!$B$16:$B$5015,"&gt;="&amp;DATE(2026,2,1),Transaksi!$B$16:$B$5015,"&lt;="&amp;EOMONTH(DATE(2026,2,1),0))))</f>
        <v/>
      </c>
      <c r="G30" s="165">
        <f>(SUMIFS(Transaksi!$F$16:$F$5015,Transaksi!$G$16:$G$5015,"Tabungan",Transaksi!$D$16:$D$5015,"Keluar",Transaksi!$H$16:$H$5015,"&lt;&gt;Reksadana uang kos mama",Transaksi!$B$16:$B$5015,"&gt;="&amp;DATE(2026,2,1),Transaksi!$B$16:$B$5015,"&lt;="&amp;EOMONTH(DATE(2026,2,1),0))-SUMIFS(Transaksi!$F$16:$F$5015,Transaksi!$G$16:$G$5015,"Tabungan",Transaksi!$D$16:$D$5015,"Masuk",Transaksi!$H$16:$H$5015,"&lt;&gt;Reksadana uang kos mama",Transaksi!$B$16:$B$5015,"&gt;="&amp;DATE(2026,2,1),Transaksi!$B$16:$B$5015,"&lt;="&amp;EOMONTH(DATE(2026,2,1),0)))</f>
        <v/>
      </c>
    </row>
    <row r="31" ht="15" customHeight="1" s="94">
      <c r="A31" s="164" t="n">
        <v>2026</v>
      </c>
      <c r="B31" s="164" t="inlineStr">
        <is>
          <t>Mar</t>
        </is>
      </c>
      <c r="C31" s="165">
        <f>SUMIFS(Transaksi!$F$16:$F$5015,Transaksi!$G$16:$G$5015,"Pendapatan",Transaksi!$B$16:$B$5015,"&gt;="&amp;DATE(2026,3,1),Transaksi!$B$16:$B$5015,"&lt;="&amp;EOMONTH(DATE(2026,3,1),0))</f>
        <v/>
      </c>
      <c r="D31" s="165">
        <f>SUMIFS(Transaksi!$F$16:$F$5015,Transaksi!$G$16:$G$5015,"Pengeluaran",Transaksi!$B$16:$B$5015,"&gt;="&amp;DATE(2026,3,1),Transaksi!$B$16:$B$5015,"&lt;="&amp;EOMONTH(DATE(2026,3,1),0))</f>
        <v/>
      </c>
      <c r="E31" s="166">
        <f>C31-D31</f>
        <v/>
      </c>
      <c r="F31" s="165">
        <f>(SUMIFS(Transaksi!$F$16:$F$5015,Transaksi!$G$16:$G$5015,"Pendapatan",Transaksi!$B$16:$B$5015,"&gt;="&amp;DATE(2026,3,1),Transaksi!$B$16:$B$5015,"&lt;="&amp;EOMONTH(DATE(2026,3,1),0),Transaksi!$H$16:$H$5015,"Uang Kos Mama")+SUMIFS(Transaksi!$F$16:$F$5015,Transaksi!$G$16:$G$5015,"Pendapatan",Transaksi!$B$16:$B$5015,"&gt;="&amp;DATE(2026,3,1),Transaksi!$B$16:$B$5015,"&lt;="&amp;EOMONTH(DATE(2026,3,1),0),Transaksi!$H$16:$H$5015,"Uang Kedai"))-(SUMIFS(Transaksi!$F$16:$F$5015,Transaksi!$G$16:$G$5015,"Pengeluaran",Transaksi!$B$16:$B$5015,"&gt;="&amp;DATE(2026,3,1),Transaksi!$B$16:$B$5015,"&lt;="&amp;EOMONTH(DATE(2026,3,1),0),Transaksi!$H$16:$H$5015,"Pengeluaran Uang Kos")+SUMIFS(Transaksi!$F$16:$F$5015,Transaksi!$G$16:$G$5015,"Pengeluaran",Transaksi!$B$16:$B$5015,"&gt;="&amp;DATE(2026,3,1),Transaksi!$B$16:$B$5015,"&lt;="&amp;EOMONTH(DATE(2026,3,1),0),Transaksi!$H$16:$H$5015,"Pengeluaran Uang Kedai")+(SUMIFS(Transaksi!$F$16:$F$5015,Transaksi!$G$16:$G$5015,"Tabungan",Transaksi!$D$16:$D$5015,"Keluar",Transaksi!$H$16:$H$5015,"Reksadana uang kos mama",Transaksi!$B$16:$B$5015,"&gt;="&amp;DATE(2026,3,1),Transaksi!$B$16:$B$5015,"&lt;="&amp;EOMONTH(DATE(2026,3,1),0))-SUMIFS(Transaksi!$F$16:$F$5015,Transaksi!$G$16:$G$5015,"Tabungan",Transaksi!$D$16:$D$5015,"Masuk",Transaksi!$H$16:$H$5015,"Reksadana uang kos mama",Transaksi!$B$16:$B$5015,"&gt;="&amp;DATE(2026,3,1),Transaksi!$B$16:$B$5015,"&lt;="&amp;EOMONTH(DATE(2026,3,1),0))))</f>
        <v/>
      </c>
      <c r="G31" s="165">
        <f>(SUMIFS(Transaksi!$F$16:$F$5015,Transaksi!$G$16:$G$5015,"Tabungan",Transaksi!$D$16:$D$5015,"Keluar",Transaksi!$H$16:$H$5015,"&lt;&gt;Reksadana uang kos mama",Transaksi!$B$16:$B$5015,"&gt;="&amp;DATE(2026,3,1),Transaksi!$B$16:$B$5015,"&lt;="&amp;EOMONTH(DATE(2026,3,1),0))-SUMIFS(Transaksi!$F$16:$F$5015,Transaksi!$G$16:$G$5015,"Tabungan",Transaksi!$D$16:$D$5015,"Masuk",Transaksi!$H$16:$H$5015,"&lt;&gt;Reksadana uang kos mama",Transaksi!$B$16:$B$5015,"&gt;="&amp;DATE(2026,3,1),Transaksi!$B$16:$B$5015,"&lt;="&amp;EOMONTH(DATE(2026,3,1),0)))</f>
        <v/>
      </c>
    </row>
    <row r="32" ht="15" customHeight="1" s="94">
      <c r="A32" s="164" t="n">
        <v>2026</v>
      </c>
      <c r="B32" s="164" t="inlineStr">
        <is>
          <t>Apr</t>
        </is>
      </c>
      <c r="C32" s="165">
        <f>SUMIFS(Transaksi!$F$16:$F$5015,Transaksi!$G$16:$G$5015,"Pendapatan",Transaksi!$B$16:$B$5015,"&gt;="&amp;DATE(2026,4,1),Transaksi!$B$16:$B$5015,"&lt;="&amp;EOMONTH(DATE(2026,4,1),0))</f>
        <v/>
      </c>
      <c r="D32" s="165">
        <f>SUMIFS(Transaksi!$F$16:$F$5015,Transaksi!$G$16:$G$5015,"Pengeluaran",Transaksi!$B$16:$B$5015,"&gt;="&amp;DATE(2026,4,1),Transaksi!$B$16:$B$5015,"&lt;="&amp;EOMONTH(DATE(2026,4,1),0))</f>
        <v/>
      </c>
      <c r="E32" s="166">
        <f>C32-D32</f>
        <v/>
      </c>
      <c r="F32" s="165">
        <f>(SUMIFS(Transaksi!$F$16:$F$5015,Transaksi!$G$16:$G$5015,"Pendapatan",Transaksi!$B$16:$B$5015,"&gt;="&amp;DATE(2026,4,1),Transaksi!$B$16:$B$5015,"&lt;="&amp;EOMONTH(DATE(2026,4,1),0),Transaksi!$H$16:$H$5015,"Uang Kos Mama")+SUMIFS(Transaksi!$F$16:$F$5015,Transaksi!$G$16:$G$5015,"Pendapatan",Transaksi!$B$16:$B$5015,"&gt;="&amp;DATE(2026,4,1),Transaksi!$B$16:$B$5015,"&lt;="&amp;EOMONTH(DATE(2026,4,1),0),Transaksi!$H$16:$H$5015,"Uang Kedai"))-(SUMIFS(Transaksi!$F$16:$F$5015,Transaksi!$G$16:$G$5015,"Pengeluaran",Transaksi!$B$16:$B$5015,"&gt;="&amp;DATE(2026,4,1),Transaksi!$B$16:$B$5015,"&lt;="&amp;EOMONTH(DATE(2026,4,1),0),Transaksi!$H$16:$H$5015,"Pengeluaran Uang Kos")+SUMIFS(Transaksi!$F$16:$F$5015,Transaksi!$G$16:$G$5015,"Pengeluaran",Transaksi!$B$16:$B$5015,"&gt;="&amp;DATE(2026,4,1),Transaksi!$B$16:$B$5015,"&lt;="&amp;EOMONTH(DATE(2026,4,1),0),Transaksi!$H$16:$H$5015,"Pengeluaran Uang Kedai")+(SUMIFS(Transaksi!$F$16:$F$5015,Transaksi!$G$16:$G$5015,"Tabungan",Transaksi!$D$16:$D$5015,"Keluar",Transaksi!$H$16:$H$5015,"Reksadana uang kos mama",Transaksi!$B$16:$B$5015,"&gt;="&amp;DATE(2026,4,1),Transaksi!$B$16:$B$5015,"&lt;="&amp;EOMONTH(DATE(2026,4,1),0))-SUMIFS(Transaksi!$F$16:$F$5015,Transaksi!$G$16:$G$5015,"Tabungan",Transaksi!$D$16:$D$5015,"Masuk",Transaksi!$H$16:$H$5015,"Reksadana uang kos mama",Transaksi!$B$16:$B$5015,"&gt;="&amp;DATE(2026,4,1),Transaksi!$B$16:$B$5015,"&lt;="&amp;EOMONTH(DATE(2026,4,1),0))))</f>
        <v/>
      </c>
      <c r="G32" s="165">
        <f>(SUMIFS(Transaksi!$F$16:$F$5015,Transaksi!$G$16:$G$5015,"Tabungan",Transaksi!$D$16:$D$5015,"Keluar",Transaksi!$H$16:$H$5015,"&lt;&gt;Reksadana uang kos mama",Transaksi!$B$16:$B$5015,"&gt;="&amp;DATE(2026,4,1),Transaksi!$B$16:$B$5015,"&lt;="&amp;EOMONTH(DATE(2026,4,1),0))-SUMIFS(Transaksi!$F$16:$F$5015,Transaksi!$G$16:$G$5015,"Tabungan",Transaksi!$D$16:$D$5015,"Masuk",Transaksi!$H$16:$H$5015,"&lt;&gt;Reksadana uang kos mama",Transaksi!$B$16:$B$5015,"&gt;="&amp;DATE(2026,4,1),Transaksi!$B$16:$B$5015,"&lt;="&amp;EOMONTH(DATE(2026,4,1),0)))</f>
        <v/>
      </c>
    </row>
    <row r="33" ht="15" customHeight="1" s="94">
      <c r="A33" s="164" t="n">
        <v>2026</v>
      </c>
      <c r="B33" s="164" t="inlineStr">
        <is>
          <t>Mei</t>
        </is>
      </c>
      <c r="C33" s="165">
        <f>SUMIFS(Transaksi!$F$16:$F$5015,Transaksi!$G$16:$G$5015,"Pendapatan",Transaksi!$B$16:$B$5015,"&gt;="&amp;DATE(2026,5,1),Transaksi!$B$16:$B$5015,"&lt;="&amp;EOMONTH(DATE(2026,5,1),0))</f>
        <v/>
      </c>
      <c r="D33" s="165">
        <f>SUMIFS(Transaksi!$F$16:$F$5015,Transaksi!$G$16:$G$5015,"Pengeluaran",Transaksi!$B$16:$B$5015,"&gt;="&amp;DATE(2026,5,1),Transaksi!$B$16:$B$5015,"&lt;="&amp;EOMONTH(DATE(2026,5,1),0))</f>
        <v/>
      </c>
      <c r="E33" s="166">
        <f>C33-D33</f>
        <v/>
      </c>
      <c r="F33" s="165">
        <f>(SUMIFS(Transaksi!$F$16:$F$5015,Transaksi!$G$16:$G$5015,"Pendapatan",Transaksi!$B$16:$B$5015,"&gt;="&amp;DATE(2026,5,1),Transaksi!$B$16:$B$5015,"&lt;="&amp;EOMONTH(DATE(2026,5,1),0),Transaksi!$H$16:$H$5015,"Uang Kos Mama")+SUMIFS(Transaksi!$F$16:$F$5015,Transaksi!$G$16:$G$5015,"Pendapatan",Transaksi!$B$16:$B$5015,"&gt;="&amp;DATE(2026,5,1),Transaksi!$B$16:$B$5015,"&lt;="&amp;EOMONTH(DATE(2026,5,1),0),Transaksi!$H$16:$H$5015,"Uang Kedai"))-(SUMIFS(Transaksi!$F$16:$F$5015,Transaksi!$G$16:$G$5015,"Pengeluaran",Transaksi!$B$16:$B$5015,"&gt;="&amp;DATE(2026,5,1),Transaksi!$B$16:$B$5015,"&lt;="&amp;EOMONTH(DATE(2026,5,1),0),Transaksi!$H$16:$H$5015,"Pengeluaran Uang Kos")+SUMIFS(Transaksi!$F$16:$F$5015,Transaksi!$G$16:$G$5015,"Pengeluaran",Transaksi!$B$16:$B$5015,"&gt;="&amp;DATE(2026,5,1),Transaksi!$B$16:$B$5015,"&lt;="&amp;EOMONTH(DATE(2026,5,1),0),Transaksi!$H$16:$H$5015,"Pengeluaran Uang Kedai")+(SUMIFS(Transaksi!$F$16:$F$5015,Transaksi!$G$16:$G$5015,"Tabungan",Transaksi!$D$16:$D$5015,"Keluar",Transaksi!$H$16:$H$5015,"Reksadana uang kos mama",Transaksi!$B$16:$B$5015,"&gt;="&amp;DATE(2026,5,1),Transaksi!$B$16:$B$5015,"&lt;="&amp;EOMONTH(DATE(2026,5,1),0))-SUMIFS(Transaksi!$F$16:$F$5015,Transaksi!$G$16:$G$5015,"Tabungan",Transaksi!$D$16:$D$5015,"Masuk",Transaksi!$H$16:$H$5015,"Reksadana uang kos mama",Transaksi!$B$16:$B$5015,"&gt;="&amp;DATE(2026,5,1),Transaksi!$B$16:$B$5015,"&lt;="&amp;EOMONTH(DATE(2026,5,1),0))))</f>
        <v/>
      </c>
      <c r="G33" s="165">
        <f>(SUMIFS(Transaksi!$F$16:$F$5015,Transaksi!$G$16:$G$5015,"Tabungan",Transaksi!$D$16:$D$5015,"Keluar",Transaksi!$H$16:$H$5015,"&lt;&gt;Reksadana uang kos mama",Transaksi!$B$16:$B$5015,"&gt;="&amp;DATE(2026,5,1),Transaksi!$B$16:$B$5015,"&lt;="&amp;EOMONTH(DATE(2026,5,1),0))-SUMIFS(Transaksi!$F$16:$F$5015,Transaksi!$G$16:$G$5015,"Tabungan",Transaksi!$D$16:$D$5015,"Masuk",Transaksi!$H$16:$H$5015,"&lt;&gt;Reksadana uang kos mama",Transaksi!$B$16:$B$5015,"&gt;="&amp;DATE(2026,5,1),Transaksi!$B$16:$B$5015,"&lt;="&amp;EOMONTH(DATE(2026,5,1),0)))</f>
        <v/>
      </c>
    </row>
    <row r="34" ht="15" customHeight="1" s="94">
      <c r="A34" s="164" t="n">
        <v>2026</v>
      </c>
      <c r="B34" s="164" t="inlineStr">
        <is>
          <t>Jun</t>
        </is>
      </c>
      <c r="C34" s="165">
        <f>SUMIFS(Transaksi!$F$16:$F$5015,Transaksi!$G$16:$G$5015,"Pendapatan",Transaksi!$B$16:$B$5015,"&gt;="&amp;DATE(2026,6,1),Transaksi!$B$16:$B$5015,"&lt;="&amp;EOMONTH(DATE(2026,6,1),0))</f>
        <v/>
      </c>
      <c r="D34" s="165">
        <f>SUMIFS(Transaksi!$F$16:$F$5015,Transaksi!$G$16:$G$5015,"Pengeluaran",Transaksi!$B$16:$B$5015,"&gt;="&amp;DATE(2026,6,1),Transaksi!$B$16:$B$5015,"&lt;="&amp;EOMONTH(DATE(2026,6,1),0))</f>
        <v/>
      </c>
      <c r="E34" s="166">
        <f>C34-D34</f>
        <v/>
      </c>
      <c r="F34" s="165">
        <f>(SUMIFS(Transaksi!$F$16:$F$5015,Transaksi!$G$16:$G$5015,"Pendapatan",Transaksi!$B$16:$B$5015,"&gt;="&amp;DATE(2026,6,1),Transaksi!$B$16:$B$5015,"&lt;="&amp;EOMONTH(DATE(2026,6,1),0),Transaksi!$H$16:$H$5015,"Uang Kos Mama")+SUMIFS(Transaksi!$F$16:$F$5015,Transaksi!$G$16:$G$5015,"Pendapatan",Transaksi!$B$16:$B$5015,"&gt;="&amp;DATE(2026,6,1),Transaksi!$B$16:$B$5015,"&lt;="&amp;EOMONTH(DATE(2026,6,1),0),Transaksi!$H$16:$H$5015,"Uang Kedai"))-(SUMIFS(Transaksi!$F$16:$F$5015,Transaksi!$G$16:$G$5015,"Pengeluaran",Transaksi!$B$16:$B$5015,"&gt;="&amp;DATE(2026,6,1),Transaksi!$B$16:$B$5015,"&lt;="&amp;EOMONTH(DATE(2026,6,1),0),Transaksi!$H$16:$H$5015,"Pengeluaran Uang Kos")+SUMIFS(Transaksi!$F$16:$F$5015,Transaksi!$G$16:$G$5015,"Pengeluaran",Transaksi!$B$16:$B$5015,"&gt;="&amp;DATE(2026,6,1),Transaksi!$B$16:$B$5015,"&lt;="&amp;EOMONTH(DATE(2026,6,1),0),Transaksi!$H$16:$H$5015,"Pengeluaran Uang Kedai")+(SUMIFS(Transaksi!$F$16:$F$5015,Transaksi!$G$16:$G$5015,"Tabungan",Transaksi!$D$16:$D$5015,"Keluar",Transaksi!$H$16:$H$5015,"Reksadana uang kos mama",Transaksi!$B$16:$B$5015,"&gt;="&amp;DATE(2026,6,1),Transaksi!$B$16:$B$5015,"&lt;="&amp;EOMONTH(DATE(2026,6,1),0))-SUMIFS(Transaksi!$F$16:$F$5015,Transaksi!$G$16:$G$5015,"Tabungan",Transaksi!$D$16:$D$5015,"Masuk",Transaksi!$H$16:$H$5015,"Reksadana uang kos mama",Transaksi!$B$16:$B$5015,"&gt;="&amp;DATE(2026,6,1),Transaksi!$B$16:$B$5015,"&lt;="&amp;EOMONTH(DATE(2026,6,1),0))))</f>
        <v/>
      </c>
      <c r="G34" s="165">
        <f>(SUMIFS(Transaksi!$F$16:$F$5015,Transaksi!$G$16:$G$5015,"Tabungan",Transaksi!$D$16:$D$5015,"Keluar",Transaksi!$H$16:$H$5015,"&lt;&gt;Reksadana uang kos mama",Transaksi!$B$16:$B$5015,"&gt;="&amp;DATE(2026,6,1),Transaksi!$B$16:$B$5015,"&lt;="&amp;EOMONTH(DATE(2026,6,1),0))-SUMIFS(Transaksi!$F$16:$F$5015,Transaksi!$G$16:$G$5015,"Tabungan",Transaksi!$D$16:$D$5015,"Masuk",Transaksi!$H$16:$H$5015,"&lt;&gt;Reksadana uang kos mama",Transaksi!$B$16:$B$5015,"&gt;="&amp;DATE(2026,6,1),Transaksi!$B$16:$B$5015,"&lt;="&amp;EOMONTH(DATE(2026,6,1),0)))</f>
        <v/>
      </c>
    </row>
    <row r="35" ht="15" customHeight="1" s="94">
      <c r="A35" s="164" t="n">
        <v>2026</v>
      </c>
      <c r="B35" s="164" t="inlineStr">
        <is>
          <t>Jul</t>
        </is>
      </c>
      <c r="C35" s="165">
        <f>SUMIFS(Transaksi!$F$16:$F$5015,Transaksi!$G$16:$G$5015,"Pendapatan",Transaksi!$B$16:$B$5015,"&gt;="&amp;DATE(2026,7,1),Transaksi!$B$16:$B$5015,"&lt;="&amp;EOMONTH(DATE(2026,7,1),0))</f>
        <v/>
      </c>
      <c r="D35" s="165">
        <f>SUMIFS(Transaksi!$F$16:$F$5015,Transaksi!$G$16:$G$5015,"Pengeluaran",Transaksi!$B$16:$B$5015,"&gt;="&amp;DATE(2026,7,1),Transaksi!$B$16:$B$5015,"&lt;="&amp;EOMONTH(DATE(2026,7,1),0))</f>
        <v/>
      </c>
      <c r="E35" s="166">
        <f>C35-D35</f>
        <v/>
      </c>
      <c r="F35" s="165">
        <f>(SUMIFS(Transaksi!$F$16:$F$5015,Transaksi!$G$16:$G$5015,"Pendapatan",Transaksi!$B$16:$B$5015,"&gt;="&amp;DATE(2026,7,1),Transaksi!$B$16:$B$5015,"&lt;="&amp;EOMONTH(DATE(2026,7,1),0),Transaksi!$H$16:$H$5015,"Uang Kos Mama")+SUMIFS(Transaksi!$F$16:$F$5015,Transaksi!$G$16:$G$5015,"Pendapatan",Transaksi!$B$16:$B$5015,"&gt;="&amp;DATE(2026,7,1),Transaksi!$B$16:$B$5015,"&lt;="&amp;EOMONTH(DATE(2026,7,1),0),Transaksi!$H$16:$H$5015,"Uang Kedai"))-(SUMIFS(Transaksi!$F$16:$F$5015,Transaksi!$G$16:$G$5015,"Pengeluaran",Transaksi!$B$16:$B$5015,"&gt;="&amp;DATE(2026,7,1),Transaksi!$B$16:$B$5015,"&lt;="&amp;EOMONTH(DATE(2026,7,1),0),Transaksi!$H$16:$H$5015,"Pengeluaran Uang Kos")+SUMIFS(Transaksi!$F$16:$F$5015,Transaksi!$G$16:$G$5015,"Pengeluaran",Transaksi!$B$16:$B$5015,"&gt;="&amp;DATE(2026,7,1),Transaksi!$B$16:$B$5015,"&lt;="&amp;EOMONTH(DATE(2026,7,1),0),Transaksi!$H$16:$H$5015,"Pengeluaran Uang Kedai")+(SUMIFS(Transaksi!$F$16:$F$5015,Transaksi!$G$16:$G$5015,"Tabungan",Transaksi!$D$16:$D$5015,"Keluar",Transaksi!$H$16:$H$5015,"Reksadana uang kos mama",Transaksi!$B$16:$B$5015,"&gt;="&amp;DATE(2026,7,1),Transaksi!$B$16:$B$5015,"&lt;="&amp;EOMONTH(DATE(2026,7,1),0))-SUMIFS(Transaksi!$F$16:$F$5015,Transaksi!$G$16:$G$5015,"Tabungan",Transaksi!$D$16:$D$5015,"Masuk",Transaksi!$H$16:$H$5015,"Reksadana uang kos mama",Transaksi!$B$16:$B$5015,"&gt;="&amp;DATE(2026,7,1),Transaksi!$B$16:$B$5015,"&lt;="&amp;EOMONTH(DATE(2026,7,1),0))))</f>
        <v/>
      </c>
      <c r="G35" s="165">
        <f>(SUMIFS(Transaksi!$F$16:$F$5015,Transaksi!$G$16:$G$5015,"Tabungan",Transaksi!$D$16:$D$5015,"Keluar",Transaksi!$H$16:$H$5015,"&lt;&gt;Reksadana uang kos mama",Transaksi!$B$16:$B$5015,"&gt;="&amp;DATE(2026,7,1),Transaksi!$B$16:$B$5015,"&lt;="&amp;EOMONTH(DATE(2026,7,1),0))-SUMIFS(Transaksi!$F$16:$F$5015,Transaksi!$G$16:$G$5015,"Tabungan",Transaksi!$D$16:$D$5015,"Masuk",Transaksi!$H$16:$H$5015,"&lt;&gt;Reksadana uang kos mama",Transaksi!$B$16:$B$5015,"&gt;="&amp;DATE(2026,7,1),Transaksi!$B$16:$B$5015,"&lt;="&amp;EOMONTH(DATE(2026,7,1),0)))</f>
        <v/>
      </c>
    </row>
    <row r="36" ht="15" customHeight="1" s="94">
      <c r="A36" s="164" t="n">
        <v>2026</v>
      </c>
      <c r="B36" s="164" t="inlineStr">
        <is>
          <t>Agu</t>
        </is>
      </c>
      <c r="C36" s="165">
        <f>SUMIFS(Transaksi!$F$16:$F$5015,Transaksi!$G$16:$G$5015,"Pendapatan",Transaksi!$B$16:$B$5015,"&gt;="&amp;DATE(2026,8,1),Transaksi!$B$16:$B$5015,"&lt;="&amp;EOMONTH(DATE(2026,8,1),0))</f>
        <v/>
      </c>
      <c r="D36" s="165">
        <f>SUMIFS(Transaksi!$F$16:$F$5015,Transaksi!$G$16:$G$5015,"Pengeluaran",Transaksi!$B$16:$B$5015,"&gt;="&amp;DATE(2026,8,1),Transaksi!$B$16:$B$5015,"&lt;="&amp;EOMONTH(DATE(2026,8,1),0))</f>
        <v/>
      </c>
      <c r="E36" s="166">
        <f>C36-D36</f>
        <v/>
      </c>
      <c r="F36" s="165">
        <f>(SUMIFS(Transaksi!$F$16:$F$5015,Transaksi!$G$16:$G$5015,"Pendapatan",Transaksi!$B$16:$B$5015,"&gt;="&amp;DATE(2026,8,1),Transaksi!$B$16:$B$5015,"&lt;="&amp;EOMONTH(DATE(2026,8,1),0),Transaksi!$H$16:$H$5015,"Uang Kos Mama")+SUMIFS(Transaksi!$F$16:$F$5015,Transaksi!$G$16:$G$5015,"Pendapatan",Transaksi!$B$16:$B$5015,"&gt;="&amp;DATE(2026,8,1),Transaksi!$B$16:$B$5015,"&lt;="&amp;EOMONTH(DATE(2026,8,1),0),Transaksi!$H$16:$H$5015,"Uang Kedai"))-(SUMIFS(Transaksi!$F$16:$F$5015,Transaksi!$G$16:$G$5015,"Pengeluaran",Transaksi!$B$16:$B$5015,"&gt;="&amp;DATE(2026,8,1),Transaksi!$B$16:$B$5015,"&lt;="&amp;EOMONTH(DATE(2026,8,1),0),Transaksi!$H$16:$H$5015,"Pengeluaran Uang Kos")+SUMIFS(Transaksi!$F$16:$F$5015,Transaksi!$G$16:$G$5015,"Pengeluaran",Transaksi!$B$16:$B$5015,"&gt;="&amp;DATE(2026,8,1),Transaksi!$B$16:$B$5015,"&lt;="&amp;EOMONTH(DATE(2026,8,1),0),Transaksi!$H$16:$H$5015,"Pengeluaran Uang Kedai")+(SUMIFS(Transaksi!$F$16:$F$5015,Transaksi!$G$16:$G$5015,"Tabungan",Transaksi!$D$16:$D$5015,"Keluar",Transaksi!$H$16:$H$5015,"Reksadana uang kos mama",Transaksi!$B$16:$B$5015,"&gt;="&amp;DATE(2026,8,1),Transaksi!$B$16:$B$5015,"&lt;="&amp;EOMONTH(DATE(2026,8,1),0))-SUMIFS(Transaksi!$F$16:$F$5015,Transaksi!$G$16:$G$5015,"Tabungan",Transaksi!$D$16:$D$5015,"Masuk",Transaksi!$H$16:$H$5015,"Reksadana uang kos mama",Transaksi!$B$16:$B$5015,"&gt;="&amp;DATE(2026,8,1),Transaksi!$B$16:$B$5015,"&lt;="&amp;EOMONTH(DATE(2026,8,1),0))))</f>
        <v/>
      </c>
      <c r="G36" s="165">
        <f>(SUMIFS(Transaksi!$F$16:$F$5015,Transaksi!$G$16:$G$5015,"Tabungan",Transaksi!$D$16:$D$5015,"Keluar",Transaksi!$H$16:$H$5015,"&lt;&gt;Reksadana uang kos mama",Transaksi!$B$16:$B$5015,"&gt;="&amp;DATE(2026,8,1),Transaksi!$B$16:$B$5015,"&lt;="&amp;EOMONTH(DATE(2026,8,1),0))-SUMIFS(Transaksi!$F$16:$F$5015,Transaksi!$G$16:$G$5015,"Tabungan",Transaksi!$D$16:$D$5015,"Masuk",Transaksi!$H$16:$H$5015,"&lt;&gt;Reksadana uang kos mama",Transaksi!$B$16:$B$5015,"&gt;="&amp;DATE(2026,8,1),Transaksi!$B$16:$B$5015,"&lt;="&amp;EOMONTH(DATE(2026,8,1),0)))</f>
        <v/>
      </c>
    </row>
    <row r="37" ht="15" customHeight="1" s="94">
      <c r="A37" s="164" t="n">
        <v>2026</v>
      </c>
      <c r="B37" s="164" t="inlineStr">
        <is>
          <t>Sep</t>
        </is>
      </c>
      <c r="C37" s="165">
        <f>SUMIFS(Transaksi!$F$16:$F$5015,Transaksi!$G$16:$G$5015,"Pendapatan",Transaksi!$B$16:$B$5015,"&gt;="&amp;DATE(2026,9,1),Transaksi!$B$16:$B$5015,"&lt;="&amp;EOMONTH(DATE(2026,9,1),0))</f>
        <v/>
      </c>
      <c r="D37" s="165">
        <f>SUMIFS(Transaksi!$F$16:$F$5015,Transaksi!$G$16:$G$5015,"Pengeluaran",Transaksi!$B$16:$B$5015,"&gt;="&amp;DATE(2026,9,1),Transaksi!$B$16:$B$5015,"&lt;="&amp;EOMONTH(DATE(2026,9,1),0))</f>
        <v/>
      </c>
      <c r="E37" s="166">
        <f>C37-D37</f>
        <v/>
      </c>
      <c r="F37" s="165">
        <f>(SUMIFS(Transaksi!$F$16:$F$5015,Transaksi!$G$16:$G$5015,"Pendapatan",Transaksi!$B$16:$B$5015,"&gt;="&amp;DATE(2026,9,1),Transaksi!$B$16:$B$5015,"&lt;="&amp;EOMONTH(DATE(2026,9,1),0),Transaksi!$H$16:$H$5015,"Uang Kos Mama")+SUMIFS(Transaksi!$F$16:$F$5015,Transaksi!$G$16:$G$5015,"Pendapatan",Transaksi!$B$16:$B$5015,"&gt;="&amp;DATE(2026,9,1),Transaksi!$B$16:$B$5015,"&lt;="&amp;EOMONTH(DATE(2026,9,1),0),Transaksi!$H$16:$H$5015,"Uang Kedai"))-(SUMIFS(Transaksi!$F$16:$F$5015,Transaksi!$G$16:$G$5015,"Pengeluaran",Transaksi!$B$16:$B$5015,"&gt;="&amp;DATE(2026,9,1),Transaksi!$B$16:$B$5015,"&lt;="&amp;EOMONTH(DATE(2026,9,1),0),Transaksi!$H$16:$H$5015,"Pengeluaran Uang Kos")+SUMIFS(Transaksi!$F$16:$F$5015,Transaksi!$G$16:$G$5015,"Pengeluaran",Transaksi!$B$16:$B$5015,"&gt;="&amp;DATE(2026,9,1),Transaksi!$B$16:$B$5015,"&lt;="&amp;EOMONTH(DATE(2026,9,1),0),Transaksi!$H$16:$H$5015,"Pengeluaran Uang Kedai")+(SUMIFS(Transaksi!$F$16:$F$5015,Transaksi!$G$16:$G$5015,"Tabungan",Transaksi!$D$16:$D$5015,"Keluar",Transaksi!$H$16:$H$5015,"Reksadana uang kos mama",Transaksi!$B$16:$B$5015,"&gt;="&amp;DATE(2026,9,1),Transaksi!$B$16:$B$5015,"&lt;="&amp;EOMONTH(DATE(2026,9,1),0))-SUMIFS(Transaksi!$F$16:$F$5015,Transaksi!$G$16:$G$5015,"Tabungan",Transaksi!$D$16:$D$5015,"Masuk",Transaksi!$H$16:$H$5015,"Reksadana uang kos mama",Transaksi!$B$16:$B$5015,"&gt;="&amp;DATE(2026,9,1),Transaksi!$B$16:$B$5015,"&lt;="&amp;EOMONTH(DATE(2026,9,1),0))))</f>
        <v/>
      </c>
      <c r="G37" s="165">
        <f>(SUMIFS(Transaksi!$F$16:$F$5015,Transaksi!$G$16:$G$5015,"Tabungan",Transaksi!$D$16:$D$5015,"Keluar",Transaksi!$H$16:$H$5015,"&lt;&gt;Reksadana uang kos mama",Transaksi!$B$16:$B$5015,"&gt;="&amp;DATE(2026,9,1),Transaksi!$B$16:$B$5015,"&lt;="&amp;EOMONTH(DATE(2026,9,1),0))-SUMIFS(Transaksi!$F$16:$F$5015,Transaksi!$G$16:$G$5015,"Tabungan",Transaksi!$D$16:$D$5015,"Masuk",Transaksi!$H$16:$H$5015,"&lt;&gt;Reksadana uang kos mama",Transaksi!$B$16:$B$5015,"&gt;="&amp;DATE(2026,9,1),Transaksi!$B$16:$B$5015,"&lt;="&amp;EOMONTH(DATE(2026,9,1),0)))</f>
        <v/>
      </c>
    </row>
    <row r="38" ht="15" customHeight="1" s="94">
      <c r="A38" s="164" t="n">
        <v>2026</v>
      </c>
      <c r="B38" s="164" t="inlineStr">
        <is>
          <t>Okt</t>
        </is>
      </c>
      <c r="C38" s="165">
        <f>SUMIFS(Transaksi!$F$16:$F$5015,Transaksi!$G$16:$G$5015,"Pendapatan",Transaksi!$B$16:$B$5015,"&gt;="&amp;DATE(2026,10,1),Transaksi!$B$16:$B$5015,"&lt;="&amp;EOMONTH(DATE(2026,10,1),0))</f>
        <v/>
      </c>
      <c r="D38" s="165">
        <f>SUMIFS(Transaksi!$F$16:$F$5015,Transaksi!$G$16:$G$5015,"Pengeluaran",Transaksi!$B$16:$B$5015,"&gt;="&amp;DATE(2026,10,1),Transaksi!$B$16:$B$5015,"&lt;="&amp;EOMONTH(DATE(2026,10,1),0))</f>
        <v/>
      </c>
      <c r="E38" s="166">
        <f>C38-D38</f>
        <v/>
      </c>
      <c r="F38" s="165">
        <f>(SUMIFS(Transaksi!$F$16:$F$5015,Transaksi!$G$16:$G$5015,"Pendapatan",Transaksi!$B$16:$B$5015,"&gt;="&amp;DATE(2026,10,1),Transaksi!$B$16:$B$5015,"&lt;="&amp;EOMONTH(DATE(2026,10,1),0),Transaksi!$H$16:$H$5015,"Uang Kos Mama")+SUMIFS(Transaksi!$F$16:$F$5015,Transaksi!$G$16:$G$5015,"Pendapatan",Transaksi!$B$16:$B$5015,"&gt;="&amp;DATE(2026,10,1),Transaksi!$B$16:$B$5015,"&lt;="&amp;EOMONTH(DATE(2026,10,1),0),Transaksi!$H$16:$H$5015,"Uang Kedai"))-(SUMIFS(Transaksi!$F$16:$F$5015,Transaksi!$G$16:$G$5015,"Pengeluaran",Transaksi!$B$16:$B$5015,"&gt;="&amp;DATE(2026,10,1),Transaksi!$B$16:$B$5015,"&lt;="&amp;EOMONTH(DATE(2026,10,1),0),Transaksi!$H$16:$H$5015,"Pengeluaran Uang Kos")+SUMIFS(Transaksi!$F$16:$F$5015,Transaksi!$G$16:$G$5015,"Pengeluaran",Transaksi!$B$16:$B$5015,"&gt;="&amp;DATE(2026,10,1),Transaksi!$B$16:$B$5015,"&lt;="&amp;EOMONTH(DATE(2026,10,1),0),Transaksi!$H$16:$H$5015,"Pengeluaran Uang Kedai")+(SUMIFS(Transaksi!$F$16:$F$5015,Transaksi!$G$16:$G$5015,"Tabungan",Transaksi!$D$16:$D$5015,"Keluar",Transaksi!$H$16:$H$5015,"Reksadana uang kos mama",Transaksi!$B$16:$B$5015,"&gt;="&amp;DATE(2026,10,1),Transaksi!$B$16:$B$5015,"&lt;="&amp;EOMONTH(DATE(2026,10,1),0))-SUMIFS(Transaksi!$F$16:$F$5015,Transaksi!$G$16:$G$5015,"Tabungan",Transaksi!$D$16:$D$5015,"Masuk",Transaksi!$H$16:$H$5015,"Reksadana uang kos mama",Transaksi!$B$16:$B$5015,"&gt;="&amp;DATE(2026,10,1),Transaksi!$B$16:$B$5015,"&lt;="&amp;EOMONTH(DATE(2026,10,1),0))))</f>
        <v/>
      </c>
      <c r="G38" s="165">
        <f>(SUMIFS(Transaksi!$F$16:$F$5015,Transaksi!$G$16:$G$5015,"Tabungan",Transaksi!$D$16:$D$5015,"Keluar",Transaksi!$H$16:$H$5015,"&lt;&gt;Reksadana uang kos mama",Transaksi!$B$16:$B$5015,"&gt;="&amp;DATE(2026,10,1),Transaksi!$B$16:$B$5015,"&lt;="&amp;EOMONTH(DATE(2026,10,1),0))-SUMIFS(Transaksi!$F$16:$F$5015,Transaksi!$G$16:$G$5015,"Tabungan",Transaksi!$D$16:$D$5015,"Masuk",Transaksi!$H$16:$H$5015,"&lt;&gt;Reksadana uang kos mama",Transaksi!$B$16:$B$5015,"&gt;="&amp;DATE(2026,10,1),Transaksi!$B$16:$B$5015,"&lt;="&amp;EOMONTH(DATE(2026,10,1),0)))</f>
        <v/>
      </c>
    </row>
    <row r="39" ht="15" customHeight="1" s="94">
      <c r="A39" s="164" t="n">
        <v>2026</v>
      </c>
      <c r="B39" s="164" t="inlineStr">
        <is>
          <t>Nov</t>
        </is>
      </c>
      <c r="C39" s="165">
        <f>SUMIFS(Transaksi!$F$16:$F$5015,Transaksi!$G$16:$G$5015,"Pendapatan",Transaksi!$B$16:$B$5015,"&gt;="&amp;DATE(2026,11,1),Transaksi!$B$16:$B$5015,"&lt;="&amp;EOMONTH(DATE(2026,11,1),0))</f>
        <v/>
      </c>
      <c r="D39" s="165">
        <f>SUMIFS(Transaksi!$F$16:$F$5015,Transaksi!$G$16:$G$5015,"Pengeluaran",Transaksi!$B$16:$B$5015,"&gt;="&amp;DATE(2026,11,1),Transaksi!$B$16:$B$5015,"&lt;="&amp;EOMONTH(DATE(2026,11,1),0))</f>
        <v/>
      </c>
      <c r="E39" s="166">
        <f>C39-D39</f>
        <v/>
      </c>
      <c r="F39" s="165">
        <f>(SUMIFS(Transaksi!$F$16:$F$5015,Transaksi!$G$16:$G$5015,"Pendapatan",Transaksi!$B$16:$B$5015,"&gt;="&amp;DATE(2026,11,1),Transaksi!$B$16:$B$5015,"&lt;="&amp;EOMONTH(DATE(2026,11,1),0),Transaksi!$H$16:$H$5015,"Uang Kos Mama")+SUMIFS(Transaksi!$F$16:$F$5015,Transaksi!$G$16:$G$5015,"Pendapatan",Transaksi!$B$16:$B$5015,"&gt;="&amp;DATE(2026,11,1),Transaksi!$B$16:$B$5015,"&lt;="&amp;EOMONTH(DATE(2026,11,1),0),Transaksi!$H$16:$H$5015,"Uang Kedai"))-(SUMIFS(Transaksi!$F$16:$F$5015,Transaksi!$G$16:$G$5015,"Pengeluaran",Transaksi!$B$16:$B$5015,"&gt;="&amp;DATE(2026,11,1),Transaksi!$B$16:$B$5015,"&lt;="&amp;EOMONTH(DATE(2026,11,1),0),Transaksi!$H$16:$H$5015,"Pengeluaran Uang Kos")+SUMIFS(Transaksi!$F$16:$F$5015,Transaksi!$G$16:$G$5015,"Pengeluaran",Transaksi!$B$16:$B$5015,"&gt;="&amp;DATE(2026,11,1),Transaksi!$B$16:$B$5015,"&lt;="&amp;EOMONTH(DATE(2026,11,1),0),Transaksi!$H$16:$H$5015,"Pengeluaran Uang Kedai")+(SUMIFS(Transaksi!$F$16:$F$5015,Transaksi!$G$16:$G$5015,"Tabungan",Transaksi!$D$16:$D$5015,"Keluar",Transaksi!$H$16:$H$5015,"Reksadana uang kos mama",Transaksi!$B$16:$B$5015,"&gt;="&amp;DATE(2026,11,1),Transaksi!$B$16:$B$5015,"&lt;="&amp;EOMONTH(DATE(2026,11,1),0))-SUMIFS(Transaksi!$F$16:$F$5015,Transaksi!$G$16:$G$5015,"Tabungan",Transaksi!$D$16:$D$5015,"Masuk",Transaksi!$H$16:$H$5015,"Reksadana uang kos mama",Transaksi!$B$16:$B$5015,"&gt;="&amp;DATE(2026,11,1),Transaksi!$B$16:$B$5015,"&lt;="&amp;EOMONTH(DATE(2026,11,1),0))))</f>
        <v/>
      </c>
      <c r="G39" s="165">
        <f>(SUMIFS(Transaksi!$F$16:$F$5015,Transaksi!$G$16:$G$5015,"Tabungan",Transaksi!$D$16:$D$5015,"Keluar",Transaksi!$H$16:$H$5015,"&lt;&gt;Reksadana uang kos mama",Transaksi!$B$16:$B$5015,"&gt;="&amp;DATE(2026,11,1),Transaksi!$B$16:$B$5015,"&lt;="&amp;EOMONTH(DATE(2026,11,1),0))-SUMIFS(Transaksi!$F$16:$F$5015,Transaksi!$G$16:$G$5015,"Tabungan",Transaksi!$D$16:$D$5015,"Masuk",Transaksi!$H$16:$H$5015,"&lt;&gt;Reksadana uang kos mama",Transaksi!$B$16:$B$5015,"&gt;="&amp;DATE(2026,11,1),Transaksi!$B$16:$B$5015,"&lt;="&amp;EOMONTH(DATE(2026,11,1),0)))</f>
        <v/>
      </c>
    </row>
    <row r="40" ht="15" customHeight="1" s="94">
      <c r="A40" s="164" t="n">
        <v>2026</v>
      </c>
      <c r="B40" s="164" t="inlineStr">
        <is>
          <t>Des</t>
        </is>
      </c>
      <c r="C40" s="165">
        <f>SUMIFS(Transaksi!$F$16:$F$5015,Transaksi!$G$16:$G$5015,"Pendapatan",Transaksi!$B$16:$B$5015,"&gt;="&amp;DATE(2026,12,1),Transaksi!$B$16:$B$5015,"&lt;="&amp;EOMONTH(DATE(2026,12,1),0))</f>
        <v/>
      </c>
      <c r="D40" s="165">
        <f>SUMIFS(Transaksi!$F$16:$F$5015,Transaksi!$G$16:$G$5015,"Pengeluaran",Transaksi!$B$16:$B$5015,"&gt;="&amp;DATE(2026,12,1),Transaksi!$B$16:$B$5015,"&lt;="&amp;EOMONTH(DATE(2026,12,1),0))</f>
        <v/>
      </c>
      <c r="E40" s="166">
        <f>C40-D40</f>
        <v/>
      </c>
      <c r="F40" s="165">
        <f>(SUMIFS(Transaksi!$F$16:$F$5015,Transaksi!$G$16:$G$5015,"Pendapatan",Transaksi!$B$16:$B$5015,"&gt;="&amp;DATE(2026,12,1),Transaksi!$B$16:$B$5015,"&lt;="&amp;EOMONTH(DATE(2026,12,1),0),Transaksi!$H$16:$H$5015,"Uang Kos Mama")+SUMIFS(Transaksi!$F$16:$F$5015,Transaksi!$G$16:$G$5015,"Pendapatan",Transaksi!$B$16:$B$5015,"&gt;="&amp;DATE(2026,12,1),Transaksi!$B$16:$B$5015,"&lt;="&amp;EOMONTH(DATE(2026,12,1),0),Transaksi!$H$16:$H$5015,"Uang Kedai"))-(SUMIFS(Transaksi!$F$16:$F$5015,Transaksi!$G$16:$G$5015,"Pengeluaran",Transaksi!$B$16:$B$5015,"&gt;="&amp;DATE(2026,12,1),Transaksi!$B$16:$B$5015,"&lt;="&amp;EOMONTH(DATE(2026,12,1),0),Transaksi!$H$16:$H$5015,"Pengeluaran Uang Kos")+SUMIFS(Transaksi!$F$16:$F$5015,Transaksi!$G$16:$G$5015,"Pengeluaran",Transaksi!$B$16:$B$5015,"&gt;="&amp;DATE(2026,12,1),Transaksi!$B$16:$B$5015,"&lt;="&amp;EOMONTH(DATE(2026,12,1),0),Transaksi!$H$16:$H$5015,"Pengeluaran Uang Kedai")+(SUMIFS(Transaksi!$F$16:$F$5015,Transaksi!$G$16:$G$5015,"Tabungan",Transaksi!$D$16:$D$5015,"Keluar",Transaksi!$H$16:$H$5015,"Reksadana uang kos mama",Transaksi!$B$16:$B$5015,"&gt;="&amp;DATE(2026,12,1),Transaksi!$B$16:$B$5015,"&lt;="&amp;EOMONTH(DATE(2026,12,1),0))-SUMIFS(Transaksi!$F$16:$F$5015,Transaksi!$G$16:$G$5015,"Tabungan",Transaksi!$D$16:$D$5015,"Masuk",Transaksi!$H$16:$H$5015,"Reksadana uang kos mama",Transaksi!$B$16:$B$5015,"&gt;="&amp;DATE(2026,12,1),Transaksi!$B$16:$B$5015,"&lt;="&amp;EOMONTH(DATE(2026,12,1),0))))</f>
        <v/>
      </c>
      <c r="G40" s="165">
        <f>(SUMIFS(Transaksi!$F$16:$F$5015,Transaksi!$G$16:$G$5015,"Tabungan",Transaksi!$D$16:$D$5015,"Keluar",Transaksi!$H$16:$H$5015,"&lt;&gt;Reksadana uang kos mama",Transaksi!$B$16:$B$5015,"&gt;="&amp;DATE(2026,12,1),Transaksi!$B$16:$B$5015,"&lt;="&amp;EOMONTH(DATE(2026,12,1),0))-SUMIFS(Transaksi!$F$16:$F$5015,Transaksi!$G$16:$G$5015,"Tabungan",Transaksi!$D$16:$D$5015,"Masuk",Transaksi!$H$16:$H$5015,"&lt;&gt;Reksadana uang kos mama",Transaksi!$B$16:$B$5015,"&gt;="&amp;DATE(2026,12,1),Transaksi!$B$16:$B$5015,"&lt;="&amp;EOMONTH(DATE(2026,12,1),0)))</f>
        <v/>
      </c>
    </row>
    <row r="41" ht="15" customHeight="1" s="94">
      <c r="A41" s="164" t="n">
        <v>2027</v>
      </c>
      <c r="B41" s="164" t="inlineStr">
        <is>
          <t>Jan</t>
        </is>
      </c>
      <c r="C41" s="165">
        <f>SUMIFS(Transaksi!$F$16:$F$5015,Transaksi!$G$16:$G$5015,"Pendapatan",Transaksi!$B$16:$B$5015,"&gt;="&amp;DATE(2027,1,1),Transaksi!$B$16:$B$5015,"&lt;="&amp;EOMONTH(DATE(2027,1,1),0))</f>
        <v/>
      </c>
      <c r="D41" s="165">
        <f>SUMIFS(Transaksi!$F$16:$F$5015,Transaksi!$G$16:$G$5015,"Pengeluaran",Transaksi!$B$16:$B$5015,"&gt;="&amp;DATE(2027,1,1),Transaksi!$B$16:$B$5015,"&lt;="&amp;EOMONTH(DATE(2027,1,1),0))</f>
        <v/>
      </c>
      <c r="E41" s="166">
        <f>C41-D41</f>
        <v/>
      </c>
      <c r="F41" s="165">
        <f>(SUMIFS(Transaksi!$F$16:$F$5015,Transaksi!$G$16:$G$5015,"Pendapatan",Transaksi!$B$16:$B$5015,"&gt;="&amp;DATE(2027,1,1),Transaksi!$B$16:$B$5015,"&lt;="&amp;EOMONTH(DATE(2027,1,1),0),Transaksi!$H$16:$H$5015,"Uang Kos Mama")+SUMIFS(Transaksi!$F$16:$F$5015,Transaksi!$G$16:$G$5015,"Pendapatan",Transaksi!$B$16:$B$5015,"&gt;="&amp;DATE(2027,1,1),Transaksi!$B$16:$B$5015,"&lt;="&amp;EOMONTH(DATE(2027,1,1),0),Transaksi!$H$16:$H$5015,"Uang Kedai"))-(SUMIFS(Transaksi!$F$16:$F$5015,Transaksi!$G$16:$G$5015,"Pengeluaran",Transaksi!$B$16:$B$5015,"&gt;="&amp;DATE(2027,1,1),Transaksi!$B$16:$B$5015,"&lt;="&amp;EOMONTH(DATE(2027,1,1),0),Transaksi!$H$16:$H$5015,"Pengeluaran Uang Kos")+SUMIFS(Transaksi!$F$16:$F$5015,Transaksi!$G$16:$G$5015,"Pengeluaran",Transaksi!$B$16:$B$5015,"&gt;="&amp;DATE(2027,1,1),Transaksi!$B$16:$B$5015,"&lt;="&amp;EOMONTH(DATE(2027,1,1),0),Transaksi!$H$16:$H$5015,"Pengeluaran Uang Kedai")+(SUMIFS(Transaksi!$F$16:$F$5015,Transaksi!$G$16:$G$5015,"Tabungan",Transaksi!$D$16:$D$5015,"Keluar",Transaksi!$H$16:$H$5015,"Reksadana uang kos mama",Transaksi!$B$16:$B$5015,"&gt;="&amp;DATE(2027,1,1),Transaksi!$B$16:$B$5015,"&lt;="&amp;EOMONTH(DATE(2027,1,1),0))-SUMIFS(Transaksi!$F$16:$F$5015,Transaksi!$G$16:$G$5015,"Tabungan",Transaksi!$D$16:$D$5015,"Masuk",Transaksi!$H$16:$H$5015,"Reksadana uang kos mama",Transaksi!$B$16:$B$5015,"&gt;="&amp;DATE(2027,1,1),Transaksi!$B$16:$B$5015,"&lt;="&amp;EOMONTH(DATE(2027,1,1),0))))</f>
        <v/>
      </c>
      <c r="G41" s="165">
        <f>(SUMIFS(Transaksi!$F$16:$F$5015,Transaksi!$G$16:$G$5015,"Tabungan",Transaksi!$D$16:$D$5015,"Keluar",Transaksi!$H$16:$H$5015,"&lt;&gt;Reksadana uang kos mama",Transaksi!$B$16:$B$5015,"&gt;="&amp;DATE(2027,1,1),Transaksi!$B$16:$B$5015,"&lt;="&amp;EOMONTH(DATE(2027,1,1),0))-SUMIFS(Transaksi!$F$16:$F$5015,Transaksi!$G$16:$G$5015,"Tabungan",Transaksi!$D$16:$D$5015,"Masuk",Transaksi!$H$16:$H$5015,"&lt;&gt;Reksadana uang kos mama",Transaksi!$B$16:$B$5015,"&gt;="&amp;DATE(2027,1,1),Transaksi!$B$16:$B$5015,"&lt;="&amp;EOMONTH(DATE(2027,1,1),0)))</f>
        <v/>
      </c>
    </row>
    <row r="42" ht="15" customHeight="1" s="94">
      <c r="A42" s="164" t="n">
        <v>2027</v>
      </c>
      <c r="B42" s="164" t="inlineStr">
        <is>
          <t>Feb</t>
        </is>
      </c>
      <c r="C42" s="165">
        <f>SUMIFS(Transaksi!$F$16:$F$5015,Transaksi!$G$16:$G$5015,"Pendapatan",Transaksi!$B$16:$B$5015,"&gt;="&amp;DATE(2027,2,1),Transaksi!$B$16:$B$5015,"&lt;="&amp;EOMONTH(DATE(2027,2,1),0))</f>
        <v/>
      </c>
      <c r="D42" s="165">
        <f>SUMIFS(Transaksi!$F$16:$F$5015,Transaksi!$G$16:$G$5015,"Pengeluaran",Transaksi!$B$16:$B$5015,"&gt;="&amp;DATE(2027,2,1),Transaksi!$B$16:$B$5015,"&lt;="&amp;EOMONTH(DATE(2027,2,1),0))</f>
        <v/>
      </c>
      <c r="E42" s="166">
        <f>C42-D42</f>
        <v/>
      </c>
      <c r="F42" s="165">
        <f>(SUMIFS(Transaksi!$F$16:$F$5015,Transaksi!$G$16:$G$5015,"Pendapatan",Transaksi!$B$16:$B$5015,"&gt;="&amp;DATE(2027,2,1),Transaksi!$B$16:$B$5015,"&lt;="&amp;EOMONTH(DATE(2027,2,1),0),Transaksi!$H$16:$H$5015,"Uang Kos Mama")+SUMIFS(Transaksi!$F$16:$F$5015,Transaksi!$G$16:$G$5015,"Pendapatan",Transaksi!$B$16:$B$5015,"&gt;="&amp;DATE(2027,2,1),Transaksi!$B$16:$B$5015,"&lt;="&amp;EOMONTH(DATE(2027,2,1),0),Transaksi!$H$16:$H$5015,"Uang Kedai"))-(SUMIFS(Transaksi!$F$16:$F$5015,Transaksi!$G$16:$G$5015,"Pengeluaran",Transaksi!$B$16:$B$5015,"&gt;="&amp;DATE(2027,2,1),Transaksi!$B$16:$B$5015,"&lt;="&amp;EOMONTH(DATE(2027,2,1),0),Transaksi!$H$16:$H$5015,"Pengeluaran Uang Kos")+SUMIFS(Transaksi!$F$16:$F$5015,Transaksi!$G$16:$G$5015,"Pengeluaran",Transaksi!$B$16:$B$5015,"&gt;="&amp;DATE(2027,2,1),Transaksi!$B$16:$B$5015,"&lt;="&amp;EOMONTH(DATE(2027,2,1),0),Transaksi!$H$16:$H$5015,"Pengeluaran Uang Kedai")+(SUMIFS(Transaksi!$F$16:$F$5015,Transaksi!$G$16:$G$5015,"Tabungan",Transaksi!$D$16:$D$5015,"Keluar",Transaksi!$H$16:$H$5015,"Reksadana uang kos mama",Transaksi!$B$16:$B$5015,"&gt;="&amp;DATE(2027,2,1),Transaksi!$B$16:$B$5015,"&lt;="&amp;EOMONTH(DATE(2027,2,1),0))-SUMIFS(Transaksi!$F$16:$F$5015,Transaksi!$G$16:$G$5015,"Tabungan",Transaksi!$D$16:$D$5015,"Masuk",Transaksi!$H$16:$H$5015,"Reksadana uang kos mama",Transaksi!$B$16:$B$5015,"&gt;="&amp;DATE(2027,2,1),Transaksi!$B$16:$B$5015,"&lt;="&amp;EOMONTH(DATE(2027,2,1),0))))</f>
        <v/>
      </c>
      <c r="G42" s="165">
        <f>(SUMIFS(Transaksi!$F$16:$F$5015,Transaksi!$G$16:$G$5015,"Tabungan",Transaksi!$D$16:$D$5015,"Keluar",Transaksi!$H$16:$H$5015,"&lt;&gt;Reksadana uang kos mama",Transaksi!$B$16:$B$5015,"&gt;="&amp;DATE(2027,2,1),Transaksi!$B$16:$B$5015,"&lt;="&amp;EOMONTH(DATE(2027,2,1),0))-SUMIFS(Transaksi!$F$16:$F$5015,Transaksi!$G$16:$G$5015,"Tabungan",Transaksi!$D$16:$D$5015,"Masuk",Transaksi!$H$16:$H$5015,"&lt;&gt;Reksadana uang kos mama",Transaksi!$B$16:$B$5015,"&gt;="&amp;DATE(2027,2,1),Transaksi!$B$16:$B$5015,"&lt;="&amp;EOMONTH(DATE(2027,2,1),0)))</f>
        <v/>
      </c>
    </row>
    <row r="43" ht="15" customHeight="1" s="94">
      <c r="A43" s="164" t="n">
        <v>2027</v>
      </c>
      <c r="B43" s="164" t="inlineStr">
        <is>
          <t>Mar</t>
        </is>
      </c>
      <c r="C43" s="165">
        <f>SUMIFS(Transaksi!$F$16:$F$5015,Transaksi!$G$16:$G$5015,"Pendapatan",Transaksi!$B$16:$B$5015,"&gt;="&amp;DATE(2027,3,1),Transaksi!$B$16:$B$5015,"&lt;="&amp;EOMONTH(DATE(2027,3,1),0))</f>
        <v/>
      </c>
      <c r="D43" s="165">
        <f>SUMIFS(Transaksi!$F$16:$F$5015,Transaksi!$G$16:$G$5015,"Pengeluaran",Transaksi!$B$16:$B$5015,"&gt;="&amp;DATE(2027,3,1),Transaksi!$B$16:$B$5015,"&lt;="&amp;EOMONTH(DATE(2027,3,1),0))</f>
        <v/>
      </c>
      <c r="E43" s="166">
        <f>C43-D43</f>
        <v/>
      </c>
      <c r="F43" s="165">
        <f>(SUMIFS(Transaksi!$F$16:$F$5015,Transaksi!$G$16:$G$5015,"Pendapatan",Transaksi!$B$16:$B$5015,"&gt;="&amp;DATE(2027,3,1),Transaksi!$B$16:$B$5015,"&lt;="&amp;EOMONTH(DATE(2027,3,1),0),Transaksi!$H$16:$H$5015,"Uang Kos Mama")+SUMIFS(Transaksi!$F$16:$F$5015,Transaksi!$G$16:$G$5015,"Pendapatan",Transaksi!$B$16:$B$5015,"&gt;="&amp;DATE(2027,3,1),Transaksi!$B$16:$B$5015,"&lt;="&amp;EOMONTH(DATE(2027,3,1),0),Transaksi!$H$16:$H$5015,"Uang Kedai"))-(SUMIFS(Transaksi!$F$16:$F$5015,Transaksi!$G$16:$G$5015,"Pengeluaran",Transaksi!$B$16:$B$5015,"&gt;="&amp;DATE(2027,3,1),Transaksi!$B$16:$B$5015,"&lt;="&amp;EOMONTH(DATE(2027,3,1),0),Transaksi!$H$16:$H$5015,"Pengeluaran Uang Kos")+SUMIFS(Transaksi!$F$16:$F$5015,Transaksi!$G$16:$G$5015,"Pengeluaran",Transaksi!$B$16:$B$5015,"&gt;="&amp;DATE(2027,3,1),Transaksi!$B$16:$B$5015,"&lt;="&amp;EOMONTH(DATE(2027,3,1),0),Transaksi!$H$16:$H$5015,"Pengeluaran Uang Kedai")+(SUMIFS(Transaksi!$F$16:$F$5015,Transaksi!$G$16:$G$5015,"Tabungan",Transaksi!$D$16:$D$5015,"Keluar",Transaksi!$H$16:$H$5015,"Reksadana uang kos mama",Transaksi!$B$16:$B$5015,"&gt;="&amp;DATE(2027,3,1),Transaksi!$B$16:$B$5015,"&lt;="&amp;EOMONTH(DATE(2027,3,1),0))-SUMIFS(Transaksi!$F$16:$F$5015,Transaksi!$G$16:$G$5015,"Tabungan",Transaksi!$D$16:$D$5015,"Masuk",Transaksi!$H$16:$H$5015,"Reksadana uang kos mama",Transaksi!$B$16:$B$5015,"&gt;="&amp;DATE(2027,3,1),Transaksi!$B$16:$B$5015,"&lt;="&amp;EOMONTH(DATE(2027,3,1),0))))</f>
        <v/>
      </c>
      <c r="G43" s="165">
        <f>(SUMIFS(Transaksi!$F$16:$F$5015,Transaksi!$G$16:$G$5015,"Tabungan",Transaksi!$D$16:$D$5015,"Keluar",Transaksi!$H$16:$H$5015,"&lt;&gt;Reksadana uang kos mama",Transaksi!$B$16:$B$5015,"&gt;="&amp;DATE(2027,3,1),Transaksi!$B$16:$B$5015,"&lt;="&amp;EOMONTH(DATE(2027,3,1),0))-SUMIFS(Transaksi!$F$16:$F$5015,Transaksi!$G$16:$G$5015,"Tabungan",Transaksi!$D$16:$D$5015,"Masuk",Transaksi!$H$16:$H$5015,"&lt;&gt;Reksadana uang kos mama",Transaksi!$B$16:$B$5015,"&gt;="&amp;DATE(2027,3,1),Transaksi!$B$16:$B$5015,"&lt;="&amp;EOMONTH(DATE(2027,3,1),0)))</f>
        <v/>
      </c>
    </row>
    <row r="44" ht="15" customHeight="1" s="94">
      <c r="A44" s="164" t="n">
        <v>2027</v>
      </c>
      <c r="B44" s="164" t="inlineStr">
        <is>
          <t>Apr</t>
        </is>
      </c>
      <c r="C44" s="165">
        <f>SUMIFS(Transaksi!$F$16:$F$5015,Transaksi!$G$16:$G$5015,"Pendapatan",Transaksi!$B$16:$B$5015,"&gt;="&amp;DATE(2027,4,1),Transaksi!$B$16:$B$5015,"&lt;="&amp;EOMONTH(DATE(2027,4,1),0))</f>
        <v/>
      </c>
      <c r="D44" s="165">
        <f>SUMIFS(Transaksi!$F$16:$F$5015,Transaksi!$G$16:$G$5015,"Pengeluaran",Transaksi!$B$16:$B$5015,"&gt;="&amp;DATE(2027,4,1),Transaksi!$B$16:$B$5015,"&lt;="&amp;EOMONTH(DATE(2027,4,1),0))</f>
        <v/>
      </c>
      <c r="E44" s="166">
        <f>C44-D44</f>
        <v/>
      </c>
      <c r="F44" s="165">
        <f>(SUMIFS(Transaksi!$F$16:$F$5015,Transaksi!$G$16:$G$5015,"Pendapatan",Transaksi!$B$16:$B$5015,"&gt;="&amp;DATE(2027,4,1),Transaksi!$B$16:$B$5015,"&lt;="&amp;EOMONTH(DATE(2027,4,1),0),Transaksi!$H$16:$H$5015,"Uang Kos Mama")+SUMIFS(Transaksi!$F$16:$F$5015,Transaksi!$G$16:$G$5015,"Pendapatan",Transaksi!$B$16:$B$5015,"&gt;="&amp;DATE(2027,4,1),Transaksi!$B$16:$B$5015,"&lt;="&amp;EOMONTH(DATE(2027,4,1),0),Transaksi!$H$16:$H$5015,"Uang Kedai"))-(SUMIFS(Transaksi!$F$16:$F$5015,Transaksi!$G$16:$G$5015,"Pengeluaran",Transaksi!$B$16:$B$5015,"&gt;="&amp;DATE(2027,4,1),Transaksi!$B$16:$B$5015,"&lt;="&amp;EOMONTH(DATE(2027,4,1),0),Transaksi!$H$16:$H$5015,"Pengeluaran Uang Kos")+SUMIFS(Transaksi!$F$16:$F$5015,Transaksi!$G$16:$G$5015,"Pengeluaran",Transaksi!$B$16:$B$5015,"&gt;="&amp;DATE(2027,4,1),Transaksi!$B$16:$B$5015,"&lt;="&amp;EOMONTH(DATE(2027,4,1),0),Transaksi!$H$16:$H$5015,"Pengeluaran Uang Kedai")+(SUMIFS(Transaksi!$F$16:$F$5015,Transaksi!$G$16:$G$5015,"Tabungan",Transaksi!$D$16:$D$5015,"Keluar",Transaksi!$H$16:$H$5015,"Reksadana uang kos mama",Transaksi!$B$16:$B$5015,"&gt;="&amp;DATE(2027,4,1),Transaksi!$B$16:$B$5015,"&lt;="&amp;EOMONTH(DATE(2027,4,1),0))-SUMIFS(Transaksi!$F$16:$F$5015,Transaksi!$G$16:$G$5015,"Tabungan",Transaksi!$D$16:$D$5015,"Masuk",Transaksi!$H$16:$H$5015,"Reksadana uang kos mama",Transaksi!$B$16:$B$5015,"&gt;="&amp;DATE(2027,4,1),Transaksi!$B$16:$B$5015,"&lt;="&amp;EOMONTH(DATE(2027,4,1),0))))</f>
        <v/>
      </c>
      <c r="G44" s="165">
        <f>(SUMIFS(Transaksi!$F$16:$F$5015,Transaksi!$G$16:$G$5015,"Tabungan",Transaksi!$D$16:$D$5015,"Keluar",Transaksi!$H$16:$H$5015,"&lt;&gt;Reksadana uang kos mama",Transaksi!$B$16:$B$5015,"&gt;="&amp;DATE(2027,4,1),Transaksi!$B$16:$B$5015,"&lt;="&amp;EOMONTH(DATE(2027,4,1),0))-SUMIFS(Transaksi!$F$16:$F$5015,Transaksi!$G$16:$G$5015,"Tabungan",Transaksi!$D$16:$D$5015,"Masuk",Transaksi!$H$16:$H$5015,"&lt;&gt;Reksadana uang kos mama",Transaksi!$B$16:$B$5015,"&gt;="&amp;DATE(2027,4,1),Transaksi!$B$16:$B$5015,"&lt;="&amp;EOMONTH(DATE(2027,4,1),0)))</f>
        <v/>
      </c>
    </row>
    <row r="45" ht="15" customHeight="1" s="94">
      <c r="A45" s="164" t="n">
        <v>2027</v>
      </c>
      <c r="B45" s="164" t="inlineStr">
        <is>
          <t>Mei</t>
        </is>
      </c>
      <c r="C45" s="165">
        <f>SUMIFS(Transaksi!$F$16:$F$5015,Transaksi!$G$16:$G$5015,"Pendapatan",Transaksi!$B$16:$B$5015,"&gt;="&amp;DATE(2027,5,1),Transaksi!$B$16:$B$5015,"&lt;="&amp;EOMONTH(DATE(2027,5,1),0))</f>
        <v/>
      </c>
      <c r="D45" s="165">
        <f>SUMIFS(Transaksi!$F$16:$F$5015,Transaksi!$G$16:$G$5015,"Pengeluaran",Transaksi!$B$16:$B$5015,"&gt;="&amp;DATE(2027,5,1),Transaksi!$B$16:$B$5015,"&lt;="&amp;EOMONTH(DATE(2027,5,1),0))</f>
        <v/>
      </c>
      <c r="E45" s="166">
        <f>C45-D45</f>
        <v/>
      </c>
      <c r="F45" s="165">
        <f>(SUMIFS(Transaksi!$F$16:$F$5015,Transaksi!$G$16:$G$5015,"Pendapatan",Transaksi!$B$16:$B$5015,"&gt;="&amp;DATE(2027,5,1),Transaksi!$B$16:$B$5015,"&lt;="&amp;EOMONTH(DATE(2027,5,1),0),Transaksi!$H$16:$H$5015,"Uang Kos Mama")+SUMIFS(Transaksi!$F$16:$F$5015,Transaksi!$G$16:$G$5015,"Pendapatan",Transaksi!$B$16:$B$5015,"&gt;="&amp;DATE(2027,5,1),Transaksi!$B$16:$B$5015,"&lt;="&amp;EOMONTH(DATE(2027,5,1),0),Transaksi!$H$16:$H$5015,"Uang Kedai"))-(SUMIFS(Transaksi!$F$16:$F$5015,Transaksi!$G$16:$G$5015,"Pengeluaran",Transaksi!$B$16:$B$5015,"&gt;="&amp;DATE(2027,5,1),Transaksi!$B$16:$B$5015,"&lt;="&amp;EOMONTH(DATE(2027,5,1),0),Transaksi!$H$16:$H$5015,"Pengeluaran Uang Kos")+SUMIFS(Transaksi!$F$16:$F$5015,Transaksi!$G$16:$G$5015,"Pengeluaran",Transaksi!$B$16:$B$5015,"&gt;="&amp;DATE(2027,5,1),Transaksi!$B$16:$B$5015,"&lt;="&amp;EOMONTH(DATE(2027,5,1),0),Transaksi!$H$16:$H$5015,"Pengeluaran Uang Kedai")+(SUMIFS(Transaksi!$F$16:$F$5015,Transaksi!$G$16:$G$5015,"Tabungan",Transaksi!$D$16:$D$5015,"Keluar",Transaksi!$H$16:$H$5015,"Reksadana uang kos mama",Transaksi!$B$16:$B$5015,"&gt;="&amp;DATE(2027,5,1),Transaksi!$B$16:$B$5015,"&lt;="&amp;EOMONTH(DATE(2027,5,1),0))-SUMIFS(Transaksi!$F$16:$F$5015,Transaksi!$G$16:$G$5015,"Tabungan",Transaksi!$D$16:$D$5015,"Masuk",Transaksi!$H$16:$H$5015,"Reksadana uang kos mama",Transaksi!$B$16:$B$5015,"&gt;="&amp;DATE(2027,5,1),Transaksi!$B$16:$B$5015,"&lt;="&amp;EOMONTH(DATE(2027,5,1),0))))</f>
        <v/>
      </c>
      <c r="G45" s="165">
        <f>(SUMIFS(Transaksi!$F$16:$F$5015,Transaksi!$G$16:$G$5015,"Tabungan",Transaksi!$D$16:$D$5015,"Keluar",Transaksi!$H$16:$H$5015,"&lt;&gt;Reksadana uang kos mama",Transaksi!$B$16:$B$5015,"&gt;="&amp;DATE(2027,5,1),Transaksi!$B$16:$B$5015,"&lt;="&amp;EOMONTH(DATE(2027,5,1),0))-SUMIFS(Transaksi!$F$16:$F$5015,Transaksi!$G$16:$G$5015,"Tabungan",Transaksi!$D$16:$D$5015,"Masuk",Transaksi!$H$16:$H$5015,"&lt;&gt;Reksadana uang kos mama",Transaksi!$B$16:$B$5015,"&gt;="&amp;DATE(2027,5,1),Transaksi!$B$16:$B$5015,"&lt;="&amp;EOMONTH(DATE(2027,5,1),0)))</f>
        <v/>
      </c>
    </row>
    <row r="46" ht="15" customHeight="1" s="94">
      <c r="A46" s="164" t="n">
        <v>2027</v>
      </c>
      <c r="B46" s="164" t="inlineStr">
        <is>
          <t>Jun</t>
        </is>
      </c>
      <c r="C46" s="165">
        <f>SUMIFS(Transaksi!$F$16:$F$5015,Transaksi!$G$16:$G$5015,"Pendapatan",Transaksi!$B$16:$B$5015,"&gt;="&amp;DATE(2027,6,1),Transaksi!$B$16:$B$5015,"&lt;="&amp;EOMONTH(DATE(2027,6,1),0))</f>
        <v/>
      </c>
      <c r="D46" s="165">
        <f>SUMIFS(Transaksi!$F$16:$F$5015,Transaksi!$G$16:$G$5015,"Pengeluaran",Transaksi!$B$16:$B$5015,"&gt;="&amp;DATE(2027,6,1),Transaksi!$B$16:$B$5015,"&lt;="&amp;EOMONTH(DATE(2027,6,1),0))</f>
        <v/>
      </c>
      <c r="E46" s="166">
        <f>C46-D46</f>
        <v/>
      </c>
      <c r="F46" s="165">
        <f>(SUMIFS(Transaksi!$F$16:$F$5015,Transaksi!$G$16:$G$5015,"Pendapatan",Transaksi!$B$16:$B$5015,"&gt;="&amp;DATE(2027,6,1),Transaksi!$B$16:$B$5015,"&lt;="&amp;EOMONTH(DATE(2027,6,1),0),Transaksi!$H$16:$H$5015,"Uang Kos Mama")+SUMIFS(Transaksi!$F$16:$F$5015,Transaksi!$G$16:$G$5015,"Pendapatan",Transaksi!$B$16:$B$5015,"&gt;="&amp;DATE(2027,6,1),Transaksi!$B$16:$B$5015,"&lt;="&amp;EOMONTH(DATE(2027,6,1),0),Transaksi!$H$16:$H$5015,"Uang Kedai"))-(SUMIFS(Transaksi!$F$16:$F$5015,Transaksi!$G$16:$G$5015,"Pengeluaran",Transaksi!$B$16:$B$5015,"&gt;="&amp;DATE(2027,6,1),Transaksi!$B$16:$B$5015,"&lt;="&amp;EOMONTH(DATE(2027,6,1),0),Transaksi!$H$16:$H$5015,"Pengeluaran Uang Kos")+SUMIFS(Transaksi!$F$16:$F$5015,Transaksi!$G$16:$G$5015,"Pengeluaran",Transaksi!$B$16:$B$5015,"&gt;="&amp;DATE(2027,6,1),Transaksi!$B$16:$B$5015,"&lt;="&amp;EOMONTH(DATE(2027,6,1),0),Transaksi!$H$16:$H$5015,"Pengeluaran Uang Kedai")+(SUMIFS(Transaksi!$F$16:$F$5015,Transaksi!$G$16:$G$5015,"Tabungan",Transaksi!$D$16:$D$5015,"Keluar",Transaksi!$H$16:$H$5015,"Reksadana uang kos mama",Transaksi!$B$16:$B$5015,"&gt;="&amp;DATE(2027,6,1),Transaksi!$B$16:$B$5015,"&lt;="&amp;EOMONTH(DATE(2027,6,1),0))-SUMIFS(Transaksi!$F$16:$F$5015,Transaksi!$G$16:$G$5015,"Tabungan",Transaksi!$D$16:$D$5015,"Masuk",Transaksi!$H$16:$H$5015,"Reksadana uang kos mama",Transaksi!$B$16:$B$5015,"&gt;="&amp;DATE(2027,6,1),Transaksi!$B$16:$B$5015,"&lt;="&amp;EOMONTH(DATE(2027,6,1),0))))</f>
        <v/>
      </c>
      <c r="G46" s="165">
        <f>(SUMIFS(Transaksi!$F$16:$F$5015,Transaksi!$G$16:$G$5015,"Tabungan",Transaksi!$D$16:$D$5015,"Keluar",Transaksi!$H$16:$H$5015,"&lt;&gt;Reksadana uang kos mama",Transaksi!$B$16:$B$5015,"&gt;="&amp;DATE(2027,6,1),Transaksi!$B$16:$B$5015,"&lt;="&amp;EOMONTH(DATE(2027,6,1),0))-SUMIFS(Transaksi!$F$16:$F$5015,Transaksi!$G$16:$G$5015,"Tabungan",Transaksi!$D$16:$D$5015,"Masuk",Transaksi!$H$16:$H$5015,"&lt;&gt;Reksadana uang kos mama",Transaksi!$B$16:$B$5015,"&gt;="&amp;DATE(2027,6,1),Transaksi!$B$16:$B$5015,"&lt;="&amp;EOMONTH(DATE(2027,6,1),0)))</f>
        <v/>
      </c>
    </row>
    <row r="47" ht="15" customHeight="1" s="94">
      <c r="A47" s="164" t="n">
        <v>2027</v>
      </c>
      <c r="B47" s="164" t="inlineStr">
        <is>
          <t>Jul</t>
        </is>
      </c>
      <c r="C47" s="165">
        <f>SUMIFS(Transaksi!$F$16:$F$5015,Transaksi!$G$16:$G$5015,"Pendapatan",Transaksi!$B$16:$B$5015,"&gt;="&amp;DATE(2027,7,1),Transaksi!$B$16:$B$5015,"&lt;="&amp;EOMONTH(DATE(2027,7,1),0))</f>
        <v/>
      </c>
      <c r="D47" s="165">
        <f>SUMIFS(Transaksi!$F$16:$F$5015,Transaksi!$G$16:$G$5015,"Pengeluaran",Transaksi!$B$16:$B$5015,"&gt;="&amp;DATE(2027,7,1),Transaksi!$B$16:$B$5015,"&lt;="&amp;EOMONTH(DATE(2027,7,1),0))</f>
        <v/>
      </c>
      <c r="E47" s="166">
        <f>C47-D47</f>
        <v/>
      </c>
      <c r="F47" s="165">
        <f>(SUMIFS(Transaksi!$F$16:$F$5015,Transaksi!$G$16:$G$5015,"Pendapatan",Transaksi!$B$16:$B$5015,"&gt;="&amp;DATE(2027,7,1),Transaksi!$B$16:$B$5015,"&lt;="&amp;EOMONTH(DATE(2027,7,1),0),Transaksi!$H$16:$H$5015,"Uang Kos Mama")+SUMIFS(Transaksi!$F$16:$F$5015,Transaksi!$G$16:$G$5015,"Pendapatan",Transaksi!$B$16:$B$5015,"&gt;="&amp;DATE(2027,7,1),Transaksi!$B$16:$B$5015,"&lt;="&amp;EOMONTH(DATE(2027,7,1),0),Transaksi!$H$16:$H$5015,"Uang Kedai"))-(SUMIFS(Transaksi!$F$16:$F$5015,Transaksi!$G$16:$G$5015,"Pengeluaran",Transaksi!$B$16:$B$5015,"&gt;="&amp;DATE(2027,7,1),Transaksi!$B$16:$B$5015,"&lt;="&amp;EOMONTH(DATE(2027,7,1),0),Transaksi!$H$16:$H$5015,"Pengeluaran Uang Kos")+SUMIFS(Transaksi!$F$16:$F$5015,Transaksi!$G$16:$G$5015,"Pengeluaran",Transaksi!$B$16:$B$5015,"&gt;="&amp;DATE(2027,7,1),Transaksi!$B$16:$B$5015,"&lt;="&amp;EOMONTH(DATE(2027,7,1),0),Transaksi!$H$16:$H$5015,"Pengeluaran Uang Kedai")+(SUMIFS(Transaksi!$F$16:$F$5015,Transaksi!$G$16:$G$5015,"Tabungan",Transaksi!$D$16:$D$5015,"Keluar",Transaksi!$H$16:$H$5015,"Reksadana uang kos mama",Transaksi!$B$16:$B$5015,"&gt;="&amp;DATE(2027,7,1),Transaksi!$B$16:$B$5015,"&lt;="&amp;EOMONTH(DATE(2027,7,1),0))-SUMIFS(Transaksi!$F$16:$F$5015,Transaksi!$G$16:$G$5015,"Tabungan",Transaksi!$D$16:$D$5015,"Masuk",Transaksi!$H$16:$H$5015,"Reksadana uang kos mama",Transaksi!$B$16:$B$5015,"&gt;="&amp;DATE(2027,7,1),Transaksi!$B$16:$B$5015,"&lt;="&amp;EOMONTH(DATE(2027,7,1),0))))</f>
        <v/>
      </c>
      <c r="G47" s="165">
        <f>(SUMIFS(Transaksi!$F$16:$F$5015,Transaksi!$G$16:$G$5015,"Tabungan",Transaksi!$D$16:$D$5015,"Keluar",Transaksi!$H$16:$H$5015,"&lt;&gt;Reksadana uang kos mama",Transaksi!$B$16:$B$5015,"&gt;="&amp;DATE(2027,7,1),Transaksi!$B$16:$B$5015,"&lt;="&amp;EOMONTH(DATE(2027,7,1),0))-SUMIFS(Transaksi!$F$16:$F$5015,Transaksi!$G$16:$G$5015,"Tabungan",Transaksi!$D$16:$D$5015,"Masuk",Transaksi!$H$16:$H$5015,"&lt;&gt;Reksadana uang kos mama",Transaksi!$B$16:$B$5015,"&gt;="&amp;DATE(2027,7,1),Transaksi!$B$16:$B$5015,"&lt;="&amp;EOMONTH(DATE(2027,7,1),0)))</f>
        <v/>
      </c>
    </row>
    <row r="48" ht="15" customHeight="1" s="94">
      <c r="A48" s="164" t="n">
        <v>2027</v>
      </c>
      <c r="B48" s="164" t="inlineStr">
        <is>
          <t>Agu</t>
        </is>
      </c>
      <c r="C48" s="165">
        <f>SUMIFS(Transaksi!$F$16:$F$5015,Transaksi!$G$16:$G$5015,"Pendapatan",Transaksi!$B$16:$B$5015,"&gt;="&amp;DATE(2027,8,1),Transaksi!$B$16:$B$5015,"&lt;="&amp;EOMONTH(DATE(2027,8,1),0))</f>
        <v/>
      </c>
      <c r="D48" s="165">
        <f>SUMIFS(Transaksi!$F$16:$F$5015,Transaksi!$G$16:$G$5015,"Pengeluaran",Transaksi!$B$16:$B$5015,"&gt;="&amp;DATE(2027,8,1),Transaksi!$B$16:$B$5015,"&lt;="&amp;EOMONTH(DATE(2027,8,1),0))</f>
        <v/>
      </c>
      <c r="E48" s="166">
        <f>C48-D48</f>
        <v/>
      </c>
      <c r="F48" s="165">
        <f>(SUMIFS(Transaksi!$F$16:$F$5015,Transaksi!$G$16:$G$5015,"Pendapatan",Transaksi!$B$16:$B$5015,"&gt;="&amp;DATE(2027,8,1),Transaksi!$B$16:$B$5015,"&lt;="&amp;EOMONTH(DATE(2027,8,1),0),Transaksi!$H$16:$H$5015,"Uang Kos Mama")+SUMIFS(Transaksi!$F$16:$F$5015,Transaksi!$G$16:$G$5015,"Pendapatan",Transaksi!$B$16:$B$5015,"&gt;="&amp;DATE(2027,8,1),Transaksi!$B$16:$B$5015,"&lt;="&amp;EOMONTH(DATE(2027,8,1),0),Transaksi!$H$16:$H$5015,"Uang Kedai"))-(SUMIFS(Transaksi!$F$16:$F$5015,Transaksi!$G$16:$G$5015,"Pengeluaran",Transaksi!$B$16:$B$5015,"&gt;="&amp;DATE(2027,8,1),Transaksi!$B$16:$B$5015,"&lt;="&amp;EOMONTH(DATE(2027,8,1),0),Transaksi!$H$16:$H$5015,"Pengeluaran Uang Kos")+SUMIFS(Transaksi!$F$16:$F$5015,Transaksi!$G$16:$G$5015,"Pengeluaran",Transaksi!$B$16:$B$5015,"&gt;="&amp;DATE(2027,8,1),Transaksi!$B$16:$B$5015,"&lt;="&amp;EOMONTH(DATE(2027,8,1),0),Transaksi!$H$16:$H$5015,"Pengeluaran Uang Kedai")+(SUMIFS(Transaksi!$F$16:$F$5015,Transaksi!$G$16:$G$5015,"Tabungan",Transaksi!$D$16:$D$5015,"Keluar",Transaksi!$H$16:$H$5015,"Reksadana uang kos mama",Transaksi!$B$16:$B$5015,"&gt;="&amp;DATE(2027,8,1),Transaksi!$B$16:$B$5015,"&lt;="&amp;EOMONTH(DATE(2027,8,1),0))-SUMIFS(Transaksi!$F$16:$F$5015,Transaksi!$G$16:$G$5015,"Tabungan",Transaksi!$D$16:$D$5015,"Masuk",Transaksi!$H$16:$H$5015,"Reksadana uang kos mama",Transaksi!$B$16:$B$5015,"&gt;="&amp;DATE(2027,8,1),Transaksi!$B$16:$B$5015,"&lt;="&amp;EOMONTH(DATE(2027,8,1),0))))</f>
        <v/>
      </c>
      <c r="G48" s="165">
        <f>(SUMIFS(Transaksi!$F$16:$F$5015,Transaksi!$G$16:$G$5015,"Tabungan",Transaksi!$D$16:$D$5015,"Keluar",Transaksi!$H$16:$H$5015,"&lt;&gt;Reksadana uang kos mama",Transaksi!$B$16:$B$5015,"&gt;="&amp;DATE(2027,8,1),Transaksi!$B$16:$B$5015,"&lt;="&amp;EOMONTH(DATE(2027,8,1),0))-SUMIFS(Transaksi!$F$16:$F$5015,Transaksi!$G$16:$G$5015,"Tabungan",Transaksi!$D$16:$D$5015,"Masuk",Transaksi!$H$16:$H$5015,"&lt;&gt;Reksadana uang kos mama",Transaksi!$B$16:$B$5015,"&gt;="&amp;DATE(2027,8,1),Transaksi!$B$16:$B$5015,"&lt;="&amp;EOMONTH(DATE(2027,8,1),0)))</f>
        <v/>
      </c>
    </row>
    <row r="49" ht="15" customHeight="1" s="94">
      <c r="A49" s="164" t="n">
        <v>2027</v>
      </c>
      <c r="B49" s="164" t="inlineStr">
        <is>
          <t>Sep</t>
        </is>
      </c>
      <c r="C49" s="165">
        <f>SUMIFS(Transaksi!$F$16:$F$5015,Transaksi!$G$16:$G$5015,"Pendapatan",Transaksi!$B$16:$B$5015,"&gt;="&amp;DATE(2027,9,1),Transaksi!$B$16:$B$5015,"&lt;="&amp;EOMONTH(DATE(2027,9,1),0))</f>
        <v/>
      </c>
      <c r="D49" s="165">
        <f>SUMIFS(Transaksi!$F$16:$F$5015,Transaksi!$G$16:$G$5015,"Pengeluaran",Transaksi!$B$16:$B$5015,"&gt;="&amp;DATE(2027,9,1),Transaksi!$B$16:$B$5015,"&lt;="&amp;EOMONTH(DATE(2027,9,1),0))</f>
        <v/>
      </c>
      <c r="E49" s="166">
        <f>C49-D49</f>
        <v/>
      </c>
      <c r="F49" s="165">
        <f>(SUMIFS(Transaksi!$F$16:$F$5015,Transaksi!$G$16:$G$5015,"Pendapatan",Transaksi!$B$16:$B$5015,"&gt;="&amp;DATE(2027,9,1),Transaksi!$B$16:$B$5015,"&lt;="&amp;EOMONTH(DATE(2027,9,1),0),Transaksi!$H$16:$H$5015,"Uang Kos Mama")+SUMIFS(Transaksi!$F$16:$F$5015,Transaksi!$G$16:$G$5015,"Pendapatan",Transaksi!$B$16:$B$5015,"&gt;="&amp;DATE(2027,9,1),Transaksi!$B$16:$B$5015,"&lt;="&amp;EOMONTH(DATE(2027,9,1),0),Transaksi!$H$16:$H$5015,"Uang Kedai"))-(SUMIFS(Transaksi!$F$16:$F$5015,Transaksi!$G$16:$G$5015,"Pengeluaran",Transaksi!$B$16:$B$5015,"&gt;="&amp;DATE(2027,9,1),Transaksi!$B$16:$B$5015,"&lt;="&amp;EOMONTH(DATE(2027,9,1),0),Transaksi!$H$16:$H$5015,"Pengeluaran Uang Kos")+SUMIFS(Transaksi!$F$16:$F$5015,Transaksi!$G$16:$G$5015,"Pengeluaran",Transaksi!$B$16:$B$5015,"&gt;="&amp;DATE(2027,9,1),Transaksi!$B$16:$B$5015,"&lt;="&amp;EOMONTH(DATE(2027,9,1),0),Transaksi!$H$16:$H$5015,"Pengeluaran Uang Kedai")+(SUMIFS(Transaksi!$F$16:$F$5015,Transaksi!$G$16:$G$5015,"Tabungan",Transaksi!$D$16:$D$5015,"Keluar",Transaksi!$H$16:$H$5015,"Reksadana uang kos mama",Transaksi!$B$16:$B$5015,"&gt;="&amp;DATE(2027,9,1),Transaksi!$B$16:$B$5015,"&lt;="&amp;EOMONTH(DATE(2027,9,1),0))-SUMIFS(Transaksi!$F$16:$F$5015,Transaksi!$G$16:$G$5015,"Tabungan",Transaksi!$D$16:$D$5015,"Masuk",Transaksi!$H$16:$H$5015,"Reksadana uang kos mama",Transaksi!$B$16:$B$5015,"&gt;="&amp;DATE(2027,9,1),Transaksi!$B$16:$B$5015,"&lt;="&amp;EOMONTH(DATE(2027,9,1),0))))</f>
        <v/>
      </c>
      <c r="G49" s="165">
        <f>(SUMIFS(Transaksi!$F$16:$F$5015,Transaksi!$G$16:$G$5015,"Tabungan",Transaksi!$D$16:$D$5015,"Keluar",Transaksi!$H$16:$H$5015,"&lt;&gt;Reksadana uang kos mama",Transaksi!$B$16:$B$5015,"&gt;="&amp;DATE(2027,9,1),Transaksi!$B$16:$B$5015,"&lt;="&amp;EOMONTH(DATE(2027,9,1),0))-SUMIFS(Transaksi!$F$16:$F$5015,Transaksi!$G$16:$G$5015,"Tabungan",Transaksi!$D$16:$D$5015,"Masuk",Transaksi!$H$16:$H$5015,"&lt;&gt;Reksadana uang kos mama",Transaksi!$B$16:$B$5015,"&gt;="&amp;DATE(2027,9,1),Transaksi!$B$16:$B$5015,"&lt;="&amp;EOMONTH(DATE(2027,9,1),0)))</f>
        <v/>
      </c>
    </row>
    <row r="50" ht="15" customHeight="1" s="94">
      <c r="A50" s="164" t="n">
        <v>2027</v>
      </c>
      <c r="B50" s="164" t="inlineStr">
        <is>
          <t>Okt</t>
        </is>
      </c>
      <c r="C50" s="165">
        <f>SUMIFS(Transaksi!$F$16:$F$5015,Transaksi!$G$16:$G$5015,"Pendapatan",Transaksi!$B$16:$B$5015,"&gt;="&amp;DATE(2027,10,1),Transaksi!$B$16:$B$5015,"&lt;="&amp;EOMONTH(DATE(2027,10,1),0))</f>
        <v/>
      </c>
      <c r="D50" s="165">
        <f>SUMIFS(Transaksi!$F$16:$F$5015,Transaksi!$G$16:$G$5015,"Pengeluaran",Transaksi!$B$16:$B$5015,"&gt;="&amp;DATE(2027,10,1),Transaksi!$B$16:$B$5015,"&lt;="&amp;EOMONTH(DATE(2027,10,1),0))</f>
        <v/>
      </c>
      <c r="E50" s="166">
        <f>C50-D50</f>
        <v/>
      </c>
      <c r="F50" s="165">
        <f>(SUMIFS(Transaksi!$F$16:$F$5015,Transaksi!$G$16:$G$5015,"Pendapatan",Transaksi!$B$16:$B$5015,"&gt;="&amp;DATE(2027,10,1),Transaksi!$B$16:$B$5015,"&lt;="&amp;EOMONTH(DATE(2027,10,1),0),Transaksi!$H$16:$H$5015,"Uang Kos Mama")+SUMIFS(Transaksi!$F$16:$F$5015,Transaksi!$G$16:$G$5015,"Pendapatan",Transaksi!$B$16:$B$5015,"&gt;="&amp;DATE(2027,10,1),Transaksi!$B$16:$B$5015,"&lt;="&amp;EOMONTH(DATE(2027,10,1),0),Transaksi!$H$16:$H$5015,"Uang Kedai"))-(SUMIFS(Transaksi!$F$16:$F$5015,Transaksi!$G$16:$G$5015,"Pengeluaran",Transaksi!$B$16:$B$5015,"&gt;="&amp;DATE(2027,10,1),Transaksi!$B$16:$B$5015,"&lt;="&amp;EOMONTH(DATE(2027,10,1),0),Transaksi!$H$16:$H$5015,"Pengeluaran Uang Kos")+SUMIFS(Transaksi!$F$16:$F$5015,Transaksi!$G$16:$G$5015,"Pengeluaran",Transaksi!$B$16:$B$5015,"&gt;="&amp;DATE(2027,10,1),Transaksi!$B$16:$B$5015,"&lt;="&amp;EOMONTH(DATE(2027,10,1),0),Transaksi!$H$16:$H$5015,"Pengeluaran Uang Kedai")+(SUMIFS(Transaksi!$F$16:$F$5015,Transaksi!$G$16:$G$5015,"Tabungan",Transaksi!$D$16:$D$5015,"Keluar",Transaksi!$H$16:$H$5015,"Reksadana uang kos mama",Transaksi!$B$16:$B$5015,"&gt;="&amp;DATE(2027,10,1),Transaksi!$B$16:$B$5015,"&lt;="&amp;EOMONTH(DATE(2027,10,1),0))-SUMIFS(Transaksi!$F$16:$F$5015,Transaksi!$G$16:$G$5015,"Tabungan",Transaksi!$D$16:$D$5015,"Masuk",Transaksi!$H$16:$H$5015,"Reksadana uang kos mama",Transaksi!$B$16:$B$5015,"&gt;="&amp;DATE(2027,10,1),Transaksi!$B$16:$B$5015,"&lt;="&amp;EOMONTH(DATE(2027,10,1),0))))</f>
        <v/>
      </c>
      <c r="G50" s="165">
        <f>(SUMIFS(Transaksi!$F$16:$F$5015,Transaksi!$G$16:$G$5015,"Tabungan",Transaksi!$D$16:$D$5015,"Keluar",Transaksi!$H$16:$H$5015,"&lt;&gt;Reksadana uang kos mama",Transaksi!$B$16:$B$5015,"&gt;="&amp;DATE(2027,10,1),Transaksi!$B$16:$B$5015,"&lt;="&amp;EOMONTH(DATE(2027,10,1),0))-SUMIFS(Transaksi!$F$16:$F$5015,Transaksi!$G$16:$G$5015,"Tabungan",Transaksi!$D$16:$D$5015,"Masuk",Transaksi!$H$16:$H$5015,"&lt;&gt;Reksadana uang kos mama",Transaksi!$B$16:$B$5015,"&gt;="&amp;DATE(2027,10,1),Transaksi!$B$16:$B$5015,"&lt;="&amp;EOMONTH(DATE(2027,10,1),0)))</f>
        <v/>
      </c>
    </row>
    <row r="51" ht="15" customHeight="1" s="94">
      <c r="A51" s="164" t="n">
        <v>2027</v>
      </c>
      <c r="B51" s="164" t="inlineStr">
        <is>
          <t>Nov</t>
        </is>
      </c>
      <c r="C51" s="165">
        <f>SUMIFS(Transaksi!$F$16:$F$5015,Transaksi!$G$16:$G$5015,"Pendapatan",Transaksi!$B$16:$B$5015,"&gt;="&amp;DATE(2027,11,1),Transaksi!$B$16:$B$5015,"&lt;="&amp;EOMONTH(DATE(2027,11,1),0))</f>
        <v/>
      </c>
      <c r="D51" s="165">
        <f>SUMIFS(Transaksi!$F$16:$F$5015,Transaksi!$G$16:$G$5015,"Pengeluaran",Transaksi!$B$16:$B$5015,"&gt;="&amp;DATE(2027,11,1),Transaksi!$B$16:$B$5015,"&lt;="&amp;EOMONTH(DATE(2027,11,1),0))</f>
        <v/>
      </c>
      <c r="E51" s="166">
        <f>C51-D51</f>
        <v/>
      </c>
      <c r="F51" s="165">
        <f>(SUMIFS(Transaksi!$F$16:$F$5015,Transaksi!$G$16:$G$5015,"Pendapatan",Transaksi!$B$16:$B$5015,"&gt;="&amp;DATE(2027,11,1),Transaksi!$B$16:$B$5015,"&lt;="&amp;EOMONTH(DATE(2027,11,1),0),Transaksi!$H$16:$H$5015,"Uang Kos Mama")+SUMIFS(Transaksi!$F$16:$F$5015,Transaksi!$G$16:$G$5015,"Pendapatan",Transaksi!$B$16:$B$5015,"&gt;="&amp;DATE(2027,11,1),Transaksi!$B$16:$B$5015,"&lt;="&amp;EOMONTH(DATE(2027,11,1),0),Transaksi!$H$16:$H$5015,"Uang Kedai"))-(SUMIFS(Transaksi!$F$16:$F$5015,Transaksi!$G$16:$G$5015,"Pengeluaran",Transaksi!$B$16:$B$5015,"&gt;="&amp;DATE(2027,11,1),Transaksi!$B$16:$B$5015,"&lt;="&amp;EOMONTH(DATE(2027,11,1),0),Transaksi!$H$16:$H$5015,"Pengeluaran Uang Kos")+SUMIFS(Transaksi!$F$16:$F$5015,Transaksi!$G$16:$G$5015,"Pengeluaran",Transaksi!$B$16:$B$5015,"&gt;="&amp;DATE(2027,11,1),Transaksi!$B$16:$B$5015,"&lt;="&amp;EOMONTH(DATE(2027,11,1),0),Transaksi!$H$16:$H$5015,"Pengeluaran Uang Kedai")+(SUMIFS(Transaksi!$F$16:$F$5015,Transaksi!$G$16:$G$5015,"Tabungan",Transaksi!$D$16:$D$5015,"Keluar",Transaksi!$H$16:$H$5015,"Reksadana uang kos mama",Transaksi!$B$16:$B$5015,"&gt;="&amp;DATE(2027,11,1),Transaksi!$B$16:$B$5015,"&lt;="&amp;EOMONTH(DATE(2027,11,1),0))-SUMIFS(Transaksi!$F$16:$F$5015,Transaksi!$G$16:$G$5015,"Tabungan",Transaksi!$D$16:$D$5015,"Masuk",Transaksi!$H$16:$H$5015,"Reksadana uang kos mama",Transaksi!$B$16:$B$5015,"&gt;="&amp;DATE(2027,11,1),Transaksi!$B$16:$B$5015,"&lt;="&amp;EOMONTH(DATE(2027,11,1),0))))</f>
        <v/>
      </c>
      <c r="G51" s="165">
        <f>(SUMIFS(Transaksi!$F$16:$F$5015,Transaksi!$G$16:$G$5015,"Tabungan",Transaksi!$D$16:$D$5015,"Keluar",Transaksi!$H$16:$H$5015,"&lt;&gt;Reksadana uang kos mama",Transaksi!$B$16:$B$5015,"&gt;="&amp;DATE(2027,11,1),Transaksi!$B$16:$B$5015,"&lt;="&amp;EOMONTH(DATE(2027,11,1),0))-SUMIFS(Transaksi!$F$16:$F$5015,Transaksi!$G$16:$G$5015,"Tabungan",Transaksi!$D$16:$D$5015,"Masuk",Transaksi!$H$16:$H$5015,"&lt;&gt;Reksadana uang kos mama",Transaksi!$B$16:$B$5015,"&gt;="&amp;DATE(2027,11,1),Transaksi!$B$16:$B$5015,"&lt;="&amp;EOMONTH(DATE(2027,11,1),0)))</f>
        <v/>
      </c>
    </row>
    <row r="52" ht="15" customHeight="1" s="94">
      <c r="A52" s="164" t="n">
        <v>2027</v>
      </c>
      <c r="B52" s="164" t="inlineStr">
        <is>
          <t>Des</t>
        </is>
      </c>
      <c r="C52" s="165">
        <f>SUMIFS(Transaksi!$F$16:$F$5015,Transaksi!$G$16:$G$5015,"Pendapatan",Transaksi!$B$16:$B$5015,"&gt;="&amp;DATE(2027,12,1),Transaksi!$B$16:$B$5015,"&lt;="&amp;EOMONTH(DATE(2027,12,1),0))</f>
        <v/>
      </c>
      <c r="D52" s="165">
        <f>SUMIFS(Transaksi!$F$16:$F$5015,Transaksi!$G$16:$G$5015,"Pengeluaran",Transaksi!$B$16:$B$5015,"&gt;="&amp;DATE(2027,12,1),Transaksi!$B$16:$B$5015,"&lt;="&amp;EOMONTH(DATE(2027,12,1),0))</f>
        <v/>
      </c>
      <c r="E52" s="166">
        <f>C52-D52</f>
        <v/>
      </c>
      <c r="F52" s="165">
        <f>(SUMIFS(Transaksi!$F$16:$F$5015,Transaksi!$G$16:$G$5015,"Pendapatan",Transaksi!$B$16:$B$5015,"&gt;="&amp;DATE(2027,12,1),Transaksi!$B$16:$B$5015,"&lt;="&amp;EOMONTH(DATE(2027,12,1),0),Transaksi!$H$16:$H$5015,"Uang Kos Mama")+SUMIFS(Transaksi!$F$16:$F$5015,Transaksi!$G$16:$G$5015,"Pendapatan",Transaksi!$B$16:$B$5015,"&gt;="&amp;DATE(2027,12,1),Transaksi!$B$16:$B$5015,"&lt;="&amp;EOMONTH(DATE(2027,12,1),0),Transaksi!$H$16:$H$5015,"Uang Kedai"))-(SUMIFS(Transaksi!$F$16:$F$5015,Transaksi!$G$16:$G$5015,"Pengeluaran",Transaksi!$B$16:$B$5015,"&gt;="&amp;DATE(2027,12,1),Transaksi!$B$16:$B$5015,"&lt;="&amp;EOMONTH(DATE(2027,12,1),0),Transaksi!$H$16:$H$5015,"Pengeluaran Uang Kos")+SUMIFS(Transaksi!$F$16:$F$5015,Transaksi!$G$16:$G$5015,"Pengeluaran",Transaksi!$B$16:$B$5015,"&gt;="&amp;DATE(2027,12,1),Transaksi!$B$16:$B$5015,"&lt;="&amp;EOMONTH(DATE(2027,12,1),0),Transaksi!$H$16:$H$5015,"Pengeluaran Uang Kedai")+(SUMIFS(Transaksi!$F$16:$F$5015,Transaksi!$G$16:$G$5015,"Tabungan",Transaksi!$D$16:$D$5015,"Keluar",Transaksi!$H$16:$H$5015,"Reksadana uang kos mama",Transaksi!$B$16:$B$5015,"&gt;="&amp;DATE(2027,12,1),Transaksi!$B$16:$B$5015,"&lt;="&amp;EOMONTH(DATE(2027,12,1),0))-SUMIFS(Transaksi!$F$16:$F$5015,Transaksi!$G$16:$G$5015,"Tabungan",Transaksi!$D$16:$D$5015,"Masuk",Transaksi!$H$16:$H$5015,"Reksadana uang kos mama",Transaksi!$B$16:$B$5015,"&gt;="&amp;DATE(2027,12,1),Transaksi!$B$16:$B$5015,"&lt;="&amp;EOMONTH(DATE(2027,12,1),0))))</f>
        <v/>
      </c>
      <c r="G52" s="165">
        <f>(SUMIFS(Transaksi!$F$16:$F$5015,Transaksi!$G$16:$G$5015,"Tabungan",Transaksi!$D$16:$D$5015,"Keluar",Transaksi!$H$16:$H$5015,"&lt;&gt;Reksadana uang kos mama",Transaksi!$B$16:$B$5015,"&gt;="&amp;DATE(2027,12,1),Transaksi!$B$16:$B$5015,"&lt;="&amp;EOMONTH(DATE(2027,12,1),0))-SUMIFS(Transaksi!$F$16:$F$5015,Transaksi!$G$16:$G$5015,"Tabungan",Transaksi!$D$16:$D$5015,"Masuk",Transaksi!$H$16:$H$5015,"&lt;&gt;Reksadana uang kos mama",Transaksi!$B$16:$B$5015,"&gt;="&amp;DATE(2027,12,1),Transaksi!$B$16:$B$5015,"&lt;="&amp;EOMONTH(DATE(2027,12,1),0)))</f>
        <v/>
      </c>
    </row>
    <row r="53" ht="15" customHeight="1" s="94">
      <c r="A53" s="164" t="n">
        <v>2028</v>
      </c>
      <c r="B53" s="164" t="inlineStr">
        <is>
          <t>Jan</t>
        </is>
      </c>
      <c r="C53" s="165">
        <f>SUMIFS(Transaksi!$F$16:$F$5015,Transaksi!$G$16:$G$5015,"Pendapatan",Transaksi!$B$16:$B$5015,"&gt;="&amp;DATE(2028,1,1),Transaksi!$B$16:$B$5015,"&lt;="&amp;EOMONTH(DATE(2028,1,1),0))</f>
        <v/>
      </c>
      <c r="D53" s="165">
        <f>SUMIFS(Transaksi!$F$16:$F$5015,Transaksi!$G$16:$G$5015,"Pengeluaran",Transaksi!$B$16:$B$5015,"&gt;="&amp;DATE(2028,1,1),Transaksi!$B$16:$B$5015,"&lt;="&amp;EOMONTH(DATE(2028,1,1),0))</f>
        <v/>
      </c>
      <c r="E53" s="166">
        <f>C53-D53</f>
        <v/>
      </c>
      <c r="F53" s="165">
        <f>(SUMIFS(Transaksi!$F$16:$F$5015,Transaksi!$G$16:$G$5015,"Pendapatan",Transaksi!$B$16:$B$5015,"&gt;="&amp;DATE(2028,1,1),Transaksi!$B$16:$B$5015,"&lt;="&amp;EOMONTH(DATE(2028,1,1),0),Transaksi!$H$16:$H$5015,"Uang Kos Mama")+SUMIFS(Transaksi!$F$16:$F$5015,Transaksi!$G$16:$G$5015,"Pendapatan",Transaksi!$B$16:$B$5015,"&gt;="&amp;DATE(2028,1,1),Transaksi!$B$16:$B$5015,"&lt;="&amp;EOMONTH(DATE(2028,1,1),0),Transaksi!$H$16:$H$5015,"Uang Kedai"))-(SUMIFS(Transaksi!$F$16:$F$5015,Transaksi!$G$16:$G$5015,"Pengeluaran",Transaksi!$B$16:$B$5015,"&gt;="&amp;DATE(2028,1,1),Transaksi!$B$16:$B$5015,"&lt;="&amp;EOMONTH(DATE(2028,1,1),0),Transaksi!$H$16:$H$5015,"Pengeluaran Uang Kos")+SUMIFS(Transaksi!$F$16:$F$5015,Transaksi!$G$16:$G$5015,"Pengeluaran",Transaksi!$B$16:$B$5015,"&gt;="&amp;DATE(2028,1,1),Transaksi!$B$16:$B$5015,"&lt;="&amp;EOMONTH(DATE(2028,1,1),0),Transaksi!$H$16:$H$5015,"Pengeluaran Uang Kedai")+(SUMIFS(Transaksi!$F$16:$F$5015,Transaksi!$G$16:$G$5015,"Tabungan",Transaksi!$D$16:$D$5015,"Keluar",Transaksi!$H$16:$H$5015,"Reksadana uang kos mama",Transaksi!$B$16:$B$5015,"&gt;="&amp;DATE(2028,1,1),Transaksi!$B$16:$B$5015,"&lt;="&amp;EOMONTH(DATE(2028,1,1),0))-SUMIFS(Transaksi!$F$16:$F$5015,Transaksi!$G$16:$G$5015,"Tabungan",Transaksi!$D$16:$D$5015,"Masuk",Transaksi!$H$16:$H$5015,"Reksadana uang kos mama",Transaksi!$B$16:$B$5015,"&gt;="&amp;DATE(2028,1,1),Transaksi!$B$16:$B$5015,"&lt;="&amp;EOMONTH(DATE(2028,1,1),0))))</f>
        <v/>
      </c>
      <c r="G53" s="165">
        <f>(SUMIFS(Transaksi!$F$16:$F$5015,Transaksi!$G$16:$G$5015,"Tabungan",Transaksi!$D$16:$D$5015,"Keluar",Transaksi!$H$16:$H$5015,"&lt;&gt;Reksadana uang kos mama",Transaksi!$B$16:$B$5015,"&gt;="&amp;DATE(2028,1,1),Transaksi!$B$16:$B$5015,"&lt;="&amp;EOMONTH(DATE(2028,1,1),0))-SUMIFS(Transaksi!$F$16:$F$5015,Transaksi!$G$16:$G$5015,"Tabungan",Transaksi!$D$16:$D$5015,"Masuk",Transaksi!$H$16:$H$5015,"&lt;&gt;Reksadana uang kos mama",Transaksi!$B$16:$B$5015,"&gt;="&amp;DATE(2028,1,1),Transaksi!$B$16:$B$5015,"&lt;="&amp;EOMONTH(DATE(2028,1,1),0)))</f>
        <v/>
      </c>
    </row>
    <row r="54" ht="15" customHeight="1" s="94">
      <c r="A54" s="164" t="n">
        <v>2028</v>
      </c>
      <c r="B54" s="164" t="inlineStr">
        <is>
          <t>Feb</t>
        </is>
      </c>
      <c r="C54" s="165">
        <f>SUMIFS(Transaksi!$F$16:$F$5015,Transaksi!$G$16:$G$5015,"Pendapatan",Transaksi!$B$16:$B$5015,"&gt;="&amp;DATE(2028,2,1),Transaksi!$B$16:$B$5015,"&lt;="&amp;EOMONTH(DATE(2028,2,1),0))</f>
        <v/>
      </c>
      <c r="D54" s="165">
        <f>SUMIFS(Transaksi!$F$16:$F$5015,Transaksi!$G$16:$G$5015,"Pengeluaran",Transaksi!$B$16:$B$5015,"&gt;="&amp;DATE(2028,2,1),Transaksi!$B$16:$B$5015,"&lt;="&amp;EOMONTH(DATE(2028,2,1),0))</f>
        <v/>
      </c>
      <c r="E54" s="166">
        <f>C54-D54</f>
        <v/>
      </c>
      <c r="F54" s="165">
        <f>(SUMIFS(Transaksi!$F$16:$F$5015,Transaksi!$G$16:$G$5015,"Pendapatan",Transaksi!$B$16:$B$5015,"&gt;="&amp;DATE(2028,2,1),Transaksi!$B$16:$B$5015,"&lt;="&amp;EOMONTH(DATE(2028,2,1),0),Transaksi!$H$16:$H$5015,"Uang Kos Mama")+SUMIFS(Transaksi!$F$16:$F$5015,Transaksi!$G$16:$G$5015,"Pendapatan",Transaksi!$B$16:$B$5015,"&gt;="&amp;DATE(2028,2,1),Transaksi!$B$16:$B$5015,"&lt;="&amp;EOMONTH(DATE(2028,2,1),0),Transaksi!$H$16:$H$5015,"Uang Kedai"))-(SUMIFS(Transaksi!$F$16:$F$5015,Transaksi!$G$16:$G$5015,"Pengeluaran",Transaksi!$B$16:$B$5015,"&gt;="&amp;DATE(2028,2,1),Transaksi!$B$16:$B$5015,"&lt;="&amp;EOMONTH(DATE(2028,2,1),0),Transaksi!$H$16:$H$5015,"Pengeluaran Uang Kos")+SUMIFS(Transaksi!$F$16:$F$5015,Transaksi!$G$16:$G$5015,"Pengeluaran",Transaksi!$B$16:$B$5015,"&gt;="&amp;DATE(2028,2,1),Transaksi!$B$16:$B$5015,"&lt;="&amp;EOMONTH(DATE(2028,2,1),0),Transaksi!$H$16:$H$5015,"Pengeluaran Uang Kedai")+(SUMIFS(Transaksi!$F$16:$F$5015,Transaksi!$G$16:$G$5015,"Tabungan",Transaksi!$D$16:$D$5015,"Keluar",Transaksi!$H$16:$H$5015,"Reksadana uang kos mama",Transaksi!$B$16:$B$5015,"&gt;="&amp;DATE(2028,2,1),Transaksi!$B$16:$B$5015,"&lt;="&amp;EOMONTH(DATE(2028,2,1),0))-SUMIFS(Transaksi!$F$16:$F$5015,Transaksi!$G$16:$G$5015,"Tabungan",Transaksi!$D$16:$D$5015,"Masuk",Transaksi!$H$16:$H$5015,"Reksadana uang kos mama",Transaksi!$B$16:$B$5015,"&gt;="&amp;DATE(2028,2,1),Transaksi!$B$16:$B$5015,"&lt;="&amp;EOMONTH(DATE(2028,2,1),0))))</f>
        <v/>
      </c>
      <c r="G54" s="165">
        <f>(SUMIFS(Transaksi!$F$16:$F$5015,Transaksi!$G$16:$G$5015,"Tabungan",Transaksi!$D$16:$D$5015,"Keluar",Transaksi!$H$16:$H$5015,"&lt;&gt;Reksadana uang kos mama",Transaksi!$B$16:$B$5015,"&gt;="&amp;DATE(2028,2,1),Transaksi!$B$16:$B$5015,"&lt;="&amp;EOMONTH(DATE(2028,2,1),0))-SUMIFS(Transaksi!$F$16:$F$5015,Transaksi!$G$16:$G$5015,"Tabungan",Transaksi!$D$16:$D$5015,"Masuk",Transaksi!$H$16:$H$5015,"&lt;&gt;Reksadana uang kos mama",Transaksi!$B$16:$B$5015,"&gt;="&amp;DATE(2028,2,1),Transaksi!$B$16:$B$5015,"&lt;="&amp;EOMONTH(DATE(2028,2,1),0)))</f>
        <v/>
      </c>
    </row>
    <row r="55" ht="15" customHeight="1" s="94">
      <c r="A55" s="164" t="n">
        <v>2028</v>
      </c>
      <c r="B55" s="164" t="inlineStr">
        <is>
          <t>Mar</t>
        </is>
      </c>
      <c r="C55" s="165">
        <f>SUMIFS(Transaksi!$F$16:$F$5015,Transaksi!$G$16:$G$5015,"Pendapatan",Transaksi!$B$16:$B$5015,"&gt;="&amp;DATE(2028,3,1),Transaksi!$B$16:$B$5015,"&lt;="&amp;EOMONTH(DATE(2028,3,1),0))</f>
        <v/>
      </c>
      <c r="D55" s="165">
        <f>SUMIFS(Transaksi!$F$16:$F$5015,Transaksi!$G$16:$G$5015,"Pengeluaran",Transaksi!$B$16:$B$5015,"&gt;="&amp;DATE(2028,3,1),Transaksi!$B$16:$B$5015,"&lt;="&amp;EOMONTH(DATE(2028,3,1),0))</f>
        <v/>
      </c>
      <c r="E55" s="166">
        <f>C55-D55</f>
        <v/>
      </c>
      <c r="F55" s="165">
        <f>(SUMIFS(Transaksi!$F$16:$F$5015,Transaksi!$G$16:$G$5015,"Pendapatan",Transaksi!$B$16:$B$5015,"&gt;="&amp;DATE(2028,3,1),Transaksi!$B$16:$B$5015,"&lt;="&amp;EOMONTH(DATE(2028,3,1),0),Transaksi!$H$16:$H$5015,"Uang Kos Mama")+SUMIFS(Transaksi!$F$16:$F$5015,Transaksi!$G$16:$G$5015,"Pendapatan",Transaksi!$B$16:$B$5015,"&gt;="&amp;DATE(2028,3,1),Transaksi!$B$16:$B$5015,"&lt;="&amp;EOMONTH(DATE(2028,3,1),0),Transaksi!$H$16:$H$5015,"Uang Kedai"))-(SUMIFS(Transaksi!$F$16:$F$5015,Transaksi!$G$16:$G$5015,"Pengeluaran",Transaksi!$B$16:$B$5015,"&gt;="&amp;DATE(2028,3,1),Transaksi!$B$16:$B$5015,"&lt;="&amp;EOMONTH(DATE(2028,3,1),0),Transaksi!$H$16:$H$5015,"Pengeluaran Uang Kos")+SUMIFS(Transaksi!$F$16:$F$5015,Transaksi!$G$16:$G$5015,"Pengeluaran",Transaksi!$B$16:$B$5015,"&gt;="&amp;DATE(2028,3,1),Transaksi!$B$16:$B$5015,"&lt;="&amp;EOMONTH(DATE(2028,3,1),0),Transaksi!$H$16:$H$5015,"Pengeluaran Uang Kedai")+(SUMIFS(Transaksi!$F$16:$F$5015,Transaksi!$G$16:$G$5015,"Tabungan",Transaksi!$D$16:$D$5015,"Keluar",Transaksi!$H$16:$H$5015,"Reksadana uang kos mama",Transaksi!$B$16:$B$5015,"&gt;="&amp;DATE(2028,3,1),Transaksi!$B$16:$B$5015,"&lt;="&amp;EOMONTH(DATE(2028,3,1),0))-SUMIFS(Transaksi!$F$16:$F$5015,Transaksi!$G$16:$G$5015,"Tabungan",Transaksi!$D$16:$D$5015,"Masuk",Transaksi!$H$16:$H$5015,"Reksadana uang kos mama",Transaksi!$B$16:$B$5015,"&gt;="&amp;DATE(2028,3,1),Transaksi!$B$16:$B$5015,"&lt;="&amp;EOMONTH(DATE(2028,3,1),0))))</f>
        <v/>
      </c>
      <c r="G55" s="165">
        <f>(SUMIFS(Transaksi!$F$16:$F$5015,Transaksi!$G$16:$G$5015,"Tabungan",Transaksi!$D$16:$D$5015,"Keluar",Transaksi!$H$16:$H$5015,"&lt;&gt;Reksadana uang kos mama",Transaksi!$B$16:$B$5015,"&gt;="&amp;DATE(2028,3,1),Transaksi!$B$16:$B$5015,"&lt;="&amp;EOMONTH(DATE(2028,3,1),0))-SUMIFS(Transaksi!$F$16:$F$5015,Transaksi!$G$16:$G$5015,"Tabungan",Transaksi!$D$16:$D$5015,"Masuk",Transaksi!$H$16:$H$5015,"&lt;&gt;Reksadana uang kos mama",Transaksi!$B$16:$B$5015,"&gt;="&amp;DATE(2028,3,1),Transaksi!$B$16:$B$5015,"&lt;="&amp;EOMONTH(DATE(2028,3,1),0)))</f>
        <v/>
      </c>
    </row>
    <row r="56" ht="15" customHeight="1" s="94">
      <c r="A56" s="164" t="n">
        <v>2028</v>
      </c>
      <c r="B56" s="164" t="inlineStr">
        <is>
          <t>Apr</t>
        </is>
      </c>
      <c r="C56" s="165">
        <f>SUMIFS(Transaksi!$F$16:$F$5015,Transaksi!$G$16:$G$5015,"Pendapatan",Transaksi!$B$16:$B$5015,"&gt;="&amp;DATE(2028,4,1),Transaksi!$B$16:$B$5015,"&lt;="&amp;EOMONTH(DATE(2028,4,1),0))</f>
        <v/>
      </c>
      <c r="D56" s="165">
        <f>SUMIFS(Transaksi!$F$16:$F$5015,Transaksi!$G$16:$G$5015,"Pengeluaran",Transaksi!$B$16:$B$5015,"&gt;="&amp;DATE(2028,4,1),Transaksi!$B$16:$B$5015,"&lt;="&amp;EOMONTH(DATE(2028,4,1),0))</f>
        <v/>
      </c>
      <c r="E56" s="166">
        <f>C56-D56</f>
        <v/>
      </c>
      <c r="F56" s="165">
        <f>(SUMIFS(Transaksi!$F$16:$F$5015,Transaksi!$G$16:$G$5015,"Pendapatan",Transaksi!$B$16:$B$5015,"&gt;="&amp;DATE(2028,4,1),Transaksi!$B$16:$B$5015,"&lt;="&amp;EOMONTH(DATE(2028,4,1),0),Transaksi!$H$16:$H$5015,"Uang Kos Mama")+SUMIFS(Transaksi!$F$16:$F$5015,Transaksi!$G$16:$G$5015,"Pendapatan",Transaksi!$B$16:$B$5015,"&gt;="&amp;DATE(2028,4,1),Transaksi!$B$16:$B$5015,"&lt;="&amp;EOMONTH(DATE(2028,4,1),0),Transaksi!$H$16:$H$5015,"Uang Kedai"))-(SUMIFS(Transaksi!$F$16:$F$5015,Transaksi!$G$16:$G$5015,"Pengeluaran",Transaksi!$B$16:$B$5015,"&gt;="&amp;DATE(2028,4,1),Transaksi!$B$16:$B$5015,"&lt;="&amp;EOMONTH(DATE(2028,4,1),0),Transaksi!$H$16:$H$5015,"Pengeluaran Uang Kos")+SUMIFS(Transaksi!$F$16:$F$5015,Transaksi!$G$16:$G$5015,"Pengeluaran",Transaksi!$B$16:$B$5015,"&gt;="&amp;DATE(2028,4,1),Transaksi!$B$16:$B$5015,"&lt;="&amp;EOMONTH(DATE(2028,4,1),0),Transaksi!$H$16:$H$5015,"Pengeluaran Uang Kedai")+(SUMIFS(Transaksi!$F$16:$F$5015,Transaksi!$G$16:$G$5015,"Tabungan",Transaksi!$D$16:$D$5015,"Keluar",Transaksi!$H$16:$H$5015,"Reksadana uang kos mama",Transaksi!$B$16:$B$5015,"&gt;="&amp;DATE(2028,4,1),Transaksi!$B$16:$B$5015,"&lt;="&amp;EOMONTH(DATE(2028,4,1),0))-SUMIFS(Transaksi!$F$16:$F$5015,Transaksi!$G$16:$G$5015,"Tabungan",Transaksi!$D$16:$D$5015,"Masuk",Transaksi!$H$16:$H$5015,"Reksadana uang kos mama",Transaksi!$B$16:$B$5015,"&gt;="&amp;DATE(2028,4,1),Transaksi!$B$16:$B$5015,"&lt;="&amp;EOMONTH(DATE(2028,4,1),0))))</f>
        <v/>
      </c>
      <c r="G56" s="165">
        <f>(SUMIFS(Transaksi!$F$16:$F$5015,Transaksi!$G$16:$G$5015,"Tabungan",Transaksi!$D$16:$D$5015,"Keluar",Transaksi!$H$16:$H$5015,"&lt;&gt;Reksadana uang kos mama",Transaksi!$B$16:$B$5015,"&gt;="&amp;DATE(2028,4,1),Transaksi!$B$16:$B$5015,"&lt;="&amp;EOMONTH(DATE(2028,4,1),0))-SUMIFS(Transaksi!$F$16:$F$5015,Transaksi!$G$16:$G$5015,"Tabungan",Transaksi!$D$16:$D$5015,"Masuk",Transaksi!$H$16:$H$5015,"&lt;&gt;Reksadana uang kos mama",Transaksi!$B$16:$B$5015,"&gt;="&amp;DATE(2028,4,1),Transaksi!$B$16:$B$5015,"&lt;="&amp;EOMONTH(DATE(2028,4,1),0)))</f>
        <v/>
      </c>
    </row>
    <row r="57" ht="15" customHeight="1" s="94">
      <c r="A57" s="164" t="n">
        <v>2028</v>
      </c>
      <c r="B57" s="164" t="inlineStr">
        <is>
          <t>Mei</t>
        </is>
      </c>
      <c r="C57" s="165">
        <f>SUMIFS(Transaksi!$F$16:$F$5015,Transaksi!$G$16:$G$5015,"Pendapatan",Transaksi!$B$16:$B$5015,"&gt;="&amp;DATE(2028,5,1),Transaksi!$B$16:$B$5015,"&lt;="&amp;EOMONTH(DATE(2028,5,1),0))</f>
        <v/>
      </c>
      <c r="D57" s="165">
        <f>SUMIFS(Transaksi!$F$16:$F$5015,Transaksi!$G$16:$G$5015,"Pengeluaran",Transaksi!$B$16:$B$5015,"&gt;="&amp;DATE(2028,5,1),Transaksi!$B$16:$B$5015,"&lt;="&amp;EOMONTH(DATE(2028,5,1),0))</f>
        <v/>
      </c>
      <c r="E57" s="166">
        <f>C57-D57</f>
        <v/>
      </c>
      <c r="F57" s="165">
        <f>(SUMIFS(Transaksi!$F$16:$F$5015,Transaksi!$G$16:$G$5015,"Pendapatan",Transaksi!$B$16:$B$5015,"&gt;="&amp;DATE(2028,5,1),Transaksi!$B$16:$B$5015,"&lt;="&amp;EOMONTH(DATE(2028,5,1),0),Transaksi!$H$16:$H$5015,"Uang Kos Mama")+SUMIFS(Transaksi!$F$16:$F$5015,Transaksi!$G$16:$G$5015,"Pendapatan",Transaksi!$B$16:$B$5015,"&gt;="&amp;DATE(2028,5,1),Transaksi!$B$16:$B$5015,"&lt;="&amp;EOMONTH(DATE(2028,5,1),0),Transaksi!$H$16:$H$5015,"Uang Kedai"))-(SUMIFS(Transaksi!$F$16:$F$5015,Transaksi!$G$16:$G$5015,"Pengeluaran",Transaksi!$B$16:$B$5015,"&gt;="&amp;DATE(2028,5,1),Transaksi!$B$16:$B$5015,"&lt;="&amp;EOMONTH(DATE(2028,5,1),0),Transaksi!$H$16:$H$5015,"Pengeluaran Uang Kos")+SUMIFS(Transaksi!$F$16:$F$5015,Transaksi!$G$16:$G$5015,"Pengeluaran",Transaksi!$B$16:$B$5015,"&gt;="&amp;DATE(2028,5,1),Transaksi!$B$16:$B$5015,"&lt;="&amp;EOMONTH(DATE(2028,5,1),0),Transaksi!$H$16:$H$5015,"Pengeluaran Uang Kedai")+(SUMIFS(Transaksi!$F$16:$F$5015,Transaksi!$G$16:$G$5015,"Tabungan",Transaksi!$D$16:$D$5015,"Keluar",Transaksi!$H$16:$H$5015,"Reksadana uang kos mama",Transaksi!$B$16:$B$5015,"&gt;="&amp;DATE(2028,5,1),Transaksi!$B$16:$B$5015,"&lt;="&amp;EOMONTH(DATE(2028,5,1),0))-SUMIFS(Transaksi!$F$16:$F$5015,Transaksi!$G$16:$G$5015,"Tabungan",Transaksi!$D$16:$D$5015,"Masuk",Transaksi!$H$16:$H$5015,"Reksadana uang kos mama",Transaksi!$B$16:$B$5015,"&gt;="&amp;DATE(2028,5,1),Transaksi!$B$16:$B$5015,"&lt;="&amp;EOMONTH(DATE(2028,5,1),0))))</f>
        <v/>
      </c>
      <c r="G57" s="165">
        <f>(SUMIFS(Transaksi!$F$16:$F$5015,Transaksi!$G$16:$G$5015,"Tabungan",Transaksi!$D$16:$D$5015,"Keluar",Transaksi!$H$16:$H$5015,"&lt;&gt;Reksadana uang kos mama",Transaksi!$B$16:$B$5015,"&gt;="&amp;DATE(2028,5,1),Transaksi!$B$16:$B$5015,"&lt;="&amp;EOMONTH(DATE(2028,5,1),0))-SUMIFS(Transaksi!$F$16:$F$5015,Transaksi!$G$16:$G$5015,"Tabungan",Transaksi!$D$16:$D$5015,"Masuk",Transaksi!$H$16:$H$5015,"&lt;&gt;Reksadana uang kos mama",Transaksi!$B$16:$B$5015,"&gt;="&amp;DATE(2028,5,1),Transaksi!$B$16:$B$5015,"&lt;="&amp;EOMONTH(DATE(2028,5,1),0)))</f>
        <v/>
      </c>
    </row>
    <row r="58" ht="15" customHeight="1" s="94">
      <c r="A58" s="164" t="n">
        <v>2028</v>
      </c>
      <c r="B58" s="164" t="inlineStr">
        <is>
          <t>Jun</t>
        </is>
      </c>
      <c r="C58" s="165">
        <f>SUMIFS(Transaksi!$F$16:$F$5015,Transaksi!$G$16:$G$5015,"Pendapatan",Transaksi!$B$16:$B$5015,"&gt;="&amp;DATE(2028,6,1),Transaksi!$B$16:$B$5015,"&lt;="&amp;EOMONTH(DATE(2028,6,1),0))</f>
        <v/>
      </c>
      <c r="D58" s="165">
        <f>SUMIFS(Transaksi!$F$16:$F$5015,Transaksi!$G$16:$G$5015,"Pengeluaran",Transaksi!$B$16:$B$5015,"&gt;="&amp;DATE(2028,6,1),Transaksi!$B$16:$B$5015,"&lt;="&amp;EOMONTH(DATE(2028,6,1),0))</f>
        <v/>
      </c>
      <c r="E58" s="166">
        <f>C58-D58</f>
        <v/>
      </c>
      <c r="F58" s="165">
        <f>(SUMIFS(Transaksi!$F$16:$F$5015,Transaksi!$G$16:$G$5015,"Pendapatan",Transaksi!$B$16:$B$5015,"&gt;="&amp;DATE(2028,6,1),Transaksi!$B$16:$B$5015,"&lt;="&amp;EOMONTH(DATE(2028,6,1),0),Transaksi!$H$16:$H$5015,"Uang Kos Mama")+SUMIFS(Transaksi!$F$16:$F$5015,Transaksi!$G$16:$G$5015,"Pendapatan",Transaksi!$B$16:$B$5015,"&gt;="&amp;DATE(2028,6,1),Transaksi!$B$16:$B$5015,"&lt;="&amp;EOMONTH(DATE(2028,6,1),0),Transaksi!$H$16:$H$5015,"Uang Kedai"))-(SUMIFS(Transaksi!$F$16:$F$5015,Transaksi!$G$16:$G$5015,"Pengeluaran",Transaksi!$B$16:$B$5015,"&gt;="&amp;DATE(2028,6,1),Transaksi!$B$16:$B$5015,"&lt;="&amp;EOMONTH(DATE(2028,6,1),0),Transaksi!$H$16:$H$5015,"Pengeluaran Uang Kos")+SUMIFS(Transaksi!$F$16:$F$5015,Transaksi!$G$16:$G$5015,"Pengeluaran",Transaksi!$B$16:$B$5015,"&gt;="&amp;DATE(2028,6,1),Transaksi!$B$16:$B$5015,"&lt;="&amp;EOMONTH(DATE(2028,6,1),0),Transaksi!$H$16:$H$5015,"Pengeluaran Uang Kedai")+(SUMIFS(Transaksi!$F$16:$F$5015,Transaksi!$G$16:$G$5015,"Tabungan",Transaksi!$D$16:$D$5015,"Keluar",Transaksi!$H$16:$H$5015,"Reksadana uang kos mama",Transaksi!$B$16:$B$5015,"&gt;="&amp;DATE(2028,6,1),Transaksi!$B$16:$B$5015,"&lt;="&amp;EOMONTH(DATE(2028,6,1),0))-SUMIFS(Transaksi!$F$16:$F$5015,Transaksi!$G$16:$G$5015,"Tabungan",Transaksi!$D$16:$D$5015,"Masuk",Transaksi!$H$16:$H$5015,"Reksadana uang kos mama",Transaksi!$B$16:$B$5015,"&gt;="&amp;DATE(2028,6,1),Transaksi!$B$16:$B$5015,"&lt;="&amp;EOMONTH(DATE(2028,6,1),0))))</f>
        <v/>
      </c>
      <c r="G58" s="165">
        <f>(SUMIFS(Transaksi!$F$16:$F$5015,Transaksi!$G$16:$G$5015,"Tabungan",Transaksi!$D$16:$D$5015,"Keluar",Transaksi!$H$16:$H$5015,"&lt;&gt;Reksadana uang kos mama",Transaksi!$B$16:$B$5015,"&gt;="&amp;DATE(2028,6,1),Transaksi!$B$16:$B$5015,"&lt;="&amp;EOMONTH(DATE(2028,6,1),0))-SUMIFS(Transaksi!$F$16:$F$5015,Transaksi!$G$16:$G$5015,"Tabungan",Transaksi!$D$16:$D$5015,"Masuk",Transaksi!$H$16:$H$5015,"&lt;&gt;Reksadana uang kos mama",Transaksi!$B$16:$B$5015,"&gt;="&amp;DATE(2028,6,1),Transaksi!$B$16:$B$5015,"&lt;="&amp;EOMONTH(DATE(2028,6,1),0)))</f>
        <v/>
      </c>
    </row>
    <row r="59" ht="15" customHeight="1" s="94">
      <c r="A59" s="164" t="n">
        <v>2028</v>
      </c>
      <c r="B59" s="164" t="inlineStr">
        <is>
          <t>Jul</t>
        </is>
      </c>
      <c r="C59" s="165">
        <f>SUMIFS(Transaksi!$F$16:$F$5015,Transaksi!$G$16:$G$5015,"Pendapatan",Transaksi!$B$16:$B$5015,"&gt;="&amp;DATE(2028,7,1),Transaksi!$B$16:$B$5015,"&lt;="&amp;EOMONTH(DATE(2028,7,1),0))</f>
        <v/>
      </c>
      <c r="D59" s="165">
        <f>SUMIFS(Transaksi!$F$16:$F$5015,Transaksi!$G$16:$G$5015,"Pengeluaran",Transaksi!$B$16:$B$5015,"&gt;="&amp;DATE(2028,7,1),Transaksi!$B$16:$B$5015,"&lt;="&amp;EOMONTH(DATE(2028,7,1),0))</f>
        <v/>
      </c>
      <c r="E59" s="166">
        <f>C59-D59</f>
        <v/>
      </c>
      <c r="F59" s="165">
        <f>(SUMIFS(Transaksi!$F$16:$F$5015,Transaksi!$G$16:$G$5015,"Pendapatan",Transaksi!$B$16:$B$5015,"&gt;="&amp;DATE(2028,7,1),Transaksi!$B$16:$B$5015,"&lt;="&amp;EOMONTH(DATE(2028,7,1),0),Transaksi!$H$16:$H$5015,"Uang Kos Mama")+SUMIFS(Transaksi!$F$16:$F$5015,Transaksi!$G$16:$G$5015,"Pendapatan",Transaksi!$B$16:$B$5015,"&gt;="&amp;DATE(2028,7,1),Transaksi!$B$16:$B$5015,"&lt;="&amp;EOMONTH(DATE(2028,7,1),0),Transaksi!$H$16:$H$5015,"Uang Kedai"))-(SUMIFS(Transaksi!$F$16:$F$5015,Transaksi!$G$16:$G$5015,"Pengeluaran",Transaksi!$B$16:$B$5015,"&gt;="&amp;DATE(2028,7,1),Transaksi!$B$16:$B$5015,"&lt;="&amp;EOMONTH(DATE(2028,7,1),0),Transaksi!$H$16:$H$5015,"Pengeluaran Uang Kos")+SUMIFS(Transaksi!$F$16:$F$5015,Transaksi!$G$16:$G$5015,"Pengeluaran",Transaksi!$B$16:$B$5015,"&gt;="&amp;DATE(2028,7,1),Transaksi!$B$16:$B$5015,"&lt;="&amp;EOMONTH(DATE(2028,7,1),0),Transaksi!$H$16:$H$5015,"Pengeluaran Uang Kedai")+(SUMIFS(Transaksi!$F$16:$F$5015,Transaksi!$G$16:$G$5015,"Tabungan",Transaksi!$D$16:$D$5015,"Keluar",Transaksi!$H$16:$H$5015,"Reksadana uang kos mama",Transaksi!$B$16:$B$5015,"&gt;="&amp;DATE(2028,7,1),Transaksi!$B$16:$B$5015,"&lt;="&amp;EOMONTH(DATE(2028,7,1),0))-SUMIFS(Transaksi!$F$16:$F$5015,Transaksi!$G$16:$G$5015,"Tabungan",Transaksi!$D$16:$D$5015,"Masuk",Transaksi!$H$16:$H$5015,"Reksadana uang kos mama",Transaksi!$B$16:$B$5015,"&gt;="&amp;DATE(2028,7,1),Transaksi!$B$16:$B$5015,"&lt;="&amp;EOMONTH(DATE(2028,7,1),0))))</f>
        <v/>
      </c>
      <c r="G59" s="165">
        <f>(SUMIFS(Transaksi!$F$16:$F$5015,Transaksi!$G$16:$G$5015,"Tabungan",Transaksi!$D$16:$D$5015,"Keluar",Transaksi!$H$16:$H$5015,"&lt;&gt;Reksadana uang kos mama",Transaksi!$B$16:$B$5015,"&gt;="&amp;DATE(2028,7,1),Transaksi!$B$16:$B$5015,"&lt;="&amp;EOMONTH(DATE(2028,7,1),0))-SUMIFS(Transaksi!$F$16:$F$5015,Transaksi!$G$16:$G$5015,"Tabungan",Transaksi!$D$16:$D$5015,"Masuk",Transaksi!$H$16:$H$5015,"&lt;&gt;Reksadana uang kos mama",Transaksi!$B$16:$B$5015,"&gt;="&amp;DATE(2028,7,1),Transaksi!$B$16:$B$5015,"&lt;="&amp;EOMONTH(DATE(2028,7,1),0)))</f>
        <v/>
      </c>
    </row>
    <row r="60" ht="15" customHeight="1" s="94">
      <c r="A60" s="164" t="n">
        <v>2028</v>
      </c>
      <c r="B60" s="164" t="inlineStr">
        <is>
          <t>Agu</t>
        </is>
      </c>
      <c r="C60" s="165">
        <f>SUMIFS(Transaksi!$F$16:$F$5015,Transaksi!$G$16:$G$5015,"Pendapatan",Transaksi!$B$16:$B$5015,"&gt;="&amp;DATE(2028,8,1),Transaksi!$B$16:$B$5015,"&lt;="&amp;EOMONTH(DATE(2028,8,1),0))</f>
        <v/>
      </c>
      <c r="D60" s="165">
        <f>SUMIFS(Transaksi!$F$16:$F$5015,Transaksi!$G$16:$G$5015,"Pengeluaran",Transaksi!$B$16:$B$5015,"&gt;="&amp;DATE(2028,8,1),Transaksi!$B$16:$B$5015,"&lt;="&amp;EOMONTH(DATE(2028,8,1),0))</f>
        <v/>
      </c>
      <c r="E60" s="166">
        <f>C60-D60</f>
        <v/>
      </c>
      <c r="F60" s="165">
        <f>(SUMIFS(Transaksi!$F$16:$F$5015,Transaksi!$G$16:$G$5015,"Pendapatan",Transaksi!$B$16:$B$5015,"&gt;="&amp;DATE(2028,8,1),Transaksi!$B$16:$B$5015,"&lt;="&amp;EOMONTH(DATE(2028,8,1),0),Transaksi!$H$16:$H$5015,"Uang Kos Mama")+SUMIFS(Transaksi!$F$16:$F$5015,Transaksi!$G$16:$G$5015,"Pendapatan",Transaksi!$B$16:$B$5015,"&gt;="&amp;DATE(2028,8,1),Transaksi!$B$16:$B$5015,"&lt;="&amp;EOMONTH(DATE(2028,8,1),0),Transaksi!$H$16:$H$5015,"Uang Kedai"))-(SUMIFS(Transaksi!$F$16:$F$5015,Transaksi!$G$16:$G$5015,"Pengeluaran",Transaksi!$B$16:$B$5015,"&gt;="&amp;DATE(2028,8,1),Transaksi!$B$16:$B$5015,"&lt;="&amp;EOMONTH(DATE(2028,8,1),0),Transaksi!$H$16:$H$5015,"Pengeluaran Uang Kos")+SUMIFS(Transaksi!$F$16:$F$5015,Transaksi!$G$16:$G$5015,"Pengeluaran",Transaksi!$B$16:$B$5015,"&gt;="&amp;DATE(2028,8,1),Transaksi!$B$16:$B$5015,"&lt;="&amp;EOMONTH(DATE(2028,8,1),0),Transaksi!$H$16:$H$5015,"Pengeluaran Uang Kedai")+(SUMIFS(Transaksi!$F$16:$F$5015,Transaksi!$G$16:$G$5015,"Tabungan",Transaksi!$D$16:$D$5015,"Keluar",Transaksi!$H$16:$H$5015,"Reksadana uang kos mama",Transaksi!$B$16:$B$5015,"&gt;="&amp;DATE(2028,8,1),Transaksi!$B$16:$B$5015,"&lt;="&amp;EOMONTH(DATE(2028,8,1),0))-SUMIFS(Transaksi!$F$16:$F$5015,Transaksi!$G$16:$G$5015,"Tabungan",Transaksi!$D$16:$D$5015,"Masuk",Transaksi!$H$16:$H$5015,"Reksadana uang kos mama",Transaksi!$B$16:$B$5015,"&gt;="&amp;DATE(2028,8,1),Transaksi!$B$16:$B$5015,"&lt;="&amp;EOMONTH(DATE(2028,8,1),0))))</f>
        <v/>
      </c>
      <c r="G60" s="165">
        <f>(SUMIFS(Transaksi!$F$16:$F$5015,Transaksi!$G$16:$G$5015,"Tabungan",Transaksi!$D$16:$D$5015,"Keluar",Transaksi!$H$16:$H$5015,"&lt;&gt;Reksadana uang kos mama",Transaksi!$B$16:$B$5015,"&gt;="&amp;DATE(2028,8,1),Transaksi!$B$16:$B$5015,"&lt;="&amp;EOMONTH(DATE(2028,8,1),0))-SUMIFS(Transaksi!$F$16:$F$5015,Transaksi!$G$16:$G$5015,"Tabungan",Transaksi!$D$16:$D$5015,"Masuk",Transaksi!$H$16:$H$5015,"&lt;&gt;Reksadana uang kos mama",Transaksi!$B$16:$B$5015,"&gt;="&amp;DATE(2028,8,1),Transaksi!$B$16:$B$5015,"&lt;="&amp;EOMONTH(DATE(2028,8,1),0)))</f>
        <v/>
      </c>
    </row>
    <row r="61" ht="15" customHeight="1" s="94">
      <c r="A61" s="164" t="n">
        <v>2028</v>
      </c>
      <c r="B61" s="164" t="inlineStr">
        <is>
          <t>Sep</t>
        </is>
      </c>
      <c r="C61" s="165">
        <f>SUMIFS(Transaksi!$F$16:$F$5015,Transaksi!$G$16:$G$5015,"Pendapatan",Transaksi!$B$16:$B$5015,"&gt;="&amp;DATE(2028,9,1),Transaksi!$B$16:$B$5015,"&lt;="&amp;EOMONTH(DATE(2028,9,1),0))</f>
        <v/>
      </c>
      <c r="D61" s="165">
        <f>SUMIFS(Transaksi!$F$16:$F$5015,Transaksi!$G$16:$G$5015,"Pengeluaran",Transaksi!$B$16:$B$5015,"&gt;="&amp;DATE(2028,9,1),Transaksi!$B$16:$B$5015,"&lt;="&amp;EOMONTH(DATE(2028,9,1),0))</f>
        <v/>
      </c>
      <c r="E61" s="166">
        <f>C61-D61</f>
        <v/>
      </c>
      <c r="F61" s="165">
        <f>(SUMIFS(Transaksi!$F$16:$F$5015,Transaksi!$G$16:$G$5015,"Pendapatan",Transaksi!$B$16:$B$5015,"&gt;="&amp;DATE(2028,9,1),Transaksi!$B$16:$B$5015,"&lt;="&amp;EOMONTH(DATE(2028,9,1),0),Transaksi!$H$16:$H$5015,"Uang Kos Mama")+SUMIFS(Transaksi!$F$16:$F$5015,Transaksi!$G$16:$G$5015,"Pendapatan",Transaksi!$B$16:$B$5015,"&gt;="&amp;DATE(2028,9,1),Transaksi!$B$16:$B$5015,"&lt;="&amp;EOMONTH(DATE(2028,9,1),0),Transaksi!$H$16:$H$5015,"Uang Kedai"))-(SUMIFS(Transaksi!$F$16:$F$5015,Transaksi!$G$16:$G$5015,"Pengeluaran",Transaksi!$B$16:$B$5015,"&gt;="&amp;DATE(2028,9,1),Transaksi!$B$16:$B$5015,"&lt;="&amp;EOMONTH(DATE(2028,9,1),0),Transaksi!$H$16:$H$5015,"Pengeluaran Uang Kos")+SUMIFS(Transaksi!$F$16:$F$5015,Transaksi!$G$16:$G$5015,"Pengeluaran",Transaksi!$B$16:$B$5015,"&gt;="&amp;DATE(2028,9,1),Transaksi!$B$16:$B$5015,"&lt;="&amp;EOMONTH(DATE(2028,9,1),0),Transaksi!$H$16:$H$5015,"Pengeluaran Uang Kedai")+(SUMIFS(Transaksi!$F$16:$F$5015,Transaksi!$G$16:$G$5015,"Tabungan",Transaksi!$D$16:$D$5015,"Keluar",Transaksi!$H$16:$H$5015,"Reksadana uang kos mama",Transaksi!$B$16:$B$5015,"&gt;="&amp;DATE(2028,9,1),Transaksi!$B$16:$B$5015,"&lt;="&amp;EOMONTH(DATE(2028,9,1),0))-SUMIFS(Transaksi!$F$16:$F$5015,Transaksi!$G$16:$G$5015,"Tabungan",Transaksi!$D$16:$D$5015,"Masuk",Transaksi!$H$16:$H$5015,"Reksadana uang kos mama",Transaksi!$B$16:$B$5015,"&gt;="&amp;DATE(2028,9,1),Transaksi!$B$16:$B$5015,"&lt;="&amp;EOMONTH(DATE(2028,9,1),0))))</f>
        <v/>
      </c>
      <c r="G61" s="165">
        <f>(SUMIFS(Transaksi!$F$16:$F$5015,Transaksi!$G$16:$G$5015,"Tabungan",Transaksi!$D$16:$D$5015,"Keluar",Transaksi!$H$16:$H$5015,"&lt;&gt;Reksadana uang kos mama",Transaksi!$B$16:$B$5015,"&gt;="&amp;DATE(2028,9,1),Transaksi!$B$16:$B$5015,"&lt;="&amp;EOMONTH(DATE(2028,9,1),0))-SUMIFS(Transaksi!$F$16:$F$5015,Transaksi!$G$16:$G$5015,"Tabungan",Transaksi!$D$16:$D$5015,"Masuk",Transaksi!$H$16:$H$5015,"&lt;&gt;Reksadana uang kos mama",Transaksi!$B$16:$B$5015,"&gt;="&amp;DATE(2028,9,1),Transaksi!$B$16:$B$5015,"&lt;="&amp;EOMONTH(DATE(2028,9,1),0)))</f>
        <v/>
      </c>
    </row>
    <row r="62" ht="15" customHeight="1" s="94">
      <c r="A62" s="164" t="n">
        <v>2028</v>
      </c>
      <c r="B62" s="164" t="inlineStr">
        <is>
          <t>Okt</t>
        </is>
      </c>
      <c r="C62" s="165">
        <f>SUMIFS(Transaksi!$F$16:$F$5015,Transaksi!$G$16:$G$5015,"Pendapatan",Transaksi!$B$16:$B$5015,"&gt;="&amp;DATE(2028,10,1),Transaksi!$B$16:$B$5015,"&lt;="&amp;EOMONTH(DATE(2028,10,1),0))</f>
        <v/>
      </c>
      <c r="D62" s="165">
        <f>SUMIFS(Transaksi!$F$16:$F$5015,Transaksi!$G$16:$G$5015,"Pengeluaran",Transaksi!$B$16:$B$5015,"&gt;="&amp;DATE(2028,10,1),Transaksi!$B$16:$B$5015,"&lt;="&amp;EOMONTH(DATE(2028,10,1),0))</f>
        <v/>
      </c>
      <c r="E62" s="166">
        <f>C62-D62</f>
        <v/>
      </c>
      <c r="F62" s="165">
        <f>(SUMIFS(Transaksi!$F$16:$F$5015,Transaksi!$G$16:$G$5015,"Pendapatan",Transaksi!$B$16:$B$5015,"&gt;="&amp;DATE(2028,10,1),Transaksi!$B$16:$B$5015,"&lt;="&amp;EOMONTH(DATE(2028,10,1),0),Transaksi!$H$16:$H$5015,"Uang Kos Mama")+SUMIFS(Transaksi!$F$16:$F$5015,Transaksi!$G$16:$G$5015,"Pendapatan",Transaksi!$B$16:$B$5015,"&gt;="&amp;DATE(2028,10,1),Transaksi!$B$16:$B$5015,"&lt;="&amp;EOMONTH(DATE(2028,10,1),0),Transaksi!$H$16:$H$5015,"Uang Kedai"))-(SUMIFS(Transaksi!$F$16:$F$5015,Transaksi!$G$16:$G$5015,"Pengeluaran",Transaksi!$B$16:$B$5015,"&gt;="&amp;DATE(2028,10,1),Transaksi!$B$16:$B$5015,"&lt;="&amp;EOMONTH(DATE(2028,10,1),0),Transaksi!$H$16:$H$5015,"Pengeluaran Uang Kos")+SUMIFS(Transaksi!$F$16:$F$5015,Transaksi!$G$16:$G$5015,"Pengeluaran",Transaksi!$B$16:$B$5015,"&gt;="&amp;DATE(2028,10,1),Transaksi!$B$16:$B$5015,"&lt;="&amp;EOMONTH(DATE(2028,10,1),0),Transaksi!$H$16:$H$5015,"Pengeluaran Uang Kedai")+(SUMIFS(Transaksi!$F$16:$F$5015,Transaksi!$G$16:$G$5015,"Tabungan",Transaksi!$D$16:$D$5015,"Keluar",Transaksi!$H$16:$H$5015,"Reksadana uang kos mama",Transaksi!$B$16:$B$5015,"&gt;="&amp;DATE(2028,10,1),Transaksi!$B$16:$B$5015,"&lt;="&amp;EOMONTH(DATE(2028,10,1),0))-SUMIFS(Transaksi!$F$16:$F$5015,Transaksi!$G$16:$G$5015,"Tabungan",Transaksi!$D$16:$D$5015,"Masuk",Transaksi!$H$16:$H$5015,"Reksadana uang kos mama",Transaksi!$B$16:$B$5015,"&gt;="&amp;DATE(2028,10,1),Transaksi!$B$16:$B$5015,"&lt;="&amp;EOMONTH(DATE(2028,10,1),0))))</f>
        <v/>
      </c>
      <c r="G62" s="165">
        <f>(SUMIFS(Transaksi!$F$16:$F$5015,Transaksi!$G$16:$G$5015,"Tabungan",Transaksi!$D$16:$D$5015,"Keluar",Transaksi!$H$16:$H$5015,"&lt;&gt;Reksadana uang kos mama",Transaksi!$B$16:$B$5015,"&gt;="&amp;DATE(2028,10,1),Transaksi!$B$16:$B$5015,"&lt;="&amp;EOMONTH(DATE(2028,10,1),0))-SUMIFS(Transaksi!$F$16:$F$5015,Transaksi!$G$16:$G$5015,"Tabungan",Transaksi!$D$16:$D$5015,"Masuk",Transaksi!$H$16:$H$5015,"&lt;&gt;Reksadana uang kos mama",Transaksi!$B$16:$B$5015,"&gt;="&amp;DATE(2028,10,1),Transaksi!$B$16:$B$5015,"&lt;="&amp;EOMONTH(DATE(2028,10,1),0)))</f>
        <v/>
      </c>
    </row>
    <row r="63" ht="15" customHeight="1" s="94">
      <c r="A63" s="164" t="n">
        <v>2028</v>
      </c>
      <c r="B63" s="164" t="inlineStr">
        <is>
          <t>Nov</t>
        </is>
      </c>
      <c r="C63" s="165">
        <f>SUMIFS(Transaksi!$F$16:$F$5015,Transaksi!$G$16:$G$5015,"Pendapatan",Transaksi!$B$16:$B$5015,"&gt;="&amp;DATE(2028,11,1),Transaksi!$B$16:$B$5015,"&lt;="&amp;EOMONTH(DATE(2028,11,1),0))</f>
        <v/>
      </c>
      <c r="D63" s="165">
        <f>SUMIFS(Transaksi!$F$16:$F$5015,Transaksi!$G$16:$G$5015,"Pengeluaran",Transaksi!$B$16:$B$5015,"&gt;="&amp;DATE(2028,11,1),Transaksi!$B$16:$B$5015,"&lt;="&amp;EOMONTH(DATE(2028,11,1),0))</f>
        <v/>
      </c>
      <c r="E63" s="166">
        <f>C63-D63</f>
        <v/>
      </c>
      <c r="F63" s="165">
        <f>(SUMIFS(Transaksi!$F$16:$F$5015,Transaksi!$G$16:$G$5015,"Pendapatan",Transaksi!$B$16:$B$5015,"&gt;="&amp;DATE(2028,11,1),Transaksi!$B$16:$B$5015,"&lt;="&amp;EOMONTH(DATE(2028,11,1),0),Transaksi!$H$16:$H$5015,"Uang Kos Mama")+SUMIFS(Transaksi!$F$16:$F$5015,Transaksi!$G$16:$G$5015,"Pendapatan",Transaksi!$B$16:$B$5015,"&gt;="&amp;DATE(2028,11,1),Transaksi!$B$16:$B$5015,"&lt;="&amp;EOMONTH(DATE(2028,11,1),0),Transaksi!$H$16:$H$5015,"Uang Kedai"))-(SUMIFS(Transaksi!$F$16:$F$5015,Transaksi!$G$16:$G$5015,"Pengeluaran",Transaksi!$B$16:$B$5015,"&gt;="&amp;DATE(2028,11,1),Transaksi!$B$16:$B$5015,"&lt;="&amp;EOMONTH(DATE(2028,11,1),0),Transaksi!$H$16:$H$5015,"Pengeluaran Uang Kos")+SUMIFS(Transaksi!$F$16:$F$5015,Transaksi!$G$16:$G$5015,"Pengeluaran",Transaksi!$B$16:$B$5015,"&gt;="&amp;DATE(2028,11,1),Transaksi!$B$16:$B$5015,"&lt;="&amp;EOMONTH(DATE(2028,11,1),0),Transaksi!$H$16:$H$5015,"Pengeluaran Uang Kedai")+(SUMIFS(Transaksi!$F$16:$F$5015,Transaksi!$G$16:$G$5015,"Tabungan",Transaksi!$D$16:$D$5015,"Keluar",Transaksi!$H$16:$H$5015,"Reksadana uang kos mama",Transaksi!$B$16:$B$5015,"&gt;="&amp;DATE(2028,11,1),Transaksi!$B$16:$B$5015,"&lt;="&amp;EOMONTH(DATE(2028,11,1),0))-SUMIFS(Transaksi!$F$16:$F$5015,Transaksi!$G$16:$G$5015,"Tabungan",Transaksi!$D$16:$D$5015,"Masuk",Transaksi!$H$16:$H$5015,"Reksadana uang kos mama",Transaksi!$B$16:$B$5015,"&gt;="&amp;DATE(2028,11,1),Transaksi!$B$16:$B$5015,"&lt;="&amp;EOMONTH(DATE(2028,11,1),0))))</f>
        <v/>
      </c>
      <c r="G63" s="165">
        <f>(SUMIFS(Transaksi!$F$16:$F$5015,Transaksi!$G$16:$G$5015,"Tabungan",Transaksi!$D$16:$D$5015,"Keluar",Transaksi!$H$16:$H$5015,"&lt;&gt;Reksadana uang kos mama",Transaksi!$B$16:$B$5015,"&gt;="&amp;DATE(2028,11,1),Transaksi!$B$16:$B$5015,"&lt;="&amp;EOMONTH(DATE(2028,11,1),0))-SUMIFS(Transaksi!$F$16:$F$5015,Transaksi!$G$16:$G$5015,"Tabungan",Transaksi!$D$16:$D$5015,"Masuk",Transaksi!$H$16:$H$5015,"&lt;&gt;Reksadana uang kos mama",Transaksi!$B$16:$B$5015,"&gt;="&amp;DATE(2028,11,1),Transaksi!$B$16:$B$5015,"&lt;="&amp;EOMONTH(DATE(2028,11,1),0)))</f>
        <v/>
      </c>
    </row>
    <row r="64" ht="15" customHeight="1" s="94">
      <c r="A64" s="164" t="n">
        <v>2028</v>
      </c>
      <c r="B64" s="164" t="inlineStr">
        <is>
          <t>Des</t>
        </is>
      </c>
      <c r="C64" s="165">
        <f>SUMIFS(Transaksi!$F$16:$F$5015,Transaksi!$G$16:$G$5015,"Pendapatan",Transaksi!$B$16:$B$5015,"&gt;="&amp;DATE(2028,12,1),Transaksi!$B$16:$B$5015,"&lt;="&amp;EOMONTH(DATE(2028,12,1),0))</f>
        <v/>
      </c>
      <c r="D64" s="165">
        <f>SUMIFS(Transaksi!$F$16:$F$5015,Transaksi!$G$16:$G$5015,"Pengeluaran",Transaksi!$B$16:$B$5015,"&gt;="&amp;DATE(2028,12,1),Transaksi!$B$16:$B$5015,"&lt;="&amp;EOMONTH(DATE(2028,12,1),0))</f>
        <v/>
      </c>
      <c r="E64" s="166">
        <f>C64-D64</f>
        <v/>
      </c>
      <c r="F64" s="165">
        <f>(SUMIFS(Transaksi!$F$16:$F$5015,Transaksi!$G$16:$G$5015,"Pendapatan",Transaksi!$B$16:$B$5015,"&gt;="&amp;DATE(2028,12,1),Transaksi!$B$16:$B$5015,"&lt;="&amp;EOMONTH(DATE(2028,12,1),0),Transaksi!$H$16:$H$5015,"Uang Kos Mama")+SUMIFS(Transaksi!$F$16:$F$5015,Transaksi!$G$16:$G$5015,"Pendapatan",Transaksi!$B$16:$B$5015,"&gt;="&amp;DATE(2028,12,1),Transaksi!$B$16:$B$5015,"&lt;="&amp;EOMONTH(DATE(2028,12,1),0),Transaksi!$H$16:$H$5015,"Uang Kedai"))-(SUMIFS(Transaksi!$F$16:$F$5015,Transaksi!$G$16:$G$5015,"Pengeluaran",Transaksi!$B$16:$B$5015,"&gt;="&amp;DATE(2028,12,1),Transaksi!$B$16:$B$5015,"&lt;="&amp;EOMONTH(DATE(2028,12,1),0),Transaksi!$H$16:$H$5015,"Pengeluaran Uang Kos")+SUMIFS(Transaksi!$F$16:$F$5015,Transaksi!$G$16:$G$5015,"Pengeluaran",Transaksi!$B$16:$B$5015,"&gt;="&amp;DATE(2028,12,1),Transaksi!$B$16:$B$5015,"&lt;="&amp;EOMONTH(DATE(2028,12,1),0),Transaksi!$H$16:$H$5015,"Pengeluaran Uang Kedai")+(SUMIFS(Transaksi!$F$16:$F$5015,Transaksi!$G$16:$G$5015,"Tabungan",Transaksi!$D$16:$D$5015,"Keluar",Transaksi!$H$16:$H$5015,"Reksadana uang kos mama",Transaksi!$B$16:$B$5015,"&gt;="&amp;DATE(2028,12,1),Transaksi!$B$16:$B$5015,"&lt;="&amp;EOMONTH(DATE(2028,12,1),0))-SUMIFS(Transaksi!$F$16:$F$5015,Transaksi!$G$16:$G$5015,"Tabungan",Transaksi!$D$16:$D$5015,"Masuk",Transaksi!$H$16:$H$5015,"Reksadana uang kos mama",Transaksi!$B$16:$B$5015,"&gt;="&amp;DATE(2028,12,1),Transaksi!$B$16:$B$5015,"&lt;="&amp;EOMONTH(DATE(2028,12,1),0))))</f>
        <v/>
      </c>
      <c r="G64" s="165">
        <f>(SUMIFS(Transaksi!$F$16:$F$5015,Transaksi!$G$16:$G$5015,"Tabungan",Transaksi!$D$16:$D$5015,"Keluar",Transaksi!$H$16:$H$5015,"&lt;&gt;Reksadana uang kos mama",Transaksi!$B$16:$B$5015,"&gt;="&amp;DATE(2028,12,1),Transaksi!$B$16:$B$5015,"&lt;="&amp;EOMONTH(DATE(2028,12,1),0))-SUMIFS(Transaksi!$F$16:$F$5015,Transaksi!$G$16:$G$5015,"Tabungan",Transaksi!$D$16:$D$5015,"Masuk",Transaksi!$H$16:$H$5015,"&lt;&gt;Reksadana uang kos mama",Transaksi!$B$16:$B$5015,"&gt;="&amp;DATE(2028,12,1),Transaksi!$B$16:$B$5015,"&lt;="&amp;EOMONTH(DATE(2028,12,1),0)))</f>
        <v/>
      </c>
    </row>
    <row r="65" ht="15" customHeight="1" s="94">
      <c r="A65" s="164" t="n">
        <v>2029</v>
      </c>
      <c r="B65" s="164" t="inlineStr">
        <is>
          <t>Jan</t>
        </is>
      </c>
      <c r="C65" s="165">
        <f>SUMIFS(Transaksi!$F$16:$F$5015,Transaksi!$G$16:$G$5015,"Pendapatan",Transaksi!$B$16:$B$5015,"&gt;="&amp;DATE(2029,1,1),Transaksi!$B$16:$B$5015,"&lt;="&amp;EOMONTH(DATE(2029,1,1),0))</f>
        <v/>
      </c>
      <c r="D65" s="165">
        <f>SUMIFS(Transaksi!$F$16:$F$5015,Transaksi!$G$16:$G$5015,"Pengeluaran",Transaksi!$B$16:$B$5015,"&gt;="&amp;DATE(2029,1,1),Transaksi!$B$16:$B$5015,"&lt;="&amp;EOMONTH(DATE(2029,1,1),0))</f>
        <v/>
      </c>
      <c r="E65" s="166">
        <f>C65-D65</f>
        <v/>
      </c>
      <c r="F65" s="165">
        <f>(SUMIFS(Transaksi!$F$16:$F$5015,Transaksi!$G$16:$G$5015,"Pendapatan",Transaksi!$B$16:$B$5015,"&gt;="&amp;DATE(2029,1,1),Transaksi!$B$16:$B$5015,"&lt;="&amp;EOMONTH(DATE(2029,1,1),0),Transaksi!$H$16:$H$5015,"Uang Kos Mama")+SUMIFS(Transaksi!$F$16:$F$5015,Transaksi!$G$16:$G$5015,"Pendapatan",Transaksi!$B$16:$B$5015,"&gt;="&amp;DATE(2029,1,1),Transaksi!$B$16:$B$5015,"&lt;="&amp;EOMONTH(DATE(2029,1,1),0),Transaksi!$H$16:$H$5015,"Uang Kedai"))-(SUMIFS(Transaksi!$F$16:$F$5015,Transaksi!$G$16:$G$5015,"Pengeluaran",Transaksi!$B$16:$B$5015,"&gt;="&amp;DATE(2029,1,1),Transaksi!$B$16:$B$5015,"&lt;="&amp;EOMONTH(DATE(2029,1,1),0),Transaksi!$H$16:$H$5015,"Pengeluaran Uang Kos")+SUMIFS(Transaksi!$F$16:$F$5015,Transaksi!$G$16:$G$5015,"Pengeluaran",Transaksi!$B$16:$B$5015,"&gt;="&amp;DATE(2029,1,1),Transaksi!$B$16:$B$5015,"&lt;="&amp;EOMONTH(DATE(2029,1,1),0),Transaksi!$H$16:$H$5015,"Pengeluaran Uang Kedai")+(SUMIFS(Transaksi!$F$16:$F$5015,Transaksi!$G$16:$G$5015,"Tabungan",Transaksi!$D$16:$D$5015,"Keluar",Transaksi!$H$16:$H$5015,"Reksadana uang kos mama",Transaksi!$B$16:$B$5015,"&gt;="&amp;DATE(2029,1,1),Transaksi!$B$16:$B$5015,"&lt;="&amp;EOMONTH(DATE(2029,1,1),0))-SUMIFS(Transaksi!$F$16:$F$5015,Transaksi!$G$16:$G$5015,"Tabungan",Transaksi!$D$16:$D$5015,"Masuk",Transaksi!$H$16:$H$5015,"Reksadana uang kos mama",Transaksi!$B$16:$B$5015,"&gt;="&amp;DATE(2029,1,1),Transaksi!$B$16:$B$5015,"&lt;="&amp;EOMONTH(DATE(2029,1,1),0))))</f>
        <v/>
      </c>
      <c r="G65" s="165">
        <f>(SUMIFS(Transaksi!$F$16:$F$5015,Transaksi!$G$16:$G$5015,"Tabungan",Transaksi!$D$16:$D$5015,"Keluar",Transaksi!$H$16:$H$5015,"&lt;&gt;Reksadana uang kos mama",Transaksi!$B$16:$B$5015,"&gt;="&amp;DATE(2029,1,1),Transaksi!$B$16:$B$5015,"&lt;="&amp;EOMONTH(DATE(2029,1,1),0))-SUMIFS(Transaksi!$F$16:$F$5015,Transaksi!$G$16:$G$5015,"Tabungan",Transaksi!$D$16:$D$5015,"Masuk",Transaksi!$H$16:$H$5015,"&lt;&gt;Reksadana uang kos mama",Transaksi!$B$16:$B$5015,"&gt;="&amp;DATE(2029,1,1),Transaksi!$B$16:$B$5015,"&lt;="&amp;EOMONTH(DATE(2029,1,1),0)))</f>
        <v/>
      </c>
    </row>
    <row r="66" ht="15" customHeight="1" s="94">
      <c r="A66" s="164" t="n">
        <v>2029</v>
      </c>
      <c r="B66" s="164" t="inlineStr">
        <is>
          <t>Feb</t>
        </is>
      </c>
      <c r="C66" s="165">
        <f>SUMIFS(Transaksi!$F$16:$F$5015,Transaksi!$G$16:$G$5015,"Pendapatan",Transaksi!$B$16:$B$5015,"&gt;="&amp;DATE(2029,2,1),Transaksi!$B$16:$B$5015,"&lt;="&amp;EOMONTH(DATE(2029,2,1),0))</f>
        <v/>
      </c>
      <c r="D66" s="165">
        <f>SUMIFS(Transaksi!$F$16:$F$5015,Transaksi!$G$16:$G$5015,"Pengeluaran",Transaksi!$B$16:$B$5015,"&gt;="&amp;DATE(2029,2,1),Transaksi!$B$16:$B$5015,"&lt;="&amp;EOMONTH(DATE(2029,2,1),0))</f>
        <v/>
      </c>
      <c r="E66" s="166">
        <f>C66-D66</f>
        <v/>
      </c>
      <c r="F66" s="165">
        <f>(SUMIFS(Transaksi!$F$16:$F$5015,Transaksi!$G$16:$G$5015,"Pendapatan",Transaksi!$B$16:$B$5015,"&gt;="&amp;DATE(2029,2,1),Transaksi!$B$16:$B$5015,"&lt;="&amp;EOMONTH(DATE(2029,2,1),0),Transaksi!$H$16:$H$5015,"Uang Kos Mama")+SUMIFS(Transaksi!$F$16:$F$5015,Transaksi!$G$16:$G$5015,"Pendapatan",Transaksi!$B$16:$B$5015,"&gt;="&amp;DATE(2029,2,1),Transaksi!$B$16:$B$5015,"&lt;="&amp;EOMONTH(DATE(2029,2,1),0),Transaksi!$H$16:$H$5015,"Uang Kedai"))-(SUMIFS(Transaksi!$F$16:$F$5015,Transaksi!$G$16:$G$5015,"Pengeluaran",Transaksi!$B$16:$B$5015,"&gt;="&amp;DATE(2029,2,1),Transaksi!$B$16:$B$5015,"&lt;="&amp;EOMONTH(DATE(2029,2,1),0),Transaksi!$H$16:$H$5015,"Pengeluaran Uang Kos")+SUMIFS(Transaksi!$F$16:$F$5015,Transaksi!$G$16:$G$5015,"Pengeluaran",Transaksi!$B$16:$B$5015,"&gt;="&amp;DATE(2029,2,1),Transaksi!$B$16:$B$5015,"&lt;="&amp;EOMONTH(DATE(2029,2,1),0),Transaksi!$H$16:$H$5015,"Pengeluaran Uang Kedai")+(SUMIFS(Transaksi!$F$16:$F$5015,Transaksi!$G$16:$G$5015,"Tabungan",Transaksi!$D$16:$D$5015,"Keluar",Transaksi!$H$16:$H$5015,"Reksadana uang kos mama",Transaksi!$B$16:$B$5015,"&gt;="&amp;DATE(2029,2,1),Transaksi!$B$16:$B$5015,"&lt;="&amp;EOMONTH(DATE(2029,2,1),0))-SUMIFS(Transaksi!$F$16:$F$5015,Transaksi!$G$16:$G$5015,"Tabungan",Transaksi!$D$16:$D$5015,"Masuk",Transaksi!$H$16:$H$5015,"Reksadana uang kos mama",Transaksi!$B$16:$B$5015,"&gt;="&amp;DATE(2029,2,1),Transaksi!$B$16:$B$5015,"&lt;="&amp;EOMONTH(DATE(2029,2,1),0))))</f>
        <v/>
      </c>
      <c r="G66" s="165">
        <f>(SUMIFS(Transaksi!$F$16:$F$5015,Transaksi!$G$16:$G$5015,"Tabungan",Transaksi!$D$16:$D$5015,"Keluar",Transaksi!$H$16:$H$5015,"&lt;&gt;Reksadana uang kos mama",Transaksi!$B$16:$B$5015,"&gt;="&amp;DATE(2029,2,1),Transaksi!$B$16:$B$5015,"&lt;="&amp;EOMONTH(DATE(2029,2,1),0))-SUMIFS(Transaksi!$F$16:$F$5015,Transaksi!$G$16:$G$5015,"Tabungan",Transaksi!$D$16:$D$5015,"Masuk",Transaksi!$H$16:$H$5015,"&lt;&gt;Reksadana uang kos mama",Transaksi!$B$16:$B$5015,"&gt;="&amp;DATE(2029,2,1),Transaksi!$B$16:$B$5015,"&lt;="&amp;EOMONTH(DATE(2029,2,1),0)))</f>
        <v/>
      </c>
    </row>
    <row r="67" ht="15" customHeight="1" s="94">
      <c r="A67" s="164" t="n">
        <v>2029</v>
      </c>
      <c r="B67" s="164" t="inlineStr">
        <is>
          <t>Mar</t>
        </is>
      </c>
      <c r="C67" s="165">
        <f>SUMIFS(Transaksi!$F$16:$F$5015,Transaksi!$G$16:$G$5015,"Pendapatan",Transaksi!$B$16:$B$5015,"&gt;="&amp;DATE(2029,3,1),Transaksi!$B$16:$B$5015,"&lt;="&amp;EOMONTH(DATE(2029,3,1),0))</f>
        <v/>
      </c>
      <c r="D67" s="165">
        <f>SUMIFS(Transaksi!$F$16:$F$5015,Transaksi!$G$16:$G$5015,"Pengeluaran",Transaksi!$B$16:$B$5015,"&gt;="&amp;DATE(2029,3,1),Transaksi!$B$16:$B$5015,"&lt;="&amp;EOMONTH(DATE(2029,3,1),0))</f>
        <v/>
      </c>
      <c r="E67" s="166">
        <f>C67-D67</f>
        <v/>
      </c>
      <c r="F67" s="165">
        <f>(SUMIFS(Transaksi!$F$16:$F$5015,Transaksi!$G$16:$G$5015,"Pendapatan",Transaksi!$B$16:$B$5015,"&gt;="&amp;DATE(2029,3,1),Transaksi!$B$16:$B$5015,"&lt;="&amp;EOMONTH(DATE(2029,3,1),0),Transaksi!$H$16:$H$5015,"Uang Kos Mama")+SUMIFS(Transaksi!$F$16:$F$5015,Transaksi!$G$16:$G$5015,"Pendapatan",Transaksi!$B$16:$B$5015,"&gt;="&amp;DATE(2029,3,1),Transaksi!$B$16:$B$5015,"&lt;="&amp;EOMONTH(DATE(2029,3,1),0),Transaksi!$H$16:$H$5015,"Uang Kedai"))-(SUMIFS(Transaksi!$F$16:$F$5015,Transaksi!$G$16:$G$5015,"Pengeluaran",Transaksi!$B$16:$B$5015,"&gt;="&amp;DATE(2029,3,1),Transaksi!$B$16:$B$5015,"&lt;="&amp;EOMONTH(DATE(2029,3,1),0),Transaksi!$H$16:$H$5015,"Pengeluaran Uang Kos")+SUMIFS(Transaksi!$F$16:$F$5015,Transaksi!$G$16:$G$5015,"Pengeluaran",Transaksi!$B$16:$B$5015,"&gt;="&amp;DATE(2029,3,1),Transaksi!$B$16:$B$5015,"&lt;="&amp;EOMONTH(DATE(2029,3,1),0),Transaksi!$H$16:$H$5015,"Pengeluaran Uang Kedai")+(SUMIFS(Transaksi!$F$16:$F$5015,Transaksi!$G$16:$G$5015,"Tabungan",Transaksi!$D$16:$D$5015,"Keluar",Transaksi!$H$16:$H$5015,"Reksadana uang kos mama",Transaksi!$B$16:$B$5015,"&gt;="&amp;DATE(2029,3,1),Transaksi!$B$16:$B$5015,"&lt;="&amp;EOMONTH(DATE(2029,3,1),0))-SUMIFS(Transaksi!$F$16:$F$5015,Transaksi!$G$16:$G$5015,"Tabungan",Transaksi!$D$16:$D$5015,"Masuk",Transaksi!$H$16:$H$5015,"Reksadana uang kos mama",Transaksi!$B$16:$B$5015,"&gt;="&amp;DATE(2029,3,1),Transaksi!$B$16:$B$5015,"&lt;="&amp;EOMONTH(DATE(2029,3,1),0))))</f>
        <v/>
      </c>
      <c r="G67" s="165">
        <f>(SUMIFS(Transaksi!$F$16:$F$5015,Transaksi!$G$16:$G$5015,"Tabungan",Transaksi!$D$16:$D$5015,"Keluar",Transaksi!$H$16:$H$5015,"&lt;&gt;Reksadana uang kos mama",Transaksi!$B$16:$B$5015,"&gt;="&amp;DATE(2029,3,1),Transaksi!$B$16:$B$5015,"&lt;="&amp;EOMONTH(DATE(2029,3,1),0))-SUMIFS(Transaksi!$F$16:$F$5015,Transaksi!$G$16:$G$5015,"Tabungan",Transaksi!$D$16:$D$5015,"Masuk",Transaksi!$H$16:$H$5015,"&lt;&gt;Reksadana uang kos mama",Transaksi!$B$16:$B$5015,"&gt;="&amp;DATE(2029,3,1),Transaksi!$B$16:$B$5015,"&lt;="&amp;EOMONTH(DATE(2029,3,1),0)))</f>
        <v/>
      </c>
    </row>
    <row r="68" ht="15" customHeight="1" s="94">
      <c r="A68" s="164" t="n">
        <v>2029</v>
      </c>
      <c r="B68" s="164" t="inlineStr">
        <is>
          <t>Apr</t>
        </is>
      </c>
      <c r="C68" s="165">
        <f>SUMIFS(Transaksi!$F$16:$F$5015,Transaksi!$G$16:$G$5015,"Pendapatan",Transaksi!$B$16:$B$5015,"&gt;="&amp;DATE(2029,4,1),Transaksi!$B$16:$B$5015,"&lt;="&amp;EOMONTH(DATE(2029,4,1),0))</f>
        <v/>
      </c>
      <c r="D68" s="165">
        <f>SUMIFS(Transaksi!$F$16:$F$5015,Transaksi!$G$16:$G$5015,"Pengeluaran",Transaksi!$B$16:$B$5015,"&gt;="&amp;DATE(2029,4,1),Transaksi!$B$16:$B$5015,"&lt;="&amp;EOMONTH(DATE(2029,4,1),0))</f>
        <v/>
      </c>
      <c r="E68" s="166">
        <f>C68-D68</f>
        <v/>
      </c>
      <c r="F68" s="165">
        <f>(SUMIFS(Transaksi!$F$16:$F$5015,Transaksi!$G$16:$G$5015,"Pendapatan",Transaksi!$B$16:$B$5015,"&gt;="&amp;DATE(2029,4,1),Transaksi!$B$16:$B$5015,"&lt;="&amp;EOMONTH(DATE(2029,4,1),0),Transaksi!$H$16:$H$5015,"Uang Kos Mama")+SUMIFS(Transaksi!$F$16:$F$5015,Transaksi!$G$16:$G$5015,"Pendapatan",Transaksi!$B$16:$B$5015,"&gt;="&amp;DATE(2029,4,1),Transaksi!$B$16:$B$5015,"&lt;="&amp;EOMONTH(DATE(2029,4,1),0),Transaksi!$H$16:$H$5015,"Uang Kedai"))-(SUMIFS(Transaksi!$F$16:$F$5015,Transaksi!$G$16:$G$5015,"Pengeluaran",Transaksi!$B$16:$B$5015,"&gt;="&amp;DATE(2029,4,1),Transaksi!$B$16:$B$5015,"&lt;="&amp;EOMONTH(DATE(2029,4,1),0),Transaksi!$H$16:$H$5015,"Pengeluaran Uang Kos")+SUMIFS(Transaksi!$F$16:$F$5015,Transaksi!$G$16:$G$5015,"Pengeluaran",Transaksi!$B$16:$B$5015,"&gt;="&amp;DATE(2029,4,1),Transaksi!$B$16:$B$5015,"&lt;="&amp;EOMONTH(DATE(2029,4,1),0),Transaksi!$H$16:$H$5015,"Pengeluaran Uang Kedai")+(SUMIFS(Transaksi!$F$16:$F$5015,Transaksi!$G$16:$G$5015,"Tabungan",Transaksi!$D$16:$D$5015,"Keluar",Transaksi!$H$16:$H$5015,"Reksadana uang kos mama",Transaksi!$B$16:$B$5015,"&gt;="&amp;DATE(2029,4,1),Transaksi!$B$16:$B$5015,"&lt;="&amp;EOMONTH(DATE(2029,4,1),0))-SUMIFS(Transaksi!$F$16:$F$5015,Transaksi!$G$16:$G$5015,"Tabungan",Transaksi!$D$16:$D$5015,"Masuk",Transaksi!$H$16:$H$5015,"Reksadana uang kos mama",Transaksi!$B$16:$B$5015,"&gt;="&amp;DATE(2029,4,1),Transaksi!$B$16:$B$5015,"&lt;="&amp;EOMONTH(DATE(2029,4,1),0))))</f>
        <v/>
      </c>
      <c r="G68" s="165">
        <f>(SUMIFS(Transaksi!$F$16:$F$5015,Transaksi!$G$16:$G$5015,"Tabungan",Transaksi!$D$16:$D$5015,"Keluar",Transaksi!$H$16:$H$5015,"&lt;&gt;Reksadana uang kos mama",Transaksi!$B$16:$B$5015,"&gt;="&amp;DATE(2029,4,1),Transaksi!$B$16:$B$5015,"&lt;="&amp;EOMONTH(DATE(2029,4,1),0))-SUMIFS(Transaksi!$F$16:$F$5015,Transaksi!$G$16:$G$5015,"Tabungan",Transaksi!$D$16:$D$5015,"Masuk",Transaksi!$H$16:$H$5015,"&lt;&gt;Reksadana uang kos mama",Transaksi!$B$16:$B$5015,"&gt;="&amp;DATE(2029,4,1),Transaksi!$B$16:$B$5015,"&lt;="&amp;EOMONTH(DATE(2029,4,1),0)))</f>
        <v/>
      </c>
    </row>
    <row r="69" ht="15" customHeight="1" s="94">
      <c r="A69" s="164" t="n">
        <v>2029</v>
      </c>
      <c r="B69" s="164" t="inlineStr">
        <is>
          <t>Mei</t>
        </is>
      </c>
      <c r="C69" s="165">
        <f>SUMIFS(Transaksi!$F$16:$F$5015,Transaksi!$G$16:$G$5015,"Pendapatan",Transaksi!$B$16:$B$5015,"&gt;="&amp;DATE(2029,5,1),Transaksi!$B$16:$B$5015,"&lt;="&amp;EOMONTH(DATE(2029,5,1),0))</f>
        <v/>
      </c>
      <c r="D69" s="165">
        <f>SUMIFS(Transaksi!$F$16:$F$5015,Transaksi!$G$16:$G$5015,"Pengeluaran",Transaksi!$B$16:$B$5015,"&gt;="&amp;DATE(2029,5,1),Transaksi!$B$16:$B$5015,"&lt;="&amp;EOMONTH(DATE(2029,5,1),0))</f>
        <v/>
      </c>
      <c r="E69" s="166">
        <f>C69-D69</f>
        <v/>
      </c>
      <c r="F69" s="165">
        <f>(SUMIFS(Transaksi!$F$16:$F$5015,Transaksi!$G$16:$G$5015,"Pendapatan",Transaksi!$B$16:$B$5015,"&gt;="&amp;DATE(2029,5,1),Transaksi!$B$16:$B$5015,"&lt;="&amp;EOMONTH(DATE(2029,5,1),0),Transaksi!$H$16:$H$5015,"Uang Kos Mama")+SUMIFS(Transaksi!$F$16:$F$5015,Transaksi!$G$16:$G$5015,"Pendapatan",Transaksi!$B$16:$B$5015,"&gt;="&amp;DATE(2029,5,1),Transaksi!$B$16:$B$5015,"&lt;="&amp;EOMONTH(DATE(2029,5,1),0),Transaksi!$H$16:$H$5015,"Uang Kedai"))-(SUMIFS(Transaksi!$F$16:$F$5015,Transaksi!$G$16:$G$5015,"Pengeluaran",Transaksi!$B$16:$B$5015,"&gt;="&amp;DATE(2029,5,1),Transaksi!$B$16:$B$5015,"&lt;="&amp;EOMONTH(DATE(2029,5,1),0),Transaksi!$H$16:$H$5015,"Pengeluaran Uang Kos")+SUMIFS(Transaksi!$F$16:$F$5015,Transaksi!$G$16:$G$5015,"Pengeluaran",Transaksi!$B$16:$B$5015,"&gt;="&amp;DATE(2029,5,1),Transaksi!$B$16:$B$5015,"&lt;="&amp;EOMONTH(DATE(2029,5,1),0),Transaksi!$H$16:$H$5015,"Pengeluaran Uang Kedai")+(SUMIFS(Transaksi!$F$16:$F$5015,Transaksi!$G$16:$G$5015,"Tabungan",Transaksi!$D$16:$D$5015,"Keluar",Transaksi!$H$16:$H$5015,"Reksadana uang kos mama",Transaksi!$B$16:$B$5015,"&gt;="&amp;DATE(2029,5,1),Transaksi!$B$16:$B$5015,"&lt;="&amp;EOMONTH(DATE(2029,5,1),0))-SUMIFS(Transaksi!$F$16:$F$5015,Transaksi!$G$16:$G$5015,"Tabungan",Transaksi!$D$16:$D$5015,"Masuk",Transaksi!$H$16:$H$5015,"Reksadana uang kos mama",Transaksi!$B$16:$B$5015,"&gt;="&amp;DATE(2029,5,1),Transaksi!$B$16:$B$5015,"&lt;="&amp;EOMONTH(DATE(2029,5,1),0))))</f>
        <v/>
      </c>
      <c r="G69" s="165">
        <f>(SUMIFS(Transaksi!$F$16:$F$5015,Transaksi!$G$16:$G$5015,"Tabungan",Transaksi!$D$16:$D$5015,"Keluar",Transaksi!$H$16:$H$5015,"&lt;&gt;Reksadana uang kos mama",Transaksi!$B$16:$B$5015,"&gt;="&amp;DATE(2029,5,1),Transaksi!$B$16:$B$5015,"&lt;="&amp;EOMONTH(DATE(2029,5,1),0))-SUMIFS(Transaksi!$F$16:$F$5015,Transaksi!$G$16:$G$5015,"Tabungan",Transaksi!$D$16:$D$5015,"Masuk",Transaksi!$H$16:$H$5015,"&lt;&gt;Reksadana uang kos mama",Transaksi!$B$16:$B$5015,"&gt;="&amp;DATE(2029,5,1),Transaksi!$B$16:$B$5015,"&lt;="&amp;EOMONTH(DATE(2029,5,1),0)))</f>
        <v/>
      </c>
    </row>
    <row r="70" ht="15" customHeight="1" s="94">
      <c r="A70" s="164" t="n">
        <v>2029</v>
      </c>
      <c r="B70" s="164" t="inlineStr">
        <is>
          <t>Jun</t>
        </is>
      </c>
      <c r="C70" s="165">
        <f>SUMIFS(Transaksi!$F$16:$F$5015,Transaksi!$G$16:$G$5015,"Pendapatan",Transaksi!$B$16:$B$5015,"&gt;="&amp;DATE(2029,6,1),Transaksi!$B$16:$B$5015,"&lt;="&amp;EOMONTH(DATE(2029,6,1),0))</f>
        <v/>
      </c>
      <c r="D70" s="165">
        <f>SUMIFS(Transaksi!$F$16:$F$5015,Transaksi!$G$16:$G$5015,"Pengeluaran",Transaksi!$B$16:$B$5015,"&gt;="&amp;DATE(2029,6,1),Transaksi!$B$16:$B$5015,"&lt;="&amp;EOMONTH(DATE(2029,6,1),0))</f>
        <v/>
      </c>
      <c r="E70" s="166">
        <f>C70-D70</f>
        <v/>
      </c>
      <c r="F70" s="165">
        <f>(SUMIFS(Transaksi!$F$16:$F$5015,Transaksi!$G$16:$G$5015,"Pendapatan",Transaksi!$B$16:$B$5015,"&gt;="&amp;DATE(2029,6,1),Transaksi!$B$16:$B$5015,"&lt;="&amp;EOMONTH(DATE(2029,6,1),0),Transaksi!$H$16:$H$5015,"Uang Kos Mama")+SUMIFS(Transaksi!$F$16:$F$5015,Transaksi!$G$16:$G$5015,"Pendapatan",Transaksi!$B$16:$B$5015,"&gt;="&amp;DATE(2029,6,1),Transaksi!$B$16:$B$5015,"&lt;="&amp;EOMONTH(DATE(2029,6,1),0),Transaksi!$H$16:$H$5015,"Uang Kedai"))-(SUMIFS(Transaksi!$F$16:$F$5015,Transaksi!$G$16:$G$5015,"Pengeluaran",Transaksi!$B$16:$B$5015,"&gt;="&amp;DATE(2029,6,1),Transaksi!$B$16:$B$5015,"&lt;="&amp;EOMONTH(DATE(2029,6,1),0),Transaksi!$H$16:$H$5015,"Pengeluaran Uang Kos")+SUMIFS(Transaksi!$F$16:$F$5015,Transaksi!$G$16:$G$5015,"Pengeluaran",Transaksi!$B$16:$B$5015,"&gt;="&amp;DATE(2029,6,1),Transaksi!$B$16:$B$5015,"&lt;="&amp;EOMONTH(DATE(2029,6,1),0),Transaksi!$H$16:$H$5015,"Pengeluaran Uang Kedai")+(SUMIFS(Transaksi!$F$16:$F$5015,Transaksi!$G$16:$G$5015,"Tabungan",Transaksi!$D$16:$D$5015,"Keluar",Transaksi!$H$16:$H$5015,"Reksadana uang kos mama",Transaksi!$B$16:$B$5015,"&gt;="&amp;DATE(2029,6,1),Transaksi!$B$16:$B$5015,"&lt;="&amp;EOMONTH(DATE(2029,6,1),0))-SUMIFS(Transaksi!$F$16:$F$5015,Transaksi!$G$16:$G$5015,"Tabungan",Transaksi!$D$16:$D$5015,"Masuk",Transaksi!$H$16:$H$5015,"Reksadana uang kos mama",Transaksi!$B$16:$B$5015,"&gt;="&amp;DATE(2029,6,1),Transaksi!$B$16:$B$5015,"&lt;="&amp;EOMONTH(DATE(2029,6,1),0))))</f>
        <v/>
      </c>
      <c r="G70" s="165">
        <f>(SUMIFS(Transaksi!$F$16:$F$5015,Transaksi!$G$16:$G$5015,"Tabungan",Transaksi!$D$16:$D$5015,"Keluar",Transaksi!$H$16:$H$5015,"&lt;&gt;Reksadana uang kos mama",Transaksi!$B$16:$B$5015,"&gt;="&amp;DATE(2029,6,1),Transaksi!$B$16:$B$5015,"&lt;="&amp;EOMONTH(DATE(2029,6,1),0))-SUMIFS(Transaksi!$F$16:$F$5015,Transaksi!$G$16:$G$5015,"Tabungan",Transaksi!$D$16:$D$5015,"Masuk",Transaksi!$H$16:$H$5015,"&lt;&gt;Reksadana uang kos mama",Transaksi!$B$16:$B$5015,"&gt;="&amp;DATE(2029,6,1),Transaksi!$B$16:$B$5015,"&lt;="&amp;EOMONTH(DATE(2029,6,1),0)))</f>
        <v/>
      </c>
    </row>
    <row r="71" ht="15" customHeight="1" s="94">
      <c r="A71" s="164" t="n">
        <v>2029</v>
      </c>
      <c r="B71" s="164" t="inlineStr">
        <is>
          <t>Jul</t>
        </is>
      </c>
      <c r="C71" s="165">
        <f>SUMIFS(Transaksi!$F$16:$F$5015,Transaksi!$G$16:$G$5015,"Pendapatan",Transaksi!$B$16:$B$5015,"&gt;="&amp;DATE(2029,7,1),Transaksi!$B$16:$B$5015,"&lt;="&amp;EOMONTH(DATE(2029,7,1),0))</f>
        <v/>
      </c>
      <c r="D71" s="165">
        <f>SUMIFS(Transaksi!$F$16:$F$5015,Transaksi!$G$16:$G$5015,"Pengeluaran",Transaksi!$B$16:$B$5015,"&gt;="&amp;DATE(2029,7,1),Transaksi!$B$16:$B$5015,"&lt;="&amp;EOMONTH(DATE(2029,7,1),0))</f>
        <v/>
      </c>
      <c r="E71" s="166">
        <f>C71-D71</f>
        <v/>
      </c>
      <c r="F71" s="165">
        <f>(SUMIFS(Transaksi!$F$16:$F$5015,Transaksi!$G$16:$G$5015,"Pendapatan",Transaksi!$B$16:$B$5015,"&gt;="&amp;DATE(2029,7,1),Transaksi!$B$16:$B$5015,"&lt;="&amp;EOMONTH(DATE(2029,7,1),0),Transaksi!$H$16:$H$5015,"Uang Kos Mama")+SUMIFS(Transaksi!$F$16:$F$5015,Transaksi!$G$16:$G$5015,"Pendapatan",Transaksi!$B$16:$B$5015,"&gt;="&amp;DATE(2029,7,1),Transaksi!$B$16:$B$5015,"&lt;="&amp;EOMONTH(DATE(2029,7,1),0),Transaksi!$H$16:$H$5015,"Uang Kedai"))-(SUMIFS(Transaksi!$F$16:$F$5015,Transaksi!$G$16:$G$5015,"Pengeluaran",Transaksi!$B$16:$B$5015,"&gt;="&amp;DATE(2029,7,1),Transaksi!$B$16:$B$5015,"&lt;="&amp;EOMONTH(DATE(2029,7,1),0),Transaksi!$H$16:$H$5015,"Pengeluaran Uang Kos")+SUMIFS(Transaksi!$F$16:$F$5015,Transaksi!$G$16:$G$5015,"Pengeluaran",Transaksi!$B$16:$B$5015,"&gt;="&amp;DATE(2029,7,1),Transaksi!$B$16:$B$5015,"&lt;="&amp;EOMONTH(DATE(2029,7,1),0),Transaksi!$H$16:$H$5015,"Pengeluaran Uang Kedai")+(SUMIFS(Transaksi!$F$16:$F$5015,Transaksi!$G$16:$G$5015,"Tabungan",Transaksi!$D$16:$D$5015,"Keluar",Transaksi!$H$16:$H$5015,"Reksadana uang kos mama",Transaksi!$B$16:$B$5015,"&gt;="&amp;DATE(2029,7,1),Transaksi!$B$16:$B$5015,"&lt;="&amp;EOMONTH(DATE(2029,7,1),0))-SUMIFS(Transaksi!$F$16:$F$5015,Transaksi!$G$16:$G$5015,"Tabungan",Transaksi!$D$16:$D$5015,"Masuk",Transaksi!$H$16:$H$5015,"Reksadana uang kos mama",Transaksi!$B$16:$B$5015,"&gt;="&amp;DATE(2029,7,1),Transaksi!$B$16:$B$5015,"&lt;="&amp;EOMONTH(DATE(2029,7,1),0))))</f>
        <v/>
      </c>
      <c r="G71" s="165">
        <f>(SUMIFS(Transaksi!$F$16:$F$5015,Transaksi!$G$16:$G$5015,"Tabungan",Transaksi!$D$16:$D$5015,"Keluar",Transaksi!$H$16:$H$5015,"&lt;&gt;Reksadana uang kos mama",Transaksi!$B$16:$B$5015,"&gt;="&amp;DATE(2029,7,1),Transaksi!$B$16:$B$5015,"&lt;="&amp;EOMONTH(DATE(2029,7,1),0))-SUMIFS(Transaksi!$F$16:$F$5015,Transaksi!$G$16:$G$5015,"Tabungan",Transaksi!$D$16:$D$5015,"Masuk",Transaksi!$H$16:$H$5015,"&lt;&gt;Reksadana uang kos mama",Transaksi!$B$16:$B$5015,"&gt;="&amp;DATE(2029,7,1),Transaksi!$B$16:$B$5015,"&lt;="&amp;EOMONTH(DATE(2029,7,1),0)))</f>
        <v/>
      </c>
    </row>
    <row r="72" ht="15" customHeight="1" s="94">
      <c r="A72" s="164" t="n">
        <v>2029</v>
      </c>
      <c r="B72" s="164" t="inlineStr">
        <is>
          <t>Agu</t>
        </is>
      </c>
      <c r="C72" s="165">
        <f>SUMIFS(Transaksi!$F$16:$F$5015,Transaksi!$G$16:$G$5015,"Pendapatan",Transaksi!$B$16:$B$5015,"&gt;="&amp;DATE(2029,8,1),Transaksi!$B$16:$B$5015,"&lt;="&amp;EOMONTH(DATE(2029,8,1),0))</f>
        <v/>
      </c>
      <c r="D72" s="165">
        <f>SUMIFS(Transaksi!$F$16:$F$5015,Transaksi!$G$16:$G$5015,"Pengeluaran",Transaksi!$B$16:$B$5015,"&gt;="&amp;DATE(2029,8,1),Transaksi!$B$16:$B$5015,"&lt;="&amp;EOMONTH(DATE(2029,8,1),0))</f>
        <v/>
      </c>
      <c r="E72" s="166">
        <f>C72-D72</f>
        <v/>
      </c>
      <c r="F72" s="165">
        <f>(SUMIFS(Transaksi!$F$16:$F$5015,Transaksi!$G$16:$G$5015,"Pendapatan",Transaksi!$B$16:$B$5015,"&gt;="&amp;DATE(2029,8,1),Transaksi!$B$16:$B$5015,"&lt;="&amp;EOMONTH(DATE(2029,8,1),0),Transaksi!$H$16:$H$5015,"Uang Kos Mama")+SUMIFS(Transaksi!$F$16:$F$5015,Transaksi!$G$16:$G$5015,"Pendapatan",Transaksi!$B$16:$B$5015,"&gt;="&amp;DATE(2029,8,1),Transaksi!$B$16:$B$5015,"&lt;="&amp;EOMONTH(DATE(2029,8,1),0),Transaksi!$H$16:$H$5015,"Uang Kedai"))-(SUMIFS(Transaksi!$F$16:$F$5015,Transaksi!$G$16:$G$5015,"Pengeluaran",Transaksi!$B$16:$B$5015,"&gt;="&amp;DATE(2029,8,1),Transaksi!$B$16:$B$5015,"&lt;="&amp;EOMONTH(DATE(2029,8,1),0),Transaksi!$H$16:$H$5015,"Pengeluaran Uang Kos")+SUMIFS(Transaksi!$F$16:$F$5015,Transaksi!$G$16:$G$5015,"Pengeluaran",Transaksi!$B$16:$B$5015,"&gt;="&amp;DATE(2029,8,1),Transaksi!$B$16:$B$5015,"&lt;="&amp;EOMONTH(DATE(2029,8,1),0),Transaksi!$H$16:$H$5015,"Pengeluaran Uang Kedai")+(SUMIFS(Transaksi!$F$16:$F$5015,Transaksi!$G$16:$G$5015,"Tabungan",Transaksi!$D$16:$D$5015,"Keluar",Transaksi!$H$16:$H$5015,"Reksadana uang kos mama",Transaksi!$B$16:$B$5015,"&gt;="&amp;DATE(2029,8,1),Transaksi!$B$16:$B$5015,"&lt;="&amp;EOMONTH(DATE(2029,8,1),0))-SUMIFS(Transaksi!$F$16:$F$5015,Transaksi!$G$16:$G$5015,"Tabungan",Transaksi!$D$16:$D$5015,"Masuk",Transaksi!$H$16:$H$5015,"Reksadana uang kos mama",Transaksi!$B$16:$B$5015,"&gt;="&amp;DATE(2029,8,1),Transaksi!$B$16:$B$5015,"&lt;="&amp;EOMONTH(DATE(2029,8,1),0))))</f>
        <v/>
      </c>
      <c r="G72" s="165">
        <f>(SUMIFS(Transaksi!$F$16:$F$5015,Transaksi!$G$16:$G$5015,"Tabungan",Transaksi!$D$16:$D$5015,"Keluar",Transaksi!$H$16:$H$5015,"&lt;&gt;Reksadana uang kos mama",Transaksi!$B$16:$B$5015,"&gt;="&amp;DATE(2029,8,1),Transaksi!$B$16:$B$5015,"&lt;="&amp;EOMONTH(DATE(2029,8,1),0))-SUMIFS(Transaksi!$F$16:$F$5015,Transaksi!$G$16:$G$5015,"Tabungan",Transaksi!$D$16:$D$5015,"Masuk",Transaksi!$H$16:$H$5015,"&lt;&gt;Reksadana uang kos mama",Transaksi!$B$16:$B$5015,"&gt;="&amp;DATE(2029,8,1),Transaksi!$B$16:$B$5015,"&lt;="&amp;EOMONTH(DATE(2029,8,1),0)))</f>
        <v/>
      </c>
    </row>
    <row r="73" ht="15" customHeight="1" s="94">
      <c r="A73" s="164" t="n">
        <v>2029</v>
      </c>
      <c r="B73" s="164" t="inlineStr">
        <is>
          <t>Sep</t>
        </is>
      </c>
      <c r="C73" s="165">
        <f>SUMIFS(Transaksi!$F$16:$F$5015,Transaksi!$G$16:$G$5015,"Pendapatan",Transaksi!$B$16:$B$5015,"&gt;="&amp;DATE(2029,9,1),Transaksi!$B$16:$B$5015,"&lt;="&amp;EOMONTH(DATE(2029,9,1),0))</f>
        <v/>
      </c>
      <c r="D73" s="165">
        <f>SUMIFS(Transaksi!$F$16:$F$5015,Transaksi!$G$16:$G$5015,"Pengeluaran",Transaksi!$B$16:$B$5015,"&gt;="&amp;DATE(2029,9,1),Transaksi!$B$16:$B$5015,"&lt;="&amp;EOMONTH(DATE(2029,9,1),0))</f>
        <v/>
      </c>
      <c r="E73" s="166">
        <f>C73-D73</f>
        <v/>
      </c>
      <c r="F73" s="165">
        <f>(SUMIFS(Transaksi!$F$16:$F$5015,Transaksi!$G$16:$G$5015,"Pendapatan",Transaksi!$B$16:$B$5015,"&gt;="&amp;DATE(2029,9,1),Transaksi!$B$16:$B$5015,"&lt;="&amp;EOMONTH(DATE(2029,9,1),0),Transaksi!$H$16:$H$5015,"Uang Kos Mama")+SUMIFS(Transaksi!$F$16:$F$5015,Transaksi!$G$16:$G$5015,"Pendapatan",Transaksi!$B$16:$B$5015,"&gt;="&amp;DATE(2029,9,1),Transaksi!$B$16:$B$5015,"&lt;="&amp;EOMONTH(DATE(2029,9,1),0),Transaksi!$H$16:$H$5015,"Uang Kedai"))-(SUMIFS(Transaksi!$F$16:$F$5015,Transaksi!$G$16:$G$5015,"Pengeluaran",Transaksi!$B$16:$B$5015,"&gt;="&amp;DATE(2029,9,1),Transaksi!$B$16:$B$5015,"&lt;="&amp;EOMONTH(DATE(2029,9,1),0),Transaksi!$H$16:$H$5015,"Pengeluaran Uang Kos")+SUMIFS(Transaksi!$F$16:$F$5015,Transaksi!$G$16:$G$5015,"Pengeluaran",Transaksi!$B$16:$B$5015,"&gt;="&amp;DATE(2029,9,1),Transaksi!$B$16:$B$5015,"&lt;="&amp;EOMONTH(DATE(2029,9,1),0),Transaksi!$H$16:$H$5015,"Pengeluaran Uang Kedai")+(SUMIFS(Transaksi!$F$16:$F$5015,Transaksi!$G$16:$G$5015,"Tabungan",Transaksi!$D$16:$D$5015,"Keluar",Transaksi!$H$16:$H$5015,"Reksadana uang kos mama",Transaksi!$B$16:$B$5015,"&gt;="&amp;DATE(2029,9,1),Transaksi!$B$16:$B$5015,"&lt;="&amp;EOMONTH(DATE(2029,9,1),0))-SUMIFS(Transaksi!$F$16:$F$5015,Transaksi!$G$16:$G$5015,"Tabungan",Transaksi!$D$16:$D$5015,"Masuk",Transaksi!$H$16:$H$5015,"Reksadana uang kos mama",Transaksi!$B$16:$B$5015,"&gt;="&amp;DATE(2029,9,1),Transaksi!$B$16:$B$5015,"&lt;="&amp;EOMONTH(DATE(2029,9,1),0))))</f>
        <v/>
      </c>
      <c r="G73" s="165">
        <f>(SUMIFS(Transaksi!$F$16:$F$5015,Transaksi!$G$16:$G$5015,"Tabungan",Transaksi!$D$16:$D$5015,"Keluar",Transaksi!$H$16:$H$5015,"&lt;&gt;Reksadana uang kos mama",Transaksi!$B$16:$B$5015,"&gt;="&amp;DATE(2029,9,1),Transaksi!$B$16:$B$5015,"&lt;="&amp;EOMONTH(DATE(2029,9,1),0))-SUMIFS(Transaksi!$F$16:$F$5015,Transaksi!$G$16:$G$5015,"Tabungan",Transaksi!$D$16:$D$5015,"Masuk",Transaksi!$H$16:$H$5015,"&lt;&gt;Reksadana uang kos mama",Transaksi!$B$16:$B$5015,"&gt;="&amp;DATE(2029,9,1),Transaksi!$B$16:$B$5015,"&lt;="&amp;EOMONTH(DATE(2029,9,1),0)))</f>
        <v/>
      </c>
    </row>
    <row r="74" ht="15" customHeight="1" s="94">
      <c r="A74" s="164" t="n">
        <v>2029</v>
      </c>
      <c r="B74" s="164" t="inlineStr">
        <is>
          <t>Okt</t>
        </is>
      </c>
      <c r="C74" s="165">
        <f>SUMIFS(Transaksi!$F$16:$F$5015,Transaksi!$G$16:$G$5015,"Pendapatan",Transaksi!$B$16:$B$5015,"&gt;="&amp;DATE(2029,10,1),Transaksi!$B$16:$B$5015,"&lt;="&amp;EOMONTH(DATE(2029,10,1),0))</f>
        <v/>
      </c>
      <c r="D74" s="165">
        <f>SUMIFS(Transaksi!$F$16:$F$5015,Transaksi!$G$16:$G$5015,"Pengeluaran",Transaksi!$B$16:$B$5015,"&gt;="&amp;DATE(2029,10,1),Transaksi!$B$16:$B$5015,"&lt;="&amp;EOMONTH(DATE(2029,10,1),0))</f>
        <v/>
      </c>
      <c r="E74" s="166">
        <f>C74-D74</f>
        <v/>
      </c>
      <c r="F74" s="165">
        <f>(SUMIFS(Transaksi!$F$16:$F$5015,Transaksi!$G$16:$G$5015,"Pendapatan",Transaksi!$B$16:$B$5015,"&gt;="&amp;DATE(2029,10,1),Transaksi!$B$16:$B$5015,"&lt;="&amp;EOMONTH(DATE(2029,10,1),0),Transaksi!$H$16:$H$5015,"Uang Kos Mama")+SUMIFS(Transaksi!$F$16:$F$5015,Transaksi!$G$16:$G$5015,"Pendapatan",Transaksi!$B$16:$B$5015,"&gt;="&amp;DATE(2029,10,1),Transaksi!$B$16:$B$5015,"&lt;="&amp;EOMONTH(DATE(2029,10,1),0),Transaksi!$H$16:$H$5015,"Uang Kedai"))-(SUMIFS(Transaksi!$F$16:$F$5015,Transaksi!$G$16:$G$5015,"Pengeluaran",Transaksi!$B$16:$B$5015,"&gt;="&amp;DATE(2029,10,1),Transaksi!$B$16:$B$5015,"&lt;="&amp;EOMONTH(DATE(2029,10,1),0),Transaksi!$H$16:$H$5015,"Pengeluaran Uang Kos")+SUMIFS(Transaksi!$F$16:$F$5015,Transaksi!$G$16:$G$5015,"Pengeluaran",Transaksi!$B$16:$B$5015,"&gt;="&amp;DATE(2029,10,1),Transaksi!$B$16:$B$5015,"&lt;="&amp;EOMONTH(DATE(2029,10,1),0),Transaksi!$H$16:$H$5015,"Pengeluaran Uang Kedai")+(SUMIFS(Transaksi!$F$16:$F$5015,Transaksi!$G$16:$G$5015,"Tabungan",Transaksi!$D$16:$D$5015,"Keluar",Transaksi!$H$16:$H$5015,"Reksadana uang kos mama",Transaksi!$B$16:$B$5015,"&gt;="&amp;DATE(2029,10,1),Transaksi!$B$16:$B$5015,"&lt;="&amp;EOMONTH(DATE(2029,10,1),0))-SUMIFS(Transaksi!$F$16:$F$5015,Transaksi!$G$16:$G$5015,"Tabungan",Transaksi!$D$16:$D$5015,"Masuk",Transaksi!$H$16:$H$5015,"Reksadana uang kos mama",Transaksi!$B$16:$B$5015,"&gt;="&amp;DATE(2029,10,1),Transaksi!$B$16:$B$5015,"&lt;="&amp;EOMONTH(DATE(2029,10,1),0))))</f>
        <v/>
      </c>
      <c r="G74" s="165">
        <f>(SUMIFS(Transaksi!$F$16:$F$5015,Transaksi!$G$16:$G$5015,"Tabungan",Transaksi!$D$16:$D$5015,"Keluar",Transaksi!$H$16:$H$5015,"&lt;&gt;Reksadana uang kos mama",Transaksi!$B$16:$B$5015,"&gt;="&amp;DATE(2029,10,1),Transaksi!$B$16:$B$5015,"&lt;="&amp;EOMONTH(DATE(2029,10,1),0))-SUMIFS(Transaksi!$F$16:$F$5015,Transaksi!$G$16:$G$5015,"Tabungan",Transaksi!$D$16:$D$5015,"Masuk",Transaksi!$H$16:$H$5015,"&lt;&gt;Reksadana uang kos mama",Transaksi!$B$16:$B$5015,"&gt;="&amp;DATE(2029,10,1),Transaksi!$B$16:$B$5015,"&lt;="&amp;EOMONTH(DATE(2029,10,1),0)))</f>
        <v/>
      </c>
    </row>
    <row r="75" ht="15" customHeight="1" s="94">
      <c r="A75" s="164" t="n">
        <v>2029</v>
      </c>
      <c r="B75" s="164" t="inlineStr">
        <is>
          <t>Nov</t>
        </is>
      </c>
      <c r="C75" s="165">
        <f>SUMIFS(Transaksi!$F$16:$F$5015,Transaksi!$G$16:$G$5015,"Pendapatan",Transaksi!$B$16:$B$5015,"&gt;="&amp;DATE(2029,11,1),Transaksi!$B$16:$B$5015,"&lt;="&amp;EOMONTH(DATE(2029,11,1),0))</f>
        <v/>
      </c>
      <c r="D75" s="165">
        <f>SUMIFS(Transaksi!$F$16:$F$5015,Transaksi!$G$16:$G$5015,"Pengeluaran",Transaksi!$B$16:$B$5015,"&gt;="&amp;DATE(2029,11,1),Transaksi!$B$16:$B$5015,"&lt;="&amp;EOMONTH(DATE(2029,11,1),0))</f>
        <v/>
      </c>
      <c r="E75" s="166">
        <f>C75-D75</f>
        <v/>
      </c>
      <c r="F75" s="165">
        <f>(SUMIFS(Transaksi!$F$16:$F$5015,Transaksi!$G$16:$G$5015,"Pendapatan",Transaksi!$B$16:$B$5015,"&gt;="&amp;DATE(2029,11,1),Transaksi!$B$16:$B$5015,"&lt;="&amp;EOMONTH(DATE(2029,11,1),0),Transaksi!$H$16:$H$5015,"Uang Kos Mama")+SUMIFS(Transaksi!$F$16:$F$5015,Transaksi!$G$16:$G$5015,"Pendapatan",Transaksi!$B$16:$B$5015,"&gt;="&amp;DATE(2029,11,1),Transaksi!$B$16:$B$5015,"&lt;="&amp;EOMONTH(DATE(2029,11,1),0),Transaksi!$H$16:$H$5015,"Uang Kedai"))-(SUMIFS(Transaksi!$F$16:$F$5015,Transaksi!$G$16:$G$5015,"Pengeluaran",Transaksi!$B$16:$B$5015,"&gt;="&amp;DATE(2029,11,1),Transaksi!$B$16:$B$5015,"&lt;="&amp;EOMONTH(DATE(2029,11,1),0),Transaksi!$H$16:$H$5015,"Pengeluaran Uang Kos")+SUMIFS(Transaksi!$F$16:$F$5015,Transaksi!$G$16:$G$5015,"Pengeluaran",Transaksi!$B$16:$B$5015,"&gt;="&amp;DATE(2029,11,1),Transaksi!$B$16:$B$5015,"&lt;="&amp;EOMONTH(DATE(2029,11,1),0),Transaksi!$H$16:$H$5015,"Pengeluaran Uang Kedai")+(SUMIFS(Transaksi!$F$16:$F$5015,Transaksi!$G$16:$G$5015,"Tabungan",Transaksi!$D$16:$D$5015,"Keluar",Transaksi!$H$16:$H$5015,"Reksadana uang kos mama",Transaksi!$B$16:$B$5015,"&gt;="&amp;DATE(2029,11,1),Transaksi!$B$16:$B$5015,"&lt;="&amp;EOMONTH(DATE(2029,11,1),0))-SUMIFS(Transaksi!$F$16:$F$5015,Transaksi!$G$16:$G$5015,"Tabungan",Transaksi!$D$16:$D$5015,"Masuk",Transaksi!$H$16:$H$5015,"Reksadana uang kos mama",Transaksi!$B$16:$B$5015,"&gt;="&amp;DATE(2029,11,1),Transaksi!$B$16:$B$5015,"&lt;="&amp;EOMONTH(DATE(2029,11,1),0))))</f>
        <v/>
      </c>
      <c r="G75" s="165">
        <f>(SUMIFS(Transaksi!$F$16:$F$5015,Transaksi!$G$16:$G$5015,"Tabungan",Transaksi!$D$16:$D$5015,"Keluar",Transaksi!$H$16:$H$5015,"&lt;&gt;Reksadana uang kos mama",Transaksi!$B$16:$B$5015,"&gt;="&amp;DATE(2029,11,1),Transaksi!$B$16:$B$5015,"&lt;="&amp;EOMONTH(DATE(2029,11,1),0))-SUMIFS(Transaksi!$F$16:$F$5015,Transaksi!$G$16:$G$5015,"Tabungan",Transaksi!$D$16:$D$5015,"Masuk",Transaksi!$H$16:$H$5015,"&lt;&gt;Reksadana uang kos mama",Transaksi!$B$16:$B$5015,"&gt;="&amp;DATE(2029,11,1),Transaksi!$B$16:$B$5015,"&lt;="&amp;EOMONTH(DATE(2029,11,1),0)))</f>
        <v/>
      </c>
    </row>
    <row r="76" ht="15" customHeight="1" s="94">
      <c r="A76" s="164" t="n">
        <v>2029</v>
      </c>
      <c r="B76" s="164" t="inlineStr">
        <is>
          <t>Des</t>
        </is>
      </c>
      <c r="C76" s="165">
        <f>SUMIFS(Transaksi!$F$16:$F$5015,Transaksi!$G$16:$G$5015,"Pendapatan",Transaksi!$B$16:$B$5015,"&gt;="&amp;DATE(2029,12,1),Transaksi!$B$16:$B$5015,"&lt;="&amp;EOMONTH(DATE(2029,12,1),0))</f>
        <v/>
      </c>
      <c r="D76" s="165">
        <f>SUMIFS(Transaksi!$F$16:$F$5015,Transaksi!$G$16:$G$5015,"Pengeluaran",Transaksi!$B$16:$B$5015,"&gt;="&amp;DATE(2029,12,1),Transaksi!$B$16:$B$5015,"&lt;="&amp;EOMONTH(DATE(2029,12,1),0))</f>
        <v/>
      </c>
      <c r="E76" s="166">
        <f>C76-D76</f>
        <v/>
      </c>
      <c r="F76" s="165">
        <f>(SUMIFS(Transaksi!$F$16:$F$5015,Transaksi!$G$16:$G$5015,"Pendapatan",Transaksi!$B$16:$B$5015,"&gt;="&amp;DATE(2029,12,1),Transaksi!$B$16:$B$5015,"&lt;="&amp;EOMONTH(DATE(2029,12,1),0),Transaksi!$H$16:$H$5015,"Uang Kos Mama")+SUMIFS(Transaksi!$F$16:$F$5015,Transaksi!$G$16:$G$5015,"Pendapatan",Transaksi!$B$16:$B$5015,"&gt;="&amp;DATE(2029,12,1),Transaksi!$B$16:$B$5015,"&lt;="&amp;EOMONTH(DATE(2029,12,1),0),Transaksi!$H$16:$H$5015,"Uang Kedai"))-(SUMIFS(Transaksi!$F$16:$F$5015,Transaksi!$G$16:$G$5015,"Pengeluaran",Transaksi!$B$16:$B$5015,"&gt;="&amp;DATE(2029,12,1),Transaksi!$B$16:$B$5015,"&lt;="&amp;EOMONTH(DATE(2029,12,1),0),Transaksi!$H$16:$H$5015,"Pengeluaran Uang Kos")+SUMIFS(Transaksi!$F$16:$F$5015,Transaksi!$G$16:$G$5015,"Pengeluaran",Transaksi!$B$16:$B$5015,"&gt;="&amp;DATE(2029,12,1),Transaksi!$B$16:$B$5015,"&lt;="&amp;EOMONTH(DATE(2029,12,1),0),Transaksi!$H$16:$H$5015,"Pengeluaran Uang Kedai")+(SUMIFS(Transaksi!$F$16:$F$5015,Transaksi!$G$16:$G$5015,"Tabungan",Transaksi!$D$16:$D$5015,"Keluar",Transaksi!$H$16:$H$5015,"Reksadana uang kos mama",Transaksi!$B$16:$B$5015,"&gt;="&amp;DATE(2029,12,1),Transaksi!$B$16:$B$5015,"&lt;="&amp;EOMONTH(DATE(2029,12,1),0))-SUMIFS(Transaksi!$F$16:$F$5015,Transaksi!$G$16:$G$5015,"Tabungan",Transaksi!$D$16:$D$5015,"Masuk",Transaksi!$H$16:$H$5015,"Reksadana uang kos mama",Transaksi!$B$16:$B$5015,"&gt;="&amp;DATE(2029,12,1),Transaksi!$B$16:$B$5015,"&lt;="&amp;EOMONTH(DATE(2029,12,1),0))))</f>
        <v/>
      </c>
      <c r="G76" s="165">
        <f>(SUMIFS(Transaksi!$F$16:$F$5015,Transaksi!$G$16:$G$5015,"Tabungan",Transaksi!$D$16:$D$5015,"Keluar",Transaksi!$H$16:$H$5015,"&lt;&gt;Reksadana uang kos mama",Transaksi!$B$16:$B$5015,"&gt;="&amp;DATE(2029,12,1),Transaksi!$B$16:$B$5015,"&lt;="&amp;EOMONTH(DATE(2029,12,1),0))-SUMIFS(Transaksi!$F$16:$F$5015,Transaksi!$G$16:$G$5015,"Tabungan",Transaksi!$D$16:$D$5015,"Masuk",Transaksi!$H$16:$H$5015,"&lt;&gt;Reksadana uang kos mama",Transaksi!$B$16:$B$5015,"&gt;="&amp;DATE(2029,12,1),Transaksi!$B$16:$B$5015,"&lt;="&amp;EOMONTH(DATE(2029,12,1),0)))</f>
        <v/>
      </c>
    </row>
    <row r="77" ht="15" customHeight="1" s="94">
      <c r="A77" s="164" t="n">
        <v>2030</v>
      </c>
      <c r="B77" s="164" t="inlineStr">
        <is>
          <t>Jan</t>
        </is>
      </c>
      <c r="C77" s="165">
        <f>SUMIFS(Transaksi!$F$16:$F$5015,Transaksi!$G$16:$G$5015,"Pendapatan",Transaksi!$B$16:$B$5015,"&gt;="&amp;DATE(2030,1,1),Transaksi!$B$16:$B$5015,"&lt;="&amp;EOMONTH(DATE(2030,1,1),0))</f>
        <v/>
      </c>
      <c r="D77" s="165">
        <f>SUMIFS(Transaksi!$F$16:$F$5015,Transaksi!$G$16:$G$5015,"Pengeluaran",Transaksi!$B$16:$B$5015,"&gt;="&amp;DATE(2030,1,1),Transaksi!$B$16:$B$5015,"&lt;="&amp;EOMONTH(DATE(2030,1,1),0))</f>
        <v/>
      </c>
      <c r="E77" s="166">
        <f>C77-D77</f>
        <v/>
      </c>
      <c r="F77" s="165">
        <f>(SUMIFS(Transaksi!$F$16:$F$5015,Transaksi!$G$16:$G$5015,"Pendapatan",Transaksi!$B$16:$B$5015,"&gt;="&amp;DATE(2030,1,1),Transaksi!$B$16:$B$5015,"&lt;="&amp;EOMONTH(DATE(2030,1,1),0),Transaksi!$H$16:$H$5015,"Uang Kos Mama")+SUMIFS(Transaksi!$F$16:$F$5015,Transaksi!$G$16:$G$5015,"Pendapatan",Transaksi!$B$16:$B$5015,"&gt;="&amp;DATE(2030,1,1),Transaksi!$B$16:$B$5015,"&lt;="&amp;EOMONTH(DATE(2030,1,1),0),Transaksi!$H$16:$H$5015,"Uang Kedai"))-(SUMIFS(Transaksi!$F$16:$F$5015,Transaksi!$G$16:$G$5015,"Pengeluaran",Transaksi!$B$16:$B$5015,"&gt;="&amp;DATE(2030,1,1),Transaksi!$B$16:$B$5015,"&lt;="&amp;EOMONTH(DATE(2030,1,1),0),Transaksi!$H$16:$H$5015,"Pengeluaran Uang Kos")+SUMIFS(Transaksi!$F$16:$F$5015,Transaksi!$G$16:$G$5015,"Pengeluaran",Transaksi!$B$16:$B$5015,"&gt;="&amp;DATE(2030,1,1),Transaksi!$B$16:$B$5015,"&lt;="&amp;EOMONTH(DATE(2030,1,1),0),Transaksi!$H$16:$H$5015,"Pengeluaran Uang Kedai")+(SUMIFS(Transaksi!$F$16:$F$5015,Transaksi!$G$16:$G$5015,"Tabungan",Transaksi!$D$16:$D$5015,"Keluar",Transaksi!$H$16:$H$5015,"Reksadana uang kos mama",Transaksi!$B$16:$B$5015,"&gt;="&amp;DATE(2030,1,1),Transaksi!$B$16:$B$5015,"&lt;="&amp;EOMONTH(DATE(2030,1,1),0))-SUMIFS(Transaksi!$F$16:$F$5015,Transaksi!$G$16:$G$5015,"Tabungan",Transaksi!$D$16:$D$5015,"Masuk",Transaksi!$H$16:$H$5015,"Reksadana uang kos mama",Transaksi!$B$16:$B$5015,"&gt;="&amp;DATE(2030,1,1),Transaksi!$B$16:$B$5015,"&lt;="&amp;EOMONTH(DATE(2030,1,1),0))))</f>
        <v/>
      </c>
      <c r="G77" s="165">
        <f>(SUMIFS(Transaksi!$F$16:$F$5015,Transaksi!$G$16:$G$5015,"Tabungan",Transaksi!$D$16:$D$5015,"Keluar",Transaksi!$H$16:$H$5015,"&lt;&gt;Reksadana uang kos mama",Transaksi!$B$16:$B$5015,"&gt;="&amp;DATE(2030,1,1),Transaksi!$B$16:$B$5015,"&lt;="&amp;EOMONTH(DATE(2030,1,1),0))-SUMIFS(Transaksi!$F$16:$F$5015,Transaksi!$G$16:$G$5015,"Tabungan",Transaksi!$D$16:$D$5015,"Masuk",Transaksi!$H$16:$H$5015,"&lt;&gt;Reksadana uang kos mama",Transaksi!$B$16:$B$5015,"&gt;="&amp;DATE(2030,1,1),Transaksi!$B$16:$B$5015,"&lt;="&amp;EOMONTH(DATE(2030,1,1),0)))</f>
        <v/>
      </c>
    </row>
    <row r="78" ht="15" customHeight="1" s="94">
      <c r="A78" s="164" t="n">
        <v>2030</v>
      </c>
      <c r="B78" s="164" t="inlineStr">
        <is>
          <t>Feb</t>
        </is>
      </c>
      <c r="C78" s="165">
        <f>SUMIFS(Transaksi!$F$16:$F$5015,Transaksi!$G$16:$G$5015,"Pendapatan",Transaksi!$B$16:$B$5015,"&gt;="&amp;DATE(2030,2,1),Transaksi!$B$16:$B$5015,"&lt;="&amp;EOMONTH(DATE(2030,2,1),0))</f>
        <v/>
      </c>
      <c r="D78" s="165">
        <f>SUMIFS(Transaksi!$F$16:$F$5015,Transaksi!$G$16:$G$5015,"Pengeluaran",Transaksi!$B$16:$B$5015,"&gt;="&amp;DATE(2030,2,1),Transaksi!$B$16:$B$5015,"&lt;="&amp;EOMONTH(DATE(2030,2,1),0))</f>
        <v/>
      </c>
      <c r="E78" s="166">
        <f>C78-D78</f>
        <v/>
      </c>
      <c r="F78" s="165">
        <f>(SUMIFS(Transaksi!$F$16:$F$5015,Transaksi!$G$16:$G$5015,"Pendapatan",Transaksi!$B$16:$B$5015,"&gt;="&amp;DATE(2030,2,1),Transaksi!$B$16:$B$5015,"&lt;="&amp;EOMONTH(DATE(2030,2,1),0),Transaksi!$H$16:$H$5015,"Uang Kos Mama")+SUMIFS(Transaksi!$F$16:$F$5015,Transaksi!$G$16:$G$5015,"Pendapatan",Transaksi!$B$16:$B$5015,"&gt;="&amp;DATE(2030,2,1),Transaksi!$B$16:$B$5015,"&lt;="&amp;EOMONTH(DATE(2030,2,1),0),Transaksi!$H$16:$H$5015,"Uang Kedai"))-(SUMIFS(Transaksi!$F$16:$F$5015,Transaksi!$G$16:$G$5015,"Pengeluaran",Transaksi!$B$16:$B$5015,"&gt;="&amp;DATE(2030,2,1),Transaksi!$B$16:$B$5015,"&lt;="&amp;EOMONTH(DATE(2030,2,1),0),Transaksi!$H$16:$H$5015,"Pengeluaran Uang Kos")+SUMIFS(Transaksi!$F$16:$F$5015,Transaksi!$G$16:$G$5015,"Pengeluaran",Transaksi!$B$16:$B$5015,"&gt;="&amp;DATE(2030,2,1),Transaksi!$B$16:$B$5015,"&lt;="&amp;EOMONTH(DATE(2030,2,1),0),Transaksi!$H$16:$H$5015,"Pengeluaran Uang Kedai")+(SUMIFS(Transaksi!$F$16:$F$5015,Transaksi!$G$16:$G$5015,"Tabungan",Transaksi!$D$16:$D$5015,"Keluar",Transaksi!$H$16:$H$5015,"Reksadana uang kos mama",Transaksi!$B$16:$B$5015,"&gt;="&amp;DATE(2030,2,1),Transaksi!$B$16:$B$5015,"&lt;="&amp;EOMONTH(DATE(2030,2,1),0))-SUMIFS(Transaksi!$F$16:$F$5015,Transaksi!$G$16:$G$5015,"Tabungan",Transaksi!$D$16:$D$5015,"Masuk",Transaksi!$H$16:$H$5015,"Reksadana uang kos mama",Transaksi!$B$16:$B$5015,"&gt;="&amp;DATE(2030,2,1),Transaksi!$B$16:$B$5015,"&lt;="&amp;EOMONTH(DATE(2030,2,1),0))))</f>
        <v/>
      </c>
      <c r="G78" s="165">
        <f>(SUMIFS(Transaksi!$F$16:$F$5015,Transaksi!$G$16:$G$5015,"Tabungan",Transaksi!$D$16:$D$5015,"Keluar",Transaksi!$H$16:$H$5015,"&lt;&gt;Reksadana uang kos mama",Transaksi!$B$16:$B$5015,"&gt;="&amp;DATE(2030,2,1),Transaksi!$B$16:$B$5015,"&lt;="&amp;EOMONTH(DATE(2030,2,1),0))-SUMIFS(Transaksi!$F$16:$F$5015,Transaksi!$G$16:$G$5015,"Tabungan",Transaksi!$D$16:$D$5015,"Masuk",Transaksi!$H$16:$H$5015,"&lt;&gt;Reksadana uang kos mama",Transaksi!$B$16:$B$5015,"&gt;="&amp;DATE(2030,2,1),Transaksi!$B$16:$B$5015,"&lt;="&amp;EOMONTH(DATE(2030,2,1),0)))</f>
        <v/>
      </c>
    </row>
    <row r="79" ht="15" customHeight="1" s="94">
      <c r="A79" s="164" t="n">
        <v>2030</v>
      </c>
      <c r="B79" s="164" t="inlineStr">
        <is>
          <t>Mar</t>
        </is>
      </c>
      <c r="C79" s="165">
        <f>SUMIFS(Transaksi!$F$16:$F$5015,Transaksi!$G$16:$G$5015,"Pendapatan",Transaksi!$B$16:$B$5015,"&gt;="&amp;DATE(2030,3,1),Transaksi!$B$16:$B$5015,"&lt;="&amp;EOMONTH(DATE(2030,3,1),0))</f>
        <v/>
      </c>
      <c r="D79" s="165">
        <f>SUMIFS(Transaksi!$F$16:$F$5015,Transaksi!$G$16:$G$5015,"Pengeluaran",Transaksi!$B$16:$B$5015,"&gt;="&amp;DATE(2030,3,1),Transaksi!$B$16:$B$5015,"&lt;="&amp;EOMONTH(DATE(2030,3,1),0))</f>
        <v/>
      </c>
      <c r="E79" s="166">
        <f>C79-D79</f>
        <v/>
      </c>
      <c r="F79" s="165">
        <f>(SUMIFS(Transaksi!$F$16:$F$5015,Transaksi!$G$16:$G$5015,"Pendapatan",Transaksi!$B$16:$B$5015,"&gt;="&amp;DATE(2030,3,1),Transaksi!$B$16:$B$5015,"&lt;="&amp;EOMONTH(DATE(2030,3,1),0),Transaksi!$H$16:$H$5015,"Uang Kos Mama")+SUMIFS(Transaksi!$F$16:$F$5015,Transaksi!$G$16:$G$5015,"Pendapatan",Transaksi!$B$16:$B$5015,"&gt;="&amp;DATE(2030,3,1),Transaksi!$B$16:$B$5015,"&lt;="&amp;EOMONTH(DATE(2030,3,1),0),Transaksi!$H$16:$H$5015,"Uang Kedai"))-(SUMIFS(Transaksi!$F$16:$F$5015,Transaksi!$G$16:$G$5015,"Pengeluaran",Transaksi!$B$16:$B$5015,"&gt;="&amp;DATE(2030,3,1),Transaksi!$B$16:$B$5015,"&lt;="&amp;EOMONTH(DATE(2030,3,1),0),Transaksi!$H$16:$H$5015,"Pengeluaran Uang Kos")+SUMIFS(Transaksi!$F$16:$F$5015,Transaksi!$G$16:$G$5015,"Pengeluaran",Transaksi!$B$16:$B$5015,"&gt;="&amp;DATE(2030,3,1),Transaksi!$B$16:$B$5015,"&lt;="&amp;EOMONTH(DATE(2030,3,1),0),Transaksi!$H$16:$H$5015,"Pengeluaran Uang Kedai")+(SUMIFS(Transaksi!$F$16:$F$5015,Transaksi!$G$16:$G$5015,"Tabungan",Transaksi!$D$16:$D$5015,"Keluar",Transaksi!$H$16:$H$5015,"Reksadana uang kos mama",Transaksi!$B$16:$B$5015,"&gt;="&amp;DATE(2030,3,1),Transaksi!$B$16:$B$5015,"&lt;="&amp;EOMONTH(DATE(2030,3,1),0))-SUMIFS(Transaksi!$F$16:$F$5015,Transaksi!$G$16:$G$5015,"Tabungan",Transaksi!$D$16:$D$5015,"Masuk",Transaksi!$H$16:$H$5015,"Reksadana uang kos mama",Transaksi!$B$16:$B$5015,"&gt;="&amp;DATE(2030,3,1),Transaksi!$B$16:$B$5015,"&lt;="&amp;EOMONTH(DATE(2030,3,1),0))))</f>
        <v/>
      </c>
      <c r="G79" s="165">
        <f>(SUMIFS(Transaksi!$F$16:$F$5015,Transaksi!$G$16:$G$5015,"Tabungan",Transaksi!$D$16:$D$5015,"Keluar",Transaksi!$H$16:$H$5015,"&lt;&gt;Reksadana uang kos mama",Transaksi!$B$16:$B$5015,"&gt;="&amp;DATE(2030,3,1),Transaksi!$B$16:$B$5015,"&lt;="&amp;EOMONTH(DATE(2030,3,1),0))-SUMIFS(Transaksi!$F$16:$F$5015,Transaksi!$G$16:$G$5015,"Tabungan",Transaksi!$D$16:$D$5015,"Masuk",Transaksi!$H$16:$H$5015,"&lt;&gt;Reksadana uang kos mama",Transaksi!$B$16:$B$5015,"&gt;="&amp;DATE(2030,3,1),Transaksi!$B$16:$B$5015,"&lt;="&amp;EOMONTH(DATE(2030,3,1),0)))</f>
        <v/>
      </c>
    </row>
    <row r="80" ht="15" customHeight="1" s="94">
      <c r="A80" s="164" t="n">
        <v>2030</v>
      </c>
      <c r="B80" s="164" t="inlineStr">
        <is>
          <t>Apr</t>
        </is>
      </c>
      <c r="C80" s="165">
        <f>SUMIFS(Transaksi!$F$16:$F$5015,Transaksi!$G$16:$G$5015,"Pendapatan",Transaksi!$B$16:$B$5015,"&gt;="&amp;DATE(2030,4,1),Transaksi!$B$16:$B$5015,"&lt;="&amp;EOMONTH(DATE(2030,4,1),0))</f>
        <v/>
      </c>
      <c r="D80" s="165">
        <f>SUMIFS(Transaksi!$F$16:$F$5015,Transaksi!$G$16:$G$5015,"Pengeluaran",Transaksi!$B$16:$B$5015,"&gt;="&amp;DATE(2030,4,1),Transaksi!$B$16:$B$5015,"&lt;="&amp;EOMONTH(DATE(2030,4,1),0))</f>
        <v/>
      </c>
      <c r="E80" s="166">
        <f>C80-D80</f>
        <v/>
      </c>
      <c r="F80" s="165">
        <f>(SUMIFS(Transaksi!$F$16:$F$5015,Transaksi!$G$16:$G$5015,"Pendapatan",Transaksi!$B$16:$B$5015,"&gt;="&amp;DATE(2030,4,1),Transaksi!$B$16:$B$5015,"&lt;="&amp;EOMONTH(DATE(2030,4,1),0),Transaksi!$H$16:$H$5015,"Uang Kos Mama")+SUMIFS(Transaksi!$F$16:$F$5015,Transaksi!$G$16:$G$5015,"Pendapatan",Transaksi!$B$16:$B$5015,"&gt;="&amp;DATE(2030,4,1),Transaksi!$B$16:$B$5015,"&lt;="&amp;EOMONTH(DATE(2030,4,1),0),Transaksi!$H$16:$H$5015,"Uang Kedai"))-(SUMIFS(Transaksi!$F$16:$F$5015,Transaksi!$G$16:$G$5015,"Pengeluaran",Transaksi!$B$16:$B$5015,"&gt;="&amp;DATE(2030,4,1),Transaksi!$B$16:$B$5015,"&lt;="&amp;EOMONTH(DATE(2030,4,1),0),Transaksi!$H$16:$H$5015,"Pengeluaran Uang Kos")+SUMIFS(Transaksi!$F$16:$F$5015,Transaksi!$G$16:$G$5015,"Pengeluaran",Transaksi!$B$16:$B$5015,"&gt;="&amp;DATE(2030,4,1),Transaksi!$B$16:$B$5015,"&lt;="&amp;EOMONTH(DATE(2030,4,1),0),Transaksi!$H$16:$H$5015,"Pengeluaran Uang Kedai")+(SUMIFS(Transaksi!$F$16:$F$5015,Transaksi!$G$16:$G$5015,"Tabungan",Transaksi!$D$16:$D$5015,"Keluar",Transaksi!$H$16:$H$5015,"Reksadana uang kos mama",Transaksi!$B$16:$B$5015,"&gt;="&amp;DATE(2030,4,1),Transaksi!$B$16:$B$5015,"&lt;="&amp;EOMONTH(DATE(2030,4,1),0))-SUMIFS(Transaksi!$F$16:$F$5015,Transaksi!$G$16:$G$5015,"Tabungan",Transaksi!$D$16:$D$5015,"Masuk",Transaksi!$H$16:$H$5015,"Reksadana uang kos mama",Transaksi!$B$16:$B$5015,"&gt;="&amp;DATE(2030,4,1),Transaksi!$B$16:$B$5015,"&lt;="&amp;EOMONTH(DATE(2030,4,1),0))))</f>
        <v/>
      </c>
      <c r="G80" s="165">
        <f>(SUMIFS(Transaksi!$F$16:$F$5015,Transaksi!$G$16:$G$5015,"Tabungan",Transaksi!$D$16:$D$5015,"Keluar",Transaksi!$H$16:$H$5015,"&lt;&gt;Reksadana uang kos mama",Transaksi!$B$16:$B$5015,"&gt;="&amp;DATE(2030,4,1),Transaksi!$B$16:$B$5015,"&lt;="&amp;EOMONTH(DATE(2030,4,1),0))-SUMIFS(Transaksi!$F$16:$F$5015,Transaksi!$G$16:$G$5015,"Tabungan",Transaksi!$D$16:$D$5015,"Masuk",Transaksi!$H$16:$H$5015,"&lt;&gt;Reksadana uang kos mama",Transaksi!$B$16:$B$5015,"&gt;="&amp;DATE(2030,4,1),Transaksi!$B$16:$B$5015,"&lt;="&amp;EOMONTH(DATE(2030,4,1),0)))</f>
        <v/>
      </c>
    </row>
    <row r="81" ht="15" customHeight="1" s="94">
      <c r="A81" s="164" t="n">
        <v>2030</v>
      </c>
      <c r="B81" s="164" t="inlineStr">
        <is>
          <t>Mei</t>
        </is>
      </c>
      <c r="C81" s="165">
        <f>SUMIFS(Transaksi!$F$16:$F$5015,Transaksi!$G$16:$G$5015,"Pendapatan",Transaksi!$B$16:$B$5015,"&gt;="&amp;DATE(2030,5,1),Transaksi!$B$16:$B$5015,"&lt;="&amp;EOMONTH(DATE(2030,5,1),0))</f>
        <v/>
      </c>
      <c r="D81" s="165">
        <f>SUMIFS(Transaksi!$F$16:$F$5015,Transaksi!$G$16:$G$5015,"Pengeluaran",Transaksi!$B$16:$B$5015,"&gt;="&amp;DATE(2030,5,1),Transaksi!$B$16:$B$5015,"&lt;="&amp;EOMONTH(DATE(2030,5,1),0))</f>
        <v/>
      </c>
      <c r="E81" s="166">
        <f>C81-D81</f>
        <v/>
      </c>
      <c r="F81" s="165">
        <f>(SUMIFS(Transaksi!$F$16:$F$5015,Transaksi!$G$16:$G$5015,"Pendapatan",Transaksi!$B$16:$B$5015,"&gt;="&amp;DATE(2030,5,1),Transaksi!$B$16:$B$5015,"&lt;="&amp;EOMONTH(DATE(2030,5,1),0),Transaksi!$H$16:$H$5015,"Uang Kos Mama")+SUMIFS(Transaksi!$F$16:$F$5015,Transaksi!$G$16:$G$5015,"Pendapatan",Transaksi!$B$16:$B$5015,"&gt;="&amp;DATE(2030,5,1),Transaksi!$B$16:$B$5015,"&lt;="&amp;EOMONTH(DATE(2030,5,1),0),Transaksi!$H$16:$H$5015,"Uang Kedai"))-(SUMIFS(Transaksi!$F$16:$F$5015,Transaksi!$G$16:$G$5015,"Pengeluaran",Transaksi!$B$16:$B$5015,"&gt;="&amp;DATE(2030,5,1),Transaksi!$B$16:$B$5015,"&lt;="&amp;EOMONTH(DATE(2030,5,1),0),Transaksi!$H$16:$H$5015,"Pengeluaran Uang Kos")+SUMIFS(Transaksi!$F$16:$F$5015,Transaksi!$G$16:$G$5015,"Pengeluaran",Transaksi!$B$16:$B$5015,"&gt;="&amp;DATE(2030,5,1),Transaksi!$B$16:$B$5015,"&lt;="&amp;EOMONTH(DATE(2030,5,1),0),Transaksi!$H$16:$H$5015,"Pengeluaran Uang Kedai")+(SUMIFS(Transaksi!$F$16:$F$5015,Transaksi!$G$16:$G$5015,"Tabungan",Transaksi!$D$16:$D$5015,"Keluar",Transaksi!$H$16:$H$5015,"Reksadana uang kos mama",Transaksi!$B$16:$B$5015,"&gt;="&amp;DATE(2030,5,1),Transaksi!$B$16:$B$5015,"&lt;="&amp;EOMONTH(DATE(2030,5,1),0))-SUMIFS(Transaksi!$F$16:$F$5015,Transaksi!$G$16:$G$5015,"Tabungan",Transaksi!$D$16:$D$5015,"Masuk",Transaksi!$H$16:$H$5015,"Reksadana uang kos mama",Transaksi!$B$16:$B$5015,"&gt;="&amp;DATE(2030,5,1),Transaksi!$B$16:$B$5015,"&lt;="&amp;EOMONTH(DATE(2030,5,1),0))))</f>
        <v/>
      </c>
      <c r="G81" s="165">
        <f>(SUMIFS(Transaksi!$F$16:$F$5015,Transaksi!$G$16:$G$5015,"Tabungan",Transaksi!$D$16:$D$5015,"Keluar",Transaksi!$H$16:$H$5015,"&lt;&gt;Reksadana uang kos mama",Transaksi!$B$16:$B$5015,"&gt;="&amp;DATE(2030,5,1),Transaksi!$B$16:$B$5015,"&lt;="&amp;EOMONTH(DATE(2030,5,1),0))-SUMIFS(Transaksi!$F$16:$F$5015,Transaksi!$G$16:$G$5015,"Tabungan",Transaksi!$D$16:$D$5015,"Masuk",Transaksi!$H$16:$H$5015,"&lt;&gt;Reksadana uang kos mama",Transaksi!$B$16:$B$5015,"&gt;="&amp;DATE(2030,5,1),Transaksi!$B$16:$B$5015,"&lt;="&amp;EOMONTH(DATE(2030,5,1),0)))</f>
        <v/>
      </c>
    </row>
    <row r="82" ht="15" customHeight="1" s="94">
      <c r="A82" s="164" t="n">
        <v>2030</v>
      </c>
      <c r="B82" s="164" t="inlineStr">
        <is>
          <t>Jun</t>
        </is>
      </c>
      <c r="C82" s="165">
        <f>SUMIFS(Transaksi!$F$16:$F$5015,Transaksi!$G$16:$G$5015,"Pendapatan",Transaksi!$B$16:$B$5015,"&gt;="&amp;DATE(2030,6,1),Transaksi!$B$16:$B$5015,"&lt;="&amp;EOMONTH(DATE(2030,6,1),0))</f>
        <v/>
      </c>
      <c r="D82" s="165">
        <f>SUMIFS(Transaksi!$F$16:$F$5015,Transaksi!$G$16:$G$5015,"Pengeluaran",Transaksi!$B$16:$B$5015,"&gt;="&amp;DATE(2030,6,1),Transaksi!$B$16:$B$5015,"&lt;="&amp;EOMONTH(DATE(2030,6,1),0))</f>
        <v/>
      </c>
      <c r="E82" s="166">
        <f>C82-D82</f>
        <v/>
      </c>
      <c r="F82" s="165">
        <f>(SUMIFS(Transaksi!$F$16:$F$5015,Transaksi!$G$16:$G$5015,"Pendapatan",Transaksi!$B$16:$B$5015,"&gt;="&amp;DATE(2030,6,1),Transaksi!$B$16:$B$5015,"&lt;="&amp;EOMONTH(DATE(2030,6,1),0),Transaksi!$H$16:$H$5015,"Uang Kos Mama")+SUMIFS(Transaksi!$F$16:$F$5015,Transaksi!$G$16:$G$5015,"Pendapatan",Transaksi!$B$16:$B$5015,"&gt;="&amp;DATE(2030,6,1),Transaksi!$B$16:$B$5015,"&lt;="&amp;EOMONTH(DATE(2030,6,1),0),Transaksi!$H$16:$H$5015,"Uang Kedai"))-(SUMIFS(Transaksi!$F$16:$F$5015,Transaksi!$G$16:$G$5015,"Pengeluaran",Transaksi!$B$16:$B$5015,"&gt;="&amp;DATE(2030,6,1),Transaksi!$B$16:$B$5015,"&lt;="&amp;EOMONTH(DATE(2030,6,1),0),Transaksi!$H$16:$H$5015,"Pengeluaran Uang Kos")+SUMIFS(Transaksi!$F$16:$F$5015,Transaksi!$G$16:$G$5015,"Pengeluaran",Transaksi!$B$16:$B$5015,"&gt;="&amp;DATE(2030,6,1),Transaksi!$B$16:$B$5015,"&lt;="&amp;EOMONTH(DATE(2030,6,1),0),Transaksi!$H$16:$H$5015,"Pengeluaran Uang Kedai")+(SUMIFS(Transaksi!$F$16:$F$5015,Transaksi!$G$16:$G$5015,"Tabungan",Transaksi!$D$16:$D$5015,"Keluar",Transaksi!$H$16:$H$5015,"Reksadana uang kos mama",Transaksi!$B$16:$B$5015,"&gt;="&amp;DATE(2030,6,1),Transaksi!$B$16:$B$5015,"&lt;="&amp;EOMONTH(DATE(2030,6,1),0))-SUMIFS(Transaksi!$F$16:$F$5015,Transaksi!$G$16:$G$5015,"Tabungan",Transaksi!$D$16:$D$5015,"Masuk",Transaksi!$H$16:$H$5015,"Reksadana uang kos mama",Transaksi!$B$16:$B$5015,"&gt;="&amp;DATE(2030,6,1),Transaksi!$B$16:$B$5015,"&lt;="&amp;EOMONTH(DATE(2030,6,1),0))))</f>
        <v/>
      </c>
      <c r="G82" s="165">
        <f>(SUMIFS(Transaksi!$F$16:$F$5015,Transaksi!$G$16:$G$5015,"Tabungan",Transaksi!$D$16:$D$5015,"Keluar",Transaksi!$H$16:$H$5015,"&lt;&gt;Reksadana uang kos mama",Transaksi!$B$16:$B$5015,"&gt;="&amp;DATE(2030,6,1),Transaksi!$B$16:$B$5015,"&lt;="&amp;EOMONTH(DATE(2030,6,1),0))-SUMIFS(Transaksi!$F$16:$F$5015,Transaksi!$G$16:$G$5015,"Tabungan",Transaksi!$D$16:$D$5015,"Masuk",Transaksi!$H$16:$H$5015,"&lt;&gt;Reksadana uang kos mama",Transaksi!$B$16:$B$5015,"&gt;="&amp;DATE(2030,6,1),Transaksi!$B$16:$B$5015,"&lt;="&amp;EOMONTH(DATE(2030,6,1),0)))</f>
        <v/>
      </c>
    </row>
    <row r="83" ht="15" customHeight="1" s="94">
      <c r="A83" s="164" t="n">
        <v>2030</v>
      </c>
      <c r="B83" s="164" t="inlineStr">
        <is>
          <t>Jul</t>
        </is>
      </c>
      <c r="C83" s="165">
        <f>SUMIFS(Transaksi!$F$16:$F$5015,Transaksi!$G$16:$G$5015,"Pendapatan",Transaksi!$B$16:$B$5015,"&gt;="&amp;DATE(2030,7,1),Transaksi!$B$16:$B$5015,"&lt;="&amp;EOMONTH(DATE(2030,7,1),0))</f>
        <v/>
      </c>
      <c r="D83" s="165">
        <f>SUMIFS(Transaksi!$F$16:$F$5015,Transaksi!$G$16:$G$5015,"Pengeluaran",Transaksi!$B$16:$B$5015,"&gt;="&amp;DATE(2030,7,1),Transaksi!$B$16:$B$5015,"&lt;="&amp;EOMONTH(DATE(2030,7,1),0))</f>
        <v/>
      </c>
      <c r="E83" s="166">
        <f>C83-D83</f>
        <v/>
      </c>
      <c r="F83" s="165">
        <f>(SUMIFS(Transaksi!$F$16:$F$5015,Transaksi!$G$16:$G$5015,"Pendapatan",Transaksi!$B$16:$B$5015,"&gt;="&amp;DATE(2030,7,1),Transaksi!$B$16:$B$5015,"&lt;="&amp;EOMONTH(DATE(2030,7,1),0),Transaksi!$H$16:$H$5015,"Uang Kos Mama")+SUMIFS(Transaksi!$F$16:$F$5015,Transaksi!$G$16:$G$5015,"Pendapatan",Transaksi!$B$16:$B$5015,"&gt;="&amp;DATE(2030,7,1),Transaksi!$B$16:$B$5015,"&lt;="&amp;EOMONTH(DATE(2030,7,1),0),Transaksi!$H$16:$H$5015,"Uang Kedai"))-(SUMIFS(Transaksi!$F$16:$F$5015,Transaksi!$G$16:$G$5015,"Pengeluaran",Transaksi!$B$16:$B$5015,"&gt;="&amp;DATE(2030,7,1),Transaksi!$B$16:$B$5015,"&lt;="&amp;EOMONTH(DATE(2030,7,1),0),Transaksi!$H$16:$H$5015,"Pengeluaran Uang Kos")+SUMIFS(Transaksi!$F$16:$F$5015,Transaksi!$G$16:$G$5015,"Pengeluaran",Transaksi!$B$16:$B$5015,"&gt;="&amp;DATE(2030,7,1),Transaksi!$B$16:$B$5015,"&lt;="&amp;EOMONTH(DATE(2030,7,1),0),Transaksi!$H$16:$H$5015,"Pengeluaran Uang Kedai")+(SUMIFS(Transaksi!$F$16:$F$5015,Transaksi!$G$16:$G$5015,"Tabungan",Transaksi!$D$16:$D$5015,"Keluar",Transaksi!$H$16:$H$5015,"Reksadana uang kos mama",Transaksi!$B$16:$B$5015,"&gt;="&amp;DATE(2030,7,1),Transaksi!$B$16:$B$5015,"&lt;="&amp;EOMONTH(DATE(2030,7,1),0))-SUMIFS(Transaksi!$F$16:$F$5015,Transaksi!$G$16:$G$5015,"Tabungan",Transaksi!$D$16:$D$5015,"Masuk",Transaksi!$H$16:$H$5015,"Reksadana uang kos mama",Transaksi!$B$16:$B$5015,"&gt;="&amp;DATE(2030,7,1),Transaksi!$B$16:$B$5015,"&lt;="&amp;EOMONTH(DATE(2030,7,1),0))))</f>
        <v/>
      </c>
      <c r="G83" s="165">
        <f>(SUMIFS(Transaksi!$F$16:$F$5015,Transaksi!$G$16:$G$5015,"Tabungan",Transaksi!$D$16:$D$5015,"Keluar",Transaksi!$H$16:$H$5015,"&lt;&gt;Reksadana uang kos mama",Transaksi!$B$16:$B$5015,"&gt;="&amp;DATE(2030,7,1),Transaksi!$B$16:$B$5015,"&lt;="&amp;EOMONTH(DATE(2030,7,1),0))-SUMIFS(Transaksi!$F$16:$F$5015,Transaksi!$G$16:$G$5015,"Tabungan",Transaksi!$D$16:$D$5015,"Masuk",Transaksi!$H$16:$H$5015,"&lt;&gt;Reksadana uang kos mama",Transaksi!$B$16:$B$5015,"&gt;="&amp;DATE(2030,7,1),Transaksi!$B$16:$B$5015,"&lt;="&amp;EOMONTH(DATE(2030,7,1),0)))</f>
        <v/>
      </c>
    </row>
    <row r="84" ht="15" customHeight="1" s="94">
      <c r="A84" s="164" t="n">
        <v>2030</v>
      </c>
      <c r="B84" s="164" t="inlineStr">
        <is>
          <t>Agu</t>
        </is>
      </c>
      <c r="C84" s="165">
        <f>SUMIFS(Transaksi!$F$16:$F$5015,Transaksi!$G$16:$G$5015,"Pendapatan",Transaksi!$B$16:$B$5015,"&gt;="&amp;DATE(2030,8,1),Transaksi!$B$16:$B$5015,"&lt;="&amp;EOMONTH(DATE(2030,8,1),0))</f>
        <v/>
      </c>
      <c r="D84" s="165">
        <f>SUMIFS(Transaksi!$F$16:$F$5015,Transaksi!$G$16:$G$5015,"Pengeluaran",Transaksi!$B$16:$B$5015,"&gt;="&amp;DATE(2030,8,1),Transaksi!$B$16:$B$5015,"&lt;="&amp;EOMONTH(DATE(2030,8,1),0))</f>
        <v/>
      </c>
      <c r="E84" s="166">
        <f>C84-D84</f>
        <v/>
      </c>
      <c r="F84" s="165">
        <f>(SUMIFS(Transaksi!$F$16:$F$5015,Transaksi!$G$16:$G$5015,"Pendapatan",Transaksi!$B$16:$B$5015,"&gt;="&amp;DATE(2030,8,1),Transaksi!$B$16:$B$5015,"&lt;="&amp;EOMONTH(DATE(2030,8,1),0),Transaksi!$H$16:$H$5015,"Uang Kos Mama")+SUMIFS(Transaksi!$F$16:$F$5015,Transaksi!$G$16:$G$5015,"Pendapatan",Transaksi!$B$16:$B$5015,"&gt;="&amp;DATE(2030,8,1),Transaksi!$B$16:$B$5015,"&lt;="&amp;EOMONTH(DATE(2030,8,1),0),Transaksi!$H$16:$H$5015,"Uang Kedai"))-(SUMIFS(Transaksi!$F$16:$F$5015,Transaksi!$G$16:$G$5015,"Pengeluaran",Transaksi!$B$16:$B$5015,"&gt;="&amp;DATE(2030,8,1),Transaksi!$B$16:$B$5015,"&lt;="&amp;EOMONTH(DATE(2030,8,1),0),Transaksi!$H$16:$H$5015,"Pengeluaran Uang Kos")+SUMIFS(Transaksi!$F$16:$F$5015,Transaksi!$G$16:$G$5015,"Pengeluaran",Transaksi!$B$16:$B$5015,"&gt;="&amp;DATE(2030,8,1),Transaksi!$B$16:$B$5015,"&lt;="&amp;EOMONTH(DATE(2030,8,1),0),Transaksi!$H$16:$H$5015,"Pengeluaran Uang Kedai")+(SUMIFS(Transaksi!$F$16:$F$5015,Transaksi!$G$16:$G$5015,"Tabungan",Transaksi!$D$16:$D$5015,"Keluar",Transaksi!$H$16:$H$5015,"Reksadana uang kos mama",Transaksi!$B$16:$B$5015,"&gt;="&amp;DATE(2030,8,1),Transaksi!$B$16:$B$5015,"&lt;="&amp;EOMONTH(DATE(2030,8,1),0))-SUMIFS(Transaksi!$F$16:$F$5015,Transaksi!$G$16:$G$5015,"Tabungan",Transaksi!$D$16:$D$5015,"Masuk",Transaksi!$H$16:$H$5015,"Reksadana uang kos mama",Transaksi!$B$16:$B$5015,"&gt;="&amp;DATE(2030,8,1),Transaksi!$B$16:$B$5015,"&lt;="&amp;EOMONTH(DATE(2030,8,1),0))))</f>
        <v/>
      </c>
      <c r="G84" s="165">
        <f>(SUMIFS(Transaksi!$F$16:$F$5015,Transaksi!$G$16:$G$5015,"Tabungan",Transaksi!$D$16:$D$5015,"Keluar",Transaksi!$H$16:$H$5015,"&lt;&gt;Reksadana uang kos mama",Transaksi!$B$16:$B$5015,"&gt;="&amp;DATE(2030,8,1),Transaksi!$B$16:$B$5015,"&lt;="&amp;EOMONTH(DATE(2030,8,1),0))-SUMIFS(Transaksi!$F$16:$F$5015,Transaksi!$G$16:$G$5015,"Tabungan",Transaksi!$D$16:$D$5015,"Masuk",Transaksi!$H$16:$H$5015,"&lt;&gt;Reksadana uang kos mama",Transaksi!$B$16:$B$5015,"&gt;="&amp;DATE(2030,8,1),Transaksi!$B$16:$B$5015,"&lt;="&amp;EOMONTH(DATE(2030,8,1),0)))</f>
        <v/>
      </c>
    </row>
    <row r="85" ht="15" customHeight="1" s="94">
      <c r="A85" s="164" t="n">
        <v>2030</v>
      </c>
      <c r="B85" s="164" t="inlineStr">
        <is>
          <t>Sep</t>
        </is>
      </c>
      <c r="C85" s="165">
        <f>SUMIFS(Transaksi!$F$16:$F$5015,Transaksi!$G$16:$G$5015,"Pendapatan",Transaksi!$B$16:$B$5015,"&gt;="&amp;DATE(2030,9,1),Transaksi!$B$16:$B$5015,"&lt;="&amp;EOMONTH(DATE(2030,9,1),0))</f>
        <v/>
      </c>
      <c r="D85" s="165">
        <f>SUMIFS(Transaksi!$F$16:$F$5015,Transaksi!$G$16:$G$5015,"Pengeluaran",Transaksi!$B$16:$B$5015,"&gt;="&amp;DATE(2030,9,1),Transaksi!$B$16:$B$5015,"&lt;="&amp;EOMONTH(DATE(2030,9,1),0))</f>
        <v/>
      </c>
      <c r="E85" s="166">
        <f>C85-D85</f>
        <v/>
      </c>
      <c r="F85" s="165">
        <f>(SUMIFS(Transaksi!$F$16:$F$5015,Transaksi!$G$16:$G$5015,"Pendapatan",Transaksi!$B$16:$B$5015,"&gt;="&amp;DATE(2030,9,1),Transaksi!$B$16:$B$5015,"&lt;="&amp;EOMONTH(DATE(2030,9,1),0),Transaksi!$H$16:$H$5015,"Uang Kos Mama")+SUMIFS(Transaksi!$F$16:$F$5015,Transaksi!$G$16:$G$5015,"Pendapatan",Transaksi!$B$16:$B$5015,"&gt;="&amp;DATE(2030,9,1),Transaksi!$B$16:$B$5015,"&lt;="&amp;EOMONTH(DATE(2030,9,1),0),Transaksi!$H$16:$H$5015,"Uang Kedai"))-(SUMIFS(Transaksi!$F$16:$F$5015,Transaksi!$G$16:$G$5015,"Pengeluaran",Transaksi!$B$16:$B$5015,"&gt;="&amp;DATE(2030,9,1),Transaksi!$B$16:$B$5015,"&lt;="&amp;EOMONTH(DATE(2030,9,1),0),Transaksi!$H$16:$H$5015,"Pengeluaran Uang Kos")+SUMIFS(Transaksi!$F$16:$F$5015,Transaksi!$G$16:$G$5015,"Pengeluaran",Transaksi!$B$16:$B$5015,"&gt;="&amp;DATE(2030,9,1),Transaksi!$B$16:$B$5015,"&lt;="&amp;EOMONTH(DATE(2030,9,1),0),Transaksi!$H$16:$H$5015,"Pengeluaran Uang Kedai")+(SUMIFS(Transaksi!$F$16:$F$5015,Transaksi!$G$16:$G$5015,"Tabungan",Transaksi!$D$16:$D$5015,"Keluar",Transaksi!$H$16:$H$5015,"Reksadana uang kos mama",Transaksi!$B$16:$B$5015,"&gt;="&amp;DATE(2030,9,1),Transaksi!$B$16:$B$5015,"&lt;="&amp;EOMONTH(DATE(2030,9,1),0))-SUMIFS(Transaksi!$F$16:$F$5015,Transaksi!$G$16:$G$5015,"Tabungan",Transaksi!$D$16:$D$5015,"Masuk",Transaksi!$H$16:$H$5015,"Reksadana uang kos mama",Transaksi!$B$16:$B$5015,"&gt;="&amp;DATE(2030,9,1),Transaksi!$B$16:$B$5015,"&lt;="&amp;EOMONTH(DATE(2030,9,1),0))))</f>
        <v/>
      </c>
      <c r="G85" s="165">
        <f>(SUMIFS(Transaksi!$F$16:$F$5015,Transaksi!$G$16:$G$5015,"Tabungan",Transaksi!$D$16:$D$5015,"Keluar",Transaksi!$H$16:$H$5015,"&lt;&gt;Reksadana uang kos mama",Transaksi!$B$16:$B$5015,"&gt;="&amp;DATE(2030,9,1),Transaksi!$B$16:$B$5015,"&lt;="&amp;EOMONTH(DATE(2030,9,1),0))-SUMIFS(Transaksi!$F$16:$F$5015,Transaksi!$G$16:$G$5015,"Tabungan",Transaksi!$D$16:$D$5015,"Masuk",Transaksi!$H$16:$H$5015,"&lt;&gt;Reksadana uang kos mama",Transaksi!$B$16:$B$5015,"&gt;="&amp;DATE(2030,9,1),Transaksi!$B$16:$B$5015,"&lt;="&amp;EOMONTH(DATE(2030,9,1),0)))</f>
        <v/>
      </c>
    </row>
    <row r="86" ht="15" customHeight="1" s="94">
      <c r="A86" s="164" t="n">
        <v>2030</v>
      </c>
      <c r="B86" s="164" t="inlineStr">
        <is>
          <t>Okt</t>
        </is>
      </c>
      <c r="C86" s="165">
        <f>SUMIFS(Transaksi!$F$16:$F$5015,Transaksi!$G$16:$G$5015,"Pendapatan",Transaksi!$B$16:$B$5015,"&gt;="&amp;DATE(2030,10,1),Transaksi!$B$16:$B$5015,"&lt;="&amp;EOMONTH(DATE(2030,10,1),0))</f>
        <v/>
      </c>
      <c r="D86" s="165">
        <f>SUMIFS(Transaksi!$F$16:$F$5015,Transaksi!$G$16:$G$5015,"Pengeluaran",Transaksi!$B$16:$B$5015,"&gt;="&amp;DATE(2030,10,1),Transaksi!$B$16:$B$5015,"&lt;="&amp;EOMONTH(DATE(2030,10,1),0))</f>
        <v/>
      </c>
      <c r="E86" s="166">
        <f>C86-D86</f>
        <v/>
      </c>
      <c r="F86" s="165">
        <f>(SUMIFS(Transaksi!$F$16:$F$5015,Transaksi!$G$16:$G$5015,"Pendapatan",Transaksi!$B$16:$B$5015,"&gt;="&amp;DATE(2030,10,1),Transaksi!$B$16:$B$5015,"&lt;="&amp;EOMONTH(DATE(2030,10,1),0),Transaksi!$H$16:$H$5015,"Uang Kos Mama")+SUMIFS(Transaksi!$F$16:$F$5015,Transaksi!$G$16:$G$5015,"Pendapatan",Transaksi!$B$16:$B$5015,"&gt;="&amp;DATE(2030,10,1),Transaksi!$B$16:$B$5015,"&lt;="&amp;EOMONTH(DATE(2030,10,1),0),Transaksi!$H$16:$H$5015,"Uang Kedai"))-(SUMIFS(Transaksi!$F$16:$F$5015,Transaksi!$G$16:$G$5015,"Pengeluaran",Transaksi!$B$16:$B$5015,"&gt;="&amp;DATE(2030,10,1),Transaksi!$B$16:$B$5015,"&lt;="&amp;EOMONTH(DATE(2030,10,1),0),Transaksi!$H$16:$H$5015,"Pengeluaran Uang Kos")+SUMIFS(Transaksi!$F$16:$F$5015,Transaksi!$G$16:$G$5015,"Pengeluaran",Transaksi!$B$16:$B$5015,"&gt;="&amp;DATE(2030,10,1),Transaksi!$B$16:$B$5015,"&lt;="&amp;EOMONTH(DATE(2030,10,1),0),Transaksi!$H$16:$H$5015,"Pengeluaran Uang Kedai")+(SUMIFS(Transaksi!$F$16:$F$5015,Transaksi!$G$16:$G$5015,"Tabungan",Transaksi!$D$16:$D$5015,"Keluar",Transaksi!$H$16:$H$5015,"Reksadana uang kos mama",Transaksi!$B$16:$B$5015,"&gt;="&amp;DATE(2030,10,1),Transaksi!$B$16:$B$5015,"&lt;="&amp;EOMONTH(DATE(2030,10,1),0))-SUMIFS(Transaksi!$F$16:$F$5015,Transaksi!$G$16:$G$5015,"Tabungan",Transaksi!$D$16:$D$5015,"Masuk",Transaksi!$H$16:$H$5015,"Reksadana uang kos mama",Transaksi!$B$16:$B$5015,"&gt;="&amp;DATE(2030,10,1),Transaksi!$B$16:$B$5015,"&lt;="&amp;EOMONTH(DATE(2030,10,1),0))))</f>
        <v/>
      </c>
      <c r="G86" s="165">
        <f>(SUMIFS(Transaksi!$F$16:$F$5015,Transaksi!$G$16:$G$5015,"Tabungan",Transaksi!$D$16:$D$5015,"Keluar",Transaksi!$H$16:$H$5015,"&lt;&gt;Reksadana uang kos mama",Transaksi!$B$16:$B$5015,"&gt;="&amp;DATE(2030,10,1),Transaksi!$B$16:$B$5015,"&lt;="&amp;EOMONTH(DATE(2030,10,1),0))-SUMIFS(Transaksi!$F$16:$F$5015,Transaksi!$G$16:$G$5015,"Tabungan",Transaksi!$D$16:$D$5015,"Masuk",Transaksi!$H$16:$H$5015,"&lt;&gt;Reksadana uang kos mama",Transaksi!$B$16:$B$5015,"&gt;="&amp;DATE(2030,10,1),Transaksi!$B$16:$B$5015,"&lt;="&amp;EOMONTH(DATE(2030,10,1),0)))</f>
        <v/>
      </c>
    </row>
    <row r="87" ht="15" customHeight="1" s="94">
      <c r="A87" s="164" t="n">
        <v>2030</v>
      </c>
      <c r="B87" s="164" t="inlineStr">
        <is>
          <t>Nov</t>
        </is>
      </c>
      <c r="C87" s="165">
        <f>SUMIFS(Transaksi!$F$16:$F$5015,Transaksi!$G$16:$G$5015,"Pendapatan",Transaksi!$B$16:$B$5015,"&gt;="&amp;DATE(2030,11,1),Transaksi!$B$16:$B$5015,"&lt;="&amp;EOMONTH(DATE(2030,11,1),0))</f>
        <v/>
      </c>
      <c r="D87" s="165">
        <f>SUMIFS(Transaksi!$F$16:$F$5015,Transaksi!$G$16:$G$5015,"Pengeluaran",Transaksi!$B$16:$B$5015,"&gt;="&amp;DATE(2030,11,1),Transaksi!$B$16:$B$5015,"&lt;="&amp;EOMONTH(DATE(2030,11,1),0))</f>
        <v/>
      </c>
      <c r="E87" s="166">
        <f>C87-D87</f>
        <v/>
      </c>
      <c r="F87" s="165">
        <f>(SUMIFS(Transaksi!$F$16:$F$5015,Transaksi!$G$16:$G$5015,"Pendapatan",Transaksi!$B$16:$B$5015,"&gt;="&amp;DATE(2030,11,1),Transaksi!$B$16:$B$5015,"&lt;="&amp;EOMONTH(DATE(2030,11,1),0),Transaksi!$H$16:$H$5015,"Uang Kos Mama")+SUMIFS(Transaksi!$F$16:$F$5015,Transaksi!$G$16:$G$5015,"Pendapatan",Transaksi!$B$16:$B$5015,"&gt;="&amp;DATE(2030,11,1),Transaksi!$B$16:$B$5015,"&lt;="&amp;EOMONTH(DATE(2030,11,1),0),Transaksi!$H$16:$H$5015,"Uang Kedai"))-(SUMIFS(Transaksi!$F$16:$F$5015,Transaksi!$G$16:$G$5015,"Pengeluaran",Transaksi!$B$16:$B$5015,"&gt;="&amp;DATE(2030,11,1),Transaksi!$B$16:$B$5015,"&lt;="&amp;EOMONTH(DATE(2030,11,1),0),Transaksi!$H$16:$H$5015,"Pengeluaran Uang Kos")+SUMIFS(Transaksi!$F$16:$F$5015,Transaksi!$G$16:$G$5015,"Pengeluaran",Transaksi!$B$16:$B$5015,"&gt;="&amp;DATE(2030,11,1),Transaksi!$B$16:$B$5015,"&lt;="&amp;EOMONTH(DATE(2030,11,1),0),Transaksi!$H$16:$H$5015,"Pengeluaran Uang Kedai")+(SUMIFS(Transaksi!$F$16:$F$5015,Transaksi!$G$16:$G$5015,"Tabungan",Transaksi!$D$16:$D$5015,"Keluar",Transaksi!$H$16:$H$5015,"Reksadana uang kos mama",Transaksi!$B$16:$B$5015,"&gt;="&amp;DATE(2030,11,1),Transaksi!$B$16:$B$5015,"&lt;="&amp;EOMONTH(DATE(2030,11,1),0))-SUMIFS(Transaksi!$F$16:$F$5015,Transaksi!$G$16:$G$5015,"Tabungan",Transaksi!$D$16:$D$5015,"Masuk",Transaksi!$H$16:$H$5015,"Reksadana uang kos mama",Transaksi!$B$16:$B$5015,"&gt;="&amp;DATE(2030,11,1),Transaksi!$B$16:$B$5015,"&lt;="&amp;EOMONTH(DATE(2030,11,1),0))))</f>
        <v/>
      </c>
      <c r="G87" s="165">
        <f>(SUMIFS(Transaksi!$F$16:$F$5015,Transaksi!$G$16:$G$5015,"Tabungan",Transaksi!$D$16:$D$5015,"Keluar",Transaksi!$H$16:$H$5015,"&lt;&gt;Reksadana uang kos mama",Transaksi!$B$16:$B$5015,"&gt;="&amp;DATE(2030,11,1),Transaksi!$B$16:$B$5015,"&lt;="&amp;EOMONTH(DATE(2030,11,1),0))-SUMIFS(Transaksi!$F$16:$F$5015,Transaksi!$G$16:$G$5015,"Tabungan",Transaksi!$D$16:$D$5015,"Masuk",Transaksi!$H$16:$H$5015,"&lt;&gt;Reksadana uang kos mama",Transaksi!$B$16:$B$5015,"&gt;="&amp;DATE(2030,11,1),Transaksi!$B$16:$B$5015,"&lt;="&amp;EOMONTH(DATE(2030,11,1),0)))</f>
        <v/>
      </c>
    </row>
    <row r="88" ht="15" customHeight="1" s="94">
      <c r="A88" s="164" t="n">
        <v>2030</v>
      </c>
      <c r="B88" s="164" t="inlineStr">
        <is>
          <t>Des</t>
        </is>
      </c>
      <c r="C88" s="165">
        <f>SUMIFS(Transaksi!$F$16:$F$5015,Transaksi!$G$16:$G$5015,"Pendapatan",Transaksi!$B$16:$B$5015,"&gt;="&amp;DATE(2030,12,1),Transaksi!$B$16:$B$5015,"&lt;="&amp;EOMONTH(DATE(2030,12,1),0))</f>
        <v/>
      </c>
      <c r="D88" s="165">
        <f>SUMIFS(Transaksi!$F$16:$F$5015,Transaksi!$G$16:$G$5015,"Pengeluaran",Transaksi!$B$16:$B$5015,"&gt;="&amp;DATE(2030,12,1),Transaksi!$B$16:$B$5015,"&lt;="&amp;EOMONTH(DATE(2030,12,1),0))</f>
        <v/>
      </c>
      <c r="E88" s="166">
        <f>C88-D88</f>
        <v/>
      </c>
      <c r="F88" s="165">
        <f>(SUMIFS(Transaksi!$F$16:$F$5015,Transaksi!$G$16:$G$5015,"Pendapatan",Transaksi!$B$16:$B$5015,"&gt;="&amp;DATE(2030,12,1),Transaksi!$B$16:$B$5015,"&lt;="&amp;EOMONTH(DATE(2030,12,1),0),Transaksi!$H$16:$H$5015,"Uang Kos Mama")+SUMIFS(Transaksi!$F$16:$F$5015,Transaksi!$G$16:$G$5015,"Pendapatan",Transaksi!$B$16:$B$5015,"&gt;="&amp;DATE(2030,12,1),Transaksi!$B$16:$B$5015,"&lt;="&amp;EOMONTH(DATE(2030,12,1),0),Transaksi!$H$16:$H$5015,"Uang Kedai"))-(SUMIFS(Transaksi!$F$16:$F$5015,Transaksi!$G$16:$G$5015,"Pengeluaran",Transaksi!$B$16:$B$5015,"&gt;="&amp;DATE(2030,12,1),Transaksi!$B$16:$B$5015,"&lt;="&amp;EOMONTH(DATE(2030,12,1),0),Transaksi!$H$16:$H$5015,"Pengeluaran Uang Kos")+SUMIFS(Transaksi!$F$16:$F$5015,Transaksi!$G$16:$G$5015,"Pengeluaran",Transaksi!$B$16:$B$5015,"&gt;="&amp;DATE(2030,12,1),Transaksi!$B$16:$B$5015,"&lt;="&amp;EOMONTH(DATE(2030,12,1),0),Transaksi!$H$16:$H$5015,"Pengeluaran Uang Kedai")+(SUMIFS(Transaksi!$F$16:$F$5015,Transaksi!$G$16:$G$5015,"Tabungan",Transaksi!$D$16:$D$5015,"Keluar",Transaksi!$H$16:$H$5015,"Reksadana uang kos mama",Transaksi!$B$16:$B$5015,"&gt;="&amp;DATE(2030,12,1),Transaksi!$B$16:$B$5015,"&lt;="&amp;EOMONTH(DATE(2030,12,1),0))-SUMIFS(Transaksi!$F$16:$F$5015,Transaksi!$G$16:$G$5015,"Tabungan",Transaksi!$D$16:$D$5015,"Masuk",Transaksi!$H$16:$H$5015,"Reksadana uang kos mama",Transaksi!$B$16:$B$5015,"&gt;="&amp;DATE(2030,12,1),Transaksi!$B$16:$B$5015,"&lt;="&amp;EOMONTH(DATE(2030,12,1),0))))</f>
        <v/>
      </c>
      <c r="G88" s="165">
        <f>(SUMIFS(Transaksi!$F$16:$F$5015,Transaksi!$G$16:$G$5015,"Tabungan",Transaksi!$D$16:$D$5015,"Keluar",Transaksi!$H$16:$H$5015,"&lt;&gt;Reksadana uang kos mama",Transaksi!$B$16:$B$5015,"&gt;="&amp;DATE(2030,12,1),Transaksi!$B$16:$B$5015,"&lt;="&amp;EOMONTH(DATE(2030,12,1),0))-SUMIFS(Transaksi!$F$16:$F$5015,Transaksi!$G$16:$G$5015,"Tabungan",Transaksi!$D$16:$D$5015,"Masuk",Transaksi!$H$16:$H$5015,"&lt;&gt;Reksadana uang kos mama",Transaksi!$B$16:$B$5015,"&gt;="&amp;DATE(2030,12,1),Transaksi!$B$16:$B$5015,"&lt;="&amp;EOMONTH(DATE(2030,12,1),0)))</f>
        <v/>
      </c>
    </row>
    <row r="89" ht="15" customHeight="1" s="94">
      <c r="A89" s="164" t="n">
        <v>2031</v>
      </c>
      <c r="B89" s="164" t="inlineStr">
        <is>
          <t>Jan</t>
        </is>
      </c>
      <c r="C89" s="165">
        <f>SUMIFS(Transaksi!$F$16:$F$5015,Transaksi!$G$16:$G$5015,"Pendapatan",Transaksi!$B$16:$B$5015,"&gt;="&amp;DATE(2031,1,1),Transaksi!$B$16:$B$5015,"&lt;="&amp;EOMONTH(DATE(2031,1,1),0))</f>
        <v/>
      </c>
      <c r="D89" s="165">
        <f>SUMIFS(Transaksi!$F$16:$F$5015,Transaksi!$G$16:$G$5015,"Pengeluaran",Transaksi!$B$16:$B$5015,"&gt;="&amp;DATE(2031,1,1),Transaksi!$B$16:$B$5015,"&lt;="&amp;EOMONTH(DATE(2031,1,1),0))</f>
        <v/>
      </c>
      <c r="E89" s="166">
        <f>C89-D89</f>
        <v/>
      </c>
      <c r="F89" s="165">
        <f>(SUMIFS(Transaksi!$F$16:$F$5015,Transaksi!$G$16:$G$5015,"Pendapatan",Transaksi!$B$16:$B$5015,"&gt;="&amp;DATE(2031,1,1),Transaksi!$B$16:$B$5015,"&lt;="&amp;EOMONTH(DATE(2031,1,1),0),Transaksi!$H$16:$H$5015,"Uang Kos Mama")+SUMIFS(Transaksi!$F$16:$F$5015,Transaksi!$G$16:$G$5015,"Pendapatan",Transaksi!$B$16:$B$5015,"&gt;="&amp;DATE(2031,1,1),Transaksi!$B$16:$B$5015,"&lt;="&amp;EOMONTH(DATE(2031,1,1),0),Transaksi!$H$16:$H$5015,"Uang Kedai"))-(SUMIFS(Transaksi!$F$16:$F$5015,Transaksi!$G$16:$G$5015,"Pengeluaran",Transaksi!$B$16:$B$5015,"&gt;="&amp;DATE(2031,1,1),Transaksi!$B$16:$B$5015,"&lt;="&amp;EOMONTH(DATE(2031,1,1),0),Transaksi!$H$16:$H$5015,"Pengeluaran Uang Kos")+SUMIFS(Transaksi!$F$16:$F$5015,Transaksi!$G$16:$G$5015,"Pengeluaran",Transaksi!$B$16:$B$5015,"&gt;="&amp;DATE(2031,1,1),Transaksi!$B$16:$B$5015,"&lt;="&amp;EOMONTH(DATE(2031,1,1),0),Transaksi!$H$16:$H$5015,"Pengeluaran Uang Kedai")+(SUMIFS(Transaksi!$F$16:$F$5015,Transaksi!$G$16:$G$5015,"Tabungan",Transaksi!$D$16:$D$5015,"Keluar",Transaksi!$H$16:$H$5015,"Reksadana uang kos mama",Transaksi!$B$16:$B$5015,"&gt;="&amp;DATE(2031,1,1),Transaksi!$B$16:$B$5015,"&lt;="&amp;EOMONTH(DATE(2031,1,1),0))-SUMIFS(Transaksi!$F$16:$F$5015,Transaksi!$G$16:$G$5015,"Tabungan",Transaksi!$D$16:$D$5015,"Masuk",Transaksi!$H$16:$H$5015,"Reksadana uang kos mama",Transaksi!$B$16:$B$5015,"&gt;="&amp;DATE(2031,1,1),Transaksi!$B$16:$B$5015,"&lt;="&amp;EOMONTH(DATE(2031,1,1),0))))</f>
        <v/>
      </c>
      <c r="G89" s="165">
        <f>(SUMIFS(Transaksi!$F$16:$F$5015,Transaksi!$G$16:$G$5015,"Tabungan",Transaksi!$D$16:$D$5015,"Keluar",Transaksi!$H$16:$H$5015,"&lt;&gt;Reksadana uang kos mama",Transaksi!$B$16:$B$5015,"&gt;="&amp;DATE(2031,1,1),Transaksi!$B$16:$B$5015,"&lt;="&amp;EOMONTH(DATE(2031,1,1),0))-SUMIFS(Transaksi!$F$16:$F$5015,Transaksi!$G$16:$G$5015,"Tabungan",Transaksi!$D$16:$D$5015,"Masuk",Transaksi!$H$16:$H$5015,"&lt;&gt;Reksadana uang kos mama",Transaksi!$B$16:$B$5015,"&gt;="&amp;DATE(2031,1,1),Transaksi!$B$16:$B$5015,"&lt;="&amp;EOMONTH(DATE(2031,1,1),0)))</f>
        <v/>
      </c>
    </row>
    <row r="90" ht="15" customHeight="1" s="94">
      <c r="A90" s="164" t="n">
        <v>2031</v>
      </c>
      <c r="B90" s="164" t="inlineStr">
        <is>
          <t>Feb</t>
        </is>
      </c>
      <c r="C90" s="165">
        <f>SUMIFS(Transaksi!$F$16:$F$5015,Transaksi!$G$16:$G$5015,"Pendapatan",Transaksi!$B$16:$B$5015,"&gt;="&amp;DATE(2031,2,1),Transaksi!$B$16:$B$5015,"&lt;="&amp;EOMONTH(DATE(2031,2,1),0))</f>
        <v/>
      </c>
      <c r="D90" s="165">
        <f>SUMIFS(Transaksi!$F$16:$F$5015,Transaksi!$G$16:$G$5015,"Pengeluaran",Transaksi!$B$16:$B$5015,"&gt;="&amp;DATE(2031,2,1),Transaksi!$B$16:$B$5015,"&lt;="&amp;EOMONTH(DATE(2031,2,1),0))</f>
        <v/>
      </c>
      <c r="E90" s="166">
        <f>C90-D90</f>
        <v/>
      </c>
      <c r="F90" s="165">
        <f>(SUMIFS(Transaksi!$F$16:$F$5015,Transaksi!$G$16:$G$5015,"Pendapatan",Transaksi!$B$16:$B$5015,"&gt;="&amp;DATE(2031,2,1),Transaksi!$B$16:$B$5015,"&lt;="&amp;EOMONTH(DATE(2031,2,1),0),Transaksi!$H$16:$H$5015,"Uang Kos Mama")+SUMIFS(Transaksi!$F$16:$F$5015,Transaksi!$G$16:$G$5015,"Pendapatan",Transaksi!$B$16:$B$5015,"&gt;="&amp;DATE(2031,2,1),Transaksi!$B$16:$B$5015,"&lt;="&amp;EOMONTH(DATE(2031,2,1),0),Transaksi!$H$16:$H$5015,"Uang Kedai"))-(SUMIFS(Transaksi!$F$16:$F$5015,Transaksi!$G$16:$G$5015,"Pengeluaran",Transaksi!$B$16:$B$5015,"&gt;="&amp;DATE(2031,2,1),Transaksi!$B$16:$B$5015,"&lt;="&amp;EOMONTH(DATE(2031,2,1),0),Transaksi!$H$16:$H$5015,"Pengeluaran Uang Kos")+SUMIFS(Transaksi!$F$16:$F$5015,Transaksi!$G$16:$G$5015,"Pengeluaran",Transaksi!$B$16:$B$5015,"&gt;="&amp;DATE(2031,2,1),Transaksi!$B$16:$B$5015,"&lt;="&amp;EOMONTH(DATE(2031,2,1),0),Transaksi!$H$16:$H$5015,"Pengeluaran Uang Kedai")+(SUMIFS(Transaksi!$F$16:$F$5015,Transaksi!$G$16:$G$5015,"Tabungan",Transaksi!$D$16:$D$5015,"Keluar",Transaksi!$H$16:$H$5015,"Reksadana uang kos mama",Transaksi!$B$16:$B$5015,"&gt;="&amp;DATE(2031,2,1),Transaksi!$B$16:$B$5015,"&lt;="&amp;EOMONTH(DATE(2031,2,1),0))-SUMIFS(Transaksi!$F$16:$F$5015,Transaksi!$G$16:$G$5015,"Tabungan",Transaksi!$D$16:$D$5015,"Masuk",Transaksi!$H$16:$H$5015,"Reksadana uang kos mama",Transaksi!$B$16:$B$5015,"&gt;="&amp;DATE(2031,2,1),Transaksi!$B$16:$B$5015,"&lt;="&amp;EOMONTH(DATE(2031,2,1),0))))</f>
        <v/>
      </c>
      <c r="G90" s="165">
        <f>(SUMIFS(Transaksi!$F$16:$F$5015,Transaksi!$G$16:$G$5015,"Tabungan",Transaksi!$D$16:$D$5015,"Keluar",Transaksi!$H$16:$H$5015,"&lt;&gt;Reksadana uang kos mama",Transaksi!$B$16:$B$5015,"&gt;="&amp;DATE(2031,2,1),Transaksi!$B$16:$B$5015,"&lt;="&amp;EOMONTH(DATE(2031,2,1),0))-SUMIFS(Transaksi!$F$16:$F$5015,Transaksi!$G$16:$G$5015,"Tabungan",Transaksi!$D$16:$D$5015,"Masuk",Transaksi!$H$16:$H$5015,"&lt;&gt;Reksadana uang kos mama",Transaksi!$B$16:$B$5015,"&gt;="&amp;DATE(2031,2,1),Transaksi!$B$16:$B$5015,"&lt;="&amp;EOMONTH(DATE(2031,2,1),0)))</f>
        <v/>
      </c>
    </row>
    <row r="91" ht="15" customHeight="1" s="94">
      <c r="A91" s="164" t="n">
        <v>2031</v>
      </c>
      <c r="B91" s="164" t="inlineStr">
        <is>
          <t>Mar</t>
        </is>
      </c>
      <c r="C91" s="165">
        <f>SUMIFS(Transaksi!$F$16:$F$5015,Transaksi!$G$16:$G$5015,"Pendapatan",Transaksi!$B$16:$B$5015,"&gt;="&amp;DATE(2031,3,1),Transaksi!$B$16:$B$5015,"&lt;="&amp;EOMONTH(DATE(2031,3,1),0))</f>
        <v/>
      </c>
      <c r="D91" s="165">
        <f>SUMIFS(Transaksi!$F$16:$F$5015,Transaksi!$G$16:$G$5015,"Pengeluaran",Transaksi!$B$16:$B$5015,"&gt;="&amp;DATE(2031,3,1),Transaksi!$B$16:$B$5015,"&lt;="&amp;EOMONTH(DATE(2031,3,1),0))</f>
        <v/>
      </c>
      <c r="E91" s="166">
        <f>C91-D91</f>
        <v/>
      </c>
      <c r="F91" s="165">
        <f>(SUMIFS(Transaksi!$F$16:$F$5015,Transaksi!$G$16:$G$5015,"Pendapatan",Transaksi!$B$16:$B$5015,"&gt;="&amp;DATE(2031,3,1),Transaksi!$B$16:$B$5015,"&lt;="&amp;EOMONTH(DATE(2031,3,1),0),Transaksi!$H$16:$H$5015,"Uang Kos Mama")+SUMIFS(Transaksi!$F$16:$F$5015,Transaksi!$G$16:$G$5015,"Pendapatan",Transaksi!$B$16:$B$5015,"&gt;="&amp;DATE(2031,3,1),Transaksi!$B$16:$B$5015,"&lt;="&amp;EOMONTH(DATE(2031,3,1),0),Transaksi!$H$16:$H$5015,"Uang Kedai"))-(SUMIFS(Transaksi!$F$16:$F$5015,Transaksi!$G$16:$G$5015,"Pengeluaran",Transaksi!$B$16:$B$5015,"&gt;="&amp;DATE(2031,3,1),Transaksi!$B$16:$B$5015,"&lt;="&amp;EOMONTH(DATE(2031,3,1),0),Transaksi!$H$16:$H$5015,"Pengeluaran Uang Kos")+SUMIFS(Transaksi!$F$16:$F$5015,Transaksi!$G$16:$G$5015,"Pengeluaran",Transaksi!$B$16:$B$5015,"&gt;="&amp;DATE(2031,3,1),Transaksi!$B$16:$B$5015,"&lt;="&amp;EOMONTH(DATE(2031,3,1),0),Transaksi!$H$16:$H$5015,"Pengeluaran Uang Kedai")+(SUMIFS(Transaksi!$F$16:$F$5015,Transaksi!$G$16:$G$5015,"Tabungan",Transaksi!$D$16:$D$5015,"Keluar",Transaksi!$H$16:$H$5015,"Reksadana uang kos mama",Transaksi!$B$16:$B$5015,"&gt;="&amp;DATE(2031,3,1),Transaksi!$B$16:$B$5015,"&lt;="&amp;EOMONTH(DATE(2031,3,1),0))-SUMIFS(Transaksi!$F$16:$F$5015,Transaksi!$G$16:$G$5015,"Tabungan",Transaksi!$D$16:$D$5015,"Masuk",Transaksi!$H$16:$H$5015,"Reksadana uang kos mama",Transaksi!$B$16:$B$5015,"&gt;="&amp;DATE(2031,3,1),Transaksi!$B$16:$B$5015,"&lt;="&amp;EOMONTH(DATE(2031,3,1),0))))</f>
        <v/>
      </c>
      <c r="G91" s="165">
        <f>(SUMIFS(Transaksi!$F$16:$F$5015,Transaksi!$G$16:$G$5015,"Tabungan",Transaksi!$D$16:$D$5015,"Keluar",Transaksi!$H$16:$H$5015,"&lt;&gt;Reksadana uang kos mama",Transaksi!$B$16:$B$5015,"&gt;="&amp;DATE(2031,3,1),Transaksi!$B$16:$B$5015,"&lt;="&amp;EOMONTH(DATE(2031,3,1),0))-SUMIFS(Transaksi!$F$16:$F$5015,Transaksi!$G$16:$G$5015,"Tabungan",Transaksi!$D$16:$D$5015,"Masuk",Transaksi!$H$16:$H$5015,"&lt;&gt;Reksadana uang kos mama",Transaksi!$B$16:$B$5015,"&gt;="&amp;DATE(2031,3,1),Transaksi!$B$16:$B$5015,"&lt;="&amp;EOMONTH(DATE(2031,3,1),0)))</f>
        <v/>
      </c>
    </row>
    <row r="92" ht="15" customHeight="1" s="94">
      <c r="A92" s="164" t="n">
        <v>2031</v>
      </c>
      <c r="B92" s="164" t="inlineStr">
        <is>
          <t>Apr</t>
        </is>
      </c>
      <c r="C92" s="165">
        <f>SUMIFS(Transaksi!$F$16:$F$5015,Transaksi!$G$16:$G$5015,"Pendapatan",Transaksi!$B$16:$B$5015,"&gt;="&amp;DATE(2031,4,1),Transaksi!$B$16:$B$5015,"&lt;="&amp;EOMONTH(DATE(2031,4,1),0))</f>
        <v/>
      </c>
      <c r="D92" s="165">
        <f>SUMIFS(Transaksi!$F$16:$F$5015,Transaksi!$G$16:$G$5015,"Pengeluaran",Transaksi!$B$16:$B$5015,"&gt;="&amp;DATE(2031,4,1),Transaksi!$B$16:$B$5015,"&lt;="&amp;EOMONTH(DATE(2031,4,1),0))</f>
        <v/>
      </c>
      <c r="E92" s="166">
        <f>C92-D92</f>
        <v/>
      </c>
      <c r="F92" s="165">
        <f>(SUMIFS(Transaksi!$F$16:$F$5015,Transaksi!$G$16:$G$5015,"Pendapatan",Transaksi!$B$16:$B$5015,"&gt;="&amp;DATE(2031,4,1),Transaksi!$B$16:$B$5015,"&lt;="&amp;EOMONTH(DATE(2031,4,1),0),Transaksi!$H$16:$H$5015,"Uang Kos Mama")+SUMIFS(Transaksi!$F$16:$F$5015,Transaksi!$G$16:$G$5015,"Pendapatan",Transaksi!$B$16:$B$5015,"&gt;="&amp;DATE(2031,4,1),Transaksi!$B$16:$B$5015,"&lt;="&amp;EOMONTH(DATE(2031,4,1),0),Transaksi!$H$16:$H$5015,"Uang Kedai"))-(SUMIFS(Transaksi!$F$16:$F$5015,Transaksi!$G$16:$G$5015,"Pengeluaran",Transaksi!$B$16:$B$5015,"&gt;="&amp;DATE(2031,4,1),Transaksi!$B$16:$B$5015,"&lt;="&amp;EOMONTH(DATE(2031,4,1),0),Transaksi!$H$16:$H$5015,"Pengeluaran Uang Kos")+SUMIFS(Transaksi!$F$16:$F$5015,Transaksi!$G$16:$G$5015,"Pengeluaran",Transaksi!$B$16:$B$5015,"&gt;="&amp;DATE(2031,4,1),Transaksi!$B$16:$B$5015,"&lt;="&amp;EOMONTH(DATE(2031,4,1),0),Transaksi!$H$16:$H$5015,"Pengeluaran Uang Kedai")+(SUMIFS(Transaksi!$F$16:$F$5015,Transaksi!$G$16:$G$5015,"Tabungan",Transaksi!$D$16:$D$5015,"Keluar",Transaksi!$H$16:$H$5015,"Reksadana uang kos mama",Transaksi!$B$16:$B$5015,"&gt;="&amp;DATE(2031,4,1),Transaksi!$B$16:$B$5015,"&lt;="&amp;EOMONTH(DATE(2031,4,1),0))-SUMIFS(Transaksi!$F$16:$F$5015,Transaksi!$G$16:$G$5015,"Tabungan",Transaksi!$D$16:$D$5015,"Masuk",Transaksi!$H$16:$H$5015,"Reksadana uang kos mama",Transaksi!$B$16:$B$5015,"&gt;="&amp;DATE(2031,4,1),Transaksi!$B$16:$B$5015,"&lt;="&amp;EOMONTH(DATE(2031,4,1),0))))</f>
        <v/>
      </c>
      <c r="G92" s="165">
        <f>(SUMIFS(Transaksi!$F$16:$F$5015,Transaksi!$G$16:$G$5015,"Tabungan",Transaksi!$D$16:$D$5015,"Keluar",Transaksi!$H$16:$H$5015,"&lt;&gt;Reksadana uang kos mama",Transaksi!$B$16:$B$5015,"&gt;="&amp;DATE(2031,4,1),Transaksi!$B$16:$B$5015,"&lt;="&amp;EOMONTH(DATE(2031,4,1),0))-SUMIFS(Transaksi!$F$16:$F$5015,Transaksi!$G$16:$G$5015,"Tabungan",Transaksi!$D$16:$D$5015,"Masuk",Transaksi!$H$16:$H$5015,"&lt;&gt;Reksadana uang kos mama",Transaksi!$B$16:$B$5015,"&gt;="&amp;DATE(2031,4,1),Transaksi!$B$16:$B$5015,"&lt;="&amp;EOMONTH(DATE(2031,4,1),0)))</f>
        <v/>
      </c>
    </row>
    <row r="93" ht="15" customHeight="1" s="94">
      <c r="A93" s="164" t="n">
        <v>2031</v>
      </c>
      <c r="B93" s="164" t="inlineStr">
        <is>
          <t>Mei</t>
        </is>
      </c>
      <c r="C93" s="165">
        <f>SUMIFS(Transaksi!$F$16:$F$5015,Transaksi!$G$16:$G$5015,"Pendapatan",Transaksi!$B$16:$B$5015,"&gt;="&amp;DATE(2031,5,1),Transaksi!$B$16:$B$5015,"&lt;="&amp;EOMONTH(DATE(2031,5,1),0))</f>
        <v/>
      </c>
      <c r="D93" s="165">
        <f>SUMIFS(Transaksi!$F$16:$F$5015,Transaksi!$G$16:$G$5015,"Pengeluaran",Transaksi!$B$16:$B$5015,"&gt;="&amp;DATE(2031,5,1),Transaksi!$B$16:$B$5015,"&lt;="&amp;EOMONTH(DATE(2031,5,1),0))</f>
        <v/>
      </c>
      <c r="E93" s="166">
        <f>C93-D93</f>
        <v/>
      </c>
      <c r="F93" s="165">
        <f>(SUMIFS(Transaksi!$F$16:$F$5015,Transaksi!$G$16:$G$5015,"Pendapatan",Transaksi!$B$16:$B$5015,"&gt;="&amp;DATE(2031,5,1),Transaksi!$B$16:$B$5015,"&lt;="&amp;EOMONTH(DATE(2031,5,1),0),Transaksi!$H$16:$H$5015,"Uang Kos Mama")+SUMIFS(Transaksi!$F$16:$F$5015,Transaksi!$G$16:$G$5015,"Pendapatan",Transaksi!$B$16:$B$5015,"&gt;="&amp;DATE(2031,5,1),Transaksi!$B$16:$B$5015,"&lt;="&amp;EOMONTH(DATE(2031,5,1),0),Transaksi!$H$16:$H$5015,"Uang Kedai"))-(SUMIFS(Transaksi!$F$16:$F$5015,Transaksi!$G$16:$G$5015,"Pengeluaran",Transaksi!$B$16:$B$5015,"&gt;="&amp;DATE(2031,5,1),Transaksi!$B$16:$B$5015,"&lt;="&amp;EOMONTH(DATE(2031,5,1),0),Transaksi!$H$16:$H$5015,"Pengeluaran Uang Kos")+SUMIFS(Transaksi!$F$16:$F$5015,Transaksi!$G$16:$G$5015,"Pengeluaran",Transaksi!$B$16:$B$5015,"&gt;="&amp;DATE(2031,5,1),Transaksi!$B$16:$B$5015,"&lt;="&amp;EOMONTH(DATE(2031,5,1),0),Transaksi!$H$16:$H$5015,"Pengeluaran Uang Kedai")+(SUMIFS(Transaksi!$F$16:$F$5015,Transaksi!$G$16:$G$5015,"Tabungan",Transaksi!$D$16:$D$5015,"Keluar",Transaksi!$H$16:$H$5015,"Reksadana uang kos mama",Transaksi!$B$16:$B$5015,"&gt;="&amp;DATE(2031,5,1),Transaksi!$B$16:$B$5015,"&lt;="&amp;EOMONTH(DATE(2031,5,1),0))-SUMIFS(Transaksi!$F$16:$F$5015,Transaksi!$G$16:$G$5015,"Tabungan",Transaksi!$D$16:$D$5015,"Masuk",Transaksi!$H$16:$H$5015,"Reksadana uang kos mama",Transaksi!$B$16:$B$5015,"&gt;="&amp;DATE(2031,5,1),Transaksi!$B$16:$B$5015,"&lt;="&amp;EOMONTH(DATE(2031,5,1),0))))</f>
        <v/>
      </c>
      <c r="G93" s="165">
        <f>(SUMIFS(Transaksi!$F$16:$F$5015,Transaksi!$G$16:$G$5015,"Tabungan",Transaksi!$D$16:$D$5015,"Keluar",Transaksi!$H$16:$H$5015,"&lt;&gt;Reksadana uang kos mama",Transaksi!$B$16:$B$5015,"&gt;="&amp;DATE(2031,5,1),Transaksi!$B$16:$B$5015,"&lt;="&amp;EOMONTH(DATE(2031,5,1),0))-SUMIFS(Transaksi!$F$16:$F$5015,Transaksi!$G$16:$G$5015,"Tabungan",Transaksi!$D$16:$D$5015,"Masuk",Transaksi!$H$16:$H$5015,"&lt;&gt;Reksadana uang kos mama",Transaksi!$B$16:$B$5015,"&gt;="&amp;DATE(2031,5,1),Transaksi!$B$16:$B$5015,"&lt;="&amp;EOMONTH(DATE(2031,5,1),0)))</f>
        <v/>
      </c>
    </row>
    <row r="94" ht="15" customHeight="1" s="94">
      <c r="A94" s="164" t="n">
        <v>2031</v>
      </c>
      <c r="B94" s="164" t="inlineStr">
        <is>
          <t>Jun</t>
        </is>
      </c>
      <c r="C94" s="165">
        <f>SUMIFS(Transaksi!$F$16:$F$5015,Transaksi!$G$16:$G$5015,"Pendapatan",Transaksi!$B$16:$B$5015,"&gt;="&amp;DATE(2031,6,1),Transaksi!$B$16:$B$5015,"&lt;="&amp;EOMONTH(DATE(2031,6,1),0))</f>
        <v/>
      </c>
      <c r="D94" s="165">
        <f>SUMIFS(Transaksi!$F$16:$F$5015,Transaksi!$G$16:$G$5015,"Pengeluaran",Transaksi!$B$16:$B$5015,"&gt;="&amp;DATE(2031,6,1),Transaksi!$B$16:$B$5015,"&lt;="&amp;EOMONTH(DATE(2031,6,1),0))</f>
        <v/>
      </c>
      <c r="E94" s="166">
        <f>C94-D94</f>
        <v/>
      </c>
      <c r="F94" s="165">
        <f>(SUMIFS(Transaksi!$F$16:$F$5015,Transaksi!$G$16:$G$5015,"Pendapatan",Transaksi!$B$16:$B$5015,"&gt;="&amp;DATE(2031,6,1),Transaksi!$B$16:$B$5015,"&lt;="&amp;EOMONTH(DATE(2031,6,1),0),Transaksi!$H$16:$H$5015,"Uang Kos Mama")+SUMIFS(Transaksi!$F$16:$F$5015,Transaksi!$G$16:$G$5015,"Pendapatan",Transaksi!$B$16:$B$5015,"&gt;="&amp;DATE(2031,6,1),Transaksi!$B$16:$B$5015,"&lt;="&amp;EOMONTH(DATE(2031,6,1),0),Transaksi!$H$16:$H$5015,"Uang Kedai"))-(SUMIFS(Transaksi!$F$16:$F$5015,Transaksi!$G$16:$G$5015,"Pengeluaran",Transaksi!$B$16:$B$5015,"&gt;="&amp;DATE(2031,6,1),Transaksi!$B$16:$B$5015,"&lt;="&amp;EOMONTH(DATE(2031,6,1),0),Transaksi!$H$16:$H$5015,"Pengeluaran Uang Kos")+SUMIFS(Transaksi!$F$16:$F$5015,Transaksi!$G$16:$G$5015,"Pengeluaran",Transaksi!$B$16:$B$5015,"&gt;="&amp;DATE(2031,6,1),Transaksi!$B$16:$B$5015,"&lt;="&amp;EOMONTH(DATE(2031,6,1),0),Transaksi!$H$16:$H$5015,"Pengeluaran Uang Kedai")+(SUMIFS(Transaksi!$F$16:$F$5015,Transaksi!$G$16:$G$5015,"Tabungan",Transaksi!$D$16:$D$5015,"Keluar",Transaksi!$H$16:$H$5015,"Reksadana uang kos mama",Transaksi!$B$16:$B$5015,"&gt;="&amp;DATE(2031,6,1),Transaksi!$B$16:$B$5015,"&lt;="&amp;EOMONTH(DATE(2031,6,1),0))-SUMIFS(Transaksi!$F$16:$F$5015,Transaksi!$G$16:$G$5015,"Tabungan",Transaksi!$D$16:$D$5015,"Masuk",Transaksi!$H$16:$H$5015,"Reksadana uang kos mama",Transaksi!$B$16:$B$5015,"&gt;="&amp;DATE(2031,6,1),Transaksi!$B$16:$B$5015,"&lt;="&amp;EOMONTH(DATE(2031,6,1),0))))</f>
        <v/>
      </c>
      <c r="G94" s="165">
        <f>(SUMIFS(Transaksi!$F$16:$F$5015,Transaksi!$G$16:$G$5015,"Tabungan",Transaksi!$D$16:$D$5015,"Keluar",Transaksi!$H$16:$H$5015,"&lt;&gt;Reksadana uang kos mama",Transaksi!$B$16:$B$5015,"&gt;="&amp;DATE(2031,6,1),Transaksi!$B$16:$B$5015,"&lt;="&amp;EOMONTH(DATE(2031,6,1),0))-SUMIFS(Transaksi!$F$16:$F$5015,Transaksi!$G$16:$G$5015,"Tabungan",Transaksi!$D$16:$D$5015,"Masuk",Transaksi!$H$16:$H$5015,"&lt;&gt;Reksadana uang kos mama",Transaksi!$B$16:$B$5015,"&gt;="&amp;DATE(2031,6,1),Transaksi!$B$16:$B$5015,"&lt;="&amp;EOMONTH(DATE(2031,6,1),0)))</f>
        <v/>
      </c>
    </row>
    <row r="95" ht="15" customHeight="1" s="94">
      <c r="A95" s="164" t="n">
        <v>2031</v>
      </c>
      <c r="B95" s="164" t="inlineStr">
        <is>
          <t>Jul</t>
        </is>
      </c>
      <c r="C95" s="165">
        <f>SUMIFS(Transaksi!$F$16:$F$5015,Transaksi!$G$16:$G$5015,"Pendapatan",Transaksi!$B$16:$B$5015,"&gt;="&amp;DATE(2031,7,1),Transaksi!$B$16:$B$5015,"&lt;="&amp;EOMONTH(DATE(2031,7,1),0))</f>
        <v/>
      </c>
      <c r="D95" s="165">
        <f>SUMIFS(Transaksi!$F$16:$F$5015,Transaksi!$G$16:$G$5015,"Pengeluaran",Transaksi!$B$16:$B$5015,"&gt;="&amp;DATE(2031,7,1),Transaksi!$B$16:$B$5015,"&lt;="&amp;EOMONTH(DATE(2031,7,1),0))</f>
        <v/>
      </c>
      <c r="E95" s="166">
        <f>C95-D95</f>
        <v/>
      </c>
      <c r="F95" s="165">
        <f>(SUMIFS(Transaksi!$F$16:$F$5015,Transaksi!$G$16:$G$5015,"Pendapatan",Transaksi!$B$16:$B$5015,"&gt;="&amp;DATE(2031,7,1),Transaksi!$B$16:$B$5015,"&lt;="&amp;EOMONTH(DATE(2031,7,1),0),Transaksi!$H$16:$H$5015,"Uang Kos Mama")+SUMIFS(Transaksi!$F$16:$F$5015,Transaksi!$G$16:$G$5015,"Pendapatan",Transaksi!$B$16:$B$5015,"&gt;="&amp;DATE(2031,7,1),Transaksi!$B$16:$B$5015,"&lt;="&amp;EOMONTH(DATE(2031,7,1),0),Transaksi!$H$16:$H$5015,"Uang Kedai"))-(SUMIFS(Transaksi!$F$16:$F$5015,Transaksi!$G$16:$G$5015,"Pengeluaran",Transaksi!$B$16:$B$5015,"&gt;="&amp;DATE(2031,7,1),Transaksi!$B$16:$B$5015,"&lt;="&amp;EOMONTH(DATE(2031,7,1),0),Transaksi!$H$16:$H$5015,"Pengeluaran Uang Kos")+SUMIFS(Transaksi!$F$16:$F$5015,Transaksi!$G$16:$G$5015,"Pengeluaran",Transaksi!$B$16:$B$5015,"&gt;="&amp;DATE(2031,7,1),Transaksi!$B$16:$B$5015,"&lt;="&amp;EOMONTH(DATE(2031,7,1),0),Transaksi!$H$16:$H$5015,"Pengeluaran Uang Kedai")+(SUMIFS(Transaksi!$F$16:$F$5015,Transaksi!$G$16:$G$5015,"Tabungan",Transaksi!$D$16:$D$5015,"Keluar",Transaksi!$H$16:$H$5015,"Reksadana uang kos mama",Transaksi!$B$16:$B$5015,"&gt;="&amp;DATE(2031,7,1),Transaksi!$B$16:$B$5015,"&lt;="&amp;EOMONTH(DATE(2031,7,1),0))-SUMIFS(Transaksi!$F$16:$F$5015,Transaksi!$G$16:$G$5015,"Tabungan",Transaksi!$D$16:$D$5015,"Masuk",Transaksi!$H$16:$H$5015,"Reksadana uang kos mama",Transaksi!$B$16:$B$5015,"&gt;="&amp;DATE(2031,7,1),Transaksi!$B$16:$B$5015,"&lt;="&amp;EOMONTH(DATE(2031,7,1),0))))</f>
        <v/>
      </c>
      <c r="G95" s="165">
        <f>(SUMIFS(Transaksi!$F$16:$F$5015,Transaksi!$G$16:$G$5015,"Tabungan",Transaksi!$D$16:$D$5015,"Keluar",Transaksi!$H$16:$H$5015,"&lt;&gt;Reksadana uang kos mama",Transaksi!$B$16:$B$5015,"&gt;="&amp;DATE(2031,7,1),Transaksi!$B$16:$B$5015,"&lt;="&amp;EOMONTH(DATE(2031,7,1),0))-SUMIFS(Transaksi!$F$16:$F$5015,Transaksi!$G$16:$G$5015,"Tabungan",Transaksi!$D$16:$D$5015,"Masuk",Transaksi!$H$16:$H$5015,"&lt;&gt;Reksadana uang kos mama",Transaksi!$B$16:$B$5015,"&gt;="&amp;DATE(2031,7,1),Transaksi!$B$16:$B$5015,"&lt;="&amp;EOMONTH(DATE(2031,7,1),0)))</f>
        <v/>
      </c>
    </row>
    <row r="96" ht="15" customHeight="1" s="94">
      <c r="A96" s="164" t="n">
        <v>2031</v>
      </c>
      <c r="B96" s="164" t="inlineStr">
        <is>
          <t>Agu</t>
        </is>
      </c>
      <c r="C96" s="165">
        <f>SUMIFS(Transaksi!$F$16:$F$5015,Transaksi!$G$16:$G$5015,"Pendapatan",Transaksi!$B$16:$B$5015,"&gt;="&amp;DATE(2031,8,1),Transaksi!$B$16:$B$5015,"&lt;="&amp;EOMONTH(DATE(2031,8,1),0))</f>
        <v/>
      </c>
      <c r="D96" s="165">
        <f>SUMIFS(Transaksi!$F$16:$F$5015,Transaksi!$G$16:$G$5015,"Pengeluaran",Transaksi!$B$16:$B$5015,"&gt;="&amp;DATE(2031,8,1),Transaksi!$B$16:$B$5015,"&lt;="&amp;EOMONTH(DATE(2031,8,1),0))</f>
        <v/>
      </c>
      <c r="E96" s="166">
        <f>C96-D96</f>
        <v/>
      </c>
      <c r="F96" s="165">
        <f>(SUMIFS(Transaksi!$F$16:$F$5015,Transaksi!$G$16:$G$5015,"Pendapatan",Transaksi!$B$16:$B$5015,"&gt;="&amp;DATE(2031,8,1),Transaksi!$B$16:$B$5015,"&lt;="&amp;EOMONTH(DATE(2031,8,1),0),Transaksi!$H$16:$H$5015,"Uang Kos Mama")+SUMIFS(Transaksi!$F$16:$F$5015,Transaksi!$G$16:$G$5015,"Pendapatan",Transaksi!$B$16:$B$5015,"&gt;="&amp;DATE(2031,8,1),Transaksi!$B$16:$B$5015,"&lt;="&amp;EOMONTH(DATE(2031,8,1),0),Transaksi!$H$16:$H$5015,"Uang Kedai"))-(SUMIFS(Transaksi!$F$16:$F$5015,Transaksi!$G$16:$G$5015,"Pengeluaran",Transaksi!$B$16:$B$5015,"&gt;="&amp;DATE(2031,8,1),Transaksi!$B$16:$B$5015,"&lt;="&amp;EOMONTH(DATE(2031,8,1),0),Transaksi!$H$16:$H$5015,"Pengeluaran Uang Kos")+SUMIFS(Transaksi!$F$16:$F$5015,Transaksi!$G$16:$G$5015,"Pengeluaran",Transaksi!$B$16:$B$5015,"&gt;="&amp;DATE(2031,8,1),Transaksi!$B$16:$B$5015,"&lt;="&amp;EOMONTH(DATE(2031,8,1),0),Transaksi!$H$16:$H$5015,"Pengeluaran Uang Kedai")+(SUMIFS(Transaksi!$F$16:$F$5015,Transaksi!$G$16:$G$5015,"Tabungan",Transaksi!$D$16:$D$5015,"Keluar",Transaksi!$H$16:$H$5015,"Reksadana uang kos mama",Transaksi!$B$16:$B$5015,"&gt;="&amp;DATE(2031,8,1),Transaksi!$B$16:$B$5015,"&lt;="&amp;EOMONTH(DATE(2031,8,1),0))-SUMIFS(Transaksi!$F$16:$F$5015,Transaksi!$G$16:$G$5015,"Tabungan",Transaksi!$D$16:$D$5015,"Masuk",Transaksi!$H$16:$H$5015,"Reksadana uang kos mama",Transaksi!$B$16:$B$5015,"&gt;="&amp;DATE(2031,8,1),Transaksi!$B$16:$B$5015,"&lt;="&amp;EOMONTH(DATE(2031,8,1),0))))</f>
        <v/>
      </c>
      <c r="G96" s="165">
        <f>(SUMIFS(Transaksi!$F$16:$F$5015,Transaksi!$G$16:$G$5015,"Tabungan",Transaksi!$D$16:$D$5015,"Keluar",Transaksi!$H$16:$H$5015,"&lt;&gt;Reksadana uang kos mama",Transaksi!$B$16:$B$5015,"&gt;="&amp;DATE(2031,8,1),Transaksi!$B$16:$B$5015,"&lt;="&amp;EOMONTH(DATE(2031,8,1),0))-SUMIFS(Transaksi!$F$16:$F$5015,Transaksi!$G$16:$G$5015,"Tabungan",Transaksi!$D$16:$D$5015,"Masuk",Transaksi!$H$16:$H$5015,"&lt;&gt;Reksadana uang kos mama",Transaksi!$B$16:$B$5015,"&gt;="&amp;DATE(2031,8,1),Transaksi!$B$16:$B$5015,"&lt;="&amp;EOMONTH(DATE(2031,8,1),0)))</f>
        <v/>
      </c>
    </row>
    <row r="97" ht="15" customHeight="1" s="94">
      <c r="A97" s="164" t="n">
        <v>2031</v>
      </c>
      <c r="B97" s="164" t="inlineStr">
        <is>
          <t>Sep</t>
        </is>
      </c>
      <c r="C97" s="165">
        <f>SUMIFS(Transaksi!$F$16:$F$5015,Transaksi!$G$16:$G$5015,"Pendapatan",Transaksi!$B$16:$B$5015,"&gt;="&amp;DATE(2031,9,1),Transaksi!$B$16:$B$5015,"&lt;="&amp;EOMONTH(DATE(2031,9,1),0))</f>
        <v/>
      </c>
      <c r="D97" s="165">
        <f>SUMIFS(Transaksi!$F$16:$F$5015,Transaksi!$G$16:$G$5015,"Pengeluaran",Transaksi!$B$16:$B$5015,"&gt;="&amp;DATE(2031,9,1),Transaksi!$B$16:$B$5015,"&lt;="&amp;EOMONTH(DATE(2031,9,1),0))</f>
        <v/>
      </c>
      <c r="E97" s="166">
        <f>C97-D97</f>
        <v/>
      </c>
      <c r="F97" s="165">
        <f>(SUMIFS(Transaksi!$F$16:$F$5015,Transaksi!$G$16:$G$5015,"Pendapatan",Transaksi!$B$16:$B$5015,"&gt;="&amp;DATE(2031,9,1),Transaksi!$B$16:$B$5015,"&lt;="&amp;EOMONTH(DATE(2031,9,1),0),Transaksi!$H$16:$H$5015,"Uang Kos Mama")+SUMIFS(Transaksi!$F$16:$F$5015,Transaksi!$G$16:$G$5015,"Pendapatan",Transaksi!$B$16:$B$5015,"&gt;="&amp;DATE(2031,9,1),Transaksi!$B$16:$B$5015,"&lt;="&amp;EOMONTH(DATE(2031,9,1),0),Transaksi!$H$16:$H$5015,"Uang Kedai"))-(SUMIFS(Transaksi!$F$16:$F$5015,Transaksi!$G$16:$G$5015,"Pengeluaran",Transaksi!$B$16:$B$5015,"&gt;="&amp;DATE(2031,9,1),Transaksi!$B$16:$B$5015,"&lt;="&amp;EOMONTH(DATE(2031,9,1),0),Transaksi!$H$16:$H$5015,"Pengeluaran Uang Kos")+SUMIFS(Transaksi!$F$16:$F$5015,Transaksi!$G$16:$G$5015,"Pengeluaran",Transaksi!$B$16:$B$5015,"&gt;="&amp;DATE(2031,9,1),Transaksi!$B$16:$B$5015,"&lt;="&amp;EOMONTH(DATE(2031,9,1),0),Transaksi!$H$16:$H$5015,"Pengeluaran Uang Kedai")+(SUMIFS(Transaksi!$F$16:$F$5015,Transaksi!$G$16:$G$5015,"Tabungan",Transaksi!$D$16:$D$5015,"Keluar",Transaksi!$H$16:$H$5015,"Reksadana uang kos mama",Transaksi!$B$16:$B$5015,"&gt;="&amp;DATE(2031,9,1),Transaksi!$B$16:$B$5015,"&lt;="&amp;EOMONTH(DATE(2031,9,1),0))-SUMIFS(Transaksi!$F$16:$F$5015,Transaksi!$G$16:$G$5015,"Tabungan",Transaksi!$D$16:$D$5015,"Masuk",Transaksi!$H$16:$H$5015,"Reksadana uang kos mama",Transaksi!$B$16:$B$5015,"&gt;="&amp;DATE(2031,9,1),Transaksi!$B$16:$B$5015,"&lt;="&amp;EOMONTH(DATE(2031,9,1),0))))</f>
        <v/>
      </c>
      <c r="G97" s="165">
        <f>(SUMIFS(Transaksi!$F$16:$F$5015,Transaksi!$G$16:$G$5015,"Tabungan",Transaksi!$D$16:$D$5015,"Keluar",Transaksi!$H$16:$H$5015,"&lt;&gt;Reksadana uang kos mama",Transaksi!$B$16:$B$5015,"&gt;="&amp;DATE(2031,9,1),Transaksi!$B$16:$B$5015,"&lt;="&amp;EOMONTH(DATE(2031,9,1),0))-SUMIFS(Transaksi!$F$16:$F$5015,Transaksi!$G$16:$G$5015,"Tabungan",Transaksi!$D$16:$D$5015,"Masuk",Transaksi!$H$16:$H$5015,"&lt;&gt;Reksadana uang kos mama",Transaksi!$B$16:$B$5015,"&gt;="&amp;DATE(2031,9,1),Transaksi!$B$16:$B$5015,"&lt;="&amp;EOMONTH(DATE(2031,9,1),0)))</f>
        <v/>
      </c>
    </row>
    <row r="98" ht="15" customHeight="1" s="94">
      <c r="A98" s="164" t="n">
        <v>2031</v>
      </c>
      <c r="B98" s="164" t="inlineStr">
        <is>
          <t>Okt</t>
        </is>
      </c>
      <c r="C98" s="165">
        <f>SUMIFS(Transaksi!$F$16:$F$5015,Transaksi!$G$16:$G$5015,"Pendapatan",Transaksi!$B$16:$B$5015,"&gt;="&amp;DATE(2031,10,1),Transaksi!$B$16:$B$5015,"&lt;="&amp;EOMONTH(DATE(2031,10,1),0))</f>
        <v/>
      </c>
      <c r="D98" s="165">
        <f>SUMIFS(Transaksi!$F$16:$F$5015,Transaksi!$G$16:$G$5015,"Pengeluaran",Transaksi!$B$16:$B$5015,"&gt;="&amp;DATE(2031,10,1),Transaksi!$B$16:$B$5015,"&lt;="&amp;EOMONTH(DATE(2031,10,1),0))</f>
        <v/>
      </c>
      <c r="E98" s="166">
        <f>C98-D98</f>
        <v/>
      </c>
      <c r="F98" s="165">
        <f>(SUMIFS(Transaksi!$F$16:$F$5015,Transaksi!$G$16:$G$5015,"Pendapatan",Transaksi!$B$16:$B$5015,"&gt;="&amp;DATE(2031,10,1),Transaksi!$B$16:$B$5015,"&lt;="&amp;EOMONTH(DATE(2031,10,1),0),Transaksi!$H$16:$H$5015,"Uang Kos Mama")+SUMIFS(Transaksi!$F$16:$F$5015,Transaksi!$G$16:$G$5015,"Pendapatan",Transaksi!$B$16:$B$5015,"&gt;="&amp;DATE(2031,10,1),Transaksi!$B$16:$B$5015,"&lt;="&amp;EOMONTH(DATE(2031,10,1),0),Transaksi!$H$16:$H$5015,"Uang Kedai"))-(SUMIFS(Transaksi!$F$16:$F$5015,Transaksi!$G$16:$G$5015,"Pengeluaran",Transaksi!$B$16:$B$5015,"&gt;="&amp;DATE(2031,10,1),Transaksi!$B$16:$B$5015,"&lt;="&amp;EOMONTH(DATE(2031,10,1),0),Transaksi!$H$16:$H$5015,"Pengeluaran Uang Kos")+SUMIFS(Transaksi!$F$16:$F$5015,Transaksi!$G$16:$G$5015,"Pengeluaran",Transaksi!$B$16:$B$5015,"&gt;="&amp;DATE(2031,10,1),Transaksi!$B$16:$B$5015,"&lt;="&amp;EOMONTH(DATE(2031,10,1),0),Transaksi!$H$16:$H$5015,"Pengeluaran Uang Kedai")+(SUMIFS(Transaksi!$F$16:$F$5015,Transaksi!$G$16:$G$5015,"Tabungan",Transaksi!$D$16:$D$5015,"Keluar",Transaksi!$H$16:$H$5015,"Reksadana uang kos mama",Transaksi!$B$16:$B$5015,"&gt;="&amp;DATE(2031,10,1),Transaksi!$B$16:$B$5015,"&lt;="&amp;EOMONTH(DATE(2031,10,1),0))-SUMIFS(Transaksi!$F$16:$F$5015,Transaksi!$G$16:$G$5015,"Tabungan",Transaksi!$D$16:$D$5015,"Masuk",Transaksi!$H$16:$H$5015,"Reksadana uang kos mama",Transaksi!$B$16:$B$5015,"&gt;="&amp;DATE(2031,10,1),Transaksi!$B$16:$B$5015,"&lt;="&amp;EOMONTH(DATE(2031,10,1),0))))</f>
        <v/>
      </c>
      <c r="G98" s="165">
        <f>(SUMIFS(Transaksi!$F$16:$F$5015,Transaksi!$G$16:$G$5015,"Tabungan",Transaksi!$D$16:$D$5015,"Keluar",Transaksi!$H$16:$H$5015,"&lt;&gt;Reksadana uang kos mama",Transaksi!$B$16:$B$5015,"&gt;="&amp;DATE(2031,10,1),Transaksi!$B$16:$B$5015,"&lt;="&amp;EOMONTH(DATE(2031,10,1),0))-SUMIFS(Transaksi!$F$16:$F$5015,Transaksi!$G$16:$G$5015,"Tabungan",Transaksi!$D$16:$D$5015,"Masuk",Transaksi!$H$16:$H$5015,"&lt;&gt;Reksadana uang kos mama",Transaksi!$B$16:$B$5015,"&gt;="&amp;DATE(2031,10,1),Transaksi!$B$16:$B$5015,"&lt;="&amp;EOMONTH(DATE(2031,10,1),0)))</f>
        <v/>
      </c>
    </row>
    <row r="99" ht="15" customHeight="1" s="94">
      <c r="A99" s="164" t="n">
        <v>2031</v>
      </c>
      <c r="B99" s="164" t="inlineStr">
        <is>
          <t>Nov</t>
        </is>
      </c>
      <c r="C99" s="165">
        <f>SUMIFS(Transaksi!$F$16:$F$5015,Transaksi!$G$16:$G$5015,"Pendapatan",Transaksi!$B$16:$B$5015,"&gt;="&amp;DATE(2031,11,1),Transaksi!$B$16:$B$5015,"&lt;="&amp;EOMONTH(DATE(2031,11,1),0))</f>
        <v/>
      </c>
      <c r="D99" s="165">
        <f>SUMIFS(Transaksi!$F$16:$F$5015,Transaksi!$G$16:$G$5015,"Pengeluaran",Transaksi!$B$16:$B$5015,"&gt;="&amp;DATE(2031,11,1),Transaksi!$B$16:$B$5015,"&lt;="&amp;EOMONTH(DATE(2031,11,1),0))</f>
        <v/>
      </c>
      <c r="E99" s="166">
        <f>C99-D99</f>
        <v/>
      </c>
      <c r="F99" s="165">
        <f>(SUMIFS(Transaksi!$F$16:$F$5015,Transaksi!$G$16:$G$5015,"Pendapatan",Transaksi!$B$16:$B$5015,"&gt;="&amp;DATE(2031,11,1),Transaksi!$B$16:$B$5015,"&lt;="&amp;EOMONTH(DATE(2031,11,1),0),Transaksi!$H$16:$H$5015,"Uang Kos Mama")+SUMIFS(Transaksi!$F$16:$F$5015,Transaksi!$G$16:$G$5015,"Pendapatan",Transaksi!$B$16:$B$5015,"&gt;="&amp;DATE(2031,11,1),Transaksi!$B$16:$B$5015,"&lt;="&amp;EOMONTH(DATE(2031,11,1),0),Transaksi!$H$16:$H$5015,"Uang Kedai"))-(SUMIFS(Transaksi!$F$16:$F$5015,Transaksi!$G$16:$G$5015,"Pengeluaran",Transaksi!$B$16:$B$5015,"&gt;="&amp;DATE(2031,11,1),Transaksi!$B$16:$B$5015,"&lt;="&amp;EOMONTH(DATE(2031,11,1),0),Transaksi!$H$16:$H$5015,"Pengeluaran Uang Kos")+SUMIFS(Transaksi!$F$16:$F$5015,Transaksi!$G$16:$G$5015,"Pengeluaran",Transaksi!$B$16:$B$5015,"&gt;="&amp;DATE(2031,11,1),Transaksi!$B$16:$B$5015,"&lt;="&amp;EOMONTH(DATE(2031,11,1),0),Transaksi!$H$16:$H$5015,"Pengeluaran Uang Kedai")+(SUMIFS(Transaksi!$F$16:$F$5015,Transaksi!$G$16:$G$5015,"Tabungan",Transaksi!$D$16:$D$5015,"Keluar",Transaksi!$H$16:$H$5015,"Reksadana uang kos mama",Transaksi!$B$16:$B$5015,"&gt;="&amp;DATE(2031,11,1),Transaksi!$B$16:$B$5015,"&lt;="&amp;EOMONTH(DATE(2031,11,1),0))-SUMIFS(Transaksi!$F$16:$F$5015,Transaksi!$G$16:$G$5015,"Tabungan",Transaksi!$D$16:$D$5015,"Masuk",Transaksi!$H$16:$H$5015,"Reksadana uang kos mama",Transaksi!$B$16:$B$5015,"&gt;="&amp;DATE(2031,11,1),Transaksi!$B$16:$B$5015,"&lt;="&amp;EOMONTH(DATE(2031,11,1),0))))</f>
        <v/>
      </c>
      <c r="G99" s="165">
        <f>(SUMIFS(Transaksi!$F$16:$F$5015,Transaksi!$G$16:$G$5015,"Tabungan",Transaksi!$D$16:$D$5015,"Keluar",Transaksi!$H$16:$H$5015,"&lt;&gt;Reksadana uang kos mama",Transaksi!$B$16:$B$5015,"&gt;="&amp;DATE(2031,11,1),Transaksi!$B$16:$B$5015,"&lt;="&amp;EOMONTH(DATE(2031,11,1),0))-SUMIFS(Transaksi!$F$16:$F$5015,Transaksi!$G$16:$G$5015,"Tabungan",Transaksi!$D$16:$D$5015,"Masuk",Transaksi!$H$16:$H$5015,"&lt;&gt;Reksadana uang kos mama",Transaksi!$B$16:$B$5015,"&gt;="&amp;DATE(2031,11,1),Transaksi!$B$16:$B$5015,"&lt;="&amp;EOMONTH(DATE(2031,11,1),0)))</f>
        <v/>
      </c>
    </row>
    <row r="100" ht="15" customHeight="1" s="94">
      <c r="A100" s="164" t="n">
        <v>2031</v>
      </c>
      <c r="B100" s="164" t="inlineStr">
        <is>
          <t>Des</t>
        </is>
      </c>
      <c r="C100" s="165">
        <f>SUMIFS(Transaksi!$F$16:$F$5015,Transaksi!$G$16:$G$5015,"Pendapatan",Transaksi!$B$16:$B$5015,"&gt;="&amp;DATE(2031,12,1),Transaksi!$B$16:$B$5015,"&lt;="&amp;EOMONTH(DATE(2031,12,1),0))</f>
        <v/>
      </c>
      <c r="D100" s="165">
        <f>SUMIFS(Transaksi!$F$16:$F$5015,Transaksi!$G$16:$G$5015,"Pengeluaran",Transaksi!$B$16:$B$5015,"&gt;="&amp;DATE(2031,12,1),Transaksi!$B$16:$B$5015,"&lt;="&amp;EOMONTH(DATE(2031,12,1),0))</f>
        <v/>
      </c>
      <c r="E100" s="166">
        <f>C100-D100</f>
        <v/>
      </c>
      <c r="F100" s="165">
        <f>(SUMIFS(Transaksi!$F$16:$F$5015,Transaksi!$G$16:$G$5015,"Pendapatan",Transaksi!$B$16:$B$5015,"&gt;="&amp;DATE(2031,12,1),Transaksi!$B$16:$B$5015,"&lt;="&amp;EOMONTH(DATE(2031,12,1),0),Transaksi!$H$16:$H$5015,"Uang Kos Mama")+SUMIFS(Transaksi!$F$16:$F$5015,Transaksi!$G$16:$G$5015,"Pendapatan",Transaksi!$B$16:$B$5015,"&gt;="&amp;DATE(2031,12,1),Transaksi!$B$16:$B$5015,"&lt;="&amp;EOMONTH(DATE(2031,12,1),0),Transaksi!$H$16:$H$5015,"Uang Kedai"))-(SUMIFS(Transaksi!$F$16:$F$5015,Transaksi!$G$16:$G$5015,"Pengeluaran",Transaksi!$B$16:$B$5015,"&gt;="&amp;DATE(2031,12,1),Transaksi!$B$16:$B$5015,"&lt;="&amp;EOMONTH(DATE(2031,12,1),0),Transaksi!$H$16:$H$5015,"Pengeluaran Uang Kos")+SUMIFS(Transaksi!$F$16:$F$5015,Transaksi!$G$16:$G$5015,"Pengeluaran",Transaksi!$B$16:$B$5015,"&gt;="&amp;DATE(2031,12,1),Transaksi!$B$16:$B$5015,"&lt;="&amp;EOMONTH(DATE(2031,12,1),0),Transaksi!$H$16:$H$5015,"Pengeluaran Uang Kedai")+(SUMIFS(Transaksi!$F$16:$F$5015,Transaksi!$G$16:$G$5015,"Tabungan",Transaksi!$D$16:$D$5015,"Keluar",Transaksi!$H$16:$H$5015,"Reksadana uang kos mama",Transaksi!$B$16:$B$5015,"&gt;="&amp;DATE(2031,12,1),Transaksi!$B$16:$B$5015,"&lt;="&amp;EOMONTH(DATE(2031,12,1),0))-SUMIFS(Transaksi!$F$16:$F$5015,Transaksi!$G$16:$G$5015,"Tabungan",Transaksi!$D$16:$D$5015,"Masuk",Transaksi!$H$16:$H$5015,"Reksadana uang kos mama",Transaksi!$B$16:$B$5015,"&gt;="&amp;DATE(2031,12,1),Transaksi!$B$16:$B$5015,"&lt;="&amp;EOMONTH(DATE(2031,12,1),0))))</f>
        <v/>
      </c>
      <c r="G100" s="165">
        <f>(SUMIFS(Transaksi!$F$16:$F$5015,Transaksi!$G$16:$G$5015,"Tabungan",Transaksi!$D$16:$D$5015,"Keluar",Transaksi!$H$16:$H$5015,"&lt;&gt;Reksadana uang kos mama",Transaksi!$B$16:$B$5015,"&gt;="&amp;DATE(2031,12,1),Transaksi!$B$16:$B$5015,"&lt;="&amp;EOMONTH(DATE(2031,12,1),0))-SUMIFS(Transaksi!$F$16:$F$5015,Transaksi!$G$16:$G$5015,"Tabungan",Transaksi!$D$16:$D$5015,"Masuk",Transaksi!$H$16:$H$5015,"&lt;&gt;Reksadana uang kos mama",Transaksi!$B$16:$B$5015,"&gt;="&amp;DATE(2031,12,1),Transaksi!$B$16:$B$5015,"&lt;="&amp;EOMONTH(DATE(2031,12,1),0)))</f>
        <v/>
      </c>
    </row>
    <row r="101" ht="15" customHeight="1" s="94">
      <c r="A101" s="164" t="n">
        <v>2032</v>
      </c>
      <c r="B101" s="164" t="inlineStr">
        <is>
          <t>Jan</t>
        </is>
      </c>
      <c r="C101" s="165">
        <f>SUMIFS(Transaksi!$F$16:$F$5015,Transaksi!$G$16:$G$5015,"Pendapatan",Transaksi!$B$16:$B$5015,"&gt;="&amp;DATE(2032,1,1),Transaksi!$B$16:$B$5015,"&lt;="&amp;EOMONTH(DATE(2032,1,1),0))</f>
        <v/>
      </c>
      <c r="D101" s="165">
        <f>SUMIFS(Transaksi!$F$16:$F$5015,Transaksi!$G$16:$G$5015,"Pengeluaran",Transaksi!$B$16:$B$5015,"&gt;="&amp;DATE(2032,1,1),Transaksi!$B$16:$B$5015,"&lt;="&amp;EOMONTH(DATE(2032,1,1),0))</f>
        <v/>
      </c>
      <c r="E101" s="166">
        <f>C101-D101</f>
        <v/>
      </c>
      <c r="F101" s="165">
        <f>(SUMIFS(Transaksi!$F$16:$F$5015,Transaksi!$G$16:$G$5015,"Pendapatan",Transaksi!$B$16:$B$5015,"&gt;="&amp;DATE(2032,1,1),Transaksi!$B$16:$B$5015,"&lt;="&amp;EOMONTH(DATE(2032,1,1),0),Transaksi!$H$16:$H$5015,"Uang Kos Mama")+SUMIFS(Transaksi!$F$16:$F$5015,Transaksi!$G$16:$G$5015,"Pendapatan",Transaksi!$B$16:$B$5015,"&gt;="&amp;DATE(2032,1,1),Transaksi!$B$16:$B$5015,"&lt;="&amp;EOMONTH(DATE(2032,1,1),0),Transaksi!$H$16:$H$5015,"Uang Kedai"))-(SUMIFS(Transaksi!$F$16:$F$5015,Transaksi!$G$16:$G$5015,"Pengeluaran",Transaksi!$B$16:$B$5015,"&gt;="&amp;DATE(2032,1,1),Transaksi!$B$16:$B$5015,"&lt;="&amp;EOMONTH(DATE(2032,1,1),0),Transaksi!$H$16:$H$5015,"Pengeluaran Uang Kos")+SUMIFS(Transaksi!$F$16:$F$5015,Transaksi!$G$16:$G$5015,"Pengeluaran",Transaksi!$B$16:$B$5015,"&gt;="&amp;DATE(2032,1,1),Transaksi!$B$16:$B$5015,"&lt;="&amp;EOMONTH(DATE(2032,1,1),0),Transaksi!$H$16:$H$5015,"Pengeluaran Uang Kedai")+(SUMIFS(Transaksi!$F$16:$F$5015,Transaksi!$G$16:$G$5015,"Tabungan",Transaksi!$D$16:$D$5015,"Keluar",Transaksi!$H$16:$H$5015,"Reksadana uang kos mama",Transaksi!$B$16:$B$5015,"&gt;="&amp;DATE(2032,1,1),Transaksi!$B$16:$B$5015,"&lt;="&amp;EOMONTH(DATE(2032,1,1),0))-SUMIFS(Transaksi!$F$16:$F$5015,Transaksi!$G$16:$G$5015,"Tabungan",Transaksi!$D$16:$D$5015,"Masuk",Transaksi!$H$16:$H$5015,"Reksadana uang kos mama",Transaksi!$B$16:$B$5015,"&gt;="&amp;DATE(2032,1,1),Transaksi!$B$16:$B$5015,"&lt;="&amp;EOMONTH(DATE(2032,1,1),0))))</f>
        <v/>
      </c>
      <c r="G101" s="165">
        <f>(SUMIFS(Transaksi!$F$16:$F$5015,Transaksi!$G$16:$G$5015,"Tabungan",Transaksi!$D$16:$D$5015,"Keluar",Transaksi!$H$16:$H$5015,"&lt;&gt;Reksadana uang kos mama",Transaksi!$B$16:$B$5015,"&gt;="&amp;DATE(2032,1,1),Transaksi!$B$16:$B$5015,"&lt;="&amp;EOMONTH(DATE(2032,1,1),0))-SUMIFS(Transaksi!$F$16:$F$5015,Transaksi!$G$16:$G$5015,"Tabungan",Transaksi!$D$16:$D$5015,"Masuk",Transaksi!$H$16:$H$5015,"&lt;&gt;Reksadana uang kos mama",Transaksi!$B$16:$B$5015,"&gt;="&amp;DATE(2032,1,1),Transaksi!$B$16:$B$5015,"&lt;="&amp;EOMONTH(DATE(2032,1,1),0)))</f>
        <v/>
      </c>
    </row>
    <row r="102" ht="15" customHeight="1" s="94">
      <c r="A102" s="164" t="n">
        <v>2032</v>
      </c>
      <c r="B102" s="164" t="inlineStr">
        <is>
          <t>Feb</t>
        </is>
      </c>
      <c r="C102" s="165">
        <f>SUMIFS(Transaksi!$F$16:$F$5015,Transaksi!$G$16:$G$5015,"Pendapatan",Transaksi!$B$16:$B$5015,"&gt;="&amp;DATE(2032,2,1),Transaksi!$B$16:$B$5015,"&lt;="&amp;EOMONTH(DATE(2032,2,1),0))</f>
        <v/>
      </c>
      <c r="D102" s="165">
        <f>SUMIFS(Transaksi!$F$16:$F$5015,Transaksi!$G$16:$G$5015,"Pengeluaran",Transaksi!$B$16:$B$5015,"&gt;="&amp;DATE(2032,2,1),Transaksi!$B$16:$B$5015,"&lt;="&amp;EOMONTH(DATE(2032,2,1),0))</f>
        <v/>
      </c>
      <c r="E102" s="166">
        <f>C102-D102</f>
        <v/>
      </c>
      <c r="F102" s="165">
        <f>(SUMIFS(Transaksi!$F$16:$F$5015,Transaksi!$G$16:$G$5015,"Pendapatan",Transaksi!$B$16:$B$5015,"&gt;="&amp;DATE(2032,2,1),Transaksi!$B$16:$B$5015,"&lt;="&amp;EOMONTH(DATE(2032,2,1),0),Transaksi!$H$16:$H$5015,"Uang Kos Mama")+SUMIFS(Transaksi!$F$16:$F$5015,Transaksi!$G$16:$G$5015,"Pendapatan",Transaksi!$B$16:$B$5015,"&gt;="&amp;DATE(2032,2,1),Transaksi!$B$16:$B$5015,"&lt;="&amp;EOMONTH(DATE(2032,2,1),0),Transaksi!$H$16:$H$5015,"Uang Kedai"))-(SUMIFS(Transaksi!$F$16:$F$5015,Transaksi!$G$16:$G$5015,"Pengeluaran",Transaksi!$B$16:$B$5015,"&gt;="&amp;DATE(2032,2,1),Transaksi!$B$16:$B$5015,"&lt;="&amp;EOMONTH(DATE(2032,2,1),0),Transaksi!$H$16:$H$5015,"Pengeluaran Uang Kos")+SUMIFS(Transaksi!$F$16:$F$5015,Transaksi!$G$16:$G$5015,"Pengeluaran",Transaksi!$B$16:$B$5015,"&gt;="&amp;DATE(2032,2,1),Transaksi!$B$16:$B$5015,"&lt;="&amp;EOMONTH(DATE(2032,2,1),0),Transaksi!$H$16:$H$5015,"Pengeluaran Uang Kedai")+(SUMIFS(Transaksi!$F$16:$F$5015,Transaksi!$G$16:$G$5015,"Tabungan",Transaksi!$D$16:$D$5015,"Keluar",Transaksi!$H$16:$H$5015,"Reksadana uang kos mama",Transaksi!$B$16:$B$5015,"&gt;="&amp;DATE(2032,2,1),Transaksi!$B$16:$B$5015,"&lt;="&amp;EOMONTH(DATE(2032,2,1),0))-SUMIFS(Transaksi!$F$16:$F$5015,Transaksi!$G$16:$G$5015,"Tabungan",Transaksi!$D$16:$D$5015,"Masuk",Transaksi!$H$16:$H$5015,"Reksadana uang kos mama",Transaksi!$B$16:$B$5015,"&gt;="&amp;DATE(2032,2,1),Transaksi!$B$16:$B$5015,"&lt;="&amp;EOMONTH(DATE(2032,2,1),0))))</f>
        <v/>
      </c>
      <c r="G102" s="165">
        <f>(SUMIFS(Transaksi!$F$16:$F$5015,Transaksi!$G$16:$G$5015,"Tabungan",Transaksi!$D$16:$D$5015,"Keluar",Transaksi!$H$16:$H$5015,"&lt;&gt;Reksadana uang kos mama",Transaksi!$B$16:$B$5015,"&gt;="&amp;DATE(2032,2,1),Transaksi!$B$16:$B$5015,"&lt;="&amp;EOMONTH(DATE(2032,2,1),0))-SUMIFS(Transaksi!$F$16:$F$5015,Transaksi!$G$16:$G$5015,"Tabungan",Transaksi!$D$16:$D$5015,"Masuk",Transaksi!$H$16:$H$5015,"&lt;&gt;Reksadana uang kos mama",Transaksi!$B$16:$B$5015,"&gt;="&amp;DATE(2032,2,1),Transaksi!$B$16:$B$5015,"&lt;="&amp;EOMONTH(DATE(2032,2,1),0)))</f>
        <v/>
      </c>
    </row>
    <row r="103" ht="15" customHeight="1" s="94">
      <c r="A103" s="164" t="n">
        <v>2032</v>
      </c>
      <c r="B103" s="164" t="inlineStr">
        <is>
          <t>Mar</t>
        </is>
      </c>
      <c r="C103" s="165">
        <f>SUMIFS(Transaksi!$F$16:$F$5015,Transaksi!$G$16:$G$5015,"Pendapatan",Transaksi!$B$16:$B$5015,"&gt;="&amp;DATE(2032,3,1),Transaksi!$B$16:$B$5015,"&lt;="&amp;EOMONTH(DATE(2032,3,1),0))</f>
        <v/>
      </c>
      <c r="D103" s="165">
        <f>SUMIFS(Transaksi!$F$16:$F$5015,Transaksi!$G$16:$G$5015,"Pengeluaran",Transaksi!$B$16:$B$5015,"&gt;="&amp;DATE(2032,3,1),Transaksi!$B$16:$B$5015,"&lt;="&amp;EOMONTH(DATE(2032,3,1),0))</f>
        <v/>
      </c>
      <c r="E103" s="166">
        <f>C103-D103</f>
        <v/>
      </c>
      <c r="F103" s="165">
        <f>(SUMIFS(Transaksi!$F$16:$F$5015,Transaksi!$G$16:$G$5015,"Pendapatan",Transaksi!$B$16:$B$5015,"&gt;="&amp;DATE(2032,3,1),Transaksi!$B$16:$B$5015,"&lt;="&amp;EOMONTH(DATE(2032,3,1),0),Transaksi!$H$16:$H$5015,"Uang Kos Mama")+SUMIFS(Transaksi!$F$16:$F$5015,Transaksi!$G$16:$G$5015,"Pendapatan",Transaksi!$B$16:$B$5015,"&gt;="&amp;DATE(2032,3,1),Transaksi!$B$16:$B$5015,"&lt;="&amp;EOMONTH(DATE(2032,3,1),0),Transaksi!$H$16:$H$5015,"Uang Kedai"))-(SUMIFS(Transaksi!$F$16:$F$5015,Transaksi!$G$16:$G$5015,"Pengeluaran",Transaksi!$B$16:$B$5015,"&gt;="&amp;DATE(2032,3,1),Transaksi!$B$16:$B$5015,"&lt;="&amp;EOMONTH(DATE(2032,3,1),0),Transaksi!$H$16:$H$5015,"Pengeluaran Uang Kos")+SUMIFS(Transaksi!$F$16:$F$5015,Transaksi!$G$16:$G$5015,"Pengeluaran",Transaksi!$B$16:$B$5015,"&gt;="&amp;DATE(2032,3,1),Transaksi!$B$16:$B$5015,"&lt;="&amp;EOMONTH(DATE(2032,3,1),0),Transaksi!$H$16:$H$5015,"Pengeluaran Uang Kedai")+(SUMIFS(Transaksi!$F$16:$F$5015,Transaksi!$G$16:$G$5015,"Tabungan",Transaksi!$D$16:$D$5015,"Keluar",Transaksi!$H$16:$H$5015,"Reksadana uang kos mama",Transaksi!$B$16:$B$5015,"&gt;="&amp;DATE(2032,3,1),Transaksi!$B$16:$B$5015,"&lt;="&amp;EOMONTH(DATE(2032,3,1),0))-SUMIFS(Transaksi!$F$16:$F$5015,Transaksi!$G$16:$G$5015,"Tabungan",Transaksi!$D$16:$D$5015,"Masuk",Transaksi!$H$16:$H$5015,"Reksadana uang kos mama",Transaksi!$B$16:$B$5015,"&gt;="&amp;DATE(2032,3,1),Transaksi!$B$16:$B$5015,"&lt;="&amp;EOMONTH(DATE(2032,3,1),0))))</f>
        <v/>
      </c>
      <c r="G103" s="165">
        <f>(SUMIFS(Transaksi!$F$16:$F$5015,Transaksi!$G$16:$G$5015,"Tabungan",Transaksi!$D$16:$D$5015,"Keluar",Transaksi!$H$16:$H$5015,"&lt;&gt;Reksadana uang kos mama",Transaksi!$B$16:$B$5015,"&gt;="&amp;DATE(2032,3,1),Transaksi!$B$16:$B$5015,"&lt;="&amp;EOMONTH(DATE(2032,3,1),0))-SUMIFS(Transaksi!$F$16:$F$5015,Transaksi!$G$16:$G$5015,"Tabungan",Transaksi!$D$16:$D$5015,"Masuk",Transaksi!$H$16:$H$5015,"&lt;&gt;Reksadana uang kos mama",Transaksi!$B$16:$B$5015,"&gt;="&amp;DATE(2032,3,1),Transaksi!$B$16:$B$5015,"&lt;="&amp;EOMONTH(DATE(2032,3,1),0)))</f>
        <v/>
      </c>
    </row>
    <row r="104" ht="15" customHeight="1" s="94">
      <c r="A104" s="164" t="n">
        <v>2032</v>
      </c>
      <c r="B104" s="164" t="inlineStr">
        <is>
          <t>Apr</t>
        </is>
      </c>
      <c r="C104" s="165">
        <f>SUMIFS(Transaksi!$F$16:$F$5015,Transaksi!$G$16:$G$5015,"Pendapatan",Transaksi!$B$16:$B$5015,"&gt;="&amp;DATE(2032,4,1),Transaksi!$B$16:$B$5015,"&lt;="&amp;EOMONTH(DATE(2032,4,1),0))</f>
        <v/>
      </c>
      <c r="D104" s="165">
        <f>SUMIFS(Transaksi!$F$16:$F$5015,Transaksi!$G$16:$G$5015,"Pengeluaran",Transaksi!$B$16:$B$5015,"&gt;="&amp;DATE(2032,4,1),Transaksi!$B$16:$B$5015,"&lt;="&amp;EOMONTH(DATE(2032,4,1),0))</f>
        <v/>
      </c>
      <c r="E104" s="166">
        <f>C104-D104</f>
        <v/>
      </c>
      <c r="F104" s="165">
        <f>(SUMIFS(Transaksi!$F$16:$F$5015,Transaksi!$G$16:$G$5015,"Pendapatan",Transaksi!$B$16:$B$5015,"&gt;="&amp;DATE(2032,4,1),Transaksi!$B$16:$B$5015,"&lt;="&amp;EOMONTH(DATE(2032,4,1),0),Transaksi!$H$16:$H$5015,"Uang Kos Mama")+SUMIFS(Transaksi!$F$16:$F$5015,Transaksi!$G$16:$G$5015,"Pendapatan",Transaksi!$B$16:$B$5015,"&gt;="&amp;DATE(2032,4,1),Transaksi!$B$16:$B$5015,"&lt;="&amp;EOMONTH(DATE(2032,4,1),0),Transaksi!$H$16:$H$5015,"Uang Kedai"))-(SUMIFS(Transaksi!$F$16:$F$5015,Transaksi!$G$16:$G$5015,"Pengeluaran",Transaksi!$B$16:$B$5015,"&gt;="&amp;DATE(2032,4,1),Transaksi!$B$16:$B$5015,"&lt;="&amp;EOMONTH(DATE(2032,4,1),0),Transaksi!$H$16:$H$5015,"Pengeluaran Uang Kos")+SUMIFS(Transaksi!$F$16:$F$5015,Transaksi!$G$16:$G$5015,"Pengeluaran",Transaksi!$B$16:$B$5015,"&gt;="&amp;DATE(2032,4,1),Transaksi!$B$16:$B$5015,"&lt;="&amp;EOMONTH(DATE(2032,4,1),0),Transaksi!$H$16:$H$5015,"Pengeluaran Uang Kedai")+(SUMIFS(Transaksi!$F$16:$F$5015,Transaksi!$G$16:$G$5015,"Tabungan",Transaksi!$D$16:$D$5015,"Keluar",Transaksi!$H$16:$H$5015,"Reksadana uang kos mama",Transaksi!$B$16:$B$5015,"&gt;="&amp;DATE(2032,4,1),Transaksi!$B$16:$B$5015,"&lt;="&amp;EOMONTH(DATE(2032,4,1),0))-SUMIFS(Transaksi!$F$16:$F$5015,Transaksi!$G$16:$G$5015,"Tabungan",Transaksi!$D$16:$D$5015,"Masuk",Transaksi!$H$16:$H$5015,"Reksadana uang kos mama",Transaksi!$B$16:$B$5015,"&gt;="&amp;DATE(2032,4,1),Transaksi!$B$16:$B$5015,"&lt;="&amp;EOMONTH(DATE(2032,4,1),0))))</f>
        <v/>
      </c>
      <c r="G104" s="165">
        <f>(SUMIFS(Transaksi!$F$16:$F$5015,Transaksi!$G$16:$G$5015,"Tabungan",Transaksi!$D$16:$D$5015,"Keluar",Transaksi!$H$16:$H$5015,"&lt;&gt;Reksadana uang kos mama",Transaksi!$B$16:$B$5015,"&gt;="&amp;DATE(2032,4,1),Transaksi!$B$16:$B$5015,"&lt;="&amp;EOMONTH(DATE(2032,4,1),0))-SUMIFS(Transaksi!$F$16:$F$5015,Transaksi!$G$16:$G$5015,"Tabungan",Transaksi!$D$16:$D$5015,"Masuk",Transaksi!$H$16:$H$5015,"&lt;&gt;Reksadana uang kos mama",Transaksi!$B$16:$B$5015,"&gt;="&amp;DATE(2032,4,1),Transaksi!$B$16:$B$5015,"&lt;="&amp;EOMONTH(DATE(2032,4,1),0)))</f>
        <v/>
      </c>
    </row>
    <row r="105" ht="15" customHeight="1" s="94">
      <c r="A105" s="164" t="n">
        <v>2032</v>
      </c>
      <c r="B105" s="164" t="inlineStr">
        <is>
          <t>Mei</t>
        </is>
      </c>
      <c r="C105" s="165">
        <f>SUMIFS(Transaksi!$F$16:$F$5015,Transaksi!$G$16:$G$5015,"Pendapatan",Transaksi!$B$16:$B$5015,"&gt;="&amp;DATE(2032,5,1),Transaksi!$B$16:$B$5015,"&lt;="&amp;EOMONTH(DATE(2032,5,1),0))</f>
        <v/>
      </c>
      <c r="D105" s="165">
        <f>SUMIFS(Transaksi!$F$16:$F$5015,Transaksi!$G$16:$G$5015,"Pengeluaran",Transaksi!$B$16:$B$5015,"&gt;="&amp;DATE(2032,5,1),Transaksi!$B$16:$B$5015,"&lt;="&amp;EOMONTH(DATE(2032,5,1),0))</f>
        <v/>
      </c>
      <c r="E105" s="166">
        <f>C105-D105</f>
        <v/>
      </c>
      <c r="F105" s="165">
        <f>(SUMIFS(Transaksi!$F$16:$F$5015,Transaksi!$G$16:$G$5015,"Pendapatan",Transaksi!$B$16:$B$5015,"&gt;="&amp;DATE(2032,5,1),Transaksi!$B$16:$B$5015,"&lt;="&amp;EOMONTH(DATE(2032,5,1),0),Transaksi!$H$16:$H$5015,"Uang Kos Mama")+SUMIFS(Transaksi!$F$16:$F$5015,Transaksi!$G$16:$G$5015,"Pendapatan",Transaksi!$B$16:$B$5015,"&gt;="&amp;DATE(2032,5,1),Transaksi!$B$16:$B$5015,"&lt;="&amp;EOMONTH(DATE(2032,5,1),0),Transaksi!$H$16:$H$5015,"Uang Kedai"))-(SUMIFS(Transaksi!$F$16:$F$5015,Transaksi!$G$16:$G$5015,"Pengeluaran",Transaksi!$B$16:$B$5015,"&gt;="&amp;DATE(2032,5,1),Transaksi!$B$16:$B$5015,"&lt;="&amp;EOMONTH(DATE(2032,5,1),0),Transaksi!$H$16:$H$5015,"Pengeluaran Uang Kos")+SUMIFS(Transaksi!$F$16:$F$5015,Transaksi!$G$16:$G$5015,"Pengeluaran",Transaksi!$B$16:$B$5015,"&gt;="&amp;DATE(2032,5,1),Transaksi!$B$16:$B$5015,"&lt;="&amp;EOMONTH(DATE(2032,5,1),0),Transaksi!$H$16:$H$5015,"Pengeluaran Uang Kedai")+(SUMIFS(Transaksi!$F$16:$F$5015,Transaksi!$G$16:$G$5015,"Tabungan",Transaksi!$D$16:$D$5015,"Keluar",Transaksi!$H$16:$H$5015,"Reksadana uang kos mama",Transaksi!$B$16:$B$5015,"&gt;="&amp;DATE(2032,5,1),Transaksi!$B$16:$B$5015,"&lt;="&amp;EOMONTH(DATE(2032,5,1),0))-SUMIFS(Transaksi!$F$16:$F$5015,Transaksi!$G$16:$G$5015,"Tabungan",Transaksi!$D$16:$D$5015,"Masuk",Transaksi!$H$16:$H$5015,"Reksadana uang kos mama",Transaksi!$B$16:$B$5015,"&gt;="&amp;DATE(2032,5,1),Transaksi!$B$16:$B$5015,"&lt;="&amp;EOMONTH(DATE(2032,5,1),0))))</f>
        <v/>
      </c>
      <c r="G105" s="165">
        <f>(SUMIFS(Transaksi!$F$16:$F$5015,Transaksi!$G$16:$G$5015,"Tabungan",Transaksi!$D$16:$D$5015,"Keluar",Transaksi!$H$16:$H$5015,"&lt;&gt;Reksadana uang kos mama",Transaksi!$B$16:$B$5015,"&gt;="&amp;DATE(2032,5,1),Transaksi!$B$16:$B$5015,"&lt;="&amp;EOMONTH(DATE(2032,5,1),0))-SUMIFS(Transaksi!$F$16:$F$5015,Transaksi!$G$16:$G$5015,"Tabungan",Transaksi!$D$16:$D$5015,"Masuk",Transaksi!$H$16:$H$5015,"&lt;&gt;Reksadana uang kos mama",Transaksi!$B$16:$B$5015,"&gt;="&amp;DATE(2032,5,1),Transaksi!$B$16:$B$5015,"&lt;="&amp;EOMONTH(DATE(2032,5,1),0)))</f>
        <v/>
      </c>
    </row>
    <row r="106" ht="15" customHeight="1" s="94">
      <c r="A106" s="164" t="n">
        <v>2032</v>
      </c>
      <c r="B106" s="164" t="inlineStr">
        <is>
          <t>Jun</t>
        </is>
      </c>
      <c r="C106" s="165">
        <f>SUMIFS(Transaksi!$F$16:$F$5015,Transaksi!$G$16:$G$5015,"Pendapatan",Transaksi!$B$16:$B$5015,"&gt;="&amp;DATE(2032,6,1),Transaksi!$B$16:$B$5015,"&lt;="&amp;EOMONTH(DATE(2032,6,1),0))</f>
        <v/>
      </c>
      <c r="D106" s="165">
        <f>SUMIFS(Transaksi!$F$16:$F$5015,Transaksi!$G$16:$G$5015,"Pengeluaran",Transaksi!$B$16:$B$5015,"&gt;="&amp;DATE(2032,6,1),Transaksi!$B$16:$B$5015,"&lt;="&amp;EOMONTH(DATE(2032,6,1),0))</f>
        <v/>
      </c>
      <c r="E106" s="166">
        <f>C106-D106</f>
        <v/>
      </c>
      <c r="F106" s="165">
        <f>(SUMIFS(Transaksi!$F$16:$F$5015,Transaksi!$G$16:$G$5015,"Pendapatan",Transaksi!$B$16:$B$5015,"&gt;="&amp;DATE(2032,6,1),Transaksi!$B$16:$B$5015,"&lt;="&amp;EOMONTH(DATE(2032,6,1),0),Transaksi!$H$16:$H$5015,"Uang Kos Mama")+SUMIFS(Transaksi!$F$16:$F$5015,Transaksi!$G$16:$G$5015,"Pendapatan",Transaksi!$B$16:$B$5015,"&gt;="&amp;DATE(2032,6,1),Transaksi!$B$16:$B$5015,"&lt;="&amp;EOMONTH(DATE(2032,6,1),0),Transaksi!$H$16:$H$5015,"Uang Kedai"))-(SUMIFS(Transaksi!$F$16:$F$5015,Transaksi!$G$16:$G$5015,"Pengeluaran",Transaksi!$B$16:$B$5015,"&gt;="&amp;DATE(2032,6,1),Transaksi!$B$16:$B$5015,"&lt;="&amp;EOMONTH(DATE(2032,6,1),0),Transaksi!$H$16:$H$5015,"Pengeluaran Uang Kos")+SUMIFS(Transaksi!$F$16:$F$5015,Transaksi!$G$16:$G$5015,"Pengeluaran",Transaksi!$B$16:$B$5015,"&gt;="&amp;DATE(2032,6,1),Transaksi!$B$16:$B$5015,"&lt;="&amp;EOMONTH(DATE(2032,6,1),0),Transaksi!$H$16:$H$5015,"Pengeluaran Uang Kedai")+(SUMIFS(Transaksi!$F$16:$F$5015,Transaksi!$G$16:$G$5015,"Tabungan",Transaksi!$D$16:$D$5015,"Keluar",Transaksi!$H$16:$H$5015,"Reksadana uang kos mama",Transaksi!$B$16:$B$5015,"&gt;="&amp;DATE(2032,6,1),Transaksi!$B$16:$B$5015,"&lt;="&amp;EOMONTH(DATE(2032,6,1),0))-SUMIFS(Transaksi!$F$16:$F$5015,Transaksi!$G$16:$G$5015,"Tabungan",Transaksi!$D$16:$D$5015,"Masuk",Transaksi!$H$16:$H$5015,"Reksadana uang kos mama",Transaksi!$B$16:$B$5015,"&gt;="&amp;DATE(2032,6,1),Transaksi!$B$16:$B$5015,"&lt;="&amp;EOMONTH(DATE(2032,6,1),0))))</f>
        <v/>
      </c>
      <c r="G106" s="165">
        <f>(SUMIFS(Transaksi!$F$16:$F$5015,Transaksi!$G$16:$G$5015,"Tabungan",Transaksi!$D$16:$D$5015,"Keluar",Transaksi!$H$16:$H$5015,"&lt;&gt;Reksadana uang kos mama",Transaksi!$B$16:$B$5015,"&gt;="&amp;DATE(2032,6,1),Transaksi!$B$16:$B$5015,"&lt;="&amp;EOMONTH(DATE(2032,6,1),0))-SUMIFS(Transaksi!$F$16:$F$5015,Transaksi!$G$16:$G$5015,"Tabungan",Transaksi!$D$16:$D$5015,"Masuk",Transaksi!$H$16:$H$5015,"&lt;&gt;Reksadana uang kos mama",Transaksi!$B$16:$B$5015,"&gt;="&amp;DATE(2032,6,1),Transaksi!$B$16:$B$5015,"&lt;="&amp;EOMONTH(DATE(2032,6,1),0)))</f>
        <v/>
      </c>
    </row>
    <row r="107" ht="15" customHeight="1" s="94">
      <c r="A107" s="164" t="n">
        <v>2032</v>
      </c>
      <c r="B107" s="164" t="inlineStr">
        <is>
          <t>Jul</t>
        </is>
      </c>
      <c r="C107" s="165">
        <f>SUMIFS(Transaksi!$F$16:$F$5015,Transaksi!$G$16:$G$5015,"Pendapatan",Transaksi!$B$16:$B$5015,"&gt;="&amp;DATE(2032,7,1),Transaksi!$B$16:$B$5015,"&lt;="&amp;EOMONTH(DATE(2032,7,1),0))</f>
        <v/>
      </c>
      <c r="D107" s="165">
        <f>SUMIFS(Transaksi!$F$16:$F$5015,Transaksi!$G$16:$G$5015,"Pengeluaran",Transaksi!$B$16:$B$5015,"&gt;="&amp;DATE(2032,7,1),Transaksi!$B$16:$B$5015,"&lt;="&amp;EOMONTH(DATE(2032,7,1),0))</f>
        <v/>
      </c>
      <c r="E107" s="166">
        <f>C107-D107</f>
        <v/>
      </c>
      <c r="F107" s="165">
        <f>(SUMIFS(Transaksi!$F$16:$F$5015,Transaksi!$G$16:$G$5015,"Pendapatan",Transaksi!$B$16:$B$5015,"&gt;="&amp;DATE(2032,7,1),Transaksi!$B$16:$B$5015,"&lt;="&amp;EOMONTH(DATE(2032,7,1),0),Transaksi!$H$16:$H$5015,"Uang Kos Mama")+SUMIFS(Transaksi!$F$16:$F$5015,Transaksi!$G$16:$G$5015,"Pendapatan",Transaksi!$B$16:$B$5015,"&gt;="&amp;DATE(2032,7,1),Transaksi!$B$16:$B$5015,"&lt;="&amp;EOMONTH(DATE(2032,7,1),0),Transaksi!$H$16:$H$5015,"Uang Kedai"))-(SUMIFS(Transaksi!$F$16:$F$5015,Transaksi!$G$16:$G$5015,"Pengeluaran",Transaksi!$B$16:$B$5015,"&gt;="&amp;DATE(2032,7,1),Transaksi!$B$16:$B$5015,"&lt;="&amp;EOMONTH(DATE(2032,7,1),0),Transaksi!$H$16:$H$5015,"Pengeluaran Uang Kos")+SUMIFS(Transaksi!$F$16:$F$5015,Transaksi!$G$16:$G$5015,"Pengeluaran",Transaksi!$B$16:$B$5015,"&gt;="&amp;DATE(2032,7,1),Transaksi!$B$16:$B$5015,"&lt;="&amp;EOMONTH(DATE(2032,7,1),0),Transaksi!$H$16:$H$5015,"Pengeluaran Uang Kedai")+(SUMIFS(Transaksi!$F$16:$F$5015,Transaksi!$G$16:$G$5015,"Tabungan",Transaksi!$D$16:$D$5015,"Keluar",Transaksi!$H$16:$H$5015,"Reksadana uang kos mama",Transaksi!$B$16:$B$5015,"&gt;="&amp;DATE(2032,7,1),Transaksi!$B$16:$B$5015,"&lt;="&amp;EOMONTH(DATE(2032,7,1),0))-SUMIFS(Transaksi!$F$16:$F$5015,Transaksi!$G$16:$G$5015,"Tabungan",Transaksi!$D$16:$D$5015,"Masuk",Transaksi!$H$16:$H$5015,"Reksadana uang kos mama",Transaksi!$B$16:$B$5015,"&gt;="&amp;DATE(2032,7,1),Transaksi!$B$16:$B$5015,"&lt;="&amp;EOMONTH(DATE(2032,7,1),0))))</f>
        <v/>
      </c>
      <c r="G107" s="165">
        <f>(SUMIFS(Transaksi!$F$16:$F$5015,Transaksi!$G$16:$G$5015,"Tabungan",Transaksi!$D$16:$D$5015,"Keluar",Transaksi!$H$16:$H$5015,"&lt;&gt;Reksadana uang kos mama",Transaksi!$B$16:$B$5015,"&gt;="&amp;DATE(2032,7,1),Transaksi!$B$16:$B$5015,"&lt;="&amp;EOMONTH(DATE(2032,7,1),0))-SUMIFS(Transaksi!$F$16:$F$5015,Transaksi!$G$16:$G$5015,"Tabungan",Transaksi!$D$16:$D$5015,"Masuk",Transaksi!$H$16:$H$5015,"&lt;&gt;Reksadana uang kos mama",Transaksi!$B$16:$B$5015,"&gt;="&amp;DATE(2032,7,1),Transaksi!$B$16:$B$5015,"&lt;="&amp;EOMONTH(DATE(2032,7,1),0)))</f>
        <v/>
      </c>
    </row>
    <row r="108" ht="15" customHeight="1" s="94">
      <c r="A108" s="164" t="n">
        <v>2032</v>
      </c>
      <c r="B108" s="164" t="inlineStr">
        <is>
          <t>Agu</t>
        </is>
      </c>
      <c r="C108" s="165">
        <f>SUMIFS(Transaksi!$F$16:$F$5015,Transaksi!$G$16:$G$5015,"Pendapatan",Transaksi!$B$16:$B$5015,"&gt;="&amp;DATE(2032,8,1),Transaksi!$B$16:$B$5015,"&lt;="&amp;EOMONTH(DATE(2032,8,1),0))</f>
        <v/>
      </c>
      <c r="D108" s="165">
        <f>SUMIFS(Transaksi!$F$16:$F$5015,Transaksi!$G$16:$G$5015,"Pengeluaran",Transaksi!$B$16:$B$5015,"&gt;="&amp;DATE(2032,8,1),Transaksi!$B$16:$B$5015,"&lt;="&amp;EOMONTH(DATE(2032,8,1),0))</f>
        <v/>
      </c>
      <c r="E108" s="166">
        <f>C108-D108</f>
        <v/>
      </c>
      <c r="F108" s="165">
        <f>(SUMIFS(Transaksi!$F$16:$F$5015,Transaksi!$G$16:$G$5015,"Pendapatan",Transaksi!$B$16:$B$5015,"&gt;="&amp;DATE(2032,8,1),Transaksi!$B$16:$B$5015,"&lt;="&amp;EOMONTH(DATE(2032,8,1),0),Transaksi!$H$16:$H$5015,"Uang Kos Mama")+SUMIFS(Transaksi!$F$16:$F$5015,Transaksi!$G$16:$G$5015,"Pendapatan",Transaksi!$B$16:$B$5015,"&gt;="&amp;DATE(2032,8,1),Transaksi!$B$16:$B$5015,"&lt;="&amp;EOMONTH(DATE(2032,8,1),0),Transaksi!$H$16:$H$5015,"Uang Kedai"))-(SUMIFS(Transaksi!$F$16:$F$5015,Transaksi!$G$16:$G$5015,"Pengeluaran",Transaksi!$B$16:$B$5015,"&gt;="&amp;DATE(2032,8,1),Transaksi!$B$16:$B$5015,"&lt;="&amp;EOMONTH(DATE(2032,8,1),0),Transaksi!$H$16:$H$5015,"Pengeluaran Uang Kos")+SUMIFS(Transaksi!$F$16:$F$5015,Transaksi!$G$16:$G$5015,"Pengeluaran",Transaksi!$B$16:$B$5015,"&gt;="&amp;DATE(2032,8,1),Transaksi!$B$16:$B$5015,"&lt;="&amp;EOMONTH(DATE(2032,8,1),0),Transaksi!$H$16:$H$5015,"Pengeluaran Uang Kedai")+(SUMIFS(Transaksi!$F$16:$F$5015,Transaksi!$G$16:$G$5015,"Tabungan",Transaksi!$D$16:$D$5015,"Keluar",Transaksi!$H$16:$H$5015,"Reksadana uang kos mama",Transaksi!$B$16:$B$5015,"&gt;="&amp;DATE(2032,8,1),Transaksi!$B$16:$B$5015,"&lt;="&amp;EOMONTH(DATE(2032,8,1),0))-SUMIFS(Transaksi!$F$16:$F$5015,Transaksi!$G$16:$G$5015,"Tabungan",Transaksi!$D$16:$D$5015,"Masuk",Transaksi!$H$16:$H$5015,"Reksadana uang kos mama",Transaksi!$B$16:$B$5015,"&gt;="&amp;DATE(2032,8,1),Transaksi!$B$16:$B$5015,"&lt;="&amp;EOMONTH(DATE(2032,8,1),0))))</f>
        <v/>
      </c>
      <c r="G108" s="165">
        <f>(SUMIFS(Transaksi!$F$16:$F$5015,Transaksi!$G$16:$G$5015,"Tabungan",Transaksi!$D$16:$D$5015,"Keluar",Transaksi!$H$16:$H$5015,"&lt;&gt;Reksadana uang kos mama",Transaksi!$B$16:$B$5015,"&gt;="&amp;DATE(2032,8,1),Transaksi!$B$16:$B$5015,"&lt;="&amp;EOMONTH(DATE(2032,8,1),0))-SUMIFS(Transaksi!$F$16:$F$5015,Transaksi!$G$16:$G$5015,"Tabungan",Transaksi!$D$16:$D$5015,"Masuk",Transaksi!$H$16:$H$5015,"&lt;&gt;Reksadana uang kos mama",Transaksi!$B$16:$B$5015,"&gt;="&amp;DATE(2032,8,1),Transaksi!$B$16:$B$5015,"&lt;="&amp;EOMONTH(DATE(2032,8,1),0)))</f>
        <v/>
      </c>
    </row>
    <row r="109" ht="15" customHeight="1" s="94">
      <c r="A109" s="164" t="n">
        <v>2032</v>
      </c>
      <c r="B109" s="164" t="inlineStr">
        <is>
          <t>Sep</t>
        </is>
      </c>
      <c r="C109" s="165">
        <f>SUMIFS(Transaksi!$F$16:$F$5015,Transaksi!$G$16:$G$5015,"Pendapatan",Transaksi!$B$16:$B$5015,"&gt;="&amp;DATE(2032,9,1),Transaksi!$B$16:$B$5015,"&lt;="&amp;EOMONTH(DATE(2032,9,1),0))</f>
        <v/>
      </c>
      <c r="D109" s="165">
        <f>SUMIFS(Transaksi!$F$16:$F$5015,Transaksi!$G$16:$G$5015,"Pengeluaran",Transaksi!$B$16:$B$5015,"&gt;="&amp;DATE(2032,9,1),Transaksi!$B$16:$B$5015,"&lt;="&amp;EOMONTH(DATE(2032,9,1),0))</f>
        <v/>
      </c>
      <c r="E109" s="166">
        <f>C109-D109</f>
        <v/>
      </c>
      <c r="F109" s="165">
        <f>(SUMIFS(Transaksi!$F$16:$F$5015,Transaksi!$G$16:$G$5015,"Pendapatan",Transaksi!$B$16:$B$5015,"&gt;="&amp;DATE(2032,9,1),Transaksi!$B$16:$B$5015,"&lt;="&amp;EOMONTH(DATE(2032,9,1),0),Transaksi!$H$16:$H$5015,"Uang Kos Mama")+SUMIFS(Transaksi!$F$16:$F$5015,Transaksi!$G$16:$G$5015,"Pendapatan",Transaksi!$B$16:$B$5015,"&gt;="&amp;DATE(2032,9,1),Transaksi!$B$16:$B$5015,"&lt;="&amp;EOMONTH(DATE(2032,9,1),0),Transaksi!$H$16:$H$5015,"Uang Kedai"))-(SUMIFS(Transaksi!$F$16:$F$5015,Transaksi!$G$16:$G$5015,"Pengeluaran",Transaksi!$B$16:$B$5015,"&gt;="&amp;DATE(2032,9,1),Transaksi!$B$16:$B$5015,"&lt;="&amp;EOMONTH(DATE(2032,9,1),0),Transaksi!$H$16:$H$5015,"Pengeluaran Uang Kos")+SUMIFS(Transaksi!$F$16:$F$5015,Transaksi!$G$16:$G$5015,"Pengeluaran",Transaksi!$B$16:$B$5015,"&gt;="&amp;DATE(2032,9,1),Transaksi!$B$16:$B$5015,"&lt;="&amp;EOMONTH(DATE(2032,9,1),0),Transaksi!$H$16:$H$5015,"Pengeluaran Uang Kedai")+(SUMIFS(Transaksi!$F$16:$F$5015,Transaksi!$G$16:$G$5015,"Tabungan",Transaksi!$D$16:$D$5015,"Keluar",Transaksi!$H$16:$H$5015,"Reksadana uang kos mama",Transaksi!$B$16:$B$5015,"&gt;="&amp;DATE(2032,9,1),Transaksi!$B$16:$B$5015,"&lt;="&amp;EOMONTH(DATE(2032,9,1),0))-SUMIFS(Transaksi!$F$16:$F$5015,Transaksi!$G$16:$G$5015,"Tabungan",Transaksi!$D$16:$D$5015,"Masuk",Transaksi!$H$16:$H$5015,"Reksadana uang kos mama",Transaksi!$B$16:$B$5015,"&gt;="&amp;DATE(2032,9,1),Transaksi!$B$16:$B$5015,"&lt;="&amp;EOMONTH(DATE(2032,9,1),0))))</f>
        <v/>
      </c>
      <c r="G109" s="165">
        <f>(SUMIFS(Transaksi!$F$16:$F$5015,Transaksi!$G$16:$G$5015,"Tabungan",Transaksi!$D$16:$D$5015,"Keluar",Transaksi!$H$16:$H$5015,"&lt;&gt;Reksadana uang kos mama",Transaksi!$B$16:$B$5015,"&gt;="&amp;DATE(2032,9,1),Transaksi!$B$16:$B$5015,"&lt;="&amp;EOMONTH(DATE(2032,9,1),0))-SUMIFS(Transaksi!$F$16:$F$5015,Transaksi!$G$16:$G$5015,"Tabungan",Transaksi!$D$16:$D$5015,"Masuk",Transaksi!$H$16:$H$5015,"&lt;&gt;Reksadana uang kos mama",Transaksi!$B$16:$B$5015,"&gt;="&amp;DATE(2032,9,1),Transaksi!$B$16:$B$5015,"&lt;="&amp;EOMONTH(DATE(2032,9,1),0)))</f>
        <v/>
      </c>
    </row>
    <row r="110" ht="15" customHeight="1" s="94">
      <c r="A110" s="164" t="n">
        <v>2032</v>
      </c>
      <c r="B110" s="164" t="inlineStr">
        <is>
          <t>Okt</t>
        </is>
      </c>
      <c r="C110" s="165">
        <f>SUMIFS(Transaksi!$F$16:$F$5015,Transaksi!$G$16:$G$5015,"Pendapatan",Transaksi!$B$16:$B$5015,"&gt;="&amp;DATE(2032,10,1),Transaksi!$B$16:$B$5015,"&lt;="&amp;EOMONTH(DATE(2032,10,1),0))</f>
        <v/>
      </c>
      <c r="D110" s="165">
        <f>SUMIFS(Transaksi!$F$16:$F$5015,Transaksi!$G$16:$G$5015,"Pengeluaran",Transaksi!$B$16:$B$5015,"&gt;="&amp;DATE(2032,10,1),Transaksi!$B$16:$B$5015,"&lt;="&amp;EOMONTH(DATE(2032,10,1),0))</f>
        <v/>
      </c>
      <c r="E110" s="166">
        <f>C110-D110</f>
        <v/>
      </c>
      <c r="F110" s="165">
        <f>(SUMIFS(Transaksi!$F$16:$F$5015,Transaksi!$G$16:$G$5015,"Pendapatan",Transaksi!$B$16:$B$5015,"&gt;="&amp;DATE(2032,10,1),Transaksi!$B$16:$B$5015,"&lt;="&amp;EOMONTH(DATE(2032,10,1),0),Transaksi!$H$16:$H$5015,"Uang Kos Mama")+SUMIFS(Transaksi!$F$16:$F$5015,Transaksi!$G$16:$G$5015,"Pendapatan",Transaksi!$B$16:$B$5015,"&gt;="&amp;DATE(2032,10,1),Transaksi!$B$16:$B$5015,"&lt;="&amp;EOMONTH(DATE(2032,10,1),0),Transaksi!$H$16:$H$5015,"Uang Kedai"))-(SUMIFS(Transaksi!$F$16:$F$5015,Transaksi!$G$16:$G$5015,"Pengeluaran",Transaksi!$B$16:$B$5015,"&gt;="&amp;DATE(2032,10,1),Transaksi!$B$16:$B$5015,"&lt;="&amp;EOMONTH(DATE(2032,10,1),0),Transaksi!$H$16:$H$5015,"Pengeluaran Uang Kos")+SUMIFS(Transaksi!$F$16:$F$5015,Transaksi!$G$16:$G$5015,"Pengeluaran",Transaksi!$B$16:$B$5015,"&gt;="&amp;DATE(2032,10,1),Transaksi!$B$16:$B$5015,"&lt;="&amp;EOMONTH(DATE(2032,10,1),0),Transaksi!$H$16:$H$5015,"Pengeluaran Uang Kedai")+(SUMIFS(Transaksi!$F$16:$F$5015,Transaksi!$G$16:$G$5015,"Tabungan",Transaksi!$D$16:$D$5015,"Keluar",Transaksi!$H$16:$H$5015,"Reksadana uang kos mama",Transaksi!$B$16:$B$5015,"&gt;="&amp;DATE(2032,10,1),Transaksi!$B$16:$B$5015,"&lt;="&amp;EOMONTH(DATE(2032,10,1),0))-SUMIFS(Transaksi!$F$16:$F$5015,Transaksi!$G$16:$G$5015,"Tabungan",Transaksi!$D$16:$D$5015,"Masuk",Transaksi!$H$16:$H$5015,"Reksadana uang kos mama",Transaksi!$B$16:$B$5015,"&gt;="&amp;DATE(2032,10,1),Transaksi!$B$16:$B$5015,"&lt;="&amp;EOMONTH(DATE(2032,10,1),0))))</f>
        <v/>
      </c>
      <c r="G110" s="165">
        <f>(SUMIFS(Transaksi!$F$16:$F$5015,Transaksi!$G$16:$G$5015,"Tabungan",Transaksi!$D$16:$D$5015,"Keluar",Transaksi!$H$16:$H$5015,"&lt;&gt;Reksadana uang kos mama",Transaksi!$B$16:$B$5015,"&gt;="&amp;DATE(2032,10,1),Transaksi!$B$16:$B$5015,"&lt;="&amp;EOMONTH(DATE(2032,10,1),0))-SUMIFS(Transaksi!$F$16:$F$5015,Transaksi!$G$16:$G$5015,"Tabungan",Transaksi!$D$16:$D$5015,"Masuk",Transaksi!$H$16:$H$5015,"&lt;&gt;Reksadana uang kos mama",Transaksi!$B$16:$B$5015,"&gt;="&amp;DATE(2032,10,1),Transaksi!$B$16:$B$5015,"&lt;="&amp;EOMONTH(DATE(2032,10,1),0)))</f>
        <v/>
      </c>
    </row>
    <row r="111" ht="15" customHeight="1" s="94">
      <c r="A111" s="164" t="n">
        <v>2032</v>
      </c>
      <c r="B111" s="164" t="inlineStr">
        <is>
          <t>Nov</t>
        </is>
      </c>
      <c r="C111" s="165">
        <f>SUMIFS(Transaksi!$F$16:$F$5015,Transaksi!$G$16:$G$5015,"Pendapatan",Transaksi!$B$16:$B$5015,"&gt;="&amp;DATE(2032,11,1),Transaksi!$B$16:$B$5015,"&lt;="&amp;EOMONTH(DATE(2032,11,1),0))</f>
        <v/>
      </c>
      <c r="D111" s="165">
        <f>SUMIFS(Transaksi!$F$16:$F$5015,Transaksi!$G$16:$G$5015,"Pengeluaran",Transaksi!$B$16:$B$5015,"&gt;="&amp;DATE(2032,11,1),Transaksi!$B$16:$B$5015,"&lt;="&amp;EOMONTH(DATE(2032,11,1),0))</f>
        <v/>
      </c>
      <c r="E111" s="166">
        <f>C111-D111</f>
        <v/>
      </c>
      <c r="F111" s="165">
        <f>(SUMIFS(Transaksi!$F$16:$F$5015,Transaksi!$G$16:$G$5015,"Pendapatan",Transaksi!$B$16:$B$5015,"&gt;="&amp;DATE(2032,11,1),Transaksi!$B$16:$B$5015,"&lt;="&amp;EOMONTH(DATE(2032,11,1),0),Transaksi!$H$16:$H$5015,"Uang Kos Mama")+SUMIFS(Transaksi!$F$16:$F$5015,Transaksi!$G$16:$G$5015,"Pendapatan",Transaksi!$B$16:$B$5015,"&gt;="&amp;DATE(2032,11,1),Transaksi!$B$16:$B$5015,"&lt;="&amp;EOMONTH(DATE(2032,11,1),0),Transaksi!$H$16:$H$5015,"Uang Kedai"))-(SUMIFS(Transaksi!$F$16:$F$5015,Transaksi!$G$16:$G$5015,"Pengeluaran",Transaksi!$B$16:$B$5015,"&gt;="&amp;DATE(2032,11,1),Transaksi!$B$16:$B$5015,"&lt;="&amp;EOMONTH(DATE(2032,11,1),0),Transaksi!$H$16:$H$5015,"Pengeluaran Uang Kos")+SUMIFS(Transaksi!$F$16:$F$5015,Transaksi!$G$16:$G$5015,"Pengeluaran",Transaksi!$B$16:$B$5015,"&gt;="&amp;DATE(2032,11,1),Transaksi!$B$16:$B$5015,"&lt;="&amp;EOMONTH(DATE(2032,11,1),0),Transaksi!$H$16:$H$5015,"Pengeluaran Uang Kedai")+(SUMIFS(Transaksi!$F$16:$F$5015,Transaksi!$G$16:$G$5015,"Tabungan",Transaksi!$D$16:$D$5015,"Keluar",Transaksi!$H$16:$H$5015,"Reksadana uang kos mama",Transaksi!$B$16:$B$5015,"&gt;="&amp;DATE(2032,11,1),Transaksi!$B$16:$B$5015,"&lt;="&amp;EOMONTH(DATE(2032,11,1),0))-SUMIFS(Transaksi!$F$16:$F$5015,Transaksi!$G$16:$G$5015,"Tabungan",Transaksi!$D$16:$D$5015,"Masuk",Transaksi!$H$16:$H$5015,"Reksadana uang kos mama",Transaksi!$B$16:$B$5015,"&gt;="&amp;DATE(2032,11,1),Transaksi!$B$16:$B$5015,"&lt;="&amp;EOMONTH(DATE(2032,11,1),0))))</f>
        <v/>
      </c>
      <c r="G111" s="165">
        <f>(SUMIFS(Transaksi!$F$16:$F$5015,Transaksi!$G$16:$G$5015,"Tabungan",Transaksi!$D$16:$D$5015,"Keluar",Transaksi!$H$16:$H$5015,"&lt;&gt;Reksadana uang kos mama",Transaksi!$B$16:$B$5015,"&gt;="&amp;DATE(2032,11,1),Transaksi!$B$16:$B$5015,"&lt;="&amp;EOMONTH(DATE(2032,11,1),0))-SUMIFS(Transaksi!$F$16:$F$5015,Transaksi!$G$16:$G$5015,"Tabungan",Transaksi!$D$16:$D$5015,"Masuk",Transaksi!$H$16:$H$5015,"&lt;&gt;Reksadana uang kos mama",Transaksi!$B$16:$B$5015,"&gt;="&amp;DATE(2032,11,1),Transaksi!$B$16:$B$5015,"&lt;="&amp;EOMONTH(DATE(2032,11,1),0)))</f>
        <v/>
      </c>
    </row>
    <row r="112" ht="15" customHeight="1" s="94">
      <c r="A112" s="164" t="n">
        <v>2032</v>
      </c>
      <c r="B112" s="164" t="inlineStr">
        <is>
          <t>Des</t>
        </is>
      </c>
      <c r="C112" s="165">
        <f>SUMIFS(Transaksi!$F$16:$F$5015,Transaksi!$G$16:$G$5015,"Pendapatan",Transaksi!$B$16:$B$5015,"&gt;="&amp;DATE(2032,12,1),Transaksi!$B$16:$B$5015,"&lt;="&amp;EOMONTH(DATE(2032,12,1),0))</f>
        <v/>
      </c>
      <c r="D112" s="165">
        <f>SUMIFS(Transaksi!$F$16:$F$5015,Transaksi!$G$16:$G$5015,"Pengeluaran",Transaksi!$B$16:$B$5015,"&gt;="&amp;DATE(2032,12,1),Transaksi!$B$16:$B$5015,"&lt;="&amp;EOMONTH(DATE(2032,12,1),0))</f>
        <v/>
      </c>
      <c r="E112" s="166">
        <f>C112-D112</f>
        <v/>
      </c>
      <c r="F112" s="165">
        <f>(SUMIFS(Transaksi!$F$16:$F$5015,Transaksi!$G$16:$G$5015,"Pendapatan",Transaksi!$B$16:$B$5015,"&gt;="&amp;DATE(2032,12,1),Transaksi!$B$16:$B$5015,"&lt;="&amp;EOMONTH(DATE(2032,12,1),0),Transaksi!$H$16:$H$5015,"Uang Kos Mama")+SUMIFS(Transaksi!$F$16:$F$5015,Transaksi!$G$16:$G$5015,"Pendapatan",Transaksi!$B$16:$B$5015,"&gt;="&amp;DATE(2032,12,1),Transaksi!$B$16:$B$5015,"&lt;="&amp;EOMONTH(DATE(2032,12,1),0),Transaksi!$H$16:$H$5015,"Uang Kedai"))-(SUMIFS(Transaksi!$F$16:$F$5015,Transaksi!$G$16:$G$5015,"Pengeluaran",Transaksi!$B$16:$B$5015,"&gt;="&amp;DATE(2032,12,1),Transaksi!$B$16:$B$5015,"&lt;="&amp;EOMONTH(DATE(2032,12,1),0),Transaksi!$H$16:$H$5015,"Pengeluaran Uang Kos")+SUMIFS(Transaksi!$F$16:$F$5015,Transaksi!$G$16:$G$5015,"Pengeluaran",Transaksi!$B$16:$B$5015,"&gt;="&amp;DATE(2032,12,1),Transaksi!$B$16:$B$5015,"&lt;="&amp;EOMONTH(DATE(2032,12,1),0),Transaksi!$H$16:$H$5015,"Pengeluaran Uang Kedai")+(SUMIFS(Transaksi!$F$16:$F$5015,Transaksi!$G$16:$G$5015,"Tabungan",Transaksi!$D$16:$D$5015,"Keluar",Transaksi!$H$16:$H$5015,"Reksadana uang kos mama",Transaksi!$B$16:$B$5015,"&gt;="&amp;DATE(2032,12,1),Transaksi!$B$16:$B$5015,"&lt;="&amp;EOMONTH(DATE(2032,12,1),0))-SUMIFS(Transaksi!$F$16:$F$5015,Transaksi!$G$16:$G$5015,"Tabungan",Transaksi!$D$16:$D$5015,"Masuk",Transaksi!$H$16:$H$5015,"Reksadana uang kos mama",Transaksi!$B$16:$B$5015,"&gt;="&amp;DATE(2032,12,1),Transaksi!$B$16:$B$5015,"&lt;="&amp;EOMONTH(DATE(2032,12,1),0))))</f>
        <v/>
      </c>
      <c r="G112" s="165">
        <f>(SUMIFS(Transaksi!$F$16:$F$5015,Transaksi!$G$16:$G$5015,"Tabungan",Transaksi!$D$16:$D$5015,"Keluar",Transaksi!$H$16:$H$5015,"&lt;&gt;Reksadana uang kos mama",Transaksi!$B$16:$B$5015,"&gt;="&amp;DATE(2032,12,1),Transaksi!$B$16:$B$5015,"&lt;="&amp;EOMONTH(DATE(2032,12,1),0))-SUMIFS(Transaksi!$F$16:$F$5015,Transaksi!$G$16:$G$5015,"Tabungan",Transaksi!$D$16:$D$5015,"Masuk",Transaksi!$H$16:$H$5015,"&lt;&gt;Reksadana uang kos mama",Transaksi!$B$16:$B$5015,"&gt;="&amp;DATE(2032,12,1),Transaksi!$B$16:$B$5015,"&lt;="&amp;EOMONTH(DATE(2032,12,1),0)))</f>
        <v/>
      </c>
    </row>
    <row r="113" ht="15" customHeight="1" s="94">
      <c r="A113" s="164" t="n">
        <v>2033</v>
      </c>
      <c r="B113" s="164" t="inlineStr">
        <is>
          <t>Jan</t>
        </is>
      </c>
      <c r="C113" s="165">
        <f>SUMIFS(Transaksi!$F$16:$F$5015,Transaksi!$G$16:$G$5015,"Pendapatan",Transaksi!$B$16:$B$5015,"&gt;="&amp;DATE(2033,1,1),Transaksi!$B$16:$B$5015,"&lt;="&amp;EOMONTH(DATE(2033,1,1),0))</f>
        <v/>
      </c>
      <c r="D113" s="165">
        <f>SUMIFS(Transaksi!$F$16:$F$5015,Transaksi!$G$16:$G$5015,"Pengeluaran",Transaksi!$B$16:$B$5015,"&gt;="&amp;DATE(2033,1,1),Transaksi!$B$16:$B$5015,"&lt;="&amp;EOMONTH(DATE(2033,1,1),0))</f>
        <v/>
      </c>
      <c r="E113" s="166">
        <f>C113-D113</f>
        <v/>
      </c>
      <c r="F113" s="165">
        <f>(SUMIFS(Transaksi!$F$16:$F$5015,Transaksi!$G$16:$G$5015,"Pendapatan",Transaksi!$B$16:$B$5015,"&gt;="&amp;DATE(2033,1,1),Transaksi!$B$16:$B$5015,"&lt;="&amp;EOMONTH(DATE(2033,1,1),0),Transaksi!$H$16:$H$5015,"Uang Kos Mama")+SUMIFS(Transaksi!$F$16:$F$5015,Transaksi!$G$16:$G$5015,"Pendapatan",Transaksi!$B$16:$B$5015,"&gt;="&amp;DATE(2033,1,1),Transaksi!$B$16:$B$5015,"&lt;="&amp;EOMONTH(DATE(2033,1,1),0),Transaksi!$H$16:$H$5015,"Uang Kedai"))-(SUMIFS(Transaksi!$F$16:$F$5015,Transaksi!$G$16:$G$5015,"Pengeluaran",Transaksi!$B$16:$B$5015,"&gt;="&amp;DATE(2033,1,1),Transaksi!$B$16:$B$5015,"&lt;="&amp;EOMONTH(DATE(2033,1,1),0),Transaksi!$H$16:$H$5015,"Pengeluaran Uang Kos")+SUMIFS(Transaksi!$F$16:$F$5015,Transaksi!$G$16:$G$5015,"Pengeluaran",Transaksi!$B$16:$B$5015,"&gt;="&amp;DATE(2033,1,1),Transaksi!$B$16:$B$5015,"&lt;="&amp;EOMONTH(DATE(2033,1,1),0),Transaksi!$H$16:$H$5015,"Pengeluaran Uang Kedai")+(SUMIFS(Transaksi!$F$16:$F$5015,Transaksi!$G$16:$G$5015,"Tabungan",Transaksi!$D$16:$D$5015,"Keluar",Transaksi!$H$16:$H$5015,"Reksadana uang kos mama",Transaksi!$B$16:$B$5015,"&gt;="&amp;DATE(2033,1,1),Transaksi!$B$16:$B$5015,"&lt;="&amp;EOMONTH(DATE(2033,1,1),0))-SUMIFS(Transaksi!$F$16:$F$5015,Transaksi!$G$16:$G$5015,"Tabungan",Transaksi!$D$16:$D$5015,"Masuk",Transaksi!$H$16:$H$5015,"Reksadana uang kos mama",Transaksi!$B$16:$B$5015,"&gt;="&amp;DATE(2033,1,1),Transaksi!$B$16:$B$5015,"&lt;="&amp;EOMONTH(DATE(2033,1,1),0))))</f>
        <v/>
      </c>
      <c r="G113" s="165">
        <f>(SUMIFS(Transaksi!$F$16:$F$5015,Transaksi!$G$16:$G$5015,"Tabungan",Transaksi!$D$16:$D$5015,"Keluar",Transaksi!$H$16:$H$5015,"&lt;&gt;Reksadana uang kos mama",Transaksi!$B$16:$B$5015,"&gt;="&amp;DATE(2033,1,1),Transaksi!$B$16:$B$5015,"&lt;="&amp;EOMONTH(DATE(2033,1,1),0))-SUMIFS(Transaksi!$F$16:$F$5015,Transaksi!$G$16:$G$5015,"Tabungan",Transaksi!$D$16:$D$5015,"Masuk",Transaksi!$H$16:$H$5015,"&lt;&gt;Reksadana uang kos mama",Transaksi!$B$16:$B$5015,"&gt;="&amp;DATE(2033,1,1),Transaksi!$B$16:$B$5015,"&lt;="&amp;EOMONTH(DATE(2033,1,1),0)))</f>
        <v/>
      </c>
    </row>
    <row r="114" ht="15" customHeight="1" s="94">
      <c r="A114" s="164" t="n">
        <v>2033</v>
      </c>
      <c r="B114" s="164" t="inlineStr">
        <is>
          <t>Feb</t>
        </is>
      </c>
      <c r="C114" s="165">
        <f>SUMIFS(Transaksi!$F$16:$F$5015,Transaksi!$G$16:$G$5015,"Pendapatan",Transaksi!$B$16:$B$5015,"&gt;="&amp;DATE(2033,2,1),Transaksi!$B$16:$B$5015,"&lt;="&amp;EOMONTH(DATE(2033,2,1),0))</f>
        <v/>
      </c>
      <c r="D114" s="165">
        <f>SUMIFS(Transaksi!$F$16:$F$5015,Transaksi!$G$16:$G$5015,"Pengeluaran",Transaksi!$B$16:$B$5015,"&gt;="&amp;DATE(2033,2,1),Transaksi!$B$16:$B$5015,"&lt;="&amp;EOMONTH(DATE(2033,2,1),0))</f>
        <v/>
      </c>
      <c r="E114" s="166">
        <f>C114-D114</f>
        <v/>
      </c>
      <c r="F114" s="165">
        <f>(SUMIFS(Transaksi!$F$16:$F$5015,Transaksi!$G$16:$G$5015,"Pendapatan",Transaksi!$B$16:$B$5015,"&gt;="&amp;DATE(2033,2,1),Transaksi!$B$16:$B$5015,"&lt;="&amp;EOMONTH(DATE(2033,2,1),0),Transaksi!$H$16:$H$5015,"Uang Kos Mama")+SUMIFS(Transaksi!$F$16:$F$5015,Transaksi!$G$16:$G$5015,"Pendapatan",Transaksi!$B$16:$B$5015,"&gt;="&amp;DATE(2033,2,1),Transaksi!$B$16:$B$5015,"&lt;="&amp;EOMONTH(DATE(2033,2,1),0),Transaksi!$H$16:$H$5015,"Uang Kedai"))-(SUMIFS(Transaksi!$F$16:$F$5015,Transaksi!$G$16:$G$5015,"Pengeluaran",Transaksi!$B$16:$B$5015,"&gt;="&amp;DATE(2033,2,1),Transaksi!$B$16:$B$5015,"&lt;="&amp;EOMONTH(DATE(2033,2,1),0),Transaksi!$H$16:$H$5015,"Pengeluaran Uang Kos")+SUMIFS(Transaksi!$F$16:$F$5015,Transaksi!$G$16:$G$5015,"Pengeluaran",Transaksi!$B$16:$B$5015,"&gt;="&amp;DATE(2033,2,1),Transaksi!$B$16:$B$5015,"&lt;="&amp;EOMONTH(DATE(2033,2,1),0),Transaksi!$H$16:$H$5015,"Pengeluaran Uang Kedai")+(SUMIFS(Transaksi!$F$16:$F$5015,Transaksi!$G$16:$G$5015,"Tabungan",Transaksi!$D$16:$D$5015,"Keluar",Transaksi!$H$16:$H$5015,"Reksadana uang kos mama",Transaksi!$B$16:$B$5015,"&gt;="&amp;DATE(2033,2,1),Transaksi!$B$16:$B$5015,"&lt;="&amp;EOMONTH(DATE(2033,2,1),0))-SUMIFS(Transaksi!$F$16:$F$5015,Transaksi!$G$16:$G$5015,"Tabungan",Transaksi!$D$16:$D$5015,"Masuk",Transaksi!$H$16:$H$5015,"Reksadana uang kos mama",Transaksi!$B$16:$B$5015,"&gt;="&amp;DATE(2033,2,1),Transaksi!$B$16:$B$5015,"&lt;="&amp;EOMONTH(DATE(2033,2,1),0))))</f>
        <v/>
      </c>
      <c r="G114" s="165">
        <f>(SUMIFS(Transaksi!$F$16:$F$5015,Transaksi!$G$16:$G$5015,"Tabungan",Transaksi!$D$16:$D$5015,"Keluar",Transaksi!$H$16:$H$5015,"&lt;&gt;Reksadana uang kos mama",Transaksi!$B$16:$B$5015,"&gt;="&amp;DATE(2033,2,1),Transaksi!$B$16:$B$5015,"&lt;="&amp;EOMONTH(DATE(2033,2,1),0))-SUMIFS(Transaksi!$F$16:$F$5015,Transaksi!$G$16:$G$5015,"Tabungan",Transaksi!$D$16:$D$5015,"Masuk",Transaksi!$H$16:$H$5015,"&lt;&gt;Reksadana uang kos mama",Transaksi!$B$16:$B$5015,"&gt;="&amp;DATE(2033,2,1),Transaksi!$B$16:$B$5015,"&lt;="&amp;EOMONTH(DATE(2033,2,1),0)))</f>
        <v/>
      </c>
    </row>
    <row r="115" ht="15" customHeight="1" s="94">
      <c r="A115" s="164" t="n">
        <v>2033</v>
      </c>
      <c r="B115" s="164" t="inlineStr">
        <is>
          <t>Mar</t>
        </is>
      </c>
      <c r="C115" s="165">
        <f>SUMIFS(Transaksi!$F$16:$F$5015,Transaksi!$G$16:$G$5015,"Pendapatan",Transaksi!$B$16:$B$5015,"&gt;="&amp;DATE(2033,3,1),Transaksi!$B$16:$B$5015,"&lt;="&amp;EOMONTH(DATE(2033,3,1),0))</f>
        <v/>
      </c>
      <c r="D115" s="165">
        <f>SUMIFS(Transaksi!$F$16:$F$5015,Transaksi!$G$16:$G$5015,"Pengeluaran",Transaksi!$B$16:$B$5015,"&gt;="&amp;DATE(2033,3,1),Transaksi!$B$16:$B$5015,"&lt;="&amp;EOMONTH(DATE(2033,3,1),0))</f>
        <v/>
      </c>
      <c r="E115" s="166">
        <f>C115-D115</f>
        <v/>
      </c>
      <c r="F115" s="165">
        <f>(SUMIFS(Transaksi!$F$16:$F$5015,Transaksi!$G$16:$G$5015,"Pendapatan",Transaksi!$B$16:$B$5015,"&gt;="&amp;DATE(2033,3,1),Transaksi!$B$16:$B$5015,"&lt;="&amp;EOMONTH(DATE(2033,3,1),0),Transaksi!$H$16:$H$5015,"Uang Kos Mama")+SUMIFS(Transaksi!$F$16:$F$5015,Transaksi!$G$16:$G$5015,"Pendapatan",Transaksi!$B$16:$B$5015,"&gt;="&amp;DATE(2033,3,1),Transaksi!$B$16:$B$5015,"&lt;="&amp;EOMONTH(DATE(2033,3,1),0),Transaksi!$H$16:$H$5015,"Uang Kedai"))-(SUMIFS(Transaksi!$F$16:$F$5015,Transaksi!$G$16:$G$5015,"Pengeluaran",Transaksi!$B$16:$B$5015,"&gt;="&amp;DATE(2033,3,1),Transaksi!$B$16:$B$5015,"&lt;="&amp;EOMONTH(DATE(2033,3,1),0),Transaksi!$H$16:$H$5015,"Pengeluaran Uang Kos")+SUMIFS(Transaksi!$F$16:$F$5015,Transaksi!$G$16:$G$5015,"Pengeluaran",Transaksi!$B$16:$B$5015,"&gt;="&amp;DATE(2033,3,1),Transaksi!$B$16:$B$5015,"&lt;="&amp;EOMONTH(DATE(2033,3,1),0),Transaksi!$H$16:$H$5015,"Pengeluaran Uang Kedai")+(SUMIFS(Transaksi!$F$16:$F$5015,Transaksi!$G$16:$G$5015,"Tabungan",Transaksi!$D$16:$D$5015,"Keluar",Transaksi!$H$16:$H$5015,"Reksadana uang kos mama",Transaksi!$B$16:$B$5015,"&gt;="&amp;DATE(2033,3,1),Transaksi!$B$16:$B$5015,"&lt;="&amp;EOMONTH(DATE(2033,3,1),0))-SUMIFS(Transaksi!$F$16:$F$5015,Transaksi!$G$16:$G$5015,"Tabungan",Transaksi!$D$16:$D$5015,"Masuk",Transaksi!$H$16:$H$5015,"Reksadana uang kos mama",Transaksi!$B$16:$B$5015,"&gt;="&amp;DATE(2033,3,1),Transaksi!$B$16:$B$5015,"&lt;="&amp;EOMONTH(DATE(2033,3,1),0))))</f>
        <v/>
      </c>
      <c r="G115" s="165">
        <f>(SUMIFS(Transaksi!$F$16:$F$5015,Transaksi!$G$16:$G$5015,"Tabungan",Transaksi!$D$16:$D$5015,"Keluar",Transaksi!$H$16:$H$5015,"&lt;&gt;Reksadana uang kos mama",Transaksi!$B$16:$B$5015,"&gt;="&amp;DATE(2033,3,1),Transaksi!$B$16:$B$5015,"&lt;="&amp;EOMONTH(DATE(2033,3,1),0))-SUMIFS(Transaksi!$F$16:$F$5015,Transaksi!$G$16:$G$5015,"Tabungan",Transaksi!$D$16:$D$5015,"Masuk",Transaksi!$H$16:$H$5015,"&lt;&gt;Reksadana uang kos mama",Transaksi!$B$16:$B$5015,"&gt;="&amp;DATE(2033,3,1),Transaksi!$B$16:$B$5015,"&lt;="&amp;EOMONTH(DATE(2033,3,1),0)))</f>
        <v/>
      </c>
    </row>
    <row r="116" ht="15" customHeight="1" s="94">
      <c r="A116" s="164" t="n">
        <v>2033</v>
      </c>
      <c r="B116" s="164" t="inlineStr">
        <is>
          <t>Apr</t>
        </is>
      </c>
      <c r="C116" s="165">
        <f>SUMIFS(Transaksi!$F$16:$F$5015,Transaksi!$G$16:$G$5015,"Pendapatan",Transaksi!$B$16:$B$5015,"&gt;="&amp;DATE(2033,4,1),Transaksi!$B$16:$B$5015,"&lt;="&amp;EOMONTH(DATE(2033,4,1),0))</f>
        <v/>
      </c>
      <c r="D116" s="165">
        <f>SUMIFS(Transaksi!$F$16:$F$5015,Transaksi!$G$16:$G$5015,"Pengeluaran",Transaksi!$B$16:$B$5015,"&gt;="&amp;DATE(2033,4,1),Transaksi!$B$16:$B$5015,"&lt;="&amp;EOMONTH(DATE(2033,4,1),0))</f>
        <v/>
      </c>
      <c r="E116" s="166">
        <f>C116-D116</f>
        <v/>
      </c>
      <c r="F116" s="165">
        <f>(SUMIFS(Transaksi!$F$16:$F$5015,Transaksi!$G$16:$G$5015,"Pendapatan",Transaksi!$B$16:$B$5015,"&gt;="&amp;DATE(2033,4,1),Transaksi!$B$16:$B$5015,"&lt;="&amp;EOMONTH(DATE(2033,4,1),0),Transaksi!$H$16:$H$5015,"Uang Kos Mama")+SUMIFS(Transaksi!$F$16:$F$5015,Transaksi!$G$16:$G$5015,"Pendapatan",Transaksi!$B$16:$B$5015,"&gt;="&amp;DATE(2033,4,1),Transaksi!$B$16:$B$5015,"&lt;="&amp;EOMONTH(DATE(2033,4,1),0),Transaksi!$H$16:$H$5015,"Uang Kedai"))-(SUMIFS(Transaksi!$F$16:$F$5015,Transaksi!$G$16:$G$5015,"Pengeluaran",Transaksi!$B$16:$B$5015,"&gt;="&amp;DATE(2033,4,1),Transaksi!$B$16:$B$5015,"&lt;="&amp;EOMONTH(DATE(2033,4,1),0),Transaksi!$H$16:$H$5015,"Pengeluaran Uang Kos")+SUMIFS(Transaksi!$F$16:$F$5015,Transaksi!$G$16:$G$5015,"Pengeluaran",Transaksi!$B$16:$B$5015,"&gt;="&amp;DATE(2033,4,1),Transaksi!$B$16:$B$5015,"&lt;="&amp;EOMONTH(DATE(2033,4,1),0),Transaksi!$H$16:$H$5015,"Pengeluaran Uang Kedai")+(SUMIFS(Transaksi!$F$16:$F$5015,Transaksi!$G$16:$G$5015,"Tabungan",Transaksi!$D$16:$D$5015,"Keluar",Transaksi!$H$16:$H$5015,"Reksadana uang kos mama",Transaksi!$B$16:$B$5015,"&gt;="&amp;DATE(2033,4,1),Transaksi!$B$16:$B$5015,"&lt;="&amp;EOMONTH(DATE(2033,4,1),0))-SUMIFS(Transaksi!$F$16:$F$5015,Transaksi!$G$16:$G$5015,"Tabungan",Transaksi!$D$16:$D$5015,"Masuk",Transaksi!$H$16:$H$5015,"Reksadana uang kos mama",Transaksi!$B$16:$B$5015,"&gt;="&amp;DATE(2033,4,1),Transaksi!$B$16:$B$5015,"&lt;="&amp;EOMONTH(DATE(2033,4,1),0))))</f>
        <v/>
      </c>
      <c r="G116" s="165">
        <f>(SUMIFS(Transaksi!$F$16:$F$5015,Transaksi!$G$16:$G$5015,"Tabungan",Transaksi!$D$16:$D$5015,"Keluar",Transaksi!$H$16:$H$5015,"&lt;&gt;Reksadana uang kos mama",Transaksi!$B$16:$B$5015,"&gt;="&amp;DATE(2033,4,1),Transaksi!$B$16:$B$5015,"&lt;="&amp;EOMONTH(DATE(2033,4,1),0))-SUMIFS(Transaksi!$F$16:$F$5015,Transaksi!$G$16:$G$5015,"Tabungan",Transaksi!$D$16:$D$5015,"Masuk",Transaksi!$H$16:$H$5015,"&lt;&gt;Reksadana uang kos mama",Transaksi!$B$16:$B$5015,"&gt;="&amp;DATE(2033,4,1),Transaksi!$B$16:$B$5015,"&lt;="&amp;EOMONTH(DATE(2033,4,1),0)))</f>
        <v/>
      </c>
    </row>
    <row r="117" ht="15" customHeight="1" s="94">
      <c r="A117" s="164" t="n">
        <v>2033</v>
      </c>
      <c r="B117" s="164" t="inlineStr">
        <is>
          <t>Mei</t>
        </is>
      </c>
      <c r="C117" s="165">
        <f>SUMIFS(Transaksi!$F$16:$F$5015,Transaksi!$G$16:$G$5015,"Pendapatan",Transaksi!$B$16:$B$5015,"&gt;="&amp;DATE(2033,5,1),Transaksi!$B$16:$B$5015,"&lt;="&amp;EOMONTH(DATE(2033,5,1),0))</f>
        <v/>
      </c>
      <c r="D117" s="165">
        <f>SUMIFS(Transaksi!$F$16:$F$5015,Transaksi!$G$16:$G$5015,"Pengeluaran",Transaksi!$B$16:$B$5015,"&gt;="&amp;DATE(2033,5,1),Transaksi!$B$16:$B$5015,"&lt;="&amp;EOMONTH(DATE(2033,5,1),0))</f>
        <v/>
      </c>
      <c r="E117" s="166">
        <f>C117-D117</f>
        <v/>
      </c>
      <c r="F117" s="165">
        <f>(SUMIFS(Transaksi!$F$16:$F$5015,Transaksi!$G$16:$G$5015,"Pendapatan",Transaksi!$B$16:$B$5015,"&gt;="&amp;DATE(2033,5,1),Transaksi!$B$16:$B$5015,"&lt;="&amp;EOMONTH(DATE(2033,5,1),0),Transaksi!$H$16:$H$5015,"Uang Kos Mama")+SUMIFS(Transaksi!$F$16:$F$5015,Transaksi!$G$16:$G$5015,"Pendapatan",Transaksi!$B$16:$B$5015,"&gt;="&amp;DATE(2033,5,1),Transaksi!$B$16:$B$5015,"&lt;="&amp;EOMONTH(DATE(2033,5,1),0),Transaksi!$H$16:$H$5015,"Uang Kedai"))-(SUMIFS(Transaksi!$F$16:$F$5015,Transaksi!$G$16:$G$5015,"Pengeluaran",Transaksi!$B$16:$B$5015,"&gt;="&amp;DATE(2033,5,1),Transaksi!$B$16:$B$5015,"&lt;="&amp;EOMONTH(DATE(2033,5,1),0),Transaksi!$H$16:$H$5015,"Pengeluaran Uang Kos")+SUMIFS(Transaksi!$F$16:$F$5015,Transaksi!$G$16:$G$5015,"Pengeluaran",Transaksi!$B$16:$B$5015,"&gt;="&amp;DATE(2033,5,1),Transaksi!$B$16:$B$5015,"&lt;="&amp;EOMONTH(DATE(2033,5,1),0),Transaksi!$H$16:$H$5015,"Pengeluaran Uang Kedai")+(SUMIFS(Transaksi!$F$16:$F$5015,Transaksi!$G$16:$G$5015,"Tabungan",Transaksi!$D$16:$D$5015,"Keluar",Transaksi!$H$16:$H$5015,"Reksadana uang kos mama",Transaksi!$B$16:$B$5015,"&gt;="&amp;DATE(2033,5,1),Transaksi!$B$16:$B$5015,"&lt;="&amp;EOMONTH(DATE(2033,5,1),0))-SUMIFS(Transaksi!$F$16:$F$5015,Transaksi!$G$16:$G$5015,"Tabungan",Transaksi!$D$16:$D$5015,"Masuk",Transaksi!$H$16:$H$5015,"Reksadana uang kos mama",Transaksi!$B$16:$B$5015,"&gt;="&amp;DATE(2033,5,1),Transaksi!$B$16:$B$5015,"&lt;="&amp;EOMONTH(DATE(2033,5,1),0))))</f>
        <v/>
      </c>
      <c r="G117" s="165">
        <f>(SUMIFS(Transaksi!$F$16:$F$5015,Transaksi!$G$16:$G$5015,"Tabungan",Transaksi!$D$16:$D$5015,"Keluar",Transaksi!$H$16:$H$5015,"&lt;&gt;Reksadana uang kos mama",Transaksi!$B$16:$B$5015,"&gt;="&amp;DATE(2033,5,1),Transaksi!$B$16:$B$5015,"&lt;="&amp;EOMONTH(DATE(2033,5,1),0))-SUMIFS(Transaksi!$F$16:$F$5015,Transaksi!$G$16:$G$5015,"Tabungan",Transaksi!$D$16:$D$5015,"Masuk",Transaksi!$H$16:$H$5015,"&lt;&gt;Reksadana uang kos mama",Transaksi!$B$16:$B$5015,"&gt;="&amp;DATE(2033,5,1),Transaksi!$B$16:$B$5015,"&lt;="&amp;EOMONTH(DATE(2033,5,1),0)))</f>
        <v/>
      </c>
    </row>
    <row r="118" ht="15" customHeight="1" s="94">
      <c r="A118" s="164" t="n">
        <v>2033</v>
      </c>
      <c r="B118" s="164" t="inlineStr">
        <is>
          <t>Jun</t>
        </is>
      </c>
      <c r="C118" s="165">
        <f>SUMIFS(Transaksi!$F$16:$F$5015,Transaksi!$G$16:$G$5015,"Pendapatan",Transaksi!$B$16:$B$5015,"&gt;="&amp;DATE(2033,6,1),Transaksi!$B$16:$B$5015,"&lt;="&amp;EOMONTH(DATE(2033,6,1),0))</f>
        <v/>
      </c>
      <c r="D118" s="165">
        <f>SUMIFS(Transaksi!$F$16:$F$5015,Transaksi!$G$16:$G$5015,"Pengeluaran",Transaksi!$B$16:$B$5015,"&gt;="&amp;DATE(2033,6,1),Transaksi!$B$16:$B$5015,"&lt;="&amp;EOMONTH(DATE(2033,6,1),0))</f>
        <v/>
      </c>
      <c r="E118" s="166">
        <f>C118-D118</f>
        <v/>
      </c>
      <c r="F118" s="165">
        <f>(SUMIFS(Transaksi!$F$16:$F$5015,Transaksi!$G$16:$G$5015,"Pendapatan",Transaksi!$B$16:$B$5015,"&gt;="&amp;DATE(2033,6,1),Transaksi!$B$16:$B$5015,"&lt;="&amp;EOMONTH(DATE(2033,6,1),0),Transaksi!$H$16:$H$5015,"Uang Kos Mama")+SUMIFS(Transaksi!$F$16:$F$5015,Transaksi!$G$16:$G$5015,"Pendapatan",Transaksi!$B$16:$B$5015,"&gt;="&amp;DATE(2033,6,1),Transaksi!$B$16:$B$5015,"&lt;="&amp;EOMONTH(DATE(2033,6,1),0),Transaksi!$H$16:$H$5015,"Uang Kedai"))-(SUMIFS(Transaksi!$F$16:$F$5015,Transaksi!$G$16:$G$5015,"Pengeluaran",Transaksi!$B$16:$B$5015,"&gt;="&amp;DATE(2033,6,1),Transaksi!$B$16:$B$5015,"&lt;="&amp;EOMONTH(DATE(2033,6,1),0),Transaksi!$H$16:$H$5015,"Pengeluaran Uang Kos")+SUMIFS(Transaksi!$F$16:$F$5015,Transaksi!$G$16:$G$5015,"Pengeluaran",Transaksi!$B$16:$B$5015,"&gt;="&amp;DATE(2033,6,1),Transaksi!$B$16:$B$5015,"&lt;="&amp;EOMONTH(DATE(2033,6,1),0),Transaksi!$H$16:$H$5015,"Pengeluaran Uang Kedai")+(SUMIFS(Transaksi!$F$16:$F$5015,Transaksi!$G$16:$G$5015,"Tabungan",Transaksi!$D$16:$D$5015,"Keluar",Transaksi!$H$16:$H$5015,"Reksadana uang kos mama",Transaksi!$B$16:$B$5015,"&gt;="&amp;DATE(2033,6,1),Transaksi!$B$16:$B$5015,"&lt;="&amp;EOMONTH(DATE(2033,6,1),0))-SUMIFS(Transaksi!$F$16:$F$5015,Transaksi!$G$16:$G$5015,"Tabungan",Transaksi!$D$16:$D$5015,"Masuk",Transaksi!$H$16:$H$5015,"Reksadana uang kos mama",Transaksi!$B$16:$B$5015,"&gt;="&amp;DATE(2033,6,1),Transaksi!$B$16:$B$5015,"&lt;="&amp;EOMONTH(DATE(2033,6,1),0))))</f>
        <v/>
      </c>
      <c r="G118" s="165">
        <f>(SUMIFS(Transaksi!$F$16:$F$5015,Transaksi!$G$16:$G$5015,"Tabungan",Transaksi!$D$16:$D$5015,"Keluar",Transaksi!$H$16:$H$5015,"&lt;&gt;Reksadana uang kos mama",Transaksi!$B$16:$B$5015,"&gt;="&amp;DATE(2033,6,1),Transaksi!$B$16:$B$5015,"&lt;="&amp;EOMONTH(DATE(2033,6,1),0))-SUMIFS(Transaksi!$F$16:$F$5015,Transaksi!$G$16:$G$5015,"Tabungan",Transaksi!$D$16:$D$5015,"Masuk",Transaksi!$H$16:$H$5015,"&lt;&gt;Reksadana uang kos mama",Transaksi!$B$16:$B$5015,"&gt;="&amp;DATE(2033,6,1),Transaksi!$B$16:$B$5015,"&lt;="&amp;EOMONTH(DATE(2033,6,1),0)))</f>
        <v/>
      </c>
    </row>
    <row r="119" ht="15" customHeight="1" s="94">
      <c r="A119" s="164" t="n">
        <v>2033</v>
      </c>
      <c r="B119" s="164" t="inlineStr">
        <is>
          <t>Jul</t>
        </is>
      </c>
      <c r="C119" s="165">
        <f>SUMIFS(Transaksi!$F$16:$F$5015,Transaksi!$G$16:$G$5015,"Pendapatan",Transaksi!$B$16:$B$5015,"&gt;="&amp;DATE(2033,7,1),Transaksi!$B$16:$B$5015,"&lt;="&amp;EOMONTH(DATE(2033,7,1),0))</f>
        <v/>
      </c>
      <c r="D119" s="165">
        <f>SUMIFS(Transaksi!$F$16:$F$5015,Transaksi!$G$16:$G$5015,"Pengeluaran",Transaksi!$B$16:$B$5015,"&gt;="&amp;DATE(2033,7,1),Transaksi!$B$16:$B$5015,"&lt;="&amp;EOMONTH(DATE(2033,7,1),0))</f>
        <v/>
      </c>
      <c r="E119" s="166">
        <f>C119-D119</f>
        <v/>
      </c>
      <c r="F119" s="165">
        <f>(SUMIFS(Transaksi!$F$16:$F$5015,Transaksi!$G$16:$G$5015,"Pendapatan",Transaksi!$B$16:$B$5015,"&gt;="&amp;DATE(2033,7,1),Transaksi!$B$16:$B$5015,"&lt;="&amp;EOMONTH(DATE(2033,7,1),0),Transaksi!$H$16:$H$5015,"Uang Kos Mama")+SUMIFS(Transaksi!$F$16:$F$5015,Transaksi!$G$16:$G$5015,"Pendapatan",Transaksi!$B$16:$B$5015,"&gt;="&amp;DATE(2033,7,1),Transaksi!$B$16:$B$5015,"&lt;="&amp;EOMONTH(DATE(2033,7,1),0),Transaksi!$H$16:$H$5015,"Uang Kedai"))-(SUMIFS(Transaksi!$F$16:$F$5015,Transaksi!$G$16:$G$5015,"Pengeluaran",Transaksi!$B$16:$B$5015,"&gt;="&amp;DATE(2033,7,1),Transaksi!$B$16:$B$5015,"&lt;="&amp;EOMONTH(DATE(2033,7,1),0),Transaksi!$H$16:$H$5015,"Pengeluaran Uang Kos")+SUMIFS(Transaksi!$F$16:$F$5015,Transaksi!$G$16:$G$5015,"Pengeluaran",Transaksi!$B$16:$B$5015,"&gt;="&amp;DATE(2033,7,1),Transaksi!$B$16:$B$5015,"&lt;="&amp;EOMONTH(DATE(2033,7,1),0),Transaksi!$H$16:$H$5015,"Pengeluaran Uang Kedai")+(SUMIFS(Transaksi!$F$16:$F$5015,Transaksi!$G$16:$G$5015,"Tabungan",Transaksi!$D$16:$D$5015,"Keluar",Transaksi!$H$16:$H$5015,"Reksadana uang kos mama",Transaksi!$B$16:$B$5015,"&gt;="&amp;DATE(2033,7,1),Transaksi!$B$16:$B$5015,"&lt;="&amp;EOMONTH(DATE(2033,7,1),0))-SUMIFS(Transaksi!$F$16:$F$5015,Transaksi!$G$16:$G$5015,"Tabungan",Transaksi!$D$16:$D$5015,"Masuk",Transaksi!$H$16:$H$5015,"Reksadana uang kos mama",Transaksi!$B$16:$B$5015,"&gt;="&amp;DATE(2033,7,1),Transaksi!$B$16:$B$5015,"&lt;="&amp;EOMONTH(DATE(2033,7,1),0))))</f>
        <v/>
      </c>
      <c r="G119" s="165">
        <f>(SUMIFS(Transaksi!$F$16:$F$5015,Transaksi!$G$16:$G$5015,"Tabungan",Transaksi!$D$16:$D$5015,"Keluar",Transaksi!$H$16:$H$5015,"&lt;&gt;Reksadana uang kos mama",Transaksi!$B$16:$B$5015,"&gt;="&amp;DATE(2033,7,1),Transaksi!$B$16:$B$5015,"&lt;="&amp;EOMONTH(DATE(2033,7,1),0))-SUMIFS(Transaksi!$F$16:$F$5015,Transaksi!$G$16:$G$5015,"Tabungan",Transaksi!$D$16:$D$5015,"Masuk",Transaksi!$H$16:$H$5015,"&lt;&gt;Reksadana uang kos mama",Transaksi!$B$16:$B$5015,"&gt;="&amp;DATE(2033,7,1),Transaksi!$B$16:$B$5015,"&lt;="&amp;EOMONTH(DATE(2033,7,1),0)))</f>
        <v/>
      </c>
    </row>
    <row r="120" ht="15" customHeight="1" s="94">
      <c r="A120" s="164" t="n">
        <v>2033</v>
      </c>
      <c r="B120" s="164" t="inlineStr">
        <is>
          <t>Agu</t>
        </is>
      </c>
      <c r="C120" s="165">
        <f>SUMIFS(Transaksi!$F$16:$F$5015,Transaksi!$G$16:$G$5015,"Pendapatan",Transaksi!$B$16:$B$5015,"&gt;="&amp;DATE(2033,8,1),Transaksi!$B$16:$B$5015,"&lt;="&amp;EOMONTH(DATE(2033,8,1),0))</f>
        <v/>
      </c>
      <c r="D120" s="165">
        <f>SUMIFS(Transaksi!$F$16:$F$5015,Transaksi!$G$16:$G$5015,"Pengeluaran",Transaksi!$B$16:$B$5015,"&gt;="&amp;DATE(2033,8,1),Transaksi!$B$16:$B$5015,"&lt;="&amp;EOMONTH(DATE(2033,8,1),0))</f>
        <v/>
      </c>
      <c r="E120" s="166">
        <f>C120-D120</f>
        <v/>
      </c>
      <c r="F120" s="165">
        <f>(SUMIFS(Transaksi!$F$16:$F$5015,Transaksi!$G$16:$G$5015,"Pendapatan",Transaksi!$B$16:$B$5015,"&gt;="&amp;DATE(2033,8,1),Transaksi!$B$16:$B$5015,"&lt;="&amp;EOMONTH(DATE(2033,8,1),0),Transaksi!$H$16:$H$5015,"Uang Kos Mama")+SUMIFS(Transaksi!$F$16:$F$5015,Transaksi!$G$16:$G$5015,"Pendapatan",Transaksi!$B$16:$B$5015,"&gt;="&amp;DATE(2033,8,1),Transaksi!$B$16:$B$5015,"&lt;="&amp;EOMONTH(DATE(2033,8,1),0),Transaksi!$H$16:$H$5015,"Uang Kedai"))-(SUMIFS(Transaksi!$F$16:$F$5015,Transaksi!$G$16:$G$5015,"Pengeluaran",Transaksi!$B$16:$B$5015,"&gt;="&amp;DATE(2033,8,1),Transaksi!$B$16:$B$5015,"&lt;="&amp;EOMONTH(DATE(2033,8,1),0),Transaksi!$H$16:$H$5015,"Pengeluaran Uang Kos")+SUMIFS(Transaksi!$F$16:$F$5015,Transaksi!$G$16:$G$5015,"Pengeluaran",Transaksi!$B$16:$B$5015,"&gt;="&amp;DATE(2033,8,1),Transaksi!$B$16:$B$5015,"&lt;="&amp;EOMONTH(DATE(2033,8,1),0),Transaksi!$H$16:$H$5015,"Pengeluaran Uang Kedai")+(SUMIFS(Transaksi!$F$16:$F$5015,Transaksi!$G$16:$G$5015,"Tabungan",Transaksi!$D$16:$D$5015,"Keluar",Transaksi!$H$16:$H$5015,"Reksadana uang kos mama",Transaksi!$B$16:$B$5015,"&gt;="&amp;DATE(2033,8,1),Transaksi!$B$16:$B$5015,"&lt;="&amp;EOMONTH(DATE(2033,8,1),0))-SUMIFS(Transaksi!$F$16:$F$5015,Transaksi!$G$16:$G$5015,"Tabungan",Transaksi!$D$16:$D$5015,"Masuk",Transaksi!$H$16:$H$5015,"Reksadana uang kos mama",Transaksi!$B$16:$B$5015,"&gt;="&amp;DATE(2033,8,1),Transaksi!$B$16:$B$5015,"&lt;="&amp;EOMONTH(DATE(2033,8,1),0))))</f>
        <v/>
      </c>
      <c r="G120" s="165">
        <f>(SUMIFS(Transaksi!$F$16:$F$5015,Transaksi!$G$16:$G$5015,"Tabungan",Transaksi!$D$16:$D$5015,"Keluar",Transaksi!$H$16:$H$5015,"&lt;&gt;Reksadana uang kos mama",Transaksi!$B$16:$B$5015,"&gt;="&amp;DATE(2033,8,1),Transaksi!$B$16:$B$5015,"&lt;="&amp;EOMONTH(DATE(2033,8,1),0))-SUMIFS(Transaksi!$F$16:$F$5015,Transaksi!$G$16:$G$5015,"Tabungan",Transaksi!$D$16:$D$5015,"Masuk",Transaksi!$H$16:$H$5015,"&lt;&gt;Reksadana uang kos mama",Transaksi!$B$16:$B$5015,"&gt;="&amp;DATE(2033,8,1),Transaksi!$B$16:$B$5015,"&lt;="&amp;EOMONTH(DATE(2033,8,1),0)))</f>
        <v/>
      </c>
    </row>
    <row r="121" ht="15" customHeight="1" s="94">
      <c r="A121" s="164" t="n">
        <v>2033</v>
      </c>
      <c r="B121" s="164" t="inlineStr">
        <is>
          <t>Sep</t>
        </is>
      </c>
      <c r="C121" s="165">
        <f>SUMIFS(Transaksi!$F$16:$F$5015,Transaksi!$G$16:$G$5015,"Pendapatan",Transaksi!$B$16:$B$5015,"&gt;="&amp;DATE(2033,9,1),Transaksi!$B$16:$B$5015,"&lt;="&amp;EOMONTH(DATE(2033,9,1),0))</f>
        <v/>
      </c>
      <c r="D121" s="165">
        <f>SUMIFS(Transaksi!$F$16:$F$5015,Transaksi!$G$16:$G$5015,"Pengeluaran",Transaksi!$B$16:$B$5015,"&gt;="&amp;DATE(2033,9,1),Transaksi!$B$16:$B$5015,"&lt;="&amp;EOMONTH(DATE(2033,9,1),0))</f>
        <v/>
      </c>
      <c r="E121" s="166">
        <f>C121-D121</f>
        <v/>
      </c>
      <c r="F121" s="165">
        <f>(SUMIFS(Transaksi!$F$16:$F$5015,Transaksi!$G$16:$G$5015,"Pendapatan",Transaksi!$B$16:$B$5015,"&gt;="&amp;DATE(2033,9,1),Transaksi!$B$16:$B$5015,"&lt;="&amp;EOMONTH(DATE(2033,9,1),0),Transaksi!$H$16:$H$5015,"Uang Kos Mama")+SUMIFS(Transaksi!$F$16:$F$5015,Transaksi!$G$16:$G$5015,"Pendapatan",Transaksi!$B$16:$B$5015,"&gt;="&amp;DATE(2033,9,1),Transaksi!$B$16:$B$5015,"&lt;="&amp;EOMONTH(DATE(2033,9,1),0),Transaksi!$H$16:$H$5015,"Uang Kedai"))-(SUMIFS(Transaksi!$F$16:$F$5015,Transaksi!$G$16:$G$5015,"Pengeluaran",Transaksi!$B$16:$B$5015,"&gt;="&amp;DATE(2033,9,1),Transaksi!$B$16:$B$5015,"&lt;="&amp;EOMONTH(DATE(2033,9,1),0),Transaksi!$H$16:$H$5015,"Pengeluaran Uang Kos")+SUMIFS(Transaksi!$F$16:$F$5015,Transaksi!$G$16:$G$5015,"Pengeluaran",Transaksi!$B$16:$B$5015,"&gt;="&amp;DATE(2033,9,1),Transaksi!$B$16:$B$5015,"&lt;="&amp;EOMONTH(DATE(2033,9,1),0),Transaksi!$H$16:$H$5015,"Pengeluaran Uang Kedai")+(SUMIFS(Transaksi!$F$16:$F$5015,Transaksi!$G$16:$G$5015,"Tabungan",Transaksi!$D$16:$D$5015,"Keluar",Transaksi!$H$16:$H$5015,"Reksadana uang kos mama",Transaksi!$B$16:$B$5015,"&gt;="&amp;DATE(2033,9,1),Transaksi!$B$16:$B$5015,"&lt;="&amp;EOMONTH(DATE(2033,9,1),0))-SUMIFS(Transaksi!$F$16:$F$5015,Transaksi!$G$16:$G$5015,"Tabungan",Transaksi!$D$16:$D$5015,"Masuk",Transaksi!$H$16:$H$5015,"Reksadana uang kos mama",Transaksi!$B$16:$B$5015,"&gt;="&amp;DATE(2033,9,1),Transaksi!$B$16:$B$5015,"&lt;="&amp;EOMONTH(DATE(2033,9,1),0))))</f>
        <v/>
      </c>
      <c r="G121" s="165">
        <f>(SUMIFS(Transaksi!$F$16:$F$5015,Transaksi!$G$16:$G$5015,"Tabungan",Transaksi!$D$16:$D$5015,"Keluar",Transaksi!$H$16:$H$5015,"&lt;&gt;Reksadana uang kos mama",Transaksi!$B$16:$B$5015,"&gt;="&amp;DATE(2033,9,1),Transaksi!$B$16:$B$5015,"&lt;="&amp;EOMONTH(DATE(2033,9,1),0))-SUMIFS(Transaksi!$F$16:$F$5015,Transaksi!$G$16:$G$5015,"Tabungan",Transaksi!$D$16:$D$5015,"Masuk",Transaksi!$H$16:$H$5015,"&lt;&gt;Reksadana uang kos mama",Transaksi!$B$16:$B$5015,"&gt;="&amp;DATE(2033,9,1),Transaksi!$B$16:$B$5015,"&lt;="&amp;EOMONTH(DATE(2033,9,1),0)))</f>
        <v/>
      </c>
    </row>
    <row r="122" ht="15" customHeight="1" s="94">
      <c r="A122" s="164" t="n">
        <v>2033</v>
      </c>
      <c r="B122" s="164" t="inlineStr">
        <is>
          <t>Okt</t>
        </is>
      </c>
      <c r="C122" s="165">
        <f>SUMIFS(Transaksi!$F$16:$F$5015,Transaksi!$G$16:$G$5015,"Pendapatan",Transaksi!$B$16:$B$5015,"&gt;="&amp;DATE(2033,10,1),Transaksi!$B$16:$B$5015,"&lt;="&amp;EOMONTH(DATE(2033,10,1),0))</f>
        <v/>
      </c>
      <c r="D122" s="165">
        <f>SUMIFS(Transaksi!$F$16:$F$5015,Transaksi!$G$16:$G$5015,"Pengeluaran",Transaksi!$B$16:$B$5015,"&gt;="&amp;DATE(2033,10,1),Transaksi!$B$16:$B$5015,"&lt;="&amp;EOMONTH(DATE(2033,10,1),0))</f>
        <v/>
      </c>
      <c r="E122" s="166">
        <f>C122-D122</f>
        <v/>
      </c>
      <c r="F122" s="165">
        <f>(SUMIFS(Transaksi!$F$16:$F$5015,Transaksi!$G$16:$G$5015,"Pendapatan",Transaksi!$B$16:$B$5015,"&gt;="&amp;DATE(2033,10,1),Transaksi!$B$16:$B$5015,"&lt;="&amp;EOMONTH(DATE(2033,10,1),0),Transaksi!$H$16:$H$5015,"Uang Kos Mama")+SUMIFS(Transaksi!$F$16:$F$5015,Transaksi!$G$16:$G$5015,"Pendapatan",Transaksi!$B$16:$B$5015,"&gt;="&amp;DATE(2033,10,1),Transaksi!$B$16:$B$5015,"&lt;="&amp;EOMONTH(DATE(2033,10,1),0),Transaksi!$H$16:$H$5015,"Uang Kedai"))-(SUMIFS(Transaksi!$F$16:$F$5015,Transaksi!$G$16:$G$5015,"Pengeluaran",Transaksi!$B$16:$B$5015,"&gt;="&amp;DATE(2033,10,1),Transaksi!$B$16:$B$5015,"&lt;="&amp;EOMONTH(DATE(2033,10,1),0),Transaksi!$H$16:$H$5015,"Pengeluaran Uang Kos")+SUMIFS(Transaksi!$F$16:$F$5015,Transaksi!$G$16:$G$5015,"Pengeluaran",Transaksi!$B$16:$B$5015,"&gt;="&amp;DATE(2033,10,1),Transaksi!$B$16:$B$5015,"&lt;="&amp;EOMONTH(DATE(2033,10,1),0),Transaksi!$H$16:$H$5015,"Pengeluaran Uang Kedai")+(SUMIFS(Transaksi!$F$16:$F$5015,Transaksi!$G$16:$G$5015,"Tabungan",Transaksi!$D$16:$D$5015,"Keluar",Transaksi!$H$16:$H$5015,"Reksadana uang kos mama",Transaksi!$B$16:$B$5015,"&gt;="&amp;DATE(2033,10,1),Transaksi!$B$16:$B$5015,"&lt;="&amp;EOMONTH(DATE(2033,10,1),0))-SUMIFS(Transaksi!$F$16:$F$5015,Transaksi!$G$16:$G$5015,"Tabungan",Transaksi!$D$16:$D$5015,"Masuk",Transaksi!$H$16:$H$5015,"Reksadana uang kos mama",Transaksi!$B$16:$B$5015,"&gt;="&amp;DATE(2033,10,1),Transaksi!$B$16:$B$5015,"&lt;="&amp;EOMONTH(DATE(2033,10,1),0))))</f>
        <v/>
      </c>
      <c r="G122" s="165">
        <f>(SUMIFS(Transaksi!$F$16:$F$5015,Transaksi!$G$16:$G$5015,"Tabungan",Transaksi!$D$16:$D$5015,"Keluar",Transaksi!$H$16:$H$5015,"&lt;&gt;Reksadana uang kos mama",Transaksi!$B$16:$B$5015,"&gt;="&amp;DATE(2033,10,1),Transaksi!$B$16:$B$5015,"&lt;="&amp;EOMONTH(DATE(2033,10,1),0))-SUMIFS(Transaksi!$F$16:$F$5015,Transaksi!$G$16:$G$5015,"Tabungan",Transaksi!$D$16:$D$5015,"Masuk",Transaksi!$H$16:$H$5015,"&lt;&gt;Reksadana uang kos mama",Transaksi!$B$16:$B$5015,"&gt;="&amp;DATE(2033,10,1),Transaksi!$B$16:$B$5015,"&lt;="&amp;EOMONTH(DATE(2033,10,1),0)))</f>
        <v/>
      </c>
    </row>
    <row r="123" ht="15" customHeight="1" s="94">
      <c r="A123" s="164" t="n">
        <v>2033</v>
      </c>
      <c r="B123" s="164" t="inlineStr">
        <is>
          <t>Nov</t>
        </is>
      </c>
      <c r="C123" s="165">
        <f>SUMIFS(Transaksi!$F$16:$F$5015,Transaksi!$G$16:$G$5015,"Pendapatan",Transaksi!$B$16:$B$5015,"&gt;="&amp;DATE(2033,11,1),Transaksi!$B$16:$B$5015,"&lt;="&amp;EOMONTH(DATE(2033,11,1),0))</f>
        <v/>
      </c>
      <c r="D123" s="165">
        <f>SUMIFS(Transaksi!$F$16:$F$5015,Transaksi!$G$16:$G$5015,"Pengeluaran",Transaksi!$B$16:$B$5015,"&gt;="&amp;DATE(2033,11,1),Transaksi!$B$16:$B$5015,"&lt;="&amp;EOMONTH(DATE(2033,11,1),0))</f>
        <v/>
      </c>
      <c r="E123" s="166">
        <f>C123-D123</f>
        <v/>
      </c>
      <c r="F123" s="165">
        <f>(SUMIFS(Transaksi!$F$16:$F$5015,Transaksi!$G$16:$G$5015,"Pendapatan",Transaksi!$B$16:$B$5015,"&gt;="&amp;DATE(2033,11,1),Transaksi!$B$16:$B$5015,"&lt;="&amp;EOMONTH(DATE(2033,11,1),0),Transaksi!$H$16:$H$5015,"Uang Kos Mama")+SUMIFS(Transaksi!$F$16:$F$5015,Transaksi!$G$16:$G$5015,"Pendapatan",Transaksi!$B$16:$B$5015,"&gt;="&amp;DATE(2033,11,1),Transaksi!$B$16:$B$5015,"&lt;="&amp;EOMONTH(DATE(2033,11,1),0),Transaksi!$H$16:$H$5015,"Uang Kedai"))-(SUMIFS(Transaksi!$F$16:$F$5015,Transaksi!$G$16:$G$5015,"Pengeluaran",Transaksi!$B$16:$B$5015,"&gt;="&amp;DATE(2033,11,1),Transaksi!$B$16:$B$5015,"&lt;="&amp;EOMONTH(DATE(2033,11,1),0),Transaksi!$H$16:$H$5015,"Pengeluaran Uang Kos")+SUMIFS(Transaksi!$F$16:$F$5015,Transaksi!$G$16:$G$5015,"Pengeluaran",Transaksi!$B$16:$B$5015,"&gt;="&amp;DATE(2033,11,1),Transaksi!$B$16:$B$5015,"&lt;="&amp;EOMONTH(DATE(2033,11,1),0),Transaksi!$H$16:$H$5015,"Pengeluaran Uang Kedai")+(SUMIFS(Transaksi!$F$16:$F$5015,Transaksi!$G$16:$G$5015,"Tabungan",Transaksi!$D$16:$D$5015,"Keluar",Transaksi!$H$16:$H$5015,"Reksadana uang kos mama",Transaksi!$B$16:$B$5015,"&gt;="&amp;DATE(2033,11,1),Transaksi!$B$16:$B$5015,"&lt;="&amp;EOMONTH(DATE(2033,11,1),0))-SUMIFS(Transaksi!$F$16:$F$5015,Transaksi!$G$16:$G$5015,"Tabungan",Transaksi!$D$16:$D$5015,"Masuk",Transaksi!$H$16:$H$5015,"Reksadana uang kos mama",Transaksi!$B$16:$B$5015,"&gt;="&amp;DATE(2033,11,1),Transaksi!$B$16:$B$5015,"&lt;="&amp;EOMONTH(DATE(2033,11,1),0))))</f>
        <v/>
      </c>
      <c r="G123" s="165">
        <f>(SUMIFS(Transaksi!$F$16:$F$5015,Transaksi!$G$16:$G$5015,"Tabungan",Transaksi!$D$16:$D$5015,"Keluar",Transaksi!$H$16:$H$5015,"&lt;&gt;Reksadana uang kos mama",Transaksi!$B$16:$B$5015,"&gt;="&amp;DATE(2033,11,1),Transaksi!$B$16:$B$5015,"&lt;="&amp;EOMONTH(DATE(2033,11,1),0))-SUMIFS(Transaksi!$F$16:$F$5015,Transaksi!$G$16:$G$5015,"Tabungan",Transaksi!$D$16:$D$5015,"Masuk",Transaksi!$H$16:$H$5015,"&lt;&gt;Reksadana uang kos mama",Transaksi!$B$16:$B$5015,"&gt;="&amp;DATE(2033,11,1),Transaksi!$B$16:$B$5015,"&lt;="&amp;EOMONTH(DATE(2033,11,1),0)))</f>
        <v/>
      </c>
    </row>
    <row r="124" ht="15" customHeight="1" s="94">
      <c r="A124" s="164" t="n">
        <v>2033</v>
      </c>
      <c r="B124" s="164" t="inlineStr">
        <is>
          <t>Des</t>
        </is>
      </c>
      <c r="C124" s="165">
        <f>SUMIFS(Transaksi!$F$16:$F$5015,Transaksi!$G$16:$G$5015,"Pendapatan",Transaksi!$B$16:$B$5015,"&gt;="&amp;DATE(2033,12,1),Transaksi!$B$16:$B$5015,"&lt;="&amp;EOMONTH(DATE(2033,12,1),0))</f>
        <v/>
      </c>
      <c r="D124" s="165">
        <f>SUMIFS(Transaksi!$F$16:$F$5015,Transaksi!$G$16:$G$5015,"Pengeluaran",Transaksi!$B$16:$B$5015,"&gt;="&amp;DATE(2033,12,1),Transaksi!$B$16:$B$5015,"&lt;="&amp;EOMONTH(DATE(2033,12,1),0))</f>
        <v/>
      </c>
      <c r="E124" s="166">
        <f>C124-D124</f>
        <v/>
      </c>
      <c r="F124" s="165">
        <f>(SUMIFS(Transaksi!$F$16:$F$5015,Transaksi!$G$16:$G$5015,"Pendapatan",Transaksi!$B$16:$B$5015,"&gt;="&amp;DATE(2033,12,1),Transaksi!$B$16:$B$5015,"&lt;="&amp;EOMONTH(DATE(2033,12,1),0),Transaksi!$H$16:$H$5015,"Uang Kos Mama")+SUMIFS(Transaksi!$F$16:$F$5015,Transaksi!$G$16:$G$5015,"Pendapatan",Transaksi!$B$16:$B$5015,"&gt;="&amp;DATE(2033,12,1),Transaksi!$B$16:$B$5015,"&lt;="&amp;EOMONTH(DATE(2033,12,1),0),Transaksi!$H$16:$H$5015,"Uang Kedai"))-(SUMIFS(Transaksi!$F$16:$F$5015,Transaksi!$G$16:$G$5015,"Pengeluaran",Transaksi!$B$16:$B$5015,"&gt;="&amp;DATE(2033,12,1),Transaksi!$B$16:$B$5015,"&lt;="&amp;EOMONTH(DATE(2033,12,1),0),Transaksi!$H$16:$H$5015,"Pengeluaran Uang Kos")+SUMIFS(Transaksi!$F$16:$F$5015,Transaksi!$G$16:$G$5015,"Pengeluaran",Transaksi!$B$16:$B$5015,"&gt;="&amp;DATE(2033,12,1),Transaksi!$B$16:$B$5015,"&lt;="&amp;EOMONTH(DATE(2033,12,1),0),Transaksi!$H$16:$H$5015,"Pengeluaran Uang Kedai")+(SUMIFS(Transaksi!$F$16:$F$5015,Transaksi!$G$16:$G$5015,"Tabungan",Transaksi!$D$16:$D$5015,"Keluar",Transaksi!$H$16:$H$5015,"Reksadana uang kos mama",Transaksi!$B$16:$B$5015,"&gt;="&amp;DATE(2033,12,1),Transaksi!$B$16:$B$5015,"&lt;="&amp;EOMONTH(DATE(2033,12,1),0))-SUMIFS(Transaksi!$F$16:$F$5015,Transaksi!$G$16:$G$5015,"Tabungan",Transaksi!$D$16:$D$5015,"Masuk",Transaksi!$H$16:$H$5015,"Reksadana uang kos mama",Transaksi!$B$16:$B$5015,"&gt;="&amp;DATE(2033,12,1),Transaksi!$B$16:$B$5015,"&lt;="&amp;EOMONTH(DATE(2033,12,1),0))))</f>
        <v/>
      </c>
      <c r="G124" s="165">
        <f>(SUMIFS(Transaksi!$F$16:$F$5015,Transaksi!$G$16:$G$5015,"Tabungan",Transaksi!$D$16:$D$5015,"Keluar",Transaksi!$H$16:$H$5015,"&lt;&gt;Reksadana uang kos mama",Transaksi!$B$16:$B$5015,"&gt;="&amp;DATE(2033,12,1),Transaksi!$B$16:$B$5015,"&lt;="&amp;EOMONTH(DATE(2033,12,1),0))-SUMIFS(Transaksi!$F$16:$F$5015,Transaksi!$G$16:$G$5015,"Tabungan",Transaksi!$D$16:$D$5015,"Masuk",Transaksi!$H$16:$H$5015,"&lt;&gt;Reksadana uang kos mama",Transaksi!$B$16:$B$5015,"&gt;="&amp;DATE(2033,12,1),Transaksi!$B$16:$B$5015,"&lt;="&amp;EOMONTH(DATE(2033,12,1),0)))</f>
        <v/>
      </c>
    </row>
    <row r="125" ht="15" customHeight="1" s="94">
      <c r="A125" s="164" t="n">
        <v>2034</v>
      </c>
      <c r="B125" s="164" t="inlineStr">
        <is>
          <t>Jan</t>
        </is>
      </c>
      <c r="C125" s="165">
        <f>SUMIFS(Transaksi!$F$16:$F$5015,Transaksi!$G$16:$G$5015,"Pendapatan",Transaksi!$B$16:$B$5015,"&gt;="&amp;DATE(2034,1,1),Transaksi!$B$16:$B$5015,"&lt;="&amp;EOMONTH(DATE(2034,1,1),0))</f>
        <v/>
      </c>
      <c r="D125" s="165">
        <f>SUMIFS(Transaksi!$F$16:$F$5015,Transaksi!$G$16:$G$5015,"Pengeluaran",Transaksi!$B$16:$B$5015,"&gt;="&amp;DATE(2034,1,1),Transaksi!$B$16:$B$5015,"&lt;="&amp;EOMONTH(DATE(2034,1,1),0))</f>
        <v/>
      </c>
      <c r="E125" s="166">
        <f>C125-D125</f>
        <v/>
      </c>
      <c r="F125" s="165">
        <f>(SUMIFS(Transaksi!$F$16:$F$5015,Transaksi!$G$16:$G$5015,"Pendapatan",Transaksi!$B$16:$B$5015,"&gt;="&amp;DATE(2034,1,1),Transaksi!$B$16:$B$5015,"&lt;="&amp;EOMONTH(DATE(2034,1,1),0),Transaksi!$H$16:$H$5015,"Uang Kos Mama")+SUMIFS(Transaksi!$F$16:$F$5015,Transaksi!$G$16:$G$5015,"Pendapatan",Transaksi!$B$16:$B$5015,"&gt;="&amp;DATE(2034,1,1),Transaksi!$B$16:$B$5015,"&lt;="&amp;EOMONTH(DATE(2034,1,1),0),Transaksi!$H$16:$H$5015,"Uang Kedai"))-(SUMIFS(Transaksi!$F$16:$F$5015,Transaksi!$G$16:$G$5015,"Pengeluaran",Transaksi!$B$16:$B$5015,"&gt;="&amp;DATE(2034,1,1),Transaksi!$B$16:$B$5015,"&lt;="&amp;EOMONTH(DATE(2034,1,1),0),Transaksi!$H$16:$H$5015,"Pengeluaran Uang Kos")+SUMIFS(Transaksi!$F$16:$F$5015,Transaksi!$G$16:$G$5015,"Pengeluaran",Transaksi!$B$16:$B$5015,"&gt;="&amp;DATE(2034,1,1),Transaksi!$B$16:$B$5015,"&lt;="&amp;EOMONTH(DATE(2034,1,1),0),Transaksi!$H$16:$H$5015,"Pengeluaran Uang Kedai")+(SUMIFS(Transaksi!$F$16:$F$5015,Transaksi!$G$16:$G$5015,"Tabungan",Transaksi!$D$16:$D$5015,"Keluar",Transaksi!$H$16:$H$5015,"Reksadana uang kos mama",Transaksi!$B$16:$B$5015,"&gt;="&amp;DATE(2034,1,1),Transaksi!$B$16:$B$5015,"&lt;="&amp;EOMONTH(DATE(2034,1,1),0))-SUMIFS(Transaksi!$F$16:$F$5015,Transaksi!$G$16:$G$5015,"Tabungan",Transaksi!$D$16:$D$5015,"Masuk",Transaksi!$H$16:$H$5015,"Reksadana uang kos mama",Transaksi!$B$16:$B$5015,"&gt;="&amp;DATE(2034,1,1),Transaksi!$B$16:$B$5015,"&lt;="&amp;EOMONTH(DATE(2034,1,1),0))))</f>
        <v/>
      </c>
      <c r="G125" s="165">
        <f>(SUMIFS(Transaksi!$F$16:$F$5015,Transaksi!$G$16:$G$5015,"Tabungan",Transaksi!$D$16:$D$5015,"Keluar",Transaksi!$H$16:$H$5015,"&lt;&gt;Reksadana uang kos mama",Transaksi!$B$16:$B$5015,"&gt;="&amp;DATE(2034,1,1),Transaksi!$B$16:$B$5015,"&lt;="&amp;EOMONTH(DATE(2034,1,1),0))-SUMIFS(Transaksi!$F$16:$F$5015,Transaksi!$G$16:$G$5015,"Tabungan",Transaksi!$D$16:$D$5015,"Masuk",Transaksi!$H$16:$H$5015,"&lt;&gt;Reksadana uang kos mama",Transaksi!$B$16:$B$5015,"&gt;="&amp;DATE(2034,1,1),Transaksi!$B$16:$B$5015,"&lt;="&amp;EOMONTH(DATE(2034,1,1),0)))</f>
        <v/>
      </c>
    </row>
    <row r="126" ht="15" customHeight="1" s="94">
      <c r="A126" s="164" t="n">
        <v>2034</v>
      </c>
      <c r="B126" s="164" t="inlineStr">
        <is>
          <t>Feb</t>
        </is>
      </c>
      <c r="C126" s="165">
        <f>SUMIFS(Transaksi!$F$16:$F$5015,Transaksi!$G$16:$G$5015,"Pendapatan",Transaksi!$B$16:$B$5015,"&gt;="&amp;DATE(2034,2,1),Transaksi!$B$16:$B$5015,"&lt;="&amp;EOMONTH(DATE(2034,2,1),0))</f>
        <v/>
      </c>
      <c r="D126" s="165">
        <f>SUMIFS(Transaksi!$F$16:$F$5015,Transaksi!$G$16:$G$5015,"Pengeluaran",Transaksi!$B$16:$B$5015,"&gt;="&amp;DATE(2034,2,1),Transaksi!$B$16:$B$5015,"&lt;="&amp;EOMONTH(DATE(2034,2,1),0))</f>
        <v/>
      </c>
      <c r="E126" s="166">
        <f>C126-D126</f>
        <v/>
      </c>
      <c r="F126" s="165">
        <f>(SUMIFS(Transaksi!$F$16:$F$5015,Transaksi!$G$16:$G$5015,"Pendapatan",Transaksi!$B$16:$B$5015,"&gt;="&amp;DATE(2034,2,1),Transaksi!$B$16:$B$5015,"&lt;="&amp;EOMONTH(DATE(2034,2,1),0),Transaksi!$H$16:$H$5015,"Uang Kos Mama")+SUMIFS(Transaksi!$F$16:$F$5015,Transaksi!$G$16:$G$5015,"Pendapatan",Transaksi!$B$16:$B$5015,"&gt;="&amp;DATE(2034,2,1),Transaksi!$B$16:$B$5015,"&lt;="&amp;EOMONTH(DATE(2034,2,1),0),Transaksi!$H$16:$H$5015,"Uang Kedai"))-(SUMIFS(Transaksi!$F$16:$F$5015,Transaksi!$G$16:$G$5015,"Pengeluaran",Transaksi!$B$16:$B$5015,"&gt;="&amp;DATE(2034,2,1),Transaksi!$B$16:$B$5015,"&lt;="&amp;EOMONTH(DATE(2034,2,1),0),Transaksi!$H$16:$H$5015,"Pengeluaran Uang Kos")+SUMIFS(Transaksi!$F$16:$F$5015,Transaksi!$G$16:$G$5015,"Pengeluaran",Transaksi!$B$16:$B$5015,"&gt;="&amp;DATE(2034,2,1),Transaksi!$B$16:$B$5015,"&lt;="&amp;EOMONTH(DATE(2034,2,1),0),Transaksi!$H$16:$H$5015,"Pengeluaran Uang Kedai")+(SUMIFS(Transaksi!$F$16:$F$5015,Transaksi!$G$16:$G$5015,"Tabungan",Transaksi!$D$16:$D$5015,"Keluar",Transaksi!$H$16:$H$5015,"Reksadana uang kos mama",Transaksi!$B$16:$B$5015,"&gt;="&amp;DATE(2034,2,1),Transaksi!$B$16:$B$5015,"&lt;="&amp;EOMONTH(DATE(2034,2,1),0))-SUMIFS(Transaksi!$F$16:$F$5015,Transaksi!$G$16:$G$5015,"Tabungan",Transaksi!$D$16:$D$5015,"Masuk",Transaksi!$H$16:$H$5015,"Reksadana uang kos mama",Transaksi!$B$16:$B$5015,"&gt;="&amp;DATE(2034,2,1),Transaksi!$B$16:$B$5015,"&lt;="&amp;EOMONTH(DATE(2034,2,1),0))))</f>
        <v/>
      </c>
      <c r="G126" s="165">
        <f>(SUMIFS(Transaksi!$F$16:$F$5015,Transaksi!$G$16:$G$5015,"Tabungan",Transaksi!$D$16:$D$5015,"Keluar",Transaksi!$H$16:$H$5015,"&lt;&gt;Reksadana uang kos mama",Transaksi!$B$16:$B$5015,"&gt;="&amp;DATE(2034,2,1),Transaksi!$B$16:$B$5015,"&lt;="&amp;EOMONTH(DATE(2034,2,1),0))-SUMIFS(Transaksi!$F$16:$F$5015,Transaksi!$G$16:$G$5015,"Tabungan",Transaksi!$D$16:$D$5015,"Masuk",Transaksi!$H$16:$H$5015,"&lt;&gt;Reksadana uang kos mama",Transaksi!$B$16:$B$5015,"&gt;="&amp;DATE(2034,2,1),Transaksi!$B$16:$B$5015,"&lt;="&amp;EOMONTH(DATE(2034,2,1),0)))</f>
        <v/>
      </c>
    </row>
    <row r="127" ht="15" customHeight="1" s="94">
      <c r="A127" s="164" t="n">
        <v>2034</v>
      </c>
      <c r="B127" s="164" t="inlineStr">
        <is>
          <t>Mar</t>
        </is>
      </c>
      <c r="C127" s="165">
        <f>SUMIFS(Transaksi!$F$16:$F$5015,Transaksi!$G$16:$G$5015,"Pendapatan",Transaksi!$B$16:$B$5015,"&gt;="&amp;DATE(2034,3,1),Transaksi!$B$16:$B$5015,"&lt;="&amp;EOMONTH(DATE(2034,3,1),0))</f>
        <v/>
      </c>
      <c r="D127" s="165">
        <f>SUMIFS(Transaksi!$F$16:$F$5015,Transaksi!$G$16:$G$5015,"Pengeluaran",Transaksi!$B$16:$B$5015,"&gt;="&amp;DATE(2034,3,1),Transaksi!$B$16:$B$5015,"&lt;="&amp;EOMONTH(DATE(2034,3,1),0))</f>
        <v/>
      </c>
      <c r="E127" s="166">
        <f>C127-D127</f>
        <v/>
      </c>
      <c r="F127" s="165">
        <f>(SUMIFS(Transaksi!$F$16:$F$5015,Transaksi!$G$16:$G$5015,"Pendapatan",Transaksi!$B$16:$B$5015,"&gt;="&amp;DATE(2034,3,1),Transaksi!$B$16:$B$5015,"&lt;="&amp;EOMONTH(DATE(2034,3,1),0),Transaksi!$H$16:$H$5015,"Uang Kos Mama")+SUMIFS(Transaksi!$F$16:$F$5015,Transaksi!$G$16:$G$5015,"Pendapatan",Transaksi!$B$16:$B$5015,"&gt;="&amp;DATE(2034,3,1),Transaksi!$B$16:$B$5015,"&lt;="&amp;EOMONTH(DATE(2034,3,1),0),Transaksi!$H$16:$H$5015,"Uang Kedai"))-(SUMIFS(Transaksi!$F$16:$F$5015,Transaksi!$G$16:$G$5015,"Pengeluaran",Transaksi!$B$16:$B$5015,"&gt;="&amp;DATE(2034,3,1),Transaksi!$B$16:$B$5015,"&lt;="&amp;EOMONTH(DATE(2034,3,1),0),Transaksi!$H$16:$H$5015,"Pengeluaran Uang Kos")+SUMIFS(Transaksi!$F$16:$F$5015,Transaksi!$G$16:$G$5015,"Pengeluaran",Transaksi!$B$16:$B$5015,"&gt;="&amp;DATE(2034,3,1),Transaksi!$B$16:$B$5015,"&lt;="&amp;EOMONTH(DATE(2034,3,1),0),Transaksi!$H$16:$H$5015,"Pengeluaran Uang Kedai")+(SUMIFS(Transaksi!$F$16:$F$5015,Transaksi!$G$16:$G$5015,"Tabungan",Transaksi!$D$16:$D$5015,"Keluar",Transaksi!$H$16:$H$5015,"Reksadana uang kos mama",Transaksi!$B$16:$B$5015,"&gt;="&amp;DATE(2034,3,1),Transaksi!$B$16:$B$5015,"&lt;="&amp;EOMONTH(DATE(2034,3,1),0))-SUMIFS(Transaksi!$F$16:$F$5015,Transaksi!$G$16:$G$5015,"Tabungan",Transaksi!$D$16:$D$5015,"Masuk",Transaksi!$H$16:$H$5015,"Reksadana uang kos mama",Transaksi!$B$16:$B$5015,"&gt;="&amp;DATE(2034,3,1),Transaksi!$B$16:$B$5015,"&lt;="&amp;EOMONTH(DATE(2034,3,1),0))))</f>
        <v/>
      </c>
      <c r="G127" s="165">
        <f>(SUMIFS(Transaksi!$F$16:$F$5015,Transaksi!$G$16:$G$5015,"Tabungan",Transaksi!$D$16:$D$5015,"Keluar",Transaksi!$H$16:$H$5015,"&lt;&gt;Reksadana uang kos mama",Transaksi!$B$16:$B$5015,"&gt;="&amp;DATE(2034,3,1),Transaksi!$B$16:$B$5015,"&lt;="&amp;EOMONTH(DATE(2034,3,1),0))-SUMIFS(Transaksi!$F$16:$F$5015,Transaksi!$G$16:$G$5015,"Tabungan",Transaksi!$D$16:$D$5015,"Masuk",Transaksi!$H$16:$H$5015,"&lt;&gt;Reksadana uang kos mama",Transaksi!$B$16:$B$5015,"&gt;="&amp;DATE(2034,3,1),Transaksi!$B$16:$B$5015,"&lt;="&amp;EOMONTH(DATE(2034,3,1),0)))</f>
        <v/>
      </c>
    </row>
    <row r="128" ht="15" customHeight="1" s="94">
      <c r="A128" s="164" t="n">
        <v>2034</v>
      </c>
      <c r="B128" s="164" t="inlineStr">
        <is>
          <t>Apr</t>
        </is>
      </c>
      <c r="C128" s="165">
        <f>SUMIFS(Transaksi!$F$16:$F$5015,Transaksi!$G$16:$G$5015,"Pendapatan",Transaksi!$B$16:$B$5015,"&gt;="&amp;DATE(2034,4,1),Transaksi!$B$16:$B$5015,"&lt;="&amp;EOMONTH(DATE(2034,4,1),0))</f>
        <v/>
      </c>
      <c r="D128" s="165">
        <f>SUMIFS(Transaksi!$F$16:$F$5015,Transaksi!$G$16:$G$5015,"Pengeluaran",Transaksi!$B$16:$B$5015,"&gt;="&amp;DATE(2034,4,1),Transaksi!$B$16:$B$5015,"&lt;="&amp;EOMONTH(DATE(2034,4,1),0))</f>
        <v/>
      </c>
      <c r="E128" s="166">
        <f>C128-D128</f>
        <v/>
      </c>
      <c r="F128" s="165">
        <f>(SUMIFS(Transaksi!$F$16:$F$5015,Transaksi!$G$16:$G$5015,"Pendapatan",Transaksi!$B$16:$B$5015,"&gt;="&amp;DATE(2034,4,1),Transaksi!$B$16:$B$5015,"&lt;="&amp;EOMONTH(DATE(2034,4,1),0),Transaksi!$H$16:$H$5015,"Uang Kos Mama")+SUMIFS(Transaksi!$F$16:$F$5015,Transaksi!$G$16:$G$5015,"Pendapatan",Transaksi!$B$16:$B$5015,"&gt;="&amp;DATE(2034,4,1),Transaksi!$B$16:$B$5015,"&lt;="&amp;EOMONTH(DATE(2034,4,1),0),Transaksi!$H$16:$H$5015,"Uang Kedai"))-(SUMIFS(Transaksi!$F$16:$F$5015,Transaksi!$G$16:$G$5015,"Pengeluaran",Transaksi!$B$16:$B$5015,"&gt;="&amp;DATE(2034,4,1),Transaksi!$B$16:$B$5015,"&lt;="&amp;EOMONTH(DATE(2034,4,1),0),Transaksi!$H$16:$H$5015,"Pengeluaran Uang Kos")+SUMIFS(Transaksi!$F$16:$F$5015,Transaksi!$G$16:$G$5015,"Pengeluaran",Transaksi!$B$16:$B$5015,"&gt;="&amp;DATE(2034,4,1),Transaksi!$B$16:$B$5015,"&lt;="&amp;EOMONTH(DATE(2034,4,1),0),Transaksi!$H$16:$H$5015,"Pengeluaran Uang Kedai")+(SUMIFS(Transaksi!$F$16:$F$5015,Transaksi!$G$16:$G$5015,"Tabungan",Transaksi!$D$16:$D$5015,"Keluar",Transaksi!$H$16:$H$5015,"Reksadana uang kos mama",Transaksi!$B$16:$B$5015,"&gt;="&amp;DATE(2034,4,1),Transaksi!$B$16:$B$5015,"&lt;="&amp;EOMONTH(DATE(2034,4,1),0))-SUMIFS(Transaksi!$F$16:$F$5015,Transaksi!$G$16:$G$5015,"Tabungan",Transaksi!$D$16:$D$5015,"Masuk",Transaksi!$H$16:$H$5015,"Reksadana uang kos mama",Transaksi!$B$16:$B$5015,"&gt;="&amp;DATE(2034,4,1),Transaksi!$B$16:$B$5015,"&lt;="&amp;EOMONTH(DATE(2034,4,1),0))))</f>
        <v/>
      </c>
      <c r="G128" s="165">
        <f>(SUMIFS(Transaksi!$F$16:$F$5015,Transaksi!$G$16:$G$5015,"Tabungan",Transaksi!$D$16:$D$5015,"Keluar",Transaksi!$H$16:$H$5015,"&lt;&gt;Reksadana uang kos mama",Transaksi!$B$16:$B$5015,"&gt;="&amp;DATE(2034,4,1),Transaksi!$B$16:$B$5015,"&lt;="&amp;EOMONTH(DATE(2034,4,1),0))-SUMIFS(Transaksi!$F$16:$F$5015,Transaksi!$G$16:$G$5015,"Tabungan",Transaksi!$D$16:$D$5015,"Masuk",Transaksi!$H$16:$H$5015,"&lt;&gt;Reksadana uang kos mama",Transaksi!$B$16:$B$5015,"&gt;="&amp;DATE(2034,4,1),Transaksi!$B$16:$B$5015,"&lt;="&amp;EOMONTH(DATE(2034,4,1),0)))</f>
        <v/>
      </c>
    </row>
    <row r="129" ht="15" customHeight="1" s="94">
      <c r="A129" s="164" t="n">
        <v>2034</v>
      </c>
      <c r="B129" s="164" t="inlineStr">
        <is>
          <t>Mei</t>
        </is>
      </c>
      <c r="C129" s="165">
        <f>SUMIFS(Transaksi!$F$16:$F$5015,Transaksi!$G$16:$G$5015,"Pendapatan",Transaksi!$B$16:$B$5015,"&gt;="&amp;DATE(2034,5,1),Transaksi!$B$16:$B$5015,"&lt;="&amp;EOMONTH(DATE(2034,5,1),0))</f>
        <v/>
      </c>
      <c r="D129" s="165">
        <f>SUMIFS(Transaksi!$F$16:$F$5015,Transaksi!$G$16:$G$5015,"Pengeluaran",Transaksi!$B$16:$B$5015,"&gt;="&amp;DATE(2034,5,1),Transaksi!$B$16:$B$5015,"&lt;="&amp;EOMONTH(DATE(2034,5,1),0))</f>
        <v/>
      </c>
      <c r="E129" s="166">
        <f>C129-D129</f>
        <v/>
      </c>
      <c r="F129" s="165">
        <f>(SUMIFS(Transaksi!$F$16:$F$5015,Transaksi!$G$16:$G$5015,"Pendapatan",Transaksi!$B$16:$B$5015,"&gt;="&amp;DATE(2034,5,1),Transaksi!$B$16:$B$5015,"&lt;="&amp;EOMONTH(DATE(2034,5,1),0),Transaksi!$H$16:$H$5015,"Uang Kos Mama")+SUMIFS(Transaksi!$F$16:$F$5015,Transaksi!$G$16:$G$5015,"Pendapatan",Transaksi!$B$16:$B$5015,"&gt;="&amp;DATE(2034,5,1),Transaksi!$B$16:$B$5015,"&lt;="&amp;EOMONTH(DATE(2034,5,1),0),Transaksi!$H$16:$H$5015,"Uang Kedai"))-(SUMIFS(Transaksi!$F$16:$F$5015,Transaksi!$G$16:$G$5015,"Pengeluaran",Transaksi!$B$16:$B$5015,"&gt;="&amp;DATE(2034,5,1),Transaksi!$B$16:$B$5015,"&lt;="&amp;EOMONTH(DATE(2034,5,1),0),Transaksi!$H$16:$H$5015,"Pengeluaran Uang Kos")+SUMIFS(Transaksi!$F$16:$F$5015,Transaksi!$G$16:$G$5015,"Pengeluaran",Transaksi!$B$16:$B$5015,"&gt;="&amp;DATE(2034,5,1),Transaksi!$B$16:$B$5015,"&lt;="&amp;EOMONTH(DATE(2034,5,1),0),Transaksi!$H$16:$H$5015,"Pengeluaran Uang Kedai")+(SUMIFS(Transaksi!$F$16:$F$5015,Transaksi!$G$16:$G$5015,"Tabungan",Transaksi!$D$16:$D$5015,"Keluar",Transaksi!$H$16:$H$5015,"Reksadana uang kos mama",Transaksi!$B$16:$B$5015,"&gt;="&amp;DATE(2034,5,1),Transaksi!$B$16:$B$5015,"&lt;="&amp;EOMONTH(DATE(2034,5,1),0))-SUMIFS(Transaksi!$F$16:$F$5015,Transaksi!$G$16:$G$5015,"Tabungan",Transaksi!$D$16:$D$5015,"Masuk",Transaksi!$H$16:$H$5015,"Reksadana uang kos mama",Transaksi!$B$16:$B$5015,"&gt;="&amp;DATE(2034,5,1),Transaksi!$B$16:$B$5015,"&lt;="&amp;EOMONTH(DATE(2034,5,1),0))))</f>
        <v/>
      </c>
      <c r="G129" s="165">
        <f>(SUMIFS(Transaksi!$F$16:$F$5015,Transaksi!$G$16:$G$5015,"Tabungan",Transaksi!$D$16:$D$5015,"Keluar",Transaksi!$H$16:$H$5015,"&lt;&gt;Reksadana uang kos mama",Transaksi!$B$16:$B$5015,"&gt;="&amp;DATE(2034,5,1),Transaksi!$B$16:$B$5015,"&lt;="&amp;EOMONTH(DATE(2034,5,1),0))-SUMIFS(Transaksi!$F$16:$F$5015,Transaksi!$G$16:$G$5015,"Tabungan",Transaksi!$D$16:$D$5015,"Masuk",Transaksi!$H$16:$H$5015,"&lt;&gt;Reksadana uang kos mama",Transaksi!$B$16:$B$5015,"&gt;="&amp;DATE(2034,5,1),Transaksi!$B$16:$B$5015,"&lt;="&amp;EOMONTH(DATE(2034,5,1),0)))</f>
        <v/>
      </c>
    </row>
    <row r="130" ht="15" customHeight="1" s="94">
      <c r="A130" s="164" t="n">
        <v>2034</v>
      </c>
      <c r="B130" s="164" t="inlineStr">
        <is>
          <t>Jun</t>
        </is>
      </c>
      <c r="C130" s="165">
        <f>SUMIFS(Transaksi!$F$16:$F$5015,Transaksi!$G$16:$G$5015,"Pendapatan",Transaksi!$B$16:$B$5015,"&gt;="&amp;DATE(2034,6,1),Transaksi!$B$16:$B$5015,"&lt;="&amp;EOMONTH(DATE(2034,6,1),0))</f>
        <v/>
      </c>
      <c r="D130" s="165">
        <f>SUMIFS(Transaksi!$F$16:$F$5015,Transaksi!$G$16:$G$5015,"Pengeluaran",Transaksi!$B$16:$B$5015,"&gt;="&amp;DATE(2034,6,1),Transaksi!$B$16:$B$5015,"&lt;="&amp;EOMONTH(DATE(2034,6,1),0))</f>
        <v/>
      </c>
      <c r="E130" s="166">
        <f>C130-D130</f>
        <v/>
      </c>
      <c r="F130" s="165">
        <f>(SUMIFS(Transaksi!$F$16:$F$5015,Transaksi!$G$16:$G$5015,"Pendapatan",Transaksi!$B$16:$B$5015,"&gt;="&amp;DATE(2034,6,1),Transaksi!$B$16:$B$5015,"&lt;="&amp;EOMONTH(DATE(2034,6,1),0),Transaksi!$H$16:$H$5015,"Uang Kos Mama")+SUMIFS(Transaksi!$F$16:$F$5015,Transaksi!$G$16:$G$5015,"Pendapatan",Transaksi!$B$16:$B$5015,"&gt;="&amp;DATE(2034,6,1),Transaksi!$B$16:$B$5015,"&lt;="&amp;EOMONTH(DATE(2034,6,1),0),Transaksi!$H$16:$H$5015,"Uang Kedai"))-(SUMIFS(Transaksi!$F$16:$F$5015,Transaksi!$G$16:$G$5015,"Pengeluaran",Transaksi!$B$16:$B$5015,"&gt;="&amp;DATE(2034,6,1),Transaksi!$B$16:$B$5015,"&lt;="&amp;EOMONTH(DATE(2034,6,1),0),Transaksi!$H$16:$H$5015,"Pengeluaran Uang Kos")+SUMIFS(Transaksi!$F$16:$F$5015,Transaksi!$G$16:$G$5015,"Pengeluaran",Transaksi!$B$16:$B$5015,"&gt;="&amp;DATE(2034,6,1),Transaksi!$B$16:$B$5015,"&lt;="&amp;EOMONTH(DATE(2034,6,1),0),Transaksi!$H$16:$H$5015,"Pengeluaran Uang Kedai")+(SUMIFS(Transaksi!$F$16:$F$5015,Transaksi!$G$16:$G$5015,"Tabungan",Transaksi!$D$16:$D$5015,"Keluar",Transaksi!$H$16:$H$5015,"Reksadana uang kos mama",Transaksi!$B$16:$B$5015,"&gt;="&amp;DATE(2034,6,1),Transaksi!$B$16:$B$5015,"&lt;="&amp;EOMONTH(DATE(2034,6,1),0))-SUMIFS(Transaksi!$F$16:$F$5015,Transaksi!$G$16:$G$5015,"Tabungan",Transaksi!$D$16:$D$5015,"Masuk",Transaksi!$H$16:$H$5015,"Reksadana uang kos mama",Transaksi!$B$16:$B$5015,"&gt;="&amp;DATE(2034,6,1),Transaksi!$B$16:$B$5015,"&lt;="&amp;EOMONTH(DATE(2034,6,1),0))))</f>
        <v/>
      </c>
      <c r="G130" s="165">
        <f>(SUMIFS(Transaksi!$F$16:$F$5015,Transaksi!$G$16:$G$5015,"Tabungan",Transaksi!$D$16:$D$5015,"Keluar",Transaksi!$H$16:$H$5015,"&lt;&gt;Reksadana uang kos mama",Transaksi!$B$16:$B$5015,"&gt;="&amp;DATE(2034,6,1),Transaksi!$B$16:$B$5015,"&lt;="&amp;EOMONTH(DATE(2034,6,1),0))-SUMIFS(Transaksi!$F$16:$F$5015,Transaksi!$G$16:$G$5015,"Tabungan",Transaksi!$D$16:$D$5015,"Masuk",Transaksi!$H$16:$H$5015,"&lt;&gt;Reksadana uang kos mama",Transaksi!$B$16:$B$5015,"&gt;="&amp;DATE(2034,6,1),Transaksi!$B$16:$B$5015,"&lt;="&amp;EOMONTH(DATE(2034,6,1),0)))</f>
        <v/>
      </c>
    </row>
    <row r="131" ht="15" customHeight="1" s="94">
      <c r="A131" s="164" t="n">
        <v>2034</v>
      </c>
      <c r="B131" s="164" t="inlineStr">
        <is>
          <t>Jul</t>
        </is>
      </c>
      <c r="C131" s="165">
        <f>SUMIFS(Transaksi!$F$16:$F$5015,Transaksi!$G$16:$G$5015,"Pendapatan",Transaksi!$B$16:$B$5015,"&gt;="&amp;DATE(2034,7,1),Transaksi!$B$16:$B$5015,"&lt;="&amp;EOMONTH(DATE(2034,7,1),0))</f>
        <v/>
      </c>
      <c r="D131" s="165">
        <f>SUMIFS(Transaksi!$F$16:$F$5015,Transaksi!$G$16:$G$5015,"Pengeluaran",Transaksi!$B$16:$B$5015,"&gt;="&amp;DATE(2034,7,1),Transaksi!$B$16:$B$5015,"&lt;="&amp;EOMONTH(DATE(2034,7,1),0))</f>
        <v/>
      </c>
      <c r="E131" s="166">
        <f>C131-D131</f>
        <v/>
      </c>
      <c r="F131" s="165">
        <f>(SUMIFS(Transaksi!$F$16:$F$5015,Transaksi!$G$16:$G$5015,"Pendapatan",Transaksi!$B$16:$B$5015,"&gt;="&amp;DATE(2034,7,1),Transaksi!$B$16:$B$5015,"&lt;="&amp;EOMONTH(DATE(2034,7,1),0),Transaksi!$H$16:$H$5015,"Uang Kos Mama")+SUMIFS(Transaksi!$F$16:$F$5015,Transaksi!$G$16:$G$5015,"Pendapatan",Transaksi!$B$16:$B$5015,"&gt;="&amp;DATE(2034,7,1),Transaksi!$B$16:$B$5015,"&lt;="&amp;EOMONTH(DATE(2034,7,1),0),Transaksi!$H$16:$H$5015,"Uang Kedai"))-(SUMIFS(Transaksi!$F$16:$F$5015,Transaksi!$G$16:$G$5015,"Pengeluaran",Transaksi!$B$16:$B$5015,"&gt;="&amp;DATE(2034,7,1),Transaksi!$B$16:$B$5015,"&lt;="&amp;EOMONTH(DATE(2034,7,1),0),Transaksi!$H$16:$H$5015,"Pengeluaran Uang Kos")+SUMIFS(Transaksi!$F$16:$F$5015,Transaksi!$G$16:$G$5015,"Pengeluaran",Transaksi!$B$16:$B$5015,"&gt;="&amp;DATE(2034,7,1),Transaksi!$B$16:$B$5015,"&lt;="&amp;EOMONTH(DATE(2034,7,1),0),Transaksi!$H$16:$H$5015,"Pengeluaran Uang Kedai")+(SUMIFS(Transaksi!$F$16:$F$5015,Transaksi!$G$16:$G$5015,"Tabungan",Transaksi!$D$16:$D$5015,"Keluar",Transaksi!$H$16:$H$5015,"Reksadana uang kos mama",Transaksi!$B$16:$B$5015,"&gt;="&amp;DATE(2034,7,1),Transaksi!$B$16:$B$5015,"&lt;="&amp;EOMONTH(DATE(2034,7,1),0))-SUMIFS(Transaksi!$F$16:$F$5015,Transaksi!$G$16:$G$5015,"Tabungan",Transaksi!$D$16:$D$5015,"Masuk",Transaksi!$H$16:$H$5015,"Reksadana uang kos mama",Transaksi!$B$16:$B$5015,"&gt;="&amp;DATE(2034,7,1),Transaksi!$B$16:$B$5015,"&lt;="&amp;EOMONTH(DATE(2034,7,1),0))))</f>
        <v/>
      </c>
      <c r="G131" s="165">
        <f>(SUMIFS(Transaksi!$F$16:$F$5015,Transaksi!$G$16:$G$5015,"Tabungan",Transaksi!$D$16:$D$5015,"Keluar",Transaksi!$H$16:$H$5015,"&lt;&gt;Reksadana uang kos mama",Transaksi!$B$16:$B$5015,"&gt;="&amp;DATE(2034,7,1),Transaksi!$B$16:$B$5015,"&lt;="&amp;EOMONTH(DATE(2034,7,1),0))-SUMIFS(Transaksi!$F$16:$F$5015,Transaksi!$G$16:$G$5015,"Tabungan",Transaksi!$D$16:$D$5015,"Masuk",Transaksi!$H$16:$H$5015,"&lt;&gt;Reksadana uang kos mama",Transaksi!$B$16:$B$5015,"&gt;="&amp;DATE(2034,7,1),Transaksi!$B$16:$B$5015,"&lt;="&amp;EOMONTH(DATE(2034,7,1),0)))</f>
        <v/>
      </c>
    </row>
    <row r="132" ht="15" customHeight="1" s="94">
      <c r="A132" s="164" t="n">
        <v>2034</v>
      </c>
      <c r="B132" s="164" t="inlineStr">
        <is>
          <t>Agu</t>
        </is>
      </c>
      <c r="C132" s="165">
        <f>SUMIFS(Transaksi!$F$16:$F$5015,Transaksi!$G$16:$G$5015,"Pendapatan",Transaksi!$B$16:$B$5015,"&gt;="&amp;DATE(2034,8,1),Transaksi!$B$16:$B$5015,"&lt;="&amp;EOMONTH(DATE(2034,8,1),0))</f>
        <v/>
      </c>
      <c r="D132" s="165">
        <f>SUMIFS(Transaksi!$F$16:$F$5015,Transaksi!$G$16:$G$5015,"Pengeluaran",Transaksi!$B$16:$B$5015,"&gt;="&amp;DATE(2034,8,1),Transaksi!$B$16:$B$5015,"&lt;="&amp;EOMONTH(DATE(2034,8,1),0))</f>
        <v/>
      </c>
      <c r="E132" s="166">
        <f>C132-D132</f>
        <v/>
      </c>
      <c r="F132" s="165">
        <f>(SUMIFS(Transaksi!$F$16:$F$5015,Transaksi!$G$16:$G$5015,"Pendapatan",Transaksi!$B$16:$B$5015,"&gt;="&amp;DATE(2034,8,1),Transaksi!$B$16:$B$5015,"&lt;="&amp;EOMONTH(DATE(2034,8,1),0),Transaksi!$H$16:$H$5015,"Uang Kos Mama")+SUMIFS(Transaksi!$F$16:$F$5015,Transaksi!$G$16:$G$5015,"Pendapatan",Transaksi!$B$16:$B$5015,"&gt;="&amp;DATE(2034,8,1),Transaksi!$B$16:$B$5015,"&lt;="&amp;EOMONTH(DATE(2034,8,1),0),Transaksi!$H$16:$H$5015,"Uang Kedai"))-(SUMIFS(Transaksi!$F$16:$F$5015,Transaksi!$G$16:$G$5015,"Pengeluaran",Transaksi!$B$16:$B$5015,"&gt;="&amp;DATE(2034,8,1),Transaksi!$B$16:$B$5015,"&lt;="&amp;EOMONTH(DATE(2034,8,1),0),Transaksi!$H$16:$H$5015,"Pengeluaran Uang Kos")+SUMIFS(Transaksi!$F$16:$F$5015,Transaksi!$G$16:$G$5015,"Pengeluaran",Transaksi!$B$16:$B$5015,"&gt;="&amp;DATE(2034,8,1),Transaksi!$B$16:$B$5015,"&lt;="&amp;EOMONTH(DATE(2034,8,1),0),Transaksi!$H$16:$H$5015,"Pengeluaran Uang Kedai")+(SUMIFS(Transaksi!$F$16:$F$5015,Transaksi!$G$16:$G$5015,"Tabungan",Transaksi!$D$16:$D$5015,"Keluar",Transaksi!$H$16:$H$5015,"Reksadana uang kos mama",Transaksi!$B$16:$B$5015,"&gt;="&amp;DATE(2034,8,1),Transaksi!$B$16:$B$5015,"&lt;="&amp;EOMONTH(DATE(2034,8,1),0))-SUMIFS(Transaksi!$F$16:$F$5015,Transaksi!$G$16:$G$5015,"Tabungan",Transaksi!$D$16:$D$5015,"Masuk",Transaksi!$H$16:$H$5015,"Reksadana uang kos mama",Transaksi!$B$16:$B$5015,"&gt;="&amp;DATE(2034,8,1),Transaksi!$B$16:$B$5015,"&lt;="&amp;EOMONTH(DATE(2034,8,1),0))))</f>
        <v/>
      </c>
      <c r="G132" s="165">
        <f>(SUMIFS(Transaksi!$F$16:$F$5015,Transaksi!$G$16:$G$5015,"Tabungan",Transaksi!$D$16:$D$5015,"Keluar",Transaksi!$H$16:$H$5015,"&lt;&gt;Reksadana uang kos mama",Transaksi!$B$16:$B$5015,"&gt;="&amp;DATE(2034,8,1),Transaksi!$B$16:$B$5015,"&lt;="&amp;EOMONTH(DATE(2034,8,1),0))-SUMIFS(Transaksi!$F$16:$F$5015,Transaksi!$G$16:$G$5015,"Tabungan",Transaksi!$D$16:$D$5015,"Masuk",Transaksi!$H$16:$H$5015,"&lt;&gt;Reksadana uang kos mama",Transaksi!$B$16:$B$5015,"&gt;="&amp;DATE(2034,8,1),Transaksi!$B$16:$B$5015,"&lt;="&amp;EOMONTH(DATE(2034,8,1),0)))</f>
        <v/>
      </c>
    </row>
    <row r="133" ht="15" customHeight="1" s="94">
      <c r="A133" s="164" t="n">
        <v>2034</v>
      </c>
      <c r="B133" s="164" t="inlineStr">
        <is>
          <t>Sep</t>
        </is>
      </c>
      <c r="C133" s="165">
        <f>SUMIFS(Transaksi!$F$16:$F$5015,Transaksi!$G$16:$G$5015,"Pendapatan",Transaksi!$B$16:$B$5015,"&gt;="&amp;DATE(2034,9,1),Transaksi!$B$16:$B$5015,"&lt;="&amp;EOMONTH(DATE(2034,9,1),0))</f>
        <v/>
      </c>
      <c r="D133" s="165">
        <f>SUMIFS(Transaksi!$F$16:$F$5015,Transaksi!$G$16:$G$5015,"Pengeluaran",Transaksi!$B$16:$B$5015,"&gt;="&amp;DATE(2034,9,1),Transaksi!$B$16:$B$5015,"&lt;="&amp;EOMONTH(DATE(2034,9,1),0))</f>
        <v/>
      </c>
      <c r="E133" s="166">
        <f>C133-D133</f>
        <v/>
      </c>
      <c r="F133" s="165">
        <f>(SUMIFS(Transaksi!$F$16:$F$5015,Transaksi!$G$16:$G$5015,"Pendapatan",Transaksi!$B$16:$B$5015,"&gt;="&amp;DATE(2034,9,1),Transaksi!$B$16:$B$5015,"&lt;="&amp;EOMONTH(DATE(2034,9,1),0),Transaksi!$H$16:$H$5015,"Uang Kos Mama")+SUMIFS(Transaksi!$F$16:$F$5015,Transaksi!$G$16:$G$5015,"Pendapatan",Transaksi!$B$16:$B$5015,"&gt;="&amp;DATE(2034,9,1),Transaksi!$B$16:$B$5015,"&lt;="&amp;EOMONTH(DATE(2034,9,1),0),Transaksi!$H$16:$H$5015,"Uang Kedai"))-(SUMIFS(Transaksi!$F$16:$F$5015,Transaksi!$G$16:$G$5015,"Pengeluaran",Transaksi!$B$16:$B$5015,"&gt;="&amp;DATE(2034,9,1),Transaksi!$B$16:$B$5015,"&lt;="&amp;EOMONTH(DATE(2034,9,1),0),Transaksi!$H$16:$H$5015,"Pengeluaran Uang Kos")+SUMIFS(Transaksi!$F$16:$F$5015,Transaksi!$G$16:$G$5015,"Pengeluaran",Transaksi!$B$16:$B$5015,"&gt;="&amp;DATE(2034,9,1),Transaksi!$B$16:$B$5015,"&lt;="&amp;EOMONTH(DATE(2034,9,1),0),Transaksi!$H$16:$H$5015,"Pengeluaran Uang Kedai")+(SUMIFS(Transaksi!$F$16:$F$5015,Transaksi!$G$16:$G$5015,"Tabungan",Transaksi!$D$16:$D$5015,"Keluar",Transaksi!$H$16:$H$5015,"Reksadana uang kos mama",Transaksi!$B$16:$B$5015,"&gt;="&amp;DATE(2034,9,1),Transaksi!$B$16:$B$5015,"&lt;="&amp;EOMONTH(DATE(2034,9,1),0))-SUMIFS(Transaksi!$F$16:$F$5015,Transaksi!$G$16:$G$5015,"Tabungan",Transaksi!$D$16:$D$5015,"Masuk",Transaksi!$H$16:$H$5015,"Reksadana uang kos mama",Transaksi!$B$16:$B$5015,"&gt;="&amp;DATE(2034,9,1),Transaksi!$B$16:$B$5015,"&lt;="&amp;EOMONTH(DATE(2034,9,1),0))))</f>
        <v/>
      </c>
      <c r="G133" s="165">
        <f>(SUMIFS(Transaksi!$F$16:$F$5015,Transaksi!$G$16:$G$5015,"Tabungan",Transaksi!$D$16:$D$5015,"Keluar",Transaksi!$H$16:$H$5015,"&lt;&gt;Reksadana uang kos mama",Transaksi!$B$16:$B$5015,"&gt;="&amp;DATE(2034,9,1),Transaksi!$B$16:$B$5015,"&lt;="&amp;EOMONTH(DATE(2034,9,1),0))-SUMIFS(Transaksi!$F$16:$F$5015,Transaksi!$G$16:$G$5015,"Tabungan",Transaksi!$D$16:$D$5015,"Masuk",Transaksi!$H$16:$H$5015,"&lt;&gt;Reksadana uang kos mama",Transaksi!$B$16:$B$5015,"&gt;="&amp;DATE(2034,9,1),Transaksi!$B$16:$B$5015,"&lt;="&amp;EOMONTH(DATE(2034,9,1),0)))</f>
        <v/>
      </c>
    </row>
    <row r="134" ht="15" customHeight="1" s="94">
      <c r="A134" s="164" t="n">
        <v>2034</v>
      </c>
      <c r="B134" s="164" t="inlineStr">
        <is>
          <t>Okt</t>
        </is>
      </c>
      <c r="C134" s="165">
        <f>SUMIFS(Transaksi!$F$16:$F$5015,Transaksi!$G$16:$G$5015,"Pendapatan",Transaksi!$B$16:$B$5015,"&gt;="&amp;DATE(2034,10,1),Transaksi!$B$16:$B$5015,"&lt;="&amp;EOMONTH(DATE(2034,10,1),0))</f>
        <v/>
      </c>
      <c r="D134" s="165">
        <f>SUMIFS(Transaksi!$F$16:$F$5015,Transaksi!$G$16:$G$5015,"Pengeluaran",Transaksi!$B$16:$B$5015,"&gt;="&amp;DATE(2034,10,1),Transaksi!$B$16:$B$5015,"&lt;="&amp;EOMONTH(DATE(2034,10,1),0))</f>
        <v/>
      </c>
      <c r="E134" s="166">
        <f>C134-D134</f>
        <v/>
      </c>
      <c r="F134" s="165">
        <f>(SUMIFS(Transaksi!$F$16:$F$5015,Transaksi!$G$16:$G$5015,"Pendapatan",Transaksi!$B$16:$B$5015,"&gt;="&amp;DATE(2034,10,1),Transaksi!$B$16:$B$5015,"&lt;="&amp;EOMONTH(DATE(2034,10,1),0),Transaksi!$H$16:$H$5015,"Uang Kos Mama")+SUMIFS(Transaksi!$F$16:$F$5015,Transaksi!$G$16:$G$5015,"Pendapatan",Transaksi!$B$16:$B$5015,"&gt;="&amp;DATE(2034,10,1),Transaksi!$B$16:$B$5015,"&lt;="&amp;EOMONTH(DATE(2034,10,1),0),Transaksi!$H$16:$H$5015,"Uang Kedai"))-(SUMIFS(Transaksi!$F$16:$F$5015,Transaksi!$G$16:$G$5015,"Pengeluaran",Transaksi!$B$16:$B$5015,"&gt;="&amp;DATE(2034,10,1),Transaksi!$B$16:$B$5015,"&lt;="&amp;EOMONTH(DATE(2034,10,1),0),Transaksi!$H$16:$H$5015,"Pengeluaran Uang Kos")+SUMIFS(Transaksi!$F$16:$F$5015,Transaksi!$G$16:$G$5015,"Pengeluaran",Transaksi!$B$16:$B$5015,"&gt;="&amp;DATE(2034,10,1),Transaksi!$B$16:$B$5015,"&lt;="&amp;EOMONTH(DATE(2034,10,1),0),Transaksi!$H$16:$H$5015,"Pengeluaran Uang Kedai")+(SUMIFS(Transaksi!$F$16:$F$5015,Transaksi!$G$16:$G$5015,"Tabungan",Transaksi!$D$16:$D$5015,"Keluar",Transaksi!$H$16:$H$5015,"Reksadana uang kos mama",Transaksi!$B$16:$B$5015,"&gt;="&amp;DATE(2034,10,1),Transaksi!$B$16:$B$5015,"&lt;="&amp;EOMONTH(DATE(2034,10,1),0))-SUMIFS(Transaksi!$F$16:$F$5015,Transaksi!$G$16:$G$5015,"Tabungan",Transaksi!$D$16:$D$5015,"Masuk",Transaksi!$H$16:$H$5015,"Reksadana uang kos mama",Transaksi!$B$16:$B$5015,"&gt;="&amp;DATE(2034,10,1),Transaksi!$B$16:$B$5015,"&lt;="&amp;EOMONTH(DATE(2034,10,1),0))))</f>
        <v/>
      </c>
      <c r="G134" s="165">
        <f>(SUMIFS(Transaksi!$F$16:$F$5015,Transaksi!$G$16:$G$5015,"Tabungan",Transaksi!$D$16:$D$5015,"Keluar",Transaksi!$H$16:$H$5015,"&lt;&gt;Reksadana uang kos mama",Transaksi!$B$16:$B$5015,"&gt;="&amp;DATE(2034,10,1),Transaksi!$B$16:$B$5015,"&lt;="&amp;EOMONTH(DATE(2034,10,1),0))-SUMIFS(Transaksi!$F$16:$F$5015,Transaksi!$G$16:$G$5015,"Tabungan",Transaksi!$D$16:$D$5015,"Masuk",Transaksi!$H$16:$H$5015,"&lt;&gt;Reksadana uang kos mama",Transaksi!$B$16:$B$5015,"&gt;="&amp;DATE(2034,10,1),Transaksi!$B$16:$B$5015,"&lt;="&amp;EOMONTH(DATE(2034,10,1),0)))</f>
        <v/>
      </c>
    </row>
    <row r="135" ht="15" customHeight="1" s="94">
      <c r="A135" s="164" t="n">
        <v>2034</v>
      </c>
      <c r="B135" s="164" t="inlineStr">
        <is>
          <t>Nov</t>
        </is>
      </c>
      <c r="C135" s="165">
        <f>SUMIFS(Transaksi!$F$16:$F$5015,Transaksi!$G$16:$G$5015,"Pendapatan",Transaksi!$B$16:$B$5015,"&gt;="&amp;DATE(2034,11,1),Transaksi!$B$16:$B$5015,"&lt;="&amp;EOMONTH(DATE(2034,11,1),0))</f>
        <v/>
      </c>
      <c r="D135" s="165">
        <f>SUMIFS(Transaksi!$F$16:$F$5015,Transaksi!$G$16:$G$5015,"Pengeluaran",Transaksi!$B$16:$B$5015,"&gt;="&amp;DATE(2034,11,1),Transaksi!$B$16:$B$5015,"&lt;="&amp;EOMONTH(DATE(2034,11,1),0))</f>
        <v/>
      </c>
      <c r="E135" s="166">
        <f>C135-D135</f>
        <v/>
      </c>
      <c r="F135" s="165">
        <f>(SUMIFS(Transaksi!$F$16:$F$5015,Transaksi!$G$16:$G$5015,"Pendapatan",Transaksi!$B$16:$B$5015,"&gt;="&amp;DATE(2034,11,1),Transaksi!$B$16:$B$5015,"&lt;="&amp;EOMONTH(DATE(2034,11,1),0),Transaksi!$H$16:$H$5015,"Uang Kos Mama")+SUMIFS(Transaksi!$F$16:$F$5015,Transaksi!$G$16:$G$5015,"Pendapatan",Transaksi!$B$16:$B$5015,"&gt;="&amp;DATE(2034,11,1),Transaksi!$B$16:$B$5015,"&lt;="&amp;EOMONTH(DATE(2034,11,1),0),Transaksi!$H$16:$H$5015,"Uang Kedai"))-(SUMIFS(Transaksi!$F$16:$F$5015,Transaksi!$G$16:$G$5015,"Pengeluaran",Transaksi!$B$16:$B$5015,"&gt;="&amp;DATE(2034,11,1),Transaksi!$B$16:$B$5015,"&lt;="&amp;EOMONTH(DATE(2034,11,1),0),Transaksi!$H$16:$H$5015,"Pengeluaran Uang Kos")+SUMIFS(Transaksi!$F$16:$F$5015,Transaksi!$G$16:$G$5015,"Pengeluaran",Transaksi!$B$16:$B$5015,"&gt;="&amp;DATE(2034,11,1),Transaksi!$B$16:$B$5015,"&lt;="&amp;EOMONTH(DATE(2034,11,1),0),Transaksi!$H$16:$H$5015,"Pengeluaran Uang Kedai")+(SUMIFS(Transaksi!$F$16:$F$5015,Transaksi!$G$16:$G$5015,"Tabungan",Transaksi!$D$16:$D$5015,"Keluar",Transaksi!$H$16:$H$5015,"Reksadana uang kos mama",Transaksi!$B$16:$B$5015,"&gt;="&amp;DATE(2034,11,1),Transaksi!$B$16:$B$5015,"&lt;="&amp;EOMONTH(DATE(2034,11,1),0))-SUMIFS(Transaksi!$F$16:$F$5015,Transaksi!$G$16:$G$5015,"Tabungan",Transaksi!$D$16:$D$5015,"Masuk",Transaksi!$H$16:$H$5015,"Reksadana uang kos mama",Transaksi!$B$16:$B$5015,"&gt;="&amp;DATE(2034,11,1),Transaksi!$B$16:$B$5015,"&lt;="&amp;EOMONTH(DATE(2034,11,1),0))))</f>
        <v/>
      </c>
      <c r="G135" s="165">
        <f>(SUMIFS(Transaksi!$F$16:$F$5015,Transaksi!$G$16:$G$5015,"Tabungan",Transaksi!$D$16:$D$5015,"Keluar",Transaksi!$H$16:$H$5015,"&lt;&gt;Reksadana uang kos mama",Transaksi!$B$16:$B$5015,"&gt;="&amp;DATE(2034,11,1),Transaksi!$B$16:$B$5015,"&lt;="&amp;EOMONTH(DATE(2034,11,1),0))-SUMIFS(Transaksi!$F$16:$F$5015,Transaksi!$G$16:$G$5015,"Tabungan",Transaksi!$D$16:$D$5015,"Masuk",Transaksi!$H$16:$H$5015,"&lt;&gt;Reksadana uang kos mama",Transaksi!$B$16:$B$5015,"&gt;="&amp;DATE(2034,11,1),Transaksi!$B$16:$B$5015,"&lt;="&amp;EOMONTH(DATE(2034,11,1),0)))</f>
        <v/>
      </c>
    </row>
    <row r="136" ht="15" customHeight="1" s="94">
      <c r="A136" s="164" t="n">
        <v>2034</v>
      </c>
      <c r="B136" s="164" t="inlineStr">
        <is>
          <t>Des</t>
        </is>
      </c>
      <c r="C136" s="165">
        <f>SUMIFS(Transaksi!$F$16:$F$5015,Transaksi!$G$16:$G$5015,"Pendapatan",Transaksi!$B$16:$B$5015,"&gt;="&amp;DATE(2034,12,1),Transaksi!$B$16:$B$5015,"&lt;="&amp;EOMONTH(DATE(2034,12,1),0))</f>
        <v/>
      </c>
      <c r="D136" s="165">
        <f>SUMIFS(Transaksi!$F$16:$F$5015,Transaksi!$G$16:$G$5015,"Pengeluaran",Transaksi!$B$16:$B$5015,"&gt;="&amp;DATE(2034,12,1),Transaksi!$B$16:$B$5015,"&lt;="&amp;EOMONTH(DATE(2034,12,1),0))</f>
        <v/>
      </c>
      <c r="E136" s="166">
        <f>C136-D136</f>
        <v/>
      </c>
      <c r="F136" s="165">
        <f>(SUMIFS(Transaksi!$F$16:$F$5015,Transaksi!$G$16:$G$5015,"Pendapatan",Transaksi!$B$16:$B$5015,"&gt;="&amp;DATE(2034,12,1),Transaksi!$B$16:$B$5015,"&lt;="&amp;EOMONTH(DATE(2034,12,1),0),Transaksi!$H$16:$H$5015,"Uang Kos Mama")+SUMIFS(Transaksi!$F$16:$F$5015,Transaksi!$G$16:$G$5015,"Pendapatan",Transaksi!$B$16:$B$5015,"&gt;="&amp;DATE(2034,12,1),Transaksi!$B$16:$B$5015,"&lt;="&amp;EOMONTH(DATE(2034,12,1),0),Transaksi!$H$16:$H$5015,"Uang Kedai"))-(SUMIFS(Transaksi!$F$16:$F$5015,Transaksi!$G$16:$G$5015,"Pengeluaran",Transaksi!$B$16:$B$5015,"&gt;="&amp;DATE(2034,12,1),Transaksi!$B$16:$B$5015,"&lt;="&amp;EOMONTH(DATE(2034,12,1),0),Transaksi!$H$16:$H$5015,"Pengeluaran Uang Kos")+SUMIFS(Transaksi!$F$16:$F$5015,Transaksi!$G$16:$G$5015,"Pengeluaran",Transaksi!$B$16:$B$5015,"&gt;="&amp;DATE(2034,12,1),Transaksi!$B$16:$B$5015,"&lt;="&amp;EOMONTH(DATE(2034,12,1),0),Transaksi!$H$16:$H$5015,"Pengeluaran Uang Kedai")+(SUMIFS(Transaksi!$F$16:$F$5015,Transaksi!$G$16:$G$5015,"Tabungan",Transaksi!$D$16:$D$5015,"Keluar",Transaksi!$H$16:$H$5015,"Reksadana uang kos mama",Transaksi!$B$16:$B$5015,"&gt;="&amp;DATE(2034,12,1),Transaksi!$B$16:$B$5015,"&lt;="&amp;EOMONTH(DATE(2034,12,1),0))-SUMIFS(Transaksi!$F$16:$F$5015,Transaksi!$G$16:$G$5015,"Tabungan",Transaksi!$D$16:$D$5015,"Masuk",Transaksi!$H$16:$H$5015,"Reksadana uang kos mama",Transaksi!$B$16:$B$5015,"&gt;="&amp;DATE(2034,12,1),Transaksi!$B$16:$B$5015,"&lt;="&amp;EOMONTH(DATE(2034,12,1),0))))</f>
        <v/>
      </c>
      <c r="G136" s="165">
        <f>(SUMIFS(Transaksi!$F$16:$F$5015,Transaksi!$G$16:$G$5015,"Tabungan",Transaksi!$D$16:$D$5015,"Keluar",Transaksi!$H$16:$H$5015,"&lt;&gt;Reksadana uang kos mama",Transaksi!$B$16:$B$5015,"&gt;="&amp;DATE(2034,12,1),Transaksi!$B$16:$B$5015,"&lt;="&amp;EOMONTH(DATE(2034,12,1),0))-SUMIFS(Transaksi!$F$16:$F$5015,Transaksi!$G$16:$G$5015,"Tabungan",Transaksi!$D$16:$D$5015,"Masuk",Transaksi!$H$16:$H$5015,"&lt;&gt;Reksadana uang kos mama",Transaksi!$B$16:$B$5015,"&gt;="&amp;DATE(2034,12,1),Transaksi!$B$16:$B$5015,"&lt;="&amp;EOMONTH(DATE(2034,12,1),0)))</f>
        <v/>
      </c>
    </row>
    <row r="137" ht="15" customHeight="1" s="94">
      <c r="A137" s="164" t="n">
        <v>2035</v>
      </c>
      <c r="B137" s="164" t="inlineStr">
        <is>
          <t>Jan</t>
        </is>
      </c>
      <c r="C137" s="165">
        <f>SUMIFS(Transaksi!$F$16:$F$5015,Transaksi!$G$16:$G$5015,"Pendapatan",Transaksi!$B$16:$B$5015,"&gt;="&amp;DATE(2035,1,1),Transaksi!$B$16:$B$5015,"&lt;="&amp;EOMONTH(DATE(2035,1,1),0))</f>
        <v/>
      </c>
      <c r="D137" s="165">
        <f>SUMIFS(Transaksi!$F$16:$F$5015,Transaksi!$G$16:$G$5015,"Pengeluaran",Transaksi!$B$16:$B$5015,"&gt;="&amp;DATE(2035,1,1),Transaksi!$B$16:$B$5015,"&lt;="&amp;EOMONTH(DATE(2035,1,1),0))</f>
        <v/>
      </c>
      <c r="E137" s="166">
        <f>C137-D137</f>
        <v/>
      </c>
      <c r="F137" s="165">
        <f>(SUMIFS(Transaksi!$F$16:$F$5015,Transaksi!$G$16:$G$5015,"Pendapatan",Transaksi!$B$16:$B$5015,"&gt;="&amp;DATE(2035,1,1),Transaksi!$B$16:$B$5015,"&lt;="&amp;EOMONTH(DATE(2035,1,1),0),Transaksi!$H$16:$H$5015,"Uang Kos Mama")+SUMIFS(Transaksi!$F$16:$F$5015,Transaksi!$G$16:$G$5015,"Pendapatan",Transaksi!$B$16:$B$5015,"&gt;="&amp;DATE(2035,1,1),Transaksi!$B$16:$B$5015,"&lt;="&amp;EOMONTH(DATE(2035,1,1),0),Transaksi!$H$16:$H$5015,"Uang Kedai"))-(SUMIFS(Transaksi!$F$16:$F$5015,Transaksi!$G$16:$G$5015,"Pengeluaran",Transaksi!$B$16:$B$5015,"&gt;="&amp;DATE(2035,1,1),Transaksi!$B$16:$B$5015,"&lt;="&amp;EOMONTH(DATE(2035,1,1),0),Transaksi!$H$16:$H$5015,"Pengeluaran Uang Kos")+SUMIFS(Transaksi!$F$16:$F$5015,Transaksi!$G$16:$G$5015,"Pengeluaran",Transaksi!$B$16:$B$5015,"&gt;="&amp;DATE(2035,1,1),Transaksi!$B$16:$B$5015,"&lt;="&amp;EOMONTH(DATE(2035,1,1),0),Transaksi!$H$16:$H$5015,"Pengeluaran Uang Kedai")+(SUMIFS(Transaksi!$F$16:$F$5015,Transaksi!$G$16:$G$5015,"Tabungan",Transaksi!$D$16:$D$5015,"Keluar",Transaksi!$H$16:$H$5015,"Reksadana uang kos mama",Transaksi!$B$16:$B$5015,"&gt;="&amp;DATE(2035,1,1),Transaksi!$B$16:$B$5015,"&lt;="&amp;EOMONTH(DATE(2035,1,1),0))-SUMIFS(Transaksi!$F$16:$F$5015,Transaksi!$G$16:$G$5015,"Tabungan",Transaksi!$D$16:$D$5015,"Masuk",Transaksi!$H$16:$H$5015,"Reksadana uang kos mama",Transaksi!$B$16:$B$5015,"&gt;="&amp;DATE(2035,1,1),Transaksi!$B$16:$B$5015,"&lt;="&amp;EOMONTH(DATE(2035,1,1),0))))</f>
        <v/>
      </c>
      <c r="G137" s="165">
        <f>(SUMIFS(Transaksi!$F$16:$F$5015,Transaksi!$G$16:$G$5015,"Tabungan",Transaksi!$D$16:$D$5015,"Keluar",Transaksi!$H$16:$H$5015,"&lt;&gt;Reksadana uang kos mama",Transaksi!$B$16:$B$5015,"&gt;="&amp;DATE(2035,1,1),Transaksi!$B$16:$B$5015,"&lt;="&amp;EOMONTH(DATE(2035,1,1),0))-SUMIFS(Transaksi!$F$16:$F$5015,Transaksi!$G$16:$G$5015,"Tabungan",Transaksi!$D$16:$D$5015,"Masuk",Transaksi!$H$16:$H$5015,"&lt;&gt;Reksadana uang kos mama",Transaksi!$B$16:$B$5015,"&gt;="&amp;DATE(2035,1,1),Transaksi!$B$16:$B$5015,"&lt;="&amp;EOMONTH(DATE(2035,1,1),0)))</f>
        <v/>
      </c>
    </row>
    <row r="138" ht="15" customHeight="1" s="94">
      <c r="A138" s="164" t="n">
        <v>2035</v>
      </c>
      <c r="B138" s="164" t="inlineStr">
        <is>
          <t>Feb</t>
        </is>
      </c>
      <c r="C138" s="165">
        <f>SUMIFS(Transaksi!$F$16:$F$5015,Transaksi!$G$16:$G$5015,"Pendapatan",Transaksi!$B$16:$B$5015,"&gt;="&amp;DATE(2035,2,1),Transaksi!$B$16:$B$5015,"&lt;="&amp;EOMONTH(DATE(2035,2,1),0))</f>
        <v/>
      </c>
      <c r="D138" s="165">
        <f>SUMIFS(Transaksi!$F$16:$F$5015,Transaksi!$G$16:$G$5015,"Pengeluaran",Transaksi!$B$16:$B$5015,"&gt;="&amp;DATE(2035,2,1),Transaksi!$B$16:$B$5015,"&lt;="&amp;EOMONTH(DATE(2035,2,1),0))</f>
        <v/>
      </c>
      <c r="E138" s="166">
        <f>C138-D138</f>
        <v/>
      </c>
      <c r="F138" s="165">
        <f>(SUMIFS(Transaksi!$F$16:$F$5015,Transaksi!$G$16:$G$5015,"Pendapatan",Transaksi!$B$16:$B$5015,"&gt;="&amp;DATE(2035,2,1),Transaksi!$B$16:$B$5015,"&lt;="&amp;EOMONTH(DATE(2035,2,1),0),Transaksi!$H$16:$H$5015,"Uang Kos Mama")+SUMIFS(Transaksi!$F$16:$F$5015,Transaksi!$G$16:$G$5015,"Pendapatan",Transaksi!$B$16:$B$5015,"&gt;="&amp;DATE(2035,2,1),Transaksi!$B$16:$B$5015,"&lt;="&amp;EOMONTH(DATE(2035,2,1),0),Transaksi!$H$16:$H$5015,"Uang Kedai"))-(SUMIFS(Transaksi!$F$16:$F$5015,Transaksi!$G$16:$G$5015,"Pengeluaran",Transaksi!$B$16:$B$5015,"&gt;="&amp;DATE(2035,2,1),Transaksi!$B$16:$B$5015,"&lt;="&amp;EOMONTH(DATE(2035,2,1),0),Transaksi!$H$16:$H$5015,"Pengeluaran Uang Kos")+SUMIFS(Transaksi!$F$16:$F$5015,Transaksi!$G$16:$G$5015,"Pengeluaran",Transaksi!$B$16:$B$5015,"&gt;="&amp;DATE(2035,2,1),Transaksi!$B$16:$B$5015,"&lt;="&amp;EOMONTH(DATE(2035,2,1),0),Transaksi!$H$16:$H$5015,"Pengeluaran Uang Kedai")+(SUMIFS(Transaksi!$F$16:$F$5015,Transaksi!$G$16:$G$5015,"Tabungan",Transaksi!$D$16:$D$5015,"Keluar",Transaksi!$H$16:$H$5015,"Reksadana uang kos mama",Transaksi!$B$16:$B$5015,"&gt;="&amp;DATE(2035,2,1),Transaksi!$B$16:$B$5015,"&lt;="&amp;EOMONTH(DATE(2035,2,1),0))-SUMIFS(Transaksi!$F$16:$F$5015,Transaksi!$G$16:$G$5015,"Tabungan",Transaksi!$D$16:$D$5015,"Masuk",Transaksi!$H$16:$H$5015,"Reksadana uang kos mama",Transaksi!$B$16:$B$5015,"&gt;="&amp;DATE(2035,2,1),Transaksi!$B$16:$B$5015,"&lt;="&amp;EOMONTH(DATE(2035,2,1),0))))</f>
        <v/>
      </c>
      <c r="G138" s="165">
        <f>(SUMIFS(Transaksi!$F$16:$F$5015,Transaksi!$G$16:$G$5015,"Tabungan",Transaksi!$D$16:$D$5015,"Keluar",Transaksi!$H$16:$H$5015,"&lt;&gt;Reksadana uang kos mama",Transaksi!$B$16:$B$5015,"&gt;="&amp;DATE(2035,2,1),Transaksi!$B$16:$B$5015,"&lt;="&amp;EOMONTH(DATE(2035,2,1),0))-SUMIFS(Transaksi!$F$16:$F$5015,Transaksi!$G$16:$G$5015,"Tabungan",Transaksi!$D$16:$D$5015,"Masuk",Transaksi!$H$16:$H$5015,"&lt;&gt;Reksadana uang kos mama",Transaksi!$B$16:$B$5015,"&gt;="&amp;DATE(2035,2,1),Transaksi!$B$16:$B$5015,"&lt;="&amp;EOMONTH(DATE(2035,2,1),0)))</f>
        <v/>
      </c>
    </row>
    <row r="139" ht="15" customHeight="1" s="94">
      <c r="A139" s="164" t="n">
        <v>2035</v>
      </c>
      <c r="B139" s="164" t="inlineStr">
        <is>
          <t>Mar</t>
        </is>
      </c>
      <c r="C139" s="165">
        <f>SUMIFS(Transaksi!$F$16:$F$5015,Transaksi!$G$16:$G$5015,"Pendapatan",Transaksi!$B$16:$B$5015,"&gt;="&amp;DATE(2035,3,1),Transaksi!$B$16:$B$5015,"&lt;="&amp;EOMONTH(DATE(2035,3,1),0))</f>
        <v/>
      </c>
      <c r="D139" s="165">
        <f>SUMIFS(Transaksi!$F$16:$F$5015,Transaksi!$G$16:$G$5015,"Pengeluaran",Transaksi!$B$16:$B$5015,"&gt;="&amp;DATE(2035,3,1),Transaksi!$B$16:$B$5015,"&lt;="&amp;EOMONTH(DATE(2035,3,1),0))</f>
        <v/>
      </c>
      <c r="E139" s="166">
        <f>C139-D139</f>
        <v/>
      </c>
      <c r="F139" s="165">
        <f>(SUMIFS(Transaksi!$F$16:$F$5015,Transaksi!$G$16:$G$5015,"Pendapatan",Transaksi!$B$16:$B$5015,"&gt;="&amp;DATE(2035,3,1),Transaksi!$B$16:$B$5015,"&lt;="&amp;EOMONTH(DATE(2035,3,1),0),Transaksi!$H$16:$H$5015,"Uang Kos Mama")+SUMIFS(Transaksi!$F$16:$F$5015,Transaksi!$G$16:$G$5015,"Pendapatan",Transaksi!$B$16:$B$5015,"&gt;="&amp;DATE(2035,3,1),Transaksi!$B$16:$B$5015,"&lt;="&amp;EOMONTH(DATE(2035,3,1),0),Transaksi!$H$16:$H$5015,"Uang Kedai"))-(SUMIFS(Transaksi!$F$16:$F$5015,Transaksi!$G$16:$G$5015,"Pengeluaran",Transaksi!$B$16:$B$5015,"&gt;="&amp;DATE(2035,3,1),Transaksi!$B$16:$B$5015,"&lt;="&amp;EOMONTH(DATE(2035,3,1),0),Transaksi!$H$16:$H$5015,"Pengeluaran Uang Kos")+SUMIFS(Transaksi!$F$16:$F$5015,Transaksi!$G$16:$G$5015,"Pengeluaran",Transaksi!$B$16:$B$5015,"&gt;="&amp;DATE(2035,3,1),Transaksi!$B$16:$B$5015,"&lt;="&amp;EOMONTH(DATE(2035,3,1),0),Transaksi!$H$16:$H$5015,"Pengeluaran Uang Kedai")+(SUMIFS(Transaksi!$F$16:$F$5015,Transaksi!$G$16:$G$5015,"Tabungan",Transaksi!$D$16:$D$5015,"Keluar",Transaksi!$H$16:$H$5015,"Reksadana uang kos mama",Transaksi!$B$16:$B$5015,"&gt;="&amp;DATE(2035,3,1),Transaksi!$B$16:$B$5015,"&lt;="&amp;EOMONTH(DATE(2035,3,1),0))-SUMIFS(Transaksi!$F$16:$F$5015,Transaksi!$G$16:$G$5015,"Tabungan",Transaksi!$D$16:$D$5015,"Masuk",Transaksi!$H$16:$H$5015,"Reksadana uang kos mama",Transaksi!$B$16:$B$5015,"&gt;="&amp;DATE(2035,3,1),Transaksi!$B$16:$B$5015,"&lt;="&amp;EOMONTH(DATE(2035,3,1),0))))</f>
        <v/>
      </c>
      <c r="G139" s="165">
        <f>(SUMIFS(Transaksi!$F$16:$F$5015,Transaksi!$G$16:$G$5015,"Tabungan",Transaksi!$D$16:$D$5015,"Keluar",Transaksi!$H$16:$H$5015,"&lt;&gt;Reksadana uang kos mama",Transaksi!$B$16:$B$5015,"&gt;="&amp;DATE(2035,3,1),Transaksi!$B$16:$B$5015,"&lt;="&amp;EOMONTH(DATE(2035,3,1),0))-SUMIFS(Transaksi!$F$16:$F$5015,Transaksi!$G$16:$G$5015,"Tabungan",Transaksi!$D$16:$D$5015,"Masuk",Transaksi!$H$16:$H$5015,"&lt;&gt;Reksadana uang kos mama",Transaksi!$B$16:$B$5015,"&gt;="&amp;DATE(2035,3,1),Transaksi!$B$16:$B$5015,"&lt;="&amp;EOMONTH(DATE(2035,3,1),0)))</f>
        <v/>
      </c>
    </row>
    <row r="140" ht="15" customHeight="1" s="94">
      <c r="A140" s="164" t="n">
        <v>2035</v>
      </c>
      <c r="B140" s="164" t="inlineStr">
        <is>
          <t>Apr</t>
        </is>
      </c>
      <c r="C140" s="165">
        <f>SUMIFS(Transaksi!$F$16:$F$5015,Transaksi!$G$16:$G$5015,"Pendapatan",Transaksi!$B$16:$B$5015,"&gt;="&amp;DATE(2035,4,1),Transaksi!$B$16:$B$5015,"&lt;="&amp;EOMONTH(DATE(2035,4,1),0))</f>
        <v/>
      </c>
      <c r="D140" s="165">
        <f>SUMIFS(Transaksi!$F$16:$F$5015,Transaksi!$G$16:$G$5015,"Pengeluaran",Transaksi!$B$16:$B$5015,"&gt;="&amp;DATE(2035,4,1),Transaksi!$B$16:$B$5015,"&lt;="&amp;EOMONTH(DATE(2035,4,1),0))</f>
        <v/>
      </c>
      <c r="E140" s="166">
        <f>C140-D140</f>
        <v/>
      </c>
      <c r="F140" s="165">
        <f>(SUMIFS(Transaksi!$F$16:$F$5015,Transaksi!$G$16:$G$5015,"Pendapatan",Transaksi!$B$16:$B$5015,"&gt;="&amp;DATE(2035,4,1),Transaksi!$B$16:$B$5015,"&lt;="&amp;EOMONTH(DATE(2035,4,1),0),Transaksi!$H$16:$H$5015,"Uang Kos Mama")+SUMIFS(Transaksi!$F$16:$F$5015,Transaksi!$G$16:$G$5015,"Pendapatan",Transaksi!$B$16:$B$5015,"&gt;="&amp;DATE(2035,4,1),Transaksi!$B$16:$B$5015,"&lt;="&amp;EOMONTH(DATE(2035,4,1),0),Transaksi!$H$16:$H$5015,"Uang Kedai"))-(SUMIFS(Transaksi!$F$16:$F$5015,Transaksi!$G$16:$G$5015,"Pengeluaran",Transaksi!$B$16:$B$5015,"&gt;="&amp;DATE(2035,4,1),Transaksi!$B$16:$B$5015,"&lt;="&amp;EOMONTH(DATE(2035,4,1),0),Transaksi!$H$16:$H$5015,"Pengeluaran Uang Kos")+SUMIFS(Transaksi!$F$16:$F$5015,Transaksi!$G$16:$G$5015,"Pengeluaran",Transaksi!$B$16:$B$5015,"&gt;="&amp;DATE(2035,4,1),Transaksi!$B$16:$B$5015,"&lt;="&amp;EOMONTH(DATE(2035,4,1),0),Transaksi!$H$16:$H$5015,"Pengeluaran Uang Kedai")+(SUMIFS(Transaksi!$F$16:$F$5015,Transaksi!$G$16:$G$5015,"Tabungan",Transaksi!$D$16:$D$5015,"Keluar",Transaksi!$H$16:$H$5015,"Reksadana uang kos mama",Transaksi!$B$16:$B$5015,"&gt;="&amp;DATE(2035,4,1),Transaksi!$B$16:$B$5015,"&lt;="&amp;EOMONTH(DATE(2035,4,1),0))-SUMIFS(Transaksi!$F$16:$F$5015,Transaksi!$G$16:$G$5015,"Tabungan",Transaksi!$D$16:$D$5015,"Masuk",Transaksi!$H$16:$H$5015,"Reksadana uang kos mama",Transaksi!$B$16:$B$5015,"&gt;="&amp;DATE(2035,4,1),Transaksi!$B$16:$B$5015,"&lt;="&amp;EOMONTH(DATE(2035,4,1),0))))</f>
        <v/>
      </c>
      <c r="G140" s="165">
        <f>(SUMIFS(Transaksi!$F$16:$F$5015,Transaksi!$G$16:$G$5015,"Tabungan",Transaksi!$D$16:$D$5015,"Keluar",Transaksi!$H$16:$H$5015,"&lt;&gt;Reksadana uang kos mama",Transaksi!$B$16:$B$5015,"&gt;="&amp;DATE(2035,4,1),Transaksi!$B$16:$B$5015,"&lt;="&amp;EOMONTH(DATE(2035,4,1),0))-SUMIFS(Transaksi!$F$16:$F$5015,Transaksi!$G$16:$G$5015,"Tabungan",Transaksi!$D$16:$D$5015,"Masuk",Transaksi!$H$16:$H$5015,"&lt;&gt;Reksadana uang kos mama",Transaksi!$B$16:$B$5015,"&gt;="&amp;DATE(2035,4,1),Transaksi!$B$16:$B$5015,"&lt;="&amp;EOMONTH(DATE(2035,4,1),0)))</f>
        <v/>
      </c>
    </row>
    <row r="141" ht="15" customHeight="1" s="94">
      <c r="A141" s="164" t="n">
        <v>2035</v>
      </c>
      <c r="B141" s="164" t="inlineStr">
        <is>
          <t>Mei</t>
        </is>
      </c>
      <c r="C141" s="165">
        <f>SUMIFS(Transaksi!$F$16:$F$5015,Transaksi!$G$16:$G$5015,"Pendapatan",Transaksi!$B$16:$B$5015,"&gt;="&amp;DATE(2035,5,1),Transaksi!$B$16:$B$5015,"&lt;="&amp;EOMONTH(DATE(2035,5,1),0))</f>
        <v/>
      </c>
      <c r="D141" s="165">
        <f>SUMIFS(Transaksi!$F$16:$F$5015,Transaksi!$G$16:$G$5015,"Pengeluaran",Transaksi!$B$16:$B$5015,"&gt;="&amp;DATE(2035,5,1),Transaksi!$B$16:$B$5015,"&lt;="&amp;EOMONTH(DATE(2035,5,1),0))</f>
        <v/>
      </c>
      <c r="E141" s="166">
        <f>C141-D141</f>
        <v/>
      </c>
      <c r="F141" s="165">
        <f>(SUMIFS(Transaksi!$F$16:$F$5015,Transaksi!$G$16:$G$5015,"Pendapatan",Transaksi!$B$16:$B$5015,"&gt;="&amp;DATE(2035,5,1),Transaksi!$B$16:$B$5015,"&lt;="&amp;EOMONTH(DATE(2035,5,1),0),Transaksi!$H$16:$H$5015,"Uang Kos Mama")+SUMIFS(Transaksi!$F$16:$F$5015,Transaksi!$G$16:$G$5015,"Pendapatan",Transaksi!$B$16:$B$5015,"&gt;="&amp;DATE(2035,5,1),Transaksi!$B$16:$B$5015,"&lt;="&amp;EOMONTH(DATE(2035,5,1),0),Transaksi!$H$16:$H$5015,"Uang Kedai"))-(SUMIFS(Transaksi!$F$16:$F$5015,Transaksi!$G$16:$G$5015,"Pengeluaran",Transaksi!$B$16:$B$5015,"&gt;="&amp;DATE(2035,5,1),Transaksi!$B$16:$B$5015,"&lt;="&amp;EOMONTH(DATE(2035,5,1),0),Transaksi!$H$16:$H$5015,"Pengeluaran Uang Kos")+SUMIFS(Transaksi!$F$16:$F$5015,Transaksi!$G$16:$G$5015,"Pengeluaran",Transaksi!$B$16:$B$5015,"&gt;="&amp;DATE(2035,5,1),Transaksi!$B$16:$B$5015,"&lt;="&amp;EOMONTH(DATE(2035,5,1),0),Transaksi!$H$16:$H$5015,"Pengeluaran Uang Kedai")+(SUMIFS(Transaksi!$F$16:$F$5015,Transaksi!$G$16:$G$5015,"Tabungan",Transaksi!$D$16:$D$5015,"Keluar",Transaksi!$H$16:$H$5015,"Reksadana uang kos mama",Transaksi!$B$16:$B$5015,"&gt;="&amp;DATE(2035,5,1),Transaksi!$B$16:$B$5015,"&lt;="&amp;EOMONTH(DATE(2035,5,1),0))-SUMIFS(Transaksi!$F$16:$F$5015,Transaksi!$G$16:$G$5015,"Tabungan",Transaksi!$D$16:$D$5015,"Masuk",Transaksi!$H$16:$H$5015,"Reksadana uang kos mama",Transaksi!$B$16:$B$5015,"&gt;="&amp;DATE(2035,5,1),Transaksi!$B$16:$B$5015,"&lt;="&amp;EOMONTH(DATE(2035,5,1),0))))</f>
        <v/>
      </c>
      <c r="G141" s="165">
        <f>(SUMIFS(Transaksi!$F$16:$F$5015,Transaksi!$G$16:$G$5015,"Tabungan",Transaksi!$D$16:$D$5015,"Keluar",Transaksi!$H$16:$H$5015,"&lt;&gt;Reksadana uang kos mama",Transaksi!$B$16:$B$5015,"&gt;="&amp;DATE(2035,5,1),Transaksi!$B$16:$B$5015,"&lt;="&amp;EOMONTH(DATE(2035,5,1),0))-SUMIFS(Transaksi!$F$16:$F$5015,Transaksi!$G$16:$G$5015,"Tabungan",Transaksi!$D$16:$D$5015,"Masuk",Transaksi!$H$16:$H$5015,"&lt;&gt;Reksadana uang kos mama",Transaksi!$B$16:$B$5015,"&gt;="&amp;DATE(2035,5,1),Transaksi!$B$16:$B$5015,"&lt;="&amp;EOMONTH(DATE(2035,5,1),0)))</f>
        <v/>
      </c>
    </row>
    <row r="142" ht="15" customHeight="1" s="94">
      <c r="A142" s="164" t="n">
        <v>2035</v>
      </c>
      <c r="B142" s="164" t="inlineStr">
        <is>
          <t>Jun</t>
        </is>
      </c>
      <c r="C142" s="165">
        <f>SUMIFS(Transaksi!$F$16:$F$5015,Transaksi!$G$16:$G$5015,"Pendapatan",Transaksi!$B$16:$B$5015,"&gt;="&amp;DATE(2035,6,1),Transaksi!$B$16:$B$5015,"&lt;="&amp;EOMONTH(DATE(2035,6,1),0))</f>
        <v/>
      </c>
      <c r="D142" s="165">
        <f>SUMIFS(Transaksi!$F$16:$F$5015,Transaksi!$G$16:$G$5015,"Pengeluaran",Transaksi!$B$16:$B$5015,"&gt;="&amp;DATE(2035,6,1),Transaksi!$B$16:$B$5015,"&lt;="&amp;EOMONTH(DATE(2035,6,1),0))</f>
        <v/>
      </c>
      <c r="E142" s="166">
        <f>C142-D142</f>
        <v/>
      </c>
      <c r="F142" s="165">
        <f>(SUMIFS(Transaksi!$F$16:$F$5015,Transaksi!$G$16:$G$5015,"Pendapatan",Transaksi!$B$16:$B$5015,"&gt;="&amp;DATE(2035,6,1),Transaksi!$B$16:$B$5015,"&lt;="&amp;EOMONTH(DATE(2035,6,1),0),Transaksi!$H$16:$H$5015,"Uang Kos Mama")+SUMIFS(Transaksi!$F$16:$F$5015,Transaksi!$G$16:$G$5015,"Pendapatan",Transaksi!$B$16:$B$5015,"&gt;="&amp;DATE(2035,6,1),Transaksi!$B$16:$B$5015,"&lt;="&amp;EOMONTH(DATE(2035,6,1),0),Transaksi!$H$16:$H$5015,"Uang Kedai"))-(SUMIFS(Transaksi!$F$16:$F$5015,Transaksi!$G$16:$G$5015,"Pengeluaran",Transaksi!$B$16:$B$5015,"&gt;="&amp;DATE(2035,6,1),Transaksi!$B$16:$B$5015,"&lt;="&amp;EOMONTH(DATE(2035,6,1),0),Transaksi!$H$16:$H$5015,"Pengeluaran Uang Kos")+SUMIFS(Transaksi!$F$16:$F$5015,Transaksi!$G$16:$G$5015,"Pengeluaran",Transaksi!$B$16:$B$5015,"&gt;="&amp;DATE(2035,6,1),Transaksi!$B$16:$B$5015,"&lt;="&amp;EOMONTH(DATE(2035,6,1),0),Transaksi!$H$16:$H$5015,"Pengeluaran Uang Kedai")+(SUMIFS(Transaksi!$F$16:$F$5015,Transaksi!$G$16:$G$5015,"Tabungan",Transaksi!$D$16:$D$5015,"Keluar",Transaksi!$H$16:$H$5015,"Reksadana uang kos mama",Transaksi!$B$16:$B$5015,"&gt;="&amp;DATE(2035,6,1),Transaksi!$B$16:$B$5015,"&lt;="&amp;EOMONTH(DATE(2035,6,1),0))-SUMIFS(Transaksi!$F$16:$F$5015,Transaksi!$G$16:$G$5015,"Tabungan",Transaksi!$D$16:$D$5015,"Masuk",Transaksi!$H$16:$H$5015,"Reksadana uang kos mama",Transaksi!$B$16:$B$5015,"&gt;="&amp;DATE(2035,6,1),Transaksi!$B$16:$B$5015,"&lt;="&amp;EOMONTH(DATE(2035,6,1),0))))</f>
        <v/>
      </c>
      <c r="G142" s="165">
        <f>(SUMIFS(Transaksi!$F$16:$F$5015,Transaksi!$G$16:$G$5015,"Tabungan",Transaksi!$D$16:$D$5015,"Keluar",Transaksi!$H$16:$H$5015,"&lt;&gt;Reksadana uang kos mama",Transaksi!$B$16:$B$5015,"&gt;="&amp;DATE(2035,6,1),Transaksi!$B$16:$B$5015,"&lt;="&amp;EOMONTH(DATE(2035,6,1),0))-SUMIFS(Transaksi!$F$16:$F$5015,Transaksi!$G$16:$G$5015,"Tabungan",Transaksi!$D$16:$D$5015,"Masuk",Transaksi!$H$16:$H$5015,"&lt;&gt;Reksadana uang kos mama",Transaksi!$B$16:$B$5015,"&gt;="&amp;DATE(2035,6,1),Transaksi!$B$16:$B$5015,"&lt;="&amp;EOMONTH(DATE(2035,6,1),0)))</f>
        <v/>
      </c>
    </row>
    <row r="143" ht="15" customHeight="1" s="94">
      <c r="A143" s="164" t="n">
        <v>2035</v>
      </c>
      <c r="B143" s="164" t="inlineStr">
        <is>
          <t>Jul</t>
        </is>
      </c>
      <c r="C143" s="165">
        <f>SUMIFS(Transaksi!$F$16:$F$5015,Transaksi!$G$16:$G$5015,"Pendapatan",Transaksi!$B$16:$B$5015,"&gt;="&amp;DATE(2035,7,1),Transaksi!$B$16:$B$5015,"&lt;="&amp;EOMONTH(DATE(2035,7,1),0))</f>
        <v/>
      </c>
      <c r="D143" s="165">
        <f>SUMIFS(Transaksi!$F$16:$F$5015,Transaksi!$G$16:$G$5015,"Pengeluaran",Transaksi!$B$16:$B$5015,"&gt;="&amp;DATE(2035,7,1),Transaksi!$B$16:$B$5015,"&lt;="&amp;EOMONTH(DATE(2035,7,1),0))</f>
        <v/>
      </c>
      <c r="E143" s="166">
        <f>C143-D143</f>
        <v/>
      </c>
      <c r="F143" s="165">
        <f>(SUMIFS(Transaksi!$F$16:$F$5015,Transaksi!$G$16:$G$5015,"Pendapatan",Transaksi!$B$16:$B$5015,"&gt;="&amp;DATE(2035,7,1),Transaksi!$B$16:$B$5015,"&lt;="&amp;EOMONTH(DATE(2035,7,1),0),Transaksi!$H$16:$H$5015,"Uang Kos Mama")+SUMIFS(Transaksi!$F$16:$F$5015,Transaksi!$G$16:$G$5015,"Pendapatan",Transaksi!$B$16:$B$5015,"&gt;="&amp;DATE(2035,7,1),Transaksi!$B$16:$B$5015,"&lt;="&amp;EOMONTH(DATE(2035,7,1),0),Transaksi!$H$16:$H$5015,"Uang Kedai"))-(SUMIFS(Transaksi!$F$16:$F$5015,Transaksi!$G$16:$G$5015,"Pengeluaran",Transaksi!$B$16:$B$5015,"&gt;="&amp;DATE(2035,7,1),Transaksi!$B$16:$B$5015,"&lt;="&amp;EOMONTH(DATE(2035,7,1),0),Transaksi!$H$16:$H$5015,"Pengeluaran Uang Kos")+SUMIFS(Transaksi!$F$16:$F$5015,Transaksi!$G$16:$G$5015,"Pengeluaran",Transaksi!$B$16:$B$5015,"&gt;="&amp;DATE(2035,7,1),Transaksi!$B$16:$B$5015,"&lt;="&amp;EOMONTH(DATE(2035,7,1),0),Transaksi!$H$16:$H$5015,"Pengeluaran Uang Kedai")+(SUMIFS(Transaksi!$F$16:$F$5015,Transaksi!$G$16:$G$5015,"Tabungan",Transaksi!$D$16:$D$5015,"Keluar",Transaksi!$H$16:$H$5015,"Reksadana uang kos mama",Transaksi!$B$16:$B$5015,"&gt;="&amp;DATE(2035,7,1),Transaksi!$B$16:$B$5015,"&lt;="&amp;EOMONTH(DATE(2035,7,1),0))-SUMIFS(Transaksi!$F$16:$F$5015,Transaksi!$G$16:$G$5015,"Tabungan",Transaksi!$D$16:$D$5015,"Masuk",Transaksi!$H$16:$H$5015,"Reksadana uang kos mama",Transaksi!$B$16:$B$5015,"&gt;="&amp;DATE(2035,7,1),Transaksi!$B$16:$B$5015,"&lt;="&amp;EOMONTH(DATE(2035,7,1),0))))</f>
        <v/>
      </c>
      <c r="G143" s="165">
        <f>(SUMIFS(Transaksi!$F$16:$F$5015,Transaksi!$G$16:$G$5015,"Tabungan",Transaksi!$D$16:$D$5015,"Keluar",Transaksi!$H$16:$H$5015,"&lt;&gt;Reksadana uang kos mama",Transaksi!$B$16:$B$5015,"&gt;="&amp;DATE(2035,7,1),Transaksi!$B$16:$B$5015,"&lt;="&amp;EOMONTH(DATE(2035,7,1),0))-SUMIFS(Transaksi!$F$16:$F$5015,Transaksi!$G$16:$G$5015,"Tabungan",Transaksi!$D$16:$D$5015,"Masuk",Transaksi!$H$16:$H$5015,"&lt;&gt;Reksadana uang kos mama",Transaksi!$B$16:$B$5015,"&gt;="&amp;DATE(2035,7,1),Transaksi!$B$16:$B$5015,"&lt;="&amp;EOMONTH(DATE(2035,7,1),0)))</f>
        <v/>
      </c>
    </row>
    <row r="144" ht="15" customHeight="1" s="94">
      <c r="A144" s="164" t="n">
        <v>2035</v>
      </c>
      <c r="B144" s="164" t="inlineStr">
        <is>
          <t>Agu</t>
        </is>
      </c>
      <c r="C144" s="165">
        <f>SUMIFS(Transaksi!$F$16:$F$5015,Transaksi!$G$16:$G$5015,"Pendapatan",Transaksi!$B$16:$B$5015,"&gt;="&amp;DATE(2035,8,1),Transaksi!$B$16:$B$5015,"&lt;="&amp;EOMONTH(DATE(2035,8,1),0))</f>
        <v/>
      </c>
      <c r="D144" s="165">
        <f>SUMIFS(Transaksi!$F$16:$F$5015,Transaksi!$G$16:$G$5015,"Pengeluaran",Transaksi!$B$16:$B$5015,"&gt;="&amp;DATE(2035,8,1),Transaksi!$B$16:$B$5015,"&lt;="&amp;EOMONTH(DATE(2035,8,1),0))</f>
        <v/>
      </c>
      <c r="E144" s="166">
        <f>C144-D144</f>
        <v/>
      </c>
      <c r="F144" s="165">
        <f>(SUMIFS(Transaksi!$F$16:$F$5015,Transaksi!$G$16:$G$5015,"Pendapatan",Transaksi!$B$16:$B$5015,"&gt;="&amp;DATE(2035,8,1),Transaksi!$B$16:$B$5015,"&lt;="&amp;EOMONTH(DATE(2035,8,1),0),Transaksi!$H$16:$H$5015,"Uang Kos Mama")+SUMIFS(Transaksi!$F$16:$F$5015,Transaksi!$G$16:$G$5015,"Pendapatan",Transaksi!$B$16:$B$5015,"&gt;="&amp;DATE(2035,8,1),Transaksi!$B$16:$B$5015,"&lt;="&amp;EOMONTH(DATE(2035,8,1),0),Transaksi!$H$16:$H$5015,"Uang Kedai"))-(SUMIFS(Transaksi!$F$16:$F$5015,Transaksi!$G$16:$G$5015,"Pengeluaran",Transaksi!$B$16:$B$5015,"&gt;="&amp;DATE(2035,8,1),Transaksi!$B$16:$B$5015,"&lt;="&amp;EOMONTH(DATE(2035,8,1),0),Transaksi!$H$16:$H$5015,"Pengeluaran Uang Kos")+SUMIFS(Transaksi!$F$16:$F$5015,Transaksi!$G$16:$G$5015,"Pengeluaran",Transaksi!$B$16:$B$5015,"&gt;="&amp;DATE(2035,8,1),Transaksi!$B$16:$B$5015,"&lt;="&amp;EOMONTH(DATE(2035,8,1),0),Transaksi!$H$16:$H$5015,"Pengeluaran Uang Kedai")+(SUMIFS(Transaksi!$F$16:$F$5015,Transaksi!$G$16:$G$5015,"Tabungan",Transaksi!$D$16:$D$5015,"Keluar",Transaksi!$H$16:$H$5015,"Reksadana uang kos mama",Transaksi!$B$16:$B$5015,"&gt;="&amp;DATE(2035,8,1),Transaksi!$B$16:$B$5015,"&lt;="&amp;EOMONTH(DATE(2035,8,1),0))-SUMIFS(Transaksi!$F$16:$F$5015,Transaksi!$G$16:$G$5015,"Tabungan",Transaksi!$D$16:$D$5015,"Masuk",Transaksi!$H$16:$H$5015,"Reksadana uang kos mama",Transaksi!$B$16:$B$5015,"&gt;="&amp;DATE(2035,8,1),Transaksi!$B$16:$B$5015,"&lt;="&amp;EOMONTH(DATE(2035,8,1),0))))</f>
        <v/>
      </c>
      <c r="G144" s="165">
        <f>(SUMIFS(Transaksi!$F$16:$F$5015,Transaksi!$G$16:$G$5015,"Tabungan",Transaksi!$D$16:$D$5015,"Keluar",Transaksi!$H$16:$H$5015,"&lt;&gt;Reksadana uang kos mama",Transaksi!$B$16:$B$5015,"&gt;="&amp;DATE(2035,8,1),Transaksi!$B$16:$B$5015,"&lt;="&amp;EOMONTH(DATE(2035,8,1),0))-SUMIFS(Transaksi!$F$16:$F$5015,Transaksi!$G$16:$G$5015,"Tabungan",Transaksi!$D$16:$D$5015,"Masuk",Transaksi!$H$16:$H$5015,"&lt;&gt;Reksadana uang kos mama",Transaksi!$B$16:$B$5015,"&gt;="&amp;DATE(2035,8,1),Transaksi!$B$16:$B$5015,"&lt;="&amp;EOMONTH(DATE(2035,8,1),0)))</f>
        <v/>
      </c>
    </row>
    <row r="145" ht="15" customHeight="1" s="94">
      <c r="A145" s="164" t="n">
        <v>2035</v>
      </c>
      <c r="B145" s="164" t="inlineStr">
        <is>
          <t>Sep</t>
        </is>
      </c>
      <c r="C145" s="165">
        <f>SUMIFS(Transaksi!$F$16:$F$5015,Transaksi!$G$16:$G$5015,"Pendapatan",Transaksi!$B$16:$B$5015,"&gt;="&amp;DATE(2035,9,1),Transaksi!$B$16:$B$5015,"&lt;="&amp;EOMONTH(DATE(2035,9,1),0))</f>
        <v/>
      </c>
      <c r="D145" s="165">
        <f>SUMIFS(Transaksi!$F$16:$F$5015,Transaksi!$G$16:$G$5015,"Pengeluaran",Transaksi!$B$16:$B$5015,"&gt;="&amp;DATE(2035,9,1),Transaksi!$B$16:$B$5015,"&lt;="&amp;EOMONTH(DATE(2035,9,1),0))</f>
        <v/>
      </c>
      <c r="E145" s="166">
        <f>C145-D145</f>
        <v/>
      </c>
      <c r="F145" s="165">
        <f>(SUMIFS(Transaksi!$F$16:$F$5015,Transaksi!$G$16:$G$5015,"Pendapatan",Transaksi!$B$16:$B$5015,"&gt;="&amp;DATE(2035,9,1),Transaksi!$B$16:$B$5015,"&lt;="&amp;EOMONTH(DATE(2035,9,1),0),Transaksi!$H$16:$H$5015,"Uang Kos Mama")+SUMIFS(Transaksi!$F$16:$F$5015,Transaksi!$G$16:$G$5015,"Pendapatan",Transaksi!$B$16:$B$5015,"&gt;="&amp;DATE(2035,9,1),Transaksi!$B$16:$B$5015,"&lt;="&amp;EOMONTH(DATE(2035,9,1),0),Transaksi!$H$16:$H$5015,"Uang Kedai"))-(SUMIFS(Transaksi!$F$16:$F$5015,Transaksi!$G$16:$G$5015,"Pengeluaran",Transaksi!$B$16:$B$5015,"&gt;="&amp;DATE(2035,9,1),Transaksi!$B$16:$B$5015,"&lt;="&amp;EOMONTH(DATE(2035,9,1),0),Transaksi!$H$16:$H$5015,"Pengeluaran Uang Kos")+SUMIFS(Transaksi!$F$16:$F$5015,Transaksi!$G$16:$G$5015,"Pengeluaran",Transaksi!$B$16:$B$5015,"&gt;="&amp;DATE(2035,9,1),Transaksi!$B$16:$B$5015,"&lt;="&amp;EOMONTH(DATE(2035,9,1),0),Transaksi!$H$16:$H$5015,"Pengeluaran Uang Kedai")+(SUMIFS(Transaksi!$F$16:$F$5015,Transaksi!$G$16:$G$5015,"Tabungan",Transaksi!$D$16:$D$5015,"Keluar",Transaksi!$H$16:$H$5015,"Reksadana uang kos mama",Transaksi!$B$16:$B$5015,"&gt;="&amp;DATE(2035,9,1),Transaksi!$B$16:$B$5015,"&lt;="&amp;EOMONTH(DATE(2035,9,1),0))-SUMIFS(Transaksi!$F$16:$F$5015,Transaksi!$G$16:$G$5015,"Tabungan",Transaksi!$D$16:$D$5015,"Masuk",Transaksi!$H$16:$H$5015,"Reksadana uang kos mama",Transaksi!$B$16:$B$5015,"&gt;="&amp;DATE(2035,9,1),Transaksi!$B$16:$B$5015,"&lt;="&amp;EOMONTH(DATE(2035,9,1),0))))</f>
        <v/>
      </c>
      <c r="G145" s="165">
        <f>(SUMIFS(Transaksi!$F$16:$F$5015,Transaksi!$G$16:$G$5015,"Tabungan",Transaksi!$D$16:$D$5015,"Keluar",Transaksi!$H$16:$H$5015,"&lt;&gt;Reksadana uang kos mama",Transaksi!$B$16:$B$5015,"&gt;="&amp;DATE(2035,9,1),Transaksi!$B$16:$B$5015,"&lt;="&amp;EOMONTH(DATE(2035,9,1),0))-SUMIFS(Transaksi!$F$16:$F$5015,Transaksi!$G$16:$G$5015,"Tabungan",Transaksi!$D$16:$D$5015,"Masuk",Transaksi!$H$16:$H$5015,"&lt;&gt;Reksadana uang kos mama",Transaksi!$B$16:$B$5015,"&gt;="&amp;DATE(2035,9,1),Transaksi!$B$16:$B$5015,"&lt;="&amp;EOMONTH(DATE(2035,9,1),0)))</f>
        <v/>
      </c>
    </row>
    <row r="146" ht="15" customHeight="1" s="94">
      <c r="A146" s="164" t="n">
        <v>2035</v>
      </c>
      <c r="B146" s="164" t="inlineStr">
        <is>
          <t>Okt</t>
        </is>
      </c>
      <c r="C146" s="165">
        <f>SUMIFS(Transaksi!$F$16:$F$5015,Transaksi!$G$16:$G$5015,"Pendapatan",Transaksi!$B$16:$B$5015,"&gt;="&amp;DATE(2035,10,1),Transaksi!$B$16:$B$5015,"&lt;="&amp;EOMONTH(DATE(2035,10,1),0))</f>
        <v/>
      </c>
      <c r="D146" s="165">
        <f>SUMIFS(Transaksi!$F$16:$F$5015,Transaksi!$G$16:$G$5015,"Pengeluaran",Transaksi!$B$16:$B$5015,"&gt;="&amp;DATE(2035,10,1),Transaksi!$B$16:$B$5015,"&lt;="&amp;EOMONTH(DATE(2035,10,1),0))</f>
        <v/>
      </c>
      <c r="E146" s="166">
        <f>C146-D146</f>
        <v/>
      </c>
      <c r="F146" s="165">
        <f>(SUMIFS(Transaksi!$F$16:$F$5015,Transaksi!$G$16:$G$5015,"Pendapatan",Transaksi!$B$16:$B$5015,"&gt;="&amp;DATE(2035,10,1),Transaksi!$B$16:$B$5015,"&lt;="&amp;EOMONTH(DATE(2035,10,1),0),Transaksi!$H$16:$H$5015,"Uang Kos Mama")+SUMIFS(Transaksi!$F$16:$F$5015,Transaksi!$G$16:$G$5015,"Pendapatan",Transaksi!$B$16:$B$5015,"&gt;="&amp;DATE(2035,10,1),Transaksi!$B$16:$B$5015,"&lt;="&amp;EOMONTH(DATE(2035,10,1),0),Transaksi!$H$16:$H$5015,"Uang Kedai"))-(SUMIFS(Transaksi!$F$16:$F$5015,Transaksi!$G$16:$G$5015,"Pengeluaran",Transaksi!$B$16:$B$5015,"&gt;="&amp;DATE(2035,10,1),Transaksi!$B$16:$B$5015,"&lt;="&amp;EOMONTH(DATE(2035,10,1),0),Transaksi!$H$16:$H$5015,"Pengeluaran Uang Kos")+SUMIFS(Transaksi!$F$16:$F$5015,Transaksi!$G$16:$G$5015,"Pengeluaran",Transaksi!$B$16:$B$5015,"&gt;="&amp;DATE(2035,10,1),Transaksi!$B$16:$B$5015,"&lt;="&amp;EOMONTH(DATE(2035,10,1),0),Transaksi!$H$16:$H$5015,"Pengeluaran Uang Kedai")+(SUMIFS(Transaksi!$F$16:$F$5015,Transaksi!$G$16:$G$5015,"Tabungan",Transaksi!$D$16:$D$5015,"Keluar",Transaksi!$H$16:$H$5015,"Reksadana uang kos mama",Transaksi!$B$16:$B$5015,"&gt;="&amp;DATE(2035,10,1),Transaksi!$B$16:$B$5015,"&lt;="&amp;EOMONTH(DATE(2035,10,1),0))-SUMIFS(Transaksi!$F$16:$F$5015,Transaksi!$G$16:$G$5015,"Tabungan",Transaksi!$D$16:$D$5015,"Masuk",Transaksi!$H$16:$H$5015,"Reksadana uang kos mama",Transaksi!$B$16:$B$5015,"&gt;="&amp;DATE(2035,10,1),Transaksi!$B$16:$B$5015,"&lt;="&amp;EOMONTH(DATE(2035,10,1),0))))</f>
        <v/>
      </c>
      <c r="G146" s="165">
        <f>(SUMIFS(Transaksi!$F$16:$F$5015,Transaksi!$G$16:$G$5015,"Tabungan",Transaksi!$D$16:$D$5015,"Keluar",Transaksi!$H$16:$H$5015,"&lt;&gt;Reksadana uang kos mama",Transaksi!$B$16:$B$5015,"&gt;="&amp;DATE(2035,10,1),Transaksi!$B$16:$B$5015,"&lt;="&amp;EOMONTH(DATE(2035,10,1),0))-SUMIFS(Transaksi!$F$16:$F$5015,Transaksi!$G$16:$G$5015,"Tabungan",Transaksi!$D$16:$D$5015,"Masuk",Transaksi!$H$16:$H$5015,"&lt;&gt;Reksadana uang kos mama",Transaksi!$B$16:$B$5015,"&gt;="&amp;DATE(2035,10,1),Transaksi!$B$16:$B$5015,"&lt;="&amp;EOMONTH(DATE(2035,10,1),0)))</f>
        <v/>
      </c>
    </row>
    <row r="147" ht="15" customHeight="1" s="94">
      <c r="A147" s="164" t="n">
        <v>2035</v>
      </c>
      <c r="B147" s="164" t="inlineStr">
        <is>
          <t>Nov</t>
        </is>
      </c>
      <c r="C147" s="165">
        <f>SUMIFS(Transaksi!$F$16:$F$5015,Transaksi!$G$16:$G$5015,"Pendapatan",Transaksi!$B$16:$B$5015,"&gt;="&amp;DATE(2035,11,1),Transaksi!$B$16:$B$5015,"&lt;="&amp;EOMONTH(DATE(2035,11,1),0))</f>
        <v/>
      </c>
      <c r="D147" s="165">
        <f>SUMIFS(Transaksi!$F$16:$F$5015,Transaksi!$G$16:$G$5015,"Pengeluaran",Transaksi!$B$16:$B$5015,"&gt;="&amp;DATE(2035,11,1),Transaksi!$B$16:$B$5015,"&lt;="&amp;EOMONTH(DATE(2035,11,1),0))</f>
        <v/>
      </c>
      <c r="E147" s="166">
        <f>C147-D147</f>
        <v/>
      </c>
      <c r="F147" s="165">
        <f>(SUMIFS(Transaksi!$F$16:$F$5015,Transaksi!$G$16:$G$5015,"Pendapatan",Transaksi!$B$16:$B$5015,"&gt;="&amp;DATE(2035,11,1),Transaksi!$B$16:$B$5015,"&lt;="&amp;EOMONTH(DATE(2035,11,1),0),Transaksi!$H$16:$H$5015,"Uang Kos Mama")+SUMIFS(Transaksi!$F$16:$F$5015,Transaksi!$G$16:$G$5015,"Pendapatan",Transaksi!$B$16:$B$5015,"&gt;="&amp;DATE(2035,11,1),Transaksi!$B$16:$B$5015,"&lt;="&amp;EOMONTH(DATE(2035,11,1),0),Transaksi!$H$16:$H$5015,"Uang Kedai"))-(SUMIFS(Transaksi!$F$16:$F$5015,Transaksi!$G$16:$G$5015,"Pengeluaran",Transaksi!$B$16:$B$5015,"&gt;="&amp;DATE(2035,11,1),Transaksi!$B$16:$B$5015,"&lt;="&amp;EOMONTH(DATE(2035,11,1),0),Transaksi!$H$16:$H$5015,"Pengeluaran Uang Kos")+SUMIFS(Transaksi!$F$16:$F$5015,Transaksi!$G$16:$G$5015,"Pengeluaran",Transaksi!$B$16:$B$5015,"&gt;="&amp;DATE(2035,11,1),Transaksi!$B$16:$B$5015,"&lt;="&amp;EOMONTH(DATE(2035,11,1),0),Transaksi!$H$16:$H$5015,"Pengeluaran Uang Kedai")+(SUMIFS(Transaksi!$F$16:$F$5015,Transaksi!$G$16:$G$5015,"Tabungan",Transaksi!$D$16:$D$5015,"Keluar",Transaksi!$H$16:$H$5015,"Reksadana uang kos mama",Transaksi!$B$16:$B$5015,"&gt;="&amp;DATE(2035,11,1),Transaksi!$B$16:$B$5015,"&lt;="&amp;EOMONTH(DATE(2035,11,1),0))-SUMIFS(Transaksi!$F$16:$F$5015,Transaksi!$G$16:$G$5015,"Tabungan",Transaksi!$D$16:$D$5015,"Masuk",Transaksi!$H$16:$H$5015,"Reksadana uang kos mama",Transaksi!$B$16:$B$5015,"&gt;="&amp;DATE(2035,11,1),Transaksi!$B$16:$B$5015,"&lt;="&amp;EOMONTH(DATE(2035,11,1),0))))</f>
        <v/>
      </c>
      <c r="G147" s="165">
        <f>(SUMIFS(Transaksi!$F$16:$F$5015,Transaksi!$G$16:$G$5015,"Tabungan",Transaksi!$D$16:$D$5015,"Keluar",Transaksi!$H$16:$H$5015,"&lt;&gt;Reksadana uang kos mama",Transaksi!$B$16:$B$5015,"&gt;="&amp;DATE(2035,11,1),Transaksi!$B$16:$B$5015,"&lt;="&amp;EOMONTH(DATE(2035,11,1),0))-SUMIFS(Transaksi!$F$16:$F$5015,Transaksi!$G$16:$G$5015,"Tabungan",Transaksi!$D$16:$D$5015,"Masuk",Transaksi!$H$16:$H$5015,"&lt;&gt;Reksadana uang kos mama",Transaksi!$B$16:$B$5015,"&gt;="&amp;DATE(2035,11,1),Transaksi!$B$16:$B$5015,"&lt;="&amp;EOMONTH(DATE(2035,11,1),0)))</f>
        <v/>
      </c>
    </row>
    <row r="148" ht="15" customHeight="1" s="94">
      <c r="A148" s="164" t="n">
        <v>2035</v>
      </c>
      <c r="B148" s="164" t="inlineStr">
        <is>
          <t>Des</t>
        </is>
      </c>
      <c r="C148" s="165">
        <f>SUMIFS(Transaksi!$F$16:$F$5015,Transaksi!$G$16:$G$5015,"Pendapatan",Transaksi!$B$16:$B$5015,"&gt;="&amp;DATE(2035,12,1),Transaksi!$B$16:$B$5015,"&lt;="&amp;EOMONTH(DATE(2035,12,1),0))</f>
        <v/>
      </c>
      <c r="D148" s="165">
        <f>SUMIFS(Transaksi!$F$16:$F$5015,Transaksi!$G$16:$G$5015,"Pengeluaran",Transaksi!$B$16:$B$5015,"&gt;="&amp;DATE(2035,12,1),Transaksi!$B$16:$B$5015,"&lt;="&amp;EOMONTH(DATE(2035,12,1),0))</f>
        <v/>
      </c>
      <c r="E148" s="166">
        <f>C148-D148</f>
        <v/>
      </c>
      <c r="F148" s="165">
        <f>(SUMIFS(Transaksi!$F$16:$F$5015,Transaksi!$G$16:$G$5015,"Pendapatan",Transaksi!$B$16:$B$5015,"&gt;="&amp;DATE(2035,12,1),Transaksi!$B$16:$B$5015,"&lt;="&amp;EOMONTH(DATE(2035,12,1),0),Transaksi!$H$16:$H$5015,"Uang Kos Mama")+SUMIFS(Transaksi!$F$16:$F$5015,Transaksi!$G$16:$G$5015,"Pendapatan",Transaksi!$B$16:$B$5015,"&gt;="&amp;DATE(2035,12,1),Transaksi!$B$16:$B$5015,"&lt;="&amp;EOMONTH(DATE(2035,12,1),0),Transaksi!$H$16:$H$5015,"Uang Kedai"))-(SUMIFS(Transaksi!$F$16:$F$5015,Transaksi!$G$16:$G$5015,"Pengeluaran",Transaksi!$B$16:$B$5015,"&gt;="&amp;DATE(2035,12,1),Transaksi!$B$16:$B$5015,"&lt;="&amp;EOMONTH(DATE(2035,12,1),0),Transaksi!$H$16:$H$5015,"Pengeluaran Uang Kos")+SUMIFS(Transaksi!$F$16:$F$5015,Transaksi!$G$16:$G$5015,"Pengeluaran",Transaksi!$B$16:$B$5015,"&gt;="&amp;DATE(2035,12,1),Transaksi!$B$16:$B$5015,"&lt;="&amp;EOMONTH(DATE(2035,12,1),0),Transaksi!$H$16:$H$5015,"Pengeluaran Uang Kedai")+(SUMIFS(Transaksi!$F$16:$F$5015,Transaksi!$G$16:$G$5015,"Tabungan",Transaksi!$D$16:$D$5015,"Keluar",Transaksi!$H$16:$H$5015,"Reksadana uang kos mama",Transaksi!$B$16:$B$5015,"&gt;="&amp;DATE(2035,12,1),Transaksi!$B$16:$B$5015,"&lt;="&amp;EOMONTH(DATE(2035,12,1),0))-SUMIFS(Transaksi!$F$16:$F$5015,Transaksi!$G$16:$G$5015,"Tabungan",Transaksi!$D$16:$D$5015,"Masuk",Transaksi!$H$16:$H$5015,"Reksadana uang kos mama",Transaksi!$B$16:$B$5015,"&gt;="&amp;DATE(2035,12,1),Transaksi!$B$16:$B$5015,"&lt;="&amp;EOMONTH(DATE(2035,12,1),0))))</f>
        <v/>
      </c>
      <c r="G148" s="165">
        <f>(SUMIFS(Transaksi!$F$16:$F$5015,Transaksi!$G$16:$G$5015,"Tabungan",Transaksi!$D$16:$D$5015,"Keluar",Transaksi!$H$16:$H$5015,"&lt;&gt;Reksadana uang kos mama",Transaksi!$B$16:$B$5015,"&gt;="&amp;DATE(2035,12,1),Transaksi!$B$16:$B$5015,"&lt;="&amp;EOMONTH(DATE(2035,12,1),0))-SUMIFS(Transaksi!$F$16:$F$5015,Transaksi!$G$16:$G$5015,"Tabungan",Transaksi!$D$16:$D$5015,"Masuk",Transaksi!$H$16:$H$5015,"&lt;&gt;Reksadana uang kos mama",Transaksi!$B$16:$B$5015,"&gt;="&amp;DATE(2035,12,1),Transaksi!$B$16:$B$5015,"&lt;="&amp;EOMONTH(DATE(2035,12,1),0)))</f>
        <v/>
      </c>
    </row>
    <row r="149" ht="15" customHeight="1" s="94">
      <c r="A149" s="164" t="n">
        <v>2036</v>
      </c>
      <c r="B149" s="164" t="inlineStr">
        <is>
          <t>Jan</t>
        </is>
      </c>
      <c r="C149" s="165">
        <f>SUMIFS(Transaksi!$F$16:$F$5015,Transaksi!$G$16:$G$5015,"Pendapatan",Transaksi!$B$16:$B$5015,"&gt;="&amp;DATE(2036,1,1),Transaksi!$B$16:$B$5015,"&lt;="&amp;EOMONTH(DATE(2036,1,1),0))</f>
        <v/>
      </c>
      <c r="D149" s="165">
        <f>SUMIFS(Transaksi!$F$16:$F$5015,Transaksi!$G$16:$G$5015,"Pengeluaran",Transaksi!$B$16:$B$5015,"&gt;="&amp;DATE(2036,1,1),Transaksi!$B$16:$B$5015,"&lt;="&amp;EOMONTH(DATE(2036,1,1),0))</f>
        <v/>
      </c>
      <c r="E149" s="166">
        <f>C149-D149</f>
        <v/>
      </c>
      <c r="F149" s="165">
        <f>(SUMIFS(Transaksi!$F$16:$F$5015,Transaksi!$G$16:$G$5015,"Pendapatan",Transaksi!$B$16:$B$5015,"&gt;="&amp;DATE(2036,1,1),Transaksi!$B$16:$B$5015,"&lt;="&amp;EOMONTH(DATE(2036,1,1),0),Transaksi!$H$16:$H$5015,"Uang Kos Mama")+SUMIFS(Transaksi!$F$16:$F$5015,Transaksi!$G$16:$G$5015,"Pendapatan",Transaksi!$B$16:$B$5015,"&gt;="&amp;DATE(2036,1,1),Transaksi!$B$16:$B$5015,"&lt;="&amp;EOMONTH(DATE(2036,1,1),0),Transaksi!$H$16:$H$5015,"Uang Kedai"))-(SUMIFS(Transaksi!$F$16:$F$5015,Transaksi!$G$16:$G$5015,"Pengeluaran",Transaksi!$B$16:$B$5015,"&gt;="&amp;DATE(2036,1,1),Transaksi!$B$16:$B$5015,"&lt;="&amp;EOMONTH(DATE(2036,1,1),0),Transaksi!$H$16:$H$5015,"Pengeluaran Uang Kos")+SUMIFS(Transaksi!$F$16:$F$5015,Transaksi!$G$16:$G$5015,"Pengeluaran",Transaksi!$B$16:$B$5015,"&gt;="&amp;DATE(2036,1,1),Transaksi!$B$16:$B$5015,"&lt;="&amp;EOMONTH(DATE(2036,1,1),0),Transaksi!$H$16:$H$5015,"Pengeluaran Uang Kedai")+(SUMIFS(Transaksi!$F$16:$F$5015,Transaksi!$G$16:$G$5015,"Tabungan",Transaksi!$D$16:$D$5015,"Keluar",Transaksi!$H$16:$H$5015,"Reksadana uang kos mama",Transaksi!$B$16:$B$5015,"&gt;="&amp;DATE(2036,1,1),Transaksi!$B$16:$B$5015,"&lt;="&amp;EOMONTH(DATE(2036,1,1),0))-SUMIFS(Transaksi!$F$16:$F$5015,Transaksi!$G$16:$G$5015,"Tabungan",Transaksi!$D$16:$D$5015,"Masuk",Transaksi!$H$16:$H$5015,"Reksadana uang kos mama",Transaksi!$B$16:$B$5015,"&gt;="&amp;DATE(2036,1,1),Transaksi!$B$16:$B$5015,"&lt;="&amp;EOMONTH(DATE(2036,1,1),0))))</f>
        <v/>
      </c>
      <c r="G149" s="165">
        <f>(SUMIFS(Transaksi!$F$16:$F$5015,Transaksi!$G$16:$G$5015,"Tabungan",Transaksi!$D$16:$D$5015,"Keluar",Transaksi!$H$16:$H$5015,"&lt;&gt;Reksadana uang kos mama",Transaksi!$B$16:$B$5015,"&gt;="&amp;DATE(2036,1,1),Transaksi!$B$16:$B$5015,"&lt;="&amp;EOMONTH(DATE(2036,1,1),0))-SUMIFS(Transaksi!$F$16:$F$5015,Transaksi!$G$16:$G$5015,"Tabungan",Transaksi!$D$16:$D$5015,"Masuk",Transaksi!$H$16:$H$5015,"&lt;&gt;Reksadana uang kos mama",Transaksi!$B$16:$B$5015,"&gt;="&amp;DATE(2036,1,1),Transaksi!$B$16:$B$5015,"&lt;="&amp;EOMONTH(DATE(2036,1,1),0)))</f>
        <v/>
      </c>
    </row>
    <row r="150" ht="15" customHeight="1" s="94">
      <c r="A150" s="164" t="n">
        <v>2036</v>
      </c>
      <c r="B150" s="164" t="inlineStr">
        <is>
          <t>Feb</t>
        </is>
      </c>
      <c r="C150" s="165">
        <f>SUMIFS(Transaksi!$F$16:$F$5015,Transaksi!$G$16:$G$5015,"Pendapatan",Transaksi!$B$16:$B$5015,"&gt;="&amp;DATE(2036,2,1),Transaksi!$B$16:$B$5015,"&lt;="&amp;EOMONTH(DATE(2036,2,1),0))</f>
        <v/>
      </c>
      <c r="D150" s="165">
        <f>SUMIFS(Transaksi!$F$16:$F$5015,Transaksi!$G$16:$G$5015,"Pengeluaran",Transaksi!$B$16:$B$5015,"&gt;="&amp;DATE(2036,2,1),Transaksi!$B$16:$B$5015,"&lt;="&amp;EOMONTH(DATE(2036,2,1),0))</f>
        <v/>
      </c>
      <c r="E150" s="166">
        <f>C150-D150</f>
        <v/>
      </c>
      <c r="F150" s="165">
        <f>(SUMIFS(Transaksi!$F$16:$F$5015,Transaksi!$G$16:$G$5015,"Pendapatan",Transaksi!$B$16:$B$5015,"&gt;="&amp;DATE(2036,2,1),Transaksi!$B$16:$B$5015,"&lt;="&amp;EOMONTH(DATE(2036,2,1),0),Transaksi!$H$16:$H$5015,"Uang Kos Mama")+SUMIFS(Transaksi!$F$16:$F$5015,Transaksi!$G$16:$G$5015,"Pendapatan",Transaksi!$B$16:$B$5015,"&gt;="&amp;DATE(2036,2,1),Transaksi!$B$16:$B$5015,"&lt;="&amp;EOMONTH(DATE(2036,2,1),0),Transaksi!$H$16:$H$5015,"Uang Kedai"))-(SUMIFS(Transaksi!$F$16:$F$5015,Transaksi!$G$16:$G$5015,"Pengeluaran",Transaksi!$B$16:$B$5015,"&gt;="&amp;DATE(2036,2,1),Transaksi!$B$16:$B$5015,"&lt;="&amp;EOMONTH(DATE(2036,2,1),0),Transaksi!$H$16:$H$5015,"Pengeluaran Uang Kos")+SUMIFS(Transaksi!$F$16:$F$5015,Transaksi!$G$16:$G$5015,"Pengeluaran",Transaksi!$B$16:$B$5015,"&gt;="&amp;DATE(2036,2,1),Transaksi!$B$16:$B$5015,"&lt;="&amp;EOMONTH(DATE(2036,2,1),0),Transaksi!$H$16:$H$5015,"Pengeluaran Uang Kedai")+(SUMIFS(Transaksi!$F$16:$F$5015,Transaksi!$G$16:$G$5015,"Tabungan",Transaksi!$D$16:$D$5015,"Keluar",Transaksi!$H$16:$H$5015,"Reksadana uang kos mama",Transaksi!$B$16:$B$5015,"&gt;="&amp;DATE(2036,2,1),Transaksi!$B$16:$B$5015,"&lt;="&amp;EOMONTH(DATE(2036,2,1),0))-SUMIFS(Transaksi!$F$16:$F$5015,Transaksi!$G$16:$G$5015,"Tabungan",Transaksi!$D$16:$D$5015,"Masuk",Transaksi!$H$16:$H$5015,"Reksadana uang kos mama",Transaksi!$B$16:$B$5015,"&gt;="&amp;DATE(2036,2,1),Transaksi!$B$16:$B$5015,"&lt;="&amp;EOMONTH(DATE(2036,2,1),0))))</f>
        <v/>
      </c>
      <c r="G150" s="165">
        <f>(SUMIFS(Transaksi!$F$16:$F$5015,Transaksi!$G$16:$G$5015,"Tabungan",Transaksi!$D$16:$D$5015,"Keluar",Transaksi!$H$16:$H$5015,"&lt;&gt;Reksadana uang kos mama",Transaksi!$B$16:$B$5015,"&gt;="&amp;DATE(2036,2,1),Transaksi!$B$16:$B$5015,"&lt;="&amp;EOMONTH(DATE(2036,2,1),0))-SUMIFS(Transaksi!$F$16:$F$5015,Transaksi!$G$16:$G$5015,"Tabungan",Transaksi!$D$16:$D$5015,"Masuk",Transaksi!$H$16:$H$5015,"&lt;&gt;Reksadana uang kos mama",Transaksi!$B$16:$B$5015,"&gt;="&amp;DATE(2036,2,1),Transaksi!$B$16:$B$5015,"&lt;="&amp;EOMONTH(DATE(2036,2,1),0)))</f>
        <v/>
      </c>
    </row>
    <row r="151" ht="15" customHeight="1" s="94">
      <c r="A151" s="164" t="n">
        <v>2036</v>
      </c>
      <c r="B151" s="164" t="inlineStr">
        <is>
          <t>Mar</t>
        </is>
      </c>
      <c r="C151" s="165">
        <f>SUMIFS(Transaksi!$F$16:$F$5015,Transaksi!$G$16:$G$5015,"Pendapatan",Transaksi!$B$16:$B$5015,"&gt;="&amp;DATE(2036,3,1),Transaksi!$B$16:$B$5015,"&lt;="&amp;EOMONTH(DATE(2036,3,1),0))</f>
        <v/>
      </c>
      <c r="D151" s="165">
        <f>SUMIFS(Transaksi!$F$16:$F$5015,Transaksi!$G$16:$G$5015,"Pengeluaran",Transaksi!$B$16:$B$5015,"&gt;="&amp;DATE(2036,3,1),Transaksi!$B$16:$B$5015,"&lt;="&amp;EOMONTH(DATE(2036,3,1),0))</f>
        <v/>
      </c>
      <c r="E151" s="166">
        <f>C151-D151</f>
        <v/>
      </c>
      <c r="F151" s="165">
        <f>(SUMIFS(Transaksi!$F$16:$F$5015,Transaksi!$G$16:$G$5015,"Pendapatan",Transaksi!$B$16:$B$5015,"&gt;="&amp;DATE(2036,3,1),Transaksi!$B$16:$B$5015,"&lt;="&amp;EOMONTH(DATE(2036,3,1),0),Transaksi!$H$16:$H$5015,"Uang Kos Mama")+SUMIFS(Transaksi!$F$16:$F$5015,Transaksi!$G$16:$G$5015,"Pendapatan",Transaksi!$B$16:$B$5015,"&gt;="&amp;DATE(2036,3,1),Transaksi!$B$16:$B$5015,"&lt;="&amp;EOMONTH(DATE(2036,3,1),0),Transaksi!$H$16:$H$5015,"Uang Kedai"))-(SUMIFS(Transaksi!$F$16:$F$5015,Transaksi!$G$16:$G$5015,"Pengeluaran",Transaksi!$B$16:$B$5015,"&gt;="&amp;DATE(2036,3,1),Transaksi!$B$16:$B$5015,"&lt;="&amp;EOMONTH(DATE(2036,3,1),0),Transaksi!$H$16:$H$5015,"Pengeluaran Uang Kos")+SUMIFS(Transaksi!$F$16:$F$5015,Transaksi!$G$16:$G$5015,"Pengeluaran",Transaksi!$B$16:$B$5015,"&gt;="&amp;DATE(2036,3,1),Transaksi!$B$16:$B$5015,"&lt;="&amp;EOMONTH(DATE(2036,3,1),0),Transaksi!$H$16:$H$5015,"Pengeluaran Uang Kedai")+(SUMIFS(Transaksi!$F$16:$F$5015,Transaksi!$G$16:$G$5015,"Tabungan",Transaksi!$D$16:$D$5015,"Keluar",Transaksi!$H$16:$H$5015,"Reksadana uang kos mama",Transaksi!$B$16:$B$5015,"&gt;="&amp;DATE(2036,3,1),Transaksi!$B$16:$B$5015,"&lt;="&amp;EOMONTH(DATE(2036,3,1),0))-SUMIFS(Transaksi!$F$16:$F$5015,Transaksi!$G$16:$G$5015,"Tabungan",Transaksi!$D$16:$D$5015,"Masuk",Transaksi!$H$16:$H$5015,"Reksadana uang kos mama",Transaksi!$B$16:$B$5015,"&gt;="&amp;DATE(2036,3,1),Transaksi!$B$16:$B$5015,"&lt;="&amp;EOMONTH(DATE(2036,3,1),0))))</f>
        <v/>
      </c>
      <c r="G151" s="165">
        <f>(SUMIFS(Transaksi!$F$16:$F$5015,Transaksi!$G$16:$G$5015,"Tabungan",Transaksi!$D$16:$D$5015,"Keluar",Transaksi!$H$16:$H$5015,"&lt;&gt;Reksadana uang kos mama",Transaksi!$B$16:$B$5015,"&gt;="&amp;DATE(2036,3,1),Transaksi!$B$16:$B$5015,"&lt;="&amp;EOMONTH(DATE(2036,3,1),0))-SUMIFS(Transaksi!$F$16:$F$5015,Transaksi!$G$16:$G$5015,"Tabungan",Transaksi!$D$16:$D$5015,"Masuk",Transaksi!$H$16:$H$5015,"&lt;&gt;Reksadana uang kos mama",Transaksi!$B$16:$B$5015,"&gt;="&amp;DATE(2036,3,1),Transaksi!$B$16:$B$5015,"&lt;="&amp;EOMONTH(DATE(2036,3,1),0)))</f>
        <v/>
      </c>
    </row>
    <row r="152" ht="15" customHeight="1" s="94">
      <c r="A152" s="164" t="n">
        <v>2036</v>
      </c>
      <c r="B152" s="164" t="inlineStr">
        <is>
          <t>Apr</t>
        </is>
      </c>
      <c r="C152" s="165">
        <f>SUMIFS(Transaksi!$F$16:$F$5015,Transaksi!$G$16:$G$5015,"Pendapatan",Transaksi!$B$16:$B$5015,"&gt;="&amp;DATE(2036,4,1),Transaksi!$B$16:$B$5015,"&lt;="&amp;EOMONTH(DATE(2036,4,1),0))</f>
        <v/>
      </c>
      <c r="D152" s="165">
        <f>SUMIFS(Transaksi!$F$16:$F$5015,Transaksi!$G$16:$G$5015,"Pengeluaran",Transaksi!$B$16:$B$5015,"&gt;="&amp;DATE(2036,4,1),Transaksi!$B$16:$B$5015,"&lt;="&amp;EOMONTH(DATE(2036,4,1),0))</f>
        <v/>
      </c>
      <c r="E152" s="166">
        <f>C152-D152</f>
        <v/>
      </c>
      <c r="F152" s="165">
        <f>(SUMIFS(Transaksi!$F$16:$F$5015,Transaksi!$G$16:$G$5015,"Pendapatan",Transaksi!$B$16:$B$5015,"&gt;="&amp;DATE(2036,4,1),Transaksi!$B$16:$B$5015,"&lt;="&amp;EOMONTH(DATE(2036,4,1),0),Transaksi!$H$16:$H$5015,"Uang Kos Mama")+SUMIFS(Transaksi!$F$16:$F$5015,Transaksi!$G$16:$G$5015,"Pendapatan",Transaksi!$B$16:$B$5015,"&gt;="&amp;DATE(2036,4,1),Transaksi!$B$16:$B$5015,"&lt;="&amp;EOMONTH(DATE(2036,4,1),0),Transaksi!$H$16:$H$5015,"Uang Kedai"))-(SUMIFS(Transaksi!$F$16:$F$5015,Transaksi!$G$16:$G$5015,"Pengeluaran",Transaksi!$B$16:$B$5015,"&gt;="&amp;DATE(2036,4,1),Transaksi!$B$16:$B$5015,"&lt;="&amp;EOMONTH(DATE(2036,4,1),0),Transaksi!$H$16:$H$5015,"Pengeluaran Uang Kos")+SUMIFS(Transaksi!$F$16:$F$5015,Transaksi!$G$16:$G$5015,"Pengeluaran",Transaksi!$B$16:$B$5015,"&gt;="&amp;DATE(2036,4,1),Transaksi!$B$16:$B$5015,"&lt;="&amp;EOMONTH(DATE(2036,4,1),0),Transaksi!$H$16:$H$5015,"Pengeluaran Uang Kedai")+(SUMIFS(Transaksi!$F$16:$F$5015,Transaksi!$G$16:$G$5015,"Tabungan",Transaksi!$D$16:$D$5015,"Keluar",Transaksi!$H$16:$H$5015,"Reksadana uang kos mama",Transaksi!$B$16:$B$5015,"&gt;="&amp;DATE(2036,4,1),Transaksi!$B$16:$B$5015,"&lt;="&amp;EOMONTH(DATE(2036,4,1),0))-SUMIFS(Transaksi!$F$16:$F$5015,Transaksi!$G$16:$G$5015,"Tabungan",Transaksi!$D$16:$D$5015,"Masuk",Transaksi!$H$16:$H$5015,"Reksadana uang kos mama",Transaksi!$B$16:$B$5015,"&gt;="&amp;DATE(2036,4,1),Transaksi!$B$16:$B$5015,"&lt;="&amp;EOMONTH(DATE(2036,4,1),0))))</f>
        <v/>
      </c>
      <c r="G152" s="165">
        <f>(SUMIFS(Transaksi!$F$16:$F$5015,Transaksi!$G$16:$G$5015,"Tabungan",Transaksi!$D$16:$D$5015,"Keluar",Transaksi!$H$16:$H$5015,"&lt;&gt;Reksadana uang kos mama",Transaksi!$B$16:$B$5015,"&gt;="&amp;DATE(2036,4,1),Transaksi!$B$16:$B$5015,"&lt;="&amp;EOMONTH(DATE(2036,4,1),0))-SUMIFS(Transaksi!$F$16:$F$5015,Transaksi!$G$16:$G$5015,"Tabungan",Transaksi!$D$16:$D$5015,"Masuk",Transaksi!$H$16:$H$5015,"&lt;&gt;Reksadana uang kos mama",Transaksi!$B$16:$B$5015,"&gt;="&amp;DATE(2036,4,1),Transaksi!$B$16:$B$5015,"&lt;="&amp;EOMONTH(DATE(2036,4,1),0)))</f>
        <v/>
      </c>
    </row>
    <row r="153" ht="15" customHeight="1" s="94">
      <c r="A153" s="164" t="n">
        <v>2036</v>
      </c>
      <c r="B153" s="164" t="inlineStr">
        <is>
          <t>Mei</t>
        </is>
      </c>
      <c r="C153" s="165">
        <f>SUMIFS(Transaksi!$F$16:$F$5015,Transaksi!$G$16:$G$5015,"Pendapatan",Transaksi!$B$16:$B$5015,"&gt;="&amp;DATE(2036,5,1),Transaksi!$B$16:$B$5015,"&lt;="&amp;EOMONTH(DATE(2036,5,1),0))</f>
        <v/>
      </c>
      <c r="D153" s="165">
        <f>SUMIFS(Transaksi!$F$16:$F$5015,Transaksi!$G$16:$G$5015,"Pengeluaran",Transaksi!$B$16:$B$5015,"&gt;="&amp;DATE(2036,5,1),Transaksi!$B$16:$B$5015,"&lt;="&amp;EOMONTH(DATE(2036,5,1),0))</f>
        <v/>
      </c>
      <c r="E153" s="166">
        <f>C153-D153</f>
        <v/>
      </c>
      <c r="F153" s="165">
        <f>(SUMIFS(Transaksi!$F$16:$F$5015,Transaksi!$G$16:$G$5015,"Pendapatan",Transaksi!$B$16:$B$5015,"&gt;="&amp;DATE(2036,5,1),Transaksi!$B$16:$B$5015,"&lt;="&amp;EOMONTH(DATE(2036,5,1),0),Transaksi!$H$16:$H$5015,"Uang Kos Mama")+SUMIFS(Transaksi!$F$16:$F$5015,Transaksi!$G$16:$G$5015,"Pendapatan",Transaksi!$B$16:$B$5015,"&gt;="&amp;DATE(2036,5,1),Transaksi!$B$16:$B$5015,"&lt;="&amp;EOMONTH(DATE(2036,5,1),0),Transaksi!$H$16:$H$5015,"Uang Kedai"))-(SUMIFS(Transaksi!$F$16:$F$5015,Transaksi!$G$16:$G$5015,"Pengeluaran",Transaksi!$B$16:$B$5015,"&gt;="&amp;DATE(2036,5,1),Transaksi!$B$16:$B$5015,"&lt;="&amp;EOMONTH(DATE(2036,5,1),0),Transaksi!$H$16:$H$5015,"Pengeluaran Uang Kos")+SUMIFS(Transaksi!$F$16:$F$5015,Transaksi!$G$16:$G$5015,"Pengeluaran",Transaksi!$B$16:$B$5015,"&gt;="&amp;DATE(2036,5,1),Transaksi!$B$16:$B$5015,"&lt;="&amp;EOMONTH(DATE(2036,5,1),0),Transaksi!$H$16:$H$5015,"Pengeluaran Uang Kedai")+(SUMIFS(Transaksi!$F$16:$F$5015,Transaksi!$G$16:$G$5015,"Tabungan",Transaksi!$D$16:$D$5015,"Keluar",Transaksi!$H$16:$H$5015,"Reksadana uang kos mama",Transaksi!$B$16:$B$5015,"&gt;="&amp;DATE(2036,5,1),Transaksi!$B$16:$B$5015,"&lt;="&amp;EOMONTH(DATE(2036,5,1),0))-SUMIFS(Transaksi!$F$16:$F$5015,Transaksi!$G$16:$G$5015,"Tabungan",Transaksi!$D$16:$D$5015,"Masuk",Transaksi!$H$16:$H$5015,"Reksadana uang kos mama",Transaksi!$B$16:$B$5015,"&gt;="&amp;DATE(2036,5,1),Transaksi!$B$16:$B$5015,"&lt;="&amp;EOMONTH(DATE(2036,5,1),0))))</f>
        <v/>
      </c>
      <c r="G153" s="165">
        <f>(SUMIFS(Transaksi!$F$16:$F$5015,Transaksi!$G$16:$G$5015,"Tabungan",Transaksi!$D$16:$D$5015,"Keluar",Transaksi!$H$16:$H$5015,"&lt;&gt;Reksadana uang kos mama",Transaksi!$B$16:$B$5015,"&gt;="&amp;DATE(2036,5,1),Transaksi!$B$16:$B$5015,"&lt;="&amp;EOMONTH(DATE(2036,5,1),0))-SUMIFS(Transaksi!$F$16:$F$5015,Transaksi!$G$16:$G$5015,"Tabungan",Transaksi!$D$16:$D$5015,"Masuk",Transaksi!$H$16:$H$5015,"&lt;&gt;Reksadana uang kos mama",Transaksi!$B$16:$B$5015,"&gt;="&amp;DATE(2036,5,1),Transaksi!$B$16:$B$5015,"&lt;="&amp;EOMONTH(DATE(2036,5,1),0)))</f>
        <v/>
      </c>
    </row>
    <row r="154" ht="15" customHeight="1" s="94">
      <c r="A154" s="164" t="n">
        <v>2036</v>
      </c>
      <c r="B154" s="164" t="inlineStr">
        <is>
          <t>Jun</t>
        </is>
      </c>
      <c r="C154" s="165">
        <f>SUMIFS(Transaksi!$F$16:$F$5015,Transaksi!$G$16:$G$5015,"Pendapatan",Transaksi!$B$16:$B$5015,"&gt;="&amp;DATE(2036,6,1),Transaksi!$B$16:$B$5015,"&lt;="&amp;EOMONTH(DATE(2036,6,1),0))</f>
        <v/>
      </c>
      <c r="D154" s="165">
        <f>SUMIFS(Transaksi!$F$16:$F$5015,Transaksi!$G$16:$G$5015,"Pengeluaran",Transaksi!$B$16:$B$5015,"&gt;="&amp;DATE(2036,6,1),Transaksi!$B$16:$B$5015,"&lt;="&amp;EOMONTH(DATE(2036,6,1),0))</f>
        <v/>
      </c>
      <c r="E154" s="166">
        <f>C154-D154</f>
        <v/>
      </c>
      <c r="F154" s="165">
        <f>(SUMIFS(Transaksi!$F$16:$F$5015,Transaksi!$G$16:$G$5015,"Pendapatan",Transaksi!$B$16:$B$5015,"&gt;="&amp;DATE(2036,6,1),Transaksi!$B$16:$B$5015,"&lt;="&amp;EOMONTH(DATE(2036,6,1),0),Transaksi!$H$16:$H$5015,"Uang Kos Mama")+SUMIFS(Transaksi!$F$16:$F$5015,Transaksi!$G$16:$G$5015,"Pendapatan",Transaksi!$B$16:$B$5015,"&gt;="&amp;DATE(2036,6,1),Transaksi!$B$16:$B$5015,"&lt;="&amp;EOMONTH(DATE(2036,6,1),0),Transaksi!$H$16:$H$5015,"Uang Kedai"))-(SUMIFS(Transaksi!$F$16:$F$5015,Transaksi!$G$16:$G$5015,"Pengeluaran",Transaksi!$B$16:$B$5015,"&gt;="&amp;DATE(2036,6,1),Transaksi!$B$16:$B$5015,"&lt;="&amp;EOMONTH(DATE(2036,6,1),0),Transaksi!$H$16:$H$5015,"Pengeluaran Uang Kos")+SUMIFS(Transaksi!$F$16:$F$5015,Transaksi!$G$16:$G$5015,"Pengeluaran",Transaksi!$B$16:$B$5015,"&gt;="&amp;DATE(2036,6,1),Transaksi!$B$16:$B$5015,"&lt;="&amp;EOMONTH(DATE(2036,6,1),0),Transaksi!$H$16:$H$5015,"Pengeluaran Uang Kedai")+(SUMIFS(Transaksi!$F$16:$F$5015,Transaksi!$G$16:$G$5015,"Tabungan",Transaksi!$D$16:$D$5015,"Keluar",Transaksi!$H$16:$H$5015,"Reksadana uang kos mama",Transaksi!$B$16:$B$5015,"&gt;="&amp;DATE(2036,6,1),Transaksi!$B$16:$B$5015,"&lt;="&amp;EOMONTH(DATE(2036,6,1),0))-SUMIFS(Transaksi!$F$16:$F$5015,Transaksi!$G$16:$G$5015,"Tabungan",Transaksi!$D$16:$D$5015,"Masuk",Transaksi!$H$16:$H$5015,"Reksadana uang kos mama",Transaksi!$B$16:$B$5015,"&gt;="&amp;DATE(2036,6,1),Transaksi!$B$16:$B$5015,"&lt;="&amp;EOMONTH(DATE(2036,6,1),0))))</f>
        <v/>
      </c>
      <c r="G154" s="165">
        <f>(SUMIFS(Transaksi!$F$16:$F$5015,Transaksi!$G$16:$G$5015,"Tabungan",Transaksi!$D$16:$D$5015,"Keluar",Transaksi!$H$16:$H$5015,"&lt;&gt;Reksadana uang kos mama",Transaksi!$B$16:$B$5015,"&gt;="&amp;DATE(2036,6,1),Transaksi!$B$16:$B$5015,"&lt;="&amp;EOMONTH(DATE(2036,6,1),0))-SUMIFS(Transaksi!$F$16:$F$5015,Transaksi!$G$16:$G$5015,"Tabungan",Transaksi!$D$16:$D$5015,"Masuk",Transaksi!$H$16:$H$5015,"&lt;&gt;Reksadana uang kos mama",Transaksi!$B$16:$B$5015,"&gt;="&amp;DATE(2036,6,1),Transaksi!$B$16:$B$5015,"&lt;="&amp;EOMONTH(DATE(2036,6,1),0)))</f>
        <v/>
      </c>
    </row>
    <row r="155" ht="15" customHeight="1" s="94">
      <c r="A155" s="164" t="n">
        <v>2036</v>
      </c>
      <c r="B155" s="164" t="inlineStr">
        <is>
          <t>Jul</t>
        </is>
      </c>
      <c r="C155" s="165">
        <f>SUMIFS(Transaksi!$F$16:$F$5015,Transaksi!$G$16:$G$5015,"Pendapatan",Transaksi!$B$16:$B$5015,"&gt;="&amp;DATE(2036,7,1),Transaksi!$B$16:$B$5015,"&lt;="&amp;EOMONTH(DATE(2036,7,1),0))</f>
        <v/>
      </c>
      <c r="D155" s="165">
        <f>SUMIFS(Transaksi!$F$16:$F$5015,Transaksi!$G$16:$G$5015,"Pengeluaran",Transaksi!$B$16:$B$5015,"&gt;="&amp;DATE(2036,7,1),Transaksi!$B$16:$B$5015,"&lt;="&amp;EOMONTH(DATE(2036,7,1),0))</f>
        <v/>
      </c>
      <c r="E155" s="166">
        <f>C155-D155</f>
        <v/>
      </c>
      <c r="F155" s="165">
        <f>(SUMIFS(Transaksi!$F$16:$F$5015,Transaksi!$G$16:$G$5015,"Pendapatan",Transaksi!$B$16:$B$5015,"&gt;="&amp;DATE(2036,7,1),Transaksi!$B$16:$B$5015,"&lt;="&amp;EOMONTH(DATE(2036,7,1),0),Transaksi!$H$16:$H$5015,"Uang Kos Mama")+SUMIFS(Transaksi!$F$16:$F$5015,Transaksi!$G$16:$G$5015,"Pendapatan",Transaksi!$B$16:$B$5015,"&gt;="&amp;DATE(2036,7,1),Transaksi!$B$16:$B$5015,"&lt;="&amp;EOMONTH(DATE(2036,7,1),0),Transaksi!$H$16:$H$5015,"Uang Kedai"))-(SUMIFS(Transaksi!$F$16:$F$5015,Transaksi!$G$16:$G$5015,"Pengeluaran",Transaksi!$B$16:$B$5015,"&gt;="&amp;DATE(2036,7,1),Transaksi!$B$16:$B$5015,"&lt;="&amp;EOMONTH(DATE(2036,7,1),0),Transaksi!$H$16:$H$5015,"Pengeluaran Uang Kos")+SUMIFS(Transaksi!$F$16:$F$5015,Transaksi!$G$16:$G$5015,"Pengeluaran",Transaksi!$B$16:$B$5015,"&gt;="&amp;DATE(2036,7,1),Transaksi!$B$16:$B$5015,"&lt;="&amp;EOMONTH(DATE(2036,7,1),0),Transaksi!$H$16:$H$5015,"Pengeluaran Uang Kedai")+(SUMIFS(Transaksi!$F$16:$F$5015,Transaksi!$G$16:$G$5015,"Tabungan",Transaksi!$D$16:$D$5015,"Keluar",Transaksi!$H$16:$H$5015,"Reksadana uang kos mama",Transaksi!$B$16:$B$5015,"&gt;="&amp;DATE(2036,7,1),Transaksi!$B$16:$B$5015,"&lt;="&amp;EOMONTH(DATE(2036,7,1),0))-SUMIFS(Transaksi!$F$16:$F$5015,Transaksi!$G$16:$G$5015,"Tabungan",Transaksi!$D$16:$D$5015,"Masuk",Transaksi!$H$16:$H$5015,"Reksadana uang kos mama",Transaksi!$B$16:$B$5015,"&gt;="&amp;DATE(2036,7,1),Transaksi!$B$16:$B$5015,"&lt;="&amp;EOMONTH(DATE(2036,7,1),0))))</f>
        <v/>
      </c>
      <c r="G155" s="165">
        <f>(SUMIFS(Transaksi!$F$16:$F$5015,Transaksi!$G$16:$G$5015,"Tabungan",Transaksi!$D$16:$D$5015,"Keluar",Transaksi!$H$16:$H$5015,"&lt;&gt;Reksadana uang kos mama",Transaksi!$B$16:$B$5015,"&gt;="&amp;DATE(2036,7,1),Transaksi!$B$16:$B$5015,"&lt;="&amp;EOMONTH(DATE(2036,7,1),0))-SUMIFS(Transaksi!$F$16:$F$5015,Transaksi!$G$16:$G$5015,"Tabungan",Transaksi!$D$16:$D$5015,"Masuk",Transaksi!$H$16:$H$5015,"&lt;&gt;Reksadana uang kos mama",Transaksi!$B$16:$B$5015,"&gt;="&amp;DATE(2036,7,1),Transaksi!$B$16:$B$5015,"&lt;="&amp;EOMONTH(DATE(2036,7,1),0)))</f>
        <v/>
      </c>
    </row>
    <row r="156" ht="15" customHeight="1" s="94">
      <c r="A156" s="164" t="n">
        <v>2036</v>
      </c>
      <c r="B156" s="164" t="inlineStr">
        <is>
          <t>Agu</t>
        </is>
      </c>
      <c r="C156" s="165">
        <f>SUMIFS(Transaksi!$F$16:$F$5015,Transaksi!$G$16:$G$5015,"Pendapatan",Transaksi!$B$16:$B$5015,"&gt;="&amp;DATE(2036,8,1),Transaksi!$B$16:$B$5015,"&lt;="&amp;EOMONTH(DATE(2036,8,1),0))</f>
        <v/>
      </c>
      <c r="D156" s="165">
        <f>SUMIFS(Transaksi!$F$16:$F$5015,Transaksi!$G$16:$G$5015,"Pengeluaran",Transaksi!$B$16:$B$5015,"&gt;="&amp;DATE(2036,8,1),Transaksi!$B$16:$B$5015,"&lt;="&amp;EOMONTH(DATE(2036,8,1),0))</f>
        <v/>
      </c>
      <c r="E156" s="166">
        <f>C156-D156</f>
        <v/>
      </c>
      <c r="F156" s="165">
        <f>(SUMIFS(Transaksi!$F$16:$F$5015,Transaksi!$G$16:$G$5015,"Pendapatan",Transaksi!$B$16:$B$5015,"&gt;="&amp;DATE(2036,8,1),Transaksi!$B$16:$B$5015,"&lt;="&amp;EOMONTH(DATE(2036,8,1),0),Transaksi!$H$16:$H$5015,"Uang Kos Mama")+SUMIFS(Transaksi!$F$16:$F$5015,Transaksi!$G$16:$G$5015,"Pendapatan",Transaksi!$B$16:$B$5015,"&gt;="&amp;DATE(2036,8,1),Transaksi!$B$16:$B$5015,"&lt;="&amp;EOMONTH(DATE(2036,8,1),0),Transaksi!$H$16:$H$5015,"Uang Kedai"))-(SUMIFS(Transaksi!$F$16:$F$5015,Transaksi!$G$16:$G$5015,"Pengeluaran",Transaksi!$B$16:$B$5015,"&gt;="&amp;DATE(2036,8,1),Transaksi!$B$16:$B$5015,"&lt;="&amp;EOMONTH(DATE(2036,8,1),0),Transaksi!$H$16:$H$5015,"Pengeluaran Uang Kos")+SUMIFS(Transaksi!$F$16:$F$5015,Transaksi!$G$16:$G$5015,"Pengeluaran",Transaksi!$B$16:$B$5015,"&gt;="&amp;DATE(2036,8,1),Transaksi!$B$16:$B$5015,"&lt;="&amp;EOMONTH(DATE(2036,8,1),0),Transaksi!$H$16:$H$5015,"Pengeluaran Uang Kedai")+(SUMIFS(Transaksi!$F$16:$F$5015,Transaksi!$G$16:$G$5015,"Tabungan",Transaksi!$D$16:$D$5015,"Keluar",Transaksi!$H$16:$H$5015,"Reksadana uang kos mama",Transaksi!$B$16:$B$5015,"&gt;="&amp;DATE(2036,8,1),Transaksi!$B$16:$B$5015,"&lt;="&amp;EOMONTH(DATE(2036,8,1),0))-SUMIFS(Transaksi!$F$16:$F$5015,Transaksi!$G$16:$G$5015,"Tabungan",Transaksi!$D$16:$D$5015,"Masuk",Transaksi!$H$16:$H$5015,"Reksadana uang kos mama",Transaksi!$B$16:$B$5015,"&gt;="&amp;DATE(2036,8,1),Transaksi!$B$16:$B$5015,"&lt;="&amp;EOMONTH(DATE(2036,8,1),0))))</f>
        <v/>
      </c>
      <c r="G156" s="165">
        <f>(SUMIFS(Transaksi!$F$16:$F$5015,Transaksi!$G$16:$G$5015,"Tabungan",Transaksi!$D$16:$D$5015,"Keluar",Transaksi!$H$16:$H$5015,"&lt;&gt;Reksadana uang kos mama",Transaksi!$B$16:$B$5015,"&gt;="&amp;DATE(2036,8,1),Transaksi!$B$16:$B$5015,"&lt;="&amp;EOMONTH(DATE(2036,8,1),0))-SUMIFS(Transaksi!$F$16:$F$5015,Transaksi!$G$16:$G$5015,"Tabungan",Transaksi!$D$16:$D$5015,"Masuk",Transaksi!$H$16:$H$5015,"&lt;&gt;Reksadana uang kos mama",Transaksi!$B$16:$B$5015,"&gt;="&amp;DATE(2036,8,1),Transaksi!$B$16:$B$5015,"&lt;="&amp;EOMONTH(DATE(2036,8,1),0)))</f>
        <v/>
      </c>
    </row>
    <row r="157" ht="15" customHeight="1" s="94">
      <c r="A157" s="164" t="n">
        <v>2036</v>
      </c>
      <c r="B157" s="164" t="inlineStr">
        <is>
          <t>Sep</t>
        </is>
      </c>
      <c r="C157" s="165">
        <f>SUMIFS(Transaksi!$F$16:$F$5015,Transaksi!$G$16:$G$5015,"Pendapatan",Transaksi!$B$16:$B$5015,"&gt;="&amp;DATE(2036,9,1),Transaksi!$B$16:$B$5015,"&lt;="&amp;EOMONTH(DATE(2036,9,1),0))</f>
        <v/>
      </c>
      <c r="D157" s="165">
        <f>SUMIFS(Transaksi!$F$16:$F$5015,Transaksi!$G$16:$G$5015,"Pengeluaran",Transaksi!$B$16:$B$5015,"&gt;="&amp;DATE(2036,9,1),Transaksi!$B$16:$B$5015,"&lt;="&amp;EOMONTH(DATE(2036,9,1),0))</f>
        <v/>
      </c>
      <c r="E157" s="166">
        <f>C157-D157</f>
        <v/>
      </c>
      <c r="F157" s="165">
        <f>(SUMIFS(Transaksi!$F$16:$F$5015,Transaksi!$G$16:$G$5015,"Pendapatan",Transaksi!$B$16:$B$5015,"&gt;="&amp;DATE(2036,9,1),Transaksi!$B$16:$B$5015,"&lt;="&amp;EOMONTH(DATE(2036,9,1),0),Transaksi!$H$16:$H$5015,"Uang Kos Mama")+SUMIFS(Transaksi!$F$16:$F$5015,Transaksi!$G$16:$G$5015,"Pendapatan",Transaksi!$B$16:$B$5015,"&gt;="&amp;DATE(2036,9,1),Transaksi!$B$16:$B$5015,"&lt;="&amp;EOMONTH(DATE(2036,9,1),0),Transaksi!$H$16:$H$5015,"Uang Kedai"))-(SUMIFS(Transaksi!$F$16:$F$5015,Transaksi!$G$16:$G$5015,"Pengeluaran",Transaksi!$B$16:$B$5015,"&gt;="&amp;DATE(2036,9,1),Transaksi!$B$16:$B$5015,"&lt;="&amp;EOMONTH(DATE(2036,9,1),0),Transaksi!$H$16:$H$5015,"Pengeluaran Uang Kos")+SUMIFS(Transaksi!$F$16:$F$5015,Transaksi!$G$16:$G$5015,"Pengeluaran",Transaksi!$B$16:$B$5015,"&gt;="&amp;DATE(2036,9,1),Transaksi!$B$16:$B$5015,"&lt;="&amp;EOMONTH(DATE(2036,9,1),0),Transaksi!$H$16:$H$5015,"Pengeluaran Uang Kedai")+(SUMIFS(Transaksi!$F$16:$F$5015,Transaksi!$G$16:$G$5015,"Tabungan",Transaksi!$D$16:$D$5015,"Keluar",Transaksi!$H$16:$H$5015,"Reksadana uang kos mama",Transaksi!$B$16:$B$5015,"&gt;="&amp;DATE(2036,9,1),Transaksi!$B$16:$B$5015,"&lt;="&amp;EOMONTH(DATE(2036,9,1),0))-SUMIFS(Transaksi!$F$16:$F$5015,Transaksi!$G$16:$G$5015,"Tabungan",Transaksi!$D$16:$D$5015,"Masuk",Transaksi!$H$16:$H$5015,"Reksadana uang kos mama",Transaksi!$B$16:$B$5015,"&gt;="&amp;DATE(2036,9,1),Transaksi!$B$16:$B$5015,"&lt;="&amp;EOMONTH(DATE(2036,9,1),0))))</f>
        <v/>
      </c>
      <c r="G157" s="165">
        <f>(SUMIFS(Transaksi!$F$16:$F$5015,Transaksi!$G$16:$G$5015,"Tabungan",Transaksi!$D$16:$D$5015,"Keluar",Transaksi!$H$16:$H$5015,"&lt;&gt;Reksadana uang kos mama",Transaksi!$B$16:$B$5015,"&gt;="&amp;DATE(2036,9,1),Transaksi!$B$16:$B$5015,"&lt;="&amp;EOMONTH(DATE(2036,9,1),0))-SUMIFS(Transaksi!$F$16:$F$5015,Transaksi!$G$16:$G$5015,"Tabungan",Transaksi!$D$16:$D$5015,"Masuk",Transaksi!$H$16:$H$5015,"&lt;&gt;Reksadana uang kos mama",Transaksi!$B$16:$B$5015,"&gt;="&amp;DATE(2036,9,1),Transaksi!$B$16:$B$5015,"&lt;="&amp;EOMONTH(DATE(2036,9,1),0)))</f>
        <v/>
      </c>
    </row>
    <row r="158" ht="15" customHeight="1" s="94">
      <c r="A158" s="164" t="n">
        <v>2036</v>
      </c>
      <c r="B158" s="164" t="inlineStr">
        <is>
          <t>Okt</t>
        </is>
      </c>
      <c r="C158" s="165">
        <f>SUMIFS(Transaksi!$F$16:$F$5015,Transaksi!$G$16:$G$5015,"Pendapatan",Transaksi!$B$16:$B$5015,"&gt;="&amp;DATE(2036,10,1),Transaksi!$B$16:$B$5015,"&lt;="&amp;EOMONTH(DATE(2036,10,1),0))</f>
        <v/>
      </c>
      <c r="D158" s="165">
        <f>SUMIFS(Transaksi!$F$16:$F$5015,Transaksi!$G$16:$G$5015,"Pengeluaran",Transaksi!$B$16:$B$5015,"&gt;="&amp;DATE(2036,10,1),Transaksi!$B$16:$B$5015,"&lt;="&amp;EOMONTH(DATE(2036,10,1),0))</f>
        <v/>
      </c>
      <c r="E158" s="166">
        <f>C158-D158</f>
        <v/>
      </c>
      <c r="F158" s="165">
        <f>(SUMIFS(Transaksi!$F$16:$F$5015,Transaksi!$G$16:$G$5015,"Pendapatan",Transaksi!$B$16:$B$5015,"&gt;="&amp;DATE(2036,10,1),Transaksi!$B$16:$B$5015,"&lt;="&amp;EOMONTH(DATE(2036,10,1),0),Transaksi!$H$16:$H$5015,"Uang Kos Mama")+SUMIFS(Transaksi!$F$16:$F$5015,Transaksi!$G$16:$G$5015,"Pendapatan",Transaksi!$B$16:$B$5015,"&gt;="&amp;DATE(2036,10,1),Transaksi!$B$16:$B$5015,"&lt;="&amp;EOMONTH(DATE(2036,10,1),0),Transaksi!$H$16:$H$5015,"Uang Kedai"))-(SUMIFS(Transaksi!$F$16:$F$5015,Transaksi!$G$16:$G$5015,"Pengeluaran",Transaksi!$B$16:$B$5015,"&gt;="&amp;DATE(2036,10,1),Transaksi!$B$16:$B$5015,"&lt;="&amp;EOMONTH(DATE(2036,10,1),0),Transaksi!$H$16:$H$5015,"Pengeluaran Uang Kos")+SUMIFS(Transaksi!$F$16:$F$5015,Transaksi!$G$16:$G$5015,"Pengeluaran",Transaksi!$B$16:$B$5015,"&gt;="&amp;DATE(2036,10,1),Transaksi!$B$16:$B$5015,"&lt;="&amp;EOMONTH(DATE(2036,10,1),0),Transaksi!$H$16:$H$5015,"Pengeluaran Uang Kedai")+(SUMIFS(Transaksi!$F$16:$F$5015,Transaksi!$G$16:$G$5015,"Tabungan",Transaksi!$D$16:$D$5015,"Keluar",Transaksi!$H$16:$H$5015,"Reksadana uang kos mama",Transaksi!$B$16:$B$5015,"&gt;="&amp;DATE(2036,10,1),Transaksi!$B$16:$B$5015,"&lt;="&amp;EOMONTH(DATE(2036,10,1),0))-SUMIFS(Transaksi!$F$16:$F$5015,Transaksi!$G$16:$G$5015,"Tabungan",Transaksi!$D$16:$D$5015,"Masuk",Transaksi!$H$16:$H$5015,"Reksadana uang kos mama",Transaksi!$B$16:$B$5015,"&gt;="&amp;DATE(2036,10,1),Transaksi!$B$16:$B$5015,"&lt;="&amp;EOMONTH(DATE(2036,10,1),0))))</f>
        <v/>
      </c>
      <c r="G158" s="165">
        <f>(SUMIFS(Transaksi!$F$16:$F$5015,Transaksi!$G$16:$G$5015,"Tabungan",Transaksi!$D$16:$D$5015,"Keluar",Transaksi!$H$16:$H$5015,"&lt;&gt;Reksadana uang kos mama",Transaksi!$B$16:$B$5015,"&gt;="&amp;DATE(2036,10,1),Transaksi!$B$16:$B$5015,"&lt;="&amp;EOMONTH(DATE(2036,10,1),0))-SUMIFS(Transaksi!$F$16:$F$5015,Transaksi!$G$16:$G$5015,"Tabungan",Transaksi!$D$16:$D$5015,"Masuk",Transaksi!$H$16:$H$5015,"&lt;&gt;Reksadana uang kos mama",Transaksi!$B$16:$B$5015,"&gt;="&amp;DATE(2036,10,1),Transaksi!$B$16:$B$5015,"&lt;="&amp;EOMONTH(DATE(2036,10,1),0)))</f>
        <v/>
      </c>
    </row>
    <row r="159" ht="15" customHeight="1" s="94">
      <c r="A159" s="164" t="n">
        <v>2036</v>
      </c>
      <c r="B159" s="164" t="inlineStr">
        <is>
          <t>Nov</t>
        </is>
      </c>
      <c r="C159" s="165">
        <f>SUMIFS(Transaksi!$F$16:$F$5015,Transaksi!$G$16:$G$5015,"Pendapatan",Transaksi!$B$16:$B$5015,"&gt;="&amp;DATE(2036,11,1),Transaksi!$B$16:$B$5015,"&lt;="&amp;EOMONTH(DATE(2036,11,1),0))</f>
        <v/>
      </c>
      <c r="D159" s="165">
        <f>SUMIFS(Transaksi!$F$16:$F$5015,Transaksi!$G$16:$G$5015,"Pengeluaran",Transaksi!$B$16:$B$5015,"&gt;="&amp;DATE(2036,11,1),Transaksi!$B$16:$B$5015,"&lt;="&amp;EOMONTH(DATE(2036,11,1),0))</f>
        <v/>
      </c>
      <c r="E159" s="166">
        <f>C159-D159</f>
        <v/>
      </c>
      <c r="F159" s="165">
        <f>(SUMIFS(Transaksi!$F$16:$F$5015,Transaksi!$G$16:$G$5015,"Pendapatan",Transaksi!$B$16:$B$5015,"&gt;="&amp;DATE(2036,11,1),Transaksi!$B$16:$B$5015,"&lt;="&amp;EOMONTH(DATE(2036,11,1),0),Transaksi!$H$16:$H$5015,"Uang Kos Mama")+SUMIFS(Transaksi!$F$16:$F$5015,Transaksi!$G$16:$G$5015,"Pendapatan",Transaksi!$B$16:$B$5015,"&gt;="&amp;DATE(2036,11,1),Transaksi!$B$16:$B$5015,"&lt;="&amp;EOMONTH(DATE(2036,11,1),0),Transaksi!$H$16:$H$5015,"Uang Kedai"))-(SUMIFS(Transaksi!$F$16:$F$5015,Transaksi!$G$16:$G$5015,"Pengeluaran",Transaksi!$B$16:$B$5015,"&gt;="&amp;DATE(2036,11,1),Transaksi!$B$16:$B$5015,"&lt;="&amp;EOMONTH(DATE(2036,11,1),0),Transaksi!$H$16:$H$5015,"Pengeluaran Uang Kos")+SUMIFS(Transaksi!$F$16:$F$5015,Transaksi!$G$16:$G$5015,"Pengeluaran",Transaksi!$B$16:$B$5015,"&gt;="&amp;DATE(2036,11,1),Transaksi!$B$16:$B$5015,"&lt;="&amp;EOMONTH(DATE(2036,11,1),0),Transaksi!$H$16:$H$5015,"Pengeluaran Uang Kedai")+(SUMIFS(Transaksi!$F$16:$F$5015,Transaksi!$G$16:$G$5015,"Tabungan",Transaksi!$D$16:$D$5015,"Keluar",Transaksi!$H$16:$H$5015,"Reksadana uang kos mama",Transaksi!$B$16:$B$5015,"&gt;="&amp;DATE(2036,11,1),Transaksi!$B$16:$B$5015,"&lt;="&amp;EOMONTH(DATE(2036,11,1),0))-SUMIFS(Transaksi!$F$16:$F$5015,Transaksi!$G$16:$G$5015,"Tabungan",Transaksi!$D$16:$D$5015,"Masuk",Transaksi!$H$16:$H$5015,"Reksadana uang kos mama",Transaksi!$B$16:$B$5015,"&gt;="&amp;DATE(2036,11,1),Transaksi!$B$16:$B$5015,"&lt;="&amp;EOMONTH(DATE(2036,11,1),0))))</f>
        <v/>
      </c>
      <c r="G159" s="165">
        <f>(SUMIFS(Transaksi!$F$16:$F$5015,Transaksi!$G$16:$G$5015,"Tabungan",Transaksi!$D$16:$D$5015,"Keluar",Transaksi!$H$16:$H$5015,"&lt;&gt;Reksadana uang kos mama",Transaksi!$B$16:$B$5015,"&gt;="&amp;DATE(2036,11,1),Transaksi!$B$16:$B$5015,"&lt;="&amp;EOMONTH(DATE(2036,11,1),0))-SUMIFS(Transaksi!$F$16:$F$5015,Transaksi!$G$16:$G$5015,"Tabungan",Transaksi!$D$16:$D$5015,"Masuk",Transaksi!$H$16:$H$5015,"&lt;&gt;Reksadana uang kos mama",Transaksi!$B$16:$B$5015,"&gt;="&amp;DATE(2036,11,1),Transaksi!$B$16:$B$5015,"&lt;="&amp;EOMONTH(DATE(2036,11,1),0)))</f>
        <v/>
      </c>
    </row>
    <row r="160" ht="15" customHeight="1" s="94">
      <c r="A160" s="164" t="n">
        <v>2036</v>
      </c>
      <c r="B160" s="164" t="inlineStr">
        <is>
          <t>Des</t>
        </is>
      </c>
      <c r="C160" s="165">
        <f>SUMIFS(Transaksi!$F$16:$F$5015,Transaksi!$G$16:$G$5015,"Pendapatan",Transaksi!$B$16:$B$5015,"&gt;="&amp;DATE(2036,12,1),Transaksi!$B$16:$B$5015,"&lt;="&amp;EOMONTH(DATE(2036,12,1),0))</f>
        <v/>
      </c>
      <c r="D160" s="165">
        <f>SUMIFS(Transaksi!$F$16:$F$5015,Transaksi!$G$16:$G$5015,"Pengeluaran",Transaksi!$B$16:$B$5015,"&gt;="&amp;DATE(2036,12,1),Transaksi!$B$16:$B$5015,"&lt;="&amp;EOMONTH(DATE(2036,12,1),0))</f>
        <v/>
      </c>
      <c r="E160" s="166">
        <f>C160-D160</f>
        <v/>
      </c>
      <c r="F160" s="165">
        <f>(SUMIFS(Transaksi!$F$16:$F$5015,Transaksi!$G$16:$G$5015,"Pendapatan",Transaksi!$B$16:$B$5015,"&gt;="&amp;DATE(2036,12,1),Transaksi!$B$16:$B$5015,"&lt;="&amp;EOMONTH(DATE(2036,12,1),0),Transaksi!$H$16:$H$5015,"Uang Kos Mama")+SUMIFS(Transaksi!$F$16:$F$5015,Transaksi!$G$16:$G$5015,"Pendapatan",Transaksi!$B$16:$B$5015,"&gt;="&amp;DATE(2036,12,1),Transaksi!$B$16:$B$5015,"&lt;="&amp;EOMONTH(DATE(2036,12,1),0),Transaksi!$H$16:$H$5015,"Uang Kedai"))-(SUMIFS(Transaksi!$F$16:$F$5015,Transaksi!$G$16:$G$5015,"Pengeluaran",Transaksi!$B$16:$B$5015,"&gt;="&amp;DATE(2036,12,1),Transaksi!$B$16:$B$5015,"&lt;="&amp;EOMONTH(DATE(2036,12,1),0),Transaksi!$H$16:$H$5015,"Pengeluaran Uang Kos")+SUMIFS(Transaksi!$F$16:$F$5015,Transaksi!$G$16:$G$5015,"Pengeluaran",Transaksi!$B$16:$B$5015,"&gt;="&amp;DATE(2036,12,1),Transaksi!$B$16:$B$5015,"&lt;="&amp;EOMONTH(DATE(2036,12,1),0),Transaksi!$H$16:$H$5015,"Pengeluaran Uang Kedai")+(SUMIFS(Transaksi!$F$16:$F$5015,Transaksi!$G$16:$G$5015,"Tabungan",Transaksi!$D$16:$D$5015,"Keluar",Transaksi!$H$16:$H$5015,"Reksadana uang kos mama",Transaksi!$B$16:$B$5015,"&gt;="&amp;DATE(2036,12,1),Transaksi!$B$16:$B$5015,"&lt;="&amp;EOMONTH(DATE(2036,12,1),0))-SUMIFS(Transaksi!$F$16:$F$5015,Transaksi!$G$16:$G$5015,"Tabungan",Transaksi!$D$16:$D$5015,"Masuk",Transaksi!$H$16:$H$5015,"Reksadana uang kos mama",Transaksi!$B$16:$B$5015,"&gt;="&amp;DATE(2036,12,1),Transaksi!$B$16:$B$5015,"&lt;="&amp;EOMONTH(DATE(2036,12,1),0))))</f>
        <v/>
      </c>
      <c r="G160" s="165">
        <f>(SUMIFS(Transaksi!$F$16:$F$5015,Transaksi!$G$16:$G$5015,"Tabungan",Transaksi!$D$16:$D$5015,"Keluar",Transaksi!$H$16:$H$5015,"&lt;&gt;Reksadana uang kos mama",Transaksi!$B$16:$B$5015,"&gt;="&amp;DATE(2036,12,1),Transaksi!$B$16:$B$5015,"&lt;="&amp;EOMONTH(DATE(2036,12,1),0))-SUMIFS(Transaksi!$F$16:$F$5015,Transaksi!$G$16:$G$5015,"Tabungan",Transaksi!$D$16:$D$5015,"Masuk",Transaksi!$H$16:$H$5015,"&lt;&gt;Reksadana uang kos mama",Transaksi!$B$16:$B$5015,"&gt;="&amp;DATE(2036,12,1),Transaksi!$B$16:$B$5015,"&lt;="&amp;EOMONTH(DATE(2036,12,1),0)))</f>
        <v/>
      </c>
    </row>
    <row r="161" ht="15" customHeight="1" s="94">
      <c r="A161" s="164" t="n">
        <v>2037</v>
      </c>
      <c r="B161" s="164" t="inlineStr">
        <is>
          <t>Jan</t>
        </is>
      </c>
      <c r="C161" s="165">
        <f>SUMIFS(Transaksi!$F$16:$F$5015,Transaksi!$G$16:$G$5015,"Pendapatan",Transaksi!$B$16:$B$5015,"&gt;="&amp;DATE(2037,1,1),Transaksi!$B$16:$B$5015,"&lt;="&amp;EOMONTH(DATE(2037,1,1),0))</f>
        <v/>
      </c>
      <c r="D161" s="165">
        <f>SUMIFS(Transaksi!$F$16:$F$5015,Transaksi!$G$16:$G$5015,"Pengeluaran",Transaksi!$B$16:$B$5015,"&gt;="&amp;DATE(2037,1,1),Transaksi!$B$16:$B$5015,"&lt;="&amp;EOMONTH(DATE(2037,1,1),0))</f>
        <v/>
      </c>
      <c r="E161" s="166">
        <f>C161-D161</f>
        <v/>
      </c>
      <c r="F161" s="165">
        <f>(SUMIFS(Transaksi!$F$16:$F$5015,Transaksi!$G$16:$G$5015,"Pendapatan",Transaksi!$B$16:$B$5015,"&gt;="&amp;DATE(2037,1,1),Transaksi!$B$16:$B$5015,"&lt;="&amp;EOMONTH(DATE(2037,1,1),0),Transaksi!$H$16:$H$5015,"Uang Kos Mama")+SUMIFS(Transaksi!$F$16:$F$5015,Transaksi!$G$16:$G$5015,"Pendapatan",Transaksi!$B$16:$B$5015,"&gt;="&amp;DATE(2037,1,1),Transaksi!$B$16:$B$5015,"&lt;="&amp;EOMONTH(DATE(2037,1,1),0),Transaksi!$H$16:$H$5015,"Uang Kedai"))-(SUMIFS(Transaksi!$F$16:$F$5015,Transaksi!$G$16:$G$5015,"Pengeluaran",Transaksi!$B$16:$B$5015,"&gt;="&amp;DATE(2037,1,1),Transaksi!$B$16:$B$5015,"&lt;="&amp;EOMONTH(DATE(2037,1,1),0),Transaksi!$H$16:$H$5015,"Pengeluaran Uang Kos")+SUMIFS(Transaksi!$F$16:$F$5015,Transaksi!$G$16:$G$5015,"Pengeluaran",Transaksi!$B$16:$B$5015,"&gt;="&amp;DATE(2037,1,1),Transaksi!$B$16:$B$5015,"&lt;="&amp;EOMONTH(DATE(2037,1,1),0),Transaksi!$H$16:$H$5015,"Pengeluaran Uang Kedai")+(SUMIFS(Transaksi!$F$16:$F$5015,Transaksi!$G$16:$G$5015,"Tabungan",Transaksi!$D$16:$D$5015,"Keluar",Transaksi!$H$16:$H$5015,"Reksadana uang kos mama",Transaksi!$B$16:$B$5015,"&gt;="&amp;DATE(2037,1,1),Transaksi!$B$16:$B$5015,"&lt;="&amp;EOMONTH(DATE(2037,1,1),0))-SUMIFS(Transaksi!$F$16:$F$5015,Transaksi!$G$16:$G$5015,"Tabungan",Transaksi!$D$16:$D$5015,"Masuk",Transaksi!$H$16:$H$5015,"Reksadana uang kos mama",Transaksi!$B$16:$B$5015,"&gt;="&amp;DATE(2037,1,1),Transaksi!$B$16:$B$5015,"&lt;="&amp;EOMONTH(DATE(2037,1,1),0))))</f>
        <v/>
      </c>
      <c r="G161" s="165">
        <f>(SUMIFS(Transaksi!$F$16:$F$5015,Transaksi!$G$16:$G$5015,"Tabungan",Transaksi!$D$16:$D$5015,"Keluar",Transaksi!$H$16:$H$5015,"&lt;&gt;Reksadana uang kos mama",Transaksi!$B$16:$B$5015,"&gt;="&amp;DATE(2037,1,1),Transaksi!$B$16:$B$5015,"&lt;="&amp;EOMONTH(DATE(2037,1,1),0))-SUMIFS(Transaksi!$F$16:$F$5015,Transaksi!$G$16:$G$5015,"Tabungan",Transaksi!$D$16:$D$5015,"Masuk",Transaksi!$H$16:$H$5015,"&lt;&gt;Reksadana uang kos mama",Transaksi!$B$16:$B$5015,"&gt;="&amp;DATE(2037,1,1),Transaksi!$B$16:$B$5015,"&lt;="&amp;EOMONTH(DATE(2037,1,1),0)))</f>
        <v/>
      </c>
    </row>
    <row r="162" ht="15" customHeight="1" s="94">
      <c r="A162" s="164" t="n">
        <v>2037</v>
      </c>
      <c r="B162" s="164" t="inlineStr">
        <is>
          <t>Feb</t>
        </is>
      </c>
      <c r="C162" s="165">
        <f>SUMIFS(Transaksi!$F$16:$F$5015,Transaksi!$G$16:$G$5015,"Pendapatan",Transaksi!$B$16:$B$5015,"&gt;="&amp;DATE(2037,2,1),Transaksi!$B$16:$B$5015,"&lt;="&amp;EOMONTH(DATE(2037,2,1),0))</f>
        <v/>
      </c>
      <c r="D162" s="165">
        <f>SUMIFS(Transaksi!$F$16:$F$5015,Transaksi!$G$16:$G$5015,"Pengeluaran",Transaksi!$B$16:$B$5015,"&gt;="&amp;DATE(2037,2,1),Transaksi!$B$16:$B$5015,"&lt;="&amp;EOMONTH(DATE(2037,2,1),0))</f>
        <v/>
      </c>
      <c r="E162" s="166">
        <f>C162-D162</f>
        <v/>
      </c>
      <c r="F162" s="165">
        <f>(SUMIFS(Transaksi!$F$16:$F$5015,Transaksi!$G$16:$G$5015,"Pendapatan",Transaksi!$B$16:$B$5015,"&gt;="&amp;DATE(2037,2,1),Transaksi!$B$16:$B$5015,"&lt;="&amp;EOMONTH(DATE(2037,2,1),0),Transaksi!$H$16:$H$5015,"Uang Kos Mama")+SUMIFS(Transaksi!$F$16:$F$5015,Transaksi!$G$16:$G$5015,"Pendapatan",Transaksi!$B$16:$B$5015,"&gt;="&amp;DATE(2037,2,1),Transaksi!$B$16:$B$5015,"&lt;="&amp;EOMONTH(DATE(2037,2,1),0),Transaksi!$H$16:$H$5015,"Uang Kedai"))-(SUMIFS(Transaksi!$F$16:$F$5015,Transaksi!$G$16:$G$5015,"Pengeluaran",Transaksi!$B$16:$B$5015,"&gt;="&amp;DATE(2037,2,1),Transaksi!$B$16:$B$5015,"&lt;="&amp;EOMONTH(DATE(2037,2,1),0),Transaksi!$H$16:$H$5015,"Pengeluaran Uang Kos")+SUMIFS(Transaksi!$F$16:$F$5015,Transaksi!$G$16:$G$5015,"Pengeluaran",Transaksi!$B$16:$B$5015,"&gt;="&amp;DATE(2037,2,1),Transaksi!$B$16:$B$5015,"&lt;="&amp;EOMONTH(DATE(2037,2,1),0),Transaksi!$H$16:$H$5015,"Pengeluaran Uang Kedai")+(SUMIFS(Transaksi!$F$16:$F$5015,Transaksi!$G$16:$G$5015,"Tabungan",Transaksi!$D$16:$D$5015,"Keluar",Transaksi!$H$16:$H$5015,"Reksadana uang kos mama",Transaksi!$B$16:$B$5015,"&gt;="&amp;DATE(2037,2,1),Transaksi!$B$16:$B$5015,"&lt;="&amp;EOMONTH(DATE(2037,2,1),0))-SUMIFS(Transaksi!$F$16:$F$5015,Transaksi!$G$16:$G$5015,"Tabungan",Transaksi!$D$16:$D$5015,"Masuk",Transaksi!$H$16:$H$5015,"Reksadana uang kos mama",Transaksi!$B$16:$B$5015,"&gt;="&amp;DATE(2037,2,1),Transaksi!$B$16:$B$5015,"&lt;="&amp;EOMONTH(DATE(2037,2,1),0))))</f>
        <v/>
      </c>
      <c r="G162" s="165">
        <f>(SUMIFS(Transaksi!$F$16:$F$5015,Transaksi!$G$16:$G$5015,"Tabungan",Transaksi!$D$16:$D$5015,"Keluar",Transaksi!$H$16:$H$5015,"&lt;&gt;Reksadana uang kos mama",Transaksi!$B$16:$B$5015,"&gt;="&amp;DATE(2037,2,1),Transaksi!$B$16:$B$5015,"&lt;="&amp;EOMONTH(DATE(2037,2,1),0))-SUMIFS(Transaksi!$F$16:$F$5015,Transaksi!$G$16:$G$5015,"Tabungan",Transaksi!$D$16:$D$5015,"Masuk",Transaksi!$H$16:$H$5015,"&lt;&gt;Reksadana uang kos mama",Transaksi!$B$16:$B$5015,"&gt;="&amp;DATE(2037,2,1),Transaksi!$B$16:$B$5015,"&lt;="&amp;EOMONTH(DATE(2037,2,1),0)))</f>
        <v/>
      </c>
    </row>
    <row r="163" ht="15" customHeight="1" s="94">
      <c r="A163" s="164" t="n">
        <v>2037</v>
      </c>
      <c r="B163" s="164" t="inlineStr">
        <is>
          <t>Mar</t>
        </is>
      </c>
      <c r="C163" s="165">
        <f>SUMIFS(Transaksi!$F$16:$F$5015,Transaksi!$G$16:$G$5015,"Pendapatan",Transaksi!$B$16:$B$5015,"&gt;="&amp;DATE(2037,3,1),Transaksi!$B$16:$B$5015,"&lt;="&amp;EOMONTH(DATE(2037,3,1),0))</f>
        <v/>
      </c>
      <c r="D163" s="165">
        <f>SUMIFS(Transaksi!$F$16:$F$5015,Transaksi!$G$16:$G$5015,"Pengeluaran",Transaksi!$B$16:$B$5015,"&gt;="&amp;DATE(2037,3,1),Transaksi!$B$16:$B$5015,"&lt;="&amp;EOMONTH(DATE(2037,3,1),0))</f>
        <v/>
      </c>
      <c r="E163" s="166">
        <f>C163-D163</f>
        <v/>
      </c>
      <c r="F163" s="165">
        <f>(SUMIFS(Transaksi!$F$16:$F$5015,Transaksi!$G$16:$G$5015,"Pendapatan",Transaksi!$B$16:$B$5015,"&gt;="&amp;DATE(2037,3,1),Transaksi!$B$16:$B$5015,"&lt;="&amp;EOMONTH(DATE(2037,3,1),0),Transaksi!$H$16:$H$5015,"Uang Kos Mama")+SUMIFS(Transaksi!$F$16:$F$5015,Transaksi!$G$16:$G$5015,"Pendapatan",Transaksi!$B$16:$B$5015,"&gt;="&amp;DATE(2037,3,1),Transaksi!$B$16:$B$5015,"&lt;="&amp;EOMONTH(DATE(2037,3,1),0),Transaksi!$H$16:$H$5015,"Uang Kedai"))-(SUMIFS(Transaksi!$F$16:$F$5015,Transaksi!$G$16:$G$5015,"Pengeluaran",Transaksi!$B$16:$B$5015,"&gt;="&amp;DATE(2037,3,1),Transaksi!$B$16:$B$5015,"&lt;="&amp;EOMONTH(DATE(2037,3,1),0),Transaksi!$H$16:$H$5015,"Pengeluaran Uang Kos")+SUMIFS(Transaksi!$F$16:$F$5015,Transaksi!$G$16:$G$5015,"Pengeluaran",Transaksi!$B$16:$B$5015,"&gt;="&amp;DATE(2037,3,1),Transaksi!$B$16:$B$5015,"&lt;="&amp;EOMONTH(DATE(2037,3,1),0),Transaksi!$H$16:$H$5015,"Pengeluaran Uang Kedai")+(SUMIFS(Transaksi!$F$16:$F$5015,Transaksi!$G$16:$G$5015,"Tabungan",Transaksi!$D$16:$D$5015,"Keluar",Transaksi!$H$16:$H$5015,"Reksadana uang kos mama",Transaksi!$B$16:$B$5015,"&gt;="&amp;DATE(2037,3,1),Transaksi!$B$16:$B$5015,"&lt;="&amp;EOMONTH(DATE(2037,3,1),0))-SUMIFS(Transaksi!$F$16:$F$5015,Transaksi!$G$16:$G$5015,"Tabungan",Transaksi!$D$16:$D$5015,"Masuk",Transaksi!$H$16:$H$5015,"Reksadana uang kos mama",Transaksi!$B$16:$B$5015,"&gt;="&amp;DATE(2037,3,1),Transaksi!$B$16:$B$5015,"&lt;="&amp;EOMONTH(DATE(2037,3,1),0))))</f>
        <v/>
      </c>
      <c r="G163" s="165">
        <f>(SUMIFS(Transaksi!$F$16:$F$5015,Transaksi!$G$16:$G$5015,"Tabungan",Transaksi!$D$16:$D$5015,"Keluar",Transaksi!$H$16:$H$5015,"&lt;&gt;Reksadana uang kos mama",Transaksi!$B$16:$B$5015,"&gt;="&amp;DATE(2037,3,1),Transaksi!$B$16:$B$5015,"&lt;="&amp;EOMONTH(DATE(2037,3,1),0))-SUMIFS(Transaksi!$F$16:$F$5015,Transaksi!$G$16:$G$5015,"Tabungan",Transaksi!$D$16:$D$5015,"Masuk",Transaksi!$H$16:$H$5015,"&lt;&gt;Reksadana uang kos mama",Transaksi!$B$16:$B$5015,"&gt;="&amp;DATE(2037,3,1),Transaksi!$B$16:$B$5015,"&lt;="&amp;EOMONTH(DATE(2037,3,1),0)))</f>
        <v/>
      </c>
    </row>
    <row r="164" ht="15" customHeight="1" s="94">
      <c r="A164" s="164" t="n">
        <v>2037</v>
      </c>
      <c r="B164" s="164" t="inlineStr">
        <is>
          <t>Apr</t>
        </is>
      </c>
      <c r="C164" s="165">
        <f>SUMIFS(Transaksi!$F$16:$F$5015,Transaksi!$G$16:$G$5015,"Pendapatan",Transaksi!$B$16:$B$5015,"&gt;="&amp;DATE(2037,4,1),Transaksi!$B$16:$B$5015,"&lt;="&amp;EOMONTH(DATE(2037,4,1),0))</f>
        <v/>
      </c>
      <c r="D164" s="165">
        <f>SUMIFS(Transaksi!$F$16:$F$5015,Transaksi!$G$16:$G$5015,"Pengeluaran",Transaksi!$B$16:$B$5015,"&gt;="&amp;DATE(2037,4,1),Transaksi!$B$16:$B$5015,"&lt;="&amp;EOMONTH(DATE(2037,4,1),0))</f>
        <v/>
      </c>
      <c r="E164" s="166">
        <f>C164-D164</f>
        <v/>
      </c>
      <c r="F164" s="165">
        <f>(SUMIFS(Transaksi!$F$16:$F$5015,Transaksi!$G$16:$G$5015,"Pendapatan",Transaksi!$B$16:$B$5015,"&gt;="&amp;DATE(2037,4,1),Transaksi!$B$16:$B$5015,"&lt;="&amp;EOMONTH(DATE(2037,4,1),0),Transaksi!$H$16:$H$5015,"Uang Kos Mama")+SUMIFS(Transaksi!$F$16:$F$5015,Transaksi!$G$16:$G$5015,"Pendapatan",Transaksi!$B$16:$B$5015,"&gt;="&amp;DATE(2037,4,1),Transaksi!$B$16:$B$5015,"&lt;="&amp;EOMONTH(DATE(2037,4,1),0),Transaksi!$H$16:$H$5015,"Uang Kedai"))-(SUMIFS(Transaksi!$F$16:$F$5015,Transaksi!$G$16:$G$5015,"Pengeluaran",Transaksi!$B$16:$B$5015,"&gt;="&amp;DATE(2037,4,1),Transaksi!$B$16:$B$5015,"&lt;="&amp;EOMONTH(DATE(2037,4,1),0),Transaksi!$H$16:$H$5015,"Pengeluaran Uang Kos")+SUMIFS(Transaksi!$F$16:$F$5015,Transaksi!$G$16:$G$5015,"Pengeluaran",Transaksi!$B$16:$B$5015,"&gt;="&amp;DATE(2037,4,1),Transaksi!$B$16:$B$5015,"&lt;="&amp;EOMONTH(DATE(2037,4,1),0),Transaksi!$H$16:$H$5015,"Pengeluaran Uang Kedai")+(SUMIFS(Transaksi!$F$16:$F$5015,Transaksi!$G$16:$G$5015,"Tabungan",Transaksi!$D$16:$D$5015,"Keluar",Transaksi!$H$16:$H$5015,"Reksadana uang kos mama",Transaksi!$B$16:$B$5015,"&gt;="&amp;DATE(2037,4,1),Transaksi!$B$16:$B$5015,"&lt;="&amp;EOMONTH(DATE(2037,4,1),0))-SUMIFS(Transaksi!$F$16:$F$5015,Transaksi!$G$16:$G$5015,"Tabungan",Transaksi!$D$16:$D$5015,"Masuk",Transaksi!$H$16:$H$5015,"Reksadana uang kos mama",Transaksi!$B$16:$B$5015,"&gt;="&amp;DATE(2037,4,1),Transaksi!$B$16:$B$5015,"&lt;="&amp;EOMONTH(DATE(2037,4,1),0))))</f>
        <v/>
      </c>
      <c r="G164" s="165">
        <f>(SUMIFS(Transaksi!$F$16:$F$5015,Transaksi!$G$16:$G$5015,"Tabungan",Transaksi!$D$16:$D$5015,"Keluar",Transaksi!$H$16:$H$5015,"&lt;&gt;Reksadana uang kos mama",Transaksi!$B$16:$B$5015,"&gt;="&amp;DATE(2037,4,1),Transaksi!$B$16:$B$5015,"&lt;="&amp;EOMONTH(DATE(2037,4,1),0))-SUMIFS(Transaksi!$F$16:$F$5015,Transaksi!$G$16:$G$5015,"Tabungan",Transaksi!$D$16:$D$5015,"Masuk",Transaksi!$H$16:$H$5015,"&lt;&gt;Reksadana uang kos mama",Transaksi!$B$16:$B$5015,"&gt;="&amp;DATE(2037,4,1),Transaksi!$B$16:$B$5015,"&lt;="&amp;EOMONTH(DATE(2037,4,1),0)))</f>
        <v/>
      </c>
    </row>
    <row r="165" ht="15" customHeight="1" s="94">
      <c r="A165" s="164" t="n">
        <v>2037</v>
      </c>
      <c r="B165" s="164" t="inlineStr">
        <is>
          <t>Mei</t>
        </is>
      </c>
      <c r="C165" s="165">
        <f>SUMIFS(Transaksi!$F$16:$F$5015,Transaksi!$G$16:$G$5015,"Pendapatan",Transaksi!$B$16:$B$5015,"&gt;="&amp;DATE(2037,5,1),Transaksi!$B$16:$B$5015,"&lt;="&amp;EOMONTH(DATE(2037,5,1),0))</f>
        <v/>
      </c>
      <c r="D165" s="165">
        <f>SUMIFS(Transaksi!$F$16:$F$5015,Transaksi!$G$16:$G$5015,"Pengeluaran",Transaksi!$B$16:$B$5015,"&gt;="&amp;DATE(2037,5,1),Transaksi!$B$16:$B$5015,"&lt;="&amp;EOMONTH(DATE(2037,5,1),0))</f>
        <v/>
      </c>
      <c r="E165" s="166">
        <f>C165-D165</f>
        <v/>
      </c>
      <c r="F165" s="165">
        <f>(SUMIFS(Transaksi!$F$16:$F$5015,Transaksi!$G$16:$G$5015,"Pendapatan",Transaksi!$B$16:$B$5015,"&gt;="&amp;DATE(2037,5,1),Transaksi!$B$16:$B$5015,"&lt;="&amp;EOMONTH(DATE(2037,5,1),0),Transaksi!$H$16:$H$5015,"Uang Kos Mama")+SUMIFS(Transaksi!$F$16:$F$5015,Transaksi!$G$16:$G$5015,"Pendapatan",Transaksi!$B$16:$B$5015,"&gt;="&amp;DATE(2037,5,1),Transaksi!$B$16:$B$5015,"&lt;="&amp;EOMONTH(DATE(2037,5,1),0),Transaksi!$H$16:$H$5015,"Uang Kedai"))-(SUMIFS(Transaksi!$F$16:$F$5015,Transaksi!$G$16:$G$5015,"Pengeluaran",Transaksi!$B$16:$B$5015,"&gt;="&amp;DATE(2037,5,1),Transaksi!$B$16:$B$5015,"&lt;="&amp;EOMONTH(DATE(2037,5,1),0),Transaksi!$H$16:$H$5015,"Pengeluaran Uang Kos")+SUMIFS(Transaksi!$F$16:$F$5015,Transaksi!$G$16:$G$5015,"Pengeluaran",Transaksi!$B$16:$B$5015,"&gt;="&amp;DATE(2037,5,1),Transaksi!$B$16:$B$5015,"&lt;="&amp;EOMONTH(DATE(2037,5,1),0),Transaksi!$H$16:$H$5015,"Pengeluaran Uang Kedai")+(SUMIFS(Transaksi!$F$16:$F$5015,Transaksi!$G$16:$G$5015,"Tabungan",Transaksi!$D$16:$D$5015,"Keluar",Transaksi!$H$16:$H$5015,"Reksadana uang kos mama",Transaksi!$B$16:$B$5015,"&gt;="&amp;DATE(2037,5,1),Transaksi!$B$16:$B$5015,"&lt;="&amp;EOMONTH(DATE(2037,5,1),0))-SUMIFS(Transaksi!$F$16:$F$5015,Transaksi!$G$16:$G$5015,"Tabungan",Transaksi!$D$16:$D$5015,"Masuk",Transaksi!$H$16:$H$5015,"Reksadana uang kos mama",Transaksi!$B$16:$B$5015,"&gt;="&amp;DATE(2037,5,1),Transaksi!$B$16:$B$5015,"&lt;="&amp;EOMONTH(DATE(2037,5,1),0))))</f>
        <v/>
      </c>
      <c r="G165" s="165">
        <f>(SUMIFS(Transaksi!$F$16:$F$5015,Transaksi!$G$16:$G$5015,"Tabungan",Transaksi!$D$16:$D$5015,"Keluar",Transaksi!$H$16:$H$5015,"&lt;&gt;Reksadana uang kos mama",Transaksi!$B$16:$B$5015,"&gt;="&amp;DATE(2037,5,1),Transaksi!$B$16:$B$5015,"&lt;="&amp;EOMONTH(DATE(2037,5,1),0))-SUMIFS(Transaksi!$F$16:$F$5015,Transaksi!$G$16:$G$5015,"Tabungan",Transaksi!$D$16:$D$5015,"Masuk",Transaksi!$H$16:$H$5015,"&lt;&gt;Reksadana uang kos mama",Transaksi!$B$16:$B$5015,"&gt;="&amp;DATE(2037,5,1),Transaksi!$B$16:$B$5015,"&lt;="&amp;EOMONTH(DATE(2037,5,1),0)))</f>
        <v/>
      </c>
    </row>
    <row r="166" ht="15" customHeight="1" s="94">
      <c r="A166" s="164" t="n">
        <v>2037</v>
      </c>
      <c r="B166" s="164" t="inlineStr">
        <is>
          <t>Jun</t>
        </is>
      </c>
      <c r="C166" s="165">
        <f>SUMIFS(Transaksi!$F$16:$F$5015,Transaksi!$G$16:$G$5015,"Pendapatan",Transaksi!$B$16:$B$5015,"&gt;="&amp;DATE(2037,6,1),Transaksi!$B$16:$B$5015,"&lt;="&amp;EOMONTH(DATE(2037,6,1),0))</f>
        <v/>
      </c>
      <c r="D166" s="165">
        <f>SUMIFS(Transaksi!$F$16:$F$5015,Transaksi!$G$16:$G$5015,"Pengeluaran",Transaksi!$B$16:$B$5015,"&gt;="&amp;DATE(2037,6,1),Transaksi!$B$16:$B$5015,"&lt;="&amp;EOMONTH(DATE(2037,6,1),0))</f>
        <v/>
      </c>
      <c r="E166" s="166">
        <f>C166-D166</f>
        <v/>
      </c>
      <c r="F166" s="165">
        <f>(SUMIFS(Transaksi!$F$16:$F$5015,Transaksi!$G$16:$G$5015,"Pendapatan",Transaksi!$B$16:$B$5015,"&gt;="&amp;DATE(2037,6,1),Transaksi!$B$16:$B$5015,"&lt;="&amp;EOMONTH(DATE(2037,6,1),0),Transaksi!$H$16:$H$5015,"Uang Kos Mama")+SUMIFS(Transaksi!$F$16:$F$5015,Transaksi!$G$16:$G$5015,"Pendapatan",Transaksi!$B$16:$B$5015,"&gt;="&amp;DATE(2037,6,1),Transaksi!$B$16:$B$5015,"&lt;="&amp;EOMONTH(DATE(2037,6,1),0),Transaksi!$H$16:$H$5015,"Uang Kedai"))-(SUMIFS(Transaksi!$F$16:$F$5015,Transaksi!$G$16:$G$5015,"Pengeluaran",Transaksi!$B$16:$B$5015,"&gt;="&amp;DATE(2037,6,1),Transaksi!$B$16:$B$5015,"&lt;="&amp;EOMONTH(DATE(2037,6,1),0),Transaksi!$H$16:$H$5015,"Pengeluaran Uang Kos")+SUMIFS(Transaksi!$F$16:$F$5015,Transaksi!$G$16:$G$5015,"Pengeluaran",Transaksi!$B$16:$B$5015,"&gt;="&amp;DATE(2037,6,1),Transaksi!$B$16:$B$5015,"&lt;="&amp;EOMONTH(DATE(2037,6,1),0),Transaksi!$H$16:$H$5015,"Pengeluaran Uang Kedai")+(SUMIFS(Transaksi!$F$16:$F$5015,Transaksi!$G$16:$G$5015,"Tabungan",Transaksi!$D$16:$D$5015,"Keluar",Transaksi!$H$16:$H$5015,"Reksadana uang kos mama",Transaksi!$B$16:$B$5015,"&gt;="&amp;DATE(2037,6,1),Transaksi!$B$16:$B$5015,"&lt;="&amp;EOMONTH(DATE(2037,6,1),0))-SUMIFS(Transaksi!$F$16:$F$5015,Transaksi!$G$16:$G$5015,"Tabungan",Transaksi!$D$16:$D$5015,"Masuk",Transaksi!$H$16:$H$5015,"Reksadana uang kos mama",Transaksi!$B$16:$B$5015,"&gt;="&amp;DATE(2037,6,1),Transaksi!$B$16:$B$5015,"&lt;="&amp;EOMONTH(DATE(2037,6,1),0))))</f>
        <v/>
      </c>
      <c r="G166" s="165">
        <f>(SUMIFS(Transaksi!$F$16:$F$5015,Transaksi!$G$16:$G$5015,"Tabungan",Transaksi!$D$16:$D$5015,"Keluar",Transaksi!$H$16:$H$5015,"&lt;&gt;Reksadana uang kos mama",Transaksi!$B$16:$B$5015,"&gt;="&amp;DATE(2037,6,1),Transaksi!$B$16:$B$5015,"&lt;="&amp;EOMONTH(DATE(2037,6,1),0))-SUMIFS(Transaksi!$F$16:$F$5015,Transaksi!$G$16:$G$5015,"Tabungan",Transaksi!$D$16:$D$5015,"Masuk",Transaksi!$H$16:$H$5015,"&lt;&gt;Reksadana uang kos mama",Transaksi!$B$16:$B$5015,"&gt;="&amp;DATE(2037,6,1),Transaksi!$B$16:$B$5015,"&lt;="&amp;EOMONTH(DATE(2037,6,1),0)))</f>
        <v/>
      </c>
    </row>
    <row r="167" ht="15" customHeight="1" s="94">
      <c r="A167" s="164" t="n">
        <v>2037</v>
      </c>
      <c r="B167" s="164" t="inlineStr">
        <is>
          <t>Jul</t>
        </is>
      </c>
      <c r="C167" s="165">
        <f>SUMIFS(Transaksi!$F$16:$F$5015,Transaksi!$G$16:$G$5015,"Pendapatan",Transaksi!$B$16:$B$5015,"&gt;="&amp;DATE(2037,7,1),Transaksi!$B$16:$B$5015,"&lt;="&amp;EOMONTH(DATE(2037,7,1),0))</f>
        <v/>
      </c>
      <c r="D167" s="165">
        <f>SUMIFS(Transaksi!$F$16:$F$5015,Transaksi!$G$16:$G$5015,"Pengeluaran",Transaksi!$B$16:$B$5015,"&gt;="&amp;DATE(2037,7,1),Transaksi!$B$16:$B$5015,"&lt;="&amp;EOMONTH(DATE(2037,7,1),0))</f>
        <v/>
      </c>
      <c r="E167" s="166">
        <f>C167-D167</f>
        <v/>
      </c>
      <c r="F167" s="165">
        <f>(SUMIFS(Transaksi!$F$16:$F$5015,Transaksi!$G$16:$G$5015,"Pendapatan",Transaksi!$B$16:$B$5015,"&gt;="&amp;DATE(2037,7,1),Transaksi!$B$16:$B$5015,"&lt;="&amp;EOMONTH(DATE(2037,7,1),0),Transaksi!$H$16:$H$5015,"Uang Kos Mama")+SUMIFS(Transaksi!$F$16:$F$5015,Transaksi!$G$16:$G$5015,"Pendapatan",Transaksi!$B$16:$B$5015,"&gt;="&amp;DATE(2037,7,1),Transaksi!$B$16:$B$5015,"&lt;="&amp;EOMONTH(DATE(2037,7,1),0),Transaksi!$H$16:$H$5015,"Uang Kedai"))-(SUMIFS(Transaksi!$F$16:$F$5015,Transaksi!$G$16:$G$5015,"Pengeluaran",Transaksi!$B$16:$B$5015,"&gt;="&amp;DATE(2037,7,1),Transaksi!$B$16:$B$5015,"&lt;="&amp;EOMONTH(DATE(2037,7,1),0),Transaksi!$H$16:$H$5015,"Pengeluaran Uang Kos")+SUMIFS(Transaksi!$F$16:$F$5015,Transaksi!$G$16:$G$5015,"Pengeluaran",Transaksi!$B$16:$B$5015,"&gt;="&amp;DATE(2037,7,1),Transaksi!$B$16:$B$5015,"&lt;="&amp;EOMONTH(DATE(2037,7,1),0),Transaksi!$H$16:$H$5015,"Pengeluaran Uang Kedai")+(SUMIFS(Transaksi!$F$16:$F$5015,Transaksi!$G$16:$G$5015,"Tabungan",Transaksi!$D$16:$D$5015,"Keluar",Transaksi!$H$16:$H$5015,"Reksadana uang kos mama",Transaksi!$B$16:$B$5015,"&gt;="&amp;DATE(2037,7,1),Transaksi!$B$16:$B$5015,"&lt;="&amp;EOMONTH(DATE(2037,7,1),0))-SUMIFS(Transaksi!$F$16:$F$5015,Transaksi!$G$16:$G$5015,"Tabungan",Transaksi!$D$16:$D$5015,"Masuk",Transaksi!$H$16:$H$5015,"Reksadana uang kos mama",Transaksi!$B$16:$B$5015,"&gt;="&amp;DATE(2037,7,1),Transaksi!$B$16:$B$5015,"&lt;="&amp;EOMONTH(DATE(2037,7,1),0))))</f>
        <v/>
      </c>
      <c r="G167" s="165">
        <f>(SUMIFS(Transaksi!$F$16:$F$5015,Transaksi!$G$16:$G$5015,"Tabungan",Transaksi!$D$16:$D$5015,"Keluar",Transaksi!$H$16:$H$5015,"&lt;&gt;Reksadana uang kos mama",Transaksi!$B$16:$B$5015,"&gt;="&amp;DATE(2037,7,1),Transaksi!$B$16:$B$5015,"&lt;="&amp;EOMONTH(DATE(2037,7,1),0))-SUMIFS(Transaksi!$F$16:$F$5015,Transaksi!$G$16:$G$5015,"Tabungan",Transaksi!$D$16:$D$5015,"Masuk",Transaksi!$H$16:$H$5015,"&lt;&gt;Reksadana uang kos mama",Transaksi!$B$16:$B$5015,"&gt;="&amp;DATE(2037,7,1),Transaksi!$B$16:$B$5015,"&lt;="&amp;EOMONTH(DATE(2037,7,1),0)))</f>
        <v/>
      </c>
    </row>
    <row r="168" ht="15" customHeight="1" s="94">
      <c r="A168" s="164" t="n">
        <v>2037</v>
      </c>
      <c r="B168" s="164" t="inlineStr">
        <is>
          <t>Agu</t>
        </is>
      </c>
      <c r="C168" s="165">
        <f>SUMIFS(Transaksi!$F$16:$F$5015,Transaksi!$G$16:$G$5015,"Pendapatan",Transaksi!$B$16:$B$5015,"&gt;="&amp;DATE(2037,8,1),Transaksi!$B$16:$B$5015,"&lt;="&amp;EOMONTH(DATE(2037,8,1),0))</f>
        <v/>
      </c>
      <c r="D168" s="165">
        <f>SUMIFS(Transaksi!$F$16:$F$5015,Transaksi!$G$16:$G$5015,"Pengeluaran",Transaksi!$B$16:$B$5015,"&gt;="&amp;DATE(2037,8,1),Transaksi!$B$16:$B$5015,"&lt;="&amp;EOMONTH(DATE(2037,8,1),0))</f>
        <v/>
      </c>
      <c r="E168" s="166">
        <f>C168-D168</f>
        <v/>
      </c>
      <c r="F168" s="165">
        <f>(SUMIFS(Transaksi!$F$16:$F$5015,Transaksi!$G$16:$G$5015,"Pendapatan",Transaksi!$B$16:$B$5015,"&gt;="&amp;DATE(2037,8,1),Transaksi!$B$16:$B$5015,"&lt;="&amp;EOMONTH(DATE(2037,8,1),0),Transaksi!$H$16:$H$5015,"Uang Kos Mama")+SUMIFS(Transaksi!$F$16:$F$5015,Transaksi!$G$16:$G$5015,"Pendapatan",Transaksi!$B$16:$B$5015,"&gt;="&amp;DATE(2037,8,1),Transaksi!$B$16:$B$5015,"&lt;="&amp;EOMONTH(DATE(2037,8,1),0),Transaksi!$H$16:$H$5015,"Uang Kedai"))-(SUMIFS(Transaksi!$F$16:$F$5015,Transaksi!$G$16:$G$5015,"Pengeluaran",Transaksi!$B$16:$B$5015,"&gt;="&amp;DATE(2037,8,1),Transaksi!$B$16:$B$5015,"&lt;="&amp;EOMONTH(DATE(2037,8,1),0),Transaksi!$H$16:$H$5015,"Pengeluaran Uang Kos")+SUMIFS(Transaksi!$F$16:$F$5015,Transaksi!$G$16:$G$5015,"Pengeluaran",Transaksi!$B$16:$B$5015,"&gt;="&amp;DATE(2037,8,1),Transaksi!$B$16:$B$5015,"&lt;="&amp;EOMONTH(DATE(2037,8,1),0),Transaksi!$H$16:$H$5015,"Pengeluaran Uang Kedai")+(SUMIFS(Transaksi!$F$16:$F$5015,Transaksi!$G$16:$G$5015,"Tabungan",Transaksi!$D$16:$D$5015,"Keluar",Transaksi!$H$16:$H$5015,"Reksadana uang kos mama",Transaksi!$B$16:$B$5015,"&gt;="&amp;DATE(2037,8,1),Transaksi!$B$16:$B$5015,"&lt;="&amp;EOMONTH(DATE(2037,8,1),0))-SUMIFS(Transaksi!$F$16:$F$5015,Transaksi!$G$16:$G$5015,"Tabungan",Transaksi!$D$16:$D$5015,"Masuk",Transaksi!$H$16:$H$5015,"Reksadana uang kos mama",Transaksi!$B$16:$B$5015,"&gt;="&amp;DATE(2037,8,1),Transaksi!$B$16:$B$5015,"&lt;="&amp;EOMONTH(DATE(2037,8,1),0))))</f>
        <v/>
      </c>
      <c r="G168" s="165">
        <f>(SUMIFS(Transaksi!$F$16:$F$5015,Transaksi!$G$16:$G$5015,"Tabungan",Transaksi!$D$16:$D$5015,"Keluar",Transaksi!$H$16:$H$5015,"&lt;&gt;Reksadana uang kos mama",Transaksi!$B$16:$B$5015,"&gt;="&amp;DATE(2037,8,1),Transaksi!$B$16:$B$5015,"&lt;="&amp;EOMONTH(DATE(2037,8,1),0))-SUMIFS(Transaksi!$F$16:$F$5015,Transaksi!$G$16:$G$5015,"Tabungan",Transaksi!$D$16:$D$5015,"Masuk",Transaksi!$H$16:$H$5015,"&lt;&gt;Reksadana uang kos mama",Transaksi!$B$16:$B$5015,"&gt;="&amp;DATE(2037,8,1),Transaksi!$B$16:$B$5015,"&lt;="&amp;EOMONTH(DATE(2037,8,1),0)))</f>
        <v/>
      </c>
    </row>
    <row r="169" ht="15" customHeight="1" s="94">
      <c r="A169" s="164" t="n">
        <v>2037</v>
      </c>
      <c r="B169" s="164" t="inlineStr">
        <is>
          <t>Sep</t>
        </is>
      </c>
      <c r="C169" s="165">
        <f>SUMIFS(Transaksi!$F$16:$F$5015,Transaksi!$G$16:$G$5015,"Pendapatan",Transaksi!$B$16:$B$5015,"&gt;="&amp;DATE(2037,9,1),Transaksi!$B$16:$B$5015,"&lt;="&amp;EOMONTH(DATE(2037,9,1),0))</f>
        <v/>
      </c>
      <c r="D169" s="165">
        <f>SUMIFS(Transaksi!$F$16:$F$5015,Transaksi!$G$16:$G$5015,"Pengeluaran",Transaksi!$B$16:$B$5015,"&gt;="&amp;DATE(2037,9,1),Transaksi!$B$16:$B$5015,"&lt;="&amp;EOMONTH(DATE(2037,9,1),0))</f>
        <v/>
      </c>
      <c r="E169" s="166">
        <f>C169-D169</f>
        <v/>
      </c>
      <c r="F169" s="165">
        <f>(SUMIFS(Transaksi!$F$16:$F$5015,Transaksi!$G$16:$G$5015,"Pendapatan",Transaksi!$B$16:$B$5015,"&gt;="&amp;DATE(2037,9,1),Transaksi!$B$16:$B$5015,"&lt;="&amp;EOMONTH(DATE(2037,9,1),0),Transaksi!$H$16:$H$5015,"Uang Kos Mama")+SUMIFS(Transaksi!$F$16:$F$5015,Transaksi!$G$16:$G$5015,"Pendapatan",Transaksi!$B$16:$B$5015,"&gt;="&amp;DATE(2037,9,1),Transaksi!$B$16:$B$5015,"&lt;="&amp;EOMONTH(DATE(2037,9,1),0),Transaksi!$H$16:$H$5015,"Uang Kedai"))-(SUMIFS(Transaksi!$F$16:$F$5015,Transaksi!$G$16:$G$5015,"Pengeluaran",Transaksi!$B$16:$B$5015,"&gt;="&amp;DATE(2037,9,1),Transaksi!$B$16:$B$5015,"&lt;="&amp;EOMONTH(DATE(2037,9,1),0),Transaksi!$H$16:$H$5015,"Pengeluaran Uang Kos")+SUMIFS(Transaksi!$F$16:$F$5015,Transaksi!$G$16:$G$5015,"Pengeluaran",Transaksi!$B$16:$B$5015,"&gt;="&amp;DATE(2037,9,1),Transaksi!$B$16:$B$5015,"&lt;="&amp;EOMONTH(DATE(2037,9,1),0),Transaksi!$H$16:$H$5015,"Pengeluaran Uang Kedai")+(SUMIFS(Transaksi!$F$16:$F$5015,Transaksi!$G$16:$G$5015,"Tabungan",Transaksi!$D$16:$D$5015,"Keluar",Transaksi!$H$16:$H$5015,"Reksadana uang kos mama",Transaksi!$B$16:$B$5015,"&gt;="&amp;DATE(2037,9,1),Transaksi!$B$16:$B$5015,"&lt;="&amp;EOMONTH(DATE(2037,9,1),0))-SUMIFS(Transaksi!$F$16:$F$5015,Transaksi!$G$16:$G$5015,"Tabungan",Transaksi!$D$16:$D$5015,"Masuk",Transaksi!$H$16:$H$5015,"Reksadana uang kos mama",Transaksi!$B$16:$B$5015,"&gt;="&amp;DATE(2037,9,1),Transaksi!$B$16:$B$5015,"&lt;="&amp;EOMONTH(DATE(2037,9,1),0))))</f>
        <v/>
      </c>
      <c r="G169" s="165">
        <f>(SUMIFS(Transaksi!$F$16:$F$5015,Transaksi!$G$16:$G$5015,"Tabungan",Transaksi!$D$16:$D$5015,"Keluar",Transaksi!$H$16:$H$5015,"&lt;&gt;Reksadana uang kos mama",Transaksi!$B$16:$B$5015,"&gt;="&amp;DATE(2037,9,1),Transaksi!$B$16:$B$5015,"&lt;="&amp;EOMONTH(DATE(2037,9,1),0))-SUMIFS(Transaksi!$F$16:$F$5015,Transaksi!$G$16:$G$5015,"Tabungan",Transaksi!$D$16:$D$5015,"Masuk",Transaksi!$H$16:$H$5015,"&lt;&gt;Reksadana uang kos mama",Transaksi!$B$16:$B$5015,"&gt;="&amp;DATE(2037,9,1),Transaksi!$B$16:$B$5015,"&lt;="&amp;EOMONTH(DATE(2037,9,1),0)))</f>
        <v/>
      </c>
    </row>
    <row r="170" ht="15" customHeight="1" s="94">
      <c r="A170" s="164" t="n">
        <v>2037</v>
      </c>
      <c r="B170" s="164" t="inlineStr">
        <is>
          <t>Okt</t>
        </is>
      </c>
      <c r="C170" s="165">
        <f>SUMIFS(Transaksi!$F$16:$F$5015,Transaksi!$G$16:$G$5015,"Pendapatan",Transaksi!$B$16:$B$5015,"&gt;="&amp;DATE(2037,10,1),Transaksi!$B$16:$B$5015,"&lt;="&amp;EOMONTH(DATE(2037,10,1),0))</f>
        <v/>
      </c>
      <c r="D170" s="165">
        <f>SUMIFS(Transaksi!$F$16:$F$5015,Transaksi!$G$16:$G$5015,"Pengeluaran",Transaksi!$B$16:$B$5015,"&gt;="&amp;DATE(2037,10,1),Transaksi!$B$16:$B$5015,"&lt;="&amp;EOMONTH(DATE(2037,10,1),0))</f>
        <v/>
      </c>
      <c r="E170" s="166">
        <f>C170-D170</f>
        <v/>
      </c>
      <c r="F170" s="165">
        <f>(SUMIFS(Transaksi!$F$16:$F$5015,Transaksi!$G$16:$G$5015,"Pendapatan",Transaksi!$B$16:$B$5015,"&gt;="&amp;DATE(2037,10,1),Transaksi!$B$16:$B$5015,"&lt;="&amp;EOMONTH(DATE(2037,10,1),0),Transaksi!$H$16:$H$5015,"Uang Kos Mama")+SUMIFS(Transaksi!$F$16:$F$5015,Transaksi!$G$16:$G$5015,"Pendapatan",Transaksi!$B$16:$B$5015,"&gt;="&amp;DATE(2037,10,1),Transaksi!$B$16:$B$5015,"&lt;="&amp;EOMONTH(DATE(2037,10,1),0),Transaksi!$H$16:$H$5015,"Uang Kedai"))-(SUMIFS(Transaksi!$F$16:$F$5015,Transaksi!$G$16:$G$5015,"Pengeluaran",Transaksi!$B$16:$B$5015,"&gt;="&amp;DATE(2037,10,1),Transaksi!$B$16:$B$5015,"&lt;="&amp;EOMONTH(DATE(2037,10,1),0),Transaksi!$H$16:$H$5015,"Pengeluaran Uang Kos")+SUMIFS(Transaksi!$F$16:$F$5015,Transaksi!$G$16:$G$5015,"Pengeluaran",Transaksi!$B$16:$B$5015,"&gt;="&amp;DATE(2037,10,1),Transaksi!$B$16:$B$5015,"&lt;="&amp;EOMONTH(DATE(2037,10,1),0),Transaksi!$H$16:$H$5015,"Pengeluaran Uang Kedai")+(SUMIFS(Transaksi!$F$16:$F$5015,Transaksi!$G$16:$G$5015,"Tabungan",Transaksi!$D$16:$D$5015,"Keluar",Transaksi!$H$16:$H$5015,"Reksadana uang kos mama",Transaksi!$B$16:$B$5015,"&gt;="&amp;DATE(2037,10,1),Transaksi!$B$16:$B$5015,"&lt;="&amp;EOMONTH(DATE(2037,10,1),0))-SUMIFS(Transaksi!$F$16:$F$5015,Transaksi!$G$16:$G$5015,"Tabungan",Transaksi!$D$16:$D$5015,"Masuk",Transaksi!$H$16:$H$5015,"Reksadana uang kos mama",Transaksi!$B$16:$B$5015,"&gt;="&amp;DATE(2037,10,1),Transaksi!$B$16:$B$5015,"&lt;="&amp;EOMONTH(DATE(2037,10,1),0))))</f>
        <v/>
      </c>
      <c r="G170" s="165">
        <f>(SUMIFS(Transaksi!$F$16:$F$5015,Transaksi!$G$16:$G$5015,"Tabungan",Transaksi!$D$16:$D$5015,"Keluar",Transaksi!$H$16:$H$5015,"&lt;&gt;Reksadana uang kos mama",Transaksi!$B$16:$B$5015,"&gt;="&amp;DATE(2037,10,1),Transaksi!$B$16:$B$5015,"&lt;="&amp;EOMONTH(DATE(2037,10,1),0))-SUMIFS(Transaksi!$F$16:$F$5015,Transaksi!$G$16:$G$5015,"Tabungan",Transaksi!$D$16:$D$5015,"Masuk",Transaksi!$H$16:$H$5015,"&lt;&gt;Reksadana uang kos mama",Transaksi!$B$16:$B$5015,"&gt;="&amp;DATE(2037,10,1),Transaksi!$B$16:$B$5015,"&lt;="&amp;EOMONTH(DATE(2037,10,1),0)))</f>
        <v/>
      </c>
    </row>
    <row r="171" ht="15" customHeight="1" s="94">
      <c r="A171" s="164" t="n">
        <v>2037</v>
      </c>
      <c r="B171" s="164" t="inlineStr">
        <is>
          <t>Nov</t>
        </is>
      </c>
      <c r="C171" s="165">
        <f>SUMIFS(Transaksi!$F$16:$F$5015,Transaksi!$G$16:$G$5015,"Pendapatan",Transaksi!$B$16:$B$5015,"&gt;="&amp;DATE(2037,11,1),Transaksi!$B$16:$B$5015,"&lt;="&amp;EOMONTH(DATE(2037,11,1),0))</f>
        <v/>
      </c>
      <c r="D171" s="165">
        <f>SUMIFS(Transaksi!$F$16:$F$5015,Transaksi!$G$16:$G$5015,"Pengeluaran",Transaksi!$B$16:$B$5015,"&gt;="&amp;DATE(2037,11,1),Transaksi!$B$16:$B$5015,"&lt;="&amp;EOMONTH(DATE(2037,11,1),0))</f>
        <v/>
      </c>
      <c r="E171" s="166">
        <f>C171-D171</f>
        <v/>
      </c>
      <c r="F171" s="165">
        <f>(SUMIFS(Transaksi!$F$16:$F$5015,Transaksi!$G$16:$G$5015,"Pendapatan",Transaksi!$B$16:$B$5015,"&gt;="&amp;DATE(2037,11,1),Transaksi!$B$16:$B$5015,"&lt;="&amp;EOMONTH(DATE(2037,11,1),0),Transaksi!$H$16:$H$5015,"Uang Kos Mama")+SUMIFS(Transaksi!$F$16:$F$5015,Transaksi!$G$16:$G$5015,"Pendapatan",Transaksi!$B$16:$B$5015,"&gt;="&amp;DATE(2037,11,1),Transaksi!$B$16:$B$5015,"&lt;="&amp;EOMONTH(DATE(2037,11,1),0),Transaksi!$H$16:$H$5015,"Uang Kedai"))-(SUMIFS(Transaksi!$F$16:$F$5015,Transaksi!$G$16:$G$5015,"Pengeluaran",Transaksi!$B$16:$B$5015,"&gt;="&amp;DATE(2037,11,1),Transaksi!$B$16:$B$5015,"&lt;="&amp;EOMONTH(DATE(2037,11,1),0),Transaksi!$H$16:$H$5015,"Pengeluaran Uang Kos")+SUMIFS(Transaksi!$F$16:$F$5015,Transaksi!$G$16:$G$5015,"Pengeluaran",Transaksi!$B$16:$B$5015,"&gt;="&amp;DATE(2037,11,1),Transaksi!$B$16:$B$5015,"&lt;="&amp;EOMONTH(DATE(2037,11,1),0),Transaksi!$H$16:$H$5015,"Pengeluaran Uang Kedai")+(SUMIFS(Transaksi!$F$16:$F$5015,Transaksi!$G$16:$G$5015,"Tabungan",Transaksi!$D$16:$D$5015,"Keluar",Transaksi!$H$16:$H$5015,"Reksadana uang kos mama",Transaksi!$B$16:$B$5015,"&gt;="&amp;DATE(2037,11,1),Transaksi!$B$16:$B$5015,"&lt;="&amp;EOMONTH(DATE(2037,11,1),0))-SUMIFS(Transaksi!$F$16:$F$5015,Transaksi!$G$16:$G$5015,"Tabungan",Transaksi!$D$16:$D$5015,"Masuk",Transaksi!$H$16:$H$5015,"Reksadana uang kos mama",Transaksi!$B$16:$B$5015,"&gt;="&amp;DATE(2037,11,1),Transaksi!$B$16:$B$5015,"&lt;="&amp;EOMONTH(DATE(2037,11,1),0))))</f>
        <v/>
      </c>
      <c r="G171" s="165">
        <f>(SUMIFS(Transaksi!$F$16:$F$5015,Transaksi!$G$16:$G$5015,"Tabungan",Transaksi!$D$16:$D$5015,"Keluar",Transaksi!$H$16:$H$5015,"&lt;&gt;Reksadana uang kos mama",Transaksi!$B$16:$B$5015,"&gt;="&amp;DATE(2037,11,1),Transaksi!$B$16:$B$5015,"&lt;="&amp;EOMONTH(DATE(2037,11,1),0))-SUMIFS(Transaksi!$F$16:$F$5015,Transaksi!$G$16:$G$5015,"Tabungan",Transaksi!$D$16:$D$5015,"Masuk",Transaksi!$H$16:$H$5015,"&lt;&gt;Reksadana uang kos mama",Transaksi!$B$16:$B$5015,"&gt;="&amp;DATE(2037,11,1),Transaksi!$B$16:$B$5015,"&lt;="&amp;EOMONTH(DATE(2037,11,1),0)))</f>
        <v/>
      </c>
    </row>
    <row r="172" ht="15" customHeight="1" s="94">
      <c r="A172" s="164" t="n">
        <v>2037</v>
      </c>
      <c r="B172" s="164" t="inlineStr">
        <is>
          <t>Des</t>
        </is>
      </c>
      <c r="C172" s="165">
        <f>SUMIFS(Transaksi!$F$16:$F$5015,Transaksi!$G$16:$G$5015,"Pendapatan",Transaksi!$B$16:$B$5015,"&gt;="&amp;DATE(2037,12,1),Transaksi!$B$16:$B$5015,"&lt;="&amp;EOMONTH(DATE(2037,12,1),0))</f>
        <v/>
      </c>
      <c r="D172" s="165">
        <f>SUMIFS(Transaksi!$F$16:$F$5015,Transaksi!$G$16:$G$5015,"Pengeluaran",Transaksi!$B$16:$B$5015,"&gt;="&amp;DATE(2037,12,1),Transaksi!$B$16:$B$5015,"&lt;="&amp;EOMONTH(DATE(2037,12,1),0))</f>
        <v/>
      </c>
      <c r="E172" s="166">
        <f>C172-D172</f>
        <v/>
      </c>
      <c r="F172" s="165">
        <f>(SUMIFS(Transaksi!$F$16:$F$5015,Transaksi!$G$16:$G$5015,"Pendapatan",Transaksi!$B$16:$B$5015,"&gt;="&amp;DATE(2037,12,1),Transaksi!$B$16:$B$5015,"&lt;="&amp;EOMONTH(DATE(2037,12,1),0),Transaksi!$H$16:$H$5015,"Uang Kos Mama")+SUMIFS(Transaksi!$F$16:$F$5015,Transaksi!$G$16:$G$5015,"Pendapatan",Transaksi!$B$16:$B$5015,"&gt;="&amp;DATE(2037,12,1),Transaksi!$B$16:$B$5015,"&lt;="&amp;EOMONTH(DATE(2037,12,1),0),Transaksi!$H$16:$H$5015,"Uang Kedai"))-(SUMIFS(Transaksi!$F$16:$F$5015,Transaksi!$G$16:$G$5015,"Pengeluaran",Transaksi!$B$16:$B$5015,"&gt;="&amp;DATE(2037,12,1),Transaksi!$B$16:$B$5015,"&lt;="&amp;EOMONTH(DATE(2037,12,1),0),Transaksi!$H$16:$H$5015,"Pengeluaran Uang Kos")+SUMIFS(Transaksi!$F$16:$F$5015,Transaksi!$G$16:$G$5015,"Pengeluaran",Transaksi!$B$16:$B$5015,"&gt;="&amp;DATE(2037,12,1),Transaksi!$B$16:$B$5015,"&lt;="&amp;EOMONTH(DATE(2037,12,1),0),Transaksi!$H$16:$H$5015,"Pengeluaran Uang Kedai")+(SUMIFS(Transaksi!$F$16:$F$5015,Transaksi!$G$16:$G$5015,"Tabungan",Transaksi!$D$16:$D$5015,"Keluar",Transaksi!$H$16:$H$5015,"Reksadana uang kos mama",Transaksi!$B$16:$B$5015,"&gt;="&amp;DATE(2037,12,1),Transaksi!$B$16:$B$5015,"&lt;="&amp;EOMONTH(DATE(2037,12,1),0))-SUMIFS(Transaksi!$F$16:$F$5015,Transaksi!$G$16:$G$5015,"Tabungan",Transaksi!$D$16:$D$5015,"Masuk",Transaksi!$H$16:$H$5015,"Reksadana uang kos mama",Transaksi!$B$16:$B$5015,"&gt;="&amp;DATE(2037,12,1),Transaksi!$B$16:$B$5015,"&lt;="&amp;EOMONTH(DATE(2037,12,1),0))))</f>
        <v/>
      </c>
      <c r="G172" s="165">
        <f>(SUMIFS(Transaksi!$F$16:$F$5015,Transaksi!$G$16:$G$5015,"Tabungan",Transaksi!$D$16:$D$5015,"Keluar",Transaksi!$H$16:$H$5015,"&lt;&gt;Reksadana uang kos mama",Transaksi!$B$16:$B$5015,"&gt;="&amp;DATE(2037,12,1),Transaksi!$B$16:$B$5015,"&lt;="&amp;EOMONTH(DATE(2037,12,1),0))-SUMIFS(Transaksi!$F$16:$F$5015,Transaksi!$G$16:$G$5015,"Tabungan",Transaksi!$D$16:$D$5015,"Masuk",Transaksi!$H$16:$H$5015,"&lt;&gt;Reksadana uang kos mama",Transaksi!$B$16:$B$5015,"&gt;="&amp;DATE(2037,12,1),Transaksi!$B$16:$B$5015,"&lt;="&amp;EOMONTH(DATE(2037,12,1),0)))</f>
        <v/>
      </c>
    </row>
    <row r="173" ht="15" customHeight="1" s="94">
      <c r="A173" s="164" t="n">
        <v>2038</v>
      </c>
      <c r="B173" s="164" t="inlineStr">
        <is>
          <t>Jan</t>
        </is>
      </c>
      <c r="C173" s="165">
        <f>SUMIFS(Transaksi!$F$16:$F$5015,Transaksi!$G$16:$G$5015,"Pendapatan",Transaksi!$B$16:$B$5015,"&gt;="&amp;DATE(2038,1,1),Transaksi!$B$16:$B$5015,"&lt;="&amp;EOMONTH(DATE(2038,1,1),0))</f>
        <v/>
      </c>
      <c r="D173" s="165">
        <f>SUMIFS(Transaksi!$F$16:$F$5015,Transaksi!$G$16:$G$5015,"Pengeluaran",Transaksi!$B$16:$B$5015,"&gt;="&amp;DATE(2038,1,1),Transaksi!$B$16:$B$5015,"&lt;="&amp;EOMONTH(DATE(2038,1,1),0))</f>
        <v/>
      </c>
      <c r="E173" s="166">
        <f>C173-D173</f>
        <v/>
      </c>
      <c r="F173" s="165">
        <f>(SUMIFS(Transaksi!$F$16:$F$5015,Transaksi!$G$16:$G$5015,"Pendapatan",Transaksi!$B$16:$B$5015,"&gt;="&amp;DATE(2038,1,1),Transaksi!$B$16:$B$5015,"&lt;="&amp;EOMONTH(DATE(2038,1,1),0),Transaksi!$H$16:$H$5015,"Uang Kos Mama")+SUMIFS(Transaksi!$F$16:$F$5015,Transaksi!$G$16:$G$5015,"Pendapatan",Transaksi!$B$16:$B$5015,"&gt;="&amp;DATE(2038,1,1),Transaksi!$B$16:$B$5015,"&lt;="&amp;EOMONTH(DATE(2038,1,1),0),Transaksi!$H$16:$H$5015,"Uang Kedai"))-(SUMIFS(Transaksi!$F$16:$F$5015,Transaksi!$G$16:$G$5015,"Pengeluaran",Transaksi!$B$16:$B$5015,"&gt;="&amp;DATE(2038,1,1),Transaksi!$B$16:$B$5015,"&lt;="&amp;EOMONTH(DATE(2038,1,1),0),Transaksi!$H$16:$H$5015,"Pengeluaran Uang Kos")+SUMIFS(Transaksi!$F$16:$F$5015,Transaksi!$G$16:$G$5015,"Pengeluaran",Transaksi!$B$16:$B$5015,"&gt;="&amp;DATE(2038,1,1),Transaksi!$B$16:$B$5015,"&lt;="&amp;EOMONTH(DATE(2038,1,1),0),Transaksi!$H$16:$H$5015,"Pengeluaran Uang Kedai")+(SUMIFS(Transaksi!$F$16:$F$5015,Transaksi!$G$16:$G$5015,"Tabungan",Transaksi!$D$16:$D$5015,"Keluar",Transaksi!$H$16:$H$5015,"Reksadana uang kos mama",Transaksi!$B$16:$B$5015,"&gt;="&amp;DATE(2038,1,1),Transaksi!$B$16:$B$5015,"&lt;="&amp;EOMONTH(DATE(2038,1,1),0))-SUMIFS(Transaksi!$F$16:$F$5015,Transaksi!$G$16:$G$5015,"Tabungan",Transaksi!$D$16:$D$5015,"Masuk",Transaksi!$H$16:$H$5015,"Reksadana uang kos mama",Transaksi!$B$16:$B$5015,"&gt;="&amp;DATE(2038,1,1),Transaksi!$B$16:$B$5015,"&lt;="&amp;EOMONTH(DATE(2038,1,1),0))))</f>
        <v/>
      </c>
      <c r="G173" s="165">
        <f>(SUMIFS(Transaksi!$F$16:$F$5015,Transaksi!$G$16:$G$5015,"Tabungan",Transaksi!$D$16:$D$5015,"Keluar",Transaksi!$H$16:$H$5015,"&lt;&gt;Reksadana uang kos mama",Transaksi!$B$16:$B$5015,"&gt;="&amp;DATE(2038,1,1),Transaksi!$B$16:$B$5015,"&lt;="&amp;EOMONTH(DATE(2038,1,1),0))-SUMIFS(Transaksi!$F$16:$F$5015,Transaksi!$G$16:$G$5015,"Tabungan",Transaksi!$D$16:$D$5015,"Masuk",Transaksi!$H$16:$H$5015,"&lt;&gt;Reksadana uang kos mama",Transaksi!$B$16:$B$5015,"&gt;="&amp;DATE(2038,1,1),Transaksi!$B$16:$B$5015,"&lt;="&amp;EOMONTH(DATE(2038,1,1),0)))</f>
        <v/>
      </c>
    </row>
    <row r="174" ht="15" customHeight="1" s="94">
      <c r="A174" s="164" t="n">
        <v>2038</v>
      </c>
      <c r="B174" s="164" t="inlineStr">
        <is>
          <t>Feb</t>
        </is>
      </c>
      <c r="C174" s="165">
        <f>SUMIFS(Transaksi!$F$16:$F$5015,Transaksi!$G$16:$G$5015,"Pendapatan",Transaksi!$B$16:$B$5015,"&gt;="&amp;DATE(2038,2,1),Transaksi!$B$16:$B$5015,"&lt;="&amp;EOMONTH(DATE(2038,2,1),0))</f>
        <v/>
      </c>
      <c r="D174" s="165">
        <f>SUMIFS(Transaksi!$F$16:$F$5015,Transaksi!$G$16:$G$5015,"Pengeluaran",Transaksi!$B$16:$B$5015,"&gt;="&amp;DATE(2038,2,1),Transaksi!$B$16:$B$5015,"&lt;="&amp;EOMONTH(DATE(2038,2,1),0))</f>
        <v/>
      </c>
      <c r="E174" s="166">
        <f>C174-D174</f>
        <v/>
      </c>
      <c r="F174" s="165">
        <f>(SUMIFS(Transaksi!$F$16:$F$5015,Transaksi!$G$16:$G$5015,"Pendapatan",Transaksi!$B$16:$B$5015,"&gt;="&amp;DATE(2038,2,1),Transaksi!$B$16:$B$5015,"&lt;="&amp;EOMONTH(DATE(2038,2,1),0),Transaksi!$H$16:$H$5015,"Uang Kos Mama")+SUMIFS(Transaksi!$F$16:$F$5015,Transaksi!$G$16:$G$5015,"Pendapatan",Transaksi!$B$16:$B$5015,"&gt;="&amp;DATE(2038,2,1),Transaksi!$B$16:$B$5015,"&lt;="&amp;EOMONTH(DATE(2038,2,1),0),Transaksi!$H$16:$H$5015,"Uang Kedai"))-(SUMIFS(Transaksi!$F$16:$F$5015,Transaksi!$G$16:$G$5015,"Pengeluaran",Transaksi!$B$16:$B$5015,"&gt;="&amp;DATE(2038,2,1),Transaksi!$B$16:$B$5015,"&lt;="&amp;EOMONTH(DATE(2038,2,1),0),Transaksi!$H$16:$H$5015,"Pengeluaran Uang Kos")+SUMIFS(Transaksi!$F$16:$F$5015,Transaksi!$G$16:$G$5015,"Pengeluaran",Transaksi!$B$16:$B$5015,"&gt;="&amp;DATE(2038,2,1),Transaksi!$B$16:$B$5015,"&lt;="&amp;EOMONTH(DATE(2038,2,1),0),Transaksi!$H$16:$H$5015,"Pengeluaran Uang Kedai")+(SUMIFS(Transaksi!$F$16:$F$5015,Transaksi!$G$16:$G$5015,"Tabungan",Transaksi!$D$16:$D$5015,"Keluar",Transaksi!$H$16:$H$5015,"Reksadana uang kos mama",Transaksi!$B$16:$B$5015,"&gt;="&amp;DATE(2038,2,1),Transaksi!$B$16:$B$5015,"&lt;="&amp;EOMONTH(DATE(2038,2,1),0))-SUMIFS(Transaksi!$F$16:$F$5015,Transaksi!$G$16:$G$5015,"Tabungan",Transaksi!$D$16:$D$5015,"Masuk",Transaksi!$H$16:$H$5015,"Reksadana uang kos mama",Transaksi!$B$16:$B$5015,"&gt;="&amp;DATE(2038,2,1),Transaksi!$B$16:$B$5015,"&lt;="&amp;EOMONTH(DATE(2038,2,1),0))))</f>
        <v/>
      </c>
      <c r="G174" s="165">
        <f>(SUMIFS(Transaksi!$F$16:$F$5015,Transaksi!$G$16:$G$5015,"Tabungan",Transaksi!$D$16:$D$5015,"Keluar",Transaksi!$H$16:$H$5015,"&lt;&gt;Reksadana uang kos mama",Transaksi!$B$16:$B$5015,"&gt;="&amp;DATE(2038,2,1),Transaksi!$B$16:$B$5015,"&lt;="&amp;EOMONTH(DATE(2038,2,1),0))-SUMIFS(Transaksi!$F$16:$F$5015,Transaksi!$G$16:$G$5015,"Tabungan",Transaksi!$D$16:$D$5015,"Masuk",Transaksi!$H$16:$H$5015,"&lt;&gt;Reksadana uang kos mama",Transaksi!$B$16:$B$5015,"&gt;="&amp;DATE(2038,2,1),Transaksi!$B$16:$B$5015,"&lt;="&amp;EOMONTH(DATE(2038,2,1),0)))</f>
        <v/>
      </c>
    </row>
    <row r="175" ht="15" customHeight="1" s="94">
      <c r="A175" s="164" t="n">
        <v>2038</v>
      </c>
      <c r="B175" s="164" t="inlineStr">
        <is>
          <t>Mar</t>
        </is>
      </c>
      <c r="C175" s="165">
        <f>SUMIFS(Transaksi!$F$16:$F$5015,Transaksi!$G$16:$G$5015,"Pendapatan",Transaksi!$B$16:$B$5015,"&gt;="&amp;DATE(2038,3,1),Transaksi!$B$16:$B$5015,"&lt;="&amp;EOMONTH(DATE(2038,3,1),0))</f>
        <v/>
      </c>
      <c r="D175" s="165">
        <f>SUMIFS(Transaksi!$F$16:$F$5015,Transaksi!$G$16:$G$5015,"Pengeluaran",Transaksi!$B$16:$B$5015,"&gt;="&amp;DATE(2038,3,1),Transaksi!$B$16:$B$5015,"&lt;="&amp;EOMONTH(DATE(2038,3,1),0))</f>
        <v/>
      </c>
      <c r="E175" s="166">
        <f>C175-D175</f>
        <v/>
      </c>
      <c r="F175" s="165">
        <f>(SUMIFS(Transaksi!$F$16:$F$5015,Transaksi!$G$16:$G$5015,"Pendapatan",Transaksi!$B$16:$B$5015,"&gt;="&amp;DATE(2038,3,1),Transaksi!$B$16:$B$5015,"&lt;="&amp;EOMONTH(DATE(2038,3,1),0),Transaksi!$H$16:$H$5015,"Uang Kos Mama")+SUMIFS(Transaksi!$F$16:$F$5015,Transaksi!$G$16:$G$5015,"Pendapatan",Transaksi!$B$16:$B$5015,"&gt;="&amp;DATE(2038,3,1),Transaksi!$B$16:$B$5015,"&lt;="&amp;EOMONTH(DATE(2038,3,1),0),Transaksi!$H$16:$H$5015,"Uang Kedai"))-(SUMIFS(Transaksi!$F$16:$F$5015,Transaksi!$G$16:$G$5015,"Pengeluaran",Transaksi!$B$16:$B$5015,"&gt;="&amp;DATE(2038,3,1),Transaksi!$B$16:$B$5015,"&lt;="&amp;EOMONTH(DATE(2038,3,1),0),Transaksi!$H$16:$H$5015,"Pengeluaran Uang Kos")+SUMIFS(Transaksi!$F$16:$F$5015,Transaksi!$G$16:$G$5015,"Pengeluaran",Transaksi!$B$16:$B$5015,"&gt;="&amp;DATE(2038,3,1),Transaksi!$B$16:$B$5015,"&lt;="&amp;EOMONTH(DATE(2038,3,1),0),Transaksi!$H$16:$H$5015,"Pengeluaran Uang Kedai")+(SUMIFS(Transaksi!$F$16:$F$5015,Transaksi!$G$16:$G$5015,"Tabungan",Transaksi!$D$16:$D$5015,"Keluar",Transaksi!$H$16:$H$5015,"Reksadana uang kos mama",Transaksi!$B$16:$B$5015,"&gt;="&amp;DATE(2038,3,1),Transaksi!$B$16:$B$5015,"&lt;="&amp;EOMONTH(DATE(2038,3,1),0))-SUMIFS(Transaksi!$F$16:$F$5015,Transaksi!$G$16:$G$5015,"Tabungan",Transaksi!$D$16:$D$5015,"Masuk",Transaksi!$H$16:$H$5015,"Reksadana uang kos mama",Transaksi!$B$16:$B$5015,"&gt;="&amp;DATE(2038,3,1),Transaksi!$B$16:$B$5015,"&lt;="&amp;EOMONTH(DATE(2038,3,1),0))))</f>
        <v/>
      </c>
      <c r="G175" s="165">
        <f>(SUMIFS(Transaksi!$F$16:$F$5015,Transaksi!$G$16:$G$5015,"Tabungan",Transaksi!$D$16:$D$5015,"Keluar",Transaksi!$H$16:$H$5015,"&lt;&gt;Reksadana uang kos mama",Transaksi!$B$16:$B$5015,"&gt;="&amp;DATE(2038,3,1),Transaksi!$B$16:$B$5015,"&lt;="&amp;EOMONTH(DATE(2038,3,1),0))-SUMIFS(Transaksi!$F$16:$F$5015,Transaksi!$G$16:$G$5015,"Tabungan",Transaksi!$D$16:$D$5015,"Masuk",Transaksi!$H$16:$H$5015,"&lt;&gt;Reksadana uang kos mama",Transaksi!$B$16:$B$5015,"&gt;="&amp;DATE(2038,3,1),Transaksi!$B$16:$B$5015,"&lt;="&amp;EOMONTH(DATE(2038,3,1),0)))</f>
        <v/>
      </c>
    </row>
    <row r="176" ht="15" customHeight="1" s="94">
      <c r="A176" s="164" t="n">
        <v>2038</v>
      </c>
      <c r="B176" s="164" t="inlineStr">
        <is>
          <t>Apr</t>
        </is>
      </c>
      <c r="C176" s="165">
        <f>SUMIFS(Transaksi!$F$16:$F$5015,Transaksi!$G$16:$G$5015,"Pendapatan",Transaksi!$B$16:$B$5015,"&gt;="&amp;DATE(2038,4,1),Transaksi!$B$16:$B$5015,"&lt;="&amp;EOMONTH(DATE(2038,4,1),0))</f>
        <v/>
      </c>
      <c r="D176" s="165">
        <f>SUMIFS(Transaksi!$F$16:$F$5015,Transaksi!$G$16:$G$5015,"Pengeluaran",Transaksi!$B$16:$B$5015,"&gt;="&amp;DATE(2038,4,1),Transaksi!$B$16:$B$5015,"&lt;="&amp;EOMONTH(DATE(2038,4,1),0))</f>
        <v/>
      </c>
      <c r="E176" s="166">
        <f>C176-D176</f>
        <v/>
      </c>
      <c r="F176" s="165">
        <f>(SUMIFS(Transaksi!$F$16:$F$5015,Transaksi!$G$16:$G$5015,"Pendapatan",Transaksi!$B$16:$B$5015,"&gt;="&amp;DATE(2038,4,1),Transaksi!$B$16:$B$5015,"&lt;="&amp;EOMONTH(DATE(2038,4,1),0),Transaksi!$H$16:$H$5015,"Uang Kos Mama")+SUMIFS(Transaksi!$F$16:$F$5015,Transaksi!$G$16:$G$5015,"Pendapatan",Transaksi!$B$16:$B$5015,"&gt;="&amp;DATE(2038,4,1),Transaksi!$B$16:$B$5015,"&lt;="&amp;EOMONTH(DATE(2038,4,1),0),Transaksi!$H$16:$H$5015,"Uang Kedai"))-(SUMIFS(Transaksi!$F$16:$F$5015,Transaksi!$G$16:$G$5015,"Pengeluaran",Transaksi!$B$16:$B$5015,"&gt;="&amp;DATE(2038,4,1),Transaksi!$B$16:$B$5015,"&lt;="&amp;EOMONTH(DATE(2038,4,1),0),Transaksi!$H$16:$H$5015,"Pengeluaran Uang Kos")+SUMIFS(Transaksi!$F$16:$F$5015,Transaksi!$G$16:$G$5015,"Pengeluaran",Transaksi!$B$16:$B$5015,"&gt;="&amp;DATE(2038,4,1),Transaksi!$B$16:$B$5015,"&lt;="&amp;EOMONTH(DATE(2038,4,1),0),Transaksi!$H$16:$H$5015,"Pengeluaran Uang Kedai")+(SUMIFS(Transaksi!$F$16:$F$5015,Transaksi!$G$16:$G$5015,"Tabungan",Transaksi!$D$16:$D$5015,"Keluar",Transaksi!$H$16:$H$5015,"Reksadana uang kos mama",Transaksi!$B$16:$B$5015,"&gt;="&amp;DATE(2038,4,1),Transaksi!$B$16:$B$5015,"&lt;="&amp;EOMONTH(DATE(2038,4,1),0))-SUMIFS(Transaksi!$F$16:$F$5015,Transaksi!$G$16:$G$5015,"Tabungan",Transaksi!$D$16:$D$5015,"Masuk",Transaksi!$H$16:$H$5015,"Reksadana uang kos mama",Transaksi!$B$16:$B$5015,"&gt;="&amp;DATE(2038,4,1),Transaksi!$B$16:$B$5015,"&lt;="&amp;EOMONTH(DATE(2038,4,1),0))))</f>
        <v/>
      </c>
      <c r="G176" s="165">
        <f>(SUMIFS(Transaksi!$F$16:$F$5015,Transaksi!$G$16:$G$5015,"Tabungan",Transaksi!$D$16:$D$5015,"Keluar",Transaksi!$H$16:$H$5015,"&lt;&gt;Reksadana uang kos mama",Transaksi!$B$16:$B$5015,"&gt;="&amp;DATE(2038,4,1),Transaksi!$B$16:$B$5015,"&lt;="&amp;EOMONTH(DATE(2038,4,1),0))-SUMIFS(Transaksi!$F$16:$F$5015,Transaksi!$G$16:$G$5015,"Tabungan",Transaksi!$D$16:$D$5015,"Masuk",Transaksi!$H$16:$H$5015,"&lt;&gt;Reksadana uang kos mama",Transaksi!$B$16:$B$5015,"&gt;="&amp;DATE(2038,4,1),Transaksi!$B$16:$B$5015,"&lt;="&amp;EOMONTH(DATE(2038,4,1),0)))</f>
        <v/>
      </c>
    </row>
    <row r="177" ht="15" customHeight="1" s="94">
      <c r="A177" s="164" t="n">
        <v>2038</v>
      </c>
      <c r="B177" s="164" t="inlineStr">
        <is>
          <t>Mei</t>
        </is>
      </c>
      <c r="C177" s="165">
        <f>SUMIFS(Transaksi!$F$16:$F$5015,Transaksi!$G$16:$G$5015,"Pendapatan",Transaksi!$B$16:$B$5015,"&gt;="&amp;DATE(2038,5,1),Transaksi!$B$16:$B$5015,"&lt;="&amp;EOMONTH(DATE(2038,5,1),0))</f>
        <v/>
      </c>
      <c r="D177" s="165">
        <f>SUMIFS(Transaksi!$F$16:$F$5015,Transaksi!$G$16:$G$5015,"Pengeluaran",Transaksi!$B$16:$B$5015,"&gt;="&amp;DATE(2038,5,1),Transaksi!$B$16:$B$5015,"&lt;="&amp;EOMONTH(DATE(2038,5,1),0))</f>
        <v/>
      </c>
      <c r="E177" s="166">
        <f>C177-D177</f>
        <v/>
      </c>
      <c r="F177" s="165">
        <f>(SUMIFS(Transaksi!$F$16:$F$5015,Transaksi!$G$16:$G$5015,"Pendapatan",Transaksi!$B$16:$B$5015,"&gt;="&amp;DATE(2038,5,1),Transaksi!$B$16:$B$5015,"&lt;="&amp;EOMONTH(DATE(2038,5,1),0),Transaksi!$H$16:$H$5015,"Uang Kos Mama")+SUMIFS(Transaksi!$F$16:$F$5015,Transaksi!$G$16:$G$5015,"Pendapatan",Transaksi!$B$16:$B$5015,"&gt;="&amp;DATE(2038,5,1),Transaksi!$B$16:$B$5015,"&lt;="&amp;EOMONTH(DATE(2038,5,1),0),Transaksi!$H$16:$H$5015,"Uang Kedai"))-(SUMIFS(Transaksi!$F$16:$F$5015,Transaksi!$G$16:$G$5015,"Pengeluaran",Transaksi!$B$16:$B$5015,"&gt;="&amp;DATE(2038,5,1),Transaksi!$B$16:$B$5015,"&lt;="&amp;EOMONTH(DATE(2038,5,1),0),Transaksi!$H$16:$H$5015,"Pengeluaran Uang Kos")+SUMIFS(Transaksi!$F$16:$F$5015,Transaksi!$G$16:$G$5015,"Pengeluaran",Transaksi!$B$16:$B$5015,"&gt;="&amp;DATE(2038,5,1),Transaksi!$B$16:$B$5015,"&lt;="&amp;EOMONTH(DATE(2038,5,1),0),Transaksi!$H$16:$H$5015,"Pengeluaran Uang Kedai")+(SUMIFS(Transaksi!$F$16:$F$5015,Transaksi!$G$16:$G$5015,"Tabungan",Transaksi!$D$16:$D$5015,"Keluar",Transaksi!$H$16:$H$5015,"Reksadana uang kos mama",Transaksi!$B$16:$B$5015,"&gt;="&amp;DATE(2038,5,1),Transaksi!$B$16:$B$5015,"&lt;="&amp;EOMONTH(DATE(2038,5,1),0))-SUMIFS(Transaksi!$F$16:$F$5015,Transaksi!$G$16:$G$5015,"Tabungan",Transaksi!$D$16:$D$5015,"Masuk",Transaksi!$H$16:$H$5015,"Reksadana uang kos mama",Transaksi!$B$16:$B$5015,"&gt;="&amp;DATE(2038,5,1),Transaksi!$B$16:$B$5015,"&lt;="&amp;EOMONTH(DATE(2038,5,1),0))))</f>
        <v/>
      </c>
      <c r="G177" s="165">
        <f>(SUMIFS(Transaksi!$F$16:$F$5015,Transaksi!$G$16:$G$5015,"Tabungan",Transaksi!$D$16:$D$5015,"Keluar",Transaksi!$H$16:$H$5015,"&lt;&gt;Reksadana uang kos mama",Transaksi!$B$16:$B$5015,"&gt;="&amp;DATE(2038,5,1),Transaksi!$B$16:$B$5015,"&lt;="&amp;EOMONTH(DATE(2038,5,1),0))-SUMIFS(Transaksi!$F$16:$F$5015,Transaksi!$G$16:$G$5015,"Tabungan",Transaksi!$D$16:$D$5015,"Masuk",Transaksi!$H$16:$H$5015,"&lt;&gt;Reksadana uang kos mama",Transaksi!$B$16:$B$5015,"&gt;="&amp;DATE(2038,5,1),Transaksi!$B$16:$B$5015,"&lt;="&amp;EOMONTH(DATE(2038,5,1),0)))</f>
        <v/>
      </c>
    </row>
    <row r="178" ht="15" customHeight="1" s="94">
      <c r="A178" s="164" t="n">
        <v>2038</v>
      </c>
      <c r="B178" s="164" t="inlineStr">
        <is>
          <t>Jun</t>
        </is>
      </c>
      <c r="C178" s="165">
        <f>SUMIFS(Transaksi!$F$16:$F$5015,Transaksi!$G$16:$G$5015,"Pendapatan",Transaksi!$B$16:$B$5015,"&gt;="&amp;DATE(2038,6,1),Transaksi!$B$16:$B$5015,"&lt;="&amp;EOMONTH(DATE(2038,6,1),0))</f>
        <v/>
      </c>
      <c r="D178" s="165">
        <f>SUMIFS(Transaksi!$F$16:$F$5015,Transaksi!$G$16:$G$5015,"Pengeluaran",Transaksi!$B$16:$B$5015,"&gt;="&amp;DATE(2038,6,1),Transaksi!$B$16:$B$5015,"&lt;="&amp;EOMONTH(DATE(2038,6,1),0))</f>
        <v/>
      </c>
      <c r="E178" s="166">
        <f>C178-D178</f>
        <v/>
      </c>
      <c r="F178" s="165">
        <f>(SUMIFS(Transaksi!$F$16:$F$5015,Transaksi!$G$16:$G$5015,"Pendapatan",Transaksi!$B$16:$B$5015,"&gt;="&amp;DATE(2038,6,1),Transaksi!$B$16:$B$5015,"&lt;="&amp;EOMONTH(DATE(2038,6,1),0),Transaksi!$H$16:$H$5015,"Uang Kos Mama")+SUMIFS(Transaksi!$F$16:$F$5015,Transaksi!$G$16:$G$5015,"Pendapatan",Transaksi!$B$16:$B$5015,"&gt;="&amp;DATE(2038,6,1),Transaksi!$B$16:$B$5015,"&lt;="&amp;EOMONTH(DATE(2038,6,1),0),Transaksi!$H$16:$H$5015,"Uang Kedai"))-(SUMIFS(Transaksi!$F$16:$F$5015,Transaksi!$G$16:$G$5015,"Pengeluaran",Transaksi!$B$16:$B$5015,"&gt;="&amp;DATE(2038,6,1),Transaksi!$B$16:$B$5015,"&lt;="&amp;EOMONTH(DATE(2038,6,1),0),Transaksi!$H$16:$H$5015,"Pengeluaran Uang Kos")+SUMIFS(Transaksi!$F$16:$F$5015,Transaksi!$G$16:$G$5015,"Pengeluaran",Transaksi!$B$16:$B$5015,"&gt;="&amp;DATE(2038,6,1),Transaksi!$B$16:$B$5015,"&lt;="&amp;EOMONTH(DATE(2038,6,1),0),Transaksi!$H$16:$H$5015,"Pengeluaran Uang Kedai")+(SUMIFS(Transaksi!$F$16:$F$5015,Transaksi!$G$16:$G$5015,"Tabungan",Transaksi!$D$16:$D$5015,"Keluar",Transaksi!$H$16:$H$5015,"Reksadana uang kos mama",Transaksi!$B$16:$B$5015,"&gt;="&amp;DATE(2038,6,1),Transaksi!$B$16:$B$5015,"&lt;="&amp;EOMONTH(DATE(2038,6,1),0))-SUMIFS(Transaksi!$F$16:$F$5015,Transaksi!$G$16:$G$5015,"Tabungan",Transaksi!$D$16:$D$5015,"Masuk",Transaksi!$H$16:$H$5015,"Reksadana uang kos mama",Transaksi!$B$16:$B$5015,"&gt;="&amp;DATE(2038,6,1),Transaksi!$B$16:$B$5015,"&lt;="&amp;EOMONTH(DATE(2038,6,1),0))))</f>
        <v/>
      </c>
      <c r="G178" s="165">
        <f>(SUMIFS(Transaksi!$F$16:$F$5015,Transaksi!$G$16:$G$5015,"Tabungan",Transaksi!$D$16:$D$5015,"Keluar",Transaksi!$H$16:$H$5015,"&lt;&gt;Reksadana uang kos mama",Transaksi!$B$16:$B$5015,"&gt;="&amp;DATE(2038,6,1),Transaksi!$B$16:$B$5015,"&lt;="&amp;EOMONTH(DATE(2038,6,1),0))-SUMIFS(Transaksi!$F$16:$F$5015,Transaksi!$G$16:$G$5015,"Tabungan",Transaksi!$D$16:$D$5015,"Masuk",Transaksi!$H$16:$H$5015,"&lt;&gt;Reksadana uang kos mama",Transaksi!$B$16:$B$5015,"&gt;="&amp;DATE(2038,6,1),Transaksi!$B$16:$B$5015,"&lt;="&amp;EOMONTH(DATE(2038,6,1),0)))</f>
        <v/>
      </c>
    </row>
    <row r="179" ht="15" customHeight="1" s="94">
      <c r="A179" s="164" t="n">
        <v>2038</v>
      </c>
      <c r="B179" s="164" t="inlineStr">
        <is>
          <t>Jul</t>
        </is>
      </c>
      <c r="C179" s="165">
        <f>SUMIFS(Transaksi!$F$16:$F$5015,Transaksi!$G$16:$G$5015,"Pendapatan",Transaksi!$B$16:$B$5015,"&gt;="&amp;DATE(2038,7,1),Transaksi!$B$16:$B$5015,"&lt;="&amp;EOMONTH(DATE(2038,7,1),0))</f>
        <v/>
      </c>
      <c r="D179" s="165">
        <f>SUMIFS(Transaksi!$F$16:$F$5015,Transaksi!$G$16:$G$5015,"Pengeluaran",Transaksi!$B$16:$B$5015,"&gt;="&amp;DATE(2038,7,1),Transaksi!$B$16:$B$5015,"&lt;="&amp;EOMONTH(DATE(2038,7,1),0))</f>
        <v/>
      </c>
      <c r="E179" s="166">
        <f>C179-D179</f>
        <v/>
      </c>
      <c r="F179" s="165">
        <f>(SUMIFS(Transaksi!$F$16:$F$5015,Transaksi!$G$16:$G$5015,"Pendapatan",Transaksi!$B$16:$B$5015,"&gt;="&amp;DATE(2038,7,1),Transaksi!$B$16:$B$5015,"&lt;="&amp;EOMONTH(DATE(2038,7,1),0),Transaksi!$H$16:$H$5015,"Uang Kos Mama")+SUMIFS(Transaksi!$F$16:$F$5015,Transaksi!$G$16:$G$5015,"Pendapatan",Transaksi!$B$16:$B$5015,"&gt;="&amp;DATE(2038,7,1),Transaksi!$B$16:$B$5015,"&lt;="&amp;EOMONTH(DATE(2038,7,1),0),Transaksi!$H$16:$H$5015,"Uang Kedai"))-(SUMIFS(Transaksi!$F$16:$F$5015,Transaksi!$G$16:$G$5015,"Pengeluaran",Transaksi!$B$16:$B$5015,"&gt;="&amp;DATE(2038,7,1),Transaksi!$B$16:$B$5015,"&lt;="&amp;EOMONTH(DATE(2038,7,1),0),Transaksi!$H$16:$H$5015,"Pengeluaran Uang Kos")+SUMIFS(Transaksi!$F$16:$F$5015,Transaksi!$G$16:$G$5015,"Pengeluaran",Transaksi!$B$16:$B$5015,"&gt;="&amp;DATE(2038,7,1),Transaksi!$B$16:$B$5015,"&lt;="&amp;EOMONTH(DATE(2038,7,1),0),Transaksi!$H$16:$H$5015,"Pengeluaran Uang Kedai")+(SUMIFS(Transaksi!$F$16:$F$5015,Transaksi!$G$16:$G$5015,"Tabungan",Transaksi!$D$16:$D$5015,"Keluar",Transaksi!$H$16:$H$5015,"Reksadana uang kos mama",Transaksi!$B$16:$B$5015,"&gt;="&amp;DATE(2038,7,1),Transaksi!$B$16:$B$5015,"&lt;="&amp;EOMONTH(DATE(2038,7,1),0))-SUMIFS(Transaksi!$F$16:$F$5015,Transaksi!$G$16:$G$5015,"Tabungan",Transaksi!$D$16:$D$5015,"Masuk",Transaksi!$H$16:$H$5015,"Reksadana uang kos mama",Transaksi!$B$16:$B$5015,"&gt;="&amp;DATE(2038,7,1),Transaksi!$B$16:$B$5015,"&lt;="&amp;EOMONTH(DATE(2038,7,1),0))))</f>
        <v/>
      </c>
      <c r="G179" s="165">
        <f>(SUMIFS(Transaksi!$F$16:$F$5015,Transaksi!$G$16:$G$5015,"Tabungan",Transaksi!$D$16:$D$5015,"Keluar",Transaksi!$H$16:$H$5015,"&lt;&gt;Reksadana uang kos mama",Transaksi!$B$16:$B$5015,"&gt;="&amp;DATE(2038,7,1),Transaksi!$B$16:$B$5015,"&lt;="&amp;EOMONTH(DATE(2038,7,1),0))-SUMIFS(Transaksi!$F$16:$F$5015,Transaksi!$G$16:$G$5015,"Tabungan",Transaksi!$D$16:$D$5015,"Masuk",Transaksi!$H$16:$H$5015,"&lt;&gt;Reksadana uang kos mama",Transaksi!$B$16:$B$5015,"&gt;="&amp;DATE(2038,7,1),Transaksi!$B$16:$B$5015,"&lt;="&amp;EOMONTH(DATE(2038,7,1),0)))</f>
        <v/>
      </c>
    </row>
    <row r="180" ht="15" customHeight="1" s="94">
      <c r="A180" s="164" t="n">
        <v>2038</v>
      </c>
      <c r="B180" s="164" t="inlineStr">
        <is>
          <t>Agu</t>
        </is>
      </c>
      <c r="C180" s="165">
        <f>SUMIFS(Transaksi!$F$16:$F$5015,Transaksi!$G$16:$G$5015,"Pendapatan",Transaksi!$B$16:$B$5015,"&gt;="&amp;DATE(2038,8,1),Transaksi!$B$16:$B$5015,"&lt;="&amp;EOMONTH(DATE(2038,8,1),0))</f>
        <v/>
      </c>
      <c r="D180" s="165">
        <f>SUMIFS(Transaksi!$F$16:$F$5015,Transaksi!$G$16:$G$5015,"Pengeluaran",Transaksi!$B$16:$B$5015,"&gt;="&amp;DATE(2038,8,1),Transaksi!$B$16:$B$5015,"&lt;="&amp;EOMONTH(DATE(2038,8,1),0))</f>
        <v/>
      </c>
      <c r="E180" s="166">
        <f>C180-D180</f>
        <v/>
      </c>
      <c r="F180" s="165">
        <f>(SUMIFS(Transaksi!$F$16:$F$5015,Transaksi!$G$16:$G$5015,"Pendapatan",Transaksi!$B$16:$B$5015,"&gt;="&amp;DATE(2038,8,1),Transaksi!$B$16:$B$5015,"&lt;="&amp;EOMONTH(DATE(2038,8,1),0),Transaksi!$H$16:$H$5015,"Uang Kos Mama")+SUMIFS(Transaksi!$F$16:$F$5015,Transaksi!$G$16:$G$5015,"Pendapatan",Transaksi!$B$16:$B$5015,"&gt;="&amp;DATE(2038,8,1),Transaksi!$B$16:$B$5015,"&lt;="&amp;EOMONTH(DATE(2038,8,1),0),Transaksi!$H$16:$H$5015,"Uang Kedai"))-(SUMIFS(Transaksi!$F$16:$F$5015,Transaksi!$G$16:$G$5015,"Pengeluaran",Transaksi!$B$16:$B$5015,"&gt;="&amp;DATE(2038,8,1),Transaksi!$B$16:$B$5015,"&lt;="&amp;EOMONTH(DATE(2038,8,1),0),Transaksi!$H$16:$H$5015,"Pengeluaran Uang Kos")+SUMIFS(Transaksi!$F$16:$F$5015,Transaksi!$G$16:$G$5015,"Pengeluaran",Transaksi!$B$16:$B$5015,"&gt;="&amp;DATE(2038,8,1),Transaksi!$B$16:$B$5015,"&lt;="&amp;EOMONTH(DATE(2038,8,1),0),Transaksi!$H$16:$H$5015,"Pengeluaran Uang Kedai")+(SUMIFS(Transaksi!$F$16:$F$5015,Transaksi!$G$16:$G$5015,"Tabungan",Transaksi!$D$16:$D$5015,"Keluar",Transaksi!$H$16:$H$5015,"Reksadana uang kos mama",Transaksi!$B$16:$B$5015,"&gt;="&amp;DATE(2038,8,1),Transaksi!$B$16:$B$5015,"&lt;="&amp;EOMONTH(DATE(2038,8,1),0))-SUMIFS(Transaksi!$F$16:$F$5015,Transaksi!$G$16:$G$5015,"Tabungan",Transaksi!$D$16:$D$5015,"Masuk",Transaksi!$H$16:$H$5015,"Reksadana uang kos mama",Transaksi!$B$16:$B$5015,"&gt;="&amp;DATE(2038,8,1),Transaksi!$B$16:$B$5015,"&lt;="&amp;EOMONTH(DATE(2038,8,1),0))))</f>
        <v/>
      </c>
      <c r="G180" s="165">
        <f>(SUMIFS(Transaksi!$F$16:$F$5015,Transaksi!$G$16:$G$5015,"Tabungan",Transaksi!$D$16:$D$5015,"Keluar",Transaksi!$H$16:$H$5015,"&lt;&gt;Reksadana uang kos mama",Transaksi!$B$16:$B$5015,"&gt;="&amp;DATE(2038,8,1),Transaksi!$B$16:$B$5015,"&lt;="&amp;EOMONTH(DATE(2038,8,1),0))-SUMIFS(Transaksi!$F$16:$F$5015,Transaksi!$G$16:$G$5015,"Tabungan",Transaksi!$D$16:$D$5015,"Masuk",Transaksi!$H$16:$H$5015,"&lt;&gt;Reksadana uang kos mama",Transaksi!$B$16:$B$5015,"&gt;="&amp;DATE(2038,8,1),Transaksi!$B$16:$B$5015,"&lt;="&amp;EOMONTH(DATE(2038,8,1),0)))</f>
        <v/>
      </c>
    </row>
    <row r="181" ht="15" customHeight="1" s="94">
      <c r="A181" s="164" t="n">
        <v>2038</v>
      </c>
      <c r="B181" s="164" t="inlineStr">
        <is>
          <t>Sep</t>
        </is>
      </c>
      <c r="C181" s="165">
        <f>SUMIFS(Transaksi!$F$16:$F$5015,Transaksi!$G$16:$G$5015,"Pendapatan",Transaksi!$B$16:$B$5015,"&gt;="&amp;DATE(2038,9,1),Transaksi!$B$16:$B$5015,"&lt;="&amp;EOMONTH(DATE(2038,9,1),0))</f>
        <v/>
      </c>
      <c r="D181" s="165">
        <f>SUMIFS(Transaksi!$F$16:$F$5015,Transaksi!$G$16:$G$5015,"Pengeluaran",Transaksi!$B$16:$B$5015,"&gt;="&amp;DATE(2038,9,1),Transaksi!$B$16:$B$5015,"&lt;="&amp;EOMONTH(DATE(2038,9,1),0))</f>
        <v/>
      </c>
      <c r="E181" s="166">
        <f>C181-D181</f>
        <v/>
      </c>
      <c r="F181" s="165">
        <f>(SUMIFS(Transaksi!$F$16:$F$5015,Transaksi!$G$16:$G$5015,"Pendapatan",Transaksi!$B$16:$B$5015,"&gt;="&amp;DATE(2038,9,1),Transaksi!$B$16:$B$5015,"&lt;="&amp;EOMONTH(DATE(2038,9,1),0),Transaksi!$H$16:$H$5015,"Uang Kos Mama")+SUMIFS(Transaksi!$F$16:$F$5015,Transaksi!$G$16:$G$5015,"Pendapatan",Transaksi!$B$16:$B$5015,"&gt;="&amp;DATE(2038,9,1),Transaksi!$B$16:$B$5015,"&lt;="&amp;EOMONTH(DATE(2038,9,1),0),Transaksi!$H$16:$H$5015,"Uang Kedai"))-(SUMIFS(Transaksi!$F$16:$F$5015,Transaksi!$G$16:$G$5015,"Pengeluaran",Transaksi!$B$16:$B$5015,"&gt;="&amp;DATE(2038,9,1),Transaksi!$B$16:$B$5015,"&lt;="&amp;EOMONTH(DATE(2038,9,1),0),Transaksi!$H$16:$H$5015,"Pengeluaran Uang Kos")+SUMIFS(Transaksi!$F$16:$F$5015,Transaksi!$G$16:$G$5015,"Pengeluaran",Transaksi!$B$16:$B$5015,"&gt;="&amp;DATE(2038,9,1),Transaksi!$B$16:$B$5015,"&lt;="&amp;EOMONTH(DATE(2038,9,1),0),Transaksi!$H$16:$H$5015,"Pengeluaran Uang Kedai")+(SUMIFS(Transaksi!$F$16:$F$5015,Transaksi!$G$16:$G$5015,"Tabungan",Transaksi!$D$16:$D$5015,"Keluar",Transaksi!$H$16:$H$5015,"Reksadana uang kos mama",Transaksi!$B$16:$B$5015,"&gt;="&amp;DATE(2038,9,1),Transaksi!$B$16:$B$5015,"&lt;="&amp;EOMONTH(DATE(2038,9,1),0))-SUMIFS(Transaksi!$F$16:$F$5015,Transaksi!$G$16:$G$5015,"Tabungan",Transaksi!$D$16:$D$5015,"Masuk",Transaksi!$H$16:$H$5015,"Reksadana uang kos mama",Transaksi!$B$16:$B$5015,"&gt;="&amp;DATE(2038,9,1),Transaksi!$B$16:$B$5015,"&lt;="&amp;EOMONTH(DATE(2038,9,1),0))))</f>
        <v/>
      </c>
      <c r="G181" s="165">
        <f>(SUMIFS(Transaksi!$F$16:$F$5015,Transaksi!$G$16:$G$5015,"Tabungan",Transaksi!$D$16:$D$5015,"Keluar",Transaksi!$H$16:$H$5015,"&lt;&gt;Reksadana uang kos mama",Transaksi!$B$16:$B$5015,"&gt;="&amp;DATE(2038,9,1),Transaksi!$B$16:$B$5015,"&lt;="&amp;EOMONTH(DATE(2038,9,1),0))-SUMIFS(Transaksi!$F$16:$F$5015,Transaksi!$G$16:$G$5015,"Tabungan",Transaksi!$D$16:$D$5015,"Masuk",Transaksi!$H$16:$H$5015,"&lt;&gt;Reksadana uang kos mama",Transaksi!$B$16:$B$5015,"&gt;="&amp;DATE(2038,9,1),Transaksi!$B$16:$B$5015,"&lt;="&amp;EOMONTH(DATE(2038,9,1),0)))</f>
        <v/>
      </c>
    </row>
    <row r="182" ht="15" customHeight="1" s="94">
      <c r="A182" s="164" t="n">
        <v>2038</v>
      </c>
      <c r="B182" s="164" t="inlineStr">
        <is>
          <t>Okt</t>
        </is>
      </c>
      <c r="C182" s="165">
        <f>SUMIFS(Transaksi!$F$16:$F$5015,Transaksi!$G$16:$G$5015,"Pendapatan",Transaksi!$B$16:$B$5015,"&gt;="&amp;DATE(2038,10,1),Transaksi!$B$16:$B$5015,"&lt;="&amp;EOMONTH(DATE(2038,10,1),0))</f>
        <v/>
      </c>
      <c r="D182" s="165">
        <f>SUMIFS(Transaksi!$F$16:$F$5015,Transaksi!$G$16:$G$5015,"Pengeluaran",Transaksi!$B$16:$B$5015,"&gt;="&amp;DATE(2038,10,1),Transaksi!$B$16:$B$5015,"&lt;="&amp;EOMONTH(DATE(2038,10,1),0))</f>
        <v/>
      </c>
      <c r="E182" s="166">
        <f>C182-D182</f>
        <v/>
      </c>
      <c r="F182" s="165">
        <f>(SUMIFS(Transaksi!$F$16:$F$5015,Transaksi!$G$16:$G$5015,"Pendapatan",Transaksi!$B$16:$B$5015,"&gt;="&amp;DATE(2038,10,1),Transaksi!$B$16:$B$5015,"&lt;="&amp;EOMONTH(DATE(2038,10,1),0),Transaksi!$H$16:$H$5015,"Uang Kos Mama")+SUMIFS(Transaksi!$F$16:$F$5015,Transaksi!$G$16:$G$5015,"Pendapatan",Transaksi!$B$16:$B$5015,"&gt;="&amp;DATE(2038,10,1),Transaksi!$B$16:$B$5015,"&lt;="&amp;EOMONTH(DATE(2038,10,1),0),Transaksi!$H$16:$H$5015,"Uang Kedai"))-(SUMIFS(Transaksi!$F$16:$F$5015,Transaksi!$G$16:$G$5015,"Pengeluaran",Transaksi!$B$16:$B$5015,"&gt;="&amp;DATE(2038,10,1),Transaksi!$B$16:$B$5015,"&lt;="&amp;EOMONTH(DATE(2038,10,1),0),Transaksi!$H$16:$H$5015,"Pengeluaran Uang Kos")+SUMIFS(Transaksi!$F$16:$F$5015,Transaksi!$G$16:$G$5015,"Pengeluaran",Transaksi!$B$16:$B$5015,"&gt;="&amp;DATE(2038,10,1),Transaksi!$B$16:$B$5015,"&lt;="&amp;EOMONTH(DATE(2038,10,1),0),Transaksi!$H$16:$H$5015,"Pengeluaran Uang Kedai")+(SUMIFS(Transaksi!$F$16:$F$5015,Transaksi!$G$16:$G$5015,"Tabungan",Transaksi!$D$16:$D$5015,"Keluar",Transaksi!$H$16:$H$5015,"Reksadana uang kos mama",Transaksi!$B$16:$B$5015,"&gt;="&amp;DATE(2038,10,1),Transaksi!$B$16:$B$5015,"&lt;="&amp;EOMONTH(DATE(2038,10,1),0))-SUMIFS(Transaksi!$F$16:$F$5015,Transaksi!$G$16:$G$5015,"Tabungan",Transaksi!$D$16:$D$5015,"Masuk",Transaksi!$H$16:$H$5015,"Reksadana uang kos mama",Transaksi!$B$16:$B$5015,"&gt;="&amp;DATE(2038,10,1),Transaksi!$B$16:$B$5015,"&lt;="&amp;EOMONTH(DATE(2038,10,1),0))))</f>
        <v/>
      </c>
      <c r="G182" s="165">
        <f>(SUMIFS(Transaksi!$F$16:$F$5015,Transaksi!$G$16:$G$5015,"Tabungan",Transaksi!$D$16:$D$5015,"Keluar",Transaksi!$H$16:$H$5015,"&lt;&gt;Reksadana uang kos mama",Transaksi!$B$16:$B$5015,"&gt;="&amp;DATE(2038,10,1),Transaksi!$B$16:$B$5015,"&lt;="&amp;EOMONTH(DATE(2038,10,1),0))-SUMIFS(Transaksi!$F$16:$F$5015,Transaksi!$G$16:$G$5015,"Tabungan",Transaksi!$D$16:$D$5015,"Masuk",Transaksi!$H$16:$H$5015,"&lt;&gt;Reksadana uang kos mama",Transaksi!$B$16:$B$5015,"&gt;="&amp;DATE(2038,10,1),Transaksi!$B$16:$B$5015,"&lt;="&amp;EOMONTH(DATE(2038,10,1),0)))</f>
        <v/>
      </c>
    </row>
    <row r="183" ht="15" customHeight="1" s="94">
      <c r="A183" s="164" t="n">
        <v>2038</v>
      </c>
      <c r="B183" s="164" t="inlineStr">
        <is>
          <t>Nov</t>
        </is>
      </c>
      <c r="C183" s="165">
        <f>SUMIFS(Transaksi!$F$16:$F$5015,Transaksi!$G$16:$G$5015,"Pendapatan",Transaksi!$B$16:$B$5015,"&gt;="&amp;DATE(2038,11,1),Transaksi!$B$16:$B$5015,"&lt;="&amp;EOMONTH(DATE(2038,11,1),0))</f>
        <v/>
      </c>
      <c r="D183" s="165">
        <f>SUMIFS(Transaksi!$F$16:$F$5015,Transaksi!$G$16:$G$5015,"Pengeluaran",Transaksi!$B$16:$B$5015,"&gt;="&amp;DATE(2038,11,1),Transaksi!$B$16:$B$5015,"&lt;="&amp;EOMONTH(DATE(2038,11,1),0))</f>
        <v/>
      </c>
      <c r="E183" s="166">
        <f>C183-D183</f>
        <v/>
      </c>
      <c r="F183" s="165">
        <f>(SUMIFS(Transaksi!$F$16:$F$5015,Transaksi!$G$16:$G$5015,"Pendapatan",Transaksi!$B$16:$B$5015,"&gt;="&amp;DATE(2038,11,1),Transaksi!$B$16:$B$5015,"&lt;="&amp;EOMONTH(DATE(2038,11,1),0),Transaksi!$H$16:$H$5015,"Uang Kos Mama")+SUMIFS(Transaksi!$F$16:$F$5015,Transaksi!$G$16:$G$5015,"Pendapatan",Transaksi!$B$16:$B$5015,"&gt;="&amp;DATE(2038,11,1),Transaksi!$B$16:$B$5015,"&lt;="&amp;EOMONTH(DATE(2038,11,1),0),Transaksi!$H$16:$H$5015,"Uang Kedai"))-(SUMIFS(Transaksi!$F$16:$F$5015,Transaksi!$G$16:$G$5015,"Pengeluaran",Transaksi!$B$16:$B$5015,"&gt;="&amp;DATE(2038,11,1),Transaksi!$B$16:$B$5015,"&lt;="&amp;EOMONTH(DATE(2038,11,1),0),Transaksi!$H$16:$H$5015,"Pengeluaran Uang Kos")+SUMIFS(Transaksi!$F$16:$F$5015,Transaksi!$G$16:$G$5015,"Pengeluaran",Transaksi!$B$16:$B$5015,"&gt;="&amp;DATE(2038,11,1),Transaksi!$B$16:$B$5015,"&lt;="&amp;EOMONTH(DATE(2038,11,1),0),Transaksi!$H$16:$H$5015,"Pengeluaran Uang Kedai")+(SUMIFS(Transaksi!$F$16:$F$5015,Transaksi!$G$16:$G$5015,"Tabungan",Transaksi!$D$16:$D$5015,"Keluar",Transaksi!$H$16:$H$5015,"Reksadana uang kos mama",Transaksi!$B$16:$B$5015,"&gt;="&amp;DATE(2038,11,1),Transaksi!$B$16:$B$5015,"&lt;="&amp;EOMONTH(DATE(2038,11,1),0))-SUMIFS(Transaksi!$F$16:$F$5015,Transaksi!$G$16:$G$5015,"Tabungan",Transaksi!$D$16:$D$5015,"Masuk",Transaksi!$H$16:$H$5015,"Reksadana uang kos mama",Transaksi!$B$16:$B$5015,"&gt;="&amp;DATE(2038,11,1),Transaksi!$B$16:$B$5015,"&lt;="&amp;EOMONTH(DATE(2038,11,1),0))))</f>
        <v/>
      </c>
      <c r="G183" s="165">
        <f>(SUMIFS(Transaksi!$F$16:$F$5015,Transaksi!$G$16:$G$5015,"Tabungan",Transaksi!$D$16:$D$5015,"Keluar",Transaksi!$H$16:$H$5015,"&lt;&gt;Reksadana uang kos mama",Transaksi!$B$16:$B$5015,"&gt;="&amp;DATE(2038,11,1),Transaksi!$B$16:$B$5015,"&lt;="&amp;EOMONTH(DATE(2038,11,1),0))-SUMIFS(Transaksi!$F$16:$F$5015,Transaksi!$G$16:$G$5015,"Tabungan",Transaksi!$D$16:$D$5015,"Masuk",Transaksi!$H$16:$H$5015,"&lt;&gt;Reksadana uang kos mama",Transaksi!$B$16:$B$5015,"&gt;="&amp;DATE(2038,11,1),Transaksi!$B$16:$B$5015,"&lt;="&amp;EOMONTH(DATE(2038,11,1),0)))</f>
        <v/>
      </c>
    </row>
    <row r="184" ht="15" customHeight="1" s="94">
      <c r="A184" s="164" t="n">
        <v>2038</v>
      </c>
      <c r="B184" s="164" t="inlineStr">
        <is>
          <t>Des</t>
        </is>
      </c>
      <c r="C184" s="165">
        <f>SUMIFS(Transaksi!$F$16:$F$5015,Transaksi!$G$16:$G$5015,"Pendapatan",Transaksi!$B$16:$B$5015,"&gt;="&amp;DATE(2038,12,1),Transaksi!$B$16:$B$5015,"&lt;="&amp;EOMONTH(DATE(2038,12,1),0))</f>
        <v/>
      </c>
      <c r="D184" s="165">
        <f>SUMIFS(Transaksi!$F$16:$F$5015,Transaksi!$G$16:$G$5015,"Pengeluaran",Transaksi!$B$16:$B$5015,"&gt;="&amp;DATE(2038,12,1),Transaksi!$B$16:$B$5015,"&lt;="&amp;EOMONTH(DATE(2038,12,1),0))</f>
        <v/>
      </c>
      <c r="E184" s="166">
        <f>C184-D184</f>
        <v/>
      </c>
      <c r="F184" s="165">
        <f>(SUMIFS(Transaksi!$F$16:$F$5015,Transaksi!$G$16:$G$5015,"Pendapatan",Transaksi!$B$16:$B$5015,"&gt;="&amp;DATE(2038,12,1),Transaksi!$B$16:$B$5015,"&lt;="&amp;EOMONTH(DATE(2038,12,1),0),Transaksi!$H$16:$H$5015,"Uang Kos Mama")+SUMIFS(Transaksi!$F$16:$F$5015,Transaksi!$G$16:$G$5015,"Pendapatan",Transaksi!$B$16:$B$5015,"&gt;="&amp;DATE(2038,12,1),Transaksi!$B$16:$B$5015,"&lt;="&amp;EOMONTH(DATE(2038,12,1),0),Transaksi!$H$16:$H$5015,"Uang Kedai"))-(SUMIFS(Transaksi!$F$16:$F$5015,Transaksi!$G$16:$G$5015,"Pengeluaran",Transaksi!$B$16:$B$5015,"&gt;="&amp;DATE(2038,12,1),Transaksi!$B$16:$B$5015,"&lt;="&amp;EOMONTH(DATE(2038,12,1),0),Transaksi!$H$16:$H$5015,"Pengeluaran Uang Kos")+SUMIFS(Transaksi!$F$16:$F$5015,Transaksi!$G$16:$G$5015,"Pengeluaran",Transaksi!$B$16:$B$5015,"&gt;="&amp;DATE(2038,12,1),Transaksi!$B$16:$B$5015,"&lt;="&amp;EOMONTH(DATE(2038,12,1),0),Transaksi!$H$16:$H$5015,"Pengeluaran Uang Kedai")+(SUMIFS(Transaksi!$F$16:$F$5015,Transaksi!$G$16:$G$5015,"Tabungan",Transaksi!$D$16:$D$5015,"Keluar",Transaksi!$H$16:$H$5015,"Reksadana uang kos mama",Transaksi!$B$16:$B$5015,"&gt;="&amp;DATE(2038,12,1),Transaksi!$B$16:$B$5015,"&lt;="&amp;EOMONTH(DATE(2038,12,1),0))-SUMIFS(Transaksi!$F$16:$F$5015,Transaksi!$G$16:$G$5015,"Tabungan",Transaksi!$D$16:$D$5015,"Masuk",Transaksi!$H$16:$H$5015,"Reksadana uang kos mama",Transaksi!$B$16:$B$5015,"&gt;="&amp;DATE(2038,12,1),Transaksi!$B$16:$B$5015,"&lt;="&amp;EOMONTH(DATE(2038,12,1),0))))</f>
        <v/>
      </c>
      <c r="G184" s="165">
        <f>(SUMIFS(Transaksi!$F$16:$F$5015,Transaksi!$G$16:$G$5015,"Tabungan",Transaksi!$D$16:$D$5015,"Keluar",Transaksi!$H$16:$H$5015,"&lt;&gt;Reksadana uang kos mama",Transaksi!$B$16:$B$5015,"&gt;="&amp;DATE(2038,12,1),Transaksi!$B$16:$B$5015,"&lt;="&amp;EOMONTH(DATE(2038,12,1),0))-SUMIFS(Transaksi!$F$16:$F$5015,Transaksi!$G$16:$G$5015,"Tabungan",Transaksi!$D$16:$D$5015,"Masuk",Transaksi!$H$16:$H$5015,"&lt;&gt;Reksadana uang kos mama",Transaksi!$B$16:$B$5015,"&gt;="&amp;DATE(2038,12,1),Transaksi!$B$16:$B$5015,"&lt;="&amp;EOMONTH(DATE(2038,12,1),0)))</f>
        <v/>
      </c>
    </row>
    <row r="185" ht="15" customHeight="1" s="94">
      <c r="A185" s="164" t="n">
        <v>2039</v>
      </c>
      <c r="B185" s="164" t="inlineStr">
        <is>
          <t>Jan</t>
        </is>
      </c>
      <c r="C185" s="165">
        <f>SUMIFS(Transaksi!$F$16:$F$5015,Transaksi!$G$16:$G$5015,"Pendapatan",Transaksi!$B$16:$B$5015,"&gt;="&amp;DATE(2039,1,1),Transaksi!$B$16:$B$5015,"&lt;="&amp;EOMONTH(DATE(2039,1,1),0))</f>
        <v/>
      </c>
      <c r="D185" s="165">
        <f>SUMIFS(Transaksi!$F$16:$F$5015,Transaksi!$G$16:$G$5015,"Pengeluaran",Transaksi!$B$16:$B$5015,"&gt;="&amp;DATE(2039,1,1),Transaksi!$B$16:$B$5015,"&lt;="&amp;EOMONTH(DATE(2039,1,1),0))</f>
        <v/>
      </c>
      <c r="E185" s="166">
        <f>C185-D185</f>
        <v/>
      </c>
      <c r="F185" s="165">
        <f>(SUMIFS(Transaksi!$F$16:$F$5015,Transaksi!$G$16:$G$5015,"Pendapatan",Transaksi!$B$16:$B$5015,"&gt;="&amp;DATE(2039,1,1),Transaksi!$B$16:$B$5015,"&lt;="&amp;EOMONTH(DATE(2039,1,1),0),Transaksi!$H$16:$H$5015,"Uang Kos Mama")+SUMIFS(Transaksi!$F$16:$F$5015,Transaksi!$G$16:$G$5015,"Pendapatan",Transaksi!$B$16:$B$5015,"&gt;="&amp;DATE(2039,1,1),Transaksi!$B$16:$B$5015,"&lt;="&amp;EOMONTH(DATE(2039,1,1),0),Transaksi!$H$16:$H$5015,"Uang Kedai"))-(SUMIFS(Transaksi!$F$16:$F$5015,Transaksi!$G$16:$G$5015,"Pengeluaran",Transaksi!$B$16:$B$5015,"&gt;="&amp;DATE(2039,1,1),Transaksi!$B$16:$B$5015,"&lt;="&amp;EOMONTH(DATE(2039,1,1),0),Transaksi!$H$16:$H$5015,"Pengeluaran Uang Kos")+SUMIFS(Transaksi!$F$16:$F$5015,Transaksi!$G$16:$G$5015,"Pengeluaran",Transaksi!$B$16:$B$5015,"&gt;="&amp;DATE(2039,1,1),Transaksi!$B$16:$B$5015,"&lt;="&amp;EOMONTH(DATE(2039,1,1),0),Transaksi!$H$16:$H$5015,"Pengeluaran Uang Kedai")+(SUMIFS(Transaksi!$F$16:$F$5015,Transaksi!$G$16:$G$5015,"Tabungan",Transaksi!$D$16:$D$5015,"Keluar",Transaksi!$H$16:$H$5015,"Reksadana uang kos mama",Transaksi!$B$16:$B$5015,"&gt;="&amp;DATE(2039,1,1),Transaksi!$B$16:$B$5015,"&lt;="&amp;EOMONTH(DATE(2039,1,1),0))-SUMIFS(Transaksi!$F$16:$F$5015,Transaksi!$G$16:$G$5015,"Tabungan",Transaksi!$D$16:$D$5015,"Masuk",Transaksi!$H$16:$H$5015,"Reksadana uang kos mama",Transaksi!$B$16:$B$5015,"&gt;="&amp;DATE(2039,1,1),Transaksi!$B$16:$B$5015,"&lt;="&amp;EOMONTH(DATE(2039,1,1),0))))</f>
        <v/>
      </c>
      <c r="G185" s="165">
        <f>(SUMIFS(Transaksi!$F$16:$F$5015,Transaksi!$G$16:$G$5015,"Tabungan",Transaksi!$D$16:$D$5015,"Keluar",Transaksi!$H$16:$H$5015,"&lt;&gt;Reksadana uang kos mama",Transaksi!$B$16:$B$5015,"&gt;="&amp;DATE(2039,1,1),Transaksi!$B$16:$B$5015,"&lt;="&amp;EOMONTH(DATE(2039,1,1),0))-SUMIFS(Transaksi!$F$16:$F$5015,Transaksi!$G$16:$G$5015,"Tabungan",Transaksi!$D$16:$D$5015,"Masuk",Transaksi!$H$16:$H$5015,"&lt;&gt;Reksadana uang kos mama",Transaksi!$B$16:$B$5015,"&gt;="&amp;DATE(2039,1,1),Transaksi!$B$16:$B$5015,"&lt;="&amp;EOMONTH(DATE(2039,1,1),0)))</f>
        <v/>
      </c>
    </row>
    <row r="186" ht="15" customHeight="1" s="94">
      <c r="A186" s="164" t="n">
        <v>2039</v>
      </c>
      <c r="B186" s="164" t="inlineStr">
        <is>
          <t>Feb</t>
        </is>
      </c>
      <c r="C186" s="165">
        <f>SUMIFS(Transaksi!$F$16:$F$5015,Transaksi!$G$16:$G$5015,"Pendapatan",Transaksi!$B$16:$B$5015,"&gt;="&amp;DATE(2039,2,1),Transaksi!$B$16:$B$5015,"&lt;="&amp;EOMONTH(DATE(2039,2,1),0))</f>
        <v/>
      </c>
      <c r="D186" s="165">
        <f>SUMIFS(Transaksi!$F$16:$F$5015,Transaksi!$G$16:$G$5015,"Pengeluaran",Transaksi!$B$16:$B$5015,"&gt;="&amp;DATE(2039,2,1),Transaksi!$B$16:$B$5015,"&lt;="&amp;EOMONTH(DATE(2039,2,1),0))</f>
        <v/>
      </c>
      <c r="E186" s="166">
        <f>C186-D186</f>
        <v/>
      </c>
      <c r="F186" s="165">
        <f>(SUMIFS(Transaksi!$F$16:$F$5015,Transaksi!$G$16:$G$5015,"Pendapatan",Transaksi!$B$16:$B$5015,"&gt;="&amp;DATE(2039,2,1),Transaksi!$B$16:$B$5015,"&lt;="&amp;EOMONTH(DATE(2039,2,1),0),Transaksi!$H$16:$H$5015,"Uang Kos Mama")+SUMIFS(Transaksi!$F$16:$F$5015,Transaksi!$G$16:$G$5015,"Pendapatan",Transaksi!$B$16:$B$5015,"&gt;="&amp;DATE(2039,2,1),Transaksi!$B$16:$B$5015,"&lt;="&amp;EOMONTH(DATE(2039,2,1),0),Transaksi!$H$16:$H$5015,"Uang Kedai"))-(SUMIFS(Transaksi!$F$16:$F$5015,Transaksi!$G$16:$G$5015,"Pengeluaran",Transaksi!$B$16:$B$5015,"&gt;="&amp;DATE(2039,2,1),Transaksi!$B$16:$B$5015,"&lt;="&amp;EOMONTH(DATE(2039,2,1),0),Transaksi!$H$16:$H$5015,"Pengeluaran Uang Kos")+SUMIFS(Transaksi!$F$16:$F$5015,Transaksi!$G$16:$G$5015,"Pengeluaran",Transaksi!$B$16:$B$5015,"&gt;="&amp;DATE(2039,2,1),Transaksi!$B$16:$B$5015,"&lt;="&amp;EOMONTH(DATE(2039,2,1),0),Transaksi!$H$16:$H$5015,"Pengeluaran Uang Kedai")+(SUMIFS(Transaksi!$F$16:$F$5015,Transaksi!$G$16:$G$5015,"Tabungan",Transaksi!$D$16:$D$5015,"Keluar",Transaksi!$H$16:$H$5015,"Reksadana uang kos mama",Transaksi!$B$16:$B$5015,"&gt;="&amp;DATE(2039,2,1),Transaksi!$B$16:$B$5015,"&lt;="&amp;EOMONTH(DATE(2039,2,1),0))-SUMIFS(Transaksi!$F$16:$F$5015,Transaksi!$G$16:$G$5015,"Tabungan",Transaksi!$D$16:$D$5015,"Masuk",Transaksi!$H$16:$H$5015,"Reksadana uang kos mama",Transaksi!$B$16:$B$5015,"&gt;="&amp;DATE(2039,2,1),Transaksi!$B$16:$B$5015,"&lt;="&amp;EOMONTH(DATE(2039,2,1),0))))</f>
        <v/>
      </c>
      <c r="G186" s="165">
        <f>(SUMIFS(Transaksi!$F$16:$F$5015,Transaksi!$G$16:$G$5015,"Tabungan",Transaksi!$D$16:$D$5015,"Keluar",Transaksi!$H$16:$H$5015,"&lt;&gt;Reksadana uang kos mama",Transaksi!$B$16:$B$5015,"&gt;="&amp;DATE(2039,2,1),Transaksi!$B$16:$B$5015,"&lt;="&amp;EOMONTH(DATE(2039,2,1),0))-SUMIFS(Transaksi!$F$16:$F$5015,Transaksi!$G$16:$G$5015,"Tabungan",Transaksi!$D$16:$D$5015,"Masuk",Transaksi!$H$16:$H$5015,"&lt;&gt;Reksadana uang kos mama",Transaksi!$B$16:$B$5015,"&gt;="&amp;DATE(2039,2,1),Transaksi!$B$16:$B$5015,"&lt;="&amp;EOMONTH(DATE(2039,2,1),0)))</f>
        <v/>
      </c>
    </row>
    <row r="187" ht="15" customHeight="1" s="94">
      <c r="A187" s="164" t="n">
        <v>2039</v>
      </c>
      <c r="B187" s="164" t="inlineStr">
        <is>
          <t>Mar</t>
        </is>
      </c>
      <c r="C187" s="165">
        <f>SUMIFS(Transaksi!$F$16:$F$5015,Transaksi!$G$16:$G$5015,"Pendapatan",Transaksi!$B$16:$B$5015,"&gt;="&amp;DATE(2039,3,1),Transaksi!$B$16:$B$5015,"&lt;="&amp;EOMONTH(DATE(2039,3,1),0))</f>
        <v/>
      </c>
      <c r="D187" s="165">
        <f>SUMIFS(Transaksi!$F$16:$F$5015,Transaksi!$G$16:$G$5015,"Pengeluaran",Transaksi!$B$16:$B$5015,"&gt;="&amp;DATE(2039,3,1),Transaksi!$B$16:$B$5015,"&lt;="&amp;EOMONTH(DATE(2039,3,1),0))</f>
        <v/>
      </c>
      <c r="E187" s="166">
        <f>C187-D187</f>
        <v/>
      </c>
      <c r="F187" s="165">
        <f>(SUMIFS(Transaksi!$F$16:$F$5015,Transaksi!$G$16:$G$5015,"Pendapatan",Transaksi!$B$16:$B$5015,"&gt;="&amp;DATE(2039,3,1),Transaksi!$B$16:$B$5015,"&lt;="&amp;EOMONTH(DATE(2039,3,1),0),Transaksi!$H$16:$H$5015,"Uang Kos Mama")+SUMIFS(Transaksi!$F$16:$F$5015,Transaksi!$G$16:$G$5015,"Pendapatan",Transaksi!$B$16:$B$5015,"&gt;="&amp;DATE(2039,3,1),Transaksi!$B$16:$B$5015,"&lt;="&amp;EOMONTH(DATE(2039,3,1),0),Transaksi!$H$16:$H$5015,"Uang Kedai"))-(SUMIFS(Transaksi!$F$16:$F$5015,Transaksi!$G$16:$G$5015,"Pengeluaran",Transaksi!$B$16:$B$5015,"&gt;="&amp;DATE(2039,3,1),Transaksi!$B$16:$B$5015,"&lt;="&amp;EOMONTH(DATE(2039,3,1),0),Transaksi!$H$16:$H$5015,"Pengeluaran Uang Kos")+SUMIFS(Transaksi!$F$16:$F$5015,Transaksi!$G$16:$G$5015,"Pengeluaran",Transaksi!$B$16:$B$5015,"&gt;="&amp;DATE(2039,3,1),Transaksi!$B$16:$B$5015,"&lt;="&amp;EOMONTH(DATE(2039,3,1),0),Transaksi!$H$16:$H$5015,"Pengeluaran Uang Kedai")+(SUMIFS(Transaksi!$F$16:$F$5015,Transaksi!$G$16:$G$5015,"Tabungan",Transaksi!$D$16:$D$5015,"Keluar",Transaksi!$H$16:$H$5015,"Reksadana uang kos mama",Transaksi!$B$16:$B$5015,"&gt;="&amp;DATE(2039,3,1),Transaksi!$B$16:$B$5015,"&lt;="&amp;EOMONTH(DATE(2039,3,1),0))-SUMIFS(Transaksi!$F$16:$F$5015,Transaksi!$G$16:$G$5015,"Tabungan",Transaksi!$D$16:$D$5015,"Masuk",Transaksi!$H$16:$H$5015,"Reksadana uang kos mama",Transaksi!$B$16:$B$5015,"&gt;="&amp;DATE(2039,3,1),Transaksi!$B$16:$B$5015,"&lt;="&amp;EOMONTH(DATE(2039,3,1),0))))</f>
        <v/>
      </c>
      <c r="G187" s="165">
        <f>(SUMIFS(Transaksi!$F$16:$F$5015,Transaksi!$G$16:$G$5015,"Tabungan",Transaksi!$D$16:$D$5015,"Keluar",Transaksi!$H$16:$H$5015,"&lt;&gt;Reksadana uang kos mama",Transaksi!$B$16:$B$5015,"&gt;="&amp;DATE(2039,3,1),Transaksi!$B$16:$B$5015,"&lt;="&amp;EOMONTH(DATE(2039,3,1),0))-SUMIFS(Transaksi!$F$16:$F$5015,Transaksi!$G$16:$G$5015,"Tabungan",Transaksi!$D$16:$D$5015,"Masuk",Transaksi!$H$16:$H$5015,"&lt;&gt;Reksadana uang kos mama",Transaksi!$B$16:$B$5015,"&gt;="&amp;DATE(2039,3,1),Transaksi!$B$16:$B$5015,"&lt;="&amp;EOMONTH(DATE(2039,3,1),0)))</f>
        <v/>
      </c>
    </row>
    <row r="188" ht="15" customHeight="1" s="94">
      <c r="A188" s="164" t="n">
        <v>2039</v>
      </c>
      <c r="B188" s="164" t="inlineStr">
        <is>
          <t>Apr</t>
        </is>
      </c>
      <c r="C188" s="165">
        <f>SUMIFS(Transaksi!$F$16:$F$5015,Transaksi!$G$16:$G$5015,"Pendapatan",Transaksi!$B$16:$B$5015,"&gt;="&amp;DATE(2039,4,1),Transaksi!$B$16:$B$5015,"&lt;="&amp;EOMONTH(DATE(2039,4,1),0))</f>
        <v/>
      </c>
      <c r="D188" s="165">
        <f>SUMIFS(Transaksi!$F$16:$F$5015,Transaksi!$G$16:$G$5015,"Pengeluaran",Transaksi!$B$16:$B$5015,"&gt;="&amp;DATE(2039,4,1),Transaksi!$B$16:$B$5015,"&lt;="&amp;EOMONTH(DATE(2039,4,1),0))</f>
        <v/>
      </c>
      <c r="E188" s="166">
        <f>C188-D188</f>
        <v/>
      </c>
      <c r="F188" s="165">
        <f>(SUMIFS(Transaksi!$F$16:$F$5015,Transaksi!$G$16:$G$5015,"Pendapatan",Transaksi!$B$16:$B$5015,"&gt;="&amp;DATE(2039,4,1),Transaksi!$B$16:$B$5015,"&lt;="&amp;EOMONTH(DATE(2039,4,1),0),Transaksi!$H$16:$H$5015,"Uang Kos Mama")+SUMIFS(Transaksi!$F$16:$F$5015,Transaksi!$G$16:$G$5015,"Pendapatan",Transaksi!$B$16:$B$5015,"&gt;="&amp;DATE(2039,4,1),Transaksi!$B$16:$B$5015,"&lt;="&amp;EOMONTH(DATE(2039,4,1),0),Transaksi!$H$16:$H$5015,"Uang Kedai"))-(SUMIFS(Transaksi!$F$16:$F$5015,Transaksi!$G$16:$G$5015,"Pengeluaran",Transaksi!$B$16:$B$5015,"&gt;="&amp;DATE(2039,4,1),Transaksi!$B$16:$B$5015,"&lt;="&amp;EOMONTH(DATE(2039,4,1),0),Transaksi!$H$16:$H$5015,"Pengeluaran Uang Kos")+SUMIFS(Transaksi!$F$16:$F$5015,Transaksi!$G$16:$G$5015,"Pengeluaran",Transaksi!$B$16:$B$5015,"&gt;="&amp;DATE(2039,4,1),Transaksi!$B$16:$B$5015,"&lt;="&amp;EOMONTH(DATE(2039,4,1),0),Transaksi!$H$16:$H$5015,"Pengeluaran Uang Kedai")+(SUMIFS(Transaksi!$F$16:$F$5015,Transaksi!$G$16:$G$5015,"Tabungan",Transaksi!$D$16:$D$5015,"Keluar",Transaksi!$H$16:$H$5015,"Reksadana uang kos mama",Transaksi!$B$16:$B$5015,"&gt;="&amp;DATE(2039,4,1),Transaksi!$B$16:$B$5015,"&lt;="&amp;EOMONTH(DATE(2039,4,1),0))-SUMIFS(Transaksi!$F$16:$F$5015,Transaksi!$G$16:$G$5015,"Tabungan",Transaksi!$D$16:$D$5015,"Masuk",Transaksi!$H$16:$H$5015,"Reksadana uang kos mama",Transaksi!$B$16:$B$5015,"&gt;="&amp;DATE(2039,4,1),Transaksi!$B$16:$B$5015,"&lt;="&amp;EOMONTH(DATE(2039,4,1),0))))</f>
        <v/>
      </c>
      <c r="G188" s="165">
        <f>(SUMIFS(Transaksi!$F$16:$F$5015,Transaksi!$G$16:$G$5015,"Tabungan",Transaksi!$D$16:$D$5015,"Keluar",Transaksi!$H$16:$H$5015,"&lt;&gt;Reksadana uang kos mama",Transaksi!$B$16:$B$5015,"&gt;="&amp;DATE(2039,4,1),Transaksi!$B$16:$B$5015,"&lt;="&amp;EOMONTH(DATE(2039,4,1),0))-SUMIFS(Transaksi!$F$16:$F$5015,Transaksi!$G$16:$G$5015,"Tabungan",Transaksi!$D$16:$D$5015,"Masuk",Transaksi!$H$16:$H$5015,"&lt;&gt;Reksadana uang kos mama",Transaksi!$B$16:$B$5015,"&gt;="&amp;DATE(2039,4,1),Transaksi!$B$16:$B$5015,"&lt;="&amp;EOMONTH(DATE(2039,4,1),0)))</f>
        <v/>
      </c>
    </row>
    <row r="189" ht="15" customHeight="1" s="94">
      <c r="A189" s="164" t="n">
        <v>2039</v>
      </c>
      <c r="B189" s="164" t="inlineStr">
        <is>
          <t>Mei</t>
        </is>
      </c>
      <c r="C189" s="165">
        <f>SUMIFS(Transaksi!$F$16:$F$5015,Transaksi!$G$16:$G$5015,"Pendapatan",Transaksi!$B$16:$B$5015,"&gt;="&amp;DATE(2039,5,1),Transaksi!$B$16:$B$5015,"&lt;="&amp;EOMONTH(DATE(2039,5,1),0))</f>
        <v/>
      </c>
      <c r="D189" s="165">
        <f>SUMIFS(Transaksi!$F$16:$F$5015,Transaksi!$G$16:$G$5015,"Pengeluaran",Transaksi!$B$16:$B$5015,"&gt;="&amp;DATE(2039,5,1),Transaksi!$B$16:$B$5015,"&lt;="&amp;EOMONTH(DATE(2039,5,1),0))</f>
        <v/>
      </c>
      <c r="E189" s="166">
        <f>C189-D189</f>
        <v/>
      </c>
      <c r="F189" s="165">
        <f>(SUMIFS(Transaksi!$F$16:$F$5015,Transaksi!$G$16:$G$5015,"Pendapatan",Transaksi!$B$16:$B$5015,"&gt;="&amp;DATE(2039,5,1),Transaksi!$B$16:$B$5015,"&lt;="&amp;EOMONTH(DATE(2039,5,1),0),Transaksi!$H$16:$H$5015,"Uang Kos Mama")+SUMIFS(Transaksi!$F$16:$F$5015,Transaksi!$G$16:$G$5015,"Pendapatan",Transaksi!$B$16:$B$5015,"&gt;="&amp;DATE(2039,5,1),Transaksi!$B$16:$B$5015,"&lt;="&amp;EOMONTH(DATE(2039,5,1),0),Transaksi!$H$16:$H$5015,"Uang Kedai"))-(SUMIFS(Transaksi!$F$16:$F$5015,Transaksi!$G$16:$G$5015,"Pengeluaran",Transaksi!$B$16:$B$5015,"&gt;="&amp;DATE(2039,5,1),Transaksi!$B$16:$B$5015,"&lt;="&amp;EOMONTH(DATE(2039,5,1),0),Transaksi!$H$16:$H$5015,"Pengeluaran Uang Kos")+SUMIFS(Transaksi!$F$16:$F$5015,Transaksi!$G$16:$G$5015,"Pengeluaran",Transaksi!$B$16:$B$5015,"&gt;="&amp;DATE(2039,5,1),Transaksi!$B$16:$B$5015,"&lt;="&amp;EOMONTH(DATE(2039,5,1),0),Transaksi!$H$16:$H$5015,"Pengeluaran Uang Kedai")+(SUMIFS(Transaksi!$F$16:$F$5015,Transaksi!$G$16:$G$5015,"Tabungan",Transaksi!$D$16:$D$5015,"Keluar",Transaksi!$H$16:$H$5015,"Reksadana uang kos mama",Transaksi!$B$16:$B$5015,"&gt;="&amp;DATE(2039,5,1),Transaksi!$B$16:$B$5015,"&lt;="&amp;EOMONTH(DATE(2039,5,1),0))-SUMIFS(Transaksi!$F$16:$F$5015,Transaksi!$G$16:$G$5015,"Tabungan",Transaksi!$D$16:$D$5015,"Masuk",Transaksi!$H$16:$H$5015,"Reksadana uang kos mama",Transaksi!$B$16:$B$5015,"&gt;="&amp;DATE(2039,5,1),Transaksi!$B$16:$B$5015,"&lt;="&amp;EOMONTH(DATE(2039,5,1),0))))</f>
        <v/>
      </c>
      <c r="G189" s="165">
        <f>(SUMIFS(Transaksi!$F$16:$F$5015,Transaksi!$G$16:$G$5015,"Tabungan",Transaksi!$D$16:$D$5015,"Keluar",Transaksi!$H$16:$H$5015,"&lt;&gt;Reksadana uang kos mama",Transaksi!$B$16:$B$5015,"&gt;="&amp;DATE(2039,5,1),Transaksi!$B$16:$B$5015,"&lt;="&amp;EOMONTH(DATE(2039,5,1),0))-SUMIFS(Transaksi!$F$16:$F$5015,Transaksi!$G$16:$G$5015,"Tabungan",Transaksi!$D$16:$D$5015,"Masuk",Transaksi!$H$16:$H$5015,"&lt;&gt;Reksadana uang kos mama",Transaksi!$B$16:$B$5015,"&gt;="&amp;DATE(2039,5,1),Transaksi!$B$16:$B$5015,"&lt;="&amp;EOMONTH(DATE(2039,5,1),0)))</f>
        <v/>
      </c>
    </row>
    <row r="190" ht="15" customHeight="1" s="94">
      <c r="A190" s="164" t="n">
        <v>2039</v>
      </c>
      <c r="B190" s="164" t="inlineStr">
        <is>
          <t>Jun</t>
        </is>
      </c>
      <c r="C190" s="165">
        <f>SUMIFS(Transaksi!$F$16:$F$5015,Transaksi!$G$16:$G$5015,"Pendapatan",Transaksi!$B$16:$B$5015,"&gt;="&amp;DATE(2039,6,1),Transaksi!$B$16:$B$5015,"&lt;="&amp;EOMONTH(DATE(2039,6,1),0))</f>
        <v/>
      </c>
      <c r="D190" s="165">
        <f>SUMIFS(Transaksi!$F$16:$F$5015,Transaksi!$G$16:$G$5015,"Pengeluaran",Transaksi!$B$16:$B$5015,"&gt;="&amp;DATE(2039,6,1),Transaksi!$B$16:$B$5015,"&lt;="&amp;EOMONTH(DATE(2039,6,1),0))</f>
        <v/>
      </c>
      <c r="E190" s="166">
        <f>C190-D190</f>
        <v/>
      </c>
      <c r="F190" s="165">
        <f>(SUMIFS(Transaksi!$F$16:$F$5015,Transaksi!$G$16:$G$5015,"Pendapatan",Transaksi!$B$16:$B$5015,"&gt;="&amp;DATE(2039,6,1),Transaksi!$B$16:$B$5015,"&lt;="&amp;EOMONTH(DATE(2039,6,1),0),Transaksi!$H$16:$H$5015,"Uang Kos Mama")+SUMIFS(Transaksi!$F$16:$F$5015,Transaksi!$G$16:$G$5015,"Pendapatan",Transaksi!$B$16:$B$5015,"&gt;="&amp;DATE(2039,6,1),Transaksi!$B$16:$B$5015,"&lt;="&amp;EOMONTH(DATE(2039,6,1),0),Transaksi!$H$16:$H$5015,"Uang Kedai"))-(SUMIFS(Transaksi!$F$16:$F$5015,Transaksi!$G$16:$G$5015,"Pengeluaran",Transaksi!$B$16:$B$5015,"&gt;="&amp;DATE(2039,6,1),Transaksi!$B$16:$B$5015,"&lt;="&amp;EOMONTH(DATE(2039,6,1),0),Transaksi!$H$16:$H$5015,"Pengeluaran Uang Kos")+SUMIFS(Transaksi!$F$16:$F$5015,Transaksi!$G$16:$G$5015,"Pengeluaran",Transaksi!$B$16:$B$5015,"&gt;="&amp;DATE(2039,6,1),Transaksi!$B$16:$B$5015,"&lt;="&amp;EOMONTH(DATE(2039,6,1),0),Transaksi!$H$16:$H$5015,"Pengeluaran Uang Kedai")+(SUMIFS(Transaksi!$F$16:$F$5015,Transaksi!$G$16:$G$5015,"Tabungan",Transaksi!$D$16:$D$5015,"Keluar",Transaksi!$H$16:$H$5015,"Reksadana uang kos mama",Transaksi!$B$16:$B$5015,"&gt;="&amp;DATE(2039,6,1),Transaksi!$B$16:$B$5015,"&lt;="&amp;EOMONTH(DATE(2039,6,1),0))-SUMIFS(Transaksi!$F$16:$F$5015,Transaksi!$G$16:$G$5015,"Tabungan",Transaksi!$D$16:$D$5015,"Masuk",Transaksi!$H$16:$H$5015,"Reksadana uang kos mama",Transaksi!$B$16:$B$5015,"&gt;="&amp;DATE(2039,6,1),Transaksi!$B$16:$B$5015,"&lt;="&amp;EOMONTH(DATE(2039,6,1),0))))</f>
        <v/>
      </c>
      <c r="G190" s="165">
        <f>(SUMIFS(Transaksi!$F$16:$F$5015,Transaksi!$G$16:$G$5015,"Tabungan",Transaksi!$D$16:$D$5015,"Keluar",Transaksi!$H$16:$H$5015,"&lt;&gt;Reksadana uang kos mama",Transaksi!$B$16:$B$5015,"&gt;="&amp;DATE(2039,6,1),Transaksi!$B$16:$B$5015,"&lt;="&amp;EOMONTH(DATE(2039,6,1),0))-SUMIFS(Transaksi!$F$16:$F$5015,Transaksi!$G$16:$G$5015,"Tabungan",Transaksi!$D$16:$D$5015,"Masuk",Transaksi!$H$16:$H$5015,"&lt;&gt;Reksadana uang kos mama",Transaksi!$B$16:$B$5015,"&gt;="&amp;DATE(2039,6,1),Transaksi!$B$16:$B$5015,"&lt;="&amp;EOMONTH(DATE(2039,6,1),0)))</f>
        <v/>
      </c>
    </row>
    <row r="191" ht="15" customHeight="1" s="94">
      <c r="A191" s="164" t="n">
        <v>2039</v>
      </c>
      <c r="B191" s="164" t="inlineStr">
        <is>
          <t>Jul</t>
        </is>
      </c>
      <c r="C191" s="165">
        <f>SUMIFS(Transaksi!$F$16:$F$5015,Transaksi!$G$16:$G$5015,"Pendapatan",Transaksi!$B$16:$B$5015,"&gt;="&amp;DATE(2039,7,1),Transaksi!$B$16:$B$5015,"&lt;="&amp;EOMONTH(DATE(2039,7,1),0))</f>
        <v/>
      </c>
      <c r="D191" s="165">
        <f>SUMIFS(Transaksi!$F$16:$F$5015,Transaksi!$G$16:$G$5015,"Pengeluaran",Transaksi!$B$16:$B$5015,"&gt;="&amp;DATE(2039,7,1),Transaksi!$B$16:$B$5015,"&lt;="&amp;EOMONTH(DATE(2039,7,1),0))</f>
        <v/>
      </c>
      <c r="E191" s="166">
        <f>C191-D191</f>
        <v/>
      </c>
      <c r="F191" s="165">
        <f>(SUMIFS(Transaksi!$F$16:$F$5015,Transaksi!$G$16:$G$5015,"Pendapatan",Transaksi!$B$16:$B$5015,"&gt;="&amp;DATE(2039,7,1),Transaksi!$B$16:$B$5015,"&lt;="&amp;EOMONTH(DATE(2039,7,1),0),Transaksi!$H$16:$H$5015,"Uang Kos Mama")+SUMIFS(Transaksi!$F$16:$F$5015,Transaksi!$G$16:$G$5015,"Pendapatan",Transaksi!$B$16:$B$5015,"&gt;="&amp;DATE(2039,7,1),Transaksi!$B$16:$B$5015,"&lt;="&amp;EOMONTH(DATE(2039,7,1),0),Transaksi!$H$16:$H$5015,"Uang Kedai"))-(SUMIFS(Transaksi!$F$16:$F$5015,Transaksi!$G$16:$G$5015,"Pengeluaran",Transaksi!$B$16:$B$5015,"&gt;="&amp;DATE(2039,7,1),Transaksi!$B$16:$B$5015,"&lt;="&amp;EOMONTH(DATE(2039,7,1),0),Transaksi!$H$16:$H$5015,"Pengeluaran Uang Kos")+SUMIFS(Transaksi!$F$16:$F$5015,Transaksi!$G$16:$G$5015,"Pengeluaran",Transaksi!$B$16:$B$5015,"&gt;="&amp;DATE(2039,7,1),Transaksi!$B$16:$B$5015,"&lt;="&amp;EOMONTH(DATE(2039,7,1),0),Transaksi!$H$16:$H$5015,"Pengeluaran Uang Kedai")+(SUMIFS(Transaksi!$F$16:$F$5015,Transaksi!$G$16:$G$5015,"Tabungan",Transaksi!$D$16:$D$5015,"Keluar",Transaksi!$H$16:$H$5015,"Reksadana uang kos mama",Transaksi!$B$16:$B$5015,"&gt;="&amp;DATE(2039,7,1),Transaksi!$B$16:$B$5015,"&lt;="&amp;EOMONTH(DATE(2039,7,1),0))-SUMIFS(Transaksi!$F$16:$F$5015,Transaksi!$G$16:$G$5015,"Tabungan",Transaksi!$D$16:$D$5015,"Masuk",Transaksi!$H$16:$H$5015,"Reksadana uang kos mama",Transaksi!$B$16:$B$5015,"&gt;="&amp;DATE(2039,7,1),Transaksi!$B$16:$B$5015,"&lt;="&amp;EOMONTH(DATE(2039,7,1),0))))</f>
        <v/>
      </c>
      <c r="G191" s="165">
        <f>(SUMIFS(Transaksi!$F$16:$F$5015,Transaksi!$G$16:$G$5015,"Tabungan",Transaksi!$D$16:$D$5015,"Keluar",Transaksi!$H$16:$H$5015,"&lt;&gt;Reksadana uang kos mama",Transaksi!$B$16:$B$5015,"&gt;="&amp;DATE(2039,7,1),Transaksi!$B$16:$B$5015,"&lt;="&amp;EOMONTH(DATE(2039,7,1),0))-SUMIFS(Transaksi!$F$16:$F$5015,Transaksi!$G$16:$G$5015,"Tabungan",Transaksi!$D$16:$D$5015,"Masuk",Transaksi!$H$16:$H$5015,"&lt;&gt;Reksadana uang kos mama",Transaksi!$B$16:$B$5015,"&gt;="&amp;DATE(2039,7,1),Transaksi!$B$16:$B$5015,"&lt;="&amp;EOMONTH(DATE(2039,7,1),0)))</f>
        <v/>
      </c>
    </row>
    <row r="192" ht="15" customHeight="1" s="94">
      <c r="A192" s="164" t="n">
        <v>2039</v>
      </c>
      <c r="B192" s="164" t="inlineStr">
        <is>
          <t>Agu</t>
        </is>
      </c>
      <c r="C192" s="165">
        <f>SUMIFS(Transaksi!$F$16:$F$5015,Transaksi!$G$16:$G$5015,"Pendapatan",Transaksi!$B$16:$B$5015,"&gt;="&amp;DATE(2039,8,1),Transaksi!$B$16:$B$5015,"&lt;="&amp;EOMONTH(DATE(2039,8,1),0))</f>
        <v/>
      </c>
      <c r="D192" s="165">
        <f>SUMIFS(Transaksi!$F$16:$F$5015,Transaksi!$G$16:$G$5015,"Pengeluaran",Transaksi!$B$16:$B$5015,"&gt;="&amp;DATE(2039,8,1),Transaksi!$B$16:$B$5015,"&lt;="&amp;EOMONTH(DATE(2039,8,1),0))</f>
        <v/>
      </c>
      <c r="E192" s="166">
        <f>C192-D192</f>
        <v/>
      </c>
      <c r="F192" s="165">
        <f>(SUMIFS(Transaksi!$F$16:$F$5015,Transaksi!$G$16:$G$5015,"Pendapatan",Transaksi!$B$16:$B$5015,"&gt;="&amp;DATE(2039,8,1),Transaksi!$B$16:$B$5015,"&lt;="&amp;EOMONTH(DATE(2039,8,1),0),Transaksi!$H$16:$H$5015,"Uang Kos Mama")+SUMIFS(Transaksi!$F$16:$F$5015,Transaksi!$G$16:$G$5015,"Pendapatan",Transaksi!$B$16:$B$5015,"&gt;="&amp;DATE(2039,8,1),Transaksi!$B$16:$B$5015,"&lt;="&amp;EOMONTH(DATE(2039,8,1),0),Transaksi!$H$16:$H$5015,"Uang Kedai"))-(SUMIFS(Transaksi!$F$16:$F$5015,Transaksi!$G$16:$G$5015,"Pengeluaran",Transaksi!$B$16:$B$5015,"&gt;="&amp;DATE(2039,8,1),Transaksi!$B$16:$B$5015,"&lt;="&amp;EOMONTH(DATE(2039,8,1),0),Transaksi!$H$16:$H$5015,"Pengeluaran Uang Kos")+SUMIFS(Transaksi!$F$16:$F$5015,Transaksi!$G$16:$G$5015,"Pengeluaran",Transaksi!$B$16:$B$5015,"&gt;="&amp;DATE(2039,8,1),Transaksi!$B$16:$B$5015,"&lt;="&amp;EOMONTH(DATE(2039,8,1),0),Transaksi!$H$16:$H$5015,"Pengeluaran Uang Kedai")+(SUMIFS(Transaksi!$F$16:$F$5015,Transaksi!$G$16:$G$5015,"Tabungan",Transaksi!$D$16:$D$5015,"Keluar",Transaksi!$H$16:$H$5015,"Reksadana uang kos mama",Transaksi!$B$16:$B$5015,"&gt;="&amp;DATE(2039,8,1),Transaksi!$B$16:$B$5015,"&lt;="&amp;EOMONTH(DATE(2039,8,1),0))-SUMIFS(Transaksi!$F$16:$F$5015,Transaksi!$G$16:$G$5015,"Tabungan",Transaksi!$D$16:$D$5015,"Masuk",Transaksi!$H$16:$H$5015,"Reksadana uang kos mama",Transaksi!$B$16:$B$5015,"&gt;="&amp;DATE(2039,8,1),Transaksi!$B$16:$B$5015,"&lt;="&amp;EOMONTH(DATE(2039,8,1),0))))</f>
        <v/>
      </c>
      <c r="G192" s="165">
        <f>(SUMIFS(Transaksi!$F$16:$F$5015,Transaksi!$G$16:$G$5015,"Tabungan",Transaksi!$D$16:$D$5015,"Keluar",Transaksi!$H$16:$H$5015,"&lt;&gt;Reksadana uang kos mama",Transaksi!$B$16:$B$5015,"&gt;="&amp;DATE(2039,8,1),Transaksi!$B$16:$B$5015,"&lt;="&amp;EOMONTH(DATE(2039,8,1),0))-SUMIFS(Transaksi!$F$16:$F$5015,Transaksi!$G$16:$G$5015,"Tabungan",Transaksi!$D$16:$D$5015,"Masuk",Transaksi!$H$16:$H$5015,"&lt;&gt;Reksadana uang kos mama",Transaksi!$B$16:$B$5015,"&gt;="&amp;DATE(2039,8,1),Transaksi!$B$16:$B$5015,"&lt;="&amp;EOMONTH(DATE(2039,8,1),0)))</f>
        <v/>
      </c>
    </row>
    <row r="193" ht="15" customHeight="1" s="94">
      <c r="A193" s="164" t="n">
        <v>2039</v>
      </c>
      <c r="B193" s="164" t="inlineStr">
        <is>
          <t>Sep</t>
        </is>
      </c>
      <c r="C193" s="165">
        <f>SUMIFS(Transaksi!$F$16:$F$5015,Transaksi!$G$16:$G$5015,"Pendapatan",Transaksi!$B$16:$B$5015,"&gt;="&amp;DATE(2039,9,1),Transaksi!$B$16:$B$5015,"&lt;="&amp;EOMONTH(DATE(2039,9,1),0))</f>
        <v/>
      </c>
      <c r="D193" s="165">
        <f>SUMIFS(Transaksi!$F$16:$F$5015,Transaksi!$G$16:$G$5015,"Pengeluaran",Transaksi!$B$16:$B$5015,"&gt;="&amp;DATE(2039,9,1),Transaksi!$B$16:$B$5015,"&lt;="&amp;EOMONTH(DATE(2039,9,1),0))</f>
        <v/>
      </c>
      <c r="E193" s="166">
        <f>C193-D193</f>
        <v/>
      </c>
      <c r="F193" s="165">
        <f>(SUMIFS(Transaksi!$F$16:$F$5015,Transaksi!$G$16:$G$5015,"Pendapatan",Transaksi!$B$16:$B$5015,"&gt;="&amp;DATE(2039,9,1),Transaksi!$B$16:$B$5015,"&lt;="&amp;EOMONTH(DATE(2039,9,1),0),Transaksi!$H$16:$H$5015,"Uang Kos Mama")+SUMIFS(Transaksi!$F$16:$F$5015,Transaksi!$G$16:$G$5015,"Pendapatan",Transaksi!$B$16:$B$5015,"&gt;="&amp;DATE(2039,9,1),Transaksi!$B$16:$B$5015,"&lt;="&amp;EOMONTH(DATE(2039,9,1),0),Transaksi!$H$16:$H$5015,"Uang Kedai"))-(SUMIFS(Transaksi!$F$16:$F$5015,Transaksi!$G$16:$G$5015,"Pengeluaran",Transaksi!$B$16:$B$5015,"&gt;="&amp;DATE(2039,9,1),Transaksi!$B$16:$B$5015,"&lt;="&amp;EOMONTH(DATE(2039,9,1),0),Transaksi!$H$16:$H$5015,"Pengeluaran Uang Kos")+SUMIFS(Transaksi!$F$16:$F$5015,Transaksi!$G$16:$G$5015,"Pengeluaran",Transaksi!$B$16:$B$5015,"&gt;="&amp;DATE(2039,9,1),Transaksi!$B$16:$B$5015,"&lt;="&amp;EOMONTH(DATE(2039,9,1),0),Transaksi!$H$16:$H$5015,"Pengeluaran Uang Kedai")+(SUMIFS(Transaksi!$F$16:$F$5015,Transaksi!$G$16:$G$5015,"Tabungan",Transaksi!$D$16:$D$5015,"Keluar",Transaksi!$H$16:$H$5015,"Reksadana uang kos mama",Transaksi!$B$16:$B$5015,"&gt;="&amp;DATE(2039,9,1),Transaksi!$B$16:$B$5015,"&lt;="&amp;EOMONTH(DATE(2039,9,1),0))-SUMIFS(Transaksi!$F$16:$F$5015,Transaksi!$G$16:$G$5015,"Tabungan",Transaksi!$D$16:$D$5015,"Masuk",Transaksi!$H$16:$H$5015,"Reksadana uang kos mama",Transaksi!$B$16:$B$5015,"&gt;="&amp;DATE(2039,9,1),Transaksi!$B$16:$B$5015,"&lt;="&amp;EOMONTH(DATE(2039,9,1),0))))</f>
        <v/>
      </c>
      <c r="G193" s="165">
        <f>(SUMIFS(Transaksi!$F$16:$F$5015,Transaksi!$G$16:$G$5015,"Tabungan",Transaksi!$D$16:$D$5015,"Keluar",Transaksi!$H$16:$H$5015,"&lt;&gt;Reksadana uang kos mama",Transaksi!$B$16:$B$5015,"&gt;="&amp;DATE(2039,9,1),Transaksi!$B$16:$B$5015,"&lt;="&amp;EOMONTH(DATE(2039,9,1),0))-SUMIFS(Transaksi!$F$16:$F$5015,Transaksi!$G$16:$G$5015,"Tabungan",Transaksi!$D$16:$D$5015,"Masuk",Transaksi!$H$16:$H$5015,"&lt;&gt;Reksadana uang kos mama",Transaksi!$B$16:$B$5015,"&gt;="&amp;DATE(2039,9,1),Transaksi!$B$16:$B$5015,"&lt;="&amp;EOMONTH(DATE(2039,9,1),0)))</f>
        <v/>
      </c>
    </row>
    <row r="194" ht="15" customHeight="1" s="94">
      <c r="A194" s="164" t="n">
        <v>2039</v>
      </c>
      <c r="B194" s="164" t="inlineStr">
        <is>
          <t>Okt</t>
        </is>
      </c>
      <c r="C194" s="165">
        <f>SUMIFS(Transaksi!$F$16:$F$5015,Transaksi!$G$16:$G$5015,"Pendapatan",Transaksi!$B$16:$B$5015,"&gt;="&amp;DATE(2039,10,1),Transaksi!$B$16:$B$5015,"&lt;="&amp;EOMONTH(DATE(2039,10,1),0))</f>
        <v/>
      </c>
      <c r="D194" s="165">
        <f>SUMIFS(Transaksi!$F$16:$F$5015,Transaksi!$G$16:$G$5015,"Pengeluaran",Transaksi!$B$16:$B$5015,"&gt;="&amp;DATE(2039,10,1),Transaksi!$B$16:$B$5015,"&lt;="&amp;EOMONTH(DATE(2039,10,1),0))</f>
        <v/>
      </c>
      <c r="E194" s="166">
        <f>C194-D194</f>
        <v/>
      </c>
      <c r="F194" s="165">
        <f>(SUMIFS(Transaksi!$F$16:$F$5015,Transaksi!$G$16:$G$5015,"Pendapatan",Transaksi!$B$16:$B$5015,"&gt;="&amp;DATE(2039,10,1),Transaksi!$B$16:$B$5015,"&lt;="&amp;EOMONTH(DATE(2039,10,1),0),Transaksi!$H$16:$H$5015,"Uang Kos Mama")+SUMIFS(Transaksi!$F$16:$F$5015,Transaksi!$G$16:$G$5015,"Pendapatan",Transaksi!$B$16:$B$5015,"&gt;="&amp;DATE(2039,10,1),Transaksi!$B$16:$B$5015,"&lt;="&amp;EOMONTH(DATE(2039,10,1),0),Transaksi!$H$16:$H$5015,"Uang Kedai"))-(SUMIFS(Transaksi!$F$16:$F$5015,Transaksi!$G$16:$G$5015,"Pengeluaran",Transaksi!$B$16:$B$5015,"&gt;="&amp;DATE(2039,10,1),Transaksi!$B$16:$B$5015,"&lt;="&amp;EOMONTH(DATE(2039,10,1),0),Transaksi!$H$16:$H$5015,"Pengeluaran Uang Kos")+SUMIFS(Transaksi!$F$16:$F$5015,Transaksi!$G$16:$G$5015,"Pengeluaran",Transaksi!$B$16:$B$5015,"&gt;="&amp;DATE(2039,10,1),Transaksi!$B$16:$B$5015,"&lt;="&amp;EOMONTH(DATE(2039,10,1),0),Transaksi!$H$16:$H$5015,"Pengeluaran Uang Kedai")+(SUMIFS(Transaksi!$F$16:$F$5015,Transaksi!$G$16:$G$5015,"Tabungan",Transaksi!$D$16:$D$5015,"Keluar",Transaksi!$H$16:$H$5015,"Reksadana uang kos mama",Transaksi!$B$16:$B$5015,"&gt;="&amp;DATE(2039,10,1),Transaksi!$B$16:$B$5015,"&lt;="&amp;EOMONTH(DATE(2039,10,1),0))-SUMIFS(Transaksi!$F$16:$F$5015,Transaksi!$G$16:$G$5015,"Tabungan",Transaksi!$D$16:$D$5015,"Masuk",Transaksi!$H$16:$H$5015,"Reksadana uang kos mama",Transaksi!$B$16:$B$5015,"&gt;="&amp;DATE(2039,10,1),Transaksi!$B$16:$B$5015,"&lt;="&amp;EOMONTH(DATE(2039,10,1),0))))</f>
        <v/>
      </c>
      <c r="G194" s="165">
        <f>(SUMIFS(Transaksi!$F$16:$F$5015,Transaksi!$G$16:$G$5015,"Tabungan",Transaksi!$D$16:$D$5015,"Keluar",Transaksi!$H$16:$H$5015,"&lt;&gt;Reksadana uang kos mama",Transaksi!$B$16:$B$5015,"&gt;="&amp;DATE(2039,10,1),Transaksi!$B$16:$B$5015,"&lt;="&amp;EOMONTH(DATE(2039,10,1),0))-SUMIFS(Transaksi!$F$16:$F$5015,Transaksi!$G$16:$G$5015,"Tabungan",Transaksi!$D$16:$D$5015,"Masuk",Transaksi!$H$16:$H$5015,"&lt;&gt;Reksadana uang kos mama",Transaksi!$B$16:$B$5015,"&gt;="&amp;DATE(2039,10,1),Transaksi!$B$16:$B$5015,"&lt;="&amp;EOMONTH(DATE(2039,10,1),0)))</f>
        <v/>
      </c>
    </row>
    <row r="195" ht="15" customHeight="1" s="94">
      <c r="A195" s="164" t="n">
        <v>2039</v>
      </c>
      <c r="B195" s="164" t="inlineStr">
        <is>
          <t>Nov</t>
        </is>
      </c>
      <c r="C195" s="165">
        <f>SUMIFS(Transaksi!$F$16:$F$5015,Transaksi!$G$16:$G$5015,"Pendapatan",Transaksi!$B$16:$B$5015,"&gt;="&amp;DATE(2039,11,1),Transaksi!$B$16:$B$5015,"&lt;="&amp;EOMONTH(DATE(2039,11,1),0))</f>
        <v/>
      </c>
      <c r="D195" s="165">
        <f>SUMIFS(Transaksi!$F$16:$F$5015,Transaksi!$G$16:$G$5015,"Pengeluaran",Transaksi!$B$16:$B$5015,"&gt;="&amp;DATE(2039,11,1),Transaksi!$B$16:$B$5015,"&lt;="&amp;EOMONTH(DATE(2039,11,1),0))</f>
        <v/>
      </c>
      <c r="E195" s="166">
        <f>C195-D195</f>
        <v/>
      </c>
      <c r="F195" s="165">
        <f>(SUMIFS(Transaksi!$F$16:$F$5015,Transaksi!$G$16:$G$5015,"Pendapatan",Transaksi!$B$16:$B$5015,"&gt;="&amp;DATE(2039,11,1),Transaksi!$B$16:$B$5015,"&lt;="&amp;EOMONTH(DATE(2039,11,1),0),Transaksi!$H$16:$H$5015,"Uang Kos Mama")+SUMIFS(Transaksi!$F$16:$F$5015,Transaksi!$G$16:$G$5015,"Pendapatan",Transaksi!$B$16:$B$5015,"&gt;="&amp;DATE(2039,11,1),Transaksi!$B$16:$B$5015,"&lt;="&amp;EOMONTH(DATE(2039,11,1),0),Transaksi!$H$16:$H$5015,"Uang Kedai"))-(SUMIFS(Transaksi!$F$16:$F$5015,Transaksi!$G$16:$G$5015,"Pengeluaran",Transaksi!$B$16:$B$5015,"&gt;="&amp;DATE(2039,11,1),Transaksi!$B$16:$B$5015,"&lt;="&amp;EOMONTH(DATE(2039,11,1),0),Transaksi!$H$16:$H$5015,"Pengeluaran Uang Kos")+SUMIFS(Transaksi!$F$16:$F$5015,Transaksi!$G$16:$G$5015,"Pengeluaran",Transaksi!$B$16:$B$5015,"&gt;="&amp;DATE(2039,11,1),Transaksi!$B$16:$B$5015,"&lt;="&amp;EOMONTH(DATE(2039,11,1),0),Transaksi!$H$16:$H$5015,"Pengeluaran Uang Kedai")+(SUMIFS(Transaksi!$F$16:$F$5015,Transaksi!$G$16:$G$5015,"Tabungan",Transaksi!$D$16:$D$5015,"Keluar",Transaksi!$H$16:$H$5015,"Reksadana uang kos mama",Transaksi!$B$16:$B$5015,"&gt;="&amp;DATE(2039,11,1),Transaksi!$B$16:$B$5015,"&lt;="&amp;EOMONTH(DATE(2039,11,1),0))-SUMIFS(Transaksi!$F$16:$F$5015,Transaksi!$G$16:$G$5015,"Tabungan",Transaksi!$D$16:$D$5015,"Masuk",Transaksi!$H$16:$H$5015,"Reksadana uang kos mama",Transaksi!$B$16:$B$5015,"&gt;="&amp;DATE(2039,11,1),Transaksi!$B$16:$B$5015,"&lt;="&amp;EOMONTH(DATE(2039,11,1),0))))</f>
        <v/>
      </c>
      <c r="G195" s="165">
        <f>(SUMIFS(Transaksi!$F$16:$F$5015,Transaksi!$G$16:$G$5015,"Tabungan",Transaksi!$D$16:$D$5015,"Keluar",Transaksi!$H$16:$H$5015,"&lt;&gt;Reksadana uang kos mama",Transaksi!$B$16:$B$5015,"&gt;="&amp;DATE(2039,11,1),Transaksi!$B$16:$B$5015,"&lt;="&amp;EOMONTH(DATE(2039,11,1),0))-SUMIFS(Transaksi!$F$16:$F$5015,Transaksi!$G$16:$G$5015,"Tabungan",Transaksi!$D$16:$D$5015,"Masuk",Transaksi!$H$16:$H$5015,"&lt;&gt;Reksadana uang kos mama",Transaksi!$B$16:$B$5015,"&gt;="&amp;DATE(2039,11,1),Transaksi!$B$16:$B$5015,"&lt;="&amp;EOMONTH(DATE(2039,11,1),0)))</f>
        <v/>
      </c>
    </row>
    <row r="196" ht="15" customHeight="1" s="94">
      <c r="A196" s="164" t="n">
        <v>2039</v>
      </c>
      <c r="B196" s="164" t="inlineStr">
        <is>
          <t>Des</t>
        </is>
      </c>
      <c r="C196" s="165">
        <f>SUMIFS(Transaksi!$F$16:$F$5015,Transaksi!$G$16:$G$5015,"Pendapatan",Transaksi!$B$16:$B$5015,"&gt;="&amp;DATE(2039,12,1),Transaksi!$B$16:$B$5015,"&lt;="&amp;EOMONTH(DATE(2039,12,1),0))</f>
        <v/>
      </c>
      <c r="D196" s="165">
        <f>SUMIFS(Transaksi!$F$16:$F$5015,Transaksi!$G$16:$G$5015,"Pengeluaran",Transaksi!$B$16:$B$5015,"&gt;="&amp;DATE(2039,12,1),Transaksi!$B$16:$B$5015,"&lt;="&amp;EOMONTH(DATE(2039,12,1),0))</f>
        <v/>
      </c>
      <c r="E196" s="166">
        <f>C196-D196</f>
        <v/>
      </c>
      <c r="F196" s="165">
        <f>(SUMIFS(Transaksi!$F$16:$F$5015,Transaksi!$G$16:$G$5015,"Pendapatan",Transaksi!$B$16:$B$5015,"&gt;="&amp;DATE(2039,12,1),Transaksi!$B$16:$B$5015,"&lt;="&amp;EOMONTH(DATE(2039,12,1),0),Transaksi!$H$16:$H$5015,"Uang Kos Mama")+SUMIFS(Transaksi!$F$16:$F$5015,Transaksi!$G$16:$G$5015,"Pendapatan",Transaksi!$B$16:$B$5015,"&gt;="&amp;DATE(2039,12,1),Transaksi!$B$16:$B$5015,"&lt;="&amp;EOMONTH(DATE(2039,12,1),0),Transaksi!$H$16:$H$5015,"Uang Kedai"))-(SUMIFS(Transaksi!$F$16:$F$5015,Transaksi!$G$16:$G$5015,"Pengeluaran",Transaksi!$B$16:$B$5015,"&gt;="&amp;DATE(2039,12,1),Transaksi!$B$16:$B$5015,"&lt;="&amp;EOMONTH(DATE(2039,12,1),0),Transaksi!$H$16:$H$5015,"Pengeluaran Uang Kos")+SUMIFS(Transaksi!$F$16:$F$5015,Transaksi!$G$16:$G$5015,"Pengeluaran",Transaksi!$B$16:$B$5015,"&gt;="&amp;DATE(2039,12,1),Transaksi!$B$16:$B$5015,"&lt;="&amp;EOMONTH(DATE(2039,12,1),0),Transaksi!$H$16:$H$5015,"Pengeluaran Uang Kedai")+(SUMIFS(Transaksi!$F$16:$F$5015,Transaksi!$G$16:$G$5015,"Tabungan",Transaksi!$D$16:$D$5015,"Keluar",Transaksi!$H$16:$H$5015,"Reksadana uang kos mama",Transaksi!$B$16:$B$5015,"&gt;="&amp;DATE(2039,12,1),Transaksi!$B$16:$B$5015,"&lt;="&amp;EOMONTH(DATE(2039,12,1),0))-SUMIFS(Transaksi!$F$16:$F$5015,Transaksi!$G$16:$G$5015,"Tabungan",Transaksi!$D$16:$D$5015,"Masuk",Transaksi!$H$16:$H$5015,"Reksadana uang kos mama",Transaksi!$B$16:$B$5015,"&gt;="&amp;DATE(2039,12,1),Transaksi!$B$16:$B$5015,"&lt;="&amp;EOMONTH(DATE(2039,12,1),0))))</f>
        <v/>
      </c>
      <c r="G196" s="165">
        <f>(SUMIFS(Transaksi!$F$16:$F$5015,Transaksi!$G$16:$G$5015,"Tabungan",Transaksi!$D$16:$D$5015,"Keluar",Transaksi!$H$16:$H$5015,"&lt;&gt;Reksadana uang kos mama",Transaksi!$B$16:$B$5015,"&gt;="&amp;DATE(2039,12,1),Transaksi!$B$16:$B$5015,"&lt;="&amp;EOMONTH(DATE(2039,12,1),0))-SUMIFS(Transaksi!$F$16:$F$5015,Transaksi!$G$16:$G$5015,"Tabungan",Transaksi!$D$16:$D$5015,"Masuk",Transaksi!$H$16:$H$5015,"&lt;&gt;Reksadana uang kos mama",Transaksi!$B$16:$B$5015,"&gt;="&amp;DATE(2039,12,1),Transaksi!$B$16:$B$5015,"&lt;="&amp;EOMONTH(DATE(2039,12,1),0)))</f>
        <v/>
      </c>
    </row>
    <row r="197" ht="15" customHeight="1" s="94">
      <c r="A197" s="164" t="n">
        <v>2040</v>
      </c>
      <c r="B197" s="164" t="inlineStr">
        <is>
          <t>Jan</t>
        </is>
      </c>
      <c r="C197" s="165">
        <f>SUMIFS(Transaksi!$F$16:$F$5015,Transaksi!$G$16:$G$5015,"Pendapatan",Transaksi!$B$16:$B$5015,"&gt;="&amp;DATE(2040,1,1),Transaksi!$B$16:$B$5015,"&lt;="&amp;EOMONTH(DATE(2040,1,1),0))</f>
        <v/>
      </c>
      <c r="D197" s="165">
        <f>SUMIFS(Transaksi!$F$16:$F$5015,Transaksi!$G$16:$G$5015,"Pengeluaran",Transaksi!$B$16:$B$5015,"&gt;="&amp;DATE(2040,1,1),Transaksi!$B$16:$B$5015,"&lt;="&amp;EOMONTH(DATE(2040,1,1),0))</f>
        <v/>
      </c>
      <c r="E197" s="166">
        <f>C197-D197</f>
        <v/>
      </c>
      <c r="F197" s="165">
        <f>(SUMIFS(Transaksi!$F$16:$F$5015,Transaksi!$G$16:$G$5015,"Pendapatan",Transaksi!$B$16:$B$5015,"&gt;="&amp;DATE(2040,1,1),Transaksi!$B$16:$B$5015,"&lt;="&amp;EOMONTH(DATE(2040,1,1),0),Transaksi!$H$16:$H$5015,"Uang Kos Mama")+SUMIFS(Transaksi!$F$16:$F$5015,Transaksi!$G$16:$G$5015,"Pendapatan",Transaksi!$B$16:$B$5015,"&gt;="&amp;DATE(2040,1,1),Transaksi!$B$16:$B$5015,"&lt;="&amp;EOMONTH(DATE(2040,1,1),0),Transaksi!$H$16:$H$5015,"Uang Kedai"))-(SUMIFS(Transaksi!$F$16:$F$5015,Transaksi!$G$16:$G$5015,"Pengeluaran",Transaksi!$B$16:$B$5015,"&gt;="&amp;DATE(2040,1,1),Transaksi!$B$16:$B$5015,"&lt;="&amp;EOMONTH(DATE(2040,1,1),0),Transaksi!$H$16:$H$5015,"Pengeluaran Uang Kos")+SUMIFS(Transaksi!$F$16:$F$5015,Transaksi!$G$16:$G$5015,"Pengeluaran",Transaksi!$B$16:$B$5015,"&gt;="&amp;DATE(2040,1,1),Transaksi!$B$16:$B$5015,"&lt;="&amp;EOMONTH(DATE(2040,1,1),0),Transaksi!$H$16:$H$5015,"Pengeluaran Uang Kedai")+(SUMIFS(Transaksi!$F$16:$F$5015,Transaksi!$G$16:$G$5015,"Tabungan",Transaksi!$D$16:$D$5015,"Keluar",Transaksi!$H$16:$H$5015,"Reksadana uang kos mama",Transaksi!$B$16:$B$5015,"&gt;="&amp;DATE(2040,1,1),Transaksi!$B$16:$B$5015,"&lt;="&amp;EOMONTH(DATE(2040,1,1),0))-SUMIFS(Transaksi!$F$16:$F$5015,Transaksi!$G$16:$G$5015,"Tabungan",Transaksi!$D$16:$D$5015,"Masuk",Transaksi!$H$16:$H$5015,"Reksadana uang kos mama",Transaksi!$B$16:$B$5015,"&gt;="&amp;DATE(2040,1,1),Transaksi!$B$16:$B$5015,"&lt;="&amp;EOMONTH(DATE(2040,1,1),0))))</f>
        <v/>
      </c>
      <c r="G197" s="165">
        <f>(SUMIFS(Transaksi!$F$16:$F$5015,Transaksi!$G$16:$G$5015,"Tabungan",Transaksi!$D$16:$D$5015,"Keluar",Transaksi!$H$16:$H$5015,"&lt;&gt;Reksadana uang kos mama",Transaksi!$B$16:$B$5015,"&gt;="&amp;DATE(2040,1,1),Transaksi!$B$16:$B$5015,"&lt;="&amp;EOMONTH(DATE(2040,1,1),0))-SUMIFS(Transaksi!$F$16:$F$5015,Transaksi!$G$16:$G$5015,"Tabungan",Transaksi!$D$16:$D$5015,"Masuk",Transaksi!$H$16:$H$5015,"&lt;&gt;Reksadana uang kos mama",Transaksi!$B$16:$B$5015,"&gt;="&amp;DATE(2040,1,1),Transaksi!$B$16:$B$5015,"&lt;="&amp;EOMONTH(DATE(2040,1,1),0)))</f>
        <v/>
      </c>
    </row>
    <row r="198" ht="15" customHeight="1" s="94">
      <c r="A198" s="164" t="n">
        <v>2040</v>
      </c>
      <c r="B198" s="164" t="inlineStr">
        <is>
          <t>Feb</t>
        </is>
      </c>
      <c r="C198" s="165">
        <f>SUMIFS(Transaksi!$F$16:$F$5015,Transaksi!$G$16:$G$5015,"Pendapatan",Transaksi!$B$16:$B$5015,"&gt;="&amp;DATE(2040,2,1),Transaksi!$B$16:$B$5015,"&lt;="&amp;EOMONTH(DATE(2040,2,1),0))</f>
        <v/>
      </c>
      <c r="D198" s="165">
        <f>SUMIFS(Transaksi!$F$16:$F$5015,Transaksi!$G$16:$G$5015,"Pengeluaran",Transaksi!$B$16:$B$5015,"&gt;="&amp;DATE(2040,2,1),Transaksi!$B$16:$B$5015,"&lt;="&amp;EOMONTH(DATE(2040,2,1),0))</f>
        <v/>
      </c>
      <c r="E198" s="166">
        <f>C198-D198</f>
        <v/>
      </c>
      <c r="F198" s="165">
        <f>(SUMIFS(Transaksi!$F$16:$F$5015,Transaksi!$G$16:$G$5015,"Pendapatan",Transaksi!$B$16:$B$5015,"&gt;="&amp;DATE(2040,2,1),Transaksi!$B$16:$B$5015,"&lt;="&amp;EOMONTH(DATE(2040,2,1),0),Transaksi!$H$16:$H$5015,"Uang Kos Mama")+SUMIFS(Transaksi!$F$16:$F$5015,Transaksi!$G$16:$G$5015,"Pendapatan",Transaksi!$B$16:$B$5015,"&gt;="&amp;DATE(2040,2,1),Transaksi!$B$16:$B$5015,"&lt;="&amp;EOMONTH(DATE(2040,2,1),0),Transaksi!$H$16:$H$5015,"Uang Kedai"))-(SUMIFS(Transaksi!$F$16:$F$5015,Transaksi!$G$16:$G$5015,"Pengeluaran",Transaksi!$B$16:$B$5015,"&gt;="&amp;DATE(2040,2,1),Transaksi!$B$16:$B$5015,"&lt;="&amp;EOMONTH(DATE(2040,2,1),0),Transaksi!$H$16:$H$5015,"Pengeluaran Uang Kos")+SUMIFS(Transaksi!$F$16:$F$5015,Transaksi!$G$16:$G$5015,"Pengeluaran",Transaksi!$B$16:$B$5015,"&gt;="&amp;DATE(2040,2,1),Transaksi!$B$16:$B$5015,"&lt;="&amp;EOMONTH(DATE(2040,2,1),0),Transaksi!$H$16:$H$5015,"Pengeluaran Uang Kedai")+(SUMIFS(Transaksi!$F$16:$F$5015,Transaksi!$G$16:$G$5015,"Tabungan",Transaksi!$D$16:$D$5015,"Keluar",Transaksi!$H$16:$H$5015,"Reksadana uang kos mama",Transaksi!$B$16:$B$5015,"&gt;="&amp;DATE(2040,2,1),Transaksi!$B$16:$B$5015,"&lt;="&amp;EOMONTH(DATE(2040,2,1),0))-SUMIFS(Transaksi!$F$16:$F$5015,Transaksi!$G$16:$G$5015,"Tabungan",Transaksi!$D$16:$D$5015,"Masuk",Transaksi!$H$16:$H$5015,"Reksadana uang kos mama",Transaksi!$B$16:$B$5015,"&gt;="&amp;DATE(2040,2,1),Transaksi!$B$16:$B$5015,"&lt;="&amp;EOMONTH(DATE(2040,2,1),0))))</f>
        <v/>
      </c>
      <c r="G198" s="165">
        <f>(SUMIFS(Transaksi!$F$16:$F$5015,Transaksi!$G$16:$G$5015,"Tabungan",Transaksi!$D$16:$D$5015,"Keluar",Transaksi!$H$16:$H$5015,"&lt;&gt;Reksadana uang kos mama",Transaksi!$B$16:$B$5015,"&gt;="&amp;DATE(2040,2,1),Transaksi!$B$16:$B$5015,"&lt;="&amp;EOMONTH(DATE(2040,2,1),0))-SUMIFS(Transaksi!$F$16:$F$5015,Transaksi!$G$16:$G$5015,"Tabungan",Transaksi!$D$16:$D$5015,"Masuk",Transaksi!$H$16:$H$5015,"&lt;&gt;Reksadana uang kos mama",Transaksi!$B$16:$B$5015,"&gt;="&amp;DATE(2040,2,1),Transaksi!$B$16:$B$5015,"&lt;="&amp;EOMONTH(DATE(2040,2,1),0)))</f>
        <v/>
      </c>
    </row>
    <row r="199" ht="15" customHeight="1" s="94">
      <c r="A199" s="164" t="n">
        <v>2040</v>
      </c>
      <c r="B199" s="164" t="inlineStr">
        <is>
          <t>Mar</t>
        </is>
      </c>
      <c r="C199" s="165">
        <f>SUMIFS(Transaksi!$F$16:$F$5015,Transaksi!$G$16:$G$5015,"Pendapatan",Transaksi!$B$16:$B$5015,"&gt;="&amp;DATE(2040,3,1),Transaksi!$B$16:$B$5015,"&lt;="&amp;EOMONTH(DATE(2040,3,1),0))</f>
        <v/>
      </c>
      <c r="D199" s="165">
        <f>SUMIFS(Transaksi!$F$16:$F$5015,Transaksi!$G$16:$G$5015,"Pengeluaran",Transaksi!$B$16:$B$5015,"&gt;="&amp;DATE(2040,3,1),Transaksi!$B$16:$B$5015,"&lt;="&amp;EOMONTH(DATE(2040,3,1),0))</f>
        <v/>
      </c>
      <c r="E199" s="166">
        <f>C199-D199</f>
        <v/>
      </c>
      <c r="F199" s="165">
        <f>(SUMIFS(Transaksi!$F$16:$F$5015,Transaksi!$G$16:$G$5015,"Pendapatan",Transaksi!$B$16:$B$5015,"&gt;="&amp;DATE(2040,3,1),Transaksi!$B$16:$B$5015,"&lt;="&amp;EOMONTH(DATE(2040,3,1),0),Transaksi!$H$16:$H$5015,"Uang Kos Mama")+SUMIFS(Transaksi!$F$16:$F$5015,Transaksi!$G$16:$G$5015,"Pendapatan",Transaksi!$B$16:$B$5015,"&gt;="&amp;DATE(2040,3,1),Transaksi!$B$16:$B$5015,"&lt;="&amp;EOMONTH(DATE(2040,3,1),0),Transaksi!$H$16:$H$5015,"Uang Kedai"))-(SUMIFS(Transaksi!$F$16:$F$5015,Transaksi!$G$16:$G$5015,"Pengeluaran",Transaksi!$B$16:$B$5015,"&gt;="&amp;DATE(2040,3,1),Transaksi!$B$16:$B$5015,"&lt;="&amp;EOMONTH(DATE(2040,3,1),0),Transaksi!$H$16:$H$5015,"Pengeluaran Uang Kos")+SUMIFS(Transaksi!$F$16:$F$5015,Transaksi!$G$16:$G$5015,"Pengeluaran",Transaksi!$B$16:$B$5015,"&gt;="&amp;DATE(2040,3,1),Transaksi!$B$16:$B$5015,"&lt;="&amp;EOMONTH(DATE(2040,3,1),0),Transaksi!$H$16:$H$5015,"Pengeluaran Uang Kedai")+(SUMIFS(Transaksi!$F$16:$F$5015,Transaksi!$G$16:$G$5015,"Tabungan",Transaksi!$D$16:$D$5015,"Keluar",Transaksi!$H$16:$H$5015,"Reksadana uang kos mama",Transaksi!$B$16:$B$5015,"&gt;="&amp;DATE(2040,3,1),Transaksi!$B$16:$B$5015,"&lt;="&amp;EOMONTH(DATE(2040,3,1),0))-SUMIFS(Transaksi!$F$16:$F$5015,Transaksi!$G$16:$G$5015,"Tabungan",Transaksi!$D$16:$D$5015,"Masuk",Transaksi!$H$16:$H$5015,"Reksadana uang kos mama",Transaksi!$B$16:$B$5015,"&gt;="&amp;DATE(2040,3,1),Transaksi!$B$16:$B$5015,"&lt;="&amp;EOMONTH(DATE(2040,3,1),0))))</f>
        <v/>
      </c>
      <c r="G199" s="165">
        <f>(SUMIFS(Transaksi!$F$16:$F$5015,Transaksi!$G$16:$G$5015,"Tabungan",Transaksi!$D$16:$D$5015,"Keluar",Transaksi!$H$16:$H$5015,"&lt;&gt;Reksadana uang kos mama",Transaksi!$B$16:$B$5015,"&gt;="&amp;DATE(2040,3,1),Transaksi!$B$16:$B$5015,"&lt;="&amp;EOMONTH(DATE(2040,3,1),0))-SUMIFS(Transaksi!$F$16:$F$5015,Transaksi!$G$16:$G$5015,"Tabungan",Transaksi!$D$16:$D$5015,"Masuk",Transaksi!$H$16:$H$5015,"&lt;&gt;Reksadana uang kos mama",Transaksi!$B$16:$B$5015,"&gt;="&amp;DATE(2040,3,1),Transaksi!$B$16:$B$5015,"&lt;="&amp;EOMONTH(DATE(2040,3,1),0)))</f>
        <v/>
      </c>
    </row>
    <row r="200" ht="15" customHeight="1" s="94">
      <c r="A200" s="164" t="n">
        <v>2040</v>
      </c>
      <c r="B200" s="164" t="inlineStr">
        <is>
          <t>Apr</t>
        </is>
      </c>
      <c r="C200" s="165">
        <f>SUMIFS(Transaksi!$F$16:$F$5015,Transaksi!$G$16:$G$5015,"Pendapatan",Transaksi!$B$16:$B$5015,"&gt;="&amp;DATE(2040,4,1),Transaksi!$B$16:$B$5015,"&lt;="&amp;EOMONTH(DATE(2040,4,1),0))</f>
        <v/>
      </c>
      <c r="D200" s="165">
        <f>SUMIFS(Transaksi!$F$16:$F$5015,Transaksi!$G$16:$G$5015,"Pengeluaran",Transaksi!$B$16:$B$5015,"&gt;="&amp;DATE(2040,4,1),Transaksi!$B$16:$B$5015,"&lt;="&amp;EOMONTH(DATE(2040,4,1),0))</f>
        <v/>
      </c>
      <c r="E200" s="166">
        <f>C200-D200</f>
        <v/>
      </c>
      <c r="F200" s="165">
        <f>(SUMIFS(Transaksi!$F$16:$F$5015,Transaksi!$G$16:$G$5015,"Pendapatan",Transaksi!$B$16:$B$5015,"&gt;="&amp;DATE(2040,4,1),Transaksi!$B$16:$B$5015,"&lt;="&amp;EOMONTH(DATE(2040,4,1),0),Transaksi!$H$16:$H$5015,"Uang Kos Mama")+SUMIFS(Transaksi!$F$16:$F$5015,Transaksi!$G$16:$G$5015,"Pendapatan",Transaksi!$B$16:$B$5015,"&gt;="&amp;DATE(2040,4,1),Transaksi!$B$16:$B$5015,"&lt;="&amp;EOMONTH(DATE(2040,4,1),0),Transaksi!$H$16:$H$5015,"Uang Kedai"))-(SUMIFS(Transaksi!$F$16:$F$5015,Transaksi!$G$16:$G$5015,"Pengeluaran",Transaksi!$B$16:$B$5015,"&gt;="&amp;DATE(2040,4,1),Transaksi!$B$16:$B$5015,"&lt;="&amp;EOMONTH(DATE(2040,4,1),0),Transaksi!$H$16:$H$5015,"Pengeluaran Uang Kos")+SUMIFS(Transaksi!$F$16:$F$5015,Transaksi!$G$16:$G$5015,"Pengeluaran",Transaksi!$B$16:$B$5015,"&gt;="&amp;DATE(2040,4,1),Transaksi!$B$16:$B$5015,"&lt;="&amp;EOMONTH(DATE(2040,4,1),0),Transaksi!$H$16:$H$5015,"Pengeluaran Uang Kedai")+(SUMIFS(Transaksi!$F$16:$F$5015,Transaksi!$G$16:$G$5015,"Tabungan",Transaksi!$D$16:$D$5015,"Keluar",Transaksi!$H$16:$H$5015,"Reksadana uang kos mama",Transaksi!$B$16:$B$5015,"&gt;="&amp;DATE(2040,4,1),Transaksi!$B$16:$B$5015,"&lt;="&amp;EOMONTH(DATE(2040,4,1),0))-SUMIFS(Transaksi!$F$16:$F$5015,Transaksi!$G$16:$G$5015,"Tabungan",Transaksi!$D$16:$D$5015,"Masuk",Transaksi!$H$16:$H$5015,"Reksadana uang kos mama",Transaksi!$B$16:$B$5015,"&gt;="&amp;DATE(2040,4,1),Transaksi!$B$16:$B$5015,"&lt;="&amp;EOMONTH(DATE(2040,4,1),0))))</f>
        <v/>
      </c>
      <c r="G200" s="165">
        <f>(SUMIFS(Transaksi!$F$16:$F$5015,Transaksi!$G$16:$G$5015,"Tabungan",Transaksi!$D$16:$D$5015,"Keluar",Transaksi!$H$16:$H$5015,"&lt;&gt;Reksadana uang kos mama",Transaksi!$B$16:$B$5015,"&gt;="&amp;DATE(2040,4,1),Transaksi!$B$16:$B$5015,"&lt;="&amp;EOMONTH(DATE(2040,4,1),0))-SUMIFS(Transaksi!$F$16:$F$5015,Transaksi!$G$16:$G$5015,"Tabungan",Transaksi!$D$16:$D$5015,"Masuk",Transaksi!$H$16:$H$5015,"&lt;&gt;Reksadana uang kos mama",Transaksi!$B$16:$B$5015,"&gt;="&amp;DATE(2040,4,1),Transaksi!$B$16:$B$5015,"&lt;="&amp;EOMONTH(DATE(2040,4,1),0)))</f>
        <v/>
      </c>
    </row>
    <row r="201" ht="15" customHeight="1" s="94">
      <c r="A201" s="164" t="n">
        <v>2040</v>
      </c>
      <c r="B201" s="164" t="inlineStr">
        <is>
          <t>Mei</t>
        </is>
      </c>
      <c r="C201" s="165">
        <f>SUMIFS(Transaksi!$F$16:$F$5015,Transaksi!$G$16:$G$5015,"Pendapatan",Transaksi!$B$16:$B$5015,"&gt;="&amp;DATE(2040,5,1),Transaksi!$B$16:$B$5015,"&lt;="&amp;EOMONTH(DATE(2040,5,1),0))</f>
        <v/>
      </c>
      <c r="D201" s="165">
        <f>SUMIFS(Transaksi!$F$16:$F$5015,Transaksi!$G$16:$G$5015,"Pengeluaran",Transaksi!$B$16:$B$5015,"&gt;="&amp;DATE(2040,5,1),Transaksi!$B$16:$B$5015,"&lt;="&amp;EOMONTH(DATE(2040,5,1),0))</f>
        <v/>
      </c>
      <c r="E201" s="166">
        <f>C201-D201</f>
        <v/>
      </c>
      <c r="F201" s="165">
        <f>(SUMIFS(Transaksi!$F$16:$F$5015,Transaksi!$G$16:$G$5015,"Pendapatan",Transaksi!$B$16:$B$5015,"&gt;="&amp;DATE(2040,5,1),Transaksi!$B$16:$B$5015,"&lt;="&amp;EOMONTH(DATE(2040,5,1),0),Transaksi!$H$16:$H$5015,"Uang Kos Mama")+SUMIFS(Transaksi!$F$16:$F$5015,Transaksi!$G$16:$G$5015,"Pendapatan",Transaksi!$B$16:$B$5015,"&gt;="&amp;DATE(2040,5,1),Transaksi!$B$16:$B$5015,"&lt;="&amp;EOMONTH(DATE(2040,5,1),0),Transaksi!$H$16:$H$5015,"Uang Kedai"))-(SUMIFS(Transaksi!$F$16:$F$5015,Transaksi!$G$16:$G$5015,"Pengeluaran",Transaksi!$B$16:$B$5015,"&gt;="&amp;DATE(2040,5,1),Transaksi!$B$16:$B$5015,"&lt;="&amp;EOMONTH(DATE(2040,5,1),0),Transaksi!$H$16:$H$5015,"Pengeluaran Uang Kos")+SUMIFS(Transaksi!$F$16:$F$5015,Transaksi!$G$16:$G$5015,"Pengeluaran",Transaksi!$B$16:$B$5015,"&gt;="&amp;DATE(2040,5,1),Transaksi!$B$16:$B$5015,"&lt;="&amp;EOMONTH(DATE(2040,5,1),0),Transaksi!$H$16:$H$5015,"Pengeluaran Uang Kedai")+(SUMIFS(Transaksi!$F$16:$F$5015,Transaksi!$G$16:$G$5015,"Tabungan",Transaksi!$D$16:$D$5015,"Keluar",Transaksi!$H$16:$H$5015,"Reksadana uang kos mama",Transaksi!$B$16:$B$5015,"&gt;="&amp;DATE(2040,5,1),Transaksi!$B$16:$B$5015,"&lt;="&amp;EOMONTH(DATE(2040,5,1),0))-SUMIFS(Transaksi!$F$16:$F$5015,Transaksi!$G$16:$G$5015,"Tabungan",Transaksi!$D$16:$D$5015,"Masuk",Transaksi!$H$16:$H$5015,"Reksadana uang kos mama",Transaksi!$B$16:$B$5015,"&gt;="&amp;DATE(2040,5,1),Transaksi!$B$16:$B$5015,"&lt;="&amp;EOMONTH(DATE(2040,5,1),0))))</f>
        <v/>
      </c>
      <c r="G201" s="165">
        <f>(SUMIFS(Transaksi!$F$16:$F$5015,Transaksi!$G$16:$G$5015,"Tabungan",Transaksi!$D$16:$D$5015,"Keluar",Transaksi!$H$16:$H$5015,"&lt;&gt;Reksadana uang kos mama",Transaksi!$B$16:$B$5015,"&gt;="&amp;DATE(2040,5,1),Transaksi!$B$16:$B$5015,"&lt;="&amp;EOMONTH(DATE(2040,5,1),0))-SUMIFS(Transaksi!$F$16:$F$5015,Transaksi!$G$16:$G$5015,"Tabungan",Transaksi!$D$16:$D$5015,"Masuk",Transaksi!$H$16:$H$5015,"&lt;&gt;Reksadana uang kos mama",Transaksi!$B$16:$B$5015,"&gt;="&amp;DATE(2040,5,1),Transaksi!$B$16:$B$5015,"&lt;="&amp;EOMONTH(DATE(2040,5,1),0)))</f>
        <v/>
      </c>
    </row>
    <row r="202" ht="15" customHeight="1" s="94">
      <c r="A202" s="164" t="n">
        <v>2040</v>
      </c>
      <c r="B202" s="164" t="inlineStr">
        <is>
          <t>Jun</t>
        </is>
      </c>
      <c r="C202" s="165">
        <f>SUMIFS(Transaksi!$F$16:$F$5015,Transaksi!$G$16:$G$5015,"Pendapatan",Transaksi!$B$16:$B$5015,"&gt;="&amp;DATE(2040,6,1),Transaksi!$B$16:$B$5015,"&lt;="&amp;EOMONTH(DATE(2040,6,1),0))</f>
        <v/>
      </c>
      <c r="D202" s="165">
        <f>SUMIFS(Transaksi!$F$16:$F$5015,Transaksi!$G$16:$G$5015,"Pengeluaran",Transaksi!$B$16:$B$5015,"&gt;="&amp;DATE(2040,6,1),Transaksi!$B$16:$B$5015,"&lt;="&amp;EOMONTH(DATE(2040,6,1),0))</f>
        <v/>
      </c>
      <c r="E202" s="166">
        <f>C202-D202</f>
        <v/>
      </c>
      <c r="F202" s="165">
        <f>(SUMIFS(Transaksi!$F$16:$F$5015,Transaksi!$G$16:$G$5015,"Pendapatan",Transaksi!$B$16:$B$5015,"&gt;="&amp;DATE(2040,6,1),Transaksi!$B$16:$B$5015,"&lt;="&amp;EOMONTH(DATE(2040,6,1),0),Transaksi!$H$16:$H$5015,"Uang Kos Mama")+SUMIFS(Transaksi!$F$16:$F$5015,Transaksi!$G$16:$G$5015,"Pendapatan",Transaksi!$B$16:$B$5015,"&gt;="&amp;DATE(2040,6,1),Transaksi!$B$16:$B$5015,"&lt;="&amp;EOMONTH(DATE(2040,6,1),0),Transaksi!$H$16:$H$5015,"Uang Kedai"))-(SUMIFS(Transaksi!$F$16:$F$5015,Transaksi!$G$16:$G$5015,"Pengeluaran",Transaksi!$B$16:$B$5015,"&gt;="&amp;DATE(2040,6,1),Transaksi!$B$16:$B$5015,"&lt;="&amp;EOMONTH(DATE(2040,6,1),0),Transaksi!$H$16:$H$5015,"Pengeluaran Uang Kos")+SUMIFS(Transaksi!$F$16:$F$5015,Transaksi!$G$16:$G$5015,"Pengeluaran",Transaksi!$B$16:$B$5015,"&gt;="&amp;DATE(2040,6,1),Transaksi!$B$16:$B$5015,"&lt;="&amp;EOMONTH(DATE(2040,6,1),0),Transaksi!$H$16:$H$5015,"Pengeluaran Uang Kedai")+(SUMIFS(Transaksi!$F$16:$F$5015,Transaksi!$G$16:$G$5015,"Tabungan",Transaksi!$D$16:$D$5015,"Keluar",Transaksi!$H$16:$H$5015,"Reksadana uang kos mama",Transaksi!$B$16:$B$5015,"&gt;="&amp;DATE(2040,6,1),Transaksi!$B$16:$B$5015,"&lt;="&amp;EOMONTH(DATE(2040,6,1),0))-SUMIFS(Transaksi!$F$16:$F$5015,Transaksi!$G$16:$G$5015,"Tabungan",Transaksi!$D$16:$D$5015,"Masuk",Transaksi!$H$16:$H$5015,"Reksadana uang kos mama",Transaksi!$B$16:$B$5015,"&gt;="&amp;DATE(2040,6,1),Transaksi!$B$16:$B$5015,"&lt;="&amp;EOMONTH(DATE(2040,6,1),0))))</f>
        <v/>
      </c>
      <c r="G202" s="165">
        <f>(SUMIFS(Transaksi!$F$16:$F$5015,Transaksi!$G$16:$G$5015,"Tabungan",Transaksi!$D$16:$D$5015,"Keluar",Transaksi!$H$16:$H$5015,"&lt;&gt;Reksadana uang kos mama",Transaksi!$B$16:$B$5015,"&gt;="&amp;DATE(2040,6,1),Transaksi!$B$16:$B$5015,"&lt;="&amp;EOMONTH(DATE(2040,6,1),0))-SUMIFS(Transaksi!$F$16:$F$5015,Transaksi!$G$16:$G$5015,"Tabungan",Transaksi!$D$16:$D$5015,"Masuk",Transaksi!$H$16:$H$5015,"&lt;&gt;Reksadana uang kos mama",Transaksi!$B$16:$B$5015,"&gt;="&amp;DATE(2040,6,1),Transaksi!$B$16:$B$5015,"&lt;="&amp;EOMONTH(DATE(2040,6,1),0)))</f>
        <v/>
      </c>
    </row>
    <row r="203" ht="15" customHeight="1" s="94">
      <c r="A203" s="164" t="n">
        <v>2040</v>
      </c>
      <c r="B203" s="164" t="inlineStr">
        <is>
          <t>Jul</t>
        </is>
      </c>
      <c r="C203" s="165">
        <f>SUMIFS(Transaksi!$F$16:$F$5015,Transaksi!$G$16:$G$5015,"Pendapatan",Transaksi!$B$16:$B$5015,"&gt;="&amp;DATE(2040,7,1),Transaksi!$B$16:$B$5015,"&lt;="&amp;EOMONTH(DATE(2040,7,1),0))</f>
        <v/>
      </c>
      <c r="D203" s="165">
        <f>SUMIFS(Transaksi!$F$16:$F$5015,Transaksi!$G$16:$G$5015,"Pengeluaran",Transaksi!$B$16:$B$5015,"&gt;="&amp;DATE(2040,7,1),Transaksi!$B$16:$B$5015,"&lt;="&amp;EOMONTH(DATE(2040,7,1),0))</f>
        <v/>
      </c>
      <c r="E203" s="166">
        <f>C203-D203</f>
        <v/>
      </c>
      <c r="F203" s="165">
        <f>(SUMIFS(Transaksi!$F$16:$F$5015,Transaksi!$G$16:$G$5015,"Pendapatan",Transaksi!$B$16:$B$5015,"&gt;="&amp;DATE(2040,7,1),Transaksi!$B$16:$B$5015,"&lt;="&amp;EOMONTH(DATE(2040,7,1),0),Transaksi!$H$16:$H$5015,"Uang Kos Mama")+SUMIFS(Transaksi!$F$16:$F$5015,Transaksi!$G$16:$G$5015,"Pendapatan",Transaksi!$B$16:$B$5015,"&gt;="&amp;DATE(2040,7,1),Transaksi!$B$16:$B$5015,"&lt;="&amp;EOMONTH(DATE(2040,7,1),0),Transaksi!$H$16:$H$5015,"Uang Kedai"))-(SUMIFS(Transaksi!$F$16:$F$5015,Transaksi!$G$16:$G$5015,"Pengeluaran",Transaksi!$B$16:$B$5015,"&gt;="&amp;DATE(2040,7,1),Transaksi!$B$16:$B$5015,"&lt;="&amp;EOMONTH(DATE(2040,7,1),0),Transaksi!$H$16:$H$5015,"Pengeluaran Uang Kos")+SUMIFS(Transaksi!$F$16:$F$5015,Transaksi!$G$16:$G$5015,"Pengeluaran",Transaksi!$B$16:$B$5015,"&gt;="&amp;DATE(2040,7,1),Transaksi!$B$16:$B$5015,"&lt;="&amp;EOMONTH(DATE(2040,7,1),0),Transaksi!$H$16:$H$5015,"Pengeluaran Uang Kedai")+(SUMIFS(Transaksi!$F$16:$F$5015,Transaksi!$G$16:$G$5015,"Tabungan",Transaksi!$D$16:$D$5015,"Keluar",Transaksi!$H$16:$H$5015,"Reksadana uang kos mama",Transaksi!$B$16:$B$5015,"&gt;="&amp;DATE(2040,7,1),Transaksi!$B$16:$B$5015,"&lt;="&amp;EOMONTH(DATE(2040,7,1),0))-SUMIFS(Transaksi!$F$16:$F$5015,Transaksi!$G$16:$G$5015,"Tabungan",Transaksi!$D$16:$D$5015,"Masuk",Transaksi!$H$16:$H$5015,"Reksadana uang kos mama",Transaksi!$B$16:$B$5015,"&gt;="&amp;DATE(2040,7,1),Transaksi!$B$16:$B$5015,"&lt;="&amp;EOMONTH(DATE(2040,7,1),0))))</f>
        <v/>
      </c>
      <c r="G203" s="165">
        <f>(SUMIFS(Transaksi!$F$16:$F$5015,Transaksi!$G$16:$G$5015,"Tabungan",Transaksi!$D$16:$D$5015,"Keluar",Transaksi!$H$16:$H$5015,"&lt;&gt;Reksadana uang kos mama",Transaksi!$B$16:$B$5015,"&gt;="&amp;DATE(2040,7,1),Transaksi!$B$16:$B$5015,"&lt;="&amp;EOMONTH(DATE(2040,7,1),0))-SUMIFS(Transaksi!$F$16:$F$5015,Transaksi!$G$16:$G$5015,"Tabungan",Transaksi!$D$16:$D$5015,"Masuk",Transaksi!$H$16:$H$5015,"&lt;&gt;Reksadana uang kos mama",Transaksi!$B$16:$B$5015,"&gt;="&amp;DATE(2040,7,1),Transaksi!$B$16:$B$5015,"&lt;="&amp;EOMONTH(DATE(2040,7,1),0)))</f>
        <v/>
      </c>
    </row>
    <row r="204" ht="15" customHeight="1" s="94">
      <c r="A204" s="164" t="n">
        <v>2040</v>
      </c>
      <c r="B204" s="164" t="inlineStr">
        <is>
          <t>Agu</t>
        </is>
      </c>
      <c r="C204" s="165">
        <f>SUMIFS(Transaksi!$F$16:$F$5015,Transaksi!$G$16:$G$5015,"Pendapatan",Transaksi!$B$16:$B$5015,"&gt;="&amp;DATE(2040,8,1),Transaksi!$B$16:$B$5015,"&lt;="&amp;EOMONTH(DATE(2040,8,1),0))</f>
        <v/>
      </c>
      <c r="D204" s="165">
        <f>SUMIFS(Transaksi!$F$16:$F$5015,Transaksi!$G$16:$G$5015,"Pengeluaran",Transaksi!$B$16:$B$5015,"&gt;="&amp;DATE(2040,8,1),Transaksi!$B$16:$B$5015,"&lt;="&amp;EOMONTH(DATE(2040,8,1),0))</f>
        <v/>
      </c>
      <c r="E204" s="166">
        <f>C204-D204</f>
        <v/>
      </c>
      <c r="F204" s="165">
        <f>(SUMIFS(Transaksi!$F$16:$F$5015,Transaksi!$G$16:$G$5015,"Pendapatan",Transaksi!$B$16:$B$5015,"&gt;="&amp;DATE(2040,8,1),Transaksi!$B$16:$B$5015,"&lt;="&amp;EOMONTH(DATE(2040,8,1),0),Transaksi!$H$16:$H$5015,"Uang Kos Mama")+SUMIFS(Transaksi!$F$16:$F$5015,Transaksi!$G$16:$G$5015,"Pendapatan",Transaksi!$B$16:$B$5015,"&gt;="&amp;DATE(2040,8,1),Transaksi!$B$16:$B$5015,"&lt;="&amp;EOMONTH(DATE(2040,8,1),0),Transaksi!$H$16:$H$5015,"Uang Kedai"))-(SUMIFS(Transaksi!$F$16:$F$5015,Transaksi!$G$16:$G$5015,"Pengeluaran",Transaksi!$B$16:$B$5015,"&gt;="&amp;DATE(2040,8,1),Transaksi!$B$16:$B$5015,"&lt;="&amp;EOMONTH(DATE(2040,8,1),0),Transaksi!$H$16:$H$5015,"Pengeluaran Uang Kos")+SUMIFS(Transaksi!$F$16:$F$5015,Transaksi!$G$16:$G$5015,"Pengeluaran",Transaksi!$B$16:$B$5015,"&gt;="&amp;DATE(2040,8,1),Transaksi!$B$16:$B$5015,"&lt;="&amp;EOMONTH(DATE(2040,8,1),0),Transaksi!$H$16:$H$5015,"Pengeluaran Uang Kedai")+(SUMIFS(Transaksi!$F$16:$F$5015,Transaksi!$G$16:$G$5015,"Tabungan",Transaksi!$D$16:$D$5015,"Keluar",Transaksi!$H$16:$H$5015,"Reksadana uang kos mama",Transaksi!$B$16:$B$5015,"&gt;="&amp;DATE(2040,8,1),Transaksi!$B$16:$B$5015,"&lt;="&amp;EOMONTH(DATE(2040,8,1),0))-SUMIFS(Transaksi!$F$16:$F$5015,Transaksi!$G$16:$G$5015,"Tabungan",Transaksi!$D$16:$D$5015,"Masuk",Transaksi!$H$16:$H$5015,"Reksadana uang kos mama",Transaksi!$B$16:$B$5015,"&gt;="&amp;DATE(2040,8,1),Transaksi!$B$16:$B$5015,"&lt;="&amp;EOMONTH(DATE(2040,8,1),0))))</f>
        <v/>
      </c>
      <c r="G204" s="165">
        <f>(SUMIFS(Transaksi!$F$16:$F$5015,Transaksi!$G$16:$G$5015,"Tabungan",Transaksi!$D$16:$D$5015,"Keluar",Transaksi!$H$16:$H$5015,"&lt;&gt;Reksadana uang kos mama",Transaksi!$B$16:$B$5015,"&gt;="&amp;DATE(2040,8,1),Transaksi!$B$16:$B$5015,"&lt;="&amp;EOMONTH(DATE(2040,8,1),0))-SUMIFS(Transaksi!$F$16:$F$5015,Transaksi!$G$16:$G$5015,"Tabungan",Transaksi!$D$16:$D$5015,"Masuk",Transaksi!$H$16:$H$5015,"&lt;&gt;Reksadana uang kos mama",Transaksi!$B$16:$B$5015,"&gt;="&amp;DATE(2040,8,1),Transaksi!$B$16:$B$5015,"&lt;="&amp;EOMONTH(DATE(2040,8,1),0)))</f>
        <v/>
      </c>
    </row>
    <row r="205" ht="15" customHeight="1" s="94">
      <c r="A205" s="164" t="n">
        <v>2040</v>
      </c>
      <c r="B205" s="164" t="inlineStr">
        <is>
          <t>Sep</t>
        </is>
      </c>
      <c r="C205" s="165">
        <f>SUMIFS(Transaksi!$F$16:$F$5015,Transaksi!$G$16:$G$5015,"Pendapatan",Transaksi!$B$16:$B$5015,"&gt;="&amp;DATE(2040,9,1),Transaksi!$B$16:$B$5015,"&lt;="&amp;EOMONTH(DATE(2040,9,1),0))</f>
        <v/>
      </c>
      <c r="D205" s="165">
        <f>SUMIFS(Transaksi!$F$16:$F$5015,Transaksi!$G$16:$G$5015,"Pengeluaran",Transaksi!$B$16:$B$5015,"&gt;="&amp;DATE(2040,9,1),Transaksi!$B$16:$B$5015,"&lt;="&amp;EOMONTH(DATE(2040,9,1),0))</f>
        <v/>
      </c>
      <c r="E205" s="166">
        <f>C205-D205</f>
        <v/>
      </c>
      <c r="F205" s="165">
        <f>(SUMIFS(Transaksi!$F$16:$F$5015,Transaksi!$G$16:$G$5015,"Pendapatan",Transaksi!$B$16:$B$5015,"&gt;="&amp;DATE(2040,9,1),Transaksi!$B$16:$B$5015,"&lt;="&amp;EOMONTH(DATE(2040,9,1),0),Transaksi!$H$16:$H$5015,"Uang Kos Mama")+SUMIFS(Transaksi!$F$16:$F$5015,Transaksi!$G$16:$G$5015,"Pendapatan",Transaksi!$B$16:$B$5015,"&gt;="&amp;DATE(2040,9,1),Transaksi!$B$16:$B$5015,"&lt;="&amp;EOMONTH(DATE(2040,9,1),0),Transaksi!$H$16:$H$5015,"Uang Kedai"))-(SUMIFS(Transaksi!$F$16:$F$5015,Transaksi!$G$16:$G$5015,"Pengeluaran",Transaksi!$B$16:$B$5015,"&gt;="&amp;DATE(2040,9,1),Transaksi!$B$16:$B$5015,"&lt;="&amp;EOMONTH(DATE(2040,9,1),0),Transaksi!$H$16:$H$5015,"Pengeluaran Uang Kos")+SUMIFS(Transaksi!$F$16:$F$5015,Transaksi!$G$16:$G$5015,"Pengeluaran",Transaksi!$B$16:$B$5015,"&gt;="&amp;DATE(2040,9,1),Transaksi!$B$16:$B$5015,"&lt;="&amp;EOMONTH(DATE(2040,9,1),0),Transaksi!$H$16:$H$5015,"Pengeluaran Uang Kedai")+(SUMIFS(Transaksi!$F$16:$F$5015,Transaksi!$G$16:$G$5015,"Tabungan",Transaksi!$D$16:$D$5015,"Keluar",Transaksi!$H$16:$H$5015,"Reksadana uang kos mama",Transaksi!$B$16:$B$5015,"&gt;="&amp;DATE(2040,9,1),Transaksi!$B$16:$B$5015,"&lt;="&amp;EOMONTH(DATE(2040,9,1),0))-SUMIFS(Transaksi!$F$16:$F$5015,Transaksi!$G$16:$G$5015,"Tabungan",Transaksi!$D$16:$D$5015,"Masuk",Transaksi!$H$16:$H$5015,"Reksadana uang kos mama",Transaksi!$B$16:$B$5015,"&gt;="&amp;DATE(2040,9,1),Transaksi!$B$16:$B$5015,"&lt;="&amp;EOMONTH(DATE(2040,9,1),0))))</f>
        <v/>
      </c>
      <c r="G205" s="165">
        <f>(SUMIFS(Transaksi!$F$16:$F$5015,Transaksi!$G$16:$G$5015,"Tabungan",Transaksi!$D$16:$D$5015,"Keluar",Transaksi!$H$16:$H$5015,"&lt;&gt;Reksadana uang kos mama",Transaksi!$B$16:$B$5015,"&gt;="&amp;DATE(2040,9,1),Transaksi!$B$16:$B$5015,"&lt;="&amp;EOMONTH(DATE(2040,9,1),0))-SUMIFS(Transaksi!$F$16:$F$5015,Transaksi!$G$16:$G$5015,"Tabungan",Transaksi!$D$16:$D$5015,"Masuk",Transaksi!$H$16:$H$5015,"&lt;&gt;Reksadana uang kos mama",Transaksi!$B$16:$B$5015,"&gt;="&amp;DATE(2040,9,1),Transaksi!$B$16:$B$5015,"&lt;="&amp;EOMONTH(DATE(2040,9,1),0)))</f>
        <v/>
      </c>
    </row>
    <row r="206" ht="15" customHeight="1" s="94">
      <c r="A206" s="164" t="n">
        <v>2040</v>
      </c>
      <c r="B206" s="164" t="inlineStr">
        <is>
          <t>Okt</t>
        </is>
      </c>
      <c r="C206" s="165">
        <f>SUMIFS(Transaksi!$F$16:$F$5015,Transaksi!$G$16:$G$5015,"Pendapatan",Transaksi!$B$16:$B$5015,"&gt;="&amp;DATE(2040,10,1),Transaksi!$B$16:$B$5015,"&lt;="&amp;EOMONTH(DATE(2040,10,1),0))</f>
        <v/>
      </c>
      <c r="D206" s="165">
        <f>SUMIFS(Transaksi!$F$16:$F$5015,Transaksi!$G$16:$G$5015,"Pengeluaran",Transaksi!$B$16:$B$5015,"&gt;="&amp;DATE(2040,10,1),Transaksi!$B$16:$B$5015,"&lt;="&amp;EOMONTH(DATE(2040,10,1),0))</f>
        <v/>
      </c>
      <c r="E206" s="166">
        <f>C206-D206</f>
        <v/>
      </c>
      <c r="F206" s="165">
        <f>(SUMIFS(Transaksi!$F$16:$F$5015,Transaksi!$G$16:$G$5015,"Pendapatan",Transaksi!$B$16:$B$5015,"&gt;="&amp;DATE(2040,10,1),Transaksi!$B$16:$B$5015,"&lt;="&amp;EOMONTH(DATE(2040,10,1),0),Transaksi!$H$16:$H$5015,"Uang Kos Mama")+SUMIFS(Transaksi!$F$16:$F$5015,Transaksi!$G$16:$G$5015,"Pendapatan",Transaksi!$B$16:$B$5015,"&gt;="&amp;DATE(2040,10,1),Transaksi!$B$16:$B$5015,"&lt;="&amp;EOMONTH(DATE(2040,10,1),0),Transaksi!$H$16:$H$5015,"Uang Kedai"))-(SUMIFS(Transaksi!$F$16:$F$5015,Transaksi!$G$16:$G$5015,"Pengeluaran",Transaksi!$B$16:$B$5015,"&gt;="&amp;DATE(2040,10,1),Transaksi!$B$16:$B$5015,"&lt;="&amp;EOMONTH(DATE(2040,10,1),0),Transaksi!$H$16:$H$5015,"Pengeluaran Uang Kos")+SUMIFS(Transaksi!$F$16:$F$5015,Transaksi!$G$16:$G$5015,"Pengeluaran",Transaksi!$B$16:$B$5015,"&gt;="&amp;DATE(2040,10,1),Transaksi!$B$16:$B$5015,"&lt;="&amp;EOMONTH(DATE(2040,10,1),0),Transaksi!$H$16:$H$5015,"Pengeluaran Uang Kedai")+(SUMIFS(Transaksi!$F$16:$F$5015,Transaksi!$G$16:$G$5015,"Tabungan",Transaksi!$D$16:$D$5015,"Keluar",Transaksi!$H$16:$H$5015,"Reksadana uang kos mama",Transaksi!$B$16:$B$5015,"&gt;="&amp;DATE(2040,10,1),Transaksi!$B$16:$B$5015,"&lt;="&amp;EOMONTH(DATE(2040,10,1),0))-SUMIFS(Transaksi!$F$16:$F$5015,Transaksi!$G$16:$G$5015,"Tabungan",Transaksi!$D$16:$D$5015,"Masuk",Transaksi!$H$16:$H$5015,"Reksadana uang kos mama",Transaksi!$B$16:$B$5015,"&gt;="&amp;DATE(2040,10,1),Transaksi!$B$16:$B$5015,"&lt;="&amp;EOMONTH(DATE(2040,10,1),0))))</f>
        <v/>
      </c>
      <c r="G206" s="165">
        <f>(SUMIFS(Transaksi!$F$16:$F$5015,Transaksi!$G$16:$G$5015,"Tabungan",Transaksi!$D$16:$D$5015,"Keluar",Transaksi!$H$16:$H$5015,"&lt;&gt;Reksadana uang kos mama",Transaksi!$B$16:$B$5015,"&gt;="&amp;DATE(2040,10,1),Transaksi!$B$16:$B$5015,"&lt;="&amp;EOMONTH(DATE(2040,10,1),0))-SUMIFS(Transaksi!$F$16:$F$5015,Transaksi!$G$16:$G$5015,"Tabungan",Transaksi!$D$16:$D$5015,"Masuk",Transaksi!$H$16:$H$5015,"&lt;&gt;Reksadana uang kos mama",Transaksi!$B$16:$B$5015,"&gt;="&amp;DATE(2040,10,1),Transaksi!$B$16:$B$5015,"&lt;="&amp;EOMONTH(DATE(2040,10,1),0)))</f>
        <v/>
      </c>
    </row>
    <row r="207" ht="15" customHeight="1" s="94">
      <c r="A207" s="164" t="n">
        <v>2040</v>
      </c>
      <c r="B207" s="164" t="inlineStr">
        <is>
          <t>Nov</t>
        </is>
      </c>
      <c r="C207" s="165">
        <f>SUMIFS(Transaksi!$F$16:$F$5015,Transaksi!$G$16:$G$5015,"Pendapatan",Transaksi!$B$16:$B$5015,"&gt;="&amp;DATE(2040,11,1),Transaksi!$B$16:$B$5015,"&lt;="&amp;EOMONTH(DATE(2040,11,1),0))</f>
        <v/>
      </c>
      <c r="D207" s="165">
        <f>SUMIFS(Transaksi!$F$16:$F$5015,Transaksi!$G$16:$G$5015,"Pengeluaran",Transaksi!$B$16:$B$5015,"&gt;="&amp;DATE(2040,11,1),Transaksi!$B$16:$B$5015,"&lt;="&amp;EOMONTH(DATE(2040,11,1),0))</f>
        <v/>
      </c>
      <c r="E207" s="166">
        <f>C207-D207</f>
        <v/>
      </c>
      <c r="F207" s="165">
        <f>(SUMIFS(Transaksi!$F$16:$F$5015,Transaksi!$G$16:$G$5015,"Pendapatan",Transaksi!$B$16:$B$5015,"&gt;="&amp;DATE(2040,11,1),Transaksi!$B$16:$B$5015,"&lt;="&amp;EOMONTH(DATE(2040,11,1),0),Transaksi!$H$16:$H$5015,"Uang Kos Mama")+SUMIFS(Transaksi!$F$16:$F$5015,Transaksi!$G$16:$G$5015,"Pendapatan",Transaksi!$B$16:$B$5015,"&gt;="&amp;DATE(2040,11,1),Transaksi!$B$16:$B$5015,"&lt;="&amp;EOMONTH(DATE(2040,11,1),0),Transaksi!$H$16:$H$5015,"Uang Kedai"))-(SUMIFS(Transaksi!$F$16:$F$5015,Transaksi!$G$16:$G$5015,"Pengeluaran",Transaksi!$B$16:$B$5015,"&gt;="&amp;DATE(2040,11,1),Transaksi!$B$16:$B$5015,"&lt;="&amp;EOMONTH(DATE(2040,11,1),0),Transaksi!$H$16:$H$5015,"Pengeluaran Uang Kos")+SUMIFS(Transaksi!$F$16:$F$5015,Transaksi!$G$16:$G$5015,"Pengeluaran",Transaksi!$B$16:$B$5015,"&gt;="&amp;DATE(2040,11,1),Transaksi!$B$16:$B$5015,"&lt;="&amp;EOMONTH(DATE(2040,11,1),0),Transaksi!$H$16:$H$5015,"Pengeluaran Uang Kedai")+(SUMIFS(Transaksi!$F$16:$F$5015,Transaksi!$G$16:$G$5015,"Tabungan",Transaksi!$D$16:$D$5015,"Keluar",Transaksi!$H$16:$H$5015,"Reksadana uang kos mama",Transaksi!$B$16:$B$5015,"&gt;="&amp;DATE(2040,11,1),Transaksi!$B$16:$B$5015,"&lt;="&amp;EOMONTH(DATE(2040,11,1),0))-SUMIFS(Transaksi!$F$16:$F$5015,Transaksi!$G$16:$G$5015,"Tabungan",Transaksi!$D$16:$D$5015,"Masuk",Transaksi!$H$16:$H$5015,"Reksadana uang kos mama",Transaksi!$B$16:$B$5015,"&gt;="&amp;DATE(2040,11,1),Transaksi!$B$16:$B$5015,"&lt;="&amp;EOMONTH(DATE(2040,11,1),0))))</f>
        <v/>
      </c>
      <c r="G207" s="165">
        <f>(SUMIFS(Transaksi!$F$16:$F$5015,Transaksi!$G$16:$G$5015,"Tabungan",Transaksi!$D$16:$D$5015,"Keluar",Transaksi!$H$16:$H$5015,"&lt;&gt;Reksadana uang kos mama",Transaksi!$B$16:$B$5015,"&gt;="&amp;DATE(2040,11,1),Transaksi!$B$16:$B$5015,"&lt;="&amp;EOMONTH(DATE(2040,11,1),0))-SUMIFS(Transaksi!$F$16:$F$5015,Transaksi!$G$16:$G$5015,"Tabungan",Transaksi!$D$16:$D$5015,"Masuk",Transaksi!$H$16:$H$5015,"&lt;&gt;Reksadana uang kos mama",Transaksi!$B$16:$B$5015,"&gt;="&amp;DATE(2040,11,1),Transaksi!$B$16:$B$5015,"&lt;="&amp;EOMONTH(DATE(2040,11,1),0)))</f>
        <v/>
      </c>
    </row>
    <row r="208" ht="15" customHeight="1" s="94">
      <c r="A208" s="164" t="n">
        <v>2040</v>
      </c>
      <c r="B208" s="164" t="inlineStr">
        <is>
          <t>Des</t>
        </is>
      </c>
      <c r="C208" s="165">
        <f>SUMIFS(Transaksi!$F$16:$F$5015,Transaksi!$G$16:$G$5015,"Pendapatan",Transaksi!$B$16:$B$5015,"&gt;="&amp;DATE(2040,12,1),Transaksi!$B$16:$B$5015,"&lt;="&amp;EOMONTH(DATE(2040,12,1),0))</f>
        <v/>
      </c>
      <c r="D208" s="165">
        <f>SUMIFS(Transaksi!$F$16:$F$5015,Transaksi!$G$16:$G$5015,"Pengeluaran",Transaksi!$B$16:$B$5015,"&gt;="&amp;DATE(2040,12,1),Transaksi!$B$16:$B$5015,"&lt;="&amp;EOMONTH(DATE(2040,12,1),0))</f>
        <v/>
      </c>
      <c r="E208" s="166">
        <f>C208-D208</f>
        <v/>
      </c>
      <c r="F208" s="165">
        <f>(SUMIFS(Transaksi!$F$16:$F$5015,Transaksi!$G$16:$G$5015,"Pendapatan",Transaksi!$B$16:$B$5015,"&gt;="&amp;DATE(2040,12,1),Transaksi!$B$16:$B$5015,"&lt;="&amp;EOMONTH(DATE(2040,12,1),0),Transaksi!$H$16:$H$5015,"Uang Kos Mama")+SUMIFS(Transaksi!$F$16:$F$5015,Transaksi!$G$16:$G$5015,"Pendapatan",Transaksi!$B$16:$B$5015,"&gt;="&amp;DATE(2040,12,1),Transaksi!$B$16:$B$5015,"&lt;="&amp;EOMONTH(DATE(2040,12,1),0),Transaksi!$H$16:$H$5015,"Uang Kedai"))-(SUMIFS(Transaksi!$F$16:$F$5015,Transaksi!$G$16:$G$5015,"Pengeluaran",Transaksi!$B$16:$B$5015,"&gt;="&amp;DATE(2040,12,1),Transaksi!$B$16:$B$5015,"&lt;="&amp;EOMONTH(DATE(2040,12,1),0),Transaksi!$H$16:$H$5015,"Pengeluaran Uang Kos")+SUMIFS(Transaksi!$F$16:$F$5015,Transaksi!$G$16:$G$5015,"Pengeluaran",Transaksi!$B$16:$B$5015,"&gt;="&amp;DATE(2040,12,1),Transaksi!$B$16:$B$5015,"&lt;="&amp;EOMONTH(DATE(2040,12,1),0),Transaksi!$H$16:$H$5015,"Pengeluaran Uang Kedai")+(SUMIFS(Transaksi!$F$16:$F$5015,Transaksi!$G$16:$G$5015,"Tabungan",Transaksi!$D$16:$D$5015,"Keluar",Transaksi!$H$16:$H$5015,"Reksadana uang kos mama",Transaksi!$B$16:$B$5015,"&gt;="&amp;DATE(2040,12,1),Transaksi!$B$16:$B$5015,"&lt;="&amp;EOMONTH(DATE(2040,12,1),0))-SUMIFS(Transaksi!$F$16:$F$5015,Transaksi!$G$16:$G$5015,"Tabungan",Transaksi!$D$16:$D$5015,"Masuk",Transaksi!$H$16:$H$5015,"Reksadana uang kos mama",Transaksi!$B$16:$B$5015,"&gt;="&amp;DATE(2040,12,1),Transaksi!$B$16:$B$5015,"&lt;="&amp;EOMONTH(DATE(2040,12,1),0))))</f>
        <v/>
      </c>
      <c r="G208" s="165">
        <f>(SUMIFS(Transaksi!$F$16:$F$5015,Transaksi!$G$16:$G$5015,"Tabungan",Transaksi!$D$16:$D$5015,"Keluar",Transaksi!$H$16:$H$5015,"&lt;&gt;Reksadana uang kos mama",Transaksi!$B$16:$B$5015,"&gt;="&amp;DATE(2040,12,1),Transaksi!$B$16:$B$5015,"&lt;="&amp;EOMONTH(DATE(2040,12,1),0))-SUMIFS(Transaksi!$F$16:$F$5015,Transaksi!$G$16:$G$5015,"Tabungan",Transaksi!$D$16:$D$5015,"Masuk",Transaksi!$H$16:$H$5015,"&lt;&gt;Reksadana uang kos mama",Transaksi!$B$16:$B$5015,"&gt;="&amp;DATE(2040,12,1),Transaksi!$B$16:$B$5015,"&lt;="&amp;EOMONTH(DATE(2040,12,1),0)))</f>
        <v/>
      </c>
    </row>
    <row r="209"/>
    <row r="210"/>
    <row r="211" ht="15" customHeight="1" s="94">
      <c r="A211" s="101" t="inlineStr">
        <is>
          <t>PER TAHUN</t>
        </is>
      </c>
      <c r="B211" s="102" t="n"/>
      <c r="C211" s="102" t="n"/>
      <c r="D211" s="102" t="n"/>
      <c r="E211" s="102" t="n"/>
      <c r="F211" s="102" t="n"/>
    </row>
    <row r="212" ht="24.75" customHeight="1" s="94">
      <c r="A212" s="103" t="inlineStr">
        <is>
          <t>Tahun</t>
        </is>
      </c>
      <c r="B212" s="103" t="n"/>
      <c r="C212" s="103" t="inlineStr">
        <is>
          <t>Pendapatan</t>
        </is>
      </c>
      <c r="D212" s="103" t="inlineStr">
        <is>
          <t>Pengeluaran</t>
        </is>
      </c>
      <c r="E212" s="103" t="inlineStr">
        <is>
          <t>Selisih (sebelum tabungan)</t>
        </is>
      </c>
      <c r="F212" s="103" t="inlineStr">
        <is>
          <t>Uang mama (masuk − keluar)</t>
        </is>
      </c>
      <c r="G212" s="103" t="inlineStr">
        <is>
          <t>Ditabung (bersih)</t>
        </is>
      </c>
    </row>
    <row r="213" ht="15" customHeight="1" s="94">
      <c r="A213" s="108" t="n">
        <v>2024</v>
      </c>
      <c r="C213" s="165">
        <f>SUMIFS(Transaksi!$F$16:$F$5015,Transaksi!$G$16:$G$5015,"Pendapatan",Transaksi!$B$16:$B$5015,"&gt;="&amp;DATE(2024,1,1),Transaksi!$B$16:$B$5015,"&lt;="&amp;DATE(2024,12,31))</f>
        <v/>
      </c>
      <c r="D213" s="165">
        <f>SUMIFS(Transaksi!$F$16:$F$5015,Transaksi!$G$16:$G$5015,"Pengeluaran",Transaksi!$B$16:$B$5015,"&gt;="&amp;DATE(2024,1,1),Transaksi!$B$16:$B$5015,"&lt;="&amp;DATE(2024,12,31))</f>
        <v/>
      </c>
      <c r="E213" s="166">
        <f>C213-D213</f>
        <v/>
      </c>
      <c r="F213" s="165">
        <f>(SUMIFS(Transaksi!$F$16:$F$5015,Transaksi!$G$16:$G$5015,"Pendapatan",Transaksi!$B$16:$B$5015,"&gt;="&amp;DATE(2024,1,1),Transaksi!$B$16:$B$5015,"&lt;="&amp;DATE(2024,12,31),Transaksi!$H$16:$H$5015,"Uang Kos Mama")+SUMIFS(Transaksi!$F$16:$F$5015,Transaksi!$G$16:$G$5015,"Pendapatan",Transaksi!$B$16:$B$5015,"&gt;="&amp;DATE(2024,1,1),Transaksi!$B$16:$B$5015,"&lt;="&amp;DATE(2024,12,31),Transaksi!$H$16:$H$5015,"Uang Kedai"))-(SUMIFS(Transaksi!$F$16:$F$5015,Transaksi!$G$16:$G$5015,"Pengeluaran",Transaksi!$B$16:$B$5015,"&gt;="&amp;DATE(2024,1,1),Transaksi!$B$16:$B$5015,"&lt;="&amp;DATE(2024,12,31),Transaksi!$H$16:$H$5015,"Pengeluaran Uang Kos")+SUMIFS(Transaksi!$F$16:$F$5015,Transaksi!$G$16:$G$5015,"Pengeluaran",Transaksi!$B$16:$B$5015,"&gt;="&amp;DATE(2024,1,1),Transaksi!$B$16:$B$5015,"&lt;="&amp;DATE(2024,12,31),Transaksi!$H$16:$H$5015,"Pengeluaran Uang Kedai")+(SUMIFS(Transaksi!$F$16:$F$5015,Transaksi!$G$16:$G$5015,"Tabungan",Transaksi!$D$16:$D$5015,"Keluar",Transaksi!$H$16:$H$5015,"Reksadana uang kos mama",Transaksi!$B$16:$B$5015,"&gt;="&amp;DATE(2024,1,1),Transaksi!$B$16:$B$5015,"&lt;="&amp;DATE(2024,12,31))-SUMIFS(Transaksi!$F$16:$F$5015,Transaksi!$G$16:$G$5015,"Tabungan",Transaksi!$D$16:$D$5015,"Masuk",Transaksi!$H$16:$H$5015,"Reksadana uang kos mama",Transaksi!$B$16:$B$5015,"&gt;="&amp;DATE(2024,1,1),Transaksi!$B$16:$B$5015,"&lt;="&amp;DATE(2024,12,31))))</f>
        <v/>
      </c>
      <c r="G213" s="165">
        <f>(SUMIFS(Transaksi!$F$16:$F$5015,Transaksi!$G$16:$G$5015,"Tabungan",Transaksi!$D$16:$D$5015,"Keluar",Transaksi!$H$16:$H$5015,"&lt;&gt;Reksadana uang kos mama",Transaksi!$B$16:$B$5015,"&gt;="&amp;DATE(2024,1,1),Transaksi!$B$16:$B$5015,"&lt;="&amp;DATE(2024,12,31))-SUMIFS(Transaksi!$F$16:$F$5015,Transaksi!$G$16:$G$5015,"Tabungan",Transaksi!$D$16:$D$5015,"Masuk",Transaksi!$H$16:$H$5015,"&lt;&gt;Reksadana uang kos mama",Transaksi!$B$16:$B$5015,"&gt;="&amp;DATE(2024,1,1),Transaksi!$B$16:$B$5015,"&lt;="&amp;DATE(2024,12,31)))</f>
        <v/>
      </c>
    </row>
    <row r="214" ht="15" customHeight="1" s="94">
      <c r="A214" s="108" t="n">
        <v>2025</v>
      </c>
      <c r="C214" s="165">
        <f>SUMIFS(Transaksi!$F$16:$F$5015,Transaksi!$G$16:$G$5015,"Pendapatan",Transaksi!$B$16:$B$5015,"&gt;="&amp;DATE(2025,1,1),Transaksi!$B$16:$B$5015,"&lt;="&amp;DATE(2025,12,31))</f>
        <v/>
      </c>
      <c r="D214" s="165">
        <f>SUMIFS(Transaksi!$F$16:$F$5015,Transaksi!$G$16:$G$5015,"Pengeluaran",Transaksi!$B$16:$B$5015,"&gt;="&amp;DATE(2025,1,1),Transaksi!$B$16:$B$5015,"&lt;="&amp;DATE(2025,12,31))</f>
        <v/>
      </c>
      <c r="E214" s="166">
        <f>C214-D214</f>
        <v/>
      </c>
      <c r="F214" s="165">
        <f>(SUMIFS(Transaksi!$F$16:$F$5015,Transaksi!$G$16:$G$5015,"Pendapatan",Transaksi!$B$16:$B$5015,"&gt;="&amp;DATE(2025,1,1),Transaksi!$B$16:$B$5015,"&lt;="&amp;DATE(2025,12,31),Transaksi!$H$16:$H$5015,"Uang Kos Mama")+SUMIFS(Transaksi!$F$16:$F$5015,Transaksi!$G$16:$G$5015,"Pendapatan",Transaksi!$B$16:$B$5015,"&gt;="&amp;DATE(2025,1,1),Transaksi!$B$16:$B$5015,"&lt;="&amp;DATE(2025,12,31),Transaksi!$H$16:$H$5015,"Uang Kedai"))-(SUMIFS(Transaksi!$F$16:$F$5015,Transaksi!$G$16:$G$5015,"Pengeluaran",Transaksi!$B$16:$B$5015,"&gt;="&amp;DATE(2025,1,1),Transaksi!$B$16:$B$5015,"&lt;="&amp;DATE(2025,12,31),Transaksi!$H$16:$H$5015,"Pengeluaran Uang Kos")+SUMIFS(Transaksi!$F$16:$F$5015,Transaksi!$G$16:$G$5015,"Pengeluaran",Transaksi!$B$16:$B$5015,"&gt;="&amp;DATE(2025,1,1),Transaksi!$B$16:$B$5015,"&lt;="&amp;DATE(2025,12,31),Transaksi!$H$16:$H$5015,"Pengeluaran Uang Kedai")+(SUMIFS(Transaksi!$F$16:$F$5015,Transaksi!$G$16:$G$5015,"Tabungan",Transaksi!$D$16:$D$5015,"Keluar",Transaksi!$H$16:$H$5015,"Reksadana uang kos mama",Transaksi!$B$16:$B$5015,"&gt;="&amp;DATE(2025,1,1),Transaksi!$B$16:$B$5015,"&lt;="&amp;DATE(2025,12,31))-SUMIFS(Transaksi!$F$16:$F$5015,Transaksi!$G$16:$G$5015,"Tabungan",Transaksi!$D$16:$D$5015,"Masuk",Transaksi!$H$16:$H$5015,"Reksadana uang kos mama",Transaksi!$B$16:$B$5015,"&gt;="&amp;DATE(2025,1,1),Transaksi!$B$16:$B$5015,"&lt;="&amp;DATE(2025,12,31))))</f>
        <v/>
      </c>
      <c r="G214" s="165">
        <f>(SUMIFS(Transaksi!$F$16:$F$5015,Transaksi!$G$16:$G$5015,"Tabungan",Transaksi!$D$16:$D$5015,"Keluar",Transaksi!$H$16:$H$5015,"&lt;&gt;Reksadana uang kos mama",Transaksi!$B$16:$B$5015,"&gt;="&amp;DATE(2025,1,1),Transaksi!$B$16:$B$5015,"&lt;="&amp;DATE(2025,12,31))-SUMIFS(Transaksi!$F$16:$F$5015,Transaksi!$G$16:$G$5015,"Tabungan",Transaksi!$D$16:$D$5015,"Masuk",Transaksi!$H$16:$H$5015,"&lt;&gt;Reksadana uang kos mama",Transaksi!$B$16:$B$5015,"&gt;="&amp;DATE(2025,1,1),Transaksi!$B$16:$B$5015,"&lt;="&amp;DATE(2025,12,31)))</f>
        <v/>
      </c>
    </row>
    <row r="215" ht="15" customHeight="1" s="94">
      <c r="A215" s="108" t="n">
        <v>2026</v>
      </c>
      <c r="C215" s="165">
        <f>SUMIFS(Transaksi!$F$16:$F$5015,Transaksi!$G$16:$G$5015,"Pendapatan",Transaksi!$B$16:$B$5015,"&gt;="&amp;DATE(2026,1,1),Transaksi!$B$16:$B$5015,"&lt;="&amp;DATE(2026,12,31))</f>
        <v/>
      </c>
      <c r="D215" s="165">
        <f>SUMIFS(Transaksi!$F$16:$F$5015,Transaksi!$G$16:$G$5015,"Pengeluaran",Transaksi!$B$16:$B$5015,"&gt;="&amp;DATE(2026,1,1),Transaksi!$B$16:$B$5015,"&lt;="&amp;DATE(2026,12,31))</f>
        <v/>
      </c>
      <c r="E215" s="166">
        <f>C215-D215</f>
        <v/>
      </c>
      <c r="F215" s="165">
        <f>(SUMIFS(Transaksi!$F$16:$F$5015,Transaksi!$G$16:$G$5015,"Pendapatan",Transaksi!$B$16:$B$5015,"&gt;="&amp;DATE(2026,1,1),Transaksi!$B$16:$B$5015,"&lt;="&amp;DATE(2026,12,31),Transaksi!$H$16:$H$5015,"Uang Kos Mama")+SUMIFS(Transaksi!$F$16:$F$5015,Transaksi!$G$16:$G$5015,"Pendapatan",Transaksi!$B$16:$B$5015,"&gt;="&amp;DATE(2026,1,1),Transaksi!$B$16:$B$5015,"&lt;="&amp;DATE(2026,12,31),Transaksi!$H$16:$H$5015,"Uang Kedai"))-(SUMIFS(Transaksi!$F$16:$F$5015,Transaksi!$G$16:$G$5015,"Pengeluaran",Transaksi!$B$16:$B$5015,"&gt;="&amp;DATE(2026,1,1),Transaksi!$B$16:$B$5015,"&lt;="&amp;DATE(2026,12,31),Transaksi!$H$16:$H$5015,"Pengeluaran Uang Kos")+SUMIFS(Transaksi!$F$16:$F$5015,Transaksi!$G$16:$G$5015,"Pengeluaran",Transaksi!$B$16:$B$5015,"&gt;="&amp;DATE(2026,1,1),Transaksi!$B$16:$B$5015,"&lt;="&amp;DATE(2026,12,31),Transaksi!$H$16:$H$5015,"Pengeluaran Uang Kedai")+(SUMIFS(Transaksi!$F$16:$F$5015,Transaksi!$G$16:$G$5015,"Tabungan",Transaksi!$D$16:$D$5015,"Keluar",Transaksi!$H$16:$H$5015,"Reksadana uang kos mama",Transaksi!$B$16:$B$5015,"&gt;="&amp;DATE(2026,1,1),Transaksi!$B$16:$B$5015,"&lt;="&amp;DATE(2026,12,31))-SUMIFS(Transaksi!$F$16:$F$5015,Transaksi!$G$16:$G$5015,"Tabungan",Transaksi!$D$16:$D$5015,"Masuk",Transaksi!$H$16:$H$5015,"Reksadana uang kos mama",Transaksi!$B$16:$B$5015,"&gt;="&amp;DATE(2026,1,1),Transaksi!$B$16:$B$5015,"&lt;="&amp;DATE(2026,12,31))))</f>
        <v/>
      </c>
      <c r="G215" s="165">
        <f>(SUMIFS(Transaksi!$F$16:$F$5015,Transaksi!$G$16:$G$5015,"Tabungan",Transaksi!$D$16:$D$5015,"Keluar",Transaksi!$H$16:$H$5015,"&lt;&gt;Reksadana uang kos mama",Transaksi!$B$16:$B$5015,"&gt;="&amp;DATE(2026,1,1),Transaksi!$B$16:$B$5015,"&lt;="&amp;DATE(2026,12,31))-SUMIFS(Transaksi!$F$16:$F$5015,Transaksi!$G$16:$G$5015,"Tabungan",Transaksi!$D$16:$D$5015,"Masuk",Transaksi!$H$16:$H$5015,"&lt;&gt;Reksadana uang kos mama",Transaksi!$B$16:$B$5015,"&gt;="&amp;DATE(2026,1,1),Transaksi!$B$16:$B$5015,"&lt;="&amp;DATE(2026,12,31)))</f>
        <v/>
      </c>
    </row>
    <row r="216" ht="15" customHeight="1" s="94">
      <c r="A216" s="108" t="n">
        <v>2027</v>
      </c>
      <c r="C216" s="165">
        <f>SUMIFS(Transaksi!$F$16:$F$5015,Transaksi!$G$16:$G$5015,"Pendapatan",Transaksi!$B$16:$B$5015,"&gt;="&amp;DATE(2027,1,1),Transaksi!$B$16:$B$5015,"&lt;="&amp;DATE(2027,12,31))</f>
        <v/>
      </c>
      <c r="D216" s="165">
        <f>SUMIFS(Transaksi!$F$16:$F$5015,Transaksi!$G$16:$G$5015,"Pengeluaran",Transaksi!$B$16:$B$5015,"&gt;="&amp;DATE(2027,1,1),Transaksi!$B$16:$B$5015,"&lt;="&amp;DATE(2027,12,31))</f>
        <v/>
      </c>
      <c r="E216" s="166">
        <f>C216-D216</f>
        <v/>
      </c>
      <c r="F216" s="165">
        <f>(SUMIFS(Transaksi!$F$16:$F$5015,Transaksi!$G$16:$G$5015,"Pendapatan",Transaksi!$B$16:$B$5015,"&gt;="&amp;DATE(2027,1,1),Transaksi!$B$16:$B$5015,"&lt;="&amp;DATE(2027,12,31),Transaksi!$H$16:$H$5015,"Uang Kos Mama")+SUMIFS(Transaksi!$F$16:$F$5015,Transaksi!$G$16:$G$5015,"Pendapatan",Transaksi!$B$16:$B$5015,"&gt;="&amp;DATE(2027,1,1),Transaksi!$B$16:$B$5015,"&lt;="&amp;DATE(2027,12,31),Transaksi!$H$16:$H$5015,"Uang Kedai"))-(SUMIFS(Transaksi!$F$16:$F$5015,Transaksi!$G$16:$G$5015,"Pengeluaran",Transaksi!$B$16:$B$5015,"&gt;="&amp;DATE(2027,1,1),Transaksi!$B$16:$B$5015,"&lt;="&amp;DATE(2027,12,31),Transaksi!$H$16:$H$5015,"Pengeluaran Uang Kos")+SUMIFS(Transaksi!$F$16:$F$5015,Transaksi!$G$16:$G$5015,"Pengeluaran",Transaksi!$B$16:$B$5015,"&gt;="&amp;DATE(2027,1,1),Transaksi!$B$16:$B$5015,"&lt;="&amp;DATE(2027,12,31),Transaksi!$H$16:$H$5015,"Pengeluaran Uang Kedai")+(SUMIFS(Transaksi!$F$16:$F$5015,Transaksi!$G$16:$G$5015,"Tabungan",Transaksi!$D$16:$D$5015,"Keluar",Transaksi!$H$16:$H$5015,"Reksadana uang kos mama",Transaksi!$B$16:$B$5015,"&gt;="&amp;DATE(2027,1,1),Transaksi!$B$16:$B$5015,"&lt;="&amp;DATE(2027,12,31))-SUMIFS(Transaksi!$F$16:$F$5015,Transaksi!$G$16:$G$5015,"Tabungan",Transaksi!$D$16:$D$5015,"Masuk",Transaksi!$H$16:$H$5015,"Reksadana uang kos mama",Transaksi!$B$16:$B$5015,"&gt;="&amp;DATE(2027,1,1),Transaksi!$B$16:$B$5015,"&lt;="&amp;DATE(2027,12,31))))</f>
        <v/>
      </c>
      <c r="G216" s="165">
        <f>(SUMIFS(Transaksi!$F$16:$F$5015,Transaksi!$G$16:$G$5015,"Tabungan",Transaksi!$D$16:$D$5015,"Keluar",Transaksi!$H$16:$H$5015,"&lt;&gt;Reksadana uang kos mama",Transaksi!$B$16:$B$5015,"&gt;="&amp;DATE(2027,1,1),Transaksi!$B$16:$B$5015,"&lt;="&amp;DATE(2027,12,31))-SUMIFS(Transaksi!$F$16:$F$5015,Transaksi!$G$16:$G$5015,"Tabungan",Transaksi!$D$16:$D$5015,"Masuk",Transaksi!$H$16:$H$5015,"&lt;&gt;Reksadana uang kos mama",Transaksi!$B$16:$B$5015,"&gt;="&amp;DATE(2027,1,1),Transaksi!$B$16:$B$5015,"&lt;="&amp;DATE(2027,12,31)))</f>
        <v/>
      </c>
    </row>
    <row r="217" ht="15" customHeight="1" s="94">
      <c r="A217" s="108" t="n">
        <v>2028</v>
      </c>
      <c r="C217" s="165">
        <f>SUMIFS(Transaksi!$F$16:$F$5015,Transaksi!$G$16:$G$5015,"Pendapatan",Transaksi!$B$16:$B$5015,"&gt;="&amp;DATE(2028,1,1),Transaksi!$B$16:$B$5015,"&lt;="&amp;DATE(2028,12,31))</f>
        <v/>
      </c>
      <c r="D217" s="165">
        <f>SUMIFS(Transaksi!$F$16:$F$5015,Transaksi!$G$16:$G$5015,"Pengeluaran",Transaksi!$B$16:$B$5015,"&gt;="&amp;DATE(2028,1,1),Transaksi!$B$16:$B$5015,"&lt;="&amp;DATE(2028,12,31))</f>
        <v/>
      </c>
      <c r="E217" s="166">
        <f>C217-D217</f>
        <v/>
      </c>
      <c r="F217" s="165">
        <f>(SUMIFS(Transaksi!$F$16:$F$5015,Transaksi!$G$16:$G$5015,"Pendapatan",Transaksi!$B$16:$B$5015,"&gt;="&amp;DATE(2028,1,1),Transaksi!$B$16:$B$5015,"&lt;="&amp;DATE(2028,12,31),Transaksi!$H$16:$H$5015,"Uang Kos Mama")+SUMIFS(Transaksi!$F$16:$F$5015,Transaksi!$G$16:$G$5015,"Pendapatan",Transaksi!$B$16:$B$5015,"&gt;="&amp;DATE(2028,1,1),Transaksi!$B$16:$B$5015,"&lt;="&amp;DATE(2028,12,31),Transaksi!$H$16:$H$5015,"Uang Kedai"))-(SUMIFS(Transaksi!$F$16:$F$5015,Transaksi!$G$16:$G$5015,"Pengeluaran",Transaksi!$B$16:$B$5015,"&gt;="&amp;DATE(2028,1,1),Transaksi!$B$16:$B$5015,"&lt;="&amp;DATE(2028,12,31),Transaksi!$H$16:$H$5015,"Pengeluaran Uang Kos")+SUMIFS(Transaksi!$F$16:$F$5015,Transaksi!$G$16:$G$5015,"Pengeluaran",Transaksi!$B$16:$B$5015,"&gt;="&amp;DATE(2028,1,1),Transaksi!$B$16:$B$5015,"&lt;="&amp;DATE(2028,12,31),Transaksi!$H$16:$H$5015,"Pengeluaran Uang Kedai")+(SUMIFS(Transaksi!$F$16:$F$5015,Transaksi!$G$16:$G$5015,"Tabungan",Transaksi!$D$16:$D$5015,"Keluar",Transaksi!$H$16:$H$5015,"Reksadana uang kos mama",Transaksi!$B$16:$B$5015,"&gt;="&amp;DATE(2028,1,1),Transaksi!$B$16:$B$5015,"&lt;="&amp;DATE(2028,12,31))-SUMIFS(Transaksi!$F$16:$F$5015,Transaksi!$G$16:$G$5015,"Tabungan",Transaksi!$D$16:$D$5015,"Masuk",Transaksi!$H$16:$H$5015,"Reksadana uang kos mama",Transaksi!$B$16:$B$5015,"&gt;="&amp;DATE(2028,1,1),Transaksi!$B$16:$B$5015,"&lt;="&amp;DATE(2028,12,31))))</f>
        <v/>
      </c>
      <c r="G217" s="165">
        <f>(SUMIFS(Transaksi!$F$16:$F$5015,Transaksi!$G$16:$G$5015,"Tabungan",Transaksi!$D$16:$D$5015,"Keluar",Transaksi!$H$16:$H$5015,"&lt;&gt;Reksadana uang kos mama",Transaksi!$B$16:$B$5015,"&gt;="&amp;DATE(2028,1,1),Transaksi!$B$16:$B$5015,"&lt;="&amp;DATE(2028,12,31))-SUMIFS(Transaksi!$F$16:$F$5015,Transaksi!$G$16:$G$5015,"Tabungan",Transaksi!$D$16:$D$5015,"Masuk",Transaksi!$H$16:$H$5015,"&lt;&gt;Reksadana uang kos mama",Transaksi!$B$16:$B$5015,"&gt;="&amp;DATE(2028,1,1),Transaksi!$B$16:$B$5015,"&lt;="&amp;DATE(2028,12,31)))</f>
        <v/>
      </c>
    </row>
    <row r="218" ht="15" customHeight="1" s="94">
      <c r="A218" s="108" t="n">
        <v>2029</v>
      </c>
      <c r="C218" s="165">
        <f>SUMIFS(Transaksi!$F$16:$F$5015,Transaksi!$G$16:$G$5015,"Pendapatan",Transaksi!$B$16:$B$5015,"&gt;="&amp;DATE(2029,1,1),Transaksi!$B$16:$B$5015,"&lt;="&amp;DATE(2029,12,31))</f>
        <v/>
      </c>
      <c r="D218" s="165">
        <f>SUMIFS(Transaksi!$F$16:$F$5015,Transaksi!$G$16:$G$5015,"Pengeluaran",Transaksi!$B$16:$B$5015,"&gt;="&amp;DATE(2029,1,1),Transaksi!$B$16:$B$5015,"&lt;="&amp;DATE(2029,12,31))</f>
        <v/>
      </c>
      <c r="E218" s="166">
        <f>C218-D218</f>
        <v/>
      </c>
      <c r="F218" s="165">
        <f>(SUMIFS(Transaksi!$F$16:$F$5015,Transaksi!$G$16:$G$5015,"Pendapatan",Transaksi!$B$16:$B$5015,"&gt;="&amp;DATE(2029,1,1),Transaksi!$B$16:$B$5015,"&lt;="&amp;DATE(2029,12,31),Transaksi!$H$16:$H$5015,"Uang Kos Mama")+SUMIFS(Transaksi!$F$16:$F$5015,Transaksi!$G$16:$G$5015,"Pendapatan",Transaksi!$B$16:$B$5015,"&gt;="&amp;DATE(2029,1,1),Transaksi!$B$16:$B$5015,"&lt;="&amp;DATE(2029,12,31),Transaksi!$H$16:$H$5015,"Uang Kedai"))-(SUMIFS(Transaksi!$F$16:$F$5015,Transaksi!$G$16:$G$5015,"Pengeluaran",Transaksi!$B$16:$B$5015,"&gt;="&amp;DATE(2029,1,1),Transaksi!$B$16:$B$5015,"&lt;="&amp;DATE(2029,12,31),Transaksi!$H$16:$H$5015,"Pengeluaran Uang Kos")+SUMIFS(Transaksi!$F$16:$F$5015,Transaksi!$G$16:$G$5015,"Pengeluaran",Transaksi!$B$16:$B$5015,"&gt;="&amp;DATE(2029,1,1),Transaksi!$B$16:$B$5015,"&lt;="&amp;DATE(2029,12,31),Transaksi!$H$16:$H$5015,"Pengeluaran Uang Kedai")+(SUMIFS(Transaksi!$F$16:$F$5015,Transaksi!$G$16:$G$5015,"Tabungan",Transaksi!$D$16:$D$5015,"Keluar",Transaksi!$H$16:$H$5015,"Reksadana uang kos mama",Transaksi!$B$16:$B$5015,"&gt;="&amp;DATE(2029,1,1),Transaksi!$B$16:$B$5015,"&lt;="&amp;DATE(2029,12,31))-SUMIFS(Transaksi!$F$16:$F$5015,Transaksi!$G$16:$G$5015,"Tabungan",Transaksi!$D$16:$D$5015,"Masuk",Transaksi!$H$16:$H$5015,"Reksadana uang kos mama",Transaksi!$B$16:$B$5015,"&gt;="&amp;DATE(2029,1,1),Transaksi!$B$16:$B$5015,"&lt;="&amp;DATE(2029,12,31))))</f>
        <v/>
      </c>
      <c r="G218" s="165">
        <f>(SUMIFS(Transaksi!$F$16:$F$5015,Transaksi!$G$16:$G$5015,"Tabungan",Transaksi!$D$16:$D$5015,"Keluar",Transaksi!$H$16:$H$5015,"&lt;&gt;Reksadana uang kos mama",Transaksi!$B$16:$B$5015,"&gt;="&amp;DATE(2029,1,1),Transaksi!$B$16:$B$5015,"&lt;="&amp;DATE(2029,12,31))-SUMIFS(Transaksi!$F$16:$F$5015,Transaksi!$G$16:$G$5015,"Tabungan",Transaksi!$D$16:$D$5015,"Masuk",Transaksi!$H$16:$H$5015,"&lt;&gt;Reksadana uang kos mama",Transaksi!$B$16:$B$5015,"&gt;="&amp;DATE(2029,1,1),Transaksi!$B$16:$B$5015,"&lt;="&amp;DATE(2029,12,31)))</f>
        <v/>
      </c>
    </row>
    <row r="219" ht="15" customHeight="1" s="94">
      <c r="A219" s="108" t="n">
        <v>2030</v>
      </c>
      <c r="C219" s="165">
        <f>SUMIFS(Transaksi!$F$16:$F$5015,Transaksi!$G$16:$G$5015,"Pendapatan",Transaksi!$B$16:$B$5015,"&gt;="&amp;DATE(2030,1,1),Transaksi!$B$16:$B$5015,"&lt;="&amp;DATE(2030,12,31))</f>
        <v/>
      </c>
      <c r="D219" s="165">
        <f>SUMIFS(Transaksi!$F$16:$F$5015,Transaksi!$G$16:$G$5015,"Pengeluaran",Transaksi!$B$16:$B$5015,"&gt;="&amp;DATE(2030,1,1),Transaksi!$B$16:$B$5015,"&lt;="&amp;DATE(2030,12,31))</f>
        <v/>
      </c>
      <c r="E219" s="166">
        <f>C219-D219</f>
        <v/>
      </c>
      <c r="F219" s="165">
        <f>(SUMIFS(Transaksi!$F$16:$F$5015,Transaksi!$G$16:$G$5015,"Pendapatan",Transaksi!$B$16:$B$5015,"&gt;="&amp;DATE(2030,1,1),Transaksi!$B$16:$B$5015,"&lt;="&amp;DATE(2030,12,31),Transaksi!$H$16:$H$5015,"Uang Kos Mama")+SUMIFS(Transaksi!$F$16:$F$5015,Transaksi!$G$16:$G$5015,"Pendapatan",Transaksi!$B$16:$B$5015,"&gt;="&amp;DATE(2030,1,1),Transaksi!$B$16:$B$5015,"&lt;="&amp;DATE(2030,12,31),Transaksi!$H$16:$H$5015,"Uang Kedai"))-(SUMIFS(Transaksi!$F$16:$F$5015,Transaksi!$G$16:$G$5015,"Pengeluaran",Transaksi!$B$16:$B$5015,"&gt;="&amp;DATE(2030,1,1),Transaksi!$B$16:$B$5015,"&lt;="&amp;DATE(2030,12,31),Transaksi!$H$16:$H$5015,"Pengeluaran Uang Kos")+SUMIFS(Transaksi!$F$16:$F$5015,Transaksi!$G$16:$G$5015,"Pengeluaran",Transaksi!$B$16:$B$5015,"&gt;="&amp;DATE(2030,1,1),Transaksi!$B$16:$B$5015,"&lt;="&amp;DATE(2030,12,31),Transaksi!$H$16:$H$5015,"Pengeluaran Uang Kedai")+(SUMIFS(Transaksi!$F$16:$F$5015,Transaksi!$G$16:$G$5015,"Tabungan",Transaksi!$D$16:$D$5015,"Keluar",Transaksi!$H$16:$H$5015,"Reksadana uang kos mama",Transaksi!$B$16:$B$5015,"&gt;="&amp;DATE(2030,1,1),Transaksi!$B$16:$B$5015,"&lt;="&amp;DATE(2030,12,31))-SUMIFS(Transaksi!$F$16:$F$5015,Transaksi!$G$16:$G$5015,"Tabungan",Transaksi!$D$16:$D$5015,"Masuk",Transaksi!$H$16:$H$5015,"Reksadana uang kos mama",Transaksi!$B$16:$B$5015,"&gt;="&amp;DATE(2030,1,1),Transaksi!$B$16:$B$5015,"&lt;="&amp;DATE(2030,12,31))))</f>
        <v/>
      </c>
      <c r="G219" s="165">
        <f>(SUMIFS(Transaksi!$F$16:$F$5015,Transaksi!$G$16:$G$5015,"Tabungan",Transaksi!$D$16:$D$5015,"Keluar",Transaksi!$H$16:$H$5015,"&lt;&gt;Reksadana uang kos mama",Transaksi!$B$16:$B$5015,"&gt;="&amp;DATE(2030,1,1),Transaksi!$B$16:$B$5015,"&lt;="&amp;DATE(2030,12,31))-SUMIFS(Transaksi!$F$16:$F$5015,Transaksi!$G$16:$G$5015,"Tabungan",Transaksi!$D$16:$D$5015,"Masuk",Transaksi!$H$16:$H$5015,"&lt;&gt;Reksadana uang kos mama",Transaksi!$B$16:$B$5015,"&gt;="&amp;DATE(2030,1,1),Transaksi!$B$16:$B$5015,"&lt;="&amp;DATE(2030,12,31)))</f>
        <v/>
      </c>
    </row>
    <row r="220" ht="15" customHeight="1" s="94">
      <c r="A220" s="108" t="n">
        <v>2031</v>
      </c>
      <c r="C220" s="165">
        <f>SUMIFS(Transaksi!$F$16:$F$5015,Transaksi!$G$16:$G$5015,"Pendapatan",Transaksi!$B$16:$B$5015,"&gt;="&amp;DATE(2031,1,1),Transaksi!$B$16:$B$5015,"&lt;="&amp;DATE(2031,12,31))</f>
        <v/>
      </c>
      <c r="D220" s="165">
        <f>SUMIFS(Transaksi!$F$16:$F$5015,Transaksi!$G$16:$G$5015,"Pengeluaran",Transaksi!$B$16:$B$5015,"&gt;="&amp;DATE(2031,1,1),Transaksi!$B$16:$B$5015,"&lt;="&amp;DATE(2031,12,31))</f>
        <v/>
      </c>
      <c r="E220" s="166">
        <f>C220-D220</f>
        <v/>
      </c>
      <c r="F220" s="165">
        <f>(SUMIFS(Transaksi!$F$16:$F$5015,Transaksi!$G$16:$G$5015,"Pendapatan",Transaksi!$B$16:$B$5015,"&gt;="&amp;DATE(2031,1,1),Transaksi!$B$16:$B$5015,"&lt;="&amp;DATE(2031,12,31),Transaksi!$H$16:$H$5015,"Uang Kos Mama")+SUMIFS(Transaksi!$F$16:$F$5015,Transaksi!$G$16:$G$5015,"Pendapatan",Transaksi!$B$16:$B$5015,"&gt;="&amp;DATE(2031,1,1),Transaksi!$B$16:$B$5015,"&lt;="&amp;DATE(2031,12,31),Transaksi!$H$16:$H$5015,"Uang Kedai"))-(SUMIFS(Transaksi!$F$16:$F$5015,Transaksi!$G$16:$G$5015,"Pengeluaran",Transaksi!$B$16:$B$5015,"&gt;="&amp;DATE(2031,1,1),Transaksi!$B$16:$B$5015,"&lt;="&amp;DATE(2031,12,31),Transaksi!$H$16:$H$5015,"Pengeluaran Uang Kos")+SUMIFS(Transaksi!$F$16:$F$5015,Transaksi!$G$16:$G$5015,"Pengeluaran",Transaksi!$B$16:$B$5015,"&gt;="&amp;DATE(2031,1,1),Transaksi!$B$16:$B$5015,"&lt;="&amp;DATE(2031,12,31),Transaksi!$H$16:$H$5015,"Pengeluaran Uang Kedai")+(SUMIFS(Transaksi!$F$16:$F$5015,Transaksi!$G$16:$G$5015,"Tabungan",Transaksi!$D$16:$D$5015,"Keluar",Transaksi!$H$16:$H$5015,"Reksadana uang kos mama",Transaksi!$B$16:$B$5015,"&gt;="&amp;DATE(2031,1,1),Transaksi!$B$16:$B$5015,"&lt;="&amp;DATE(2031,12,31))-SUMIFS(Transaksi!$F$16:$F$5015,Transaksi!$G$16:$G$5015,"Tabungan",Transaksi!$D$16:$D$5015,"Masuk",Transaksi!$H$16:$H$5015,"Reksadana uang kos mama",Transaksi!$B$16:$B$5015,"&gt;="&amp;DATE(2031,1,1),Transaksi!$B$16:$B$5015,"&lt;="&amp;DATE(2031,12,31))))</f>
        <v/>
      </c>
      <c r="G220" s="165">
        <f>(SUMIFS(Transaksi!$F$16:$F$5015,Transaksi!$G$16:$G$5015,"Tabungan",Transaksi!$D$16:$D$5015,"Keluar",Transaksi!$H$16:$H$5015,"&lt;&gt;Reksadana uang kos mama",Transaksi!$B$16:$B$5015,"&gt;="&amp;DATE(2031,1,1),Transaksi!$B$16:$B$5015,"&lt;="&amp;DATE(2031,12,31))-SUMIFS(Transaksi!$F$16:$F$5015,Transaksi!$G$16:$G$5015,"Tabungan",Transaksi!$D$16:$D$5015,"Masuk",Transaksi!$H$16:$H$5015,"&lt;&gt;Reksadana uang kos mama",Transaksi!$B$16:$B$5015,"&gt;="&amp;DATE(2031,1,1),Transaksi!$B$16:$B$5015,"&lt;="&amp;DATE(2031,12,31)))</f>
        <v/>
      </c>
    </row>
    <row r="221" ht="15" customHeight="1" s="94">
      <c r="A221" s="108" t="n">
        <v>2032</v>
      </c>
      <c r="C221" s="165">
        <f>SUMIFS(Transaksi!$F$16:$F$5015,Transaksi!$G$16:$G$5015,"Pendapatan",Transaksi!$B$16:$B$5015,"&gt;="&amp;DATE(2032,1,1),Transaksi!$B$16:$B$5015,"&lt;="&amp;DATE(2032,12,31))</f>
        <v/>
      </c>
      <c r="D221" s="165">
        <f>SUMIFS(Transaksi!$F$16:$F$5015,Transaksi!$G$16:$G$5015,"Pengeluaran",Transaksi!$B$16:$B$5015,"&gt;="&amp;DATE(2032,1,1),Transaksi!$B$16:$B$5015,"&lt;="&amp;DATE(2032,12,31))</f>
        <v/>
      </c>
      <c r="E221" s="166">
        <f>C221-D221</f>
        <v/>
      </c>
      <c r="F221" s="165">
        <f>(SUMIFS(Transaksi!$F$16:$F$5015,Transaksi!$G$16:$G$5015,"Pendapatan",Transaksi!$B$16:$B$5015,"&gt;="&amp;DATE(2032,1,1),Transaksi!$B$16:$B$5015,"&lt;="&amp;DATE(2032,12,31),Transaksi!$H$16:$H$5015,"Uang Kos Mama")+SUMIFS(Transaksi!$F$16:$F$5015,Transaksi!$G$16:$G$5015,"Pendapatan",Transaksi!$B$16:$B$5015,"&gt;="&amp;DATE(2032,1,1),Transaksi!$B$16:$B$5015,"&lt;="&amp;DATE(2032,12,31),Transaksi!$H$16:$H$5015,"Uang Kedai"))-(SUMIFS(Transaksi!$F$16:$F$5015,Transaksi!$G$16:$G$5015,"Pengeluaran",Transaksi!$B$16:$B$5015,"&gt;="&amp;DATE(2032,1,1),Transaksi!$B$16:$B$5015,"&lt;="&amp;DATE(2032,12,31),Transaksi!$H$16:$H$5015,"Pengeluaran Uang Kos")+SUMIFS(Transaksi!$F$16:$F$5015,Transaksi!$G$16:$G$5015,"Pengeluaran",Transaksi!$B$16:$B$5015,"&gt;="&amp;DATE(2032,1,1),Transaksi!$B$16:$B$5015,"&lt;="&amp;DATE(2032,12,31),Transaksi!$H$16:$H$5015,"Pengeluaran Uang Kedai")+(SUMIFS(Transaksi!$F$16:$F$5015,Transaksi!$G$16:$G$5015,"Tabungan",Transaksi!$D$16:$D$5015,"Keluar",Transaksi!$H$16:$H$5015,"Reksadana uang kos mama",Transaksi!$B$16:$B$5015,"&gt;="&amp;DATE(2032,1,1),Transaksi!$B$16:$B$5015,"&lt;="&amp;DATE(2032,12,31))-SUMIFS(Transaksi!$F$16:$F$5015,Transaksi!$G$16:$G$5015,"Tabungan",Transaksi!$D$16:$D$5015,"Masuk",Transaksi!$H$16:$H$5015,"Reksadana uang kos mama",Transaksi!$B$16:$B$5015,"&gt;="&amp;DATE(2032,1,1),Transaksi!$B$16:$B$5015,"&lt;="&amp;DATE(2032,12,31))))</f>
        <v/>
      </c>
      <c r="G221" s="165">
        <f>(SUMIFS(Transaksi!$F$16:$F$5015,Transaksi!$G$16:$G$5015,"Tabungan",Transaksi!$D$16:$D$5015,"Keluar",Transaksi!$H$16:$H$5015,"&lt;&gt;Reksadana uang kos mama",Transaksi!$B$16:$B$5015,"&gt;="&amp;DATE(2032,1,1),Transaksi!$B$16:$B$5015,"&lt;="&amp;DATE(2032,12,31))-SUMIFS(Transaksi!$F$16:$F$5015,Transaksi!$G$16:$G$5015,"Tabungan",Transaksi!$D$16:$D$5015,"Masuk",Transaksi!$H$16:$H$5015,"&lt;&gt;Reksadana uang kos mama",Transaksi!$B$16:$B$5015,"&gt;="&amp;DATE(2032,1,1),Transaksi!$B$16:$B$5015,"&lt;="&amp;DATE(2032,12,31)))</f>
        <v/>
      </c>
    </row>
    <row r="222" ht="15" customHeight="1" s="94">
      <c r="A222" s="108" t="n">
        <v>2033</v>
      </c>
      <c r="C222" s="165">
        <f>SUMIFS(Transaksi!$F$16:$F$5015,Transaksi!$G$16:$G$5015,"Pendapatan",Transaksi!$B$16:$B$5015,"&gt;="&amp;DATE(2033,1,1),Transaksi!$B$16:$B$5015,"&lt;="&amp;DATE(2033,12,31))</f>
        <v/>
      </c>
      <c r="D222" s="165">
        <f>SUMIFS(Transaksi!$F$16:$F$5015,Transaksi!$G$16:$G$5015,"Pengeluaran",Transaksi!$B$16:$B$5015,"&gt;="&amp;DATE(2033,1,1),Transaksi!$B$16:$B$5015,"&lt;="&amp;DATE(2033,12,31))</f>
        <v/>
      </c>
      <c r="E222" s="166">
        <f>C222-D222</f>
        <v/>
      </c>
      <c r="F222" s="165">
        <f>(SUMIFS(Transaksi!$F$16:$F$5015,Transaksi!$G$16:$G$5015,"Pendapatan",Transaksi!$B$16:$B$5015,"&gt;="&amp;DATE(2033,1,1),Transaksi!$B$16:$B$5015,"&lt;="&amp;DATE(2033,12,31),Transaksi!$H$16:$H$5015,"Uang Kos Mama")+SUMIFS(Transaksi!$F$16:$F$5015,Transaksi!$G$16:$G$5015,"Pendapatan",Transaksi!$B$16:$B$5015,"&gt;="&amp;DATE(2033,1,1),Transaksi!$B$16:$B$5015,"&lt;="&amp;DATE(2033,12,31),Transaksi!$H$16:$H$5015,"Uang Kedai"))-(SUMIFS(Transaksi!$F$16:$F$5015,Transaksi!$G$16:$G$5015,"Pengeluaran",Transaksi!$B$16:$B$5015,"&gt;="&amp;DATE(2033,1,1),Transaksi!$B$16:$B$5015,"&lt;="&amp;DATE(2033,12,31),Transaksi!$H$16:$H$5015,"Pengeluaran Uang Kos")+SUMIFS(Transaksi!$F$16:$F$5015,Transaksi!$G$16:$G$5015,"Pengeluaran",Transaksi!$B$16:$B$5015,"&gt;="&amp;DATE(2033,1,1),Transaksi!$B$16:$B$5015,"&lt;="&amp;DATE(2033,12,31),Transaksi!$H$16:$H$5015,"Pengeluaran Uang Kedai")+(SUMIFS(Transaksi!$F$16:$F$5015,Transaksi!$G$16:$G$5015,"Tabungan",Transaksi!$D$16:$D$5015,"Keluar",Transaksi!$H$16:$H$5015,"Reksadana uang kos mama",Transaksi!$B$16:$B$5015,"&gt;="&amp;DATE(2033,1,1),Transaksi!$B$16:$B$5015,"&lt;="&amp;DATE(2033,12,31))-SUMIFS(Transaksi!$F$16:$F$5015,Transaksi!$G$16:$G$5015,"Tabungan",Transaksi!$D$16:$D$5015,"Masuk",Transaksi!$H$16:$H$5015,"Reksadana uang kos mama",Transaksi!$B$16:$B$5015,"&gt;="&amp;DATE(2033,1,1),Transaksi!$B$16:$B$5015,"&lt;="&amp;DATE(2033,12,31))))</f>
        <v/>
      </c>
      <c r="G222" s="165">
        <f>(SUMIFS(Transaksi!$F$16:$F$5015,Transaksi!$G$16:$G$5015,"Tabungan",Transaksi!$D$16:$D$5015,"Keluar",Transaksi!$H$16:$H$5015,"&lt;&gt;Reksadana uang kos mama",Transaksi!$B$16:$B$5015,"&gt;="&amp;DATE(2033,1,1),Transaksi!$B$16:$B$5015,"&lt;="&amp;DATE(2033,12,31))-SUMIFS(Transaksi!$F$16:$F$5015,Transaksi!$G$16:$G$5015,"Tabungan",Transaksi!$D$16:$D$5015,"Masuk",Transaksi!$H$16:$H$5015,"&lt;&gt;Reksadana uang kos mama",Transaksi!$B$16:$B$5015,"&gt;="&amp;DATE(2033,1,1),Transaksi!$B$16:$B$5015,"&lt;="&amp;DATE(2033,12,31)))</f>
        <v/>
      </c>
    </row>
    <row r="223" ht="15" customHeight="1" s="94">
      <c r="A223" s="108" t="n">
        <v>2034</v>
      </c>
      <c r="C223" s="165">
        <f>SUMIFS(Transaksi!$F$16:$F$5015,Transaksi!$G$16:$G$5015,"Pendapatan",Transaksi!$B$16:$B$5015,"&gt;="&amp;DATE(2034,1,1),Transaksi!$B$16:$B$5015,"&lt;="&amp;DATE(2034,12,31))</f>
        <v/>
      </c>
      <c r="D223" s="165">
        <f>SUMIFS(Transaksi!$F$16:$F$5015,Transaksi!$G$16:$G$5015,"Pengeluaran",Transaksi!$B$16:$B$5015,"&gt;="&amp;DATE(2034,1,1),Transaksi!$B$16:$B$5015,"&lt;="&amp;DATE(2034,12,31))</f>
        <v/>
      </c>
      <c r="E223" s="166">
        <f>C223-D223</f>
        <v/>
      </c>
      <c r="F223" s="165">
        <f>(SUMIFS(Transaksi!$F$16:$F$5015,Transaksi!$G$16:$G$5015,"Pendapatan",Transaksi!$B$16:$B$5015,"&gt;="&amp;DATE(2034,1,1),Transaksi!$B$16:$B$5015,"&lt;="&amp;DATE(2034,12,31),Transaksi!$H$16:$H$5015,"Uang Kos Mama")+SUMIFS(Transaksi!$F$16:$F$5015,Transaksi!$G$16:$G$5015,"Pendapatan",Transaksi!$B$16:$B$5015,"&gt;="&amp;DATE(2034,1,1),Transaksi!$B$16:$B$5015,"&lt;="&amp;DATE(2034,12,31),Transaksi!$H$16:$H$5015,"Uang Kedai"))-(SUMIFS(Transaksi!$F$16:$F$5015,Transaksi!$G$16:$G$5015,"Pengeluaran",Transaksi!$B$16:$B$5015,"&gt;="&amp;DATE(2034,1,1),Transaksi!$B$16:$B$5015,"&lt;="&amp;DATE(2034,12,31),Transaksi!$H$16:$H$5015,"Pengeluaran Uang Kos")+SUMIFS(Transaksi!$F$16:$F$5015,Transaksi!$G$16:$G$5015,"Pengeluaran",Transaksi!$B$16:$B$5015,"&gt;="&amp;DATE(2034,1,1),Transaksi!$B$16:$B$5015,"&lt;="&amp;DATE(2034,12,31),Transaksi!$H$16:$H$5015,"Pengeluaran Uang Kedai")+(SUMIFS(Transaksi!$F$16:$F$5015,Transaksi!$G$16:$G$5015,"Tabungan",Transaksi!$D$16:$D$5015,"Keluar",Transaksi!$H$16:$H$5015,"Reksadana uang kos mama",Transaksi!$B$16:$B$5015,"&gt;="&amp;DATE(2034,1,1),Transaksi!$B$16:$B$5015,"&lt;="&amp;DATE(2034,12,31))-SUMIFS(Transaksi!$F$16:$F$5015,Transaksi!$G$16:$G$5015,"Tabungan",Transaksi!$D$16:$D$5015,"Masuk",Transaksi!$H$16:$H$5015,"Reksadana uang kos mama",Transaksi!$B$16:$B$5015,"&gt;="&amp;DATE(2034,1,1),Transaksi!$B$16:$B$5015,"&lt;="&amp;DATE(2034,12,31))))</f>
        <v/>
      </c>
      <c r="G223" s="165">
        <f>(SUMIFS(Transaksi!$F$16:$F$5015,Transaksi!$G$16:$G$5015,"Tabungan",Transaksi!$D$16:$D$5015,"Keluar",Transaksi!$H$16:$H$5015,"&lt;&gt;Reksadana uang kos mama",Transaksi!$B$16:$B$5015,"&gt;="&amp;DATE(2034,1,1),Transaksi!$B$16:$B$5015,"&lt;="&amp;DATE(2034,12,31))-SUMIFS(Transaksi!$F$16:$F$5015,Transaksi!$G$16:$G$5015,"Tabungan",Transaksi!$D$16:$D$5015,"Masuk",Transaksi!$H$16:$H$5015,"&lt;&gt;Reksadana uang kos mama",Transaksi!$B$16:$B$5015,"&gt;="&amp;DATE(2034,1,1),Transaksi!$B$16:$B$5015,"&lt;="&amp;DATE(2034,12,31)))</f>
        <v/>
      </c>
    </row>
    <row r="224" ht="15" customHeight="1" s="94">
      <c r="A224" s="108" t="n">
        <v>2035</v>
      </c>
      <c r="C224" s="165">
        <f>SUMIFS(Transaksi!$F$16:$F$5015,Transaksi!$G$16:$G$5015,"Pendapatan",Transaksi!$B$16:$B$5015,"&gt;="&amp;DATE(2035,1,1),Transaksi!$B$16:$B$5015,"&lt;="&amp;DATE(2035,12,31))</f>
        <v/>
      </c>
      <c r="D224" s="165">
        <f>SUMIFS(Transaksi!$F$16:$F$5015,Transaksi!$G$16:$G$5015,"Pengeluaran",Transaksi!$B$16:$B$5015,"&gt;="&amp;DATE(2035,1,1),Transaksi!$B$16:$B$5015,"&lt;="&amp;DATE(2035,12,31))</f>
        <v/>
      </c>
      <c r="E224" s="166">
        <f>C224-D224</f>
        <v/>
      </c>
      <c r="F224" s="165">
        <f>(SUMIFS(Transaksi!$F$16:$F$5015,Transaksi!$G$16:$G$5015,"Pendapatan",Transaksi!$B$16:$B$5015,"&gt;="&amp;DATE(2035,1,1),Transaksi!$B$16:$B$5015,"&lt;="&amp;DATE(2035,12,31),Transaksi!$H$16:$H$5015,"Uang Kos Mama")+SUMIFS(Transaksi!$F$16:$F$5015,Transaksi!$G$16:$G$5015,"Pendapatan",Transaksi!$B$16:$B$5015,"&gt;="&amp;DATE(2035,1,1),Transaksi!$B$16:$B$5015,"&lt;="&amp;DATE(2035,12,31),Transaksi!$H$16:$H$5015,"Uang Kedai"))-(SUMIFS(Transaksi!$F$16:$F$5015,Transaksi!$G$16:$G$5015,"Pengeluaran",Transaksi!$B$16:$B$5015,"&gt;="&amp;DATE(2035,1,1),Transaksi!$B$16:$B$5015,"&lt;="&amp;DATE(2035,12,31),Transaksi!$H$16:$H$5015,"Pengeluaran Uang Kos")+SUMIFS(Transaksi!$F$16:$F$5015,Transaksi!$G$16:$G$5015,"Pengeluaran",Transaksi!$B$16:$B$5015,"&gt;="&amp;DATE(2035,1,1),Transaksi!$B$16:$B$5015,"&lt;="&amp;DATE(2035,12,31),Transaksi!$H$16:$H$5015,"Pengeluaran Uang Kedai")+(SUMIFS(Transaksi!$F$16:$F$5015,Transaksi!$G$16:$G$5015,"Tabungan",Transaksi!$D$16:$D$5015,"Keluar",Transaksi!$H$16:$H$5015,"Reksadana uang kos mama",Transaksi!$B$16:$B$5015,"&gt;="&amp;DATE(2035,1,1),Transaksi!$B$16:$B$5015,"&lt;="&amp;DATE(2035,12,31))-SUMIFS(Transaksi!$F$16:$F$5015,Transaksi!$G$16:$G$5015,"Tabungan",Transaksi!$D$16:$D$5015,"Masuk",Transaksi!$H$16:$H$5015,"Reksadana uang kos mama",Transaksi!$B$16:$B$5015,"&gt;="&amp;DATE(2035,1,1),Transaksi!$B$16:$B$5015,"&lt;="&amp;DATE(2035,12,31))))</f>
        <v/>
      </c>
      <c r="G224" s="165">
        <f>(SUMIFS(Transaksi!$F$16:$F$5015,Transaksi!$G$16:$G$5015,"Tabungan",Transaksi!$D$16:$D$5015,"Keluar",Transaksi!$H$16:$H$5015,"&lt;&gt;Reksadana uang kos mama",Transaksi!$B$16:$B$5015,"&gt;="&amp;DATE(2035,1,1),Transaksi!$B$16:$B$5015,"&lt;="&amp;DATE(2035,12,31))-SUMIFS(Transaksi!$F$16:$F$5015,Transaksi!$G$16:$G$5015,"Tabungan",Transaksi!$D$16:$D$5015,"Masuk",Transaksi!$H$16:$H$5015,"&lt;&gt;Reksadana uang kos mama",Transaksi!$B$16:$B$5015,"&gt;="&amp;DATE(2035,1,1),Transaksi!$B$16:$B$5015,"&lt;="&amp;DATE(2035,12,31)))</f>
        <v/>
      </c>
    </row>
    <row r="225" ht="15" customHeight="1" s="94">
      <c r="A225" s="108" t="n">
        <v>2036</v>
      </c>
      <c r="C225" s="165">
        <f>SUMIFS(Transaksi!$F$16:$F$5015,Transaksi!$G$16:$G$5015,"Pendapatan",Transaksi!$B$16:$B$5015,"&gt;="&amp;DATE(2036,1,1),Transaksi!$B$16:$B$5015,"&lt;="&amp;DATE(2036,12,31))</f>
        <v/>
      </c>
      <c r="D225" s="165">
        <f>SUMIFS(Transaksi!$F$16:$F$5015,Transaksi!$G$16:$G$5015,"Pengeluaran",Transaksi!$B$16:$B$5015,"&gt;="&amp;DATE(2036,1,1),Transaksi!$B$16:$B$5015,"&lt;="&amp;DATE(2036,12,31))</f>
        <v/>
      </c>
      <c r="E225" s="166">
        <f>C225-D225</f>
        <v/>
      </c>
      <c r="F225" s="165">
        <f>(SUMIFS(Transaksi!$F$16:$F$5015,Transaksi!$G$16:$G$5015,"Pendapatan",Transaksi!$B$16:$B$5015,"&gt;="&amp;DATE(2036,1,1),Transaksi!$B$16:$B$5015,"&lt;="&amp;DATE(2036,12,31),Transaksi!$H$16:$H$5015,"Uang Kos Mama")+SUMIFS(Transaksi!$F$16:$F$5015,Transaksi!$G$16:$G$5015,"Pendapatan",Transaksi!$B$16:$B$5015,"&gt;="&amp;DATE(2036,1,1),Transaksi!$B$16:$B$5015,"&lt;="&amp;DATE(2036,12,31),Transaksi!$H$16:$H$5015,"Uang Kedai"))-(SUMIFS(Transaksi!$F$16:$F$5015,Transaksi!$G$16:$G$5015,"Pengeluaran",Transaksi!$B$16:$B$5015,"&gt;="&amp;DATE(2036,1,1),Transaksi!$B$16:$B$5015,"&lt;="&amp;DATE(2036,12,31),Transaksi!$H$16:$H$5015,"Pengeluaran Uang Kos")+SUMIFS(Transaksi!$F$16:$F$5015,Transaksi!$G$16:$G$5015,"Pengeluaran",Transaksi!$B$16:$B$5015,"&gt;="&amp;DATE(2036,1,1),Transaksi!$B$16:$B$5015,"&lt;="&amp;DATE(2036,12,31),Transaksi!$H$16:$H$5015,"Pengeluaran Uang Kedai")+(SUMIFS(Transaksi!$F$16:$F$5015,Transaksi!$G$16:$G$5015,"Tabungan",Transaksi!$D$16:$D$5015,"Keluar",Transaksi!$H$16:$H$5015,"Reksadana uang kos mama",Transaksi!$B$16:$B$5015,"&gt;="&amp;DATE(2036,1,1),Transaksi!$B$16:$B$5015,"&lt;="&amp;DATE(2036,12,31))-SUMIFS(Transaksi!$F$16:$F$5015,Transaksi!$G$16:$G$5015,"Tabungan",Transaksi!$D$16:$D$5015,"Masuk",Transaksi!$H$16:$H$5015,"Reksadana uang kos mama",Transaksi!$B$16:$B$5015,"&gt;="&amp;DATE(2036,1,1),Transaksi!$B$16:$B$5015,"&lt;="&amp;DATE(2036,12,31))))</f>
        <v/>
      </c>
      <c r="G225" s="165">
        <f>(SUMIFS(Transaksi!$F$16:$F$5015,Transaksi!$G$16:$G$5015,"Tabungan",Transaksi!$D$16:$D$5015,"Keluar",Transaksi!$H$16:$H$5015,"&lt;&gt;Reksadana uang kos mama",Transaksi!$B$16:$B$5015,"&gt;="&amp;DATE(2036,1,1),Transaksi!$B$16:$B$5015,"&lt;="&amp;DATE(2036,12,31))-SUMIFS(Transaksi!$F$16:$F$5015,Transaksi!$G$16:$G$5015,"Tabungan",Transaksi!$D$16:$D$5015,"Masuk",Transaksi!$H$16:$H$5015,"&lt;&gt;Reksadana uang kos mama",Transaksi!$B$16:$B$5015,"&gt;="&amp;DATE(2036,1,1),Transaksi!$B$16:$B$5015,"&lt;="&amp;DATE(2036,12,31)))</f>
        <v/>
      </c>
    </row>
    <row r="226" ht="15" customHeight="1" s="94">
      <c r="A226" s="108" t="n">
        <v>2037</v>
      </c>
      <c r="C226" s="165">
        <f>SUMIFS(Transaksi!$F$16:$F$5015,Transaksi!$G$16:$G$5015,"Pendapatan",Transaksi!$B$16:$B$5015,"&gt;="&amp;DATE(2037,1,1),Transaksi!$B$16:$B$5015,"&lt;="&amp;DATE(2037,12,31))</f>
        <v/>
      </c>
      <c r="D226" s="165">
        <f>SUMIFS(Transaksi!$F$16:$F$5015,Transaksi!$G$16:$G$5015,"Pengeluaran",Transaksi!$B$16:$B$5015,"&gt;="&amp;DATE(2037,1,1),Transaksi!$B$16:$B$5015,"&lt;="&amp;DATE(2037,12,31))</f>
        <v/>
      </c>
      <c r="E226" s="166">
        <f>C226-D226</f>
        <v/>
      </c>
      <c r="F226" s="165">
        <f>(SUMIFS(Transaksi!$F$16:$F$5015,Transaksi!$G$16:$G$5015,"Pendapatan",Transaksi!$B$16:$B$5015,"&gt;="&amp;DATE(2037,1,1),Transaksi!$B$16:$B$5015,"&lt;="&amp;DATE(2037,12,31),Transaksi!$H$16:$H$5015,"Uang Kos Mama")+SUMIFS(Transaksi!$F$16:$F$5015,Transaksi!$G$16:$G$5015,"Pendapatan",Transaksi!$B$16:$B$5015,"&gt;="&amp;DATE(2037,1,1),Transaksi!$B$16:$B$5015,"&lt;="&amp;DATE(2037,12,31),Transaksi!$H$16:$H$5015,"Uang Kedai"))-(SUMIFS(Transaksi!$F$16:$F$5015,Transaksi!$G$16:$G$5015,"Pengeluaran",Transaksi!$B$16:$B$5015,"&gt;="&amp;DATE(2037,1,1),Transaksi!$B$16:$B$5015,"&lt;="&amp;DATE(2037,12,31),Transaksi!$H$16:$H$5015,"Pengeluaran Uang Kos")+SUMIFS(Transaksi!$F$16:$F$5015,Transaksi!$G$16:$G$5015,"Pengeluaran",Transaksi!$B$16:$B$5015,"&gt;="&amp;DATE(2037,1,1),Transaksi!$B$16:$B$5015,"&lt;="&amp;DATE(2037,12,31),Transaksi!$H$16:$H$5015,"Pengeluaran Uang Kedai")+(SUMIFS(Transaksi!$F$16:$F$5015,Transaksi!$G$16:$G$5015,"Tabungan",Transaksi!$D$16:$D$5015,"Keluar",Transaksi!$H$16:$H$5015,"Reksadana uang kos mama",Transaksi!$B$16:$B$5015,"&gt;="&amp;DATE(2037,1,1),Transaksi!$B$16:$B$5015,"&lt;="&amp;DATE(2037,12,31))-SUMIFS(Transaksi!$F$16:$F$5015,Transaksi!$G$16:$G$5015,"Tabungan",Transaksi!$D$16:$D$5015,"Masuk",Transaksi!$H$16:$H$5015,"Reksadana uang kos mama",Transaksi!$B$16:$B$5015,"&gt;="&amp;DATE(2037,1,1),Transaksi!$B$16:$B$5015,"&lt;="&amp;DATE(2037,12,31))))</f>
        <v/>
      </c>
      <c r="G226" s="165">
        <f>(SUMIFS(Transaksi!$F$16:$F$5015,Transaksi!$G$16:$G$5015,"Tabungan",Transaksi!$D$16:$D$5015,"Keluar",Transaksi!$H$16:$H$5015,"&lt;&gt;Reksadana uang kos mama",Transaksi!$B$16:$B$5015,"&gt;="&amp;DATE(2037,1,1),Transaksi!$B$16:$B$5015,"&lt;="&amp;DATE(2037,12,31))-SUMIFS(Transaksi!$F$16:$F$5015,Transaksi!$G$16:$G$5015,"Tabungan",Transaksi!$D$16:$D$5015,"Masuk",Transaksi!$H$16:$H$5015,"&lt;&gt;Reksadana uang kos mama",Transaksi!$B$16:$B$5015,"&gt;="&amp;DATE(2037,1,1),Transaksi!$B$16:$B$5015,"&lt;="&amp;DATE(2037,12,31)))</f>
        <v/>
      </c>
    </row>
    <row r="227" ht="15" customHeight="1" s="94">
      <c r="A227" s="108" t="n">
        <v>2038</v>
      </c>
      <c r="C227" s="165">
        <f>SUMIFS(Transaksi!$F$16:$F$5015,Transaksi!$G$16:$G$5015,"Pendapatan",Transaksi!$B$16:$B$5015,"&gt;="&amp;DATE(2038,1,1),Transaksi!$B$16:$B$5015,"&lt;="&amp;DATE(2038,12,31))</f>
        <v/>
      </c>
      <c r="D227" s="165">
        <f>SUMIFS(Transaksi!$F$16:$F$5015,Transaksi!$G$16:$G$5015,"Pengeluaran",Transaksi!$B$16:$B$5015,"&gt;="&amp;DATE(2038,1,1),Transaksi!$B$16:$B$5015,"&lt;="&amp;DATE(2038,12,31))</f>
        <v/>
      </c>
      <c r="E227" s="166">
        <f>C227-D227</f>
        <v/>
      </c>
      <c r="F227" s="165">
        <f>(SUMIFS(Transaksi!$F$16:$F$5015,Transaksi!$G$16:$G$5015,"Pendapatan",Transaksi!$B$16:$B$5015,"&gt;="&amp;DATE(2038,1,1),Transaksi!$B$16:$B$5015,"&lt;="&amp;DATE(2038,12,31),Transaksi!$H$16:$H$5015,"Uang Kos Mama")+SUMIFS(Transaksi!$F$16:$F$5015,Transaksi!$G$16:$G$5015,"Pendapatan",Transaksi!$B$16:$B$5015,"&gt;="&amp;DATE(2038,1,1),Transaksi!$B$16:$B$5015,"&lt;="&amp;DATE(2038,12,31),Transaksi!$H$16:$H$5015,"Uang Kedai"))-(SUMIFS(Transaksi!$F$16:$F$5015,Transaksi!$G$16:$G$5015,"Pengeluaran",Transaksi!$B$16:$B$5015,"&gt;="&amp;DATE(2038,1,1),Transaksi!$B$16:$B$5015,"&lt;="&amp;DATE(2038,12,31),Transaksi!$H$16:$H$5015,"Pengeluaran Uang Kos")+SUMIFS(Transaksi!$F$16:$F$5015,Transaksi!$G$16:$G$5015,"Pengeluaran",Transaksi!$B$16:$B$5015,"&gt;="&amp;DATE(2038,1,1),Transaksi!$B$16:$B$5015,"&lt;="&amp;DATE(2038,12,31),Transaksi!$H$16:$H$5015,"Pengeluaran Uang Kedai")+(SUMIFS(Transaksi!$F$16:$F$5015,Transaksi!$G$16:$G$5015,"Tabungan",Transaksi!$D$16:$D$5015,"Keluar",Transaksi!$H$16:$H$5015,"Reksadana uang kos mama",Transaksi!$B$16:$B$5015,"&gt;="&amp;DATE(2038,1,1),Transaksi!$B$16:$B$5015,"&lt;="&amp;DATE(2038,12,31))-SUMIFS(Transaksi!$F$16:$F$5015,Transaksi!$G$16:$G$5015,"Tabungan",Transaksi!$D$16:$D$5015,"Masuk",Transaksi!$H$16:$H$5015,"Reksadana uang kos mama",Transaksi!$B$16:$B$5015,"&gt;="&amp;DATE(2038,1,1),Transaksi!$B$16:$B$5015,"&lt;="&amp;DATE(2038,12,31))))</f>
        <v/>
      </c>
      <c r="G227" s="165">
        <f>(SUMIFS(Transaksi!$F$16:$F$5015,Transaksi!$G$16:$G$5015,"Tabungan",Transaksi!$D$16:$D$5015,"Keluar",Transaksi!$H$16:$H$5015,"&lt;&gt;Reksadana uang kos mama",Transaksi!$B$16:$B$5015,"&gt;="&amp;DATE(2038,1,1),Transaksi!$B$16:$B$5015,"&lt;="&amp;DATE(2038,12,31))-SUMIFS(Transaksi!$F$16:$F$5015,Transaksi!$G$16:$G$5015,"Tabungan",Transaksi!$D$16:$D$5015,"Masuk",Transaksi!$H$16:$H$5015,"&lt;&gt;Reksadana uang kos mama",Transaksi!$B$16:$B$5015,"&gt;="&amp;DATE(2038,1,1),Transaksi!$B$16:$B$5015,"&lt;="&amp;DATE(2038,12,31)))</f>
        <v/>
      </c>
    </row>
    <row r="228" ht="15" customHeight="1" s="94">
      <c r="A228" s="108" t="n">
        <v>2039</v>
      </c>
      <c r="C228" s="165">
        <f>SUMIFS(Transaksi!$F$16:$F$5015,Transaksi!$G$16:$G$5015,"Pendapatan",Transaksi!$B$16:$B$5015,"&gt;="&amp;DATE(2039,1,1),Transaksi!$B$16:$B$5015,"&lt;="&amp;DATE(2039,12,31))</f>
        <v/>
      </c>
      <c r="D228" s="165">
        <f>SUMIFS(Transaksi!$F$16:$F$5015,Transaksi!$G$16:$G$5015,"Pengeluaran",Transaksi!$B$16:$B$5015,"&gt;="&amp;DATE(2039,1,1),Transaksi!$B$16:$B$5015,"&lt;="&amp;DATE(2039,12,31))</f>
        <v/>
      </c>
      <c r="E228" s="166">
        <f>C228-D228</f>
        <v/>
      </c>
      <c r="F228" s="165">
        <f>(SUMIFS(Transaksi!$F$16:$F$5015,Transaksi!$G$16:$G$5015,"Pendapatan",Transaksi!$B$16:$B$5015,"&gt;="&amp;DATE(2039,1,1),Transaksi!$B$16:$B$5015,"&lt;="&amp;DATE(2039,12,31),Transaksi!$H$16:$H$5015,"Uang Kos Mama")+SUMIFS(Transaksi!$F$16:$F$5015,Transaksi!$G$16:$G$5015,"Pendapatan",Transaksi!$B$16:$B$5015,"&gt;="&amp;DATE(2039,1,1),Transaksi!$B$16:$B$5015,"&lt;="&amp;DATE(2039,12,31),Transaksi!$H$16:$H$5015,"Uang Kedai"))-(SUMIFS(Transaksi!$F$16:$F$5015,Transaksi!$G$16:$G$5015,"Pengeluaran",Transaksi!$B$16:$B$5015,"&gt;="&amp;DATE(2039,1,1),Transaksi!$B$16:$B$5015,"&lt;="&amp;DATE(2039,12,31),Transaksi!$H$16:$H$5015,"Pengeluaran Uang Kos")+SUMIFS(Transaksi!$F$16:$F$5015,Transaksi!$G$16:$G$5015,"Pengeluaran",Transaksi!$B$16:$B$5015,"&gt;="&amp;DATE(2039,1,1),Transaksi!$B$16:$B$5015,"&lt;="&amp;DATE(2039,12,31),Transaksi!$H$16:$H$5015,"Pengeluaran Uang Kedai")+(SUMIFS(Transaksi!$F$16:$F$5015,Transaksi!$G$16:$G$5015,"Tabungan",Transaksi!$D$16:$D$5015,"Keluar",Transaksi!$H$16:$H$5015,"Reksadana uang kos mama",Transaksi!$B$16:$B$5015,"&gt;="&amp;DATE(2039,1,1),Transaksi!$B$16:$B$5015,"&lt;="&amp;DATE(2039,12,31))-SUMIFS(Transaksi!$F$16:$F$5015,Transaksi!$G$16:$G$5015,"Tabungan",Transaksi!$D$16:$D$5015,"Masuk",Transaksi!$H$16:$H$5015,"Reksadana uang kos mama",Transaksi!$B$16:$B$5015,"&gt;="&amp;DATE(2039,1,1),Transaksi!$B$16:$B$5015,"&lt;="&amp;DATE(2039,12,31))))</f>
        <v/>
      </c>
      <c r="G228" s="165">
        <f>(SUMIFS(Transaksi!$F$16:$F$5015,Transaksi!$G$16:$G$5015,"Tabungan",Transaksi!$D$16:$D$5015,"Keluar",Transaksi!$H$16:$H$5015,"&lt;&gt;Reksadana uang kos mama",Transaksi!$B$16:$B$5015,"&gt;="&amp;DATE(2039,1,1),Transaksi!$B$16:$B$5015,"&lt;="&amp;DATE(2039,12,31))-SUMIFS(Transaksi!$F$16:$F$5015,Transaksi!$G$16:$G$5015,"Tabungan",Transaksi!$D$16:$D$5015,"Masuk",Transaksi!$H$16:$H$5015,"&lt;&gt;Reksadana uang kos mama",Transaksi!$B$16:$B$5015,"&gt;="&amp;DATE(2039,1,1),Transaksi!$B$16:$B$5015,"&lt;="&amp;DATE(2039,12,31)))</f>
        <v/>
      </c>
    </row>
    <row r="229" ht="15" customHeight="1" s="94">
      <c r="A229" s="108" t="n">
        <v>2040</v>
      </c>
      <c r="C229" s="165">
        <f>SUMIFS(Transaksi!$F$16:$F$5015,Transaksi!$G$16:$G$5015,"Pendapatan",Transaksi!$B$16:$B$5015,"&gt;="&amp;DATE(2040,1,1),Transaksi!$B$16:$B$5015,"&lt;="&amp;DATE(2040,12,31))</f>
        <v/>
      </c>
      <c r="D229" s="165">
        <f>SUMIFS(Transaksi!$F$16:$F$5015,Transaksi!$G$16:$G$5015,"Pengeluaran",Transaksi!$B$16:$B$5015,"&gt;="&amp;DATE(2040,1,1),Transaksi!$B$16:$B$5015,"&lt;="&amp;DATE(2040,12,31))</f>
        <v/>
      </c>
      <c r="E229" s="166">
        <f>C229-D229</f>
        <v/>
      </c>
      <c r="F229" s="165">
        <f>(SUMIFS(Transaksi!$F$16:$F$5015,Transaksi!$G$16:$G$5015,"Pendapatan",Transaksi!$B$16:$B$5015,"&gt;="&amp;DATE(2040,1,1),Transaksi!$B$16:$B$5015,"&lt;="&amp;DATE(2040,12,31),Transaksi!$H$16:$H$5015,"Uang Kos Mama")+SUMIFS(Transaksi!$F$16:$F$5015,Transaksi!$G$16:$G$5015,"Pendapatan",Transaksi!$B$16:$B$5015,"&gt;="&amp;DATE(2040,1,1),Transaksi!$B$16:$B$5015,"&lt;="&amp;DATE(2040,12,31),Transaksi!$H$16:$H$5015,"Uang Kedai"))-(SUMIFS(Transaksi!$F$16:$F$5015,Transaksi!$G$16:$G$5015,"Pengeluaran",Transaksi!$B$16:$B$5015,"&gt;="&amp;DATE(2040,1,1),Transaksi!$B$16:$B$5015,"&lt;="&amp;DATE(2040,12,31),Transaksi!$H$16:$H$5015,"Pengeluaran Uang Kos")+SUMIFS(Transaksi!$F$16:$F$5015,Transaksi!$G$16:$G$5015,"Pengeluaran",Transaksi!$B$16:$B$5015,"&gt;="&amp;DATE(2040,1,1),Transaksi!$B$16:$B$5015,"&lt;="&amp;DATE(2040,12,31),Transaksi!$H$16:$H$5015,"Pengeluaran Uang Kedai")+(SUMIFS(Transaksi!$F$16:$F$5015,Transaksi!$G$16:$G$5015,"Tabungan",Transaksi!$D$16:$D$5015,"Keluar",Transaksi!$H$16:$H$5015,"Reksadana uang kos mama",Transaksi!$B$16:$B$5015,"&gt;="&amp;DATE(2040,1,1),Transaksi!$B$16:$B$5015,"&lt;="&amp;DATE(2040,12,31))-SUMIFS(Transaksi!$F$16:$F$5015,Transaksi!$G$16:$G$5015,"Tabungan",Transaksi!$D$16:$D$5015,"Masuk",Transaksi!$H$16:$H$5015,"Reksadana uang kos mama",Transaksi!$B$16:$B$5015,"&gt;="&amp;DATE(2040,1,1),Transaksi!$B$16:$B$5015,"&lt;="&amp;DATE(2040,12,31))))</f>
        <v/>
      </c>
      <c r="G229" s="165">
        <f>(SUMIFS(Transaksi!$F$16:$F$5015,Transaksi!$G$16:$G$5015,"Tabungan",Transaksi!$D$16:$D$5015,"Keluar",Transaksi!$H$16:$H$5015,"&lt;&gt;Reksadana uang kos mama",Transaksi!$B$16:$B$5015,"&gt;="&amp;DATE(2040,1,1),Transaksi!$B$16:$B$5015,"&lt;="&amp;DATE(2040,12,31))-SUMIFS(Transaksi!$F$16:$F$5015,Transaksi!$G$16:$G$5015,"Tabungan",Transaksi!$D$16:$D$5015,"Masuk",Transaksi!$H$16:$H$5015,"&lt;&gt;Reksadana uang kos mama",Transaksi!$B$16:$B$5015,"&gt;="&amp;DATE(2040,1,1),Transaksi!$B$16:$B$5015,"&lt;="&amp;DATE(2040,12,31)))</f>
        <v/>
      </c>
    </row>
  </sheetData>
  <mergeCells count="3">
    <mergeCell ref="A2:F2"/>
    <mergeCell ref="A1:F1"/>
    <mergeCell ref="A211:F2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tabColor rgb="FF1E5FB3"/>
    <outlinePr summaryBelow="1" summaryRight="1"/>
    <pageSetUpPr fitToPage="0"/>
  </sheetPr>
  <dimension ref="A1:N14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93" min="1" max="1"/>
    <col width="24" customWidth="1" style="93" min="2" max="2"/>
    <col width="16" customWidth="1" style="93" min="3" max="9"/>
    <col width="13" customWidth="1" style="93" min="10" max="14"/>
  </cols>
  <sheetData>
    <row r="1" ht="18" customHeight="1" s="94">
      <c r="A1" s="95" t="inlineStr">
        <is>
          <t>ASET BERSIH PRIBADI</t>
        </is>
      </c>
    </row>
    <row r="2" ht="42" customHeight="1" s="94">
      <c r="A2" s="98" t="inlineStr">
        <is>
          <t>A = posisi hari ini, sama dengan angka "Total aset pribadi" di Beranda aplikasi. B = perkembangan uang per akhir bulan (tanpa investasi, karena nilai pasar investasi di masa lalu tidak tercatat). Uang titipan mama, uang Disan, dan Kantong Uang Riba tidak dihitung karena bukan milikmu.</t>
        </is>
      </c>
    </row>
    <row r="3"/>
    <row r="4" ht="15" customHeight="1" s="94">
      <c r="B4" s="101" t="inlineStr">
        <is>
          <t>A. POSISI HARI INI</t>
        </is>
      </c>
    </row>
    <row r="5" ht="15" customHeight="1" s="94">
      <c r="B5" s="127" t="inlineStr">
        <is>
          <t>Kas &amp; bank pribadi</t>
        </is>
      </c>
      <c r="C5" s="117" t="n"/>
      <c r="D5" s="150" t="n"/>
      <c r="E5" s="106">
        <f>SUMIF(Akun!$B$5:$B$104,"Pribadi",Akun!$E$5:$E$104)</f>
        <v/>
      </c>
    </row>
    <row r="6" ht="15" customHeight="1" s="94">
      <c r="B6" s="127" t="inlineStr">
        <is>
          <t>+ Kas RDN (Kantong Stockbit)</t>
        </is>
      </c>
      <c r="C6" s="117" t="n"/>
      <c r="D6" s="150" t="n"/>
      <c r="E6" s="106">
        <f>SUMIF(Akun!$B$5:$B$104,"Investasi (kas RDN)",Akun!$E$5:$E$104)</f>
        <v/>
      </c>
    </row>
    <row r="7" ht="15" customHeight="1" s="94">
      <c r="B7" s="127" t="inlineStr">
        <is>
          <t>+ Saham (nilai sekarang)</t>
        </is>
      </c>
      <c r="C7" s="117" t="n"/>
      <c r="D7" s="150" t="n"/>
      <c r="E7" s="106">
        <f>'Investasi Saham'!E26</f>
        <v/>
      </c>
    </row>
    <row r="8" ht="15" customHeight="1" s="94">
      <c r="B8" s="127" t="inlineStr">
        <is>
          <t>+ Reksadana pribadi (nilai sekarang)</t>
        </is>
      </c>
      <c r="C8" s="117" t="n"/>
      <c r="D8" s="150" t="n"/>
      <c r="E8" s="106">
        <f>'Investasi Reksadana'!D18</f>
        <v/>
      </c>
    </row>
    <row r="9" ht="15" customHeight="1" s="94">
      <c r="B9" s="127" t="inlineStr">
        <is>
          <t>+ Piutang</t>
        </is>
      </c>
      <c r="C9" s="117" t="n"/>
      <c r="D9" s="150" t="n"/>
      <c r="E9" s="106">
        <f>SUMIF(Akun!$B$5:$B$104,"Piutang",Akun!$E$5:$E$104)</f>
        <v/>
      </c>
    </row>
    <row r="10" ht="15" customHeight="1" s="94">
      <c r="B10" s="127" t="inlineStr">
        <is>
          <t>+ Pinjaman dari mama (utang)</t>
        </is>
      </c>
      <c r="C10" s="117" t="n"/>
      <c r="D10" s="150" t="n"/>
      <c r="E10" s="106">
        <f>SUMIF(Akun!$B$5:$B$104,"Pinjaman Mama (dompet)",Akun!$E$5:$E$104)</f>
        <v/>
      </c>
    </row>
    <row r="11" ht="15" customHeight="1" s="94">
      <c r="B11" s="127" t="inlineStr">
        <is>
          <t>− Utang ke uang riba</t>
        </is>
      </c>
      <c r="C11" s="117" t="n"/>
      <c r="D11" s="150" t="n"/>
      <c r="E11" s="106">
        <f>'Uang Riba'!E5</f>
        <v/>
      </c>
    </row>
    <row r="12" ht="45.75" customHeight="1" s="94">
      <c r="B12" s="127" t="inlineStr">
        <is>
          <t>TOTAL ASET PRIBADI</t>
        </is>
      </c>
      <c r="C12" s="117" t="n"/>
      <c r="D12" s="150" t="n"/>
      <c r="E12" s="113">
        <f>E5+E6+E7+E8+E9+E10-E11</f>
        <v/>
      </c>
      <c r="F12" s="98" t="inlineStr">
        <is>
          <t>Harga saham &amp; nilai reksadana ikut sel kuning di tab Investasi.</t>
        </is>
      </c>
    </row>
    <row r="13"/>
    <row r="14" ht="15" customHeight="1" s="94">
      <c r="B14" s="101">
        <f>"B. PER AKHIR BULAN — TAHUN "&amp;Dashboard!$C$4&amp;" (tanpa investasi)"</f>
        <v/>
      </c>
    </row>
    <row r="15" ht="31.5" customHeight="1" s="94">
      <c r="B15" s="155" t="inlineStr">
        <is>
          <t>Bulan</t>
        </is>
      </c>
      <c r="C15" s="155" t="inlineStr">
        <is>
          <t>Kas &amp; bank pribadi</t>
        </is>
      </c>
      <c r="D15" s="155" t="inlineStr">
        <is>
          <t>Kas RDN</t>
        </is>
      </c>
      <c r="E15" s="155" t="inlineStr">
        <is>
          <t>Piutang</t>
        </is>
      </c>
      <c r="F15" s="155" t="inlineStr">
        <is>
          <t>Pinjaman dari mama</t>
        </is>
      </c>
      <c r="G15" s="155" t="inlineStr">
        <is>
          <t>Utang ke uang riba</t>
        </is>
      </c>
      <c r="H15" s="155" t="inlineStr">
        <is>
          <t>Uang bersih (tanpa investasi)</t>
        </is>
      </c>
      <c r="I15" s="155" t="inlineStr">
        <is>
          <t>Naik/turun dari bulan lalu</t>
        </is>
      </c>
    </row>
    <row r="16" ht="15" customHeight="1" s="94">
      <c r="B16" s="127" t="inlineStr">
        <is>
          <t>Januari</t>
        </is>
      </c>
      <c r="C16" s="106">
        <f>IF(DATE(Dashboard!$C$4,1,1)&gt;TODAY(),"",SUMIF($B$41:$B$140,"Pribadi",C$41:C$140))</f>
        <v/>
      </c>
      <c r="D16" s="106">
        <f>IF(DATE(Dashboard!$C$4,1,1)&gt;TODAY(),"",SUMIF($B$41:$B$140,"Investasi (kas RDN)",C$41:C$140))</f>
        <v/>
      </c>
      <c r="E16" s="106">
        <f>IF(DATE(Dashboard!$C$4,1,1)&gt;TODAY(),"",SUMIF($B$41:$B$140,"Piutang",C$41:C$140))</f>
        <v/>
      </c>
      <c r="F16" s="106">
        <f>IF(DATE(Dashboard!$C$4,1,1)&gt;TODAY(),"",SUMIF($B$41:$B$140,"Pinjaman Mama (dompet)",C$41:C$140))</f>
        <v/>
      </c>
      <c r="G16" s="106">
        <f>IF(DATE(Dashboard!$C$4,1,1)&gt;TODAY(),"",'Uang Riba'!I13)</f>
        <v/>
      </c>
      <c r="H16" s="113">
        <f>IF(DATE(Dashboard!$C$4,1,1)&gt;TODAY(),"",C16+D16+E16+F16-G16)</f>
        <v/>
      </c>
      <c r="I16" s="106">
        <f>""</f>
        <v/>
      </c>
    </row>
    <row r="17" ht="15" customHeight="1" s="94">
      <c r="B17" s="127" t="inlineStr">
        <is>
          <t>Februari</t>
        </is>
      </c>
      <c r="C17" s="106">
        <f>IF(DATE(Dashboard!$C$4,2,1)&gt;TODAY(),"",SUMIF($B$41:$B$140,"Pribadi",D$41:D$140))</f>
        <v/>
      </c>
      <c r="D17" s="106">
        <f>IF(DATE(Dashboard!$C$4,2,1)&gt;TODAY(),"",SUMIF($B$41:$B$140,"Investasi (kas RDN)",D$41:D$140))</f>
        <v/>
      </c>
      <c r="E17" s="106">
        <f>IF(DATE(Dashboard!$C$4,2,1)&gt;TODAY(),"",SUMIF($B$41:$B$140,"Piutang",D$41:D$140))</f>
        <v/>
      </c>
      <c r="F17" s="106">
        <f>IF(DATE(Dashboard!$C$4,2,1)&gt;TODAY(),"",SUMIF($B$41:$B$140,"Pinjaman Mama (dompet)",D$41:D$140))</f>
        <v/>
      </c>
      <c r="G17" s="106">
        <f>IF(DATE(Dashboard!$C$4,2,1)&gt;TODAY(),"",'Uang Riba'!I14)</f>
        <v/>
      </c>
      <c r="H17" s="113">
        <f>IF(DATE(Dashboard!$C$4,2,1)&gt;TODAY(),"",C17+D17+E17+F17-G17)</f>
        <v/>
      </c>
      <c r="I17" s="106">
        <f>IF(DATE(Dashboard!$C$4,2,1)&gt;TODAY(),"",IF(ISNUMBER(H16),H17-H16,""))</f>
        <v/>
      </c>
    </row>
    <row r="18" ht="15" customHeight="1" s="94">
      <c r="B18" s="127" t="inlineStr">
        <is>
          <t>Maret</t>
        </is>
      </c>
      <c r="C18" s="106">
        <f>IF(DATE(Dashboard!$C$4,3,1)&gt;TODAY(),"",SUMIF($B$41:$B$140,"Pribadi",E$41:E$140))</f>
        <v/>
      </c>
      <c r="D18" s="106">
        <f>IF(DATE(Dashboard!$C$4,3,1)&gt;TODAY(),"",SUMIF($B$41:$B$140,"Investasi (kas RDN)",E$41:E$140))</f>
        <v/>
      </c>
      <c r="E18" s="106">
        <f>IF(DATE(Dashboard!$C$4,3,1)&gt;TODAY(),"",SUMIF($B$41:$B$140,"Piutang",E$41:E$140))</f>
        <v/>
      </c>
      <c r="F18" s="106">
        <f>IF(DATE(Dashboard!$C$4,3,1)&gt;TODAY(),"",SUMIF($B$41:$B$140,"Pinjaman Mama (dompet)",E$41:E$140))</f>
        <v/>
      </c>
      <c r="G18" s="106">
        <f>IF(DATE(Dashboard!$C$4,3,1)&gt;TODAY(),"",'Uang Riba'!I15)</f>
        <v/>
      </c>
      <c r="H18" s="113">
        <f>IF(DATE(Dashboard!$C$4,3,1)&gt;TODAY(),"",C18+D18+E18+F18-G18)</f>
        <v/>
      </c>
      <c r="I18" s="106">
        <f>IF(DATE(Dashboard!$C$4,3,1)&gt;TODAY(),"",IF(ISNUMBER(H17),H18-H17,""))</f>
        <v/>
      </c>
    </row>
    <row r="19" ht="15" customHeight="1" s="94">
      <c r="B19" s="127" t="inlineStr">
        <is>
          <t>April</t>
        </is>
      </c>
      <c r="C19" s="106">
        <f>IF(DATE(Dashboard!$C$4,4,1)&gt;TODAY(),"",SUMIF($B$41:$B$140,"Pribadi",F$41:F$140))</f>
        <v/>
      </c>
      <c r="D19" s="106">
        <f>IF(DATE(Dashboard!$C$4,4,1)&gt;TODAY(),"",SUMIF($B$41:$B$140,"Investasi (kas RDN)",F$41:F$140))</f>
        <v/>
      </c>
      <c r="E19" s="106">
        <f>IF(DATE(Dashboard!$C$4,4,1)&gt;TODAY(),"",SUMIF($B$41:$B$140,"Piutang",F$41:F$140))</f>
        <v/>
      </c>
      <c r="F19" s="106">
        <f>IF(DATE(Dashboard!$C$4,4,1)&gt;TODAY(),"",SUMIF($B$41:$B$140,"Pinjaman Mama (dompet)",F$41:F$140))</f>
        <v/>
      </c>
      <c r="G19" s="106">
        <f>IF(DATE(Dashboard!$C$4,4,1)&gt;TODAY(),"",'Uang Riba'!I16)</f>
        <v/>
      </c>
      <c r="H19" s="113">
        <f>IF(DATE(Dashboard!$C$4,4,1)&gt;TODAY(),"",C19+D19+E19+F19-G19)</f>
        <v/>
      </c>
      <c r="I19" s="106">
        <f>IF(DATE(Dashboard!$C$4,4,1)&gt;TODAY(),"",IF(ISNUMBER(H18),H19-H18,""))</f>
        <v/>
      </c>
    </row>
    <row r="20" ht="15" customHeight="1" s="94">
      <c r="B20" s="127" t="inlineStr">
        <is>
          <t>Mei</t>
        </is>
      </c>
      <c r="C20" s="106">
        <f>IF(DATE(Dashboard!$C$4,5,1)&gt;TODAY(),"",SUMIF($B$41:$B$140,"Pribadi",G$41:G$140))</f>
        <v/>
      </c>
      <c r="D20" s="106">
        <f>IF(DATE(Dashboard!$C$4,5,1)&gt;TODAY(),"",SUMIF($B$41:$B$140,"Investasi (kas RDN)",G$41:G$140))</f>
        <v/>
      </c>
      <c r="E20" s="106">
        <f>IF(DATE(Dashboard!$C$4,5,1)&gt;TODAY(),"",SUMIF($B$41:$B$140,"Piutang",G$41:G$140))</f>
        <v/>
      </c>
      <c r="F20" s="106">
        <f>IF(DATE(Dashboard!$C$4,5,1)&gt;TODAY(),"",SUMIF($B$41:$B$140,"Pinjaman Mama (dompet)",G$41:G$140))</f>
        <v/>
      </c>
      <c r="G20" s="106">
        <f>IF(DATE(Dashboard!$C$4,5,1)&gt;TODAY(),"",'Uang Riba'!I17)</f>
        <v/>
      </c>
      <c r="H20" s="113">
        <f>IF(DATE(Dashboard!$C$4,5,1)&gt;TODAY(),"",C20+D20+E20+F20-G20)</f>
        <v/>
      </c>
      <c r="I20" s="106">
        <f>IF(DATE(Dashboard!$C$4,5,1)&gt;TODAY(),"",IF(ISNUMBER(H19),H20-H19,""))</f>
        <v/>
      </c>
    </row>
    <row r="21" ht="15" customHeight="1" s="94">
      <c r="B21" s="127" t="inlineStr">
        <is>
          <t>Juni</t>
        </is>
      </c>
      <c r="C21" s="106">
        <f>IF(DATE(Dashboard!$C$4,6,1)&gt;TODAY(),"",SUMIF($B$41:$B$140,"Pribadi",H$41:H$140))</f>
        <v/>
      </c>
      <c r="D21" s="106">
        <f>IF(DATE(Dashboard!$C$4,6,1)&gt;TODAY(),"",SUMIF($B$41:$B$140,"Investasi (kas RDN)",H$41:H$140))</f>
        <v/>
      </c>
      <c r="E21" s="106">
        <f>IF(DATE(Dashboard!$C$4,6,1)&gt;TODAY(),"",SUMIF($B$41:$B$140,"Piutang",H$41:H$140))</f>
        <v/>
      </c>
      <c r="F21" s="106">
        <f>IF(DATE(Dashboard!$C$4,6,1)&gt;TODAY(),"",SUMIF($B$41:$B$140,"Pinjaman Mama (dompet)",H$41:H$140))</f>
        <v/>
      </c>
      <c r="G21" s="106">
        <f>IF(DATE(Dashboard!$C$4,6,1)&gt;TODAY(),"",'Uang Riba'!I18)</f>
        <v/>
      </c>
      <c r="H21" s="113">
        <f>IF(DATE(Dashboard!$C$4,6,1)&gt;TODAY(),"",C21+D21+E21+F21-G21)</f>
        <v/>
      </c>
      <c r="I21" s="106">
        <f>IF(DATE(Dashboard!$C$4,6,1)&gt;TODAY(),"",IF(ISNUMBER(H20),H21-H20,""))</f>
        <v/>
      </c>
    </row>
    <row r="22" ht="15" customHeight="1" s="94">
      <c r="B22" s="127" t="inlineStr">
        <is>
          <t>Juli</t>
        </is>
      </c>
      <c r="C22" s="106">
        <f>IF(DATE(Dashboard!$C$4,7,1)&gt;TODAY(),"",SUMIF($B$41:$B$140,"Pribadi",I$41:I$140))</f>
        <v/>
      </c>
      <c r="D22" s="106">
        <f>IF(DATE(Dashboard!$C$4,7,1)&gt;TODAY(),"",SUMIF($B$41:$B$140,"Investasi (kas RDN)",I$41:I$140))</f>
        <v/>
      </c>
      <c r="E22" s="106">
        <f>IF(DATE(Dashboard!$C$4,7,1)&gt;TODAY(),"",SUMIF($B$41:$B$140,"Piutang",I$41:I$140))</f>
        <v/>
      </c>
      <c r="F22" s="106">
        <f>IF(DATE(Dashboard!$C$4,7,1)&gt;TODAY(),"",SUMIF($B$41:$B$140,"Pinjaman Mama (dompet)",I$41:I$140))</f>
        <v/>
      </c>
      <c r="G22" s="106">
        <f>IF(DATE(Dashboard!$C$4,7,1)&gt;TODAY(),"",'Uang Riba'!I19)</f>
        <v/>
      </c>
      <c r="H22" s="113">
        <f>IF(DATE(Dashboard!$C$4,7,1)&gt;TODAY(),"",C22+D22+E22+F22-G22)</f>
        <v/>
      </c>
      <c r="I22" s="106">
        <f>IF(DATE(Dashboard!$C$4,7,1)&gt;TODAY(),"",IF(ISNUMBER(H21),H22-H21,""))</f>
        <v/>
      </c>
    </row>
    <row r="23" ht="15" customHeight="1" s="94">
      <c r="B23" s="127" t="inlineStr">
        <is>
          <t>Agustus</t>
        </is>
      </c>
      <c r="C23" s="106">
        <f>IF(DATE(Dashboard!$C$4,8,1)&gt;TODAY(),"",SUMIF($B$41:$B$140,"Pribadi",J$41:J$140))</f>
        <v/>
      </c>
      <c r="D23" s="106">
        <f>IF(DATE(Dashboard!$C$4,8,1)&gt;TODAY(),"",SUMIF($B$41:$B$140,"Investasi (kas RDN)",J$41:J$140))</f>
        <v/>
      </c>
      <c r="E23" s="106">
        <f>IF(DATE(Dashboard!$C$4,8,1)&gt;TODAY(),"",SUMIF($B$41:$B$140,"Piutang",J$41:J$140))</f>
        <v/>
      </c>
      <c r="F23" s="106">
        <f>IF(DATE(Dashboard!$C$4,8,1)&gt;TODAY(),"",SUMIF($B$41:$B$140,"Pinjaman Mama (dompet)",J$41:J$140))</f>
        <v/>
      </c>
      <c r="G23" s="106">
        <f>IF(DATE(Dashboard!$C$4,8,1)&gt;TODAY(),"",'Uang Riba'!I20)</f>
        <v/>
      </c>
      <c r="H23" s="113">
        <f>IF(DATE(Dashboard!$C$4,8,1)&gt;TODAY(),"",C23+D23+E23+F23-G23)</f>
        <v/>
      </c>
      <c r="I23" s="106">
        <f>IF(DATE(Dashboard!$C$4,8,1)&gt;TODAY(),"",IF(ISNUMBER(H22),H23-H22,""))</f>
        <v/>
      </c>
    </row>
    <row r="24" ht="15" customHeight="1" s="94">
      <c r="B24" s="127" t="inlineStr">
        <is>
          <t>September</t>
        </is>
      </c>
      <c r="C24" s="106">
        <f>IF(DATE(Dashboard!$C$4,9,1)&gt;TODAY(),"",SUMIF($B$41:$B$140,"Pribadi",K$41:K$140))</f>
        <v/>
      </c>
      <c r="D24" s="106">
        <f>IF(DATE(Dashboard!$C$4,9,1)&gt;TODAY(),"",SUMIF($B$41:$B$140,"Investasi (kas RDN)",K$41:K$140))</f>
        <v/>
      </c>
      <c r="E24" s="106">
        <f>IF(DATE(Dashboard!$C$4,9,1)&gt;TODAY(),"",SUMIF($B$41:$B$140,"Piutang",K$41:K$140))</f>
        <v/>
      </c>
      <c r="F24" s="106">
        <f>IF(DATE(Dashboard!$C$4,9,1)&gt;TODAY(),"",SUMIF($B$41:$B$140,"Pinjaman Mama (dompet)",K$41:K$140))</f>
        <v/>
      </c>
      <c r="G24" s="106">
        <f>IF(DATE(Dashboard!$C$4,9,1)&gt;TODAY(),"",'Uang Riba'!I21)</f>
        <v/>
      </c>
      <c r="H24" s="113">
        <f>IF(DATE(Dashboard!$C$4,9,1)&gt;TODAY(),"",C24+D24+E24+F24-G24)</f>
        <v/>
      </c>
      <c r="I24" s="106">
        <f>IF(DATE(Dashboard!$C$4,9,1)&gt;TODAY(),"",IF(ISNUMBER(H23),H24-H23,""))</f>
        <v/>
      </c>
    </row>
    <row r="25" ht="15" customHeight="1" s="94">
      <c r="B25" s="127" t="inlineStr">
        <is>
          <t>Oktober</t>
        </is>
      </c>
      <c r="C25" s="106">
        <f>IF(DATE(Dashboard!$C$4,10,1)&gt;TODAY(),"",SUMIF($B$41:$B$140,"Pribadi",L$41:L$140))</f>
        <v/>
      </c>
      <c r="D25" s="106">
        <f>IF(DATE(Dashboard!$C$4,10,1)&gt;TODAY(),"",SUMIF($B$41:$B$140,"Investasi (kas RDN)",L$41:L$140))</f>
        <v/>
      </c>
      <c r="E25" s="106">
        <f>IF(DATE(Dashboard!$C$4,10,1)&gt;TODAY(),"",SUMIF($B$41:$B$140,"Piutang",L$41:L$140))</f>
        <v/>
      </c>
      <c r="F25" s="106">
        <f>IF(DATE(Dashboard!$C$4,10,1)&gt;TODAY(),"",SUMIF($B$41:$B$140,"Pinjaman Mama (dompet)",L$41:L$140))</f>
        <v/>
      </c>
      <c r="G25" s="106">
        <f>IF(DATE(Dashboard!$C$4,10,1)&gt;TODAY(),"",'Uang Riba'!I22)</f>
        <v/>
      </c>
      <c r="H25" s="113">
        <f>IF(DATE(Dashboard!$C$4,10,1)&gt;TODAY(),"",C25+D25+E25+F25-G25)</f>
        <v/>
      </c>
      <c r="I25" s="106">
        <f>IF(DATE(Dashboard!$C$4,10,1)&gt;TODAY(),"",IF(ISNUMBER(H24),H25-H24,""))</f>
        <v/>
      </c>
    </row>
    <row r="26" ht="15" customHeight="1" s="94">
      <c r="B26" s="127" t="inlineStr">
        <is>
          <t>November</t>
        </is>
      </c>
      <c r="C26" s="106">
        <f>IF(DATE(Dashboard!$C$4,11,1)&gt;TODAY(),"",SUMIF($B$41:$B$140,"Pribadi",M$41:M$140))</f>
        <v/>
      </c>
      <c r="D26" s="106">
        <f>IF(DATE(Dashboard!$C$4,11,1)&gt;TODAY(),"",SUMIF($B$41:$B$140,"Investasi (kas RDN)",M$41:M$140))</f>
        <v/>
      </c>
      <c r="E26" s="106">
        <f>IF(DATE(Dashboard!$C$4,11,1)&gt;TODAY(),"",SUMIF($B$41:$B$140,"Piutang",M$41:M$140))</f>
        <v/>
      </c>
      <c r="F26" s="106">
        <f>IF(DATE(Dashboard!$C$4,11,1)&gt;TODAY(),"",SUMIF($B$41:$B$140,"Pinjaman Mama (dompet)",M$41:M$140))</f>
        <v/>
      </c>
      <c r="G26" s="106">
        <f>IF(DATE(Dashboard!$C$4,11,1)&gt;TODAY(),"",'Uang Riba'!I23)</f>
        <v/>
      </c>
      <c r="H26" s="113">
        <f>IF(DATE(Dashboard!$C$4,11,1)&gt;TODAY(),"",C26+D26+E26+F26-G26)</f>
        <v/>
      </c>
      <c r="I26" s="106">
        <f>IF(DATE(Dashboard!$C$4,11,1)&gt;TODAY(),"",IF(ISNUMBER(H25),H26-H25,""))</f>
        <v/>
      </c>
    </row>
    <row r="27" ht="15" customHeight="1" s="94">
      <c r="B27" s="127" t="inlineStr">
        <is>
          <t>Desember</t>
        </is>
      </c>
      <c r="C27" s="106">
        <f>IF(DATE(Dashboard!$C$4,12,1)&gt;TODAY(),"",SUMIF($B$41:$B$140,"Pribadi",N$41:N$140))</f>
        <v/>
      </c>
      <c r="D27" s="106">
        <f>IF(DATE(Dashboard!$C$4,12,1)&gt;TODAY(),"",SUMIF($B$41:$B$140,"Investasi (kas RDN)",N$41:N$140))</f>
        <v/>
      </c>
      <c r="E27" s="106">
        <f>IF(DATE(Dashboard!$C$4,12,1)&gt;TODAY(),"",SUMIF($B$41:$B$140,"Piutang",N$41:N$140))</f>
        <v/>
      </c>
      <c r="F27" s="106">
        <f>IF(DATE(Dashboard!$C$4,12,1)&gt;TODAY(),"",SUMIF($B$41:$B$140,"Pinjaman Mama (dompet)",N$41:N$140))</f>
        <v/>
      </c>
      <c r="G27" s="106">
        <f>IF(DATE(Dashboard!$C$4,12,1)&gt;TODAY(),"",'Uang Riba'!I24)</f>
        <v/>
      </c>
      <c r="H27" s="113">
        <f>IF(DATE(Dashboard!$C$4,12,1)&gt;TODAY(),"",C27+D27+E27+F27-G27)</f>
        <v/>
      </c>
      <c r="I27" s="106">
        <f>IF(DATE(Dashboard!$C$4,12,1)&gt;TODAY(),"",IF(ISNUMBER(H26),H27-H26,""))</f>
        <v/>
      </c>
    </row>
    <row r="28"/>
    <row r="29"/>
    <row r="30"/>
    <row r="31"/>
    <row r="32"/>
    <row r="33"/>
    <row r="34"/>
    <row r="35"/>
    <row r="36"/>
    <row r="37"/>
    <row r="38"/>
    <row r="39" ht="15" customHeight="1" s="94">
      <c r="B39" s="101" t="inlineStr">
        <is>
          <t>C. BANTUAN HITUNG (saldo tiap akun per akhir bulan — jangan diubah)</t>
        </is>
      </c>
    </row>
    <row r="40" ht="15" customHeight="1" s="94">
      <c r="A40" s="103" t="inlineStr">
        <is>
          <t>Akun</t>
        </is>
      </c>
      <c r="B40" s="103" t="inlineStr">
        <is>
          <t>Kelompok</t>
        </is>
      </c>
      <c r="C40" s="103" t="inlineStr">
        <is>
          <t>Jan</t>
        </is>
      </c>
      <c r="D40" s="103" t="inlineStr">
        <is>
          <t>Feb</t>
        </is>
      </c>
      <c r="E40" s="103" t="inlineStr">
        <is>
          <t>Mar</t>
        </is>
      </c>
      <c r="F40" s="103" t="inlineStr">
        <is>
          <t>Apr</t>
        </is>
      </c>
      <c r="G40" s="103" t="inlineStr">
        <is>
          <t>Mei</t>
        </is>
      </c>
      <c r="H40" s="103" t="inlineStr">
        <is>
          <t>Jun</t>
        </is>
      </c>
      <c r="I40" s="103" t="inlineStr">
        <is>
          <t>Jul</t>
        </is>
      </c>
      <c r="J40" s="103" t="inlineStr">
        <is>
          <t>Agu</t>
        </is>
      </c>
      <c r="K40" s="103" t="inlineStr">
        <is>
          <t>Sep</t>
        </is>
      </c>
      <c r="L40" s="103" t="inlineStr">
        <is>
          <t>Okt</t>
        </is>
      </c>
      <c r="M40" s="103" t="inlineStr">
        <is>
          <t>Nov</t>
        </is>
      </c>
      <c r="N40" s="103" t="inlineStr">
        <is>
          <t>Des</t>
        </is>
      </c>
    </row>
    <row r="41" ht="15" customHeight="1" s="94">
      <c r="A41" s="93">
        <f>IF(Akun!$A$5="","",Akun!$A$5)</f>
        <v/>
      </c>
      <c r="B41" s="93">
        <f>IF(Akun!$A$5="","",Akun!$B$5)</f>
        <v/>
      </c>
      <c r="C41" s="106">
        <f>IF(OR($A41="",DATE(Dashboard!$C$4,1,1)&gt;TODAY(),ISNA(MATCH($B41,{"Pribadi","Investasi (kas RDN)","Piutang","Pinjaman Mama (dompet)"},0))),"",SUMIFS(Akun!$C$5:$C$104,Akun!$A$5:$A$104,$A41,Akun!$D$5:$D$104,"&lt;="&amp;MIN(EOMONTH(DATE(Dashboard!$C$4,1,1),0),TODAY()))+SUMIFS(Transaksi!$F$16:$F$5015,Transaksi!$C$16:$C$5015,$A41,Transaksi!$D$16:$D$5015,"Masuk",Transaksi!$B$16:$B$5015,"&lt;="&amp;MIN(EOMONTH(DATE(Dashboard!$C$4,1,1),0),TODAY()))-SUMIFS(Transaksi!$F$16:$F$5015,Transaksi!$C$16:$C$5015,$A41,Transaksi!$D$16:$D$5015,"Keluar",Transaksi!$B$16:$B$5015,"&lt;="&amp;MIN(EOMONTH(DATE(Dashboard!$C$4,1,1),0),TODAY()))-SUMIFS(Transaksi!$F$16:$F$5015,Transaksi!$C$16:$C$5015,$A41,Transaksi!$D$16:$D$5015,"Pindah",Transaksi!$B$16:$B$5015,"&lt;="&amp;MIN(EOMONTH(DATE(Dashboard!$C$4,1,1),0),TODAY()))+SUMIFS(Transaksi!$F$16:$F$5015,Transaksi!$E$16:$E$5015,$A41,Transaksi!$D$16:$D$5015,"Pindah",Transaksi!$B$16:$B$5015,"&lt;="&amp;MIN(EOMONTH(DATE(Dashboard!$C$4,1,1),0),TODAY())))</f>
        <v/>
      </c>
      <c r="D41" s="106">
        <f>IF(OR($A41="",DATE(Dashboard!$C$4,2,1)&gt;TODAY(),ISNA(MATCH($B41,{"Pribadi","Investasi (kas RDN)","Piutang","Pinjaman Mama (dompet)"},0))),"",SUMIFS(Akun!$C$5:$C$104,Akun!$A$5:$A$104,$A41,Akun!$D$5:$D$104,"&lt;="&amp;MIN(EOMONTH(DATE(Dashboard!$C$4,2,1),0),TODAY()))+SUMIFS(Transaksi!$F$16:$F$5015,Transaksi!$C$16:$C$5015,$A41,Transaksi!$D$16:$D$5015,"Masuk",Transaksi!$B$16:$B$5015,"&lt;="&amp;MIN(EOMONTH(DATE(Dashboard!$C$4,2,1),0),TODAY()))-SUMIFS(Transaksi!$F$16:$F$5015,Transaksi!$C$16:$C$5015,$A41,Transaksi!$D$16:$D$5015,"Keluar",Transaksi!$B$16:$B$5015,"&lt;="&amp;MIN(EOMONTH(DATE(Dashboard!$C$4,2,1),0),TODAY()))-SUMIFS(Transaksi!$F$16:$F$5015,Transaksi!$C$16:$C$5015,$A41,Transaksi!$D$16:$D$5015,"Pindah",Transaksi!$B$16:$B$5015,"&lt;="&amp;MIN(EOMONTH(DATE(Dashboard!$C$4,2,1),0),TODAY()))+SUMIFS(Transaksi!$F$16:$F$5015,Transaksi!$E$16:$E$5015,$A41,Transaksi!$D$16:$D$5015,"Pindah",Transaksi!$B$16:$B$5015,"&lt;="&amp;MIN(EOMONTH(DATE(Dashboard!$C$4,2,1),0),TODAY())))</f>
        <v/>
      </c>
      <c r="E41" s="106">
        <f>IF(OR($A41="",DATE(Dashboard!$C$4,3,1)&gt;TODAY(),ISNA(MATCH($B41,{"Pribadi","Investasi (kas RDN)","Piutang","Pinjaman Mama (dompet)"},0))),"",SUMIFS(Akun!$C$5:$C$104,Akun!$A$5:$A$104,$A41,Akun!$D$5:$D$104,"&lt;="&amp;MIN(EOMONTH(DATE(Dashboard!$C$4,3,1),0),TODAY()))+SUMIFS(Transaksi!$F$16:$F$5015,Transaksi!$C$16:$C$5015,$A41,Transaksi!$D$16:$D$5015,"Masuk",Transaksi!$B$16:$B$5015,"&lt;="&amp;MIN(EOMONTH(DATE(Dashboard!$C$4,3,1),0),TODAY()))-SUMIFS(Transaksi!$F$16:$F$5015,Transaksi!$C$16:$C$5015,$A41,Transaksi!$D$16:$D$5015,"Keluar",Transaksi!$B$16:$B$5015,"&lt;="&amp;MIN(EOMONTH(DATE(Dashboard!$C$4,3,1),0),TODAY()))-SUMIFS(Transaksi!$F$16:$F$5015,Transaksi!$C$16:$C$5015,$A41,Transaksi!$D$16:$D$5015,"Pindah",Transaksi!$B$16:$B$5015,"&lt;="&amp;MIN(EOMONTH(DATE(Dashboard!$C$4,3,1),0),TODAY()))+SUMIFS(Transaksi!$F$16:$F$5015,Transaksi!$E$16:$E$5015,$A41,Transaksi!$D$16:$D$5015,"Pindah",Transaksi!$B$16:$B$5015,"&lt;="&amp;MIN(EOMONTH(DATE(Dashboard!$C$4,3,1),0),TODAY())))</f>
        <v/>
      </c>
      <c r="F41" s="106">
        <f>IF(OR($A41="",DATE(Dashboard!$C$4,4,1)&gt;TODAY(),ISNA(MATCH($B41,{"Pribadi","Investasi (kas RDN)","Piutang","Pinjaman Mama (dompet)"},0))),"",SUMIFS(Akun!$C$5:$C$104,Akun!$A$5:$A$104,$A41,Akun!$D$5:$D$104,"&lt;="&amp;MIN(EOMONTH(DATE(Dashboard!$C$4,4,1),0),TODAY()))+SUMIFS(Transaksi!$F$16:$F$5015,Transaksi!$C$16:$C$5015,$A41,Transaksi!$D$16:$D$5015,"Masuk",Transaksi!$B$16:$B$5015,"&lt;="&amp;MIN(EOMONTH(DATE(Dashboard!$C$4,4,1),0),TODAY()))-SUMIFS(Transaksi!$F$16:$F$5015,Transaksi!$C$16:$C$5015,$A41,Transaksi!$D$16:$D$5015,"Keluar",Transaksi!$B$16:$B$5015,"&lt;="&amp;MIN(EOMONTH(DATE(Dashboard!$C$4,4,1),0),TODAY()))-SUMIFS(Transaksi!$F$16:$F$5015,Transaksi!$C$16:$C$5015,$A41,Transaksi!$D$16:$D$5015,"Pindah",Transaksi!$B$16:$B$5015,"&lt;="&amp;MIN(EOMONTH(DATE(Dashboard!$C$4,4,1),0),TODAY()))+SUMIFS(Transaksi!$F$16:$F$5015,Transaksi!$E$16:$E$5015,$A41,Transaksi!$D$16:$D$5015,"Pindah",Transaksi!$B$16:$B$5015,"&lt;="&amp;MIN(EOMONTH(DATE(Dashboard!$C$4,4,1),0),TODAY())))</f>
        <v/>
      </c>
      <c r="G41" s="106">
        <f>IF(OR($A41="",DATE(Dashboard!$C$4,5,1)&gt;TODAY(),ISNA(MATCH($B41,{"Pribadi","Investasi (kas RDN)","Piutang","Pinjaman Mama (dompet)"},0))),"",SUMIFS(Akun!$C$5:$C$104,Akun!$A$5:$A$104,$A41,Akun!$D$5:$D$104,"&lt;="&amp;MIN(EOMONTH(DATE(Dashboard!$C$4,5,1),0),TODAY()))+SUMIFS(Transaksi!$F$16:$F$5015,Transaksi!$C$16:$C$5015,$A41,Transaksi!$D$16:$D$5015,"Masuk",Transaksi!$B$16:$B$5015,"&lt;="&amp;MIN(EOMONTH(DATE(Dashboard!$C$4,5,1),0),TODAY()))-SUMIFS(Transaksi!$F$16:$F$5015,Transaksi!$C$16:$C$5015,$A41,Transaksi!$D$16:$D$5015,"Keluar",Transaksi!$B$16:$B$5015,"&lt;="&amp;MIN(EOMONTH(DATE(Dashboard!$C$4,5,1),0),TODAY()))-SUMIFS(Transaksi!$F$16:$F$5015,Transaksi!$C$16:$C$5015,$A41,Transaksi!$D$16:$D$5015,"Pindah",Transaksi!$B$16:$B$5015,"&lt;="&amp;MIN(EOMONTH(DATE(Dashboard!$C$4,5,1),0),TODAY()))+SUMIFS(Transaksi!$F$16:$F$5015,Transaksi!$E$16:$E$5015,$A41,Transaksi!$D$16:$D$5015,"Pindah",Transaksi!$B$16:$B$5015,"&lt;="&amp;MIN(EOMONTH(DATE(Dashboard!$C$4,5,1),0),TODAY())))</f>
        <v/>
      </c>
      <c r="H41" s="106">
        <f>IF(OR($A41="",DATE(Dashboard!$C$4,6,1)&gt;TODAY(),ISNA(MATCH($B41,{"Pribadi","Investasi (kas RDN)","Piutang","Pinjaman Mama (dompet)"},0))),"",SUMIFS(Akun!$C$5:$C$104,Akun!$A$5:$A$104,$A41,Akun!$D$5:$D$104,"&lt;="&amp;MIN(EOMONTH(DATE(Dashboard!$C$4,6,1),0),TODAY()))+SUMIFS(Transaksi!$F$16:$F$5015,Transaksi!$C$16:$C$5015,$A41,Transaksi!$D$16:$D$5015,"Masuk",Transaksi!$B$16:$B$5015,"&lt;="&amp;MIN(EOMONTH(DATE(Dashboard!$C$4,6,1),0),TODAY()))-SUMIFS(Transaksi!$F$16:$F$5015,Transaksi!$C$16:$C$5015,$A41,Transaksi!$D$16:$D$5015,"Keluar",Transaksi!$B$16:$B$5015,"&lt;="&amp;MIN(EOMONTH(DATE(Dashboard!$C$4,6,1),0),TODAY()))-SUMIFS(Transaksi!$F$16:$F$5015,Transaksi!$C$16:$C$5015,$A41,Transaksi!$D$16:$D$5015,"Pindah",Transaksi!$B$16:$B$5015,"&lt;="&amp;MIN(EOMONTH(DATE(Dashboard!$C$4,6,1),0),TODAY()))+SUMIFS(Transaksi!$F$16:$F$5015,Transaksi!$E$16:$E$5015,$A41,Transaksi!$D$16:$D$5015,"Pindah",Transaksi!$B$16:$B$5015,"&lt;="&amp;MIN(EOMONTH(DATE(Dashboard!$C$4,6,1),0),TODAY())))</f>
        <v/>
      </c>
      <c r="I41" s="106">
        <f>IF(OR($A41="",DATE(Dashboard!$C$4,7,1)&gt;TODAY(),ISNA(MATCH($B41,{"Pribadi","Investasi (kas RDN)","Piutang","Pinjaman Mama (dompet)"},0))),"",SUMIFS(Akun!$C$5:$C$104,Akun!$A$5:$A$104,$A41,Akun!$D$5:$D$104,"&lt;="&amp;MIN(EOMONTH(DATE(Dashboard!$C$4,7,1),0),TODAY()))+SUMIFS(Transaksi!$F$16:$F$5015,Transaksi!$C$16:$C$5015,$A41,Transaksi!$D$16:$D$5015,"Masuk",Transaksi!$B$16:$B$5015,"&lt;="&amp;MIN(EOMONTH(DATE(Dashboard!$C$4,7,1),0),TODAY()))-SUMIFS(Transaksi!$F$16:$F$5015,Transaksi!$C$16:$C$5015,$A41,Transaksi!$D$16:$D$5015,"Keluar",Transaksi!$B$16:$B$5015,"&lt;="&amp;MIN(EOMONTH(DATE(Dashboard!$C$4,7,1),0),TODAY()))-SUMIFS(Transaksi!$F$16:$F$5015,Transaksi!$C$16:$C$5015,$A41,Transaksi!$D$16:$D$5015,"Pindah",Transaksi!$B$16:$B$5015,"&lt;="&amp;MIN(EOMONTH(DATE(Dashboard!$C$4,7,1),0),TODAY()))+SUMIFS(Transaksi!$F$16:$F$5015,Transaksi!$E$16:$E$5015,$A41,Transaksi!$D$16:$D$5015,"Pindah",Transaksi!$B$16:$B$5015,"&lt;="&amp;MIN(EOMONTH(DATE(Dashboard!$C$4,7,1),0),TODAY())))</f>
        <v/>
      </c>
      <c r="J41" s="106">
        <f>IF(OR($A41="",DATE(Dashboard!$C$4,8,1)&gt;TODAY(),ISNA(MATCH($B41,{"Pribadi","Investasi (kas RDN)","Piutang","Pinjaman Mama (dompet)"},0))),"",SUMIFS(Akun!$C$5:$C$104,Akun!$A$5:$A$104,$A41,Akun!$D$5:$D$104,"&lt;="&amp;MIN(EOMONTH(DATE(Dashboard!$C$4,8,1),0),TODAY()))+SUMIFS(Transaksi!$F$16:$F$5015,Transaksi!$C$16:$C$5015,$A41,Transaksi!$D$16:$D$5015,"Masuk",Transaksi!$B$16:$B$5015,"&lt;="&amp;MIN(EOMONTH(DATE(Dashboard!$C$4,8,1),0),TODAY()))-SUMIFS(Transaksi!$F$16:$F$5015,Transaksi!$C$16:$C$5015,$A41,Transaksi!$D$16:$D$5015,"Keluar",Transaksi!$B$16:$B$5015,"&lt;="&amp;MIN(EOMONTH(DATE(Dashboard!$C$4,8,1),0),TODAY()))-SUMIFS(Transaksi!$F$16:$F$5015,Transaksi!$C$16:$C$5015,$A41,Transaksi!$D$16:$D$5015,"Pindah",Transaksi!$B$16:$B$5015,"&lt;="&amp;MIN(EOMONTH(DATE(Dashboard!$C$4,8,1),0),TODAY()))+SUMIFS(Transaksi!$F$16:$F$5015,Transaksi!$E$16:$E$5015,$A41,Transaksi!$D$16:$D$5015,"Pindah",Transaksi!$B$16:$B$5015,"&lt;="&amp;MIN(EOMONTH(DATE(Dashboard!$C$4,8,1),0),TODAY())))</f>
        <v/>
      </c>
      <c r="K41" s="106">
        <f>IF(OR($A41="",DATE(Dashboard!$C$4,9,1)&gt;TODAY(),ISNA(MATCH($B41,{"Pribadi","Investasi (kas RDN)","Piutang","Pinjaman Mama (dompet)"},0))),"",SUMIFS(Akun!$C$5:$C$104,Akun!$A$5:$A$104,$A41,Akun!$D$5:$D$104,"&lt;="&amp;MIN(EOMONTH(DATE(Dashboard!$C$4,9,1),0),TODAY()))+SUMIFS(Transaksi!$F$16:$F$5015,Transaksi!$C$16:$C$5015,$A41,Transaksi!$D$16:$D$5015,"Masuk",Transaksi!$B$16:$B$5015,"&lt;="&amp;MIN(EOMONTH(DATE(Dashboard!$C$4,9,1),0),TODAY()))-SUMIFS(Transaksi!$F$16:$F$5015,Transaksi!$C$16:$C$5015,$A41,Transaksi!$D$16:$D$5015,"Keluar",Transaksi!$B$16:$B$5015,"&lt;="&amp;MIN(EOMONTH(DATE(Dashboard!$C$4,9,1),0),TODAY()))-SUMIFS(Transaksi!$F$16:$F$5015,Transaksi!$C$16:$C$5015,$A41,Transaksi!$D$16:$D$5015,"Pindah",Transaksi!$B$16:$B$5015,"&lt;="&amp;MIN(EOMONTH(DATE(Dashboard!$C$4,9,1),0),TODAY()))+SUMIFS(Transaksi!$F$16:$F$5015,Transaksi!$E$16:$E$5015,$A41,Transaksi!$D$16:$D$5015,"Pindah",Transaksi!$B$16:$B$5015,"&lt;="&amp;MIN(EOMONTH(DATE(Dashboard!$C$4,9,1),0),TODAY())))</f>
        <v/>
      </c>
      <c r="L41" s="106">
        <f>IF(OR($A41="",DATE(Dashboard!$C$4,10,1)&gt;TODAY(),ISNA(MATCH($B41,{"Pribadi","Investasi (kas RDN)","Piutang","Pinjaman Mama (dompet)"},0))),"",SUMIFS(Akun!$C$5:$C$104,Akun!$A$5:$A$104,$A41,Akun!$D$5:$D$104,"&lt;="&amp;MIN(EOMONTH(DATE(Dashboard!$C$4,10,1),0),TODAY()))+SUMIFS(Transaksi!$F$16:$F$5015,Transaksi!$C$16:$C$5015,$A41,Transaksi!$D$16:$D$5015,"Masuk",Transaksi!$B$16:$B$5015,"&lt;="&amp;MIN(EOMONTH(DATE(Dashboard!$C$4,10,1),0),TODAY()))-SUMIFS(Transaksi!$F$16:$F$5015,Transaksi!$C$16:$C$5015,$A41,Transaksi!$D$16:$D$5015,"Keluar",Transaksi!$B$16:$B$5015,"&lt;="&amp;MIN(EOMONTH(DATE(Dashboard!$C$4,10,1),0),TODAY()))-SUMIFS(Transaksi!$F$16:$F$5015,Transaksi!$C$16:$C$5015,$A41,Transaksi!$D$16:$D$5015,"Pindah",Transaksi!$B$16:$B$5015,"&lt;="&amp;MIN(EOMONTH(DATE(Dashboard!$C$4,10,1),0),TODAY()))+SUMIFS(Transaksi!$F$16:$F$5015,Transaksi!$E$16:$E$5015,$A41,Transaksi!$D$16:$D$5015,"Pindah",Transaksi!$B$16:$B$5015,"&lt;="&amp;MIN(EOMONTH(DATE(Dashboard!$C$4,10,1),0),TODAY())))</f>
        <v/>
      </c>
      <c r="M41" s="106">
        <f>IF(OR($A41="",DATE(Dashboard!$C$4,11,1)&gt;TODAY(),ISNA(MATCH($B41,{"Pribadi","Investasi (kas RDN)","Piutang","Pinjaman Mama (dompet)"},0))),"",SUMIFS(Akun!$C$5:$C$104,Akun!$A$5:$A$104,$A41,Akun!$D$5:$D$104,"&lt;="&amp;MIN(EOMONTH(DATE(Dashboard!$C$4,11,1),0),TODAY()))+SUMIFS(Transaksi!$F$16:$F$5015,Transaksi!$C$16:$C$5015,$A41,Transaksi!$D$16:$D$5015,"Masuk",Transaksi!$B$16:$B$5015,"&lt;="&amp;MIN(EOMONTH(DATE(Dashboard!$C$4,11,1),0),TODAY()))-SUMIFS(Transaksi!$F$16:$F$5015,Transaksi!$C$16:$C$5015,$A41,Transaksi!$D$16:$D$5015,"Keluar",Transaksi!$B$16:$B$5015,"&lt;="&amp;MIN(EOMONTH(DATE(Dashboard!$C$4,11,1),0),TODAY()))-SUMIFS(Transaksi!$F$16:$F$5015,Transaksi!$C$16:$C$5015,$A41,Transaksi!$D$16:$D$5015,"Pindah",Transaksi!$B$16:$B$5015,"&lt;="&amp;MIN(EOMONTH(DATE(Dashboard!$C$4,11,1),0),TODAY()))+SUMIFS(Transaksi!$F$16:$F$5015,Transaksi!$E$16:$E$5015,$A41,Transaksi!$D$16:$D$5015,"Pindah",Transaksi!$B$16:$B$5015,"&lt;="&amp;MIN(EOMONTH(DATE(Dashboard!$C$4,11,1),0),TODAY())))</f>
        <v/>
      </c>
      <c r="N41" s="106">
        <f>IF(OR($A41="",DATE(Dashboard!$C$4,12,1)&gt;TODAY(),ISNA(MATCH($B41,{"Pribadi","Investasi (kas RDN)","Piutang","Pinjaman Mama (dompet)"},0))),"",SUMIFS(Akun!$C$5:$C$104,Akun!$A$5:$A$104,$A41,Akun!$D$5:$D$104,"&lt;="&amp;MIN(EOMONTH(DATE(Dashboard!$C$4,12,1),0),TODAY()))+SUMIFS(Transaksi!$F$16:$F$5015,Transaksi!$C$16:$C$5015,$A41,Transaksi!$D$16:$D$5015,"Masuk",Transaksi!$B$16:$B$5015,"&lt;="&amp;MIN(EOMONTH(DATE(Dashboard!$C$4,12,1),0),TODAY()))-SUMIFS(Transaksi!$F$16:$F$5015,Transaksi!$C$16:$C$5015,$A41,Transaksi!$D$16:$D$5015,"Keluar",Transaksi!$B$16:$B$5015,"&lt;="&amp;MIN(EOMONTH(DATE(Dashboard!$C$4,12,1),0),TODAY()))-SUMIFS(Transaksi!$F$16:$F$5015,Transaksi!$C$16:$C$5015,$A41,Transaksi!$D$16:$D$5015,"Pindah",Transaksi!$B$16:$B$5015,"&lt;="&amp;MIN(EOMONTH(DATE(Dashboard!$C$4,12,1),0),TODAY()))+SUMIFS(Transaksi!$F$16:$F$5015,Transaksi!$E$16:$E$5015,$A41,Transaksi!$D$16:$D$5015,"Pindah",Transaksi!$B$16:$B$5015,"&lt;="&amp;MIN(EOMONTH(DATE(Dashboard!$C$4,12,1),0),TODAY())))</f>
        <v/>
      </c>
    </row>
    <row r="42" ht="15" customHeight="1" s="94">
      <c r="A42" s="93">
        <f>IF(Akun!$A$6="","",Akun!$A$6)</f>
        <v/>
      </c>
      <c r="B42" s="93">
        <f>IF(Akun!$A$6="","",Akun!$B$6)</f>
        <v/>
      </c>
      <c r="C42" s="106">
        <f>IF(OR($A42="",DATE(Dashboard!$C$4,1,1)&gt;TODAY(),ISNA(MATCH($B42,{"Pribadi","Investasi (kas RDN)","Piutang","Pinjaman Mama (dompet)"},0))),"",SUMIFS(Akun!$C$5:$C$104,Akun!$A$5:$A$104,$A42,Akun!$D$5:$D$104,"&lt;="&amp;MIN(EOMONTH(DATE(Dashboard!$C$4,1,1),0),TODAY()))+SUMIFS(Transaksi!$F$16:$F$5015,Transaksi!$C$16:$C$5015,$A42,Transaksi!$D$16:$D$5015,"Masuk",Transaksi!$B$16:$B$5015,"&lt;="&amp;MIN(EOMONTH(DATE(Dashboard!$C$4,1,1),0),TODAY()))-SUMIFS(Transaksi!$F$16:$F$5015,Transaksi!$C$16:$C$5015,$A42,Transaksi!$D$16:$D$5015,"Keluar",Transaksi!$B$16:$B$5015,"&lt;="&amp;MIN(EOMONTH(DATE(Dashboard!$C$4,1,1),0),TODAY()))-SUMIFS(Transaksi!$F$16:$F$5015,Transaksi!$C$16:$C$5015,$A42,Transaksi!$D$16:$D$5015,"Pindah",Transaksi!$B$16:$B$5015,"&lt;="&amp;MIN(EOMONTH(DATE(Dashboard!$C$4,1,1),0),TODAY()))+SUMIFS(Transaksi!$F$16:$F$5015,Transaksi!$E$16:$E$5015,$A42,Transaksi!$D$16:$D$5015,"Pindah",Transaksi!$B$16:$B$5015,"&lt;="&amp;MIN(EOMONTH(DATE(Dashboard!$C$4,1,1),0),TODAY())))</f>
        <v/>
      </c>
      <c r="D42" s="106">
        <f>IF(OR($A42="",DATE(Dashboard!$C$4,2,1)&gt;TODAY(),ISNA(MATCH($B42,{"Pribadi","Investasi (kas RDN)","Piutang","Pinjaman Mama (dompet)"},0))),"",SUMIFS(Akun!$C$5:$C$104,Akun!$A$5:$A$104,$A42,Akun!$D$5:$D$104,"&lt;="&amp;MIN(EOMONTH(DATE(Dashboard!$C$4,2,1),0),TODAY()))+SUMIFS(Transaksi!$F$16:$F$5015,Transaksi!$C$16:$C$5015,$A42,Transaksi!$D$16:$D$5015,"Masuk",Transaksi!$B$16:$B$5015,"&lt;="&amp;MIN(EOMONTH(DATE(Dashboard!$C$4,2,1),0),TODAY()))-SUMIFS(Transaksi!$F$16:$F$5015,Transaksi!$C$16:$C$5015,$A42,Transaksi!$D$16:$D$5015,"Keluar",Transaksi!$B$16:$B$5015,"&lt;="&amp;MIN(EOMONTH(DATE(Dashboard!$C$4,2,1),0),TODAY()))-SUMIFS(Transaksi!$F$16:$F$5015,Transaksi!$C$16:$C$5015,$A42,Transaksi!$D$16:$D$5015,"Pindah",Transaksi!$B$16:$B$5015,"&lt;="&amp;MIN(EOMONTH(DATE(Dashboard!$C$4,2,1),0),TODAY()))+SUMIFS(Transaksi!$F$16:$F$5015,Transaksi!$E$16:$E$5015,$A42,Transaksi!$D$16:$D$5015,"Pindah",Transaksi!$B$16:$B$5015,"&lt;="&amp;MIN(EOMONTH(DATE(Dashboard!$C$4,2,1),0),TODAY())))</f>
        <v/>
      </c>
      <c r="E42" s="106">
        <f>IF(OR($A42="",DATE(Dashboard!$C$4,3,1)&gt;TODAY(),ISNA(MATCH($B42,{"Pribadi","Investasi (kas RDN)","Piutang","Pinjaman Mama (dompet)"},0))),"",SUMIFS(Akun!$C$5:$C$104,Akun!$A$5:$A$104,$A42,Akun!$D$5:$D$104,"&lt;="&amp;MIN(EOMONTH(DATE(Dashboard!$C$4,3,1),0),TODAY()))+SUMIFS(Transaksi!$F$16:$F$5015,Transaksi!$C$16:$C$5015,$A42,Transaksi!$D$16:$D$5015,"Masuk",Transaksi!$B$16:$B$5015,"&lt;="&amp;MIN(EOMONTH(DATE(Dashboard!$C$4,3,1),0),TODAY()))-SUMIFS(Transaksi!$F$16:$F$5015,Transaksi!$C$16:$C$5015,$A42,Transaksi!$D$16:$D$5015,"Keluar",Transaksi!$B$16:$B$5015,"&lt;="&amp;MIN(EOMONTH(DATE(Dashboard!$C$4,3,1),0),TODAY()))-SUMIFS(Transaksi!$F$16:$F$5015,Transaksi!$C$16:$C$5015,$A42,Transaksi!$D$16:$D$5015,"Pindah",Transaksi!$B$16:$B$5015,"&lt;="&amp;MIN(EOMONTH(DATE(Dashboard!$C$4,3,1),0),TODAY()))+SUMIFS(Transaksi!$F$16:$F$5015,Transaksi!$E$16:$E$5015,$A42,Transaksi!$D$16:$D$5015,"Pindah",Transaksi!$B$16:$B$5015,"&lt;="&amp;MIN(EOMONTH(DATE(Dashboard!$C$4,3,1),0),TODAY())))</f>
        <v/>
      </c>
      <c r="F42" s="106">
        <f>IF(OR($A42="",DATE(Dashboard!$C$4,4,1)&gt;TODAY(),ISNA(MATCH($B42,{"Pribadi","Investasi (kas RDN)","Piutang","Pinjaman Mama (dompet)"},0))),"",SUMIFS(Akun!$C$5:$C$104,Akun!$A$5:$A$104,$A42,Akun!$D$5:$D$104,"&lt;="&amp;MIN(EOMONTH(DATE(Dashboard!$C$4,4,1),0),TODAY()))+SUMIFS(Transaksi!$F$16:$F$5015,Transaksi!$C$16:$C$5015,$A42,Transaksi!$D$16:$D$5015,"Masuk",Transaksi!$B$16:$B$5015,"&lt;="&amp;MIN(EOMONTH(DATE(Dashboard!$C$4,4,1),0),TODAY()))-SUMIFS(Transaksi!$F$16:$F$5015,Transaksi!$C$16:$C$5015,$A42,Transaksi!$D$16:$D$5015,"Keluar",Transaksi!$B$16:$B$5015,"&lt;="&amp;MIN(EOMONTH(DATE(Dashboard!$C$4,4,1),0),TODAY()))-SUMIFS(Transaksi!$F$16:$F$5015,Transaksi!$C$16:$C$5015,$A42,Transaksi!$D$16:$D$5015,"Pindah",Transaksi!$B$16:$B$5015,"&lt;="&amp;MIN(EOMONTH(DATE(Dashboard!$C$4,4,1),0),TODAY()))+SUMIFS(Transaksi!$F$16:$F$5015,Transaksi!$E$16:$E$5015,$A42,Transaksi!$D$16:$D$5015,"Pindah",Transaksi!$B$16:$B$5015,"&lt;="&amp;MIN(EOMONTH(DATE(Dashboard!$C$4,4,1),0),TODAY())))</f>
        <v/>
      </c>
      <c r="G42" s="106">
        <f>IF(OR($A42="",DATE(Dashboard!$C$4,5,1)&gt;TODAY(),ISNA(MATCH($B42,{"Pribadi","Investasi (kas RDN)","Piutang","Pinjaman Mama (dompet)"},0))),"",SUMIFS(Akun!$C$5:$C$104,Akun!$A$5:$A$104,$A42,Akun!$D$5:$D$104,"&lt;="&amp;MIN(EOMONTH(DATE(Dashboard!$C$4,5,1),0),TODAY()))+SUMIFS(Transaksi!$F$16:$F$5015,Transaksi!$C$16:$C$5015,$A42,Transaksi!$D$16:$D$5015,"Masuk",Transaksi!$B$16:$B$5015,"&lt;="&amp;MIN(EOMONTH(DATE(Dashboard!$C$4,5,1),0),TODAY()))-SUMIFS(Transaksi!$F$16:$F$5015,Transaksi!$C$16:$C$5015,$A42,Transaksi!$D$16:$D$5015,"Keluar",Transaksi!$B$16:$B$5015,"&lt;="&amp;MIN(EOMONTH(DATE(Dashboard!$C$4,5,1),0),TODAY()))-SUMIFS(Transaksi!$F$16:$F$5015,Transaksi!$C$16:$C$5015,$A42,Transaksi!$D$16:$D$5015,"Pindah",Transaksi!$B$16:$B$5015,"&lt;="&amp;MIN(EOMONTH(DATE(Dashboard!$C$4,5,1),0),TODAY()))+SUMIFS(Transaksi!$F$16:$F$5015,Transaksi!$E$16:$E$5015,$A42,Transaksi!$D$16:$D$5015,"Pindah",Transaksi!$B$16:$B$5015,"&lt;="&amp;MIN(EOMONTH(DATE(Dashboard!$C$4,5,1),0),TODAY())))</f>
        <v/>
      </c>
      <c r="H42" s="106">
        <f>IF(OR($A42="",DATE(Dashboard!$C$4,6,1)&gt;TODAY(),ISNA(MATCH($B42,{"Pribadi","Investasi (kas RDN)","Piutang","Pinjaman Mama (dompet)"},0))),"",SUMIFS(Akun!$C$5:$C$104,Akun!$A$5:$A$104,$A42,Akun!$D$5:$D$104,"&lt;="&amp;MIN(EOMONTH(DATE(Dashboard!$C$4,6,1),0),TODAY()))+SUMIFS(Transaksi!$F$16:$F$5015,Transaksi!$C$16:$C$5015,$A42,Transaksi!$D$16:$D$5015,"Masuk",Transaksi!$B$16:$B$5015,"&lt;="&amp;MIN(EOMONTH(DATE(Dashboard!$C$4,6,1),0),TODAY()))-SUMIFS(Transaksi!$F$16:$F$5015,Transaksi!$C$16:$C$5015,$A42,Transaksi!$D$16:$D$5015,"Keluar",Transaksi!$B$16:$B$5015,"&lt;="&amp;MIN(EOMONTH(DATE(Dashboard!$C$4,6,1),0),TODAY()))-SUMIFS(Transaksi!$F$16:$F$5015,Transaksi!$C$16:$C$5015,$A42,Transaksi!$D$16:$D$5015,"Pindah",Transaksi!$B$16:$B$5015,"&lt;="&amp;MIN(EOMONTH(DATE(Dashboard!$C$4,6,1),0),TODAY()))+SUMIFS(Transaksi!$F$16:$F$5015,Transaksi!$E$16:$E$5015,$A42,Transaksi!$D$16:$D$5015,"Pindah",Transaksi!$B$16:$B$5015,"&lt;="&amp;MIN(EOMONTH(DATE(Dashboard!$C$4,6,1),0),TODAY())))</f>
        <v/>
      </c>
      <c r="I42" s="106">
        <f>IF(OR($A42="",DATE(Dashboard!$C$4,7,1)&gt;TODAY(),ISNA(MATCH($B42,{"Pribadi","Investasi (kas RDN)","Piutang","Pinjaman Mama (dompet)"},0))),"",SUMIFS(Akun!$C$5:$C$104,Akun!$A$5:$A$104,$A42,Akun!$D$5:$D$104,"&lt;="&amp;MIN(EOMONTH(DATE(Dashboard!$C$4,7,1),0),TODAY()))+SUMIFS(Transaksi!$F$16:$F$5015,Transaksi!$C$16:$C$5015,$A42,Transaksi!$D$16:$D$5015,"Masuk",Transaksi!$B$16:$B$5015,"&lt;="&amp;MIN(EOMONTH(DATE(Dashboard!$C$4,7,1),0),TODAY()))-SUMIFS(Transaksi!$F$16:$F$5015,Transaksi!$C$16:$C$5015,$A42,Transaksi!$D$16:$D$5015,"Keluar",Transaksi!$B$16:$B$5015,"&lt;="&amp;MIN(EOMONTH(DATE(Dashboard!$C$4,7,1),0),TODAY()))-SUMIFS(Transaksi!$F$16:$F$5015,Transaksi!$C$16:$C$5015,$A42,Transaksi!$D$16:$D$5015,"Pindah",Transaksi!$B$16:$B$5015,"&lt;="&amp;MIN(EOMONTH(DATE(Dashboard!$C$4,7,1),0),TODAY()))+SUMIFS(Transaksi!$F$16:$F$5015,Transaksi!$E$16:$E$5015,$A42,Transaksi!$D$16:$D$5015,"Pindah",Transaksi!$B$16:$B$5015,"&lt;="&amp;MIN(EOMONTH(DATE(Dashboard!$C$4,7,1),0),TODAY())))</f>
        <v/>
      </c>
      <c r="J42" s="106">
        <f>IF(OR($A42="",DATE(Dashboard!$C$4,8,1)&gt;TODAY(),ISNA(MATCH($B42,{"Pribadi","Investasi (kas RDN)","Piutang","Pinjaman Mama (dompet)"},0))),"",SUMIFS(Akun!$C$5:$C$104,Akun!$A$5:$A$104,$A42,Akun!$D$5:$D$104,"&lt;="&amp;MIN(EOMONTH(DATE(Dashboard!$C$4,8,1),0),TODAY()))+SUMIFS(Transaksi!$F$16:$F$5015,Transaksi!$C$16:$C$5015,$A42,Transaksi!$D$16:$D$5015,"Masuk",Transaksi!$B$16:$B$5015,"&lt;="&amp;MIN(EOMONTH(DATE(Dashboard!$C$4,8,1),0),TODAY()))-SUMIFS(Transaksi!$F$16:$F$5015,Transaksi!$C$16:$C$5015,$A42,Transaksi!$D$16:$D$5015,"Keluar",Transaksi!$B$16:$B$5015,"&lt;="&amp;MIN(EOMONTH(DATE(Dashboard!$C$4,8,1),0),TODAY()))-SUMIFS(Transaksi!$F$16:$F$5015,Transaksi!$C$16:$C$5015,$A42,Transaksi!$D$16:$D$5015,"Pindah",Transaksi!$B$16:$B$5015,"&lt;="&amp;MIN(EOMONTH(DATE(Dashboard!$C$4,8,1),0),TODAY()))+SUMIFS(Transaksi!$F$16:$F$5015,Transaksi!$E$16:$E$5015,$A42,Transaksi!$D$16:$D$5015,"Pindah",Transaksi!$B$16:$B$5015,"&lt;="&amp;MIN(EOMONTH(DATE(Dashboard!$C$4,8,1),0),TODAY())))</f>
        <v/>
      </c>
      <c r="K42" s="106">
        <f>IF(OR($A42="",DATE(Dashboard!$C$4,9,1)&gt;TODAY(),ISNA(MATCH($B42,{"Pribadi","Investasi (kas RDN)","Piutang","Pinjaman Mama (dompet)"},0))),"",SUMIFS(Akun!$C$5:$C$104,Akun!$A$5:$A$104,$A42,Akun!$D$5:$D$104,"&lt;="&amp;MIN(EOMONTH(DATE(Dashboard!$C$4,9,1),0),TODAY()))+SUMIFS(Transaksi!$F$16:$F$5015,Transaksi!$C$16:$C$5015,$A42,Transaksi!$D$16:$D$5015,"Masuk",Transaksi!$B$16:$B$5015,"&lt;="&amp;MIN(EOMONTH(DATE(Dashboard!$C$4,9,1),0),TODAY()))-SUMIFS(Transaksi!$F$16:$F$5015,Transaksi!$C$16:$C$5015,$A42,Transaksi!$D$16:$D$5015,"Keluar",Transaksi!$B$16:$B$5015,"&lt;="&amp;MIN(EOMONTH(DATE(Dashboard!$C$4,9,1),0),TODAY()))-SUMIFS(Transaksi!$F$16:$F$5015,Transaksi!$C$16:$C$5015,$A42,Transaksi!$D$16:$D$5015,"Pindah",Transaksi!$B$16:$B$5015,"&lt;="&amp;MIN(EOMONTH(DATE(Dashboard!$C$4,9,1),0),TODAY()))+SUMIFS(Transaksi!$F$16:$F$5015,Transaksi!$E$16:$E$5015,$A42,Transaksi!$D$16:$D$5015,"Pindah",Transaksi!$B$16:$B$5015,"&lt;="&amp;MIN(EOMONTH(DATE(Dashboard!$C$4,9,1),0),TODAY())))</f>
        <v/>
      </c>
      <c r="L42" s="106">
        <f>IF(OR($A42="",DATE(Dashboard!$C$4,10,1)&gt;TODAY(),ISNA(MATCH($B42,{"Pribadi","Investasi (kas RDN)","Piutang","Pinjaman Mama (dompet)"},0))),"",SUMIFS(Akun!$C$5:$C$104,Akun!$A$5:$A$104,$A42,Akun!$D$5:$D$104,"&lt;="&amp;MIN(EOMONTH(DATE(Dashboard!$C$4,10,1),0),TODAY()))+SUMIFS(Transaksi!$F$16:$F$5015,Transaksi!$C$16:$C$5015,$A42,Transaksi!$D$16:$D$5015,"Masuk",Transaksi!$B$16:$B$5015,"&lt;="&amp;MIN(EOMONTH(DATE(Dashboard!$C$4,10,1),0),TODAY()))-SUMIFS(Transaksi!$F$16:$F$5015,Transaksi!$C$16:$C$5015,$A42,Transaksi!$D$16:$D$5015,"Keluar",Transaksi!$B$16:$B$5015,"&lt;="&amp;MIN(EOMONTH(DATE(Dashboard!$C$4,10,1),0),TODAY()))-SUMIFS(Transaksi!$F$16:$F$5015,Transaksi!$C$16:$C$5015,$A42,Transaksi!$D$16:$D$5015,"Pindah",Transaksi!$B$16:$B$5015,"&lt;="&amp;MIN(EOMONTH(DATE(Dashboard!$C$4,10,1),0),TODAY()))+SUMIFS(Transaksi!$F$16:$F$5015,Transaksi!$E$16:$E$5015,$A42,Transaksi!$D$16:$D$5015,"Pindah",Transaksi!$B$16:$B$5015,"&lt;="&amp;MIN(EOMONTH(DATE(Dashboard!$C$4,10,1),0),TODAY())))</f>
        <v/>
      </c>
      <c r="M42" s="106">
        <f>IF(OR($A42="",DATE(Dashboard!$C$4,11,1)&gt;TODAY(),ISNA(MATCH($B42,{"Pribadi","Investasi (kas RDN)","Piutang","Pinjaman Mama (dompet)"},0))),"",SUMIFS(Akun!$C$5:$C$104,Akun!$A$5:$A$104,$A42,Akun!$D$5:$D$104,"&lt;="&amp;MIN(EOMONTH(DATE(Dashboard!$C$4,11,1),0),TODAY()))+SUMIFS(Transaksi!$F$16:$F$5015,Transaksi!$C$16:$C$5015,$A42,Transaksi!$D$16:$D$5015,"Masuk",Transaksi!$B$16:$B$5015,"&lt;="&amp;MIN(EOMONTH(DATE(Dashboard!$C$4,11,1),0),TODAY()))-SUMIFS(Transaksi!$F$16:$F$5015,Transaksi!$C$16:$C$5015,$A42,Transaksi!$D$16:$D$5015,"Keluar",Transaksi!$B$16:$B$5015,"&lt;="&amp;MIN(EOMONTH(DATE(Dashboard!$C$4,11,1),0),TODAY()))-SUMIFS(Transaksi!$F$16:$F$5015,Transaksi!$C$16:$C$5015,$A42,Transaksi!$D$16:$D$5015,"Pindah",Transaksi!$B$16:$B$5015,"&lt;="&amp;MIN(EOMONTH(DATE(Dashboard!$C$4,11,1),0),TODAY()))+SUMIFS(Transaksi!$F$16:$F$5015,Transaksi!$E$16:$E$5015,$A42,Transaksi!$D$16:$D$5015,"Pindah",Transaksi!$B$16:$B$5015,"&lt;="&amp;MIN(EOMONTH(DATE(Dashboard!$C$4,11,1),0),TODAY())))</f>
        <v/>
      </c>
      <c r="N42" s="106">
        <f>IF(OR($A42="",DATE(Dashboard!$C$4,12,1)&gt;TODAY(),ISNA(MATCH($B42,{"Pribadi","Investasi (kas RDN)","Piutang","Pinjaman Mama (dompet)"},0))),"",SUMIFS(Akun!$C$5:$C$104,Akun!$A$5:$A$104,$A42,Akun!$D$5:$D$104,"&lt;="&amp;MIN(EOMONTH(DATE(Dashboard!$C$4,12,1),0),TODAY()))+SUMIFS(Transaksi!$F$16:$F$5015,Transaksi!$C$16:$C$5015,$A42,Transaksi!$D$16:$D$5015,"Masuk",Transaksi!$B$16:$B$5015,"&lt;="&amp;MIN(EOMONTH(DATE(Dashboard!$C$4,12,1),0),TODAY()))-SUMIFS(Transaksi!$F$16:$F$5015,Transaksi!$C$16:$C$5015,$A42,Transaksi!$D$16:$D$5015,"Keluar",Transaksi!$B$16:$B$5015,"&lt;="&amp;MIN(EOMONTH(DATE(Dashboard!$C$4,12,1),0),TODAY()))-SUMIFS(Transaksi!$F$16:$F$5015,Transaksi!$C$16:$C$5015,$A42,Transaksi!$D$16:$D$5015,"Pindah",Transaksi!$B$16:$B$5015,"&lt;="&amp;MIN(EOMONTH(DATE(Dashboard!$C$4,12,1),0),TODAY()))+SUMIFS(Transaksi!$F$16:$F$5015,Transaksi!$E$16:$E$5015,$A42,Transaksi!$D$16:$D$5015,"Pindah",Transaksi!$B$16:$B$5015,"&lt;="&amp;MIN(EOMONTH(DATE(Dashboard!$C$4,12,1),0),TODAY())))</f>
        <v/>
      </c>
    </row>
    <row r="43" ht="15" customHeight="1" s="94">
      <c r="A43" s="93">
        <f>IF(Akun!$A$7="","",Akun!$A$7)</f>
        <v/>
      </c>
      <c r="B43" s="93">
        <f>IF(Akun!$A$7="","",Akun!$B$7)</f>
        <v/>
      </c>
      <c r="C43" s="106">
        <f>IF(OR($A43="",DATE(Dashboard!$C$4,1,1)&gt;TODAY(),ISNA(MATCH($B43,{"Pribadi","Investasi (kas RDN)","Piutang","Pinjaman Mama (dompet)"},0))),"",SUMIFS(Akun!$C$5:$C$104,Akun!$A$5:$A$104,$A43,Akun!$D$5:$D$104,"&lt;="&amp;MIN(EOMONTH(DATE(Dashboard!$C$4,1,1),0),TODAY()))+SUMIFS(Transaksi!$F$16:$F$5015,Transaksi!$C$16:$C$5015,$A43,Transaksi!$D$16:$D$5015,"Masuk",Transaksi!$B$16:$B$5015,"&lt;="&amp;MIN(EOMONTH(DATE(Dashboard!$C$4,1,1),0),TODAY()))-SUMIFS(Transaksi!$F$16:$F$5015,Transaksi!$C$16:$C$5015,$A43,Transaksi!$D$16:$D$5015,"Keluar",Transaksi!$B$16:$B$5015,"&lt;="&amp;MIN(EOMONTH(DATE(Dashboard!$C$4,1,1),0),TODAY()))-SUMIFS(Transaksi!$F$16:$F$5015,Transaksi!$C$16:$C$5015,$A43,Transaksi!$D$16:$D$5015,"Pindah",Transaksi!$B$16:$B$5015,"&lt;="&amp;MIN(EOMONTH(DATE(Dashboard!$C$4,1,1),0),TODAY()))+SUMIFS(Transaksi!$F$16:$F$5015,Transaksi!$E$16:$E$5015,$A43,Transaksi!$D$16:$D$5015,"Pindah",Transaksi!$B$16:$B$5015,"&lt;="&amp;MIN(EOMONTH(DATE(Dashboard!$C$4,1,1),0),TODAY())))</f>
        <v/>
      </c>
      <c r="D43" s="106">
        <f>IF(OR($A43="",DATE(Dashboard!$C$4,2,1)&gt;TODAY(),ISNA(MATCH($B43,{"Pribadi","Investasi (kas RDN)","Piutang","Pinjaman Mama (dompet)"},0))),"",SUMIFS(Akun!$C$5:$C$104,Akun!$A$5:$A$104,$A43,Akun!$D$5:$D$104,"&lt;="&amp;MIN(EOMONTH(DATE(Dashboard!$C$4,2,1),0),TODAY()))+SUMIFS(Transaksi!$F$16:$F$5015,Transaksi!$C$16:$C$5015,$A43,Transaksi!$D$16:$D$5015,"Masuk",Transaksi!$B$16:$B$5015,"&lt;="&amp;MIN(EOMONTH(DATE(Dashboard!$C$4,2,1),0),TODAY()))-SUMIFS(Transaksi!$F$16:$F$5015,Transaksi!$C$16:$C$5015,$A43,Transaksi!$D$16:$D$5015,"Keluar",Transaksi!$B$16:$B$5015,"&lt;="&amp;MIN(EOMONTH(DATE(Dashboard!$C$4,2,1),0),TODAY()))-SUMIFS(Transaksi!$F$16:$F$5015,Transaksi!$C$16:$C$5015,$A43,Transaksi!$D$16:$D$5015,"Pindah",Transaksi!$B$16:$B$5015,"&lt;="&amp;MIN(EOMONTH(DATE(Dashboard!$C$4,2,1),0),TODAY()))+SUMIFS(Transaksi!$F$16:$F$5015,Transaksi!$E$16:$E$5015,$A43,Transaksi!$D$16:$D$5015,"Pindah",Transaksi!$B$16:$B$5015,"&lt;="&amp;MIN(EOMONTH(DATE(Dashboard!$C$4,2,1),0),TODAY())))</f>
        <v/>
      </c>
      <c r="E43" s="106">
        <f>IF(OR($A43="",DATE(Dashboard!$C$4,3,1)&gt;TODAY(),ISNA(MATCH($B43,{"Pribadi","Investasi (kas RDN)","Piutang","Pinjaman Mama (dompet)"},0))),"",SUMIFS(Akun!$C$5:$C$104,Akun!$A$5:$A$104,$A43,Akun!$D$5:$D$104,"&lt;="&amp;MIN(EOMONTH(DATE(Dashboard!$C$4,3,1),0),TODAY()))+SUMIFS(Transaksi!$F$16:$F$5015,Transaksi!$C$16:$C$5015,$A43,Transaksi!$D$16:$D$5015,"Masuk",Transaksi!$B$16:$B$5015,"&lt;="&amp;MIN(EOMONTH(DATE(Dashboard!$C$4,3,1),0),TODAY()))-SUMIFS(Transaksi!$F$16:$F$5015,Transaksi!$C$16:$C$5015,$A43,Transaksi!$D$16:$D$5015,"Keluar",Transaksi!$B$16:$B$5015,"&lt;="&amp;MIN(EOMONTH(DATE(Dashboard!$C$4,3,1),0),TODAY()))-SUMIFS(Transaksi!$F$16:$F$5015,Transaksi!$C$16:$C$5015,$A43,Transaksi!$D$16:$D$5015,"Pindah",Transaksi!$B$16:$B$5015,"&lt;="&amp;MIN(EOMONTH(DATE(Dashboard!$C$4,3,1),0),TODAY()))+SUMIFS(Transaksi!$F$16:$F$5015,Transaksi!$E$16:$E$5015,$A43,Transaksi!$D$16:$D$5015,"Pindah",Transaksi!$B$16:$B$5015,"&lt;="&amp;MIN(EOMONTH(DATE(Dashboard!$C$4,3,1),0),TODAY())))</f>
        <v/>
      </c>
      <c r="F43" s="106">
        <f>IF(OR($A43="",DATE(Dashboard!$C$4,4,1)&gt;TODAY(),ISNA(MATCH($B43,{"Pribadi","Investasi (kas RDN)","Piutang","Pinjaman Mama (dompet)"},0))),"",SUMIFS(Akun!$C$5:$C$104,Akun!$A$5:$A$104,$A43,Akun!$D$5:$D$104,"&lt;="&amp;MIN(EOMONTH(DATE(Dashboard!$C$4,4,1),0),TODAY()))+SUMIFS(Transaksi!$F$16:$F$5015,Transaksi!$C$16:$C$5015,$A43,Transaksi!$D$16:$D$5015,"Masuk",Transaksi!$B$16:$B$5015,"&lt;="&amp;MIN(EOMONTH(DATE(Dashboard!$C$4,4,1),0),TODAY()))-SUMIFS(Transaksi!$F$16:$F$5015,Transaksi!$C$16:$C$5015,$A43,Transaksi!$D$16:$D$5015,"Keluar",Transaksi!$B$16:$B$5015,"&lt;="&amp;MIN(EOMONTH(DATE(Dashboard!$C$4,4,1),0),TODAY()))-SUMIFS(Transaksi!$F$16:$F$5015,Transaksi!$C$16:$C$5015,$A43,Transaksi!$D$16:$D$5015,"Pindah",Transaksi!$B$16:$B$5015,"&lt;="&amp;MIN(EOMONTH(DATE(Dashboard!$C$4,4,1),0),TODAY()))+SUMIFS(Transaksi!$F$16:$F$5015,Transaksi!$E$16:$E$5015,$A43,Transaksi!$D$16:$D$5015,"Pindah",Transaksi!$B$16:$B$5015,"&lt;="&amp;MIN(EOMONTH(DATE(Dashboard!$C$4,4,1),0),TODAY())))</f>
        <v/>
      </c>
      <c r="G43" s="106">
        <f>IF(OR($A43="",DATE(Dashboard!$C$4,5,1)&gt;TODAY(),ISNA(MATCH($B43,{"Pribadi","Investasi (kas RDN)","Piutang","Pinjaman Mama (dompet)"},0))),"",SUMIFS(Akun!$C$5:$C$104,Akun!$A$5:$A$104,$A43,Akun!$D$5:$D$104,"&lt;="&amp;MIN(EOMONTH(DATE(Dashboard!$C$4,5,1),0),TODAY()))+SUMIFS(Transaksi!$F$16:$F$5015,Transaksi!$C$16:$C$5015,$A43,Transaksi!$D$16:$D$5015,"Masuk",Transaksi!$B$16:$B$5015,"&lt;="&amp;MIN(EOMONTH(DATE(Dashboard!$C$4,5,1),0),TODAY()))-SUMIFS(Transaksi!$F$16:$F$5015,Transaksi!$C$16:$C$5015,$A43,Transaksi!$D$16:$D$5015,"Keluar",Transaksi!$B$16:$B$5015,"&lt;="&amp;MIN(EOMONTH(DATE(Dashboard!$C$4,5,1),0),TODAY()))-SUMIFS(Transaksi!$F$16:$F$5015,Transaksi!$C$16:$C$5015,$A43,Transaksi!$D$16:$D$5015,"Pindah",Transaksi!$B$16:$B$5015,"&lt;="&amp;MIN(EOMONTH(DATE(Dashboard!$C$4,5,1),0),TODAY()))+SUMIFS(Transaksi!$F$16:$F$5015,Transaksi!$E$16:$E$5015,$A43,Transaksi!$D$16:$D$5015,"Pindah",Transaksi!$B$16:$B$5015,"&lt;="&amp;MIN(EOMONTH(DATE(Dashboard!$C$4,5,1),0),TODAY())))</f>
        <v/>
      </c>
      <c r="H43" s="106">
        <f>IF(OR($A43="",DATE(Dashboard!$C$4,6,1)&gt;TODAY(),ISNA(MATCH($B43,{"Pribadi","Investasi (kas RDN)","Piutang","Pinjaman Mama (dompet)"},0))),"",SUMIFS(Akun!$C$5:$C$104,Akun!$A$5:$A$104,$A43,Akun!$D$5:$D$104,"&lt;="&amp;MIN(EOMONTH(DATE(Dashboard!$C$4,6,1),0),TODAY()))+SUMIFS(Transaksi!$F$16:$F$5015,Transaksi!$C$16:$C$5015,$A43,Transaksi!$D$16:$D$5015,"Masuk",Transaksi!$B$16:$B$5015,"&lt;="&amp;MIN(EOMONTH(DATE(Dashboard!$C$4,6,1),0),TODAY()))-SUMIFS(Transaksi!$F$16:$F$5015,Transaksi!$C$16:$C$5015,$A43,Transaksi!$D$16:$D$5015,"Keluar",Transaksi!$B$16:$B$5015,"&lt;="&amp;MIN(EOMONTH(DATE(Dashboard!$C$4,6,1),0),TODAY()))-SUMIFS(Transaksi!$F$16:$F$5015,Transaksi!$C$16:$C$5015,$A43,Transaksi!$D$16:$D$5015,"Pindah",Transaksi!$B$16:$B$5015,"&lt;="&amp;MIN(EOMONTH(DATE(Dashboard!$C$4,6,1),0),TODAY()))+SUMIFS(Transaksi!$F$16:$F$5015,Transaksi!$E$16:$E$5015,$A43,Transaksi!$D$16:$D$5015,"Pindah",Transaksi!$B$16:$B$5015,"&lt;="&amp;MIN(EOMONTH(DATE(Dashboard!$C$4,6,1),0),TODAY())))</f>
        <v/>
      </c>
      <c r="I43" s="106">
        <f>IF(OR($A43="",DATE(Dashboard!$C$4,7,1)&gt;TODAY(),ISNA(MATCH($B43,{"Pribadi","Investasi (kas RDN)","Piutang","Pinjaman Mama (dompet)"},0))),"",SUMIFS(Akun!$C$5:$C$104,Akun!$A$5:$A$104,$A43,Akun!$D$5:$D$104,"&lt;="&amp;MIN(EOMONTH(DATE(Dashboard!$C$4,7,1),0),TODAY()))+SUMIFS(Transaksi!$F$16:$F$5015,Transaksi!$C$16:$C$5015,$A43,Transaksi!$D$16:$D$5015,"Masuk",Transaksi!$B$16:$B$5015,"&lt;="&amp;MIN(EOMONTH(DATE(Dashboard!$C$4,7,1),0),TODAY()))-SUMIFS(Transaksi!$F$16:$F$5015,Transaksi!$C$16:$C$5015,$A43,Transaksi!$D$16:$D$5015,"Keluar",Transaksi!$B$16:$B$5015,"&lt;="&amp;MIN(EOMONTH(DATE(Dashboard!$C$4,7,1),0),TODAY()))-SUMIFS(Transaksi!$F$16:$F$5015,Transaksi!$C$16:$C$5015,$A43,Transaksi!$D$16:$D$5015,"Pindah",Transaksi!$B$16:$B$5015,"&lt;="&amp;MIN(EOMONTH(DATE(Dashboard!$C$4,7,1),0),TODAY()))+SUMIFS(Transaksi!$F$16:$F$5015,Transaksi!$E$16:$E$5015,$A43,Transaksi!$D$16:$D$5015,"Pindah",Transaksi!$B$16:$B$5015,"&lt;="&amp;MIN(EOMONTH(DATE(Dashboard!$C$4,7,1),0),TODAY())))</f>
        <v/>
      </c>
      <c r="J43" s="106">
        <f>IF(OR($A43="",DATE(Dashboard!$C$4,8,1)&gt;TODAY(),ISNA(MATCH($B43,{"Pribadi","Investasi (kas RDN)","Piutang","Pinjaman Mama (dompet)"},0))),"",SUMIFS(Akun!$C$5:$C$104,Akun!$A$5:$A$104,$A43,Akun!$D$5:$D$104,"&lt;="&amp;MIN(EOMONTH(DATE(Dashboard!$C$4,8,1),0),TODAY()))+SUMIFS(Transaksi!$F$16:$F$5015,Transaksi!$C$16:$C$5015,$A43,Transaksi!$D$16:$D$5015,"Masuk",Transaksi!$B$16:$B$5015,"&lt;="&amp;MIN(EOMONTH(DATE(Dashboard!$C$4,8,1),0),TODAY()))-SUMIFS(Transaksi!$F$16:$F$5015,Transaksi!$C$16:$C$5015,$A43,Transaksi!$D$16:$D$5015,"Keluar",Transaksi!$B$16:$B$5015,"&lt;="&amp;MIN(EOMONTH(DATE(Dashboard!$C$4,8,1),0),TODAY()))-SUMIFS(Transaksi!$F$16:$F$5015,Transaksi!$C$16:$C$5015,$A43,Transaksi!$D$16:$D$5015,"Pindah",Transaksi!$B$16:$B$5015,"&lt;="&amp;MIN(EOMONTH(DATE(Dashboard!$C$4,8,1),0),TODAY()))+SUMIFS(Transaksi!$F$16:$F$5015,Transaksi!$E$16:$E$5015,$A43,Transaksi!$D$16:$D$5015,"Pindah",Transaksi!$B$16:$B$5015,"&lt;="&amp;MIN(EOMONTH(DATE(Dashboard!$C$4,8,1),0),TODAY())))</f>
        <v/>
      </c>
      <c r="K43" s="106">
        <f>IF(OR($A43="",DATE(Dashboard!$C$4,9,1)&gt;TODAY(),ISNA(MATCH($B43,{"Pribadi","Investasi (kas RDN)","Piutang","Pinjaman Mama (dompet)"},0))),"",SUMIFS(Akun!$C$5:$C$104,Akun!$A$5:$A$104,$A43,Akun!$D$5:$D$104,"&lt;="&amp;MIN(EOMONTH(DATE(Dashboard!$C$4,9,1),0),TODAY()))+SUMIFS(Transaksi!$F$16:$F$5015,Transaksi!$C$16:$C$5015,$A43,Transaksi!$D$16:$D$5015,"Masuk",Transaksi!$B$16:$B$5015,"&lt;="&amp;MIN(EOMONTH(DATE(Dashboard!$C$4,9,1),0),TODAY()))-SUMIFS(Transaksi!$F$16:$F$5015,Transaksi!$C$16:$C$5015,$A43,Transaksi!$D$16:$D$5015,"Keluar",Transaksi!$B$16:$B$5015,"&lt;="&amp;MIN(EOMONTH(DATE(Dashboard!$C$4,9,1),0),TODAY()))-SUMIFS(Transaksi!$F$16:$F$5015,Transaksi!$C$16:$C$5015,$A43,Transaksi!$D$16:$D$5015,"Pindah",Transaksi!$B$16:$B$5015,"&lt;="&amp;MIN(EOMONTH(DATE(Dashboard!$C$4,9,1),0),TODAY()))+SUMIFS(Transaksi!$F$16:$F$5015,Transaksi!$E$16:$E$5015,$A43,Transaksi!$D$16:$D$5015,"Pindah",Transaksi!$B$16:$B$5015,"&lt;="&amp;MIN(EOMONTH(DATE(Dashboard!$C$4,9,1),0),TODAY())))</f>
        <v/>
      </c>
      <c r="L43" s="106">
        <f>IF(OR($A43="",DATE(Dashboard!$C$4,10,1)&gt;TODAY(),ISNA(MATCH($B43,{"Pribadi","Investasi (kas RDN)","Piutang","Pinjaman Mama (dompet)"},0))),"",SUMIFS(Akun!$C$5:$C$104,Akun!$A$5:$A$104,$A43,Akun!$D$5:$D$104,"&lt;="&amp;MIN(EOMONTH(DATE(Dashboard!$C$4,10,1),0),TODAY()))+SUMIFS(Transaksi!$F$16:$F$5015,Transaksi!$C$16:$C$5015,$A43,Transaksi!$D$16:$D$5015,"Masuk",Transaksi!$B$16:$B$5015,"&lt;="&amp;MIN(EOMONTH(DATE(Dashboard!$C$4,10,1),0),TODAY()))-SUMIFS(Transaksi!$F$16:$F$5015,Transaksi!$C$16:$C$5015,$A43,Transaksi!$D$16:$D$5015,"Keluar",Transaksi!$B$16:$B$5015,"&lt;="&amp;MIN(EOMONTH(DATE(Dashboard!$C$4,10,1),0),TODAY()))-SUMIFS(Transaksi!$F$16:$F$5015,Transaksi!$C$16:$C$5015,$A43,Transaksi!$D$16:$D$5015,"Pindah",Transaksi!$B$16:$B$5015,"&lt;="&amp;MIN(EOMONTH(DATE(Dashboard!$C$4,10,1),0),TODAY()))+SUMIFS(Transaksi!$F$16:$F$5015,Transaksi!$E$16:$E$5015,$A43,Transaksi!$D$16:$D$5015,"Pindah",Transaksi!$B$16:$B$5015,"&lt;="&amp;MIN(EOMONTH(DATE(Dashboard!$C$4,10,1),0),TODAY())))</f>
        <v/>
      </c>
      <c r="M43" s="106">
        <f>IF(OR($A43="",DATE(Dashboard!$C$4,11,1)&gt;TODAY(),ISNA(MATCH($B43,{"Pribadi","Investasi (kas RDN)","Piutang","Pinjaman Mama (dompet)"},0))),"",SUMIFS(Akun!$C$5:$C$104,Akun!$A$5:$A$104,$A43,Akun!$D$5:$D$104,"&lt;="&amp;MIN(EOMONTH(DATE(Dashboard!$C$4,11,1),0),TODAY()))+SUMIFS(Transaksi!$F$16:$F$5015,Transaksi!$C$16:$C$5015,$A43,Transaksi!$D$16:$D$5015,"Masuk",Transaksi!$B$16:$B$5015,"&lt;="&amp;MIN(EOMONTH(DATE(Dashboard!$C$4,11,1),0),TODAY()))-SUMIFS(Transaksi!$F$16:$F$5015,Transaksi!$C$16:$C$5015,$A43,Transaksi!$D$16:$D$5015,"Keluar",Transaksi!$B$16:$B$5015,"&lt;="&amp;MIN(EOMONTH(DATE(Dashboard!$C$4,11,1),0),TODAY()))-SUMIFS(Transaksi!$F$16:$F$5015,Transaksi!$C$16:$C$5015,$A43,Transaksi!$D$16:$D$5015,"Pindah",Transaksi!$B$16:$B$5015,"&lt;="&amp;MIN(EOMONTH(DATE(Dashboard!$C$4,11,1),0),TODAY()))+SUMIFS(Transaksi!$F$16:$F$5015,Transaksi!$E$16:$E$5015,$A43,Transaksi!$D$16:$D$5015,"Pindah",Transaksi!$B$16:$B$5015,"&lt;="&amp;MIN(EOMONTH(DATE(Dashboard!$C$4,11,1),0),TODAY())))</f>
        <v/>
      </c>
      <c r="N43" s="106">
        <f>IF(OR($A43="",DATE(Dashboard!$C$4,12,1)&gt;TODAY(),ISNA(MATCH($B43,{"Pribadi","Investasi (kas RDN)","Piutang","Pinjaman Mama (dompet)"},0))),"",SUMIFS(Akun!$C$5:$C$104,Akun!$A$5:$A$104,$A43,Akun!$D$5:$D$104,"&lt;="&amp;MIN(EOMONTH(DATE(Dashboard!$C$4,12,1),0),TODAY()))+SUMIFS(Transaksi!$F$16:$F$5015,Transaksi!$C$16:$C$5015,$A43,Transaksi!$D$16:$D$5015,"Masuk",Transaksi!$B$16:$B$5015,"&lt;="&amp;MIN(EOMONTH(DATE(Dashboard!$C$4,12,1),0),TODAY()))-SUMIFS(Transaksi!$F$16:$F$5015,Transaksi!$C$16:$C$5015,$A43,Transaksi!$D$16:$D$5015,"Keluar",Transaksi!$B$16:$B$5015,"&lt;="&amp;MIN(EOMONTH(DATE(Dashboard!$C$4,12,1),0),TODAY()))-SUMIFS(Transaksi!$F$16:$F$5015,Transaksi!$C$16:$C$5015,$A43,Transaksi!$D$16:$D$5015,"Pindah",Transaksi!$B$16:$B$5015,"&lt;="&amp;MIN(EOMONTH(DATE(Dashboard!$C$4,12,1),0),TODAY()))+SUMIFS(Transaksi!$F$16:$F$5015,Transaksi!$E$16:$E$5015,$A43,Transaksi!$D$16:$D$5015,"Pindah",Transaksi!$B$16:$B$5015,"&lt;="&amp;MIN(EOMONTH(DATE(Dashboard!$C$4,12,1),0),TODAY())))</f>
        <v/>
      </c>
    </row>
    <row r="44" ht="15" customHeight="1" s="94">
      <c r="A44" s="93">
        <f>IF(Akun!$A$8="","",Akun!$A$8)</f>
        <v/>
      </c>
      <c r="B44" s="93">
        <f>IF(Akun!$A$8="","",Akun!$B$8)</f>
        <v/>
      </c>
      <c r="C44" s="106">
        <f>IF(OR($A44="",DATE(Dashboard!$C$4,1,1)&gt;TODAY(),ISNA(MATCH($B44,{"Pribadi","Investasi (kas RDN)","Piutang","Pinjaman Mama (dompet)"},0))),"",SUMIFS(Akun!$C$5:$C$104,Akun!$A$5:$A$104,$A44,Akun!$D$5:$D$104,"&lt;="&amp;MIN(EOMONTH(DATE(Dashboard!$C$4,1,1),0),TODAY()))+SUMIFS(Transaksi!$F$16:$F$5015,Transaksi!$C$16:$C$5015,$A44,Transaksi!$D$16:$D$5015,"Masuk",Transaksi!$B$16:$B$5015,"&lt;="&amp;MIN(EOMONTH(DATE(Dashboard!$C$4,1,1),0),TODAY()))-SUMIFS(Transaksi!$F$16:$F$5015,Transaksi!$C$16:$C$5015,$A44,Transaksi!$D$16:$D$5015,"Keluar",Transaksi!$B$16:$B$5015,"&lt;="&amp;MIN(EOMONTH(DATE(Dashboard!$C$4,1,1),0),TODAY()))-SUMIFS(Transaksi!$F$16:$F$5015,Transaksi!$C$16:$C$5015,$A44,Transaksi!$D$16:$D$5015,"Pindah",Transaksi!$B$16:$B$5015,"&lt;="&amp;MIN(EOMONTH(DATE(Dashboard!$C$4,1,1),0),TODAY()))+SUMIFS(Transaksi!$F$16:$F$5015,Transaksi!$E$16:$E$5015,$A44,Transaksi!$D$16:$D$5015,"Pindah",Transaksi!$B$16:$B$5015,"&lt;="&amp;MIN(EOMONTH(DATE(Dashboard!$C$4,1,1),0),TODAY())))</f>
        <v/>
      </c>
      <c r="D44" s="106">
        <f>IF(OR($A44="",DATE(Dashboard!$C$4,2,1)&gt;TODAY(),ISNA(MATCH($B44,{"Pribadi","Investasi (kas RDN)","Piutang","Pinjaman Mama (dompet)"},0))),"",SUMIFS(Akun!$C$5:$C$104,Akun!$A$5:$A$104,$A44,Akun!$D$5:$D$104,"&lt;="&amp;MIN(EOMONTH(DATE(Dashboard!$C$4,2,1),0),TODAY()))+SUMIFS(Transaksi!$F$16:$F$5015,Transaksi!$C$16:$C$5015,$A44,Transaksi!$D$16:$D$5015,"Masuk",Transaksi!$B$16:$B$5015,"&lt;="&amp;MIN(EOMONTH(DATE(Dashboard!$C$4,2,1),0),TODAY()))-SUMIFS(Transaksi!$F$16:$F$5015,Transaksi!$C$16:$C$5015,$A44,Transaksi!$D$16:$D$5015,"Keluar",Transaksi!$B$16:$B$5015,"&lt;="&amp;MIN(EOMONTH(DATE(Dashboard!$C$4,2,1),0),TODAY()))-SUMIFS(Transaksi!$F$16:$F$5015,Transaksi!$C$16:$C$5015,$A44,Transaksi!$D$16:$D$5015,"Pindah",Transaksi!$B$16:$B$5015,"&lt;="&amp;MIN(EOMONTH(DATE(Dashboard!$C$4,2,1),0),TODAY()))+SUMIFS(Transaksi!$F$16:$F$5015,Transaksi!$E$16:$E$5015,$A44,Transaksi!$D$16:$D$5015,"Pindah",Transaksi!$B$16:$B$5015,"&lt;="&amp;MIN(EOMONTH(DATE(Dashboard!$C$4,2,1),0),TODAY())))</f>
        <v/>
      </c>
      <c r="E44" s="106">
        <f>IF(OR($A44="",DATE(Dashboard!$C$4,3,1)&gt;TODAY(),ISNA(MATCH($B44,{"Pribadi","Investasi (kas RDN)","Piutang","Pinjaman Mama (dompet)"},0))),"",SUMIFS(Akun!$C$5:$C$104,Akun!$A$5:$A$104,$A44,Akun!$D$5:$D$104,"&lt;="&amp;MIN(EOMONTH(DATE(Dashboard!$C$4,3,1),0),TODAY()))+SUMIFS(Transaksi!$F$16:$F$5015,Transaksi!$C$16:$C$5015,$A44,Transaksi!$D$16:$D$5015,"Masuk",Transaksi!$B$16:$B$5015,"&lt;="&amp;MIN(EOMONTH(DATE(Dashboard!$C$4,3,1),0),TODAY()))-SUMIFS(Transaksi!$F$16:$F$5015,Transaksi!$C$16:$C$5015,$A44,Transaksi!$D$16:$D$5015,"Keluar",Transaksi!$B$16:$B$5015,"&lt;="&amp;MIN(EOMONTH(DATE(Dashboard!$C$4,3,1),0),TODAY()))-SUMIFS(Transaksi!$F$16:$F$5015,Transaksi!$C$16:$C$5015,$A44,Transaksi!$D$16:$D$5015,"Pindah",Transaksi!$B$16:$B$5015,"&lt;="&amp;MIN(EOMONTH(DATE(Dashboard!$C$4,3,1),0),TODAY()))+SUMIFS(Transaksi!$F$16:$F$5015,Transaksi!$E$16:$E$5015,$A44,Transaksi!$D$16:$D$5015,"Pindah",Transaksi!$B$16:$B$5015,"&lt;="&amp;MIN(EOMONTH(DATE(Dashboard!$C$4,3,1),0),TODAY())))</f>
        <v/>
      </c>
      <c r="F44" s="106">
        <f>IF(OR($A44="",DATE(Dashboard!$C$4,4,1)&gt;TODAY(),ISNA(MATCH($B44,{"Pribadi","Investasi (kas RDN)","Piutang","Pinjaman Mama (dompet)"},0))),"",SUMIFS(Akun!$C$5:$C$104,Akun!$A$5:$A$104,$A44,Akun!$D$5:$D$104,"&lt;="&amp;MIN(EOMONTH(DATE(Dashboard!$C$4,4,1),0),TODAY()))+SUMIFS(Transaksi!$F$16:$F$5015,Transaksi!$C$16:$C$5015,$A44,Transaksi!$D$16:$D$5015,"Masuk",Transaksi!$B$16:$B$5015,"&lt;="&amp;MIN(EOMONTH(DATE(Dashboard!$C$4,4,1),0),TODAY()))-SUMIFS(Transaksi!$F$16:$F$5015,Transaksi!$C$16:$C$5015,$A44,Transaksi!$D$16:$D$5015,"Keluar",Transaksi!$B$16:$B$5015,"&lt;="&amp;MIN(EOMONTH(DATE(Dashboard!$C$4,4,1),0),TODAY()))-SUMIFS(Transaksi!$F$16:$F$5015,Transaksi!$C$16:$C$5015,$A44,Transaksi!$D$16:$D$5015,"Pindah",Transaksi!$B$16:$B$5015,"&lt;="&amp;MIN(EOMONTH(DATE(Dashboard!$C$4,4,1),0),TODAY()))+SUMIFS(Transaksi!$F$16:$F$5015,Transaksi!$E$16:$E$5015,$A44,Transaksi!$D$16:$D$5015,"Pindah",Transaksi!$B$16:$B$5015,"&lt;="&amp;MIN(EOMONTH(DATE(Dashboard!$C$4,4,1),0),TODAY())))</f>
        <v/>
      </c>
      <c r="G44" s="106">
        <f>IF(OR($A44="",DATE(Dashboard!$C$4,5,1)&gt;TODAY(),ISNA(MATCH($B44,{"Pribadi","Investasi (kas RDN)","Piutang","Pinjaman Mama (dompet)"},0))),"",SUMIFS(Akun!$C$5:$C$104,Akun!$A$5:$A$104,$A44,Akun!$D$5:$D$104,"&lt;="&amp;MIN(EOMONTH(DATE(Dashboard!$C$4,5,1),0),TODAY()))+SUMIFS(Transaksi!$F$16:$F$5015,Transaksi!$C$16:$C$5015,$A44,Transaksi!$D$16:$D$5015,"Masuk",Transaksi!$B$16:$B$5015,"&lt;="&amp;MIN(EOMONTH(DATE(Dashboard!$C$4,5,1),0),TODAY()))-SUMIFS(Transaksi!$F$16:$F$5015,Transaksi!$C$16:$C$5015,$A44,Transaksi!$D$16:$D$5015,"Keluar",Transaksi!$B$16:$B$5015,"&lt;="&amp;MIN(EOMONTH(DATE(Dashboard!$C$4,5,1),0),TODAY()))-SUMIFS(Transaksi!$F$16:$F$5015,Transaksi!$C$16:$C$5015,$A44,Transaksi!$D$16:$D$5015,"Pindah",Transaksi!$B$16:$B$5015,"&lt;="&amp;MIN(EOMONTH(DATE(Dashboard!$C$4,5,1),0),TODAY()))+SUMIFS(Transaksi!$F$16:$F$5015,Transaksi!$E$16:$E$5015,$A44,Transaksi!$D$16:$D$5015,"Pindah",Transaksi!$B$16:$B$5015,"&lt;="&amp;MIN(EOMONTH(DATE(Dashboard!$C$4,5,1),0),TODAY())))</f>
        <v/>
      </c>
      <c r="H44" s="106">
        <f>IF(OR($A44="",DATE(Dashboard!$C$4,6,1)&gt;TODAY(),ISNA(MATCH($B44,{"Pribadi","Investasi (kas RDN)","Piutang","Pinjaman Mama (dompet)"},0))),"",SUMIFS(Akun!$C$5:$C$104,Akun!$A$5:$A$104,$A44,Akun!$D$5:$D$104,"&lt;="&amp;MIN(EOMONTH(DATE(Dashboard!$C$4,6,1),0),TODAY()))+SUMIFS(Transaksi!$F$16:$F$5015,Transaksi!$C$16:$C$5015,$A44,Transaksi!$D$16:$D$5015,"Masuk",Transaksi!$B$16:$B$5015,"&lt;="&amp;MIN(EOMONTH(DATE(Dashboard!$C$4,6,1),0),TODAY()))-SUMIFS(Transaksi!$F$16:$F$5015,Transaksi!$C$16:$C$5015,$A44,Transaksi!$D$16:$D$5015,"Keluar",Transaksi!$B$16:$B$5015,"&lt;="&amp;MIN(EOMONTH(DATE(Dashboard!$C$4,6,1),0),TODAY()))-SUMIFS(Transaksi!$F$16:$F$5015,Transaksi!$C$16:$C$5015,$A44,Transaksi!$D$16:$D$5015,"Pindah",Transaksi!$B$16:$B$5015,"&lt;="&amp;MIN(EOMONTH(DATE(Dashboard!$C$4,6,1),0),TODAY()))+SUMIFS(Transaksi!$F$16:$F$5015,Transaksi!$E$16:$E$5015,$A44,Transaksi!$D$16:$D$5015,"Pindah",Transaksi!$B$16:$B$5015,"&lt;="&amp;MIN(EOMONTH(DATE(Dashboard!$C$4,6,1),0),TODAY())))</f>
        <v/>
      </c>
      <c r="I44" s="106">
        <f>IF(OR($A44="",DATE(Dashboard!$C$4,7,1)&gt;TODAY(),ISNA(MATCH($B44,{"Pribadi","Investasi (kas RDN)","Piutang","Pinjaman Mama (dompet)"},0))),"",SUMIFS(Akun!$C$5:$C$104,Akun!$A$5:$A$104,$A44,Akun!$D$5:$D$104,"&lt;="&amp;MIN(EOMONTH(DATE(Dashboard!$C$4,7,1),0),TODAY()))+SUMIFS(Transaksi!$F$16:$F$5015,Transaksi!$C$16:$C$5015,$A44,Transaksi!$D$16:$D$5015,"Masuk",Transaksi!$B$16:$B$5015,"&lt;="&amp;MIN(EOMONTH(DATE(Dashboard!$C$4,7,1),0),TODAY()))-SUMIFS(Transaksi!$F$16:$F$5015,Transaksi!$C$16:$C$5015,$A44,Transaksi!$D$16:$D$5015,"Keluar",Transaksi!$B$16:$B$5015,"&lt;="&amp;MIN(EOMONTH(DATE(Dashboard!$C$4,7,1),0),TODAY()))-SUMIFS(Transaksi!$F$16:$F$5015,Transaksi!$C$16:$C$5015,$A44,Transaksi!$D$16:$D$5015,"Pindah",Transaksi!$B$16:$B$5015,"&lt;="&amp;MIN(EOMONTH(DATE(Dashboard!$C$4,7,1),0),TODAY()))+SUMIFS(Transaksi!$F$16:$F$5015,Transaksi!$E$16:$E$5015,$A44,Transaksi!$D$16:$D$5015,"Pindah",Transaksi!$B$16:$B$5015,"&lt;="&amp;MIN(EOMONTH(DATE(Dashboard!$C$4,7,1),0),TODAY())))</f>
        <v/>
      </c>
      <c r="J44" s="106">
        <f>IF(OR($A44="",DATE(Dashboard!$C$4,8,1)&gt;TODAY(),ISNA(MATCH($B44,{"Pribadi","Investasi (kas RDN)","Piutang","Pinjaman Mama (dompet)"},0))),"",SUMIFS(Akun!$C$5:$C$104,Akun!$A$5:$A$104,$A44,Akun!$D$5:$D$104,"&lt;="&amp;MIN(EOMONTH(DATE(Dashboard!$C$4,8,1),0),TODAY()))+SUMIFS(Transaksi!$F$16:$F$5015,Transaksi!$C$16:$C$5015,$A44,Transaksi!$D$16:$D$5015,"Masuk",Transaksi!$B$16:$B$5015,"&lt;="&amp;MIN(EOMONTH(DATE(Dashboard!$C$4,8,1),0),TODAY()))-SUMIFS(Transaksi!$F$16:$F$5015,Transaksi!$C$16:$C$5015,$A44,Transaksi!$D$16:$D$5015,"Keluar",Transaksi!$B$16:$B$5015,"&lt;="&amp;MIN(EOMONTH(DATE(Dashboard!$C$4,8,1),0),TODAY()))-SUMIFS(Transaksi!$F$16:$F$5015,Transaksi!$C$16:$C$5015,$A44,Transaksi!$D$16:$D$5015,"Pindah",Transaksi!$B$16:$B$5015,"&lt;="&amp;MIN(EOMONTH(DATE(Dashboard!$C$4,8,1),0),TODAY()))+SUMIFS(Transaksi!$F$16:$F$5015,Transaksi!$E$16:$E$5015,$A44,Transaksi!$D$16:$D$5015,"Pindah",Transaksi!$B$16:$B$5015,"&lt;="&amp;MIN(EOMONTH(DATE(Dashboard!$C$4,8,1),0),TODAY())))</f>
        <v/>
      </c>
      <c r="K44" s="106">
        <f>IF(OR($A44="",DATE(Dashboard!$C$4,9,1)&gt;TODAY(),ISNA(MATCH($B44,{"Pribadi","Investasi (kas RDN)","Piutang","Pinjaman Mama (dompet)"},0))),"",SUMIFS(Akun!$C$5:$C$104,Akun!$A$5:$A$104,$A44,Akun!$D$5:$D$104,"&lt;="&amp;MIN(EOMONTH(DATE(Dashboard!$C$4,9,1),0),TODAY()))+SUMIFS(Transaksi!$F$16:$F$5015,Transaksi!$C$16:$C$5015,$A44,Transaksi!$D$16:$D$5015,"Masuk",Transaksi!$B$16:$B$5015,"&lt;="&amp;MIN(EOMONTH(DATE(Dashboard!$C$4,9,1),0),TODAY()))-SUMIFS(Transaksi!$F$16:$F$5015,Transaksi!$C$16:$C$5015,$A44,Transaksi!$D$16:$D$5015,"Keluar",Transaksi!$B$16:$B$5015,"&lt;="&amp;MIN(EOMONTH(DATE(Dashboard!$C$4,9,1),0),TODAY()))-SUMIFS(Transaksi!$F$16:$F$5015,Transaksi!$C$16:$C$5015,$A44,Transaksi!$D$16:$D$5015,"Pindah",Transaksi!$B$16:$B$5015,"&lt;="&amp;MIN(EOMONTH(DATE(Dashboard!$C$4,9,1),0),TODAY()))+SUMIFS(Transaksi!$F$16:$F$5015,Transaksi!$E$16:$E$5015,$A44,Transaksi!$D$16:$D$5015,"Pindah",Transaksi!$B$16:$B$5015,"&lt;="&amp;MIN(EOMONTH(DATE(Dashboard!$C$4,9,1),0),TODAY())))</f>
        <v/>
      </c>
      <c r="L44" s="106">
        <f>IF(OR($A44="",DATE(Dashboard!$C$4,10,1)&gt;TODAY(),ISNA(MATCH($B44,{"Pribadi","Investasi (kas RDN)","Piutang","Pinjaman Mama (dompet)"},0))),"",SUMIFS(Akun!$C$5:$C$104,Akun!$A$5:$A$104,$A44,Akun!$D$5:$D$104,"&lt;="&amp;MIN(EOMONTH(DATE(Dashboard!$C$4,10,1),0),TODAY()))+SUMIFS(Transaksi!$F$16:$F$5015,Transaksi!$C$16:$C$5015,$A44,Transaksi!$D$16:$D$5015,"Masuk",Transaksi!$B$16:$B$5015,"&lt;="&amp;MIN(EOMONTH(DATE(Dashboard!$C$4,10,1),0),TODAY()))-SUMIFS(Transaksi!$F$16:$F$5015,Transaksi!$C$16:$C$5015,$A44,Transaksi!$D$16:$D$5015,"Keluar",Transaksi!$B$16:$B$5015,"&lt;="&amp;MIN(EOMONTH(DATE(Dashboard!$C$4,10,1),0),TODAY()))-SUMIFS(Transaksi!$F$16:$F$5015,Transaksi!$C$16:$C$5015,$A44,Transaksi!$D$16:$D$5015,"Pindah",Transaksi!$B$16:$B$5015,"&lt;="&amp;MIN(EOMONTH(DATE(Dashboard!$C$4,10,1),0),TODAY()))+SUMIFS(Transaksi!$F$16:$F$5015,Transaksi!$E$16:$E$5015,$A44,Transaksi!$D$16:$D$5015,"Pindah",Transaksi!$B$16:$B$5015,"&lt;="&amp;MIN(EOMONTH(DATE(Dashboard!$C$4,10,1),0),TODAY())))</f>
        <v/>
      </c>
      <c r="M44" s="106">
        <f>IF(OR($A44="",DATE(Dashboard!$C$4,11,1)&gt;TODAY(),ISNA(MATCH($B44,{"Pribadi","Investasi (kas RDN)","Piutang","Pinjaman Mama (dompet)"},0))),"",SUMIFS(Akun!$C$5:$C$104,Akun!$A$5:$A$104,$A44,Akun!$D$5:$D$104,"&lt;="&amp;MIN(EOMONTH(DATE(Dashboard!$C$4,11,1),0),TODAY()))+SUMIFS(Transaksi!$F$16:$F$5015,Transaksi!$C$16:$C$5015,$A44,Transaksi!$D$16:$D$5015,"Masuk",Transaksi!$B$16:$B$5015,"&lt;="&amp;MIN(EOMONTH(DATE(Dashboard!$C$4,11,1),0),TODAY()))-SUMIFS(Transaksi!$F$16:$F$5015,Transaksi!$C$16:$C$5015,$A44,Transaksi!$D$16:$D$5015,"Keluar",Transaksi!$B$16:$B$5015,"&lt;="&amp;MIN(EOMONTH(DATE(Dashboard!$C$4,11,1),0),TODAY()))-SUMIFS(Transaksi!$F$16:$F$5015,Transaksi!$C$16:$C$5015,$A44,Transaksi!$D$16:$D$5015,"Pindah",Transaksi!$B$16:$B$5015,"&lt;="&amp;MIN(EOMONTH(DATE(Dashboard!$C$4,11,1),0),TODAY()))+SUMIFS(Transaksi!$F$16:$F$5015,Transaksi!$E$16:$E$5015,$A44,Transaksi!$D$16:$D$5015,"Pindah",Transaksi!$B$16:$B$5015,"&lt;="&amp;MIN(EOMONTH(DATE(Dashboard!$C$4,11,1),0),TODAY())))</f>
        <v/>
      </c>
      <c r="N44" s="106">
        <f>IF(OR($A44="",DATE(Dashboard!$C$4,12,1)&gt;TODAY(),ISNA(MATCH($B44,{"Pribadi","Investasi (kas RDN)","Piutang","Pinjaman Mama (dompet)"},0))),"",SUMIFS(Akun!$C$5:$C$104,Akun!$A$5:$A$104,$A44,Akun!$D$5:$D$104,"&lt;="&amp;MIN(EOMONTH(DATE(Dashboard!$C$4,12,1),0),TODAY()))+SUMIFS(Transaksi!$F$16:$F$5015,Transaksi!$C$16:$C$5015,$A44,Transaksi!$D$16:$D$5015,"Masuk",Transaksi!$B$16:$B$5015,"&lt;="&amp;MIN(EOMONTH(DATE(Dashboard!$C$4,12,1),0),TODAY()))-SUMIFS(Transaksi!$F$16:$F$5015,Transaksi!$C$16:$C$5015,$A44,Transaksi!$D$16:$D$5015,"Keluar",Transaksi!$B$16:$B$5015,"&lt;="&amp;MIN(EOMONTH(DATE(Dashboard!$C$4,12,1),0),TODAY()))-SUMIFS(Transaksi!$F$16:$F$5015,Transaksi!$C$16:$C$5015,$A44,Transaksi!$D$16:$D$5015,"Pindah",Transaksi!$B$16:$B$5015,"&lt;="&amp;MIN(EOMONTH(DATE(Dashboard!$C$4,12,1),0),TODAY()))+SUMIFS(Transaksi!$F$16:$F$5015,Transaksi!$E$16:$E$5015,$A44,Transaksi!$D$16:$D$5015,"Pindah",Transaksi!$B$16:$B$5015,"&lt;="&amp;MIN(EOMONTH(DATE(Dashboard!$C$4,12,1),0),TODAY())))</f>
        <v/>
      </c>
    </row>
    <row r="45" ht="15" customHeight="1" s="94">
      <c r="A45" s="93">
        <f>IF(Akun!$A$9="","",Akun!$A$9)</f>
        <v/>
      </c>
      <c r="B45" s="93">
        <f>IF(Akun!$A$9="","",Akun!$B$9)</f>
        <v/>
      </c>
      <c r="C45" s="106">
        <f>IF(OR($A45="",DATE(Dashboard!$C$4,1,1)&gt;TODAY(),ISNA(MATCH($B45,{"Pribadi","Investasi (kas RDN)","Piutang","Pinjaman Mama (dompet)"},0))),"",SUMIFS(Akun!$C$5:$C$104,Akun!$A$5:$A$104,$A45,Akun!$D$5:$D$104,"&lt;="&amp;MIN(EOMONTH(DATE(Dashboard!$C$4,1,1),0),TODAY()))+SUMIFS(Transaksi!$F$16:$F$5015,Transaksi!$C$16:$C$5015,$A45,Transaksi!$D$16:$D$5015,"Masuk",Transaksi!$B$16:$B$5015,"&lt;="&amp;MIN(EOMONTH(DATE(Dashboard!$C$4,1,1),0),TODAY()))-SUMIFS(Transaksi!$F$16:$F$5015,Transaksi!$C$16:$C$5015,$A45,Transaksi!$D$16:$D$5015,"Keluar",Transaksi!$B$16:$B$5015,"&lt;="&amp;MIN(EOMONTH(DATE(Dashboard!$C$4,1,1),0),TODAY()))-SUMIFS(Transaksi!$F$16:$F$5015,Transaksi!$C$16:$C$5015,$A45,Transaksi!$D$16:$D$5015,"Pindah",Transaksi!$B$16:$B$5015,"&lt;="&amp;MIN(EOMONTH(DATE(Dashboard!$C$4,1,1),0),TODAY()))+SUMIFS(Transaksi!$F$16:$F$5015,Transaksi!$E$16:$E$5015,$A45,Transaksi!$D$16:$D$5015,"Pindah",Transaksi!$B$16:$B$5015,"&lt;="&amp;MIN(EOMONTH(DATE(Dashboard!$C$4,1,1),0),TODAY())))</f>
        <v/>
      </c>
      <c r="D45" s="106">
        <f>IF(OR($A45="",DATE(Dashboard!$C$4,2,1)&gt;TODAY(),ISNA(MATCH($B45,{"Pribadi","Investasi (kas RDN)","Piutang","Pinjaman Mama (dompet)"},0))),"",SUMIFS(Akun!$C$5:$C$104,Akun!$A$5:$A$104,$A45,Akun!$D$5:$D$104,"&lt;="&amp;MIN(EOMONTH(DATE(Dashboard!$C$4,2,1),0),TODAY()))+SUMIFS(Transaksi!$F$16:$F$5015,Transaksi!$C$16:$C$5015,$A45,Transaksi!$D$16:$D$5015,"Masuk",Transaksi!$B$16:$B$5015,"&lt;="&amp;MIN(EOMONTH(DATE(Dashboard!$C$4,2,1),0),TODAY()))-SUMIFS(Transaksi!$F$16:$F$5015,Transaksi!$C$16:$C$5015,$A45,Transaksi!$D$16:$D$5015,"Keluar",Transaksi!$B$16:$B$5015,"&lt;="&amp;MIN(EOMONTH(DATE(Dashboard!$C$4,2,1),0),TODAY()))-SUMIFS(Transaksi!$F$16:$F$5015,Transaksi!$C$16:$C$5015,$A45,Transaksi!$D$16:$D$5015,"Pindah",Transaksi!$B$16:$B$5015,"&lt;="&amp;MIN(EOMONTH(DATE(Dashboard!$C$4,2,1),0),TODAY()))+SUMIFS(Transaksi!$F$16:$F$5015,Transaksi!$E$16:$E$5015,$A45,Transaksi!$D$16:$D$5015,"Pindah",Transaksi!$B$16:$B$5015,"&lt;="&amp;MIN(EOMONTH(DATE(Dashboard!$C$4,2,1),0),TODAY())))</f>
        <v/>
      </c>
      <c r="E45" s="106">
        <f>IF(OR($A45="",DATE(Dashboard!$C$4,3,1)&gt;TODAY(),ISNA(MATCH($B45,{"Pribadi","Investasi (kas RDN)","Piutang","Pinjaman Mama (dompet)"},0))),"",SUMIFS(Akun!$C$5:$C$104,Akun!$A$5:$A$104,$A45,Akun!$D$5:$D$104,"&lt;="&amp;MIN(EOMONTH(DATE(Dashboard!$C$4,3,1),0),TODAY()))+SUMIFS(Transaksi!$F$16:$F$5015,Transaksi!$C$16:$C$5015,$A45,Transaksi!$D$16:$D$5015,"Masuk",Transaksi!$B$16:$B$5015,"&lt;="&amp;MIN(EOMONTH(DATE(Dashboard!$C$4,3,1),0),TODAY()))-SUMIFS(Transaksi!$F$16:$F$5015,Transaksi!$C$16:$C$5015,$A45,Transaksi!$D$16:$D$5015,"Keluar",Transaksi!$B$16:$B$5015,"&lt;="&amp;MIN(EOMONTH(DATE(Dashboard!$C$4,3,1),0),TODAY()))-SUMIFS(Transaksi!$F$16:$F$5015,Transaksi!$C$16:$C$5015,$A45,Transaksi!$D$16:$D$5015,"Pindah",Transaksi!$B$16:$B$5015,"&lt;="&amp;MIN(EOMONTH(DATE(Dashboard!$C$4,3,1),0),TODAY()))+SUMIFS(Transaksi!$F$16:$F$5015,Transaksi!$E$16:$E$5015,$A45,Transaksi!$D$16:$D$5015,"Pindah",Transaksi!$B$16:$B$5015,"&lt;="&amp;MIN(EOMONTH(DATE(Dashboard!$C$4,3,1),0),TODAY())))</f>
        <v/>
      </c>
      <c r="F45" s="106">
        <f>IF(OR($A45="",DATE(Dashboard!$C$4,4,1)&gt;TODAY(),ISNA(MATCH($B45,{"Pribadi","Investasi (kas RDN)","Piutang","Pinjaman Mama (dompet)"},0))),"",SUMIFS(Akun!$C$5:$C$104,Akun!$A$5:$A$104,$A45,Akun!$D$5:$D$104,"&lt;="&amp;MIN(EOMONTH(DATE(Dashboard!$C$4,4,1),0),TODAY()))+SUMIFS(Transaksi!$F$16:$F$5015,Transaksi!$C$16:$C$5015,$A45,Transaksi!$D$16:$D$5015,"Masuk",Transaksi!$B$16:$B$5015,"&lt;="&amp;MIN(EOMONTH(DATE(Dashboard!$C$4,4,1),0),TODAY()))-SUMIFS(Transaksi!$F$16:$F$5015,Transaksi!$C$16:$C$5015,$A45,Transaksi!$D$16:$D$5015,"Keluar",Transaksi!$B$16:$B$5015,"&lt;="&amp;MIN(EOMONTH(DATE(Dashboard!$C$4,4,1),0),TODAY()))-SUMIFS(Transaksi!$F$16:$F$5015,Transaksi!$C$16:$C$5015,$A45,Transaksi!$D$16:$D$5015,"Pindah",Transaksi!$B$16:$B$5015,"&lt;="&amp;MIN(EOMONTH(DATE(Dashboard!$C$4,4,1),0),TODAY()))+SUMIFS(Transaksi!$F$16:$F$5015,Transaksi!$E$16:$E$5015,$A45,Transaksi!$D$16:$D$5015,"Pindah",Transaksi!$B$16:$B$5015,"&lt;="&amp;MIN(EOMONTH(DATE(Dashboard!$C$4,4,1),0),TODAY())))</f>
        <v/>
      </c>
      <c r="G45" s="106">
        <f>IF(OR($A45="",DATE(Dashboard!$C$4,5,1)&gt;TODAY(),ISNA(MATCH($B45,{"Pribadi","Investasi (kas RDN)","Piutang","Pinjaman Mama (dompet)"},0))),"",SUMIFS(Akun!$C$5:$C$104,Akun!$A$5:$A$104,$A45,Akun!$D$5:$D$104,"&lt;="&amp;MIN(EOMONTH(DATE(Dashboard!$C$4,5,1),0),TODAY()))+SUMIFS(Transaksi!$F$16:$F$5015,Transaksi!$C$16:$C$5015,$A45,Transaksi!$D$16:$D$5015,"Masuk",Transaksi!$B$16:$B$5015,"&lt;="&amp;MIN(EOMONTH(DATE(Dashboard!$C$4,5,1),0),TODAY()))-SUMIFS(Transaksi!$F$16:$F$5015,Transaksi!$C$16:$C$5015,$A45,Transaksi!$D$16:$D$5015,"Keluar",Transaksi!$B$16:$B$5015,"&lt;="&amp;MIN(EOMONTH(DATE(Dashboard!$C$4,5,1),0),TODAY()))-SUMIFS(Transaksi!$F$16:$F$5015,Transaksi!$C$16:$C$5015,$A45,Transaksi!$D$16:$D$5015,"Pindah",Transaksi!$B$16:$B$5015,"&lt;="&amp;MIN(EOMONTH(DATE(Dashboard!$C$4,5,1),0),TODAY()))+SUMIFS(Transaksi!$F$16:$F$5015,Transaksi!$E$16:$E$5015,$A45,Transaksi!$D$16:$D$5015,"Pindah",Transaksi!$B$16:$B$5015,"&lt;="&amp;MIN(EOMONTH(DATE(Dashboard!$C$4,5,1),0),TODAY())))</f>
        <v/>
      </c>
      <c r="H45" s="106">
        <f>IF(OR($A45="",DATE(Dashboard!$C$4,6,1)&gt;TODAY(),ISNA(MATCH($B45,{"Pribadi","Investasi (kas RDN)","Piutang","Pinjaman Mama (dompet)"},0))),"",SUMIFS(Akun!$C$5:$C$104,Akun!$A$5:$A$104,$A45,Akun!$D$5:$D$104,"&lt;="&amp;MIN(EOMONTH(DATE(Dashboard!$C$4,6,1),0),TODAY()))+SUMIFS(Transaksi!$F$16:$F$5015,Transaksi!$C$16:$C$5015,$A45,Transaksi!$D$16:$D$5015,"Masuk",Transaksi!$B$16:$B$5015,"&lt;="&amp;MIN(EOMONTH(DATE(Dashboard!$C$4,6,1),0),TODAY()))-SUMIFS(Transaksi!$F$16:$F$5015,Transaksi!$C$16:$C$5015,$A45,Transaksi!$D$16:$D$5015,"Keluar",Transaksi!$B$16:$B$5015,"&lt;="&amp;MIN(EOMONTH(DATE(Dashboard!$C$4,6,1),0),TODAY()))-SUMIFS(Transaksi!$F$16:$F$5015,Transaksi!$C$16:$C$5015,$A45,Transaksi!$D$16:$D$5015,"Pindah",Transaksi!$B$16:$B$5015,"&lt;="&amp;MIN(EOMONTH(DATE(Dashboard!$C$4,6,1),0),TODAY()))+SUMIFS(Transaksi!$F$16:$F$5015,Transaksi!$E$16:$E$5015,$A45,Transaksi!$D$16:$D$5015,"Pindah",Transaksi!$B$16:$B$5015,"&lt;="&amp;MIN(EOMONTH(DATE(Dashboard!$C$4,6,1),0),TODAY())))</f>
        <v/>
      </c>
      <c r="I45" s="106">
        <f>IF(OR($A45="",DATE(Dashboard!$C$4,7,1)&gt;TODAY(),ISNA(MATCH($B45,{"Pribadi","Investasi (kas RDN)","Piutang","Pinjaman Mama (dompet)"},0))),"",SUMIFS(Akun!$C$5:$C$104,Akun!$A$5:$A$104,$A45,Akun!$D$5:$D$104,"&lt;="&amp;MIN(EOMONTH(DATE(Dashboard!$C$4,7,1),0),TODAY()))+SUMIFS(Transaksi!$F$16:$F$5015,Transaksi!$C$16:$C$5015,$A45,Transaksi!$D$16:$D$5015,"Masuk",Transaksi!$B$16:$B$5015,"&lt;="&amp;MIN(EOMONTH(DATE(Dashboard!$C$4,7,1),0),TODAY()))-SUMIFS(Transaksi!$F$16:$F$5015,Transaksi!$C$16:$C$5015,$A45,Transaksi!$D$16:$D$5015,"Keluar",Transaksi!$B$16:$B$5015,"&lt;="&amp;MIN(EOMONTH(DATE(Dashboard!$C$4,7,1),0),TODAY()))-SUMIFS(Transaksi!$F$16:$F$5015,Transaksi!$C$16:$C$5015,$A45,Transaksi!$D$16:$D$5015,"Pindah",Transaksi!$B$16:$B$5015,"&lt;="&amp;MIN(EOMONTH(DATE(Dashboard!$C$4,7,1),0),TODAY()))+SUMIFS(Transaksi!$F$16:$F$5015,Transaksi!$E$16:$E$5015,$A45,Transaksi!$D$16:$D$5015,"Pindah",Transaksi!$B$16:$B$5015,"&lt;="&amp;MIN(EOMONTH(DATE(Dashboard!$C$4,7,1),0),TODAY())))</f>
        <v/>
      </c>
      <c r="J45" s="106">
        <f>IF(OR($A45="",DATE(Dashboard!$C$4,8,1)&gt;TODAY(),ISNA(MATCH($B45,{"Pribadi","Investasi (kas RDN)","Piutang","Pinjaman Mama (dompet)"},0))),"",SUMIFS(Akun!$C$5:$C$104,Akun!$A$5:$A$104,$A45,Akun!$D$5:$D$104,"&lt;="&amp;MIN(EOMONTH(DATE(Dashboard!$C$4,8,1),0),TODAY()))+SUMIFS(Transaksi!$F$16:$F$5015,Transaksi!$C$16:$C$5015,$A45,Transaksi!$D$16:$D$5015,"Masuk",Transaksi!$B$16:$B$5015,"&lt;="&amp;MIN(EOMONTH(DATE(Dashboard!$C$4,8,1),0),TODAY()))-SUMIFS(Transaksi!$F$16:$F$5015,Transaksi!$C$16:$C$5015,$A45,Transaksi!$D$16:$D$5015,"Keluar",Transaksi!$B$16:$B$5015,"&lt;="&amp;MIN(EOMONTH(DATE(Dashboard!$C$4,8,1),0),TODAY()))-SUMIFS(Transaksi!$F$16:$F$5015,Transaksi!$C$16:$C$5015,$A45,Transaksi!$D$16:$D$5015,"Pindah",Transaksi!$B$16:$B$5015,"&lt;="&amp;MIN(EOMONTH(DATE(Dashboard!$C$4,8,1),0),TODAY()))+SUMIFS(Transaksi!$F$16:$F$5015,Transaksi!$E$16:$E$5015,$A45,Transaksi!$D$16:$D$5015,"Pindah",Transaksi!$B$16:$B$5015,"&lt;="&amp;MIN(EOMONTH(DATE(Dashboard!$C$4,8,1),0),TODAY())))</f>
        <v/>
      </c>
      <c r="K45" s="106">
        <f>IF(OR($A45="",DATE(Dashboard!$C$4,9,1)&gt;TODAY(),ISNA(MATCH($B45,{"Pribadi","Investasi (kas RDN)","Piutang","Pinjaman Mama (dompet)"},0))),"",SUMIFS(Akun!$C$5:$C$104,Akun!$A$5:$A$104,$A45,Akun!$D$5:$D$104,"&lt;="&amp;MIN(EOMONTH(DATE(Dashboard!$C$4,9,1),0),TODAY()))+SUMIFS(Transaksi!$F$16:$F$5015,Transaksi!$C$16:$C$5015,$A45,Transaksi!$D$16:$D$5015,"Masuk",Transaksi!$B$16:$B$5015,"&lt;="&amp;MIN(EOMONTH(DATE(Dashboard!$C$4,9,1),0),TODAY()))-SUMIFS(Transaksi!$F$16:$F$5015,Transaksi!$C$16:$C$5015,$A45,Transaksi!$D$16:$D$5015,"Keluar",Transaksi!$B$16:$B$5015,"&lt;="&amp;MIN(EOMONTH(DATE(Dashboard!$C$4,9,1),0),TODAY()))-SUMIFS(Transaksi!$F$16:$F$5015,Transaksi!$C$16:$C$5015,$A45,Transaksi!$D$16:$D$5015,"Pindah",Transaksi!$B$16:$B$5015,"&lt;="&amp;MIN(EOMONTH(DATE(Dashboard!$C$4,9,1),0),TODAY()))+SUMIFS(Transaksi!$F$16:$F$5015,Transaksi!$E$16:$E$5015,$A45,Transaksi!$D$16:$D$5015,"Pindah",Transaksi!$B$16:$B$5015,"&lt;="&amp;MIN(EOMONTH(DATE(Dashboard!$C$4,9,1),0),TODAY())))</f>
        <v/>
      </c>
      <c r="L45" s="106">
        <f>IF(OR($A45="",DATE(Dashboard!$C$4,10,1)&gt;TODAY(),ISNA(MATCH($B45,{"Pribadi","Investasi (kas RDN)","Piutang","Pinjaman Mama (dompet)"},0))),"",SUMIFS(Akun!$C$5:$C$104,Akun!$A$5:$A$104,$A45,Akun!$D$5:$D$104,"&lt;="&amp;MIN(EOMONTH(DATE(Dashboard!$C$4,10,1),0),TODAY()))+SUMIFS(Transaksi!$F$16:$F$5015,Transaksi!$C$16:$C$5015,$A45,Transaksi!$D$16:$D$5015,"Masuk",Transaksi!$B$16:$B$5015,"&lt;="&amp;MIN(EOMONTH(DATE(Dashboard!$C$4,10,1),0),TODAY()))-SUMIFS(Transaksi!$F$16:$F$5015,Transaksi!$C$16:$C$5015,$A45,Transaksi!$D$16:$D$5015,"Keluar",Transaksi!$B$16:$B$5015,"&lt;="&amp;MIN(EOMONTH(DATE(Dashboard!$C$4,10,1),0),TODAY()))-SUMIFS(Transaksi!$F$16:$F$5015,Transaksi!$C$16:$C$5015,$A45,Transaksi!$D$16:$D$5015,"Pindah",Transaksi!$B$16:$B$5015,"&lt;="&amp;MIN(EOMONTH(DATE(Dashboard!$C$4,10,1),0),TODAY()))+SUMIFS(Transaksi!$F$16:$F$5015,Transaksi!$E$16:$E$5015,$A45,Transaksi!$D$16:$D$5015,"Pindah",Transaksi!$B$16:$B$5015,"&lt;="&amp;MIN(EOMONTH(DATE(Dashboard!$C$4,10,1),0),TODAY())))</f>
        <v/>
      </c>
      <c r="M45" s="106">
        <f>IF(OR($A45="",DATE(Dashboard!$C$4,11,1)&gt;TODAY(),ISNA(MATCH($B45,{"Pribadi","Investasi (kas RDN)","Piutang","Pinjaman Mama (dompet)"},0))),"",SUMIFS(Akun!$C$5:$C$104,Akun!$A$5:$A$104,$A45,Akun!$D$5:$D$104,"&lt;="&amp;MIN(EOMONTH(DATE(Dashboard!$C$4,11,1),0),TODAY()))+SUMIFS(Transaksi!$F$16:$F$5015,Transaksi!$C$16:$C$5015,$A45,Transaksi!$D$16:$D$5015,"Masuk",Transaksi!$B$16:$B$5015,"&lt;="&amp;MIN(EOMONTH(DATE(Dashboard!$C$4,11,1),0),TODAY()))-SUMIFS(Transaksi!$F$16:$F$5015,Transaksi!$C$16:$C$5015,$A45,Transaksi!$D$16:$D$5015,"Keluar",Transaksi!$B$16:$B$5015,"&lt;="&amp;MIN(EOMONTH(DATE(Dashboard!$C$4,11,1),0),TODAY()))-SUMIFS(Transaksi!$F$16:$F$5015,Transaksi!$C$16:$C$5015,$A45,Transaksi!$D$16:$D$5015,"Pindah",Transaksi!$B$16:$B$5015,"&lt;="&amp;MIN(EOMONTH(DATE(Dashboard!$C$4,11,1),0),TODAY()))+SUMIFS(Transaksi!$F$16:$F$5015,Transaksi!$E$16:$E$5015,$A45,Transaksi!$D$16:$D$5015,"Pindah",Transaksi!$B$16:$B$5015,"&lt;="&amp;MIN(EOMONTH(DATE(Dashboard!$C$4,11,1),0),TODAY())))</f>
        <v/>
      </c>
      <c r="N45" s="106">
        <f>IF(OR($A45="",DATE(Dashboard!$C$4,12,1)&gt;TODAY(),ISNA(MATCH($B45,{"Pribadi","Investasi (kas RDN)","Piutang","Pinjaman Mama (dompet)"},0))),"",SUMIFS(Akun!$C$5:$C$104,Akun!$A$5:$A$104,$A45,Akun!$D$5:$D$104,"&lt;="&amp;MIN(EOMONTH(DATE(Dashboard!$C$4,12,1),0),TODAY()))+SUMIFS(Transaksi!$F$16:$F$5015,Transaksi!$C$16:$C$5015,$A45,Transaksi!$D$16:$D$5015,"Masuk",Transaksi!$B$16:$B$5015,"&lt;="&amp;MIN(EOMONTH(DATE(Dashboard!$C$4,12,1),0),TODAY()))-SUMIFS(Transaksi!$F$16:$F$5015,Transaksi!$C$16:$C$5015,$A45,Transaksi!$D$16:$D$5015,"Keluar",Transaksi!$B$16:$B$5015,"&lt;="&amp;MIN(EOMONTH(DATE(Dashboard!$C$4,12,1),0),TODAY()))-SUMIFS(Transaksi!$F$16:$F$5015,Transaksi!$C$16:$C$5015,$A45,Transaksi!$D$16:$D$5015,"Pindah",Transaksi!$B$16:$B$5015,"&lt;="&amp;MIN(EOMONTH(DATE(Dashboard!$C$4,12,1),0),TODAY()))+SUMIFS(Transaksi!$F$16:$F$5015,Transaksi!$E$16:$E$5015,$A45,Transaksi!$D$16:$D$5015,"Pindah",Transaksi!$B$16:$B$5015,"&lt;="&amp;MIN(EOMONTH(DATE(Dashboard!$C$4,12,1),0),TODAY())))</f>
        <v/>
      </c>
    </row>
    <row r="46" ht="15" customHeight="1" s="94">
      <c r="A46" s="93">
        <f>IF(Akun!$A$10="","",Akun!$A$10)</f>
        <v/>
      </c>
      <c r="B46" s="93">
        <f>IF(Akun!$A$10="","",Akun!$B$10)</f>
        <v/>
      </c>
      <c r="C46" s="106">
        <f>IF(OR($A46="",DATE(Dashboard!$C$4,1,1)&gt;TODAY(),ISNA(MATCH($B46,{"Pribadi","Investasi (kas RDN)","Piutang","Pinjaman Mama (dompet)"},0))),"",SUMIFS(Akun!$C$5:$C$104,Akun!$A$5:$A$104,$A46,Akun!$D$5:$D$104,"&lt;="&amp;MIN(EOMONTH(DATE(Dashboard!$C$4,1,1),0),TODAY()))+SUMIFS(Transaksi!$F$16:$F$5015,Transaksi!$C$16:$C$5015,$A46,Transaksi!$D$16:$D$5015,"Masuk",Transaksi!$B$16:$B$5015,"&lt;="&amp;MIN(EOMONTH(DATE(Dashboard!$C$4,1,1),0),TODAY()))-SUMIFS(Transaksi!$F$16:$F$5015,Transaksi!$C$16:$C$5015,$A46,Transaksi!$D$16:$D$5015,"Keluar",Transaksi!$B$16:$B$5015,"&lt;="&amp;MIN(EOMONTH(DATE(Dashboard!$C$4,1,1),0),TODAY()))-SUMIFS(Transaksi!$F$16:$F$5015,Transaksi!$C$16:$C$5015,$A46,Transaksi!$D$16:$D$5015,"Pindah",Transaksi!$B$16:$B$5015,"&lt;="&amp;MIN(EOMONTH(DATE(Dashboard!$C$4,1,1),0),TODAY()))+SUMIFS(Transaksi!$F$16:$F$5015,Transaksi!$E$16:$E$5015,$A46,Transaksi!$D$16:$D$5015,"Pindah",Transaksi!$B$16:$B$5015,"&lt;="&amp;MIN(EOMONTH(DATE(Dashboard!$C$4,1,1),0),TODAY())))</f>
        <v/>
      </c>
      <c r="D46" s="106">
        <f>IF(OR($A46="",DATE(Dashboard!$C$4,2,1)&gt;TODAY(),ISNA(MATCH($B46,{"Pribadi","Investasi (kas RDN)","Piutang","Pinjaman Mama (dompet)"},0))),"",SUMIFS(Akun!$C$5:$C$104,Akun!$A$5:$A$104,$A46,Akun!$D$5:$D$104,"&lt;="&amp;MIN(EOMONTH(DATE(Dashboard!$C$4,2,1),0),TODAY()))+SUMIFS(Transaksi!$F$16:$F$5015,Transaksi!$C$16:$C$5015,$A46,Transaksi!$D$16:$D$5015,"Masuk",Transaksi!$B$16:$B$5015,"&lt;="&amp;MIN(EOMONTH(DATE(Dashboard!$C$4,2,1),0),TODAY()))-SUMIFS(Transaksi!$F$16:$F$5015,Transaksi!$C$16:$C$5015,$A46,Transaksi!$D$16:$D$5015,"Keluar",Transaksi!$B$16:$B$5015,"&lt;="&amp;MIN(EOMONTH(DATE(Dashboard!$C$4,2,1),0),TODAY()))-SUMIFS(Transaksi!$F$16:$F$5015,Transaksi!$C$16:$C$5015,$A46,Transaksi!$D$16:$D$5015,"Pindah",Transaksi!$B$16:$B$5015,"&lt;="&amp;MIN(EOMONTH(DATE(Dashboard!$C$4,2,1),0),TODAY()))+SUMIFS(Transaksi!$F$16:$F$5015,Transaksi!$E$16:$E$5015,$A46,Transaksi!$D$16:$D$5015,"Pindah",Transaksi!$B$16:$B$5015,"&lt;="&amp;MIN(EOMONTH(DATE(Dashboard!$C$4,2,1),0),TODAY())))</f>
        <v/>
      </c>
      <c r="E46" s="106">
        <f>IF(OR($A46="",DATE(Dashboard!$C$4,3,1)&gt;TODAY(),ISNA(MATCH($B46,{"Pribadi","Investasi (kas RDN)","Piutang","Pinjaman Mama (dompet)"},0))),"",SUMIFS(Akun!$C$5:$C$104,Akun!$A$5:$A$104,$A46,Akun!$D$5:$D$104,"&lt;="&amp;MIN(EOMONTH(DATE(Dashboard!$C$4,3,1),0),TODAY()))+SUMIFS(Transaksi!$F$16:$F$5015,Transaksi!$C$16:$C$5015,$A46,Transaksi!$D$16:$D$5015,"Masuk",Transaksi!$B$16:$B$5015,"&lt;="&amp;MIN(EOMONTH(DATE(Dashboard!$C$4,3,1),0),TODAY()))-SUMIFS(Transaksi!$F$16:$F$5015,Transaksi!$C$16:$C$5015,$A46,Transaksi!$D$16:$D$5015,"Keluar",Transaksi!$B$16:$B$5015,"&lt;="&amp;MIN(EOMONTH(DATE(Dashboard!$C$4,3,1),0),TODAY()))-SUMIFS(Transaksi!$F$16:$F$5015,Transaksi!$C$16:$C$5015,$A46,Transaksi!$D$16:$D$5015,"Pindah",Transaksi!$B$16:$B$5015,"&lt;="&amp;MIN(EOMONTH(DATE(Dashboard!$C$4,3,1),0),TODAY()))+SUMIFS(Transaksi!$F$16:$F$5015,Transaksi!$E$16:$E$5015,$A46,Transaksi!$D$16:$D$5015,"Pindah",Transaksi!$B$16:$B$5015,"&lt;="&amp;MIN(EOMONTH(DATE(Dashboard!$C$4,3,1),0),TODAY())))</f>
        <v/>
      </c>
      <c r="F46" s="106">
        <f>IF(OR($A46="",DATE(Dashboard!$C$4,4,1)&gt;TODAY(),ISNA(MATCH($B46,{"Pribadi","Investasi (kas RDN)","Piutang","Pinjaman Mama (dompet)"},0))),"",SUMIFS(Akun!$C$5:$C$104,Akun!$A$5:$A$104,$A46,Akun!$D$5:$D$104,"&lt;="&amp;MIN(EOMONTH(DATE(Dashboard!$C$4,4,1),0),TODAY()))+SUMIFS(Transaksi!$F$16:$F$5015,Transaksi!$C$16:$C$5015,$A46,Transaksi!$D$16:$D$5015,"Masuk",Transaksi!$B$16:$B$5015,"&lt;="&amp;MIN(EOMONTH(DATE(Dashboard!$C$4,4,1),0),TODAY()))-SUMIFS(Transaksi!$F$16:$F$5015,Transaksi!$C$16:$C$5015,$A46,Transaksi!$D$16:$D$5015,"Keluar",Transaksi!$B$16:$B$5015,"&lt;="&amp;MIN(EOMONTH(DATE(Dashboard!$C$4,4,1),0),TODAY()))-SUMIFS(Transaksi!$F$16:$F$5015,Transaksi!$C$16:$C$5015,$A46,Transaksi!$D$16:$D$5015,"Pindah",Transaksi!$B$16:$B$5015,"&lt;="&amp;MIN(EOMONTH(DATE(Dashboard!$C$4,4,1),0),TODAY()))+SUMIFS(Transaksi!$F$16:$F$5015,Transaksi!$E$16:$E$5015,$A46,Transaksi!$D$16:$D$5015,"Pindah",Transaksi!$B$16:$B$5015,"&lt;="&amp;MIN(EOMONTH(DATE(Dashboard!$C$4,4,1),0),TODAY())))</f>
        <v/>
      </c>
      <c r="G46" s="106">
        <f>IF(OR($A46="",DATE(Dashboard!$C$4,5,1)&gt;TODAY(),ISNA(MATCH($B46,{"Pribadi","Investasi (kas RDN)","Piutang","Pinjaman Mama (dompet)"},0))),"",SUMIFS(Akun!$C$5:$C$104,Akun!$A$5:$A$104,$A46,Akun!$D$5:$D$104,"&lt;="&amp;MIN(EOMONTH(DATE(Dashboard!$C$4,5,1),0),TODAY()))+SUMIFS(Transaksi!$F$16:$F$5015,Transaksi!$C$16:$C$5015,$A46,Transaksi!$D$16:$D$5015,"Masuk",Transaksi!$B$16:$B$5015,"&lt;="&amp;MIN(EOMONTH(DATE(Dashboard!$C$4,5,1),0),TODAY()))-SUMIFS(Transaksi!$F$16:$F$5015,Transaksi!$C$16:$C$5015,$A46,Transaksi!$D$16:$D$5015,"Keluar",Transaksi!$B$16:$B$5015,"&lt;="&amp;MIN(EOMONTH(DATE(Dashboard!$C$4,5,1),0),TODAY()))-SUMIFS(Transaksi!$F$16:$F$5015,Transaksi!$C$16:$C$5015,$A46,Transaksi!$D$16:$D$5015,"Pindah",Transaksi!$B$16:$B$5015,"&lt;="&amp;MIN(EOMONTH(DATE(Dashboard!$C$4,5,1),0),TODAY()))+SUMIFS(Transaksi!$F$16:$F$5015,Transaksi!$E$16:$E$5015,$A46,Transaksi!$D$16:$D$5015,"Pindah",Transaksi!$B$16:$B$5015,"&lt;="&amp;MIN(EOMONTH(DATE(Dashboard!$C$4,5,1),0),TODAY())))</f>
        <v/>
      </c>
      <c r="H46" s="106">
        <f>IF(OR($A46="",DATE(Dashboard!$C$4,6,1)&gt;TODAY(),ISNA(MATCH($B46,{"Pribadi","Investasi (kas RDN)","Piutang","Pinjaman Mama (dompet)"},0))),"",SUMIFS(Akun!$C$5:$C$104,Akun!$A$5:$A$104,$A46,Akun!$D$5:$D$104,"&lt;="&amp;MIN(EOMONTH(DATE(Dashboard!$C$4,6,1),0),TODAY()))+SUMIFS(Transaksi!$F$16:$F$5015,Transaksi!$C$16:$C$5015,$A46,Transaksi!$D$16:$D$5015,"Masuk",Transaksi!$B$16:$B$5015,"&lt;="&amp;MIN(EOMONTH(DATE(Dashboard!$C$4,6,1),0),TODAY()))-SUMIFS(Transaksi!$F$16:$F$5015,Transaksi!$C$16:$C$5015,$A46,Transaksi!$D$16:$D$5015,"Keluar",Transaksi!$B$16:$B$5015,"&lt;="&amp;MIN(EOMONTH(DATE(Dashboard!$C$4,6,1),0),TODAY()))-SUMIFS(Transaksi!$F$16:$F$5015,Transaksi!$C$16:$C$5015,$A46,Transaksi!$D$16:$D$5015,"Pindah",Transaksi!$B$16:$B$5015,"&lt;="&amp;MIN(EOMONTH(DATE(Dashboard!$C$4,6,1),0),TODAY()))+SUMIFS(Transaksi!$F$16:$F$5015,Transaksi!$E$16:$E$5015,$A46,Transaksi!$D$16:$D$5015,"Pindah",Transaksi!$B$16:$B$5015,"&lt;="&amp;MIN(EOMONTH(DATE(Dashboard!$C$4,6,1),0),TODAY())))</f>
        <v/>
      </c>
      <c r="I46" s="106">
        <f>IF(OR($A46="",DATE(Dashboard!$C$4,7,1)&gt;TODAY(),ISNA(MATCH($B46,{"Pribadi","Investasi (kas RDN)","Piutang","Pinjaman Mama (dompet)"},0))),"",SUMIFS(Akun!$C$5:$C$104,Akun!$A$5:$A$104,$A46,Akun!$D$5:$D$104,"&lt;="&amp;MIN(EOMONTH(DATE(Dashboard!$C$4,7,1),0),TODAY()))+SUMIFS(Transaksi!$F$16:$F$5015,Transaksi!$C$16:$C$5015,$A46,Transaksi!$D$16:$D$5015,"Masuk",Transaksi!$B$16:$B$5015,"&lt;="&amp;MIN(EOMONTH(DATE(Dashboard!$C$4,7,1),0),TODAY()))-SUMIFS(Transaksi!$F$16:$F$5015,Transaksi!$C$16:$C$5015,$A46,Transaksi!$D$16:$D$5015,"Keluar",Transaksi!$B$16:$B$5015,"&lt;="&amp;MIN(EOMONTH(DATE(Dashboard!$C$4,7,1),0),TODAY()))-SUMIFS(Transaksi!$F$16:$F$5015,Transaksi!$C$16:$C$5015,$A46,Transaksi!$D$16:$D$5015,"Pindah",Transaksi!$B$16:$B$5015,"&lt;="&amp;MIN(EOMONTH(DATE(Dashboard!$C$4,7,1),0),TODAY()))+SUMIFS(Transaksi!$F$16:$F$5015,Transaksi!$E$16:$E$5015,$A46,Transaksi!$D$16:$D$5015,"Pindah",Transaksi!$B$16:$B$5015,"&lt;="&amp;MIN(EOMONTH(DATE(Dashboard!$C$4,7,1),0),TODAY())))</f>
        <v/>
      </c>
      <c r="J46" s="106">
        <f>IF(OR($A46="",DATE(Dashboard!$C$4,8,1)&gt;TODAY(),ISNA(MATCH($B46,{"Pribadi","Investasi (kas RDN)","Piutang","Pinjaman Mama (dompet)"},0))),"",SUMIFS(Akun!$C$5:$C$104,Akun!$A$5:$A$104,$A46,Akun!$D$5:$D$104,"&lt;="&amp;MIN(EOMONTH(DATE(Dashboard!$C$4,8,1),0),TODAY()))+SUMIFS(Transaksi!$F$16:$F$5015,Transaksi!$C$16:$C$5015,$A46,Transaksi!$D$16:$D$5015,"Masuk",Transaksi!$B$16:$B$5015,"&lt;="&amp;MIN(EOMONTH(DATE(Dashboard!$C$4,8,1),0),TODAY()))-SUMIFS(Transaksi!$F$16:$F$5015,Transaksi!$C$16:$C$5015,$A46,Transaksi!$D$16:$D$5015,"Keluar",Transaksi!$B$16:$B$5015,"&lt;="&amp;MIN(EOMONTH(DATE(Dashboard!$C$4,8,1),0),TODAY()))-SUMIFS(Transaksi!$F$16:$F$5015,Transaksi!$C$16:$C$5015,$A46,Transaksi!$D$16:$D$5015,"Pindah",Transaksi!$B$16:$B$5015,"&lt;="&amp;MIN(EOMONTH(DATE(Dashboard!$C$4,8,1),0),TODAY()))+SUMIFS(Transaksi!$F$16:$F$5015,Transaksi!$E$16:$E$5015,$A46,Transaksi!$D$16:$D$5015,"Pindah",Transaksi!$B$16:$B$5015,"&lt;="&amp;MIN(EOMONTH(DATE(Dashboard!$C$4,8,1),0),TODAY())))</f>
        <v/>
      </c>
      <c r="K46" s="106">
        <f>IF(OR($A46="",DATE(Dashboard!$C$4,9,1)&gt;TODAY(),ISNA(MATCH($B46,{"Pribadi","Investasi (kas RDN)","Piutang","Pinjaman Mama (dompet)"},0))),"",SUMIFS(Akun!$C$5:$C$104,Akun!$A$5:$A$104,$A46,Akun!$D$5:$D$104,"&lt;="&amp;MIN(EOMONTH(DATE(Dashboard!$C$4,9,1),0),TODAY()))+SUMIFS(Transaksi!$F$16:$F$5015,Transaksi!$C$16:$C$5015,$A46,Transaksi!$D$16:$D$5015,"Masuk",Transaksi!$B$16:$B$5015,"&lt;="&amp;MIN(EOMONTH(DATE(Dashboard!$C$4,9,1),0),TODAY()))-SUMIFS(Transaksi!$F$16:$F$5015,Transaksi!$C$16:$C$5015,$A46,Transaksi!$D$16:$D$5015,"Keluar",Transaksi!$B$16:$B$5015,"&lt;="&amp;MIN(EOMONTH(DATE(Dashboard!$C$4,9,1),0),TODAY()))-SUMIFS(Transaksi!$F$16:$F$5015,Transaksi!$C$16:$C$5015,$A46,Transaksi!$D$16:$D$5015,"Pindah",Transaksi!$B$16:$B$5015,"&lt;="&amp;MIN(EOMONTH(DATE(Dashboard!$C$4,9,1),0),TODAY()))+SUMIFS(Transaksi!$F$16:$F$5015,Transaksi!$E$16:$E$5015,$A46,Transaksi!$D$16:$D$5015,"Pindah",Transaksi!$B$16:$B$5015,"&lt;="&amp;MIN(EOMONTH(DATE(Dashboard!$C$4,9,1),0),TODAY())))</f>
        <v/>
      </c>
      <c r="L46" s="106">
        <f>IF(OR($A46="",DATE(Dashboard!$C$4,10,1)&gt;TODAY(),ISNA(MATCH($B46,{"Pribadi","Investasi (kas RDN)","Piutang","Pinjaman Mama (dompet)"},0))),"",SUMIFS(Akun!$C$5:$C$104,Akun!$A$5:$A$104,$A46,Akun!$D$5:$D$104,"&lt;="&amp;MIN(EOMONTH(DATE(Dashboard!$C$4,10,1),0),TODAY()))+SUMIFS(Transaksi!$F$16:$F$5015,Transaksi!$C$16:$C$5015,$A46,Transaksi!$D$16:$D$5015,"Masuk",Transaksi!$B$16:$B$5015,"&lt;="&amp;MIN(EOMONTH(DATE(Dashboard!$C$4,10,1),0),TODAY()))-SUMIFS(Transaksi!$F$16:$F$5015,Transaksi!$C$16:$C$5015,$A46,Transaksi!$D$16:$D$5015,"Keluar",Transaksi!$B$16:$B$5015,"&lt;="&amp;MIN(EOMONTH(DATE(Dashboard!$C$4,10,1),0),TODAY()))-SUMIFS(Transaksi!$F$16:$F$5015,Transaksi!$C$16:$C$5015,$A46,Transaksi!$D$16:$D$5015,"Pindah",Transaksi!$B$16:$B$5015,"&lt;="&amp;MIN(EOMONTH(DATE(Dashboard!$C$4,10,1),0),TODAY()))+SUMIFS(Transaksi!$F$16:$F$5015,Transaksi!$E$16:$E$5015,$A46,Transaksi!$D$16:$D$5015,"Pindah",Transaksi!$B$16:$B$5015,"&lt;="&amp;MIN(EOMONTH(DATE(Dashboard!$C$4,10,1),0),TODAY())))</f>
        <v/>
      </c>
      <c r="M46" s="106">
        <f>IF(OR($A46="",DATE(Dashboard!$C$4,11,1)&gt;TODAY(),ISNA(MATCH($B46,{"Pribadi","Investasi (kas RDN)","Piutang","Pinjaman Mama (dompet)"},0))),"",SUMIFS(Akun!$C$5:$C$104,Akun!$A$5:$A$104,$A46,Akun!$D$5:$D$104,"&lt;="&amp;MIN(EOMONTH(DATE(Dashboard!$C$4,11,1),0),TODAY()))+SUMIFS(Transaksi!$F$16:$F$5015,Transaksi!$C$16:$C$5015,$A46,Transaksi!$D$16:$D$5015,"Masuk",Transaksi!$B$16:$B$5015,"&lt;="&amp;MIN(EOMONTH(DATE(Dashboard!$C$4,11,1),0),TODAY()))-SUMIFS(Transaksi!$F$16:$F$5015,Transaksi!$C$16:$C$5015,$A46,Transaksi!$D$16:$D$5015,"Keluar",Transaksi!$B$16:$B$5015,"&lt;="&amp;MIN(EOMONTH(DATE(Dashboard!$C$4,11,1),0),TODAY()))-SUMIFS(Transaksi!$F$16:$F$5015,Transaksi!$C$16:$C$5015,$A46,Transaksi!$D$16:$D$5015,"Pindah",Transaksi!$B$16:$B$5015,"&lt;="&amp;MIN(EOMONTH(DATE(Dashboard!$C$4,11,1),0),TODAY()))+SUMIFS(Transaksi!$F$16:$F$5015,Transaksi!$E$16:$E$5015,$A46,Transaksi!$D$16:$D$5015,"Pindah",Transaksi!$B$16:$B$5015,"&lt;="&amp;MIN(EOMONTH(DATE(Dashboard!$C$4,11,1),0),TODAY())))</f>
        <v/>
      </c>
      <c r="N46" s="106">
        <f>IF(OR($A46="",DATE(Dashboard!$C$4,12,1)&gt;TODAY(),ISNA(MATCH($B46,{"Pribadi","Investasi (kas RDN)","Piutang","Pinjaman Mama (dompet)"},0))),"",SUMIFS(Akun!$C$5:$C$104,Akun!$A$5:$A$104,$A46,Akun!$D$5:$D$104,"&lt;="&amp;MIN(EOMONTH(DATE(Dashboard!$C$4,12,1),0),TODAY()))+SUMIFS(Transaksi!$F$16:$F$5015,Transaksi!$C$16:$C$5015,$A46,Transaksi!$D$16:$D$5015,"Masuk",Transaksi!$B$16:$B$5015,"&lt;="&amp;MIN(EOMONTH(DATE(Dashboard!$C$4,12,1),0),TODAY()))-SUMIFS(Transaksi!$F$16:$F$5015,Transaksi!$C$16:$C$5015,$A46,Transaksi!$D$16:$D$5015,"Keluar",Transaksi!$B$16:$B$5015,"&lt;="&amp;MIN(EOMONTH(DATE(Dashboard!$C$4,12,1),0),TODAY()))-SUMIFS(Transaksi!$F$16:$F$5015,Transaksi!$C$16:$C$5015,$A46,Transaksi!$D$16:$D$5015,"Pindah",Transaksi!$B$16:$B$5015,"&lt;="&amp;MIN(EOMONTH(DATE(Dashboard!$C$4,12,1),0),TODAY()))+SUMIFS(Transaksi!$F$16:$F$5015,Transaksi!$E$16:$E$5015,$A46,Transaksi!$D$16:$D$5015,"Pindah",Transaksi!$B$16:$B$5015,"&lt;="&amp;MIN(EOMONTH(DATE(Dashboard!$C$4,12,1),0),TODAY())))</f>
        <v/>
      </c>
    </row>
    <row r="47" ht="15" customHeight="1" s="94">
      <c r="A47" s="93">
        <f>IF(Akun!$A$11="","",Akun!$A$11)</f>
        <v/>
      </c>
      <c r="B47" s="93">
        <f>IF(Akun!$A$11="","",Akun!$B$11)</f>
        <v/>
      </c>
      <c r="C47" s="106">
        <f>IF(OR($A47="",DATE(Dashboard!$C$4,1,1)&gt;TODAY(),ISNA(MATCH($B47,{"Pribadi","Investasi (kas RDN)","Piutang","Pinjaman Mama (dompet)"},0))),"",SUMIFS(Akun!$C$5:$C$104,Akun!$A$5:$A$104,$A47,Akun!$D$5:$D$104,"&lt;="&amp;MIN(EOMONTH(DATE(Dashboard!$C$4,1,1),0),TODAY()))+SUMIFS(Transaksi!$F$16:$F$5015,Transaksi!$C$16:$C$5015,$A47,Transaksi!$D$16:$D$5015,"Masuk",Transaksi!$B$16:$B$5015,"&lt;="&amp;MIN(EOMONTH(DATE(Dashboard!$C$4,1,1),0),TODAY()))-SUMIFS(Transaksi!$F$16:$F$5015,Transaksi!$C$16:$C$5015,$A47,Transaksi!$D$16:$D$5015,"Keluar",Transaksi!$B$16:$B$5015,"&lt;="&amp;MIN(EOMONTH(DATE(Dashboard!$C$4,1,1),0),TODAY()))-SUMIFS(Transaksi!$F$16:$F$5015,Transaksi!$C$16:$C$5015,$A47,Transaksi!$D$16:$D$5015,"Pindah",Transaksi!$B$16:$B$5015,"&lt;="&amp;MIN(EOMONTH(DATE(Dashboard!$C$4,1,1),0),TODAY()))+SUMIFS(Transaksi!$F$16:$F$5015,Transaksi!$E$16:$E$5015,$A47,Transaksi!$D$16:$D$5015,"Pindah",Transaksi!$B$16:$B$5015,"&lt;="&amp;MIN(EOMONTH(DATE(Dashboard!$C$4,1,1),0),TODAY())))</f>
        <v/>
      </c>
      <c r="D47" s="106">
        <f>IF(OR($A47="",DATE(Dashboard!$C$4,2,1)&gt;TODAY(),ISNA(MATCH($B47,{"Pribadi","Investasi (kas RDN)","Piutang","Pinjaman Mama (dompet)"},0))),"",SUMIFS(Akun!$C$5:$C$104,Akun!$A$5:$A$104,$A47,Akun!$D$5:$D$104,"&lt;="&amp;MIN(EOMONTH(DATE(Dashboard!$C$4,2,1),0),TODAY()))+SUMIFS(Transaksi!$F$16:$F$5015,Transaksi!$C$16:$C$5015,$A47,Transaksi!$D$16:$D$5015,"Masuk",Transaksi!$B$16:$B$5015,"&lt;="&amp;MIN(EOMONTH(DATE(Dashboard!$C$4,2,1),0),TODAY()))-SUMIFS(Transaksi!$F$16:$F$5015,Transaksi!$C$16:$C$5015,$A47,Transaksi!$D$16:$D$5015,"Keluar",Transaksi!$B$16:$B$5015,"&lt;="&amp;MIN(EOMONTH(DATE(Dashboard!$C$4,2,1),0),TODAY()))-SUMIFS(Transaksi!$F$16:$F$5015,Transaksi!$C$16:$C$5015,$A47,Transaksi!$D$16:$D$5015,"Pindah",Transaksi!$B$16:$B$5015,"&lt;="&amp;MIN(EOMONTH(DATE(Dashboard!$C$4,2,1),0),TODAY()))+SUMIFS(Transaksi!$F$16:$F$5015,Transaksi!$E$16:$E$5015,$A47,Transaksi!$D$16:$D$5015,"Pindah",Transaksi!$B$16:$B$5015,"&lt;="&amp;MIN(EOMONTH(DATE(Dashboard!$C$4,2,1),0),TODAY())))</f>
        <v/>
      </c>
      <c r="E47" s="106">
        <f>IF(OR($A47="",DATE(Dashboard!$C$4,3,1)&gt;TODAY(),ISNA(MATCH($B47,{"Pribadi","Investasi (kas RDN)","Piutang","Pinjaman Mama (dompet)"},0))),"",SUMIFS(Akun!$C$5:$C$104,Akun!$A$5:$A$104,$A47,Akun!$D$5:$D$104,"&lt;="&amp;MIN(EOMONTH(DATE(Dashboard!$C$4,3,1),0),TODAY()))+SUMIFS(Transaksi!$F$16:$F$5015,Transaksi!$C$16:$C$5015,$A47,Transaksi!$D$16:$D$5015,"Masuk",Transaksi!$B$16:$B$5015,"&lt;="&amp;MIN(EOMONTH(DATE(Dashboard!$C$4,3,1),0),TODAY()))-SUMIFS(Transaksi!$F$16:$F$5015,Transaksi!$C$16:$C$5015,$A47,Transaksi!$D$16:$D$5015,"Keluar",Transaksi!$B$16:$B$5015,"&lt;="&amp;MIN(EOMONTH(DATE(Dashboard!$C$4,3,1),0),TODAY()))-SUMIFS(Transaksi!$F$16:$F$5015,Transaksi!$C$16:$C$5015,$A47,Transaksi!$D$16:$D$5015,"Pindah",Transaksi!$B$16:$B$5015,"&lt;="&amp;MIN(EOMONTH(DATE(Dashboard!$C$4,3,1),0),TODAY()))+SUMIFS(Transaksi!$F$16:$F$5015,Transaksi!$E$16:$E$5015,$A47,Transaksi!$D$16:$D$5015,"Pindah",Transaksi!$B$16:$B$5015,"&lt;="&amp;MIN(EOMONTH(DATE(Dashboard!$C$4,3,1),0),TODAY())))</f>
        <v/>
      </c>
      <c r="F47" s="106">
        <f>IF(OR($A47="",DATE(Dashboard!$C$4,4,1)&gt;TODAY(),ISNA(MATCH($B47,{"Pribadi","Investasi (kas RDN)","Piutang","Pinjaman Mama (dompet)"},0))),"",SUMIFS(Akun!$C$5:$C$104,Akun!$A$5:$A$104,$A47,Akun!$D$5:$D$104,"&lt;="&amp;MIN(EOMONTH(DATE(Dashboard!$C$4,4,1),0),TODAY()))+SUMIFS(Transaksi!$F$16:$F$5015,Transaksi!$C$16:$C$5015,$A47,Transaksi!$D$16:$D$5015,"Masuk",Transaksi!$B$16:$B$5015,"&lt;="&amp;MIN(EOMONTH(DATE(Dashboard!$C$4,4,1),0),TODAY()))-SUMIFS(Transaksi!$F$16:$F$5015,Transaksi!$C$16:$C$5015,$A47,Transaksi!$D$16:$D$5015,"Keluar",Transaksi!$B$16:$B$5015,"&lt;="&amp;MIN(EOMONTH(DATE(Dashboard!$C$4,4,1),0),TODAY()))-SUMIFS(Transaksi!$F$16:$F$5015,Transaksi!$C$16:$C$5015,$A47,Transaksi!$D$16:$D$5015,"Pindah",Transaksi!$B$16:$B$5015,"&lt;="&amp;MIN(EOMONTH(DATE(Dashboard!$C$4,4,1),0),TODAY()))+SUMIFS(Transaksi!$F$16:$F$5015,Transaksi!$E$16:$E$5015,$A47,Transaksi!$D$16:$D$5015,"Pindah",Transaksi!$B$16:$B$5015,"&lt;="&amp;MIN(EOMONTH(DATE(Dashboard!$C$4,4,1),0),TODAY())))</f>
        <v/>
      </c>
      <c r="G47" s="106">
        <f>IF(OR($A47="",DATE(Dashboard!$C$4,5,1)&gt;TODAY(),ISNA(MATCH($B47,{"Pribadi","Investasi (kas RDN)","Piutang","Pinjaman Mama (dompet)"},0))),"",SUMIFS(Akun!$C$5:$C$104,Akun!$A$5:$A$104,$A47,Akun!$D$5:$D$104,"&lt;="&amp;MIN(EOMONTH(DATE(Dashboard!$C$4,5,1),0),TODAY()))+SUMIFS(Transaksi!$F$16:$F$5015,Transaksi!$C$16:$C$5015,$A47,Transaksi!$D$16:$D$5015,"Masuk",Transaksi!$B$16:$B$5015,"&lt;="&amp;MIN(EOMONTH(DATE(Dashboard!$C$4,5,1),0),TODAY()))-SUMIFS(Transaksi!$F$16:$F$5015,Transaksi!$C$16:$C$5015,$A47,Transaksi!$D$16:$D$5015,"Keluar",Transaksi!$B$16:$B$5015,"&lt;="&amp;MIN(EOMONTH(DATE(Dashboard!$C$4,5,1),0),TODAY()))-SUMIFS(Transaksi!$F$16:$F$5015,Transaksi!$C$16:$C$5015,$A47,Transaksi!$D$16:$D$5015,"Pindah",Transaksi!$B$16:$B$5015,"&lt;="&amp;MIN(EOMONTH(DATE(Dashboard!$C$4,5,1),0),TODAY()))+SUMIFS(Transaksi!$F$16:$F$5015,Transaksi!$E$16:$E$5015,$A47,Transaksi!$D$16:$D$5015,"Pindah",Transaksi!$B$16:$B$5015,"&lt;="&amp;MIN(EOMONTH(DATE(Dashboard!$C$4,5,1),0),TODAY())))</f>
        <v/>
      </c>
      <c r="H47" s="106">
        <f>IF(OR($A47="",DATE(Dashboard!$C$4,6,1)&gt;TODAY(),ISNA(MATCH($B47,{"Pribadi","Investasi (kas RDN)","Piutang","Pinjaman Mama (dompet)"},0))),"",SUMIFS(Akun!$C$5:$C$104,Akun!$A$5:$A$104,$A47,Akun!$D$5:$D$104,"&lt;="&amp;MIN(EOMONTH(DATE(Dashboard!$C$4,6,1),0),TODAY()))+SUMIFS(Transaksi!$F$16:$F$5015,Transaksi!$C$16:$C$5015,$A47,Transaksi!$D$16:$D$5015,"Masuk",Transaksi!$B$16:$B$5015,"&lt;="&amp;MIN(EOMONTH(DATE(Dashboard!$C$4,6,1),0),TODAY()))-SUMIFS(Transaksi!$F$16:$F$5015,Transaksi!$C$16:$C$5015,$A47,Transaksi!$D$16:$D$5015,"Keluar",Transaksi!$B$16:$B$5015,"&lt;="&amp;MIN(EOMONTH(DATE(Dashboard!$C$4,6,1),0),TODAY()))-SUMIFS(Transaksi!$F$16:$F$5015,Transaksi!$C$16:$C$5015,$A47,Transaksi!$D$16:$D$5015,"Pindah",Transaksi!$B$16:$B$5015,"&lt;="&amp;MIN(EOMONTH(DATE(Dashboard!$C$4,6,1),0),TODAY()))+SUMIFS(Transaksi!$F$16:$F$5015,Transaksi!$E$16:$E$5015,$A47,Transaksi!$D$16:$D$5015,"Pindah",Transaksi!$B$16:$B$5015,"&lt;="&amp;MIN(EOMONTH(DATE(Dashboard!$C$4,6,1),0),TODAY())))</f>
        <v/>
      </c>
      <c r="I47" s="106">
        <f>IF(OR($A47="",DATE(Dashboard!$C$4,7,1)&gt;TODAY(),ISNA(MATCH($B47,{"Pribadi","Investasi (kas RDN)","Piutang","Pinjaman Mama (dompet)"},0))),"",SUMIFS(Akun!$C$5:$C$104,Akun!$A$5:$A$104,$A47,Akun!$D$5:$D$104,"&lt;="&amp;MIN(EOMONTH(DATE(Dashboard!$C$4,7,1),0),TODAY()))+SUMIFS(Transaksi!$F$16:$F$5015,Transaksi!$C$16:$C$5015,$A47,Transaksi!$D$16:$D$5015,"Masuk",Transaksi!$B$16:$B$5015,"&lt;="&amp;MIN(EOMONTH(DATE(Dashboard!$C$4,7,1),0),TODAY()))-SUMIFS(Transaksi!$F$16:$F$5015,Transaksi!$C$16:$C$5015,$A47,Transaksi!$D$16:$D$5015,"Keluar",Transaksi!$B$16:$B$5015,"&lt;="&amp;MIN(EOMONTH(DATE(Dashboard!$C$4,7,1),0),TODAY()))-SUMIFS(Transaksi!$F$16:$F$5015,Transaksi!$C$16:$C$5015,$A47,Transaksi!$D$16:$D$5015,"Pindah",Transaksi!$B$16:$B$5015,"&lt;="&amp;MIN(EOMONTH(DATE(Dashboard!$C$4,7,1),0),TODAY()))+SUMIFS(Transaksi!$F$16:$F$5015,Transaksi!$E$16:$E$5015,$A47,Transaksi!$D$16:$D$5015,"Pindah",Transaksi!$B$16:$B$5015,"&lt;="&amp;MIN(EOMONTH(DATE(Dashboard!$C$4,7,1),0),TODAY())))</f>
        <v/>
      </c>
      <c r="J47" s="106">
        <f>IF(OR($A47="",DATE(Dashboard!$C$4,8,1)&gt;TODAY(),ISNA(MATCH($B47,{"Pribadi","Investasi (kas RDN)","Piutang","Pinjaman Mama (dompet)"},0))),"",SUMIFS(Akun!$C$5:$C$104,Akun!$A$5:$A$104,$A47,Akun!$D$5:$D$104,"&lt;="&amp;MIN(EOMONTH(DATE(Dashboard!$C$4,8,1),0),TODAY()))+SUMIFS(Transaksi!$F$16:$F$5015,Transaksi!$C$16:$C$5015,$A47,Transaksi!$D$16:$D$5015,"Masuk",Transaksi!$B$16:$B$5015,"&lt;="&amp;MIN(EOMONTH(DATE(Dashboard!$C$4,8,1),0),TODAY()))-SUMIFS(Transaksi!$F$16:$F$5015,Transaksi!$C$16:$C$5015,$A47,Transaksi!$D$16:$D$5015,"Keluar",Transaksi!$B$16:$B$5015,"&lt;="&amp;MIN(EOMONTH(DATE(Dashboard!$C$4,8,1),0),TODAY()))-SUMIFS(Transaksi!$F$16:$F$5015,Transaksi!$C$16:$C$5015,$A47,Transaksi!$D$16:$D$5015,"Pindah",Transaksi!$B$16:$B$5015,"&lt;="&amp;MIN(EOMONTH(DATE(Dashboard!$C$4,8,1),0),TODAY()))+SUMIFS(Transaksi!$F$16:$F$5015,Transaksi!$E$16:$E$5015,$A47,Transaksi!$D$16:$D$5015,"Pindah",Transaksi!$B$16:$B$5015,"&lt;="&amp;MIN(EOMONTH(DATE(Dashboard!$C$4,8,1),0),TODAY())))</f>
        <v/>
      </c>
      <c r="K47" s="106">
        <f>IF(OR($A47="",DATE(Dashboard!$C$4,9,1)&gt;TODAY(),ISNA(MATCH($B47,{"Pribadi","Investasi (kas RDN)","Piutang","Pinjaman Mama (dompet)"},0))),"",SUMIFS(Akun!$C$5:$C$104,Akun!$A$5:$A$104,$A47,Akun!$D$5:$D$104,"&lt;="&amp;MIN(EOMONTH(DATE(Dashboard!$C$4,9,1),0),TODAY()))+SUMIFS(Transaksi!$F$16:$F$5015,Transaksi!$C$16:$C$5015,$A47,Transaksi!$D$16:$D$5015,"Masuk",Transaksi!$B$16:$B$5015,"&lt;="&amp;MIN(EOMONTH(DATE(Dashboard!$C$4,9,1),0),TODAY()))-SUMIFS(Transaksi!$F$16:$F$5015,Transaksi!$C$16:$C$5015,$A47,Transaksi!$D$16:$D$5015,"Keluar",Transaksi!$B$16:$B$5015,"&lt;="&amp;MIN(EOMONTH(DATE(Dashboard!$C$4,9,1),0),TODAY()))-SUMIFS(Transaksi!$F$16:$F$5015,Transaksi!$C$16:$C$5015,$A47,Transaksi!$D$16:$D$5015,"Pindah",Transaksi!$B$16:$B$5015,"&lt;="&amp;MIN(EOMONTH(DATE(Dashboard!$C$4,9,1),0),TODAY()))+SUMIFS(Transaksi!$F$16:$F$5015,Transaksi!$E$16:$E$5015,$A47,Transaksi!$D$16:$D$5015,"Pindah",Transaksi!$B$16:$B$5015,"&lt;="&amp;MIN(EOMONTH(DATE(Dashboard!$C$4,9,1),0),TODAY())))</f>
        <v/>
      </c>
      <c r="L47" s="106">
        <f>IF(OR($A47="",DATE(Dashboard!$C$4,10,1)&gt;TODAY(),ISNA(MATCH($B47,{"Pribadi","Investasi (kas RDN)","Piutang","Pinjaman Mama (dompet)"},0))),"",SUMIFS(Akun!$C$5:$C$104,Akun!$A$5:$A$104,$A47,Akun!$D$5:$D$104,"&lt;="&amp;MIN(EOMONTH(DATE(Dashboard!$C$4,10,1),0),TODAY()))+SUMIFS(Transaksi!$F$16:$F$5015,Transaksi!$C$16:$C$5015,$A47,Transaksi!$D$16:$D$5015,"Masuk",Transaksi!$B$16:$B$5015,"&lt;="&amp;MIN(EOMONTH(DATE(Dashboard!$C$4,10,1),0),TODAY()))-SUMIFS(Transaksi!$F$16:$F$5015,Transaksi!$C$16:$C$5015,$A47,Transaksi!$D$16:$D$5015,"Keluar",Transaksi!$B$16:$B$5015,"&lt;="&amp;MIN(EOMONTH(DATE(Dashboard!$C$4,10,1),0),TODAY()))-SUMIFS(Transaksi!$F$16:$F$5015,Transaksi!$C$16:$C$5015,$A47,Transaksi!$D$16:$D$5015,"Pindah",Transaksi!$B$16:$B$5015,"&lt;="&amp;MIN(EOMONTH(DATE(Dashboard!$C$4,10,1),0),TODAY()))+SUMIFS(Transaksi!$F$16:$F$5015,Transaksi!$E$16:$E$5015,$A47,Transaksi!$D$16:$D$5015,"Pindah",Transaksi!$B$16:$B$5015,"&lt;="&amp;MIN(EOMONTH(DATE(Dashboard!$C$4,10,1),0),TODAY())))</f>
        <v/>
      </c>
      <c r="M47" s="106">
        <f>IF(OR($A47="",DATE(Dashboard!$C$4,11,1)&gt;TODAY(),ISNA(MATCH($B47,{"Pribadi","Investasi (kas RDN)","Piutang","Pinjaman Mama (dompet)"},0))),"",SUMIFS(Akun!$C$5:$C$104,Akun!$A$5:$A$104,$A47,Akun!$D$5:$D$104,"&lt;="&amp;MIN(EOMONTH(DATE(Dashboard!$C$4,11,1),0),TODAY()))+SUMIFS(Transaksi!$F$16:$F$5015,Transaksi!$C$16:$C$5015,$A47,Transaksi!$D$16:$D$5015,"Masuk",Transaksi!$B$16:$B$5015,"&lt;="&amp;MIN(EOMONTH(DATE(Dashboard!$C$4,11,1),0),TODAY()))-SUMIFS(Transaksi!$F$16:$F$5015,Transaksi!$C$16:$C$5015,$A47,Transaksi!$D$16:$D$5015,"Keluar",Transaksi!$B$16:$B$5015,"&lt;="&amp;MIN(EOMONTH(DATE(Dashboard!$C$4,11,1),0),TODAY()))-SUMIFS(Transaksi!$F$16:$F$5015,Transaksi!$C$16:$C$5015,$A47,Transaksi!$D$16:$D$5015,"Pindah",Transaksi!$B$16:$B$5015,"&lt;="&amp;MIN(EOMONTH(DATE(Dashboard!$C$4,11,1),0),TODAY()))+SUMIFS(Transaksi!$F$16:$F$5015,Transaksi!$E$16:$E$5015,$A47,Transaksi!$D$16:$D$5015,"Pindah",Transaksi!$B$16:$B$5015,"&lt;="&amp;MIN(EOMONTH(DATE(Dashboard!$C$4,11,1),0),TODAY())))</f>
        <v/>
      </c>
      <c r="N47" s="106">
        <f>IF(OR($A47="",DATE(Dashboard!$C$4,12,1)&gt;TODAY(),ISNA(MATCH($B47,{"Pribadi","Investasi (kas RDN)","Piutang","Pinjaman Mama (dompet)"},0))),"",SUMIFS(Akun!$C$5:$C$104,Akun!$A$5:$A$104,$A47,Akun!$D$5:$D$104,"&lt;="&amp;MIN(EOMONTH(DATE(Dashboard!$C$4,12,1),0),TODAY()))+SUMIFS(Transaksi!$F$16:$F$5015,Transaksi!$C$16:$C$5015,$A47,Transaksi!$D$16:$D$5015,"Masuk",Transaksi!$B$16:$B$5015,"&lt;="&amp;MIN(EOMONTH(DATE(Dashboard!$C$4,12,1),0),TODAY()))-SUMIFS(Transaksi!$F$16:$F$5015,Transaksi!$C$16:$C$5015,$A47,Transaksi!$D$16:$D$5015,"Keluar",Transaksi!$B$16:$B$5015,"&lt;="&amp;MIN(EOMONTH(DATE(Dashboard!$C$4,12,1),0),TODAY()))-SUMIFS(Transaksi!$F$16:$F$5015,Transaksi!$C$16:$C$5015,$A47,Transaksi!$D$16:$D$5015,"Pindah",Transaksi!$B$16:$B$5015,"&lt;="&amp;MIN(EOMONTH(DATE(Dashboard!$C$4,12,1),0),TODAY()))+SUMIFS(Transaksi!$F$16:$F$5015,Transaksi!$E$16:$E$5015,$A47,Transaksi!$D$16:$D$5015,"Pindah",Transaksi!$B$16:$B$5015,"&lt;="&amp;MIN(EOMONTH(DATE(Dashboard!$C$4,12,1),0),TODAY())))</f>
        <v/>
      </c>
    </row>
    <row r="48" ht="15" customHeight="1" s="94">
      <c r="A48" s="93">
        <f>IF(Akun!$A$12="","",Akun!$A$12)</f>
        <v/>
      </c>
      <c r="B48" s="93">
        <f>IF(Akun!$A$12="","",Akun!$B$12)</f>
        <v/>
      </c>
      <c r="C48" s="106">
        <f>IF(OR($A48="",DATE(Dashboard!$C$4,1,1)&gt;TODAY(),ISNA(MATCH($B48,{"Pribadi","Investasi (kas RDN)","Piutang","Pinjaman Mama (dompet)"},0))),"",SUMIFS(Akun!$C$5:$C$104,Akun!$A$5:$A$104,$A48,Akun!$D$5:$D$104,"&lt;="&amp;MIN(EOMONTH(DATE(Dashboard!$C$4,1,1),0),TODAY()))+SUMIFS(Transaksi!$F$16:$F$5015,Transaksi!$C$16:$C$5015,$A48,Transaksi!$D$16:$D$5015,"Masuk",Transaksi!$B$16:$B$5015,"&lt;="&amp;MIN(EOMONTH(DATE(Dashboard!$C$4,1,1),0),TODAY()))-SUMIFS(Transaksi!$F$16:$F$5015,Transaksi!$C$16:$C$5015,$A48,Transaksi!$D$16:$D$5015,"Keluar",Transaksi!$B$16:$B$5015,"&lt;="&amp;MIN(EOMONTH(DATE(Dashboard!$C$4,1,1),0),TODAY()))-SUMIFS(Transaksi!$F$16:$F$5015,Transaksi!$C$16:$C$5015,$A48,Transaksi!$D$16:$D$5015,"Pindah",Transaksi!$B$16:$B$5015,"&lt;="&amp;MIN(EOMONTH(DATE(Dashboard!$C$4,1,1),0),TODAY()))+SUMIFS(Transaksi!$F$16:$F$5015,Transaksi!$E$16:$E$5015,$A48,Transaksi!$D$16:$D$5015,"Pindah",Transaksi!$B$16:$B$5015,"&lt;="&amp;MIN(EOMONTH(DATE(Dashboard!$C$4,1,1),0),TODAY())))</f>
        <v/>
      </c>
      <c r="D48" s="106">
        <f>IF(OR($A48="",DATE(Dashboard!$C$4,2,1)&gt;TODAY(),ISNA(MATCH($B48,{"Pribadi","Investasi (kas RDN)","Piutang","Pinjaman Mama (dompet)"},0))),"",SUMIFS(Akun!$C$5:$C$104,Akun!$A$5:$A$104,$A48,Akun!$D$5:$D$104,"&lt;="&amp;MIN(EOMONTH(DATE(Dashboard!$C$4,2,1),0),TODAY()))+SUMIFS(Transaksi!$F$16:$F$5015,Transaksi!$C$16:$C$5015,$A48,Transaksi!$D$16:$D$5015,"Masuk",Transaksi!$B$16:$B$5015,"&lt;="&amp;MIN(EOMONTH(DATE(Dashboard!$C$4,2,1),0),TODAY()))-SUMIFS(Transaksi!$F$16:$F$5015,Transaksi!$C$16:$C$5015,$A48,Transaksi!$D$16:$D$5015,"Keluar",Transaksi!$B$16:$B$5015,"&lt;="&amp;MIN(EOMONTH(DATE(Dashboard!$C$4,2,1),0),TODAY()))-SUMIFS(Transaksi!$F$16:$F$5015,Transaksi!$C$16:$C$5015,$A48,Transaksi!$D$16:$D$5015,"Pindah",Transaksi!$B$16:$B$5015,"&lt;="&amp;MIN(EOMONTH(DATE(Dashboard!$C$4,2,1),0),TODAY()))+SUMIFS(Transaksi!$F$16:$F$5015,Transaksi!$E$16:$E$5015,$A48,Transaksi!$D$16:$D$5015,"Pindah",Transaksi!$B$16:$B$5015,"&lt;="&amp;MIN(EOMONTH(DATE(Dashboard!$C$4,2,1),0),TODAY())))</f>
        <v/>
      </c>
      <c r="E48" s="106">
        <f>IF(OR($A48="",DATE(Dashboard!$C$4,3,1)&gt;TODAY(),ISNA(MATCH($B48,{"Pribadi","Investasi (kas RDN)","Piutang","Pinjaman Mama (dompet)"},0))),"",SUMIFS(Akun!$C$5:$C$104,Akun!$A$5:$A$104,$A48,Akun!$D$5:$D$104,"&lt;="&amp;MIN(EOMONTH(DATE(Dashboard!$C$4,3,1),0),TODAY()))+SUMIFS(Transaksi!$F$16:$F$5015,Transaksi!$C$16:$C$5015,$A48,Transaksi!$D$16:$D$5015,"Masuk",Transaksi!$B$16:$B$5015,"&lt;="&amp;MIN(EOMONTH(DATE(Dashboard!$C$4,3,1),0),TODAY()))-SUMIFS(Transaksi!$F$16:$F$5015,Transaksi!$C$16:$C$5015,$A48,Transaksi!$D$16:$D$5015,"Keluar",Transaksi!$B$16:$B$5015,"&lt;="&amp;MIN(EOMONTH(DATE(Dashboard!$C$4,3,1),0),TODAY()))-SUMIFS(Transaksi!$F$16:$F$5015,Transaksi!$C$16:$C$5015,$A48,Transaksi!$D$16:$D$5015,"Pindah",Transaksi!$B$16:$B$5015,"&lt;="&amp;MIN(EOMONTH(DATE(Dashboard!$C$4,3,1),0),TODAY()))+SUMIFS(Transaksi!$F$16:$F$5015,Transaksi!$E$16:$E$5015,$A48,Transaksi!$D$16:$D$5015,"Pindah",Transaksi!$B$16:$B$5015,"&lt;="&amp;MIN(EOMONTH(DATE(Dashboard!$C$4,3,1),0),TODAY())))</f>
        <v/>
      </c>
      <c r="F48" s="106">
        <f>IF(OR($A48="",DATE(Dashboard!$C$4,4,1)&gt;TODAY(),ISNA(MATCH($B48,{"Pribadi","Investasi (kas RDN)","Piutang","Pinjaman Mama (dompet)"},0))),"",SUMIFS(Akun!$C$5:$C$104,Akun!$A$5:$A$104,$A48,Akun!$D$5:$D$104,"&lt;="&amp;MIN(EOMONTH(DATE(Dashboard!$C$4,4,1),0),TODAY()))+SUMIFS(Transaksi!$F$16:$F$5015,Transaksi!$C$16:$C$5015,$A48,Transaksi!$D$16:$D$5015,"Masuk",Transaksi!$B$16:$B$5015,"&lt;="&amp;MIN(EOMONTH(DATE(Dashboard!$C$4,4,1),0),TODAY()))-SUMIFS(Transaksi!$F$16:$F$5015,Transaksi!$C$16:$C$5015,$A48,Transaksi!$D$16:$D$5015,"Keluar",Transaksi!$B$16:$B$5015,"&lt;="&amp;MIN(EOMONTH(DATE(Dashboard!$C$4,4,1),0),TODAY()))-SUMIFS(Transaksi!$F$16:$F$5015,Transaksi!$C$16:$C$5015,$A48,Transaksi!$D$16:$D$5015,"Pindah",Transaksi!$B$16:$B$5015,"&lt;="&amp;MIN(EOMONTH(DATE(Dashboard!$C$4,4,1),0),TODAY()))+SUMIFS(Transaksi!$F$16:$F$5015,Transaksi!$E$16:$E$5015,$A48,Transaksi!$D$16:$D$5015,"Pindah",Transaksi!$B$16:$B$5015,"&lt;="&amp;MIN(EOMONTH(DATE(Dashboard!$C$4,4,1),0),TODAY())))</f>
        <v/>
      </c>
      <c r="G48" s="106">
        <f>IF(OR($A48="",DATE(Dashboard!$C$4,5,1)&gt;TODAY(),ISNA(MATCH($B48,{"Pribadi","Investasi (kas RDN)","Piutang","Pinjaman Mama (dompet)"},0))),"",SUMIFS(Akun!$C$5:$C$104,Akun!$A$5:$A$104,$A48,Akun!$D$5:$D$104,"&lt;="&amp;MIN(EOMONTH(DATE(Dashboard!$C$4,5,1),0),TODAY()))+SUMIFS(Transaksi!$F$16:$F$5015,Transaksi!$C$16:$C$5015,$A48,Transaksi!$D$16:$D$5015,"Masuk",Transaksi!$B$16:$B$5015,"&lt;="&amp;MIN(EOMONTH(DATE(Dashboard!$C$4,5,1),0),TODAY()))-SUMIFS(Transaksi!$F$16:$F$5015,Transaksi!$C$16:$C$5015,$A48,Transaksi!$D$16:$D$5015,"Keluar",Transaksi!$B$16:$B$5015,"&lt;="&amp;MIN(EOMONTH(DATE(Dashboard!$C$4,5,1),0),TODAY()))-SUMIFS(Transaksi!$F$16:$F$5015,Transaksi!$C$16:$C$5015,$A48,Transaksi!$D$16:$D$5015,"Pindah",Transaksi!$B$16:$B$5015,"&lt;="&amp;MIN(EOMONTH(DATE(Dashboard!$C$4,5,1),0),TODAY()))+SUMIFS(Transaksi!$F$16:$F$5015,Transaksi!$E$16:$E$5015,$A48,Transaksi!$D$16:$D$5015,"Pindah",Transaksi!$B$16:$B$5015,"&lt;="&amp;MIN(EOMONTH(DATE(Dashboard!$C$4,5,1),0),TODAY())))</f>
        <v/>
      </c>
      <c r="H48" s="106">
        <f>IF(OR($A48="",DATE(Dashboard!$C$4,6,1)&gt;TODAY(),ISNA(MATCH($B48,{"Pribadi","Investasi (kas RDN)","Piutang","Pinjaman Mama (dompet)"},0))),"",SUMIFS(Akun!$C$5:$C$104,Akun!$A$5:$A$104,$A48,Akun!$D$5:$D$104,"&lt;="&amp;MIN(EOMONTH(DATE(Dashboard!$C$4,6,1),0),TODAY()))+SUMIFS(Transaksi!$F$16:$F$5015,Transaksi!$C$16:$C$5015,$A48,Transaksi!$D$16:$D$5015,"Masuk",Transaksi!$B$16:$B$5015,"&lt;="&amp;MIN(EOMONTH(DATE(Dashboard!$C$4,6,1),0),TODAY()))-SUMIFS(Transaksi!$F$16:$F$5015,Transaksi!$C$16:$C$5015,$A48,Transaksi!$D$16:$D$5015,"Keluar",Transaksi!$B$16:$B$5015,"&lt;="&amp;MIN(EOMONTH(DATE(Dashboard!$C$4,6,1),0),TODAY()))-SUMIFS(Transaksi!$F$16:$F$5015,Transaksi!$C$16:$C$5015,$A48,Transaksi!$D$16:$D$5015,"Pindah",Transaksi!$B$16:$B$5015,"&lt;="&amp;MIN(EOMONTH(DATE(Dashboard!$C$4,6,1),0),TODAY()))+SUMIFS(Transaksi!$F$16:$F$5015,Transaksi!$E$16:$E$5015,$A48,Transaksi!$D$16:$D$5015,"Pindah",Transaksi!$B$16:$B$5015,"&lt;="&amp;MIN(EOMONTH(DATE(Dashboard!$C$4,6,1),0),TODAY())))</f>
        <v/>
      </c>
      <c r="I48" s="106">
        <f>IF(OR($A48="",DATE(Dashboard!$C$4,7,1)&gt;TODAY(),ISNA(MATCH($B48,{"Pribadi","Investasi (kas RDN)","Piutang","Pinjaman Mama (dompet)"},0))),"",SUMIFS(Akun!$C$5:$C$104,Akun!$A$5:$A$104,$A48,Akun!$D$5:$D$104,"&lt;="&amp;MIN(EOMONTH(DATE(Dashboard!$C$4,7,1),0),TODAY()))+SUMIFS(Transaksi!$F$16:$F$5015,Transaksi!$C$16:$C$5015,$A48,Transaksi!$D$16:$D$5015,"Masuk",Transaksi!$B$16:$B$5015,"&lt;="&amp;MIN(EOMONTH(DATE(Dashboard!$C$4,7,1),0),TODAY()))-SUMIFS(Transaksi!$F$16:$F$5015,Transaksi!$C$16:$C$5015,$A48,Transaksi!$D$16:$D$5015,"Keluar",Transaksi!$B$16:$B$5015,"&lt;="&amp;MIN(EOMONTH(DATE(Dashboard!$C$4,7,1),0),TODAY()))-SUMIFS(Transaksi!$F$16:$F$5015,Transaksi!$C$16:$C$5015,$A48,Transaksi!$D$16:$D$5015,"Pindah",Transaksi!$B$16:$B$5015,"&lt;="&amp;MIN(EOMONTH(DATE(Dashboard!$C$4,7,1),0),TODAY()))+SUMIFS(Transaksi!$F$16:$F$5015,Transaksi!$E$16:$E$5015,$A48,Transaksi!$D$16:$D$5015,"Pindah",Transaksi!$B$16:$B$5015,"&lt;="&amp;MIN(EOMONTH(DATE(Dashboard!$C$4,7,1),0),TODAY())))</f>
        <v/>
      </c>
      <c r="J48" s="106">
        <f>IF(OR($A48="",DATE(Dashboard!$C$4,8,1)&gt;TODAY(),ISNA(MATCH($B48,{"Pribadi","Investasi (kas RDN)","Piutang","Pinjaman Mama (dompet)"},0))),"",SUMIFS(Akun!$C$5:$C$104,Akun!$A$5:$A$104,$A48,Akun!$D$5:$D$104,"&lt;="&amp;MIN(EOMONTH(DATE(Dashboard!$C$4,8,1),0),TODAY()))+SUMIFS(Transaksi!$F$16:$F$5015,Transaksi!$C$16:$C$5015,$A48,Transaksi!$D$16:$D$5015,"Masuk",Transaksi!$B$16:$B$5015,"&lt;="&amp;MIN(EOMONTH(DATE(Dashboard!$C$4,8,1),0),TODAY()))-SUMIFS(Transaksi!$F$16:$F$5015,Transaksi!$C$16:$C$5015,$A48,Transaksi!$D$16:$D$5015,"Keluar",Transaksi!$B$16:$B$5015,"&lt;="&amp;MIN(EOMONTH(DATE(Dashboard!$C$4,8,1),0),TODAY()))-SUMIFS(Transaksi!$F$16:$F$5015,Transaksi!$C$16:$C$5015,$A48,Transaksi!$D$16:$D$5015,"Pindah",Transaksi!$B$16:$B$5015,"&lt;="&amp;MIN(EOMONTH(DATE(Dashboard!$C$4,8,1),0),TODAY()))+SUMIFS(Transaksi!$F$16:$F$5015,Transaksi!$E$16:$E$5015,$A48,Transaksi!$D$16:$D$5015,"Pindah",Transaksi!$B$16:$B$5015,"&lt;="&amp;MIN(EOMONTH(DATE(Dashboard!$C$4,8,1),0),TODAY())))</f>
        <v/>
      </c>
      <c r="K48" s="106">
        <f>IF(OR($A48="",DATE(Dashboard!$C$4,9,1)&gt;TODAY(),ISNA(MATCH($B48,{"Pribadi","Investasi (kas RDN)","Piutang","Pinjaman Mama (dompet)"},0))),"",SUMIFS(Akun!$C$5:$C$104,Akun!$A$5:$A$104,$A48,Akun!$D$5:$D$104,"&lt;="&amp;MIN(EOMONTH(DATE(Dashboard!$C$4,9,1),0),TODAY()))+SUMIFS(Transaksi!$F$16:$F$5015,Transaksi!$C$16:$C$5015,$A48,Transaksi!$D$16:$D$5015,"Masuk",Transaksi!$B$16:$B$5015,"&lt;="&amp;MIN(EOMONTH(DATE(Dashboard!$C$4,9,1),0),TODAY()))-SUMIFS(Transaksi!$F$16:$F$5015,Transaksi!$C$16:$C$5015,$A48,Transaksi!$D$16:$D$5015,"Keluar",Transaksi!$B$16:$B$5015,"&lt;="&amp;MIN(EOMONTH(DATE(Dashboard!$C$4,9,1),0),TODAY()))-SUMIFS(Transaksi!$F$16:$F$5015,Transaksi!$C$16:$C$5015,$A48,Transaksi!$D$16:$D$5015,"Pindah",Transaksi!$B$16:$B$5015,"&lt;="&amp;MIN(EOMONTH(DATE(Dashboard!$C$4,9,1),0),TODAY()))+SUMIFS(Transaksi!$F$16:$F$5015,Transaksi!$E$16:$E$5015,$A48,Transaksi!$D$16:$D$5015,"Pindah",Transaksi!$B$16:$B$5015,"&lt;="&amp;MIN(EOMONTH(DATE(Dashboard!$C$4,9,1),0),TODAY())))</f>
        <v/>
      </c>
      <c r="L48" s="106">
        <f>IF(OR($A48="",DATE(Dashboard!$C$4,10,1)&gt;TODAY(),ISNA(MATCH($B48,{"Pribadi","Investasi (kas RDN)","Piutang","Pinjaman Mama (dompet)"},0))),"",SUMIFS(Akun!$C$5:$C$104,Akun!$A$5:$A$104,$A48,Akun!$D$5:$D$104,"&lt;="&amp;MIN(EOMONTH(DATE(Dashboard!$C$4,10,1),0),TODAY()))+SUMIFS(Transaksi!$F$16:$F$5015,Transaksi!$C$16:$C$5015,$A48,Transaksi!$D$16:$D$5015,"Masuk",Transaksi!$B$16:$B$5015,"&lt;="&amp;MIN(EOMONTH(DATE(Dashboard!$C$4,10,1),0),TODAY()))-SUMIFS(Transaksi!$F$16:$F$5015,Transaksi!$C$16:$C$5015,$A48,Transaksi!$D$16:$D$5015,"Keluar",Transaksi!$B$16:$B$5015,"&lt;="&amp;MIN(EOMONTH(DATE(Dashboard!$C$4,10,1),0),TODAY()))-SUMIFS(Transaksi!$F$16:$F$5015,Transaksi!$C$16:$C$5015,$A48,Transaksi!$D$16:$D$5015,"Pindah",Transaksi!$B$16:$B$5015,"&lt;="&amp;MIN(EOMONTH(DATE(Dashboard!$C$4,10,1),0),TODAY()))+SUMIFS(Transaksi!$F$16:$F$5015,Transaksi!$E$16:$E$5015,$A48,Transaksi!$D$16:$D$5015,"Pindah",Transaksi!$B$16:$B$5015,"&lt;="&amp;MIN(EOMONTH(DATE(Dashboard!$C$4,10,1),0),TODAY())))</f>
        <v/>
      </c>
      <c r="M48" s="106">
        <f>IF(OR($A48="",DATE(Dashboard!$C$4,11,1)&gt;TODAY(),ISNA(MATCH($B48,{"Pribadi","Investasi (kas RDN)","Piutang","Pinjaman Mama (dompet)"},0))),"",SUMIFS(Akun!$C$5:$C$104,Akun!$A$5:$A$104,$A48,Akun!$D$5:$D$104,"&lt;="&amp;MIN(EOMONTH(DATE(Dashboard!$C$4,11,1),0),TODAY()))+SUMIFS(Transaksi!$F$16:$F$5015,Transaksi!$C$16:$C$5015,$A48,Transaksi!$D$16:$D$5015,"Masuk",Transaksi!$B$16:$B$5015,"&lt;="&amp;MIN(EOMONTH(DATE(Dashboard!$C$4,11,1),0),TODAY()))-SUMIFS(Transaksi!$F$16:$F$5015,Transaksi!$C$16:$C$5015,$A48,Transaksi!$D$16:$D$5015,"Keluar",Transaksi!$B$16:$B$5015,"&lt;="&amp;MIN(EOMONTH(DATE(Dashboard!$C$4,11,1),0),TODAY()))-SUMIFS(Transaksi!$F$16:$F$5015,Transaksi!$C$16:$C$5015,$A48,Transaksi!$D$16:$D$5015,"Pindah",Transaksi!$B$16:$B$5015,"&lt;="&amp;MIN(EOMONTH(DATE(Dashboard!$C$4,11,1),0),TODAY()))+SUMIFS(Transaksi!$F$16:$F$5015,Transaksi!$E$16:$E$5015,$A48,Transaksi!$D$16:$D$5015,"Pindah",Transaksi!$B$16:$B$5015,"&lt;="&amp;MIN(EOMONTH(DATE(Dashboard!$C$4,11,1),0),TODAY())))</f>
        <v/>
      </c>
      <c r="N48" s="106">
        <f>IF(OR($A48="",DATE(Dashboard!$C$4,12,1)&gt;TODAY(),ISNA(MATCH($B48,{"Pribadi","Investasi (kas RDN)","Piutang","Pinjaman Mama (dompet)"},0))),"",SUMIFS(Akun!$C$5:$C$104,Akun!$A$5:$A$104,$A48,Akun!$D$5:$D$104,"&lt;="&amp;MIN(EOMONTH(DATE(Dashboard!$C$4,12,1),0),TODAY()))+SUMIFS(Transaksi!$F$16:$F$5015,Transaksi!$C$16:$C$5015,$A48,Transaksi!$D$16:$D$5015,"Masuk",Transaksi!$B$16:$B$5015,"&lt;="&amp;MIN(EOMONTH(DATE(Dashboard!$C$4,12,1),0),TODAY()))-SUMIFS(Transaksi!$F$16:$F$5015,Transaksi!$C$16:$C$5015,$A48,Transaksi!$D$16:$D$5015,"Keluar",Transaksi!$B$16:$B$5015,"&lt;="&amp;MIN(EOMONTH(DATE(Dashboard!$C$4,12,1),0),TODAY()))-SUMIFS(Transaksi!$F$16:$F$5015,Transaksi!$C$16:$C$5015,$A48,Transaksi!$D$16:$D$5015,"Pindah",Transaksi!$B$16:$B$5015,"&lt;="&amp;MIN(EOMONTH(DATE(Dashboard!$C$4,12,1),0),TODAY()))+SUMIFS(Transaksi!$F$16:$F$5015,Transaksi!$E$16:$E$5015,$A48,Transaksi!$D$16:$D$5015,"Pindah",Transaksi!$B$16:$B$5015,"&lt;="&amp;MIN(EOMONTH(DATE(Dashboard!$C$4,12,1),0),TODAY())))</f>
        <v/>
      </c>
    </row>
    <row r="49" ht="15" customHeight="1" s="94">
      <c r="A49" s="93">
        <f>IF(Akun!$A$13="","",Akun!$A$13)</f>
        <v/>
      </c>
      <c r="B49" s="93">
        <f>IF(Akun!$A$13="","",Akun!$B$13)</f>
        <v/>
      </c>
      <c r="C49" s="106">
        <f>IF(OR($A49="",DATE(Dashboard!$C$4,1,1)&gt;TODAY(),ISNA(MATCH($B49,{"Pribadi","Investasi (kas RDN)","Piutang","Pinjaman Mama (dompet)"},0))),"",SUMIFS(Akun!$C$5:$C$104,Akun!$A$5:$A$104,$A49,Akun!$D$5:$D$104,"&lt;="&amp;MIN(EOMONTH(DATE(Dashboard!$C$4,1,1),0),TODAY()))+SUMIFS(Transaksi!$F$16:$F$5015,Transaksi!$C$16:$C$5015,$A49,Transaksi!$D$16:$D$5015,"Masuk",Transaksi!$B$16:$B$5015,"&lt;="&amp;MIN(EOMONTH(DATE(Dashboard!$C$4,1,1),0),TODAY()))-SUMIFS(Transaksi!$F$16:$F$5015,Transaksi!$C$16:$C$5015,$A49,Transaksi!$D$16:$D$5015,"Keluar",Transaksi!$B$16:$B$5015,"&lt;="&amp;MIN(EOMONTH(DATE(Dashboard!$C$4,1,1),0),TODAY()))-SUMIFS(Transaksi!$F$16:$F$5015,Transaksi!$C$16:$C$5015,$A49,Transaksi!$D$16:$D$5015,"Pindah",Transaksi!$B$16:$B$5015,"&lt;="&amp;MIN(EOMONTH(DATE(Dashboard!$C$4,1,1),0),TODAY()))+SUMIFS(Transaksi!$F$16:$F$5015,Transaksi!$E$16:$E$5015,$A49,Transaksi!$D$16:$D$5015,"Pindah",Transaksi!$B$16:$B$5015,"&lt;="&amp;MIN(EOMONTH(DATE(Dashboard!$C$4,1,1),0),TODAY())))</f>
        <v/>
      </c>
      <c r="D49" s="106">
        <f>IF(OR($A49="",DATE(Dashboard!$C$4,2,1)&gt;TODAY(),ISNA(MATCH($B49,{"Pribadi","Investasi (kas RDN)","Piutang","Pinjaman Mama (dompet)"},0))),"",SUMIFS(Akun!$C$5:$C$104,Akun!$A$5:$A$104,$A49,Akun!$D$5:$D$104,"&lt;="&amp;MIN(EOMONTH(DATE(Dashboard!$C$4,2,1),0),TODAY()))+SUMIFS(Transaksi!$F$16:$F$5015,Transaksi!$C$16:$C$5015,$A49,Transaksi!$D$16:$D$5015,"Masuk",Transaksi!$B$16:$B$5015,"&lt;="&amp;MIN(EOMONTH(DATE(Dashboard!$C$4,2,1),0),TODAY()))-SUMIFS(Transaksi!$F$16:$F$5015,Transaksi!$C$16:$C$5015,$A49,Transaksi!$D$16:$D$5015,"Keluar",Transaksi!$B$16:$B$5015,"&lt;="&amp;MIN(EOMONTH(DATE(Dashboard!$C$4,2,1),0),TODAY()))-SUMIFS(Transaksi!$F$16:$F$5015,Transaksi!$C$16:$C$5015,$A49,Transaksi!$D$16:$D$5015,"Pindah",Transaksi!$B$16:$B$5015,"&lt;="&amp;MIN(EOMONTH(DATE(Dashboard!$C$4,2,1),0),TODAY()))+SUMIFS(Transaksi!$F$16:$F$5015,Transaksi!$E$16:$E$5015,$A49,Transaksi!$D$16:$D$5015,"Pindah",Transaksi!$B$16:$B$5015,"&lt;="&amp;MIN(EOMONTH(DATE(Dashboard!$C$4,2,1),0),TODAY())))</f>
        <v/>
      </c>
      <c r="E49" s="106">
        <f>IF(OR($A49="",DATE(Dashboard!$C$4,3,1)&gt;TODAY(),ISNA(MATCH($B49,{"Pribadi","Investasi (kas RDN)","Piutang","Pinjaman Mama (dompet)"},0))),"",SUMIFS(Akun!$C$5:$C$104,Akun!$A$5:$A$104,$A49,Akun!$D$5:$D$104,"&lt;="&amp;MIN(EOMONTH(DATE(Dashboard!$C$4,3,1),0),TODAY()))+SUMIFS(Transaksi!$F$16:$F$5015,Transaksi!$C$16:$C$5015,$A49,Transaksi!$D$16:$D$5015,"Masuk",Transaksi!$B$16:$B$5015,"&lt;="&amp;MIN(EOMONTH(DATE(Dashboard!$C$4,3,1),0),TODAY()))-SUMIFS(Transaksi!$F$16:$F$5015,Transaksi!$C$16:$C$5015,$A49,Transaksi!$D$16:$D$5015,"Keluar",Transaksi!$B$16:$B$5015,"&lt;="&amp;MIN(EOMONTH(DATE(Dashboard!$C$4,3,1),0),TODAY()))-SUMIFS(Transaksi!$F$16:$F$5015,Transaksi!$C$16:$C$5015,$A49,Transaksi!$D$16:$D$5015,"Pindah",Transaksi!$B$16:$B$5015,"&lt;="&amp;MIN(EOMONTH(DATE(Dashboard!$C$4,3,1),0),TODAY()))+SUMIFS(Transaksi!$F$16:$F$5015,Transaksi!$E$16:$E$5015,$A49,Transaksi!$D$16:$D$5015,"Pindah",Transaksi!$B$16:$B$5015,"&lt;="&amp;MIN(EOMONTH(DATE(Dashboard!$C$4,3,1),0),TODAY())))</f>
        <v/>
      </c>
      <c r="F49" s="106">
        <f>IF(OR($A49="",DATE(Dashboard!$C$4,4,1)&gt;TODAY(),ISNA(MATCH($B49,{"Pribadi","Investasi (kas RDN)","Piutang","Pinjaman Mama (dompet)"},0))),"",SUMIFS(Akun!$C$5:$C$104,Akun!$A$5:$A$104,$A49,Akun!$D$5:$D$104,"&lt;="&amp;MIN(EOMONTH(DATE(Dashboard!$C$4,4,1),0),TODAY()))+SUMIFS(Transaksi!$F$16:$F$5015,Transaksi!$C$16:$C$5015,$A49,Transaksi!$D$16:$D$5015,"Masuk",Transaksi!$B$16:$B$5015,"&lt;="&amp;MIN(EOMONTH(DATE(Dashboard!$C$4,4,1),0),TODAY()))-SUMIFS(Transaksi!$F$16:$F$5015,Transaksi!$C$16:$C$5015,$A49,Transaksi!$D$16:$D$5015,"Keluar",Transaksi!$B$16:$B$5015,"&lt;="&amp;MIN(EOMONTH(DATE(Dashboard!$C$4,4,1),0),TODAY()))-SUMIFS(Transaksi!$F$16:$F$5015,Transaksi!$C$16:$C$5015,$A49,Transaksi!$D$16:$D$5015,"Pindah",Transaksi!$B$16:$B$5015,"&lt;="&amp;MIN(EOMONTH(DATE(Dashboard!$C$4,4,1),0),TODAY()))+SUMIFS(Transaksi!$F$16:$F$5015,Transaksi!$E$16:$E$5015,$A49,Transaksi!$D$16:$D$5015,"Pindah",Transaksi!$B$16:$B$5015,"&lt;="&amp;MIN(EOMONTH(DATE(Dashboard!$C$4,4,1),0),TODAY())))</f>
        <v/>
      </c>
      <c r="G49" s="106">
        <f>IF(OR($A49="",DATE(Dashboard!$C$4,5,1)&gt;TODAY(),ISNA(MATCH($B49,{"Pribadi","Investasi (kas RDN)","Piutang","Pinjaman Mama (dompet)"},0))),"",SUMIFS(Akun!$C$5:$C$104,Akun!$A$5:$A$104,$A49,Akun!$D$5:$D$104,"&lt;="&amp;MIN(EOMONTH(DATE(Dashboard!$C$4,5,1),0),TODAY()))+SUMIFS(Transaksi!$F$16:$F$5015,Transaksi!$C$16:$C$5015,$A49,Transaksi!$D$16:$D$5015,"Masuk",Transaksi!$B$16:$B$5015,"&lt;="&amp;MIN(EOMONTH(DATE(Dashboard!$C$4,5,1),0),TODAY()))-SUMIFS(Transaksi!$F$16:$F$5015,Transaksi!$C$16:$C$5015,$A49,Transaksi!$D$16:$D$5015,"Keluar",Transaksi!$B$16:$B$5015,"&lt;="&amp;MIN(EOMONTH(DATE(Dashboard!$C$4,5,1),0),TODAY()))-SUMIFS(Transaksi!$F$16:$F$5015,Transaksi!$C$16:$C$5015,$A49,Transaksi!$D$16:$D$5015,"Pindah",Transaksi!$B$16:$B$5015,"&lt;="&amp;MIN(EOMONTH(DATE(Dashboard!$C$4,5,1),0),TODAY()))+SUMIFS(Transaksi!$F$16:$F$5015,Transaksi!$E$16:$E$5015,$A49,Transaksi!$D$16:$D$5015,"Pindah",Transaksi!$B$16:$B$5015,"&lt;="&amp;MIN(EOMONTH(DATE(Dashboard!$C$4,5,1),0),TODAY())))</f>
        <v/>
      </c>
      <c r="H49" s="106">
        <f>IF(OR($A49="",DATE(Dashboard!$C$4,6,1)&gt;TODAY(),ISNA(MATCH($B49,{"Pribadi","Investasi (kas RDN)","Piutang","Pinjaman Mama (dompet)"},0))),"",SUMIFS(Akun!$C$5:$C$104,Akun!$A$5:$A$104,$A49,Akun!$D$5:$D$104,"&lt;="&amp;MIN(EOMONTH(DATE(Dashboard!$C$4,6,1),0),TODAY()))+SUMIFS(Transaksi!$F$16:$F$5015,Transaksi!$C$16:$C$5015,$A49,Transaksi!$D$16:$D$5015,"Masuk",Transaksi!$B$16:$B$5015,"&lt;="&amp;MIN(EOMONTH(DATE(Dashboard!$C$4,6,1),0),TODAY()))-SUMIFS(Transaksi!$F$16:$F$5015,Transaksi!$C$16:$C$5015,$A49,Transaksi!$D$16:$D$5015,"Keluar",Transaksi!$B$16:$B$5015,"&lt;="&amp;MIN(EOMONTH(DATE(Dashboard!$C$4,6,1),0),TODAY()))-SUMIFS(Transaksi!$F$16:$F$5015,Transaksi!$C$16:$C$5015,$A49,Transaksi!$D$16:$D$5015,"Pindah",Transaksi!$B$16:$B$5015,"&lt;="&amp;MIN(EOMONTH(DATE(Dashboard!$C$4,6,1),0),TODAY()))+SUMIFS(Transaksi!$F$16:$F$5015,Transaksi!$E$16:$E$5015,$A49,Transaksi!$D$16:$D$5015,"Pindah",Transaksi!$B$16:$B$5015,"&lt;="&amp;MIN(EOMONTH(DATE(Dashboard!$C$4,6,1),0),TODAY())))</f>
        <v/>
      </c>
      <c r="I49" s="106">
        <f>IF(OR($A49="",DATE(Dashboard!$C$4,7,1)&gt;TODAY(),ISNA(MATCH($B49,{"Pribadi","Investasi (kas RDN)","Piutang","Pinjaman Mama (dompet)"},0))),"",SUMIFS(Akun!$C$5:$C$104,Akun!$A$5:$A$104,$A49,Akun!$D$5:$D$104,"&lt;="&amp;MIN(EOMONTH(DATE(Dashboard!$C$4,7,1),0),TODAY()))+SUMIFS(Transaksi!$F$16:$F$5015,Transaksi!$C$16:$C$5015,$A49,Transaksi!$D$16:$D$5015,"Masuk",Transaksi!$B$16:$B$5015,"&lt;="&amp;MIN(EOMONTH(DATE(Dashboard!$C$4,7,1),0),TODAY()))-SUMIFS(Transaksi!$F$16:$F$5015,Transaksi!$C$16:$C$5015,$A49,Transaksi!$D$16:$D$5015,"Keluar",Transaksi!$B$16:$B$5015,"&lt;="&amp;MIN(EOMONTH(DATE(Dashboard!$C$4,7,1),0),TODAY()))-SUMIFS(Transaksi!$F$16:$F$5015,Transaksi!$C$16:$C$5015,$A49,Transaksi!$D$16:$D$5015,"Pindah",Transaksi!$B$16:$B$5015,"&lt;="&amp;MIN(EOMONTH(DATE(Dashboard!$C$4,7,1),0),TODAY()))+SUMIFS(Transaksi!$F$16:$F$5015,Transaksi!$E$16:$E$5015,$A49,Transaksi!$D$16:$D$5015,"Pindah",Transaksi!$B$16:$B$5015,"&lt;="&amp;MIN(EOMONTH(DATE(Dashboard!$C$4,7,1),0),TODAY())))</f>
        <v/>
      </c>
      <c r="J49" s="106">
        <f>IF(OR($A49="",DATE(Dashboard!$C$4,8,1)&gt;TODAY(),ISNA(MATCH($B49,{"Pribadi","Investasi (kas RDN)","Piutang","Pinjaman Mama (dompet)"},0))),"",SUMIFS(Akun!$C$5:$C$104,Akun!$A$5:$A$104,$A49,Akun!$D$5:$D$104,"&lt;="&amp;MIN(EOMONTH(DATE(Dashboard!$C$4,8,1),0),TODAY()))+SUMIFS(Transaksi!$F$16:$F$5015,Transaksi!$C$16:$C$5015,$A49,Transaksi!$D$16:$D$5015,"Masuk",Transaksi!$B$16:$B$5015,"&lt;="&amp;MIN(EOMONTH(DATE(Dashboard!$C$4,8,1),0),TODAY()))-SUMIFS(Transaksi!$F$16:$F$5015,Transaksi!$C$16:$C$5015,$A49,Transaksi!$D$16:$D$5015,"Keluar",Transaksi!$B$16:$B$5015,"&lt;="&amp;MIN(EOMONTH(DATE(Dashboard!$C$4,8,1),0),TODAY()))-SUMIFS(Transaksi!$F$16:$F$5015,Transaksi!$C$16:$C$5015,$A49,Transaksi!$D$16:$D$5015,"Pindah",Transaksi!$B$16:$B$5015,"&lt;="&amp;MIN(EOMONTH(DATE(Dashboard!$C$4,8,1),0),TODAY()))+SUMIFS(Transaksi!$F$16:$F$5015,Transaksi!$E$16:$E$5015,$A49,Transaksi!$D$16:$D$5015,"Pindah",Transaksi!$B$16:$B$5015,"&lt;="&amp;MIN(EOMONTH(DATE(Dashboard!$C$4,8,1),0),TODAY())))</f>
        <v/>
      </c>
      <c r="K49" s="106">
        <f>IF(OR($A49="",DATE(Dashboard!$C$4,9,1)&gt;TODAY(),ISNA(MATCH($B49,{"Pribadi","Investasi (kas RDN)","Piutang","Pinjaman Mama (dompet)"},0))),"",SUMIFS(Akun!$C$5:$C$104,Akun!$A$5:$A$104,$A49,Akun!$D$5:$D$104,"&lt;="&amp;MIN(EOMONTH(DATE(Dashboard!$C$4,9,1),0),TODAY()))+SUMIFS(Transaksi!$F$16:$F$5015,Transaksi!$C$16:$C$5015,$A49,Transaksi!$D$16:$D$5015,"Masuk",Transaksi!$B$16:$B$5015,"&lt;="&amp;MIN(EOMONTH(DATE(Dashboard!$C$4,9,1),0),TODAY()))-SUMIFS(Transaksi!$F$16:$F$5015,Transaksi!$C$16:$C$5015,$A49,Transaksi!$D$16:$D$5015,"Keluar",Transaksi!$B$16:$B$5015,"&lt;="&amp;MIN(EOMONTH(DATE(Dashboard!$C$4,9,1),0),TODAY()))-SUMIFS(Transaksi!$F$16:$F$5015,Transaksi!$C$16:$C$5015,$A49,Transaksi!$D$16:$D$5015,"Pindah",Transaksi!$B$16:$B$5015,"&lt;="&amp;MIN(EOMONTH(DATE(Dashboard!$C$4,9,1),0),TODAY()))+SUMIFS(Transaksi!$F$16:$F$5015,Transaksi!$E$16:$E$5015,$A49,Transaksi!$D$16:$D$5015,"Pindah",Transaksi!$B$16:$B$5015,"&lt;="&amp;MIN(EOMONTH(DATE(Dashboard!$C$4,9,1),0),TODAY())))</f>
        <v/>
      </c>
      <c r="L49" s="106">
        <f>IF(OR($A49="",DATE(Dashboard!$C$4,10,1)&gt;TODAY(),ISNA(MATCH($B49,{"Pribadi","Investasi (kas RDN)","Piutang","Pinjaman Mama (dompet)"},0))),"",SUMIFS(Akun!$C$5:$C$104,Akun!$A$5:$A$104,$A49,Akun!$D$5:$D$104,"&lt;="&amp;MIN(EOMONTH(DATE(Dashboard!$C$4,10,1),0),TODAY()))+SUMIFS(Transaksi!$F$16:$F$5015,Transaksi!$C$16:$C$5015,$A49,Transaksi!$D$16:$D$5015,"Masuk",Transaksi!$B$16:$B$5015,"&lt;="&amp;MIN(EOMONTH(DATE(Dashboard!$C$4,10,1),0),TODAY()))-SUMIFS(Transaksi!$F$16:$F$5015,Transaksi!$C$16:$C$5015,$A49,Transaksi!$D$16:$D$5015,"Keluar",Transaksi!$B$16:$B$5015,"&lt;="&amp;MIN(EOMONTH(DATE(Dashboard!$C$4,10,1),0),TODAY()))-SUMIFS(Transaksi!$F$16:$F$5015,Transaksi!$C$16:$C$5015,$A49,Transaksi!$D$16:$D$5015,"Pindah",Transaksi!$B$16:$B$5015,"&lt;="&amp;MIN(EOMONTH(DATE(Dashboard!$C$4,10,1),0),TODAY()))+SUMIFS(Transaksi!$F$16:$F$5015,Transaksi!$E$16:$E$5015,$A49,Transaksi!$D$16:$D$5015,"Pindah",Transaksi!$B$16:$B$5015,"&lt;="&amp;MIN(EOMONTH(DATE(Dashboard!$C$4,10,1),0),TODAY())))</f>
        <v/>
      </c>
      <c r="M49" s="106">
        <f>IF(OR($A49="",DATE(Dashboard!$C$4,11,1)&gt;TODAY(),ISNA(MATCH($B49,{"Pribadi","Investasi (kas RDN)","Piutang","Pinjaman Mama (dompet)"},0))),"",SUMIFS(Akun!$C$5:$C$104,Akun!$A$5:$A$104,$A49,Akun!$D$5:$D$104,"&lt;="&amp;MIN(EOMONTH(DATE(Dashboard!$C$4,11,1),0),TODAY()))+SUMIFS(Transaksi!$F$16:$F$5015,Transaksi!$C$16:$C$5015,$A49,Transaksi!$D$16:$D$5015,"Masuk",Transaksi!$B$16:$B$5015,"&lt;="&amp;MIN(EOMONTH(DATE(Dashboard!$C$4,11,1),0),TODAY()))-SUMIFS(Transaksi!$F$16:$F$5015,Transaksi!$C$16:$C$5015,$A49,Transaksi!$D$16:$D$5015,"Keluar",Transaksi!$B$16:$B$5015,"&lt;="&amp;MIN(EOMONTH(DATE(Dashboard!$C$4,11,1),0),TODAY()))-SUMIFS(Transaksi!$F$16:$F$5015,Transaksi!$C$16:$C$5015,$A49,Transaksi!$D$16:$D$5015,"Pindah",Transaksi!$B$16:$B$5015,"&lt;="&amp;MIN(EOMONTH(DATE(Dashboard!$C$4,11,1),0),TODAY()))+SUMIFS(Transaksi!$F$16:$F$5015,Transaksi!$E$16:$E$5015,$A49,Transaksi!$D$16:$D$5015,"Pindah",Transaksi!$B$16:$B$5015,"&lt;="&amp;MIN(EOMONTH(DATE(Dashboard!$C$4,11,1),0),TODAY())))</f>
        <v/>
      </c>
      <c r="N49" s="106">
        <f>IF(OR($A49="",DATE(Dashboard!$C$4,12,1)&gt;TODAY(),ISNA(MATCH($B49,{"Pribadi","Investasi (kas RDN)","Piutang","Pinjaman Mama (dompet)"},0))),"",SUMIFS(Akun!$C$5:$C$104,Akun!$A$5:$A$104,$A49,Akun!$D$5:$D$104,"&lt;="&amp;MIN(EOMONTH(DATE(Dashboard!$C$4,12,1),0),TODAY()))+SUMIFS(Transaksi!$F$16:$F$5015,Transaksi!$C$16:$C$5015,$A49,Transaksi!$D$16:$D$5015,"Masuk",Transaksi!$B$16:$B$5015,"&lt;="&amp;MIN(EOMONTH(DATE(Dashboard!$C$4,12,1),0),TODAY()))-SUMIFS(Transaksi!$F$16:$F$5015,Transaksi!$C$16:$C$5015,$A49,Transaksi!$D$16:$D$5015,"Keluar",Transaksi!$B$16:$B$5015,"&lt;="&amp;MIN(EOMONTH(DATE(Dashboard!$C$4,12,1),0),TODAY()))-SUMIFS(Transaksi!$F$16:$F$5015,Transaksi!$C$16:$C$5015,$A49,Transaksi!$D$16:$D$5015,"Pindah",Transaksi!$B$16:$B$5015,"&lt;="&amp;MIN(EOMONTH(DATE(Dashboard!$C$4,12,1),0),TODAY()))+SUMIFS(Transaksi!$F$16:$F$5015,Transaksi!$E$16:$E$5015,$A49,Transaksi!$D$16:$D$5015,"Pindah",Transaksi!$B$16:$B$5015,"&lt;="&amp;MIN(EOMONTH(DATE(Dashboard!$C$4,12,1),0),TODAY())))</f>
        <v/>
      </c>
    </row>
    <row r="50" ht="15" customHeight="1" s="94">
      <c r="A50" s="93">
        <f>IF(Akun!$A$14="","",Akun!$A$14)</f>
        <v/>
      </c>
      <c r="B50" s="93">
        <f>IF(Akun!$A$14="","",Akun!$B$14)</f>
        <v/>
      </c>
      <c r="C50" s="106">
        <f>IF(OR($A50="",DATE(Dashboard!$C$4,1,1)&gt;TODAY(),ISNA(MATCH($B50,{"Pribadi","Investasi (kas RDN)","Piutang","Pinjaman Mama (dompet)"},0))),"",SUMIFS(Akun!$C$5:$C$104,Akun!$A$5:$A$104,$A50,Akun!$D$5:$D$104,"&lt;="&amp;MIN(EOMONTH(DATE(Dashboard!$C$4,1,1),0),TODAY()))+SUMIFS(Transaksi!$F$16:$F$5015,Transaksi!$C$16:$C$5015,$A50,Transaksi!$D$16:$D$5015,"Masuk",Transaksi!$B$16:$B$5015,"&lt;="&amp;MIN(EOMONTH(DATE(Dashboard!$C$4,1,1),0),TODAY()))-SUMIFS(Transaksi!$F$16:$F$5015,Transaksi!$C$16:$C$5015,$A50,Transaksi!$D$16:$D$5015,"Keluar",Transaksi!$B$16:$B$5015,"&lt;="&amp;MIN(EOMONTH(DATE(Dashboard!$C$4,1,1),0),TODAY()))-SUMIFS(Transaksi!$F$16:$F$5015,Transaksi!$C$16:$C$5015,$A50,Transaksi!$D$16:$D$5015,"Pindah",Transaksi!$B$16:$B$5015,"&lt;="&amp;MIN(EOMONTH(DATE(Dashboard!$C$4,1,1),0),TODAY()))+SUMIFS(Transaksi!$F$16:$F$5015,Transaksi!$E$16:$E$5015,$A50,Transaksi!$D$16:$D$5015,"Pindah",Transaksi!$B$16:$B$5015,"&lt;="&amp;MIN(EOMONTH(DATE(Dashboard!$C$4,1,1),0),TODAY())))</f>
        <v/>
      </c>
      <c r="D50" s="106">
        <f>IF(OR($A50="",DATE(Dashboard!$C$4,2,1)&gt;TODAY(),ISNA(MATCH($B50,{"Pribadi","Investasi (kas RDN)","Piutang","Pinjaman Mama (dompet)"},0))),"",SUMIFS(Akun!$C$5:$C$104,Akun!$A$5:$A$104,$A50,Akun!$D$5:$D$104,"&lt;="&amp;MIN(EOMONTH(DATE(Dashboard!$C$4,2,1),0),TODAY()))+SUMIFS(Transaksi!$F$16:$F$5015,Transaksi!$C$16:$C$5015,$A50,Transaksi!$D$16:$D$5015,"Masuk",Transaksi!$B$16:$B$5015,"&lt;="&amp;MIN(EOMONTH(DATE(Dashboard!$C$4,2,1),0),TODAY()))-SUMIFS(Transaksi!$F$16:$F$5015,Transaksi!$C$16:$C$5015,$A50,Transaksi!$D$16:$D$5015,"Keluar",Transaksi!$B$16:$B$5015,"&lt;="&amp;MIN(EOMONTH(DATE(Dashboard!$C$4,2,1),0),TODAY()))-SUMIFS(Transaksi!$F$16:$F$5015,Transaksi!$C$16:$C$5015,$A50,Transaksi!$D$16:$D$5015,"Pindah",Transaksi!$B$16:$B$5015,"&lt;="&amp;MIN(EOMONTH(DATE(Dashboard!$C$4,2,1),0),TODAY()))+SUMIFS(Transaksi!$F$16:$F$5015,Transaksi!$E$16:$E$5015,$A50,Transaksi!$D$16:$D$5015,"Pindah",Transaksi!$B$16:$B$5015,"&lt;="&amp;MIN(EOMONTH(DATE(Dashboard!$C$4,2,1),0),TODAY())))</f>
        <v/>
      </c>
      <c r="E50" s="106">
        <f>IF(OR($A50="",DATE(Dashboard!$C$4,3,1)&gt;TODAY(),ISNA(MATCH($B50,{"Pribadi","Investasi (kas RDN)","Piutang","Pinjaman Mama (dompet)"},0))),"",SUMIFS(Akun!$C$5:$C$104,Akun!$A$5:$A$104,$A50,Akun!$D$5:$D$104,"&lt;="&amp;MIN(EOMONTH(DATE(Dashboard!$C$4,3,1),0),TODAY()))+SUMIFS(Transaksi!$F$16:$F$5015,Transaksi!$C$16:$C$5015,$A50,Transaksi!$D$16:$D$5015,"Masuk",Transaksi!$B$16:$B$5015,"&lt;="&amp;MIN(EOMONTH(DATE(Dashboard!$C$4,3,1),0),TODAY()))-SUMIFS(Transaksi!$F$16:$F$5015,Transaksi!$C$16:$C$5015,$A50,Transaksi!$D$16:$D$5015,"Keluar",Transaksi!$B$16:$B$5015,"&lt;="&amp;MIN(EOMONTH(DATE(Dashboard!$C$4,3,1),0),TODAY()))-SUMIFS(Transaksi!$F$16:$F$5015,Transaksi!$C$16:$C$5015,$A50,Transaksi!$D$16:$D$5015,"Pindah",Transaksi!$B$16:$B$5015,"&lt;="&amp;MIN(EOMONTH(DATE(Dashboard!$C$4,3,1),0),TODAY()))+SUMIFS(Transaksi!$F$16:$F$5015,Transaksi!$E$16:$E$5015,$A50,Transaksi!$D$16:$D$5015,"Pindah",Transaksi!$B$16:$B$5015,"&lt;="&amp;MIN(EOMONTH(DATE(Dashboard!$C$4,3,1),0),TODAY())))</f>
        <v/>
      </c>
      <c r="F50" s="106">
        <f>IF(OR($A50="",DATE(Dashboard!$C$4,4,1)&gt;TODAY(),ISNA(MATCH($B50,{"Pribadi","Investasi (kas RDN)","Piutang","Pinjaman Mama (dompet)"},0))),"",SUMIFS(Akun!$C$5:$C$104,Akun!$A$5:$A$104,$A50,Akun!$D$5:$D$104,"&lt;="&amp;MIN(EOMONTH(DATE(Dashboard!$C$4,4,1),0),TODAY()))+SUMIFS(Transaksi!$F$16:$F$5015,Transaksi!$C$16:$C$5015,$A50,Transaksi!$D$16:$D$5015,"Masuk",Transaksi!$B$16:$B$5015,"&lt;="&amp;MIN(EOMONTH(DATE(Dashboard!$C$4,4,1),0),TODAY()))-SUMIFS(Transaksi!$F$16:$F$5015,Transaksi!$C$16:$C$5015,$A50,Transaksi!$D$16:$D$5015,"Keluar",Transaksi!$B$16:$B$5015,"&lt;="&amp;MIN(EOMONTH(DATE(Dashboard!$C$4,4,1),0),TODAY()))-SUMIFS(Transaksi!$F$16:$F$5015,Transaksi!$C$16:$C$5015,$A50,Transaksi!$D$16:$D$5015,"Pindah",Transaksi!$B$16:$B$5015,"&lt;="&amp;MIN(EOMONTH(DATE(Dashboard!$C$4,4,1),0),TODAY()))+SUMIFS(Transaksi!$F$16:$F$5015,Transaksi!$E$16:$E$5015,$A50,Transaksi!$D$16:$D$5015,"Pindah",Transaksi!$B$16:$B$5015,"&lt;="&amp;MIN(EOMONTH(DATE(Dashboard!$C$4,4,1),0),TODAY())))</f>
        <v/>
      </c>
      <c r="G50" s="106">
        <f>IF(OR($A50="",DATE(Dashboard!$C$4,5,1)&gt;TODAY(),ISNA(MATCH($B50,{"Pribadi","Investasi (kas RDN)","Piutang","Pinjaman Mama (dompet)"},0))),"",SUMIFS(Akun!$C$5:$C$104,Akun!$A$5:$A$104,$A50,Akun!$D$5:$D$104,"&lt;="&amp;MIN(EOMONTH(DATE(Dashboard!$C$4,5,1),0),TODAY()))+SUMIFS(Transaksi!$F$16:$F$5015,Transaksi!$C$16:$C$5015,$A50,Transaksi!$D$16:$D$5015,"Masuk",Transaksi!$B$16:$B$5015,"&lt;="&amp;MIN(EOMONTH(DATE(Dashboard!$C$4,5,1),0),TODAY()))-SUMIFS(Transaksi!$F$16:$F$5015,Transaksi!$C$16:$C$5015,$A50,Transaksi!$D$16:$D$5015,"Keluar",Transaksi!$B$16:$B$5015,"&lt;="&amp;MIN(EOMONTH(DATE(Dashboard!$C$4,5,1),0),TODAY()))-SUMIFS(Transaksi!$F$16:$F$5015,Transaksi!$C$16:$C$5015,$A50,Transaksi!$D$16:$D$5015,"Pindah",Transaksi!$B$16:$B$5015,"&lt;="&amp;MIN(EOMONTH(DATE(Dashboard!$C$4,5,1),0),TODAY()))+SUMIFS(Transaksi!$F$16:$F$5015,Transaksi!$E$16:$E$5015,$A50,Transaksi!$D$16:$D$5015,"Pindah",Transaksi!$B$16:$B$5015,"&lt;="&amp;MIN(EOMONTH(DATE(Dashboard!$C$4,5,1),0),TODAY())))</f>
        <v/>
      </c>
      <c r="H50" s="106">
        <f>IF(OR($A50="",DATE(Dashboard!$C$4,6,1)&gt;TODAY(),ISNA(MATCH($B50,{"Pribadi","Investasi (kas RDN)","Piutang","Pinjaman Mama (dompet)"},0))),"",SUMIFS(Akun!$C$5:$C$104,Akun!$A$5:$A$104,$A50,Akun!$D$5:$D$104,"&lt;="&amp;MIN(EOMONTH(DATE(Dashboard!$C$4,6,1),0),TODAY()))+SUMIFS(Transaksi!$F$16:$F$5015,Transaksi!$C$16:$C$5015,$A50,Transaksi!$D$16:$D$5015,"Masuk",Transaksi!$B$16:$B$5015,"&lt;="&amp;MIN(EOMONTH(DATE(Dashboard!$C$4,6,1),0),TODAY()))-SUMIFS(Transaksi!$F$16:$F$5015,Transaksi!$C$16:$C$5015,$A50,Transaksi!$D$16:$D$5015,"Keluar",Transaksi!$B$16:$B$5015,"&lt;="&amp;MIN(EOMONTH(DATE(Dashboard!$C$4,6,1),0),TODAY()))-SUMIFS(Transaksi!$F$16:$F$5015,Transaksi!$C$16:$C$5015,$A50,Transaksi!$D$16:$D$5015,"Pindah",Transaksi!$B$16:$B$5015,"&lt;="&amp;MIN(EOMONTH(DATE(Dashboard!$C$4,6,1),0),TODAY()))+SUMIFS(Transaksi!$F$16:$F$5015,Transaksi!$E$16:$E$5015,$A50,Transaksi!$D$16:$D$5015,"Pindah",Transaksi!$B$16:$B$5015,"&lt;="&amp;MIN(EOMONTH(DATE(Dashboard!$C$4,6,1),0),TODAY())))</f>
        <v/>
      </c>
      <c r="I50" s="106">
        <f>IF(OR($A50="",DATE(Dashboard!$C$4,7,1)&gt;TODAY(),ISNA(MATCH($B50,{"Pribadi","Investasi (kas RDN)","Piutang","Pinjaman Mama (dompet)"},0))),"",SUMIFS(Akun!$C$5:$C$104,Akun!$A$5:$A$104,$A50,Akun!$D$5:$D$104,"&lt;="&amp;MIN(EOMONTH(DATE(Dashboard!$C$4,7,1),0),TODAY()))+SUMIFS(Transaksi!$F$16:$F$5015,Transaksi!$C$16:$C$5015,$A50,Transaksi!$D$16:$D$5015,"Masuk",Transaksi!$B$16:$B$5015,"&lt;="&amp;MIN(EOMONTH(DATE(Dashboard!$C$4,7,1),0),TODAY()))-SUMIFS(Transaksi!$F$16:$F$5015,Transaksi!$C$16:$C$5015,$A50,Transaksi!$D$16:$D$5015,"Keluar",Transaksi!$B$16:$B$5015,"&lt;="&amp;MIN(EOMONTH(DATE(Dashboard!$C$4,7,1),0),TODAY()))-SUMIFS(Transaksi!$F$16:$F$5015,Transaksi!$C$16:$C$5015,$A50,Transaksi!$D$16:$D$5015,"Pindah",Transaksi!$B$16:$B$5015,"&lt;="&amp;MIN(EOMONTH(DATE(Dashboard!$C$4,7,1),0),TODAY()))+SUMIFS(Transaksi!$F$16:$F$5015,Transaksi!$E$16:$E$5015,$A50,Transaksi!$D$16:$D$5015,"Pindah",Transaksi!$B$16:$B$5015,"&lt;="&amp;MIN(EOMONTH(DATE(Dashboard!$C$4,7,1),0),TODAY())))</f>
        <v/>
      </c>
      <c r="J50" s="106">
        <f>IF(OR($A50="",DATE(Dashboard!$C$4,8,1)&gt;TODAY(),ISNA(MATCH($B50,{"Pribadi","Investasi (kas RDN)","Piutang","Pinjaman Mama (dompet)"},0))),"",SUMIFS(Akun!$C$5:$C$104,Akun!$A$5:$A$104,$A50,Akun!$D$5:$D$104,"&lt;="&amp;MIN(EOMONTH(DATE(Dashboard!$C$4,8,1),0),TODAY()))+SUMIFS(Transaksi!$F$16:$F$5015,Transaksi!$C$16:$C$5015,$A50,Transaksi!$D$16:$D$5015,"Masuk",Transaksi!$B$16:$B$5015,"&lt;="&amp;MIN(EOMONTH(DATE(Dashboard!$C$4,8,1),0),TODAY()))-SUMIFS(Transaksi!$F$16:$F$5015,Transaksi!$C$16:$C$5015,$A50,Transaksi!$D$16:$D$5015,"Keluar",Transaksi!$B$16:$B$5015,"&lt;="&amp;MIN(EOMONTH(DATE(Dashboard!$C$4,8,1),0),TODAY()))-SUMIFS(Transaksi!$F$16:$F$5015,Transaksi!$C$16:$C$5015,$A50,Transaksi!$D$16:$D$5015,"Pindah",Transaksi!$B$16:$B$5015,"&lt;="&amp;MIN(EOMONTH(DATE(Dashboard!$C$4,8,1),0),TODAY()))+SUMIFS(Transaksi!$F$16:$F$5015,Transaksi!$E$16:$E$5015,$A50,Transaksi!$D$16:$D$5015,"Pindah",Transaksi!$B$16:$B$5015,"&lt;="&amp;MIN(EOMONTH(DATE(Dashboard!$C$4,8,1),0),TODAY())))</f>
        <v/>
      </c>
      <c r="K50" s="106">
        <f>IF(OR($A50="",DATE(Dashboard!$C$4,9,1)&gt;TODAY(),ISNA(MATCH($B50,{"Pribadi","Investasi (kas RDN)","Piutang","Pinjaman Mama (dompet)"},0))),"",SUMIFS(Akun!$C$5:$C$104,Akun!$A$5:$A$104,$A50,Akun!$D$5:$D$104,"&lt;="&amp;MIN(EOMONTH(DATE(Dashboard!$C$4,9,1),0),TODAY()))+SUMIFS(Transaksi!$F$16:$F$5015,Transaksi!$C$16:$C$5015,$A50,Transaksi!$D$16:$D$5015,"Masuk",Transaksi!$B$16:$B$5015,"&lt;="&amp;MIN(EOMONTH(DATE(Dashboard!$C$4,9,1),0),TODAY()))-SUMIFS(Transaksi!$F$16:$F$5015,Transaksi!$C$16:$C$5015,$A50,Transaksi!$D$16:$D$5015,"Keluar",Transaksi!$B$16:$B$5015,"&lt;="&amp;MIN(EOMONTH(DATE(Dashboard!$C$4,9,1),0),TODAY()))-SUMIFS(Transaksi!$F$16:$F$5015,Transaksi!$C$16:$C$5015,$A50,Transaksi!$D$16:$D$5015,"Pindah",Transaksi!$B$16:$B$5015,"&lt;="&amp;MIN(EOMONTH(DATE(Dashboard!$C$4,9,1),0),TODAY()))+SUMIFS(Transaksi!$F$16:$F$5015,Transaksi!$E$16:$E$5015,$A50,Transaksi!$D$16:$D$5015,"Pindah",Transaksi!$B$16:$B$5015,"&lt;="&amp;MIN(EOMONTH(DATE(Dashboard!$C$4,9,1),0),TODAY())))</f>
        <v/>
      </c>
      <c r="L50" s="106">
        <f>IF(OR($A50="",DATE(Dashboard!$C$4,10,1)&gt;TODAY(),ISNA(MATCH($B50,{"Pribadi","Investasi (kas RDN)","Piutang","Pinjaman Mama (dompet)"},0))),"",SUMIFS(Akun!$C$5:$C$104,Akun!$A$5:$A$104,$A50,Akun!$D$5:$D$104,"&lt;="&amp;MIN(EOMONTH(DATE(Dashboard!$C$4,10,1),0),TODAY()))+SUMIFS(Transaksi!$F$16:$F$5015,Transaksi!$C$16:$C$5015,$A50,Transaksi!$D$16:$D$5015,"Masuk",Transaksi!$B$16:$B$5015,"&lt;="&amp;MIN(EOMONTH(DATE(Dashboard!$C$4,10,1),0),TODAY()))-SUMIFS(Transaksi!$F$16:$F$5015,Transaksi!$C$16:$C$5015,$A50,Transaksi!$D$16:$D$5015,"Keluar",Transaksi!$B$16:$B$5015,"&lt;="&amp;MIN(EOMONTH(DATE(Dashboard!$C$4,10,1),0),TODAY()))-SUMIFS(Transaksi!$F$16:$F$5015,Transaksi!$C$16:$C$5015,$A50,Transaksi!$D$16:$D$5015,"Pindah",Transaksi!$B$16:$B$5015,"&lt;="&amp;MIN(EOMONTH(DATE(Dashboard!$C$4,10,1),0),TODAY()))+SUMIFS(Transaksi!$F$16:$F$5015,Transaksi!$E$16:$E$5015,$A50,Transaksi!$D$16:$D$5015,"Pindah",Transaksi!$B$16:$B$5015,"&lt;="&amp;MIN(EOMONTH(DATE(Dashboard!$C$4,10,1),0),TODAY())))</f>
        <v/>
      </c>
      <c r="M50" s="106">
        <f>IF(OR($A50="",DATE(Dashboard!$C$4,11,1)&gt;TODAY(),ISNA(MATCH($B50,{"Pribadi","Investasi (kas RDN)","Piutang","Pinjaman Mama (dompet)"},0))),"",SUMIFS(Akun!$C$5:$C$104,Akun!$A$5:$A$104,$A50,Akun!$D$5:$D$104,"&lt;="&amp;MIN(EOMONTH(DATE(Dashboard!$C$4,11,1),0),TODAY()))+SUMIFS(Transaksi!$F$16:$F$5015,Transaksi!$C$16:$C$5015,$A50,Transaksi!$D$16:$D$5015,"Masuk",Transaksi!$B$16:$B$5015,"&lt;="&amp;MIN(EOMONTH(DATE(Dashboard!$C$4,11,1),0),TODAY()))-SUMIFS(Transaksi!$F$16:$F$5015,Transaksi!$C$16:$C$5015,$A50,Transaksi!$D$16:$D$5015,"Keluar",Transaksi!$B$16:$B$5015,"&lt;="&amp;MIN(EOMONTH(DATE(Dashboard!$C$4,11,1),0),TODAY()))-SUMIFS(Transaksi!$F$16:$F$5015,Transaksi!$C$16:$C$5015,$A50,Transaksi!$D$16:$D$5015,"Pindah",Transaksi!$B$16:$B$5015,"&lt;="&amp;MIN(EOMONTH(DATE(Dashboard!$C$4,11,1),0),TODAY()))+SUMIFS(Transaksi!$F$16:$F$5015,Transaksi!$E$16:$E$5015,$A50,Transaksi!$D$16:$D$5015,"Pindah",Transaksi!$B$16:$B$5015,"&lt;="&amp;MIN(EOMONTH(DATE(Dashboard!$C$4,11,1),0),TODAY())))</f>
        <v/>
      </c>
      <c r="N50" s="106">
        <f>IF(OR($A50="",DATE(Dashboard!$C$4,12,1)&gt;TODAY(),ISNA(MATCH($B50,{"Pribadi","Investasi (kas RDN)","Piutang","Pinjaman Mama (dompet)"},0))),"",SUMIFS(Akun!$C$5:$C$104,Akun!$A$5:$A$104,$A50,Akun!$D$5:$D$104,"&lt;="&amp;MIN(EOMONTH(DATE(Dashboard!$C$4,12,1),0),TODAY()))+SUMIFS(Transaksi!$F$16:$F$5015,Transaksi!$C$16:$C$5015,$A50,Transaksi!$D$16:$D$5015,"Masuk",Transaksi!$B$16:$B$5015,"&lt;="&amp;MIN(EOMONTH(DATE(Dashboard!$C$4,12,1),0),TODAY()))-SUMIFS(Transaksi!$F$16:$F$5015,Transaksi!$C$16:$C$5015,$A50,Transaksi!$D$16:$D$5015,"Keluar",Transaksi!$B$16:$B$5015,"&lt;="&amp;MIN(EOMONTH(DATE(Dashboard!$C$4,12,1),0),TODAY()))-SUMIFS(Transaksi!$F$16:$F$5015,Transaksi!$C$16:$C$5015,$A50,Transaksi!$D$16:$D$5015,"Pindah",Transaksi!$B$16:$B$5015,"&lt;="&amp;MIN(EOMONTH(DATE(Dashboard!$C$4,12,1),0),TODAY()))+SUMIFS(Transaksi!$F$16:$F$5015,Transaksi!$E$16:$E$5015,$A50,Transaksi!$D$16:$D$5015,"Pindah",Transaksi!$B$16:$B$5015,"&lt;="&amp;MIN(EOMONTH(DATE(Dashboard!$C$4,12,1),0),TODAY())))</f>
        <v/>
      </c>
    </row>
    <row r="51" ht="15" customHeight="1" s="94">
      <c r="A51" s="93">
        <f>IF(Akun!$A$15="","",Akun!$A$15)</f>
        <v/>
      </c>
      <c r="B51" s="93">
        <f>IF(Akun!$A$15="","",Akun!$B$15)</f>
        <v/>
      </c>
      <c r="C51" s="106">
        <f>IF(OR($A51="",DATE(Dashboard!$C$4,1,1)&gt;TODAY(),ISNA(MATCH($B51,{"Pribadi","Investasi (kas RDN)","Piutang","Pinjaman Mama (dompet)"},0))),"",SUMIFS(Akun!$C$5:$C$104,Akun!$A$5:$A$104,$A51,Akun!$D$5:$D$104,"&lt;="&amp;MIN(EOMONTH(DATE(Dashboard!$C$4,1,1),0),TODAY()))+SUMIFS(Transaksi!$F$16:$F$5015,Transaksi!$C$16:$C$5015,$A51,Transaksi!$D$16:$D$5015,"Masuk",Transaksi!$B$16:$B$5015,"&lt;="&amp;MIN(EOMONTH(DATE(Dashboard!$C$4,1,1),0),TODAY()))-SUMIFS(Transaksi!$F$16:$F$5015,Transaksi!$C$16:$C$5015,$A51,Transaksi!$D$16:$D$5015,"Keluar",Transaksi!$B$16:$B$5015,"&lt;="&amp;MIN(EOMONTH(DATE(Dashboard!$C$4,1,1),0),TODAY()))-SUMIFS(Transaksi!$F$16:$F$5015,Transaksi!$C$16:$C$5015,$A51,Transaksi!$D$16:$D$5015,"Pindah",Transaksi!$B$16:$B$5015,"&lt;="&amp;MIN(EOMONTH(DATE(Dashboard!$C$4,1,1),0),TODAY()))+SUMIFS(Transaksi!$F$16:$F$5015,Transaksi!$E$16:$E$5015,$A51,Transaksi!$D$16:$D$5015,"Pindah",Transaksi!$B$16:$B$5015,"&lt;="&amp;MIN(EOMONTH(DATE(Dashboard!$C$4,1,1),0),TODAY())))</f>
        <v/>
      </c>
      <c r="D51" s="106">
        <f>IF(OR($A51="",DATE(Dashboard!$C$4,2,1)&gt;TODAY(),ISNA(MATCH($B51,{"Pribadi","Investasi (kas RDN)","Piutang","Pinjaman Mama (dompet)"},0))),"",SUMIFS(Akun!$C$5:$C$104,Akun!$A$5:$A$104,$A51,Akun!$D$5:$D$104,"&lt;="&amp;MIN(EOMONTH(DATE(Dashboard!$C$4,2,1),0),TODAY()))+SUMIFS(Transaksi!$F$16:$F$5015,Transaksi!$C$16:$C$5015,$A51,Transaksi!$D$16:$D$5015,"Masuk",Transaksi!$B$16:$B$5015,"&lt;="&amp;MIN(EOMONTH(DATE(Dashboard!$C$4,2,1),0),TODAY()))-SUMIFS(Transaksi!$F$16:$F$5015,Transaksi!$C$16:$C$5015,$A51,Transaksi!$D$16:$D$5015,"Keluar",Transaksi!$B$16:$B$5015,"&lt;="&amp;MIN(EOMONTH(DATE(Dashboard!$C$4,2,1),0),TODAY()))-SUMIFS(Transaksi!$F$16:$F$5015,Transaksi!$C$16:$C$5015,$A51,Transaksi!$D$16:$D$5015,"Pindah",Transaksi!$B$16:$B$5015,"&lt;="&amp;MIN(EOMONTH(DATE(Dashboard!$C$4,2,1),0),TODAY()))+SUMIFS(Transaksi!$F$16:$F$5015,Transaksi!$E$16:$E$5015,$A51,Transaksi!$D$16:$D$5015,"Pindah",Transaksi!$B$16:$B$5015,"&lt;="&amp;MIN(EOMONTH(DATE(Dashboard!$C$4,2,1),0),TODAY())))</f>
        <v/>
      </c>
      <c r="E51" s="106">
        <f>IF(OR($A51="",DATE(Dashboard!$C$4,3,1)&gt;TODAY(),ISNA(MATCH($B51,{"Pribadi","Investasi (kas RDN)","Piutang","Pinjaman Mama (dompet)"},0))),"",SUMIFS(Akun!$C$5:$C$104,Akun!$A$5:$A$104,$A51,Akun!$D$5:$D$104,"&lt;="&amp;MIN(EOMONTH(DATE(Dashboard!$C$4,3,1),0),TODAY()))+SUMIFS(Transaksi!$F$16:$F$5015,Transaksi!$C$16:$C$5015,$A51,Transaksi!$D$16:$D$5015,"Masuk",Transaksi!$B$16:$B$5015,"&lt;="&amp;MIN(EOMONTH(DATE(Dashboard!$C$4,3,1),0),TODAY()))-SUMIFS(Transaksi!$F$16:$F$5015,Transaksi!$C$16:$C$5015,$A51,Transaksi!$D$16:$D$5015,"Keluar",Transaksi!$B$16:$B$5015,"&lt;="&amp;MIN(EOMONTH(DATE(Dashboard!$C$4,3,1),0),TODAY()))-SUMIFS(Transaksi!$F$16:$F$5015,Transaksi!$C$16:$C$5015,$A51,Transaksi!$D$16:$D$5015,"Pindah",Transaksi!$B$16:$B$5015,"&lt;="&amp;MIN(EOMONTH(DATE(Dashboard!$C$4,3,1),0),TODAY()))+SUMIFS(Transaksi!$F$16:$F$5015,Transaksi!$E$16:$E$5015,$A51,Transaksi!$D$16:$D$5015,"Pindah",Transaksi!$B$16:$B$5015,"&lt;="&amp;MIN(EOMONTH(DATE(Dashboard!$C$4,3,1),0),TODAY())))</f>
        <v/>
      </c>
      <c r="F51" s="106">
        <f>IF(OR($A51="",DATE(Dashboard!$C$4,4,1)&gt;TODAY(),ISNA(MATCH($B51,{"Pribadi","Investasi (kas RDN)","Piutang","Pinjaman Mama (dompet)"},0))),"",SUMIFS(Akun!$C$5:$C$104,Akun!$A$5:$A$104,$A51,Akun!$D$5:$D$104,"&lt;="&amp;MIN(EOMONTH(DATE(Dashboard!$C$4,4,1),0),TODAY()))+SUMIFS(Transaksi!$F$16:$F$5015,Transaksi!$C$16:$C$5015,$A51,Transaksi!$D$16:$D$5015,"Masuk",Transaksi!$B$16:$B$5015,"&lt;="&amp;MIN(EOMONTH(DATE(Dashboard!$C$4,4,1),0),TODAY()))-SUMIFS(Transaksi!$F$16:$F$5015,Transaksi!$C$16:$C$5015,$A51,Transaksi!$D$16:$D$5015,"Keluar",Transaksi!$B$16:$B$5015,"&lt;="&amp;MIN(EOMONTH(DATE(Dashboard!$C$4,4,1),0),TODAY()))-SUMIFS(Transaksi!$F$16:$F$5015,Transaksi!$C$16:$C$5015,$A51,Transaksi!$D$16:$D$5015,"Pindah",Transaksi!$B$16:$B$5015,"&lt;="&amp;MIN(EOMONTH(DATE(Dashboard!$C$4,4,1),0),TODAY()))+SUMIFS(Transaksi!$F$16:$F$5015,Transaksi!$E$16:$E$5015,$A51,Transaksi!$D$16:$D$5015,"Pindah",Transaksi!$B$16:$B$5015,"&lt;="&amp;MIN(EOMONTH(DATE(Dashboard!$C$4,4,1),0),TODAY())))</f>
        <v/>
      </c>
      <c r="G51" s="106">
        <f>IF(OR($A51="",DATE(Dashboard!$C$4,5,1)&gt;TODAY(),ISNA(MATCH($B51,{"Pribadi","Investasi (kas RDN)","Piutang","Pinjaman Mama (dompet)"},0))),"",SUMIFS(Akun!$C$5:$C$104,Akun!$A$5:$A$104,$A51,Akun!$D$5:$D$104,"&lt;="&amp;MIN(EOMONTH(DATE(Dashboard!$C$4,5,1),0),TODAY()))+SUMIFS(Transaksi!$F$16:$F$5015,Transaksi!$C$16:$C$5015,$A51,Transaksi!$D$16:$D$5015,"Masuk",Transaksi!$B$16:$B$5015,"&lt;="&amp;MIN(EOMONTH(DATE(Dashboard!$C$4,5,1),0),TODAY()))-SUMIFS(Transaksi!$F$16:$F$5015,Transaksi!$C$16:$C$5015,$A51,Transaksi!$D$16:$D$5015,"Keluar",Transaksi!$B$16:$B$5015,"&lt;="&amp;MIN(EOMONTH(DATE(Dashboard!$C$4,5,1),0),TODAY()))-SUMIFS(Transaksi!$F$16:$F$5015,Transaksi!$C$16:$C$5015,$A51,Transaksi!$D$16:$D$5015,"Pindah",Transaksi!$B$16:$B$5015,"&lt;="&amp;MIN(EOMONTH(DATE(Dashboard!$C$4,5,1),0),TODAY()))+SUMIFS(Transaksi!$F$16:$F$5015,Transaksi!$E$16:$E$5015,$A51,Transaksi!$D$16:$D$5015,"Pindah",Transaksi!$B$16:$B$5015,"&lt;="&amp;MIN(EOMONTH(DATE(Dashboard!$C$4,5,1),0),TODAY())))</f>
        <v/>
      </c>
      <c r="H51" s="106">
        <f>IF(OR($A51="",DATE(Dashboard!$C$4,6,1)&gt;TODAY(),ISNA(MATCH($B51,{"Pribadi","Investasi (kas RDN)","Piutang","Pinjaman Mama (dompet)"},0))),"",SUMIFS(Akun!$C$5:$C$104,Akun!$A$5:$A$104,$A51,Akun!$D$5:$D$104,"&lt;="&amp;MIN(EOMONTH(DATE(Dashboard!$C$4,6,1),0),TODAY()))+SUMIFS(Transaksi!$F$16:$F$5015,Transaksi!$C$16:$C$5015,$A51,Transaksi!$D$16:$D$5015,"Masuk",Transaksi!$B$16:$B$5015,"&lt;="&amp;MIN(EOMONTH(DATE(Dashboard!$C$4,6,1),0),TODAY()))-SUMIFS(Transaksi!$F$16:$F$5015,Transaksi!$C$16:$C$5015,$A51,Transaksi!$D$16:$D$5015,"Keluar",Transaksi!$B$16:$B$5015,"&lt;="&amp;MIN(EOMONTH(DATE(Dashboard!$C$4,6,1),0),TODAY()))-SUMIFS(Transaksi!$F$16:$F$5015,Transaksi!$C$16:$C$5015,$A51,Transaksi!$D$16:$D$5015,"Pindah",Transaksi!$B$16:$B$5015,"&lt;="&amp;MIN(EOMONTH(DATE(Dashboard!$C$4,6,1),0),TODAY()))+SUMIFS(Transaksi!$F$16:$F$5015,Transaksi!$E$16:$E$5015,$A51,Transaksi!$D$16:$D$5015,"Pindah",Transaksi!$B$16:$B$5015,"&lt;="&amp;MIN(EOMONTH(DATE(Dashboard!$C$4,6,1),0),TODAY())))</f>
        <v/>
      </c>
      <c r="I51" s="106">
        <f>IF(OR($A51="",DATE(Dashboard!$C$4,7,1)&gt;TODAY(),ISNA(MATCH($B51,{"Pribadi","Investasi (kas RDN)","Piutang","Pinjaman Mama (dompet)"},0))),"",SUMIFS(Akun!$C$5:$C$104,Akun!$A$5:$A$104,$A51,Akun!$D$5:$D$104,"&lt;="&amp;MIN(EOMONTH(DATE(Dashboard!$C$4,7,1),0),TODAY()))+SUMIFS(Transaksi!$F$16:$F$5015,Transaksi!$C$16:$C$5015,$A51,Transaksi!$D$16:$D$5015,"Masuk",Transaksi!$B$16:$B$5015,"&lt;="&amp;MIN(EOMONTH(DATE(Dashboard!$C$4,7,1),0),TODAY()))-SUMIFS(Transaksi!$F$16:$F$5015,Transaksi!$C$16:$C$5015,$A51,Transaksi!$D$16:$D$5015,"Keluar",Transaksi!$B$16:$B$5015,"&lt;="&amp;MIN(EOMONTH(DATE(Dashboard!$C$4,7,1),0),TODAY()))-SUMIFS(Transaksi!$F$16:$F$5015,Transaksi!$C$16:$C$5015,$A51,Transaksi!$D$16:$D$5015,"Pindah",Transaksi!$B$16:$B$5015,"&lt;="&amp;MIN(EOMONTH(DATE(Dashboard!$C$4,7,1),0),TODAY()))+SUMIFS(Transaksi!$F$16:$F$5015,Transaksi!$E$16:$E$5015,$A51,Transaksi!$D$16:$D$5015,"Pindah",Transaksi!$B$16:$B$5015,"&lt;="&amp;MIN(EOMONTH(DATE(Dashboard!$C$4,7,1),0),TODAY())))</f>
        <v/>
      </c>
      <c r="J51" s="106">
        <f>IF(OR($A51="",DATE(Dashboard!$C$4,8,1)&gt;TODAY(),ISNA(MATCH($B51,{"Pribadi","Investasi (kas RDN)","Piutang","Pinjaman Mama (dompet)"},0))),"",SUMIFS(Akun!$C$5:$C$104,Akun!$A$5:$A$104,$A51,Akun!$D$5:$D$104,"&lt;="&amp;MIN(EOMONTH(DATE(Dashboard!$C$4,8,1),0),TODAY()))+SUMIFS(Transaksi!$F$16:$F$5015,Transaksi!$C$16:$C$5015,$A51,Transaksi!$D$16:$D$5015,"Masuk",Transaksi!$B$16:$B$5015,"&lt;="&amp;MIN(EOMONTH(DATE(Dashboard!$C$4,8,1),0),TODAY()))-SUMIFS(Transaksi!$F$16:$F$5015,Transaksi!$C$16:$C$5015,$A51,Transaksi!$D$16:$D$5015,"Keluar",Transaksi!$B$16:$B$5015,"&lt;="&amp;MIN(EOMONTH(DATE(Dashboard!$C$4,8,1),0),TODAY()))-SUMIFS(Transaksi!$F$16:$F$5015,Transaksi!$C$16:$C$5015,$A51,Transaksi!$D$16:$D$5015,"Pindah",Transaksi!$B$16:$B$5015,"&lt;="&amp;MIN(EOMONTH(DATE(Dashboard!$C$4,8,1),0),TODAY()))+SUMIFS(Transaksi!$F$16:$F$5015,Transaksi!$E$16:$E$5015,$A51,Transaksi!$D$16:$D$5015,"Pindah",Transaksi!$B$16:$B$5015,"&lt;="&amp;MIN(EOMONTH(DATE(Dashboard!$C$4,8,1),0),TODAY())))</f>
        <v/>
      </c>
      <c r="K51" s="106">
        <f>IF(OR($A51="",DATE(Dashboard!$C$4,9,1)&gt;TODAY(),ISNA(MATCH($B51,{"Pribadi","Investasi (kas RDN)","Piutang","Pinjaman Mama (dompet)"},0))),"",SUMIFS(Akun!$C$5:$C$104,Akun!$A$5:$A$104,$A51,Akun!$D$5:$D$104,"&lt;="&amp;MIN(EOMONTH(DATE(Dashboard!$C$4,9,1),0),TODAY()))+SUMIFS(Transaksi!$F$16:$F$5015,Transaksi!$C$16:$C$5015,$A51,Transaksi!$D$16:$D$5015,"Masuk",Transaksi!$B$16:$B$5015,"&lt;="&amp;MIN(EOMONTH(DATE(Dashboard!$C$4,9,1),0),TODAY()))-SUMIFS(Transaksi!$F$16:$F$5015,Transaksi!$C$16:$C$5015,$A51,Transaksi!$D$16:$D$5015,"Keluar",Transaksi!$B$16:$B$5015,"&lt;="&amp;MIN(EOMONTH(DATE(Dashboard!$C$4,9,1),0),TODAY()))-SUMIFS(Transaksi!$F$16:$F$5015,Transaksi!$C$16:$C$5015,$A51,Transaksi!$D$16:$D$5015,"Pindah",Transaksi!$B$16:$B$5015,"&lt;="&amp;MIN(EOMONTH(DATE(Dashboard!$C$4,9,1),0),TODAY()))+SUMIFS(Transaksi!$F$16:$F$5015,Transaksi!$E$16:$E$5015,$A51,Transaksi!$D$16:$D$5015,"Pindah",Transaksi!$B$16:$B$5015,"&lt;="&amp;MIN(EOMONTH(DATE(Dashboard!$C$4,9,1),0),TODAY())))</f>
        <v/>
      </c>
      <c r="L51" s="106">
        <f>IF(OR($A51="",DATE(Dashboard!$C$4,10,1)&gt;TODAY(),ISNA(MATCH($B51,{"Pribadi","Investasi (kas RDN)","Piutang","Pinjaman Mama (dompet)"},0))),"",SUMIFS(Akun!$C$5:$C$104,Akun!$A$5:$A$104,$A51,Akun!$D$5:$D$104,"&lt;="&amp;MIN(EOMONTH(DATE(Dashboard!$C$4,10,1),0),TODAY()))+SUMIFS(Transaksi!$F$16:$F$5015,Transaksi!$C$16:$C$5015,$A51,Transaksi!$D$16:$D$5015,"Masuk",Transaksi!$B$16:$B$5015,"&lt;="&amp;MIN(EOMONTH(DATE(Dashboard!$C$4,10,1),0),TODAY()))-SUMIFS(Transaksi!$F$16:$F$5015,Transaksi!$C$16:$C$5015,$A51,Transaksi!$D$16:$D$5015,"Keluar",Transaksi!$B$16:$B$5015,"&lt;="&amp;MIN(EOMONTH(DATE(Dashboard!$C$4,10,1),0),TODAY()))-SUMIFS(Transaksi!$F$16:$F$5015,Transaksi!$C$16:$C$5015,$A51,Transaksi!$D$16:$D$5015,"Pindah",Transaksi!$B$16:$B$5015,"&lt;="&amp;MIN(EOMONTH(DATE(Dashboard!$C$4,10,1),0),TODAY()))+SUMIFS(Transaksi!$F$16:$F$5015,Transaksi!$E$16:$E$5015,$A51,Transaksi!$D$16:$D$5015,"Pindah",Transaksi!$B$16:$B$5015,"&lt;="&amp;MIN(EOMONTH(DATE(Dashboard!$C$4,10,1),0),TODAY())))</f>
        <v/>
      </c>
      <c r="M51" s="106">
        <f>IF(OR($A51="",DATE(Dashboard!$C$4,11,1)&gt;TODAY(),ISNA(MATCH($B51,{"Pribadi","Investasi (kas RDN)","Piutang","Pinjaman Mama (dompet)"},0))),"",SUMIFS(Akun!$C$5:$C$104,Akun!$A$5:$A$104,$A51,Akun!$D$5:$D$104,"&lt;="&amp;MIN(EOMONTH(DATE(Dashboard!$C$4,11,1),0),TODAY()))+SUMIFS(Transaksi!$F$16:$F$5015,Transaksi!$C$16:$C$5015,$A51,Transaksi!$D$16:$D$5015,"Masuk",Transaksi!$B$16:$B$5015,"&lt;="&amp;MIN(EOMONTH(DATE(Dashboard!$C$4,11,1),0),TODAY()))-SUMIFS(Transaksi!$F$16:$F$5015,Transaksi!$C$16:$C$5015,$A51,Transaksi!$D$16:$D$5015,"Keluar",Transaksi!$B$16:$B$5015,"&lt;="&amp;MIN(EOMONTH(DATE(Dashboard!$C$4,11,1),0),TODAY()))-SUMIFS(Transaksi!$F$16:$F$5015,Transaksi!$C$16:$C$5015,$A51,Transaksi!$D$16:$D$5015,"Pindah",Transaksi!$B$16:$B$5015,"&lt;="&amp;MIN(EOMONTH(DATE(Dashboard!$C$4,11,1),0),TODAY()))+SUMIFS(Transaksi!$F$16:$F$5015,Transaksi!$E$16:$E$5015,$A51,Transaksi!$D$16:$D$5015,"Pindah",Transaksi!$B$16:$B$5015,"&lt;="&amp;MIN(EOMONTH(DATE(Dashboard!$C$4,11,1),0),TODAY())))</f>
        <v/>
      </c>
      <c r="N51" s="106">
        <f>IF(OR($A51="",DATE(Dashboard!$C$4,12,1)&gt;TODAY(),ISNA(MATCH($B51,{"Pribadi","Investasi (kas RDN)","Piutang","Pinjaman Mama (dompet)"},0))),"",SUMIFS(Akun!$C$5:$C$104,Akun!$A$5:$A$104,$A51,Akun!$D$5:$D$104,"&lt;="&amp;MIN(EOMONTH(DATE(Dashboard!$C$4,12,1),0),TODAY()))+SUMIFS(Transaksi!$F$16:$F$5015,Transaksi!$C$16:$C$5015,$A51,Transaksi!$D$16:$D$5015,"Masuk",Transaksi!$B$16:$B$5015,"&lt;="&amp;MIN(EOMONTH(DATE(Dashboard!$C$4,12,1),0),TODAY()))-SUMIFS(Transaksi!$F$16:$F$5015,Transaksi!$C$16:$C$5015,$A51,Transaksi!$D$16:$D$5015,"Keluar",Transaksi!$B$16:$B$5015,"&lt;="&amp;MIN(EOMONTH(DATE(Dashboard!$C$4,12,1),0),TODAY()))-SUMIFS(Transaksi!$F$16:$F$5015,Transaksi!$C$16:$C$5015,$A51,Transaksi!$D$16:$D$5015,"Pindah",Transaksi!$B$16:$B$5015,"&lt;="&amp;MIN(EOMONTH(DATE(Dashboard!$C$4,12,1),0),TODAY()))+SUMIFS(Transaksi!$F$16:$F$5015,Transaksi!$E$16:$E$5015,$A51,Transaksi!$D$16:$D$5015,"Pindah",Transaksi!$B$16:$B$5015,"&lt;="&amp;MIN(EOMONTH(DATE(Dashboard!$C$4,12,1),0),TODAY())))</f>
        <v/>
      </c>
    </row>
    <row r="52" ht="15" customHeight="1" s="94">
      <c r="A52" s="93">
        <f>IF(Akun!$A$16="","",Akun!$A$16)</f>
        <v/>
      </c>
      <c r="B52" s="93">
        <f>IF(Akun!$A$16="","",Akun!$B$16)</f>
        <v/>
      </c>
      <c r="C52" s="106">
        <f>IF(OR($A52="",DATE(Dashboard!$C$4,1,1)&gt;TODAY(),ISNA(MATCH($B52,{"Pribadi","Investasi (kas RDN)","Piutang","Pinjaman Mama (dompet)"},0))),"",SUMIFS(Akun!$C$5:$C$104,Akun!$A$5:$A$104,$A52,Akun!$D$5:$D$104,"&lt;="&amp;MIN(EOMONTH(DATE(Dashboard!$C$4,1,1),0),TODAY()))+SUMIFS(Transaksi!$F$16:$F$5015,Transaksi!$C$16:$C$5015,$A52,Transaksi!$D$16:$D$5015,"Masuk",Transaksi!$B$16:$B$5015,"&lt;="&amp;MIN(EOMONTH(DATE(Dashboard!$C$4,1,1),0),TODAY()))-SUMIFS(Transaksi!$F$16:$F$5015,Transaksi!$C$16:$C$5015,$A52,Transaksi!$D$16:$D$5015,"Keluar",Transaksi!$B$16:$B$5015,"&lt;="&amp;MIN(EOMONTH(DATE(Dashboard!$C$4,1,1),0),TODAY()))-SUMIFS(Transaksi!$F$16:$F$5015,Transaksi!$C$16:$C$5015,$A52,Transaksi!$D$16:$D$5015,"Pindah",Transaksi!$B$16:$B$5015,"&lt;="&amp;MIN(EOMONTH(DATE(Dashboard!$C$4,1,1),0),TODAY()))+SUMIFS(Transaksi!$F$16:$F$5015,Transaksi!$E$16:$E$5015,$A52,Transaksi!$D$16:$D$5015,"Pindah",Transaksi!$B$16:$B$5015,"&lt;="&amp;MIN(EOMONTH(DATE(Dashboard!$C$4,1,1),0),TODAY())))</f>
        <v/>
      </c>
      <c r="D52" s="106">
        <f>IF(OR($A52="",DATE(Dashboard!$C$4,2,1)&gt;TODAY(),ISNA(MATCH($B52,{"Pribadi","Investasi (kas RDN)","Piutang","Pinjaman Mama (dompet)"},0))),"",SUMIFS(Akun!$C$5:$C$104,Akun!$A$5:$A$104,$A52,Akun!$D$5:$D$104,"&lt;="&amp;MIN(EOMONTH(DATE(Dashboard!$C$4,2,1),0),TODAY()))+SUMIFS(Transaksi!$F$16:$F$5015,Transaksi!$C$16:$C$5015,$A52,Transaksi!$D$16:$D$5015,"Masuk",Transaksi!$B$16:$B$5015,"&lt;="&amp;MIN(EOMONTH(DATE(Dashboard!$C$4,2,1),0),TODAY()))-SUMIFS(Transaksi!$F$16:$F$5015,Transaksi!$C$16:$C$5015,$A52,Transaksi!$D$16:$D$5015,"Keluar",Transaksi!$B$16:$B$5015,"&lt;="&amp;MIN(EOMONTH(DATE(Dashboard!$C$4,2,1),0),TODAY()))-SUMIFS(Transaksi!$F$16:$F$5015,Transaksi!$C$16:$C$5015,$A52,Transaksi!$D$16:$D$5015,"Pindah",Transaksi!$B$16:$B$5015,"&lt;="&amp;MIN(EOMONTH(DATE(Dashboard!$C$4,2,1),0),TODAY()))+SUMIFS(Transaksi!$F$16:$F$5015,Transaksi!$E$16:$E$5015,$A52,Transaksi!$D$16:$D$5015,"Pindah",Transaksi!$B$16:$B$5015,"&lt;="&amp;MIN(EOMONTH(DATE(Dashboard!$C$4,2,1),0),TODAY())))</f>
        <v/>
      </c>
      <c r="E52" s="106">
        <f>IF(OR($A52="",DATE(Dashboard!$C$4,3,1)&gt;TODAY(),ISNA(MATCH($B52,{"Pribadi","Investasi (kas RDN)","Piutang","Pinjaman Mama (dompet)"},0))),"",SUMIFS(Akun!$C$5:$C$104,Akun!$A$5:$A$104,$A52,Akun!$D$5:$D$104,"&lt;="&amp;MIN(EOMONTH(DATE(Dashboard!$C$4,3,1),0),TODAY()))+SUMIFS(Transaksi!$F$16:$F$5015,Transaksi!$C$16:$C$5015,$A52,Transaksi!$D$16:$D$5015,"Masuk",Transaksi!$B$16:$B$5015,"&lt;="&amp;MIN(EOMONTH(DATE(Dashboard!$C$4,3,1),0),TODAY()))-SUMIFS(Transaksi!$F$16:$F$5015,Transaksi!$C$16:$C$5015,$A52,Transaksi!$D$16:$D$5015,"Keluar",Transaksi!$B$16:$B$5015,"&lt;="&amp;MIN(EOMONTH(DATE(Dashboard!$C$4,3,1),0),TODAY()))-SUMIFS(Transaksi!$F$16:$F$5015,Transaksi!$C$16:$C$5015,$A52,Transaksi!$D$16:$D$5015,"Pindah",Transaksi!$B$16:$B$5015,"&lt;="&amp;MIN(EOMONTH(DATE(Dashboard!$C$4,3,1),0),TODAY()))+SUMIFS(Transaksi!$F$16:$F$5015,Transaksi!$E$16:$E$5015,$A52,Transaksi!$D$16:$D$5015,"Pindah",Transaksi!$B$16:$B$5015,"&lt;="&amp;MIN(EOMONTH(DATE(Dashboard!$C$4,3,1),0),TODAY())))</f>
        <v/>
      </c>
      <c r="F52" s="106">
        <f>IF(OR($A52="",DATE(Dashboard!$C$4,4,1)&gt;TODAY(),ISNA(MATCH($B52,{"Pribadi","Investasi (kas RDN)","Piutang","Pinjaman Mama (dompet)"},0))),"",SUMIFS(Akun!$C$5:$C$104,Akun!$A$5:$A$104,$A52,Akun!$D$5:$D$104,"&lt;="&amp;MIN(EOMONTH(DATE(Dashboard!$C$4,4,1),0),TODAY()))+SUMIFS(Transaksi!$F$16:$F$5015,Transaksi!$C$16:$C$5015,$A52,Transaksi!$D$16:$D$5015,"Masuk",Transaksi!$B$16:$B$5015,"&lt;="&amp;MIN(EOMONTH(DATE(Dashboard!$C$4,4,1),0),TODAY()))-SUMIFS(Transaksi!$F$16:$F$5015,Transaksi!$C$16:$C$5015,$A52,Transaksi!$D$16:$D$5015,"Keluar",Transaksi!$B$16:$B$5015,"&lt;="&amp;MIN(EOMONTH(DATE(Dashboard!$C$4,4,1),0),TODAY()))-SUMIFS(Transaksi!$F$16:$F$5015,Transaksi!$C$16:$C$5015,$A52,Transaksi!$D$16:$D$5015,"Pindah",Transaksi!$B$16:$B$5015,"&lt;="&amp;MIN(EOMONTH(DATE(Dashboard!$C$4,4,1),0),TODAY()))+SUMIFS(Transaksi!$F$16:$F$5015,Transaksi!$E$16:$E$5015,$A52,Transaksi!$D$16:$D$5015,"Pindah",Transaksi!$B$16:$B$5015,"&lt;="&amp;MIN(EOMONTH(DATE(Dashboard!$C$4,4,1),0),TODAY())))</f>
        <v/>
      </c>
      <c r="G52" s="106">
        <f>IF(OR($A52="",DATE(Dashboard!$C$4,5,1)&gt;TODAY(),ISNA(MATCH($B52,{"Pribadi","Investasi (kas RDN)","Piutang","Pinjaman Mama (dompet)"},0))),"",SUMIFS(Akun!$C$5:$C$104,Akun!$A$5:$A$104,$A52,Akun!$D$5:$D$104,"&lt;="&amp;MIN(EOMONTH(DATE(Dashboard!$C$4,5,1),0),TODAY()))+SUMIFS(Transaksi!$F$16:$F$5015,Transaksi!$C$16:$C$5015,$A52,Transaksi!$D$16:$D$5015,"Masuk",Transaksi!$B$16:$B$5015,"&lt;="&amp;MIN(EOMONTH(DATE(Dashboard!$C$4,5,1),0),TODAY()))-SUMIFS(Transaksi!$F$16:$F$5015,Transaksi!$C$16:$C$5015,$A52,Transaksi!$D$16:$D$5015,"Keluar",Transaksi!$B$16:$B$5015,"&lt;="&amp;MIN(EOMONTH(DATE(Dashboard!$C$4,5,1),0),TODAY()))-SUMIFS(Transaksi!$F$16:$F$5015,Transaksi!$C$16:$C$5015,$A52,Transaksi!$D$16:$D$5015,"Pindah",Transaksi!$B$16:$B$5015,"&lt;="&amp;MIN(EOMONTH(DATE(Dashboard!$C$4,5,1),0),TODAY()))+SUMIFS(Transaksi!$F$16:$F$5015,Transaksi!$E$16:$E$5015,$A52,Transaksi!$D$16:$D$5015,"Pindah",Transaksi!$B$16:$B$5015,"&lt;="&amp;MIN(EOMONTH(DATE(Dashboard!$C$4,5,1),0),TODAY())))</f>
        <v/>
      </c>
      <c r="H52" s="106">
        <f>IF(OR($A52="",DATE(Dashboard!$C$4,6,1)&gt;TODAY(),ISNA(MATCH($B52,{"Pribadi","Investasi (kas RDN)","Piutang","Pinjaman Mama (dompet)"},0))),"",SUMIFS(Akun!$C$5:$C$104,Akun!$A$5:$A$104,$A52,Akun!$D$5:$D$104,"&lt;="&amp;MIN(EOMONTH(DATE(Dashboard!$C$4,6,1),0),TODAY()))+SUMIFS(Transaksi!$F$16:$F$5015,Transaksi!$C$16:$C$5015,$A52,Transaksi!$D$16:$D$5015,"Masuk",Transaksi!$B$16:$B$5015,"&lt;="&amp;MIN(EOMONTH(DATE(Dashboard!$C$4,6,1),0),TODAY()))-SUMIFS(Transaksi!$F$16:$F$5015,Transaksi!$C$16:$C$5015,$A52,Transaksi!$D$16:$D$5015,"Keluar",Transaksi!$B$16:$B$5015,"&lt;="&amp;MIN(EOMONTH(DATE(Dashboard!$C$4,6,1),0),TODAY()))-SUMIFS(Transaksi!$F$16:$F$5015,Transaksi!$C$16:$C$5015,$A52,Transaksi!$D$16:$D$5015,"Pindah",Transaksi!$B$16:$B$5015,"&lt;="&amp;MIN(EOMONTH(DATE(Dashboard!$C$4,6,1),0),TODAY()))+SUMIFS(Transaksi!$F$16:$F$5015,Transaksi!$E$16:$E$5015,$A52,Transaksi!$D$16:$D$5015,"Pindah",Transaksi!$B$16:$B$5015,"&lt;="&amp;MIN(EOMONTH(DATE(Dashboard!$C$4,6,1),0),TODAY())))</f>
        <v/>
      </c>
      <c r="I52" s="106">
        <f>IF(OR($A52="",DATE(Dashboard!$C$4,7,1)&gt;TODAY(),ISNA(MATCH($B52,{"Pribadi","Investasi (kas RDN)","Piutang","Pinjaman Mama (dompet)"},0))),"",SUMIFS(Akun!$C$5:$C$104,Akun!$A$5:$A$104,$A52,Akun!$D$5:$D$104,"&lt;="&amp;MIN(EOMONTH(DATE(Dashboard!$C$4,7,1),0),TODAY()))+SUMIFS(Transaksi!$F$16:$F$5015,Transaksi!$C$16:$C$5015,$A52,Transaksi!$D$16:$D$5015,"Masuk",Transaksi!$B$16:$B$5015,"&lt;="&amp;MIN(EOMONTH(DATE(Dashboard!$C$4,7,1),0),TODAY()))-SUMIFS(Transaksi!$F$16:$F$5015,Transaksi!$C$16:$C$5015,$A52,Transaksi!$D$16:$D$5015,"Keluar",Transaksi!$B$16:$B$5015,"&lt;="&amp;MIN(EOMONTH(DATE(Dashboard!$C$4,7,1),0),TODAY()))-SUMIFS(Transaksi!$F$16:$F$5015,Transaksi!$C$16:$C$5015,$A52,Transaksi!$D$16:$D$5015,"Pindah",Transaksi!$B$16:$B$5015,"&lt;="&amp;MIN(EOMONTH(DATE(Dashboard!$C$4,7,1),0),TODAY()))+SUMIFS(Transaksi!$F$16:$F$5015,Transaksi!$E$16:$E$5015,$A52,Transaksi!$D$16:$D$5015,"Pindah",Transaksi!$B$16:$B$5015,"&lt;="&amp;MIN(EOMONTH(DATE(Dashboard!$C$4,7,1),0),TODAY())))</f>
        <v/>
      </c>
      <c r="J52" s="106">
        <f>IF(OR($A52="",DATE(Dashboard!$C$4,8,1)&gt;TODAY(),ISNA(MATCH($B52,{"Pribadi","Investasi (kas RDN)","Piutang","Pinjaman Mama (dompet)"},0))),"",SUMIFS(Akun!$C$5:$C$104,Akun!$A$5:$A$104,$A52,Akun!$D$5:$D$104,"&lt;="&amp;MIN(EOMONTH(DATE(Dashboard!$C$4,8,1),0),TODAY()))+SUMIFS(Transaksi!$F$16:$F$5015,Transaksi!$C$16:$C$5015,$A52,Transaksi!$D$16:$D$5015,"Masuk",Transaksi!$B$16:$B$5015,"&lt;="&amp;MIN(EOMONTH(DATE(Dashboard!$C$4,8,1),0),TODAY()))-SUMIFS(Transaksi!$F$16:$F$5015,Transaksi!$C$16:$C$5015,$A52,Transaksi!$D$16:$D$5015,"Keluar",Transaksi!$B$16:$B$5015,"&lt;="&amp;MIN(EOMONTH(DATE(Dashboard!$C$4,8,1),0),TODAY()))-SUMIFS(Transaksi!$F$16:$F$5015,Transaksi!$C$16:$C$5015,$A52,Transaksi!$D$16:$D$5015,"Pindah",Transaksi!$B$16:$B$5015,"&lt;="&amp;MIN(EOMONTH(DATE(Dashboard!$C$4,8,1),0),TODAY()))+SUMIFS(Transaksi!$F$16:$F$5015,Transaksi!$E$16:$E$5015,$A52,Transaksi!$D$16:$D$5015,"Pindah",Transaksi!$B$16:$B$5015,"&lt;="&amp;MIN(EOMONTH(DATE(Dashboard!$C$4,8,1),0),TODAY())))</f>
        <v/>
      </c>
      <c r="K52" s="106">
        <f>IF(OR($A52="",DATE(Dashboard!$C$4,9,1)&gt;TODAY(),ISNA(MATCH($B52,{"Pribadi","Investasi (kas RDN)","Piutang","Pinjaman Mama (dompet)"},0))),"",SUMIFS(Akun!$C$5:$C$104,Akun!$A$5:$A$104,$A52,Akun!$D$5:$D$104,"&lt;="&amp;MIN(EOMONTH(DATE(Dashboard!$C$4,9,1),0),TODAY()))+SUMIFS(Transaksi!$F$16:$F$5015,Transaksi!$C$16:$C$5015,$A52,Transaksi!$D$16:$D$5015,"Masuk",Transaksi!$B$16:$B$5015,"&lt;="&amp;MIN(EOMONTH(DATE(Dashboard!$C$4,9,1),0),TODAY()))-SUMIFS(Transaksi!$F$16:$F$5015,Transaksi!$C$16:$C$5015,$A52,Transaksi!$D$16:$D$5015,"Keluar",Transaksi!$B$16:$B$5015,"&lt;="&amp;MIN(EOMONTH(DATE(Dashboard!$C$4,9,1),0),TODAY()))-SUMIFS(Transaksi!$F$16:$F$5015,Transaksi!$C$16:$C$5015,$A52,Transaksi!$D$16:$D$5015,"Pindah",Transaksi!$B$16:$B$5015,"&lt;="&amp;MIN(EOMONTH(DATE(Dashboard!$C$4,9,1),0),TODAY()))+SUMIFS(Transaksi!$F$16:$F$5015,Transaksi!$E$16:$E$5015,$A52,Transaksi!$D$16:$D$5015,"Pindah",Transaksi!$B$16:$B$5015,"&lt;="&amp;MIN(EOMONTH(DATE(Dashboard!$C$4,9,1),0),TODAY())))</f>
        <v/>
      </c>
      <c r="L52" s="106">
        <f>IF(OR($A52="",DATE(Dashboard!$C$4,10,1)&gt;TODAY(),ISNA(MATCH($B52,{"Pribadi","Investasi (kas RDN)","Piutang","Pinjaman Mama (dompet)"},0))),"",SUMIFS(Akun!$C$5:$C$104,Akun!$A$5:$A$104,$A52,Akun!$D$5:$D$104,"&lt;="&amp;MIN(EOMONTH(DATE(Dashboard!$C$4,10,1),0),TODAY()))+SUMIFS(Transaksi!$F$16:$F$5015,Transaksi!$C$16:$C$5015,$A52,Transaksi!$D$16:$D$5015,"Masuk",Transaksi!$B$16:$B$5015,"&lt;="&amp;MIN(EOMONTH(DATE(Dashboard!$C$4,10,1),0),TODAY()))-SUMIFS(Transaksi!$F$16:$F$5015,Transaksi!$C$16:$C$5015,$A52,Transaksi!$D$16:$D$5015,"Keluar",Transaksi!$B$16:$B$5015,"&lt;="&amp;MIN(EOMONTH(DATE(Dashboard!$C$4,10,1),0),TODAY()))-SUMIFS(Transaksi!$F$16:$F$5015,Transaksi!$C$16:$C$5015,$A52,Transaksi!$D$16:$D$5015,"Pindah",Transaksi!$B$16:$B$5015,"&lt;="&amp;MIN(EOMONTH(DATE(Dashboard!$C$4,10,1),0),TODAY()))+SUMIFS(Transaksi!$F$16:$F$5015,Transaksi!$E$16:$E$5015,$A52,Transaksi!$D$16:$D$5015,"Pindah",Transaksi!$B$16:$B$5015,"&lt;="&amp;MIN(EOMONTH(DATE(Dashboard!$C$4,10,1),0),TODAY())))</f>
        <v/>
      </c>
      <c r="M52" s="106">
        <f>IF(OR($A52="",DATE(Dashboard!$C$4,11,1)&gt;TODAY(),ISNA(MATCH($B52,{"Pribadi","Investasi (kas RDN)","Piutang","Pinjaman Mama (dompet)"},0))),"",SUMIFS(Akun!$C$5:$C$104,Akun!$A$5:$A$104,$A52,Akun!$D$5:$D$104,"&lt;="&amp;MIN(EOMONTH(DATE(Dashboard!$C$4,11,1),0),TODAY()))+SUMIFS(Transaksi!$F$16:$F$5015,Transaksi!$C$16:$C$5015,$A52,Transaksi!$D$16:$D$5015,"Masuk",Transaksi!$B$16:$B$5015,"&lt;="&amp;MIN(EOMONTH(DATE(Dashboard!$C$4,11,1),0),TODAY()))-SUMIFS(Transaksi!$F$16:$F$5015,Transaksi!$C$16:$C$5015,$A52,Transaksi!$D$16:$D$5015,"Keluar",Transaksi!$B$16:$B$5015,"&lt;="&amp;MIN(EOMONTH(DATE(Dashboard!$C$4,11,1),0),TODAY()))-SUMIFS(Transaksi!$F$16:$F$5015,Transaksi!$C$16:$C$5015,$A52,Transaksi!$D$16:$D$5015,"Pindah",Transaksi!$B$16:$B$5015,"&lt;="&amp;MIN(EOMONTH(DATE(Dashboard!$C$4,11,1),0),TODAY()))+SUMIFS(Transaksi!$F$16:$F$5015,Transaksi!$E$16:$E$5015,$A52,Transaksi!$D$16:$D$5015,"Pindah",Transaksi!$B$16:$B$5015,"&lt;="&amp;MIN(EOMONTH(DATE(Dashboard!$C$4,11,1),0),TODAY())))</f>
        <v/>
      </c>
      <c r="N52" s="106">
        <f>IF(OR($A52="",DATE(Dashboard!$C$4,12,1)&gt;TODAY(),ISNA(MATCH($B52,{"Pribadi","Investasi (kas RDN)","Piutang","Pinjaman Mama (dompet)"},0))),"",SUMIFS(Akun!$C$5:$C$104,Akun!$A$5:$A$104,$A52,Akun!$D$5:$D$104,"&lt;="&amp;MIN(EOMONTH(DATE(Dashboard!$C$4,12,1),0),TODAY()))+SUMIFS(Transaksi!$F$16:$F$5015,Transaksi!$C$16:$C$5015,$A52,Transaksi!$D$16:$D$5015,"Masuk",Transaksi!$B$16:$B$5015,"&lt;="&amp;MIN(EOMONTH(DATE(Dashboard!$C$4,12,1),0),TODAY()))-SUMIFS(Transaksi!$F$16:$F$5015,Transaksi!$C$16:$C$5015,$A52,Transaksi!$D$16:$D$5015,"Keluar",Transaksi!$B$16:$B$5015,"&lt;="&amp;MIN(EOMONTH(DATE(Dashboard!$C$4,12,1),0),TODAY()))-SUMIFS(Transaksi!$F$16:$F$5015,Transaksi!$C$16:$C$5015,$A52,Transaksi!$D$16:$D$5015,"Pindah",Transaksi!$B$16:$B$5015,"&lt;="&amp;MIN(EOMONTH(DATE(Dashboard!$C$4,12,1),0),TODAY()))+SUMIFS(Transaksi!$F$16:$F$5015,Transaksi!$E$16:$E$5015,$A52,Transaksi!$D$16:$D$5015,"Pindah",Transaksi!$B$16:$B$5015,"&lt;="&amp;MIN(EOMONTH(DATE(Dashboard!$C$4,12,1),0),TODAY())))</f>
        <v/>
      </c>
    </row>
    <row r="53" ht="15" customHeight="1" s="94">
      <c r="A53" s="93">
        <f>IF(Akun!$A$17="","",Akun!$A$17)</f>
        <v/>
      </c>
      <c r="B53" s="93">
        <f>IF(Akun!$A$17="","",Akun!$B$17)</f>
        <v/>
      </c>
      <c r="C53" s="106">
        <f>IF(OR($A53="",DATE(Dashboard!$C$4,1,1)&gt;TODAY(),ISNA(MATCH($B53,{"Pribadi","Investasi (kas RDN)","Piutang","Pinjaman Mama (dompet)"},0))),"",SUMIFS(Akun!$C$5:$C$104,Akun!$A$5:$A$104,$A53,Akun!$D$5:$D$104,"&lt;="&amp;MIN(EOMONTH(DATE(Dashboard!$C$4,1,1),0),TODAY()))+SUMIFS(Transaksi!$F$16:$F$5015,Transaksi!$C$16:$C$5015,$A53,Transaksi!$D$16:$D$5015,"Masuk",Transaksi!$B$16:$B$5015,"&lt;="&amp;MIN(EOMONTH(DATE(Dashboard!$C$4,1,1),0),TODAY()))-SUMIFS(Transaksi!$F$16:$F$5015,Transaksi!$C$16:$C$5015,$A53,Transaksi!$D$16:$D$5015,"Keluar",Transaksi!$B$16:$B$5015,"&lt;="&amp;MIN(EOMONTH(DATE(Dashboard!$C$4,1,1),0),TODAY()))-SUMIFS(Transaksi!$F$16:$F$5015,Transaksi!$C$16:$C$5015,$A53,Transaksi!$D$16:$D$5015,"Pindah",Transaksi!$B$16:$B$5015,"&lt;="&amp;MIN(EOMONTH(DATE(Dashboard!$C$4,1,1),0),TODAY()))+SUMIFS(Transaksi!$F$16:$F$5015,Transaksi!$E$16:$E$5015,$A53,Transaksi!$D$16:$D$5015,"Pindah",Transaksi!$B$16:$B$5015,"&lt;="&amp;MIN(EOMONTH(DATE(Dashboard!$C$4,1,1),0),TODAY())))</f>
        <v/>
      </c>
      <c r="D53" s="106">
        <f>IF(OR($A53="",DATE(Dashboard!$C$4,2,1)&gt;TODAY(),ISNA(MATCH($B53,{"Pribadi","Investasi (kas RDN)","Piutang","Pinjaman Mama (dompet)"},0))),"",SUMIFS(Akun!$C$5:$C$104,Akun!$A$5:$A$104,$A53,Akun!$D$5:$D$104,"&lt;="&amp;MIN(EOMONTH(DATE(Dashboard!$C$4,2,1),0),TODAY()))+SUMIFS(Transaksi!$F$16:$F$5015,Transaksi!$C$16:$C$5015,$A53,Transaksi!$D$16:$D$5015,"Masuk",Transaksi!$B$16:$B$5015,"&lt;="&amp;MIN(EOMONTH(DATE(Dashboard!$C$4,2,1),0),TODAY()))-SUMIFS(Transaksi!$F$16:$F$5015,Transaksi!$C$16:$C$5015,$A53,Transaksi!$D$16:$D$5015,"Keluar",Transaksi!$B$16:$B$5015,"&lt;="&amp;MIN(EOMONTH(DATE(Dashboard!$C$4,2,1),0),TODAY()))-SUMIFS(Transaksi!$F$16:$F$5015,Transaksi!$C$16:$C$5015,$A53,Transaksi!$D$16:$D$5015,"Pindah",Transaksi!$B$16:$B$5015,"&lt;="&amp;MIN(EOMONTH(DATE(Dashboard!$C$4,2,1),0),TODAY()))+SUMIFS(Transaksi!$F$16:$F$5015,Transaksi!$E$16:$E$5015,$A53,Transaksi!$D$16:$D$5015,"Pindah",Transaksi!$B$16:$B$5015,"&lt;="&amp;MIN(EOMONTH(DATE(Dashboard!$C$4,2,1),0),TODAY())))</f>
        <v/>
      </c>
      <c r="E53" s="106">
        <f>IF(OR($A53="",DATE(Dashboard!$C$4,3,1)&gt;TODAY(),ISNA(MATCH($B53,{"Pribadi","Investasi (kas RDN)","Piutang","Pinjaman Mama (dompet)"},0))),"",SUMIFS(Akun!$C$5:$C$104,Akun!$A$5:$A$104,$A53,Akun!$D$5:$D$104,"&lt;="&amp;MIN(EOMONTH(DATE(Dashboard!$C$4,3,1),0),TODAY()))+SUMIFS(Transaksi!$F$16:$F$5015,Transaksi!$C$16:$C$5015,$A53,Transaksi!$D$16:$D$5015,"Masuk",Transaksi!$B$16:$B$5015,"&lt;="&amp;MIN(EOMONTH(DATE(Dashboard!$C$4,3,1),0),TODAY()))-SUMIFS(Transaksi!$F$16:$F$5015,Transaksi!$C$16:$C$5015,$A53,Transaksi!$D$16:$D$5015,"Keluar",Transaksi!$B$16:$B$5015,"&lt;="&amp;MIN(EOMONTH(DATE(Dashboard!$C$4,3,1),0),TODAY()))-SUMIFS(Transaksi!$F$16:$F$5015,Transaksi!$C$16:$C$5015,$A53,Transaksi!$D$16:$D$5015,"Pindah",Transaksi!$B$16:$B$5015,"&lt;="&amp;MIN(EOMONTH(DATE(Dashboard!$C$4,3,1),0),TODAY()))+SUMIFS(Transaksi!$F$16:$F$5015,Transaksi!$E$16:$E$5015,$A53,Transaksi!$D$16:$D$5015,"Pindah",Transaksi!$B$16:$B$5015,"&lt;="&amp;MIN(EOMONTH(DATE(Dashboard!$C$4,3,1),0),TODAY())))</f>
        <v/>
      </c>
      <c r="F53" s="106">
        <f>IF(OR($A53="",DATE(Dashboard!$C$4,4,1)&gt;TODAY(),ISNA(MATCH($B53,{"Pribadi","Investasi (kas RDN)","Piutang","Pinjaman Mama (dompet)"},0))),"",SUMIFS(Akun!$C$5:$C$104,Akun!$A$5:$A$104,$A53,Akun!$D$5:$D$104,"&lt;="&amp;MIN(EOMONTH(DATE(Dashboard!$C$4,4,1),0),TODAY()))+SUMIFS(Transaksi!$F$16:$F$5015,Transaksi!$C$16:$C$5015,$A53,Transaksi!$D$16:$D$5015,"Masuk",Transaksi!$B$16:$B$5015,"&lt;="&amp;MIN(EOMONTH(DATE(Dashboard!$C$4,4,1),0),TODAY()))-SUMIFS(Transaksi!$F$16:$F$5015,Transaksi!$C$16:$C$5015,$A53,Transaksi!$D$16:$D$5015,"Keluar",Transaksi!$B$16:$B$5015,"&lt;="&amp;MIN(EOMONTH(DATE(Dashboard!$C$4,4,1),0),TODAY()))-SUMIFS(Transaksi!$F$16:$F$5015,Transaksi!$C$16:$C$5015,$A53,Transaksi!$D$16:$D$5015,"Pindah",Transaksi!$B$16:$B$5015,"&lt;="&amp;MIN(EOMONTH(DATE(Dashboard!$C$4,4,1),0),TODAY()))+SUMIFS(Transaksi!$F$16:$F$5015,Transaksi!$E$16:$E$5015,$A53,Transaksi!$D$16:$D$5015,"Pindah",Transaksi!$B$16:$B$5015,"&lt;="&amp;MIN(EOMONTH(DATE(Dashboard!$C$4,4,1),0),TODAY())))</f>
        <v/>
      </c>
      <c r="G53" s="106">
        <f>IF(OR($A53="",DATE(Dashboard!$C$4,5,1)&gt;TODAY(),ISNA(MATCH($B53,{"Pribadi","Investasi (kas RDN)","Piutang","Pinjaman Mama (dompet)"},0))),"",SUMIFS(Akun!$C$5:$C$104,Akun!$A$5:$A$104,$A53,Akun!$D$5:$D$104,"&lt;="&amp;MIN(EOMONTH(DATE(Dashboard!$C$4,5,1),0),TODAY()))+SUMIFS(Transaksi!$F$16:$F$5015,Transaksi!$C$16:$C$5015,$A53,Transaksi!$D$16:$D$5015,"Masuk",Transaksi!$B$16:$B$5015,"&lt;="&amp;MIN(EOMONTH(DATE(Dashboard!$C$4,5,1),0),TODAY()))-SUMIFS(Transaksi!$F$16:$F$5015,Transaksi!$C$16:$C$5015,$A53,Transaksi!$D$16:$D$5015,"Keluar",Transaksi!$B$16:$B$5015,"&lt;="&amp;MIN(EOMONTH(DATE(Dashboard!$C$4,5,1),0),TODAY()))-SUMIFS(Transaksi!$F$16:$F$5015,Transaksi!$C$16:$C$5015,$A53,Transaksi!$D$16:$D$5015,"Pindah",Transaksi!$B$16:$B$5015,"&lt;="&amp;MIN(EOMONTH(DATE(Dashboard!$C$4,5,1),0),TODAY()))+SUMIFS(Transaksi!$F$16:$F$5015,Transaksi!$E$16:$E$5015,$A53,Transaksi!$D$16:$D$5015,"Pindah",Transaksi!$B$16:$B$5015,"&lt;="&amp;MIN(EOMONTH(DATE(Dashboard!$C$4,5,1),0),TODAY())))</f>
        <v/>
      </c>
      <c r="H53" s="106">
        <f>IF(OR($A53="",DATE(Dashboard!$C$4,6,1)&gt;TODAY(),ISNA(MATCH($B53,{"Pribadi","Investasi (kas RDN)","Piutang","Pinjaman Mama (dompet)"},0))),"",SUMIFS(Akun!$C$5:$C$104,Akun!$A$5:$A$104,$A53,Akun!$D$5:$D$104,"&lt;="&amp;MIN(EOMONTH(DATE(Dashboard!$C$4,6,1),0),TODAY()))+SUMIFS(Transaksi!$F$16:$F$5015,Transaksi!$C$16:$C$5015,$A53,Transaksi!$D$16:$D$5015,"Masuk",Transaksi!$B$16:$B$5015,"&lt;="&amp;MIN(EOMONTH(DATE(Dashboard!$C$4,6,1),0),TODAY()))-SUMIFS(Transaksi!$F$16:$F$5015,Transaksi!$C$16:$C$5015,$A53,Transaksi!$D$16:$D$5015,"Keluar",Transaksi!$B$16:$B$5015,"&lt;="&amp;MIN(EOMONTH(DATE(Dashboard!$C$4,6,1),0),TODAY()))-SUMIFS(Transaksi!$F$16:$F$5015,Transaksi!$C$16:$C$5015,$A53,Transaksi!$D$16:$D$5015,"Pindah",Transaksi!$B$16:$B$5015,"&lt;="&amp;MIN(EOMONTH(DATE(Dashboard!$C$4,6,1),0),TODAY()))+SUMIFS(Transaksi!$F$16:$F$5015,Transaksi!$E$16:$E$5015,$A53,Transaksi!$D$16:$D$5015,"Pindah",Transaksi!$B$16:$B$5015,"&lt;="&amp;MIN(EOMONTH(DATE(Dashboard!$C$4,6,1),0),TODAY())))</f>
        <v/>
      </c>
      <c r="I53" s="106">
        <f>IF(OR($A53="",DATE(Dashboard!$C$4,7,1)&gt;TODAY(),ISNA(MATCH($B53,{"Pribadi","Investasi (kas RDN)","Piutang","Pinjaman Mama (dompet)"},0))),"",SUMIFS(Akun!$C$5:$C$104,Akun!$A$5:$A$104,$A53,Akun!$D$5:$D$104,"&lt;="&amp;MIN(EOMONTH(DATE(Dashboard!$C$4,7,1),0),TODAY()))+SUMIFS(Transaksi!$F$16:$F$5015,Transaksi!$C$16:$C$5015,$A53,Transaksi!$D$16:$D$5015,"Masuk",Transaksi!$B$16:$B$5015,"&lt;="&amp;MIN(EOMONTH(DATE(Dashboard!$C$4,7,1),0),TODAY()))-SUMIFS(Transaksi!$F$16:$F$5015,Transaksi!$C$16:$C$5015,$A53,Transaksi!$D$16:$D$5015,"Keluar",Transaksi!$B$16:$B$5015,"&lt;="&amp;MIN(EOMONTH(DATE(Dashboard!$C$4,7,1),0),TODAY()))-SUMIFS(Transaksi!$F$16:$F$5015,Transaksi!$C$16:$C$5015,$A53,Transaksi!$D$16:$D$5015,"Pindah",Transaksi!$B$16:$B$5015,"&lt;="&amp;MIN(EOMONTH(DATE(Dashboard!$C$4,7,1),0),TODAY()))+SUMIFS(Transaksi!$F$16:$F$5015,Transaksi!$E$16:$E$5015,$A53,Transaksi!$D$16:$D$5015,"Pindah",Transaksi!$B$16:$B$5015,"&lt;="&amp;MIN(EOMONTH(DATE(Dashboard!$C$4,7,1),0),TODAY())))</f>
        <v/>
      </c>
      <c r="J53" s="106">
        <f>IF(OR($A53="",DATE(Dashboard!$C$4,8,1)&gt;TODAY(),ISNA(MATCH($B53,{"Pribadi","Investasi (kas RDN)","Piutang","Pinjaman Mama (dompet)"},0))),"",SUMIFS(Akun!$C$5:$C$104,Akun!$A$5:$A$104,$A53,Akun!$D$5:$D$104,"&lt;="&amp;MIN(EOMONTH(DATE(Dashboard!$C$4,8,1),0),TODAY()))+SUMIFS(Transaksi!$F$16:$F$5015,Transaksi!$C$16:$C$5015,$A53,Transaksi!$D$16:$D$5015,"Masuk",Transaksi!$B$16:$B$5015,"&lt;="&amp;MIN(EOMONTH(DATE(Dashboard!$C$4,8,1),0),TODAY()))-SUMIFS(Transaksi!$F$16:$F$5015,Transaksi!$C$16:$C$5015,$A53,Transaksi!$D$16:$D$5015,"Keluar",Transaksi!$B$16:$B$5015,"&lt;="&amp;MIN(EOMONTH(DATE(Dashboard!$C$4,8,1),0),TODAY()))-SUMIFS(Transaksi!$F$16:$F$5015,Transaksi!$C$16:$C$5015,$A53,Transaksi!$D$16:$D$5015,"Pindah",Transaksi!$B$16:$B$5015,"&lt;="&amp;MIN(EOMONTH(DATE(Dashboard!$C$4,8,1),0),TODAY()))+SUMIFS(Transaksi!$F$16:$F$5015,Transaksi!$E$16:$E$5015,$A53,Transaksi!$D$16:$D$5015,"Pindah",Transaksi!$B$16:$B$5015,"&lt;="&amp;MIN(EOMONTH(DATE(Dashboard!$C$4,8,1),0),TODAY())))</f>
        <v/>
      </c>
      <c r="K53" s="106">
        <f>IF(OR($A53="",DATE(Dashboard!$C$4,9,1)&gt;TODAY(),ISNA(MATCH($B53,{"Pribadi","Investasi (kas RDN)","Piutang","Pinjaman Mama (dompet)"},0))),"",SUMIFS(Akun!$C$5:$C$104,Akun!$A$5:$A$104,$A53,Akun!$D$5:$D$104,"&lt;="&amp;MIN(EOMONTH(DATE(Dashboard!$C$4,9,1),0),TODAY()))+SUMIFS(Transaksi!$F$16:$F$5015,Transaksi!$C$16:$C$5015,$A53,Transaksi!$D$16:$D$5015,"Masuk",Transaksi!$B$16:$B$5015,"&lt;="&amp;MIN(EOMONTH(DATE(Dashboard!$C$4,9,1),0),TODAY()))-SUMIFS(Transaksi!$F$16:$F$5015,Transaksi!$C$16:$C$5015,$A53,Transaksi!$D$16:$D$5015,"Keluar",Transaksi!$B$16:$B$5015,"&lt;="&amp;MIN(EOMONTH(DATE(Dashboard!$C$4,9,1),0),TODAY()))-SUMIFS(Transaksi!$F$16:$F$5015,Transaksi!$C$16:$C$5015,$A53,Transaksi!$D$16:$D$5015,"Pindah",Transaksi!$B$16:$B$5015,"&lt;="&amp;MIN(EOMONTH(DATE(Dashboard!$C$4,9,1),0),TODAY()))+SUMIFS(Transaksi!$F$16:$F$5015,Transaksi!$E$16:$E$5015,$A53,Transaksi!$D$16:$D$5015,"Pindah",Transaksi!$B$16:$B$5015,"&lt;="&amp;MIN(EOMONTH(DATE(Dashboard!$C$4,9,1),0),TODAY())))</f>
        <v/>
      </c>
      <c r="L53" s="106">
        <f>IF(OR($A53="",DATE(Dashboard!$C$4,10,1)&gt;TODAY(),ISNA(MATCH($B53,{"Pribadi","Investasi (kas RDN)","Piutang","Pinjaman Mama (dompet)"},0))),"",SUMIFS(Akun!$C$5:$C$104,Akun!$A$5:$A$104,$A53,Akun!$D$5:$D$104,"&lt;="&amp;MIN(EOMONTH(DATE(Dashboard!$C$4,10,1),0),TODAY()))+SUMIFS(Transaksi!$F$16:$F$5015,Transaksi!$C$16:$C$5015,$A53,Transaksi!$D$16:$D$5015,"Masuk",Transaksi!$B$16:$B$5015,"&lt;="&amp;MIN(EOMONTH(DATE(Dashboard!$C$4,10,1),0),TODAY()))-SUMIFS(Transaksi!$F$16:$F$5015,Transaksi!$C$16:$C$5015,$A53,Transaksi!$D$16:$D$5015,"Keluar",Transaksi!$B$16:$B$5015,"&lt;="&amp;MIN(EOMONTH(DATE(Dashboard!$C$4,10,1),0),TODAY()))-SUMIFS(Transaksi!$F$16:$F$5015,Transaksi!$C$16:$C$5015,$A53,Transaksi!$D$16:$D$5015,"Pindah",Transaksi!$B$16:$B$5015,"&lt;="&amp;MIN(EOMONTH(DATE(Dashboard!$C$4,10,1),0),TODAY()))+SUMIFS(Transaksi!$F$16:$F$5015,Transaksi!$E$16:$E$5015,$A53,Transaksi!$D$16:$D$5015,"Pindah",Transaksi!$B$16:$B$5015,"&lt;="&amp;MIN(EOMONTH(DATE(Dashboard!$C$4,10,1),0),TODAY())))</f>
        <v/>
      </c>
      <c r="M53" s="106">
        <f>IF(OR($A53="",DATE(Dashboard!$C$4,11,1)&gt;TODAY(),ISNA(MATCH($B53,{"Pribadi","Investasi (kas RDN)","Piutang","Pinjaman Mama (dompet)"},0))),"",SUMIFS(Akun!$C$5:$C$104,Akun!$A$5:$A$104,$A53,Akun!$D$5:$D$104,"&lt;="&amp;MIN(EOMONTH(DATE(Dashboard!$C$4,11,1),0),TODAY()))+SUMIFS(Transaksi!$F$16:$F$5015,Transaksi!$C$16:$C$5015,$A53,Transaksi!$D$16:$D$5015,"Masuk",Transaksi!$B$16:$B$5015,"&lt;="&amp;MIN(EOMONTH(DATE(Dashboard!$C$4,11,1),0),TODAY()))-SUMIFS(Transaksi!$F$16:$F$5015,Transaksi!$C$16:$C$5015,$A53,Transaksi!$D$16:$D$5015,"Keluar",Transaksi!$B$16:$B$5015,"&lt;="&amp;MIN(EOMONTH(DATE(Dashboard!$C$4,11,1),0),TODAY()))-SUMIFS(Transaksi!$F$16:$F$5015,Transaksi!$C$16:$C$5015,$A53,Transaksi!$D$16:$D$5015,"Pindah",Transaksi!$B$16:$B$5015,"&lt;="&amp;MIN(EOMONTH(DATE(Dashboard!$C$4,11,1),0),TODAY()))+SUMIFS(Transaksi!$F$16:$F$5015,Transaksi!$E$16:$E$5015,$A53,Transaksi!$D$16:$D$5015,"Pindah",Transaksi!$B$16:$B$5015,"&lt;="&amp;MIN(EOMONTH(DATE(Dashboard!$C$4,11,1),0),TODAY())))</f>
        <v/>
      </c>
      <c r="N53" s="106">
        <f>IF(OR($A53="",DATE(Dashboard!$C$4,12,1)&gt;TODAY(),ISNA(MATCH($B53,{"Pribadi","Investasi (kas RDN)","Piutang","Pinjaman Mama (dompet)"},0))),"",SUMIFS(Akun!$C$5:$C$104,Akun!$A$5:$A$104,$A53,Akun!$D$5:$D$104,"&lt;="&amp;MIN(EOMONTH(DATE(Dashboard!$C$4,12,1),0),TODAY()))+SUMIFS(Transaksi!$F$16:$F$5015,Transaksi!$C$16:$C$5015,$A53,Transaksi!$D$16:$D$5015,"Masuk",Transaksi!$B$16:$B$5015,"&lt;="&amp;MIN(EOMONTH(DATE(Dashboard!$C$4,12,1),0),TODAY()))-SUMIFS(Transaksi!$F$16:$F$5015,Transaksi!$C$16:$C$5015,$A53,Transaksi!$D$16:$D$5015,"Keluar",Transaksi!$B$16:$B$5015,"&lt;="&amp;MIN(EOMONTH(DATE(Dashboard!$C$4,12,1),0),TODAY()))-SUMIFS(Transaksi!$F$16:$F$5015,Transaksi!$C$16:$C$5015,$A53,Transaksi!$D$16:$D$5015,"Pindah",Transaksi!$B$16:$B$5015,"&lt;="&amp;MIN(EOMONTH(DATE(Dashboard!$C$4,12,1),0),TODAY()))+SUMIFS(Transaksi!$F$16:$F$5015,Transaksi!$E$16:$E$5015,$A53,Transaksi!$D$16:$D$5015,"Pindah",Transaksi!$B$16:$B$5015,"&lt;="&amp;MIN(EOMONTH(DATE(Dashboard!$C$4,12,1),0),TODAY())))</f>
        <v/>
      </c>
    </row>
    <row r="54" ht="15" customHeight="1" s="94">
      <c r="A54" s="93">
        <f>IF(Akun!$A$18="","",Akun!$A$18)</f>
        <v/>
      </c>
      <c r="B54" s="93">
        <f>IF(Akun!$A$18="","",Akun!$B$18)</f>
        <v/>
      </c>
      <c r="C54" s="106">
        <f>IF(OR($A54="",DATE(Dashboard!$C$4,1,1)&gt;TODAY(),ISNA(MATCH($B54,{"Pribadi","Investasi (kas RDN)","Piutang","Pinjaman Mama (dompet)"},0))),"",SUMIFS(Akun!$C$5:$C$104,Akun!$A$5:$A$104,$A54,Akun!$D$5:$D$104,"&lt;="&amp;MIN(EOMONTH(DATE(Dashboard!$C$4,1,1),0),TODAY()))+SUMIFS(Transaksi!$F$16:$F$5015,Transaksi!$C$16:$C$5015,$A54,Transaksi!$D$16:$D$5015,"Masuk",Transaksi!$B$16:$B$5015,"&lt;="&amp;MIN(EOMONTH(DATE(Dashboard!$C$4,1,1),0),TODAY()))-SUMIFS(Transaksi!$F$16:$F$5015,Transaksi!$C$16:$C$5015,$A54,Transaksi!$D$16:$D$5015,"Keluar",Transaksi!$B$16:$B$5015,"&lt;="&amp;MIN(EOMONTH(DATE(Dashboard!$C$4,1,1),0),TODAY()))-SUMIFS(Transaksi!$F$16:$F$5015,Transaksi!$C$16:$C$5015,$A54,Transaksi!$D$16:$D$5015,"Pindah",Transaksi!$B$16:$B$5015,"&lt;="&amp;MIN(EOMONTH(DATE(Dashboard!$C$4,1,1),0),TODAY()))+SUMIFS(Transaksi!$F$16:$F$5015,Transaksi!$E$16:$E$5015,$A54,Transaksi!$D$16:$D$5015,"Pindah",Transaksi!$B$16:$B$5015,"&lt;="&amp;MIN(EOMONTH(DATE(Dashboard!$C$4,1,1),0),TODAY())))</f>
        <v/>
      </c>
      <c r="D54" s="106">
        <f>IF(OR($A54="",DATE(Dashboard!$C$4,2,1)&gt;TODAY(),ISNA(MATCH($B54,{"Pribadi","Investasi (kas RDN)","Piutang","Pinjaman Mama (dompet)"},0))),"",SUMIFS(Akun!$C$5:$C$104,Akun!$A$5:$A$104,$A54,Akun!$D$5:$D$104,"&lt;="&amp;MIN(EOMONTH(DATE(Dashboard!$C$4,2,1),0),TODAY()))+SUMIFS(Transaksi!$F$16:$F$5015,Transaksi!$C$16:$C$5015,$A54,Transaksi!$D$16:$D$5015,"Masuk",Transaksi!$B$16:$B$5015,"&lt;="&amp;MIN(EOMONTH(DATE(Dashboard!$C$4,2,1),0),TODAY()))-SUMIFS(Transaksi!$F$16:$F$5015,Transaksi!$C$16:$C$5015,$A54,Transaksi!$D$16:$D$5015,"Keluar",Transaksi!$B$16:$B$5015,"&lt;="&amp;MIN(EOMONTH(DATE(Dashboard!$C$4,2,1),0),TODAY()))-SUMIFS(Transaksi!$F$16:$F$5015,Transaksi!$C$16:$C$5015,$A54,Transaksi!$D$16:$D$5015,"Pindah",Transaksi!$B$16:$B$5015,"&lt;="&amp;MIN(EOMONTH(DATE(Dashboard!$C$4,2,1),0),TODAY()))+SUMIFS(Transaksi!$F$16:$F$5015,Transaksi!$E$16:$E$5015,$A54,Transaksi!$D$16:$D$5015,"Pindah",Transaksi!$B$16:$B$5015,"&lt;="&amp;MIN(EOMONTH(DATE(Dashboard!$C$4,2,1),0),TODAY())))</f>
        <v/>
      </c>
      <c r="E54" s="106">
        <f>IF(OR($A54="",DATE(Dashboard!$C$4,3,1)&gt;TODAY(),ISNA(MATCH($B54,{"Pribadi","Investasi (kas RDN)","Piutang","Pinjaman Mama (dompet)"},0))),"",SUMIFS(Akun!$C$5:$C$104,Akun!$A$5:$A$104,$A54,Akun!$D$5:$D$104,"&lt;="&amp;MIN(EOMONTH(DATE(Dashboard!$C$4,3,1),0),TODAY()))+SUMIFS(Transaksi!$F$16:$F$5015,Transaksi!$C$16:$C$5015,$A54,Transaksi!$D$16:$D$5015,"Masuk",Transaksi!$B$16:$B$5015,"&lt;="&amp;MIN(EOMONTH(DATE(Dashboard!$C$4,3,1),0),TODAY()))-SUMIFS(Transaksi!$F$16:$F$5015,Transaksi!$C$16:$C$5015,$A54,Transaksi!$D$16:$D$5015,"Keluar",Transaksi!$B$16:$B$5015,"&lt;="&amp;MIN(EOMONTH(DATE(Dashboard!$C$4,3,1),0),TODAY()))-SUMIFS(Transaksi!$F$16:$F$5015,Transaksi!$C$16:$C$5015,$A54,Transaksi!$D$16:$D$5015,"Pindah",Transaksi!$B$16:$B$5015,"&lt;="&amp;MIN(EOMONTH(DATE(Dashboard!$C$4,3,1),0),TODAY()))+SUMIFS(Transaksi!$F$16:$F$5015,Transaksi!$E$16:$E$5015,$A54,Transaksi!$D$16:$D$5015,"Pindah",Transaksi!$B$16:$B$5015,"&lt;="&amp;MIN(EOMONTH(DATE(Dashboard!$C$4,3,1),0),TODAY())))</f>
        <v/>
      </c>
      <c r="F54" s="106">
        <f>IF(OR($A54="",DATE(Dashboard!$C$4,4,1)&gt;TODAY(),ISNA(MATCH($B54,{"Pribadi","Investasi (kas RDN)","Piutang","Pinjaman Mama (dompet)"},0))),"",SUMIFS(Akun!$C$5:$C$104,Akun!$A$5:$A$104,$A54,Akun!$D$5:$D$104,"&lt;="&amp;MIN(EOMONTH(DATE(Dashboard!$C$4,4,1),0),TODAY()))+SUMIFS(Transaksi!$F$16:$F$5015,Transaksi!$C$16:$C$5015,$A54,Transaksi!$D$16:$D$5015,"Masuk",Transaksi!$B$16:$B$5015,"&lt;="&amp;MIN(EOMONTH(DATE(Dashboard!$C$4,4,1),0),TODAY()))-SUMIFS(Transaksi!$F$16:$F$5015,Transaksi!$C$16:$C$5015,$A54,Transaksi!$D$16:$D$5015,"Keluar",Transaksi!$B$16:$B$5015,"&lt;="&amp;MIN(EOMONTH(DATE(Dashboard!$C$4,4,1),0),TODAY()))-SUMIFS(Transaksi!$F$16:$F$5015,Transaksi!$C$16:$C$5015,$A54,Transaksi!$D$16:$D$5015,"Pindah",Transaksi!$B$16:$B$5015,"&lt;="&amp;MIN(EOMONTH(DATE(Dashboard!$C$4,4,1),0),TODAY()))+SUMIFS(Transaksi!$F$16:$F$5015,Transaksi!$E$16:$E$5015,$A54,Transaksi!$D$16:$D$5015,"Pindah",Transaksi!$B$16:$B$5015,"&lt;="&amp;MIN(EOMONTH(DATE(Dashboard!$C$4,4,1),0),TODAY())))</f>
        <v/>
      </c>
      <c r="G54" s="106">
        <f>IF(OR($A54="",DATE(Dashboard!$C$4,5,1)&gt;TODAY(),ISNA(MATCH($B54,{"Pribadi","Investasi (kas RDN)","Piutang","Pinjaman Mama (dompet)"},0))),"",SUMIFS(Akun!$C$5:$C$104,Akun!$A$5:$A$104,$A54,Akun!$D$5:$D$104,"&lt;="&amp;MIN(EOMONTH(DATE(Dashboard!$C$4,5,1),0),TODAY()))+SUMIFS(Transaksi!$F$16:$F$5015,Transaksi!$C$16:$C$5015,$A54,Transaksi!$D$16:$D$5015,"Masuk",Transaksi!$B$16:$B$5015,"&lt;="&amp;MIN(EOMONTH(DATE(Dashboard!$C$4,5,1),0),TODAY()))-SUMIFS(Transaksi!$F$16:$F$5015,Transaksi!$C$16:$C$5015,$A54,Transaksi!$D$16:$D$5015,"Keluar",Transaksi!$B$16:$B$5015,"&lt;="&amp;MIN(EOMONTH(DATE(Dashboard!$C$4,5,1),0),TODAY()))-SUMIFS(Transaksi!$F$16:$F$5015,Transaksi!$C$16:$C$5015,$A54,Transaksi!$D$16:$D$5015,"Pindah",Transaksi!$B$16:$B$5015,"&lt;="&amp;MIN(EOMONTH(DATE(Dashboard!$C$4,5,1),0),TODAY()))+SUMIFS(Transaksi!$F$16:$F$5015,Transaksi!$E$16:$E$5015,$A54,Transaksi!$D$16:$D$5015,"Pindah",Transaksi!$B$16:$B$5015,"&lt;="&amp;MIN(EOMONTH(DATE(Dashboard!$C$4,5,1),0),TODAY())))</f>
        <v/>
      </c>
      <c r="H54" s="106">
        <f>IF(OR($A54="",DATE(Dashboard!$C$4,6,1)&gt;TODAY(),ISNA(MATCH($B54,{"Pribadi","Investasi (kas RDN)","Piutang","Pinjaman Mama (dompet)"},0))),"",SUMIFS(Akun!$C$5:$C$104,Akun!$A$5:$A$104,$A54,Akun!$D$5:$D$104,"&lt;="&amp;MIN(EOMONTH(DATE(Dashboard!$C$4,6,1),0),TODAY()))+SUMIFS(Transaksi!$F$16:$F$5015,Transaksi!$C$16:$C$5015,$A54,Transaksi!$D$16:$D$5015,"Masuk",Transaksi!$B$16:$B$5015,"&lt;="&amp;MIN(EOMONTH(DATE(Dashboard!$C$4,6,1),0),TODAY()))-SUMIFS(Transaksi!$F$16:$F$5015,Transaksi!$C$16:$C$5015,$A54,Transaksi!$D$16:$D$5015,"Keluar",Transaksi!$B$16:$B$5015,"&lt;="&amp;MIN(EOMONTH(DATE(Dashboard!$C$4,6,1),0),TODAY()))-SUMIFS(Transaksi!$F$16:$F$5015,Transaksi!$C$16:$C$5015,$A54,Transaksi!$D$16:$D$5015,"Pindah",Transaksi!$B$16:$B$5015,"&lt;="&amp;MIN(EOMONTH(DATE(Dashboard!$C$4,6,1),0),TODAY()))+SUMIFS(Transaksi!$F$16:$F$5015,Transaksi!$E$16:$E$5015,$A54,Transaksi!$D$16:$D$5015,"Pindah",Transaksi!$B$16:$B$5015,"&lt;="&amp;MIN(EOMONTH(DATE(Dashboard!$C$4,6,1),0),TODAY())))</f>
        <v/>
      </c>
      <c r="I54" s="106">
        <f>IF(OR($A54="",DATE(Dashboard!$C$4,7,1)&gt;TODAY(),ISNA(MATCH($B54,{"Pribadi","Investasi (kas RDN)","Piutang","Pinjaman Mama (dompet)"},0))),"",SUMIFS(Akun!$C$5:$C$104,Akun!$A$5:$A$104,$A54,Akun!$D$5:$D$104,"&lt;="&amp;MIN(EOMONTH(DATE(Dashboard!$C$4,7,1),0),TODAY()))+SUMIFS(Transaksi!$F$16:$F$5015,Transaksi!$C$16:$C$5015,$A54,Transaksi!$D$16:$D$5015,"Masuk",Transaksi!$B$16:$B$5015,"&lt;="&amp;MIN(EOMONTH(DATE(Dashboard!$C$4,7,1),0),TODAY()))-SUMIFS(Transaksi!$F$16:$F$5015,Transaksi!$C$16:$C$5015,$A54,Transaksi!$D$16:$D$5015,"Keluar",Transaksi!$B$16:$B$5015,"&lt;="&amp;MIN(EOMONTH(DATE(Dashboard!$C$4,7,1),0),TODAY()))-SUMIFS(Transaksi!$F$16:$F$5015,Transaksi!$C$16:$C$5015,$A54,Transaksi!$D$16:$D$5015,"Pindah",Transaksi!$B$16:$B$5015,"&lt;="&amp;MIN(EOMONTH(DATE(Dashboard!$C$4,7,1),0),TODAY()))+SUMIFS(Transaksi!$F$16:$F$5015,Transaksi!$E$16:$E$5015,$A54,Transaksi!$D$16:$D$5015,"Pindah",Transaksi!$B$16:$B$5015,"&lt;="&amp;MIN(EOMONTH(DATE(Dashboard!$C$4,7,1),0),TODAY())))</f>
        <v/>
      </c>
      <c r="J54" s="106">
        <f>IF(OR($A54="",DATE(Dashboard!$C$4,8,1)&gt;TODAY(),ISNA(MATCH($B54,{"Pribadi","Investasi (kas RDN)","Piutang","Pinjaman Mama (dompet)"},0))),"",SUMIFS(Akun!$C$5:$C$104,Akun!$A$5:$A$104,$A54,Akun!$D$5:$D$104,"&lt;="&amp;MIN(EOMONTH(DATE(Dashboard!$C$4,8,1),0),TODAY()))+SUMIFS(Transaksi!$F$16:$F$5015,Transaksi!$C$16:$C$5015,$A54,Transaksi!$D$16:$D$5015,"Masuk",Transaksi!$B$16:$B$5015,"&lt;="&amp;MIN(EOMONTH(DATE(Dashboard!$C$4,8,1),0),TODAY()))-SUMIFS(Transaksi!$F$16:$F$5015,Transaksi!$C$16:$C$5015,$A54,Transaksi!$D$16:$D$5015,"Keluar",Transaksi!$B$16:$B$5015,"&lt;="&amp;MIN(EOMONTH(DATE(Dashboard!$C$4,8,1),0),TODAY()))-SUMIFS(Transaksi!$F$16:$F$5015,Transaksi!$C$16:$C$5015,$A54,Transaksi!$D$16:$D$5015,"Pindah",Transaksi!$B$16:$B$5015,"&lt;="&amp;MIN(EOMONTH(DATE(Dashboard!$C$4,8,1),0),TODAY()))+SUMIFS(Transaksi!$F$16:$F$5015,Transaksi!$E$16:$E$5015,$A54,Transaksi!$D$16:$D$5015,"Pindah",Transaksi!$B$16:$B$5015,"&lt;="&amp;MIN(EOMONTH(DATE(Dashboard!$C$4,8,1),0),TODAY())))</f>
        <v/>
      </c>
      <c r="K54" s="106">
        <f>IF(OR($A54="",DATE(Dashboard!$C$4,9,1)&gt;TODAY(),ISNA(MATCH($B54,{"Pribadi","Investasi (kas RDN)","Piutang","Pinjaman Mama (dompet)"},0))),"",SUMIFS(Akun!$C$5:$C$104,Akun!$A$5:$A$104,$A54,Akun!$D$5:$D$104,"&lt;="&amp;MIN(EOMONTH(DATE(Dashboard!$C$4,9,1),0),TODAY()))+SUMIFS(Transaksi!$F$16:$F$5015,Transaksi!$C$16:$C$5015,$A54,Transaksi!$D$16:$D$5015,"Masuk",Transaksi!$B$16:$B$5015,"&lt;="&amp;MIN(EOMONTH(DATE(Dashboard!$C$4,9,1),0),TODAY()))-SUMIFS(Transaksi!$F$16:$F$5015,Transaksi!$C$16:$C$5015,$A54,Transaksi!$D$16:$D$5015,"Keluar",Transaksi!$B$16:$B$5015,"&lt;="&amp;MIN(EOMONTH(DATE(Dashboard!$C$4,9,1),0),TODAY()))-SUMIFS(Transaksi!$F$16:$F$5015,Transaksi!$C$16:$C$5015,$A54,Transaksi!$D$16:$D$5015,"Pindah",Transaksi!$B$16:$B$5015,"&lt;="&amp;MIN(EOMONTH(DATE(Dashboard!$C$4,9,1),0),TODAY()))+SUMIFS(Transaksi!$F$16:$F$5015,Transaksi!$E$16:$E$5015,$A54,Transaksi!$D$16:$D$5015,"Pindah",Transaksi!$B$16:$B$5015,"&lt;="&amp;MIN(EOMONTH(DATE(Dashboard!$C$4,9,1),0),TODAY())))</f>
        <v/>
      </c>
      <c r="L54" s="106">
        <f>IF(OR($A54="",DATE(Dashboard!$C$4,10,1)&gt;TODAY(),ISNA(MATCH($B54,{"Pribadi","Investasi (kas RDN)","Piutang","Pinjaman Mama (dompet)"},0))),"",SUMIFS(Akun!$C$5:$C$104,Akun!$A$5:$A$104,$A54,Akun!$D$5:$D$104,"&lt;="&amp;MIN(EOMONTH(DATE(Dashboard!$C$4,10,1),0),TODAY()))+SUMIFS(Transaksi!$F$16:$F$5015,Transaksi!$C$16:$C$5015,$A54,Transaksi!$D$16:$D$5015,"Masuk",Transaksi!$B$16:$B$5015,"&lt;="&amp;MIN(EOMONTH(DATE(Dashboard!$C$4,10,1),0),TODAY()))-SUMIFS(Transaksi!$F$16:$F$5015,Transaksi!$C$16:$C$5015,$A54,Transaksi!$D$16:$D$5015,"Keluar",Transaksi!$B$16:$B$5015,"&lt;="&amp;MIN(EOMONTH(DATE(Dashboard!$C$4,10,1),0),TODAY()))-SUMIFS(Transaksi!$F$16:$F$5015,Transaksi!$C$16:$C$5015,$A54,Transaksi!$D$16:$D$5015,"Pindah",Transaksi!$B$16:$B$5015,"&lt;="&amp;MIN(EOMONTH(DATE(Dashboard!$C$4,10,1),0),TODAY()))+SUMIFS(Transaksi!$F$16:$F$5015,Transaksi!$E$16:$E$5015,$A54,Transaksi!$D$16:$D$5015,"Pindah",Transaksi!$B$16:$B$5015,"&lt;="&amp;MIN(EOMONTH(DATE(Dashboard!$C$4,10,1),0),TODAY())))</f>
        <v/>
      </c>
      <c r="M54" s="106">
        <f>IF(OR($A54="",DATE(Dashboard!$C$4,11,1)&gt;TODAY(),ISNA(MATCH($B54,{"Pribadi","Investasi (kas RDN)","Piutang","Pinjaman Mama (dompet)"},0))),"",SUMIFS(Akun!$C$5:$C$104,Akun!$A$5:$A$104,$A54,Akun!$D$5:$D$104,"&lt;="&amp;MIN(EOMONTH(DATE(Dashboard!$C$4,11,1),0),TODAY()))+SUMIFS(Transaksi!$F$16:$F$5015,Transaksi!$C$16:$C$5015,$A54,Transaksi!$D$16:$D$5015,"Masuk",Transaksi!$B$16:$B$5015,"&lt;="&amp;MIN(EOMONTH(DATE(Dashboard!$C$4,11,1),0),TODAY()))-SUMIFS(Transaksi!$F$16:$F$5015,Transaksi!$C$16:$C$5015,$A54,Transaksi!$D$16:$D$5015,"Keluar",Transaksi!$B$16:$B$5015,"&lt;="&amp;MIN(EOMONTH(DATE(Dashboard!$C$4,11,1),0),TODAY()))-SUMIFS(Transaksi!$F$16:$F$5015,Transaksi!$C$16:$C$5015,$A54,Transaksi!$D$16:$D$5015,"Pindah",Transaksi!$B$16:$B$5015,"&lt;="&amp;MIN(EOMONTH(DATE(Dashboard!$C$4,11,1),0),TODAY()))+SUMIFS(Transaksi!$F$16:$F$5015,Transaksi!$E$16:$E$5015,$A54,Transaksi!$D$16:$D$5015,"Pindah",Transaksi!$B$16:$B$5015,"&lt;="&amp;MIN(EOMONTH(DATE(Dashboard!$C$4,11,1),0),TODAY())))</f>
        <v/>
      </c>
      <c r="N54" s="106">
        <f>IF(OR($A54="",DATE(Dashboard!$C$4,12,1)&gt;TODAY(),ISNA(MATCH($B54,{"Pribadi","Investasi (kas RDN)","Piutang","Pinjaman Mama (dompet)"},0))),"",SUMIFS(Akun!$C$5:$C$104,Akun!$A$5:$A$104,$A54,Akun!$D$5:$D$104,"&lt;="&amp;MIN(EOMONTH(DATE(Dashboard!$C$4,12,1),0),TODAY()))+SUMIFS(Transaksi!$F$16:$F$5015,Transaksi!$C$16:$C$5015,$A54,Transaksi!$D$16:$D$5015,"Masuk",Transaksi!$B$16:$B$5015,"&lt;="&amp;MIN(EOMONTH(DATE(Dashboard!$C$4,12,1),0),TODAY()))-SUMIFS(Transaksi!$F$16:$F$5015,Transaksi!$C$16:$C$5015,$A54,Transaksi!$D$16:$D$5015,"Keluar",Transaksi!$B$16:$B$5015,"&lt;="&amp;MIN(EOMONTH(DATE(Dashboard!$C$4,12,1),0),TODAY()))-SUMIFS(Transaksi!$F$16:$F$5015,Transaksi!$C$16:$C$5015,$A54,Transaksi!$D$16:$D$5015,"Pindah",Transaksi!$B$16:$B$5015,"&lt;="&amp;MIN(EOMONTH(DATE(Dashboard!$C$4,12,1),0),TODAY()))+SUMIFS(Transaksi!$F$16:$F$5015,Transaksi!$E$16:$E$5015,$A54,Transaksi!$D$16:$D$5015,"Pindah",Transaksi!$B$16:$B$5015,"&lt;="&amp;MIN(EOMONTH(DATE(Dashboard!$C$4,12,1),0),TODAY())))</f>
        <v/>
      </c>
    </row>
    <row r="55" ht="15" customHeight="1" s="94">
      <c r="A55" s="93">
        <f>IF(Akun!$A$19="","",Akun!$A$19)</f>
        <v/>
      </c>
      <c r="B55" s="93">
        <f>IF(Akun!$A$19="","",Akun!$B$19)</f>
        <v/>
      </c>
      <c r="C55" s="106">
        <f>IF(OR($A55="",DATE(Dashboard!$C$4,1,1)&gt;TODAY(),ISNA(MATCH($B55,{"Pribadi","Investasi (kas RDN)","Piutang","Pinjaman Mama (dompet)"},0))),"",SUMIFS(Akun!$C$5:$C$104,Akun!$A$5:$A$104,$A55,Akun!$D$5:$D$104,"&lt;="&amp;MIN(EOMONTH(DATE(Dashboard!$C$4,1,1),0),TODAY()))+SUMIFS(Transaksi!$F$16:$F$5015,Transaksi!$C$16:$C$5015,$A55,Transaksi!$D$16:$D$5015,"Masuk",Transaksi!$B$16:$B$5015,"&lt;="&amp;MIN(EOMONTH(DATE(Dashboard!$C$4,1,1),0),TODAY()))-SUMIFS(Transaksi!$F$16:$F$5015,Transaksi!$C$16:$C$5015,$A55,Transaksi!$D$16:$D$5015,"Keluar",Transaksi!$B$16:$B$5015,"&lt;="&amp;MIN(EOMONTH(DATE(Dashboard!$C$4,1,1),0),TODAY()))-SUMIFS(Transaksi!$F$16:$F$5015,Transaksi!$C$16:$C$5015,$A55,Transaksi!$D$16:$D$5015,"Pindah",Transaksi!$B$16:$B$5015,"&lt;="&amp;MIN(EOMONTH(DATE(Dashboard!$C$4,1,1),0),TODAY()))+SUMIFS(Transaksi!$F$16:$F$5015,Transaksi!$E$16:$E$5015,$A55,Transaksi!$D$16:$D$5015,"Pindah",Transaksi!$B$16:$B$5015,"&lt;="&amp;MIN(EOMONTH(DATE(Dashboard!$C$4,1,1),0),TODAY())))</f>
        <v/>
      </c>
      <c r="D55" s="106">
        <f>IF(OR($A55="",DATE(Dashboard!$C$4,2,1)&gt;TODAY(),ISNA(MATCH($B55,{"Pribadi","Investasi (kas RDN)","Piutang","Pinjaman Mama (dompet)"},0))),"",SUMIFS(Akun!$C$5:$C$104,Akun!$A$5:$A$104,$A55,Akun!$D$5:$D$104,"&lt;="&amp;MIN(EOMONTH(DATE(Dashboard!$C$4,2,1),0),TODAY()))+SUMIFS(Transaksi!$F$16:$F$5015,Transaksi!$C$16:$C$5015,$A55,Transaksi!$D$16:$D$5015,"Masuk",Transaksi!$B$16:$B$5015,"&lt;="&amp;MIN(EOMONTH(DATE(Dashboard!$C$4,2,1),0),TODAY()))-SUMIFS(Transaksi!$F$16:$F$5015,Transaksi!$C$16:$C$5015,$A55,Transaksi!$D$16:$D$5015,"Keluar",Transaksi!$B$16:$B$5015,"&lt;="&amp;MIN(EOMONTH(DATE(Dashboard!$C$4,2,1),0),TODAY()))-SUMIFS(Transaksi!$F$16:$F$5015,Transaksi!$C$16:$C$5015,$A55,Transaksi!$D$16:$D$5015,"Pindah",Transaksi!$B$16:$B$5015,"&lt;="&amp;MIN(EOMONTH(DATE(Dashboard!$C$4,2,1),0),TODAY()))+SUMIFS(Transaksi!$F$16:$F$5015,Transaksi!$E$16:$E$5015,$A55,Transaksi!$D$16:$D$5015,"Pindah",Transaksi!$B$16:$B$5015,"&lt;="&amp;MIN(EOMONTH(DATE(Dashboard!$C$4,2,1),0),TODAY())))</f>
        <v/>
      </c>
      <c r="E55" s="106">
        <f>IF(OR($A55="",DATE(Dashboard!$C$4,3,1)&gt;TODAY(),ISNA(MATCH($B55,{"Pribadi","Investasi (kas RDN)","Piutang","Pinjaman Mama (dompet)"},0))),"",SUMIFS(Akun!$C$5:$C$104,Akun!$A$5:$A$104,$A55,Akun!$D$5:$D$104,"&lt;="&amp;MIN(EOMONTH(DATE(Dashboard!$C$4,3,1),0),TODAY()))+SUMIFS(Transaksi!$F$16:$F$5015,Transaksi!$C$16:$C$5015,$A55,Transaksi!$D$16:$D$5015,"Masuk",Transaksi!$B$16:$B$5015,"&lt;="&amp;MIN(EOMONTH(DATE(Dashboard!$C$4,3,1),0),TODAY()))-SUMIFS(Transaksi!$F$16:$F$5015,Transaksi!$C$16:$C$5015,$A55,Transaksi!$D$16:$D$5015,"Keluar",Transaksi!$B$16:$B$5015,"&lt;="&amp;MIN(EOMONTH(DATE(Dashboard!$C$4,3,1),0),TODAY()))-SUMIFS(Transaksi!$F$16:$F$5015,Transaksi!$C$16:$C$5015,$A55,Transaksi!$D$16:$D$5015,"Pindah",Transaksi!$B$16:$B$5015,"&lt;="&amp;MIN(EOMONTH(DATE(Dashboard!$C$4,3,1),0),TODAY()))+SUMIFS(Transaksi!$F$16:$F$5015,Transaksi!$E$16:$E$5015,$A55,Transaksi!$D$16:$D$5015,"Pindah",Transaksi!$B$16:$B$5015,"&lt;="&amp;MIN(EOMONTH(DATE(Dashboard!$C$4,3,1),0),TODAY())))</f>
        <v/>
      </c>
      <c r="F55" s="106">
        <f>IF(OR($A55="",DATE(Dashboard!$C$4,4,1)&gt;TODAY(),ISNA(MATCH($B55,{"Pribadi","Investasi (kas RDN)","Piutang","Pinjaman Mama (dompet)"},0))),"",SUMIFS(Akun!$C$5:$C$104,Akun!$A$5:$A$104,$A55,Akun!$D$5:$D$104,"&lt;="&amp;MIN(EOMONTH(DATE(Dashboard!$C$4,4,1),0),TODAY()))+SUMIFS(Transaksi!$F$16:$F$5015,Transaksi!$C$16:$C$5015,$A55,Transaksi!$D$16:$D$5015,"Masuk",Transaksi!$B$16:$B$5015,"&lt;="&amp;MIN(EOMONTH(DATE(Dashboard!$C$4,4,1),0),TODAY()))-SUMIFS(Transaksi!$F$16:$F$5015,Transaksi!$C$16:$C$5015,$A55,Transaksi!$D$16:$D$5015,"Keluar",Transaksi!$B$16:$B$5015,"&lt;="&amp;MIN(EOMONTH(DATE(Dashboard!$C$4,4,1),0),TODAY()))-SUMIFS(Transaksi!$F$16:$F$5015,Transaksi!$C$16:$C$5015,$A55,Transaksi!$D$16:$D$5015,"Pindah",Transaksi!$B$16:$B$5015,"&lt;="&amp;MIN(EOMONTH(DATE(Dashboard!$C$4,4,1),0),TODAY()))+SUMIFS(Transaksi!$F$16:$F$5015,Transaksi!$E$16:$E$5015,$A55,Transaksi!$D$16:$D$5015,"Pindah",Transaksi!$B$16:$B$5015,"&lt;="&amp;MIN(EOMONTH(DATE(Dashboard!$C$4,4,1),0),TODAY())))</f>
        <v/>
      </c>
      <c r="G55" s="106">
        <f>IF(OR($A55="",DATE(Dashboard!$C$4,5,1)&gt;TODAY(),ISNA(MATCH($B55,{"Pribadi","Investasi (kas RDN)","Piutang","Pinjaman Mama (dompet)"},0))),"",SUMIFS(Akun!$C$5:$C$104,Akun!$A$5:$A$104,$A55,Akun!$D$5:$D$104,"&lt;="&amp;MIN(EOMONTH(DATE(Dashboard!$C$4,5,1),0),TODAY()))+SUMIFS(Transaksi!$F$16:$F$5015,Transaksi!$C$16:$C$5015,$A55,Transaksi!$D$16:$D$5015,"Masuk",Transaksi!$B$16:$B$5015,"&lt;="&amp;MIN(EOMONTH(DATE(Dashboard!$C$4,5,1),0),TODAY()))-SUMIFS(Transaksi!$F$16:$F$5015,Transaksi!$C$16:$C$5015,$A55,Transaksi!$D$16:$D$5015,"Keluar",Transaksi!$B$16:$B$5015,"&lt;="&amp;MIN(EOMONTH(DATE(Dashboard!$C$4,5,1),0),TODAY()))-SUMIFS(Transaksi!$F$16:$F$5015,Transaksi!$C$16:$C$5015,$A55,Transaksi!$D$16:$D$5015,"Pindah",Transaksi!$B$16:$B$5015,"&lt;="&amp;MIN(EOMONTH(DATE(Dashboard!$C$4,5,1),0),TODAY()))+SUMIFS(Transaksi!$F$16:$F$5015,Transaksi!$E$16:$E$5015,$A55,Transaksi!$D$16:$D$5015,"Pindah",Transaksi!$B$16:$B$5015,"&lt;="&amp;MIN(EOMONTH(DATE(Dashboard!$C$4,5,1),0),TODAY())))</f>
        <v/>
      </c>
      <c r="H55" s="106">
        <f>IF(OR($A55="",DATE(Dashboard!$C$4,6,1)&gt;TODAY(),ISNA(MATCH($B55,{"Pribadi","Investasi (kas RDN)","Piutang","Pinjaman Mama (dompet)"},0))),"",SUMIFS(Akun!$C$5:$C$104,Akun!$A$5:$A$104,$A55,Akun!$D$5:$D$104,"&lt;="&amp;MIN(EOMONTH(DATE(Dashboard!$C$4,6,1),0),TODAY()))+SUMIFS(Transaksi!$F$16:$F$5015,Transaksi!$C$16:$C$5015,$A55,Transaksi!$D$16:$D$5015,"Masuk",Transaksi!$B$16:$B$5015,"&lt;="&amp;MIN(EOMONTH(DATE(Dashboard!$C$4,6,1),0),TODAY()))-SUMIFS(Transaksi!$F$16:$F$5015,Transaksi!$C$16:$C$5015,$A55,Transaksi!$D$16:$D$5015,"Keluar",Transaksi!$B$16:$B$5015,"&lt;="&amp;MIN(EOMONTH(DATE(Dashboard!$C$4,6,1),0),TODAY()))-SUMIFS(Transaksi!$F$16:$F$5015,Transaksi!$C$16:$C$5015,$A55,Transaksi!$D$16:$D$5015,"Pindah",Transaksi!$B$16:$B$5015,"&lt;="&amp;MIN(EOMONTH(DATE(Dashboard!$C$4,6,1),0),TODAY()))+SUMIFS(Transaksi!$F$16:$F$5015,Transaksi!$E$16:$E$5015,$A55,Transaksi!$D$16:$D$5015,"Pindah",Transaksi!$B$16:$B$5015,"&lt;="&amp;MIN(EOMONTH(DATE(Dashboard!$C$4,6,1),0),TODAY())))</f>
        <v/>
      </c>
      <c r="I55" s="106">
        <f>IF(OR($A55="",DATE(Dashboard!$C$4,7,1)&gt;TODAY(),ISNA(MATCH($B55,{"Pribadi","Investasi (kas RDN)","Piutang","Pinjaman Mama (dompet)"},0))),"",SUMIFS(Akun!$C$5:$C$104,Akun!$A$5:$A$104,$A55,Akun!$D$5:$D$104,"&lt;="&amp;MIN(EOMONTH(DATE(Dashboard!$C$4,7,1),0),TODAY()))+SUMIFS(Transaksi!$F$16:$F$5015,Transaksi!$C$16:$C$5015,$A55,Transaksi!$D$16:$D$5015,"Masuk",Transaksi!$B$16:$B$5015,"&lt;="&amp;MIN(EOMONTH(DATE(Dashboard!$C$4,7,1),0),TODAY()))-SUMIFS(Transaksi!$F$16:$F$5015,Transaksi!$C$16:$C$5015,$A55,Transaksi!$D$16:$D$5015,"Keluar",Transaksi!$B$16:$B$5015,"&lt;="&amp;MIN(EOMONTH(DATE(Dashboard!$C$4,7,1),0),TODAY()))-SUMIFS(Transaksi!$F$16:$F$5015,Transaksi!$C$16:$C$5015,$A55,Transaksi!$D$16:$D$5015,"Pindah",Transaksi!$B$16:$B$5015,"&lt;="&amp;MIN(EOMONTH(DATE(Dashboard!$C$4,7,1),0),TODAY()))+SUMIFS(Transaksi!$F$16:$F$5015,Transaksi!$E$16:$E$5015,$A55,Transaksi!$D$16:$D$5015,"Pindah",Transaksi!$B$16:$B$5015,"&lt;="&amp;MIN(EOMONTH(DATE(Dashboard!$C$4,7,1),0),TODAY())))</f>
        <v/>
      </c>
      <c r="J55" s="106">
        <f>IF(OR($A55="",DATE(Dashboard!$C$4,8,1)&gt;TODAY(),ISNA(MATCH($B55,{"Pribadi","Investasi (kas RDN)","Piutang","Pinjaman Mama (dompet)"},0))),"",SUMIFS(Akun!$C$5:$C$104,Akun!$A$5:$A$104,$A55,Akun!$D$5:$D$104,"&lt;="&amp;MIN(EOMONTH(DATE(Dashboard!$C$4,8,1),0),TODAY()))+SUMIFS(Transaksi!$F$16:$F$5015,Transaksi!$C$16:$C$5015,$A55,Transaksi!$D$16:$D$5015,"Masuk",Transaksi!$B$16:$B$5015,"&lt;="&amp;MIN(EOMONTH(DATE(Dashboard!$C$4,8,1),0),TODAY()))-SUMIFS(Transaksi!$F$16:$F$5015,Transaksi!$C$16:$C$5015,$A55,Transaksi!$D$16:$D$5015,"Keluar",Transaksi!$B$16:$B$5015,"&lt;="&amp;MIN(EOMONTH(DATE(Dashboard!$C$4,8,1),0),TODAY()))-SUMIFS(Transaksi!$F$16:$F$5015,Transaksi!$C$16:$C$5015,$A55,Transaksi!$D$16:$D$5015,"Pindah",Transaksi!$B$16:$B$5015,"&lt;="&amp;MIN(EOMONTH(DATE(Dashboard!$C$4,8,1),0),TODAY()))+SUMIFS(Transaksi!$F$16:$F$5015,Transaksi!$E$16:$E$5015,$A55,Transaksi!$D$16:$D$5015,"Pindah",Transaksi!$B$16:$B$5015,"&lt;="&amp;MIN(EOMONTH(DATE(Dashboard!$C$4,8,1),0),TODAY())))</f>
        <v/>
      </c>
      <c r="K55" s="106">
        <f>IF(OR($A55="",DATE(Dashboard!$C$4,9,1)&gt;TODAY(),ISNA(MATCH($B55,{"Pribadi","Investasi (kas RDN)","Piutang","Pinjaman Mama (dompet)"},0))),"",SUMIFS(Akun!$C$5:$C$104,Akun!$A$5:$A$104,$A55,Akun!$D$5:$D$104,"&lt;="&amp;MIN(EOMONTH(DATE(Dashboard!$C$4,9,1),0),TODAY()))+SUMIFS(Transaksi!$F$16:$F$5015,Transaksi!$C$16:$C$5015,$A55,Transaksi!$D$16:$D$5015,"Masuk",Transaksi!$B$16:$B$5015,"&lt;="&amp;MIN(EOMONTH(DATE(Dashboard!$C$4,9,1),0),TODAY()))-SUMIFS(Transaksi!$F$16:$F$5015,Transaksi!$C$16:$C$5015,$A55,Transaksi!$D$16:$D$5015,"Keluar",Transaksi!$B$16:$B$5015,"&lt;="&amp;MIN(EOMONTH(DATE(Dashboard!$C$4,9,1),0),TODAY()))-SUMIFS(Transaksi!$F$16:$F$5015,Transaksi!$C$16:$C$5015,$A55,Transaksi!$D$16:$D$5015,"Pindah",Transaksi!$B$16:$B$5015,"&lt;="&amp;MIN(EOMONTH(DATE(Dashboard!$C$4,9,1),0),TODAY()))+SUMIFS(Transaksi!$F$16:$F$5015,Transaksi!$E$16:$E$5015,$A55,Transaksi!$D$16:$D$5015,"Pindah",Transaksi!$B$16:$B$5015,"&lt;="&amp;MIN(EOMONTH(DATE(Dashboard!$C$4,9,1),0),TODAY())))</f>
        <v/>
      </c>
      <c r="L55" s="106">
        <f>IF(OR($A55="",DATE(Dashboard!$C$4,10,1)&gt;TODAY(),ISNA(MATCH($B55,{"Pribadi","Investasi (kas RDN)","Piutang","Pinjaman Mama (dompet)"},0))),"",SUMIFS(Akun!$C$5:$C$104,Akun!$A$5:$A$104,$A55,Akun!$D$5:$D$104,"&lt;="&amp;MIN(EOMONTH(DATE(Dashboard!$C$4,10,1),0),TODAY()))+SUMIFS(Transaksi!$F$16:$F$5015,Transaksi!$C$16:$C$5015,$A55,Transaksi!$D$16:$D$5015,"Masuk",Transaksi!$B$16:$B$5015,"&lt;="&amp;MIN(EOMONTH(DATE(Dashboard!$C$4,10,1),0),TODAY()))-SUMIFS(Transaksi!$F$16:$F$5015,Transaksi!$C$16:$C$5015,$A55,Transaksi!$D$16:$D$5015,"Keluar",Transaksi!$B$16:$B$5015,"&lt;="&amp;MIN(EOMONTH(DATE(Dashboard!$C$4,10,1),0),TODAY()))-SUMIFS(Transaksi!$F$16:$F$5015,Transaksi!$C$16:$C$5015,$A55,Transaksi!$D$16:$D$5015,"Pindah",Transaksi!$B$16:$B$5015,"&lt;="&amp;MIN(EOMONTH(DATE(Dashboard!$C$4,10,1),0),TODAY()))+SUMIFS(Transaksi!$F$16:$F$5015,Transaksi!$E$16:$E$5015,$A55,Transaksi!$D$16:$D$5015,"Pindah",Transaksi!$B$16:$B$5015,"&lt;="&amp;MIN(EOMONTH(DATE(Dashboard!$C$4,10,1),0),TODAY())))</f>
        <v/>
      </c>
      <c r="M55" s="106">
        <f>IF(OR($A55="",DATE(Dashboard!$C$4,11,1)&gt;TODAY(),ISNA(MATCH($B55,{"Pribadi","Investasi (kas RDN)","Piutang","Pinjaman Mama (dompet)"},0))),"",SUMIFS(Akun!$C$5:$C$104,Akun!$A$5:$A$104,$A55,Akun!$D$5:$D$104,"&lt;="&amp;MIN(EOMONTH(DATE(Dashboard!$C$4,11,1),0),TODAY()))+SUMIFS(Transaksi!$F$16:$F$5015,Transaksi!$C$16:$C$5015,$A55,Transaksi!$D$16:$D$5015,"Masuk",Transaksi!$B$16:$B$5015,"&lt;="&amp;MIN(EOMONTH(DATE(Dashboard!$C$4,11,1),0),TODAY()))-SUMIFS(Transaksi!$F$16:$F$5015,Transaksi!$C$16:$C$5015,$A55,Transaksi!$D$16:$D$5015,"Keluar",Transaksi!$B$16:$B$5015,"&lt;="&amp;MIN(EOMONTH(DATE(Dashboard!$C$4,11,1),0),TODAY()))-SUMIFS(Transaksi!$F$16:$F$5015,Transaksi!$C$16:$C$5015,$A55,Transaksi!$D$16:$D$5015,"Pindah",Transaksi!$B$16:$B$5015,"&lt;="&amp;MIN(EOMONTH(DATE(Dashboard!$C$4,11,1),0),TODAY()))+SUMIFS(Transaksi!$F$16:$F$5015,Transaksi!$E$16:$E$5015,$A55,Transaksi!$D$16:$D$5015,"Pindah",Transaksi!$B$16:$B$5015,"&lt;="&amp;MIN(EOMONTH(DATE(Dashboard!$C$4,11,1),0),TODAY())))</f>
        <v/>
      </c>
      <c r="N55" s="106">
        <f>IF(OR($A55="",DATE(Dashboard!$C$4,12,1)&gt;TODAY(),ISNA(MATCH($B55,{"Pribadi","Investasi (kas RDN)","Piutang","Pinjaman Mama (dompet)"},0))),"",SUMIFS(Akun!$C$5:$C$104,Akun!$A$5:$A$104,$A55,Akun!$D$5:$D$104,"&lt;="&amp;MIN(EOMONTH(DATE(Dashboard!$C$4,12,1),0),TODAY()))+SUMIFS(Transaksi!$F$16:$F$5015,Transaksi!$C$16:$C$5015,$A55,Transaksi!$D$16:$D$5015,"Masuk",Transaksi!$B$16:$B$5015,"&lt;="&amp;MIN(EOMONTH(DATE(Dashboard!$C$4,12,1),0),TODAY()))-SUMIFS(Transaksi!$F$16:$F$5015,Transaksi!$C$16:$C$5015,$A55,Transaksi!$D$16:$D$5015,"Keluar",Transaksi!$B$16:$B$5015,"&lt;="&amp;MIN(EOMONTH(DATE(Dashboard!$C$4,12,1),0),TODAY()))-SUMIFS(Transaksi!$F$16:$F$5015,Transaksi!$C$16:$C$5015,$A55,Transaksi!$D$16:$D$5015,"Pindah",Transaksi!$B$16:$B$5015,"&lt;="&amp;MIN(EOMONTH(DATE(Dashboard!$C$4,12,1),0),TODAY()))+SUMIFS(Transaksi!$F$16:$F$5015,Transaksi!$E$16:$E$5015,$A55,Transaksi!$D$16:$D$5015,"Pindah",Transaksi!$B$16:$B$5015,"&lt;="&amp;MIN(EOMONTH(DATE(Dashboard!$C$4,12,1),0),TODAY())))</f>
        <v/>
      </c>
    </row>
    <row r="56" ht="15" customHeight="1" s="94">
      <c r="A56" s="93">
        <f>IF(Akun!$A$20="","",Akun!$A$20)</f>
        <v/>
      </c>
      <c r="B56" s="93">
        <f>IF(Akun!$A$20="","",Akun!$B$20)</f>
        <v/>
      </c>
      <c r="C56" s="106">
        <f>IF(OR($A56="",DATE(Dashboard!$C$4,1,1)&gt;TODAY(),ISNA(MATCH($B56,{"Pribadi","Investasi (kas RDN)","Piutang","Pinjaman Mama (dompet)"},0))),"",SUMIFS(Akun!$C$5:$C$104,Akun!$A$5:$A$104,$A56,Akun!$D$5:$D$104,"&lt;="&amp;MIN(EOMONTH(DATE(Dashboard!$C$4,1,1),0),TODAY()))+SUMIFS(Transaksi!$F$16:$F$5015,Transaksi!$C$16:$C$5015,$A56,Transaksi!$D$16:$D$5015,"Masuk",Transaksi!$B$16:$B$5015,"&lt;="&amp;MIN(EOMONTH(DATE(Dashboard!$C$4,1,1),0),TODAY()))-SUMIFS(Transaksi!$F$16:$F$5015,Transaksi!$C$16:$C$5015,$A56,Transaksi!$D$16:$D$5015,"Keluar",Transaksi!$B$16:$B$5015,"&lt;="&amp;MIN(EOMONTH(DATE(Dashboard!$C$4,1,1),0),TODAY()))-SUMIFS(Transaksi!$F$16:$F$5015,Transaksi!$C$16:$C$5015,$A56,Transaksi!$D$16:$D$5015,"Pindah",Transaksi!$B$16:$B$5015,"&lt;="&amp;MIN(EOMONTH(DATE(Dashboard!$C$4,1,1),0),TODAY()))+SUMIFS(Transaksi!$F$16:$F$5015,Transaksi!$E$16:$E$5015,$A56,Transaksi!$D$16:$D$5015,"Pindah",Transaksi!$B$16:$B$5015,"&lt;="&amp;MIN(EOMONTH(DATE(Dashboard!$C$4,1,1),0),TODAY())))</f>
        <v/>
      </c>
      <c r="D56" s="106">
        <f>IF(OR($A56="",DATE(Dashboard!$C$4,2,1)&gt;TODAY(),ISNA(MATCH($B56,{"Pribadi","Investasi (kas RDN)","Piutang","Pinjaman Mama (dompet)"},0))),"",SUMIFS(Akun!$C$5:$C$104,Akun!$A$5:$A$104,$A56,Akun!$D$5:$D$104,"&lt;="&amp;MIN(EOMONTH(DATE(Dashboard!$C$4,2,1),0),TODAY()))+SUMIFS(Transaksi!$F$16:$F$5015,Transaksi!$C$16:$C$5015,$A56,Transaksi!$D$16:$D$5015,"Masuk",Transaksi!$B$16:$B$5015,"&lt;="&amp;MIN(EOMONTH(DATE(Dashboard!$C$4,2,1),0),TODAY()))-SUMIFS(Transaksi!$F$16:$F$5015,Transaksi!$C$16:$C$5015,$A56,Transaksi!$D$16:$D$5015,"Keluar",Transaksi!$B$16:$B$5015,"&lt;="&amp;MIN(EOMONTH(DATE(Dashboard!$C$4,2,1),0),TODAY()))-SUMIFS(Transaksi!$F$16:$F$5015,Transaksi!$C$16:$C$5015,$A56,Transaksi!$D$16:$D$5015,"Pindah",Transaksi!$B$16:$B$5015,"&lt;="&amp;MIN(EOMONTH(DATE(Dashboard!$C$4,2,1),0),TODAY()))+SUMIFS(Transaksi!$F$16:$F$5015,Transaksi!$E$16:$E$5015,$A56,Transaksi!$D$16:$D$5015,"Pindah",Transaksi!$B$16:$B$5015,"&lt;="&amp;MIN(EOMONTH(DATE(Dashboard!$C$4,2,1),0),TODAY())))</f>
        <v/>
      </c>
      <c r="E56" s="106">
        <f>IF(OR($A56="",DATE(Dashboard!$C$4,3,1)&gt;TODAY(),ISNA(MATCH($B56,{"Pribadi","Investasi (kas RDN)","Piutang","Pinjaman Mama (dompet)"},0))),"",SUMIFS(Akun!$C$5:$C$104,Akun!$A$5:$A$104,$A56,Akun!$D$5:$D$104,"&lt;="&amp;MIN(EOMONTH(DATE(Dashboard!$C$4,3,1),0),TODAY()))+SUMIFS(Transaksi!$F$16:$F$5015,Transaksi!$C$16:$C$5015,$A56,Transaksi!$D$16:$D$5015,"Masuk",Transaksi!$B$16:$B$5015,"&lt;="&amp;MIN(EOMONTH(DATE(Dashboard!$C$4,3,1),0),TODAY()))-SUMIFS(Transaksi!$F$16:$F$5015,Transaksi!$C$16:$C$5015,$A56,Transaksi!$D$16:$D$5015,"Keluar",Transaksi!$B$16:$B$5015,"&lt;="&amp;MIN(EOMONTH(DATE(Dashboard!$C$4,3,1),0),TODAY()))-SUMIFS(Transaksi!$F$16:$F$5015,Transaksi!$C$16:$C$5015,$A56,Transaksi!$D$16:$D$5015,"Pindah",Transaksi!$B$16:$B$5015,"&lt;="&amp;MIN(EOMONTH(DATE(Dashboard!$C$4,3,1),0),TODAY()))+SUMIFS(Transaksi!$F$16:$F$5015,Transaksi!$E$16:$E$5015,$A56,Transaksi!$D$16:$D$5015,"Pindah",Transaksi!$B$16:$B$5015,"&lt;="&amp;MIN(EOMONTH(DATE(Dashboard!$C$4,3,1),0),TODAY())))</f>
        <v/>
      </c>
      <c r="F56" s="106">
        <f>IF(OR($A56="",DATE(Dashboard!$C$4,4,1)&gt;TODAY(),ISNA(MATCH($B56,{"Pribadi","Investasi (kas RDN)","Piutang","Pinjaman Mama (dompet)"},0))),"",SUMIFS(Akun!$C$5:$C$104,Akun!$A$5:$A$104,$A56,Akun!$D$5:$D$104,"&lt;="&amp;MIN(EOMONTH(DATE(Dashboard!$C$4,4,1),0),TODAY()))+SUMIFS(Transaksi!$F$16:$F$5015,Transaksi!$C$16:$C$5015,$A56,Transaksi!$D$16:$D$5015,"Masuk",Transaksi!$B$16:$B$5015,"&lt;="&amp;MIN(EOMONTH(DATE(Dashboard!$C$4,4,1),0),TODAY()))-SUMIFS(Transaksi!$F$16:$F$5015,Transaksi!$C$16:$C$5015,$A56,Transaksi!$D$16:$D$5015,"Keluar",Transaksi!$B$16:$B$5015,"&lt;="&amp;MIN(EOMONTH(DATE(Dashboard!$C$4,4,1),0),TODAY()))-SUMIFS(Transaksi!$F$16:$F$5015,Transaksi!$C$16:$C$5015,$A56,Transaksi!$D$16:$D$5015,"Pindah",Transaksi!$B$16:$B$5015,"&lt;="&amp;MIN(EOMONTH(DATE(Dashboard!$C$4,4,1),0),TODAY()))+SUMIFS(Transaksi!$F$16:$F$5015,Transaksi!$E$16:$E$5015,$A56,Transaksi!$D$16:$D$5015,"Pindah",Transaksi!$B$16:$B$5015,"&lt;="&amp;MIN(EOMONTH(DATE(Dashboard!$C$4,4,1),0),TODAY())))</f>
        <v/>
      </c>
      <c r="G56" s="106">
        <f>IF(OR($A56="",DATE(Dashboard!$C$4,5,1)&gt;TODAY(),ISNA(MATCH($B56,{"Pribadi","Investasi (kas RDN)","Piutang","Pinjaman Mama (dompet)"},0))),"",SUMIFS(Akun!$C$5:$C$104,Akun!$A$5:$A$104,$A56,Akun!$D$5:$D$104,"&lt;="&amp;MIN(EOMONTH(DATE(Dashboard!$C$4,5,1),0),TODAY()))+SUMIFS(Transaksi!$F$16:$F$5015,Transaksi!$C$16:$C$5015,$A56,Transaksi!$D$16:$D$5015,"Masuk",Transaksi!$B$16:$B$5015,"&lt;="&amp;MIN(EOMONTH(DATE(Dashboard!$C$4,5,1),0),TODAY()))-SUMIFS(Transaksi!$F$16:$F$5015,Transaksi!$C$16:$C$5015,$A56,Transaksi!$D$16:$D$5015,"Keluar",Transaksi!$B$16:$B$5015,"&lt;="&amp;MIN(EOMONTH(DATE(Dashboard!$C$4,5,1),0),TODAY()))-SUMIFS(Transaksi!$F$16:$F$5015,Transaksi!$C$16:$C$5015,$A56,Transaksi!$D$16:$D$5015,"Pindah",Transaksi!$B$16:$B$5015,"&lt;="&amp;MIN(EOMONTH(DATE(Dashboard!$C$4,5,1),0),TODAY()))+SUMIFS(Transaksi!$F$16:$F$5015,Transaksi!$E$16:$E$5015,$A56,Transaksi!$D$16:$D$5015,"Pindah",Transaksi!$B$16:$B$5015,"&lt;="&amp;MIN(EOMONTH(DATE(Dashboard!$C$4,5,1),0),TODAY())))</f>
        <v/>
      </c>
      <c r="H56" s="106">
        <f>IF(OR($A56="",DATE(Dashboard!$C$4,6,1)&gt;TODAY(),ISNA(MATCH($B56,{"Pribadi","Investasi (kas RDN)","Piutang","Pinjaman Mama (dompet)"},0))),"",SUMIFS(Akun!$C$5:$C$104,Akun!$A$5:$A$104,$A56,Akun!$D$5:$D$104,"&lt;="&amp;MIN(EOMONTH(DATE(Dashboard!$C$4,6,1),0),TODAY()))+SUMIFS(Transaksi!$F$16:$F$5015,Transaksi!$C$16:$C$5015,$A56,Transaksi!$D$16:$D$5015,"Masuk",Transaksi!$B$16:$B$5015,"&lt;="&amp;MIN(EOMONTH(DATE(Dashboard!$C$4,6,1),0),TODAY()))-SUMIFS(Transaksi!$F$16:$F$5015,Transaksi!$C$16:$C$5015,$A56,Transaksi!$D$16:$D$5015,"Keluar",Transaksi!$B$16:$B$5015,"&lt;="&amp;MIN(EOMONTH(DATE(Dashboard!$C$4,6,1),0),TODAY()))-SUMIFS(Transaksi!$F$16:$F$5015,Transaksi!$C$16:$C$5015,$A56,Transaksi!$D$16:$D$5015,"Pindah",Transaksi!$B$16:$B$5015,"&lt;="&amp;MIN(EOMONTH(DATE(Dashboard!$C$4,6,1),0),TODAY()))+SUMIFS(Transaksi!$F$16:$F$5015,Transaksi!$E$16:$E$5015,$A56,Transaksi!$D$16:$D$5015,"Pindah",Transaksi!$B$16:$B$5015,"&lt;="&amp;MIN(EOMONTH(DATE(Dashboard!$C$4,6,1),0),TODAY())))</f>
        <v/>
      </c>
      <c r="I56" s="106">
        <f>IF(OR($A56="",DATE(Dashboard!$C$4,7,1)&gt;TODAY(),ISNA(MATCH($B56,{"Pribadi","Investasi (kas RDN)","Piutang","Pinjaman Mama (dompet)"},0))),"",SUMIFS(Akun!$C$5:$C$104,Akun!$A$5:$A$104,$A56,Akun!$D$5:$D$104,"&lt;="&amp;MIN(EOMONTH(DATE(Dashboard!$C$4,7,1),0),TODAY()))+SUMIFS(Transaksi!$F$16:$F$5015,Transaksi!$C$16:$C$5015,$A56,Transaksi!$D$16:$D$5015,"Masuk",Transaksi!$B$16:$B$5015,"&lt;="&amp;MIN(EOMONTH(DATE(Dashboard!$C$4,7,1),0),TODAY()))-SUMIFS(Transaksi!$F$16:$F$5015,Transaksi!$C$16:$C$5015,$A56,Transaksi!$D$16:$D$5015,"Keluar",Transaksi!$B$16:$B$5015,"&lt;="&amp;MIN(EOMONTH(DATE(Dashboard!$C$4,7,1),0),TODAY()))-SUMIFS(Transaksi!$F$16:$F$5015,Transaksi!$C$16:$C$5015,$A56,Transaksi!$D$16:$D$5015,"Pindah",Transaksi!$B$16:$B$5015,"&lt;="&amp;MIN(EOMONTH(DATE(Dashboard!$C$4,7,1),0),TODAY()))+SUMIFS(Transaksi!$F$16:$F$5015,Transaksi!$E$16:$E$5015,$A56,Transaksi!$D$16:$D$5015,"Pindah",Transaksi!$B$16:$B$5015,"&lt;="&amp;MIN(EOMONTH(DATE(Dashboard!$C$4,7,1),0),TODAY())))</f>
        <v/>
      </c>
      <c r="J56" s="106">
        <f>IF(OR($A56="",DATE(Dashboard!$C$4,8,1)&gt;TODAY(),ISNA(MATCH($B56,{"Pribadi","Investasi (kas RDN)","Piutang","Pinjaman Mama (dompet)"},0))),"",SUMIFS(Akun!$C$5:$C$104,Akun!$A$5:$A$104,$A56,Akun!$D$5:$D$104,"&lt;="&amp;MIN(EOMONTH(DATE(Dashboard!$C$4,8,1),0),TODAY()))+SUMIFS(Transaksi!$F$16:$F$5015,Transaksi!$C$16:$C$5015,$A56,Transaksi!$D$16:$D$5015,"Masuk",Transaksi!$B$16:$B$5015,"&lt;="&amp;MIN(EOMONTH(DATE(Dashboard!$C$4,8,1),0),TODAY()))-SUMIFS(Transaksi!$F$16:$F$5015,Transaksi!$C$16:$C$5015,$A56,Transaksi!$D$16:$D$5015,"Keluar",Transaksi!$B$16:$B$5015,"&lt;="&amp;MIN(EOMONTH(DATE(Dashboard!$C$4,8,1),0),TODAY()))-SUMIFS(Transaksi!$F$16:$F$5015,Transaksi!$C$16:$C$5015,$A56,Transaksi!$D$16:$D$5015,"Pindah",Transaksi!$B$16:$B$5015,"&lt;="&amp;MIN(EOMONTH(DATE(Dashboard!$C$4,8,1),0),TODAY()))+SUMIFS(Transaksi!$F$16:$F$5015,Transaksi!$E$16:$E$5015,$A56,Transaksi!$D$16:$D$5015,"Pindah",Transaksi!$B$16:$B$5015,"&lt;="&amp;MIN(EOMONTH(DATE(Dashboard!$C$4,8,1),0),TODAY())))</f>
        <v/>
      </c>
      <c r="K56" s="106">
        <f>IF(OR($A56="",DATE(Dashboard!$C$4,9,1)&gt;TODAY(),ISNA(MATCH($B56,{"Pribadi","Investasi (kas RDN)","Piutang","Pinjaman Mama (dompet)"},0))),"",SUMIFS(Akun!$C$5:$C$104,Akun!$A$5:$A$104,$A56,Akun!$D$5:$D$104,"&lt;="&amp;MIN(EOMONTH(DATE(Dashboard!$C$4,9,1),0),TODAY()))+SUMIFS(Transaksi!$F$16:$F$5015,Transaksi!$C$16:$C$5015,$A56,Transaksi!$D$16:$D$5015,"Masuk",Transaksi!$B$16:$B$5015,"&lt;="&amp;MIN(EOMONTH(DATE(Dashboard!$C$4,9,1),0),TODAY()))-SUMIFS(Transaksi!$F$16:$F$5015,Transaksi!$C$16:$C$5015,$A56,Transaksi!$D$16:$D$5015,"Keluar",Transaksi!$B$16:$B$5015,"&lt;="&amp;MIN(EOMONTH(DATE(Dashboard!$C$4,9,1),0),TODAY()))-SUMIFS(Transaksi!$F$16:$F$5015,Transaksi!$C$16:$C$5015,$A56,Transaksi!$D$16:$D$5015,"Pindah",Transaksi!$B$16:$B$5015,"&lt;="&amp;MIN(EOMONTH(DATE(Dashboard!$C$4,9,1),0),TODAY()))+SUMIFS(Transaksi!$F$16:$F$5015,Transaksi!$E$16:$E$5015,$A56,Transaksi!$D$16:$D$5015,"Pindah",Transaksi!$B$16:$B$5015,"&lt;="&amp;MIN(EOMONTH(DATE(Dashboard!$C$4,9,1),0),TODAY())))</f>
        <v/>
      </c>
      <c r="L56" s="106">
        <f>IF(OR($A56="",DATE(Dashboard!$C$4,10,1)&gt;TODAY(),ISNA(MATCH($B56,{"Pribadi","Investasi (kas RDN)","Piutang","Pinjaman Mama (dompet)"},0))),"",SUMIFS(Akun!$C$5:$C$104,Akun!$A$5:$A$104,$A56,Akun!$D$5:$D$104,"&lt;="&amp;MIN(EOMONTH(DATE(Dashboard!$C$4,10,1),0),TODAY()))+SUMIFS(Transaksi!$F$16:$F$5015,Transaksi!$C$16:$C$5015,$A56,Transaksi!$D$16:$D$5015,"Masuk",Transaksi!$B$16:$B$5015,"&lt;="&amp;MIN(EOMONTH(DATE(Dashboard!$C$4,10,1),0),TODAY()))-SUMIFS(Transaksi!$F$16:$F$5015,Transaksi!$C$16:$C$5015,$A56,Transaksi!$D$16:$D$5015,"Keluar",Transaksi!$B$16:$B$5015,"&lt;="&amp;MIN(EOMONTH(DATE(Dashboard!$C$4,10,1),0),TODAY()))-SUMIFS(Transaksi!$F$16:$F$5015,Transaksi!$C$16:$C$5015,$A56,Transaksi!$D$16:$D$5015,"Pindah",Transaksi!$B$16:$B$5015,"&lt;="&amp;MIN(EOMONTH(DATE(Dashboard!$C$4,10,1),0),TODAY()))+SUMIFS(Transaksi!$F$16:$F$5015,Transaksi!$E$16:$E$5015,$A56,Transaksi!$D$16:$D$5015,"Pindah",Transaksi!$B$16:$B$5015,"&lt;="&amp;MIN(EOMONTH(DATE(Dashboard!$C$4,10,1),0),TODAY())))</f>
        <v/>
      </c>
      <c r="M56" s="106">
        <f>IF(OR($A56="",DATE(Dashboard!$C$4,11,1)&gt;TODAY(),ISNA(MATCH($B56,{"Pribadi","Investasi (kas RDN)","Piutang","Pinjaman Mama (dompet)"},0))),"",SUMIFS(Akun!$C$5:$C$104,Akun!$A$5:$A$104,$A56,Akun!$D$5:$D$104,"&lt;="&amp;MIN(EOMONTH(DATE(Dashboard!$C$4,11,1),0),TODAY()))+SUMIFS(Transaksi!$F$16:$F$5015,Transaksi!$C$16:$C$5015,$A56,Transaksi!$D$16:$D$5015,"Masuk",Transaksi!$B$16:$B$5015,"&lt;="&amp;MIN(EOMONTH(DATE(Dashboard!$C$4,11,1),0),TODAY()))-SUMIFS(Transaksi!$F$16:$F$5015,Transaksi!$C$16:$C$5015,$A56,Transaksi!$D$16:$D$5015,"Keluar",Transaksi!$B$16:$B$5015,"&lt;="&amp;MIN(EOMONTH(DATE(Dashboard!$C$4,11,1),0),TODAY()))-SUMIFS(Transaksi!$F$16:$F$5015,Transaksi!$C$16:$C$5015,$A56,Transaksi!$D$16:$D$5015,"Pindah",Transaksi!$B$16:$B$5015,"&lt;="&amp;MIN(EOMONTH(DATE(Dashboard!$C$4,11,1),0),TODAY()))+SUMIFS(Transaksi!$F$16:$F$5015,Transaksi!$E$16:$E$5015,$A56,Transaksi!$D$16:$D$5015,"Pindah",Transaksi!$B$16:$B$5015,"&lt;="&amp;MIN(EOMONTH(DATE(Dashboard!$C$4,11,1),0),TODAY())))</f>
        <v/>
      </c>
      <c r="N56" s="106">
        <f>IF(OR($A56="",DATE(Dashboard!$C$4,12,1)&gt;TODAY(),ISNA(MATCH($B56,{"Pribadi","Investasi (kas RDN)","Piutang","Pinjaman Mama (dompet)"},0))),"",SUMIFS(Akun!$C$5:$C$104,Akun!$A$5:$A$104,$A56,Akun!$D$5:$D$104,"&lt;="&amp;MIN(EOMONTH(DATE(Dashboard!$C$4,12,1),0),TODAY()))+SUMIFS(Transaksi!$F$16:$F$5015,Transaksi!$C$16:$C$5015,$A56,Transaksi!$D$16:$D$5015,"Masuk",Transaksi!$B$16:$B$5015,"&lt;="&amp;MIN(EOMONTH(DATE(Dashboard!$C$4,12,1),0),TODAY()))-SUMIFS(Transaksi!$F$16:$F$5015,Transaksi!$C$16:$C$5015,$A56,Transaksi!$D$16:$D$5015,"Keluar",Transaksi!$B$16:$B$5015,"&lt;="&amp;MIN(EOMONTH(DATE(Dashboard!$C$4,12,1),0),TODAY()))-SUMIFS(Transaksi!$F$16:$F$5015,Transaksi!$C$16:$C$5015,$A56,Transaksi!$D$16:$D$5015,"Pindah",Transaksi!$B$16:$B$5015,"&lt;="&amp;MIN(EOMONTH(DATE(Dashboard!$C$4,12,1),0),TODAY()))+SUMIFS(Transaksi!$F$16:$F$5015,Transaksi!$E$16:$E$5015,$A56,Transaksi!$D$16:$D$5015,"Pindah",Transaksi!$B$16:$B$5015,"&lt;="&amp;MIN(EOMONTH(DATE(Dashboard!$C$4,12,1),0),TODAY())))</f>
        <v/>
      </c>
    </row>
    <row r="57" ht="15" customHeight="1" s="94">
      <c r="A57" s="93">
        <f>IF(Akun!$A$21="","",Akun!$A$21)</f>
        <v/>
      </c>
      <c r="B57" s="93">
        <f>IF(Akun!$A$21="","",Akun!$B$21)</f>
        <v/>
      </c>
      <c r="C57" s="106">
        <f>IF(OR($A57="",DATE(Dashboard!$C$4,1,1)&gt;TODAY(),ISNA(MATCH($B57,{"Pribadi","Investasi (kas RDN)","Piutang","Pinjaman Mama (dompet)"},0))),"",SUMIFS(Akun!$C$5:$C$104,Akun!$A$5:$A$104,$A57,Akun!$D$5:$D$104,"&lt;="&amp;MIN(EOMONTH(DATE(Dashboard!$C$4,1,1),0),TODAY()))+SUMIFS(Transaksi!$F$16:$F$5015,Transaksi!$C$16:$C$5015,$A57,Transaksi!$D$16:$D$5015,"Masuk",Transaksi!$B$16:$B$5015,"&lt;="&amp;MIN(EOMONTH(DATE(Dashboard!$C$4,1,1),0),TODAY()))-SUMIFS(Transaksi!$F$16:$F$5015,Transaksi!$C$16:$C$5015,$A57,Transaksi!$D$16:$D$5015,"Keluar",Transaksi!$B$16:$B$5015,"&lt;="&amp;MIN(EOMONTH(DATE(Dashboard!$C$4,1,1),0),TODAY()))-SUMIFS(Transaksi!$F$16:$F$5015,Transaksi!$C$16:$C$5015,$A57,Transaksi!$D$16:$D$5015,"Pindah",Transaksi!$B$16:$B$5015,"&lt;="&amp;MIN(EOMONTH(DATE(Dashboard!$C$4,1,1),0),TODAY()))+SUMIFS(Transaksi!$F$16:$F$5015,Transaksi!$E$16:$E$5015,$A57,Transaksi!$D$16:$D$5015,"Pindah",Transaksi!$B$16:$B$5015,"&lt;="&amp;MIN(EOMONTH(DATE(Dashboard!$C$4,1,1),0),TODAY())))</f>
        <v/>
      </c>
      <c r="D57" s="106">
        <f>IF(OR($A57="",DATE(Dashboard!$C$4,2,1)&gt;TODAY(),ISNA(MATCH($B57,{"Pribadi","Investasi (kas RDN)","Piutang","Pinjaman Mama (dompet)"},0))),"",SUMIFS(Akun!$C$5:$C$104,Akun!$A$5:$A$104,$A57,Akun!$D$5:$D$104,"&lt;="&amp;MIN(EOMONTH(DATE(Dashboard!$C$4,2,1),0),TODAY()))+SUMIFS(Transaksi!$F$16:$F$5015,Transaksi!$C$16:$C$5015,$A57,Transaksi!$D$16:$D$5015,"Masuk",Transaksi!$B$16:$B$5015,"&lt;="&amp;MIN(EOMONTH(DATE(Dashboard!$C$4,2,1),0),TODAY()))-SUMIFS(Transaksi!$F$16:$F$5015,Transaksi!$C$16:$C$5015,$A57,Transaksi!$D$16:$D$5015,"Keluar",Transaksi!$B$16:$B$5015,"&lt;="&amp;MIN(EOMONTH(DATE(Dashboard!$C$4,2,1),0),TODAY()))-SUMIFS(Transaksi!$F$16:$F$5015,Transaksi!$C$16:$C$5015,$A57,Transaksi!$D$16:$D$5015,"Pindah",Transaksi!$B$16:$B$5015,"&lt;="&amp;MIN(EOMONTH(DATE(Dashboard!$C$4,2,1),0),TODAY()))+SUMIFS(Transaksi!$F$16:$F$5015,Transaksi!$E$16:$E$5015,$A57,Transaksi!$D$16:$D$5015,"Pindah",Transaksi!$B$16:$B$5015,"&lt;="&amp;MIN(EOMONTH(DATE(Dashboard!$C$4,2,1),0),TODAY())))</f>
        <v/>
      </c>
      <c r="E57" s="106">
        <f>IF(OR($A57="",DATE(Dashboard!$C$4,3,1)&gt;TODAY(),ISNA(MATCH($B57,{"Pribadi","Investasi (kas RDN)","Piutang","Pinjaman Mama (dompet)"},0))),"",SUMIFS(Akun!$C$5:$C$104,Akun!$A$5:$A$104,$A57,Akun!$D$5:$D$104,"&lt;="&amp;MIN(EOMONTH(DATE(Dashboard!$C$4,3,1),0),TODAY()))+SUMIFS(Transaksi!$F$16:$F$5015,Transaksi!$C$16:$C$5015,$A57,Transaksi!$D$16:$D$5015,"Masuk",Transaksi!$B$16:$B$5015,"&lt;="&amp;MIN(EOMONTH(DATE(Dashboard!$C$4,3,1),0),TODAY()))-SUMIFS(Transaksi!$F$16:$F$5015,Transaksi!$C$16:$C$5015,$A57,Transaksi!$D$16:$D$5015,"Keluar",Transaksi!$B$16:$B$5015,"&lt;="&amp;MIN(EOMONTH(DATE(Dashboard!$C$4,3,1),0),TODAY()))-SUMIFS(Transaksi!$F$16:$F$5015,Transaksi!$C$16:$C$5015,$A57,Transaksi!$D$16:$D$5015,"Pindah",Transaksi!$B$16:$B$5015,"&lt;="&amp;MIN(EOMONTH(DATE(Dashboard!$C$4,3,1),0),TODAY()))+SUMIFS(Transaksi!$F$16:$F$5015,Transaksi!$E$16:$E$5015,$A57,Transaksi!$D$16:$D$5015,"Pindah",Transaksi!$B$16:$B$5015,"&lt;="&amp;MIN(EOMONTH(DATE(Dashboard!$C$4,3,1),0),TODAY())))</f>
        <v/>
      </c>
      <c r="F57" s="106">
        <f>IF(OR($A57="",DATE(Dashboard!$C$4,4,1)&gt;TODAY(),ISNA(MATCH($B57,{"Pribadi","Investasi (kas RDN)","Piutang","Pinjaman Mama (dompet)"},0))),"",SUMIFS(Akun!$C$5:$C$104,Akun!$A$5:$A$104,$A57,Akun!$D$5:$D$104,"&lt;="&amp;MIN(EOMONTH(DATE(Dashboard!$C$4,4,1),0),TODAY()))+SUMIFS(Transaksi!$F$16:$F$5015,Transaksi!$C$16:$C$5015,$A57,Transaksi!$D$16:$D$5015,"Masuk",Transaksi!$B$16:$B$5015,"&lt;="&amp;MIN(EOMONTH(DATE(Dashboard!$C$4,4,1),0),TODAY()))-SUMIFS(Transaksi!$F$16:$F$5015,Transaksi!$C$16:$C$5015,$A57,Transaksi!$D$16:$D$5015,"Keluar",Transaksi!$B$16:$B$5015,"&lt;="&amp;MIN(EOMONTH(DATE(Dashboard!$C$4,4,1),0),TODAY()))-SUMIFS(Transaksi!$F$16:$F$5015,Transaksi!$C$16:$C$5015,$A57,Transaksi!$D$16:$D$5015,"Pindah",Transaksi!$B$16:$B$5015,"&lt;="&amp;MIN(EOMONTH(DATE(Dashboard!$C$4,4,1),0),TODAY()))+SUMIFS(Transaksi!$F$16:$F$5015,Transaksi!$E$16:$E$5015,$A57,Transaksi!$D$16:$D$5015,"Pindah",Transaksi!$B$16:$B$5015,"&lt;="&amp;MIN(EOMONTH(DATE(Dashboard!$C$4,4,1),0),TODAY())))</f>
        <v/>
      </c>
      <c r="G57" s="106">
        <f>IF(OR($A57="",DATE(Dashboard!$C$4,5,1)&gt;TODAY(),ISNA(MATCH($B57,{"Pribadi","Investasi (kas RDN)","Piutang","Pinjaman Mama (dompet)"},0))),"",SUMIFS(Akun!$C$5:$C$104,Akun!$A$5:$A$104,$A57,Akun!$D$5:$D$104,"&lt;="&amp;MIN(EOMONTH(DATE(Dashboard!$C$4,5,1),0),TODAY()))+SUMIFS(Transaksi!$F$16:$F$5015,Transaksi!$C$16:$C$5015,$A57,Transaksi!$D$16:$D$5015,"Masuk",Transaksi!$B$16:$B$5015,"&lt;="&amp;MIN(EOMONTH(DATE(Dashboard!$C$4,5,1),0),TODAY()))-SUMIFS(Transaksi!$F$16:$F$5015,Transaksi!$C$16:$C$5015,$A57,Transaksi!$D$16:$D$5015,"Keluar",Transaksi!$B$16:$B$5015,"&lt;="&amp;MIN(EOMONTH(DATE(Dashboard!$C$4,5,1),0),TODAY()))-SUMIFS(Transaksi!$F$16:$F$5015,Transaksi!$C$16:$C$5015,$A57,Transaksi!$D$16:$D$5015,"Pindah",Transaksi!$B$16:$B$5015,"&lt;="&amp;MIN(EOMONTH(DATE(Dashboard!$C$4,5,1),0),TODAY()))+SUMIFS(Transaksi!$F$16:$F$5015,Transaksi!$E$16:$E$5015,$A57,Transaksi!$D$16:$D$5015,"Pindah",Transaksi!$B$16:$B$5015,"&lt;="&amp;MIN(EOMONTH(DATE(Dashboard!$C$4,5,1),0),TODAY())))</f>
        <v/>
      </c>
      <c r="H57" s="106">
        <f>IF(OR($A57="",DATE(Dashboard!$C$4,6,1)&gt;TODAY(),ISNA(MATCH($B57,{"Pribadi","Investasi (kas RDN)","Piutang","Pinjaman Mama (dompet)"},0))),"",SUMIFS(Akun!$C$5:$C$104,Akun!$A$5:$A$104,$A57,Akun!$D$5:$D$104,"&lt;="&amp;MIN(EOMONTH(DATE(Dashboard!$C$4,6,1),0),TODAY()))+SUMIFS(Transaksi!$F$16:$F$5015,Transaksi!$C$16:$C$5015,$A57,Transaksi!$D$16:$D$5015,"Masuk",Transaksi!$B$16:$B$5015,"&lt;="&amp;MIN(EOMONTH(DATE(Dashboard!$C$4,6,1),0),TODAY()))-SUMIFS(Transaksi!$F$16:$F$5015,Transaksi!$C$16:$C$5015,$A57,Transaksi!$D$16:$D$5015,"Keluar",Transaksi!$B$16:$B$5015,"&lt;="&amp;MIN(EOMONTH(DATE(Dashboard!$C$4,6,1),0),TODAY()))-SUMIFS(Transaksi!$F$16:$F$5015,Transaksi!$C$16:$C$5015,$A57,Transaksi!$D$16:$D$5015,"Pindah",Transaksi!$B$16:$B$5015,"&lt;="&amp;MIN(EOMONTH(DATE(Dashboard!$C$4,6,1),0),TODAY()))+SUMIFS(Transaksi!$F$16:$F$5015,Transaksi!$E$16:$E$5015,$A57,Transaksi!$D$16:$D$5015,"Pindah",Transaksi!$B$16:$B$5015,"&lt;="&amp;MIN(EOMONTH(DATE(Dashboard!$C$4,6,1),0),TODAY())))</f>
        <v/>
      </c>
      <c r="I57" s="106">
        <f>IF(OR($A57="",DATE(Dashboard!$C$4,7,1)&gt;TODAY(),ISNA(MATCH($B57,{"Pribadi","Investasi (kas RDN)","Piutang","Pinjaman Mama (dompet)"},0))),"",SUMIFS(Akun!$C$5:$C$104,Akun!$A$5:$A$104,$A57,Akun!$D$5:$D$104,"&lt;="&amp;MIN(EOMONTH(DATE(Dashboard!$C$4,7,1),0),TODAY()))+SUMIFS(Transaksi!$F$16:$F$5015,Transaksi!$C$16:$C$5015,$A57,Transaksi!$D$16:$D$5015,"Masuk",Transaksi!$B$16:$B$5015,"&lt;="&amp;MIN(EOMONTH(DATE(Dashboard!$C$4,7,1),0),TODAY()))-SUMIFS(Transaksi!$F$16:$F$5015,Transaksi!$C$16:$C$5015,$A57,Transaksi!$D$16:$D$5015,"Keluar",Transaksi!$B$16:$B$5015,"&lt;="&amp;MIN(EOMONTH(DATE(Dashboard!$C$4,7,1),0),TODAY()))-SUMIFS(Transaksi!$F$16:$F$5015,Transaksi!$C$16:$C$5015,$A57,Transaksi!$D$16:$D$5015,"Pindah",Transaksi!$B$16:$B$5015,"&lt;="&amp;MIN(EOMONTH(DATE(Dashboard!$C$4,7,1),0),TODAY()))+SUMIFS(Transaksi!$F$16:$F$5015,Transaksi!$E$16:$E$5015,$A57,Transaksi!$D$16:$D$5015,"Pindah",Transaksi!$B$16:$B$5015,"&lt;="&amp;MIN(EOMONTH(DATE(Dashboard!$C$4,7,1),0),TODAY())))</f>
        <v/>
      </c>
      <c r="J57" s="106">
        <f>IF(OR($A57="",DATE(Dashboard!$C$4,8,1)&gt;TODAY(),ISNA(MATCH($B57,{"Pribadi","Investasi (kas RDN)","Piutang","Pinjaman Mama (dompet)"},0))),"",SUMIFS(Akun!$C$5:$C$104,Akun!$A$5:$A$104,$A57,Akun!$D$5:$D$104,"&lt;="&amp;MIN(EOMONTH(DATE(Dashboard!$C$4,8,1),0),TODAY()))+SUMIFS(Transaksi!$F$16:$F$5015,Transaksi!$C$16:$C$5015,$A57,Transaksi!$D$16:$D$5015,"Masuk",Transaksi!$B$16:$B$5015,"&lt;="&amp;MIN(EOMONTH(DATE(Dashboard!$C$4,8,1),0),TODAY()))-SUMIFS(Transaksi!$F$16:$F$5015,Transaksi!$C$16:$C$5015,$A57,Transaksi!$D$16:$D$5015,"Keluar",Transaksi!$B$16:$B$5015,"&lt;="&amp;MIN(EOMONTH(DATE(Dashboard!$C$4,8,1),0),TODAY()))-SUMIFS(Transaksi!$F$16:$F$5015,Transaksi!$C$16:$C$5015,$A57,Transaksi!$D$16:$D$5015,"Pindah",Transaksi!$B$16:$B$5015,"&lt;="&amp;MIN(EOMONTH(DATE(Dashboard!$C$4,8,1),0),TODAY()))+SUMIFS(Transaksi!$F$16:$F$5015,Transaksi!$E$16:$E$5015,$A57,Transaksi!$D$16:$D$5015,"Pindah",Transaksi!$B$16:$B$5015,"&lt;="&amp;MIN(EOMONTH(DATE(Dashboard!$C$4,8,1),0),TODAY())))</f>
        <v/>
      </c>
      <c r="K57" s="106">
        <f>IF(OR($A57="",DATE(Dashboard!$C$4,9,1)&gt;TODAY(),ISNA(MATCH($B57,{"Pribadi","Investasi (kas RDN)","Piutang","Pinjaman Mama (dompet)"},0))),"",SUMIFS(Akun!$C$5:$C$104,Akun!$A$5:$A$104,$A57,Akun!$D$5:$D$104,"&lt;="&amp;MIN(EOMONTH(DATE(Dashboard!$C$4,9,1),0),TODAY()))+SUMIFS(Transaksi!$F$16:$F$5015,Transaksi!$C$16:$C$5015,$A57,Transaksi!$D$16:$D$5015,"Masuk",Transaksi!$B$16:$B$5015,"&lt;="&amp;MIN(EOMONTH(DATE(Dashboard!$C$4,9,1),0),TODAY()))-SUMIFS(Transaksi!$F$16:$F$5015,Transaksi!$C$16:$C$5015,$A57,Transaksi!$D$16:$D$5015,"Keluar",Transaksi!$B$16:$B$5015,"&lt;="&amp;MIN(EOMONTH(DATE(Dashboard!$C$4,9,1),0),TODAY()))-SUMIFS(Transaksi!$F$16:$F$5015,Transaksi!$C$16:$C$5015,$A57,Transaksi!$D$16:$D$5015,"Pindah",Transaksi!$B$16:$B$5015,"&lt;="&amp;MIN(EOMONTH(DATE(Dashboard!$C$4,9,1),0),TODAY()))+SUMIFS(Transaksi!$F$16:$F$5015,Transaksi!$E$16:$E$5015,$A57,Transaksi!$D$16:$D$5015,"Pindah",Transaksi!$B$16:$B$5015,"&lt;="&amp;MIN(EOMONTH(DATE(Dashboard!$C$4,9,1),0),TODAY())))</f>
        <v/>
      </c>
      <c r="L57" s="106">
        <f>IF(OR($A57="",DATE(Dashboard!$C$4,10,1)&gt;TODAY(),ISNA(MATCH($B57,{"Pribadi","Investasi (kas RDN)","Piutang","Pinjaman Mama (dompet)"},0))),"",SUMIFS(Akun!$C$5:$C$104,Akun!$A$5:$A$104,$A57,Akun!$D$5:$D$104,"&lt;="&amp;MIN(EOMONTH(DATE(Dashboard!$C$4,10,1),0),TODAY()))+SUMIFS(Transaksi!$F$16:$F$5015,Transaksi!$C$16:$C$5015,$A57,Transaksi!$D$16:$D$5015,"Masuk",Transaksi!$B$16:$B$5015,"&lt;="&amp;MIN(EOMONTH(DATE(Dashboard!$C$4,10,1),0),TODAY()))-SUMIFS(Transaksi!$F$16:$F$5015,Transaksi!$C$16:$C$5015,$A57,Transaksi!$D$16:$D$5015,"Keluar",Transaksi!$B$16:$B$5015,"&lt;="&amp;MIN(EOMONTH(DATE(Dashboard!$C$4,10,1),0),TODAY()))-SUMIFS(Transaksi!$F$16:$F$5015,Transaksi!$C$16:$C$5015,$A57,Transaksi!$D$16:$D$5015,"Pindah",Transaksi!$B$16:$B$5015,"&lt;="&amp;MIN(EOMONTH(DATE(Dashboard!$C$4,10,1),0),TODAY()))+SUMIFS(Transaksi!$F$16:$F$5015,Transaksi!$E$16:$E$5015,$A57,Transaksi!$D$16:$D$5015,"Pindah",Transaksi!$B$16:$B$5015,"&lt;="&amp;MIN(EOMONTH(DATE(Dashboard!$C$4,10,1),0),TODAY())))</f>
        <v/>
      </c>
      <c r="M57" s="106">
        <f>IF(OR($A57="",DATE(Dashboard!$C$4,11,1)&gt;TODAY(),ISNA(MATCH($B57,{"Pribadi","Investasi (kas RDN)","Piutang","Pinjaman Mama (dompet)"},0))),"",SUMIFS(Akun!$C$5:$C$104,Akun!$A$5:$A$104,$A57,Akun!$D$5:$D$104,"&lt;="&amp;MIN(EOMONTH(DATE(Dashboard!$C$4,11,1),0),TODAY()))+SUMIFS(Transaksi!$F$16:$F$5015,Transaksi!$C$16:$C$5015,$A57,Transaksi!$D$16:$D$5015,"Masuk",Transaksi!$B$16:$B$5015,"&lt;="&amp;MIN(EOMONTH(DATE(Dashboard!$C$4,11,1),0),TODAY()))-SUMIFS(Transaksi!$F$16:$F$5015,Transaksi!$C$16:$C$5015,$A57,Transaksi!$D$16:$D$5015,"Keluar",Transaksi!$B$16:$B$5015,"&lt;="&amp;MIN(EOMONTH(DATE(Dashboard!$C$4,11,1),0),TODAY()))-SUMIFS(Transaksi!$F$16:$F$5015,Transaksi!$C$16:$C$5015,$A57,Transaksi!$D$16:$D$5015,"Pindah",Transaksi!$B$16:$B$5015,"&lt;="&amp;MIN(EOMONTH(DATE(Dashboard!$C$4,11,1),0),TODAY()))+SUMIFS(Transaksi!$F$16:$F$5015,Transaksi!$E$16:$E$5015,$A57,Transaksi!$D$16:$D$5015,"Pindah",Transaksi!$B$16:$B$5015,"&lt;="&amp;MIN(EOMONTH(DATE(Dashboard!$C$4,11,1),0),TODAY())))</f>
        <v/>
      </c>
      <c r="N57" s="106">
        <f>IF(OR($A57="",DATE(Dashboard!$C$4,12,1)&gt;TODAY(),ISNA(MATCH($B57,{"Pribadi","Investasi (kas RDN)","Piutang","Pinjaman Mama (dompet)"},0))),"",SUMIFS(Akun!$C$5:$C$104,Akun!$A$5:$A$104,$A57,Akun!$D$5:$D$104,"&lt;="&amp;MIN(EOMONTH(DATE(Dashboard!$C$4,12,1),0),TODAY()))+SUMIFS(Transaksi!$F$16:$F$5015,Transaksi!$C$16:$C$5015,$A57,Transaksi!$D$16:$D$5015,"Masuk",Transaksi!$B$16:$B$5015,"&lt;="&amp;MIN(EOMONTH(DATE(Dashboard!$C$4,12,1),0),TODAY()))-SUMIFS(Transaksi!$F$16:$F$5015,Transaksi!$C$16:$C$5015,$A57,Transaksi!$D$16:$D$5015,"Keluar",Transaksi!$B$16:$B$5015,"&lt;="&amp;MIN(EOMONTH(DATE(Dashboard!$C$4,12,1),0),TODAY()))-SUMIFS(Transaksi!$F$16:$F$5015,Transaksi!$C$16:$C$5015,$A57,Transaksi!$D$16:$D$5015,"Pindah",Transaksi!$B$16:$B$5015,"&lt;="&amp;MIN(EOMONTH(DATE(Dashboard!$C$4,12,1),0),TODAY()))+SUMIFS(Transaksi!$F$16:$F$5015,Transaksi!$E$16:$E$5015,$A57,Transaksi!$D$16:$D$5015,"Pindah",Transaksi!$B$16:$B$5015,"&lt;="&amp;MIN(EOMONTH(DATE(Dashboard!$C$4,12,1),0),TODAY())))</f>
        <v/>
      </c>
    </row>
    <row r="58" ht="15" customHeight="1" s="94">
      <c r="A58" s="93">
        <f>IF(Akun!$A$22="","",Akun!$A$22)</f>
        <v/>
      </c>
      <c r="B58" s="93">
        <f>IF(Akun!$A$22="","",Akun!$B$22)</f>
        <v/>
      </c>
      <c r="C58" s="106">
        <f>IF(OR($A58="",DATE(Dashboard!$C$4,1,1)&gt;TODAY(),ISNA(MATCH($B58,{"Pribadi","Investasi (kas RDN)","Piutang","Pinjaman Mama (dompet)"},0))),"",SUMIFS(Akun!$C$5:$C$104,Akun!$A$5:$A$104,$A58,Akun!$D$5:$D$104,"&lt;="&amp;MIN(EOMONTH(DATE(Dashboard!$C$4,1,1),0),TODAY()))+SUMIFS(Transaksi!$F$16:$F$5015,Transaksi!$C$16:$C$5015,$A58,Transaksi!$D$16:$D$5015,"Masuk",Transaksi!$B$16:$B$5015,"&lt;="&amp;MIN(EOMONTH(DATE(Dashboard!$C$4,1,1),0),TODAY()))-SUMIFS(Transaksi!$F$16:$F$5015,Transaksi!$C$16:$C$5015,$A58,Transaksi!$D$16:$D$5015,"Keluar",Transaksi!$B$16:$B$5015,"&lt;="&amp;MIN(EOMONTH(DATE(Dashboard!$C$4,1,1),0),TODAY()))-SUMIFS(Transaksi!$F$16:$F$5015,Transaksi!$C$16:$C$5015,$A58,Transaksi!$D$16:$D$5015,"Pindah",Transaksi!$B$16:$B$5015,"&lt;="&amp;MIN(EOMONTH(DATE(Dashboard!$C$4,1,1),0),TODAY()))+SUMIFS(Transaksi!$F$16:$F$5015,Transaksi!$E$16:$E$5015,$A58,Transaksi!$D$16:$D$5015,"Pindah",Transaksi!$B$16:$B$5015,"&lt;="&amp;MIN(EOMONTH(DATE(Dashboard!$C$4,1,1),0),TODAY())))</f>
        <v/>
      </c>
      <c r="D58" s="106">
        <f>IF(OR($A58="",DATE(Dashboard!$C$4,2,1)&gt;TODAY(),ISNA(MATCH($B58,{"Pribadi","Investasi (kas RDN)","Piutang","Pinjaman Mama (dompet)"},0))),"",SUMIFS(Akun!$C$5:$C$104,Akun!$A$5:$A$104,$A58,Akun!$D$5:$D$104,"&lt;="&amp;MIN(EOMONTH(DATE(Dashboard!$C$4,2,1),0),TODAY()))+SUMIFS(Transaksi!$F$16:$F$5015,Transaksi!$C$16:$C$5015,$A58,Transaksi!$D$16:$D$5015,"Masuk",Transaksi!$B$16:$B$5015,"&lt;="&amp;MIN(EOMONTH(DATE(Dashboard!$C$4,2,1),0),TODAY()))-SUMIFS(Transaksi!$F$16:$F$5015,Transaksi!$C$16:$C$5015,$A58,Transaksi!$D$16:$D$5015,"Keluar",Transaksi!$B$16:$B$5015,"&lt;="&amp;MIN(EOMONTH(DATE(Dashboard!$C$4,2,1),0),TODAY()))-SUMIFS(Transaksi!$F$16:$F$5015,Transaksi!$C$16:$C$5015,$A58,Transaksi!$D$16:$D$5015,"Pindah",Transaksi!$B$16:$B$5015,"&lt;="&amp;MIN(EOMONTH(DATE(Dashboard!$C$4,2,1),0),TODAY()))+SUMIFS(Transaksi!$F$16:$F$5015,Transaksi!$E$16:$E$5015,$A58,Transaksi!$D$16:$D$5015,"Pindah",Transaksi!$B$16:$B$5015,"&lt;="&amp;MIN(EOMONTH(DATE(Dashboard!$C$4,2,1),0),TODAY())))</f>
        <v/>
      </c>
      <c r="E58" s="106">
        <f>IF(OR($A58="",DATE(Dashboard!$C$4,3,1)&gt;TODAY(),ISNA(MATCH($B58,{"Pribadi","Investasi (kas RDN)","Piutang","Pinjaman Mama (dompet)"},0))),"",SUMIFS(Akun!$C$5:$C$104,Akun!$A$5:$A$104,$A58,Akun!$D$5:$D$104,"&lt;="&amp;MIN(EOMONTH(DATE(Dashboard!$C$4,3,1),0),TODAY()))+SUMIFS(Transaksi!$F$16:$F$5015,Transaksi!$C$16:$C$5015,$A58,Transaksi!$D$16:$D$5015,"Masuk",Transaksi!$B$16:$B$5015,"&lt;="&amp;MIN(EOMONTH(DATE(Dashboard!$C$4,3,1),0),TODAY()))-SUMIFS(Transaksi!$F$16:$F$5015,Transaksi!$C$16:$C$5015,$A58,Transaksi!$D$16:$D$5015,"Keluar",Transaksi!$B$16:$B$5015,"&lt;="&amp;MIN(EOMONTH(DATE(Dashboard!$C$4,3,1),0),TODAY()))-SUMIFS(Transaksi!$F$16:$F$5015,Transaksi!$C$16:$C$5015,$A58,Transaksi!$D$16:$D$5015,"Pindah",Transaksi!$B$16:$B$5015,"&lt;="&amp;MIN(EOMONTH(DATE(Dashboard!$C$4,3,1),0),TODAY()))+SUMIFS(Transaksi!$F$16:$F$5015,Transaksi!$E$16:$E$5015,$A58,Transaksi!$D$16:$D$5015,"Pindah",Transaksi!$B$16:$B$5015,"&lt;="&amp;MIN(EOMONTH(DATE(Dashboard!$C$4,3,1),0),TODAY())))</f>
        <v/>
      </c>
      <c r="F58" s="106">
        <f>IF(OR($A58="",DATE(Dashboard!$C$4,4,1)&gt;TODAY(),ISNA(MATCH($B58,{"Pribadi","Investasi (kas RDN)","Piutang","Pinjaman Mama (dompet)"},0))),"",SUMIFS(Akun!$C$5:$C$104,Akun!$A$5:$A$104,$A58,Akun!$D$5:$D$104,"&lt;="&amp;MIN(EOMONTH(DATE(Dashboard!$C$4,4,1),0),TODAY()))+SUMIFS(Transaksi!$F$16:$F$5015,Transaksi!$C$16:$C$5015,$A58,Transaksi!$D$16:$D$5015,"Masuk",Transaksi!$B$16:$B$5015,"&lt;="&amp;MIN(EOMONTH(DATE(Dashboard!$C$4,4,1),0),TODAY()))-SUMIFS(Transaksi!$F$16:$F$5015,Transaksi!$C$16:$C$5015,$A58,Transaksi!$D$16:$D$5015,"Keluar",Transaksi!$B$16:$B$5015,"&lt;="&amp;MIN(EOMONTH(DATE(Dashboard!$C$4,4,1),0),TODAY()))-SUMIFS(Transaksi!$F$16:$F$5015,Transaksi!$C$16:$C$5015,$A58,Transaksi!$D$16:$D$5015,"Pindah",Transaksi!$B$16:$B$5015,"&lt;="&amp;MIN(EOMONTH(DATE(Dashboard!$C$4,4,1),0),TODAY()))+SUMIFS(Transaksi!$F$16:$F$5015,Transaksi!$E$16:$E$5015,$A58,Transaksi!$D$16:$D$5015,"Pindah",Transaksi!$B$16:$B$5015,"&lt;="&amp;MIN(EOMONTH(DATE(Dashboard!$C$4,4,1),0),TODAY())))</f>
        <v/>
      </c>
      <c r="G58" s="106">
        <f>IF(OR($A58="",DATE(Dashboard!$C$4,5,1)&gt;TODAY(),ISNA(MATCH($B58,{"Pribadi","Investasi (kas RDN)","Piutang","Pinjaman Mama (dompet)"},0))),"",SUMIFS(Akun!$C$5:$C$104,Akun!$A$5:$A$104,$A58,Akun!$D$5:$D$104,"&lt;="&amp;MIN(EOMONTH(DATE(Dashboard!$C$4,5,1),0),TODAY()))+SUMIFS(Transaksi!$F$16:$F$5015,Transaksi!$C$16:$C$5015,$A58,Transaksi!$D$16:$D$5015,"Masuk",Transaksi!$B$16:$B$5015,"&lt;="&amp;MIN(EOMONTH(DATE(Dashboard!$C$4,5,1),0),TODAY()))-SUMIFS(Transaksi!$F$16:$F$5015,Transaksi!$C$16:$C$5015,$A58,Transaksi!$D$16:$D$5015,"Keluar",Transaksi!$B$16:$B$5015,"&lt;="&amp;MIN(EOMONTH(DATE(Dashboard!$C$4,5,1),0),TODAY()))-SUMIFS(Transaksi!$F$16:$F$5015,Transaksi!$C$16:$C$5015,$A58,Transaksi!$D$16:$D$5015,"Pindah",Transaksi!$B$16:$B$5015,"&lt;="&amp;MIN(EOMONTH(DATE(Dashboard!$C$4,5,1),0),TODAY()))+SUMIFS(Transaksi!$F$16:$F$5015,Transaksi!$E$16:$E$5015,$A58,Transaksi!$D$16:$D$5015,"Pindah",Transaksi!$B$16:$B$5015,"&lt;="&amp;MIN(EOMONTH(DATE(Dashboard!$C$4,5,1),0),TODAY())))</f>
        <v/>
      </c>
      <c r="H58" s="106">
        <f>IF(OR($A58="",DATE(Dashboard!$C$4,6,1)&gt;TODAY(),ISNA(MATCH($B58,{"Pribadi","Investasi (kas RDN)","Piutang","Pinjaman Mama (dompet)"},0))),"",SUMIFS(Akun!$C$5:$C$104,Akun!$A$5:$A$104,$A58,Akun!$D$5:$D$104,"&lt;="&amp;MIN(EOMONTH(DATE(Dashboard!$C$4,6,1),0),TODAY()))+SUMIFS(Transaksi!$F$16:$F$5015,Transaksi!$C$16:$C$5015,$A58,Transaksi!$D$16:$D$5015,"Masuk",Transaksi!$B$16:$B$5015,"&lt;="&amp;MIN(EOMONTH(DATE(Dashboard!$C$4,6,1),0),TODAY()))-SUMIFS(Transaksi!$F$16:$F$5015,Transaksi!$C$16:$C$5015,$A58,Transaksi!$D$16:$D$5015,"Keluar",Transaksi!$B$16:$B$5015,"&lt;="&amp;MIN(EOMONTH(DATE(Dashboard!$C$4,6,1),0),TODAY()))-SUMIFS(Transaksi!$F$16:$F$5015,Transaksi!$C$16:$C$5015,$A58,Transaksi!$D$16:$D$5015,"Pindah",Transaksi!$B$16:$B$5015,"&lt;="&amp;MIN(EOMONTH(DATE(Dashboard!$C$4,6,1),0),TODAY()))+SUMIFS(Transaksi!$F$16:$F$5015,Transaksi!$E$16:$E$5015,$A58,Transaksi!$D$16:$D$5015,"Pindah",Transaksi!$B$16:$B$5015,"&lt;="&amp;MIN(EOMONTH(DATE(Dashboard!$C$4,6,1),0),TODAY())))</f>
        <v/>
      </c>
      <c r="I58" s="106">
        <f>IF(OR($A58="",DATE(Dashboard!$C$4,7,1)&gt;TODAY(),ISNA(MATCH($B58,{"Pribadi","Investasi (kas RDN)","Piutang","Pinjaman Mama (dompet)"},0))),"",SUMIFS(Akun!$C$5:$C$104,Akun!$A$5:$A$104,$A58,Akun!$D$5:$D$104,"&lt;="&amp;MIN(EOMONTH(DATE(Dashboard!$C$4,7,1),0),TODAY()))+SUMIFS(Transaksi!$F$16:$F$5015,Transaksi!$C$16:$C$5015,$A58,Transaksi!$D$16:$D$5015,"Masuk",Transaksi!$B$16:$B$5015,"&lt;="&amp;MIN(EOMONTH(DATE(Dashboard!$C$4,7,1),0),TODAY()))-SUMIFS(Transaksi!$F$16:$F$5015,Transaksi!$C$16:$C$5015,$A58,Transaksi!$D$16:$D$5015,"Keluar",Transaksi!$B$16:$B$5015,"&lt;="&amp;MIN(EOMONTH(DATE(Dashboard!$C$4,7,1),0),TODAY()))-SUMIFS(Transaksi!$F$16:$F$5015,Transaksi!$C$16:$C$5015,$A58,Transaksi!$D$16:$D$5015,"Pindah",Transaksi!$B$16:$B$5015,"&lt;="&amp;MIN(EOMONTH(DATE(Dashboard!$C$4,7,1),0),TODAY()))+SUMIFS(Transaksi!$F$16:$F$5015,Transaksi!$E$16:$E$5015,$A58,Transaksi!$D$16:$D$5015,"Pindah",Transaksi!$B$16:$B$5015,"&lt;="&amp;MIN(EOMONTH(DATE(Dashboard!$C$4,7,1),0),TODAY())))</f>
        <v/>
      </c>
      <c r="J58" s="106">
        <f>IF(OR($A58="",DATE(Dashboard!$C$4,8,1)&gt;TODAY(),ISNA(MATCH($B58,{"Pribadi","Investasi (kas RDN)","Piutang","Pinjaman Mama (dompet)"},0))),"",SUMIFS(Akun!$C$5:$C$104,Akun!$A$5:$A$104,$A58,Akun!$D$5:$D$104,"&lt;="&amp;MIN(EOMONTH(DATE(Dashboard!$C$4,8,1),0),TODAY()))+SUMIFS(Transaksi!$F$16:$F$5015,Transaksi!$C$16:$C$5015,$A58,Transaksi!$D$16:$D$5015,"Masuk",Transaksi!$B$16:$B$5015,"&lt;="&amp;MIN(EOMONTH(DATE(Dashboard!$C$4,8,1),0),TODAY()))-SUMIFS(Transaksi!$F$16:$F$5015,Transaksi!$C$16:$C$5015,$A58,Transaksi!$D$16:$D$5015,"Keluar",Transaksi!$B$16:$B$5015,"&lt;="&amp;MIN(EOMONTH(DATE(Dashboard!$C$4,8,1),0),TODAY()))-SUMIFS(Transaksi!$F$16:$F$5015,Transaksi!$C$16:$C$5015,$A58,Transaksi!$D$16:$D$5015,"Pindah",Transaksi!$B$16:$B$5015,"&lt;="&amp;MIN(EOMONTH(DATE(Dashboard!$C$4,8,1),0),TODAY()))+SUMIFS(Transaksi!$F$16:$F$5015,Transaksi!$E$16:$E$5015,$A58,Transaksi!$D$16:$D$5015,"Pindah",Transaksi!$B$16:$B$5015,"&lt;="&amp;MIN(EOMONTH(DATE(Dashboard!$C$4,8,1),0),TODAY())))</f>
        <v/>
      </c>
      <c r="K58" s="106">
        <f>IF(OR($A58="",DATE(Dashboard!$C$4,9,1)&gt;TODAY(),ISNA(MATCH($B58,{"Pribadi","Investasi (kas RDN)","Piutang","Pinjaman Mama (dompet)"},0))),"",SUMIFS(Akun!$C$5:$C$104,Akun!$A$5:$A$104,$A58,Akun!$D$5:$D$104,"&lt;="&amp;MIN(EOMONTH(DATE(Dashboard!$C$4,9,1),0),TODAY()))+SUMIFS(Transaksi!$F$16:$F$5015,Transaksi!$C$16:$C$5015,$A58,Transaksi!$D$16:$D$5015,"Masuk",Transaksi!$B$16:$B$5015,"&lt;="&amp;MIN(EOMONTH(DATE(Dashboard!$C$4,9,1),0),TODAY()))-SUMIFS(Transaksi!$F$16:$F$5015,Transaksi!$C$16:$C$5015,$A58,Transaksi!$D$16:$D$5015,"Keluar",Transaksi!$B$16:$B$5015,"&lt;="&amp;MIN(EOMONTH(DATE(Dashboard!$C$4,9,1),0),TODAY()))-SUMIFS(Transaksi!$F$16:$F$5015,Transaksi!$C$16:$C$5015,$A58,Transaksi!$D$16:$D$5015,"Pindah",Transaksi!$B$16:$B$5015,"&lt;="&amp;MIN(EOMONTH(DATE(Dashboard!$C$4,9,1),0),TODAY()))+SUMIFS(Transaksi!$F$16:$F$5015,Transaksi!$E$16:$E$5015,$A58,Transaksi!$D$16:$D$5015,"Pindah",Transaksi!$B$16:$B$5015,"&lt;="&amp;MIN(EOMONTH(DATE(Dashboard!$C$4,9,1),0),TODAY())))</f>
        <v/>
      </c>
      <c r="L58" s="106">
        <f>IF(OR($A58="",DATE(Dashboard!$C$4,10,1)&gt;TODAY(),ISNA(MATCH($B58,{"Pribadi","Investasi (kas RDN)","Piutang","Pinjaman Mama (dompet)"},0))),"",SUMIFS(Akun!$C$5:$C$104,Akun!$A$5:$A$104,$A58,Akun!$D$5:$D$104,"&lt;="&amp;MIN(EOMONTH(DATE(Dashboard!$C$4,10,1),0),TODAY()))+SUMIFS(Transaksi!$F$16:$F$5015,Transaksi!$C$16:$C$5015,$A58,Transaksi!$D$16:$D$5015,"Masuk",Transaksi!$B$16:$B$5015,"&lt;="&amp;MIN(EOMONTH(DATE(Dashboard!$C$4,10,1),0),TODAY()))-SUMIFS(Transaksi!$F$16:$F$5015,Transaksi!$C$16:$C$5015,$A58,Transaksi!$D$16:$D$5015,"Keluar",Transaksi!$B$16:$B$5015,"&lt;="&amp;MIN(EOMONTH(DATE(Dashboard!$C$4,10,1),0),TODAY()))-SUMIFS(Transaksi!$F$16:$F$5015,Transaksi!$C$16:$C$5015,$A58,Transaksi!$D$16:$D$5015,"Pindah",Transaksi!$B$16:$B$5015,"&lt;="&amp;MIN(EOMONTH(DATE(Dashboard!$C$4,10,1),0),TODAY()))+SUMIFS(Transaksi!$F$16:$F$5015,Transaksi!$E$16:$E$5015,$A58,Transaksi!$D$16:$D$5015,"Pindah",Transaksi!$B$16:$B$5015,"&lt;="&amp;MIN(EOMONTH(DATE(Dashboard!$C$4,10,1),0),TODAY())))</f>
        <v/>
      </c>
      <c r="M58" s="106">
        <f>IF(OR($A58="",DATE(Dashboard!$C$4,11,1)&gt;TODAY(),ISNA(MATCH($B58,{"Pribadi","Investasi (kas RDN)","Piutang","Pinjaman Mama (dompet)"},0))),"",SUMIFS(Akun!$C$5:$C$104,Akun!$A$5:$A$104,$A58,Akun!$D$5:$D$104,"&lt;="&amp;MIN(EOMONTH(DATE(Dashboard!$C$4,11,1),0),TODAY()))+SUMIFS(Transaksi!$F$16:$F$5015,Transaksi!$C$16:$C$5015,$A58,Transaksi!$D$16:$D$5015,"Masuk",Transaksi!$B$16:$B$5015,"&lt;="&amp;MIN(EOMONTH(DATE(Dashboard!$C$4,11,1),0),TODAY()))-SUMIFS(Transaksi!$F$16:$F$5015,Transaksi!$C$16:$C$5015,$A58,Transaksi!$D$16:$D$5015,"Keluar",Transaksi!$B$16:$B$5015,"&lt;="&amp;MIN(EOMONTH(DATE(Dashboard!$C$4,11,1),0),TODAY()))-SUMIFS(Transaksi!$F$16:$F$5015,Transaksi!$C$16:$C$5015,$A58,Transaksi!$D$16:$D$5015,"Pindah",Transaksi!$B$16:$B$5015,"&lt;="&amp;MIN(EOMONTH(DATE(Dashboard!$C$4,11,1),0),TODAY()))+SUMIFS(Transaksi!$F$16:$F$5015,Transaksi!$E$16:$E$5015,$A58,Transaksi!$D$16:$D$5015,"Pindah",Transaksi!$B$16:$B$5015,"&lt;="&amp;MIN(EOMONTH(DATE(Dashboard!$C$4,11,1),0),TODAY())))</f>
        <v/>
      </c>
      <c r="N58" s="106">
        <f>IF(OR($A58="",DATE(Dashboard!$C$4,12,1)&gt;TODAY(),ISNA(MATCH($B58,{"Pribadi","Investasi (kas RDN)","Piutang","Pinjaman Mama (dompet)"},0))),"",SUMIFS(Akun!$C$5:$C$104,Akun!$A$5:$A$104,$A58,Akun!$D$5:$D$104,"&lt;="&amp;MIN(EOMONTH(DATE(Dashboard!$C$4,12,1),0),TODAY()))+SUMIFS(Transaksi!$F$16:$F$5015,Transaksi!$C$16:$C$5015,$A58,Transaksi!$D$16:$D$5015,"Masuk",Transaksi!$B$16:$B$5015,"&lt;="&amp;MIN(EOMONTH(DATE(Dashboard!$C$4,12,1),0),TODAY()))-SUMIFS(Transaksi!$F$16:$F$5015,Transaksi!$C$16:$C$5015,$A58,Transaksi!$D$16:$D$5015,"Keluar",Transaksi!$B$16:$B$5015,"&lt;="&amp;MIN(EOMONTH(DATE(Dashboard!$C$4,12,1),0),TODAY()))-SUMIFS(Transaksi!$F$16:$F$5015,Transaksi!$C$16:$C$5015,$A58,Transaksi!$D$16:$D$5015,"Pindah",Transaksi!$B$16:$B$5015,"&lt;="&amp;MIN(EOMONTH(DATE(Dashboard!$C$4,12,1),0),TODAY()))+SUMIFS(Transaksi!$F$16:$F$5015,Transaksi!$E$16:$E$5015,$A58,Transaksi!$D$16:$D$5015,"Pindah",Transaksi!$B$16:$B$5015,"&lt;="&amp;MIN(EOMONTH(DATE(Dashboard!$C$4,12,1),0),TODAY())))</f>
        <v/>
      </c>
    </row>
    <row r="59" ht="15" customHeight="1" s="94">
      <c r="A59" s="93">
        <f>IF(Akun!$A$23="","",Akun!$A$23)</f>
        <v/>
      </c>
      <c r="B59" s="93">
        <f>IF(Akun!$A$23="","",Akun!$B$23)</f>
        <v/>
      </c>
      <c r="C59" s="106">
        <f>IF(OR($A59="",DATE(Dashboard!$C$4,1,1)&gt;TODAY(),ISNA(MATCH($B59,{"Pribadi","Investasi (kas RDN)","Piutang","Pinjaman Mama (dompet)"},0))),"",SUMIFS(Akun!$C$5:$C$104,Akun!$A$5:$A$104,$A59,Akun!$D$5:$D$104,"&lt;="&amp;MIN(EOMONTH(DATE(Dashboard!$C$4,1,1),0),TODAY()))+SUMIFS(Transaksi!$F$16:$F$5015,Transaksi!$C$16:$C$5015,$A59,Transaksi!$D$16:$D$5015,"Masuk",Transaksi!$B$16:$B$5015,"&lt;="&amp;MIN(EOMONTH(DATE(Dashboard!$C$4,1,1),0),TODAY()))-SUMIFS(Transaksi!$F$16:$F$5015,Transaksi!$C$16:$C$5015,$A59,Transaksi!$D$16:$D$5015,"Keluar",Transaksi!$B$16:$B$5015,"&lt;="&amp;MIN(EOMONTH(DATE(Dashboard!$C$4,1,1),0),TODAY()))-SUMIFS(Transaksi!$F$16:$F$5015,Transaksi!$C$16:$C$5015,$A59,Transaksi!$D$16:$D$5015,"Pindah",Transaksi!$B$16:$B$5015,"&lt;="&amp;MIN(EOMONTH(DATE(Dashboard!$C$4,1,1),0),TODAY()))+SUMIFS(Transaksi!$F$16:$F$5015,Transaksi!$E$16:$E$5015,$A59,Transaksi!$D$16:$D$5015,"Pindah",Transaksi!$B$16:$B$5015,"&lt;="&amp;MIN(EOMONTH(DATE(Dashboard!$C$4,1,1),0),TODAY())))</f>
        <v/>
      </c>
      <c r="D59" s="106">
        <f>IF(OR($A59="",DATE(Dashboard!$C$4,2,1)&gt;TODAY(),ISNA(MATCH($B59,{"Pribadi","Investasi (kas RDN)","Piutang","Pinjaman Mama (dompet)"},0))),"",SUMIFS(Akun!$C$5:$C$104,Akun!$A$5:$A$104,$A59,Akun!$D$5:$D$104,"&lt;="&amp;MIN(EOMONTH(DATE(Dashboard!$C$4,2,1),0),TODAY()))+SUMIFS(Transaksi!$F$16:$F$5015,Transaksi!$C$16:$C$5015,$A59,Transaksi!$D$16:$D$5015,"Masuk",Transaksi!$B$16:$B$5015,"&lt;="&amp;MIN(EOMONTH(DATE(Dashboard!$C$4,2,1),0),TODAY()))-SUMIFS(Transaksi!$F$16:$F$5015,Transaksi!$C$16:$C$5015,$A59,Transaksi!$D$16:$D$5015,"Keluar",Transaksi!$B$16:$B$5015,"&lt;="&amp;MIN(EOMONTH(DATE(Dashboard!$C$4,2,1),0),TODAY()))-SUMIFS(Transaksi!$F$16:$F$5015,Transaksi!$C$16:$C$5015,$A59,Transaksi!$D$16:$D$5015,"Pindah",Transaksi!$B$16:$B$5015,"&lt;="&amp;MIN(EOMONTH(DATE(Dashboard!$C$4,2,1),0),TODAY()))+SUMIFS(Transaksi!$F$16:$F$5015,Transaksi!$E$16:$E$5015,$A59,Transaksi!$D$16:$D$5015,"Pindah",Transaksi!$B$16:$B$5015,"&lt;="&amp;MIN(EOMONTH(DATE(Dashboard!$C$4,2,1),0),TODAY())))</f>
        <v/>
      </c>
      <c r="E59" s="106">
        <f>IF(OR($A59="",DATE(Dashboard!$C$4,3,1)&gt;TODAY(),ISNA(MATCH($B59,{"Pribadi","Investasi (kas RDN)","Piutang","Pinjaman Mama (dompet)"},0))),"",SUMIFS(Akun!$C$5:$C$104,Akun!$A$5:$A$104,$A59,Akun!$D$5:$D$104,"&lt;="&amp;MIN(EOMONTH(DATE(Dashboard!$C$4,3,1),0),TODAY()))+SUMIFS(Transaksi!$F$16:$F$5015,Transaksi!$C$16:$C$5015,$A59,Transaksi!$D$16:$D$5015,"Masuk",Transaksi!$B$16:$B$5015,"&lt;="&amp;MIN(EOMONTH(DATE(Dashboard!$C$4,3,1),0),TODAY()))-SUMIFS(Transaksi!$F$16:$F$5015,Transaksi!$C$16:$C$5015,$A59,Transaksi!$D$16:$D$5015,"Keluar",Transaksi!$B$16:$B$5015,"&lt;="&amp;MIN(EOMONTH(DATE(Dashboard!$C$4,3,1),0),TODAY()))-SUMIFS(Transaksi!$F$16:$F$5015,Transaksi!$C$16:$C$5015,$A59,Transaksi!$D$16:$D$5015,"Pindah",Transaksi!$B$16:$B$5015,"&lt;="&amp;MIN(EOMONTH(DATE(Dashboard!$C$4,3,1),0),TODAY()))+SUMIFS(Transaksi!$F$16:$F$5015,Transaksi!$E$16:$E$5015,$A59,Transaksi!$D$16:$D$5015,"Pindah",Transaksi!$B$16:$B$5015,"&lt;="&amp;MIN(EOMONTH(DATE(Dashboard!$C$4,3,1),0),TODAY())))</f>
        <v/>
      </c>
      <c r="F59" s="106">
        <f>IF(OR($A59="",DATE(Dashboard!$C$4,4,1)&gt;TODAY(),ISNA(MATCH($B59,{"Pribadi","Investasi (kas RDN)","Piutang","Pinjaman Mama (dompet)"},0))),"",SUMIFS(Akun!$C$5:$C$104,Akun!$A$5:$A$104,$A59,Akun!$D$5:$D$104,"&lt;="&amp;MIN(EOMONTH(DATE(Dashboard!$C$4,4,1),0),TODAY()))+SUMIFS(Transaksi!$F$16:$F$5015,Transaksi!$C$16:$C$5015,$A59,Transaksi!$D$16:$D$5015,"Masuk",Transaksi!$B$16:$B$5015,"&lt;="&amp;MIN(EOMONTH(DATE(Dashboard!$C$4,4,1),0),TODAY()))-SUMIFS(Transaksi!$F$16:$F$5015,Transaksi!$C$16:$C$5015,$A59,Transaksi!$D$16:$D$5015,"Keluar",Transaksi!$B$16:$B$5015,"&lt;="&amp;MIN(EOMONTH(DATE(Dashboard!$C$4,4,1),0),TODAY()))-SUMIFS(Transaksi!$F$16:$F$5015,Transaksi!$C$16:$C$5015,$A59,Transaksi!$D$16:$D$5015,"Pindah",Transaksi!$B$16:$B$5015,"&lt;="&amp;MIN(EOMONTH(DATE(Dashboard!$C$4,4,1),0),TODAY()))+SUMIFS(Transaksi!$F$16:$F$5015,Transaksi!$E$16:$E$5015,$A59,Transaksi!$D$16:$D$5015,"Pindah",Transaksi!$B$16:$B$5015,"&lt;="&amp;MIN(EOMONTH(DATE(Dashboard!$C$4,4,1),0),TODAY())))</f>
        <v/>
      </c>
      <c r="G59" s="106">
        <f>IF(OR($A59="",DATE(Dashboard!$C$4,5,1)&gt;TODAY(),ISNA(MATCH($B59,{"Pribadi","Investasi (kas RDN)","Piutang","Pinjaman Mama (dompet)"},0))),"",SUMIFS(Akun!$C$5:$C$104,Akun!$A$5:$A$104,$A59,Akun!$D$5:$D$104,"&lt;="&amp;MIN(EOMONTH(DATE(Dashboard!$C$4,5,1),0),TODAY()))+SUMIFS(Transaksi!$F$16:$F$5015,Transaksi!$C$16:$C$5015,$A59,Transaksi!$D$16:$D$5015,"Masuk",Transaksi!$B$16:$B$5015,"&lt;="&amp;MIN(EOMONTH(DATE(Dashboard!$C$4,5,1),0),TODAY()))-SUMIFS(Transaksi!$F$16:$F$5015,Transaksi!$C$16:$C$5015,$A59,Transaksi!$D$16:$D$5015,"Keluar",Transaksi!$B$16:$B$5015,"&lt;="&amp;MIN(EOMONTH(DATE(Dashboard!$C$4,5,1),0),TODAY()))-SUMIFS(Transaksi!$F$16:$F$5015,Transaksi!$C$16:$C$5015,$A59,Transaksi!$D$16:$D$5015,"Pindah",Transaksi!$B$16:$B$5015,"&lt;="&amp;MIN(EOMONTH(DATE(Dashboard!$C$4,5,1),0),TODAY()))+SUMIFS(Transaksi!$F$16:$F$5015,Transaksi!$E$16:$E$5015,$A59,Transaksi!$D$16:$D$5015,"Pindah",Transaksi!$B$16:$B$5015,"&lt;="&amp;MIN(EOMONTH(DATE(Dashboard!$C$4,5,1),0),TODAY())))</f>
        <v/>
      </c>
      <c r="H59" s="106">
        <f>IF(OR($A59="",DATE(Dashboard!$C$4,6,1)&gt;TODAY(),ISNA(MATCH($B59,{"Pribadi","Investasi (kas RDN)","Piutang","Pinjaman Mama (dompet)"},0))),"",SUMIFS(Akun!$C$5:$C$104,Akun!$A$5:$A$104,$A59,Akun!$D$5:$D$104,"&lt;="&amp;MIN(EOMONTH(DATE(Dashboard!$C$4,6,1),0),TODAY()))+SUMIFS(Transaksi!$F$16:$F$5015,Transaksi!$C$16:$C$5015,$A59,Transaksi!$D$16:$D$5015,"Masuk",Transaksi!$B$16:$B$5015,"&lt;="&amp;MIN(EOMONTH(DATE(Dashboard!$C$4,6,1),0),TODAY()))-SUMIFS(Transaksi!$F$16:$F$5015,Transaksi!$C$16:$C$5015,$A59,Transaksi!$D$16:$D$5015,"Keluar",Transaksi!$B$16:$B$5015,"&lt;="&amp;MIN(EOMONTH(DATE(Dashboard!$C$4,6,1),0),TODAY()))-SUMIFS(Transaksi!$F$16:$F$5015,Transaksi!$C$16:$C$5015,$A59,Transaksi!$D$16:$D$5015,"Pindah",Transaksi!$B$16:$B$5015,"&lt;="&amp;MIN(EOMONTH(DATE(Dashboard!$C$4,6,1),0),TODAY()))+SUMIFS(Transaksi!$F$16:$F$5015,Transaksi!$E$16:$E$5015,$A59,Transaksi!$D$16:$D$5015,"Pindah",Transaksi!$B$16:$B$5015,"&lt;="&amp;MIN(EOMONTH(DATE(Dashboard!$C$4,6,1),0),TODAY())))</f>
        <v/>
      </c>
      <c r="I59" s="106">
        <f>IF(OR($A59="",DATE(Dashboard!$C$4,7,1)&gt;TODAY(),ISNA(MATCH($B59,{"Pribadi","Investasi (kas RDN)","Piutang","Pinjaman Mama (dompet)"},0))),"",SUMIFS(Akun!$C$5:$C$104,Akun!$A$5:$A$104,$A59,Akun!$D$5:$D$104,"&lt;="&amp;MIN(EOMONTH(DATE(Dashboard!$C$4,7,1),0),TODAY()))+SUMIFS(Transaksi!$F$16:$F$5015,Transaksi!$C$16:$C$5015,$A59,Transaksi!$D$16:$D$5015,"Masuk",Transaksi!$B$16:$B$5015,"&lt;="&amp;MIN(EOMONTH(DATE(Dashboard!$C$4,7,1),0),TODAY()))-SUMIFS(Transaksi!$F$16:$F$5015,Transaksi!$C$16:$C$5015,$A59,Transaksi!$D$16:$D$5015,"Keluar",Transaksi!$B$16:$B$5015,"&lt;="&amp;MIN(EOMONTH(DATE(Dashboard!$C$4,7,1),0),TODAY()))-SUMIFS(Transaksi!$F$16:$F$5015,Transaksi!$C$16:$C$5015,$A59,Transaksi!$D$16:$D$5015,"Pindah",Transaksi!$B$16:$B$5015,"&lt;="&amp;MIN(EOMONTH(DATE(Dashboard!$C$4,7,1),0),TODAY()))+SUMIFS(Transaksi!$F$16:$F$5015,Transaksi!$E$16:$E$5015,$A59,Transaksi!$D$16:$D$5015,"Pindah",Transaksi!$B$16:$B$5015,"&lt;="&amp;MIN(EOMONTH(DATE(Dashboard!$C$4,7,1),0),TODAY())))</f>
        <v/>
      </c>
      <c r="J59" s="106">
        <f>IF(OR($A59="",DATE(Dashboard!$C$4,8,1)&gt;TODAY(),ISNA(MATCH($B59,{"Pribadi","Investasi (kas RDN)","Piutang","Pinjaman Mama (dompet)"},0))),"",SUMIFS(Akun!$C$5:$C$104,Akun!$A$5:$A$104,$A59,Akun!$D$5:$D$104,"&lt;="&amp;MIN(EOMONTH(DATE(Dashboard!$C$4,8,1),0),TODAY()))+SUMIFS(Transaksi!$F$16:$F$5015,Transaksi!$C$16:$C$5015,$A59,Transaksi!$D$16:$D$5015,"Masuk",Transaksi!$B$16:$B$5015,"&lt;="&amp;MIN(EOMONTH(DATE(Dashboard!$C$4,8,1),0),TODAY()))-SUMIFS(Transaksi!$F$16:$F$5015,Transaksi!$C$16:$C$5015,$A59,Transaksi!$D$16:$D$5015,"Keluar",Transaksi!$B$16:$B$5015,"&lt;="&amp;MIN(EOMONTH(DATE(Dashboard!$C$4,8,1),0),TODAY()))-SUMIFS(Transaksi!$F$16:$F$5015,Transaksi!$C$16:$C$5015,$A59,Transaksi!$D$16:$D$5015,"Pindah",Transaksi!$B$16:$B$5015,"&lt;="&amp;MIN(EOMONTH(DATE(Dashboard!$C$4,8,1),0),TODAY()))+SUMIFS(Transaksi!$F$16:$F$5015,Transaksi!$E$16:$E$5015,$A59,Transaksi!$D$16:$D$5015,"Pindah",Transaksi!$B$16:$B$5015,"&lt;="&amp;MIN(EOMONTH(DATE(Dashboard!$C$4,8,1),0),TODAY())))</f>
        <v/>
      </c>
      <c r="K59" s="106">
        <f>IF(OR($A59="",DATE(Dashboard!$C$4,9,1)&gt;TODAY(),ISNA(MATCH($B59,{"Pribadi","Investasi (kas RDN)","Piutang","Pinjaman Mama (dompet)"},0))),"",SUMIFS(Akun!$C$5:$C$104,Akun!$A$5:$A$104,$A59,Akun!$D$5:$D$104,"&lt;="&amp;MIN(EOMONTH(DATE(Dashboard!$C$4,9,1),0),TODAY()))+SUMIFS(Transaksi!$F$16:$F$5015,Transaksi!$C$16:$C$5015,$A59,Transaksi!$D$16:$D$5015,"Masuk",Transaksi!$B$16:$B$5015,"&lt;="&amp;MIN(EOMONTH(DATE(Dashboard!$C$4,9,1),0),TODAY()))-SUMIFS(Transaksi!$F$16:$F$5015,Transaksi!$C$16:$C$5015,$A59,Transaksi!$D$16:$D$5015,"Keluar",Transaksi!$B$16:$B$5015,"&lt;="&amp;MIN(EOMONTH(DATE(Dashboard!$C$4,9,1),0),TODAY()))-SUMIFS(Transaksi!$F$16:$F$5015,Transaksi!$C$16:$C$5015,$A59,Transaksi!$D$16:$D$5015,"Pindah",Transaksi!$B$16:$B$5015,"&lt;="&amp;MIN(EOMONTH(DATE(Dashboard!$C$4,9,1),0),TODAY()))+SUMIFS(Transaksi!$F$16:$F$5015,Transaksi!$E$16:$E$5015,$A59,Transaksi!$D$16:$D$5015,"Pindah",Transaksi!$B$16:$B$5015,"&lt;="&amp;MIN(EOMONTH(DATE(Dashboard!$C$4,9,1),0),TODAY())))</f>
        <v/>
      </c>
      <c r="L59" s="106">
        <f>IF(OR($A59="",DATE(Dashboard!$C$4,10,1)&gt;TODAY(),ISNA(MATCH($B59,{"Pribadi","Investasi (kas RDN)","Piutang","Pinjaman Mama (dompet)"},0))),"",SUMIFS(Akun!$C$5:$C$104,Akun!$A$5:$A$104,$A59,Akun!$D$5:$D$104,"&lt;="&amp;MIN(EOMONTH(DATE(Dashboard!$C$4,10,1),0),TODAY()))+SUMIFS(Transaksi!$F$16:$F$5015,Transaksi!$C$16:$C$5015,$A59,Transaksi!$D$16:$D$5015,"Masuk",Transaksi!$B$16:$B$5015,"&lt;="&amp;MIN(EOMONTH(DATE(Dashboard!$C$4,10,1),0),TODAY()))-SUMIFS(Transaksi!$F$16:$F$5015,Transaksi!$C$16:$C$5015,$A59,Transaksi!$D$16:$D$5015,"Keluar",Transaksi!$B$16:$B$5015,"&lt;="&amp;MIN(EOMONTH(DATE(Dashboard!$C$4,10,1),0),TODAY()))-SUMIFS(Transaksi!$F$16:$F$5015,Transaksi!$C$16:$C$5015,$A59,Transaksi!$D$16:$D$5015,"Pindah",Transaksi!$B$16:$B$5015,"&lt;="&amp;MIN(EOMONTH(DATE(Dashboard!$C$4,10,1),0),TODAY()))+SUMIFS(Transaksi!$F$16:$F$5015,Transaksi!$E$16:$E$5015,$A59,Transaksi!$D$16:$D$5015,"Pindah",Transaksi!$B$16:$B$5015,"&lt;="&amp;MIN(EOMONTH(DATE(Dashboard!$C$4,10,1),0),TODAY())))</f>
        <v/>
      </c>
      <c r="M59" s="106">
        <f>IF(OR($A59="",DATE(Dashboard!$C$4,11,1)&gt;TODAY(),ISNA(MATCH($B59,{"Pribadi","Investasi (kas RDN)","Piutang","Pinjaman Mama (dompet)"},0))),"",SUMIFS(Akun!$C$5:$C$104,Akun!$A$5:$A$104,$A59,Akun!$D$5:$D$104,"&lt;="&amp;MIN(EOMONTH(DATE(Dashboard!$C$4,11,1),0),TODAY()))+SUMIFS(Transaksi!$F$16:$F$5015,Transaksi!$C$16:$C$5015,$A59,Transaksi!$D$16:$D$5015,"Masuk",Transaksi!$B$16:$B$5015,"&lt;="&amp;MIN(EOMONTH(DATE(Dashboard!$C$4,11,1),0),TODAY()))-SUMIFS(Transaksi!$F$16:$F$5015,Transaksi!$C$16:$C$5015,$A59,Transaksi!$D$16:$D$5015,"Keluar",Transaksi!$B$16:$B$5015,"&lt;="&amp;MIN(EOMONTH(DATE(Dashboard!$C$4,11,1),0),TODAY()))-SUMIFS(Transaksi!$F$16:$F$5015,Transaksi!$C$16:$C$5015,$A59,Transaksi!$D$16:$D$5015,"Pindah",Transaksi!$B$16:$B$5015,"&lt;="&amp;MIN(EOMONTH(DATE(Dashboard!$C$4,11,1),0),TODAY()))+SUMIFS(Transaksi!$F$16:$F$5015,Transaksi!$E$16:$E$5015,$A59,Transaksi!$D$16:$D$5015,"Pindah",Transaksi!$B$16:$B$5015,"&lt;="&amp;MIN(EOMONTH(DATE(Dashboard!$C$4,11,1),0),TODAY())))</f>
        <v/>
      </c>
      <c r="N59" s="106">
        <f>IF(OR($A59="",DATE(Dashboard!$C$4,12,1)&gt;TODAY(),ISNA(MATCH($B59,{"Pribadi","Investasi (kas RDN)","Piutang","Pinjaman Mama (dompet)"},0))),"",SUMIFS(Akun!$C$5:$C$104,Akun!$A$5:$A$104,$A59,Akun!$D$5:$D$104,"&lt;="&amp;MIN(EOMONTH(DATE(Dashboard!$C$4,12,1),0),TODAY()))+SUMIFS(Transaksi!$F$16:$F$5015,Transaksi!$C$16:$C$5015,$A59,Transaksi!$D$16:$D$5015,"Masuk",Transaksi!$B$16:$B$5015,"&lt;="&amp;MIN(EOMONTH(DATE(Dashboard!$C$4,12,1),0),TODAY()))-SUMIFS(Transaksi!$F$16:$F$5015,Transaksi!$C$16:$C$5015,$A59,Transaksi!$D$16:$D$5015,"Keluar",Transaksi!$B$16:$B$5015,"&lt;="&amp;MIN(EOMONTH(DATE(Dashboard!$C$4,12,1),0),TODAY()))-SUMIFS(Transaksi!$F$16:$F$5015,Transaksi!$C$16:$C$5015,$A59,Transaksi!$D$16:$D$5015,"Pindah",Transaksi!$B$16:$B$5015,"&lt;="&amp;MIN(EOMONTH(DATE(Dashboard!$C$4,12,1),0),TODAY()))+SUMIFS(Transaksi!$F$16:$F$5015,Transaksi!$E$16:$E$5015,$A59,Transaksi!$D$16:$D$5015,"Pindah",Transaksi!$B$16:$B$5015,"&lt;="&amp;MIN(EOMONTH(DATE(Dashboard!$C$4,12,1),0),TODAY())))</f>
        <v/>
      </c>
    </row>
    <row r="60" ht="15" customHeight="1" s="94">
      <c r="A60" s="93">
        <f>IF(Akun!$A$24="","",Akun!$A$24)</f>
        <v/>
      </c>
      <c r="B60" s="93">
        <f>IF(Akun!$A$24="","",Akun!$B$24)</f>
        <v/>
      </c>
      <c r="C60" s="106">
        <f>IF(OR($A60="",DATE(Dashboard!$C$4,1,1)&gt;TODAY(),ISNA(MATCH($B60,{"Pribadi","Investasi (kas RDN)","Piutang","Pinjaman Mama (dompet)"},0))),"",SUMIFS(Akun!$C$5:$C$104,Akun!$A$5:$A$104,$A60,Akun!$D$5:$D$104,"&lt;="&amp;MIN(EOMONTH(DATE(Dashboard!$C$4,1,1),0),TODAY()))+SUMIFS(Transaksi!$F$16:$F$5015,Transaksi!$C$16:$C$5015,$A60,Transaksi!$D$16:$D$5015,"Masuk",Transaksi!$B$16:$B$5015,"&lt;="&amp;MIN(EOMONTH(DATE(Dashboard!$C$4,1,1),0),TODAY()))-SUMIFS(Transaksi!$F$16:$F$5015,Transaksi!$C$16:$C$5015,$A60,Transaksi!$D$16:$D$5015,"Keluar",Transaksi!$B$16:$B$5015,"&lt;="&amp;MIN(EOMONTH(DATE(Dashboard!$C$4,1,1),0),TODAY()))-SUMIFS(Transaksi!$F$16:$F$5015,Transaksi!$C$16:$C$5015,$A60,Transaksi!$D$16:$D$5015,"Pindah",Transaksi!$B$16:$B$5015,"&lt;="&amp;MIN(EOMONTH(DATE(Dashboard!$C$4,1,1),0),TODAY()))+SUMIFS(Transaksi!$F$16:$F$5015,Transaksi!$E$16:$E$5015,$A60,Transaksi!$D$16:$D$5015,"Pindah",Transaksi!$B$16:$B$5015,"&lt;="&amp;MIN(EOMONTH(DATE(Dashboard!$C$4,1,1),0),TODAY())))</f>
        <v/>
      </c>
      <c r="D60" s="106">
        <f>IF(OR($A60="",DATE(Dashboard!$C$4,2,1)&gt;TODAY(),ISNA(MATCH($B60,{"Pribadi","Investasi (kas RDN)","Piutang","Pinjaman Mama (dompet)"},0))),"",SUMIFS(Akun!$C$5:$C$104,Akun!$A$5:$A$104,$A60,Akun!$D$5:$D$104,"&lt;="&amp;MIN(EOMONTH(DATE(Dashboard!$C$4,2,1),0),TODAY()))+SUMIFS(Transaksi!$F$16:$F$5015,Transaksi!$C$16:$C$5015,$A60,Transaksi!$D$16:$D$5015,"Masuk",Transaksi!$B$16:$B$5015,"&lt;="&amp;MIN(EOMONTH(DATE(Dashboard!$C$4,2,1),0),TODAY()))-SUMIFS(Transaksi!$F$16:$F$5015,Transaksi!$C$16:$C$5015,$A60,Transaksi!$D$16:$D$5015,"Keluar",Transaksi!$B$16:$B$5015,"&lt;="&amp;MIN(EOMONTH(DATE(Dashboard!$C$4,2,1),0),TODAY()))-SUMIFS(Transaksi!$F$16:$F$5015,Transaksi!$C$16:$C$5015,$A60,Transaksi!$D$16:$D$5015,"Pindah",Transaksi!$B$16:$B$5015,"&lt;="&amp;MIN(EOMONTH(DATE(Dashboard!$C$4,2,1),0),TODAY()))+SUMIFS(Transaksi!$F$16:$F$5015,Transaksi!$E$16:$E$5015,$A60,Transaksi!$D$16:$D$5015,"Pindah",Transaksi!$B$16:$B$5015,"&lt;="&amp;MIN(EOMONTH(DATE(Dashboard!$C$4,2,1),0),TODAY())))</f>
        <v/>
      </c>
      <c r="E60" s="106">
        <f>IF(OR($A60="",DATE(Dashboard!$C$4,3,1)&gt;TODAY(),ISNA(MATCH($B60,{"Pribadi","Investasi (kas RDN)","Piutang","Pinjaman Mama (dompet)"},0))),"",SUMIFS(Akun!$C$5:$C$104,Akun!$A$5:$A$104,$A60,Akun!$D$5:$D$104,"&lt;="&amp;MIN(EOMONTH(DATE(Dashboard!$C$4,3,1),0),TODAY()))+SUMIFS(Transaksi!$F$16:$F$5015,Transaksi!$C$16:$C$5015,$A60,Transaksi!$D$16:$D$5015,"Masuk",Transaksi!$B$16:$B$5015,"&lt;="&amp;MIN(EOMONTH(DATE(Dashboard!$C$4,3,1),0),TODAY()))-SUMIFS(Transaksi!$F$16:$F$5015,Transaksi!$C$16:$C$5015,$A60,Transaksi!$D$16:$D$5015,"Keluar",Transaksi!$B$16:$B$5015,"&lt;="&amp;MIN(EOMONTH(DATE(Dashboard!$C$4,3,1),0),TODAY()))-SUMIFS(Transaksi!$F$16:$F$5015,Transaksi!$C$16:$C$5015,$A60,Transaksi!$D$16:$D$5015,"Pindah",Transaksi!$B$16:$B$5015,"&lt;="&amp;MIN(EOMONTH(DATE(Dashboard!$C$4,3,1),0),TODAY()))+SUMIFS(Transaksi!$F$16:$F$5015,Transaksi!$E$16:$E$5015,$A60,Transaksi!$D$16:$D$5015,"Pindah",Transaksi!$B$16:$B$5015,"&lt;="&amp;MIN(EOMONTH(DATE(Dashboard!$C$4,3,1),0),TODAY())))</f>
        <v/>
      </c>
      <c r="F60" s="106">
        <f>IF(OR($A60="",DATE(Dashboard!$C$4,4,1)&gt;TODAY(),ISNA(MATCH($B60,{"Pribadi","Investasi (kas RDN)","Piutang","Pinjaman Mama (dompet)"},0))),"",SUMIFS(Akun!$C$5:$C$104,Akun!$A$5:$A$104,$A60,Akun!$D$5:$D$104,"&lt;="&amp;MIN(EOMONTH(DATE(Dashboard!$C$4,4,1),0),TODAY()))+SUMIFS(Transaksi!$F$16:$F$5015,Transaksi!$C$16:$C$5015,$A60,Transaksi!$D$16:$D$5015,"Masuk",Transaksi!$B$16:$B$5015,"&lt;="&amp;MIN(EOMONTH(DATE(Dashboard!$C$4,4,1),0),TODAY()))-SUMIFS(Transaksi!$F$16:$F$5015,Transaksi!$C$16:$C$5015,$A60,Transaksi!$D$16:$D$5015,"Keluar",Transaksi!$B$16:$B$5015,"&lt;="&amp;MIN(EOMONTH(DATE(Dashboard!$C$4,4,1),0),TODAY()))-SUMIFS(Transaksi!$F$16:$F$5015,Transaksi!$C$16:$C$5015,$A60,Transaksi!$D$16:$D$5015,"Pindah",Transaksi!$B$16:$B$5015,"&lt;="&amp;MIN(EOMONTH(DATE(Dashboard!$C$4,4,1),0),TODAY()))+SUMIFS(Transaksi!$F$16:$F$5015,Transaksi!$E$16:$E$5015,$A60,Transaksi!$D$16:$D$5015,"Pindah",Transaksi!$B$16:$B$5015,"&lt;="&amp;MIN(EOMONTH(DATE(Dashboard!$C$4,4,1),0),TODAY())))</f>
        <v/>
      </c>
      <c r="G60" s="106">
        <f>IF(OR($A60="",DATE(Dashboard!$C$4,5,1)&gt;TODAY(),ISNA(MATCH($B60,{"Pribadi","Investasi (kas RDN)","Piutang","Pinjaman Mama (dompet)"},0))),"",SUMIFS(Akun!$C$5:$C$104,Akun!$A$5:$A$104,$A60,Akun!$D$5:$D$104,"&lt;="&amp;MIN(EOMONTH(DATE(Dashboard!$C$4,5,1),0),TODAY()))+SUMIFS(Transaksi!$F$16:$F$5015,Transaksi!$C$16:$C$5015,$A60,Transaksi!$D$16:$D$5015,"Masuk",Transaksi!$B$16:$B$5015,"&lt;="&amp;MIN(EOMONTH(DATE(Dashboard!$C$4,5,1),0),TODAY()))-SUMIFS(Transaksi!$F$16:$F$5015,Transaksi!$C$16:$C$5015,$A60,Transaksi!$D$16:$D$5015,"Keluar",Transaksi!$B$16:$B$5015,"&lt;="&amp;MIN(EOMONTH(DATE(Dashboard!$C$4,5,1),0),TODAY()))-SUMIFS(Transaksi!$F$16:$F$5015,Transaksi!$C$16:$C$5015,$A60,Transaksi!$D$16:$D$5015,"Pindah",Transaksi!$B$16:$B$5015,"&lt;="&amp;MIN(EOMONTH(DATE(Dashboard!$C$4,5,1),0),TODAY()))+SUMIFS(Transaksi!$F$16:$F$5015,Transaksi!$E$16:$E$5015,$A60,Transaksi!$D$16:$D$5015,"Pindah",Transaksi!$B$16:$B$5015,"&lt;="&amp;MIN(EOMONTH(DATE(Dashboard!$C$4,5,1),0),TODAY())))</f>
        <v/>
      </c>
      <c r="H60" s="106">
        <f>IF(OR($A60="",DATE(Dashboard!$C$4,6,1)&gt;TODAY(),ISNA(MATCH($B60,{"Pribadi","Investasi (kas RDN)","Piutang","Pinjaman Mama (dompet)"},0))),"",SUMIFS(Akun!$C$5:$C$104,Akun!$A$5:$A$104,$A60,Akun!$D$5:$D$104,"&lt;="&amp;MIN(EOMONTH(DATE(Dashboard!$C$4,6,1),0),TODAY()))+SUMIFS(Transaksi!$F$16:$F$5015,Transaksi!$C$16:$C$5015,$A60,Transaksi!$D$16:$D$5015,"Masuk",Transaksi!$B$16:$B$5015,"&lt;="&amp;MIN(EOMONTH(DATE(Dashboard!$C$4,6,1),0),TODAY()))-SUMIFS(Transaksi!$F$16:$F$5015,Transaksi!$C$16:$C$5015,$A60,Transaksi!$D$16:$D$5015,"Keluar",Transaksi!$B$16:$B$5015,"&lt;="&amp;MIN(EOMONTH(DATE(Dashboard!$C$4,6,1),0),TODAY()))-SUMIFS(Transaksi!$F$16:$F$5015,Transaksi!$C$16:$C$5015,$A60,Transaksi!$D$16:$D$5015,"Pindah",Transaksi!$B$16:$B$5015,"&lt;="&amp;MIN(EOMONTH(DATE(Dashboard!$C$4,6,1),0),TODAY()))+SUMIFS(Transaksi!$F$16:$F$5015,Transaksi!$E$16:$E$5015,$A60,Transaksi!$D$16:$D$5015,"Pindah",Transaksi!$B$16:$B$5015,"&lt;="&amp;MIN(EOMONTH(DATE(Dashboard!$C$4,6,1),0),TODAY())))</f>
        <v/>
      </c>
      <c r="I60" s="106">
        <f>IF(OR($A60="",DATE(Dashboard!$C$4,7,1)&gt;TODAY(),ISNA(MATCH($B60,{"Pribadi","Investasi (kas RDN)","Piutang","Pinjaman Mama (dompet)"},0))),"",SUMIFS(Akun!$C$5:$C$104,Akun!$A$5:$A$104,$A60,Akun!$D$5:$D$104,"&lt;="&amp;MIN(EOMONTH(DATE(Dashboard!$C$4,7,1),0),TODAY()))+SUMIFS(Transaksi!$F$16:$F$5015,Transaksi!$C$16:$C$5015,$A60,Transaksi!$D$16:$D$5015,"Masuk",Transaksi!$B$16:$B$5015,"&lt;="&amp;MIN(EOMONTH(DATE(Dashboard!$C$4,7,1),0),TODAY()))-SUMIFS(Transaksi!$F$16:$F$5015,Transaksi!$C$16:$C$5015,$A60,Transaksi!$D$16:$D$5015,"Keluar",Transaksi!$B$16:$B$5015,"&lt;="&amp;MIN(EOMONTH(DATE(Dashboard!$C$4,7,1),0),TODAY()))-SUMIFS(Transaksi!$F$16:$F$5015,Transaksi!$C$16:$C$5015,$A60,Transaksi!$D$16:$D$5015,"Pindah",Transaksi!$B$16:$B$5015,"&lt;="&amp;MIN(EOMONTH(DATE(Dashboard!$C$4,7,1),0),TODAY()))+SUMIFS(Transaksi!$F$16:$F$5015,Transaksi!$E$16:$E$5015,$A60,Transaksi!$D$16:$D$5015,"Pindah",Transaksi!$B$16:$B$5015,"&lt;="&amp;MIN(EOMONTH(DATE(Dashboard!$C$4,7,1),0),TODAY())))</f>
        <v/>
      </c>
      <c r="J60" s="106">
        <f>IF(OR($A60="",DATE(Dashboard!$C$4,8,1)&gt;TODAY(),ISNA(MATCH($B60,{"Pribadi","Investasi (kas RDN)","Piutang","Pinjaman Mama (dompet)"},0))),"",SUMIFS(Akun!$C$5:$C$104,Akun!$A$5:$A$104,$A60,Akun!$D$5:$D$104,"&lt;="&amp;MIN(EOMONTH(DATE(Dashboard!$C$4,8,1),0),TODAY()))+SUMIFS(Transaksi!$F$16:$F$5015,Transaksi!$C$16:$C$5015,$A60,Transaksi!$D$16:$D$5015,"Masuk",Transaksi!$B$16:$B$5015,"&lt;="&amp;MIN(EOMONTH(DATE(Dashboard!$C$4,8,1),0),TODAY()))-SUMIFS(Transaksi!$F$16:$F$5015,Transaksi!$C$16:$C$5015,$A60,Transaksi!$D$16:$D$5015,"Keluar",Transaksi!$B$16:$B$5015,"&lt;="&amp;MIN(EOMONTH(DATE(Dashboard!$C$4,8,1),0),TODAY()))-SUMIFS(Transaksi!$F$16:$F$5015,Transaksi!$C$16:$C$5015,$A60,Transaksi!$D$16:$D$5015,"Pindah",Transaksi!$B$16:$B$5015,"&lt;="&amp;MIN(EOMONTH(DATE(Dashboard!$C$4,8,1),0),TODAY()))+SUMIFS(Transaksi!$F$16:$F$5015,Transaksi!$E$16:$E$5015,$A60,Transaksi!$D$16:$D$5015,"Pindah",Transaksi!$B$16:$B$5015,"&lt;="&amp;MIN(EOMONTH(DATE(Dashboard!$C$4,8,1),0),TODAY())))</f>
        <v/>
      </c>
      <c r="K60" s="106">
        <f>IF(OR($A60="",DATE(Dashboard!$C$4,9,1)&gt;TODAY(),ISNA(MATCH($B60,{"Pribadi","Investasi (kas RDN)","Piutang","Pinjaman Mama (dompet)"},0))),"",SUMIFS(Akun!$C$5:$C$104,Akun!$A$5:$A$104,$A60,Akun!$D$5:$D$104,"&lt;="&amp;MIN(EOMONTH(DATE(Dashboard!$C$4,9,1),0),TODAY()))+SUMIFS(Transaksi!$F$16:$F$5015,Transaksi!$C$16:$C$5015,$A60,Transaksi!$D$16:$D$5015,"Masuk",Transaksi!$B$16:$B$5015,"&lt;="&amp;MIN(EOMONTH(DATE(Dashboard!$C$4,9,1),0),TODAY()))-SUMIFS(Transaksi!$F$16:$F$5015,Transaksi!$C$16:$C$5015,$A60,Transaksi!$D$16:$D$5015,"Keluar",Transaksi!$B$16:$B$5015,"&lt;="&amp;MIN(EOMONTH(DATE(Dashboard!$C$4,9,1),0),TODAY()))-SUMIFS(Transaksi!$F$16:$F$5015,Transaksi!$C$16:$C$5015,$A60,Transaksi!$D$16:$D$5015,"Pindah",Transaksi!$B$16:$B$5015,"&lt;="&amp;MIN(EOMONTH(DATE(Dashboard!$C$4,9,1),0),TODAY()))+SUMIFS(Transaksi!$F$16:$F$5015,Transaksi!$E$16:$E$5015,$A60,Transaksi!$D$16:$D$5015,"Pindah",Transaksi!$B$16:$B$5015,"&lt;="&amp;MIN(EOMONTH(DATE(Dashboard!$C$4,9,1),0),TODAY())))</f>
        <v/>
      </c>
      <c r="L60" s="106">
        <f>IF(OR($A60="",DATE(Dashboard!$C$4,10,1)&gt;TODAY(),ISNA(MATCH($B60,{"Pribadi","Investasi (kas RDN)","Piutang","Pinjaman Mama (dompet)"},0))),"",SUMIFS(Akun!$C$5:$C$104,Akun!$A$5:$A$104,$A60,Akun!$D$5:$D$104,"&lt;="&amp;MIN(EOMONTH(DATE(Dashboard!$C$4,10,1),0),TODAY()))+SUMIFS(Transaksi!$F$16:$F$5015,Transaksi!$C$16:$C$5015,$A60,Transaksi!$D$16:$D$5015,"Masuk",Transaksi!$B$16:$B$5015,"&lt;="&amp;MIN(EOMONTH(DATE(Dashboard!$C$4,10,1),0),TODAY()))-SUMIFS(Transaksi!$F$16:$F$5015,Transaksi!$C$16:$C$5015,$A60,Transaksi!$D$16:$D$5015,"Keluar",Transaksi!$B$16:$B$5015,"&lt;="&amp;MIN(EOMONTH(DATE(Dashboard!$C$4,10,1),0),TODAY()))-SUMIFS(Transaksi!$F$16:$F$5015,Transaksi!$C$16:$C$5015,$A60,Transaksi!$D$16:$D$5015,"Pindah",Transaksi!$B$16:$B$5015,"&lt;="&amp;MIN(EOMONTH(DATE(Dashboard!$C$4,10,1),0),TODAY()))+SUMIFS(Transaksi!$F$16:$F$5015,Transaksi!$E$16:$E$5015,$A60,Transaksi!$D$16:$D$5015,"Pindah",Transaksi!$B$16:$B$5015,"&lt;="&amp;MIN(EOMONTH(DATE(Dashboard!$C$4,10,1),0),TODAY())))</f>
        <v/>
      </c>
      <c r="M60" s="106">
        <f>IF(OR($A60="",DATE(Dashboard!$C$4,11,1)&gt;TODAY(),ISNA(MATCH($B60,{"Pribadi","Investasi (kas RDN)","Piutang","Pinjaman Mama (dompet)"},0))),"",SUMIFS(Akun!$C$5:$C$104,Akun!$A$5:$A$104,$A60,Akun!$D$5:$D$104,"&lt;="&amp;MIN(EOMONTH(DATE(Dashboard!$C$4,11,1),0),TODAY()))+SUMIFS(Transaksi!$F$16:$F$5015,Transaksi!$C$16:$C$5015,$A60,Transaksi!$D$16:$D$5015,"Masuk",Transaksi!$B$16:$B$5015,"&lt;="&amp;MIN(EOMONTH(DATE(Dashboard!$C$4,11,1),0),TODAY()))-SUMIFS(Transaksi!$F$16:$F$5015,Transaksi!$C$16:$C$5015,$A60,Transaksi!$D$16:$D$5015,"Keluar",Transaksi!$B$16:$B$5015,"&lt;="&amp;MIN(EOMONTH(DATE(Dashboard!$C$4,11,1),0),TODAY()))-SUMIFS(Transaksi!$F$16:$F$5015,Transaksi!$C$16:$C$5015,$A60,Transaksi!$D$16:$D$5015,"Pindah",Transaksi!$B$16:$B$5015,"&lt;="&amp;MIN(EOMONTH(DATE(Dashboard!$C$4,11,1),0),TODAY()))+SUMIFS(Transaksi!$F$16:$F$5015,Transaksi!$E$16:$E$5015,$A60,Transaksi!$D$16:$D$5015,"Pindah",Transaksi!$B$16:$B$5015,"&lt;="&amp;MIN(EOMONTH(DATE(Dashboard!$C$4,11,1),0),TODAY())))</f>
        <v/>
      </c>
      <c r="N60" s="106">
        <f>IF(OR($A60="",DATE(Dashboard!$C$4,12,1)&gt;TODAY(),ISNA(MATCH($B60,{"Pribadi","Investasi (kas RDN)","Piutang","Pinjaman Mama (dompet)"},0))),"",SUMIFS(Akun!$C$5:$C$104,Akun!$A$5:$A$104,$A60,Akun!$D$5:$D$104,"&lt;="&amp;MIN(EOMONTH(DATE(Dashboard!$C$4,12,1),0),TODAY()))+SUMIFS(Transaksi!$F$16:$F$5015,Transaksi!$C$16:$C$5015,$A60,Transaksi!$D$16:$D$5015,"Masuk",Transaksi!$B$16:$B$5015,"&lt;="&amp;MIN(EOMONTH(DATE(Dashboard!$C$4,12,1),0),TODAY()))-SUMIFS(Transaksi!$F$16:$F$5015,Transaksi!$C$16:$C$5015,$A60,Transaksi!$D$16:$D$5015,"Keluar",Transaksi!$B$16:$B$5015,"&lt;="&amp;MIN(EOMONTH(DATE(Dashboard!$C$4,12,1),0),TODAY()))-SUMIFS(Transaksi!$F$16:$F$5015,Transaksi!$C$16:$C$5015,$A60,Transaksi!$D$16:$D$5015,"Pindah",Transaksi!$B$16:$B$5015,"&lt;="&amp;MIN(EOMONTH(DATE(Dashboard!$C$4,12,1),0),TODAY()))+SUMIFS(Transaksi!$F$16:$F$5015,Transaksi!$E$16:$E$5015,$A60,Transaksi!$D$16:$D$5015,"Pindah",Transaksi!$B$16:$B$5015,"&lt;="&amp;MIN(EOMONTH(DATE(Dashboard!$C$4,12,1),0),TODAY())))</f>
        <v/>
      </c>
    </row>
    <row r="61" ht="15" customHeight="1" s="94">
      <c r="A61" s="93">
        <f>IF(Akun!$A$25="","",Akun!$A$25)</f>
        <v/>
      </c>
      <c r="B61" s="93">
        <f>IF(Akun!$A$25="","",Akun!$B$25)</f>
        <v/>
      </c>
      <c r="C61" s="106">
        <f>IF(OR($A61="",DATE(Dashboard!$C$4,1,1)&gt;TODAY(),ISNA(MATCH($B61,{"Pribadi","Investasi (kas RDN)","Piutang","Pinjaman Mama (dompet)"},0))),"",SUMIFS(Akun!$C$5:$C$104,Akun!$A$5:$A$104,$A61,Akun!$D$5:$D$104,"&lt;="&amp;MIN(EOMONTH(DATE(Dashboard!$C$4,1,1),0),TODAY()))+SUMIFS(Transaksi!$F$16:$F$5015,Transaksi!$C$16:$C$5015,$A61,Transaksi!$D$16:$D$5015,"Masuk",Transaksi!$B$16:$B$5015,"&lt;="&amp;MIN(EOMONTH(DATE(Dashboard!$C$4,1,1),0),TODAY()))-SUMIFS(Transaksi!$F$16:$F$5015,Transaksi!$C$16:$C$5015,$A61,Transaksi!$D$16:$D$5015,"Keluar",Transaksi!$B$16:$B$5015,"&lt;="&amp;MIN(EOMONTH(DATE(Dashboard!$C$4,1,1),0),TODAY()))-SUMIFS(Transaksi!$F$16:$F$5015,Transaksi!$C$16:$C$5015,$A61,Transaksi!$D$16:$D$5015,"Pindah",Transaksi!$B$16:$B$5015,"&lt;="&amp;MIN(EOMONTH(DATE(Dashboard!$C$4,1,1),0),TODAY()))+SUMIFS(Transaksi!$F$16:$F$5015,Transaksi!$E$16:$E$5015,$A61,Transaksi!$D$16:$D$5015,"Pindah",Transaksi!$B$16:$B$5015,"&lt;="&amp;MIN(EOMONTH(DATE(Dashboard!$C$4,1,1),0),TODAY())))</f>
        <v/>
      </c>
      <c r="D61" s="106">
        <f>IF(OR($A61="",DATE(Dashboard!$C$4,2,1)&gt;TODAY(),ISNA(MATCH($B61,{"Pribadi","Investasi (kas RDN)","Piutang","Pinjaman Mama (dompet)"},0))),"",SUMIFS(Akun!$C$5:$C$104,Akun!$A$5:$A$104,$A61,Akun!$D$5:$D$104,"&lt;="&amp;MIN(EOMONTH(DATE(Dashboard!$C$4,2,1),0),TODAY()))+SUMIFS(Transaksi!$F$16:$F$5015,Transaksi!$C$16:$C$5015,$A61,Transaksi!$D$16:$D$5015,"Masuk",Transaksi!$B$16:$B$5015,"&lt;="&amp;MIN(EOMONTH(DATE(Dashboard!$C$4,2,1),0),TODAY()))-SUMIFS(Transaksi!$F$16:$F$5015,Transaksi!$C$16:$C$5015,$A61,Transaksi!$D$16:$D$5015,"Keluar",Transaksi!$B$16:$B$5015,"&lt;="&amp;MIN(EOMONTH(DATE(Dashboard!$C$4,2,1),0),TODAY()))-SUMIFS(Transaksi!$F$16:$F$5015,Transaksi!$C$16:$C$5015,$A61,Transaksi!$D$16:$D$5015,"Pindah",Transaksi!$B$16:$B$5015,"&lt;="&amp;MIN(EOMONTH(DATE(Dashboard!$C$4,2,1),0),TODAY()))+SUMIFS(Transaksi!$F$16:$F$5015,Transaksi!$E$16:$E$5015,$A61,Transaksi!$D$16:$D$5015,"Pindah",Transaksi!$B$16:$B$5015,"&lt;="&amp;MIN(EOMONTH(DATE(Dashboard!$C$4,2,1),0),TODAY())))</f>
        <v/>
      </c>
      <c r="E61" s="106">
        <f>IF(OR($A61="",DATE(Dashboard!$C$4,3,1)&gt;TODAY(),ISNA(MATCH($B61,{"Pribadi","Investasi (kas RDN)","Piutang","Pinjaman Mama (dompet)"},0))),"",SUMIFS(Akun!$C$5:$C$104,Akun!$A$5:$A$104,$A61,Akun!$D$5:$D$104,"&lt;="&amp;MIN(EOMONTH(DATE(Dashboard!$C$4,3,1),0),TODAY()))+SUMIFS(Transaksi!$F$16:$F$5015,Transaksi!$C$16:$C$5015,$A61,Transaksi!$D$16:$D$5015,"Masuk",Transaksi!$B$16:$B$5015,"&lt;="&amp;MIN(EOMONTH(DATE(Dashboard!$C$4,3,1),0),TODAY()))-SUMIFS(Transaksi!$F$16:$F$5015,Transaksi!$C$16:$C$5015,$A61,Transaksi!$D$16:$D$5015,"Keluar",Transaksi!$B$16:$B$5015,"&lt;="&amp;MIN(EOMONTH(DATE(Dashboard!$C$4,3,1),0),TODAY()))-SUMIFS(Transaksi!$F$16:$F$5015,Transaksi!$C$16:$C$5015,$A61,Transaksi!$D$16:$D$5015,"Pindah",Transaksi!$B$16:$B$5015,"&lt;="&amp;MIN(EOMONTH(DATE(Dashboard!$C$4,3,1),0),TODAY()))+SUMIFS(Transaksi!$F$16:$F$5015,Transaksi!$E$16:$E$5015,$A61,Transaksi!$D$16:$D$5015,"Pindah",Transaksi!$B$16:$B$5015,"&lt;="&amp;MIN(EOMONTH(DATE(Dashboard!$C$4,3,1),0),TODAY())))</f>
        <v/>
      </c>
      <c r="F61" s="106">
        <f>IF(OR($A61="",DATE(Dashboard!$C$4,4,1)&gt;TODAY(),ISNA(MATCH($B61,{"Pribadi","Investasi (kas RDN)","Piutang","Pinjaman Mama (dompet)"},0))),"",SUMIFS(Akun!$C$5:$C$104,Akun!$A$5:$A$104,$A61,Akun!$D$5:$D$104,"&lt;="&amp;MIN(EOMONTH(DATE(Dashboard!$C$4,4,1),0),TODAY()))+SUMIFS(Transaksi!$F$16:$F$5015,Transaksi!$C$16:$C$5015,$A61,Transaksi!$D$16:$D$5015,"Masuk",Transaksi!$B$16:$B$5015,"&lt;="&amp;MIN(EOMONTH(DATE(Dashboard!$C$4,4,1),0),TODAY()))-SUMIFS(Transaksi!$F$16:$F$5015,Transaksi!$C$16:$C$5015,$A61,Transaksi!$D$16:$D$5015,"Keluar",Transaksi!$B$16:$B$5015,"&lt;="&amp;MIN(EOMONTH(DATE(Dashboard!$C$4,4,1),0),TODAY()))-SUMIFS(Transaksi!$F$16:$F$5015,Transaksi!$C$16:$C$5015,$A61,Transaksi!$D$16:$D$5015,"Pindah",Transaksi!$B$16:$B$5015,"&lt;="&amp;MIN(EOMONTH(DATE(Dashboard!$C$4,4,1),0),TODAY()))+SUMIFS(Transaksi!$F$16:$F$5015,Transaksi!$E$16:$E$5015,$A61,Transaksi!$D$16:$D$5015,"Pindah",Transaksi!$B$16:$B$5015,"&lt;="&amp;MIN(EOMONTH(DATE(Dashboard!$C$4,4,1),0),TODAY())))</f>
        <v/>
      </c>
      <c r="G61" s="106">
        <f>IF(OR($A61="",DATE(Dashboard!$C$4,5,1)&gt;TODAY(),ISNA(MATCH($B61,{"Pribadi","Investasi (kas RDN)","Piutang","Pinjaman Mama (dompet)"},0))),"",SUMIFS(Akun!$C$5:$C$104,Akun!$A$5:$A$104,$A61,Akun!$D$5:$D$104,"&lt;="&amp;MIN(EOMONTH(DATE(Dashboard!$C$4,5,1),0),TODAY()))+SUMIFS(Transaksi!$F$16:$F$5015,Transaksi!$C$16:$C$5015,$A61,Transaksi!$D$16:$D$5015,"Masuk",Transaksi!$B$16:$B$5015,"&lt;="&amp;MIN(EOMONTH(DATE(Dashboard!$C$4,5,1),0),TODAY()))-SUMIFS(Transaksi!$F$16:$F$5015,Transaksi!$C$16:$C$5015,$A61,Transaksi!$D$16:$D$5015,"Keluar",Transaksi!$B$16:$B$5015,"&lt;="&amp;MIN(EOMONTH(DATE(Dashboard!$C$4,5,1),0),TODAY()))-SUMIFS(Transaksi!$F$16:$F$5015,Transaksi!$C$16:$C$5015,$A61,Transaksi!$D$16:$D$5015,"Pindah",Transaksi!$B$16:$B$5015,"&lt;="&amp;MIN(EOMONTH(DATE(Dashboard!$C$4,5,1),0),TODAY()))+SUMIFS(Transaksi!$F$16:$F$5015,Transaksi!$E$16:$E$5015,$A61,Transaksi!$D$16:$D$5015,"Pindah",Transaksi!$B$16:$B$5015,"&lt;="&amp;MIN(EOMONTH(DATE(Dashboard!$C$4,5,1),0),TODAY())))</f>
        <v/>
      </c>
      <c r="H61" s="106">
        <f>IF(OR($A61="",DATE(Dashboard!$C$4,6,1)&gt;TODAY(),ISNA(MATCH($B61,{"Pribadi","Investasi (kas RDN)","Piutang","Pinjaman Mama (dompet)"},0))),"",SUMIFS(Akun!$C$5:$C$104,Akun!$A$5:$A$104,$A61,Akun!$D$5:$D$104,"&lt;="&amp;MIN(EOMONTH(DATE(Dashboard!$C$4,6,1),0),TODAY()))+SUMIFS(Transaksi!$F$16:$F$5015,Transaksi!$C$16:$C$5015,$A61,Transaksi!$D$16:$D$5015,"Masuk",Transaksi!$B$16:$B$5015,"&lt;="&amp;MIN(EOMONTH(DATE(Dashboard!$C$4,6,1),0),TODAY()))-SUMIFS(Transaksi!$F$16:$F$5015,Transaksi!$C$16:$C$5015,$A61,Transaksi!$D$16:$D$5015,"Keluar",Transaksi!$B$16:$B$5015,"&lt;="&amp;MIN(EOMONTH(DATE(Dashboard!$C$4,6,1),0),TODAY()))-SUMIFS(Transaksi!$F$16:$F$5015,Transaksi!$C$16:$C$5015,$A61,Transaksi!$D$16:$D$5015,"Pindah",Transaksi!$B$16:$B$5015,"&lt;="&amp;MIN(EOMONTH(DATE(Dashboard!$C$4,6,1),0),TODAY()))+SUMIFS(Transaksi!$F$16:$F$5015,Transaksi!$E$16:$E$5015,$A61,Transaksi!$D$16:$D$5015,"Pindah",Transaksi!$B$16:$B$5015,"&lt;="&amp;MIN(EOMONTH(DATE(Dashboard!$C$4,6,1),0),TODAY())))</f>
        <v/>
      </c>
      <c r="I61" s="106">
        <f>IF(OR($A61="",DATE(Dashboard!$C$4,7,1)&gt;TODAY(),ISNA(MATCH($B61,{"Pribadi","Investasi (kas RDN)","Piutang","Pinjaman Mama (dompet)"},0))),"",SUMIFS(Akun!$C$5:$C$104,Akun!$A$5:$A$104,$A61,Akun!$D$5:$D$104,"&lt;="&amp;MIN(EOMONTH(DATE(Dashboard!$C$4,7,1),0),TODAY()))+SUMIFS(Transaksi!$F$16:$F$5015,Transaksi!$C$16:$C$5015,$A61,Transaksi!$D$16:$D$5015,"Masuk",Transaksi!$B$16:$B$5015,"&lt;="&amp;MIN(EOMONTH(DATE(Dashboard!$C$4,7,1),0),TODAY()))-SUMIFS(Transaksi!$F$16:$F$5015,Transaksi!$C$16:$C$5015,$A61,Transaksi!$D$16:$D$5015,"Keluar",Transaksi!$B$16:$B$5015,"&lt;="&amp;MIN(EOMONTH(DATE(Dashboard!$C$4,7,1),0),TODAY()))-SUMIFS(Transaksi!$F$16:$F$5015,Transaksi!$C$16:$C$5015,$A61,Transaksi!$D$16:$D$5015,"Pindah",Transaksi!$B$16:$B$5015,"&lt;="&amp;MIN(EOMONTH(DATE(Dashboard!$C$4,7,1),0),TODAY()))+SUMIFS(Transaksi!$F$16:$F$5015,Transaksi!$E$16:$E$5015,$A61,Transaksi!$D$16:$D$5015,"Pindah",Transaksi!$B$16:$B$5015,"&lt;="&amp;MIN(EOMONTH(DATE(Dashboard!$C$4,7,1),0),TODAY())))</f>
        <v/>
      </c>
      <c r="J61" s="106">
        <f>IF(OR($A61="",DATE(Dashboard!$C$4,8,1)&gt;TODAY(),ISNA(MATCH($B61,{"Pribadi","Investasi (kas RDN)","Piutang","Pinjaman Mama (dompet)"},0))),"",SUMIFS(Akun!$C$5:$C$104,Akun!$A$5:$A$104,$A61,Akun!$D$5:$D$104,"&lt;="&amp;MIN(EOMONTH(DATE(Dashboard!$C$4,8,1),0),TODAY()))+SUMIFS(Transaksi!$F$16:$F$5015,Transaksi!$C$16:$C$5015,$A61,Transaksi!$D$16:$D$5015,"Masuk",Transaksi!$B$16:$B$5015,"&lt;="&amp;MIN(EOMONTH(DATE(Dashboard!$C$4,8,1),0),TODAY()))-SUMIFS(Transaksi!$F$16:$F$5015,Transaksi!$C$16:$C$5015,$A61,Transaksi!$D$16:$D$5015,"Keluar",Transaksi!$B$16:$B$5015,"&lt;="&amp;MIN(EOMONTH(DATE(Dashboard!$C$4,8,1),0),TODAY()))-SUMIFS(Transaksi!$F$16:$F$5015,Transaksi!$C$16:$C$5015,$A61,Transaksi!$D$16:$D$5015,"Pindah",Transaksi!$B$16:$B$5015,"&lt;="&amp;MIN(EOMONTH(DATE(Dashboard!$C$4,8,1),0),TODAY()))+SUMIFS(Transaksi!$F$16:$F$5015,Transaksi!$E$16:$E$5015,$A61,Transaksi!$D$16:$D$5015,"Pindah",Transaksi!$B$16:$B$5015,"&lt;="&amp;MIN(EOMONTH(DATE(Dashboard!$C$4,8,1),0),TODAY())))</f>
        <v/>
      </c>
      <c r="K61" s="106">
        <f>IF(OR($A61="",DATE(Dashboard!$C$4,9,1)&gt;TODAY(),ISNA(MATCH($B61,{"Pribadi","Investasi (kas RDN)","Piutang","Pinjaman Mama (dompet)"},0))),"",SUMIFS(Akun!$C$5:$C$104,Akun!$A$5:$A$104,$A61,Akun!$D$5:$D$104,"&lt;="&amp;MIN(EOMONTH(DATE(Dashboard!$C$4,9,1),0),TODAY()))+SUMIFS(Transaksi!$F$16:$F$5015,Transaksi!$C$16:$C$5015,$A61,Transaksi!$D$16:$D$5015,"Masuk",Transaksi!$B$16:$B$5015,"&lt;="&amp;MIN(EOMONTH(DATE(Dashboard!$C$4,9,1),0),TODAY()))-SUMIFS(Transaksi!$F$16:$F$5015,Transaksi!$C$16:$C$5015,$A61,Transaksi!$D$16:$D$5015,"Keluar",Transaksi!$B$16:$B$5015,"&lt;="&amp;MIN(EOMONTH(DATE(Dashboard!$C$4,9,1),0),TODAY()))-SUMIFS(Transaksi!$F$16:$F$5015,Transaksi!$C$16:$C$5015,$A61,Transaksi!$D$16:$D$5015,"Pindah",Transaksi!$B$16:$B$5015,"&lt;="&amp;MIN(EOMONTH(DATE(Dashboard!$C$4,9,1),0),TODAY()))+SUMIFS(Transaksi!$F$16:$F$5015,Transaksi!$E$16:$E$5015,$A61,Transaksi!$D$16:$D$5015,"Pindah",Transaksi!$B$16:$B$5015,"&lt;="&amp;MIN(EOMONTH(DATE(Dashboard!$C$4,9,1),0),TODAY())))</f>
        <v/>
      </c>
      <c r="L61" s="106">
        <f>IF(OR($A61="",DATE(Dashboard!$C$4,10,1)&gt;TODAY(),ISNA(MATCH($B61,{"Pribadi","Investasi (kas RDN)","Piutang","Pinjaman Mama (dompet)"},0))),"",SUMIFS(Akun!$C$5:$C$104,Akun!$A$5:$A$104,$A61,Akun!$D$5:$D$104,"&lt;="&amp;MIN(EOMONTH(DATE(Dashboard!$C$4,10,1),0),TODAY()))+SUMIFS(Transaksi!$F$16:$F$5015,Transaksi!$C$16:$C$5015,$A61,Transaksi!$D$16:$D$5015,"Masuk",Transaksi!$B$16:$B$5015,"&lt;="&amp;MIN(EOMONTH(DATE(Dashboard!$C$4,10,1),0),TODAY()))-SUMIFS(Transaksi!$F$16:$F$5015,Transaksi!$C$16:$C$5015,$A61,Transaksi!$D$16:$D$5015,"Keluar",Transaksi!$B$16:$B$5015,"&lt;="&amp;MIN(EOMONTH(DATE(Dashboard!$C$4,10,1),0),TODAY()))-SUMIFS(Transaksi!$F$16:$F$5015,Transaksi!$C$16:$C$5015,$A61,Transaksi!$D$16:$D$5015,"Pindah",Transaksi!$B$16:$B$5015,"&lt;="&amp;MIN(EOMONTH(DATE(Dashboard!$C$4,10,1),0),TODAY()))+SUMIFS(Transaksi!$F$16:$F$5015,Transaksi!$E$16:$E$5015,$A61,Transaksi!$D$16:$D$5015,"Pindah",Transaksi!$B$16:$B$5015,"&lt;="&amp;MIN(EOMONTH(DATE(Dashboard!$C$4,10,1),0),TODAY())))</f>
        <v/>
      </c>
      <c r="M61" s="106">
        <f>IF(OR($A61="",DATE(Dashboard!$C$4,11,1)&gt;TODAY(),ISNA(MATCH($B61,{"Pribadi","Investasi (kas RDN)","Piutang","Pinjaman Mama (dompet)"},0))),"",SUMIFS(Akun!$C$5:$C$104,Akun!$A$5:$A$104,$A61,Akun!$D$5:$D$104,"&lt;="&amp;MIN(EOMONTH(DATE(Dashboard!$C$4,11,1),0),TODAY()))+SUMIFS(Transaksi!$F$16:$F$5015,Transaksi!$C$16:$C$5015,$A61,Transaksi!$D$16:$D$5015,"Masuk",Transaksi!$B$16:$B$5015,"&lt;="&amp;MIN(EOMONTH(DATE(Dashboard!$C$4,11,1),0),TODAY()))-SUMIFS(Transaksi!$F$16:$F$5015,Transaksi!$C$16:$C$5015,$A61,Transaksi!$D$16:$D$5015,"Keluar",Transaksi!$B$16:$B$5015,"&lt;="&amp;MIN(EOMONTH(DATE(Dashboard!$C$4,11,1),0),TODAY()))-SUMIFS(Transaksi!$F$16:$F$5015,Transaksi!$C$16:$C$5015,$A61,Transaksi!$D$16:$D$5015,"Pindah",Transaksi!$B$16:$B$5015,"&lt;="&amp;MIN(EOMONTH(DATE(Dashboard!$C$4,11,1),0),TODAY()))+SUMIFS(Transaksi!$F$16:$F$5015,Transaksi!$E$16:$E$5015,$A61,Transaksi!$D$16:$D$5015,"Pindah",Transaksi!$B$16:$B$5015,"&lt;="&amp;MIN(EOMONTH(DATE(Dashboard!$C$4,11,1),0),TODAY())))</f>
        <v/>
      </c>
      <c r="N61" s="106">
        <f>IF(OR($A61="",DATE(Dashboard!$C$4,12,1)&gt;TODAY(),ISNA(MATCH($B61,{"Pribadi","Investasi (kas RDN)","Piutang","Pinjaman Mama (dompet)"},0))),"",SUMIFS(Akun!$C$5:$C$104,Akun!$A$5:$A$104,$A61,Akun!$D$5:$D$104,"&lt;="&amp;MIN(EOMONTH(DATE(Dashboard!$C$4,12,1),0),TODAY()))+SUMIFS(Transaksi!$F$16:$F$5015,Transaksi!$C$16:$C$5015,$A61,Transaksi!$D$16:$D$5015,"Masuk",Transaksi!$B$16:$B$5015,"&lt;="&amp;MIN(EOMONTH(DATE(Dashboard!$C$4,12,1),0),TODAY()))-SUMIFS(Transaksi!$F$16:$F$5015,Transaksi!$C$16:$C$5015,$A61,Transaksi!$D$16:$D$5015,"Keluar",Transaksi!$B$16:$B$5015,"&lt;="&amp;MIN(EOMONTH(DATE(Dashboard!$C$4,12,1),0),TODAY()))-SUMIFS(Transaksi!$F$16:$F$5015,Transaksi!$C$16:$C$5015,$A61,Transaksi!$D$16:$D$5015,"Pindah",Transaksi!$B$16:$B$5015,"&lt;="&amp;MIN(EOMONTH(DATE(Dashboard!$C$4,12,1),0),TODAY()))+SUMIFS(Transaksi!$F$16:$F$5015,Transaksi!$E$16:$E$5015,$A61,Transaksi!$D$16:$D$5015,"Pindah",Transaksi!$B$16:$B$5015,"&lt;="&amp;MIN(EOMONTH(DATE(Dashboard!$C$4,12,1),0),TODAY())))</f>
        <v/>
      </c>
    </row>
    <row r="62" ht="15" customHeight="1" s="94">
      <c r="A62" s="93">
        <f>IF(Akun!$A$26="","",Akun!$A$26)</f>
        <v/>
      </c>
      <c r="B62" s="93">
        <f>IF(Akun!$A$26="","",Akun!$B$26)</f>
        <v/>
      </c>
      <c r="C62" s="106">
        <f>IF(OR($A62="",DATE(Dashboard!$C$4,1,1)&gt;TODAY(),ISNA(MATCH($B62,{"Pribadi","Investasi (kas RDN)","Piutang","Pinjaman Mama (dompet)"},0))),"",SUMIFS(Akun!$C$5:$C$104,Akun!$A$5:$A$104,$A62,Akun!$D$5:$D$104,"&lt;="&amp;MIN(EOMONTH(DATE(Dashboard!$C$4,1,1),0),TODAY()))+SUMIFS(Transaksi!$F$16:$F$5015,Transaksi!$C$16:$C$5015,$A62,Transaksi!$D$16:$D$5015,"Masuk",Transaksi!$B$16:$B$5015,"&lt;="&amp;MIN(EOMONTH(DATE(Dashboard!$C$4,1,1),0),TODAY()))-SUMIFS(Transaksi!$F$16:$F$5015,Transaksi!$C$16:$C$5015,$A62,Transaksi!$D$16:$D$5015,"Keluar",Transaksi!$B$16:$B$5015,"&lt;="&amp;MIN(EOMONTH(DATE(Dashboard!$C$4,1,1),0),TODAY()))-SUMIFS(Transaksi!$F$16:$F$5015,Transaksi!$C$16:$C$5015,$A62,Transaksi!$D$16:$D$5015,"Pindah",Transaksi!$B$16:$B$5015,"&lt;="&amp;MIN(EOMONTH(DATE(Dashboard!$C$4,1,1),0),TODAY()))+SUMIFS(Transaksi!$F$16:$F$5015,Transaksi!$E$16:$E$5015,$A62,Transaksi!$D$16:$D$5015,"Pindah",Transaksi!$B$16:$B$5015,"&lt;="&amp;MIN(EOMONTH(DATE(Dashboard!$C$4,1,1),0),TODAY())))</f>
        <v/>
      </c>
      <c r="D62" s="106">
        <f>IF(OR($A62="",DATE(Dashboard!$C$4,2,1)&gt;TODAY(),ISNA(MATCH($B62,{"Pribadi","Investasi (kas RDN)","Piutang","Pinjaman Mama (dompet)"},0))),"",SUMIFS(Akun!$C$5:$C$104,Akun!$A$5:$A$104,$A62,Akun!$D$5:$D$104,"&lt;="&amp;MIN(EOMONTH(DATE(Dashboard!$C$4,2,1),0),TODAY()))+SUMIFS(Transaksi!$F$16:$F$5015,Transaksi!$C$16:$C$5015,$A62,Transaksi!$D$16:$D$5015,"Masuk",Transaksi!$B$16:$B$5015,"&lt;="&amp;MIN(EOMONTH(DATE(Dashboard!$C$4,2,1),0),TODAY()))-SUMIFS(Transaksi!$F$16:$F$5015,Transaksi!$C$16:$C$5015,$A62,Transaksi!$D$16:$D$5015,"Keluar",Transaksi!$B$16:$B$5015,"&lt;="&amp;MIN(EOMONTH(DATE(Dashboard!$C$4,2,1),0),TODAY()))-SUMIFS(Transaksi!$F$16:$F$5015,Transaksi!$C$16:$C$5015,$A62,Transaksi!$D$16:$D$5015,"Pindah",Transaksi!$B$16:$B$5015,"&lt;="&amp;MIN(EOMONTH(DATE(Dashboard!$C$4,2,1),0),TODAY()))+SUMIFS(Transaksi!$F$16:$F$5015,Transaksi!$E$16:$E$5015,$A62,Transaksi!$D$16:$D$5015,"Pindah",Transaksi!$B$16:$B$5015,"&lt;="&amp;MIN(EOMONTH(DATE(Dashboard!$C$4,2,1),0),TODAY())))</f>
        <v/>
      </c>
      <c r="E62" s="106">
        <f>IF(OR($A62="",DATE(Dashboard!$C$4,3,1)&gt;TODAY(),ISNA(MATCH($B62,{"Pribadi","Investasi (kas RDN)","Piutang","Pinjaman Mama (dompet)"},0))),"",SUMIFS(Akun!$C$5:$C$104,Akun!$A$5:$A$104,$A62,Akun!$D$5:$D$104,"&lt;="&amp;MIN(EOMONTH(DATE(Dashboard!$C$4,3,1),0),TODAY()))+SUMIFS(Transaksi!$F$16:$F$5015,Transaksi!$C$16:$C$5015,$A62,Transaksi!$D$16:$D$5015,"Masuk",Transaksi!$B$16:$B$5015,"&lt;="&amp;MIN(EOMONTH(DATE(Dashboard!$C$4,3,1),0),TODAY()))-SUMIFS(Transaksi!$F$16:$F$5015,Transaksi!$C$16:$C$5015,$A62,Transaksi!$D$16:$D$5015,"Keluar",Transaksi!$B$16:$B$5015,"&lt;="&amp;MIN(EOMONTH(DATE(Dashboard!$C$4,3,1),0),TODAY()))-SUMIFS(Transaksi!$F$16:$F$5015,Transaksi!$C$16:$C$5015,$A62,Transaksi!$D$16:$D$5015,"Pindah",Transaksi!$B$16:$B$5015,"&lt;="&amp;MIN(EOMONTH(DATE(Dashboard!$C$4,3,1),0),TODAY()))+SUMIFS(Transaksi!$F$16:$F$5015,Transaksi!$E$16:$E$5015,$A62,Transaksi!$D$16:$D$5015,"Pindah",Transaksi!$B$16:$B$5015,"&lt;="&amp;MIN(EOMONTH(DATE(Dashboard!$C$4,3,1),0),TODAY())))</f>
        <v/>
      </c>
      <c r="F62" s="106">
        <f>IF(OR($A62="",DATE(Dashboard!$C$4,4,1)&gt;TODAY(),ISNA(MATCH($B62,{"Pribadi","Investasi (kas RDN)","Piutang","Pinjaman Mama (dompet)"},0))),"",SUMIFS(Akun!$C$5:$C$104,Akun!$A$5:$A$104,$A62,Akun!$D$5:$D$104,"&lt;="&amp;MIN(EOMONTH(DATE(Dashboard!$C$4,4,1),0),TODAY()))+SUMIFS(Transaksi!$F$16:$F$5015,Transaksi!$C$16:$C$5015,$A62,Transaksi!$D$16:$D$5015,"Masuk",Transaksi!$B$16:$B$5015,"&lt;="&amp;MIN(EOMONTH(DATE(Dashboard!$C$4,4,1),0),TODAY()))-SUMIFS(Transaksi!$F$16:$F$5015,Transaksi!$C$16:$C$5015,$A62,Transaksi!$D$16:$D$5015,"Keluar",Transaksi!$B$16:$B$5015,"&lt;="&amp;MIN(EOMONTH(DATE(Dashboard!$C$4,4,1),0),TODAY()))-SUMIFS(Transaksi!$F$16:$F$5015,Transaksi!$C$16:$C$5015,$A62,Transaksi!$D$16:$D$5015,"Pindah",Transaksi!$B$16:$B$5015,"&lt;="&amp;MIN(EOMONTH(DATE(Dashboard!$C$4,4,1),0),TODAY()))+SUMIFS(Transaksi!$F$16:$F$5015,Transaksi!$E$16:$E$5015,$A62,Transaksi!$D$16:$D$5015,"Pindah",Transaksi!$B$16:$B$5015,"&lt;="&amp;MIN(EOMONTH(DATE(Dashboard!$C$4,4,1),0),TODAY())))</f>
        <v/>
      </c>
      <c r="G62" s="106">
        <f>IF(OR($A62="",DATE(Dashboard!$C$4,5,1)&gt;TODAY(),ISNA(MATCH($B62,{"Pribadi","Investasi (kas RDN)","Piutang","Pinjaman Mama (dompet)"},0))),"",SUMIFS(Akun!$C$5:$C$104,Akun!$A$5:$A$104,$A62,Akun!$D$5:$D$104,"&lt;="&amp;MIN(EOMONTH(DATE(Dashboard!$C$4,5,1),0),TODAY()))+SUMIFS(Transaksi!$F$16:$F$5015,Transaksi!$C$16:$C$5015,$A62,Transaksi!$D$16:$D$5015,"Masuk",Transaksi!$B$16:$B$5015,"&lt;="&amp;MIN(EOMONTH(DATE(Dashboard!$C$4,5,1),0),TODAY()))-SUMIFS(Transaksi!$F$16:$F$5015,Transaksi!$C$16:$C$5015,$A62,Transaksi!$D$16:$D$5015,"Keluar",Transaksi!$B$16:$B$5015,"&lt;="&amp;MIN(EOMONTH(DATE(Dashboard!$C$4,5,1),0),TODAY()))-SUMIFS(Transaksi!$F$16:$F$5015,Transaksi!$C$16:$C$5015,$A62,Transaksi!$D$16:$D$5015,"Pindah",Transaksi!$B$16:$B$5015,"&lt;="&amp;MIN(EOMONTH(DATE(Dashboard!$C$4,5,1),0),TODAY()))+SUMIFS(Transaksi!$F$16:$F$5015,Transaksi!$E$16:$E$5015,$A62,Transaksi!$D$16:$D$5015,"Pindah",Transaksi!$B$16:$B$5015,"&lt;="&amp;MIN(EOMONTH(DATE(Dashboard!$C$4,5,1),0),TODAY())))</f>
        <v/>
      </c>
      <c r="H62" s="106">
        <f>IF(OR($A62="",DATE(Dashboard!$C$4,6,1)&gt;TODAY(),ISNA(MATCH($B62,{"Pribadi","Investasi (kas RDN)","Piutang","Pinjaman Mama (dompet)"},0))),"",SUMIFS(Akun!$C$5:$C$104,Akun!$A$5:$A$104,$A62,Akun!$D$5:$D$104,"&lt;="&amp;MIN(EOMONTH(DATE(Dashboard!$C$4,6,1),0),TODAY()))+SUMIFS(Transaksi!$F$16:$F$5015,Transaksi!$C$16:$C$5015,$A62,Transaksi!$D$16:$D$5015,"Masuk",Transaksi!$B$16:$B$5015,"&lt;="&amp;MIN(EOMONTH(DATE(Dashboard!$C$4,6,1),0),TODAY()))-SUMIFS(Transaksi!$F$16:$F$5015,Transaksi!$C$16:$C$5015,$A62,Transaksi!$D$16:$D$5015,"Keluar",Transaksi!$B$16:$B$5015,"&lt;="&amp;MIN(EOMONTH(DATE(Dashboard!$C$4,6,1),0),TODAY()))-SUMIFS(Transaksi!$F$16:$F$5015,Transaksi!$C$16:$C$5015,$A62,Transaksi!$D$16:$D$5015,"Pindah",Transaksi!$B$16:$B$5015,"&lt;="&amp;MIN(EOMONTH(DATE(Dashboard!$C$4,6,1),0),TODAY()))+SUMIFS(Transaksi!$F$16:$F$5015,Transaksi!$E$16:$E$5015,$A62,Transaksi!$D$16:$D$5015,"Pindah",Transaksi!$B$16:$B$5015,"&lt;="&amp;MIN(EOMONTH(DATE(Dashboard!$C$4,6,1),0),TODAY())))</f>
        <v/>
      </c>
      <c r="I62" s="106">
        <f>IF(OR($A62="",DATE(Dashboard!$C$4,7,1)&gt;TODAY(),ISNA(MATCH($B62,{"Pribadi","Investasi (kas RDN)","Piutang","Pinjaman Mama (dompet)"},0))),"",SUMIFS(Akun!$C$5:$C$104,Akun!$A$5:$A$104,$A62,Akun!$D$5:$D$104,"&lt;="&amp;MIN(EOMONTH(DATE(Dashboard!$C$4,7,1),0),TODAY()))+SUMIFS(Transaksi!$F$16:$F$5015,Transaksi!$C$16:$C$5015,$A62,Transaksi!$D$16:$D$5015,"Masuk",Transaksi!$B$16:$B$5015,"&lt;="&amp;MIN(EOMONTH(DATE(Dashboard!$C$4,7,1),0),TODAY()))-SUMIFS(Transaksi!$F$16:$F$5015,Transaksi!$C$16:$C$5015,$A62,Transaksi!$D$16:$D$5015,"Keluar",Transaksi!$B$16:$B$5015,"&lt;="&amp;MIN(EOMONTH(DATE(Dashboard!$C$4,7,1),0),TODAY()))-SUMIFS(Transaksi!$F$16:$F$5015,Transaksi!$C$16:$C$5015,$A62,Transaksi!$D$16:$D$5015,"Pindah",Transaksi!$B$16:$B$5015,"&lt;="&amp;MIN(EOMONTH(DATE(Dashboard!$C$4,7,1),0),TODAY()))+SUMIFS(Transaksi!$F$16:$F$5015,Transaksi!$E$16:$E$5015,$A62,Transaksi!$D$16:$D$5015,"Pindah",Transaksi!$B$16:$B$5015,"&lt;="&amp;MIN(EOMONTH(DATE(Dashboard!$C$4,7,1),0),TODAY())))</f>
        <v/>
      </c>
      <c r="J62" s="106">
        <f>IF(OR($A62="",DATE(Dashboard!$C$4,8,1)&gt;TODAY(),ISNA(MATCH($B62,{"Pribadi","Investasi (kas RDN)","Piutang","Pinjaman Mama (dompet)"},0))),"",SUMIFS(Akun!$C$5:$C$104,Akun!$A$5:$A$104,$A62,Akun!$D$5:$D$104,"&lt;="&amp;MIN(EOMONTH(DATE(Dashboard!$C$4,8,1),0),TODAY()))+SUMIFS(Transaksi!$F$16:$F$5015,Transaksi!$C$16:$C$5015,$A62,Transaksi!$D$16:$D$5015,"Masuk",Transaksi!$B$16:$B$5015,"&lt;="&amp;MIN(EOMONTH(DATE(Dashboard!$C$4,8,1),0),TODAY()))-SUMIFS(Transaksi!$F$16:$F$5015,Transaksi!$C$16:$C$5015,$A62,Transaksi!$D$16:$D$5015,"Keluar",Transaksi!$B$16:$B$5015,"&lt;="&amp;MIN(EOMONTH(DATE(Dashboard!$C$4,8,1),0),TODAY()))-SUMIFS(Transaksi!$F$16:$F$5015,Transaksi!$C$16:$C$5015,$A62,Transaksi!$D$16:$D$5015,"Pindah",Transaksi!$B$16:$B$5015,"&lt;="&amp;MIN(EOMONTH(DATE(Dashboard!$C$4,8,1),0),TODAY()))+SUMIFS(Transaksi!$F$16:$F$5015,Transaksi!$E$16:$E$5015,$A62,Transaksi!$D$16:$D$5015,"Pindah",Transaksi!$B$16:$B$5015,"&lt;="&amp;MIN(EOMONTH(DATE(Dashboard!$C$4,8,1),0),TODAY())))</f>
        <v/>
      </c>
      <c r="K62" s="106">
        <f>IF(OR($A62="",DATE(Dashboard!$C$4,9,1)&gt;TODAY(),ISNA(MATCH($B62,{"Pribadi","Investasi (kas RDN)","Piutang","Pinjaman Mama (dompet)"},0))),"",SUMIFS(Akun!$C$5:$C$104,Akun!$A$5:$A$104,$A62,Akun!$D$5:$D$104,"&lt;="&amp;MIN(EOMONTH(DATE(Dashboard!$C$4,9,1),0),TODAY()))+SUMIFS(Transaksi!$F$16:$F$5015,Transaksi!$C$16:$C$5015,$A62,Transaksi!$D$16:$D$5015,"Masuk",Transaksi!$B$16:$B$5015,"&lt;="&amp;MIN(EOMONTH(DATE(Dashboard!$C$4,9,1),0),TODAY()))-SUMIFS(Transaksi!$F$16:$F$5015,Transaksi!$C$16:$C$5015,$A62,Transaksi!$D$16:$D$5015,"Keluar",Transaksi!$B$16:$B$5015,"&lt;="&amp;MIN(EOMONTH(DATE(Dashboard!$C$4,9,1),0),TODAY()))-SUMIFS(Transaksi!$F$16:$F$5015,Transaksi!$C$16:$C$5015,$A62,Transaksi!$D$16:$D$5015,"Pindah",Transaksi!$B$16:$B$5015,"&lt;="&amp;MIN(EOMONTH(DATE(Dashboard!$C$4,9,1),0),TODAY()))+SUMIFS(Transaksi!$F$16:$F$5015,Transaksi!$E$16:$E$5015,$A62,Transaksi!$D$16:$D$5015,"Pindah",Transaksi!$B$16:$B$5015,"&lt;="&amp;MIN(EOMONTH(DATE(Dashboard!$C$4,9,1),0),TODAY())))</f>
        <v/>
      </c>
      <c r="L62" s="106">
        <f>IF(OR($A62="",DATE(Dashboard!$C$4,10,1)&gt;TODAY(),ISNA(MATCH($B62,{"Pribadi","Investasi (kas RDN)","Piutang","Pinjaman Mama (dompet)"},0))),"",SUMIFS(Akun!$C$5:$C$104,Akun!$A$5:$A$104,$A62,Akun!$D$5:$D$104,"&lt;="&amp;MIN(EOMONTH(DATE(Dashboard!$C$4,10,1),0),TODAY()))+SUMIFS(Transaksi!$F$16:$F$5015,Transaksi!$C$16:$C$5015,$A62,Transaksi!$D$16:$D$5015,"Masuk",Transaksi!$B$16:$B$5015,"&lt;="&amp;MIN(EOMONTH(DATE(Dashboard!$C$4,10,1),0),TODAY()))-SUMIFS(Transaksi!$F$16:$F$5015,Transaksi!$C$16:$C$5015,$A62,Transaksi!$D$16:$D$5015,"Keluar",Transaksi!$B$16:$B$5015,"&lt;="&amp;MIN(EOMONTH(DATE(Dashboard!$C$4,10,1),0),TODAY()))-SUMIFS(Transaksi!$F$16:$F$5015,Transaksi!$C$16:$C$5015,$A62,Transaksi!$D$16:$D$5015,"Pindah",Transaksi!$B$16:$B$5015,"&lt;="&amp;MIN(EOMONTH(DATE(Dashboard!$C$4,10,1),0),TODAY()))+SUMIFS(Transaksi!$F$16:$F$5015,Transaksi!$E$16:$E$5015,$A62,Transaksi!$D$16:$D$5015,"Pindah",Transaksi!$B$16:$B$5015,"&lt;="&amp;MIN(EOMONTH(DATE(Dashboard!$C$4,10,1),0),TODAY())))</f>
        <v/>
      </c>
      <c r="M62" s="106">
        <f>IF(OR($A62="",DATE(Dashboard!$C$4,11,1)&gt;TODAY(),ISNA(MATCH($B62,{"Pribadi","Investasi (kas RDN)","Piutang","Pinjaman Mama (dompet)"},0))),"",SUMIFS(Akun!$C$5:$C$104,Akun!$A$5:$A$104,$A62,Akun!$D$5:$D$104,"&lt;="&amp;MIN(EOMONTH(DATE(Dashboard!$C$4,11,1),0),TODAY()))+SUMIFS(Transaksi!$F$16:$F$5015,Transaksi!$C$16:$C$5015,$A62,Transaksi!$D$16:$D$5015,"Masuk",Transaksi!$B$16:$B$5015,"&lt;="&amp;MIN(EOMONTH(DATE(Dashboard!$C$4,11,1),0),TODAY()))-SUMIFS(Transaksi!$F$16:$F$5015,Transaksi!$C$16:$C$5015,$A62,Transaksi!$D$16:$D$5015,"Keluar",Transaksi!$B$16:$B$5015,"&lt;="&amp;MIN(EOMONTH(DATE(Dashboard!$C$4,11,1),0),TODAY()))-SUMIFS(Transaksi!$F$16:$F$5015,Transaksi!$C$16:$C$5015,$A62,Transaksi!$D$16:$D$5015,"Pindah",Transaksi!$B$16:$B$5015,"&lt;="&amp;MIN(EOMONTH(DATE(Dashboard!$C$4,11,1),0),TODAY()))+SUMIFS(Transaksi!$F$16:$F$5015,Transaksi!$E$16:$E$5015,$A62,Transaksi!$D$16:$D$5015,"Pindah",Transaksi!$B$16:$B$5015,"&lt;="&amp;MIN(EOMONTH(DATE(Dashboard!$C$4,11,1),0),TODAY())))</f>
        <v/>
      </c>
      <c r="N62" s="106">
        <f>IF(OR($A62="",DATE(Dashboard!$C$4,12,1)&gt;TODAY(),ISNA(MATCH($B62,{"Pribadi","Investasi (kas RDN)","Piutang","Pinjaman Mama (dompet)"},0))),"",SUMIFS(Akun!$C$5:$C$104,Akun!$A$5:$A$104,$A62,Akun!$D$5:$D$104,"&lt;="&amp;MIN(EOMONTH(DATE(Dashboard!$C$4,12,1),0),TODAY()))+SUMIFS(Transaksi!$F$16:$F$5015,Transaksi!$C$16:$C$5015,$A62,Transaksi!$D$16:$D$5015,"Masuk",Transaksi!$B$16:$B$5015,"&lt;="&amp;MIN(EOMONTH(DATE(Dashboard!$C$4,12,1),0),TODAY()))-SUMIFS(Transaksi!$F$16:$F$5015,Transaksi!$C$16:$C$5015,$A62,Transaksi!$D$16:$D$5015,"Keluar",Transaksi!$B$16:$B$5015,"&lt;="&amp;MIN(EOMONTH(DATE(Dashboard!$C$4,12,1),0),TODAY()))-SUMIFS(Transaksi!$F$16:$F$5015,Transaksi!$C$16:$C$5015,$A62,Transaksi!$D$16:$D$5015,"Pindah",Transaksi!$B$16:$B$5015,"&lt;="&amp;MIN(EOMONTH(DATE(Dashboard!$C$4,12,1),0),TODAY()))+SUMIFS(Transaksi!$F$16:$F$5015,Transaksi!$E$16:$E$5015,$A62,Transaksi!$D$16:$D$5015,"Pindah",Transaksi!$B$16:$B$5015,"&lt;="&amp;MIN(EOMONTH(DATE(Dashboard!$C$4,12,1),0),TODAY())))</f>
        <v/>
      </c>
    </row>
    <row r="63" ht="15" customHeight="1" s="94">
      <c r="A63" s="93">
        <f>IF(Akun!$A$27="","",Akun!$A$27)</f>
        <v/>
      </c>
      <c r="B63" s="93">
        <f>IF(Akun!$A$27="","",Akun!$B$27)</f>
        <v/>
      </c>
      <c r="C63" s="106">
        <f>IF(OR($A63="",DATE(Dashboard!$C$4,1,1)&gt;TODAY(),ISNA(MATCH($B63,{"Pribadi","Investasi (kas RDN)","Piutang","Pinjaman Mama (dompet)"},0))),"",SUMIFS(Akun!$C$5:$C$104,Akun!$A$5:$A$104,$A63,Akun!$D$5:$D$104,"&lt;="&amp;MIN(EOMONTH(DATE(Dashboard!$C$4,1,1),0),TODAY()))+SUMIFS(Transaksi!$F$16:$F$5015,Transaksi!$C$16:$C$5015,$A63,Transaksi!$D$16:$D$5015,"Masuk",Transaksi!$B$16:$B$5015,"&lt;="&amp;MIN(EOMONTH(DATE(Dashboard!$C$4,1,1),0),TODAY()))-SUMIFS(Transaksi!$F$16:$F$5015,Transaksi!$C$16:$C$5015,$A63,Transaksi!$D$16:$D$5015,"Keluar",Transaksi!$B$16:$B$5015,"&lt;="&amp;MIN(EOMONTH(DATE(Dashboard!$C$4,1,1),0),TODAY()))-SUMIFS(Transaksi!$F$16:$F$5015,Transaksi!$C$16:$C$5015,$A63,Transaksi!$D$16:$D$5015,"Pindah",Transaksi!$B$16:$B$5015,"&lt;="&amp;MIN(EOMONTH(DATE(Dashboard!$C$4,1,1),0),TODAY()))+SUMIFS(Transaksi!$F$16:$F$5015,Transaksi!$E$16:$E$5015,$A63,Transaksi!$D$16:$D$5015,"Pindah",Transaksi!$B$16:$B$5015,"&lt;="&amp;MIN(EOMONTH(DATE(Dashboard!$C$4,1,1),0),TODAY())))</f>
        <v/>
      </c>
      <c r="D63" s="106">
        <f>IF(OR($A63="",DATE(Dashboard!$C$4,2,1)&gt;TODAY(),ISNA(MATCH($B63,{"Pribadi","Investasi (kas RDN)","Piutang","Pinjaman Mama (dompet)"},0))),"",SUMIFS(Akun!$C$5:$C$104,Akun!$A$5:$A$104,$A63,Akun!$D$5:$D$104,"&lt;="&amp;MIN(EOMONTH(DATE(Dashboard!$C$4,2,1),0),TODAY()))+SUMIFS(Transaksi!$F$16:$F$5015,Transaksi!$C$16:$C$5015,$A63,Transaksi!$D$16:$D$5015,"Masuk",Transaksi!$B$16:$B$5015,"&lt;="&amp;MIN(EOMONTH(DATE(Dashboard!$C$4,2,1),0),TODAY()))-SUMIFS(Transaksi!$F$16:$F$5015,Transaksi!$C$16:$C$5015,$A63,Transaksi!$D$16:$D$5015,"Keluar",Transaksi!$B$16:$B$5015,"&lt;="&amp;MIN(EOMONTH(DATE(Dashboard!$C$4,2,1),0),TODAY()))-SUMIFS(Transaksi!$F$16:$F$5015,Transaksi!$C$16:$C$5015,$A63,Transaksi!$D$16:$D$5015,"Pindah",Transaksi!$B$16:$B$5015,"&lt;="&amp;MIN(EOMONTH(DATE(Dashboard!$C$4,2,1),0),TODAY()))+SUMIFS(Transaksi!$F$16:$F$5015,Transaksi!$E$16:$E$5015,$A63,Transaksi!$D$16:$D$5015,"Pindah",Transaksi!$B$16:$B$5015,"&lt;="&amp;MIN(EOMONTH(DATE(Dashboard!$C$4,2,1),0),TODAY())))</f>
        <v/>
      </c>
      <c r="E63" s="106">
        <f>IF(OR($A63="",DATE(Dashboard!$C$4,3,1)&gt;TODAY(),ISNA(MATCH($B63,{"Pribadi","Investasi (kas RDN)","Piutang","Pinjaman Mama (dompet)"},0))),"",SUMIFS(Akun!$C$5:$C$104,Akun!$A$5:$A$104,$A63,Akun!$D$5:$D$104,"&lt;="&amp;MIN(EOMONTH(DATE(Dashboard!$C$4,3,1),0),TODAY()))+SUMIFS(Transaksi!$F$16:$F$5015,Transaksi!$C$16:$C$5015,$A63,Transaksi!$D$16:$D$5015,"Masuk",Transaksi!$B$16:$B$5015,"&lt;="&amp;MIN(EOMONTH(DATE(Dashboard!$C$4,3,1),0),TODAY()))-SUMIFS(Transaksi!$F$16:$F$5015,Transaksi!$C$16:$C$5015,$A63,Transaksi!$D$16:$D$5015,"Keluar",Transaksi!$B$16:$B$5015,"&lt;="&amp;MIN(EOMONTH(DATE(Dashboard!$C$4,3,1),0),TODAY()))-SUMIFS(Transaksi!$F$16:$F$5015,Transaksi!$C$16:$C$5015,$A63,Transaksi!$D$16:$D$5015,"Pindah",Transaksi!$B$16:$B$5015,"&lt;="&amp;MIN(EOMONTH(DATE(Dashboard!$C$4,3,1),0),TODAY()))+SUMIFS(Transaksi!$F$16:$F$5015,Transaksi!$E$16:$E$5015,$A63,Transaksi!$D$16:$D$5015,"Pindah",Transaksi!$B$16:$B$5015,"&lt;="&amp;MIN(EOMONTH(DATE(Dashboard!$C$4,3,1),0),TODAY())))</f>
        <v/>
      </c>
      <c r="F63" s="106">
        <f>IF(OR($A63="",DATE(Dashboard!$C$4,4,1)&gt;TODAY(),ISNA(MATCH($B63,{"Pribadi","Investasi (kas RDN)","Piutang","Pinjaman Mama (dompet)"},0))),"",SUMIFS(Akun!$C$5:$C$104,Akun!$A$5:$A$104,$A63,Akun!$D$5:$D$104,"&lt;="&amp;MIN(EOMONTH(DATE(Dashboard!$C$4,4,1),0),TODAY()))+SUMIFS(Transaksi!$F$16:$F$5015,Transaksi!$C$16:$C$5015,$A63,Transaksi!$D$16:$D$5015,"Masuk",Transaksi!$B$16:$B$5015,"&lt;="&amp;MIN(EOMONTH(DATE(Dashboard!$C$4,4,1),0),TODAY()))-SUMIFS(Transaksi!$F$16:$F$5015,Transaksi!$C$16:$C$5015,$A63,Transaksi!$D$16:$D$5015,"Keluar",Transaksi!$B$16:$B$5015,"&lt;="&amp;MIN(EOMONTH(DATE(Dashboard!$C$4,4,1),0),TODAY()))-SUMIFS(Transaksi!$F$16:$F$5015,Transaksi!$C$16:$C$5015,$A63,Transaksi!$D$16:$D$5015,"Pindah",Transaksi!$B$16:$B$5015,"&lt;="&amp;MIN(EOMONTH(DATE(Dashboard!$C$4,4,1),0),TODAY()))+SUMIFS(Transaksi!$F$16:$F$5015,Transaksi!$E$16:$E$5015,$A63,Transaksi!$D$16:$D$5015,"Pindah",Transaksi!$B$16:$B$5015,"&lt;="&amp;MIN(EOMONTH(DATE(Dashboard!$C$4,4,1),0),TODAY())))</f>
        <v/>
      </c>
      <c r="G63" s="106">
        <f>IF(OR($A63="",DATE(Dashboard!$C$4,5,1)&gt;TODAY(),ISNA(MATCH($B63,{"Pribadi","Investasi (kas RDN)","Piutang","Pinjaman Mama (dompet)"},0))),"",SUMIFS(Akun!$C$5:$C$104,Akun!$A$5:$A$104,$A63,Akun!$D$5:$D$104,"&lt;="&amp;MIN(EOMONTH(DATE(Dashboard!$C$4,5,1),0),TODAY()))+SUMIFS(Transaksi!$F$16:$F$5015,Transaksi!$C$16:$C$5015,$A63,Transaksi!$D$16:$D$5015,"Masuk",Transaksi!$B$16:$B$5015,"&lt;="&amp;MIN(EOMONTH(DATE(Dashboard!$C$4,5,1),0),TODAY()))-SUMIFS(Transaksi!$F$16:$F$5015,Transaksi!$C$16:$C$5015,$A63,Transaksi!$D$16:$D$5015,"Keluar",Transaksi!$B$16:$B$5015,"&lt;="&amp;MIN(EOMONTH(DATE(Dashboard!$C$4,5,1),0),TODAY()))-SUMIFS(Transaksi!$F$16:$F$5015,Transaksi!$C$16:$C$5015,$A63,Transaksi!$D$16:$D$5015,"Pindah",Transaksi!$B$16:$B$5015,"&lt;="&amp;MIN(EOMONTH(DATE(Dashboard!$C$4,5,1),0),TODAY()))+SUMIFS(Transaksi!$F$16:$F$5015,Transaksi!$E$16:$E$5015,$A63,Transaksi!$D$16:$D$5015,"Pindah",Transaksi!$B$16:$B$5015,"&lt;="&amp;MIN(EOMONTH(DATE(Dashboard!$C$4,5,1),0),TODAY())))</f>
        <v/>
      </c>
      <c r="H63" s="106">
        <f>IF(OR($A63="",DATE(Dashboard!$C$4,6,1)&gt;TODAY(),ISNA(MATCH($B63,{"Pribadi","Investasi (kas RDN)","Piutang","Pinjaman Mama (dompet)"},0))),"",SUMIFS(Akun!$C$5:$C$104,Akun!$A$5:$A$104,$A63,Akun!$D$5:$D$104,"&lt;="&amp;MIN(EOMONTH(DATE(Dashboard!$C$4,6,1),0),TODAY()))+SUMIFS(Transaksi!$F$16:$F$5015,Transaksi!$C$16:$C$5015,$A63,Transaksi!$D$16:$D$5015,"Masuk",Transaksi!$B$16:$B$5015,"&lt;="&amp;MIN(EOMONTH(DATE(Dashboard!$C$4,6,1),0),TODAY()))-SUMIFS(Transaksi!$F$16:$F$5015,Transaksi!$C$16:$C$5015,$A63,Transaksi!$D$16:$D$5015,"Keluar",Transaksi!$B$16:$B$5015,"&lt;="&amp;MIN(EOMONTH(DATE(Dashboard!$C$4,6,1),0),TODAY()))-SUMIFS(Transaksi!$F$16:$F$5015,Transaksi!$C$16:$C$5015,$A63,Transaksi!$D$16:$D$5015,"Pindah",Transaksi!$B$16:$B$5015,"&lt;="&amp;MIN(EOMONTH(DATE(Dashboard!$C$4,6,1),0),TODAY()))+SUMIFS(Transaksi!$F$16:$F$5015,Transaksi!$E$16:$E$5015,$A63,Transaksi!$D$16:$D$5015,"Pindah",Transaksi!$B$16:$B$5015,"&lt;="&amp;MIN(EOMONTH(DATE(Dashboard!$C$4,6,1),0),TODAY())))</f>
        <v/>
      </c>
      <c r="I63" s="106">
        <f>IF(OR($A63="",DATE(Dashboard!$C$4,7,1)&gt;TODAY(),ISNA(MATCH($B63,{"Pribadi","Investasi (kas RDN)","Piutang","Pinjaman Mama (dompet)"},0))),"",SUMIFS(Akun!$C$5:$C$104,Akun!$A$5:$A$104,$A63,Akun!$D$5:$D$104,"&lt;="&amp;MIN(EOMONTH(DATE(Dashboard!$C$4,7,1),0),TODAY()))+SUMIFS(Transaksi!$F$16:$F$5015,Transaksi!$C$16:$C$5015,$A63,Transaksi!$D$16:$D$5015,"Masuk",Transaksi!$B$16:$B$5015,"&lt;="&amp;MIN(EOMONTH(DATE(Dashboard!$C$4,7,1),0),TODAY()))-SUMIFS(Transaksi!$F$16:$F$5015,Transaksi!$C$16:$C$5015,$A63,Transaksi!$D$16:$D$5015,"Keluar",Transaksi!$B$16:$B$5015,"&lt;="&amp;MIN(EOMONTH(DATE(Dashboard!$C$4,7,1),0),TODAY()))-SUMIFS(Transaksi!$F$16:$F$5015,Transaksi!$C$16:$C$5015,$A63,Transaksi!$D$16:$D$5015,"Pindah",Transaksi!$B$16:$B$5015,"&lt;="&amp;MIN(EOMONTH(DATE(Dashboard!$C$4,7,1),0),TODAY()))+SUMIFS(Transaksi!$F$16:$F$5015,Transaksi!$E$16:$E$5015,$A63,Transaksi!$D$16:$D$5015,"Pindah",Transaksi!$B$16:$B$5015,"&lt;="&amp;MIN(EOMONTH(DATE(Dashboard!$C$4,7,1),0),TODAY())))</f>
        <v/>
      </c>
      <c r="J63" s="106">
        <f>IF(OR($A63="",DATE(Dashboard!$C$4,8,1)&gt;TODAY(),ISNA(MATCH($B63,{"Pribadi","Investasi (kas RDN)","Piutang","Pinjaman Mama (dompet)"},0))),"",SUMIFS(Akun!$C$5:$C$104,Akun!$A$5:$A$104,$A63,Akun!$D$5:$D$104,"&lt;="&amp;MIN(EOMONTH(DATE(Dashboard!$C$4,8,1),0),TODAY()))+SUMIFS(Transaksi!$F$16:$F$5015,Transaksi!$C$16:$C$5015,$A63,Transaksi!$D$16:$D$5015,"Masuk",Transaksi!$B$16:$B$5015,"&lt;="&amp;MIN(EOMONTH(DATE(Dashboard!$C$4,8,1),0),TODAY()))-SUMIFS(Transaksi!$F$16:$F$5015,Transaksi!$C$16:$C$5015,$A63,Transaksi!$D$16:$D$5015,"Keluar",Transaksi!$B$16:$B$5015,"&lt;="&amp;MIN(EOMONTH(DATE(Dashboard!$C$4,8,1),0),TODAY()))-SUMIFS(Transaksi!$F$16:$F$5015,Transaksi!$C$16:$C$5015,$A63,Transaksi!$D$16:$D$5015,"Pindah",Transaksi!$B$16:$B$5015,"&lt;="&amp;MIN(EOMONTH(DATE(Dashboard!$C$4,8,1),0),TODAY()))+SUMIFS(Transaksi!$F$16:$F$5015,Transaksi!$E$16:$E$5015,$A63,Transaksi!$D$16:$D$5015,"Pindah",Transaksi!$B$16:$B$5015,"&lt;="&amp;MIN(EOMONTH(DATE(Dashboard!$C$4,8,1),0),TODAY())))</f>
        <v/>
      </c>
      <c r="K63" s="106">
        <f>IF(OR($A63="",DATE(Dashboard!$C$4,9,1)&gt;TODAY(),ISNA(MATCH($B63,{"Pribadi","Investasi (kas RDN)","Piutang","Pinjaman Mama (dompet)"},0))),"",SUMIFS(Akun!$C$5:$C$104,Akun!$A$5:$A$104,$A63,Akun!$D$5:$D$104,"&lt;="&amp;MIN(EOMONTH(DATE(Dashboard!$C$4,9,1),0),TODAY()))+SUMIFS(Transaksi!$F$16:$F$5015,Transaksi!$C$16:$C$5015,$A63,Transaksi!$D$16:$D$5015,"Masuk",Transaksi!$B$16:$B$5015,"&lt;="&amp;MIN(EOMONTH(DATE(Dashboard!$C$4,9,1),0),TODAY()))-SUMIFS(Transaksi!$F$16:$F$5015,Transaksi!$C$16:$C$5015,$A63,Transaksi!$D$16:$D$5015,"Keluar",Transaksi!$B$16:$B$5015,"&lt;="&amp;MIN(EOMONTH(DATE(Dashboard!$C$4,9,1),0),TODAY()))-SUMIFS(Transaksi!$F$16:$F$5015,Transaksi!$C$16:$C$5015,$A63,Transaksi!$D$16:$D$5015,"Pindah",Transaksi!$B$16:$B$5015,"&lt;="&amp;MIN(EOMONTH(DATE(Dashboard!$C$4,9,1),0),TODAY()))+SUMIFS(Transaksi!$F$16:$F$5015,Transaksi!$E$16:$E$5015,$A63,Transaksi!$D$16:$D$5015,"Pindah",Transaksi!$B$16:$B$5015,"&lt;="&amp;MIN(EOMONTH(DATE(Dashboard!$C$4,9,1),0),TODAY())))</f>
        <v/>
      </c>
      <c r="L63" s="106">
        <f>IF(OR($A63="",DATE(Dashboard!$C$4,10,1)&gt;TODAY(),ISNA(MATCH($B63,{"Pribadi","Investasi (kas RDN)","Piutang","Pinjaman Mama (dompet)"},0))),"",SUMIFS(Akun!$C$5:$C$104,Akun!$A$5:$A$104,$A63,Akun!$D$5:$D$104,"&lt;="&amp;MIN(EOMONTH(DATE(Dashboard!$C$4,10,1),0),TODAY()))+SUMIFS(Transaksi!$F$16:$F$5015,Transaksi!$C$16:$C$5015,$A63,Transaksi!$D$16:$D$5015,"Masuk",Transaksi!$B$16:$B$5015,"&lt;="&amp;MIN(EOMONTH(DATE(Dashboard!$C$4,10,1),0),TODAY()))-SUMIFS(Transaksi!$F$16:$F$5015,Transaksi!$C$16:$C$5015,$A63,Transaksi!$D$16:$D$5015,"Keluar",Transaksi!$B$16:$B$5015,"&lt;="&amp;MIN(EOMONTH(DATE(Dashboard!$C$4,10,1),0),TODAY()))-SUMIFS(Transaksi!$F$16:$F$5015,Transaksi!$C$16:$C$5015,$A63,Transaksi!$D$16:$D$5015,"Pindah",Transaksi!$B$16:$B$5015,"&lt;="&amp;MIN(EOMONTH(DATE(Dashboard!$C$4,10,1),0),TODAY()))+SUMIFS(Transaksi!$F$16:$F$5015,Transaksi!$E$16:$E$5015,$A63,Transaksi!$D$16:$D$5015,"Pindah",Transaksi!$B$16:$B$5015,"&lt;="&amp;MIN(EOMONTH(DATE(Dashboard!$C$4,10,1),0),TODAY())))</f>
        <v/>
      </c>
      <c r="M63" s="106">
        <f>IF(OR($A63="",DATE(Dashboard!$C$4,11,1)&gt;TODAY(),ISNA(MATCH($B63,{"Pribadi","Investasi (kas RDN)","Piutang","Pinjaman Mama (dompet)"},0))),"",SUMIFS(Akun!$C$5:$C$104,Akun!$A$5:$A$104,$A63,Akun!$D$5:$D$104,"&lt;="&amp;MIN(EOMONTH(DATE(Dashboard!$C$4,11,1),0),TODAY()))+SUMIFS(Transaksi!$F$16:$F$5015,Transaksi!$C$16:$C$5015,$A63,Transaksi!$D$16:$D$5015,"Masuk",Transaksi!$B$16:$B$5015,"&lt;="&amp;MIN(EOMONTH(DATE(Dashboard!$C$4,11,1),0),TODAY()))-SUMIFS(Transaksi!$F$16:$F$5015,Transaksi!$C$16:$C$5015,$A63,Transaksi!$D$16:$D$5015,"Keluar",Transaksi!$B$16:$B$5015,"&lt;="&amp;MIN(EOMONTH(DATE(Dashboard!$C$4,11,1),0),TODAY()))-SUMIFS(Transaksi!$F$16:$F$5015,Transaksi!$C$16:$C$5015,$A63,Transaksi!$D$16:$D$5015,"Pindah",Transaksi!$B$16:$B$5015,"&lt;="&amp;MIN(EOMONTH(DATE(Dashboard!$C$4,11,1),0),TODAY()))+SUMIFS(Transaksi!$F$16:$F$5015,Transaksi!$E$16:$E$5015,$A63,Transaksi!$D$16:$D$5015,"Pindah",Transaksi!$B$16:$B$5015,"&lt;="&amp;MIN(EOMONTH(DATE(Dashboard!$C$4,11,1),0),TODAY())))</f>
        <v/>
      </c>
      <c r="N63" s="106">
        <f>IF(OR($A63="",DATE(Dashboard!$C$4,12,1)&gt;TODAY(),ISNA(MATCH($B63,{"Pribadi","Investasi (kas RDN)","Piutang","Pinjaman Mama (dompet)"},0))),"",SUMIFS(Akun!$C$5:$C$104,Akun!$A$5:$A$104,$A63,Akun!$D$5:$D$104,"&lt;="&amp;MIN(EOMONTH(DATE(Dashboard!$C$4,12,1),0),TODAY()))+SUMIFS(Transaksi!$F$16:$F$5015,Transaksi!$C$16:$C$5015,$A63,Transaksi!$D$16:$D$5015,"Masuk",Transaksi!$B$16:$B$5015,"&lt;="&amp;MIN(EOMONTH(DATE(Dashboard!$C$4,12,1),0),TODAY()))-SUMIFS(Transaksi!$F$16:$F$5015,Transaksi!$C$16:$C$5015,$A63,Transaksi!$D$16:$D$5015,"Keluar",Transaksi!$B$16:$B$5015,"&lt;="&amp;MIN(EOMONTH(DATE(Dashboard!$C$4,12,1),0),TODAY()))-SUMIFS(Transaksi!$F$16:$F$5015,Transaksi!$C$16:$C$5015,$A63,Transaksi!$D$16:$D$5015,"Pindah",Transaksi!$B$16:$B$5015,"&lt;="&amp;MIN(EOMONTH(DATE(Dashboard!$C$4,12,1),0),TODAY()))+SUMIFS(Transaksi!$F$16:$F$5015,Transaksi!$E$16:$E$5015,$A63,Transaksi!$D$16:$D$5015,"Pindah",Transaksi!$B$16:$B$5015,"&lt;="&amp;MIN(EOMONTH(DATE(Dashboard!$C$4,12,1),0),TODAY())))</f>
        <v/>
      </c>
    </row>
    <row r="64" ht="15" customHeight="1" s="94">
      <c r="A64" s="93">
        <f>IF(Akun!$A$28="","",Akun!$A$28)</f>
        <v/>
      </c>
      <c r="B64" s="93">
        <f>IF(Akun!$A$28="","",Akun!$B$28)</f>
        <v/>
      </c>
      <c r="C64" s="106">
        <f>IF(OR($A64="",DATE(Dashboard!$C$4,1,1)&gt;TODAY(),ISNA(MATCH($B64,{"Pribadi","Investasi (kas RDN)","Piutang","Pinjaman Mama (dompet)"},0))),"",SUMIFS(Akun!$C$5:$C$104,Akun!$A$5:$A$104,$A64,Akun!$D$5:$D$104,"&lt;="&amp;MIN(EOMONTH(DATE(Dashboard!$C$4,1,1),0),TODAY()))+SUMIFS(Transaksi!$F$16:$F$5015,Transaksi!$C$16:$C$5015,$A64,Transaksi!$D$16:$D$5015,"Masuk",Transaksi!$B$16:$B$5015,"&lt;="&amp;MIN(EOMONTH(DATE(Dashboard!$C$4,1,1),0),TODAY()))-SUMIFS(Transaksi!$F$16:$F$5015,Transaksi!$C$16:$C$5015,$A64,Transaksi!$D$16:$D$5015,"Keluar",Transaksi!$B$16:$B$5015,"&lt;="&amp;MIN(EOMONTH(DATE(Dashboard!$C$4,1,1),0),TODAY()))-SUMIFS(Transaksi!$F$16:$F$5015,Transaksi!$C$16:$C$5015,$A64,Transaksi!$D$16:$D$5015,"Pindah",Transaksi!$B$16:$B$5015,"&lt;="&amp;MIN(EOMONTH(DATE(Dashboard!$C$4,1,1),0),TODAY()))+SUMIFS(Transaksi!$F$16:$F$5015,Transaksi!$E$16:$E$5015,$A64,Transaksi!$D$16:$D$5015,"Pindah",Transaksi!$B$16:$B$5015,"&lt;="&amp;MIN(EOMONTH(DATE(Dashboard!$C$4,1,1),0),TODAY())))</f>
        <v/>
      </c>
      <c r="D64" s="106">
        <f>IF(OR($A64="",DATE(Dashboard!$C$4,2,1)&gt;TODAY(),ISNA(MATCH($B64,{"Pribadi","Investasi (kas RDN)","Piutang","Pinjaman Mama (dompet)"},0))),"",SUMIFS(Akun!$C$5:$C$104,Akun!$A$5:$A$104,$A64,Akun!$D$5:$D$104,"&lt;="&amp;MIN(EOMONTH(DATE(Dashboard!$C$4,2,1),0),TODAY()))+SUMIFS(Transaksi!$F$16:$F$5015,Transaksi!$C$16:$C$5015,$A64,Transaksi!$D$16:$D$5015,"Masuk",Transaksi!$B$16:$B$5015,"&lt;="&amp;MIN(EOMONTH(DATE(Dashboard!$C$4,2,1),0),TODAY()))-SUMIFS(Transaksi!$F$16:$F$5015,Transaksi!$C$16:$C$5015,$A64,Transaksi!$D$16:$D$5015,"Keluar",Transaksi!$B$16:$B$5015,"&lt;="&amp;MIN(EOMONTH(DATE(Dashboard!$C$4,2,1),0),TODAY()))-SUMIFS(Transaksi!$F$16:$F$5015,Transaksi!$C$16:$C$5015,$A64,Transaksi!$D$16:$D$5015,"Pindah",Transaksi!$B$16:$B$5015,"&lt;="&amp;MIN(EOMONTH(DATE(Dashboard!$C$4,2,1),0),TODAY()))+SUMIFS(Transaksi!$F$16:$F$5015,Transaksi!$E$16:$E$5015,$A64,Transaksi!$D$16:$D$5015,"Pindah",Transaksi!$B$16:$B$5015,"&lt;="&amp;MIN(EOMONTH(DATE(Dashboard!$C$4,2,1),0),TODAY())))</f>
        <v/>
      </c>
      <c r="E64" s="106">
        <f>IF(OR($A64="",DATE(Dashboard!$C$4,3,1)&gt;TODAY(),ISNA(MATCH($B64,{"Pribadi","Investasi (kas RDN)","Piutang","Pinjaman Mama (dompet)"},0))),"",SUMIFS(Akun!$C$5:$C$104,Akun!$A$5:$A$104,$A64,Akun!$D$5:$D$104,"&lt;="&amp;MIN(EOMONTH(DATE(Dashboard!$C$4,3,1),0),TODAY()))+SUMIFS(Transaksi!$F$16:$F$5015,Transaksi!$C$16:$C$5015,$A64,Transaksi!$D$16:$D$5015,"Masuk",Transaksi!$B$16:$B$5015,"&lt;="&amp;MIN(EOMONTH(DATE(Dashboard!$C$4,3,1),0),TODAY()))-SUMIFS(Transaksi!$F$16:$F$5015,Transaksi!$C$16:$C$5015,$A64,Transaksi!$D$16:$D$5015,"Keluar",Transaksi!$B$16:$B$5015,"&lt;="&amp;MIN(EOMONTH(DATE(Dashboard!$C$4,3,1),0),TODAY()))-SUMIFS(Transaksi!$F$16:$F$5015,Transaksi!$C$16:$C$5015,$A64,Transaksi!$D$16:$D$5015,"Pindah",Transaksi!$B$16:$B$5015,"&lt;="&amp;MIN(EOMONTH(DATE(Dashboard!$C$4,3,1),0),TODAY()))+SUMIFS(Transaksi!$F$16:$F$5015,Transaksi!$E$16:$E$5015,$A64,Transaksi!$D$16:$D$5015,"Pindah",Transaksi!$B$16:$B$5015,"&lt;="&amp;MIN(EOMONTH(DATE(Dashboard!$C$4,3,1),0),TODAY())))</f>
        <v/>
      </c>
      <c r="F64" s="106">
        <f>IF(OR($A64="",DATE(Dashboard!$C$4,4,1)&gt;TODAY(),ISNA(MATCH($B64,{"Pribadi","Investasi (kas RDN)","Piutang","Pinjaman Mama (dompet)"},0))),"",SUMIFS(Akun!$C$5:$C$104,Akun!$A$5:$A$104,$A64,Akun!$D$5:$D$104,"&lt;="&amp;MIN(EOMONTH(DATE(Dashboard!$C$4,4,1),0),TODAY()))+SUMIFS(Transaksi!$F$16:$F$5015,Transaksi!$C$16:$C$5015,$A64,Transaksi!$D$16:$D$5015,"Masuk",Transaksi!$B$16:$B$5015,"&lt;="&amp;MIN(EOMONTH(DATE(Dashboard!$C$4,4,1),0),TODAY()))-SUMIFS(Transaksi!$F$16:$F$5015,Transaksi!$C$16:$C$5015,$A64,Transaksi!$D$16:$D$5015,"Keluar",Transaksi!$B$16:$B$5015,"&lt;="&amp;MIN(EOMONTH(DATE(Dashboard!$C$4,4,1),0),TODAY()))-SUMIFS(Transaksi!$F$16:$F$5015,Transaksi!$C$16:$C$5015,$A64,Transaksi!$D$16:$D$5015,"Pindah",Transaksi!$B$16:$B$5015,"&lt;="&amp;MIN(EOMONTH(DATE(Dashboard!$C$4,4,1),0),TODAY()))+SUMIFS(Transaksi!$F$16:$F$5015,Transaksi!$E$16:$E$5015,$A64,Transaksi!$D$16:$D$5015,"Pindah",Transaksi!$B$16:$B$5015,"&lt;="&amp;MIN(EOMONTH(DATE(Dashboard!$C$4,4,1),0),TODAY())))</f>
        <v/>
      </c>
      <c r="G64" s="106">
        <f>IF(OR($A64="",DATE(Dashboard!$C$4,5,1)&gt;TODAY(),ISNA(MATCH($B64,{"Pribadi","Investasi (kas RDN)","Piutang","Pinjaman Mama (dompet)"},0))),"",SUMIFS(Akun!$C$5:$C$104,Akun!$A$5:$A$104,$A64,Akun!$D$5:$D$104,"&lt;="&amp;MIN(EOMONTH(DATE(Dashboard!$C$4,5,1),0),TODAY()))+SUMIFS(Transaksi!$F$16:$F$5015,Transaksi!$C$16:$C$5015,$A64,Transaksi!$D$16:$D$5015,"Masuk",Transaksi!$B$16:$B$5015,"&lt;="&amp;MIN(EOMONTH(DATE(Dashboard!$C$4,5,1),0),TODAY()))-SUMIFS(Transaksi!$F$16:$F$5015,Transaksi!$C$16:$C$5015,$A64,Transaksi!$D$16:$D$5015,"Keluar",Transaksi!$B$16:$B$5015,"&lt;="&amp;MIN(EOMONTH(DATE(Dashboard!$C$4,5,1),0),TODAY()))-SUMIFS(Transaksi!$F$16:$F$5015,Transaksi!$C$16:$C$5015,$A64,Transaksi!$D$16:$D$5015,"Pindah",Transaksi!$B$16:$B$5015,"&lt;="&amp;MIN(EOMONTH(DATE(Dashboard!$C$4,5,1),0),TODAY()))+SUMIFS(Transaksi!$F$16:$F$5015,Transaksi!$E$16:$E$5015,$A64,Transaksi!$D$16:$D$5015,"Pindah",Transaksi!$B$16:$B$5015,"&lt;="&amp;MIN(EOMONTH(DATE(Dashboard!$C$4,5,1),0),TODAY())))</f>
        <v/>
      </c>
      <c r="H64" s="106">
        <f>IF(OR($A64="",DATE(Dashboard!$C$4,6,1)&gt;TODAY(),ISNA(MATCH($B64,{"Pribadi","Investasi (kas RDN)","Piutang","Pinjaman Mama (dompet)"},0))),"",SUMIFS(Akun!$C$5:$C$104,Akun!$A$5:$A$104,$A64,Akun!$D$5:$D$104,"&lt;="&amp;MIN(EOMONTH(DATE(Dashboard!$C$4,6,1),0),TODAY()))+SUMIFS(Transaksi!$F$16:$F$5015,Transaksi!$C$16:$C$5015,$A64,Transaksi!$D$16:$D$5015,"Masuk",Transaksi!$B$16:$B$5015,"&lt;="&amp;MIN(EOMONTH(DATE(Dashboard!$C$4,6,1),0),TODAY()))-SUMIFS(Transaksi!$F$16:$F$5015,Transaksi!$C$16:$C$5015,$A64,Transaksi!$D$16:$D$5015,"Keluar",Transaksi!$B$16:$B$5015,"&lt;="&amp;MIN(EOMONTH(DATE(Dashboard!$C$4,6,1),0),TODAY()))-SUMIFS(Transaksi!$F$16:$F$5015,Transaksi!$C$16:$C$5015,$A64,Transaksi!$D$16:$D$5015,"Pindah",Transaksi!$B$16:$B$5015,"&lt;="&amp;MIN(EOMONTH(DATE(Dashboard!$C$4,6,1),0),TODAY()))+SUMIFS(Transaksi!$F$16:$F$5015,Transaksi!$E$16:$E$5015,$A64,Transaksi!$D$16:$D$5015,"Pindah",Transaksi!$B$16:$B$5015,"&lt;="&amp;MIN(EOMONTH(DATE(Dashboard!$C$4,6,1),0),TODAY())))</f>
        <v/>
      </c>
      <c r="I64" s="106">
        <f>IF(OR($A64="",DATE(Dashboard!$C$4,7,1)&gt;TODAY(),ISNA(MATCH($B64,{"Pribadi","Investasi (kas RDN)","Piutang","Pinjaman Mama (dompet)"},0))),"",SUMIFS(Akun!$C$5:$C$104,Akun!$A$5:$A$104,$A64,Akun!$D$5:$D$104,"&lt;="&amp;MIN(EOMONTH(DATE(Dashboard!$C$4,7,1),0),TODAY()))+SUMIFS(Transaksi!$F$16:$F$5015,Transaksi!$C$16:$C$5015,$A64,Transaksi!$D$16:$D$5015,"Masuk",Transaksi!$B$16:$B$5015,"&lt;="&amp;MIN(EOMONTH(DATE(Dashboard!$C$4,7,1),0),TODAY()))-SUMIFS(Transaksi!$F$16:$F$5015,Transaksi!$C$16:$C$5015,$A64,Transaksi!$D$16:$D$5015,"Keluar",Transaksi!$B$16:$B$5015,"&lt;="&amp;MIN(EOMONTH(DATE(Dashboard!$C$4,7,1),0),TODAY()))-SUMIFS(Transaksi!$F$16:$F$5015,Transaksi!$C$16:$C$5015,$A64,Transaksi!$D$16:$D$5015,"Pindah",Transaksi!$B$16:$B$5015,"&lt;="&amp;MIN(EOMONTH(DATE(Dashboard!$C$4,7,1),0),TODAY()))+SUMIFS(Transaksi!$F$16:$F$5015,Transaksi!$E$16:$E$5015,$A64,Transaksi!$D$16:$D$5015,"Pindah",Transaksi!$B$16:$B$5015,"&lt;="&amp;MIN(EOMONTH(DATE(Dashboard!$C$4,7,1),0),TODAY())))</f>
        <v/>
      </c>
      <c r="J64" s="106">
        <f>IF(OR($A64="",DATE(Dashboard!$C$4,8,1)&gt;TODAY(),ISNA(MATCH($B64,{"Pribadi","Investasi (kas RDN)","Piutang","Pinjaman Mama (dompet)"},0))),"",SUMIFS(Akun!$C$5:$C$104,Akun!$A$5:$A$104,$A64,Akun!$D$5:$D$104,"&lt;="&amp;MIN(EOMONTH(DATE(Dashboard!$C$4,8,1),0),TODAY()))+SUMIFS(Transaksi!$F$16:$F$5015,Transaksi!$C$16:$C$5015,$A64,Transaksi!$D$16:$D$5015,"Masuk",Transaksi!$B$16:$B$5015,"&lt;="&amp;MIN(EOMONTH(DATE(Dashboard!$C$4,8,1),0),TODAY()))-SUMIFS(Transaksi!$F$16:$F$5015,Transaksi!$C$16:$C$5015,$A64,Transaksi!$D$16:$D$5015,"Keluar",Transaksi!$B$16:$B$5015,"&lt;="&amp;MIN(EOMONTH(DATE(Dashboard!$C$4,8,1),0),TODAY()))-SUMIFS(Transaksi!$F$16:$F$5015,Transaksi!$C$16:$C$5015,$A64,Transaksi!$D$16:$D$5015,"Pindah",Transaksi!$B$16:$B$5015,"&lt;="&amp;MIN(EOMONTH(DATE(Dashboard!$C$4,8,1),0),TODAY()))+SUMIFS(Transaksi!$F$16:$F$5015,Transaksi!$E$16:$E$5015,$A64,Transaksi!$D$16:$D$5015,"Pindah",Transaksi!$B$16:$B$5015,"&lt;="&amp;MIN(EOMONTH(DATE(Dashboard!$C$4,8,1),0),TODAY())))</f>
        <v/>
      </c>
      <c r="K64" s="106">
        <f>IF(OR($A64="",DATE(Dashboard!$C$4,9,1)&gt;TODAY(),ISNA(MATCH($B64,{"Pribadi","Investasi (kas RDN)","Piutang","Pinjaman Mama (dompet)"},0))),"",SUMIFS(Akun!$C$5:$C$104,Akun!$A$5:$A$104,$A64,Akun!$D$5:$D$104,"&lt;="&amp;MIN(EOMONTH(DATE(Dashboard!$C$4,9,1),0),TODAY()))+SUMIFS(Transaksi!$F$16:$F$5015,Transaksi!$C$16:$C$5015,$A64,Transaksi!$D$16:$D$5015,"Masuk",Transaksi!$B$16:$B$5015,"&lt;="&amp;MIN(EOMONTH(DATE(Dashboard!$C$4,9,1),0),TODAY()))-SUMIFS(Transaksi!$F$16:$F$5015,Transaksi!$C$16:$C$5015,$A64,Transaksi!$D$16:$D$5015,"Keluar",Transaksi!$B$16:$B$5015,"&lt;="&amp;MIN(EOMONTH(DATE(Dashboard!$C$4,9,1),0),TODAY()))-SUMIFS(Transaksi!$F$16:$F$5015,Transaksi!$C$16:$C$5015,$A64,Transaksi!$D$16:$D$5015,"Pindah",Transaksi!$B$16:$B$5015,"&lt;="&amp;MIN(EOMONTH(DATE(Dashboard!$C$4,9,1),0),TODAY()))+SUMIFS(Transaksi!$F$16:$F$5015,Transaksi!$E$16:$E$5015,$A64,Transaksi!$D$16:$D$5015,"Pindah",Transaksi!$B$16:$B$5015,"&lt;="&amp;MIN(EOMONTH(DATE(Dashboard!$C$4,9,1),0),TODAY())))</f>
        <v/>
      </c>
      <c r="L64" s="106">
        <f>IF(OR($A64="",DATE(Dashboard!$C$4,10,1)&gt;TODAY(),ISNA(MATCH($B64,{"Pribadi","Investasi (kas RDN)","Piutang","Pinjaman Mama (dompet)"},0))),"",SUMIFS(Akun!$C$5:$C$104,Akun!$A$5:$A$104,$A64,Akun!$D$5:$D$104,"&lt;="&amp;MIN(EOMONTH(DATE(Dashboard!$C$4,10,1),0),TODAY()))+SUMIFS(Transaksi!$F$16:$F$5015,Transaksi!$C$16:$C$5015,$A64,Transaksi!$D$16:$D$5015,"Masuk",Transaksi!$B$16:$B$5015,"&lt;="&amp;MIN(EOMONTH(DATE(Dashboard!$C$4,10,1),0),TODAY()))-SUMIFS(Transaksi!$F$16:$F$5015,Transaksi!$C$16:$C$5015,$A64,Transaksi!$D$16:$D$5015,"Keluar",Transaksi!$B$16:$B$5015,"&lt;="&amp;MIN(EOMONTH(DATE(Dashboard!$C$4,10,1),0),TODAY()))-SUMIFS(Transaksi!$F$16:$F$5015,Transaksi!$C$16:$C$5015,$A64,Transaksi!$D$16:$D$5015,"Pindah",Transaksi!$B$16:$B$5015,"&lt;="&amp;MIN(EOMONTH(DATE(Dashboard!$C$4,10,1),0),TODAY()))+SUMIFS(Transaksi!$F$16:$F$5015,Transaksi!$E$16:$E$5015,$A64,Transaksi!$D$16:$D$5015,"Pindah",Transaksi!$B$16:$B$5015,"&lt;="&amp;MIN(EOMONTH(DATE(Dashboard!$C$4,10,1),0),TODAY())))</f>
        <v/>
      </c>
      <c r="M64" s="106">
        <f>IF(OR($A64="",DATE(Dashboard!$C$4,11,1)&gt;TODAY(),ISNA(MATCH($B64,{"Pribadi","Investasi (kas RDN)","Piutang","Pinjaman Mama (dompet)"},0))),"",SUMIFS(Akun!$C$5:$C$104,Akun!$A$5:$A$104,$A64,Akun!$D$5:$D$104,"&lt;="&amp;MIN(EOMONTH(DATE(Dashboard!$C$4,11,1),0),TODAY()))+SUMIFS(Transaksi!$F$16:$F$5015,Transaksi!$C$16:$C$5015,$A64,Transaksi!$D$16:$D$5015,"Masuk",Transaksi!$B$16:$B$5015,"&lt;="&amp;MIN(EOMONTH(DATE(Dashboard!$C$4,11,1),0),TODAY()))-SUMIFS(Transaksi!$F$16:$F$5015,Transaksi!$C$16:$C$5015,$A64,Transaksi!$D$16:$D$5015,"Keluar",Transaksi!$B$16:$B$5015,"&lt;="&amp;MIN(EOMONTH(DATE(Dashboard!$C$4,11,1),0),TODAY()))-SUMIFS(Transaksi!$F$16:$F$5015,Transaksi!$C$16:$C$5015,$A64,Transaksi!$D$16:$D$5015,"Pindah",Transaksi!$B$16:$B$5015,"&lt;="&amp;MIN(EOMONTH(DATE(Dashboard!$C$4,11,1),0),TODAY()))+SUMIFS(Transaksi!$F$16:$F$5015,Transaksi!$E$16:$E$5015,$A64,Transaksi!$D$16:$D$5015,"Pindah",Transaksi!$B$16:$B$5015,"&lt;="&amp;MIN(EOMONTH(DATE(Dashboard!$C$4,11,1),0),TODAY())))</f>
        <v/>
      </c>
      <c r="N64" s="106">
        <f>IF(OR($A64="",DATE(Dashboard!$C$4,12,1)&gt;TODAY(),ISNA(MATCH($B64,{"Pribadi","Investasi (kas RDN)","Piutang","Pinjaman Mama (dompet)"},0))),"",SUMIFS(Akun!$C$5:$C$104,Akun!$A$5:$A$104,$A64,Akun!$D$5:$D$104,"&lt;="&amp;MIN(EOMONTH(DATE(Dashboard!$C$4,12,1),0),TODAY()))+SUMIFS(Transaksi!$F$16:$F$5015,Transaksi!$C$16:$C$5015,$A64,Transaksi!$D$16:$D$5015,"Masuk",Transaksi!$B$16:$B$5015,"&lt;="&amp;MIN(EOMONTH(DATE(Dashboard!$C$4,12,1),0),TODAY()))-SUMIFS(Transaksi!$F$16:$F$5015,Transaksi!$C$16:$C$5015,$A64,Transaksi!$D$16:$D$5015,"Keluar",Transaksi!$B$16:$B$5015,"&lt;="&amp;MIN(EOMONTH(DATE(Dashboard!$C$4,12,1),0),TODAY()))-SUMIFS(Transaksi!$F$16:$F$5015,Transaksi!$C$16:$C$5015,$A64,Transaksi!$D$16:$D$5015,"Pindah",Transaksi!$B$16:$B$5015,"&lt;="&amp;MIN(EOMONTH(DATE(Dashboard!$C$4,12,1),0),TODAY()))+SUMIFS(Transaksi!$F$16:$F$5015,Transaksi!$E$16:$E$5015,$A64,Transaksi!$D$16:$D$5015,"Pindah",Transaksi!$B$16:$B$5015,"&lt;="&amp;MIN(EOMONTH(DATE(Dashboard!$C$4,12,1),0),TODAY())))</f>
        <v/>
      </c>
    </row>
    <row r="65" ht="15" customHeight="1" s="94">
      <c r="A65" s="93">
        <f>IF(Akun!$A$29="","",Akun!$A$29)</f>
        <v/>
      </c>
      <c r="B65" s="93">
        <f>IF(Akun!$A$29="","",Akun!$B$29)</f>
        <v/>
      </c>
      <c r="C65" s="106">
        <f>IF(OR($A65="",DATE(Dashboard!$C$4,1,1)&gt;TODAY(),ISNA(MATCH($B65,{"Pribadi","Investasi (kas RDN)","Piutang","Pinjaman Mama (dompet)"},0))),"",SUMIFS(Akun!$C$5:$C$104,Akun!$A$5:$A$104,$A65,Akun!$D$5:$D$104,"&lt;="&amp;MIN(EOMONTH(DATE(Dashboard!$C$4,1,1),0),TODAY()))+SUMIFS(Transaksi!$F$16:$F$5015,Transaksi!$C$16:$C$5015,$A65,Transaksi!$D$16:$D$5015,"Masuk",Transaksi!$B$16:$B$5015,"&lt;="&amp;MIN(EOMONTH(DATE(Dashboard!$C$4,1,1),0),TODAY()))-SUMIFS(Transaksi!$F$16:$F$5015,Transaksi!$C$16:$C$5015,$A65,Transaksi!$D$16:$D$5015,"Keluar",Transaksi!$B$16:$B$5015,"&lt;="&amp;MIN(EOMONTH(DATE(Dashboard!$C$4,1,1),0),TODAY()))-SUMIFS(Transaksi!$F$16:$F$5015,Transaksi!$C$16:$C$5015,$A65,Transaksi!$D$16:$D$5015,"Pindah",Transaksi!$B$16:$B$5015,"&lt;="&amp;MIN(EOMONTH(DATE(Dashboard!$C$4,1,1),0),TODAY()))+SUMIFS(Transaksi!$F$16:$F$5015,Transaksi!$E$16:$E$5015,$A65,Transaksi!$D$16:$D$5015,"Pindah",Transaksi!$B$16:$B$5015,"&lt;="&amp;MIN(EOMONTH(DATE(Dashboard!$C$4,1,1),0),TODAY())))</f>
        <v/>
      </c>
      <c r="D65" s="106">
        <f>IF(OR($A65="",DATE(Dashboard!$C$4,2,1)&gt;TODAY(),ISNA(MATCH($B65,{"Pribadi","Investasi (kas RDN)","Piutang","Pinjaman Mama (dompet)"},0))),"",SUMIFS(Akun!$C$5:$C$104,Akun!$A$5:$A$104,$A65,Akun!$D$5:$D$104,"&lt;="&amp;MIN(EOMONTH(DATE(Dashboard!$C$4,2,1),0),TODAY()))+SUMIFS(Transaksi!$F$16:$F$5015,Transaksi!$C$16:$C$5015,$A65,Transaksi!$D$16:$D$5015,"Masuk",Transaksi!$B$16:$B$5015,"&lt;="&amp;MIN(EOMONTH(DATE(Dashboard!$C$4,2,1),0),TODAY()))-SUMIFS(Transaksi!$F$16:$F$5015,Transaksi!$C$16:$C$5015,$A65,Transaksi!$D$16:$D$5015,"Keluar",Transaksi!$B$16:$B$5015,"&lt;="&amp;MIN(EOMONTH(DATE(Dashboard!$C$4,2,1),0),TODAY()))-SUMIFS(Transaksi!$F$16:$F$5015,Transaksi!$C$16:$C$5015,$A65,Transaksi!$D$16:$D$5015,"Pindah",Transaksi!$B$16:$B$5015,"&lt;="&amp;MIN(EOMONTH(DATE(Dashboard!$C$4,2,1),0),TODAY()))+SUMIFS(Transaksi!$F$16:$F$5015,Transaksi!$E$16:$E$5015,$A65,Transaksi!$D$16:$D$5015,"Pindah",Transaksi!$B$16:$B$5015,"&lt;="&amp;MIN(EOMONTH(DATE(Dashboard!$C$4,2,1),0),TODAY())))</f>
        <v/>
      </c>
      <c r="E65" s="106">
        <f>IF(OR($A65="",DATE(Dashboard!$C$4,3,1)&gt;TODAY(),ISNA(MATCH($B65,{"Pribadi","Investasi (kas RDN)","Piutang","Pinjaman Mama (dompet)"},0))),"",SUMIFS(Akun!$C$5:$C$104,Akun!$A$5:$A$104,$A65,Akun!$D$5:$D$104,"&lt;="&amp;MIN(EOMONTH(DATE(Dashboard!$C$4,3,1),0),TODAY()))+SUMIFS(Transaksi!$F$16:$F$5015,Transaksi!$C$16:$C$5015,$A65,Transaksi!$D$16:$D$5015,"Masuk",Transaksi!$B$16:$B$5015,"&lt;="&amp;MIN(EOMONTH(DATE(Dashboard!$C$4,3,1),0),TODAY()))-SUMIFS(Transaksi!$F$16:$F$5015,Transaksi!$C$16:$C$5015,$A65,Transaksi!$D$16:$D$5015,"Keluar",Transaksi!$B$16:$B$5015,"&lt;="&amp;MIN(EOMONTH(DATE(Dashboard!$C$4,3,1),0),TODAY()))-SUMIFS(Transaksi!$F$16:$F$5015,Transaksi!$C$16:$C$5015,$A65,Transaksi!$D$16:$D$5015,"Pindah",Transaksi!$B$16:$B$5015,"&lt;="&amp;MIN(EOMONTH(DATE(Dashboard!$C$4,3,1),0),TODAY()))+SUMIFS(Transaksi!$F$16:$F$5015,Transaksi!$E$16:$E$5015,$A65,Transaksi!$D$16:$D$5015,"Pindah",Transaksi!$B$16:$B$5015,"&lt;="&amp;MIN(EOMONTH(DATE(Dashboard!$C$4,3,1),0),TODAY())))</f>
        <v/>
      </c>
      <c r="F65" s="106">
        <f>IF(OR($A65="",DATE(Dashboard!$C$4,4,1)&gt;TODAY(),ISNA(MATCH($B65,{"Pribadi","Investasi (kas RDN)","Piutang","Pinjaman Mama (dompet)"},0))),"",SUMIFS(Akun!$C$5:$C$104,Akun!$A$5:$A$104,$A65,Akun!$D$5:$D$104,"&lt;="&amp;MIN(EOMONTH(DATE(Dashboard!$C$4,4,1),0),TODAY()))+SUMIFS(Transaksi!$F$16:$F$5015,Transaksi!$C$16:$C$5015,$A65,Transaksi!$D$16:$D$5015,"Masuk",Transaksi!$B$16:$B$5015,"&lt;="&amp;MIN(EOMONTH(DATE(Dashboard!$C$4,4,1),0),TODAY()))-SUMIFS(Transaksi!$F$16:$F$5015,Transaksi!$C$16:$C$5015,$A65,Transaksi!$D$16:$D$5015,"Keluar",Transaksi!$B$16:$B$5015,"&lt;="&amp;MIN(EOMONTH(DATE(Dashboard!$C$4,4,1),0),TODAY()))-SUMIFS(Transaksi!$F$16:$F$5015,Transaksi!$C$16:$C$5015,$A65,Transaksi!$D$16:$D$5015,"Pindah",Transaksi!$B$16:$B$5015,"&lt;="&amp;MIN(EOMONTH(DATE(Dashboard!$C$4,4,1),0),TODAY()))+SUMIFS(Transaksi!$F$16:$F$5015,Transaksi!$E$16:$E$5015,$A65,Transaksi!$D$16:$D$5015,"Pindah",Transaksi!$B$16:$B$5015,"&lt;="&amp;MIN(EOMONTH(DATE(Dashboard!$C$4,4,1),0),TODAY())))</f>
        <v/>
      </c>
      <c r="G65" s="106">
        <f>IF(OR($A65="",DATE(Dashboard!$C$4,5,1)&gt;TODAY(),ISNA(MATCH($B65,{"Pribadi","Investasi (kas RDN)","Piutang","Pinjaman Mama (dompet)"},0))),"",SUMIFS(Akun!$C$5:$C$104,Akun!$A$5:$A$104,$A65,Akun!$D$5:$D$104,"&lt;="&amp;MIN(EOMONTH(DATE(Dashboard!$C$4,5,1),0),TODAY()))+SUMIFS(Transaksi!$F$16:$F$5015,Transaksi!$C$16:$C$5015,$A65,Transaksi!$D$16:$D$5015,"Masuk",Transaksi!$B$16:$B$5015,"&lt;="&amp;MIN(EOMONTH(DATE(Dashboard!$C$4,5,1),0),TODAY()))-SUMIFS(Transaksi!$F$16:$F$5015,Transaksi!$C$16:$C$5015,$A65,Transaksi!$D$16:$D$5015,"Keluar",Transaksi!$B$16:$B$5015,"&lt;="&amp;MIN(EOMONTH(DATE(Dashboard!$C$4,5,1),0),TODAY()))-SUMIFS(Transaksi!$F$16:$F$5015,Transaksi!$C$16:$C$5015,$A65,Transaksi!$D$16:$D$5015,"Pindah",Transaksi!$B$16:$B$5015,"&lt;="&amp;MIN(EOMONTH(DATE(Dashboard!$C$4,5,1),0),TODAY()))+SUMIFS(Transaksi!$F$16:$F$5015,Transaksi!$E$16:$E$5015,$A65,Transaksi!$D$16:$D$5015,"Pindah",Transaksi!$B$16:$B$5015,"&lt;="&amp;MIN(EOMONTH(DATE(Dashboard!$C$4,5,1),0),TODAY())))</f>
        <v/>
      </c>
      <c r="H65" s="106">
        <f>IF(OR($A65="",DATE(Dashboard!$C$4,6,1)&gt;TODAY(),ISNA(MATCH($B65,{"Pribadi","Investasi (kas RDN)","Piutang","Pinjaman Mama (dompet)"},0))),"",SUMIFS(Akun!$C$5:$C$104,Akun!$A$5:$A$104,$A65,Akun!$D$5:$D$104,"&lt;="&amp;MIN(EOMONTH(DATE(Dashboard!$C$4,6,1),0),TODAY()))+SUMIFS(Transaksi!$F$16:$F$5015,Transaksi!$C$16:$C$5015,$A65,Transaksi!$D$16:$D$5015,"Masuk",Transaksi!$B$16:$B$5015,"&lt;="&amp;MIN(EOMONTH(DATE(Dashboard!$C$4,6,1),0),TODAY()))-SUMIFS(Transaksi!$F$16:$F$5015,Transaksi!$C$16:$C$5015,$A65,Transaksi!$D$16:$D$5015,"Keluar",Transaksi!$B$16:$B$5015,"&lt;="&amp;MIN(EOMONTH(DATE(Dashboard!$C$4,6,1),0),TODAY()))-SUMIFS(Transaksi!$F$16:$F$5015,Transaksi!$C$16:$C$5015,$A65,Transaksi!$D$16:$D$5015,"Pindah",Transaksi!$B$16:$B$5015,"&lt;="&amp;MIN(EOMONTH(DATE(Dashboard!$C$4,6,1),0),TODAY()))+SUMIFS(Transaksi!$F$16:$F$5015,Transaksi!$E$16:$E$5015,$A65,Transaksi!$D$16:$D$5015,"Pindah",Transaksi!$B$16:$B$5015,"&lt;="&amp;MIN(EOMONTH(DATE(Dashboard!$C$4,6,1),0),TODAY())))</f>
        <v/>
      </c>
      <c r="I65" s="106">
        <f>IF(OR($A65="",DATE(Dashboard!$C$4,7,1)&gt;TODAY(),ISNA(MATCH($B65,{"Pribadi","Investasi (kas RDN)","Piutang","Pinjaman Mama (dompet)"},0))),"",SUMIFS(Akun!$C$5:$C$104,Akun!$A$5:$A$104,$A65,Akun!$D$5:$D$104,"&lt;="&amp;MIN(EOMONTH(DATE(Dashboard!$C$4,7,1),0),TODAY()))+SUMIFS(Transaksi!$F$16:$F$5015,Transaksi!$C$16:$C$5015,$A65,Transaksi!$D$16:$D$5015,"Masuk",Transaksi!$B$16:$B$5015,"&lt;="&amp;MIN(EOMONTH(DATE(Dashboard!$C$4,7,1),0),TODAY()))-SUMIFS(Transaksi!$F$16:$F$5015,Transaksi!$C$16:$C$5015,$A65,Transaksi!$D$16:$D$5015,"Keluar",Transaksi!$B$16:$B$5015,"&lt;="&amp;MIN(EOMONTH(DATE(Dashboard!$C$4,7,1),0),TODAY()))-SUMIFS(Transaksi!$F$16:$F$5015,Transaksi!$C$16:$C$5015,$A65,Transaksi!$D$16:$D$5015,"Pindah",Transaksi!$B$16:$B$5015,"&lt;="&amp;MIN(EOMONTH(DATE(Dashboard!$C$4,7,1),0),TODAY()))+SUMIFS(Transaksi!$F$16:$F$5015,Transaksi!$E$16:$E$5015,$A65,Transaksi!$D$16:$D$5015,"Pindah",Transaksi!$B$16:$B$5015,"&lt;="&amp;MIN(EOMONTH(DATE(Dashboard!$C$4,7,1),0),TODAY())))</f>
        <v/>
      </c>
      <c r="J65" s="106">
        <f>IF(OR($A65="",DATE(Dashboard!$C$4,8,1)&gt;TODAY(),ISNA(MATCH($B65,{"Pribadi","Investasi (kas RDN)","Piutang","Pinjaman Mama (dompet)"},0))),"",SUMIFS(Akun!$C$5:$C$104,Akun!$A$5:$A$104,$A65,Akun!$D$5:$D$104,"&lt;="&amp;MIN(EOMONTH(DATE(Dashboard!$C$4,8,1),0),TODAY()))+SUMIFS(Transaksi!$F$16:$F$5015,Transaksi!$C$16:$C$5015,$A65,Transaksi!$D$16:$D$5015,"Masuk",Transaksi!$B$16:$B$5015,"&lt;="&amp;MIN(EOMONTH(DATE(Dashboard!$C$4,8,1),0),TODAY()))-SUMIFS(Transaksi!$F$16:$F$5015,Transaksi!$C$16:$C$5015,$A65,Transaksi!$D$16:$D$5015,"Keluar",Transaksi!$B$16:$B$5015,"&lt;="&amp;MIN(EOMONTH(DATE(Dashboard!$C$4,8,1),0),TODAY()))-SUMIFS(Transaksi!$F$16:$F$5015,Transaksi!$C$16:$C$5015,$A65,Transaksi!$D$16:$D$5015,"Pindah",Transaksi!$B$16:$B$5015,"&lt;="&amp;MIN(EOMONTH(DATE(Dashboard!$C$4,8,1),0),TODAY()))+SUMIFS(Transaksi!$F$16:$F$5015,Transaksi!$E$16:$E$5015,$A65,Transaksi!$D$16:$D$5015,"Pindah",Transaksi!$B$16:$B$5015,"&lt;="&amp;MIN(EOMONTH(DATE(Dashboard!$C$4,8,1),0),TODAY())))</f>
        <v/>
      </c>
      <c r="K65" s="106">
        <f>IF(OR($A65="",DATE(Dashboard!$C$4,9,1)&gt;TODAY(),ISNA(MATCH($B65,{"Pribadi","Investasi (kas RDN)","Piutang","Pinjaman Mama (dompet)"},0))),"",SUMIFS(Akun!$C$5:$C$104,Akun!$A$5:$A$104,$A65,Akun!$D$5:$D$104,"&lt;="&amp;MIN(EOMONTH(DATE(Dashboard!$C$4,9,1),0),TODAY()))+SUMIFS(Transaksi!$F$16:$F$5015,Transaksi!$C$16:$C$5015,$A65,Transaksi!$D$16:$D$5015,"Masuk",Transaksi!$B$16:$B$5015,"&lt;="&amp;MIN(EOMONTH(DATE(Dashboard!$C$4,9,1),0),TODAY()))-SUMIFS(Transaksi!$F$16:$F$5015,Transaksi!$C$16:$C$5015,$A65,Transaksi!$D$16:$D$5015,"Keluar",Transaksi!$B$16:$B$5015,"&lt;="&amp;MIN(EOMONTH(DATE(Dashboard!$C$4,9,1),0),TODAY()))-SUMIFS(Transaksi!$F$16:$F$5015,Transaksi!$C$16:$C$5015,$A65,Transaksi!$D$16:$D$5015,"Pindah",Transaksi!$B$16:$B$5015,"&lt;="&amp;MIN(EOMONTH(DATE(Dashboard!$C$4,9,1),0),TODAY()))+SUMIFS(Transaksi!$F$16:$F$5015,Transaksi!$E$16:$E$5015,$A65,Transaksi!$D$16:$D$5015,"Pindah",Transaksi!$B$16:$B$5015,"&lt;="&amp;MIN(EOMONTH(DATE(Dashboard!$C$4,9,1),0),TODAY())))</f>
        <v/>
      </c>
      <c r="L65" s="106">
        <f>IF(OR($A65="",DATE(Dashboard!$C$4,10,1)&gt;TODAY(),ISNA(MATCH($B65,{"Pribadi","Investasi (kas RDN)","Piutang","Pinjaman Mama (dompet)"},0))),"",SUMIFS(Akun!$C$5:$C$104,Akun!$A$5:$A$104,$A65,Akun!$D$5:$D$104,"&lt;="&amp;MIN(EOMONTH(DATE(Dashboard!$C$4,10,1),0),TODAY()))+SUMIFS(Transaksi!$F$16:$F$5015,Transaksi!$C$16:$C$5015,$A65,Transaksi!$D$16:$D$5015,"Masuk",Transaksi!$B$16:$B$5015,"&lt;="&amp;MIN(EOMONTH(DATE(Dashboard!$C$4,10,1),0),TODAY()))-SUMIFS(Transaksi!$F$16:$F$5015,Transaksi!$C$16:$C$5015,$A65,Transaksi!$D$16:$D$5015,"Keluar",Transaksi!$B$16:$B$5015,"&lt;="&amp;MIN(EOMONTH(DATE(Dashboard!$C$4,10,1),0),TODAY()))-SUMIFS(Transaksi!$F$16:$F$5015,Transaksi!$C$16:$C$5015,$A65,Transaksi!$D$16:$D$5015,"Pindah",Transaksi!$B$16:$B$5015,"&lt;="&amp;MIN(EOMONTH(DATE(Dashboard!$C$4,10,1),0),TODAY()))+SUMIFS(Transaksi!$F$16:$F$5015,Transaksi!$E$16:$E$5015,$A65,Transaksi!$D$16:$D$5015,"Pindah",Transaksi!$B$16:$B$5015,"&lt;="&amp;MIN(EOMONTH(DATE(Dashboard!$C$4,10,1),0),TODAY())))</f>
        <v/>
      </c>
      <c r="M65" s="106">
        <f>IF(OR($A65="",DATE(Dashboard!$C$4,11,1)&gt;TODAY(),ISNA(MATCH($B65,{"Pribadi","Investasi (kas RDN)","Piutang","Pinjaman Mama (dompet)"},0))),"",SUMIFS(Akun!$C$5:$C$104,Akun!$A$5:$A$104,$A65,Akun!$D$5:$D$104,"&lt;="&amp;MIN(EOMONTH(DATE(Dashboard!$C$4,11,1),0),TODAY()))+SUMIFS(Transaksi!$F$16:$F$5015,Transaksi!$C$16:$C$5015,$A65,Transaksi!$D$16:$D$5015,"Masuk",Transaksi!$B$16:$B$5015,"&lt;="&amp;MIN(EOMONTH(DATE(Dashboard!$C$4,11,1),0),TODAY()))-SUMIFS(Transaksi!$F$16:$F$5015,Transaksi!$C$16:$C$5015,$A65,Transaksi!$D$16:$D$5015,"Keluar",Transaksi!$B$16:$B$5015,"&lt;="&amp;MIN(EOMONTH(DATE(Dashboard!$C$4,11,1),0),TODAY()))-SUMIFS(Transaksi!$F$16:$F$5015,Transaksi!$C$16:$C$5015,$A65,Transaksi!$D$16:$D$5015,"Pindah",Transaksi!$B$16:$B$5015,"&lt;="&amp;MIN(EOMONTH(DATE(Dashboard!$C$4,11,1),0),TODAY()))+SUMIFS(Transaksi!$F$16:$F$5015,Transaksi!$E$16:$E$5015,$A65,Transaksi!$D$16:$D$5015,"Pindah",Transaksi!$B$16:$B$5015,"&lt;="&amp;MIN(EOMONTH(DATE(Dashboard!$C$4,11,1),0),TODAY())))</f>
        <v/>
      </c>
      <c r="N65" s="106">
        <f>IF(OR($A65="",DATE(Dashboard!$C$4,12,1)&gt;TODAY(),ISNA(MATCH($B65,{"Pribadi","Investasi (kas RDN)","Piutang","Pinjaman Mama (dompet)"},0))),"",SUMIFS(Akun!$C$5:$C$104,Akun!$A$5:$A$104,$A65,Akun!$D$5:$D$104,"&lt;="&amp;MIN(EOMONTH(DATE(Dashboard!$C$4,12,1),0),TODAY()))+SUMIFS(Transaksi!$F$16:$F$5015,Transaksi!$C$16:$C$5015,$A65,Transaksi!$D$16:$D$5015,"Masuk",Transaksi!$B$16:$B$5015,"&lt;="&amp;MIN(EOMONTH(DATE(Dashboard!$C$4,12,1),0),TODAY()))-SUMIFS(Transaksi!$F$16:$F$5015,Transaksi!$C$16:$C$5015,$A65,Transaksi!$D$16:$D$5015,"Keluar",Transaksi!$B$16:$B$5015,"&lt;="&amp;MIN(EOMONTH(DATE(Dashboard!$C$4,12,1),0),TODAY()))-SUMIFS(Transaksi!$F$16:$F$5015,Transaksi!$C$16:$C$5015,$A65,Transaksi!$D$16:$D$5015,"Pindah",Transaksi!$B$16:$B$5015,"&lt;="&amp;MIN(EOMONTH(DATE(Dashboard!$C$4,12,1),0),TODAY()))+SUMIFS(Transaksi!$F$16:$F$5015,Transaksi!$E$16:$E$5015,$A65,Transaksi!$D$16:$D$5015,"Pindah",Transaksi!$B$16:$B$5015,"&lt;="&amp;MIN(EOMONTH(DATE(Dashboard!$C$4,12,1),0),TODAY())))</f>
        <v/>
      </c>
    </row>
    <row r="66" ht="15" customHeight="1" s="94">
      <c r="A66" s="93">
        <f>IF(Akun!$A$30="","",Akun!$A$30)</f>
        <v/>
      </c>
      <c r="B66" s="93">
        <f>IF(Akun!$A$30="","",Akun!$B$30)</f>
        <v/>
      </c>
      <c r="C66" s="106">
        <f>IF(OR($A66="",DATE(Dashboard!$C$4,1,1)&gt;TODAY(),ISNA(MATCH($B66,{"Pribadi","Investasi (kas RDN)","Piutang","Pinjaman Mama (dompet)"},0))),"",SUMIFS(Akun!$C$5:$C$104,Akun!$A$5:$A$104,$A66,Akun!$D$5:$D$104,"&lt;="&amp;MIN(EOMONTH(DATE(Dashboard!$C$4,1,1),0),TODAY()))+SUMIFS(Transaksi!$F$16:$F$5015,Transaksi!$C$16:$C$5015,$A66,Transaksi!$D$16:$D$5015,"Masuk",Transaksi!$B$16:$B$5015,"&lt;="&amp;MIN(EOMONTH(DATE(Dashboard!$C$4,1,1),0),TODAY()))-SUMIFS(Transaksi!$F$16:$F$5015,Transaksi!$C$16:$C$5015,$A66,Transaksi!$D$16:$D$5015,"Keluar",Transaksi!$B$16:$B$5015,"&lt;="&amp;MIN(EOMONTH(DATE(Dashboard!$C$4,1,1),0),TODAY()))-SUMIFS(Transaksi!$F$16:$F$5015,Transaksi!$C$16:$C$5015,$A66,Transaksi!$D$16:$D$5015,"Pindah",Transaksi!$B$16:$B$5015,"&lt;="&amp;MIN(EOMONTH(DATE(Dashboard!$C$4,1,1),0),TODAY()))+SUMIFS(Transaksi!$F$16:$F$5015,Transaksi!$E$16:$E$5015,$A66,Transaksi!$D$16:$D$5015,"Pindah",Transaksi!$B$16:$B$5015,"&lt;="&amp;MIN(EOMONTH(DATE(Dashboard!$C$4,1,1),0),TODAY())))</f>
        <v/>
      </c>
      <c r="D66" s="106">
        <f>IF(OR($A66="",DATE(Dashboard!$C$4,2,1)&gt;TODAY(),ISNA(MATCH($B66,{"Pribadi","Investasi (kas RDN)","Piutang","Pinjaman Mama (dompet)"},0))),"",SUMIFS(Akun!$C$5:$C$104,Akun!$A$5:$A$104,$A66,Akun!$D$5:$D$104,"&lt;="&amp;MIN(EOMONTH(DATE(Dashboard!$C$4,2,1),0),TODAY()))+SUMIFS(Transaksi!$F$16:$F$5015,Transaksi!$C$16:$C$5015,$A66,Transaksi!$D$16:$D$5015,"Masuk",Transaksi!$B$16:$B$5015,"&lt;="&amp;MIN(EOMONTH(DATE(Dashboard!$C$4,2,1),0),TODAY()))-SUMIFS(Transaksi!$F$16:$F$5015,Transaksi!$C$16:$C$5015,$A66,Transaksi!$D$16:$D$5015,"Keluar",Transaksi!$B$16:$B$5015,"&lt;="&amp;MIN(EOMONTH(DATE(Dashboard!$C$4,2,1),0),TODAY()))-SUMIFS(Transaksi!$F$16:$F$5015,Transaksi!$C$16:$C$5015,$A66,Transaksi!$D$16:$D$5015,"Pindah",Transaksi!$B$16:$B$5015,"&lt;="&amp;MIN(EOMONTH(DATE(Dashboard!$C$4,2,1),0),TODAY()))+SUMIFS(Transaksi!$F$16:$F$5015,Transaksi!$E$16:$E$5015,$A66,Transaksi!$D$16:$D$5015,"Pindah",Transaksi!$B$16:$B$5015,"&lt;="&amp;MIN(EOMONTH(DATE(Dashboard!$C$4,2,1),0),TODAY())))</f>
        <v/>
      </c>
      <c r="E66" s="106">
        <f>IF(OR($A66="",DATE(Dashboard!$C$4,3,1)&gt;TODAY(),ISNA(MATCH($B66,{"Pribadi","Investasi (kas RDN)","Piutang","Pinjaman Mama (dompet)"},0))),"",SUMIFS(Akun!$C$5:$C$104,Akun!$A$5:$A$104,$A66,Akun!$D$5:$D$104,"&lt;="&amp;MIN(EOMONTH(DATE(Dashboard!$C$4,3,1),0),TODAY()))+SUMIFS(Transaksi!$F$16:$F$5015,Transaksi!$C$16:$C$5015,$A66,Transaksi!$D$16:$D$5015,"Masuk",Transaksi!$B$16:$B$5015,"&lt;="&amp;MIN(EOMONTH(DATE(Dashboard!$C$4,3,1),0),TODAY()))-SUMIFS(Transaksi!$F$16:$F$5015,Transaksi!$C$16:$C$5015,$A66,Transaksi!$D$16:$D$5015,"Keluar",Transaksi!$B$16:$B$5015,"&lt;="&amp;MIN(EOMONTH(DATE(Dashboard!$C$4,3,1),0),TODAY()))-SUMIFS(Transaksi!$F$16:$F$5015,Transaksi!$C$16:$C$5015,$A66,Transaksi!$D$16:$D$5015,"Pindah",Transaksi!$B$16:$B$5015,"&lt;="&amp;MIN(EOMONTH(DATE(Dashboard!$C$4,3,1),0),TODAY()))+SUMIFS(Transaksi!$F$16:$F$5015,Transaksi!$E$16:$E$5015,$A66,Transaksi!$D$16:$D$5015,"Pindah",Transaksi!$B$16:$B$5015,"&lt;="&amp;MIN(EOMONTH(DATE(Dashboard!$C$4,3,1),0),TODAY())))</f>
        <v/>
      </c>
      <c r="F66" s="106">
        <f>IF(OR($A66="",DATE(Dashboard!$C$4,4,1)&gt;TODAY(),ISNA(MATCH($B66,{"Pribadi","Investasi (kas RDN)","Piutang","Pinjaman Mama (dompet)"},0))),"",SUMIFS(Akun!$C$5:$C$104,Akun!$A$5:$A$104,$A66,Akun!$D$5:$D$104,"&lt;="&amp;MIN(EOMONTH(DATE(Dashboard!$C$4,4,1),0),TODAY()))+SUMIFS(Transaksi!$F$16:$F$5015,Transaksi!$C$16:$C$5015,$A66,Transaksi!$D$16:$D$5015,"Masuk",Transaksi!$B$16:$B$5015,"&lt;="&amp;MIN(EOMONTH(DATE(Dashboard!$C$4,4,1),0),TODAY()))-SUMIFS(Transaksi!$F$16:$F$5015,Transaksi!$C$16:$C$5015,$A66,Transaksi!$D$16:$D$5015,"Keluar",Transaksi!$B$16:$B$5015,"&lt;="&amp;MIN(EOMONTH(DATE(Dashboard!$C$4,4,1),0),TODAY()))-SUMIFS(Transaksi!$F$16:$F$5015,Transaksi!$C$16:$C$5015,$A66,Transaksi!$D$16:$D$5015,"Pindah",Transaksi!$B$16:$B$5015,"&lt;="&amp;MIN(EOMONTH(DATE(Dashboard!$C$4,4,1),0),TODAY()))+SUMIFS(Transaksi!$F$16:$F$5015,Transaksi!$E$16:$E$5015,$A66,Transaksi!$D$16:$D$5015,"Pindah",Transaksi!$B$16:$B$5015,"&lt;="&amp;MIN(EOMONTH(DATE(Dashboard!$C$4,4,1),0),TODAY())))</f>
        <v/>
      </c>
      <c r="G66" s="106">
        <f>IF(OR($A66="",DATE(Dashboard!$C$4,5,1)&gt;TODAY(),ISNA(MATCH($B66,{"Pribadi","Investasi (kas RDN)","Piutang","Pinjaman Mama (dompet)"},0))),"",SUMIFS(Akun!$C$5:$C$104,Akun!$A$5:$A$104,$A66,Akun!$D$5:$D$104,"&lt;="&amp;MIN(EOMONTH(DATE(Dashboard!$C$4,5,1),0),TODAY()))+SUMIFS(Transaksi!$F$16:$F$5015,Transaksi!$C$16:$C$5015,$A66,Transaksi!$D$16:$D$5015,"Masuk",Transaksi!$B$16:$B$5015,"&lt;="&amp;MIN(EOMONTH(DATE(Dashboard!$C$4,5,1),0),TODAY()))-SUMIFS(Transaksi!$F$16:$F$5015,Transaksi!$C$16:$C$5015,$A66,Transaksi!$D$16:$D$5015,"Keluar",Transaksi!$B$16:$B$5015,"&lt;="&amp;MIN(EOMONTH(DATE(Dashboard!$C$4,5,1),0),TODAY()))-SUMIFS(Transaksi!$F$16:$F$5015,Transaksi!$C$16:$C$5015,$A66,Transaksi!$D$16:$D$5015,"Pindah",Transaksi!$B$16:$B$5015,"&lt;="&amp;MIN(EOMONTH(DATE(Dashboard!$C$4,5,1),0),TODAY()))+SUMIFS(Transaksi!$F$16:$F$5015,Transaksi!$E$16:$E$5015,$A66,Transaksi!$D$16:$D$5015,"Pindah",Transaksi!$B$16:$B$5015,"&lt;="&amp;MIN(EOMONTH(DATE(Dashboard!$C$4,5,1),0),TODAY())))</f>
        <v/>
      </c>
      <c r="H66" s="106">
        <f>IF(OR($A66="",DATE(Dashboard!$C$4,6,1)&gt;TODAY(),ISNA(MATCH($B66,{"Pribadi","Investasi (kas RDN)","Piutang","Pinjaman Mama (dompet)"},0))),"",SUMIFS(Akun!$C$5:$C$104,Akun!$A$5:$A$104,$A66,Akun!$D$5:$D$104,"&lt;="&amp;MIN(EOMONTH(DATE(Dashboard!$C$4,6,1),0),TODAY()))+SUMIFS(Transaksi!$F$16:$F$5015,Transaksi!$C$16:$C$5015,$A66,Transaksi!$D$16:$D$5015,"Masuk",Transaksi!$B$16:$B$5015,"&lt;="&amp;MIN(EOMONTH(DATE(Dashboard!$C$4,6,1),0),TODAY()))-SUMIFS(Transaksi!$F$16:$F$5015,Transaksi!$C$16:$C$5015,$A66,Transaksi!$D$16:$D$5015,"Keluar",Transaksi!$B$16:$B$5015,"&lt;="&amp;MIN(EOMONTH(DATE(Dashboard!$C$4,6,1),0),TODAY()))-SUMIFS(Transaksi!$F$16:$F$5015,Transaksi!$C$16:$C$5015,$A66,Transaksi!$D$16:$D$5015,"Pindah",Transaksi!$B$16:$B$5015,"&lt;="&amp;MIN(EOMONTH(DATE(Dashboard!$C$4,6,1),0),TODAY()))+SUMIFS(Transaksi!$F$16:$F$5015,Transaksi!$E$16:$E$5015,$A66,Transaksi!$D$16:$D$5015,"Pindah",Transaksi!$B$16:$B$5015,"&lt;="&amp;MIN(EOMONTH(DATE(Dashboard!$C$4,6,1),0),TODAY())))</f>
        <v/>
      </c>
      <c r="I66" s="106">
        <f>IF(OR($A66="",DATE(Dashboard!$C$4,7,1)&gt;TODAY(),ISNA(MATCH($B66,{"Pribadi","Investasi (kas RDN)","Piutang","Pinjaman Mama (dompet)"},0))),"",SUMIFS(Akun!$C$5:$C$104,Akun!$A$5:$A$104,$A66,Akun!$D$5:$D$104,"&lt;="&amp;MIN(EOMONTH(DATE(Dashboard!$C$4,7,1),0),TODAY()))+SUMIFS(Transaksi!$F$16:$F$5015,Transaksi!$C$16:$C$5015,$A66,Transaksi!$D$16:$D$5015,"Masuk",Transaksi!$B$16:$B$5015,"&lt;="&amp;MIN(EOMONTH(DATE(Dashboard!$C$4,7,1),0),TODAY()))-SUMIFS(Transaksi!$F$16:$F$5015,Transaksi!$C$16:$C$5015,$A66,Transaksi!$D$16:$D$5015,"Keluar",Transaksi!$B$16:$B$5015,"&lt;="&amp;MIN(EOMONTH(DATE(Dashboard!$C$4,7,1),0),TODAY()))-SUMIFS(Transaksi!$F$16:$F$5015,Transaksi!$C$16:$C$5015,$A66,Transaksi!$D$16:$D$5015,"Pindah",Transaksi!$B$16:$B$5015,"&lt;="&amp;MIN(EOMONTH(DATE(Dashboard!$C$4,7,1),0),TODAY()))+SUMIFS(Transaksi!$F$16:$F$5015,Transaksi!$E$16:$E$5015,$A66,Transaksi!$D$16:$D$5015,"Pindah",Transaksi!$B$16:$B$5015,"&lt;="&amp;MIN(EOMONTH(DATE(Dashboard!$C$4,7,1),0),TODAY())))</f>
        <v/>
      </c>
      <c r="J66" s="106">
        <f>IF(OR($A66="",DATE(Dashboard!$C$4,8,1)&gt;TODAY(),ISNA(MATCH($B66,{"Pribadi","Investasi (kas RDN)","Piutang","Pinjaman Mama (dompet)"},0))),"",SUMIFS(Akun!$C$5:$C$104,Akun!$A$5:$A$104,$A66,Akun!$D$5:$D$104,"&lt;="&amp;MIN(EOMONTH(DATE(Dashboard!$C$4,8,1),0),TODAY()))+SUMIFS(Transaksi!$F$16:$F$5015,Transaksi!$C$16:$C$5015,$A66,Transaksi!$D$16:$D$5015,"Masuk",Transaksi!$B$16:$B$5015,"&lt;="&amp;MIN(EOMONTH(DATE(Dashboard!$C$4,8,1),0),TODAY()))-SUMIFS(Transaksi!$F$16:$F$5015,Transaksi!$C$16:$C$5015,$A66,Transaksi!$D$16:$D$5015,"Keluar",Transaksi!$B$16:$B$5015,"&lt;="&amp;MIN(EOMONTH(DATE(Dashboard!$C$4,8,1),0),TODAY()))-SUMIFS(Transaksi!$F$16:$F$5015,Transaksi!$C$16:$C$5015,$A66,Transaksi!$D$16:$D$5015,"Pindah",Transaksi!$B$16:$B$5015,"&lt;="&amp;MIN(EOMONTH(DATE(Dashboard!$C$4,8,1),0),TODAY()))+SUMIFS(Transaksi!$F$16:$F$5015,Transaksi!$E$16:$E$5015,$A66,Transaksi!$D$16:$D$5015,"Pindah",Transaksi!$B$16:$B$5015,"&lt;="&amp;MIN(EOMONTH(DATE(Dashboard!$C$4,8,1),0),TODAY())))</f>
        <v/>
      </c>
      <c r="K66" s="106">
        <f>IF(OR($A66="",DATE(Dashboard!$C$4,9,1)&gt;TODAY(),ISNA(MATCH($B66,{"Pribadi","Investasi (kas RDN)","Piutang","Pinjaman Mama (dompet)"},0))),"",SUMIFS(Akun!$C$5:$C$104,Akun!$A$5:$A$104,$A66,Akun!$D$5:$D$104,"&lt;="&amp;MIN(EOMONTH(DATE(Dashboard!$C$4,9,1),0),TODAY()))+SUMIFS(Transaksi!$F$16:$F$5015,Transaksi!$C$16:$C$5015,$A66,Transaksi!$D$16:$D$5015,"Masuk",Transaksi!$B$16:$B$5015,"&lt;="&amp;MIN(EOMONTH(DATE(Dashboard!$C$4,9,1),0),TODAY()))-SUMIFS(Transaksi!$F$16:$F$5015,Transaksi!$C$16:$C$5015,$A66,Transaksi!$D$16:$D$5015,"Keluar",Transaksi!$B$16:$B$5015,"&lt;="&amp;MIN(EOMONTH(DATE(Dashboard!$C$4,9,1),0),TODAY()))-SUMIFS(Transaksi!$F$16:$F$5015,Transaksi!$C$16:$C$5015,$A66,Transaksi!$D$16:$D$5015,"Pindah",Transaksi!$B$16:$B$5015,"&lt;="&amp;MIN(EOMONTH(DATE(Dashboard!$C$4,9,1),0),TODAY()))+SUMIFS(Transaksi!$F$16:$F$5015,Transaksi!$E$16:$E$5015,$A66,Transaksi!$D$16:$D$5015,"Pindah",Transaksi!$B$16:$B$5015,"&lt;="&amp;MIN(EOMONTH(DATE(Dashboard!$C$4,9,1),0),TODAY())))</f>
        <v/>
      </c>
      <c r="L66" s="106">
        <f>IF(OR($A66="",DATE(Dashboard!$C$4,10,1)&gt;TODAY(),ISNA(MATCH($B66,{"Pribadi","Investasi (kas RDN)","Piutang","Pinjaman Mama (dompet)"},0))),"",SUMIFS(Akun!$C$5:$C$104,Akun!$A$5:$A$104,$A66,Akun!$D$5:$D$104,"&lt;="&amp;MIN(EOMONTH(DATE(Dashboard!$C$4,10,1),0),TODAY()))+SUMIFS(Transaksi!$F$16:$F$5015,Transaksi!$C$16:$C$5015,$A66,Transaksi!$D$16:$D$5015,"Masuk",Transaksi!$B$16:$B$5015,"&lt;="&amp;MIN(EOMONTH(DATE(Dashboard!$C$4,10,1),0),TODAY()))-SUMIFS(Transaksi!$F$16:$F$5015,Transaksi!$C$16:$C$5015,$A66,Transaksi!$D$16:$D$5015,"Keluar",Transaksi!$B$16:$B$5015,"&lt;="&amp;MIN(EOMONTH(DATE(Dashboard!$C$4,10,1),0),TODAY()))-SUMIFS(Transaksi!$F$16:$F$5015,Transaksi!$C$16:$C$5015,$A66,Transaksi!$D$16:$D$5015,"Pindah",Transaksi!$B$16:$B$5015,"&lt;="&amp;MIN(EOMONTH(DATE(Dashboard!$C$4,10,1),0),TODAY()))+SUMIFS(Transaksi!$F$16:$F$5015,Transaksi!$E$16:$E$5015,$A66,Transaksi!$D$16:$D$5015,"Pindah",Transaksi!$B$16:$B$5015,"&lt;="&amp;MIN(EOMONTH(DATE(Dashboard!$C$4,10,1),0),TODAY())))</f>
        <v/>
      </c>
      <c r="M66" s="106">
        <f>IF(OR($A66="",DATE(Dashboard!$C$4,11,1)&gt;TODAY(),ISNA(MATCH($B66,{"Pribadi","Investasi (kas RDN)","Piutang","Pinjaman Mama (dompet)"},0))),"",SUMIFS(Akun!$C$5:$C$104,Akun!$A$5:$A$104,$A66,Akun!$D$5:$D$104,"&lt;="&amp;MIN(EOMONTH(DATE(Dashboard!$C$4,11,1),0),TODAY()))+SUMIFS(Transaksi!$F$16:$F$5015,Transaksi!$C$16:$C$5015,$A66,Transaksi!$D$16:$D$5015,"Masuk",Transaksi!$B$16:$B$5015,"&lt;="&amp;MIN(EOMONTH(DATE(Dashboard!$C$4,11,1),0),TODAY()))-SUMIFS(Transaksi!$F$16:$F$5015,Transaksi!$C$16:$C$5015,$A66,Transaksi!$D$16:$D$5015,"Keluar",Transaksi!$B$16:$B$5015,"&lt;="&amp;MIN(EOMONTH(DATE(Dashboard!$C$4,11,1),0),TODAY()))-SUMIFS(Transaksi!$F$16:$F$5015,Transaksi!$C$16:$C$5015,$A66,Transaksi!$D$16:$D$5015,"Pindah",Transaksi!$B$16:$B$5015,"&lt;="&amp;MIN(EOMONTH(DATE(Dashboard!$C$4,11,1),0),TODAY()))+SUMIFS(Transaksi!$F$16:$F$5015,Transaksi!$E$16:$E$5015,$A66,Transaksi!$D$16:$D$5015,"Pindah",Transaksi!$B$16:$B$5015,"&lt;="&amp;MIN(EOMONTH(DATE(Dashboard!$C$4,11,1),0),TODAY())))</f>
        <v/>
      </c>
      <c r="N66" s="106">
        <f>IF(OR($A66="",DATE(Dashboard!$C$4,12,1)&gt;TODAY(),ISNA(MATCH($B66,{"Pribadi","Investasi (kas RDN)","Piutang","Pinjaman Mama (dompet)"},0))),"",SUMIFS(Akun!$C$5:$C$104,Akun!$A$5:$A$104,$A66,Akun!$D$5:$D$104,"&lt;="&amp;MIN(EOMONTH(DATE(Dashboard!$C$4,12,1),0),TODAY()))+SUMIFS(Transaksi!$F$16:$F$5015,Transaksi!$C$16:$C$5015,$A66,Transaksi!$D$16:$D$5015,"Masuk",Transaksi!$B$16:$B$5015,"&lt;="&amp;MIN(EOMONTH(DATE(Dashboard!$C$4,12,1),0),TODAY()))-SUMIFS(Transaksi!$F$16:$F$5015,Transaksi!$C$16:$C$5015,$A66,Transaksi!$D$16:$D$5015,"Keluar",Transaksi!$B$16:$B$5015,"&lt;="&amp;MIN(EOMONTH(DATE(Dashboard!$C$4,12,1),0),TODAY()))-SUMIFS(Transaksi!$F$16:$F$5015,Transaksi!$C$16:$C$5015,$A66,Transaksi!$D$16:$D$5015,"Pindah",Transaksi!$B$16:$B$5015,"&lt;="&amp;MIN(EOMONTH(DATE(Dashboard!$C$4,12,1),0),TODAY()))+SUMIFS(Transaksi!$F$16:$F$5015,Transaksi!$E$16:$E$5015,$A66,Transaksi!$D$16:$D$5015,"Pindah",Transaksi!$B$16:$B$5015,"&lt;="&amp;MIN(EOMONTH(DATE(Dashboard!$C$4,12,1),0),TODAY())))</f>
        <v/>
      </c>
    </row>
    <row r="67" ht="15" customHeight="1" s="94">
      <c r="A67" s="93">
        <f>IF(Akun!$A$31="","",Akun!$A$31)</f>
        <v/>
      </c>
      <c r="B67" s="93">
        <f>IF(Akun!$A$31="","",Akun!$B$31)</f>
        <v/>
      </c>
      <c r="C67" s="106">
        <f>IF(OR($A67="",DATE(Dashboard!$C$4,1,1)&gt;TODAY(),ISNA(MATCH($B67,{"Pribadi","Investasi (kas RDN)","Piutang","Pinjaman Mama (dompet)"},0))),"",SUMIFS(Akun!$C$5:$C$104,Akun!$A$5:$A$104,$A67,Akun!$D$5:$D$104,"&lt;="&amp;MIN(EOMONTH(DATE(Dashboard!$C$4,1,1),0),TODAY()))+SUMIFS(Transaksi!$F$16:$F$5015,Transaksi!$C$16:$C$5015,$A67,Transaksi!$D$16:$D$5015,"Masuk",Transaksi!$B$16:$B$5015,"&lt;="&amp;MIN(EOMONTH(DATE(Dashboard!$C$4,1,1),0),TODAY()))-SUMIFS(Transaksi!$F$16:$F$5015,Transaksi!$C$16:$C$5015,$A67,Transaksi!$D$16:$D$5015,"Keluar",Transaksi!$B$16:$B$5015,"&lt;="&amp;MIN(EOMONTH(DATE(Dashboard!$C$4,1,1),0),TODAY()))-SUMIFS(Transaksi!$F$16:$F$5015,Transaksi!$C$16:$C$5015,$A67,Transaksi!$D$16:$D$5015,"Pindah",Transaksi!$B$16:$B$5015,"&lt;="&amp;MIN(EOMONTH(DATE(Dashboard!$C$4,1,1),0),TODAY()))+SUMIFS(Transaksi!$F$16:$F$5015,Transaksi!$E$16:$E$5015,$A67,Transaksi!$D$16:$D$5015,"Pindah",Transaksi!$B$16:$B$5015,"&lt;="&amp;MIN(EOMONTH(DATE(Dashboard!$C$4,1,1),0),TODAY())))</f>
        <v/>
      </c>
      <c r="D67" s="106">
        <f>IF(OR($A67="",DATE(Dashboard!$C$4,2,1)&gt;TODAY(),ISNA(MATCH($B67,{"Pribadi","Investasi (kas RDN)","Piutang","Pinjaman Mama (dompet)"},0))),"",SUMIFS(Akun!$C$5:$C$104,Akun!$A$5:$A$104,$A67,Akun!$D$5:$D$104,"&lt;="&amp;MIN(EOMONTH(DATE(Dashboard!$C$4,2,1),0),TODAY()))+SUMIFS(Transaksi!$F$16:$F$5015,Transaksi!$C$16:$C$5015,$A67,Transaksi!$D$16:$D$5015,"Masuk",Transaksi!$B$16:$B$5015,"&lt;="&amp;MIN(EOMONTH(DATE(Dashboard!$C$4,2,1),0),TODAY()))-SUMIFS(Transaksi!$F$16:$F$5015,Transaksi!$C$16:$C$5015,$A67,Transaksi!$D$16:$D$5015,"Keluar",Transaksi!$B$16:$B$5015,"&lt;="&amp;MIN(EOMONTH(DATE(Dashboard!$C$4,2,1),0),TODAY()))-SUMIFS(Transaksi!$F$16:$F$5015,Transaksi!$C$16:$C$5015,$A67,Transaksi!$D$16:$D$5015,"Pindah",Transaksi!$B$16:$B$5015,"&lt;="&amp;MIN(EOMONTH(DATE(Dashboard!$C$4,2,1),0),TODAY()))+SUMIFS(Transaksi!$F$16:$F$5015,Transaksi!$E$16:$E$5015,$A67,Transaksi!$D$16:$D$5015,"Pindah",Transaksi!$B$16:$B$5015,"&lt;="&amp;MIN(EOMONTH(DATE(Dashboard!$C$4,2,1),0),TODAY())))</f>
        <v/>
      </c>
      <c r="E67" s="106">
        <f>IF(OR($A67="",DATE(Dashboard!$C$4,3,1)&gt;TODAY(),ISNA(MATCH($B67,{"Pribadi","Investasi (kas RDN)","Piutang","Pinjaman Mama (dompet)"},0))),"",SUMIFS(Akun!$C$5:$C$104,Akun!$A$5:$A$104,$A67,Akun!$D$5:$D$104,"&lt;="&amp;MIN(EOMONTH(DATE(Dashboard!$C$4,3,1),0),TODAY()))+SUMIFS(Transaksi!$F$16:$F$5015,Transaksi!$C$16:$C$5015,$A67,Transaksi!$D$16:$D$5015,"Masuk",Transaksi!$B$16:$B$5015,"&lt;="&amp;MIN(EOMONTH(DATE(Dashboard!$C$4,3,1),0),TODAY()))-SUMIFS(Transaksi!$F$16:$F$5015,Transaksi!$C$16:$C$5015,$A67,Transaksi!$D$16:$D$5015,"Keluar",Transaksi!$B$16:$B$5015,"&lt;="&amp;MIN(EOMONTH(DATE(Dashboard!$C$4,3,1),0),TODAY()))-SUMIFS(Transaksi!$F$16:$F$5015,Transaksi!$C$16:$C$5015,$A67,Transaksi!$D$16:$D$5015,"Pindah",Transaksi!$B$16:$B$5015,"&lt;="&amp;MIN(EOMONTH(DATE(Dashboard!$C$4,3,1),0),TODAY()))+SUMIFS(Transaksi!$F$16:$F$5015,Transaksi!$E$16:$E$5015,$A67,Transaksi!$D$16:$D$5015,"Pindah",Transaksi!$B$16:$B$5015,"&lt;="&amp;MIN(EOMONTH(DATE(Dashboard!$C$4,3,1),0),TODAY())))</f>
        <v/>
      </c>
      <c r="F67" s="106">
        <f>IF(OR($A67="",DATE(Dashboard!$C$4,4,1)&gt;TODAY(),ISNA(MATCH($B67,{"Pribadi","Investasi (kas RDN)","Piutang","Pinjaman Mama (dompet)"},0))),"",SUMIFS(Akun!$C$5:$C$104,Akun!$A$5:$A$104,$A67,Akun!$D$5:$D$104,"&lt;="&amp;MIN(EOMONTH(DATE(Dashboard!$C$4,4,1),0),TODAY()))+SUMIFS(Transaksi!$F$16:$F$5015,Transaksi!$C$16:$C$5015,$A67,Transaksi!$D$16:$D$5015,"Masuk",Transaksi!$B$16:$B$5015,"&lt;="&amp;MIN(EOMONTH(DATE(Dashboard!$C$4,4,1),0),TODAY()))-SUMIFS(Transaksi!$F$16:$F$5015,Transaksi!$C$16:$C$5015,$A67,Transaksi!$D$16:$D$5015,"Keluar",Transaksi!$B$16:$B$5015,"&lt;="&amp;MIN(EOMONTH(DATE(Dashboard!$C$4,4,1),0),TODAY()))-SUMIFS(Transaksi!$F$16:$F$5015,Transaksi!$C$16:$C$5015,$A67,Transaksi!$D$16:$D$5015,"Pindah",Transaksi!$B$16:$B$5015,"&lt;="&amp;MIN(EOMONTH(DATE(Dashboard!$C$4,4,1),0),TODAY()))+SUMIFS(Transaksi!$F$16:$F$5015,Transaksi!$E$16:$E$5015,$A67,Transaksi!$D$16:$D$5015,"Pindah",Transaksi!$B$16:$B$5015,"&lt;="&amp;MIN(EOMONTH(DATE(Dashboard!$C$4,4,1),0),TODAY())))</f>
        <v/>
      </c>
      <c r="G67" s="106">
        <f>IF(OR($A67="",DATE(Dashboard!$C$4,5,1)&gt;TODAY(),ISNA(MATCH($B67,{"Pribadi","Investasi (kas RDN)","Piutang","Pinjaman Mama (dompet)"},0))),"",SUMIFS(Akun!$C$5:$C$104,Akun!$A$5:$A$104,$A67,Akun!$D$5:$D$104,"&lt;="&amp;MIN(EOMONTH(DATE(Dashboard!$C$4,5,1),0),TODAY()))+SUMIFS(Transaksi!$F$16:$F$5015,Transaksi!$C$16:$C$5015,$A67,Transaksi!$D$16:$D$5015,"Masuk",Transaksi!$B$16:$B$5015,"&lt;="&amp;MIN(EOMONTH(DATE(Dashboard!$C$4,5,1),0),TODAY()))-SUMIFS(Transaksi!$F$16:$F$5015,Transaksi!$C$16:$C$5015,$A67,Transaksi!$D$16:$D$5015,"Keluar",Transaksi!$B$16:$B$5015,"&lt;="&amp;MIN(EOMONTH(DATE(Dashboard!$C$4,5,1),0),TODAY()))-SUMIFS(Transaksi!$F$16:$F$5015,Transaksi!$C$16:$C$5015,$A67,Transaksi!$D$16:$D$5015,"Pindah",Transaksi!$B$16:$B$5015,"&lt;="&amp;MIN(EOMONTH(DATE(Dashboard!$C$4,5,1),0),TODAY()))+SUMIFS(Transaksi!$F$16:$F$5015,Transaksi!$E$16:$E$5015,$A67,Transaksi!$D$16:$D$5015,"Pindah",Transaksi!$B$16:$B$5015,"&lt;="&amp;MIN(EOMONTH(DATE(Dashboard!$C$4,5,1),0),TODAY())))</f>
        <v/>
      </c>
      <c r="H67" s="106">
        <f>IF(OR($A67="",DATE(Dashboard!$C$4,6,1)&gt;TODAY(),ISNA(MATCH($B67,{"Pribadi","Investasi (kas RDN)","Piutang","Pinjaman Mama (dompet)"},0))),"",SUMIFS(Akun!$C$5:$C$104,Akun!$A$5:$A$104,$A67,Akun!$D$5:$D$104,"&lt;="&amp;MIN(EOMONTH(DATE(Dashboard!$C$4,6,1),0),TODAY()))+SUMIFS(Transaksi!$F$16:$F$5015,Transaksi!$C$16:$C$5015,$A67,Transaksi!$D$16:$D$5015,"Masuk",Transaksi!$B$16:$B$5015,"&lt;="&amp;MIN(EOMONTH(DATE(Dashboard!$C$4,6,1),0),TODAY()))-SUMIFS(Transaksi!$F$16:$F$5015,Transaksi!$C$16:$C$5015,$A67,Transaksi!$D$16:$D$5015,"Keluar",Transaksi!$B$16:$B$5015,"&lt;="&amp;MIN(EOMONTH(DATE(Dashboard!$C$4,6,1),0),TODAY()))-SUMIFS(Transaksi!$F$16:$F$5015,Transaksi!$C$16:$C$5015,$A67,Transaksi!$D$16:$D$5015,"Pindah",Transaksi!$B$16:$B$5015,"&lt;="&amp;MIN(EOMONTH(DATE(Dashboard!$C$4,6,1),0),TODAY()))+SUMIFS(Transaksi!$F$16:$F$5015,Transaksi!$E$16:$E$5015,$A67,Transaksi!$D$16:$D$5015,"Pindah",Transaksi!$B$16:$B$5015,"&lt;="&amp;MIN(EOMONTH(DATE(Dashboard!$C$4,6,1),0),TODAY())))</f>
        <v/>
      </c>
      <c r="I67" s="106">
        <f>IF(OR($A67="",DATE(Dashboard!$C$4,7,1)&gt;TODAY(),ISNA(MATCH($B67,{"Pribadi","Investasi (kas RDN)","Piutang","Pinjaman Mama (dompet)"},0))),"",SUMIFS(Akun!$C$5:$C$104,Akun!$A$5:$A$104,$A67,Akun!$D$5:$D$104,"&lt;="&amp;MIN(EOMONTH(DATE(Dashboard!$C$4,7,1),0),TODAY()))+SUMIFS(Transaksi!$F$16:$F$5015,Transaksi!$C$16:$C$5015,$A67,Transaksi!$D$16:$D$5015,"Masuk",Transaksi!$B$16:$B$5015,"&lt;="&amp;MIN(EOMONTH(DATE(Dashboard!$C$4,7,1),0),TODAY()))-SUMIFS(Transaksi!$F$16:$F$5015,Transaksi!$C$16:$C$5015,$A67,Transaksi!$D$16:$D$5015,"Keluar",Transaksi!$B$16:$B$5015,"&lt;="&amp;MIN(EOMONTH(DATE(Dashboard!$C$4,7,1),0),TODAY()))-SUMIFS(Transaksi!$F$16:$F$5015,Transaksi!$C$16:$C$5015,$A67,Transaksi!$D$16:$D$5015,"Pindah",Transaksi!$B$16:$B$5015,"&lt;="&amp;MIN(EOMONTH(DATE(Dashboard!$C$4,7,1),0),TODAY()))+SUMIFS(Transaksi!$F$16:$F$5015,Transaksi!$E$16:$E$5015,$A67,Transaksi!$D$16:$D$5015,"Pindah",Transaksi!$B$16:$B$5015,"&lt;="&amp;MIN(EOMONTH(DATE(Dashboard!$C$4,7,1),0),TODAY())))</f>
        <v/>
      </c>
      <c r="J67" s="106">
        <f>IF(OR($A67="",DATE(Dashboard!$C$4,8,1)&gt;TODAY(),ISNA(MATCH($B67,{"Pribadi","Investasi (kas RDN)","Piutang","Pinjaman Mama (dompet)"},0))),"",SUMIFS(Akun!$C$5:$C$104,Akun!$A$5:$A$104,$A67,Akun!$D$5:$D$104,"&lt;="&amp;MIN(EOMONTH(DATE(Dashboard!$C$4,8,1),0),TODAY()))+SUMIFS(Transaksi!$F$16:$F$5015,Transaksi!$C$16:$C$5015,$A67,Transaksi!$D$16:$D$5015,"Masuk",Transaksi!$B$16:$B$5015,"&lt;="&amp;MIN(EOMONTH(DATE(Dashboard!$C$4,8,1),0),TODAY()))-SUMIFS(Transaksi!$F$16:$F$5015,Transaksi!$C$16:$C$5015,$A67,Transaksi!$D$16:$D$5015,"Keluar",Transaksi!$B$16:$B$5015,"&lt;="&amp;MIN(EOMONTH(DATE(Dashboard!$C$4,8,1),0),TODAY()))-SUMIFS(Transaksi!$F$16:$F$5015,Transaksi!$C$16:$C$5015,$A67,Transaksi!$D$16:$D$5015,"Pindah",Transaksi!$B$16:$B$5015,"&lt;="&amp;MIN(EOMONTH(DATE(Dashboard!$C$4,8,1),0),TODAY()))+SUMIFS(Transaksi!$F$16:$F$5015,Transaksi!$E$16:$E$5015,$A67,Transaksi!$D$16:$D$5015,"Pindah",Transaksi!$B$16:$B$5015,"&lt;="&amp;MIN(EOMONTH(DATE(Dashboard!$C$4,8,1),0),TODAY())))</f>
        <v/>
      </c>
      <c r="K67" s="106">
        <f>IF(OR($A67="",DATE(Dashboard!$C$4,9,1)&gt;TODAY(),ISNA(MATCH($B67,{"Pribadi","Investasi (kas RDN)","Piutang","Pinjaman Mama (dompet)"},0))),"",SUMIFS(Akun!$C$5:$C$104,Akun!$A$5:$A$104,$A67,Akun!$D$5:$D$104,"&lt;="&amp;MIN(EOMONTH(DATE(Dashboard!$C$4,9,1),0),TODAY()))+SUMIFS(Transaksi!$F$16:$F$5015,Transaksi!$C$16:$C$5015,$A67,Transaksi!$D$16:$D$5015,"Masuk",Transaksi!$B$16:$B$5015,"&lt;="&amp;MIN(EOMONTH(DATE(Dashboard!$C$4,9,1),0),TODAY()))-SUMIFS(Transaksi!$F$16:$F$5015,Transaksi!$C$16:$C$5015,$A67,Transaksi!$D$16:$D$5015,"Keluar",Transaksi!$B$16:$B$5015,"&lt;="&amp;MIN(EOMONTH(DATE(Dashboard!$C$4,9,1),0),TODAY()))-SUMIFS(Transaksi!$F$16:$F$5015,Transaksi!$C$16:$C$5015,$A67,Transaksi!$D$16:$D$5015,"Pindah",Transaksi!$B$16:$B$5015,"&lt;="&amp;MIN(EOMONTH(DATE(Dashboard!$C$4,9,1),0),TODAY()))+SUMIFS(Transaksi!$F$16:$F$5015,Transaksi!$E$16:$E$5015,$A67,Transaksi!$D$16:$D$5015,"Pindah",Transaksi!$B$16:$B$5015,"&lt;="&amp;MIN(EOMONTH(DATE(Dashboard!$C$4,9,1),0),TODAY())))</f>
        <v/>
      </c>
      <c r="L67" s="106">
        <f>IF(OR($A67="",DATE(Dashboard!$C$4,10,1)&gt;TODAY(),ISNA(MATCH($B67,{"Pribadi","Investasi (kas RDN)","Piutang","Pinjaman Mama (dompet)"},0))),"",SUMIFS(Akun!$C$5:$C$104,Akun!$A$5:$A$104,$A67,Akun!$D$5:$D$104,"&lt;="&amp;MIN(EOMONTH(DATE(Dashboard!$C$4,10,1),0),TODAY()))+SUMIFS(Transaksi!$F$16:$F$5015,Transaksi!$C$16:$C$5015,$A67,Transaksi!$D$16:$D$5015,"Masuk",Transaksi!$B$16:$B$5015,"&lt;="&amp;MIN(EOMONTH(DATE(Dashboard!$C$4,10,1),0),TODAY()))-SUMIFS(Transaksi!$F$16:$F$5015,Transaksi!$C$16:$C$5015,$A67,Transaksi!$D$16:$D$5015,"Keluar",Transaksi!$B$16:$B$5015,"&lt;="&amp;MIN(EOMONTH(DATE(Dashboard!$C$4,10,1),0),TODAY()))-SUMIFS(Transaksi!$F$16:$F$5015,Transaksi!$C$16:$C$5015,$A67,Transaksi!$D$16:$D$5015,"Pindah",Transaksi!$B$16:$B$5015,"&lt;="&amp;MIN(EOMONTH(DATE(Dashboard!$C$4,10,1),0),TODAY()))+SUMIFS(Transaksi!$F$16:$F$5015,Transaksi!$E$16:$E$5015,$A67,Transaksi!$D$16:$D$5015,"Pindah",Transaksi!$B$16:$B$5015,"&lt;="&amp;MIN(EOMONTH(DATE(Dashboard!$C$4,10,1),0),TODAY())))</f>
        <v/>
      </c>
      <c r="M67" s="106">
        <f>IF(OR($A67="",DATE(Dashboard!$C$4,11,1)&gt;TODAY(),ISNA(MATCH($B67,{"Pribadi","Investasi (kas RDN)","Piutang","Pinjaman Mama (dompet)"},0))),"",SUMIFS(Akun!$C$5:$C$104,Akun!$A$5:$A$104,$A67,Akun!$D$5:$D$104,"&lt;="&amp;MIN(EOMONTH(DATE(Dashboard!$C$4,11,1),0),TODAY()))+SUMIFS(Transaksi!$F$16:$F$5015,Transaksi!$C$16:$C$5015,$A67,Transaksi!$D$16:$D$5015,"Masuk",Transaksi!$B$16:$B$5015,"&lt;="&amp;MIN(EOMONTH(DATE(Dashboard!$C$4,11,1),0),TODAY()))-SUMIFS(Transaksi!$F$16:$F$5015,Transaksi!$C$16:$C$5015,$A67,Transaksi!$D$16:$D$5015,"Keluar",Transaksi!$B$16:$B$5015,"&lt;="&amp;MIN(EOMONTH(DATE(Dashboard!$C$4,11,1),0),TODAY()))-SUMIFS(Transaksi!$F$16:$F$5015,Transaksi!$C$16:$C$5015,$A67,Transaksi!$D$16:$D$5015,"Pindah",Transaksi!$B$16:$B$5015,"&lt;="&amp;MIN(EOMONTH(DATE(Dashboard!$C$4,11,1),0),TODAY()))+SUMIFS(Transaksi!$F$16:$F$5015,Transaksi!$E$16:$E$5015,$A67,Transaksi!$D$16:$D$5015,"Pindah",Transaksi!$B$16:$B$5015,"&lt;="&amp;MIN(EOMONTH(DATE(Dashboard!$C$4,11,1),0),TODAY())))</f>
        <v/>
      </c>
      <c r="N67" s="106">
        <f>IF(OR($A67="",DATE(Dashboard!$C$4,12,1)&gt;TODAY(),ISNA(MATCH($B67,{"Pribadi","Investasi (kas RDN)","Piutang","Pinjaman Mama (dompet)"},0))),"",SUMIFS(Akun!$C$5:$C$104,Akun!$A$5:$A$104,$A67,Akun!$D$5:$D$104,"&lt;="&amp;MIN(EOMONTH(DATE(Dashboard!$C$4,12,1),0),TODAY()))+SUMIFS(Transaksi!$F$16:$F$5015,Transaksi!$C$16:$C$5015,$A67,Transaksi!$D$16:$D$5015,"Masuk",Transaksi!$B$16:$B$5015,"&lt;="&amp;MIN(EOMONTH(DATE(Dashboard!$C$4,12,1),0),TODAY()))-SUMIFS(Transaksi!$F$16:$F$5015,Transaksi!$C$16:$C$5015,$A67,Transaksi!$D$16:$D$5015,"Keluar",Transaksi!$B$16:$B$5015,"&lt;="&amp;MIN(EOMONTH(DATE(Dashboard!$C$4,12,1),0),TODAY()))-SUMIFS(Transaksi!$F$16:$F$5015,Transaksi!$C$16:$C$5015,$A67,Transaksi!$D$16:$D$5015,"Pindah",Transaksi!$B$16:$B$5015,"&lt;="&amp;MIN(EOMONTH(DATE(Dashboard!$C$4,12,1),0),TODAY()))+SUMIFS(Transaksi!$F$16:$F$5015,Transaksi!$E$16:$E$5015,$A67,Transaksi!$D$16:$D$5015,"Pindah",Transaksi!$B$16:$B$5015,"&lt;="&amp;MIN(EOMONTH(DATE(Dashboard!$C$4,12,1),0),TODAY())))</f>
        <v/>
      </c>
    </row>
    <row r="68" ht="15" customHeight="1" s="94">
      <c r="A68" s="93">
        <f>IF(Akun!$A$32="","",Akun!$A$32)</f>
        <v/>
      </c>
      <c r="B68" s="93">
        <f>IF(Akun!$A$32="","",Akun!$B$32)</f>
        <v/>
      </c>
      <c r="C68" s="106">
        <f>IF(OR($A68="",DATE(Dashboard!$C$4,1,1)&gt;TODAY(),ISNA(MATCH($B68,{"Pribadi","Investasi (kas RDN)","Piutang","Pinjaman Mama (dompet)"},0))),"",SUMIFS(Akun!$C$5:$C$104,Akun!$A$5:$A$104,$A68,Akun!$D$5:$D$104,"&lt;="&amp;MIN(EOMONTH(DATE(Dashboard!$C$4,1,1),0),TODAY()))+SUMIFS(Transaksi!$F$16:$F$5015,Transaksi!$C$16:$C$5015,$A68,Transaksi!$D$16:$D$5015,"Masuk",Transaksi!$B$16:$B$5015,"&lt;="&amp;MIN(EOMONTH(DATE(Dashboard!$C$4,1,1),0),TODAY()))-SUMIFS(Transaksi!$F$16:$F$5015,Transaksi!$C$16:$C$5015,$A68,Transaksi!$D$16:$D$5015,"Keluar",Transaksi!$B$16:$B$5015,"&lt;="&amp;MIN(EOMONTH(DATE(Dashboard!$C$4,1,1),0),TODAY()))-SUMIFS(Transaksi!$F$16:$F$5015,Transaksi!$C$16:$C$5015,$A68,Transaksi!$D$16:$D$5015,"Pindah",Transaksi!$B$16:$B$5015,"&lt;="&amp;MIN(EOMONTH(DATE(Dashboard!$C$4,1,1),0),TODAY()))+SUMIFS(Transaksi!$F$16:$F$5015,Transaksi!$E$16:$E$5015,$A68,Transaksi!$D$16:$D$5015,"Pindah",Transaksi!$B$16:$B$5015,"&lt;="&amp;MIN(EOMONTH(DATE(Dashboard!$C$4,1,1),0),TODAY())))</f>
        <v/>
      </c>
      <c r="D68" s="106">
        <f>IF(OR($A68="",DATE(Dashboard!$C$4,2,1)&gt;TODAY(),ISNA(MATCH($B68,{"Pribadi","Investasi (kas RDN)","Piutang","Pinjaman Mama (dompet)"},0))),"",SUMIFS(Akun!$C$5:$C$104,Akun!$A$5:$A$104,$A68,Akun!$D$5:$D$104,"&lt;="&amp;MIN(EOMONTH(DATE(Dashboard!$C$4,2,1),0),TODAY()))+SUMIFS(Transaksi!$F$16:$F$5015,Transaksi!$C$16:$C$5015,$A68,Transaksi!$D$16:$D$5015,"Masuk",Transaksi!$B$16:$B$5015,"&lt;="&amp;MIN(EOMONTH(DATE(Dashboard!$C$4,2,1),0),TODAY()))-SUMIFS(Transaksi!$F$16:$F$5015,Transaksi!$C$16:$C$5015,$A68,Transaksi!$D$16:$D$5015,"Keluar",Transaksi!$B$16:$B$5015,"&lt;="&amp;MIN(EOMONTH(DATE(Dashboard!$C$4,2,1),0),TODAY()))-SUMIFS(Transaksi!$F$16:$F$5015,Transaksi!$C$16:$C$5015,$A68,Transaksi!$D$16:$D$5015,"Pindah",Transaksi!$B$16:$B$5015,"&lt;="&amp;MIN(EOMONTH(DATE(Dashboard!$C$4,2,1),0),TODAY()))+SUMIFS(Transaksi!$F$16:$F$5015,Transaksi!$E$16:$E$5015,$A68,Transaksi!$D$16:$D$5015,"Pindah",Transaksi!$B$16:$B$5015,"&lt;="&amp;MIN(EOMONTH(DATE(Dashboard!$C$4,2,1),0),TODAY())))</f>
        <v/>
      </c>
      <c r="E68" s="106">
        <f>IF(OR($A68="",DATE(Dashboard!$C$4,3,1)&gt;TODAY(),ISNA(MATCH($B68,{"Pribadi","Investasi (kas RDN)","Piutang","Pinjaman Mama (dompet)"},0))),"",SUMIFS(Akun!$C$5:$C$104,Akun!$A$5:$A$104,$A68,Akun!$D$5:$D$104,"&lt;="&amp;MIN(EOMONTH(DATE(Dashboard!$C$4,3,1),0),TODAY()))+SUMIFS(Transaksi!$F$16:$F$5015,Transaksi!$C$16:$C$5015,$A68,Transaksi!$D$16:$D$5015,"Masuk",Transaksi!$B$16:$B$5015,"&lt;="&amp;MIN(EOMONTH(DATE(Dashboard!$C$4,3,1),0),TODAY()))-SUMIFS(Transaksi!$F$16:$F$5015,Transaksi!$C$16:$C$5015,$A68,Transaksi!$D$16:$D$5015,"Keluar",Transaksi!$B$16:$B$5015,"&lt;="&amp;MIN(EOMONTH(DATE(Dashboard!$C$4,3,1),0),TODAY()))-SUMIFS(Transaksi!$F$16:$F$5015,Transaksi!$C$16:$C$5015,$A68,Transaksi!$D$16:$D$5015,"Pindah",Transaksi!$B$16:$B$5015,"&lt;="&amp;MIN(EOMONTH(DATE(Dashboard!$C$4,3,1),0),TODAY()))+SUMIFS(Transaksi!$F$16:$F$5015,Transaksi!$E$16:$E$5015,$A68,Transaksi!$D$16:$D$5015,"Pindah",Transaksi!$B$16:$B$5015,"&lt;="&amp;MIN(EOMONTH(DATE(Dashboard!$C$4,3,1),0),TODAY())))</f>
        <v/>
      </c>
      <c r="F68" s="106">
        <f>IF(OR($A68="",DATE(Dashboard!$C$4,4,1)&gt;TODAY(),ISNA(MATCH($B68,{"Pribadi","Investasi (kas RDN)","Piutang","Pinjaman Mama (dompet)"},0))),"",SUMIFS(Akun!$C$5:$C$104,Akun!$A$5:$A$104,$A68,Akun!$D$5:$D$104,"&lt;="&amp;MIN(EOMONTH(DATE(Dashboard!$C$4,4,1),0),TODAY()))+SUMIFS(Transaksi!$F$16:$F$5015,Transaksi!$C$16:$C$5015,$A68,Transaksi!$D$16:$D$5015,"Masuk",Transaksi!$B$16:$B$5015,"&lt;="&amp;MIN(EOMONTH(DATE(Dashboard!$C$4,4,1),0),TODAY()))-SUMIFS(Transaksi!$F$16:$F$5015,Transaksi!$C$16:$C$5015,$A68,Transaksi!$D$16:$D$5015,"Keluar",Transaksi!$B$16:$B$5015,"&lt;="&amp;MIN(EOMONTH(DATE(Dashboard!$C$4,4,1),0),TODAY()))-SUMIFS(Transaksi!$F$16:$F$5015,Transaksi!$C$16:$C$5015,$A68,Transaksi!$D$16:$D$5015,"Pindah",Transaksi!$B$16:$B$5015,"&lt;="&amp;MIN(EOMONTH(DATE(Dashboard!$C$4,4,1),0),TODAY()))+SUMIFS(Transaksi!$F$16:$F$5015,Transaksi!$E$16:$E$5015,$A68,Transaksi!$D$16:$D$5015,"Pindah",Transaksi!$B$16:$B$5015,"&lt;="&amp;MIN(EOMONTH(DATE(Dashboard!$C$4,4,1),0),TODAY())))</f>
        <v/>
      </c>
      <c r="G68" s="106">
        <f>IF(OR($A68="",DATE(Dashboard!$C$4,5,1)&gt;TODAY(),ISNA(MATCH($B68,{"Pribadi","Investasi (kas RDN)","Piutang","Pinjaman Mama (dompet)"},0))),"",SUMIFS(Akun!$C$5:$C$104,Akun!$A$5:$A$104,$A68,Akun!$D$5:$D$104,"&lt;="&amp;MIN(EOMONTH(DATE(Dashboard!$C$4,5,1),0),TODAY()))+SUMIFS(Transaksi!$F$16:$F$5015,Transaksi!$C$16:$C$5015,$A68,Transaksi!$D$16:$D$5015,"Masuk",Transaksi!$B$16:$B$5015,"&lt;="&amp;MIN(EOMONTH(DATE(Dashboard!$C$4,5,1),0),TODAY()))-SUMIFS(Transaksi!$F$16:$F$5015,Transaksi!$C$16:$C$5015,$A68,Transaksi!$D$16:$D$5015,"Keluar",Transaksi!$B$16:$B$5015,"&lt;="&amp;MIN(EOMONTH(DATE(Dashboard!$C$4,5,1),0),TODAY()))-SUMIFS(Transaksi!$F$16:$F$5015,Transaksi!$C$16:$C$5015,$A68,Transaksi!$D$16:$D$5015,"Pindah",Transaksi!$B$16:$B$5015,"&lt;="&amp;MIN(EOMONTH(DATE(Dashboard!$C$4,5,1),0),TODAY()))+SUMIFS(Transaksi!$F$16:$F$5015,Transaksi!$E$16:$E$5015,$A68,Transaksi!$D$16:$D$5015,"Pindah",Transaksi!$B$16:$B$5015,"&lt;="&amp;MIN(EOMONTH(DATE(Dashboard!$C$4,5,1),0),TODAY())))</f>
        <v/>
      </c>
      <c r="H68" s="106">
        <f>IF(OR($A68="",DATE(Dashboard!$C$4,6,1)&gt;TODAY(),ISNA(MATCH($B68,{"Pribadi","Investasi (kas RDN)","Piutang","Pinjaman Mama (dompet)"},0))),"",SUMIFS(Akun!$C$5:$C$104,Akun!$A$5:$A$104,$A68,Akun!$D$5:$D$104,"&lt;="&amp;MIN(EOMONTH(DATE(Dashboard!$C$4,6,1),0),TODAY()))+SUMIFS(Transaksi!$F$16:$F$5015,Transaksi!$C$16:$C$5015,$A68,Transaksi!$D$16:$D$5015,"Masuk",Transaksi!$B$16:$B$5015,"&lt;="&amp;MIN(EOMONTH(DATE(Dashboard!$C$4,6,1),0),TODAY()))-SUMIFS(Transaksi!$F$16:$F$5015,Transaksi!$C$16:$C$5015,$A68,Transaksi!$D$16:$D$5015,"Keluar",Transaksi!$B$16:$B$5015,"&lt;="&amp;MIN(EOMONTH(DATE(Dashboard!$C$4,6,1),0),TODAY()))-SUMIFS(Transaksi!$F$16:$F$5015,Transaksi!$C$16:$C$5015,$A68,Transaksi!$D$16:$D$5015,"Pindah",Transaksi!$B$16:$B$5015,"&lt;="&amp;MIN(EOMONTH(DATE(Dashboard!$C$4,6,1),0),TODAY()))+SUMIFS(Transaksi!$F$16:$F$5015,Transaksi!$E$16:$E$5015,$A68,Transaksi!$D$16:$D$5015,"Pindah",Transaksi!$B$16:$B$5015,"&lt;="&amp;MIN(EOMONTH(DATE(Dashboard!$C$4,6,1),0),TODAY())))</f>
        <v/>
      </c>
      <c r="I68" s="106">
        <f>IF(OR($A68="",DATE(Dashboard!$C$4,7,1)&gt;TODAY(),ISNA(MATCH($B68,{"Pribadi","Investasi (kas RDN)","Piutang","Pinjaman Mama (dompet)"},0))),"",SUMIFS(Akun!$C$5:$C$104,Akun!$A$5:$A$104,$A68,Akun!$D$5:$D$104,"&lt;="&amp;MIN(EOMONTH(DATE(Dashboard!$C$4,7,1),0),TODAY()))+SUMIFS(Transaksi!$F$16:$F$5015,Transaksi!$C$16:$C$5015,$A68,Transaksi!$D$16:$D$5015,"Masuk",Transaksi!$B$16:$B$5015,"&lt;="&amp;MIN(EOMONTH(DATE(Dashboard!$C$4,7,1),0),TODAY()))-SUMIFS(Transaksi!$F$16:$F$5015,Transaksi!$C$16:$C$5015,$A68,Transaksi!$D$16:$D$5015,"Keluar",Transaksi!$B$16:$B$5015,"&lt;="&amp;MIN(EOMONTH(DATE(Dashboard!$C$4,7,1),0),TODAY()))-SUMIFS(Transaksi!$F$16:$F$5015,Transaksi!$C$16:$C$5015,$A68,Transaksi!$D$16:$D$5015,"Pindah",Transaksi!$B$16:$B$5015,"&lt;="&amp;MIN(EOMONTH(DATE(Dashboard!$C$4,7,1),0),TODAY()))+SUMIFS(Transaksi!$F$16:$F$5015,Transaksi!$E$16:$E$5015,$A68,Transaksi!$D$16:$D$5015,"Pindah",Transaksi!$B$16:$B$5015,"&lt;="&amp;MIN(EOMONTH(DATE(Dashboard!$C$4,7,1),0),TODAY())))</f>
        <v/>
      </c>
      <c r="J68" s="106">
        <f>IF(OR($A68="",DATE(Dashboard!$C$4,8,1)&gt;TODAY(),ISNA(MATCH($B68,{"Pribadi","Investasi (kas RDN)","Piutang","Pinjaman Mama (dompet)"},0))),"",SUMIFS(Akun!$C$5:$C$104,Akun!$A$5:$A$104,$A68,Akun!$D$5:$D$104,"&lt;="&amp;MIN(EOMONTH(DATE(Dashboard!$C$4,8,1),0),TODAY()))+SUMIFS(Transaksi!$F$16:$F$5015,Transaksi!$C$16:$C$5015,$A68,Transaksi!$D$16:$D$5015,"Masuk",Transaksi!$B$16:$B$5015,"&lt;="&amp;MIN(EOMONTH(DATE(Dashboard!$C$4,8,1),0),TODAY()))-SUMIFS(Transaksi!$F$16:$F$5015,Transaksi!$C$16:$C$5015,$A68,Transaksi!$D$16:$D$5015,"Keluar",Transaksi!$B$16:$B$5015,"&lt;="&amp;MIN(EOMONTH(DATE(Dashboard!$C$4,8,1),0),TODAY()))-SUMIFS(Transaksi!$F$16:$F$5015,Transaksi!$C$16:$C$5015,$A68,Transaksi!$D$16:$D$5015,"Pindah",Transaksi!$B$16:$B$5015,"&lt;="&amp;MIN(EOMONTH(DATE(Dashboard!$C$4,8,1),0),TODAY()))+SUMIFS(Transaksi!$F$16:$F$5015,Transaksi!$E$16:$E$5015,$A68,Transaksi!$D$16:$D$5015,"Pindah",Transaksi!$B$16:$B$5015,"&lt;="&amp;MIN(EOMONTH(DATE(Dashboard!$C$4,8,1),0),TODAY())))</f>
        <v/>
      </c>
      <c r="K68" s="106">
        <f>IF(OR($A68="",DATE(Dashboard!$C$4,9,1)&gt;TODAY(),ISNA(MATCH($B68,{"Pribadi","Investasi (kas RDN)","Piutang","Pinjaman Mama (dompet)"},0))),"",SUMIFS(Akun!$C$5:$C$104,Akun!$A$5:$A$104,$A68,Akun!$D$5:$D$104,"&lt;="&amp;MIN(EOMONTH(DATE(Dashboard!$C$4,9,1),0),TODAY()))+SUMIFS(Transaksi!$F$16:$F$5015,Transaksi!$C$16:$C$5015,$A68,Transaksi!$D$16:$D$5015,"Masuk",Transaksi!$B$16:$B$5015,"&lt;="&amp;MIN(EOMONTH(DATE(Dashboard!$C$4,9,1),0),TODAY()))-SUMIFS(Transaksi!$F$16:$F$5015,Transaksi!$C$16:$C$5015,$A68,Transaksi!$D$16:$D$5015,"Keluar",Transaksi!$B$16:$B$5015,"&lt;="&amp;MIN(EOMONTH(DATE(Dashboard!$C$4,9,1),0),TODAY()))-SUMIFS(Transaksi!$F$16:$F$5015,Transaksi!$C$16:$C$5015,$A68,Transaksi!$D$16:$D$5015,"Pindah",Transaksi!$B$16:$B$5015,"&lt;="&amp;MIN(EOMONTH(DATE(Dashboard!$C$4,9,1),0),TODAY()))+SUMIFS(Transaksi!$F$16:$F$5015,Transaksi!$E$16:$E$5015,$A68,Transaksi!$D$16:$D$5015,"Pindah",Transaksi!$B$16:$B$5015,"&lt;="&amp;MIN(EOMONTH(DATE(Dashboard!$C$4,9,1),0),TODAY())))</f>
        <v/>
      </c>
      <c r="L68" s="106">
        <f>IF(OR($A68="",DATE(Dashboard!$C$4,10,1)&gt;TODAY(),ISNA(MATCH($B68,{"Pribadi","Investasi (kas RDN)","Piutang","Pinjaman Mama (dompet)"},0))),"",SUMIFS(Akun!$C$5:$C$104,Akun!$A$5:$A$104,$A68,Akun!$D$5:$D$104,"&lt;="&amp;MIN(EOMONTH(DATE(Dashboard!$C$4,10,1),0),TODAY()))+SUMIFS(Transaksi!$F$16:$F$5015,Transaksi!$C$16:$C$5015,$A68,Transaksi!$D$16:$D$5015,"Masuk",Transaksi!$B$16:$B$5015,"&lt;="&amp;MIN(EOMONTH(DATE(Dashboard!$C$4,10,1),0),TODAY()))-SUMIFS(Transaksi!$F$16:$F$5015,Transaksi!$C$16:$C$5015,$A68,Transaksi!$D$16:$D$5015,"Keluar",Transaksi!$B$16:$B$5015,"&lt;="&amp;MIN(EOMONTH(DATE(Dashboard!$C$4,10,1),0),TODAY()))-SUMIFS(Transaksi!$F$16:$F$5015,Transaksi!$C$16:$C$5015,$A68,Transaksi!$D$16:$D$5015,"Pindah",Transaksi!$B$16:$B$5015,"&lt;="&amp;MIN(EOMONTH(DATE(Dashboard!$C$4,10,1),0),TODAY()))+SUMIFS(Transaksi!$F$16:$F$5015,Transaksi!$E$16:$E$5015,$A68,Transaksi!$D$16:$D$5015,"Pindah",Transaksi!$B$16:$B$5015,"&lt;="&amp;MIN(EOMONTH(DATE(Dashboard!$C$4,10,1),0),TODAY())))</f>
        <v/>
      </c>
      <c r="M68" s="106">
        <f>IF(OR($A68="",DATE(Dashboard!$C$4,11,1)&gt;TODAY(),ISNA(MATCH($B68,{"Pribadi","Investasi (kas RDN)","Piutang","Pinjaman Mama (dompet)"},0))),"",SUMIFS(Akun!$C$5:$C$104,Akun!$A$5:$A$104,$A68,Akun!$D$5:$D$104,"&lt;="&amp;MIN(EOMONTH(DATE(Dashboard!$C$4,11,1),0),TODAY()))+SUMIFS(Transaksi!$F$16:$F$5015,Transaksi!$C$16:$C$5015,$A68,Transaksi!$D$16:$D$5015,"Masuk",Transaksi!$B$16:$B$5015,"&lt;="&amp;MIN(EOMONTH(DATE(Dashboard!$C$4,11,1),0),TODAY()))-SUMIFS(Transaksi!$F$16:$F$5015,Transaksi!$C$16:$C$5015,$A68,Transaksi!$D$16:$D$5015,"Keluar",Transaksi!$B$16:$B$5015,"&lt;="&amp;MIN(EOMONTH(DATE(Dashboard!$C$4,11,1),0),TODAY()))-SUMIFS(Transaksi!$F$16:$F$5015,Transaksi!$C$16:$C$5015,$A68,Transaksi!$D$16:$D$5015,"Pindah",Transaksi!$B$16:$B$5015,"&lt;="&amp;MIN(EOMONTH(DATE(Dashboard!$C$4,11,1),0),TODAY()))+SUMIFS(Transaksi!$F$16:$F$5015,Transaksi!$E$16:$E$5015,$A68,Transaksi!$D$16:$D$5015,"Pindah",Transaksi!$B$16:$B$5015,"&lt;="&amp;MIN(EOMONTH(DATE(Dashboard!$C$4,11,1),0),TODAY())))</f>
        <v/>
      </c>
      <c r="N68" s="106">
        <f>IF(OR($A68="",DATE(Dashboard!$C$4,12,1)&gt;TODAY(),ISNA(MATCH($B68,{"Pribadi","Investasi (kas RDN)","Piutang","Pinjaman Mama (dompet)"},0))),"",SUMIFS(Akun!$C$5:$C$104,Akun!$A$5:$A$104,$A68,Akun!$D$5:$D$104,"&lt;="&amp;MIN(EOMONTH(DATE(Dashboard!$C$4,12,1),0),TODAY()))+SUMIFS(Transaksi!$F$16:$F$5015,Transaksi!$C$16:$C$5015,$A68,Transaksi!$D$16:$D$5015,"Masuk",Transaksi!$B$16:$B$5015,"&lt;="&amp;MIN(EOMONTH(DATE(Dashboard!$C$4,12,1),0),TODAY()))-SUMIFS(Transaksi!$F$16:$F$5015,Transaksi!$C$16:$C$5015,$A68,Transaksi!$D$16:$D$5015,"Keluar",Transaksi!$B$16:$B$5015,"&lt;="&amp;MIN(EOMONTH(DATE(Dashboard!$C$4,12,1),0),TODAY()))-SUMIFS(Transaksi!$F$16:$F$5015,Transaksi!$C$16:$C$5015,$A68,Transaksi!$D$16:$D$5015,"Pindah",Transaksi!$B$16:$B$5015,"&lt;="&amp;MIN(EOMONTH(DATE(Dashboard!$C$4,12,1),0),TODAY()))+SUMIFS(Transaksi!$F$16:$F$5015,Transaksi!$E$16:$E$5015,$A68,Transaksi!$D$16:$D$5015,"Pindah",Transaksi!$B$16:$B$5015,"&lt;="&amp;MIN(EOMONTH(DATE(Dashboard!$C$4,12,1),0),TODAY())))</f>
        <v/>
      </c>
    </row>
    <row r="69" ht="15" customHeight="1" s="94">
      <c r="A69" s="93">
        <f>IF(Akun!$A$33="","",Akun!$A$33)</f>
        <v/>
      </c>
      <c r="B69" s="93">
        <f>IF(Akun!$A$33="","",Akun!$B$33)</f>
        <v/>
      </c>
      <c r="C69" s="106">
        <f>IF(OR($A69="",DATE(Dashboard!$C$4,1,1)&gt;TODAY(),ISNA(MATCH($B69,{"Pribadi","Investasi (kas RDN)","Piutang","Pinjaman Mama (dompet)"},0))),"",SUMIFS(Akun!$C$5:$C$104,Akun!$A$5:$A$104,$A69,Akun!$D$5:$D$104,"&lt;="&amp;MIN(EOMONTH(DATE(Dashboard!$C$4,1,1),0),TODAY()))+SUMIFS(Transaksi!$F$16:$F$5015,Transaksi!$C$16:$C$5015,$A69,Transaksi!$D$16:$D$5015,"Masuk",Transaksi!$B$16:$B$5015,"&lt;="&amp;MIN(EOMONTH(DATE(Dashboard!$C$4,1,1),0),TODAY()))-SUMIFS(Transaksi!$F$16:$F$5015,Transaksi!$C$16:$C$5015,$A69,Transaksi!$D$16:$D$5015,"Keluar",Transaksi!$B$16:$B$5015,"&lt;="&amp;MIN(EOMONTH(DATE(Dashboard!$C$4,1,1),0),TODAY()))-SUMIFS(Transaksi!$F$16:$F$5015,Transaksi!$C$16:$C$5015,$A69,Transaksi!$D$16:$D$5015,"Pindah",Transaksi!$B$16:$B$5015,"&lt;="&amp;MIN(EOMONTH(DATE(Dashboard!$C$4,1,1),0),TODAY()))+SUMIFS(Transaksi!$F$16:$F$5015,Transaksi!$E$16:$E$5015,$A69,Transaksi!$D$16:$D$5015,"Pindah",Transaksi!$B$16:$B$5015,"&lt;="&amp;MIN(EOMONTH(DATE(Dashboard!$C$4,1,1),0),TODAY())))</f>
        <v/>
      </c>
      <c r="D69" s="106">
        <f>IF(OR($A69="",DATE(Dashboard!$C$4,2,1)&gt;TODAY(),ISNA(MATCH($B69,{"Pribadi","Investasi (kas RDN)","Piutang","Pinjaman Mama (dompet)"},0))),"",SUMIFS(Akun!$C$5:$C$104,Akun!$A$5:$A$104,$A69,Akun!$D$5:$D$104,"&lt;="&amp;MIN(EOMONTH(DATE(Dashboard!$C$4,2,1),0),TODAY()))+SUMIFS(Transaksi!$F$16:$F$5015,Transaksi!$C$16:$C$5015,$A69,Transaksi!$D$16:$D$5015,"Masuk",Transaksi!$B$16:$B$5015,"&lt;="&amp;MIN(EOMONTH(DATE(Dashboard!$C$4,2,1),0),TODAY()))-SUMIFS(Transaksi!$F$16:$F$5015,Transaksi!$C$16:$C$5015,$A69,Transaksi!$D$16:$D$5015,"Keluar",Transaksi!$B$16:$B$5015,"&lt;="&amp;MIN(EOMONTH(DATE(Dashboard!$C$4,2,1),0),TODAY()))-SUMIFS(Transaksi!$F$16:$F$5015,Transaksi!$C$16:$C$5015,$A69,Transaksi!$D$16:$D$5015,"Pindah",Transaksi!$B$16:$B$5015,"&lt;="&amp;MIN(EOMONTH(DATE(Dashboard!$C$4,2,1),0),TODAY()))+SUMIFS(Transaksi!$F$16:$F$5015,Transaksi!$E$16:$E$5015,$A69,Transaksi!$D$16:$D$5015,"Pindah",Transaksi!$B$16:$B$5015,"&lt;="&amp;MIN(EOMONTH(DATE(Dashboard!$C$4,2,1),0),TODAY())))</f>
        <v/>
      </c>
      <c r="E69" s="106">
        <f>IF(OR($A69="",DATE(Dashboard!$C$4,3,1)&gt;TODAY(),ISNA(MATCH($B69,{"Pribadi","Investasi (kas RDN)","Piutang","Pinjaman Mama (dompet)"},0))),"",SUMIFS(Akun!$C$5:$C$104,Akun!$A$5:$A$104,$A69,Akun!$D$5:$D$104,"&lt;="&amp;MIN(EOMONTH(DATE(Dashboard!$C$4,3,1),0),TODAY()))+SUMIFS(Transaksi!$F$16:$F$5015,Transaksi!$C$16:$C$5015,$A69,Transaksi!$D$16:$D$5015,"Masuk",Transaksi!$B$16:$B$5015,"&lt;="&amp;MIN(EOMONTH(DATE(Dashboard!$C$4,3,1),0),TODAY()))-SUMIFS(Transaksi!$F$16:$F$5015,Transaksi!$C$16:$C$5015,$A69,Transaksi!$D$16:$D$5015,"Keluar",Transaksi!$B$16:$B$5015,"&lt;="&amp;MIN(EOMONTH(DATE(Dashboard!$C$4,3,1),0),TODAY()))-SUMIFS(Transaksi!$F$16:$F$5015,Transaksi!$C$16:$C$5015,$A69,Transaksi!$D$16:$D$5015,"Pindah",Transaksi!$B$16:$B$5015,"&lt;="&amp;MIN(EOMONTH(DATE(Dashboard!$C$4,3,1),0),TODAY()))+SUMIFS(Transaksi!$F$16:$F$5015,Transaksi!$E$16:$E$5015,$A69,Transaksi!$D$16:$D$5015,"Pindah",Transaksi!$B$16:$B$5015,"&lt;="&amp;MIN(EOMONTH(DATE(Dashboard!$C$4,3,1),0),TODAY())))</f>
        <v/>
      </c>
      <c r="F69" s="106">
        <f>IF(OR($A69="",DATE(Dashboard!$C$4,4,1)&gt;TODAY(),ISNA(MATCH($B69,{"Pribadi","Investasi (kas RDN)","Piutang","Pinjaman Mama (dompet)"},0))),"",SUMIFS(Akun!$C$5:$C$104,Akun!$A$5:$A$104,$A69,Akun!$D$5:$D$104,"&lt;="&amp;MIN(EOMONTH(DATE(Dashboard!$C$4,4,1),0),TODAY()))+SUMIFS(Transaksi!$F$16:$F$5015,Transaksi!$C$16:$C$5015,$A69,Transaksi!$D$16:$D$5015,"Masuk",Transaksi!$B$16:$B$5015,"&lt;="&amp;MIN(EOMONTH(DATE(Dashboard!$C$4,4,1),0),TODAY()))-SUMIFS(Transaksi!$F$16:$F$5015,Transaksi!$C$16:$C$5015,$A69,Transaksi!$D$16:$D$5015,"Keluar",Transaksi!$B$16:$B$5015,"&lt;="&amp;MIN(EOMONTH(DATE(Dashboard!$C$4,4,1),0),TODAY()))-SUMIFS(Transaksi!$F$16:$F$5015,Transaksi!$C$16:$C$5015,$A69,Transaksi!$D$16:$D$5015,"Pindah",Transaksi!$B$16:$B$5015,"&lt;="&amp;MIN(EOMONTH(DATE(Dashboard!$C$4,4,1),0),TODAY()))+SUMIFS(Transaksi!$F$16:$F$5015,Transaksi!$E$16:$E$5015,$A69,Transaksi!$D$16:$D$5015,"Pindah",Transaksi!$B$16:$B$5015,"&lt;="&amp;MIN(EOMONTH(DATE(Dashboard!$C$4,4,1),0),TODAY())))</f>
        <v/>
      </c>
      <c r="G69" s="106">
        <f>IF(OR($A69="",DATE(Dashboard!$C$4,5,1)&gt;TODAY(),ISNA(MATCH($B69,{"Pribadi","Investasi (kas RDN)","Piutang","Pinjaman Mama (dompet)"},0))),"",SUMIFS(Akun!$C$5:$C$104,Akun!$A$5:$A$104,$A69,Akun!$D$5:$D$104,"&lt;="&amp;MIN(EOMONTH(DATE(Dashboard!$C$4,5,1),0),TODAY()))+SUMIFS(Transaksi!$F$16:$F$5015,Transaksi!$C$16:$C$5015,$A69,Transaksi!$D$16:$D$5015,"Masuk",Transaksi!$B$16:$B$5015,"&lt;="&amp;MIN(EOMONTH(DATE(Dashboard!$C$4,5,1),0),TODAY()))-SUMIFS(Transaksi!$F$16:$F$5015,Transaksi!$C$16:$C$5015,$A69,Transaksi!$D$16:$D$5015,"Keluar",Transaksi!$B$16:$B$5015,"&lt;="&amp;MIN(EOMONTH(DATE(Dashboard!$C$4,5,1),0),TODAY()))-SUMIFS(Transaksi!$F$16:$F$5015,Transaksi!$C$16:$C$5015,$A69,Transaksi!$D$16:$D$5015,"Pindah",Transaksi!$B$16:$B$5015,"&lt;="&amp;MIN(EOMONTH(DATE(Dashboard!$C$4,5,1),0),TODAY()))+SUMIFS(Transaksi!$F$16:$F$5015,Transaksi!$E$16:$E$5015,$A69,Transaksi!$D$16:$D$5015,"Pindah",Transaksi!$B$16:$B$5015,"&lt;="&amp;MIN(EOMONTH(DATE(Dashboard!$C$4,5,1),0),TODAY())))</f>
        <v/>
      </c>
      <c r="H69" s="106">
        <f>IF(OR($A69="",DATE(Dashboard!$C$4,6,1)&gt;TODAY(),ISNA(MATCH($B69,{"Pribadi","Investasi (kas RDN)","Piutang","Pinjaman Mama (dompet)"},0))),"",SUMIFS(Akun!$C$5:$C$104,Akun!$A$5:$A$104,$A69,Akun!$D$5:$D$104,"&lt;="&amp;MIN(EOMONTH(DATE(Dashboard!$C$4,6,1),0),TODAY()))+SUMIFS(Transaksi!$F$16:$F$5015,Transaksi!$C$16:$C$5015,$A69,Transaksi!$D$16:$D$5015,"Masuk",Transaksi!$B$16:$B$5015,"&lt;="&amp;MIN(EOMONTH(DATE(Dashboard!$C$4,6,1),0),TODAY()))-SUMIFS(Transaksi!$F$16:$F$5015,Transaksi!$C$16:$C$5015,$A69,Transaksi!$D$16:$D$5015,"Keluar",Transaksi!$B$16:$B$5015,"&lt;="&amp;MIN(EOMONTH(DATE(Dashboard!$C$4,6,1),0),TODAY()))-SUMIFS(Transaksi!$F$16:$F$5015,Transaksi!$C$16:$C$5015,$A69,Transaksi!$D$16:$D$5015,"Pindah",Transaksi!$B$16:$B$5015,"&lt;="&amp;MIN(EOMONTH(DATE(Dashboard!$C$4,6,1),0),TODAY()))+SUMIFS(Transaksi!$F$16:$F$5015,Transaksi!$E$16:$E$5015,$A69,Transaksi!$D$16:$D$5015,"Pindah",Transaksi!$B$16:$B$5015,"&lt;="&amp;MIN(EOMONTH(DATE(Dashboard!$C$4,6,1),0),TODAY())))</f>
        <v/>
      </c>
      <c r="I69" s="106">
        <f>IF(OR($A69="",DATE(Dashboard!$C$4,7,1)&gt;TODAY(),ISNA(MATCH($B69,{"Pribadi","Investasi (kas RDN)","Piutang","Pinjaman Mama (dompet)"},0))),"",SUMIFS(Akun!$C$5:$C$104,Akun!$A$5:$A$104,$A69,Akun!$D$5:$D$104,"&lt;="&amp;MIN(EOMONTH(DATE(Dashboard!$C$4,7,1),0),TODAY()))+SUMIFS(Transaksi!$F$16:$F$5015,Transaksi!$C$16:$C$5015,$A69,Transaksi!$D$16:$D$5015,"Masuk",Transaksi!$B$16:$B$5015,"&lt;="&amp;MIN(EOMONTH(DATE(Dashboard!$C$4,7,1),0),TODAY()))-SUMIFS(Transaksi!$F$16:$F$5015,Transaksi!$C$16:$C$5015,$A69,Transaksi!$D$16:$D$5015,"Keluar",Transaksi!$B$16:$B$5015,"&lt;="&amp;MIN(EOMONTH(DATE(Dashboard!$C$4,7,1),0),TODAY()))-SUMIFS(Transaksi!$F$16:$F$5015,Transaksi!$C$16:$C$5015,$A69,Transaksi!$D$16:$D$5015,"Pindah",Transaksi!$B$16:$B$5015,"&lt;="&amp;MIN(EOMONTH(DATE(Dashboard!$C$4,7,1),0),TODAY()))+SUMIFS(Transaksi!$F$16:$F$5015,Transaksi!$E$16:$E$5015,$A69,Transaksi!$D$16:$D$5015,"Pindah",Transaksi!$B$16:$B$5015,"&lt;="&amp;MIN(EOMONTH(DATE(Dashboard!$C$4,7,1),0),TODAY())))</f>
        <v/>
      </c>
      <c r="J69" s="106">
        <f>IF(OR($A69="",DATE(Dashboard!$C$4,8,1)&gt;TODAY(),ISNA(MATCH($B69,{"Pribadi","Investasi (kas RDN)","Piutang","Pinjaman Mama (dompet)"},0))),"",SUMIFS(Akun!$C$5:$C$104,Akun!$A$5:$A$104,$A69,Akun!$D$5:$D$104,"&lt;="&amp;MIN(EOMONTH(DATE(Dashboard!$C$4,8,1),0),TODAY()))+SUMIFS(Transaksi!$F$16:$F$5015,Transaksi!$C$16:$C$5015,$A69,Transaksi!$D$16:$D$5015,"Masuk",Transaksi!$B$16:$B$5015,"&lt;="&amp;MIN(EOMONTH(DATE(Dashboard!$C$4,8,1),0),TODAY()))-SUMIFS(Transaksi!$F$16:$F$5015,Transaksi!$C$16:$C$5015,$A69,Transaksi!$D$16:$D$5015,"Keluar",Transaksi!$B$16:$B$5015,"&lt;="&amp;MIN(EOMONTH(DATE(Dashboard!$C$4,8,1),0),TODAY()))-SUMIFS(Transaksi!$F$16:$F$5015,Transaksi!$C$16:$C$5015,$A69,Transaksi!$D$16:$D$5015,"Pindah",Transaksi!$B$16:$B$5015,"&lt;="&amp;MIN(EOMONTH(DATE(Dashboard!$C$4,8,1),0),TODAY()))+SUMIFS(Transaksi!$F$16:$F$5015,Transaksi!$E$16:$E$5015,$A69,Transaksi!$D$16:$D$5015,"Pindah",Transaksi!$B$16:$B$5015,"&lt;="&amp;MIN(EOMONTH(DATE(Dashboard!$C$4,8,1),0),TODAY())))</f>
        <v/>
      </c>
      <c r="K69" s="106">
        <f>IF(OR($A69="",DATE(Dashboard!$C$4,9,1)&gt;TODAY(),ISNA(MATCH($B69,{"Pribadi","Investasi (kas RDN)","Piutang","Pinjaman Mama (dompet)"},0))),"",SUMIFS(Akun!$C$5:$C$104,Akun!$A$5:$A$104,$A69,Akun!$D$5:$D$104,"&lt;="&amp;MIN(EOMONTH(DATE(Dashboard!$C$4,9,1),0),TODAY()))+SUMIFS(Transaksi!$F$16:$F$5015,Transaksi!$C$16:$C$5015,$A69,Transaksi!$D$16:$D$5015,"Masuk",Transaksi!$B$16:$B$5015,"&lt;="&amp;MIN(EOMONTH(DATE(Dashboard!$C$4,9,1),0),TODAY()))-SUMIFS(Transaksi!$F$16:$F$5015,Transaksi!$C$16:$C$5015,$A69,Transaksi!$D$16:$D$5015,"Keluar",Transaksi!$B$16:$B$5015,"&lt;="&amp;MIN(EOMONTH(DATE(Dashboard!$C$4,9,1),0),TODAY()))-SUMIFS(Transaksi!$F$16:$F$5015,Transaksi!$C$16:$C$5015,$A69,Transaksi!$D$16:$D$5015,"Pindah",Transaksi!$B$16:$B$5015,"&lt;="&amp;MIN(EOMONTH(DATE(Dashboard!$C$4,9,1),0),TODAY()))+SUMIFS(Transaksi!$F$16:$F$5015,Transaksi!$E$16:$E$5015,$A69,Transaksi!$D$16:$D$5015,"Pindah",Transaksi!$B$16:$B$5015,"&lt;="&amp;MIN(EOMONTH(DATE(Dashboard!$C$4,9,1),0),TODAY())))</f>
        <v/>
      </c>
      <c r="L69" s="106">
        <f>IF(OR($A69="",DATE(Dashboard!$C$4,10,1)&gt;TODAY(),ISNA(MATCH($B69,{"Pribadi","Investasi (kas RDN)","Piutang","Pinjaman Mama (dompet)"},0))),"",SUMIFS(Akun!$C$5:$C$104,Akun!$A$5:$A$104,$A69,Akun!$D$5:$D$104,"&lt;="&amp;MIN(EOMONTH(DATE(Dashboard!$C$4,10,1),0),TODAY()))+SUMIFS(Transaksi!$F$16:$F$5015,Transaksi!$C$16:$C$5015,$A69,Transaksi!$D$16:$D$5015,"Masuk",Transaksi!$B$16:$B$5015,"&lt;="&amp;MIN(EOMONTH(DATE(Dashboard!$C$4,10,1),0),TODAY()))-SUMIFS(Transaksi!$F$16:$F$5015,Transaksi!$C$16:$C$5015,$A69,Transaksi!$D$16:$D$5015,"Keluar",Transaksi!$B$16:$B$5015,"&lt;="&amp;MIN(EOMONTH(DATE(Dashboard!$C$4,10,1),0),TODAY()))-SUMIFS(Transaksi!$F$16:$F$5015,Transaksi!$C$16:$C$5015,$A69,Transaksi!$D$16:$D$5015,"Pindah",Transaksi!$B$16:$B$5015,"&lt;="&amp;MIN(EOMONTH(DATE(Dashboard!$C$4,10,1),0),TODAY()))+SUMIFS(Transaksi!$F$16:$F$5015,Transaksi!$E$16:$E$5015,$A69,Transaksi!$D$16:$D$5015,"Pindah",Transaksi!$B$16:$B$5015,"&lt;="&amp;MIN(EOMONTH(DATE(Dashboard!$C$4,10,1),0),TODAY())))</f>
        <v/>
      </c>
      <c r="M69" s="106">
        <f>IF(OR($A69="",DATE(Dashboard!$C$4,11,1)&gt;TODAY(),ISNA(MATCH($B69,{"Pribadi","Investasi (kas RDN)","Piutang","Pinjaman Mama (dompet)"},0))),"",SUMIFS(Akun!$C$5:$C$104,Akun!$A$5:$A$104,$A69,Akun!$D$5:$D$104,"&lt;="&amp;MIN(EOMONTH(DATE(Dashboard!$C$4,11,1),0),TODAY()))+SUMIFS(Transaksi!$F$16:$F$5015,Transaksi!$C$16:$C$5015,$A69,Transaksi!$D$16:$D$5015,"Masuk",Transaksi!$B$16:$B$5015,"&lt;="&amp;MIN(EOMONTH(DATE(Dashboard!$C$4,11,1),0),TODAY()))-SUMIFS(Transaksi!$F$16:$F$5015,Transaksi!$C$16:$C$5015,$A69,Transaksi!$D$16:$D$5015,"Keluar",Transaksi!$B$16:$B$5015,"&lt;="&amp;MIN(EOMONTH(DATE(Dashboard!$C$4,11,1),0),TODAY()))-SUMIFS(Transaksi!$F$16:$F$5015,Transaksi!$C$16:$C$5015,$A69,Transaksi!$D$16:$D$5015,"Pindah",Transaksi!$B$16:$B$5015,"&lt;="&amp;MIN(EOMONTH(DATE(Dashboard!$C$4,11,1),0),TODAY()))+SUMIFS(Transaksi!$F$16:$F$5015,Transaksi!$E$16:$E$5015,$A69,Transaksi!$D$16:$D$5015,"Pindah",Transaksi!$B$16:$B$5015,"&lt;="&amp;MIN(EOMONTH(DATE(Dashboard!$C$4,11,1),0),TODAY())))</f>
        <v/>
      </c>
      <c r="N69" s="106">
        <f>IF(OR($A69="",DATE(Dashboard!$C$4,12,1)&gt;TODAY(),ISNA(MATCH($B69,{"Pribadi","Investasi (kas RDN)","Piutang","Pinjaman Mama (dompet)"},0))),"",SUMIFS(Akun!$C$5:$C$104,Akun!$A$5:$A$104,$A69,Akun!$D$5:$D$104,"&lt;="&amp;MIN(EOMONTH(DATE(Dashboard!$C$4,12,1),0),TODAY()))+SUMIFS(Transaksi!$F$16:$F$5015,Transaksi!$C$16:$C$5015,$A69,Transaksi!$D$16:$D$5015,"Masuk",Transaksi!$B$16:$B$5015,"&lt;="&amp;MIN(EOMONTH(DATE(Dashboard!$C$4,12,1),0),TODAY()))-SUMIFS(Transaksi!$F$16:$F$5015,Transaksi!$C$16:$C$5015,$A69,Transaksi!$D$16:$D$5015,"Keluar",Transaksi!$B$16:$B$5015,"&lt;="&amp;MIN(EOMONTH(DATE(Dashboard!$C$4,12,1),0),TODAY()))-SUMIFS(Transaksi!$F$16:$F$5015,Transaksi!$C$16:$C$5015,$A69,Transaksi!$D$16:$D$5015,"Pindah",Transaksi!$B$16:$B$5015,"&lt;="&amp;MIN(EOMONTH(DATE(Dashboard!$C$4,12,1),0),TODAY()))+SUMIFS(Transaksi!$F$16:$F$5015,Transaksi!$E$16:$E$5015,$A69,Transaksi!$D$16:$D$5015,"Pindah",Transaksi!$B$16:$B$5015,"&lt;="&amp;MIN(EOMONTH(DATE(Dashboard!$C$4,12,1),0),TODAY())))</f>
        <v/>
      </c>
    </row>
    <row r="70" ht="15" customHeight="1" s="94">
      <c r="A70" s="93">
        <f>IF(Akun!$A$34="","",Akun!$A$34)</f>
        <v/>
      </c>
      <c r="B70" s="93">
        <f>IF(Akun!$A$34="","",Akun!$B$34)</f>
        <v/>
      </c>
      <c r="C70" s="106">
        <f>IF(OR($A70="",DATE(Dashboard!$C$4,1,1)&gt;TODAY(),ISNA(MATCH($B70,{"Pribadi","Investasi (kas RDN)","Piutang","Pinjaman Mama (dompet)"},0))),"",SUMIFS(Akun!$C$5:$C$104,Akun!$A$5:$A$104,$A70,Akun!$D$5:$D$104,"&lt;="&amp;MIN(EOMONTH(DATE(Dashboard!$C$4,1,1),0),TODAY()))+SUMIFS(Transaksi!$F$16:$F$5015,Transaksi!$C$16:$C$5015,$A70,Transaksi!$D$16:$D$5015,"Masuk",Transaksi!$B$16:$B$5015,"&lt;="&amp;MIN(EOMONTH(DATE(Dashboard!$C$4,1,1),0),TODAY()))-SUMIFS(Transaksi!$F$16:$F$5015,Transaksi!$C$16:$C$5015,$A70,Transaksi!$D$16:$D$5015,"Keluar",Transaksi!$B$16:$B$5015,"&lt;="&amp;MIN(EOMONTH(DATE(Dashboard!$C$4,1,1),0),TODAY()))-SUMIFS(Transaksi!$F$16:$F$5015,Transaksi!$C$16:$C$5015,$A70,Transaksi!$D$16:$D$5015,"Pindah",Transaksi!$B$16:$B$5015,"&lt;="&amp;MIN(EOMONTH(DATE(Dashboard!$C$4,1,1),0),TODAY()))+SUMIFS(Transaksi!$F$16:$F$5015,Transaksi!$E$16:$E$5015,$A70,Transaksi!$D$16:$D$5015,"Pindah",Transaksi!$B$16:$B$5015,"&lt;="&amp;MIN(EOMONTH(DATE(Dashboard!$C$4,1,1),0),TODAY())))</f>
        <v/>
      </c>
      <c r="D70" s="106">
        <f>IF(OR($A70="",DATE(Dashboard!$C$4,2,1)&gt;TODAY(),ISNA(MATCH($B70,{"Pribadi","Investasi (kas RDN)","Piutang","Pinjaman Mama (dompet)"},0))),"",SUMIFS(Akun!$C$5:$C$104,Akun!$A$5:$A$104,$A70,Akun!$D$5:$D$104,"&lt;="&amp;MIN(EOMONTH(DATE(Dashboard!$C$4,2,1),0),TODAY()))+SUMIFS(Transaksi!$F$16:$F$5015,Transaksi!$C$16:$C$5015,$A70,Transaksi!$D$16:$D$5015,"Masuk",Transaksi!$B$16:$B$5015,"&lt;="&amp;MIN(EOMONTH(DATE(Dashboard!$C$4,2,1),0),TODAY()))-SUMIFS(Transaksi!$F$16:$F$5015,Transaksi!$C$16:$C$5015,$A70,Transaksi!$D$16:$D$5015,"Keluar",Transaksi!$B$16:$B$5015,"&lt;="&amp;MIN(EOMONTH(DATE(Dashboard!$C$4,2,1),0),TODAY()))-SUMIFS(Transaksi!$F$16:$F$5015,Transaksi!$C$16:$C$5015,$A70,Transaksi!$D$16:$D$5015,"Pindah",Transaksi!$B$16:$B$5015,"&lt;="&amp;MIN(EOMONTH(DATE(Dashboard!$C$4,2,1),0),TODAY()))+SUMIFS(Transaksi!$F$16:$F$5015,Transaksi!$E$16:$E$5015,$A70,Transaksi!$D$16:$D$5015,"Pindah",Transaksi!$B$16:$B$5015,"&lt;="&amp;MIN(EOMONTH(DATE(Dashboard!$C$4,2,1),0),TODAY())))</f>
        <v/>
      </c>
      <c r="E70" s="106">
        <f>IF(OR($A70="",DATE(Dashboard!$C$4,3,1)&gt;TODAY(),ISNA(MATCH($B70,{"Pribadi","Investasi (kas RDN)","Piutang","Pinjaman Mama (dompet)"},0))),"",SUMIFS(Akun!$C$5:$C$104,Akun!$A$5:$A$104,$A70,Akun!$D$5:$D$104,"&lt;="&amp;MIN(EOMONTH(DATE(Dashboard!$C$4,3,1),0),TODAY()))+SUMIFS(Transaksi!$F$16:$F$5015,Transaksi!$C$16:$C$5015,$A70,Transaksi!$D$16:$D$5015,"Masuk",Transaksi!$B$16:$B$5015,"&lt;="&amp;MIN(EOMONTH(DATE(Dashboard!$C$4,3,1),0),TODAY()))-SUMIFS(Transaksi!$F$16:$F$5015,Transaksi!$C$16:$C$5015,$A70,Transaksi!$D$16:$D$5015,"Keluar",Transaksi!$B$16:$B$5015,"&lt;="&amp;MIN(EOMONTH(DATE(Dashboard!$C$4,3,1),0),TODAY()))-SUMIFS(Transaksi!$F$16:$F$5015,Transaksi!$C$16:$C$5015,$A70,Transaksi!$D$16:$D$5015,"Pindah",Transaksi!$B$16:$B$5015,"&lt;="&amp;MIN(EOMONTH(DATE(Dashboard!$C$4,3,1),0),TODAY()))+SUMIFS(Transaksi!$F$16:$F$5015,Transaksi!$E$16:$E$5015,$A70,Transaksi!$D$16:$D$5015,"Pindah",Transaksi!$B$16:$B$5015,"&lt;="&amp;MIN(EOMONTH(DATE(Dashboard!$C$4,3,1),0),TODAY())))</f>
        <v/>
      </c>
      <c r="F70" s="106">
        <f>IF(OR($A70="",DATE(Dashboard!$C$4,4,1)&gt;TODAY(),ISNA(MATCH($B70,{"Pribadi","Investasi (kas RDN)","Piutang","Pinjaman Mama (dompet)"},0))),"",SUMIFS(Akun!$C$5:$C$104,Akun!$A$5:$A$104,$A70,Akun!$D$5:$D$104,"&lt;="&amp;MIN(EOMONTH(DATE(Dashboard!$C$4,4,1),0),TODAY()))+SUMIFS(Transaksi!$F$16:$F$5015,Transaksi!$C$16:$C$5015,$A70,Transaksi!$D$16:$D$5015,"Masuk",Transaksi!$B$16:$B$5015,"&lt;="&amp;MIN(EOMONTH(DATE(Dashboard!$C$4,4,1),0),TODAY()))-SUMIFS(Transaksi!$F$16:$F$5015,Transaksi!$C$16:$C$5015,$A70,Transaksi!$D$16:$D$5015,"Keluar",Transaksi!$B$16:$B$5015,"&lt;="&amp;MIN(EOMONTH(DATE(Dashboard!$C$4,4,1),0),TODAY()))-SUMIFS(Transaksi!$F$16:$F$5015,Transaksi!$C$16:$C$5015,$A70,Transaksi!$D$16:$D$5015,"Pindah",Transaksi!$B$16:$B$5015,"&lt;="&amp;MIN(EOMONTH(DATE(Dashboard!$C$4,4,1),0),TODAY()))+SUMIFS(Transaksi!$F$16:$F$5015,Transaksi!$E$16:$E$5015,$A70,Transaksi!$D$16:$D$5015,"Pindah",Transaksi!$B$16:$B$5015,"&lt;="&amp;MIN(EOMONTH(DATE(Dashboard!$C$4,4,1),0),TODAY())))</f>
        <v/>
      </c>
      <c r="G70" s="106">
        <f>IF(OR($A70="",DATE(Dashboard!$C$4,5,1)&gt;TODAY(),ISNA(MATCH($B70,{"Pribadi","Investasi (kas RDN)","Piutang","Pinjaman Mama (dompet)"},0))),"",SUMIFS(Akun!$C$5:$C$104,Akun!$A$5:$A$104,$A70,Akun!$D$5:$D$104,"&lt;="&amp;MIN(EOMONTH(DATE(Dashboard!$C$4,5,1),0),TODAY()))+SUMIFS(Transaksi!$F$16:$F$5015,Transaksi!$C$16:$C$5015,$A70,Transaksi!$D$16:$D$5015,"Masuk",Transaksi!$B$16:$B$5015,"&lt;="&amp;MIN(EOMONTH(DATE(Dashboard!$C$4,5,1),0),TODAY()))-SUMIFS(Transaksi!$F$16:$F$5015,Transaksi!$C$16:$C$5015,$A70,Transaksi!$D$16:$D$5015,"Keluar",Transaksi!$B$16:$B$5015,"&lt;="&amp;MIN(EOMONTH(DATE(Dashboard!$C$4,5,1),0),TODAY()))-SUMIFS(Transaksi!$F$16:$F$5015,Transaksi!$C$16:$C$5015,$A70,Transaksi!$D$16:$D$5015,"Pindah",Transaksi!$B$16:$B$5015,"&lt;="&amp;MIN(EOMONTH(DATE(Dashboard!$C$4,5,1),0),TODAY()))+SUMIFS(Transaksi!$F$16:$F$5015,Transaksi!$E$16:$E$5015,$A70,Transaksi!$D$16:$D$5015,"Pindah",Transaksi!$B$16:$B$5015,"&lt;="&amp;MIN(EOMONTH(DATE(Dashboard!$C$4,5,1),0),TODAY())))</f>
        <v/>
      </c>
      <c r="H70" s="106">
        <f>IF(OR($A70="",DATE(Dashboard!$C$4,6,1)&gt;TODAY(),ISNA(MATCH($B70,{"Pribadi","Investasi (kas RDN)","Piutang","Pinjaman Mama (dompet)"},0))),"",SUMIFS(Akun!$C$5:$C$104,Akun!$A$5:$A$104,$A70,Akun!$D$5:$D$104,"&lt;="&amp;MIN(EOMONTH(DATE(Dashboard!$C$4,6,1),0),TODAY()))+SUMIFS(Transaksi!$F$16:$F$5015,Transaksi!$C$16:$C$5015,$A70,Transaksi!$D$16:$D$5015,"Masuk",Transaksi!$B$16:$B$5015,"&lt;="&amp;MIN(EOMONTH(DATE(Dashboard!$C$4,6,1),0),TODAY()))-SUMIFS(Transaksi!$F$16:$F$5015,Transaksi!$C$16:$C$5015,$A70,Transaksi!$D$16:$D$5015,"Keluar",Transaksi!$B$16:$B$5015,"&lt;="&amp;MIN(EOMONTH(DATE(Dashboard!$C$4,6,1),0),TODAY()))-SUMIFS(Transaksi!$F$16:$F$5015,Transaksi!$C$16:$C$5015,$A70,Transaksi!$D$16:$D$5015,"Pindah",Transaksi!$B$16:$B$5015,"&lt;="&amp;MIN(EOMONTH(DATE(Dashboard!$C$4,6,1),0),TODAY()))+SUMIFS(Transaksi!$F$16:$F$5015,Transaksi!$E$16:$E$5015,$A70,Transaksi!$D$16:$D$5015,"Pindah",Transaksi!$B$16:$B$5015,"&lt;="&amp;MIN(EOMONTH(DATE(Dashboard!$C$4,6,1),0),TODAY())))</f>
        <v/>
      </c>
      <c r="I70" s="106">
        <f>IF(OR($A70="",DATE(Dashboard!$C$4,7,1)&gt;TODAY(),ISNA(MATCH($B70,{"Pribadi","Investasi (kas RDN)","Piutang","Pinjaman Mama (dompet)"},0))),"",SUMIFS(Akun!$C$5:$C$104,Akun!$A$5:$A$104,$A70,Akun!$D$5:$D$104,"&lt;="&amp;MIN(EOMONTH(DATE(Dashboard!$C$4,7,1),0),TODAY()))+SUMIFS(Transaksi!$F$16:$F$5015,Transaksi!$C$16:$C$5015,$A70,Transaksi!$D$16:$D$5015,"Masuk",Transaksi!$B$16:$B$5015,"&lt;="&amp;MIN(EOMONTH(DATE(Dashboard!$C$4,7,1),0),TODAY()))-SUMIFS(Transaksi!$F$16:$F$5015,Transaksi!$C$16:$C$5015,$A70,Transaksi!$D$16:$D$5015,"Keluar",Transaksi!$B$16:$B$5015,"&lt;="&amp;MIN(EOMONTH(DATE(Dashboard!$C$4,7,1),0),TODAY()))-SUMIFS(Transaksi!$F$16:$F$5015,Transaksi!$C$16:$C$5015,$A70,Transaksi!$D$16:$D$5015,"Pindah",Transaksi!$B$16:$B$5015,"&lt;="&amp;MIN(EOMONTH(DATE(Dashboard!$C$4,7,1),0),TODAY()))+SUMIFS(Transaksi!$F$16:$F$5015,Transaksi!$E$16:$E$5015,$A70,Transaksi!$D$16:$D$5015,"Pindah",Transaksi!$B$16:$B$5015,"&lt;="&amp;MIN(EOMONTH(DATE(Dashboard!$C$4,7,1),0),TODAY())))</f>
        <v/>
      </c>
      <c r="J70" s="106">
        <f>IF(OR($A70="",DATE(Dashboard!$C$4,8,1)&gt;TODAY(),ISNA(MATCH($B70,{"Pribadi","Investasi (kas RDN)","Piutang","Pinjaman Mama (dompet)"},0))),"",SUMIFS(Akun!$C$5:$C$104,Akun!$A$5:$A$104,$A70,Akun!$D$5:$D$104,"&lt;="&amp;MIN(EOMONTH(DATE(Dashboard!$C$4,8,1),0),TODAY()))+SUMIFS(Transaksi!$F$16:$F$5015,Transaksi!$C$16:$C$5015,$A70,Transaksi!$D$16:$D$5015,"Masuk",Transaksi!$B$16:$B$5015,"&lt;="&amp;MIN(EOMONTH(DATE(Dashboard!$C$4,8,1),0),TODAY()))-SUMIFS(Transaksi!$F$16:$F$5015,Transaksi!$C$16:$C$5015,$A70,Transaksi!$D$16:$D$5015,"Keluar",Transaksi!$B$16:$B$5015,"&lt;="&amp;MIN(EOMONTH(DATE(Dashboard!$C$4,8,1),0),TODAY()))-SUMIFS(Transaksi!$F$16:$F$5015,Transaksi!$C$16:$C$5015,$A70,Transaksi!$D$16:$D$5015,"Pindah",Transaksi!$B$16:$B$5015,"&lt;="&amp;MIN(EOMONTH(DATE(Dashboard!$C$4,8,1),0),TODAY()))+SUMIFS(Transaksi!$F$16:$F$5015,Transaksi!$E$16:$E$5015,$A70,Transaksi!$D$16:$D$5015,"Pindah",Transaksi!$B$16:$B$5015,"&lt;="&amp;MIN(EOMONTH(DATE(Dashboard!$C$4,8,1),0),TODAY())))</f>
        <v/>
      </c>
      <c r="K70" s="106">
        <f>IF(OR($A70="",DATE(Dashboard!$C$4,9,1)&gt;TODAY(),ISNA(MATCH($B70,{"Pribadi","Investasi (kas RDN)","Piutang","Pinjaman Mama (dompet)"},0))),"",SUMIFS(Akun!$C$5:$C$104,Akun!$A$5:$A$104,$A70,Akun!$D$5:$D$104,"&lt;="&amp;MIN(EOMONTH(DATE(Dashboard!$C$4,9,1),0),TODAY()))+SUMIFS(Transaksi!$F$16:$F$5015,Transaksi!$C$16:$C$5015,$A70,Transaksi!$D$16:$D$5015,"Masuk",Transaksi!$B$16:$B$5015,"&lt;="&amp;MIN(EOMONTH(DATE(Dashboard!$C$4,9,1),0),TODAY()))-SUMIFS(Transaksi!$F$16:$F$5015,Transaksi!$C$16:$C$5015,$A70,Transaksi!$D$16:$D$5015,"Keluar",Transaksi!$B$16:$B$5015,"&lt;="&amp;MIN(EOMONTH(DATE(Dashboard!$C$4,9,1),0),TODAY()))-SUMIFS(Transaksi!$F$16:$F$5015,Transaksi!$C$16:$C$5015,$A70,Transaksi!$D$16:$D$5015,"Pindah",Transaksi!$B$16:$B$5015,"&lt;="&amp;MIN(EOMONTH(DATE(Dashboard!$C$4,9,1),0),TODAY()))+SUMIFS(Transaksi!$F$16:$F$5015,Transaksi!$E$16:$E$5015,$A70,Transaksi!$D$16:$D$5015,"Pindah",Transaksi!$B$16:$B$5015,"&lt;="&amp;MIN(EOMONTH(DATE(Dashboard!$C$4,9,1),0),TODAY())))</f>
        <v/>
      </c>
      <c r="L70" s="106">
        <f>IF(OR($A70="",DATE(Dashboard!$C$4,10,1)&gt;TODAY(),ISNA(MATCH($B70,{"Pribadi","Investasi (kas RDN)","Piutang","Pinjaman Mama (dompet)"},0))),"",SUMIFS(Akun!$C$5:$C$104,Akun!$A$5:$A$104,$A70,Akun!$D$5:$D$104,"&lt;="&amp;MIN(EOMONTH(DATE(Dashboard!$C$4,10,1),0),TODAY()))+SUMIFS(Transaksi!$F$16:$F$5015,Transaksi!$C$16:$C$5015,$A70,Transaksi!$D$16:$D$5015,"Masuk",Transaksi!$B$16:$B$5015,"&lt;="&amp;MIN(EOMONTH(DATE(Dashboard!$C$4,10,1),0),TODAY()))-SUMIFS(Transaksi!$F$16:$F$5015,Transaksi!$C$16:$C$5015,$A70,Transaksi!$D$16:$D$5015,"Keluar",Transaksi!$B$16:$B$5015,"&lt;="&amp;MIN(EOMONTH(DATE(Dashboard!$C$4,10,1),0),TODAY()))-SUMIFS(Transaksi!$F$16:$F$5015,Transaksi!$C$16:$C$5015,$A70,Transaksi!$D$16:$D$5015,"Pindah",Transaksi!$B$16:$B$5015,"&lt;="&amp;MIN(EOMONTH(DATE(Dashboard!$C$4,10,1),0),TODAY()))+SUMIFS(Transaksi!$F$16:$F$5015,Transaksi!$E$16:$E$5015,$A70,Transaksi!$D$16:$D$5015,"Pindah",Transaksi!$B$16:$B$5015,"&lt;="&amp;MIN(EOMONTH(DATE(Dashboard!$C$4,10,1),0),TODAY())))</f>
        <v/>
      </c>
      <c r="M70" s="106">
        <f>IF(OR($A70="",DATE(Dashboard!$C$4,11,1)&gt;TODAY(),ISNA(MATCH($B70,{"Pribadi","Investasi (kas RDN)","Piutang","Pinjaman Mama (dompet)"},0))),"",SUMIFS(Akun!$C$5:$C$104,Akun!$A$5:$A$104,$A70,Akun!$D$5:$D$104,"&lt;="&amp;MIN(EOMONTH(DATE(Dashboard!$C$4,11,1),0),TODAY()))+SUMIFS(Transaksi!$F$16:$F$5015,Transaksi!$C$16:$C$5015,$A70,Transaksi!$D$16:$D$5015,"Masuk",Transaksi!$B$16:$B$5015,"&lt;="&amp;MIN(EOMONTH(DATE(Dashboard!$C$4,11,1),0),TODAY()))-SUMIFS(Transaksi!$F$16:$F$5015,Transaksi!$C$16:$C$5015,$A70,Transaksi!$D$16:$D$5015,"Keluar",Transaksi!$B$16:$B$5015,"&lt;="&amp;MIN(EOMONTH(DATE(Dashboard!$C$4,11,1),0),TODAY()))-SUMIFS(Transaksi!$F$16:$F$5015,Transaksi!$C$16:$C$5015,$A70,Transaksi!$D$16:$D$5015,"Pindah",Transaksi!$B$16:$B$5015,"&lt;="&amp;MIN(EOMONTH(DATE(Dashboard!$C$4,11,1),0),TODAY()))+SUMIFS(Transaksi!$F$16:$F$5015,Transaksi!$E$16:$E$5015,$A70,Transaksi!$D$16:$D$5015,"Pindah",Transaksi!$B$16:$B$5015,"&lt;="&amp;MIN(EOMONTH(DATE(Dashboard!$C$4,11,1),0),TODAY())))</f>
        <v/>
      </c>
      <c r="N70" s="106">
        <f>IF(OR($A70="",DATE(Dashboard!$C$4,12,1)&gt;TODAY(),ISNA(MATCH($B70,{"Pribadi","Investasi (kas RDN)","Piutang","Pinjaman Mama (dompet)"},0))),"",SUMIFS(Akun!$C$5:$C$104,Akun!$A$5:$A$104,$A70,Akun!$D$5:$D$104,"&lt;="&amp;MIN(EOMONTH(DATE(Dashboard!$C$4,12,1),0),TODAY()))+SUMIFS(Transaksi!$F$16:$F$5015,Transaksi!$C$16:$C$5015,$A70,Transaksi!$D$16:$D$5015,"Masuk",Transaksi!$B$16:$B$5015,"&lt;="&amp;MIN(EOMONTH(DATE(Dashboard!$C$4,12,1),0),TODAY()))-SUMIFS(Transaksi!$F$16:$F$5015,Transaksi!$C$16:$C$5015,$A70,Transaksi!$D$16:$D$5015,"Keluar",Transaksi!$B$16:$B$5015,"&lt;="&amp;MIN(EOMONTH(DATE(Dashboard!$C$4,12,1),0),TODAY()))-SUMIFS(Transaksi!$F$16:$F$5015,Transaksi!$C$16:$C$5015,$A70,Transaksi!$D$16:$D$5015,"Pindah",Transaksi!$B$16:$B$5015,"&lt;="&amp;MIN(EOMONTH(DATE(Dashboard!$C$4,12,1),0),TODAY()))+SUMIFS(Transaksi!$F$16:$F$5015,Transaksi!$E$16:$E$5015,$A70,Transaksi!$D$16:$D$5015,"Pindah",Transaksi!$B$16:$B$5015,"&lt;="&amp;MIN(EOMONTH(DATE(Dashboard!$C$4,12,1),0),TODAY())))</f>
        <v/>
      </c>
    </row>
    <row r="71" ht="15" customHeight="1" s="94">
      <c r="A71" s="93">
        <f>IF(Akun!$A$35="","",Akun!$A$35)</f>
        <v/>
      </c>
      <c r="B71" s="93">
        <f>IF(Akun!$A$35="","",Akun!$B$35)</f>
        <v/>
      </c>
      <c r="C71" s="106">
        <f>IF(OR($A71="",DATE(Dashboard!$C$4,1,1)&gt;TODAY(),ISNA(MATCH($B71,{"Pribadi","Investasi (kas RDN)","Piutang","Pinjaman Mama (dompet)"},0))),"",SUMIFS(Akun!$C$5:$C$104,Akun!$A$5:$A$104,$A71,Akun!$D$5:$D$104,"&lt;="&amp;MIN(EOMONTH(DATE(Dashboard!$C$4,1,1),0),TODAY()))+SUMIFS(Transaksi!$F$16:$F$5015,Transaksi!$C$16:$C$5015,$A71,Transaksi!$D$16:$D$5015,"Masuk",Transaksi!$B$16:$B$5015,"&lt;="&amp;MIN(EOMONTH(DATE(Dashboard!$C$4,1,1),0),TODAY()))-SUMIFS(Transaksi!$F$16:$F$5015,Transaksi!$C$16:$C$5015,$A71,Transaksi!$D$16:$D$5015,"Keluar",Transaksi!$B$16:$B$5015,"&lt;="&amp;MIN(EOMONTH(DATE(Dashboard!$C$4,1,1),0),TODAY()))-SUMIFS(Transaksi!$F$16:$F$5015,Transaksi!$C$16:$C$5015,$A71,Transaksi!$D$16:$D$5015,"Pindah",Transaksi!$B$16:$B$5015,"&lt;="&amp;MIN(EOMONTH(DATE(Dashboard!$C$4,1,1),0),TODAY()))+SUMIFS(Transaksi!$F$16:$F$5015,Transaksi!$E$16:$E$5015,$A71,Transaksi!$D$16:$D$5015,"Pindah",Transaksi!$B$16:$B$5015,"&lt;="&amp;MIN(EOMONTH(DATE(Dashboard!$C$4,1,1),0),TODAY())))</f>
        <v/>
      </c>
      <c r="D71" s="106">
        <f>IF(OR($A71="",DATE(Dashboard!$C$4,2,1)&gt;TODAY(),ISNA(MATCH($B71,{"Pribadi","Investasi (kas RDN)","Piutang","Pinjaman Mama (dompet)"},0))),"",SUMIFS(Akun!$C$5:$C$104,Akun!$A$5:$A$104,$A71,Akun!$D$5:$D$104,"&lt;="&amp;MIN(EOMONTH(DATE(Dashboard!$C$4,2,1),0),TODAY()))+SUMIFS(Transaksi!$F$16:$F$5015,Transaksi!$C$16:$C$5015,$A71,Transaksi!$D$16:$D$5015,"Masuk",Transaksi!$B$16:$B$5015,"&lt;="&amp;MIN(EOMONTH(DATE(Dashboard!$C$4,2,1),0),TODAY()))-SUMIFS(Transaksi!$F$16:$F$5015,Transaksi!$C$16:$C$5015,$A71,Transaksi!$D$16:$D$5015,"Keluar",Transaksi!$B$16:$B$5015,"&lt;="&amp;MIN(EOMONTH(DATE(Dashboard!$C$4,2,1),0),TODAY()))-SUMIFS(Transaksi!$F$16:$F$5015,Transaksi!$C$16:$C$5015,$A71,Transaksi!$D$16:$D$5015,"Pindah",Transaksi!$B$16:$B$5015,"&lt;="&amp;MIN(EOMONTH(DATE(Dashboard!$C$4,2,1),0),TODAY()))+SUMIFS(Transaksi!$F$16:$F$5015,Transaksi!$E$16:$E$5015,$A71,Transaksi!$D$16:$D$5015,"Pindah",Transaksi!$B$16:$B$5015,"&lt;="&amp;MIN(EOMONTH(DATE(Dashboard!$C$4,2,1),0),TODAY())))</f>
        <v/>
      </c>
      <c r="E71" s="106">
        <f>IF(OR($A71="",DATE(Dashboard!$C$4,3,1)&gt;TODAY(),ISNA(MATCH($B71,{"Pribadi","Investasi (kas RDN)","Piutang","Pinjaman Mama (dompet)"},0))),"",SUMIFS(Akun!$C$5:$C$104,Akun!$A$5:$A$104,$A71,Akun!$D$5:$D$104,"&lt;="&amp;MIN(EOMONTH(DATE(Dashboard!$C$4,3,1),0),TODAY()))+SUMIFS(Transaksi!$F$16:$F$5015,Transaksi!$C$16:$C$5015,$A71,Transaksi!$D$16:$D$5015,"Masuk",Transaksi!$B$16:$B$5015,"&lt;="&amp;MIN(EOMONTH(DATE(Dashboard!$C$4,3,1),0),TODAY()))-SUMIFS(Transaksi!$F$16:$F$5015,Transaksi!$C$16:$C$5015,$A71,Transaksi!$D$16:$D$5015,"Keluar",Transaksi!$B$16:$B$5015,"&lt;="&amp;MIN(EOMONTH(DATE(Dashboard!$C$4,3,1),0),TODAY()))-SUMIFS(Transaksi!$F$16:$F$5015,Transaksi!$C$16:$C$5015,$A71,Transaksi!$D$16:$D$5015,"Pindah",Transaksi!$B$16:$B$5015,"&lt;="&amp;MIN(EOMONTH(DATE(Dashboard!$C$4,3,1),0),TODAY()))+SUMIFS(Transaksi!$F$16:$F$5015,Transaksi!$E$16:$E$5015,$A71,Transaksi!$D$16:$D$5015,"Pindah",Transaksi!$B$16:$B$5015,"&lt;="&amp;MIN(EOMONTH(DATE(Dashboard!$C$4,3,1),0),TODAY())))</f>
        <v/>
      </c>
      <c r="F71" s="106">
        <f>IF(OR($A71="",DATE(Dashboard!$C$4,4,1)&gt;TODAY(),ISNA(MATCH($B71,{"Pribadi","Investasi (kas RDN)","Piutang","Pinjaman Mama (dompet)"},0))),"",SUMIFS(Akun!$C$5:$C$104,Akun!$A$5:$A$104,$A71,Akun!$D$5:$D$104,"&lt;="&amp;MIN(EOMONTH(DATE(Dashboard!$C$4,4,1),0),TODAY()))+SUMIFS(Transaksi!$F$16:$F$5015,Transaksi!$C$16:$C$5015,$A71,Transaksi!$D$16:$D$5015,"Masuk",Transaksi!$B$16:$B$5015,"&lt;="&amp;MIN(EOMONTH(DATE(Dashboard!$C$4,4,1),0),TODAY()))-SUMIFS(Transaksi!$F$16:$F$5015,Transaksi!$C$16:$C$5015,$A71,Transaksi!$D$16:$D$5015,"Keluar",Transaksi!$B$16:$B$5015,"&lt;="&amp;MIN(EOMONTH(DATE(Dashboard!$C$4,4,1),0),TODAY()))-SUMIFS(Transaksi!$F$16:$F$5015,Transaksi!$C$16:$C$5015,$A71,Transaksi!$D$16:$D$5015,"Pindah",Transaksi!$B$16:$B$5015,"&lt;="&amp;MIN(EOMONTH(DATE(Dashboard!$C$4,4,1),0),TODAY()))+SUMIFS(Transaksi!$F$16:$F$5015,Transaksi!$E$16:$E$5015,$A71,Transaksi!$D$16:$D$5015,"Pindah",Transaksi!$B$16:$B$5015,"&lt;="&amp;MIN(EOMONTH(DATE(Dashboard!$C$4,4,1),0),TODAY())))</f>
        <v/>
      </c>
      <c r="G71" s="106">
        <f>IF(OR($A71="",DATE(Dashboard!$C$4,5,1)&gt;TODAY(),ISNA(MATCH($B71,{"Pribadi","Investasi (kas RDN)","Piutang","Pinjaman Mama (dompet)"},0))),"",SUMIFS(Akun!$C$5:$C$104,Akun!$A$5:$A$104,$A71,Akun!$D$5:$D$104,"&lt;="&amp;MIN(EOMONTH(DATE(Dashboard!$C$4,5,1),0),TODAY()))+SUMIFS(Transaksi!$F$16:$F$5015,Transaksi!$C$16:$C$5015,$A71,Transaksi!$D$16:$D$5015,"Masuk",Transaksi!$B$16:$B$5015,"&lt;="&amp;MIN(EOMONTH(DATE(Dashboard!$C$4,5,1),0),TODAY()))-SUMIFS(Transaksi!$F$16:$F$5015,Transaksi!$C$16:$C$5015,$A71,Transaksi!$D$16:$D$5015,"Keluar",Transaksi!$B$16:$B$5015,"&lt;="&amp;MIN(EOMONTH(DATE(Dashboard!$C$4,5,1),0),TODAY()))-SUMIFS(Transaksi!$F$16:$F$5015,Transaksi!$C$16:$C$5015,$A71,Transaksi!$D$16:$D$5015,"Pindah",Transaksi!$B$16:$B$5015,"&lt;="&amp;MIN(EOMONTH(DATE(Dashboard!$C$4,5,1),0),TODAY()))+SUMIFS(Transaksi!$F$16:$F$5015,Transaksi!$E$16:$E$5015,$A71,Transaksi!$D$16:$D$5015,"Pindah",Transaksi!$B$16:$B$5015,"&lt;="&amp;MIN(EOMONTH(DATE(Dashboard!$C$4,5,1),0),TODAY())))</f>
        <v/>
      </c>
      <c r="H71" s="106">
        <f>IF(OR($A71="",DATE(Dashboard!$C$4,6,1)&gt;TODAY(),ISNA(MATCH($B71,{"Pribadi","Investasi (kas RDN)","Piutang","Pinjaman Mama (dompet)"},0))),"",SUMIFS(Akun!$C$5:$C$104,Akun!$A$5:$A$104,$A71,Akun!$D$5:$D$104,"&lt;="&amp;MIN(EOMONTH(DATE(Dashboard!$C$4,6,1),0),TODAY()))+SUMIFS(Transaksi!$F$16:$F$5015,Transaksi!$C$16:$C$5015,$A71,Transaksi!$D$16:$D$5015,"Masuk",Transaksi!$B$16:$B$5015,"&lt;="&amp;MIN(EOMONTH(DATE(Dashboard!$C$4,6,1),0),TODAY()))-SUMIFS(Transaksi!$F$16:$F$5015,Transaksi!$C$16:$C$5015,$A71,Transaksi!$D$16:$D$5015,"Keluar",Transaksi!$B$16:$B$5015,"&lt;="&amp;MIN(EOMONTH(DATE(Dashboard!$C$4,6,1),0),TODAY()))-SUMIFS(Transaksi!$F$16:$F$5015,Transaksi!$C$16:$C$5015,$A71,Transaksi!$D$16:$D$5015,"Pindah",Transaksi!$B$16:$B$5015,"&lt;="&amp;MIN(EOMONTH(DATE(Dashboard!$C$4,6,1),0),TODAY()))+SUMIFS(Transaksi!$F$16:$F$5015,Transaksi!$E$16:$E$5015,$A71,Transaksi!$D$16:$D$5015,"Pindah",Transaksi!$B$16:$B$5015,"&lt;="&amp;MIN(EOMONTH(DATE(Dashboard!$C$4,6,1),0),TODAY())))</f>
        <v/>
      </c>
      <c r="I71" s="106">
        <f>IF(OR($A71="",DATE(Dashboard!$C$4,7,1)&gt;TODAY(),ISNA(MATCH($B71,{"Pribadi","Investasi (kas RDN)","Piutang","Pinjaman Mama (dompet)"},0))),"",SUMIFS(Akun!$C$5:$C$104,Akun!$A$5:$A$104,$A71,Akun!$D$5:$D$104,"&lt;="&amp;MIN(EOMONTH(DATE(Dashboard!$C$4,7,1),0),TODAY()))+SUMIFS(Transaksi!$F$16:$F$5015,Transaksi!$C$16:$C$5015,$A71,Transaksi!$D$16:$D$5015,"Masuk",Transaksi!$B$16:$B$5015,"&lt;="&amp;MIN(EOMONTH(DATE(Dashboard!$C$4,7,1),0),TODAY()))-SUMIFS(Transaksi!$F$16:$F$5015,Transaksi!$C$16:$C$5015,$A71,Transaksi!$D$16:$D$5015,"Keluar",Transaksi!$B$16:$B$5015,"&lt;="&amp;MIN(EOMONTH(DATE(Dashboard!$C$4,7,1),0),TODAY()))-SUMIFS(Transaksi!$F$16:$F$5015,Transaksi!$C$16:$C$5015,$A71,Transaksi!$D$16:$D$5015,"Pindah",Transaksi!$B$16:$B$5015,"&lt;="&amp;MIN(EOMONTH(DATE(Dashboard!$C$4,7,1),0),TODAY()))+SUMIFS(Transaksi!$F$16:$F$5015,Transaksi!$E$16:$E$5015,$A71,Transaksi!$D$16:$D$5015,"Pindah",Transaksi!$B$16:$B$5015,"&lt;="&amp;MIN(EOMONTH(DATE(Dashboard!$C$4,7,1),0),TODAY())))</f>
        <v/>
      </c>
      <c r="J71" s="106">
        <f>IF(OR($A71="",DATE(Dashboard!$C$4,8,1)&gt;TODAY(),ISNA(MATCH($B71,{"Pribadi","Investasi (kas RDN)","Piutang","Pinjaman Mama (dompet)"},0))),"",SUMIFS(Akun!$C$5:$C$104,Akun!$A$5:$A$104,$A71,Akun!$D$5:$D$104,"&lt;="&amp;MIN(EOMONTH(DATE(Dashboard!$C$4,8,1),0),TODAY()))+SUMIFS(Transaksi!$F$16:$F$5015,Transaksi!$C$16:$C$5015,$A71,Transaksi!$D$16:$D$5015,"Masuk",Transaksi!$B$16:$B$5015,"&lt;="&amp;MIN(EOMONTH(DATE(Dashboard!$C$4,8,1),0),TODAY()))-SUMIFS(Transaksi!$F$16:$F$5015,Transaksi!$C$16:$C$5015,$A71,Transaksi!$D$16:$D$5015,"Keluar",Transaksi!$B$16:$B$5015,"&lt;="&amp;MIN(EOMONTH(DATE(Dashboard!$C$4,8,1),0),TODAY()))-SUMIFS(Transaksi!$F$16:$F$5015,Transaksi!$C$16:$C$5015,$A71,Transaksi!$D$16:$D$5015,"Pindah",Transaksi!$B$16:$B$5015,"&lt;="&amp;MIN(EOMONTH(DATE(Dashboard!$C$4,8,1),0),TODAY()))+SUMIFS(Transaksi!$F$16:$F$5015,Transaksi!$E$16:$E$5015,$A71,Transaksi!$D$16:$D$5015,"Pindah",Transaksi!$B$16:$B$5015,"&lt;="&amp;MIN(EOMONTH(DATE(Dashboard!$C$4,8,1),0),TODAY())))</f>
        <v/>
      </c>
      <c r="K71" s="106">
        <f>IF(OR($A71="",DATE(Dashboard!$C$4,9,1)&gt;TODAY(),ISNA(MATCH($B71,{"Pribadi","Investasi (kas RDN)","Piutang","Pinjaman Mama (dompet)"},0))),"",SUMIFS(Akun!$C$5:$C$104,Akun!$A$5:$A$104,$A71,Akun!$D$5:$D$104,"&lt;="&amp;MIN(EOMONTH(DATE(Dashboard!$C$4,9,1),0),TODAY()))+SUMIFS(Transaksi!$F$16:$F$5015,Transaksi!$C$16:$C$5015,$A71,Transaksi!$D$16:$D$5015,"Masuk",Transaksi!$B$16:$B$5015,"&lt;="&amp;MIN(EOMONTH(DATE(Dashboard!$C$4,9,1),0),TODAY()))-SUMIFS(Transaksi!$F$16:$F$5015,Transaksi!$C$16:$C$5015,$A71,Transaksi!$D$16:$D$5015,"Keluar",Transaksi!$B$16:$B$5015,"&lt;="&amp;MIN(EOMONTH(DATE(Dashboard!$C$4,9,1),0),TODAY()))-SUMIFS(Transaksi!$F$16:$F$5015,Transaksi!$C$16:$C$5015,$A71,Transaksi!$D$16:$D$5015,"Pindah",Transaksi!$B$16:$B$5015,"&lt;="&amp;MIN(EOMONTH(DATE(Dashboard!$C$4,9,1),0),TODAY()))+SUMIFS(Transaksi!$F$16:$F$5015,Transaksi!$E$16:$E$5015,$A71,Transaksi!$D$16:$D$5015,"Pindah",Transaksi!$B$16:$B$5015,"&lt;="&amp;MIN(EOMONTH(DATE(Dashboard!$C$4,9,1),0),TODAY())))</f>
        <v/>
      </c>
      <c r="L71" s="106">
        <f>IF(OR($A71="",DATE(Dashboard!$C$4,10,1)&gt;TODAY(),ISNA(MATCH($B71,{"Pribadi","Investasi (kas RDN)","Piutang","Pinjaman Mama (dompet)"},0))),"",SUMIFS(Akun!$C$5:$C$104,Akun!$A$5:$A$104,$A71,Akun!$D$5:$D$104,"&lt;="&amp;MIN(EOMONTH(DATE(Dashboard!$C$4,10,1),0),TODAY()))+SUMIFS(Transaksi!$F$16:$F$5015,Transaksi!$C$16:$C$5015,$A71,Transaksi!$D$16:$D$5015,"Masuk",Transaksi!$B$16:$B$5015,"&lt;="&amp;MIN(EOMONTH(DATE(Dashboard!$C$4,10,1),0),TODAY()))-SUMIFS(Transaksi!$F$16:$F$5015,Transaksi!$C$16:$C$5015,$A71,Transaksi!$D$16:$D$5015,"Keluar",Transaksi!$B$16:$B$5015,"&lt;="&amp;MIN(EOMONTH(DATE(Dashboard!$C$4,10,1),0),TODAY()))-SUMIFS(Transaksi!$F$16:$F$5015,Transaksi!$C$16:$C$5015,$A71,Transaksi!$D$16:$D$5015,"Pindah",Transaksi!$B$16:$B$5015,"&lt;="&amp;MIN(EOMONTH(DATE(Dashboard!$C$4,10,1),0),TODAY()))+SUMIFS(Transaksi!$F$16:$F$5015,Transaksi!$E$16:$E$5015,$A71,Transaksi!$D$16:$D$5015,"Pindah",Transaksi!$B$16:$B$5015,"&lt;="&amp;MIN(EOMONTH(DATE(Dashboard!$C$4,10,1),0),TODAY())))</f>
        <v/>
      </c>
      <c r="M71" s="106">
        <f>IF(OR($A71="",DATE(Dashboard!$C$4,11,1)&gt;TODAY(),ISNA(MATCH($B71,{"Pribadi","Investasi (kas RDN)","Piutang","Pinjaman Mama (dompet)"},0))),"",SUMIFS(Akun!$C$5:$C$104,Akun!$A$5:$A$104,$A71,Akun!$D$5:$D$104,"&lt;="&amp;MIN(EOMONTH(DATE(Dashboard!$C$4,11,1),0),TODAY()))+SUMIFS(Transaksi!$F$16:$F$5015,Transaksi!$C$16:$C$5015,$A71,Transaksi!$D$16:$D$5015,"Masuk",Transaksi!$B$16:$B$5015,"&lt;="&amp;MIN(EOMONTH(DATE(Dashboard!$C$4,11,1),0),TODAY()))-SUMIFS(Transaksi!$F$16:$F$5015,Transaksi!$C$16:$C$5015,$A71,Transaksi!$D$16:$D$5015,"Keluar",Transaksi!$B$16:$B$5015,"&lt;="&amp;MIN(EOMONTH(DATE(Dashboard!$C$4,11,1),0),TODAY()))-SUMIFS(Transaksi!$F$16:$F$5015,Transaksi!$C$16:$C$5015,$A71,Transaksi!$D$16:$D$5015,"Pindah",Transaksi!$B$16:$B$5015,"&lt;="&amp;MIN(EOMONTH(DATE(Dashboard!$C$4,11,1),0),TODAY()))+SUMIFS(Transaksi!$F$16:$F$5015,Transaksi!$E$16:$E$5015,$A71,Transaksi!$D$16:$D$5015,"Pindah",Transaksi!$B$16:$B$5015,"&lt;="&amp;MIN(EOMONTH(DATE(Dashboard!$C$4,11,1),0),TODAY())))</f>
        <v/>
      </c>
      <c r="N71" s="106">
        <f>IF(OR($A71="",DATE(Dashboard!$C$4,12,1)&gt;TODAY(),ISNA(MATCH($B71,{"Pribadi","Investasi (kas RDN)","Piutang","Pinjaman Mama (dompet)"},0))),"",SUMIFS(Akun!$C$5:$C$104,Akun!$A$5:$A$104,$A71,Akun!$D$5:$D$104,"&lt;="&amp;MIN(EOMONTH(DATE(Dashboard!$C$4,12,1),0),TODAY()))+SUMIFS(Transaksi!$F$16:$F$5015,Transaksi!$C$16:$C$5015,$A71,Transaksi!$D$16:$D$5015,"Masuk",Transaksi!$B$16:$B$5015,"&lt;="&amp;MIN(EOMONTH(DATE(Dashboard!$C$4,12,1),0),TODAY()))-SUMIFS(Transaksi!$F$16:$F$5015,Transaksi!$C$16:$C$5015,$A71,Transaksi!$D$16:$D$5015,"Keluar",Transaksi!$B$16:$B$5015,"&lt;="&amp;MIN(EOMONTH(DATE(Dashboard!$C$4,12,1),0),TODAY()))-SUMIFS(Transaksi!$F$16:$F$5015,Transaksi!$C$16:$C$5015,$A71,Transaksi!$D$16:$D$5015,"Pindah",Transaksi!$B$16:$B$5015,"&lt;="&amp;MIN(EOMONTH(DATE(Dashboard!$C$4,12,1),0),TODAY()))+SUMIFS(Transaksi!$F$16:$F$5015,Transaksi!$E$16:$E$5015,$A71,Transaksi!$D$16:$D$5015,"Pindah",Transaksi!$B$16:$B$5015,"&lt;="&amp;MIN(EOMONTH(DATE(Dashboard!$C$4,12,1),0),TODAY())))</f>
        <v/>
      </c>
    </row>
    <row r="72" ht="15" customHeight="1" s="94">
      <c r="A72" s="93">
        <f>IF(Akun!$A$36="","",Akun!$A$36)</f>
        <v/>
      </c>
      <c r="B72" s="93">
        <f>IF(Akun!$A$36="","",Akun!$B$36)</f>
        <v/>
      </c>
      <c r="C72" s="106">
        <f>IF(OR($A72="",DATE(Dashboard!$C$4,1,1)&gt;TODAY(),ISNA(MATCH($B72,{"Pribadi","Investasi (kas RDN)","Piutang","Pinjaman Mama (dompet)"},0))),"",SUMIFS(Akun!$C$5:$C$104,Akun!$A$5:$A$104,$A72,Akun!$D$5:$D$104,"&lt;="&amp;MIN(EOMONTH(DATE(Dashboard!$C$4,1,1),0),TODAY()))+SUMIFS(Transaksi!$F$16:$F$5015,Transaksi!$C$16:$C$5015,$A72,Transaksi!$D$16:$D$5015,"Masuk",Transaksi!$B$16:$B$5015,"&lt;="&amp;MIN(EOMONTH(DATE(Dashboard!$C$4,1,1),0),TODAY()))-SUMIFS(Transaksi!$F$16:$F$5015,Transaksi!$C$16:$C$5015,$A72,Transaksi!$D$16:$D$5015,"Keluar",Transaksi!$B$16:$B$5015,"&lt;="&amp;MIN(EOMONTH(DATE(Dashboard!$C$4,1,1),0),TODAY()))-SUMIFS(Transaksi!$F$16:$F$5015,Transaksi!$C$16:$C$5015,$A72,Transaksi!$D$16:$D$5015,"Pindah",Transaksi!$B$16:$B$5015,"&lt;="&amp;MIN(EOMONTH(DATE(Dashboard!$C$4,1,1),0),TODAY()))+SUMIFS(Transaksi!$F$16:$F$5015,Transaksi!$E$16:$E$5015,$A72,Transaksi!$D$16:$D$5015,"Pindah",Transaksi!$B$16:$B$5015,"&lt;="&amp;MIN(EOMONTH(DATE(Dashboard!$C$4,1,1),0),TODAY())))</f>
        <v/>
      </c>
      <c r="D72" s="106">
        <f>IF(OR($A72="",DATE(Dashboard!$C$4,2,1)&gt;TODAY(),ISNA(MATCH($B72,{"Pribadi","Investasi (kas RDN)","Piutang","Pinjaman Mama (dompet)"},0))),"",SUMIFS(Akun!$C$5:$C$104,Akun!$A$5:$A$104,$A72,Akun!$D$5:$D$104,"&lt;="&amp;MIN(EOMONTH(DATE(Dashboard!$C$4,2,1),0),TODAY()))+SUMIFS(Transaksi!$F$16:$F$5015,Transaksi!$C$16:$C$5015,$A72,Transaksi!$D$16:$D$5015,"Masuk",Transaksi!$B$16:$B$5015,"&lt;="&amp;MIN(EOMONTH(DATE(Dashboard!$C$4,2,1),0),TODAY()))-SUMIFS(Transaksi!$F$16:$F$5015,Transaksi!$C$16:$C$5015,$A72,Transaksi!$D$16:$D$5015,"Keluar",Transaksi!$B$16:$B$5015,"&lt;="&amp;MIN(EOMONTH(DATE(Dashboard!$C$4,2,1),0),TODAY()))-SUMIFS(Transaksi!$F$16:$F$5015,Transaksi!$C$16:$C$5015,$A72,Transaksi!$D$16:$D$5015,"Pindah",Transaksi!$B$16:$B$5015,"&lt;="&amp;MIN(EOMONTH(DATE(Dashboard!$C$4,2,1),0),TODAY()))+SUMIFS(Transaksi!$F$16:$F$5015,Transaksi!$E$16:$E$5015,$A72,Transaksi!$D$16:$D$5015,"Pindah",Transaksi!$B$16:$B$5015,"&lt;="&amp;MIN(EOMONTH(DATE(Dashboard!$C$4,2,1),0),TODAY())))</f>
        <v/>
      </c>
      <c r="E72" s="106">
        <f>IF(OR($A72="",DATE(Dashboard!$C$4,3,1)&gt;TODAY(),ISNA(MATCH($B72,{"Pribadi","Investasi (kas RDN)","Piutang","Pinjaman Mama (dompet)"},0))),"",SUMIFS(Akun!$C$5:$C$104,Akun!$A$5:$A$104,$A72,Akun!$D$5:$D$104,"&lt;="&amp;MIN(EOMONTH(DATE(Dashboard!$C$4,3,1),0),TODAY()))+SUMIFS(Transaksi!$F$16:$F$5015,Transaksi!$C$16:$C$5015,$A72,Transaksi!$D$16:$D$5015,"Masuk",Transaksi!$B$16:$B$5015,"&lt;="&amp;MIN(EOMONTH(DATE(Dashboard!$C$4,3,1),0),TODAY()))-SUMIFS(Transaksi!$F$16:$F$5015,Transaksi!$C$16:$C$5015,$A72,Transaksi!$D$16:$D$5015,"Keluar",Transaksi!$B$16:$B$5015,"&lt;="&amp;MIN(EOMONTH(DATE(Dashboard!$C$4,3,1),0),TODAY()))-SUMIFS(Transaksi!$F$16:$F$5015,Transaksi!$C$16:$C$5015,$A72,Transaksi!$D$16:$D$5015,"Pindah",Transaksi!$B$16:$B$5015,"&lt;="&amp;MIN(EOMONTH(DATE(Dashboard!$C$4,3,1),0),TODAY()))+SUMIFS(Transaksi!$F$16:$F$5015,Transaksi!$E$16:$E$5015,$A72,Transaksi!$D$16:$D$5015,"Pindah",Transaksi!$B$16:$B$5015,"&lt;="&amp;MIN(EOMONTH(DATE(Dashboard!$C$4,3,1),0),TODAY())))</f>
        <v/>
      </c>
      <c r="F72" s="106">
        <f>IF(OR($A72="",DATE(Dashboard!$C$4,4,1)&gt;TODAY(),ISNA(MATCH($B72,{"Pribadi","Investasi (kas RDN)","Piutang","Pinjaman Mama (dompet)"},0))),"",SUMIFS(Akun!$C$5:$C$104,Akun!$A$5:$A$104,$A72,Akun!$D$5:$D$104,"&lt;="&amp;MIN(EOMONTH(DATE(Dashboard!$C$4,4,1),0),TODAY()))+SUMIFS(Transaksi!$F$16:$F$5015,Transaksi!$C$16:$C$5015,$A72,Transaksi!$D$16:$D$5015,"Masuk",Transaksi!$B$16:$B$5015,"&lt;="&amp;MIN(EOMONTH(DATE(Dashboard!$C$4,4,1),0),TODAY()))-SUMIFS(Transaksi!$F$16:$F$5015,Transaksi!$C$16:$C$5015,$A72,Transaksi!$D$16:$D$5015,"Keluar",Transaksi!$B$16:$B$5015,"&lt;="&amp;MIN(EOMONTH(DATE(Dashboard!$C$4,4,1),0),TODAY()))-SUMIFS(Transaksi!$F$16:$F$5015,Transaksi!$C$16:$C$5015,$A72,Transaksi!$D$16:$D$5015,"Pindah",Transaksi!$B$16:$B$5015,"&lt;="&amp;MIN(EOMONTH(DATE(Dashboard!$C$4,4,1),0),TODAY()))+SUMIFS(Transaksi!$F$16:$F$5015,Transaksi!$E$16:$E$5015,$A72,Transaksi!$D$16:$D$5015,"Pindah",Transaksi!$B$16:$B$5015,"&lt;="&amp;MIN(EOMONTH(DATE(Dashboard!$C$4,4,1),0),TODAY())))</f>
        <v/>
      </c>
      <c r="G72" s="106">
        <f>IF(OR($A72="",DATE(Dashboard!$C$4,5,1)&gt;TODAY(),ISNA(MATCH($B72,{"Pribadi","Investasi (kas RDN)","Piutang","Pinjaman Mama (dompet)"},0))),"",SUMIFS(Akun!$C$5:$C$104,Akun!$A$5:$A$104,$A72,Akun!$D$5:$D$104,"&lt;="&amp;MIN(EOMONTH(DATE(Dashboard!$C$4,5,1),0),TODAY()))+SUMIFS(Transaksi!$F$16:$F$5015,Transaksi!$C$16:$C$5015,$A72,Transaksi!$D$16:$D$5015,"Masuk",Transaksi!$B$16:$B$5015,"&lt;="&amp;MIN(EOMONTH(DATE(Dashboard!$C$4,5,1),0),TODAY()))-SUMIFS(Transaksi!$F$16:$F$5015,Transaksi!$C$16:$C$5015,$A72,Transaksi!$D$16:$D$5015,"Keluar",Transaksi!$B$16:$B$5015,"&lt;="&amp;MIN(EOMONTH(DATE(Dashboard!$C$4,5,1),0),TODAY()))-SUMIFS(Transaksi!$F$16:$F$5015,Transaksi!$C$16:$C$5015,$A72,Transaksi!$D$16:$D$5015,"Pindah",Transaksi!$B$16:$B$5015,"&lt;="&amp;MIN(EOMONTH(DATE(Dashboard!$C$4,5,1),0),TODAY()))+SUMIFS(Transaksi!$F$16:$F$5015,Transaksi!$E$16:$E$5015,$A72,Transaksi!$D$16:$D$5015,"Pindah",Transaksi!$B$16:$B$5015,"&lt;="&amp;MIN(EOMONTH(DATE(Dashboard!$C$4,5,1),0),TODAY())))</f>
        <v/>
      </c>
      <c r="H72" s="106">
        <f>IF(OR($A72="",DATE(Dashboard!$C$4,6,1)&gt;TODAY(),ISNA(MATCH($B72,{"Pribadi","Investasi (kas RDN)","Piutang","Pinjaman Mama (dompet)"},0))),"",SUMIFS(Akun!$C$5:$C$104,Akun!$A$5:$A$104,$A72,Akun!$D$5:$D$104,"&lt;="&amp;MIN(EOMONTH(DATE(Dashboard!$C$4,6,1),0),TODAY()))+SUMIFS(Transaksi!$F$16:$F$5015,Transaksi!$C$16:$C$5015,$A72,Transaksi!$D$16:$D$5015,"Masuk",Transaksi!$B$16:$B$5015,"&lt;="&amp;MIN(EOMONTH(DATE(Dashboard!$C$4,6,1),0),TODAY()))-SUMIFS(Transaksi!$F$16:$F$5015,Transaksi!$C$16:$C$5015,$A72,Transaksi!$D$16:$D$5015,"Keluar",Transaksi!$B$16:$B$5015,"&lt;="&amp;MIN(EOMONTH(DATE(Dashboard!$C$4,6,1),0),TODAY()))-SUMIFS(Transaksi!$F$16:$F$5015,Transaksi!$C$16:$C$5015,$A72,Transaksi!$D$16:$D$5015,"Pindah",Transaksi!$B$16:$B$5015,"&lt;="&amp;MIN(EOMONTH(DATE(Dashboard!$C$4,6,1),0),TODAY()))+SUMIFS(Transaksi!$F$16:$F$5015,Transaksi!$E$16:$E$5015,$A72,Transaksi!$D$16:$D$5015,"Pindah",Transaksi!$B$16:$B$5015,"&lt;="&amp;MIN(EOMONTH(DATE(Dashboard!$C$4,6,1),0),TODAY())))</f>
        <v/>
      </c>
      <c r="I72" s="106">
        <f>IF(OR($A72="",DATE(Dashboard!$C$4,7,1)&gt;TODAY(),ISNA(MATCH($B72,{"Pribadi","Investasi (kas RDN)","Piutang","Pinjaman Mama (dompet)"},0))),"",SUMIFS(Akun!$C$5:$C$104,Akun!$A$5:$A$104,$A72,Akun!$D$5:$D$104,"&lt;="&amp;MIN(EOMONTH(DATE(Dashboard!$C$4,7,1),0),TODAY()))+SUMIFS(Transaksi!$F$16:$F$5015,Transaksi!$C$16:$C$5015,$A72,Transaksi!$D$16:$D$5015,"Masuk",Transaksi!$B$16:$B$5015,"&lt;="&amp;MIN(EOMONTH(DATE(Dashboard!$C$4,7,1),0),TODAY()))-SUMIFS(Transaksi!$F$16:$F$5015,Transaksi!$C$16:$C$5015,$A72,Transaksi!$D$16:$D$5015,"Keluar",Transaksi!$B$16:$B$5015,"&lt;="&amp;MIN(EOMONTH(DATE(Dashboard!$C$4,7,1),0),TODAY()))-SUMIFS(Transaksi!$F$16:$F$5015,Transaksi!$C$16:$C$5015,$A72,Transaksi!$D$16:$D$5015,"Pindah",Transaksi!$B$16:$B$5015,"&lt;="&amp;MIN(EOMONTH(DATE(Dashboard!$C$4,7,1),0),TODAY()))+SUMIFS(Transaksi!$F$16:$F$5015,Transaksi!$E$16:$E$5015,$A72,Transaksi!$D$16:$D$5015,"Pindah",Transaksi!$B$16:$B$5015,"&lt;="&amp;MIN(EOMONTH(DATE(Dashboard!$C$4,7,1),0),TODAY())))</f>
        <v/>
      </c>
      <c r="J72" s="106">
        <f>IF(OR($A72="",DATE(Dashboard!$C$4,8,1)&gt;TODAY(),ISNA(MATCH($B72,{"Pribadi","Investasi (kas RDN)","Piutang","Pinjaman Mama (dompet)"},0))),"",SUMIFS(Akun!$C$5:$C$104,Akun!$A$5:$A$104,$A72,Akun!$D$5:$D$104,"&lt;="&amp;MIN(EOMONTH(DATE(Dashboard!$C$4,8,1),0),TODAY()))+SUMIFS(Transaksi!$F$16:$F$5015,Transaksi!$C$16:$C$5015,$A72,Transaksi!$D$16:$D$5015,"Masuk",Transaksi!$B$16:$B$5015,"&lt;="&amp;MIN(EOMONTH(DATE(Dashboard!$C$4,8,1),0),TODAY()))-SUMIFS(Transaksi!$F$16:$F$5015,Transaksi!$C$16:$C$5015,$A72,Transaksi!$D$16:$D$5015,"Keluar",Transaksi!$B$16:$B$5015,"&lt;="&amp;MIN(EOMONTH(DATE(Dashboard!$C$4,8,1),0),TODAY()))-SUMIFS(Transaksi!$F$16:$F$5015,Transaksi!$C$16:$C$5015,$A72,Transaksi!$D$16:$D$5015,"Pindah",Transaksi!$B$16:$B$5015,"&lt;="&amp;MIN(EOMONTH(DATE(Dashboard!$C$4,8,1),0),TODAY()))+SUMIFS(Transaksi!$F$16:$F$5015,Transaksi!$E$16:$E$5015,$A72,Transaksi!$D$16:$D$5015,"Pindah",Transaksi!$B$16:$B$5015,"&lt;="&amp;MIN(EOMONTH(DATE(Dashboard!$C$4,8,1),0),TODAY())))</f>
        <v/>
      </c>
      <c r="K72" s="106">
        <f>IF(OR($A72="",DATE(Dashboard!$C$4,9,1)&gt;TODAY(),ISNA(MATCH($B72,{"Pribadi","Investasi (kas RDN)","Piutang","Pinjaman Mama (dompet)"},0))),"",SUMIFS(Akun!$C$5:$C$104,Akun!$A$5:$A$104,$A72,Akun!$D$5:$D$104,"&lt;="&amp;MIN(EOMONTH(DATE(Dashboard!$C$4,9,1),0),TODAY()))+SUMIFS(Transaksi!$F$16:$F$5015,Transaksi!$C$16:$C$5015,$A72,Transaksi!$D$16:$D$5015,"Masuk",Transaksi!$B$16:$B$5015,"&lt;="&amp;MIN(EOMONTH(DATE(Dashboard!$C$4,9,1),0),TODAY()))-SUMIFS(Transaksi!$F$16:$F$5015,Transaksi!$C$16:$C$5015,$A72,Transaksi!$D$16:$D$5015,"Keluar",Transaksi!$B$16:$B$5015,"&lt;="&amp;MIN(EOMONTH(DATE(Dashboard!$C$4,9,1),0),TODAY()))-SUMIFS(Transaksi!$F$16:$F$5015,Transaksi!$C$16:$C$5015,$A72,Transaksi!$D$16:$D$5015,"Pindah",Transaksi!$B$16:$B$5015,"&lt;="&amp;MIN(EOMONTH(DATE(Dashboard!$C$4,9,1),0),TODAY()))+SUMIFS(Transaksi!$F$16:$F$5015,Transaksi!$E$16:$E$5015,$A72,Transaksi!$D$16:$D$5015,"Pindah",Transaksi!$B$16:$B$5015,"&lt;="&amp;MIN(EOMONTH(DATE(Dashboard!$C$4,9,1),0),TODAY())))</f>
        <v/>
      </c>
      <c r="L72" s="106">
        <f>IF(OR($A72="",DATE(Dashboard!$C$4,10,1)&gt;TODAY(),ISNA(MATCH($B72,{"Pribadi","Investasi (kas RDN)","Piutang","Pinjaman Mama (dompet)"},0))),"",SUMIFS(Akun!$C$5:$C$104,Akun!$A$5:$A$104,$A72,Akun!$D$5:$D$104,"&lt;="&amp;MIN(EOMONTH(DATE(Dashboard!$C$4,10,1),0),TODAY()))+SUMIFS(Transaksi!$F$16:$F$5015,Transaksi!$C$16:$C$5015,$A72,Transaksi!$D$16:$D$5015,"Masuk",Transaksi!$B$16:$B$5015,"&lt;="&amp;MIN(EOMONTH(DATE(Dashboard!$C$4,10,1),0),TODAY()))-SUMIFS(Transaksi!$F$16:$F$5015,Transaksi!$C$16:$C$5015,$A72,Transaksi!$D$16:$D$5015,"Keluar",Transaksi!$B$16:$B$5015,"&lt;="&amp;MIN(EOMONTH(DATE(Dashboard!$C$4,10,1),0),TODAY()))-SUMIFS(Transaksi!$F$16:$F$5015,Transaksi!$C$16:$C$5015,$A72,Transaksi!$D$16:$D$5015,"Pindah",Transaksi!$B$16:$B$5015,"&lt;="&amp;MIN(EOMONTH(DATE(Dashboard!$C$4,10,1),0),TODAY()))+SUMIFS(Transaksi!$F$16:$F$5015,Transaksi!$E$16:$E$5015,$A72,Transaksi!$D$16:$D$5015,"Pindah",Transaksi!$B$16:$B$5015,"&lt;="&amp;MIN(EOMONTH(DATE(Dashboard!$C$4,10,1),0),TODAY())))</f>
        <v/>
      </c>
      <c r="M72" s="106">
        <f>IF(OR($A72="",DATE(Dashboard!$C$4,11,1)&gt;TODAY(),ISNA(MATCH($B72,{"Pribadi","Investasi (kas RDN)","Piutang","Pinjaman Mama (dompet)"},0))),"",SUMIFS(Akun!$C$5:$C$104,Akun!$A$5:$A$104,$A72,Akun!$D$5:$D$104,"&lt;="&amp;MIN(EOMONTH(DATE(Dashboard!$C$4,11,1),0),TODAY()))+SUMIFS(Transaksi!$F$16:$F$5015,Transaksi!$C$16:$C$5015,$A72,Transaksi!$D$16:$D$5015,"Masuk",Transaksi!$B$16:$B$5015,"&lt;="&amp;MIN(EOMONTH(DATE(Dashboard!$C$4,11,1),0),TODAY()))-SUMIFS(Transaksi!$F$16:$F$5015,Transaksi!$C$16:$C$5015,$A72,Transaksi!$D$16:$D$5015,"Keluar",Transaksi!$B$16:$B$5015,"&lt;="&amp;MIN(EOMONTH(DATE(Dashboard!$C$4,11,1),0),TODAY()))-SUMIFS(Transaksi!$F$16:$F$5015,Transaksi!$C$16:$C$5015,$A72,Transaksi!$D$16:$D$5015,"Pindah",Transaksi!$B$16:$B$5015,"&lt;="&amp;MIN(EOMONTH(DATE(Dashboard!$C$4,11,1),0),TODAY()))+SUMIFS(Transaksi!$F$16:$F$5015,Transaksi!$E$16:$E$5015,$A72,Transaksi!$D$16:$D$5015,"Pindah",Transaksi!$B$16:$B$5015,"&lt;="&amp;MIN(EOMONTH(DATE(Dashboard!$C$4,11,1),0),TODAY())))</f>
        <v/>
      </c>
      <c r="N72" s="106">
        <f>IF(OR($A72="",DATE(Dashboard!$C$4,12,1)&gt;TODAY(),ISNA(MATCH($B72,{"Pribadi","Investasi (kas RDN)","Piutang","Pinjaman Mama (dompet)"},0))),"",SUMIFS(Akun!$C$5:$C$104,Akun!$A$5:$A$104,$A72,Akun!$D$5:$D$104,"&lt;="&amp;MIN(EOMONTH(DATE(Dashboard!$C$4,12,1),0),TODAY()))+SUMIFS(Transaksi!$F$16:$F$5015,Transaksi!$C$16:$C$5015,$A72,Transaksi!$D$16:$D$5015,"Masuk",Transaksi!$B$16:$B$5015,"&lt;="&amp;MIN(EOMONTH(DATE(Dashboard!$C$4,12,1),0),TODAY()))-SUMIFS(Transaksi!$F$16:$F$5015,Transaksi!$C$16:$C$5015,$A72,Transaksi!$D$16:$D$5015,"Keluar",Transaksi!$B$16:$B$5015,"&lt;="&amp;MIN(EOMONTH(DATE(Dashboard!$C$4,12,1),0),TODAY()))-SUMIFS(Transaksi!$F$16:$F$5015,Transaksi!$C$16:$C$5015,$A72,Transaksi!$D$16:$D$5015,"Pindah",Transaksi!$B$16:$B$5015,"&lt;="&amp;MIN(EOMONTH(DATE(Dashboard!$C$4,12,1),0),TODAY()))+SUMIFS(Transaksi!$F$16:$F$5015,Transaksi!$E$16:$E$5015,$A72,Transaksi!$D$16:$D$5015,"Pindah",Transaksi!$B$16:$B$5015,"&lt;="&amp;MIN(EOMONTH(DATE(Dashboard!$C$4,12,1),0),TODAY())))</f>
        <v/>
      </c>
    </row>
    <row r="73" ht="15" customHeight="1" s="94">
      <c r="A73" s="93">
        <f>IF(Akun!$A$37="","",Akun!$A$37)</f>
        <v/>
      </c>
      <c r="B73" s="93">
        <f>IF(Akun!$A$37="","",Akun!$B$37)</f>
        <v/>
      </c>
      <c r="C73" s="106">
        <f>IF(OR($A73="",DATE(Dashboard!$C$4,1,1)&gt;TODAY(),ISNA(MATCH($B73,{"Pribadi","Investasi (kas RDN)","Piutang","Pinjaman Mama (dompet)"},0))),"",SUMIFS(Akun!$C$5:$C$104,Akun!$A$5:$A$104,$A73,Akun!$D$5:$D$104,"&lt;="&amp;MIN(EOMONTH(DATE(Dashboard!$C$4,1,1),0),TODAY()))+SUMIFS(Transaksi!$F$16:$F$5015,Transaksi!$C$16:$C$5015,$A73,Transaksi!$D$16:$D$5015,"Masuk",Transaksi!$B$16:$B$5015,"&lt;="&amp;MIN(EOMONTH(DATE(Dashboard!$C$4,1,1),0),TODAY()))-SUMIFS(Transaksi!$F$16:$F$5015,Transaksi!$C$16:$C$5015,$A73,Transaksi!$D$16:$D$5015,"Keluar",Transaksi!$B$16:$B$5015,"&lt;="&amp;MIN(EOMONTH(DATE(Dashboard!$C$4,1,1),0),TODAY()))-SUMIFS(Transaksi!$F$16:$F$5015,Transaksi!$C$16:$C$5015,$A73,Transaksi!$D$16:$D$5015,"Pindah",Transaksi!$B$16:$B$5015,"&lt;="&amp;MIN(EOMONTH(DATE(Dashboard!$C$4,1,1),0),TODAY()))+SUMIFS(Transaksi!$F$16:$F$5015,Transaksi!$E$16:$E$5015,$A73,Transaksi!$D$16:$D$5015,"Pindah",Transaksi!$B$16:$B$5015,"&lt;="&amp;MIN(EOMONTH(DATE(Dashboard!$C$4,1,1),0),TODAY())))</f>
        <v/>
      </c>
      <c r="D73" s="106">
        <f>IF(OR($A73="",DATE(Dashboard!$C$4,2,1)&gt;TODAY(),ISNA(MATCH($B73,{"Pribadi","Investasi (kas RDN)","Piutang","Pinjaman Mama (dompet)"},0))),"",SUMIFS(Akun!$C$5:$C$104,Akun!$A$5:$A$104,$A73,Akun!$D$5:$D$104,"&lt;="&amp;MIN(EOMONTH(DATE(Dashboard!$C$4,2,1),0),TODAY()))+SUMIFS(Transaksi!$F$16:$F$5015,Transaksi!$C$16:$C$5015,$A73,Transaksi!$D$16:$D$5015,"Masuk",Transaksi!$B$16:$B$5015,"&lt;="&amp;MIN(EOMONTH(DATE(Dashboard!$C$4,2,1),0),TODAY()))-SUMIFS(Transaksi!$F$16:$F$5015,Transaksi!$C$16:$C$5015,$A73,Transaksi!$D$16:$D$5015,"Keluar",Transaksi!$B$16:$B$5015,"&lt;="&amp;MIN(EOMONTH(DATE(Dashboard!$C$4,2,1),0),TODAY()))-SUMIFS(Transaksi!$F$16:$F$5015,Transaksi!$C$16:$C$5015,$A73,Transaksi!$D$16:$D$5015,"Pindah",Transaksi!$B$16:$B$5015,"&lt;="&amp;MIN(EOMONTH(DATE(Dashboard!$C$4,2,1),0),TODAY()))+SUMIFS(Transaksi!$F$16:$F$5015,Transaksi!$E$16:$E$5015,$A73,Transaksi!$D$16:$D$5015,"Pindah",Transaksi!$B$16:$B$5015,"&lt;="&amp;MIN(EOMONTH(DATE(Dashboard!$C$4,2,1),0),TODAY())))</f>
        <v/>
      </c>
      <c r="E73" s="106">
        <f>IF(OR($A73="",DATE(Dashboard!$C$4,3,1)&gt;TODAY(),ISNA(MATCH($B73,{"Pribadi","Investasi (kas RDN)","Piutang","Pinjaman Mama (dompet)"},0))),"",SUMIFS(Akun!$C$5:$C$104,Akun!$A$5:$A$104,$A73,Akun!$D$5:$D$104,"&lt;="&amp;MIN(EOMONTH(DATE(Dashboard!$C$4,3,1),0),TODAY()))+SUMIFS(Transaksi!$F$16:$F$5015,Transaksi!$C$16:$C$5015,$A73,Transaksi!$D$16:$D$5015,"Masuk",Transaksi!$B$16:$B$5015,"&lt;="&amp;MIN(EOMONTH(DATE(Dashboard!$C$4,3,1),0),TODAY()))-SUMIFS(Transaksi!$F$16:$F$5015,Transaksi!$C$16:$C$5015,$A73,Transaksi!$D$16:$D$5015,"Keluar",Transaksi!$B$16:$B$5015,"&lt;="&amp;MIN(EOMONTH(DATE(Dashboard!$C$4,3,1),0),TODAY()))-SUMIFS(Transaksi!$F$16:$F$5015,Transaksi!$C$16:$C$5015,$A73,Transaksi!$D$16:$D$5015,"Pindah",Transaksi!$B$16:$B$5015,"&lt;="&amp;MIN(EOMONTH(DATE(Dashboard!$C$4,3,1),0),TODAY()))+SUMIFS(Transaksi!$F$16:$F$5015,Transaksi!$E$16:$E$5015,$A73,Transaksi!$D$16:$D$5015,"Pindah",Transaksi!$B$16:$B$5015,"&lt;="&amp;MIN(EOMONTH(DATE(Dashboard!$C$4,3,1),0),TODAY())))</f>
        <v/>
      </c>
      <c r="F73" s="106">
        <f>IF(OR($A73="",DATE(Dashboard!$C$4,4,1)&gt;TODAY(),ISNA(MATCH($B73,{"Pribadi","Investasi (kas RDN)","Piutang","Pinjaman Mama (dompet)"},0))),"",SUMIFS(Akun!$C$5:$C$104,Akun!$A$5:$A$104,$A73,Akun!$D$5:$D$104,"&lt;="&amp;MIN(EOMONTH(DATE(Dashboard!$C$4,4,1),0),TODAY()))+SUMIFS(Transaksi!$F$16:$F$5015,Transaksi!$C$16:$C$5015,$A73,Transaksi!$D$16:$D$5015,"Masuk",Transaksi!$B$16:$B$5015,"&lt;="&amp;MIN(EOMONTH(DATE(Dashboard!$C$4,4,1),0),TODAY()))-SUMIFS(Transaksi!$F$16:$F$5015,Transaksi!$C$16:$C$5015,$A73,Transaksi!$D$16:$D$5015,"Keluar",Transaksi!$B$16:$B$5015,"&lt;="&amp;MIN(EOMONTH(DATE(Dashboard!$C$4,4,1),0),TODAY()))-SUMIFS(Transaksi!$F$16:$F$5015,Transaksi!$C$16:$C$5015,$A73,Transaksi!$D$16:$D$5015,"Pindah",Transaksi!$B$16:$B$5015,"&lt;="&amp;MIN(EOMONTH(DATE(Dashboard!$C$4,4,1),0),TODAY()))+SUMIFS(Transaksi!$F$16:$F$5015,Transaksi!$E$16:$E$5015,$A73,Transaksi!$D$16:$D$5015,"Pindah",Transaksi!$B$16:$B$5015,"&lt;="&amp;MIN(EOMONTH(DATE(Dashboard!$C$4,4,1),0),TODAY())))</f>
        <v/>
      </c>
      <c r="G73" s="106">
        <f>IF(OR($A73="",DATE(Dashboard!$C$4,5,1)&gt;TODAY(),ISNA(MATCH($B73,{"Pribadi","Investasi (kas RDN)","Piutang","Pinjaman Mama (dompet)"},0))),"",SUMIFS(Akun!$C$5:$C$104,Akun!$A$5:$A$104,$A73,Akun!$D$5:$D$104,"&lt;="&amp;MIN(EOMONTH(DATE(Dashboard!$C$4,5,1),0),TODAY()))+SUMIFS(Transaksi!$F$16:$F$5015,Transaksi!$C$16:$C$5015,$A73,Transaksi!$D$16:$D$5015,"Masuk",Transaksi!$B$16:$B$5015,"&lt;="&amp;MIN(EOMONTH(DATE(Dashboard!$C$4,5,1),0),TODAY()))-SUMIFS(Transaksi!$F$16:$F$5015,Transaksi!$C$16:$C$5015,$A73,Transaksi!$D$16:$D$5015,"Keluar",Transaksi!$B$16:$B$5015,"&lt;="&amp;MIN(EOMONTH(DATE(Dashboard!$C$4,5,1),0),TODAY()))-SUMIFS(Transaksi!$F$16:$F$5015,Transaksi!$C$16:$C$5015,$A73,Transaksi!$D$16:$D$5015,"Pindah",Transaksi!$B$16:$B$5015,"&lt;="&amp;MIN(EOMONTH(DATE(Dashboard!$C$4,5,1),0),TODAY()))+SUMIFS(Transaksi!$F$16:$F$5015,Transaksi!$E$16:$E$5015,$A73,Transaksi!$D$16:$D$5015,"Pindah",Transaksi!$B$16:$B$5015,"&lt;="&amp;MIN(EOMONTH(DATE(Dashboard!$C$4,5,1),0),TODAY())))</f>
        <v/>
      </c>
      <c r="H73" s="106">
        <f>IF(OR($A73="",DATE(Dashboard!$C$4,6,1)&gt;TODAY(),ISNA(MATCH($B73,{"Pribadi","Investasi (kas RDN)","Piutang","Pinjaman Mama (dompet)"},0))),"",SUMIFS(Akun!$C$5:$C$104,Akun!$A$5:$A$104,$A73,Akun!$D$5:$D$104,"&lt;="&amp;MIN(EOMONTH(DATE(Dashboard!$C$4,6,1),0),TODAY()))+SUMIFS(Transaksi!$F$16:$F$5015,Transaksi!$C$16:$C$5015,$A73,Transaksi!$D$16:$D$5015,"Masuk",Transaksi!$B$16:$B$5015,"&lt;="&amp;MIN(EOMONTH(DATE(Dashboard!$C$4,6,1),0),TODAY()))-SUMIFS(Transaksi!$F$16:$F$5015,Transaksi!$C$16:$C$5015,$A73,Transaksi!$D$16:$D$5015,"Keluar",Transaksi!$B$16:$B$5015,"&lt;="&amp;MIN(EOMONTH(DATE(Dashboard!$C$4,6,1),0),TODAY()))-SUMIFS(Transaksi!$F$16:$F$5015,Transaksi!$C$16:$C$5015,$A73,Transaksi!$D$16:$D$5015,"Pindah",Transaksi!$B$16:$B$5015,"&lt;="&amp;MIN(EOMONTH(DATE(Dashboard!$C$4,6,1),0),TODAY()))+SUMIFS(Transaksi!$F$16:$F$5015,Transaksi!$E$16:$E$5015,$A73,Transaksi!$D$16:$D$5015,"Pindah",Transaksi!$B$16:$B$5015,"&lt;="&amp;MIN(EOMONTH(DATE(Dashboard!$C$4,6,1),0),TODAY())))</f>
        <v/>
      </c>
      <c r="I73" s="106">
        <f>IF(OR($A73="",DATE(Dashboard!$C$4,7,1)&gt;TODAY(),ISNA(MATCH($B73,{"Pribadi","Investasi (kas RDN)","Piutang","Pinjaman Mama (dompet)"},0))),"",SUMIFS(Akun!$C$5:$C$104,Akun!$A$5:$A$104,$A73,Akun!$D$5:$D$104,"&lt;="&amp;MIN(EOMONTH(DATE(Dashboard!$C$4,7,1),0),TODAY()))+SUMIFS(Transaksi!$F$16:$F$5015,Transaksi!$C$16:$C$5015,$A73,Transaksi!$D$16:$D$5015,"Masuk",Transaksi!$B$16:$B$5015,"&lt;="&amp;MIN(EOMONTH(DATE(Dashboard!$C$4,7,1),0),TODAY()))-SUMIFS(Transaksi!$F$16:$F$5015,Transaksi!$C$16:$C$5015,$A73,Transaksi!$D$16:$D$5015,"Keluar",Transaksi!$B$16:$B$5015,"&lt;="&amp;MIN(EOMONTH(DATE(Dashboard!$C$4,7,1),0),TODAY()))-SUMIFS(Transaksi!$F$16:$F$5015,Transaksi!$C$16:$C$5015,$A73,Transaksi!$D$16:$D$5015,"Pindah",Transaksi!$B$16:$B$5015,"&lt;="&amp;MIN(EOMONTH(DATE(Dashboard!$C$4,7,1),0),TODAY()))+SUMIFS(Transaksi!$F$16:$F$5015,Transaksi!$E$16:$E$5015,$A73,Transaksi!$D$16:$D$5015,"Pindah",Transaksi!$B$16:$B$5015,"&lt;="&amp;MIN(EOMONTH(DATE(Dashboard!$C$4,7,1),0),TODAY())))</f>
        <v/>
      </c>
      <c r="J73" s="106">
        <f>IF(OR($A73="",DATE(Dashboard!$C$4,8,1)&gt;TODAY(),ISNA(MATCH($B73,{"Pribadi","Investasi (kas RDN)","Piutang","Pinjaman Mama (dompet)"},0))),"",SUMIFS(Akun!$C$5:$C$104,Akun!$A$5:$A$104,$A73,Akun!$D$5:$D$104,"&lt;="&amp;MIN(EOMONTH(DATE(Dashboard!$C$4,8,1),0),TODAY()))+SUMIFS(Transaksi!$F$16:$F$5015,Transaksi!$C$16:$C$5015,$A73,Transaksi!$D$16:$D$5015,"Masuk",Transaksi!$B$16:$B$5015,"&lt;="&amp;MIN(EOMONTH(DATE(Dashboard!$C$4,8,1),0),TODAY()))-SUMIFS(Transaksi!$F$16:$F$5015,Transaksi!$C$16:$C$5015,$A73,Transaksi!$D$16:$D$5015,"Keluar",Transaksi!$B$16:$B$5015,"&lt;="&amp;MIN(EOMONTH(DATE(Dashboard!$C$4,8,1),0),TODAY()))-SUMIFS(Transaksi!$F$16:$F$5015,Transaksi!$C$16:$C$5015,$A73,Transaksi!$D$16:$D$5015,"Pindah",Transaksi!$B$16:$B$5015,"&lt;="&amp;MIN(EOMONTH(DATE(Dashboard!$C$4,8,1),0),TODAY()))+SUMIFS(Transaksi!$F$16:$F$5015,Transaksi!$E$16:$E$5015,$A73,Transaksi!$D$16:$D$5015,"Pindah",Transaksi!$B$16:$B$5015,"&lt;="&amp;MIN(EOMONTH(DATE(Dashboard!$C$4,8,1),0),TODAY())))</f>
        <v/>
      </c>
      <c r="K73" s="106">
        <f>IF(OR($A73="",DATE(Dashboard!$C$4,9,1)&gt;TODAY(),ISNA(MATCH($B73,{"Pribadi","Investasi (kas RDN)","Piutang","Pinjaman Mama (dompet)"},0))),"",SUMIFS(Akun!$C$5:$C$104,Akun!$A$5:$A$104,$A73,Akun!$D$5:$D$104,"&lt;="&amp;MIN(EOMONTH(DATE(Dashboard!$C$4,9,1),0),TODAY()))+SUMIFS(Transaksi!$F$16:$F$5015,Transaksi!$C$16:$C$5015,$A73,Transaksi!$D$16:$D$5015,"Masuk",Transaksi!$B$16:$B$5015,"&lt;="&amp;MIN(EOMONTH(DATE(Dashboard!$C$4,9,1),0),TODAY()))-SUMIFS(Transaksi!$F$16:$F$5015,Transaksi!$C$16:$C$5015,$A73,Transaksi!$D$16:$D$5015,"Keluar",Transaksi!$B$16:$B$5015,"&lt;="&amp;MIN(EOMONTH(DATE(Dashboard!$C$4,9,1),0),TODAY()))-SUMIFS(Transaksi!$F$16:$F$5015,Transaksi!$C$16:$C$5015,$A73,Transaksi!$D$16:$D$5015,"Pindah",Transaksi!$B$16:$B$5015,"&lt;="&amp;MIN(EOMONTH(DATE(Dashboard!$C$4,9,1),0),TODAY()))+SUMIFS(Transaksi!$F$16:$F$5015,Transaksi!$E$16:$E$5015,$A73,Transaksi!$D$16:$D$5015,"Pindah",Transaksi!$B$16:$B$5015,"&lt;="&amp;MIN(EOMONTH(DATE(Dashboard!$C$4,9,1),0),TODAY())))</f>
        <v/>
      </c>
      <c r="L73" s="106">
        <f>IF(OR($A73="",DATE(Dashboard!$C$4,10,1)&gt;TODAY(),ISNA(MATCH($B73,{"Pribadi","Investasi (kas RDN)","Piutang","Pinjaman Mama (dompet)"},0))),"",SUMIFS(Akun!$C$5:$C$104,Akun!$A$5:$A$104,$A73,Akun!$D$5:$D$104,"&lt;="&amp;MIN(EOMONTH(DATE(Dashboard!$C$4,10,1),0),TODAY()))+SUMIFS(Transaksi!$F$16:$F$5015,Transaksi!$C$16:$C$5015,$A73,Transaksi!$D$16:$D$5015,"Masuk",Transaksi!$B$16:$B$5015,"&lt;="&amp;MIN(EOMONTH(DATE(Dashboard!$C$4,10,1),0),TODAY()))-SUMIFS(Transaksi!$F$16:$F$5015,Transaksi!$C$16:$C$5015,$A73,Transaksi!$D$16:$D$5015,"Keluar",Transaksi!$B$16:$B$5015,"&lt;="&amp;MIN(EOMONTH(DATE(Dashboard!$C$4,10,1),0),TODAY()))-SUMIFS(Transaksi!$F$16:$F$5015,Transaksi!$C$16:$C$5015,$A73,Transaksi!$D$16:$D$5015,"Pindah",Transaksi!$B$16:$B$5015,"&lt;="&amp;MIN(EOMONTH(DATE(Dashboard!$C$4,10,1),0),TODAY()))+SUMIFS(Transaksi!$F$16:$F$5015,Transaksi!$E$16:$E$5015,$A73,Transaksi!$D$16:$D$5015,"Pindah",Transaksi!$B$16:$B$5015,"&lt;="&amp;MIN(EOMONTH(DATE(Dashboard!$C$4,10,1),0),TODAY())))</f>
        <v/>
      </c>
      <c r="M73" s="106">
        <f>IF(OR($A73="",DATE(Dashboard!$C$4,11,1)&gt;TODAY(),ISNA(MATCH($B73,{"Pribadi","Investasi (kas RDN)","Piutang","Pinjaman Mama (dompet)"},0))),"",SUMIFS(Akun!$C$5:$C$104,Akun!$A$5:$A$104,$A73,Akun!$D$5:$D$104,"&lt;="&amp;MIN(EOMONTH(DATE(Dashboard!$C$4,11,1),0),TODAY()))+SUMIFS(Transaksi!$F$16:$F$5015,Transaksi!$C$16:$C$5015,$A73,Transaksi!$D$16:$D$5015,"Masuk",Transaksi!$B$16:$B$5015,"&lt;="&amp;MIN(EOMONTH(DATE(Dashboard!$C$4,11,1),0),TODAY()))-SUMIFS(Transaksi!$F$16:$F$5015,Transaksi!$C$16:$C$5015,$A73,Transaksi!$D$16:$D$5015,"Keluar",Transaksi!$B$16:$B$5015,"&lt;="&amp;MIN(EOMONTH(DATE(Dashboard!$C$4,11,1),0),TODAY()))-SUMIFS(Transaksi!$F$16:$F$5015,Transaksi!$C$16:$C$5015,$A73,Transaksi!$D$16:$D$5015,"Pindah",Transaksi!$B$16:$B$5015,"&lt;="&amp;MIN(EOMONTH(DATE(Dashboard!$C$4,11,1),0),TODAY()))+SUMIFS(Transaksi!$F$16:$F$5015,Transaksi!$E$16:$E$5015,$A73,Transaksi!$D$16:$D$5015,"Pindah",Transaksi!$B$16:$B$5015,"&lt;="&amp;MIN(EOMONTH(DATE(Dashboard!$C$4,11,1),0),TODAY())))</f>
        <v/>
      </c>
      <c r="N73" s="106">
        <f>IF(OR($A73="",DATE(Dashboard!$C$4,12,1)&gt;TODAY(),ISNA(MATCH($B73,{"Pribadi","Investasi (kas RDN)","Piutang","Pinjaman Mama (dompet)"},0))),"",SUMIFS(Akun!$C$5:$C$104,Akun!$A$5:$A$104,$A73,Akun!$D$5:$D$104,"&lt;="&amp;MIN(EOMONTH(DATE(Dashboard!$C$4,12,1),0),TODAY()))+SUMIFS(Transaksi!$F$16:$F$5015,Transaksi!$C$16:$C$5015,$A73,Transaksi!$D$16:$D$5015,"Masuk",Transaksi!$B$16:$B$5015,"&lt;="&amp;MIN(EOMONTH(DATE(Dashboard!$C$4,12,1),0),TODAY()))-SUMIFS(Transaksi!$F$16:$F$5015,Transaksi!$C$16:$C$5015,$A73,Transaksi!$D$16:$D$5015,"Keluar",Transaksi!$B$16:$B$5015,"&lt;="&amp;MIN(EOMONTH(DATE(Dashboard!$C$4,12,1),0),TODAY()))-SUMIFS(Transaksi!$F$16:$F$5015,Transaksi!$C$16:$C$5015,$A73,Transaksi!$D$16:$D$5015,"Pindah",Transaksi!$B$16:$B$5015,"&lt;="&amp;MIN(EOMONTH(DATE(Dashboard!$C$4,12,1),0),TODAY()))+SUMIFS(Transaksi!$F$16:$F$5015,Transaksi!$E$16:$E$5015,$A73,Transaksi!$D$16:$D$5015,"Pindah",Transaksi!$B$16:$B$5015,"&lt;="&amp;MIN(EOMONTH(DATE(Dashboard!$C$4,12,1),0),TODAY())))</f>
        <v/>
      </c>
    </row>
    <row r="74" ht="15" customHeight="1" s="94">
      <c r="A74" s="93">
        <f>IF(Akun!$A$38="","",Akun!$A$38)</f>
        <v/>
      </c>
      <c r="B74" s="93">
        <f>IF(Akun!$A$38="","",Akun!$B$38)</f>
        <v/>
      </c>
      <c r="C74" s="106">
        <f>IF(OR($A74="",DATE(Dashboard!$C$4,1,1)&gt;TODAY(),ISNA(MATCH($B74,{"Pribadi","Investasi (kas RDN)","Piutang","Pinjaman Mama (dompet)"},0))),"",SUMIFS(Akun!$C$5:$C$104,Akun!$A$5:$A$104,$A74,Akun!$D$5:$D$104,"&lt;="&amp;MIN(EOMONTH(DATE(Dashboard!$C$4,1,1),0),TODAY()))+SUMIFS(Transaksi!$F$16:$F$5015,Transaksi!$C$16:$C$5015,$A74,Transaksi!$D$16:$D$5015,"Masuk",Transaksi!$B$16:$B$5015,"&lt;="&amp;MIN(EOMONTH(DATE(Dashboard!$C$4,1,1),0),TODAY()))-SUMIFS(Transaksi!$F$16:$F$5015,Transaksi!$C$16:$C$5015,$A74,Transaksi!$D$16:$D$5015,"Keluar",Transaksi!$B$16:$B$5015,"&lt;="&amp;MIN(EOMONTH(DATE(Dashboard!$C$4,1,1),0),TODAY()))-SUMIFS(Transaksi!$F$16:$F$5015,Transaksi!$C$16:$C$5015,$A74,Transaksi!$D$16:$D$5015,"Pindah",Transaksi!$B$16:$B$5015,"&lt;="&amp;MIN(EOMONTH(DATE(Dashboard!$C$4,1,1),0),TODAY()))+SUMIFS(Transaksi!$F$16:$F$5015,Transaksi!$E$16:$E$5015,$A74,Transaksi!$D$16:$D$5015,"Pindah",Transaksi!$B$16:$B$5015,"&lt;="&amp;MIN(EOMONTH(DATE(Dashboard!$C$4,1,1),0),TODAY())))</f>
        <v/>
      </c>
      <c r="D74" s="106">
        <f>IF(OR($A74="",DATE(Dashboard!$C$4,2,1)&gt;TODAY(),ISNA(MATCH($B74,{"Pribadi","Investasi (kas RDN)","Piutang","Pinjaman Mama (dompet)"},0))),"",SUMIFS(Akun!$C$5:$C$104,Akun!$A$5:$A$104,$A74,Akun!$D$5:$D$104,"&lt;="&amp;MIN(EOMONTH(DATE(Dashboard!$C$4,2,1),0),TODAY()))+SUMIFS(Transaksi!$F$16:$F$5015,Transaksi!$C$16:$C$5015,$A74,Transaksi!$D$16:$D$5015,"Masuk",Transaksi!$B$16:$B$5015,"&lt;="&amp;MIN(EOMONTH(DATE(Dashboard!$C$4,2,1),0),TODAY()))-SUMIFS(Transaksi!$F$16:$F$5015,Transaksi!$C$16:$C$5015,$A74,Transaksi!$D$16:$D$5015,"Keluar",Transaksi!$B$16:$B$5015,"&lt;="&amp;MIN(EOMONTH(DATE(Dashboard!$C$4,2,1),0),TODAY()))-SUMIFS(Transaksi!$F$16:$F$5015,Transaksi!$C$16:$C$5015,$A74,Transaksi!$D$16:$D$5015,"Pindah",Transaksi!$B$16:$B$5015,"&lt;="&amp;MIN(EOMONTH(DATE(Dashboard!$C$4,2,1),0),TODAY()))+SUMIFS(Transaksi!$F$16:$F$5015,Transaksi!$E$16:$E$5015,$A74,Transaksi!$D$16:$D$5015,"Pindah",Transaksi!$B$16:$B$5015,"&lt;="&amp;MIN(EOMONTH(DATE(Dashboard!$C$4,2,1),0),TODAY())))</f>
        <v/>
      </c>
      <c r="E74" s="106">
        <f>IF(OR($A74="",DATE(Dashboard!$C$4,3,1)&gt;TODAY(),ISNA(MATCH($B74,{"Pribadi","Investasi (kas RDN)","Piutang","Pinjaman Mama (dompet)"},0))),"",SUMIFS(Akun!$C$5:$C$104,Akun!$A$5:$A$104,$A74,Akun!$D$5:$D$104,"&lt;="&amp;MIN(EOMONTH(DATE(Dashboard!$C$4,3,1),0),TODAY()))+SUMIFS(Transaksi!$F$16:$F$5015,Transaksi!$C$16:$C$5015,$A74,Transaksi!$D$16:$D$5015,"Masuk",Transaksi!$B$16:$B$5015,"&lt;="&amp;MIN(EOMONTH(DATE(Dashboard!$C$4,3,1),0),TODAY()))-SUMIFS(Transaksi!$F$16:$F$5015,Transaksi!$C$16:$C$5015,$A74,Transaksi!$D$16:$D$5015,"Keluar",Transaksi!$B$16:$B$5015,"&lt;="&amp;MIN(EOMONTH(DATE(Dashboard!$C$4,3,1),0),TODAY()))-SUMIFS(Transaksi!$F$16:$F$5015,Transaksi!$C$16:$C$5015,$A74,Transaksi!$D$16:$D$5015,"Pindah",Transaksi!$B$16:$B$5015,"&lt;="&amp;MIN(EOMONTH(DATE(Dashboard!$C$4,3,1),0),TODAY()))+SUMIFS(Transaksi!$F$16:$F$5015,Transaksi!$E$16:$E$5015,$A74,Transaksi!$D$16:$D$5015,"Pindah",Transaksi!$B$16:$B$5015,"&lt;="&amp;MIN(EOMONTH(DATE(Dashboard!$C$4,3,1),0),TODAY())))</f>
        <v/>
      </c>
      <c r="F74" s="106">
        <f>IF(OR($A74="",DATE(Dashboard!$C$4,4,1)&gt;TODAY(),ISNA(MATCH($B74,{"Pribadi","Investasi (kas RDN)","Piutang","Pinjaman Mama (dompet)"},0))),"",SUMIFS(Akun!$C$5:$C$104,Akun!$A$5:$A$104,$A74,Akun!$D$5:$D$104,"&lt;="&amp;MIN(EOMONTH(DATE(Dashboard!$C$4,4,1),0),TODAY()))+SUMIFS(Transaksi!$F$16:$F$5015,Transaksi!$C$16:$C$5015,$A74,Transaksi!$D$16:$D$5015,"Masuk",Transaksi!$B$16:$B$5015,"&lt;="&amp;MIN(EOMONTH(DATE(Dashboard!$C$4,4,1),0),TODAY()))-SUMIFS(Transaksi!$F$16:$F$5015,Transaksi!$C$16:$C$5015,$A74,Transaksi!$D$16:$D$5015,"Keluar",Transaksi!$B$16:$B$5015,"&lt;="&amp;MIN(EOMONTH(DATE(Dashboard!$C$4,4,1),0),TODAY()))-SUMIFS(Transaksi!$F$16:$F$5015,Transaksi!$C$16:$C$5015,$A74,Transaksi!$D$16:$D$5015,"Pindah",Transaksi!$B$16:$B$5015,"&lt;="&amp;MIN(EOMONTH(DATE(Dashboard!$C$4,4,1),0),TODAY()))+SUMIFS(Transaksi!$F$16:$F$5015,Transaksi!$E$16:$E$5015,$A74,Transaksi!$D$16:$D$5015,"Pindah",Transaksi!$B$16:$B$5015,"&lt;="&amp;MIN(EOMONTH(DATE(Dashboard!$C$4,4,1),0),TODAY())))</f>
        <v/>
      </c>
      <c r="G74" s="106">
        <f>IF(OR($A74="",DATE(Dashboard!$C$4,5,1)&gt;TODAY(),ISNA(MATCH($B74,{"Pribadi","Investasi (kas RDN)","Piutang","Pinjaman Mama (dompet)"},0))),"",SUMIFS(Akun!$C$5:$C$104,Akun!$A$5:$A$104,$A74,Akun!$D$5:$D$104,"&lt;="&amp;MIN(EOMONTH(DATE(Dashboard!$C$4,5,1),0),TODAY()))+SUMIFS(Transaksi!$F$16:$F$5015,Transaksi!$C$16:$C$5015,$A74,Transaksi!$D$16:$D$5015,"Masuk",Transaksi!$B$16:$B$5015,"&lt;="&amp;MIN(EOMONTH(DATE(Dashboard!$C$4,5,1),0),TODAY()))-SUMIFS(Transaksi!$F$16:$F$5015,Transaksi!$C$16:$C$5015,$A74,Transaksi!$D$16:$D$5015,"Keluar",Transaksi!$B$16:$B$5015,"&lt;="&amp;MIN(EOMONTH(DATE(Dashboard!$C$4,5,1),0),TODAY()))-SUMIFS(Transaksi!$F$16:$F$5015,Transaksi!$C$16:$C$5015,$A74,Transaksi!$D$16:$D$5015,"Pindah",Transaksi!$B$16:$B$5015,"&lt;="&amp;MIN(EOMONTH(DATE(Dashboard!$C$4,5,1),0),TODAY()))+SUMIFS(Transaksi!$F$16:$F$5015,Transaksi!$E$16:$E$5015,$A74,Transaksi!$D$16:$D$5015,"Pindah",Transaksi!$B$16:$B$5015,"&lt;="&amp;MIN(EOMONTH(DATE(Dashboard!$C$4,5,1),0),TODAY())))</f>
        <v/>
      </c>
      <c r="H74" s="106">
        <f>IF(OR($A74="",DATE(Dashboard!$C$4,6,1)&gt;TODAY(),ISNA(MATCH($B74,{"Pribadi","Investasi (kas RDN)","Piutang","Pinjaman Mama (dompet)"},0))),"",SUMIFS(Akun!$C$5:$C$104,Akun!$A$5:$A$104,$A74,Akun!$D$5:$D$104,"&lt;="&amp;MIN(EOMONTH(DATE(Dashboard!$C$4,6,1),0),TODAY()))+SUMIFS(Transaksi!$F$16:$F$5015,Transaksi!$C$16:$C$5015,$A74,Transaksi!$D$16:$D$5015,"Masuk",Transaksi!$B$16:$B$5015,"&lt;="&amp;MIN(EOMONTH(DATE(Dashboard!$C$4,6,1),0),TODAY()))-SUMIFS(Transaksi!$F$16:$F$5015,Transaksi!$C$16:$C$5015,$A74,Transaksi!$D$16:$D$5015,"Keluar",Transaksi!$B$16:$B$5015,"&lt;="&amp;MIN(EOMONTH(DATE(Dashboard!$C$4,6,1),0),TODAY()))-SUMIFS(Transaksi!$F$16:$F$5015,Transaksi!$C$16:$C$5015,$A74,Transaksi!$D$16:$D$5015,"Pindah",Transaksi!$B$16:$B$5015,"&lt;="&amp;MIN(EOMONTH(DATE(Dashboard!$C$4,6,1),0),TODAY()))+SUMIFS(Transaksi!$F$16:$F$5015,Transaksi!$E$16:$E$5015,$A74,Transaksi!$D$16:$D$5015,"Pindah",Transaksi!$B$16:$B$5015,"&lt;="&amp;MIN(EOMONTH(DATE(Dashboard!$C$4,6,1),0),TODAY())))</f>
        <v/>
      </c>
      <c r="I74" s="106">
        <f>IF(OR($A74="",DATE(Dashboard!$C$4,7,1)&gt;TODAY(),ISNA(MATCH($B74,{"Pribadi","Investasi (kas RDN)","Piutang","Pinjaman Mama (dompet)"},0))),"",SUMIFS(Akun!$C$5:$C$104,Akun!$A$5:$A$104,$A74,Akun!$D$5:$D$104,"&lt;="&amp;MIN(EOMONTH(DATE(Dashboard!$C$4,7,1),0),TODAY()))+SUMIFS(Transaksi!$F$16:$F$5015,Transaksi!$C$16:$C$5015,$A74,Transaksi!$D$16:$D$5015,"Masuk",Transaksi!$B$16:$B$5015,"&lt;="&amp;MIN(EOMONTH(DATE(Dashboard!$C$4,7,1),0),TODAY()))-SUMIFS(Transaksi!$F$16:$F$5015,Transaksi!$C$16:$C$5015,$A74,Transaksi!$D$16:$D$5015,"Keluar",Transaksi!$B$16:$B$5015,"&lt;="&amp;MIN(EOMONTH(DATE(Dashboard!$C$4,7,1),0),TODAY()))-SUMIFS(Transaksi!$F$16:$F$5015,Transaksi!$C$16:$C$5015,$A74,Transaksi!$D$16:$D$5015,"Pindah",Transaksi!$B$16:$B$5015,"&lt;="&amp;MIN(EOMONTH(DATE(Dashboard!$C$4,7,1),0),TODAY()))+SUMIFS(Transaksi!$F$16:$F$5015,Transaksi!$E$16:$E$5015,$A74,Transaksi!$D$16:$D$5015,"Pindah",Transaksi!$B$16:$B$5015,"&lt;="&amp;MIN(EOMONTH(DATE(Dashboard!$C$4,7,1),0),TODAY())))</f>
        <v/>
      </c>
      <c r="J74" s="106">
        <f>IF(OR($A74="",DATE(Dashboard!$C$4,8,1)&gt;TODAY(),ISNA(MATCH($B74,{"Pribadi","Investasi (kas RDN)","Piutang","Pinjaman Mama (dompet)"},0))),"",SUMIFS(Akun!$C$5:$C$104,Akun!$A$5:$A$104,$A74,Akun!$D$5:$D$104,"&lt;="&amp;MIN(EOMONTH(DATE(Dashboard!$C$4,8,1),0),TODAY()))+SUMIFS(Transaksi!$F$16:$F$5015,Transaksi!$C$16:$C$5015,$A74,Transaksi!$D$16:$D$5015,"Masuk",Transaksi!$B$16:$B$5015,"&lt;="&amp;MIN(EOMONTH(DATE(Dashboard!$C$4,8,1),0),TODAY()))-SUMIFS(Transaksi!$F$16:$F$5015,Transaksi!$C$16:$C$5015,$A74,Transaksi!$D$16:$D$5015,"Keluar",Transaksi!$B$16:$B$5015,"&lt;="&amp;MIN(EOMONTH(DATE(Dashboard!$C$4,8,1),0),TODAY()))-SUMIFS(Transaksi!$F$16:$F$5015,Transaksi!$C$16:$C$5015,$A74,Transaksi!$D$16:$D$5015,"Pindah",Transaksi!$B$16:$B$5015,"&lt;="&amp;MIN(EOMONTH(DATE(Dashboard!$C$4,8,1),0),TODAY()))+SUMIFS(Transaksi!$F$16:$F$5015,Transaksi!$E$16:$E$5015,$A74,Transaksi!$D$16:$D$5015,"Pindah",Transaksi!$B$16:$B$5015,"&lt;="&amp;MIN(EOMONTH(DATE(Dashboard!$C$4,8,1),0),TODAY())))</f>
        <v/>
      </c>
      <c r="K74" s="106">
        <f>IF(OR($A74="",DATE(Dashboard!$C$4,9,1)&gt;TODAY(),ISNA(MATCH($B74,{"Pribadi","Investasi (kas RDN)","Piutang","Pinjaman Mama (dompet)"},0))),"",SUMIFS(Akun!$C$5:$C$104,Akun!$A$5:$A$104,$A74,Akun!$D$5:$D$104,"&lt;="&amp;MIN(EOMONTH(DATE(Dashboard!$C$4,9,1),0),TODAY()))+SUMIFS(Transaksi!$F$16:$F$5015,Transaksi!$C$16:$C$5015,$A74,Transaksi!$D$16:$D$5015,"Masuk",Transaksi!$B$16:$B$5015,"&lt;="&amp;MIN(EOMONTH(DATE(Dashboard!$C$4,9,1),0),TODAY()))-SUMIFS(Transaksi!$F$16:$F$5015,Transaksi!$C$16:$C$5015,$A74,Transaksi!$D$16:$D$5015,"Keluar",Transaksi!$B$16:$B$5015,"&lt;="&amp;MIN(EOMONTH(DATE(Dashboard!$C$4,9,1),0),TODAY()))-SUMIFS(Transaksi!$F$16:$F$5015,Transaksi!$C$16:$C$5015,$A74,Transaksi!$D$16:$D$5015,"Pindah",Transaksi!$B$16:$B$5015,"&lt;="&amp;MIN(EOMONTH(DATE(Dashboard!$C$4,9,1),0),TODAY()))+SUMIFS(Transaksi!$F$16:$F$5015,Transaksi!$E$16:$E$5015,$A74,Transaksi!$D$16:$D$5015,"Pindah",Transaksi!$B$16:$B$5015,"&lt;="&amp;MIN(EOMONTH(DATE(Dashboard!$C$4,9,1),0),TODAY())))</f>
        <v/>
      </c>
      <c r="L74" s="106">
        <f>IF(OR($A74="",DATE(Dashboard!$C$4,10,1)&gt;TODAY(),ISNA(MATCH($B74,{"Pribadi","Investasi (kas RDN)","Piutang","Pinjaman Mama (dompet)"},0))),"",SUMIFS(Akun!$C$5:$C$104,Akun!$A$5:$A$104,$A74,Akun!$D$5:$D$104,"&lt;="&amp;MIN(EOMONTH(DATE(Dashboard!$C$4,10,1),0),TODAY()))+SUMIFS(Transaksi!$F$16:$F$5015,Transaksi!$C$16:$C$5015,$A74,Transaksi!$D$16:$D$5015,"Masuk",Transaksi!$B$16:$B$5015,"&lt;="&amp;MIN(EOMONTH(DATE(Dashboard!$C$4,10,1),0),TODAY()))-SUMIFS(Transaksi!$F$16:$F$5015,Transaksi!$C$16:$C$5015,$A74,Transaksi!$D$16:$D$5015,"Keluar",Transaksi!$B$16:$B$5015,"&lt;="&amp;MIN(EOMONTH(DATE(Dashboard!$C$4,10,1),0),TODAY()))-SUMIFS(Transaksi!$F$16:$F$5015,Transaksi!$C$16:$C$5015,$A74,Transaksi!$D$16:$D$5015,"Pindah",Transaksi!$B$16:$B$5015,"&lt;="&amp;MIN(EOMONTH(DATE(Dashboard!$C$4,10,1),0),TODAY()))+SUMIFS(Transaksi!$F$16:$F$5015,Transaksi!$E$16:$E$5015,$A74,Transaksi!$D$16:$D$5015,"Pindah",Transaksi!$B$16:$B$5015,"&lt;="&amp;MIN(EOMONTH(DATE(Dashboard!$C$4,10,1),0),TODAY())))</f>
        <v/>
      </c>
      <c r="M74" s="106">
        <f>IF(OR($A74="",DATE(Dashboard!$C$4,11,1)&gt;TODAY(),ISNA(MATCH($B74,{"Pribadi","Investasi (kas RDN)","Piutang","Pinjaman Mama (dompet)"},0))),"",SUMIFS(Akun!$C$5:$C$104,Akun!$A$5:$A$104,$A74,Akun!$D$5:$D$104,"&lt;="&amp;MIN(EOMONTH(DATE(Dashboard!$C$4,11,1),0),TODAY()))+SUMIFS(Transaksi!$F$16:$F$5015,Transaksi!$C$16:$C$5015,$A74,Transaksi!$D$16:$D$5015,"Masuk",Transaksi!$B$16:$B$5015,"&lt;="&amp;MIN(EOMONTH(DATE(Dashboard!$C$4,11,1),0),TODAY()))-SUMIFS(Transaksi!$F$16:$F$5015,Transaksi!$C$16:$C$5015,$A74,Transaksi!$D$16:$D$5015,"Keluar",Transaksi!$B$16:$B$5015,"&lt;="&amp;MIN(EOMONTH(DATE(Dashboard!$C$4,11,1),0),TODAY()))-SUMIFS(Transaksi!$F$16:$F$5015,Transaksi!$C$16:$C$5015,$A74,Transaksi!$D$16:$D$5015,"Pindah",Transaksi!$B$16:$B$5015,"&lt;="&amp;MIN(EOMONTH(DATE(Dashboard!$C$4,11,1),0),TODAY()))+SUMIFS(Transaksi!$F$16:$F$5015,Transaksi!$E$16:$E$5015,$A74,Transaksi!$D$16:$D$5015,"Pindah",Transaksi!$B$16:$B$5015,"&lt;="&amp;MIN(EOMONTH(DATE(Dashboard!$C$4,11,1),0),TODAY())))</f>
        <v/>
      </c>
      <c r="N74" s="106">
        <f>IF(OR($A74="",DATE(Dashboard!$C$4,12,1)&gt;TODAY(),ISNA(MATCH($B74,{"Pribadi","Investasi (kas RDN)","Piutang","Pinjaman Mama (dompet)"},0))),"",SUMIFS(Akun!$C$5:$C$104,Akun!$A$5:$A$104,$A74,Akun!$D$5:$D$104,"&lt;="&amp;MIN(EOMONTH(DATE(Dashboard!$C$4,12,1),0),TODAY()))+SUMIFS(Transaksi!$F$16:$F$5015,Transaksi!$C$16:$C$5015,$A74,Transaksi!$D$16:$D$5015,"Masuk",Transaksi!$B$16:$B$5015,"&lt;="&amp;MIN(EOMONTH(DATE(Dashboard!$C$4,12,1),0),TODAY()))-SUMIFS(Transaksi!$F$16:$F$5015,Transaksi!$C$16:$C$5015,$A74,Transaksi!$D$16:$D$5015,"Keluar",Transaksi!$B$16:$B$5015,"&lt;="&amp;MIN(EOMONTH(DATE(Dashboard!$C$4,12,1),0),TODAY()))-SUMIFS(Transaksi!$F$16:$F$5015,Transaksi!$C$16:$C$5015,$A74,Transaksi!$D$16:$D$5015,"Pindah",Transaksi!$B$16:$B$5015,"&lt;="&amp;MIN(EOMONTH(DATE(Dashboard!$C$4,12,1),0),TODAY()))+SUMIFS(Transaksi!$F$16:$F$5015,Transaksi!$E$16:$E$5015,$A74,Transaksi!$D$16:$D$5015,"Pindah",Transaksi!$B$16:$B$5015,"&lt;="&amp;MIN(EOMONTH(DATE(Dashboard!$C$4,12,1),0),TODAY())))</f>
        <v/>
      </c>
    </row>
    <row r="75" ht="15" customHeight="1" s="94">
      <c r="A75" s="93">
        <f>IF(Akun!$A$39="","",Akun!$A$39)</f>
        <v/>
      </c>
      <c r="B75" s="93">
        <f>IF(Akun!$A$39="","",Akun!$B$39)</f>
        <v/>
      </c>
      <c r="C75" s="106">
        <f>IF(OR($A75="",DATE(Dashboard!$C$4,1,1)&gt;TODAY(),ISNA(MATCH($B75,{"Pribadi","Investasi (kas RDN)","Piutang","Pinjaman Mama (dompet)"},0))),"",SUMIFS(Akun!$C$5:$C$104,Akun!$A$5:$A$104,$A75,Akun!$D$5:$D$104,"&lt;="&amp;MIN(EOMONTH(DATE(Dashboard!$C$4,1,1),0),TODAY()))+SUMIFS(Transaksi!$F$16:$F$5015,Transaksi!$C$16:$C$5015,$A75,Transaksi!$D$16:$D$5015,"Masuk",Transaksi!$B$16:$B$5015,"&lt;="&amp;MIN(EOMONTH(DATE(Dashboard!$C$4,1,1),0),TODAY()))-SUMIFS(Transaksi!$F$16:$F$5015,Transaksi!$C$16:$C$5015,$A75,Transaksi!$D$16:$D$5015,"Keluar",Transaksi!$B$16:$B$5015,"&lt;="&amp;MIN(EOMONTH(DATE(Dashboard!$C$4,1,1),0),TODAY()))-SUMIFS(Transaksi!$F$16:$F$5015,Transaksi!$C$16:$C$5015,$A75,Transaksi!$D$16:$D$5015,"Pindah",Transaksi!$B$16:$B$5015,"&lt;="&amp;MIN(EOMONTH(DATE(Dashboard!$C$4,1,1),0),TODAY()))+SUMIFS(Transaksi!$F$16:$F$5015,Transaksi!$E$16:$E$5015,$A75,Transaksi!$D$16:$D$5015,"Pindah",Transaksi!$B$16:$B$5015,"&lt;="&amp;MIN(EOMONTH(DATE(Dashboard!$C$4,1,1),0),TODAY())))</f>
        <v/>
      </c>
      <c r="D75" s="106">
        <f>IF(OR($A75="",DATE(Dashboard!$C$4,2,1)&gt;TODAY(),ISNA(MATCH($B75,{"Pribadi","Investasi (kas RDN)","Piutang","Pinjaman Mama (dompet)"},0))),"",SUMIFS(Akun!$C$5:$C$104,Akun!$A$5:$A$104,$A75,Akun!$D$5:$D$104,"&lt;="&amp;MIN(EOMONTH(DATE(Dashboard!$C$4,2,1),0),TODAY()))+SUMIFS(Transaksi!$F$16:$F$5015,Transaksi!$C$16:$C$5015,$A75,Transaksi!$D$16:$D$5015,"Masuk",Transaksi!$B$16:$B$5015,"&lt;="&amp;MIN(EOMONTH(DATE(Dashboard!$C$4,2,1),0),TODAY()))-SUMIFS(Transaksi!$F$16:$F$5015,Transaksi!$C$16:$C$5015,$A75,Transaksi!$D$16:$D$5015,"Keluar",Transaksi!$B$16:$B$5015,"&lt;="&amp;MIN(EOMONTH(DATE(Dashboard!$C$4,2,1),0),TODAY()))-SUMIFS(Transaksi!$F$16:$F$5015,Transaksi!$C$16:$C$5015,$A75,Transaksi!$D$16:$D$5015,"Pindah",Transaksi!$B$16:$B$5015,"&lt;="&amp;MIN(EOMONTH(DATE(Dashboard!$C$4,2,1),0),TODAY()))+SUMIFS(Transaksi!$F$16:$F$5015,Transaksi!$E$16:$E$5015,$A75,Transaksi!$D$16:$D$5015,"Pindah",Transaksi!$B$16:$B$5015,"&lt;="&amp;MIN(EOMONTH(DATE(Dashboard!$C$4,2,1),0),TODAY())))</f>
        <v/>
      </c>
      <c r="E75" s="106">
        <f>IF(OR($A75="",DATE(Dashboard!$C$4,3,1)&gt;TODAY(),ISNA(MATCH($B75,{"Pribadi","Investasi (kas RDN)","Piutang","Pinjaman Mama (dompet)"},0))),"",SUMIFS(Akun!$C$5:$C$104,Akun!$A$5:$A$104,$A75,Akun!$D$5:$D$104,"&lt;="&amp;MIN(EOMONTH(DATE(Dashboard!$C$4,3,1),0),TODAY()))+SUMIFS(Transaksi!$F$16:$F$5015,Transaksi!$C$16:$C$5015,$A75,Transaksi!$D$16:$D$5015,"Masuk",Transaksi!$B$16:$B$5015,"&lt;="&amp;MIN(EOMONTH(DATE(Dashboard!$C$4,3,1),0),TODAY()))-SUMIFS(Transaksi!$F$16:$F$5015,Transaksi!$C$16:$C$5015,$A75,Transaksi!$D$16:$D$5015,"Keluar",Transaksi!$B$16:$B$5015,"&lt;="&amp;MIN(EOMONTH(DATE(Dashboard!$C$4,3,1),0),TODAY()))-SUMIFS(Transaksi!$F$16:$F$5015,Transaksi!$C$16:$C$5015,$A75,Transaksi!$D$16:$D$5015,"Pindah",Transaksi!$B$16:$B$5015,"&lt;="&amp;MIN(EOMONTH(DATE(Dashboard!$C$4,3,1),0),TODAY()))+SUMIFS(Transaksi!$F$16:$F$5015,Transaksi!$E$16:$E$5015,$A75,Transaksi!$D$16:$D$5015,"Pindah",Transaksi!$B$16:$B$5015,"&lt;="&amp;MIN(EOMONTH(DATE(Dashboard!$C$4,3,1),0),TODAY())))</f>
        <v/>
      </c>
      <c r="F75" s="106">
        <f>IF(OR($A75="",DATE(Dashboard!$C$4,4,1)&gt;TODAY(),ISNA(MATCH($B75,{"Pribadi","Investasi (kas RDN)","Piutang","Pinjaman Mama (dompet)"},0))),"",SUMIFS(Akun!$C$5:$C$104,Akun!$A$5:$A$104,$A75,Akun!$D$5:$D$104,"&lt;="&amp;MIN(EOMONTH(DATE(Dashboard!$C$4,4,1),0),TODAY()))+SUMIFS(Transaksi!$F$16:$F$5015,Transaksi!$C$16:$C$5015,$A75,Transaksi!$D$16:$D$5015,"Masuk",Transaksi!$B$16:$B$5015,"&lt;="&amp;MIN(EOMONTH(DATE(Dashboard!$C$4,4,1),0),TODAY()))-SUMIFS(Transaksi!$F$16:$F$5015,Transaksi!$C$16:$C$5015,$A75,Transaksi!$D$16:$D$5015,"Keluar",Transaksi!$B$16:$B$5015,"&lt;="&amp;MIN(EOMONTH(DATE(Dashboard!$C$4,4,1),0),TODAY()))-SUMIFS(Transaksi!$F$16:$F$5015,Transaksi!$C$16:$C$5015,$A75,Transaksi!$D$16:$D$5015,"Pindah",Transaksi!$B$16:$B$5015,"&lt;="&amp;MIN(EOMONTH(DATE(Dashboard!$C$4,4,1),0),TODAY()))+SUMIFS(Transaksi!$F$16:$F$5015,Transaksi!$E$16:$E$5015,$A75,Transaksi!$D$16:$D$5015,"Pindah",Transaksi!$B$16:$B$5015,"&lt;="&amp;MIN(EOMONTH(DATE(Dashboard!$C$4,4,1),0),TODAY())))</f>
        <v/>
      </c>
      <c r="G75" s="106">
        <f>IF(OR($A75="",DATE(Dashboard!$C$4,5,1)&gt;TODAY(),ISNA(MATCH($B75,{"Pribadi","Investasi (kas RDN)","Piutang","Pinjaman Mama (dompet)"},0))),"",SUMIFS(Akun!$C$5:$C$104,Akun!$A$5:$A$104,$A75,Akun!$D$5:$D$104,"&lt;="&amp;MIN(EOMONTH(DATE(Dashboard!$C$4,5,1),0),TODAY()))+SUMIFS(Transaksi!$F$16:$F$5015,Transaksi!$C$16:$C$5015,$A75,Transaksi!$D$16:$D$5015,"Masuk",Transaksi!$B$16:$B$5015,"&lt;="&amp;MIN(EOMONTH(DATE(Dashboard!$C$4,5,1),0),TODAY()))-SUMIFS(Transaksi!$F$16:$F$5015,Transaksi!$C$16:$C$5015,$A75,Transaksi!$D$16:$D$5015,"Keluar",Transaksi!$B$16:$B$5015,"&lt;="&amp;MIN(EOMONTH(DATE(Dashboard!$C$4,5,1),0),TODAY()))-SUMIFS(Transaksi!$F$16:$F$5015,Transaksi!$C$16:$C$5015,$A75,Transaksi!$D$16:$D$5015,"Pindah",Transaksi!$B$16:$B$5015,"&lt;="&amp;MIN(EOMONTH(DATE(Dashboard!$C$4,5,1),0),TODAY()))+SUMIFS(Transaksi!$F$16:$F$5015,Transaksi!$E$16:$E$5015,$A75,Transaksi!$D$16:$D$5015,"Pindah",Transaksi!$B$16:$B$5015,"&lt;="&amp;MIN(EOMONTH(DATE(Dashboard!$C$4,5,1),0),TODAY())))</f>
        <v/>
      </c>
      <c r="H75" s="106">
        <f>IF(OR($A75="",DATE(Dashboard!$C$4,6,1)&gt;TODAY(),ISNA(MATCH($B75,{"Pribadi","Investasi (kas RDN)","Piutang","Pinjaman Mama (dompet)"},0))),"",SUMIFS(Akun!$C$5:$C$104,Akun!$A$5:$A$104,$A75,Akun!$D$5:$D$104,"&lt;="&amp;MIN(EOMONTH(DATE(Dashboard!$C$4,6,1),0),TODAY()))+SUMIFS(Transaksi!$F$16:$F$5015,Transaksi!$C$16:$C$5015,$A75,Transaksi!$D$16:$D$5015,"Masuk",Transaksi!$B$16:$B$5015,"&lt;="&amp;MIN(EOMONTH(DATE(Dashboard!$C$4,6,1),0),TODAY()))-SUMIFS(Transaksi!$F$16:$F$5015,Transaksi!$C$16:$C$5015,$A75,Transaksi!$D$16:$D$5015,"Keluar",Transaksi!$B$16:$B$5015,"&lt;="&amp;MIN(EOMONTH(DATE(Dashboard!$C$4,6,1),0),TODAY()))-SUMIFS(Transaksi!$F$16:$F$5015,Transaksi!$C$16:$C$5015,$A75,Transaksi!$D$16:$D$5015,"Pindah",Transaksi!$B$16:$B$5015,"&lt;="&amp;MIN(EOMONTH(DATE(Dashboard!$C$4,6,1),0),TODAY()))+SUMIFS(Transaksi!$F$16:$F$5015,Transaksi!$E$16:$E$5015,$A75,Transaksi!$D$16:$D$5015,"Pindah",Transaksi!$B$16:$B$5015,"&lt;="&amp;MIN(EOMONTH(DATE(Dashboard!$C$4,6,1),0),TODAY())))</f>
        <v/>
      </c>
      <c r="I75" s="106">
        <f>IF(OR($A75="",DATE(Dashboard!$C$4,7,1)&gt;TODAY(),ISNA(MATCH($B75,{"Pribadi","Investasi (kas RDN)","Piutang","Pinjaman Mama (dompet)"},0))),"",SUMIFS(Akun!$C$5:$C$104,Akun!$A$5:$A$104,$A75,Akun!$D$5:$D$104,"&lt;="&amp;MIN(EOMONTH(DATE(Dashboard!$C$4,7,1),0),TODAY()))+SUMIFS(Transaksi!$F$16:$F$5015,Transaksi!$C$16:$C$5015,$A75,Transaksi!$D$16:$D$5015,"Masuk",Transaksi!$B$16:$B$5015,"&lt;="&amp;MIN(EOMONTH(DATE(Dashboard!$C$4,7,1),0),TODAY()))-SUMIFS(Transaksi!$F$16:$F$5015,Transaksi!$C$16:$C$5015,$A75,Transaksi!$D$16:$D$5015,"Keluar",Transaksi!$B$16:$B$5015,"&lt;="&amp;MIN(EOMONTH(DATE(Dashboard!$C$4,7,1),0),TODAY()))-SUMIFS(Transaksi!$F$16:$F$5015,Transaksi!$C$16:$C$5015,$A75,Transaksi!$D$16:$D$5015,"Pindah",Transaksi!$B$16:$B$5015,"&lt;="&amp;MIN(EOMONTH(DATE(Dashboard!$C$4,7,1),0),TODAY()))+SUMIFS(Transaksi!$F$16:$F$5015,Transaksi!$E$16:$E$5015,$A75,Transaksi!$D$16:$D$5015,"Pindah",Transaksi!$B$16:$B$5015,"&lt;="&amp;MIN(EOMONTH(DATE(Dashboard!$C$4,7,1),0),TODAY())))</f>
        <v/>
      </c>
      <c r="J75" s="106">
        <f>IF(OR($A75="",DATE(Dashboard!$C$4,8,1)&gt;TODAY(),ISNA(MATCH($B75,{"Pribadi","Investasi (kas RDN)","Piutang","Pinjaman Mama (dompet)"},0))),"",SUMIFS(Akun!$C$5:$C$104,Akun!$A$5:$A$104,$A75,Akun!$D$5:$D$104,"&lt;="&amp;MIN(EOMONTH(DATE(Dashboard!$C$4,8,1),0),TODAY()))+SUMIFS(Transaksi!$F$16:$F$5015,Transaksi!$C$16:$C$5015,$A75,Transaksi!$D$16:$D$5015,"Masuk",Transaksi!$B$16:$B$5015,"&lt;="&amp;MIN(EOMONTH(DATE(Dashboard!$C$4,8,1),0),TODAY()))-SUMIFS(Transaksi!$F$16:$F$5015,Transaksi!$C$16:$C$5015,$A75,Transaksi!$D$16:$D$5015,"Keluar",Transaksi!$B$16:$B$5015,"&lt;="&amp;MIN(EOMONTH(DATE(Dashboard!$C$4,8,1),0),TODAY()))-SUMIFS(Transaksi!$F$16:$F$5015,Transaksi!$C$16:$C$5015,$A75,Transaksi!$D$16:$D$5015,"Pindah",Transaksi!$B$16:$B$5015,"&lt;="&amp;MIN(EOMONTH(DATE(Dashboard!$C$4,8,1),0),TODAY()))+SUMIFS(Transaksi!$F$16:$F$5015,Transaksi!$E$16:$E$5015,$A75,Transaksi!$D$16:$D$5015,"Pindah",Transaksi!$B$16:$B$5015,"&lt;="&amp;MIN(EOMONTH(DATE(Dashboard!$C$4,8,1),0),TODAY())))</f>
        <v/>
      </c>
      <c r="K75" s="106">
        <f>IF(OR($A75="",DATE(Dashboard!$C$4,9,1)&gt;TODAY(),ISNA(MATCH($B75,{"Pribadi","Investasi (kas RDN)","Piutang","Pinjaman Mama (dompet)"},0))),"",SUMIFS(Akun!$C$5:$C$104,Akun!$A$5:$A$104,$A75,Akun!$D$5:$D$104,"&lt;="&amp;MIN(EOMONTH(DATE(Dashboard!$C$4,9,1),0),TODAY()))+SUMIFS(Transaksi!$F$16:$F$5015,Transaksi!$C$16:$C$5015,$A75,Transaksi!$D$16:$D$5015,"Masuk",Transaksi!$B$16:$B$5015,"&lt;="&amp;MIN(EOMONTH(DATE(Dashboard!$C$4,9,1),0),TODAY()))-SUMIFS(Transaksi!$F$16:$F$5015,Transaksi!$C$16:$C$5015,$A75,Transaksi!$D$16:$D$5015,"Keluar",Transaksi!$B$16:$B$5015,"&lt;="&amp;MIN(EOMONTH(DATE(Dashboard!$C$4,9,1),0),TODAY()))-SUMIFS(Transaksi!$F$16:$F$5015,Transaksi!$C$16:$C$5015,$A75,Transaksi!$D$16:$D$5015,"Pindah",Transaksi!$B$16:$B$5015,"&lt;="&amp;MIN(EOMONTH(DATE(Dashboard!$C$4,9,1),0),TODAY()))+SUMIFS(Transaksi!$F$16:$F$5015,Transaksi!$E$16:$E$5015,$A75,Transaksi!$D$16:$D$5015,"Pindah",Transaksi!$B$16:$B$5015,"&lt;="&amp;MIN(EOMONTH(DATE(Dashboard!$C$4,9,1),0),TODAY())))</f>
        <v/>
      </c>
      <c r="L75" s="106">
        <f>IF(OR($A75="",DATE(Dashboard!$C$4,10,1)&gt;TODAY(),ISNA(MATCH($B75,{"Pribadi","Investasi (kas RDN)","Piutang","Pinjaman Mama (dompet)"},0))),"",SUMIFS(Akun!$C$5:$C$104,Akun!$A$5:$A$104,$A75,Akun!$D$5:$D$104,"&lt;="&amp;MIN(EOMONTH(DATE(Dashboard!$C$4,10,1),0),TODAY()))+SUMIFS(Transaksi!$F$16:$F$5015,Transaksi!$C$16:$C$5015,$A75,Transaksi!$D$16:$D$5015,"Masuk",Transaksi!$B$16:$B$5015,"&lt;="&amp;MIN(EOMONTH(DATE(Dashboard!$C$4,10,1),0),TODAY()))-SUMIFS(Transaksi!$F$16:$F$5015,Transaksi!$C$16:$C$5015,$A75,Transaksi!$D$16:$D$5015,"Keluar",Transaksi!$B$16:$B$5015,"&lt;="&amp;MIN(EOMONTH(DATE(Dashboard!$C$4,10,1),0),TODAY()))-SUMIFS(Transaksi!$F$16:$F$5015,Transaksi!$C$16:$C$5015,$A75,Transaksi!$D$16:$D$5015,"Pindah",Transaksi!$B$16:$B$5015,"&lt;="&amp;MIN(EOMONTH(DATE(Dashboard!$C$4,10,1),0),TODAY()))+SUMIFS(Transaksi!$F$16:$F$5015,Transaksi!$E$16:$E$5015,$A75,Transaksi!$D$16:$D$5015,"Pindah",Transaksi!$B$16:$B$5015,"&lt;="&amp;MIN(EOMONTH(DATE(Dashboard!$C$4,10,1),0),TODAY())))</f>
        <v/>
      </c>
      <c r="M75" s="106">
        <f>IF(OR($A75="",DATE(Dashboard!$C$4,11,1)&gt;TODAY(),ISNA(MATCH($B75,{"Pribadi","Investasi (kas RDN)","Piutang","Pinjaman Mama (dompet)"},0))),"",SUMIFS(Akun!$C$5:$C$104,Akun!$A$5:$A$104,$A75,Akun!$D$5:$D$104,"&lt;="&amp;MIN(EOMONTH(DATE(Dashboard!$C$4,11,1),0),TODAY()))+SUMIFS(Transaksi!$F$16:$F$5015,Transaksi!$C$16:$C$5015,$A75,Transaksi!$D$16:$D$5015,"Masuk",Transaksi!$B$16:$B$5015,"&lt;="&amp;MIN(EOMONTH(DATE(Dashboard!$C$4,11,1),0),TODAY()))-SUMIFS(Transaksi!$F$16:$F$5015,Transaksi!$C$16:$C$5015,$A75,Transaksi!$D$16:$D$5015,"Keluar",Transaksi!$B$16:$B$5015,"&lt;="&amp;MIN(EOMONTH(DATE(Dashboard!$C$4,11,1),0),TODAY()))-SUMIFS(Transaksi!$F$16:$F$5015,Transaksi!$C$16:$C$5015,$A75,Transaksi!$D$16:$D$5015,"Pindah",Transaksi!$B$16:$B$5015,"&lt;="&amp;MIN(EOMONTH(DATE(Dashboard!$C$4,11,1),0),TODAY()))+SUMIFS(Transaksi!$F$16:$F$5015,Transaksi!$E$16:$E$5015,$A75,Transaksi!$D$16:$D$5015,"Pindah",Transaksi!$B$16:$B$5015,"&lt;="&amp;MIN(EOMONTH(DATE(Dashboard!$C$4,11,1),0),TODAY())))</f>
        <v/>
      </c>
      <c r="N75" s="106">
        <f>IF(OR($A75="",DATE(Dashboard!$C$4,12,1)&gt;TODAY(),ISNA(MATCH($B75,{"Pribadi","Investasi (kas RDN)","Piutang","Pinjaman Mama (dompet)"},0))),"",SUMIFS(Akun!$C$5:$C$104,Akun!$A$5:$A$104,$A75,Akun!$D$5:$D$104,"&lt;="&amp;MIN(EOMONTH(DATE(Dashboard!$C$4,12,1),0),TODAY()))+SUMIFS(Transaksi!$F$16:$F$5015,Transaksi!$C$16:$C$5015,$A75,Transaksi!$D$16:$D$5015,"Masuk",Transaksi!$B$16:$B$5015,"&lt;="&amp;MIN(EOMONTH(DATE(Dashboard!$C$4,12,1),0),TODAY()))-SUMIFS(Transaksi!$F$16:$F$5015,Transaksi!$C$16:$C$5015,$A75,Transaksi!$D$16:$D$5015,"Keluar",Transaksi!$B$16:$B$5015,"&lt;="&amp;MIN(EOMONTH(DATE(Dashboard!$C$4,12,1),0),TODAY()))-SUMIFS(Transaksi!$F$16:$F$5015,Transaksi!$C$16:$C$5015,$A75,Transaksi!$D$16:$D$5015,"Pindah",Transaksi!$B$16:$B$5015,"&lt;="&amp;MIN(EOMONTH(DATE(Dashboard!$C$4,12,1),0),TODAY()))+SUMIFS(Transaksi!$F$16:$F$5015,Transaksi!$E$16:$E$5015,$A75,Transaksi!$D$16:$D$5015,"Pindah",Transaksi!$B$16:$B$5015,"&lt;="&amp;MIN(EOMONTH(DATE(Dashboard!$C$4,12,1),0),TODAY())))</f>
        <v/>
      </c>
    </row>
    <row r="76" ht="15" customHeight="1" s="94">
      <c r="A76" s="93">
        <f>IF(Akun!$A$40="","",Akun!$A$40)</f>
        <v/>
      </c>
      <c r="B76" s="93">
        <f>IF(Akun!$A$40="","",Akun!$B$40)</f>
        <v/>
      </c>
      <c r="C76" s="106">
        <f>IF(OR($A76="",DATE(Dashboard!$C$4,1,1)&gt;TODAY(),ISNA(MATCH($B76,{"Pribadi","Investasi (kas RDN)","Piutang","Pinjaman Mama (dompet)"},0))),"",SUMIFS(Akun!$C$5:$C$104,Akun!$A$5:$A$104,$A76,Akun!$D$5:$D$104,"&lt;="&amp;MIN(EOMONTH(DATE(Dashboard!$C$4,1,1),0),TODAY()))+SUMIFS(Transaksi!$F$16:$F$5015,Transaksi!$C$16:$C$5015,$A76,Transaksi!$D$16:$D$5015,"Masuk",Transaksi!$B$16:$B$5015,"&lt;="&amp;MIN(EOMONTH(DATE(Dashboard!$C$4,1,1),0),TODAY()))-SUMIFS(Transaksi!$F$16:$F$5015,Transaksi!$C$16:$C$5015,$A76,Transaksi!$D$16:$D$5015,"Keluar",Transaksi!$B$16:$B$5015,"&lt;="&amp;MIN(EOMONTH(DATE(Dashboard!$C$4,1,1),0),TODAY()))-SUMIFS(Transaksi!$F$16:$F$5015,Transaksi!$C$16:$C$5015,$A76,Transaksi!$D$16:$D$5015,"Pindah",Transaksi!$B$16:$B$5015,"&lt;="&amp;MIN(EOMONTH(DATE(Dashboard!$C$4,1,1),0),TODAY()))+SUMIFS(Transaksi!$F$16:$F$5015,Transaksi!$E$16:$E$5015,$A76,Transaksi!$D$16:$D$5015,"Pindah",Transaksi!$B$16:$B$5015,"&lt;="&amp;MIN(EOMONTH(DATE(Dashboard!$C$4,1,1),0),TODAY())))</f>
        <v/>
      </c>
      <c r="D76" s="106">
        <f>IF(OR($A76="",DATE(Dashboard!$C$4,2,1)&gt;TODAY(),ISNA(MATCH($B76,{"Pribadi","Investasi (kas RDN)","Piutang","Pinjaman Mama (dompet)"},0))),"",SUMIFS(Akun!$C$5:$C$104,Akun!$A$5:$A$104,$A76,Akun!$D$5:$D$104,"&lt;="&amp;MIN(EOMONTH(DATE(Dashboard!$C$4,2,1),0),TODAY()))+SUMIFS(Transaksi!$F$16:$F$5015,Transaksi!$C$16:$C$5015,$A76,Transaksi!$D$16:$D$5015,"Masuk",Transaksi!$B$16:$B$5015,"&lt;="&amp;MIN(EOMONTH(DATE(Dashboard!$C$4,2,1),0),TODAY()))-SUMIFS(Transaksi!$F$16:$F$5015,Transaksi!$C$16:$C$5015,$A76,Transaksi!$D$16:$D$5015,"Keluar",Transaksi!$B$16:$B$5015,"&lt;="&amp;MIN(EOMONTH(DATE(Dashboard!$C$4,2,1),0),TODAY()))-SUMIFS(Transaksi!$F$16:$F$5015,Transaksi!$C$16:$C$5015,$A76,Transaksi!$D$16:$D$5015,"Pindah",Transaksi!$B$16:$B$5015,"&lt;="&amp;MIN(EOMONTH(DATE(Dashboard!$C$4,2,1),0),TODAY()))+SUMIFS(Transaksi!$F$16:$F$5015,Transaksi!$E$16:$E$5015,$A76,Transaksi!$D$16:$D$5015,"Pindah",Transaksi!$B$16:$B$5015,"&lt;="&amp;MIN(EOMONTH(DATE(Dashboard!$C$4,2,1),0),TODAY())))</f>
        <v/>
      </c>
      <c r="E76" s="106">
        <f>IF(OR($A76="",DATE(Dashboard!$C$4,3,1)&gt;TODAY(),ISNA(MATCH($B76,{"Pribadi","Investasi (kas RDN)","Piutang","Pinjaman Mama (dompet)"},0))),"",SUMIFS(Akun!$C$5:$C$104,Akun!$A$5:$A$104,$A76,Akun!$D$5:$D$104,"&lt;="&amp;MIN(EOMONTH(DATE(Dashboard!$C$4,3,1),0),TODAY()))+SUMIFS(Transaksi!$F$16:$F$5015,Transaksi!$C$16:$C$5015,$A76,Transaksi!$D$16:$D$5015,"Masuk",Transaksi!$B$16:$B$5015,"&lt;="&amp;MIN(EOMONTH(DATE(Dashboard!$C$4,3,1),0),TODAY()))-SUMIFS(Transaksi!$F$16:$F$5015,Transaksi!$C$16:$C$5015,$A76,Transaksi!$D$16:$D$5015,"Keluar",Transaksi!$B$16:$B$5015,"&lt;="&amp;MIN(EOMONTH(DATE(Dashboard!$C$4,3,1),0),TODAY()))-SUMIFS(Transaksi!$F$16:$F$5015,Transaksi!$C$16:$C$5015,$A76,Transaksi!$D$16:$D$5015,"Pindah",Transaksi!$B$16:$B$5015,"&lt;="&amp;MIN(EOMONTH(DATE(Dashboard!$C$4,3,1),0),TODAY()))+SUMIFS(Transaksi!$F$16:$F$5015,Transaksi!$E$16:$E$5015,$A76,Transaksi!$D$16:$D$5015,"Pindah",Transaksi!$B$16:$B$5015,"&lt;="&amp;MIN(EOMONTH(DATE(Dashboard!$C$4,3,1),0),TODAY())))</f>
        <v/>
      </c>
      <c r="F76" s="106">
        <f>IF(OR($A76="",DATE(Dashboard!$C$4,4,1)&gt;TODAY(),ISNA(MATCH($B76,{"Pribadi","Investasi (kas RDN)","Piutang","Pinjaman Mama (dompet)"},0))),"",SUMIFS(Akun!$C$5:$C$104,Akun!$A$5:$A$104,$A76,Akun!$D$5:$D$104,"&lt;="&amp;MIN(EOMONTH(DATE(Dashboard!$C$4,4,1),0),TODAY()))+SUMIFS(Transaksi!$F$16:$F$5015,Transaksi!$C$16:$C$5015,$A76,Transaksi!$D$16:$D$5015,"Masuk",Transaksi!$B$16:$B$5015,"&lt;="&amp;MIN(EOMONTH(DATE(Dashboard!$C$4,4,1),0),TODAY()))-SUMIFS(Transaksi!$F$16:$F$5015,Transaksi!$C$16:$C$5015,$A76,Transaksi!$D$16:$D$5015,"Keluar",Transaksi!$B$16:$B$5015,"&lt;="&amp;MIN(EOMONTH(DATE(Dashboard!$C$4,4,1),0),TODAY()))-SUMIFS(Transaksi!$F$16:$F$5015,Transaksi!$C$16:$C$5015,$A76,Transaksi!$D$16:$D$5015,"Pindah",Transaksi!$B$16:$B$5015,"&lt;="&amp;MIN(EOMONTH(DATE(Dashboard!$C$4,4,1),0),TODAY()))+SUMIFS(Transaksi!$F$16:$F$5015,Transaksi!$E$16:$E$5015,$A76,Transaksi!$D$16:$D$5015,"Pindah",Transaksi!$B$16:$B$5015,"&lt;="&amp;MIN(EOMONTH(DATE(Dashboard!$C$4,4,1),0),TODAY())))</f>
        <v/>
      </c>
      <c r="G76" s="106">
        <f>IF(OR($A76="",DATE(Dashboard!$C$4,5,1)&gt;TODAY(),ISNA(MATCH($B76,{"Pribadi","Investasi (kas RDN)","Piutang","Pinjaman Mama (dompet)"},0))),"",SUMIFS(Akun!$C$5:$C$104,Akun!$A$5:$A$104,$A76,Akun!$D$5:$D$104,"&lt;="&amp;MIN(EOMONTH(DATE(Dashboard!$C$4,5,1),0),TODAY()))+SUMIFS(Transaksi!$F$16:$F$5015,Transaksi!$C$16:$C$5015,$A76,Transaksi!$D$16:$D$5015,"Masuk",Transaksi!$B$16:$B$5015,"&lt;="&amp;MIN(EOMONTH(DATE(Dashboard!$C$4,5,1),0),TODAY()))-SUMIFS(Transaksi!$F$16:$F$5015,Transaksi!$C$16:$C$5015,$A76,Transaksi!$D$16:$D$5015,"Keluar",Transaksi!$B$16:$B$5015,"&lt;="&amp;MIN(EOMONTH(DATE(Dashboard!$C$4,5,1),0),TODAY()))-SUMIFS(Transaksi!$F$16:$F$5015,Transaksi!$C$16:$C$5015,$A76,Transaksi!$D$16:$D$5015,"Pindah",Transaksi!$B$16:$B$5015,"&lt;="&amp;MIN(EOMONTH(DATE(Dashboard!$C$4,5,1),0),TODAY()))+SUMIFS(Transaksi!$F$16:$F$5015,Transaksi!$E$16:$E$5015,$A76,Transaksi!$D$16:$D$5015,"Pindah",Transaksi!$B$16:$B$5015,"&lt;="&amp;MIN(EOMONTH(DATE(Dashboard!$C$4,5,1),0),TODAY())))</f>
        <v/>
      </c>
      <c r="H76" s="106">
        <f>IF(OR($A76="",DATE(Dashboard!$C$4,6,1)&gt;TODAY(),ISNA(MATCH($B76,{"Pribadi","Investasi (kas RDN)","Piutang","Pinjaman Mama (dompet)"},0))),"",SUMIFS(Akun!$C$5:$C$104,Akun!$A$5:$A$104,$A76,Akun!$D$5:$D$104,"&lt;="&amp;MIN(EOMONTH(DATE(Dashboard!$C$4,6,1),0),TODAY()))+SUMIFS(Transaksi!$F$16:$F$5015,Transaksi!$C$16:$C$5015,$A76,Transaksi!$D$16:$D$5015,"Masuk",Transaksi!$B$16:$B$5015,"&lt;="&amp;MIN(EOMONTH(DATE(Dashboard!$C$4,6,1),0),TODAY()))-SUMIFS(Transaksi!$F$16:$F$5015,Transaksi!$C$16:$C$5015,$A76,Transaksi!$D$16:$D$5015,"Keluar",Transaksi!$B$16:$B$5015,"&lt;="&amp;MIN(EOMONTH(DATE(Dashboard!$C$4,6,1),0),TODAY()))-SUMIFS(Transaksi!$F$16:$F$5015,Transaksi!$C$16:$C$5015,$A76,Transaksi!$D$16:$D$5015,"Pindah",Transaksi!$B$16:$B$5015,"&lt;="&amp;MIN(EOMONTH(DATE(Dashboard!$C$4,6,1),0),TODAY()))+SUMIFS(Transaksi!$F$16:$F$5015,Transaksi!$E$16:$E$5015,$A76,Transaksi!$D$16:$D$5015,"Pindah",Transaksi!$B$16:$B$5015,"&lt;="&amp;MIN(EOMONTH(DATE(Dashboard!$C$4,6,1),0),TODAY())))</f>
        <v/>
      </c>
      <c r="I76" s="106">
        <f>IF(OR($A76="",DATE(Dashboard!$C$4,7,1)&gt;TODAY(),ISNA(MATCH($B76,{"Pribadi","Investasi (kas RDN)","Piutang","Pinjaman Mama (dompet)"},0))),"",SUMIFS(Akun!$C$5:$C$104,Akun!$A$5:$A$104,$A76,Akun!$D$5:$D$104,"&lt;="&amp;MIN(EOMONTH(DATE(Dashboard!$C$4,7,1),0),TODAY()))+SUMIFS(Transaksi!$F$16:$F$5015,Transaksi!$C$16:$C$5015,$A76,Transaksi!$D$16:$D$5015,"Masuk",Transaksi!$B$16:$B$5015,"&lt;="&amp;MIN(EOMONTH(DATE(Dashboard!$C$4,7,1),0),TODAY()))-SUMIFS(Transaksi!$F$16:$F$5015,Transaksi!$C$16:$C$5015,$A76,Transaksi!$D$16:$D$5015,"Keluar",Transaksi!$B$16:$B$5015,"&lt;="&amp;MIN(EOMONTH(DATE(Dashboard!$C$4,7,1),0),TODAY()))-SUMIFS(Transaksi!$F$16:$F$5015,Transaksi!$C$16:$C$5015,$A76,Transaksi!$D$16:$D$5015,"Pindah",Transaksi!$B$16:$B$5015,"&lt;="&amp;MIN(EOMONTH(DATE(Dashboard!$C$4,7,1),0),TODAY()))+SUMIFS(Transaksi!$F$16:$F$5015,Transaksi!$E$16:$E$5015,$A76,Transaksi!$D$16:$D$5015,"Pindah",Transaksi!$B$16:$B$5015,"&lt;="&amp;MIN(EOMONTH(DATE(Dashboard!$C$4,7,1),0),TODAY())))</f>
        <v/>
      </c>
      <c r="J76" s="106">
        <f>IF(OR($A76="",DATE(Dashboard!$C$4,8,1)&gt;TODAY(),ISNA(MATCH($B76,{"Pribadi","Investasi (kas RDN)","Piutang","Pinjaman Mama (dompet)"},0))),"",SUMIFS(Akun!$C$5:$C$104,Akun!$A$5:$A$104,$A76,Akun!$D$5:$D$104,"&lt;="&amp;MIN(EOMONTH(DATE(Dashboard!$C$4,8,1),0),TODAY()))+SUMIFS(Transaksi!$F$16:$F$5015,Transaksi!$C$16:$C$5015,$A76,Transaksi!$D$16:$D$5015,"Masuk",Transaksi!$B$16:$B$5015,"&lt;="&amp;MIN(EOMONTH(DATE(Dashboard!$C$4,8,1),0),TODAY()))-SUMIFS(Transaksi!$F$16:$F$5015,Transaksi!$C$16:$C$5015,$A76,Transaksi!$D$16:$D$5015,"Keluar",Transaksi!$B$16:$B$5015,"&lt;="&amp;MIN(EOMONTH(DATE(Dashboard!$C$4,8,1),0),TODAY()))-SUMIFS(Transaksi!$F$16:$F$5015,Transaksi!$C$16:$C$5015,$A76,Transaksi!$D$16:$D$5015,"Pindah",Transaksi!$B$16:$B$5015,"&lt;="&amp;MIN(EOMONTH(DATE(Dashboard!$C$4,8,1),0),TODAY()))+SUMIFS(Transaksi!$F$16:$F$5015,Transaksi!$E$16:$E$5015,$A76,Transaksi!$D$16:$D$5015,"Pindah",Transaksi!$B$16:$B$5015,"&lt;="&amp;MIN(EOMONTH(DATE(Dashboard!$C$4,8,1),0),TODAY())))</f>
        <v/>
      </c>
      <c r="K76" s="106">
        <f>IF(OR($A76="",DATE(Dashboard!$C$4,9,1)&gt;TODAY(),ISNA(MATCH($B76,{"Pribadi","Investasi (kas RDN)","Piutang","Pinjaman Mama (dompet)"},0))),"",SUMIFS(Akun!$C$5:$C$104,Akun!$A$5:$A$104,$A76,Akun!$D$5:$D$104,"&lt;="&amp;MIN(EOMONTH(DATE(Dashboard!$C$4,9,1),0),TODAY()))+SUMIFS(Transaksi!$F$16:$F$5015,Transaksi!$C$16:$C$5015,$A76,Transaksi!$D$16:$D$5015,"Masuk",Transaksi!$B$16:$B$5015,"&lt;="&amp;MIN(EOMONTH(DATE(Dashboard!$C$4,9,1),0),TODAY()))-SUMIFS(Transaksi!$F$16:$F$5015,Transaksi!$C$16:$C$5015,$A76,Transaksi!$D$16:$D$5015,"Keluar",Transaksi!$B$16:$B$5015,"&lt;="&amp;MIN(EOMONTH(DATE(Dashboard!$C$4,9,1),0),TODAY()))-SUMIFS(Transaksi!$F$16:$F$5015,Transaksi!$C$16:$C$5015,$A76,Transaksi!$D$16:$D$5015,"Pindah",Transaksi!$B$16:$B$5015,"&lt;="&amp;MIN(EOMONTH(DATE(Dashboard!$C$4,9,1),0),TODAY()))+SUMIFS(Transaksi!$F$16:$F$5015,Transaksi!$E$16:$E$5015,$A76,Transaksi!$D$16:$D$5015,"Pindah",Transaksi!$B$16:$B$5015,"&lt;="&amp;MIN(EOMONTH(DATE(Dashboard!$C$4,9,1),0),TODAY())))</f>
        <v/>
      </c>
      <c r="L76" s="106">
        <f>IF(OR($A76="",DATE(Dashboard!$C$4,10,1)&gt;TODAY(),ISNA(MATCH($B76,{"Pribadi","Investasi (kas RDN)","Piutang","Pinjaman Mama (dompet)"},0))),"",SUMIFS(Akun!$C$5:$C$104,Akun!$A$5:$A$104,$A76,Akun!$D$5:$D$104,"&lt;="&amp;MIN(EOMONTH(DATE(Dashboard!$C$4,10,1),0),TODAY()))+SUMIFS(Transaksi!$F$16:$F$5015,Transaksi!$C$16:$C$5015,$A76,Transaksi!$D$16:$D$5015,"Masuk",Transaksi!$B$16:$B$5015,"&lt;="&amp;MIN(EOMONTH(DATE(Dashboard!$C$4,10,1),0),TODAY()))-SUMIFS(Transaksi!$F$16:$F$5015,Transaksi!$C$16:$C$5015,$A76,Transaksi!$D$16:$D$5015,"Keluar",Transaksi!$B$16:$B$5015,"&lt;="&amp;MIN(EOMONTH(DATE(Dashboard!$C$4,10,1),0),TODAY()))-SUMIFS(Transaksi!$F$16:$F$5015,Transaksi!$C$16:$C$5015,$A76,Transaksi!$D$16:$D$5015,"Pindah",Transaksi!$B$16:$B$5015,"&lt;="&amp;MIN(EOMONTH(DATE(Dashboard!$C$4,10,1),0),TODAY()))+SUMIFS(Transaksi!$F$16:$F$5015,Transaksi!$E$16:$E$5015,$A76,Transaksi!$D$16:$D$5015,"Pindah",Transaksi!$B$16:$B$5015,"&lt;="&amp;MIN(EOMONTH(DATE(Dashboard!$C$4,10,1),0),TODAY())))</f>
        <v/>
      </c>
      <c r="M76" s="106">
        <f>IF(OR($A76="",DATE(Dashboard!$C$4,11,1)&gt;TODAY(),ISNA(MATCH($B76,{"Pribadi","Investasi (kas RDN)","Piutang","Pinjaman Mama (dompet)"},0))),"",SUMIFS(Akun!$C$5:$C$104,Akun!$A$5:$A$104,$A76,Akun!$D$5:$D$104,"&lt;="&amp;MIN(EOMONTH(DATE(Dashboard!$C$4,11,1),0),TODAY()))+SUMIFS(Transaksi!$F$16:$F$5015,Transaksi!$C$16:$C$5015,$A76,Transaksi!$D$16:$D$5015,"Masuk",Transaksi!$B$16:$B$5015,"&lt;="&amp;MIN(EOMONTH(DATE(Dashboard!$C$4,11,1),0),TODAY()))-SUMIFS(Transaksi!$F$16:$F$5015,Transaksi!$C$16:$C$5015,$A76,Transaksi!$D$16:$D$5015,"Keluar",Transaksi!$B$16:$B$5015,"&lt;="&amp;MIN(EOMONTH(DATE(Dashboard!$C$4,11,1),0),TODAY()))-SUMIFS(Transaksi!$F$16:$F$5015,Transaksi!$C$16:$C$5015,$A76,Transaksi!$D$16:$D$5015,"Pindah",Transaksi!$B$16:$B$5015,"&lt;="&amp;MIN(EOMONTH(DATE(Dashboard!$C$4,11,1),0),TODAY()))+SUMIFS(Transaksi!$F$16:$F$5015,Transaksi!$E$16:$E$5015,$A76,Transaksi!$D$16:$D$5015,"Pindah",Transaksi!$B$16:$B$5015,"&lt;="&amp;MIN(EOMONTH(DATE(Dashboard!$C$4,11,1),0),TODAY())))</f>
        <v/>
      </c>
      <c r="N76" s="106">
        <f>IF(OR($A76="",DATE(Dashboard!$C$4,12,1)&gt;TODAY(),ISNA(MATCH($B76,{"Pribadi","Investasi (kas RDN)","Piutang","Pinjaman Mama (dompet)"},0))),"",SUMIFS(Akun!$C$5:$C$104,Akun!$A$5:$A$104,$A76,Akun!$D$5:$D$104,"&lt;="&amp;MIN(EOMONTH(DATE(Dashboard!$C$4,12,1),0),TODAY()))+SUMIFS(Transaksi!$F$16:$F$5015,Transaksi!$C$16:$C$5015,$A76,Transaksi!$D$16:$D$5015,"Masuk",Transaksi!$B$16:$B$5015,"&lt;="&amp;MIN(EOMONTH(DATE(Dashboard!$C$4,12,1),0),TODAY()))-SUMIFS(Transaksi!$F$16:$F$5015,Transaksi!$C$16:$C$5015,$A76,Transaksi!$D$16:$D$5015,"Keluar",Transaksi!$B$16:$B$5015,"&lt;="&amp;MIN(EOMONTH(DATE(Dashboard!$C$4,12,1),0),TODAY()))-SUMIFS(Transaksi!$F$16:$F$5015,Transaksi!$C$16:$C$5015,$A76,Transaksi!$D$16:$D$5015,"Pindah",Transaksi!$B$16:$B$5015,"&lt;="&amp;MIN(EOMONTH(DATE(Dashboard!$C$4,12,1),0),TODAY()))+SUMIFS(Transaksi!$F$16:$F$5015,Transaksi!$E$16:$E$5015,$A76,Transaksi!$D$16:$D$5015,"Pindah",Transaksi!$B$16:$B$5015,"&lt;="&amp;MIN(EOMONTH(DATE(Dashboard!$C$4,12,1),0),TODAY())))</f>
        <v/>
      </c>
    </row>
    <row r="77" ht="15" customHeight="1" s="94">
      <c r="A77" s="93">
        <f>IF(Akun!$A$41="","",Akun!$A$41)</f>
        <v/>
      </c>
      <c r="B77" s="93">
        <f>IF(Akun!$A$41="","",Akun!$B$41)</f>
        <v/>
      </c>
      <c r="C77" s="106">
        <f>IF(OR($A77="",DATE(Dashboard!$C$4,1,1)&gt;TODAY(),ISNA(MATCH($B77,{"Pribadi","Investasi (kas RDN)","Piutang","Pinjaman Mama (dompet)"},0))),"",SUMIFS(Akun!$C$5:$C$104,Akun!$A$5:$A$104,$A77,Akun!$D$5:$D$104,"&lt;="&amp;MIN(EOMONTH(DATE(Dashboard!$C$4,1,1),0),TODAY()))+SUMIFS(Transaksi!$F$16:$F$5015,Transaksi!$C$16:$C$5015,$A77,Transaksi!$D$16:$D$5015,"Masuk",Transaksi!$B$16:$B$5015,"&lt;="&amp;MIN(EOMONTH(DATE(Dashboard!$C$4,1,1),0),TODAY()))-SUMIFS(Transaksi!$F$16:$F$5015,Transaksi!$C$16:$C$5015,$A77,Transaksi!$D$16:$D$5015,"Keluar",Transaksi!$B$16:$B$5015,"&lt;="&amp;MIN(EOMONTH(DATE(Dashboard!$C$4,1,1),0),TODAY()))-SUMIFS(Transaksi!$F$16:$F$5015,Transaksi!$C$16:$C$5015,$A77,Transaksi!$D$16:$D$5015,"Pindah",Transaksi!$B$16:$B$5015,"&lt;="&amp;MIN(EOMONTH(DATE(Dashboard!$C$4,1,1),0),TODAY()))+SUMIFS(Transaksi!$F$16:$F$5015,Transaksi!$E$16:$E$5015,$A77,Transaksi!$D$16:$D$5015,"Pindah",Transaksi!$B$16:$B$5015,"&lt;="&amp;MIN(EOMONTH(DATE(Dashboard!$C$4,1,1),0),TODAY())))</f>
        <v/>
      </c>
      <c r="D77" s="106">
        <f>IF(OR($A77="",DATE(Dashboard!$C$4,2,1)&gt;TODAY(),ISNA(MATCH($B77,{"Pribadi","Investasi (kas RDN)","Piutang","Pinjaman Mama (dompet)"},0))),"",SUMIFS(Akun!$C$5:$C$104,Akun!$A$5:$A$104,$A77,Akun!$D$5:$D$104,"&lt;="&amp;MIN(EOMONTH(DATE(Dashboard!$C$4,2,1),0),TODAY()))+SUMIFS(Transaksi!$F$16:$F$5015,Transaksi!$C$16:$C$5015,$A77,Transaksi!$D$16:$D$5015,"Masuk",Transaksi!$B$16:$B$5015,"&lt;="&amp;MIN(EOMONTH(DATE(Dashboard!$C$4,2,1),0),TODAY()))-SUMIFS(Transaksi!$F$16:$F$5015,Transaksi!$C$16:$C$5015,$A77,Transaksi!$D$16:$D$5015,"Keluar",Transaksi!$B$16:$B$5015,"&lt;="&amp;MIN(EOMONTH(DATE(Dashboard!$C$4,2,1),0),TODAY()))-SUMIFS(Transaksi!$F$16:$F$5015,Transaksi!$C$16:$C$5015,$A77,Transaksi!$D$16:$D$5015,"Pindah",Transaksi!$B$16:$B$5015,"&lt;="&amp;MIN(EOMONTH(DATE(Dashboard!$C$4,2,1),0),TODAY()))+SUMIFS(Transaksi!$F$16:$F$5015,Transaksi!$E$16:$E$5015,$A77,Transaksi!$D$16:$D$5015,"Pindah",Transaksi!$B$16:$B$5015,"&lt;="&amp;MIN(EOMONTH(DATE(Dashboard!$C$4,2,1),0),TODAY())))</f>
        <v/>
      </c>
      <c r="E77" s="106">
        <f>IF(OR($A77="",DATE(Dashboard!$C$4,3,1)&gt;TODAY(),ISNA(MATCH($B77,{"Pribadi","Investasi (kas RDN)","Piutang","Pinjaman Mama (dompet)"},0))),"",SUMIFS(Akun!$C$5:$C$104,Akun!$A$5:$A$104,$A77,Akun!$D$5:$D$104,"&lt;="&amp;MIN(EOMONTH(DATE(Dashboard!$C$4,3,1),0),TODAY()))+SUMIFS(Transaksi!$F$16:$F$5015,Transaksi!$C$16:$C$5015,$A77,Transaksi!$D$16:$D$5015,"Masuk",Transaksi!$B$16:$B$5015,"&lt;="&amp;MIN(EOMONTH(DATE(Dashboard!$C$4,3,1),0),TODAY()))-SUMIFS(Transaksi!$F$16:$F$5015,Transaksi!$C$16:$C$5015,$A77,Transaksi!$D$16:$D$5015,"Keluar",Transaksi!$B$16:$B$5015,"&lt;="&amp;MIN(EOMONTH(DATE(Dashboard!$C$4,3,1),0),TODAY()))-SUMIFS(Transaksi!$F$16:$F$5015,Transaksi!$C$16:$C$5015,$A77,Transaksi!$D$16:$D$5015,"Pindah",Transaksi!$B$16:$B$5015,"&lt;="&amp;MIN(EOMONTH(DATE(Dashboard!$C$4,3,1),0),TODAY()))+SUMIFS(Transaksi!$F$16:$F$5015,Transaksi!$E$16:$E$5015,$A77,Transaksi!$D$16:$D$5015,"Pindah",Transaksi!$B$16:$B$5015,"&lt;="&amp;MIN(EOMONTH(DATE(Dashboard!$C$4,3,1),0),TODAY())))</f>
        <v/>
      </c>
      <c r="F77" s="106">
        <f>IF(OR($A77="",DATE(Dashboard!$C$4,4,1)&gt;TODAY(),ISNA(MATCH($B77,{"Pribadi","Investasi (kas RDN)","Piutang","Pinjaman Mama (dompet)"},0))),"",SUMIFS(Akun!$C$5:$C$104,Akun!$A$5:$A$104,$A77,Akun!$D$5:$D$104,"&lt;="&amp;MIN(EOMONTH(DATE(Dashboard!$C$4,4,1),0),TODAY()))+SUMIFS(Transaksi!$F$16:$F$5015,Transaksi!$C$16:$C$5015,$A77,Transaksi!$D$16:$D$5015,"Masuk",Transaksi!$B$16:$B$5015,"&lt;="&amp;MIN(EOMONTH(DATE(Dashboard!$C$4,4,1),0),TODAY()))-SUMIFS(Transaksi!$F$16:$F$5015,Transaksi!$C$16:$C$5015,$A77,Transaksi!$D$16:$D$5015,"Keluar",Transaksi!$B$16:$B$5015,"&lt;="&amp;MIN(EOMONTH(DATE(Dashboard!$C$4,4,1),0),TODAY()))-SUMIFS(Transaksi!$F$16:$F$5015,Transaksi!$C$16:$C$5015,$A77,Transaksi!$D$16:$D$5015,"Pindah",Transaksi!$B$16:$B$5015,"&lt;="&amp;MIN(EOMONTH(DATE(Dashboard!$C$4,4,1),0),TODAY()))+SUMIFS(Transaksi!$F$16:$F$5015,Transaksi!$E$16:$E$5015,$A77,Transaksi!$D$16:$D$5015,"Pindah",Transaksi!$B$16:$B$5015,"&lt;="&amp;MIN(EOMONTH(DATE(Dashboard!$C$4,4,1),0),TODAY())))</f>
        <v/>
      </c>
      <c r="G77" s="106">
        <f>IF(OR($A77="",DATE(Dashboard!$C$4,5,1)&gt;TODAY(),ISNA(MATCH($B77,{"Pribadi","Investasi (kas RDN)","Piutang","Pinjaman Mama (dompet)"},0))),"",SUMIFS(Akun!$C$5:$C$104,Akun!$A$5:$A$104,$A77,Akun!$D$5:$D$104,"&lt;="&amp;MIN(EOMONTH(DATE(Dashboard!$C$4,5,1),0),TODAY()))+SUMIFS(Transaksi!$F$16:$F$5015,Transaksi!$C$16:$C$5015,$A77,Transaksi!$D$16:$D$5015,"Masuk",Transaksi!$B$16:$B$5015,"&lt;="&amp;MIN(EOMONTH(DATE(Dashboard!$C$4,5,1),0),TODAY()))-SUMIFS(Transaksi!$F$16:$F$5015,Transaksi!$C$16:$C$5015,$A77,Transaksi!$D$16:$D$5015,"Keluar",Transaksi!$B$16:$B$5015,"&lt;="&amp;MIN(EOMONTH(DATE(Dashboard!$C$4,5,1),0),TODAY()))-SUMIFS(Transaksi!$F$16:$F$5015,Transaksi!$C$16:$C$5015,$A77,Transaksi!$D$16:$D$5015,"Pindah",Transaksi!$B$16:$B$5015,"&lt;="&amp;MIN(EOMONTH(DATE(Dashboard!$C$4,5,1),0),TODAY()))+SUMIFS(Transaksi!$F$16:$F$5015,Transaksi!$E$16:$E$5015,$A77,Transaksi!$D$16:$D$5015,"Pindah",Transaksi!$B$16:$B$5015,"&lt;="&amp;MIN(EOMONTH(DATE(Dashboard!$C$4,5,1),0),TODAY())))</f>
        <v/>
      </c>
      <c r="H77" s="106">
        <f>IF(OR($A77="",DATE(Dashboard!$C$4,6,1)&gt;TODAY(),ISNA(MATCH($B77,{"Pribadi","Investasi (kas RDN)","Piutang","Pinjaman Mama (dompet)"},0))),"",SUMIFS(Akun!$C$5:$C$104,Akun!$A$5:$A$104,$A77,Akun!$D$5:$D$104,"&lt;="&amp;MIN(EOMONTH(DATE(Dashboard!$C$4,6,1),0),TODAY()))+SUMIFS(Transaksi!$F$16:$F$5015,Transaksi!$C$16:$C$5015,$A77,Transaksi!$D$16:$D$5015,"Masuk",Transaksi!$B$16:$B$5015,"&lt;="&amp;MIN(EOMONTH(DATE(Dashboard!$C$4,6,1),0),TODAY()))-SUMIFS(Transaksi!$F$16:$F$5015,Transaksi!$C$16:$C$5015,$A77,Transaksi!$D$16:$D$5015,"Keluar",Transaksi!$B$16:$B$5015,"&lt;="&amp;MIN(EOMONTH(DATE(Dashboard!$C$4,6,1),0),TODAY()))-SUMIFS(Transaksi!$F$16:$F$5015,Transaksi!$C$16:$C$5015,$A77,Transaksi!$D$16:$D$5015,"Pindah",Transaksi!$B$16:$B$5015,"&lt;="&amp;MIN(EOMONTH(DATE(Dashboard!$C$4,6,1),0),TODAY()))+SUMIFS(Transaksi!$F$16:$F$5015,Transaksi!$E$16:$E$5015,$A77,Transaksi!$D$16:$D$5015,"Pindah",Transaksi!$B$16:$B$5015,"&lt;="&amp;MIN(EOMONTH(DATE(Dashboard!$C$4,6,1),0),TODAY())))</f>
        <v/>
      </c>
      <c r="I77" s="106">
        <f>IF(OR($A77="",DATE(Dashboard!$C$4,7,1)&gt;TODAY(),ISNA(MATCH($B77,{"Pribadi","Investasi (kas RDN)","Piutang","Pinjaman Mama (dompet)"},0))),"",SUMIFS(Akun!$C$5:$C$104,Akun!$A$5:$A$104,$A77,Akun!$D$5:$D$104,"&lt;="&amp;MIN(EOMONTH(DATE(Dashboard!$C$4,7,1),0),TODAY()))+SUMIFS(Transaksi!$F$16:$F$5015,Transaksi!$C$16:$C$5015,$A77,Transaksi!$D$16:$D$5015,"Masuk",Transaksi!$B$16:$B$5015,"&lt;="&amp;MIN(EOMONTH(DATE(Dashboard!$C$4,7,1),0),TODAY()))-SUMIFS(Transaksi!$F$16:$F$5015,Transaksi!$C$16:$C$5015,$A77,Transaksi!$D$16:$D$5015,"Keluar",Transaksi!$B$16:$B$5015,"&lt;="&amp;MIN(EOMONTH(DATE(Dashboard!$C$4,7,1),0),TODAY()))-SUMIFS(Transaksi!$F$16:$F$5015,Transaksi!$C$16:$C$5015,$A77,Transaksi!$D$16:$D$5015,"Pindah",Transaksi!$B$16:$B$5015,"&lt;="&amp;MIN(EOMONTH(DATE(Dashboard!$C$4,7,1),0),TODAY()))+SUMIFS(Transaksi!$F$16:$F$5015,Transaksi!$E$16:$E$5015,$A77,Transaksi!$D$16:$D$5015,"Pindah",Transaksi!$B$16:$B$5015,"&lt;="&amp;MIN(EOMONTH(DATE(Dashboard!$C$4,7,1),0),TODAY())))</f>
        <v/>
      </c>
      <c r="J77" s="106">
        <f>IF(OR($A77="",DATE(Dashboard!$C$4,8,1)&gt;TODAY(),ISNA(MATCH($B77,{"Pribadi","Investasi (kas RDN)","Piutang","Pinjaman Mama (dompet)"},0))),"",SUMIFS(Akun!$C$5:$C$104,Akun!$A$5:$A$104,$A77,Akun!$D$5:$D$104,"&lt;="&amp;MIN(EOMONTH(DATE(Dashboard!$C$4,8,1),0),TODAY()))+SUMIFS(Transaksi!$F$16:$F$5015,Transaksi!$C$16:$C$5015,$A77,Transaksi!$D$16:$D$5015,"Masuk",Transaksi!$B$16:$B$5015,"&lt;="&amp;MIN(EOMONTH(DATE(Dashboard!$C$4,8,1),0),TODAY()))-SUMIFS(Transaksi!$F$16:$F$5015,Transaksi!$C$16:$C$5015,$A77,Transaksi!$D$16:$D$5015,"Keluar",Transaksi!$B$16:$B$5015,"&lt;="&amp;MIN(EOMONTH(DATE(Dashboard!$C$4,8,1),0),TODAY()))-SUMIFS(Transaksi!$F$16:$F$5015,Transaksi!$C$16:$C$5015,$A77,Transaksi!$D$16:$D$5015,"Pindah",Transaksi!$B$16:$B$5015,"&lt;="&amp;MIN(EOMONTH(DATE(Dashboard!$C$4,8,1),0),TODAY()))+SUMIFS(Transaksi!$F$16:$F$5015,Transaksi!$E$16:$E$5015,$A77,Transaksi!$D$16:$D$5015,"Pindah",Transaksi!$B$16:$B$5015,"&lt;="&amp;MIN(EOMONTH(DATE(Dashboard!$C$4,8,1),0),TODAY())))</f>
        <v/>
      </c>
      <c r="K77" s="106">
        <f>IF(OR($A77="",DATE(Dashboard!$C$4,9,1)&gt;TODAY(),ISNA(MATCH($B77,{"Pribadi","Investasi (kas RDN)","Piutang","Pinjaman Mama (dompet)"},0))),"",SUMIFS(Akun!$C$5:$C$104,Akun!$A$5:$A$104,$A77,Akun!$D$5:$D$104,"&lt;="&amp;MIN(EOMONTH(DATE(Dashboard!$C$4,9,1),0),TODAY()))+SUMIFS(Transaksi!$F$16:$F$5015,Transaksi!$C$16:$C$5015,$A77,Transaksi!$D$16:$D$5015,"Masuk",Transaksi!$B$16:$B$5015,"&lt;="&amp;MIN(EOMONTH(DATE(Dashboard!$C$4,9,1),0),TODAY()))-SUMIFS(Transaksi!$F$16:$F$5015,Transaksi!$C$16:$C$5015,$A77,Transaksi!$D$16:$D$5015,"Keluar",Transaksi!$B$16:$B$5015,"&lt;="&amp;MIN(EOMONTH(DATE(Dashboard!$C$4,9,1),0),TODAY()))-SUMIFS(Transaksi!$F$16:$F$5015,Transaksi!$C$16:$C$5015,$A77,Transaksi!$D$16:$D$5015,"Pindah",Transaksi!$B$16:$B$5015,"&lt;="&amp;MIN(EOMONTH(DATE(Dashboard!$C$4,9,1),0),TODAY()))+SUMIFS(Transaksi!$F$16:$F$5015,Transaksi!$E$16:$E$5015,$A77,Transaksi!$D$16:$D$5015,"Pindah",Transaksi!$B$16:$B$5015,"&lt;="&amp;MIN(EOMONTH(DATE(Dashboard!$C$4,9,1),0),TODAY())))</f>
        <v/>
      </c>
      <c r="L77" s="106">
        <f>IF(OR($A77="",DATE(Dashboard!$C$4,10,1)&gt;TODAY(),ISNA(MATCH($B77,{"Pribadi","Investasi (kas RDN)","Piutang","Pinjaman Mama (dompet)"},0))),"",SUMIFS(Akun!$C$5:$C$104,Akun!$A$5:$A$104,$A77,Akun!$D$5:$D$104,"&lt;="&amp;MIN(EOMONTH(DATE(Dashboard!$C$4,10,1),0),TODAY()))+SUMIFS(Transaksi!$F$16:$F$5015,Transaksi!$C$16:$C$5015,$A77,Transaksi!$D$16:$D$5015,"Masuk",Transaksi!$B$16:$B$5015,"&lt;="&amp;MIN(EOMONTH(DATE(Dashboard!$C$4,10,1),0),TODAY()))-SUMIFS(Transaksi!$F$16:$F$5015,Transaksi!$C$16:$C$5015,$A77,Transaksi!$D$16:$D$5015,"Keluar",Transaksi!$B$16:$B$5015,"&lt;="&amp;MIN(EOMONTH(DATE(Dashboard!$C$4,10,1),0),TODAY()))-SUMIFS(Transaksi!$F$16:$F$5015,Transaksi!$C$16:$C$5015,$A77,Transaksi!$D$16:$D$5015,"Pindah",Transaksi!$B$16:$B$5015,"&lt;="&amp;MIN(EOMONTH(DATE(Dashboard!$C$4,10,1),0),TODAY()))+SUMIFS(Transaksi!$F$16:$F$5015,Transaksi!$E$16:$E$5015,$A77,Transaksi!$D$16:$D$5015,"Pindah",Transaksi!$B$16:$B$5015,"&lt;="&amp;MIN(EOMONTH(DATE(Dashboard!$C$4,10,1),0),TODAY())))</f>
        <v/>
      </c>
      <c r="M77" s="106">
        <f>IF(OR($A77="",DATE(Dashboard!$C$4,11,1)&gt;TODAY(),ISNA(MATCH($B77,{"Pribadi","Investasi (kas RDN)","Piutang","Pinjaman Mama (dompet)"},0))),"",SUMIFS(Akun!$C$5:$C$104,Akun!$A$5:$A$104,$A77,Akun!$D$5:$D$104,"&lt;="&amp;MIN(EOMONTH(DATE(Dashboard!$C$4,11,1),0),TODAY()))+SUMIFS(Transaksi!$F$16:$F$5015,Transaksi!$C$16:$C$5015,$A77,Transaksi!$D$16:$D$5015,"Masuk",Transaksi!$B$16:$B$5015,"&lt;="&amp;MIN(EOMONTH(DATE(Dashboard!$C$4,11,1),0),TODAY()))-SUMIFS(Transaksi!$F$16:$F$5015,Transaksi!$C$16:$C$5015,$A77,Transaksi!$D$16:$D$5015,"Keluar",Transaksi!$B$16:$B$5015,"&lt;="&amp;MIN(EOMONTH(DATE(Dashboard!$C$4,11,1),0),TODAY()))-SUMIFS(Transaksi!$F$16:$F$5015,Transaksi!$C$16:$C$5015,$A77,Transaksi!$D$16:$D$5015,"Pindah",Transaksi!$B$16:$B$5015,"&lt;="&amp;MIN(EOMONTH(DATE(Dashboard!$C$4,11,1),0),TODAY()))+SUMIFS(Transaksi!$F$16:$F$5015,Transaksi!$E$16:$E$5015,$A77,Transaksi!$D$16:$D$5015,"Pindah",Transaksi!$B$16:$B$5015,"&lt;="&amp;MIN(EOMONTH(DATE(Dashboard!$C$4,11,1),0),TODAY())))</f>
        <v/>
      </c>
      <c r="N77" s="106">
        <f>IF(OR($A77="",DATE(Dashboard!$C$4,12,1)&gt;TODAY(),ISNA(MATCH($B77,{"Pribadi","Investasi (kas RDN)","Piutang","Pinjaman Mama (dompet)"},0))),"",SUMIFS(Akun!$C$5:$C$104,Akun!$A$5:$A$104,$A77,Akun!$D$5:$D$104,"&lt;="&amp;MIN(EOMONTH(DATE(Dashboard!$C$4,12,1),0),TODAY()))+SUMIFS(Transaksi!$F$16:$F$5015,Transaksi!$C$16:$C$5015,$A77,Transaksi!$D$16:$D$5015,"Masuk",Transaksi!$B$16:$B$5015,"&lt;="&amp;MIN(EOMONTH(DATE(Dashboard!$C$4,12,1),0),TODAY()))-SUMIFS(Transaksi!$F$16:$F$5015,Transaksi!$C$16:$C$5015,$A77,Transaksi!$D$16:$D$5015,"Keluar",Transaksi!$B$16:$B$5015,"&lt;="&amp;MIN(EOMONTH(DATE(Dashboard!$C$4,12,1),0),TODAY()))-SUMIFS(Transaksi!$F$16:$F$5015,Transaksi!$C$16:$C$5015,$A77,Transaksi!$D$16:$D$5015,"Pindah",Transaksi!$B$16:$B$5015,"&lt;="&amp;MIN(EOMONTH(DATE(Dashboard!$C$4,12,1),0),TODAY()))+SUMIFS(Transaksi!$F$16:$F$5015,Transaksi!$E$16:$E$5015,$A77,Transaksi!$D$16:$D$5015,"Pindah",Transaksi!$B$16:$B$5015,"&lt;="&amp;MIN(EOMONTH(DATE(Dashboard!$C$4,12,1),0),TODAY())))</f>
        <v/>
      </c>
    </row>
    <row r="78" ht="15" customHeight="1" s="94">
      <c r="A78" s="93">
        <f>IF(Akun!$A$42="","",Akun!$A$42)</f>
        <v/>
      </c>
      <c r="B78" s="93">
        <f>IF(Akun!$A$42="","",Akun!$B$42)</f>
        <v/>
      </c>
      <c r="C78" s="106">
        <f>IF(OR($A78="",DATE(Dashboard!$C$4,1,1)&gt;TODAY(),ISNA(MATCH($B78,{"Pribadi","Investasi (kas RDN)","Piutang","Pinjaman Mama (dompet)"},0))),"",SUMIFS(Akun!$C$5:$C$104,Akun!$A$5:$A$104,$A78,Akun!$D$5:$D$104,"&lt;="&amp;MIN(EOMONTH(DATE(Dashboard!$C$4,1,1),0),TODAY()))+SUMIFS(Transaksi!$F$16:$F$5015,Transaksi!$C$16:$C$5015,$A78,Transaksi!$D$16:$D$5015,"Masuk",Transaksi!$B$16:$B$5015,"&lt;="&amp;MIN(EOMONTH(DATE(Dashboard!$C$4,1,1),0),TODAY()))-SUMIFS(Transaksi!$F$16:$F$5015,Transaksi!$C$16:$C$5015,$A78,Transaksi!$D$16:$D$5015,"Keluar",Transaksi!$B$16:$B$5015,"&lt;="&amp;MIN(EOMONTH(DATE(Dashboard!$C$4,1,1),0),TODAY()))-SUMIFS(Transaksi!$F$16:$F$5015,Transaksi!$C$16:$C$5015,$A78,Transaksi!$D$16:$D$5015,"Pindah",Transaksi!$B$16:$B$5015,"&lt;="&amp;MIN(EOMONTH(DATE(Dashboard!$C$4,1,1),0),TODAY()))+SUMIFS(Transaksi!$F$16:$F$5015,Transaksi!$E$16:$E$5015,$A78,Transaksi!$D$16:$D$5015,"Pindah",Transaksi!$B$16:$B$5015,"&lt;="&amp;MIN(EOMONTH(DATE(Dashboard!$C$4,1,1),0),TODAY())))</f>
        <v/>
      </c>
      <c r="D78" s="106">
        <f>IF(OR($A78="",DATE(Dashboard!$C$4,2,1)&gt;TODAY(),ISNA(MATCH($B78,{"Pribadi","Investasi (kas RDN)","Piutang","Pinjaman Mama (dompet)"},0))),"",SUMIFS(Akun!$C$5:$C$104,Akun!$A$5:$A$104,$A78,Akun!$D$5:$D$104,"&lt;="&amp;MIN(EOMONTH(DATE(Dashboard!$C$4,2,1),0),TODAY()))+SUMIFS(Transaksi!$F$16:$F$5015,Transaksi!$C$16:$C$5015,$A78,Transaksi!$D$16:$D$5015,"Masuk",Transaksi!$B$16:$B$5015,"&lt;="&amp;MIN(EOMONTH(DATE(Dashboard!$C$4,2,1),0),TODAY()))-SUMIFS(Transaksi!$F$16:$F$5015,Transaksi!$C$16:$C$5015,$A78,Transaksi!$D$16:$D$5015,"Keluar",Transaksi!$B$16:$B$5015,"&lt;="&amp;MIN(EOMONTH(DATE(Dashboard!$C$4,2,1),0),TODAY()))-SUMIFS(Transaksi!$F$16:$F$5015,Transaksi!$C$16:$C$5015,$A78,Transaksi!$D$16:$D$5015,"Pindah",Transaksi!$B$16:$B$5015,"&lt;="&amp;MIN(EOMONTH(DATE(Dashboard!$C$4,2,1),0),TODAY()))+SUMIFS(Transaksi!$F$16:$F$5015,Transaksi!$E$16:$E$5015,$A78,Transaksi!$D$16:$D$5015,"Pindah",Transaksi!$B$16:$B$5015,"&lt;="&amp;MIN(EOMONTH(DATE(Dashboard!$C$4,2,1),0),TODAY())))</f>
        <v/>
      </c>
      <c r="E78" s="106">
        <f>IF(OR($A78="",DATE(Dashboard!$C$4,3,1)&gt;TODAY(),ISNA(MATCH($B78,{"Pribadi","Investasi (kas RDN)","Piutang","Pinjaman Mama (dompet)"},0))),"",SUMIFS(Akun!$C$5:$C$104,Akun!$A$5:$A$104,$A78,Akun!$D$5:$D$104,"&lt;="&amp;MIN(EOMONTH(DATE(Dashboard!$C$4,3,1),0),TODAY()))+SUMIFS(Transaksi!$F$16:$F$5015,Transaksi!$C$16:$C$5015,$A78,Transaksi!$D$16:$D$5015,"Masuk",Transaksi!$B$16:$B$5015,"&lt;="&amp;MIN(EOMONTH(DATE(Dashboard!$C$4,3,1),0),TODAY()))-SUMIFS(Transaksi!$F$16:$F$5015,Transaksi!$C$16:$C$5015,$A78,Transaksi!$D$16:$D$5015,"Keluar",Transaksi!$B$16:$B$5015,"&lt;="&amp;MIN(EOMONTH(DATE(Dashboard!$C$4,3,1),0),TODAY()))-SUMIFS(Transaksi!$F$16:$F$5015,Transaksi!$C$16:$C$5015,$A78,Transaksi!$D$16:$D$5015,"Pindah",Transaksi!$B$16:$B$5015,"&lt;="&amp;MIN(EOMONTH(DATE(Dashboard!$C$4,3,1),0),TODAY()))+SUMIFS(Transaksi!$F$16:$F$5015,Transaksi!$E$16:$E$5015,$A78,Transaksi!$D$16:$D$5015,"Pindah",Transaksi!$B$16:$B$5015,"&lt;="&amp;MIN(EOMONTH(DATE(Dashboard!$C$4,3,1),0),TODAY())))</f>
        <v/>
      </c>
      <c r="F78" s="106">
        <f>IF(OR($A78="",DATE(Dashboard!$C$4,4,1)&gt;TODAY(),ISNA(MATCH($B78,{"Pribadi","Investasi (kas RDN)","Piutang","Pinjaman Mama (dompet)"},0))),"",SUMIFS(Akun!$C$5:$C$104,Akun!$A$5:$A$104,$A78,Akun!$D$5:$D$104,"&lt;="&amp;MIN(EOMONTH(DATE(Dashboard!$C$4,4,1),0),TODAY()))+SUMIFS(Transaksi!$F$16:$F$5015,Transaksi!$C$16:$C$5015,$A78,Transaksi!$D$16:$D$5015,"Masuk",Transaksi!$B$16:$B$5015,"&lt;="&amp;MIN(EOMONTH(DATE(Dashboard!$C$4,4,1),0),TODAY()))-SUMIFS(Transaksi!$F$16:$F$5015,Transaksi!$C$16:$C$5015,$A78,Transaksi!$D$16:$D$5015,"Keluar",Transaksi!$B$16:$B$5015,"&lt;="&amp;MIN(EOMONTH(DATE(Dashboard!$C$4,4,1),0),TODAY()))-SUMIFS(Transaksi!$F$16:$F$5015,Transaksi!$C$16:$C$5015,$A78,Transaksi!$D$16:$D$5015,"Pindah",Transaksi!$B$16:$B$5015,"&lt;="&amp;MIN(EOMONTH(DATE(Dashboard!$C$4,4,1),0),TODAY()))+SUMIFS(Transaksi!$F$16:$F$5015,Transaksi!$E$16:$E$5015,$A78,Transaksi!$D$16:$D$5015,"Pindah",Transaksi!$B$16:$B$5015,"&lt;="&amp;MIN(EOMONTH(DATE(Dashboard!$C$4,4,1),0),TODAY())))</f>
        <v/>
      </c>
      <c r="G78" s="106">
        <f>IF(OR($A78="",DATE(Dashboard!$C$4,5,1)&gt;TODAY(),ISNA(MATCH($B78,{"Pribadi","Investasi (kas RDN)","Piutang","Pinjaman Mama (dompet)"},0))),"",SUMIFS(Akun!$C$5:$C$104,Akun!$A$5:$A$104,$A78,Akun!$D$5:$D$104,"&lt;="&amp;MIN(EOMONTH(DATE(Dashboard!$C$4,5,1),0),TODAY()))+SUMIFS(Transaksi!$F$16:$F$5015,Transaksi!$C$16:$C$5015,$A78,Transaksi!$D$16:$D$5015,"Masuk",Transaksi!$B$16:$B$5015,"&lt;="&amp;MIN(EOMONTH(DATE(Dashboard!$C$4,5,1),0),TODAY()))-SUMIFS(Transaksi!$F$16:$F$5015,Transaksi!$C$16:$C$5015,$A78,Transaksi!$D$16:$D$5015,"Keluar",Transaksi!$B$16:$B$5015,"&lt;="&amp;MIN(EOMONTH(DATE(Dashboard!$C$4,5,1),0),TODAY()))-SUMIFS(Transaksi!$F$16:$F$5015,Transaksi!$C$16:$C$5015,$A78,Transaksi!$D$16:$D$5015,"Pindah",Transaksi!$B$16:$B$5015,"&lt;="&amp;MIN(EOMONTH(DATE(Dashboard!$C$4,5,1),0),TODAY()))+SUMIFS(Transaksi!$F$16:$F$5015,Transaksi!$E$16:$E$5015,$A78,Transaksi!$D$16:$D$5015,"Pindah",Transaksi!$B$16:$B$5015,"&lt;="&amp;MIN(EOMONTH(DATE(Dashboard!$C$4,5,1),0),TODAY())))</f>
        <v/>
      </c>
      <c r="H78" s="106">
        <f>IF(OR($A78="",DATE(Dashboard!$C$4,6,1)&gt;TODAY(),ISNA(MATCH($B78,{"Pribadi","Investasi (kas RDN)","Piutang","Pinjaman Mama (dompet)"},0))),"",SUMIFS(Akun!$C$5:$C$104,Akun!$A$5:$A$104,$A78,Akun!$D$5:$D$104,"&lt;="&amp;MIN(EOMONTH(DATE(Dashboard!$C$4,6,1),0),TODAY()))+SUMIFS(Transaksi!$F$16:$F$5015,Transaksi!$C$16:$C$5015,$A78,Transaksi!$D$16:$D$5015,"Masuk",Transaksi!$B$16:$B$5015,"&lt;="&amp;MIN(EOMONTH(DATE(Dashboard!$C$4,6,1),0),TODAY()))-SUMIFS(Transaksi!$F$16:$F$5015,Transaksi!$C$16:$C$5015,$A78,Transaksi!$D$16:$D$5015,"Keluar",Transaksi!$B$16:$B$5015,"&lt;="&amp;MIN(EOMONTH(DATE(Dashboard!$C$4,6,1),0),TODAY()))-SUMIFS(Transaksi!$F$16:$F$5015,Transaksi!$C$16:$C$5015,$A78,Transaksi!$D$16:$D$5015,"Pindah",Transaksi!$B$16:$B$5015,"&lt;="&amp;MIN(EOMONTH(DATE(Dashboard!$C$4,6,1),0),TODAY()))+SUMIFS(Transaksi!$F$16:$F$5015,Transaksi!$E$16:$E$5015,$A78,Transaksi!$D$16:$D$5015,"Pindah",Transaksi!$B$16:$B$5015,"&lt;="&amp;MIN(EOMONTH(DATE(Dashboard!$C$4,6,1),0),TODAY())))</f>
        <v/>
      </c>
      <c r="I78" s="106">
        <f>IF(OR($A78="",DATE(Dashboard!$C$4,7,1)&gt;TODAY(),ISNA(MATCH($B78,{"Pribadi","Investasi (kas RDN)","Piutang","Pinjaman Mama (dompet)"},0))),"",SUMIFS(Akun!$C$5:$C$104,Akun!$A$5:$A$104,$A78,Akun!$D$5:$D$104,"&lt;="&amp;MIN(EOMONTH(DATE(Dashboard!$C$4,7,1),0),TODAY()))+SUMIFS(Transaksi!$F$16:$F$5015,Transaksi!$C$16:$C$5015,$A78,Transaksi!$D$16:$D$5015,"Masuk",Transaksi!$B$16:$B$5015,"&lt;="&amp;MIN(EOMONTH(DATE(Dashboard!$C$4,7,1),0),TODAY()))-SUMIFS(Transaksi!$F$16:$F$5015,Transaksi!$C$16:$C$5015,$A78,Transaksi!$D$16:$D$5015,"Keluar",Transaksi!$B$16:$B$5015,"&lt;="&amp;MIN(EOMONTH(DATE(Dashboard!$C$4,7,1),0),TODAY()))-SUMIFS(Transaksi!$F$16:$F$5015,Transaksi!$C$16:$C$5015,$A78,Transaksi!$D$16:$D$5015,"Pindah",Transaksi!$B$16:$B$5015,"&lt;="&amp;MIN(EOMONTH(DATE(Dashboard!$C$4,7,1),0),TODAY()))+SUMIFS(Transaksi!$F$16:$F$5015,Transaksi!$E$16:$E$5015,$A78,Transaksi!$D$16:$D$5015,"Pindah",Transaksi!$B$16:$B$5015,"&lt;="&amp;MIN(EOMONTH(DATE(Dashboard!$C$4,7,1),0),TODAY())))</f>
        <v/>
      </c>
      <c r="J78" s="106">
        <f>IF(OR($A78="",DATE(Dashboard!$C$4,8,1)&gt;TODAY(),ISNA(MATCH($B78,{"Pribadi","Investasi (kas RDN)","Piutang","Pinjaman Mama (dompet)"},0))),"",SUMIFS(Akun!$C$5:$C$104,Akun!$A$5:$A$104,$A78,Akun!$D$5:$D$104,"&lt;="&amp;MIN(EOMONTH(DATE(Dashboard!$C$4,8,1),0),TODAY()))+SUMIFS(Transaksi!$F$16:$F$5015,Transaksi!$C$16:$C$5015,$A78,Transaksi!$D$16:$D$5015,"Masuk",Transaksi!$B$16:$B$5015,"&lt;="&amp;MIN(EOMONTH(DATE(Dashboard!$C$4,8,1),0),TODAY()))-SUMIFS(Transaksi!$F$16:$F$5015,Transaksi!$C$16:$C$5015,$A78,Transaksi!$D$16:$D$5015,"Keluar",Transaksi!$B$16:$B$5015,"&lt;="&amp;MIN(EOMONTH(DATE(Dashboard!$C$4,8,1),0),TODAY()))-SUMIFS(Transaksi!$F$16:$F$5015,Transaksi!$C$16:$C$5015,$A78,Transaksi!$D$16:$D$5015,"Pindah",Transaksi!$B$16:$B$5015,"&lt;="&amp;MIN(EOMONTH(DATE(Dashboard!$C$4,8,1),0),TODAY()))+SUMIFS(Transaksi!$F$16:$F$5015,Transaksi!$E$16:$E$5015,$A78,Transaksi!$D$16:$D$5015,"Pindah",Transaksi!$B$16:$B$5015,"&lt;="&amp;MIN(EOMONTH(DATE(Dashboard!$C$4,8,1),0),TODAY())))</f>
        <v/>
      </c>
      <c r="K78" s="106">
        <f>IF(OR($A78="",DATE(Dashboard!$C$4,9,1)&gt;TODAY(),ISNA(MATCH($B78,{"Pribadi","Investasi (kas RDN)","Piutang","Pinjaman Mama (dompet)"},0))),"",SUMIFS(Akun!$C$5:$C$104,Akun!$A$5:$A$104,$A78,Akun!$D$5:$D$104,"&lt;="&amp;MIN(EOMONTH(DATE(Dashboard!$C$4,9,1),0),TODAY()))+SUMIFS(Transaksi!$F$16:$F$5015,Transaksi!$C$16:$C$5015,$A78,Transaksi!$D$16:$D$5015,"Masuk",Transaksi!$B$16:$B$5015,"&lt;="&amp;MIN(EOMONTH(DATE(Dashboard!$C$4,9,1),0),TODAY()))-SUMIFS(Transaksi!$F$16:$F$5015,Transaksi!$C$16:$C$5015,$A78,Transaksi!$D$16:$D$5015,"Keluar",Transaksi!$B$16:$B$5015,"&lt;="&amp;MIN(EOMONTH(DATE(Dashboard!$C$4,9,1),0),TODAY()))-SUMIFS(Transaksi!$F$16:$F$5015,Transaksi!$C$16:$C$5015,$A78,Transaksi!$D$16:$D$5015,"Pindah",Transaksi!$B$16:$B$5015,"&lt;="&amp;MIN(EOMONTH(DATE(Dashboard!$C$4,9,1),0),TODAY()))+SUMIFS(Transaksi!$F$16:$F$5015,Transaksi!$E$16:$E$5015,$A78,Transaksi!$D$16:$D$5015,"Pindah",Transaksi!$B$16:$B$5015,"&lt;="&amp;MIN(EOMONTH(DATE(Dashboard!$C$4,9,1),0),TODAY())))</f>
        <v/>
      </c>
      <c r="L78" s="106">
        <f>IF(OR($A78="",DATE(Dashboard!$C$4,10,1)&gt;TODAY(),ISNA(MATCH($B78,{"Pribadi","Investasi (kas RDN)","Piutang","Pinjaman Mama (dompet)"},0))),"",SUMIFS(Akun!$C$5:$C$104,Akun!$A$5:$A$104,$A78,Akun!$D$5:$D$104,"&lt;="&amp;MIN(EOMONTH(DATE(Dashboard!$C$4,10,1),0),TODAY()))+SUMIFS(Transaksi!$F$16:$F$5015,Transaksi!$C$16:$C$5015,$A78,Transaksi!$D$16:$D$5015,"Masuk",Transaksi!$B$16:$B$5015,"&lt;="&amp;MIN(EOMONTH(DATE(Dashboard!$C$4,10,1),0),TODAY()))-SUMIFS(Transaksi!$F$16:$F$5015,Transaksi!$C$16:$C$5015,$A78,Transaksi!$D$16:$D$5015,"Keluar",Transaksi!$B$16:$B$5015,"&lt;="&amp;MIN(EOMONTH(DATE(Dashboard!$C$4,10,1),0),TODAY()))-SUMIFS(Transaksi!$F$16:$F$5015,Transaksi!$C$16:$C$5015,$A78,Transaksi!$D$16:$D$5015,"Pindah",Transaksi!$B$16:$B$5015,"&lt;="&amp;MIN(EOMONTH(DATE(Dashboard!$C$4,10,1),0),TODAY()))+SUMIFS(Transaksi!$F$16:$F$5015,Transaksi!$E$16:$E$5015,$A78,Transaksi!$D$16:$D$5015,"Pindah",Transaksi!$B$16:$B$5015,"&lt;="&amp;MIN(EOMONTH(DATE(Dashboard!$C$4,10,1),0),TODAY())))</f>
        <v/>
      </c>
      <c r="M78" s="106">
        <f>IF(OR($A78="",DATE(Dashboard!$C$4,11,1)&gt;TODAY(),ISNA(MATCH($B78,{"Pribadi","Investasi (kas RDN)","Piutang","Pinjaman Mama (dompet)"},0))),"",SUMIFS(Akun!$C$5:$C$104,Akun!$A$5:$A$104,$A78,Akun!$D$5:$D$104,"&lt;="&amp;MIN(EOMONTH(DATE(Dashboard!$C$4,11,1),0),TODAY()))+SUMIFS(Transaksi!$F$16:$F$5015,Transaksi!$C$16:$C$5015,$A78,Transaksi!$D$16:$D$5015,"Masuk",Transaksi!$B$16:$B$5015,"&lt;="&amp;MIN(EOMONTH(DATE(Dashboard!$C$4,11,1),0),TODAY()))-SUMIFS(Transaksi!$F$16:$F$5015,Transaksi!$C$16:$C$5015,$A78,Transaksi!$D$16:$D$5015,"Keluar",Transaksi!$B$16:$B$5015,"&lt;="&amp;MIN(EOMONTH(DATE(Dashboard!$C$4,11,1),0),TODAY()))-SUMIFS(Transaksi!$F$16:$F$5015,Transaksi!$C$16:$C$5015,$A78,Transaksi!$D$16:$D$5015,"Pindah",Transaksi!$B$16:$B$5015,"&lt;="&amp;MIN(EOMONTH(DATE(Dashboard!$C$4,11,1),0),TODAY()))+SUMIFS(Transaksi!$F$16:$F$5015,Transaksi!$E$16:$E$5015,$A78,Transaksi!$D$16:$D$5015,"Pindah",Transaksi!$B$16:$B$5015,"&lt;="&amp;MIN(EOMONTH(DATE(Dashboard!$C$4,11,1),0),TODAY())))</f>
        <v/>
      </c>
      <c r="N78" s="106">
        <f>IF(OR($A78="",DATE(Dashboard!$C$4,12,1)&gt;TODAY(),ISNA(MATCH($B78,{"Pribadi","Investasi (kas RDN)","Piutang","Pinjaman Mama (dompet)"},0))),"",SUMIFS(Akun!$C$5:$C$104,Akun!$A$5:$A$104,$A78,Akun!$D$5:$D$104,"&lt;="&amp;MIN(EOMONTH(DATE(Dashboard!$C$4,12,1),0),TODAY()))+SUMIFS(Transaksi!$F$16:$F$5015,Transaksi!$C$16:$C$5015,$A78,Transaksi!$D$16:$D$5015,"Masuk",Transaksi!$B$16:$B$5015,"&lt;="&amp;MIN(EOMONTH(DATE(Dashboard!$C$4,12,1),0),TODAY()))-SUMIFS(Transaksi!$F$16:$F$5015,Transaksi!$C$16:$C$5015,$A78,Transaksi!$D$16:$D$5015,"Keluar",Transaksi!$B$16:$B$5015,"&lt;="&amp;MIN(EOMONTH(DATE(Dashboard!$C$4,12,1),0),TODAY()))-SUMIFS(Transaksi!$F$16:$F$5015,Transaksi!$C$16:$C$5015,$A78,Transaksi!$D$16:$D$5015,"Pindah",Transaksi!$B$16:$B$5015,"&lt;="&amp;MIN(EOMONTH(DATE(Dashboard!$C$4,12,1),0),TODAY()))+SUMIFS(Transaksi!$F$16:$F$5015,Transaksi!$E$16:$E$5015,$A78,Transaksi!$D$16:$D$5015,"Pindah",Transaksi!$B$16:$B$5015,"&lt;="&amp;MIN(EOMONTH(DATE(Dashboard!$C$4,12,1),0),TODAY())))</f>
        <v/>
      </c>
    </row>
    <row r="79" ht="15" customHeight="1" s="94">
      <c r="A79" s="93">
        <f>IF(Akun!$A$43="","",Akun!$A$43)</f>
        <v/>
      </c>
      <c r="B79" s="93">
        <f>IF(Akun!$A$43="","",Akun!$B$43)</f>
        <v/>
      </c>
      <c r="C79" s="106">
        <f>IF(OR($A79="",DATE(Dashboard!$C$4,1,1)&gt;TODAY(),ISNA(MATCH($B79,{"Pribadi","Investasi (kas RDN)","Piutang","Pinjaman Mama (dompet)"},0))),"",SUMIFS(Akun!$C$5:$C$104,Akun!$A$5:$A$104,$A79,Akun!$D$5:$D$104,"&lt;="&amp;MIN(EOMONTH(DATE(Dashboard!$C$4,1,1),0),TODAY()))+SUMIFS(Transaksi!$F$16:$F$5015,Transaksi!$C$16:$C$5015,$A79,Transaksi!$D$16:$D$5015,"Masuk",Transaksi!$B$16:$B$5015,"&lt;="&amp;MIN(EOMONTH(DATE(Dashboard!$C$4,1,1),0),TODAY()))-SUMIFS(Transaksi!$F$16:$F$5015,Transaksi!$C$16:$C$5015,$A79,Transaksi!$D$16:$D$5015,"Keluar",Transaksi!$B$16:$B$5015,"&lt;="&amp;MIN(EOMONTH(DATE(Dashboard!$C$4,1,1),0),TODAY()))-SUMIFS(Transaksi!$F$16:$F$5015,Transaksi!$C$16:$C$5015,$A79,Transaksi!$D$16:$D$5015,"Pindah",Transaksi!$B$16:$B$5015,"&lt;="&amp;MIN(EOMONTH(DATE(Dashboard!$C$4,1,1),0),TODAY()))+SUMIFS(Transaksi!$F$16:$F$5015,Transaksi!$E$16:$E$5015,$A79,Transaksi!$D$16:$D$5015,"Pindah",Transaksi!$B$16:$B$5015,"&lt;="&amp;MIN(EOMONTH(DATE(Dashboard!$C$4,1,1),0),TODAY())))</f>
        <v/>
      </c>
      <c r="D79" s="106">
        <f>IF(OR($A79="",DATE(Dashboard!$C$4,2,1)&gt;TODAY(),ISNA(MATCH($B79,{"Pribadi","Investasi (kas RDN)","Piutang","Pinjaman Mama (dompet)"},0))),"",SUMIFS(Akun!$C$5:$C$104,Akun!$A$5:$A$104,$A79,Akun!$D$5:$D$104,"&lt;="&amp;MIN(EOMONTH(DATE(Dashboard!$C$4,2,1),0),TODAY()))+SUMIFS(Transaksi!$F$16:$F$5015,Transaksi!$C$16:$C$5015,$A79,Transaksi!$D$16:$D$5015,"Masuk",Transaksi!$B$16:$B$5015,"&lt;="&amp;MIN(EOMONTH(DATE(Dashboard!$C$4,2,1),0),TODAY()))-SUMIFS(Transaksi!$F$16:$F$5015,Transaksi!$C$16:$C$5015,$A79,Transaksi!$D$16:$D$5015,"Keluar",Transaksi!$B$16:$B$5015,"&lt;="&amp;MIN(EOMONTH(DATE(Dashboard!$C$4,2,1),0),TODAY()))-SUMIFS(Transaksi!$F$16:$F$5015,Transaksi!$C$16:$C$5015,$A79,Transaksi!$D$16:$D$5015,"Pindah",Transaksi!$B$16:$B$5015,"&lt;="&amp;MIN(EOMONTH(DATE(Dashboard!$C$4,2,1),0),TODAY()))+SUMIFS(Transaksi!$F$16:$F$5015,Transaksi!$E$16:$E$5015,$A79,Transaksi!$D$16:$D$5015,"Pindah",Transaksi!$B$16:$B$5015,"&lt;="&amp;MIN(EOMONTH(DATE(Dashboard!$C$4,2,1),0),TODAY())))</f>
        <v/>
      </c>
      <c r="E79" s="106">
        <f>IF(OR($A79="",DATE(Dashboard!$C$4,3,1)&gt;TODAY(),ISNA(MATCH($B79,{"Pribadi","Investasi (kas RDN)","Piutang","Pinjaman Mama (dompet)"},0))),"",SUMIFS(Akun!$C$5:$C$104,Akun!$A$5:$A$104,$A79,Akun!$D$5:$D$104,"&lt;="&amp;MIN(EOMONTH(DATE(Dashboard!$C$4,3,1),0),TODAY()))+SUMIFS(Transaksi!$F$16:$F$5015,Transaksi!$C$16:$C$5015,$A79,Transaksi!$D$16:$D$5015,"Masuk",Transaksi!$B$16:$B$5015,"&lt;="&amp;MIN(EOMONTH(DATE(Dashboard!$C$4,3,1),0),TODAY()))-SUMIFS(Transaksi!$F$16:$F$5015,Transaksi!$C$16:$C$5015,$A79,Transaksi!$D$16:$D$5015,"Keluar",Transaksi!$B$16:$B$5015,"&lt;="&amp;MIN(EOMONTH(DATE(Dashboard!$C$4,3,1),0),TODAY()))-SUMIFS(Transaksi!$F$16:$F$5015,Transaksi!$C$16:$C$5015,$A79,Transaksi!$D$16:$D$5015,"Pindah",Transaksi!$B$16:$B$5015,"&lt;="&amp;MIN(EOMONTH(DATE(Dashboard!$C$4,3,1),0),TODAY()))+SUMIFS(Transaksi!$F$16:$F$5015,Transaksi!$E$16:$E$5015,$A79,Transaksi!$D$16:$D$5015,"Pindah",Transaksi!$B$16:$B$5015,"&lt;="&amp;MIN(EOMONTH(DATE(Dashboard!$C$4,3,1),0),TODAY())))</f>
        <v/>
      </c>
      <c r="F79" s="106">
        <f>IF(OR($A79="",DATE(Dashboard!$C$4,4,1)&gt;TODAY(),ISNA(MATCH($B79,{"Pribadi","Investasi (kas RDN)","Piutang","Pinjaman Mama (dompet)"},0))),"",SUMIFS(Akun!$C$5:$C$104,Akun!$A$5:$A$104,$A79,Akun!$D$5:$D$104,"&lt;="&amp;MIN(EOMONTH(DATE(Dashboard!$C$4,4,1),0),TODAY()))+SUMIFS(Transaksi!$F$16:$F$5015,Transaksi!$C$16:$C$5015,$A79,Transaksi!$D$16:$D$5015,"Masuk",Transaksi!$B$16:$B$5015,"&lt;="&amp;MIN(EOMONTH(DATE(Dashboard!$C$4,4,1),0),TODAY()))-SUMIFS(Transaksi!$F$16:$F$5015,Transaksi!$C$16:$C$5015,$A79,Transaksi!$D$16:$D$5015,"Keluar",Transaksi!$B$16:$B$5015,"&lt;="&amp;MIN(EOMONTH(DATE(Dashboard!$C$4,4,1),0),TODAY()))-SUMIFS(Transaksi!$F$16:$F$5015,Transaksi!$C$16:$C$5015,$A79,Transaksi!$D$16:$D$5015,"Pindah",Transaksi!$B$16:$B$5015,"&lt;="&amp;MIN(EOMONTH(DATE(Dashboard!$C$4,4,1),0),TODAY()))+SUMIFS(Transaksi!$F$16:$F$5015,Transaksi!$E$16:$E$5015,$A79,Transaksi!$D$16:$D$5015,"Pindah",Transaksi!$B$16:$B$5015,"&lt;="&amp;MIN(EOMONTH(DATE(Dashboard!$C$4,4,1),0),TODAY())))</f>
        <v/>
      </c>
      <c r="G79" s="106">
        <f>IF(OR($A79="",DATE(Dashboard!$C$4,5,1)&gt;TODAY(),ISNA(MATCH($B79,{"Pribadi","Investasi (kas RDN)","Piutang","Pinjaman Mama (dompet)"},0))),"",SUMIFS(Akun!$C$5:$C$104,Akun!$A$5:$A$104,$A79,Akun!$D$5:$D$104,"&lt;="&amp;MIN(EOMONTH(DATE(Dashboard!$C$4,5,1),0),TODAY()))+SUMIFS(Transaksi!$F$16:$F$5015,Transaksi!$C$16:$C$5015,$A79,Transaksi!$D$16:$D$5015,"Masuk",Transaksi!$B$16:$B$5015,"&lt;="&amp;MIN(EOMONTH(DATE(Dashboard!$C$4,5,1),0),TODAY()))-SUMIFS(Transaksi!$F$16:$F$5015,Transaksi!$C$16:$C$5015,$A79,Transaksi!$D$16:$D$5015,"Keluar",Transaksi!$B$16:$B$5015,"&lt;="&amp;MIN(EOMONTH(DATE(Dashboard!$C$4,5,1),0),TODAY()))-SUMIFS(Transaksi!$F$16:$F$5015,Transaksi!$C$16:$C$5015,$A79,Transaksi!$D$16:$D$5015,"Pindah",Transaksi!$B$16:$B$5015,"&lt;="&amp;MIN(EOMONTH(DATE(Dashboard!$C$4,5,1),0),TODAY()))+SUMIFS(Transaksi!$F$16:$F$5015,Transaksi!$E$16:$E$5015,$A79,Transaksi!$D$16:$D$5015,"Pindah",Transaksi!$B$16:$B$5015,"&lt;="&amp;MIN(EOMONTH(DATE(Dashboard!$C$4,5,1),0),TODAY())))</f>
        <v/>
      </c>
      <c r="H79" s="106">
        <f>IF(OR($A79="",DATE(Dashboard!$C$4,6,1)&gt;TODAY(),ISNA(MATCH($B79,{"Pribadi","Investasi (kas RDN)","Piutang","Pinjaman Mama (dompet)"},0))),"",SUMIFS(Akun!$C$5:$C$104,Akun!$A$5:$A$104,$A79,Akun!$D$5:$D$104,"&lt;="&amp;MIN(EOMONTH(DATE(Dashboard!$C$4,6,1),0),TODAY()))+SUMIFS(Transaksi!$F$16:$F$5015,Transaksi!$C$16:$C$5015,$A79,Transaksi!$D$16:$D$5015,"Masuk",Transaksi!$B$16:$B$5015,"&lt;="&amp;MIN(EOMONTH(DATE(Dashboard!$C$4,6,1),0),TODAY()))-SUMIFS(Transaksi!$F$16:$F$5015,Transaksi!$C$16:$C$5015,$A79,Transaksi!$D$16:$D$5015,"Keluar",Transaksi!$B$16:$B$5015,"&lt;="&amp;MIN(EOMONTH(DATE(Dashboard!$C$4,6,1),0),TODAY()))-SUMIFS(Transaksi!$F$16:$F$5015,Transaksi!$C$16:$C$5015,$A79,Transaksi!$D$16:$D$5015,"Pindah",Transaksi!$B$16:$B$5015,"&lt;="&amp;MIN(EOMONTH(DATE(Dashboard!$C$4,6,1),0),TODAY()))+SUMIFS(Transaksi!$F$16:$F$5015,Transaksi!$E$16:$E$5015,$A79,Transaksi!$D$16:$D$5015,"Pindah",Transaksi!$B$16:$B$5015,"&lt;="&amp;MIN(EOMONTH(DATE(Dashboard!$C$4,6,1),0),TODAY())))</f>
        <v/>
      </c>
      <c r="I79" s="106">
        <f>IF(OR($A79="",DATE(Dashboard!$C$4,7,1)&gt;TODAY(),ISNA(MATCH($B79,{"Pribadi","Investasi (kas RDN)","Piutang","Pinjaman Mama (dompet)"},0))),"",SUMIFS(Akun!$C$5:$C$104,Akun!$A$5:$A$104,$A79,Akun!$D$5:$D$104,"&lt;="&amp;MIN(EOMONTH(DATE(Dashboard!$C$4,7,1),0),TODAY()))+SUMIFS(Transaksi!$F$16:$F$5015,Transaksi!$C$16:$C$5015,$A79,Transaksi!$D$16:$D$5015,"Masuk",Transaksi!$B$16:$B$5015,"&lt;="&amp;MIN(EOMONTH(DATE(Dashboard!$C$4,7,1),0),TODAY()))-SUMIFS(Transaksi!$F$16:$F$5015,Transaksi!$C$16:$C$5015,$A79,Transaksi!$D$16:$D$5015,"Keluar",Transaksi!$B$16:$B$5015,"&lt;="&amp;MIN(EOMONTH(DATE(Dashboard!$C$4,7,1),0),TODAY()))-SUMIFS(Transaksi!$F$16:$F$5015,Transaksi!$C$16:$C$5015,$A79,Transaksi!$D$16:$D$5015,"Pindah",Transaksi!$B$16:$B$5015,"&lt;="&amp;MIN(EOMONTH(DATE(Dashboard!$C$4,7,1),0),TODAY()))+SUMIFS(Transaksi!$F$16:$F$5015,Transaksi!$E$16:$E$5015,$A79,Transaksi!$D$16:$D$5015,"Pindah",Transaksi!$B$16:$B$5015,"&lt;="&amp;MIN(EOMONTH(DATE(Dashboard!$C$4,7,1),0),TODAY())))</f>
        <v/>
      </c>
      <c r="J79" s="106">
        <f>IF(OR($A79="",DATE(Dashboard!$C$4,8,1)&gt;TODAY(),ISNA(MATCH($B79,{"Pribadi","Investasi (kas RDN)","Piutang","Pinjaman Mama (dompet)"},0))),"",SUMIFS(Akun!$C$5:$C$104,Akun!$A$5:$A$104,$A79,Akun!$D$5:$D$104,"&lt;="&amp;MIN(EOMONTH(DATE(Dashboard!$C$4,8,1),0),TODAY()))+SUMIFS(Transaksi!$F$16:$F$5015,Transaksi!$C$16:$C$5015,$A79,Transaksi!$D$16:$D$5015,"Masuk",Transaksi!$B$16:$B$5015,"&lt;="&amp;MIN(EOMONTH(DATE(Dashboard!$C$4,8,1),0),TODAY()))-SUMIFS(Transaksi!$F$16:$F$5015,Transaksi!$C$16:$C$5015,$A79,Transaksi!$D$16:$D$5015,"Keluar",Transaksi!$B$16:$B$5015,"&lt;="&amp;MIN(EOMONTH(DATE(Dashboard!$C$4,8,1),0),TODAY()))-SUMIFS(Transaksi!$F$16:$F$5015,Transaksi!$C$16:$C$5015,$A79,Transaksi!$D$16:$D$5015,"Pindah",Transaksi!$B$16:$B$5015,"&lt;="&amp;MIN(EOMONTH(DATE(Dashboard!$C$4,8,1),0),TODAY()))+SUMIFS(Transaksi!$F$16:$F$5015,Transaksi!$E$16:$E$5015,$A79,Transaksi!$D$16:$D$5015,"Pindah",Transaksi!$B$16:$B$5015,"&lt;="&amp;MIN(EOMONTH(DATE(Dashboard!$C$4,8,1),0),TODAY())))</f>
        <v/>
      </c>
      <c r="K79" s="106">
        <f>IF(OR($A79="",DATE(Dashboard!$C$4,9,1)&gt;TODAY(),ISNA(MATCH($B79,{"Pribadi","Investasi (kas RDN)","Piutang","Pinjaman Mama (dompet)"},0))),"",SUMIFS(Akun!$C$5:$C$104,Akun!$A$5:$A$104,$A79,Akun!$D$5:$D$104,"&lt;="&amp;MIN(EOMONTH(DATE(Dashboard!$C$4,9,1),0),TODAY()))+SUMIFS(Transaksi!$F$16:$F$5015,Transaksi!$C$16:$C$5015,$A79,Transaksi!$D$16:$D$5015,"Masuk",Transaksi!$B$16:$B$5015,"&lt;="&amp;MIN(EOMONTH(DATE(Dashboard!$C$4,9,1),0),TODAY()))-SUMIFS(Transaksi!$F$16:$F$5015,Transaksi!$C$16:$C$5015,$A79,Transaksi!$D$16:$D$5015,"Keluar",Transaksi!$B$16:$B$5015,"&lt;="&amp;MIN(EOMONTH(DATE(Dashboard!$C$4,9,1),0),TODAY()))-SUMIFS(Transaksi!$F$16:$F$5015,Transaksi!$C$16:$C$5015,$A79,Transaksi!$D$16:$D$5015,"Pindah",Transaksi!$B$16:$B$5015,"&lt;="&amp;MIN(EOMONTH(DATE(Dashboard!$C$4,9,1),0),TODAY()))+SUMIFS(Transaksi!$F$16:$F$5015,Transaksi!$E$16:$E$5015,$A79,Transaksi!$D$16:$D$5015,"Pindah",Transaksi!$B$16:$B$5015,"&lt;="&amp;MIN(EOMONTH(DATE(Dashboard!$C$4,9,1),0),TODAY())))</f>
        <v/>
      </c>
      <c r="L79" s="106">
        <f>IF(OR($A79="",DATE(Dashboard!$C$4,10,1)&gt;TODAY(),ISNA(MATCH($B79,{"Pribadi","Investasi (kas RDN)","Piutang","Pinjaman Mama (dompet)"},0))),"",SUMIFS(Akun!$C$5:$C$104,Akun!$A$5:$A$104,$A79,Akun!$D$5:$D$104,"&lt;="&amp;MIN(EOMONTH(DATE(Dashboard!$C$4,10,1),0),TODAY()))+SUMIFS(Transaksi!$F$16:$F$5015,Transaksi!$C$16:$C$5015,$A79,Transaksi!$D$16:$D$5015,"Masuk",Transaksi!$B$16:$B$5015,"&lt;="&amp;MIN(EOMONTH(DATE(Dashboard!$C$4,10,1),0),TODAY()))-SUMIFS(Transaksi!$F$16:$F$5015,Transaksi!$C$16:$C$5015,$A79,Transaksi!$D$16:$D$5015,"Keluar",Transaksi!$B$16:$B$5015,"&lt;="&amp;MIN(EOMONTH(DATE(Dashboard!$C$4,10,1),0),TODAY()))-SUMIFS(Transaksi!$F$16:$F$5015,Transaksi!$C$16:$C$5015,$A79,Transaksi!$D$16:$D$5015,"Pindah",Transaksi!$B$16:$B$5015,"&lt;="&amp;MIN(EOMONTH(DATE(Dashboard!$C$4,10,1),0),TODAY()))+SUMIFS(Transaksi!$F$16:$F$5015,Transaksi!$E$16:$E$5015,$A79,Transaksi!$D$16:$D$5015,"Pindah",Transaksi!$B$16:$B$5015,"&lt;="&amp;MIN(EOMONTH(DATE(Dashboard!$C$4,10,1),0),TODAY())))</f>
        <v/>
      </c>
      <c r="M79" s="106">
        <f>IF(OR($A79="",DATE(Dashboard!$C$4,11,1)&gt;TODAY(),ISNA(MATCH($B79,{"Pribadi","Investasi (kas RDN)","Piutang","Pinjaman Mama (dompet)"},0))),"",SUMIFS(Akun!$C$5:$C$104,Akun!$A$5:$A$104,$A79,Akun!$D$5:$D$104,"&lt;="&amp;MIN(EOMONTH(DATE(Dashboard!$C$4,11,1),0),TODAY()))+SUMIFS(Transaksi!$F$16:$F$5015,Transaksi!$C$16:$C$5015,$A79,Transaksi!$D$16:$D$5015,"Masuk",Transaksi!$B$16:$B$5015,"&lt;="&amp;MIN(EOMONTH(DATE(Dashboard!$C$4,11,1),0),TODAY()))-SUMIFS(Transaksi!$F$16:$F$5015,Transaksi!$C$16:$C$5015,$A79,Transaksi!$D$16:$D$5015,"Keluar",Transaksi!$B$16:$B$5015,"&lt;="&amp;MIN(EOMONTH(DATE(Dashboard!$C$4,11,1),0),TODAY()))-SUMIFS(Transaksi!$F$16:$F$5015,Transaksi!$C$16:$C$5015,$A79,Transaksi!$D$16:$D$5015,"Pindah",Transaksi!$B$16:$B$5015,"&lt;="&amp;MIN(EOMONTH(DATE(Dashboard!$C$4,11,1),0),TODAY()))+SUMIFS(Transaksi!$F$16:$F$5015,Transaksi!$E$16:$E$5015,$A79,Transaksi!$D$16:$D$5015,"Pindah",Transaksi!$B$16:$B$5015,"&lt;="&amp;MIN(EOMONTH(DATE(Dashboard!$C$4,11,1),0),TODAY())))</f>
        <v/>
      </c>
      <c r="N79" s="106">
        <f>IF(OR($A79="",DATE(Dashboard!$C$4,12,1)&gt;TODAY(),ISNA(MATCH($B79,{"Pribadi","Investasi (kas RDN)","Piutang","Pinjaman Mama (dompet)"},0))),"",SUMIFS(Akun!$C$5:$C$104,Akun!$A$5:$A$104,$A79,Akun!$D$5:$D$104,"&lt;="&amp;MIN(EOMONTH(DATE(Dashboard!$C$4,12,1),0),TODAY()))+SUMIFS(Transaksi!$F$16:$F$5015,Transaksi!$C$16:$C$5015,$A79,Transaksi!$D$16:$D$5015,"Masuk",Transaksi!$B$16:$B$5015,"&lt;="&amp;MIN(EOMONTH(DATE(Dashboard!$C$4,12,1),0),TODAY()))-SUMIFS(Transaksi!$F$16:$F$5015,Transaksi!$C$16:$C$5015,$A79,Transaksi!$D$16:$D$5015,"Keluar",Transaksi!$B$16:$B$5015,"&lt;="&amp;MIN(EOMONTH(DATE(Dashboard!$C$4,12,1),0),TODAY()))-SUMIFS(Transaksi!$F$16:$F$5015,Transaksi!$C$16:$C$5015,$A79,Transaksi!$D$16:$D$5015,"Pindah",Transaksi!$B$16:$B$5015,"&lt;="&amp;MIN(EOMONTH(DATE(Dashboard!$C$4,12,1),0),TODAY()))+SUMIFS(Transaksi!$F$16:$F$5015,Transaksi!$E$16:$E$5015,$A79,Transaksi!$D$16:$D$5015,"Pindah",Transaksi!$B$16:$B$5015,"&lt;="&amp;MIN(EOMONTH(DATE(Dashboard!$C$4,12,1),0),TODAY())))</f>
        <v/>
      </c>
    </row>
    <row r="80" ht="15" customHeight="1" s="94">
      <c r="A80" s="93">
        <f>IF(Akun!$A$44="","",Akun!$A$44)</f>
        <v/>
      </c>
      <c r="B80" s="93">
        <f>IF(Akun!$A$44="","",Akun!$B$44)</f>
        <v/>
      </c>
      <c r="C80" s="106">
        <f>IF(OR($A80="",DATE(Dashboard!$C$4,1,1)&gt;TODAY(),ISNA(MATCH($B80,{"Pribadi","Investasi (kas RDN)","Piutang","Pinjaman Mama (dompet)"},0))),"",SUMIFS(Akun!$C$5:$C$104,Akun!$A$5:$A$104,$A80,Akun!$D$5:$D$104,"&lt;="&amp;MIN(EOMONTH(DATE(Dashboard!$C$4,1,1),0),TODAY()))+SUMIFS(Transaksi!$F$16:$F$5015,Transaksi!$C$16:$C$5015,$A80,Transaksi!$D$16:$D$5015,"Masuk",Transaksi!$B$16:$B$5015,"&lt;="&amp;MIN(EOMONTH(DATE(Dashboard!$C$4,1,1),0),TODAY()))-SUMIFS(Transaksi!$F$16:$F$5015,Transaksi!$C$16:$C$5015,$A80,Transaksi!$D$16:$D$5015,"Keluar",Transaksi!$B$16:$B$5015,"&lt;="&amp;MIN(EOMONTH(DATE(Dashboard!$C$4,1,1),0),TODAY()))-SUMIFS(Transaksi!$F$16:$F$5015,Transaksi!$C$16:$C$5015,$A80,Transaksi!$D$16:$D$5015,"Pindah",Transaksi!$B$16:$B$5015,"&lt;="&amp;MIN(EOMONTH(DATE(Dashboard!$C$4,1,1),0),TODAY()))+SUMIFS(Transaksi!$F$16:$F$5015,Transaksi!$E$16:$E$5015,$A80,Transaksi!$D$16:$D$5015,"Pindah",Transaksi!$B$16:$B$5015,"&lt;="&amp;MIN(EOMONTH(DATE(Dashboard!$C$4,1,1),0),TODAY())))</f>
        <v/>
      </c>
      <c r="D80" s="106">
        <f>IF(OR($A80="",DATE(Dashboard!$C$4,2,1)&gt;TODAY(),ISNA(MATCH($B80,{"Pribadi","Investasi (kas RDN)","Piutang","Pinjaman Mama (dompet)"},0))),"",SUMIFS(Akun!$C$5:$C$104,Akun!$A$5:$A$104,$A80,Akun!$D$5:$D$104,"&lt;="&amp;MIN(EOMONTH(DATE(Dashboard!$C$4,2,1),0),TODAY()))+SUMIFS(Transaksi!$F$16:$F$5015,Transaksi!$C$16:$C$5015,$A80,Transaksi!$D$16:$D$5015,"Masuk",Transaksi!$B$16:$B$5015,"&lt;="&amp;MIN(EOMONTH(DATE(Dashboard!$C$4,2,1),0),TODAY()))-SUMIFS(Transaksi!$F$16:$F$5015,Transaksi!$C$16:$C$5015,$A80,Transaksi!$D$16:$D$5015,"Keluar",Transaksi!$B$16:$B$5015,"&lt;="&amp;MIN(EOMONTH(DATE(Dashboard!$C$4,2,1),0),TODAY()))-SUMIFS(Transaksi!$F$16:$F$5015,Transaksi!$C$16:$C$5015,$A80,Transaksi!$D$16:$D$5015,"Pindah",Transaksi!$B$16:$B$5015,"&lt;="&amp;MIN(EOMONTH(DATE(Dashboard!$C$4,2,1),0),TODAY()))+SUMIFS(Transaksi!$F$16:$F$5015,Transaksi!$E$16:$E$5015,$A80,Transaksi!$D$16:$D$5015,"Pindah",Transaksi!$B$16:$B$5015,"&lt;="&amp;MIN(EOMONTH(DATE(Dashboard!$C$4,2,1),0),TODAY())))</f>
        <v/>
      </c>
      <c r="E80" s="106">
        <f>IF(OR($A80="",DATE(Dashboard!$C$4,3,1)&gt;TODAY(),ISNA(MATCH($B80,{"Pribadi","Investasi (kas RDN)","Piutang","Pinjaman Mama (dompet)"},0))),"",SUMIFS(Akun!$C$5:$C$104,Akun!$A$5:$A$104,$A80,Akun!$D$5:$D$104,"&lt;="&amp;MIN(EOMONTH(DATE(Dashboard!$C$4,3,1),0),TODAY()))+SUMIFS(Transaksi!$F$16:$F$5015,Transaksi!$C$16:$C$5015,$A80,Transaksi!$D$16:$D$5015,"Masuk",Transaksi!$B$16:$B$5015,"&lt;="&amp;MIN(EOMONTH(DATE(Dashboard!$C$4,3,1),0),TODAY()))-SUMIFS(Transaksi!$F$16:$F$5015,Transaksi!$C$16:$C$5015,$A80,Transaksi!$D$16:$D$5015,"Keluar",Transaksi!$B$16:$B$5015,"&lt;="&amp;MIN(EOMONTH(DATE(Dashboard!$C$4,3,1),0),TODAY()))-SUMIFS(Transaksi!$F$16:$F$5015,Transaksi!$C$16:$C$5015,$A80,Transaksi!$D$16:$D$5015,"Pindah",Transaksi!$B$16:$B$5015,"&lt;="&amp;MIN(EOMONTH(DATE(Dashboard!$C$4,3,1),0),TODAY()))+SUMIFS(Transaksi!$F$16:$F$5015,Transaksi!$E$16:$E$5015,$A80,Transaksi!$D$16:$D$5015,"Pindah",Transaksi!$B$16:$B$5015,"&lt;="&amp;MIN(EOMONTH(DATE(Dashboard!$C$4,3,1),0),TODAY())))</f>
        <v/>
      </c>
      <c r="F80" s="106">
        <f>IF(OR($A80="",DATE(Dashboard!$C$4,4,1)&gt;TODAY(),ISNA(MATCH($B80,{"Pribadi","Investasi (kas RDN)","Piutang","Pinjaman Mama (dompet)"},0))),"",SUMIFS(Akun!$C$5:$C$104,Akun!$A$5:$A$104,$A80,Akun!$D$5:$D$104,"&lt;="&amp;MIN(EOMONTH(DATE(Dashboard!$C$4,4,1),0),TODAY()))+SUMIFS(Transaksi!$F$16:$F$5015,Transaksi!$C$16:$C$5015,$A80,Transaksi!$D$16:$D$5015,"Masuk",Transaksi!$B$16:$B$5015,"&lt;="&amp;MIN(EOMONTH(DATE(Dashboard!$C$4,4,1),0),TODAY()))-SUMIFS(Transaksi!$F$16:$F$5015,Transaksi!$C$16:$C$5015,$A80,Transaksi!$D$16:$D$5015,"Keluar",Transaksi!$B$16:$B$5015,"&lt;="&amp;MIN(EOMONTH(DATE(Dashboard!$C$4,4,1),0),TODAY()))-SUMIFS(Transaksi!$F$16:$F$5015,Transaksi!$C$16:$C$5015,$A80,Transaksi!$D$16:$D$5015,"Pindah",Transaksi!$B$16:$B$5015,"&lt;="&amp;MIN(EOMONTH(DATE(Dashboard!$C$4,4,1),0),TODAY()))+SUMIFS(Transaksi!$F$16:$F$5015,Transaksi!$E$16:$E$5015,$A80,Transaksi!$D$16:$D$5015,"Pindah",Transaksi!$B$16:$B$5015,"&lt;="&amp;MIN(EOMONTH(DATE(Dashboard!$C$4,4,1),0),TODAY())))</f>
        <v/>
      </c>
      <c r="G80" s="106">
        <f>IF(OR($A80="",DATE(Dashboard!$C$4,5,1)&gt;TODAY(),ISNA(MATCH($B80,{"Pribadi","Investasi (kas RDN)","Piutang","Pinjaman Mama (dompet)"},0))),"",SUMIFS(Akun!$C$5:$C$104,Akun!$A$5:$A$104,$A80,Akun!$D$5:$D$104,"&lt;="&amp;MIN(EOMONTH(DATE(Dashboard!$C$4,5,1),0),TODAY()))+SUMIFS(Transaksi!$F$16:$F$5015,Transaksi!$C$16:$C$5015,$A80,Transaksi!$D$16:$D$5015,"Masuk",Transaksi!$B$16:$B$5015,"&lt;="&amp;MIN(EOMONTH(DATE(Dashboard!$C$4,5,1),0),TODAY()))-SUMIFS(Transaksi!$F$16:$F$5015,Transaksi!$C$16:$C$5015,$A80,Transaksi!$D$16:$D$5015,"Keluar",Transaksi!$B$16:$B$5015,"&lt;="&amp;MIN(EOMONTH(DATE(Dashboard!$C$4,5,1),0),TODAY()))-SUMIFS(Transaksi!$F$16:$F$5015,Transaksi!$C$16:$C$5015,$A80,Transaksi!$D$16:$D$5015,"Pindah",Transaksi!$B$16:$B$5015,"&lt;="&amp;MIN(EOMONTH(DATE(Dashboard!$C$4,5,1),0),TODAY()))+SUMIFS(Transaksi!$F$16:$F$5015,Transaksi!$E$16:$E$5015,$A80,Transaksi!$D$16:$D$5015,"Pindah",Transaksi!$B$16:$B$5015,"&lt;="&amp;MIN(EOMONTH(DATE(Dashboard!$C$4,5,1),0),TODAY())))</f>
        <v/>
      </c>
      <c r="H80" s="106">
        <f>IF(OR($A80="",DATE(Dashboard!$C$4,6,1)&gt;TODAY(),ISNA(MATCH($B80,{"Pribadi","Investasi (kas RDN)","Piutang","Pinjaman Mama (dompet)"},0))),"",SUMIFS(Akun!$C$5:$C$104,Akun!$A$5:$A$104,$A80,Akun!$D$5:$D$104,"&lt;="&amp;MIN(EOMONTH(DATE(Dashboard!$C$4,6,1),0),TODAY()))+SUMIFS(Transaksi!$F$16:$F$5015,Transaksi!$C$16:$C$5015,$A80,Transaksi!$D$16:$D$5015,"Masuk",Transaksi!$B$16:$B$5015,"&lt;="&amp;MIN(EOMONTH(DATE(Dashboard!$C$4,6,1),0),TODAY()))-SUMIFS(Transaksi!$F$16:$F$5015,Transaksi!$C$16:$C$5015,$A80,Transaksi!$D$16:$D$5015,"Keluar",Transaksi!$B$16:$B$5015,"&lt;="&amp;MIN(EOMONTH(DATE(Dashboard!$C$4,6,1),0),TODAY()))-SUMIFS(Transaksi!$F$16:$F$5015,Transaksi!$C$16:$C$5015,$A80,Transaksi!$D$16:$D$5015,"Pindah",Transaksi!$B$16:$B$5015,"&lt;="&amp;MIN(EOMONTH(DATE(Dashboard!$C$4,6,1),0),TODAY()))+SUMIFS(Transaksi!$F$16:$F$5015,Transaksi!$E$16:$E$5015,$A80,Transaksi!$D$16:$D$5015,"Pindah",Transaksi!$B$16:$B$5015,"&lt;="&amp;MIN(EOMONTH(DATE(Dashboard!$C$4,6,1),0),TODAY())))</f>
        <v/>
      </c>
      <c r="I80" s="106">
        <f>IF(OR($A80="",DATE(Dashboard!$C$4,7,1)&gt;TODAY(),ISNA(MATCH($B80,{"Pribadi","Investasi (kas RDN)","Piutang","Pinjaman Mama (dompet)"},0))),"",SUMIFS(Akun!$C$5:$C$104,Akun!$A$5:$A$104,$A80,Akun!$D$5:$D$104,"&lt;="&amp;MIN(EOMONTH(DATE(Dashboard!$C$4,7,1),0),TODAY()))+SUMIFS(Transaksi!$F$16:$F$5015,Transaksi!$C$16:$C$5015,$A80,Transaksi!$D$16:$D$5015,"Masuk",Transaksi!$B$16:$B$5015,"&lt;="&amp;MIN(EOMONTH(DATE(Dashboard!$C$4,7,1),0),TODAY()))-SUMIFS(Transaksi!$F$16:$F$5015,Transaksi!$C$16:$C$5015,$A80,Transaksi!$D$16:$D$5015,"Keluar",Transaksi!$B$16:$B$5015,"&lt;="&amp;MIN(EOMONTH(DATE(Dashboard!$C$4,7,1),0),TODAY()))-SUMIFS(Transaksi!$F$16:$F$5015,Transaksi!$C$16:$C$5015,$A80,Transaksi!$D$16:$D$5015,"Pindah",Transaksi!$B$16:$B$5015,"&lt;="&amp;MIN(EOMONTH(DATE(Dashboard!$C$4,7,1),0),TODAY()))+SUMIFS(Transaksi!$F$16:$F$5015,Transaksi!$E$16:$E$5015,$A80,Transaksi!$D$16:$D$5015,"Pindah",Transaksi!$B$16:$B$5015,"&lt;="&amp;MIN(EOMONTH(DATE(Dashboard!$C$4,7,1),0),TODAY())))</f>
        <v/>
      </c>
      <c r="J80" s="106">
        <f>IF(OR($A80="",DATE(Dashboard!$C$4,8,1)&gt;TODAY(),ISNA(MATCH($B80,{"Pribadi","Investasi (kas RDN)","Piutang","Pinjaman Mama (dompet)"},0))),"",SUMIFS(Akun!$C$5:$C$104,Akun!$A$5:$A$104,$A80,Akun!$D$5:$D$104,"&lt;="&amp;MIN(EOMONTH(DATE(Dashboard!$C$4,8,1),0),TODAY()))+SUMIFS(Transaksi!$F$16:$F$5015,Transaksi!$C$16:$C$5015,$A80,Transaksi!$D$16:$D$5015,"Masuk",Transaksi!$B$16:$B$5015,"&lt;="&amp;MIN(EOMONTH(DATE(Dashboard!$C$4,8,1),0),TODAY()))-SUMIFS(Transaksi!$F$16:$F$5015,Transaksi!$C$16:$C$5015,$A80,Transaksi!$D$16:$D$5015,"Keluar",Transaksi!$B$16:$B$5015,"&lt;="&amp;MIN(EOMONTH(DATE(Dashboard!$C$4,8,1),0),TODAY()))-SUMIFS(Transaksi!$F$16:$F$5015,Transaksi!$C$16:$C$5015,$A80,Transaksi!$D$16:$D$5015,"Pindah",Transaksi!$B$16:$B$5015,"&lt;="&amp;MIN(EOMONTH(DATE(Dashboard!$C$4,8,1),0),TODAY()))+SUMIFS(Transaksi!$F$16:$F$5015,Transaksi!$E$16:$E$5015,$A80,Transaksi!$D$16:$D$5015,"Pindah",Transaksi!$B$16:$B$5015,"&lt;="&amp;MIN(EOMONTH(DATE(Dashboard!$C$4,8,1),0),TODAY())))</f>
        <v/>
      </c>
      <c r="K80" s="106">
        <f>IF(OR($A80="",DATE(Dashboard!$C$4,9,1)&gt;TODAY(),ISNA(MATCH($B80,{"Pribadi","Investasi (kas RDN)","Piutang","Pinjaman Mama (dompet)"},0))),"",SUMIFS(Akun!$C$5:$C$104,Akun!$A$5:$A$104,$A80,Akun!$D$5:$D$104,"&lt;="&amp;MIN(EOMONTH(DATE(Dashboard!$C$4,9,1),0),TODAY()))+SUMIFS(Transaksi!$F$16:$F$5015,Transaksi!$C$16:$C$5015,$A80,Transaksi!$D$16:$D$5015,"Masuk",Transaksi!$B$16:$B$5015,"&lt;="&amp;MIN(EOMONTH(DATE(Dashboard!$C$4,9,1),0),TODAY()))-SUMIFS(Transaksi!$F$16:$F$5015,Transaksi!$C$16:$C$5015,$A80,Transaksi!$D$16:$D$5015,"Keluar",Transaksi!$B$16:$B$5015,"&lt;="&amp;MIN(EOMONTH(DATE(Dashboard!$C$4,9,1),0),TODAY()))-SUMIFS(Transaksi!$F$16:$F$5015,Transaksi!$C$16:$C$5015,$A80,Transaksi!$D$16:$D$5015,"Pindah",Transaksi!$B$16:$B$5015,"&lt;="&amp;MIN(EOMONTH(DATE(Dashboard!$C$4,9,1),0),TODAY()))+SUMIFS(Transaksi!$F$16:$F$5015,Transaksi!$E$16:$E$5015,$A80,Transaksi!$D$16:$D$5015,"Pindah",Transaksi!$B$16:$B$5015,"&lt;="&amp;MIN(EOMONTH(DATE(Dashboard!$C$4,9,1),0),TODAY())))</f>
        <v/>
      </c>
      <c r="L80" s="106">
        <f>IF(OR($A80="",DATE(Dashboard!$C$4,10,1)&gt;TODAY(),ISNA(MATCH($B80,{"Pribadi","Investasi (kas RDN)","Piutang","Pinjaman Mama (dompet)"},0))),"",SUMIFS(Akun!$C$5:$C$104,Akun!$A$5:$A$104,$A80,Akun!$D$5:$D$104,"&lt;="&amp;MIN(EOMONTH(DATE(Dashboard!$C$4,10,1),0),TODAY()))+SUMIFS(Transaksi!$F$16:$F$5015,Transaksi!$C$16:$C$5015,$A80,Transaksi!$D$16:$D$5015,"Masuk",Transaksi!$B$16:$B$5015,"&lt;="&amp;MIN(EOMONTH(DATE(Dashboard!$C$4,10,1),0),TODAY()))-SUMIFS(Transaksi!$F$16:$F$5015,Transaksi!$C$16:$C$5015,$A80,Transaksi!$D$16:$D$5015,"Keluar",Transaksi!$B$16:$B$5015,"&lt;="&amp;MIN(EOMONTH(DATE(Dashboard!$C$4,10,1),0),TODAY()))-SUMIFS(Transaksi!$F$16:$F$5015,Transaksi!$C$16:$C$5015,$A80,Transaksi!$D$16:$D$5015,"Pindah",Transaksi!$B$16:$B$5015,"&lt;="&amp;MIN(EOMONTH(DATE(Dashboard!$C$4,10,1),0),TODAY()))+SUMIFS(Transaksi!$F$16:$F$5015,Transaksi!$E$16:$E$5015,$A80,Transaksi!$D$16:$D$5015,"Pindah",Transaksi!$B$16:$B$5015,"&lt;="&amp;MIN(EOMONTH(DATE(Dashboard!$C$4,10,1),0),TODAY())))</f>
        <v/>
      </c>
      <c r="M80" s="106">
        <f>IF(OR($A80="",DATE(Dashboard!$C$4,11,1)&gt;TODAY(),ISNA(MATCH($B80,{"Pribadi","Investasi (kas RDN)","Piutang","Pinjaman Mama (dompet)"},0))),"",SUMIFS(Akun!$C$5:$C$104,Akun!$A$5:$A$104,$A80,Akun!$D$5:$D$104,"&lt;="&amp;MIN(EOMONTH(DATE(Dashboard!$C$4,11,1),0),TODAY()))+SUMIFS(Transaksi!$F$16:$F$5015,Transaksi!$C$16:$C$5015,$A80,Transaksi!$D$16:$D$5015,"Masuk",Transaksi!$B$16:$B$5015,"&lt;="&amp;MIN(EOMONTH(DATE(Dashboard!$C$4,11,1),0),TODAY()))-SUMIFS(Transaksi!$F$16:$F$5015,Transaksi!$C$16:$C$5015,$A80,Transaksi!$D$16:$D$5015,"Keluar",Transaksi!$B$16:$B$5015,"&lt;="&amp;MIN(EOMONTH(DATE(Dashboard!$C$4,11,1),0),TODAY()))-SUMIFS(Transaksi!$F$16:$F$5015,Transaksi!$C$16:$C$5015,$A80,Transaksi!$D$16:$D$5015,"Pindah",Transaksi!$B$16:$B$5015,"&lt;="&amp;MIN(EOMONTH(DATE(Dashboard!$C$4,11,1),0),TODAY()))+SUMIFS(Transaksi!$F$16:$F$5015,Transaksi!$E$16:$E$5015,$A80,Transaksi!$D$16:$D$5015,"Pindah",Transaksi!$B$16:$B$5015,"&lt;="&amp;MIN(EOMONTH(DATE(Dashboard!$C$4,11,1),0),TODAY())))</f>
        <v/>
      </c>
      <c r="N80" s="106">
        <f>IF(OR($A80="",DATE(Dashboard!$C$4,12,1)&gt;TODAY(),ISNA(MATCH($B80,{"Pribadi","Investasi (kas RDN)","Piutang","Pinjaman Mama (dompet)"},0))),"",SUMIFS(Akun!$C$5:$C$104,Akun!$A$5:$A$104,$A80,Akun!$D$5:$D$104,"&lt;="&amp;MIN(EOMONTH(DATE(Dashboard!$C$4,12,1),0),TODAY()))+SUMIFS(Transaksi!$F$16:$F$5015,Transaksi!$C$16:$C$5015,$A80,Transaksi!$D$16:$D$5015,"Masuk",Transaksi!$B$16:$B$5015,"&lt;="&amp;MIN(EOMONTH(DATE(Dashboard!$C$4,12,1),0),TODAY()))-SUMIFS(Transaksi!$F$16:$F$5015,Transaksi!$C$16:$C$5015,$A80,Transaksi!$D$16:$D$5015,"Keluar",Transaksi!$B$16:$B$5015,"&lt;="&amp;MIN(EOMONTH(DATE(Dashboard!$C$4,12,1),0),TODAY()))-SUMIFS(Transaksi!$F$16:$F$5015,Transaksi!$C$16:$C$5015,$A80,Transaksi!$D$16:$D$5015,"Pindah",Transaksi!$B$16:$B$5015,"&lt;="&amp;MIN(EOMONTH(DATE(Dashboard!$C$4,12,1),0),TODAY()))+SUMIFS(Transaksi!$F$16:$F$5015,Transaksi!$E$16:$E$5015,$A80,Transaksi!$D$16:$D$5015,"Pindah",Transaksi!$B$16:$B$5015,"&lt;="&amp;MIN(EOMONTH(DATE(Dashboard!$C$4,12,1),0),TODAY())))</f>
        <v/>
      </c>
    </row>
    <row r="81" ht="15" customHeight="1" s="94">
      <c r="A81" s="93">
        <f>IF(Akun!$A$45="","",Akun!$A$45)</f>
        <v/>
      </c>
      <c r="B81" s="93">
        <f>IF(Akun!$A$45="","",Akun!$B$45)</f>
        <v/>
      </c>
      <c r="C81" s="106">
        <f>IF(OR($A81="",DATE(Dashboard!$C$4,1,1)&gt;TODAY(),ISNA(MATCH($B81,{"Pribadi","Investasi (kas RDN)","Piutang","Pinjaman Mama (dompet)"},0))),"",SUMIFS(Akun!$C$5:$C$104,Akun!$A$5:$A$104,$A81,Akun!$D$5:$D$104,"&lt;="&amp;MIN(EOMONTH(DATE(Dashboard!$C$4,1,1),0),TODAY()))+SUMIFS(Transaksi!$F$16:$F$5015,Transaksi!$C$16:$C$5015,$A81,Transaksi!$D$16:$D$5015,"Masuk",Transaksi!$B$16:$B$5015,"&lt;="&amp;MIN(EOMONTH(DATE(Dashboard!$C$4,1,1),0),TODAY()))-SUMIFS(Transaksi!$F$16:$F$5015,Transaksi!$C$16:$C$5015,$A81,Transaksi!$D$16:$D$5015,"Keluar",Transaksi!$B$16:$B$5015,"&lt;="&amp;MIN(EOMONTH(DATE(Dashboard!$C$4,1,1),0),TODAY()))-SUMIFS(Transaksi!$F$16:$F$5015,Transaksi!$C$16:$C$5015,$A81,Transaksi!$D$16:$D$5015,"Pindah",Transaksi!$B$16:$B$5015,"&lt;="&amp;MIN(EOMONTH(DATE(Dashboard!$C$4,1,1),0),TODAY()))+SUMIFS(Transaksi!$F$16:$F$5015,Transaksi!$E$16:$E$5015,$A81,Transaksi!$D$16:$D$5015,"Pindah",Transaksi!$B$16:$B$5015,"&lt;="&amp;MIN(EOMONTH(DATE(Dashboard!$C$4,1,1),0),TODAY())))</f>
        <v/>
      </c>
      <c r="D81" s="106">
        <f>IF(OR($A81="",DATE(Dashboard!$C$4,2,1)&gt;TODAY(),ISNA(MATCH($B81,{"Pribadi","Investasi (kas RDN)","Piutang","Pinjaman Mama (dompet)"},0))),"",SUMIFS(Akun!$C$5:$C$104,Akun!$A$5:$A$104,$A81,Akun!$D$5:$D$104,"&lt;="&amp;MIN(EOMONTH(DATE(Dashboard!$C$4,2,1),0),TODAY()))+SUMIFS(Transaksi!$F$16:$F$5015,Transaksi!$C$16:$C$5015,$A81,Transaksi!$D$16:$D$5015,"Masuk",Transaksi!$B$16:$B$5015,"&lt;="&amp;MIN(EOMONTH(DATE(Dashboard!$C$4,2,1),0),TODAY()))-SUMIFS(Transaksi!$F$16:$F$5015,Transaksi!$C$16:$C$5015,$A81,Transaksi!$D$16:$D$5015,"Keluar",Transaksi!$B$16:$B$5015,"&lt;="&amp;MIN(EOMONTH(DATE(Dashboard!$C$4,2,1),0),TODAY()))-SUMIFS(Transaksi!$F$16:$F$5015,Transaksi!$C$16:$C$5015,$A81,Transaksi!$D$16:$D$5015,"Pindah",Transaksi!$B$16:$B$5015,"&lt;="&amp;MIN(EOMONTH(DATE(Dashboard!$C$4,2,1),0),TODAY()))+SUMIFS(Transaksi!$F$16:$F$5015,Transaksi!$E$16:$E$5015,$A81,Transaksi!$D$16:$D$5015,"Pindah",Transaksi!$B$16:$B$5015,"&lt;="&amp;MIN(EOMONTH(DATE(Dashboard!$C$4,2,1),0),TODAY())))</f>
        <v/>
      </c>
      <c r="E81" s="106">
        <f>IF(OR($A81="",DATE(Dashboard!$C$4,3,1)&gt;TODAY(),ISNA(MATCH($B81,{"Pribadi","Investasi (kas RDN)","Piutang","Pinjaman Mama (dompet)"},0))),"",SUMIFS(Akun!$C$5:$C$104,Akun!$A$5:$A$104,$A81,Akun!$D$5:$D$104,"&lt;="&amp;MIN(EOMONTH(DATE(Dashboard!$C$4,3,1),0),TODAY()))+SUMIFS(Transaksi!$F$16:$F$5015,Transaksi!$C$16:$C$5015,$A81,Transaksi!$D$16:$D$5015,"Masuk",Transaksi!$B$16:$B$5015,"&lt;="&amp;MIN(EOMONTH(DATE(Dashboard!$C$4,3,1),0),TODAY()))-SUMIFS(Transaksi!$F$16:$F$5015,Transaksi!$C$16:$C$5015,$A81,Transaksi!$D$16:$D$5015,"Keluar",Transaksi!$B$16:$B$5015,"&lt;="&amp;MIN(EOMONTH(DATE(Dashboard!$C$4,3,1),0),TODAY()))-SUMIFS(Transaksi!$F$16:$F$5015,Transaksi!$C$16:$C$5015,$A81,Transaksi!$D$16:$D$5015,"Pindah",Transaksi!$B$16:$B$5015,"&lt;="&amp;MIN(EOMONTH(DATE(Dashboard!$C$4,3,1),0),TODAY()))+SUMIFS(Transaksi!$F$16:$F$5015,Transaksi!$E$16:$E$5015,$A81,Transaksi!$D$16:$D$5015,"Pindah",Transaksi!$B$16:$B$5015,"&lt;="&amp;MIN(EOMONTH(DATE(Dashboard!$C$4,3,1),0),TODAY())))</f>
        <v/>
      </c>
      <c r="F81" s="106">
        <f>IF(OR($A81="",DATE(Dashboard!$C$4,4,1)&gt;TODAY(),ISNA(MATCH($B81,{"Pribadi","Investasi (kas RDN)","Piutang","Pinjaman Mama (dompet)"},0))),"",SUMIFS(Akun!$C$5:$C$104,Akun!$A$5:$A$104,$A81,Akun!$D$5:$D$104,"&lt;="&amp;MIN(EOMONTH(DATE(Dashboard!$C$4,4,1),0),TODAY()))+SUMIFS(Transaksi!$F$16:$F$5015,Transaksi!$C$16:$C$5015,$A81,Transaksi!$D$16:$D$5015,"Masuk",Transaksi!$B$16:$B$5015,"&lt;="&amp;MIN(EOMONTH(DATE(Dashboard!$C$4,4,1),0),TODAY()))-SUMIFS(Transaksi!$F$16:$F$5015,Transaksi!$C$16:$C$5015,$A81,Transaksi!$D$16:$D$5015,"Keluar",Transaksi!$B$16:$B$5015,"&lt;="&amp;MIN(EOMONTH(DATE(Dashboard!$C$4,4,1),0),TODAY()))-SUMIFS(Transaksi!$F$16:$F$5015,Transaksi!$C$16:$C$5015,$A81,Transaksi!$D$16:$D$5015,"Pindah",Transaksi!$B$16:$B$5015,"&lt;="&amp;MIN(EOMONTH(DATE(Dashboard!$C$4,4,1),0),TODAY()))+SUMIFS(Transaksi!$F$16:$F$5015,Transaksi!$E$16:$E$5015,$A81,Transaksi!$D$16:$D$5015,"Pindah",Transaksi!$B$16:$B$5015,"&lt;="&amp;MIN(EOMONTH(DATE(Dashboard!$C$4,4,1),0),TODAY())))</f>
        <v/>
      </c>
      <c r="G81" s="106">
        <f>IF(OR($A81="",DATE(Dashboard!$C$4,5,1)&gt;TODAY(),ISNA(MATCH($B81,{"Pribadi","Investasi (kas RDN)","Piutang","Pinjaman Mama (dompet)"},0))),"",SUMIFS(Akun!$C$5:$C$104,Akun!$A$5:$A$104,$A81,Akun!$D$5:$D$104,"&lt;="&amp;MIN(EOMONTH(DATE(Dashboard!$C$4,5,1),0),TODAY()))+SUMIFS(Transaksi!$F$16:$F$5015,Transaksi!$C$16:$C$5015,$A81,Transaksi!$D$16:$D$5015,"Masuk",Transaksi!$B$16:$B$5015,"&lt;="&amp;MIN(EOMONTH(DATE(Dashboard!$C$4,5,1),0),TODAY()))-SUMIFS(Transaksi!$F$16:$F$5015,Transaksi!$C$16:$C$5015,$A81,Transaksi!$D$16:$D$5015,"Keluar",Transaksi!$B$16:$B$5015,"&lt;="&amp;MIN(EOMONTH(DATE(Dashboard!$C$4,5,1),0),TODAY()))-SUMIFS(Transaksi!$F$16:$F$5015,Transaksi!$C$16:$C$5015,$A81,Transaksi!$D$16:$D$5015,"Pindah",Transaksi!$B$16:$B$5015,"&lt;="&amp;MIN(EOMONTH(DATE(Dashboard!$C$4,5,1),0),TODAY()))+SUMIFS(Transaksi!$F$16:$F$5015,Transaksi!$E$16:$E$5015,$A81,Transaksi!$D$16:$D$5015,"Pindah",Transaksi!$B$16:$B$5015,"&lt;="&amp;MIN(EOMONTH(DATE(Dashboard!$C$4,5,1),0),TODAY())))</f>
        <v/>
      </c>
      <c r="H81" s="106">
        <f>IF(OR($A81="",DATE(Dashboard!$C$4,6,1)&gt;TODAY(),ISNA(MATCH($B81,{"Pribadi","Investasi (kas RDN)","Piutang","Pinjaman Mama (dompet)"},0))),"",SUMIFS(Akun!$C$5:$C$104,Akun!$A$5:$A$104,$A81,Akun!$D$5:$D$104,"&lt;="&amp;MIN(EOMONTH(DATE(Dashboard!$C$4,6,1),0),TODAY()))+SUMIFS(Transaksi!$F$16:$F$5015,Transaksi!$C$16:$C$5015,$A81,Transaksi!$D$16:$D$5015,"Masuk",Transaksi!$B$16:$B$5015,"&lt;="&amp;MIN(EOMONTH(DATE(Dashboard!$C$4,6,1),0),TODAY()))-SUMIFS(Transaksi!$F$16:$F$5015,Transaksi!$C$16:$C$5015,$A81,Transaksi!$D$16:$D$5015,"Keluar",Transaksi!$B$16:$B$5015,"&lt;="&amp;MIN(EOMONTH(DATE(Dashboard!$C$4,6,1),0),TODAY()))-SUMIFS(Transaksi!$F$16:$F$5015,Transaksi!$C$16:$C$5015,$A81,Transaksi!$D$16:$D$5015,"Pindah",Transaksi!$B$16:$B$5015,"&lt;="&amp;MIN(EOMONTH(DATE(Dashboard!$C$4,6,1),0),TODAY()))+SUMIFS(Transaksi!$F$16:$F$5015,Transaksi!$E$16:$E$5015,$A81,Transaksi!$D$16:$D$5015,"Pindah",Transaksi!$B$16:$B$5015,"&lt;="&amp;MIN(EOMONTH(DATE(Dashboard!$C$4,6,1),0),TODAY())))</f>
        <v/>
      </c>
      <c r="I81" s="106">
        <f>IF(OR($A81="",DATE(Dashboard!$C$4,7,1)&gt;TODAY(),ISNA(MATCH($B81,{"Pribadi","Investasi (kas RDN)","Piutang","Pinjaman Mama (dompet)"},0))),"",SUMIFS(Akun!$C$5:$C$104,Akun!$A$5:$A$104,$A81,Akun!$D$5:$D$104,"&lt;="&amp;MIN(EOMONTH(DATE(Dashboard!$C$4,7,1),0),TODAY()))+SUMIFS(Transaksi!$F$16:$F$5015,Transaksi!$C$16:$C$5015,$A81,Transaksi!$D$16:$D$5015,"Masuk",Transaksi!$B$16:$B$5015,"&lt;="&amp;MIN(EOMONTH(DATE(Dashboard!$C$4,7,1),0),TODAY()))-SUMIFS(Transaksi!$F$16:$F$5015,Transaksi!$C$16:$C$5015,$A81,Transaksi!$D$16:$D$5015,"Keluar",Transaksi!$B$16:$B$5015,"&lt;="&amp;MIN(EOMONTH(DATE(Dashboard!$C$4,7,1),0),TODAY()))-SUMIFS(Transaksi!$F$16:$F$5015,Transaksi!$C$16:$C$5015,$A81,Transaksi!$D$16:$D$5015,"Pindah",Transaksi!$B$16:$B$5015,"&lt;="&amp;MIN(EOMONTH(DATE(Dashboard!$C$4,7,1),0),TODAY()))+SUMIFS(Transaksi!$F$16:$F$5015,Transaksi!$E$16:$E$5015,$A81,Transaksi!$D$16:$D$5015,"Pindah",Transaksi!$B$16:$B$5015,"&lt;="&amp;MIN(EOMONTH(DATE(Dashboard!$C$4,7,1),0),TODAY())))</f>
        <v/>
      </c>
      <c r="J81" s="106">
        <f>IF(OR($A81="",DATE(Dashboard!$C$4,8,1)&gt;TODAY(),ISNA(MATCH($B81,{"Pribadi","Investasi (kas RDN)","Piutang","Pinjaman Mama (dompet)"},0))),"",SUMIFS(Akun!$C$5:$C$104,Akun!$A$5:$A$104,$A81,Akun!$D$5:$D$104,"&lt;="&amp;MIN(EOMONTH(DATE(Dashboard!$C$4,8,1),0),TODAY()))+SUMIFS(Transaksi!$F$16:$F$5015,Transaksi!$C$16:$C$5015,$A81,Transaksi!$D$16:$D$5015,"Masuk",Transaksi!$B$16:$B$5015,"&lt;="&amp;MIN(EOMONTH(DATE(Dashboard!$C$4,8,1),0),TODAY()))-SUMIFS(Transaksi!$F$16:$F$5015,Transaksi!$C$16:$C$5015,$A81,Transaksi!$D$16:$D$5015,"Keluar",Transaksi!$B$16:$B$5015,"&lt;="&amp;MIN(EOMONTH(DATE(Dashboard!$C$4,8,1),0),TODAY()))-SUMIFS(Transaksi!$F$16:$F$5015,Transaksi!$C$16:$C$5015,$A81,Transaksi!$D$16:$D$5015,"Pindah",Transaksi!$B$16:$B$5015,"&lt;="&amp;MIN(EOMONTH(DATE(Dashboard!$C$4,8,1),0),TODAY()))+SUMIFS(Transaksi!$F$16:$F$5015,Transaksi!$E$16:$E$5015,$A81,Transaksi!$D$16:$D$5015,"Pindah",Transaksi!$B$16:$B$5015,"&lt;="&amp;MIN(EOMONTH(DATE(Dashboard!$C$4,8,1),0),TODAY())))</f>
        <v/>
      </c>
      <c r="K81" s="106">
        <f>IF(OR($A81="",DATE(Dashboard!$C$4,9,1)&gt;TODAY(),ISNA(MATCH($B81,{"Pribadi","Investasi (kas RDN)","Piutang","Pinjaman Mama (dompet)"},0))),"",SUMIFS(Akun!$C$5:$C$104,Akun!$A$5:$A$104,$A81,Akun!$D$5:$D$104,"&lt;="&amp;MIN(EOMONTH(DATE(Dashboard!$C$4,9,1),0),TODAY()))+SUMIFS(Transaksi!$F$16:$F$5015,Transaksi!$C$16:$C$5015,$A81,Transaksi!$D$16:$D$5015,"Masuk",Transaksi!$B$16:$B$5015,"&lt;="&amp;MIN(EOMONTH(DATE(Dashboard!$C$4,9,1),0),TODAY()))-SUMIFS(Transaksi!$F$16:$F$5015,Transaksi!$C$16:$C$5015,$A81,Transaksi!$D$16:$D$5015,"Keluar",Transaksi!$B$16:$B$5015,"&lt;="&amp;MIN(EOMONTH(DATE(Dashboard!$C$4,9,1),0),TODAY()))-SUMIFS(Transaksi!$F$16:$F$5015,Transaksi!$C$16:$C$5015,$A81,Transaksi!$D$16:$D$5015,"Pindah",Transaksi!$B$16:$B$5015,"&lt;="&amp;MIN(EOMONTH(DATE(Dashboard!$C$4,9,1),0),TODAY()))+SUMIFS(Transaksi!$F$16:$F$5015,Transaksi!$E$16:$E$5015,$A81,Transaksi!$D$16:$D$5015,"Pindah",Transaksi!$B$16:$B$5015,"&lt;="&amp;MIN(EOMONTH(DATE(Dashboard!$C$4,9,1),0),TODAY())))</f>
        <v/>
      </c>
      <c r="L81" s="106">
        <f>IF(OR($A81="",DATE(Dashboard!$C$4,10,1)&gt;TODAY(),ISNA(MATCH($B81,{"Pribadi","Investasi (kas RDN)","Piutang","Pinjaman Mama (dompet)"},0))),"",SUMIFS(Akun!$C$5:$C$104,Akun!$A$5:$A$104,$A81,Akun!$D$5:$D$104,"&lt;="&amp;MIN(EOMONTH(DATE(Dashboard!$C$4,10,1),0),TODAY()))+SUMIFS(Transaksi!$F$16:$F$5015,Transaksi!$C$16:$C$5015,$A81,Transaksi!$D$16:$D$5015,"Masuk",Transaksi!$B$16:$B$5015,"&lt;="&amp;MIN(EOMONTH(DATE(Dashboard!$C$4,10,1),0),TODAY()))-SUMIFS(Transaksi!$F$16:$F$5015,Transaksi!$C$16:$C$5015,$A81,Transaksi!$D$16:$D$5015,"Keluar",Transaksi!$B$16:$B$5015,"&lt;="&amp;MIN(EOMONTH(DATE(Dashboard!$C$4,10,1),0),TODAY()))-SUMIFS(Transaksi!$F$16:$F$5015,Transaksi!$C$16:$C$5015,$A81,Transaksi!$D$16:$D$5015,"Pindah",Transaksi!$B$16:$B$5015,"&lt;="&amp;MIN(EOMONTH(DATE(Dashboard!$C$4,10,1),0),TODAY()))+SUMIFS(Transaksi!$F$16:$F$5015,Transaksi!$E$16:$E$5015,$A81,Transaksi!$D$16:$D$5015,"Pindah",Transaksi!$B$16:$B$5015,"&lt;="&amp;MIN(EOMONTH(DATE(Dashboard!$C$4,10,1),0),TODAY())))</f>
        <v/>
      </c>
      <c r="M81" s="106">
        <f>IF(OR($A81="",DATE(Dashboard!$C$4,11,1)&gt;TODAY(),ISNA(MATCH($B81,{"Pribadi","Investasi (kas RDN)","Piutang","Pinjaman Mama (dompet)"},0))),"",SUMIFS(Akun!$C$5:$C$104,Akun!$A$5:$A$104,$A81,Akun!$D$5:$D$104,"&lt;="&amp;MIN(EOMONTH(DATE(Dashboard!$C$4,11,1),0),TODAY()))+SUMIFS(Transaksi!$F$16:$F$5015,Transaksi!$C$16:$C$5015,$A81,Transaksi!$D$16:$D$5015,"Masuk",Transaksi!$B$16:$B$5015,"&lt;="&amp;MIN(EOMONTH(DATE(Dashboard!$C$4,11,1),0),TODAY()))-SUMIFS(Transaksi!$F$16:$F$5015,Transaksi!$C$16:$C$5015,$A81,Transaksi!$D$16:$D$5015,"Keluar",Transaksi!$B$16:$B$5015,"&lt;="&amp;MIN(EOMONTH(DATE(Dashboard!$C$4,11,1),0),TODAY()))-SUMIFS(Transaksi!$F$16:$F$5015,Transaksi!$C$16:$C$5015,$A81,Transaksi!$D$16:$D$5015,"Pindah",Transaksi!$B$16:$B$5015,"&lt;="&amp;MIN(EOMONTH(DATE(Dashboard!$C$4,11,1),0),TODAY()))+SUMIFS(Transaksi!$F$16:$F$5015,Transaksi!$E$16:$E$5015,$A81,Transaksi!$D$16:$D$5015,"Pindah",Transaksi!$B$16:$B$5015,"&lt;="&amp;MIN(EOMONTH(DATE(Dashboard!$C$4,11,1),0),TODAY())))</f>
        <v/>
      </c>
      <c r="N81" s="106">
        <f>IF(OR($A81="",DATE(Dashboard!$C$4,12,1)&gt;TODAY(),ISNA(MATCH($B81,{"Pribadi","Investasi (kas RDN)","Piutang","Pinjaman Mama (dompet)"},0))),"",SUMIFS(Akun!$C$5:$C$104,Akun!$A$5:$A$104,$A81,Akun!$D$5:$D$104,"&lt;="&amp;MIN(EOMONTH(DATE(Dashboard!$C$4,12,1),0),TODAY()))+SUMIFS(Transaksi!$F$16:$F$5015,Transaksi!$C$16:$C$5015,$A81,Transaksi!$D$16:$D$5015,"Masuk",Transaksi!$B$16:$B$5015,"&lt;="&amp;MIN(EOMONTH(DATE(Dashboard!$C$4,12,1),0),TODAY()))-SUMIFS(Transaksi!$F$16:$F$5015,Transaksi!$C$16:$C$5015,$A81,Transaksi!$D$16:$D$5015,"Keluar",Transaksi!$B$16:$B$5015,"&lt;="&amp;MIN(EOMONTH(DATE(Dashboard!$C$4,12,1),0),TODAY()))-SUMIFS(Transaksi!$F$16:$F$5015,Transaksi!$C$16:$C$5015,$A81,Transaksi!$D$16:$D$5015,"Pindah",Transaksi!$B$16:$B$5015,"&lt;="&amp;MIN(EOMONTH(DATE(Dashboard!$C$4,12,1),0),TODAY()))+SUMIFS(Transaksi!$F$16:$F$5015,Transaksi!$E$16:$E$5015,$A81,Transaksi!$D$16:$D$5015,"Pindah",Transaksi!$B$16:$B$5015,"&lt;="&amp;MIN(EOMONTH(DATE(Dashboard!$C$4,12,1),0),TODAY())))</f>
        <v/>
      </c>
    </row>
    <row r="82" ht="15" customHeight="1" s="94">
      <c r="A82" s="93">
        <f>IF(Akun!$A$46="","",Akun!$A$46)</f>
        <v/>
      </c>
      <c r="B82" s="93">
        <f>IF(Akun!$A$46="","",Akun!$B$46)</f>
        <v/>
      </c>
      <c r="C82" s="106">
        <f>IF(OR($A82="",DATE(Dashboard!$C$4,1,1)&gt;TODAY(),ISNA(MATCH($B82,{"Pribadi","Investasi (kas RDN)","Piutang","Pinjaman Mama (dompet)"},0))),"",SUMIFS(Akun!$C$5:$C$104,Akun!$A$5:$A$104,$A82,Akun!$D$5:$D$104,"&lt;="&amp;MIN(EOMONTH(DATE(Dashboard!$C$4,1,1),0),TODAY()))+SUMIFS(Transaksi!$F$16:$F$5015,Transaksi!$C$16:$C$5015,$A82,Transaksi!$D$16:$D$5015,"Masuk",Transaksi!$B$16:$B$5015,"&lt;="&amp;MIN(EOMONTH(DATE(Dashboard!$C$4,1,1),0),TODAY()))-SUMIFS(Transaksi!$F$16:$F$5015,Transaksi!$C$16:$C$5015,$A82,Transaksi!$D$16:$D$5015,"Keluar",Transaksi!$B$16:$B$5015,"&lt;="&amp;MIN(EOMONTH(DATE(Dashboard!$C$4,1,1),0),TODAY()))-SUMIFS(Transaksi!$F$16:$F$5015,Transaksi!$C$16:$C$5015,$A82,Transaksi!$D$16:$D$5015,"Pindah",Transaksi!$B$16:$B$5015,"&lt;="&amp;MIN(EOMONTH(DATE(Dashboard!$C$4,1,1),0),TODAY()))+SUMIFS(Transaksi!$F$16:$F$5015,Transaksi!$E$16:$E$5015,$A82,Transaksi!$D$16:$D$5015,"Pindah",Transaksi!$B$16:$B$5015,"&lt;="&amp;MIN(EOMONTH(DATE(Dashboard!$C$4,1,1),0),TODAY())))</f>
        <v/>
      </c>
      <c r="D82" s="106">
        <f>IF(OR($A82="",DATE(Dashboard!$C$4,2,1)&gt;TODAY(),ISNA(MATCH($B82,{"Pribadi","Investasi (kas RDN)","Piutang","Pinjaman Mama (dompet)"},0))),"",SUMIFS(Akun!$C$5:$C$104,Akun!$A$5:$A$104,$A82,Akun!$D$5:$D$104,"&lt;="&amp;MIN(EOMONTH(DATE(Dashboard!$C$4,2,1),0),TODAY()))+SUMIFS(Transaksi!$F$16:$F$5015,Transaksi!$C$16:$C$5015,$A82,Transaksi!$D$16:$D$5015,"Masuk",Transaksi!$B$16:$B$5015,"&lt;="&amp;MIN(EOMONTH(DATE(Dashboard!$C$4,2,1),0),TODAY()))-SUMIFS(Transaksi!$F$16:$F$5015,Transaksi!$C$16:$C$5015,$A82,Transaksi!$D$16:$D$5015,"Keluar",Transaksi!$B$16:$B$5015,"&lt;="&amp;MIN(EOMONTH(DATE(Dashboard!$C$4,2,1),0),TODAY()))-SUMIFS(Transaksi!$F$16:$F$5015,Transaksi!$C$16:$C$5015,$A82,Transaksi!$D$16:$D$5015,"Pindah",Transaksi!$B$16:$B$5015,"&lt;="&amp;MIN(EOMONTH(DATE(Dashboard!$C$4,2,1),0),TODAY()))+SUMIFS(Transaksi!$F$16:$F$5015,Transaksi!$E$16:$E$5015,$A82,Transaksi!$D$16:$D$5015,"Pindah",Transaksi!$B$16:$B$5015,"&lt;="&amp;MIN(EOMONTH(DATE(Dashboard!$C$4,2,1),0),TODAY())))</f>
        <v/>
      </c>
      <c r="E82" s="106">
        <f>IF(OR($A82="",DATE(Dashboard!$C$4,3,1)&gt;TODAY(),ISNA(MATCH($B82,{"Pribadi","Investasi (kas RDN)","Piutang","Pinjaman Mama (dompet)"},0))),"",SUMIFS(Akun!$C$5:$C$104,Akun!$A$5:$A$104,$A82,Akun!$D$5:$D$104,"&lt;="&amp;MIN(EOMONTH(DATE(Dashboard!$C$4,3,1),0),TODAY()))+SUMIFS(Transaksi!$F$16:$F$5015,Transaksi!$C$16:$C$5015,$A82,Transaksi!$D$16:$D$5015,"Masuk",Transaksi!$B$16:$B$5015,"&lt;="&amp;MIN(EOMONTH(DATE(Dashboard!$C$4,3,1),0),TODAY()))-SUMIFS(Transaksi!$F$16:$F$5015,Transaksi!$C$16:$C$5015,$A82,Transaksi!$D$16:$D$5015,"Keluar",Transaksi!$B$16:$B$5015,"&lt;="&amp;MIN(EOMONTH(DATE(Dashboard!$C$4,3,1),0),TODAY()))-SUMIFS(Transaksi!$F$16:$F$5015,Transaksi!$C$16:$C$5015,$A82,Transaksi!$D$16:$D$5015,"Pindah",Transaksi!$B$16:$B$5015,"&lt;="&amp;MIN(EOMONTH(DATE(Dashboard!$C$4,3,1),0),TODAY()))+SUMIFS(Transaksi!$F$16:$F$5015,Transaksi!$E$16:$E$5015,$A82,Transaksi!$D$16:$D$5015,"Pindah",Transaksi!$B$16:$B$5015,"&lt;="&amp;MIN(EOMONTH(DATE(Dashboard!$C$4,3,1),0),TODAY())))</f>
        <v/>
      </c>
      <c r="F82" s="106">
        <f>IF(OR($A82="",DATE(Dashboard!$C$4,4,1)&gt;TODAY(),ISNA(MATCH($B82,{"Pribadi","Investasi (kas RDN)","Piutang","Pinjaman Mama (dompet)"},0))),"",SUMIFS(Akun!$C$5:$C$104,Akun!$A$5:$A$104,$A82,Akun!$D$5:$D$104,"&lt;="&amp;MIN(EOMONTH(DATE(Dashboard!$C$4,4,1),0),TODAY()))+SUMIFS(Transaksi!$F$16:$F$5015,Transaksi!$C$16:$C$5015,$A82,Transaksi!$D$16:$D$5015,"Masuk",Transaksi!$B$16:$B$5015,"&lt;="&amp;MIN(EOMONTH(DATE(Dashboard!$C$4,4,1),0),TODAY()))-SUMIFS(Transaksi!$F$16:$F$5015,Transaksi!$C$16:$C$5015,$A82,Transaksi!$D$16:$D$5015,"Keluar",Transaksi!$B$16:$B$5015,"&lt;="&amp;MIN(EOMONTH(DATE(Dashboard!$C$4,4,1),0),TODAY()))-SUMIFS(Transaksi!$F$16:$F$5015,Transaksi!$C$16:$C$5015,$A82,Transaksi!$D$16:$D$5015,"Pindah",Transaksi!$B$16:$B$5015,"&lt;="&amp;MIN(EOMONTH(DATE(Dashboard!$C$4,4,1),0),TODAY()))+SUMIFS(Transaksi!$F$16:$F$5015,Transaksi!$E$16:$E$5015,$A82,Transaksi!$D$16:$D$5015,"Pindah",Transaksi!$B$16:$B$5015,"&lt;="&amp;MIN(EOMONTH(DATE(Dashboard!$C$4,4,1),0),TODAY())))</f>
        <v/>
      </c>
      <c r="G82" s="106">
        <f>IF(OR($A82="",DATE(Dashboard!$C$4,5,1)&gt;TODAY(),ISNA(MATCH($B82,{"Pribadi","Investasi (kas RDN)","Piutang","Pinjaman Mama (dompet)"},0))),"",SUMIFS(Akun!$C$5:$C$104,Akun!$A$5:$A$104,$A82,Akun!$D$5:$D$104,"&lt;="&amp;MIN(EOMONTH(DATE(Dashboard!$C$4,5,1),0),TODAY()))+SUMIFS(Transaksi!$F$16:$F$5015,Transaksi!$C$16:$C$5015,$A82,Transaksi!$D$16:$D$5015,"Masuk",Transaksi!$B$16:$B$5015,"&lt;="&amp;MIN(EOMONTH(DATE(Dashboard!$C$4,5,1),0),TODAY()))-SUMIFS(Transaksi!$F$16:$F$5015,Transaksi!$C$16:$C$5015,$A82,Transaksi!$D$16:$D$5015,"Keluar",Transaksi!$B$16:$B$5015,"&lt;="&amp;MIN(EOMONTH(DATE(Dashboard!$C$4,5,1),0),TODAY()))-SUMIFS(Transaksi!$F$16:$F$5015,Transaksi!$C$16:$C$5015,$A82,Transaksi!$D$16:$D$5015,"Pindah",Transaksi!$B$16:$B$5015,"&lt;="&amp;MIN(EOMONTH(DATE(Dashboard!$C$4,5,1),0),TODAY()))+SUMIFS(Transaksi!$F$16:$F$5015,Transaksi!$E$16:$E$5015,$A82,Transaksi!$D$16:$D$5015,"Pindah",Transaksi!$B$16:$B$5015,"&lt;="&amp;MIN(EOMONTH(DATE(Dashboard!$C$4,5,1),0),TODAY())))</f>
        <v/>
      </c>
      <c r="H82" s="106">
        <f>IF(OR($A82="",DATE(Dashboard!$C$4,6,1)&gt;TODAY(),ISNA(MATCH($B82,{"Pribadi","Investasi (kas RDN)","Piutang","Pinjaman Mama (dompet)"},0))),"",SUMIFS(Akun!$C$5:$C$104,Akun!$A$5:$A$104,$A82,Akun!$D$5:$D$104,"&lt;="&amp;MIN(EOMONTH(DATE(Dashboard!$C$4,6,1),0),TODAY()))+SUMIFS(Transaksi!$F$16:$F$5015,Transaksi!$C$16:$C$5015,$A82,Transaksi!$D$16:$D$5015,"Masuk",Transaksi!$B$16:$B$5015,"&lt;="&amp;MIN(EOMONTH(DATE(Dashboard!$C$4,6,1),0),TODAY()))-SUMIFS(Transaksi!$F$16:$F$5015,Transaksi!$C$16:$C$5015,$A82,Transaksi!$D$16:$D$5015,"Keluar",Transaksi!$B$16:$B$5015,"&lt;="&amp;MIN(EOMONTH(DATE(Dashboard!$C$4,6,1),0),TODAY()))-SUMIFS(Transaksi!$F$16:$F$5015,Transaksi!$C$16:$C$5015,$A82,Transaksi!$D$16:$D$5015,"Pindah",Transaksi!$B$16:$B$5015,"&lt;="&amp;MIN(EOMONTH(DATE(Dashboard!$C$4,6,1),0),TODAY()))+SUMIFS(Transaksi!$F$16:$F$5015,Transaksi!$E$16:$E$5015,$A82,Transaksi!$D$16:$D$5015,"Pindah",Transaksi!$B$16:$B$5015,"&lt;="&amp;MIN(EOMONTH(DATE(Dashboard!$C$4,6,1),0),TODAY())))</f>
        <v/>
      </c>
      <c r="I82" s="106">
        <f>IF(OR($A82="",DATE(Dashboard!$C$4,7,1)&gt;TODAY(),ISNA(MATCH($B82,{"Pribadi","Investasi (kas RDN)","Piutang","Pinjaman Mama (dompet)"},0))),"",SUMIFS(Akun!$C$5:$C$104,Akun!$A$5:$A$104,$A82,Akun!$D$5:$D$104,"&lt;="&amp;MIN(EOMONTH(DATE(Dashboard!$C$4,7,1),0),TODAY()))+SUMIFS(Transaksi!$F$16:$F$5015,Transaksi!$C$16:$C$5015,$A82,Transaksi!$D$16:$D$5015,"Masuk",Transaksi!$B$16:$B$5015,"&lt;="&amp;MIN(EOMONTH(DATE(Dashboard!$C$4,7,1),0),TODAY()))-SUMIFS(Transaksi!$F$16:$F$5015,Transaksi!$C$16:$C$5015,$A82,Transaksi!$D$16:$D$5015,"Keluar",Transaksi!$B$16:$B$5015,"&lt;="&amp;MIN(EOMONTH(DATE(Dashboard!$C$4,7,1),0),TODAY()))-SUMIFS(Transaksi!$F$16:$F$5015,Transaksi!$C$16:$C$5015,$A82,Transaksi!$D$16:$D$5015,"Pindah",Transaksi!$B$16:$B$5015,"&lt;="&amp;MIN(EOMONTH(DATE(Dashboard!$C$4,7,1),0),TODAY()))+SUMIFS(Transaksi!$F$16:$F$5015,Transaksi!$E$16:$E$5015,$A82,Transaksi!$D$16:$D$5015,"Pindah",Transaksi!$B$16:$B$5015,"&lt;="&amp;MIN(EOMONTH(DATE(Dashboard!$C$4,7,1),0),TODAY())))</f>
        <v/>
      </c>
      <c r="J82" s="106">
        <f>IF(OR($A82="",DATE(Dashboard!$C$4,8,1)&gt;TODAY(),ISNA(MATCH($B82,{"Pribadi","Investasi (kas RDN)","Piutang","Pinjaman Mama (dompet)"},0))),"",SUMIFS(Akun!$C$5:$C$104,Akun!$A$5:$A$104,$A82,Akun!$D$5:$D$104,"&lt;="&amp;MIN(EOMONTH(DATE(Dashboard!$C$4,8,1),0),TODAY()))+SUMIFS(Transaksi!$F$16:$F$5015,Transaksi!$C$16:$C$5015,$A82,Transaksi!$D$16:$D$5015,"Masuk",Transaksi!$B$16:$B$5015,"&lt;="&amp;MIN(EOMONTH(DATE(Dashboard!$C$4,8,1),0),TODAY()))-SUMIFS(Transaksi!$F$16:$F$5015,Transaksi!$C$16:$C$5015,$A82,Transaksi!$D$16:$D$5015,"Keluar",Transaksi!$B$16:$B$5015,"&lt;="&amp;MIN(EOMONTH(DATE(Dashboard!$C$4,8,1),0),TODAY()))-SUMIFS(Transaksi!$F$16:$F$5015,Transaksi!$C$16:$C$5015,$A82,Transaksi!$D$16:$D$5015,"Pindah",Transaksi!$B$16:$B$5015,"&lt;="&amp;MIN(EOMONTH(DATE(Dashboard!$C$4,8,1),0),TODAY()))+SUMIFS(Transaksi!$F$16:$F$5015,Transaksi!$E$16:$E$5015,$A82,Transaksi!$D$16:$D$5015,"Pindah",Transaksi!$B$16:$B$5015,"&lt;="&amp;MIN(EOMONTH(DATE(Dashboard!$C$4,8,1),0),TODAY())))</f>
        <v/>
      </c>
      <c r="K82" s="106">
        <f>IF(OR($A82="",DATE(Dashboard!$C$4,9,1)&gt;TODAY(),ISNA(MATCH($B82,{"Pribadi","Investasi (kas RDN)","Piutang","Pinjaman Mama (dompet)"},0))),"",SUMIFS(Akun!$C$5:$C$104,Akun!$A$5:$A$104,$A82,Akun!$D$5:$D$104,"&lt;="&amp;MIN(EOMONTH(DATE(Dashboard!$C$4,9,1),0),TODAY()))+SUMIFS(Transaksi!$F$16:$F$5015,Transaksi!$C$16:$C$5015,$A82,Transaksi!$D$16:$D$5015,"Masuk",Transaksi!$B$16:$B$5015,"&lt;="&amp;MIN(EOMONTH(DATE(Dashboard!$C$4,9,1),0),TODAY()))-SUMIFS(Transaksi!$F$16:$F$5015,Transaksi!$C$16:$C$5015,$A82,Transaksi!$D$16:$D$5015,"Keluar",Transaksi!$B$16:$B$5015,"&lt;="&amp;MIN(EOMONTH(DATE(Dashboard!$C$4,9,1),0),TODAY()))-SUMIFS(Transaksi!$F$16:$F$5015,Transaksi!$C$16:$C$5015,$A82,Transaksi!$D$16:$D$5015,"Pindah",Transaksi!$B$16:$B$5015,"&lt;="&amp;MIN(EOMONTH(DATE(Dashboard!$C$4,9,1),0),TODAY()))+SUMIFS(Transaksi!$F$16:$F$5015,Transaksi!$E$16:$E$5015,$A82,Transaksi!$D$16:$D$5015,"Pindah",Transaksi!$B$16:$B$5015,"&lt;="&amp;MIN(EOMONTH(DATE(Dashboard!$C$4,9,1),0),TODAY())))</f>
        <v/>
      </c>
      <c r="L82" s="106">
        <f>IF(OR($A82="",DATE(Dashboard!$C$4,10,1)&gt;TODAY(),ISNA(MATCH($B82,{"Pribadi","Investasi (kas RDN)","Piutang","Pinjaman Mama (dompet)"},0))),"",SUMIFS(Akun!$C$5:$C$104,Akun!$A$5:$A$104,$A82,Akun!$D$5:$D$104,"&lt;="&amp;MIN(EOMONTH(DATE(Dashboard!$C$4,10,1),0),TODAY()))+SUMIFS(Transaksi!$F$16:$F$5015,Transaksi!$C$16:$C$5015,$A82,Transaksi!$D$16:$D$5015,"Masuk",Transaksi!$B$16:$B$5015,"&lt;="&amp;MIN(EOMONTH(DATE(Dashboard!$C$4,10,1),0),TODAY()))-SUMIFS(Transaksi!$F$16:$F$5015,Transaksi!$C$16:$C$5015,$A82,Transaksi!$D$16:$D$5015,"Keluar",Transaksi!$B$16:$B$5015,"&lt;="&amp;MIN(EOMONTH(DATE(Dashboard!$C$4,10,1),0),TODAY()))-SUMIFS(Transaksi!$F$16:$F$5015,Transaksi!$C$16:$C$5015,$A82,Transaksi!$D$16:$D$5015,"Pindah",Transaksi!$B$16:$B$5015,"&lt;="&amp;MIN(EOMONTH(DATE(Dashboard!$C$4,10,1),0),TODAY()))+SUMIFS(Transaksi!$F$16:$F$5015,Transaksi!$E$16:$E$5015,$A82,Transaksi!$D$16:$D$5015,"Pindah",Transaksi!$B$16:$B$5015,"&lt;="&amp;MIN(EOMONTH(DATE(Dashboard!$C$4,10,1),0),TODAY())))</f>
        <v/>
      </c>
      <c r="M82" s="106">
        <f>IF(OR($A82="",DATE(Dashboard!$C$4,11,1)&gt;TODAY(),ISNA(MATCH($B82,{"Pribadi","Investasi (kas RDN)","Piutang","Pinjaman Mama (dompet)"},0))),"",SUMIFS(Akun!$C$5:$C$104,Akun!$A$5:$A$104,$A82,Akun!$D$5:$D$104,"&lt;="&amp;MIN(EOMONTH(DATE(Dashboard!$C$4,11,1),0),TODAY()))+SUMIFS(Transaksi!$F$16:$F$5015,Transaksi!$C$16:$C$5015,$A82,Transaksi!$D$16:$D$5015,"Masuk",Transaksi!$B$16:$B$5015,"&lt;="&amp;MIN(EOMONTH(DATE(Dashboard!$C$4,11,1),0),TODAY()))-SUMIFS(Transaksi!$F$16:$F$5015,Transaksi!$C$16:$C$5015,$A82,Transaksi!$D$16:$D$5015,"Keluar",Transaksi!$B$16:$B$5015,"&lt;="&amp;MIN(EOMONTH(DATE(Dashboard!$C$4,11,1),0),TODAY()))-SUMIFS(Transaksi!$F$16:$F$5015,Transaksi!$C$16:$C$5015,$A82,Transaksi!$D$16:$D$5015,"Pindah",Transaksi!$B$16:$B$5015,"&lt;="&amp;MIN(EOMONTH(DATE(Dashboard!$C$4,11,1),0),TODAY()))+SUMIFS(Transaksi!$F$16:$F$5015,Transaksi!$E$16:$E$5015,$A82,Transaksi!$D$16:$D$5015,"Pindah",Transaksi!$B$16:$B$5015,"&lt;="&amp;MIN(EOMONTH(DATE(Dashboard!$C$4,11,1),0),TODAY())))</f>
        <v/>
      </c>
      <c r="N82" s="106">
        <f>IF(OR($A82="",DATE(Dashboard!$C$4,12,1)&gt;TODAY(),ISNA(MATCH($B82,{"Pribadi","Investasi (kas RDN)","Piutang","Pinjaman Mama (dompet)"},0))),"",SUMIFS(Akun!$C$5:$C$104,Akun!$A$5:$A$104,$A82,Akun!$D$5:$D$104,"&lt;="&amp;MIN(EOMONTH(DATE(Dashboard!$C$4,12,1),0),TODAY()))+SUMIFS(Transaksi!$F$16:$F$5015,Transaksi!$C$16:$C$5015,$A82,Transaksi!$D$16:$D$5015,"Masuk",Transaksi!$B$16:$B$5015,"&lt;="&amp;MIN(EOMONTH(DATE(Dashboard!$C$4,12,1),0),TODAY()))-SUMIFS(Transaksi!$F$16:$F$5015,Transaksi!$C$16:$C$5015,$A82,Transaksi!$D$16:$D$5015,"Keluar",Transaksi!$B$16:$B$5015,"&lt;="&amp;MIN(EOMONTH(DATE(Dashboard!$C$4,12,1),0),TODAY()))-SUMIFS(Transaksi!$F$16:$F$5015,Transaksi!$C$16:$C$5015,$A82,Transaksi!$D$16:$D$5015,"Pindah",Transaksi!$B$16:$B$5015,"&lt;="&amp;MIN(EOMONTH(DATE(Dashboard!$C$4,12,1),0),TODAY()))+SUMIFS(Transaksi!$F$16:$F$5015,Transaksi!$E$16:$E$5015,$A82,Transaksi!$D$16:$D$5015,"Pindah",Transaksi!$B$16:$B$5015,"&lt;="&amp;MIN(EOMONTH(DATE(Dashboard!$C$4,12,1),0),TODAY())))</f>
        <v/>
      </c>
    </row>
    <row r="83" ht="15" customHeight="1" s="94">
      <c r="A83" s="93">
        <f>IF(Akun!$A$47="","",Akun!$A$47)</f>
        <v/>
      </c>
      <c r="B83" s="93">
        <f>IF(Akun!$A$47="","",Akun!$B$47)</f>
        <v/>
      </c>
      <c r="C83" s="106">
        <f>IF(OR($A83="",DATE(Dashboard!$C$4,1,1)&gt;TODAY(),ISNA(MATCH($B83,{"Pribadi","Investasi (kas RDN)","Piutang","Pinjaman Mama (dompet)"},0))),"",SUMIFS(Akun!$C$5:$C$104,Akun!$A$5:$A$104,$A83,Akun!$D$5:$D$104,"&lt;="&amp;MIN(EOMONTH(DATE(Dashboard!$C$4,1,1),0),TODAY()))+SUMIFS(Transaksi!$F$16:$F$5015,Transaksi!$C$16:$C$5015,$A83,Transaksi!$D$16:$D$5015,"Masuk",Transaksi!$B$16:$B$5015,"&lt;="&amp;MIN(EOMONTH(DATE(Dashboard!$C$4,1,1),0),TODAY()))-SUMIFS(Transaksi!$F$16:$F$5015,Transaksi!$C$16:$C$5015,$A83,Transaksi!$D$16:$D$5015,"Keluar",Transaksi!$B$16:$B$5015,"&lt;="&amp;MIN(EOMONTH(DATE(Dashboard!$C$4,1,1),0),TODAY()))-SUMIFS(Transaksi!$F$16:$F$5015,Transaksi!$C$16:$C$5015,$A83,Transaksi!$D$16:$D$5015,"Pindah",Transaksi!$B$16:$B$5015,"&lt;="&amp;MIN(EOMONTH(DATE(Dashboard!$C$4,1,1),0),TODAY()))+SUMIFS(Transaksi!$F$16:$F$5015,Transaksi!$E$16:$E$5015,$A83,Transaksi!$D$16:$D$5015,"Pindah",Transaksi!$B$16:$B$5015,"&lt;="&amp;MIN(EOMONTH(DATE(Dashboard!$C$4,1,1),0),TODAY())))</f>
        <v/>
      </c>
      <c r="D83" s="106">
        <f>IF(OR($A83="",DATE(Dashboard!$C$4,2,1)&gt;TODAY(),ISNA(MATCH($B83,{"Pribadi","Investasi (kas RDN)","Piutang","Pinjaman Mama (dompet)"},0))),"",SUMIFS(Akun!$C$5:$C$104,Akun!$A$5:$A$104,$A83,Akun!$D$5:$D$104,"&lt;="&amp;MIN(EOMONTH(DATE(Dashboard!$C$4,2,1),0),TODAY()))+SUMIFS(Transaksi!$F$16:$F$5015,Transaksi!$C$16:$C$5015,$A83,Transaksi!$D$16:$D$5015,"Masuk",Transaksi!$B$16:$B$5015,"&lt;="&amp;MIN(EOMONTH(DATE(Dashboard!$C$4,2,1),0),TODAY()))-SUMIFS(Transaksi!$F$16:$F$5015,Transaksi!$C$16:$C$5015,$A83,Transaksi!$D$16:$D$5015,"Keluar",Transaksi!$B$16:$B$5015,"&lt;="&amp;MIN(EOMONTH(DATE(Dashboard!$C$4,2,1),0),TODAY()))-SUMIFS(Transaksi!$F$16:$F$5015,Transaksi!$C$16:$C$5015,$A83,Transaksi!$D$16:$D$5015,"Pindah",Transaksi!$B$16:$B$5015,"&lt;="&amp;MIN(EOMONTH(DATE(Dashboard!$C$4,2,1),0),TODAY()))+SUMIFS(Transaksi!$F$16:$F$5015,Transaksi!$E$16:$E$5015,$A83,Transaksi!$D$16:$D$5015,"Pindah",Transaksi!$B$16:$B$5015,"&lt;="&amp;MIN(EOMONTH(DATE(Dashboard!$C$4,2,1),0),TODAY())))</f>
        <v/>
      </c>
      <c r="E83" s="106">
        <f>IF(OR($A83="",DATE(Dashboard!$C$4,3,1)&gt;TODAY(),ISNA(MATCH($B83,{"Pribadi","Investasi (kas RDN)","Piutang","Pinjaman Mama (dompet)"},0))),"",SUMIFS(Akun!$C$5:$C$104,Akun!$A$5:$A$104,$A83,Akun!$D$5:$D$104,"&lt;="&amp;MIN(EOMONTH(DATE(Dashboard!$C$4,3,1),0),TODAY()))+SUMIFS(Transaksi!$F$16:$F$5015,Transaksi!$C$16:$C$5015,$A83,Transaksi!$D$16:$D$5015,"Masuk",Transaksi!$B$16:$B$5015,"&lt;="&amp;MIN(EOMONTH(DATE(Dashboard!$C$4,3,1),0),TODAY()))-SUMIFS(Transaksi!$F$16:$F$5015,Transaksi!$C$16:$C$5015,$A83,Transaksi!$D$16:$D$5015,"Keluar",Transaksi!$B$16:$B$5015,"&lt;="&amp;MIN(EOMONTH(DATE(Dashboard!$C$4,3,1),0),TODAY()))-SUMIFS(Transaksi!$F$16:$F$5015,Transaksi!$C$16:$C$5015,$A83,Transaksi!$D$16:$D$5015,"Pindah",Transaksi!$B$16:$B$5015,"&lt;="&amp;MIN(EOMONTH(DATE(Dashboard!$C$4,3,1),0),TODAY()))+SUMIFS(Transaksi!$F$16:$F$5015,Transaksi!$E$16:$E$5015,$A83,Transaksi!$D$16:$D$5015,"Pindah",Transaksi!$B$16:$B$5015,"&lt;="&amp;MIN(EOMONTH(DATE(Dashboard!$C$4,3,1),0),TODAY())))</f>
        <v/>
      </c>
      <c r="F83" s="106">
        <f>IF(OR($A83="",DATE(Dashboard!$C$4,4,1)&gt;TODAY(),ISNA(MATCH($B83,{"Pribadi","Investasi (kas RDN)","Piutang","Pinjaman Mama (dompet)"},0))),"",SUMIFS(Akun!$C$5:$C$104,Akun!$A$5:$A$104,$A83,Akun!$D$5:$D$104,"&lt;="&amp;MIN(EOMONTH(DATE(Dashboard!$C$4,4,1),0),TODAY()))+SUMIFS(Transaksi!$F$16:$F$5015,Transaksi!$C$16:$C$5015,$A83,Transaksi!$D$16:$D$5015,"Masuk",Transaksi!$B$16:$B$5015,"&lt;="&amp;MIN(EOMONTH(DATE(Dashboard!$C$4,4,1),0),TODAY()))-SUMIFS(Transaksi!$F$16:$F$5015,Transaksi!$C$16:$C$5015,$A83,Transaksi!$D$16:$D$5015,"Keluar",Transaksi!$B$16:$B$5015,"&lt;="&amp;MIN(EOMONTH(DATE(Dashboard!$C$4,4,1),0),TODAY()))-SUMIFS(Transaksi!$F$16:$F$5015,Transaksi!$C$16:$C$5015,$A83,Transaksi!$D$16:$D$5015,"Pindah",Transaksi!$B$16:$B$5015,"&lt;="&amp;MIN(EOMONTH(DATE(Dashboard!$C$4,4,1),0),TODAY()))+SUMIFS(Transaksi!$F$16:$F$5015,Transaksi!$E$16:$E$5015,$A83,Transaksi!$D$16:$D$5015,"Pindah",Transaksi!$B$16:$B$5015,"&lt;="&amp;MIN(EOMONTH(DATE(Dashboard!$C$4,4,1),0),TODAY())))</f>
        <v/>
      </c>
      <c r="G83" s="106">
        <f>IF(OR($A83="",DATE(Dashboard!$C$4,5,1)&gt;TODAY(),ISNA(MATCH($B83,{"Pribadi","Investasi (kas RDN)","Piutang","Pinjaman Mama (dompet)"},0))),"",SUMIFS(Akun!$C$5:$C$104,Akun!$A$5:$A$104,$A83,Akun!$D$5:$D$104,"&lt;="&amp;MIN(EOMONTH(DATE(Dashboard!$C$4,5,1),0),TODAY()))+SUMIFS(Transaksi!$F$16:$F$5015,Transaksi!$C$16:$C$5015,$A83,Transaksi!$D$16:$D$5015,"Masuk",Transaksi!$B$16:$B$5015,"&lt;="&amp;MIN(EOMONTH(DATE(Dashboard!$C$4,5,1),0),TODAY()))-SUMIFS(Transaksi!$F$16:$F$5015,Transaksi!$C$16:$C$5015,$A83,Transaksi!$D$16:$D$5015,"Keluar",Transaksi!$B$16:$B$5015,"&lt;="&amp;MIN(EOMONTH(DATE(Dashboard!$C$4,5,1),0),TODAY()))-SUMIFS(Transaksi!$F$16:$F$5015,Transaksi!$C$16:$C$5015,$A83,Transaksi!$D$16:$D$5015,"Pindah",Transaksi!$B$16:$B$5015,"&lt;="&amp;MIN(EOMONTH(DATE(Dashboard!$C$4,5,1),0),TODAY()))+SUMIFS(Transaksi!$F$16:$F$5015,Transaksi!$E$16:$E$5015,$A83,Transaksi!$D$16:$D$5015,"Pindah",Transaksi!$B$16:$B$5015,"&lt;="&amp;MIN(EOMONTH(DATE(Dashboard!$C$4,5,1),0),TODAY())))</f>
        <v/>
      </c>
      <c r="H83" s="106">
        <f>IF(OR($A83="",DATE(Dashboard!$C$4,6,1)&gt;TODAY(),ISNA(MATCH($B83,{"Pribadi","Investasi (kas RDN)","Piutang","Pinjaman Mama (dompet)"},0))),"",SUMIFS(Akun!$C$5:$C$104,Akun!$A$5:$A$104,$A83,Akun!$D$5:$D$104,"&lt;="&amp;MIN(EOMONTH(DATE(Dashboard!$C$4,6,1),0),TODAY()))+SUMIFS(Transaksi!$F$16:$F$5015,Transaksi!$C$16:$C$5015,$A83,Transaksi!$D$16:$D$5015,"Masuk",Transaksi!$B$16:$B$5015,"&lt;="&amp;MIN(EOMONTH(DATE(Dashboard!$C$4,6,1),0),TODAY()))-SUMIFS(Transaksi!$F$16:$F$5015,Transaksi!$C$16:$C$5015,$A83,Transaksi!$D$16:$D$5015,"Keluar",Transaksi!$B$16:$B$5015,"&lt;="&amp;MIN(EOMONTH(DATE(Dashboard!$C$4,6,1),0),TODAY()))-SUMIFS(Transaksi!$F$16:$F$5015,Transaksi!$C$16:$C$5015,$A83,Transaksi!$D$16:$D$5015,"Pindah",Transaksi!$B$16:$B$5015,"&lt;="&amp;MIN(EOMONTH(DATE(Dashboard!$C$4,6,1),0),TODAY()))+SUMIFS(Transaksi!$F$16:$F$5015,Transaksi!$E$16:$E$5015,$A83,Transaksi!$D$16:$D$5015,"Pindah",Transaksi!$B$16:$B$5015,"&lt;="&amp;MIN(EOMONTH(DATE(Dashboard!$C$4,6,1),0),TODAY())))</f>
        <v/>
      </c>
      <c r="I83" s="106">
        <f>IF(OR($A83="",DATE(Dashboard!$C$4,7,1)&gt;TODAY(),ISNA(MATCH($B83,{"Pribadi","Investasi (kas RDN)","Piutang","Pinjaman Mama (dompet)"},0))),"",SUMIFS(Akun!$C$5:$C$104,Akun!$A$5:$A$104,$A83,Akun!$D$5:$D$104,"&lt;="&amp;MIN(EOMONTH(DATE(Dashboard!$C$4,7,1),0),TODAY()))+SUMIFS(Transaksi!$F$16:$F$5015,Transaksi!$C$16:$C$5015,$A83,Transaksi!$D$16:$D$5015,"Masuk",Transaksi!$B$16:$B$5015,"&lt;="&amp;MIN(EOMONTH(DATE(Dashboard!$C$4,7,1),0),TODAY()))-SUMIFS(Transaksi!$F$16:$F$5015,Transaksi!$C$16:$C$5015,$A83,Transaksi!$D$16:$D$5015,"Keluar",Transaksi!$B$16:$B$5015,"&lt;="&amp;MIN(EOMONTH(DATE(Dashboard!$C$4,7,1),0),TODAY()))-SUMIFS(Transaksi!$F$16:$F$5015,Transaksi!$C$16:$C$5015,$A83,Transaksi!$D$16:$D$5015,"Pindah",Transaksi!$B$16:$B$5015,"&lt;="&amp;MIN(EOMONTH(DATE(Dashboard!$C$4,7,1),0),TODAY()))+SUMIFS(Transaksi!$F$16:$F$5015,Transaksi!$E$16:$E$5015,$A83,Transaksi!$D$16:$D$5015,"Pindah",Transaksi!$B$16:$B$5015,"&lt;="&amp;MIN(EOMONTH(DATE(Dashboard!$C$4,7,1),0),TODAY())))</f>
        <v/>
      </c>
      <c r="J83" s="106">
        <f>IF(OR($A83="",DATE(Dashboard!$C$4,8,1)&gt;TODAY(),ISNA(MATCH($B83,{"Pribadi","Investasi (kas RDN)","Piutang","Pinjaman Mama (dompet)"},0))),"",SUMIFS(Akun!$C$5:$C$104,Akun!$A$5:$A$104,$A83,Akun!$D$5:$D$104,"&lt;="&amp;MIN(EOMONTH(DATE(Dashboard!$C$4,8,1),0),TODAY()))+SUMIFS(Transaksi!$F$16:$F$5015,Transaksi!$C$16:$C$5015,$A83,Transaksi!$D$16:$D$5015,"Masuk",Transaksi!$B$16:$B$5015,"&lt;="&amp;MIN(EOMONTH(DATE(Dashboard!$C$4,8,1),0),TODAY()))-SUMIFS(Transaksi!$F$16:$F$5015,Transaksi!$C$16:$C$5015,$A83,Transaksi!$D$16:$D$5015,"Keluar",Transaksi!$B$16:$B$5015,"&lt;="&amp;MIN(EOMONTH(DATE(Dashboard!$C$4,8,1),0),TODAY()))-SUMIFS(Transaksi!$F$16:$F$5015,Transaksi!$C$16:$C$5015,$A83,Transaksi!$D$16:$D$5015,"Pindah",Transaksi!$B$16:$B$5015,"&lt;="&amp;MIN(EOMONTH(DATE(Dashboard!$C$4,8,1),0),TODAY()))+SUMIFS(Transaksi!$F$16:$F$5015,Transaksi!$E$16:$E$5015,$A83,Transaksi!$D$16:$D$5015,"Pindah",Transaksi!$B$16:$B$5015,"&lt;="&amp;MIN(EOMONTH(DATE(Dashboard!$C$4,8,1),0),TODAY())))</f>
        <v/>
      </c>
      <c r="K83" s="106">
        <f>IF(OR($A83="",DATE(Dashboard!$C$4,9,1)&gt;TODAY(),ISNA(MATCH($B83,{"Pribadi","Investasi (kas RDN)","Piutang","Pinjaman Mama (dompet)"},0))),"",SUMIFS(Akun!$C$5:$C$104,Akun!$A$5:$A$104,$A83,Akun!$D$5:$D$104,"&lt;="&amp;MIN(EOMONTH(DATE(Dashboard!$C$4,9,1),0),TODAY()))+SUMIFS(Transaksi!$F$16:$F$5015,Transaksi!$C$16:$C$5015,$A83,Transaksi!$D$16:$D$5015,"Masuk",Transaksi!$B$16:$B$5015,"&lt;="&amp;MIN(EOMONTH(DATE(Dashboard!$C$4,9,1),0),TODAY()))-SUMIFS(Transaksi!$F$16:$F$5015,Transaksi!$C$16:$C$5015,$A83,Transaksi!$D$16:$D$5015,"Keluar",Transaksi!$B$16:$B$5015,"&lt;="&amp;MIN(EOMONTH(DATE(Dashboard!$C$4,9,1),0),TODAY()))-SUMIFS(Transaksi!$F$16:$F$5015,Transaksi!$C$16:$C$5015,$A83,Transaksi!$D$16:$D$5015,"Pindah",Transaksi!$B$16:$B$5015,"&lt;="&amp;MIN(EOMONTH(DATE(Dashboard!$C$4,9,1),0),TODAY()))+SUMIFS(Transaksi!$F$16:$F$5015,Transaksi!$E$16:$E$5015,$A83,Transaksi!$D$16:$D$5015,"Pindah",Transaksi!$B$16:$B$5015,"&lt;="&amp;MIN(EOMONTH(DATE(Dashboard!$C$4,9,1),0),TODAY())))</f>
        <v/>
      </c>
      <c r="L83" s="106">
        <f>IF(OR($A83="",DATE(Dashboard!$C$4,10,1)&gt;TODAY(),ISNA(MATCH($B83,{"Pribadi","Investasi (kas RDN)","Piutang","Pinjaman Mama (dompet)"},0))),"",SUMIFS(Akun!$C$5:$C$104,Akun!$A$5:$A$104,$A83,Akun!$D$5:$D$104,"&lt;="&amp;MIN(EOMONTH(DATE(Dashboard!$C$4,10,1),0),TODAY()))+SUMIFS(Transaksi!$F$16:$F$5015,Transaksi!$C$16:$C$5015,$A83,Transaksi!$D$16:$D$5015,"Masuk",Transaksi!$B$16:$B$5015,"&lt;="&amp;MIN(EOMONTH(DATE(Dashboard!$C$4,10,1),0),TODAY()))-SUMIFS(Transaksi!$F$16:$F$5015,Transaksi!$C$16:$C$5015,$A83,Transaksi!$D$16:$D$5015,"Keluar",Transaksi!$B$16:$B$5015,"&lt;="&amp;MIN(EOMONTH(DATE(Dashboard!$C$4,10,1),0),TODAY()))-SUMIFS(Transaksi!$F$16:$F$5015,Transaksi!$C$16:$C$5015,$A83,Transaksi!$D$16:$D$5015,"Pindah",Transaksi!$B$16:$B$5015,"&lt;="&amp;MIN(EOMONTH(DATE(Dashboard!$C$4,10,1),0),TODAY()))+SUMIFS(Transaksi!$F$16:$F$5015,Transaksi!$E$16:$E$5015,$A83,Transaksi!$D$16:$D$5015,"Pindah",Transaksi!$B$16:$B$5015,"&lt;="&amp;MIN(EOMONTH(DATE(Dashboard!$C$4,10,1),0),TODAY())))</f>
        <v/>
      </c>
      <c r="M83" s="106">
        <f>IF(OR($A83="",DATE(Dashboard!$C$4,11,1)&gt;TODAY(),ISNA(MATCH($B83,{"Pribadi","Investasi (kas RDN)","Piutang","Pinjaman Mama (dompet)"},0))),"",SUMIFS(Akun!$C$5:$C$104,Akun!$A$5:$A$104,$A83,Akun!$D$5:$D$104,"&lt;="&amp;MIN(EOMONTH(DATE(Dashboard!$C$4,11,1),0),TODAY()))+SUMIFS(Transaksi!$F$16:$F$5015,Transaksi!$C$16:$C$5015,$A83,Transaksi!$D$16:$D$5015,"Masuk",Transaksi!$B$16:$B$5015,"&lt;="&amp;MIN(EOMONTH(DATE(Dashboard!$C$4,11,1),0),TODAY()))-SUMIFS(Transaksi!$F$16:$F$5015,Transaksi!$C$16:$C$5015,$A83,Transaksi!$D$16:$D$5015,"Keluar",Transaksi!$B$16:$B$5015,"&lt;="&amp;MIN(EOMONTH(DATE(Dashboard!$C$4,11,1),0),TODAY()))-SUMIFS(Transaksi!$F$16:$F$5015,Transaksi!$C$16:$C$5015,$A83,Transaksi!$D$16:$D$5015,"Pindah",Transaksi!$B$16:$B$5015,"&lt;="&amp;MIN(EOMONTH(DATE(Dashboard!$C$4,11,1),0),TODAY()))+SUMIFS(Transaksi!$F$16:$F$5015,Transaksi!$E$16:$E$5015,$A83,Transaksi!$D$16:$D$5015,"Pindah",Transaksi!$B$16:$B$5015,"&lt;="&amp;MIN(EOMONTH(DATE(Dashboard!$C$4,11,1),0),TODAY())))</f>
        <v/>
      </c>
      <c r="N83" s="106">
        <f>IF(OR($A83="",DATE(Dashboard!$C$4,12,1)&gt;TODAY(),ISNA(MATCH($B83,{"Pribadi","Investasi (kas RDN)","Piutang","Pinjaman Mama (dompet)"},0))),"",SUMIFS(Akun!$C$5:$C$104,Akun!$A$5:$A$104,$A83,Akun!$D$5:$D$104,"&lt;="&amp;MIN(EOMONTH(DATE(Dashboard!$C$4,12,1),0),TODAY()))+SUMIFS(Transaksi!$F$16:$F$5015,Transaksi!$C$16:$C$5015,$A83,Transaksi!$D$16:$D$5015,"Masuk",Transaksi!$B$16:$B$5015,"&lt;="&amp;MIN(EOMONTH(DATE(Dashboard!$C$4,12,1),0),TODAY()))-SUMIFS(Transaksi!$F$16:$F$5015,Transaksi!$C$16:$C$5015,$A83,Transaksi!$D$16:$D$5015,"Keluar",Transaksi!$B$16:$B$5015,"&lt;="&amp;MIN(EOMONTH(DATE(Dashboard!$C$4,12,1),0),TODAY()))-SUMIFS(Transaksi!$F$16:$F$5015,Transaksi!$C$16:$C$5015,$A83,Transaksi!$D$16:$D$5015,"Pindah",Transaksi!$B$16:$B$5015,"&lt;="&amp;MIN(EOMONTH(DATE(Dashboard!$C$4,12,1),0),TODAY()))+SUMIFS(Transaksi!$F$16:$F$5015,Transaksi!$E$16:$E$5015,$A83,Transaksi!$D$16:$D$5015,"Pindah",Transaksi!$B$16:$B$5015,"&lt;="&amp;MIN(EOMONTH(DATE(Dashboard!$C$4,12,1),0),TODAY())))</f>
        <v/>
      </c>
    </row>
    <row r="84" ht="15" customHeight="1" s="94">
      <c r="A84" s="93">
        <f>IF(Akun!$A$48="","",Akun!$A$48)</f>
        <v/>
      </c>
      <c r="B84" s="93">
        <f>IF(Akun!$A$48="","",Akun!$B$48)</f>
        <v/>
      </c>
      <c r="C84" s="106">
        <f>IF(OR($A84="",DATE(Dashboard!$C$4,1,1)&gt;TODAY(),ISNA(MATCH($B84,{"Pribadi","Investasi (kas RDN)","Piutang","Pinjaman Mama (dompet)"},0))),"",SUMIFS(Akun!$C$5:$C$104,Akun!$A$5:$A$104,$A84,Akun!$D$5:$D$104,"&lt;="&amp;MIN(EOMONTH(DATE(Dashboard!$C$4,1,1),0),TODAY()))+SUMIFS(Transaksi!$F$16:$F$5015,Transaksi!$C$16:$C$5015,$A84,Transaksi!$D$16:$D$5015,"Masuk",Transaksi!$B$16:$B$5015,"&lt;="&amp;MIN(EOMONTH(DATE(Dashboard!$C$4,1,1),0),TODAY()))-SUMIFS(Transaksi!$F$16:$F$5015,Transaksi!$C$16:$C$5015,$A84,Transaksi!$D$16:$D$5015,"Keluar",Transaksi!$B$16:$B$5015,"&lt;="&amp;MIN(EOMONTH(DATE(Dashboard!$C$4,1,1),0),TODAY()))-SUMIFS(Transaksi!$F$16:$F$5015,Transaksi!$C$16:$C$5015,$A84,Transaksi!$D$16:$D$5015,"Pindah",Transaksi!$B$16:$B$5015,"&lt;="&amp;MIN(EOMONTH(DATE(Dashboard!$C$4,1,1),0),TODAY()))+SUMIFS(Transaksi!$F$16:$F$5015,Transaksi!$E$16:$E$5015,$A84,Transaksi!$D$16:$D$5015,"Pindah",Transaksi!$B$16:$B$5015,"&lt;="&amp;MIN(EOMONTH(DATE(Dashboard!$C$4,1,1),0),TODAY())))</f>
        <v/>
      </c>
      <c r="D84" s="106">
        <f>IF(OR($A84="",DATE(Dashboard!$C$4,2,1)&gt;TODAY(),ISNA(MATCH($B84,{"Pribadi","Investasi (kas RDN)","Piutang","Pinjaman Mama (dompet)"},0))),"",SUMIFS(Akun!$C$5:$C$104,Akun!$A$5:$A$104,$A84,Akun!$D$5:$D$104,"&lt;="&amp;MIN(EOMONTH(DATE(Dashboard!$C$4,2,1),0),TODAY()))+SUMIFS(Transaksi!$F$16:$F$5015,Transaksi!$C$16:$C$5015,$A84,Transaksi!$D$16:$D$5015,"Masuk",Transaksi!$B$16:$B$5015,"&lt;="&amp;MIN(EOMONTH(DATE(Dashboard!$C$4,2,1),0),TODAY()))-SUMIFS(Transaksi!$F$16:$F$5015,Transaksi!$C$16:$C$5015,$A84,Transaksi!$D$16:$D$5015,"Keluar",Transaksi!$B$16:$B$5015,"&lt;="&amp;MIN(EOMONTH(DATE(Dashboard!$C$4,2,1),0),TODAY()))-SUMIFS(Transaksi!$F$16:$F$5015,Transaksi!$C$16:$C$5015,$A84,Transaksi!$D$16:$D$5015,"Pindah",Transaksi!$B$16:$B$5015,"&lt;="&amp;MIN(EOMONTH(DATE(Dashboard!$C$4,2,1),0),TODAY()))+SUMIFS(Transaksi!$F$16:$F$5015,Transaksi!$E$16:$E$5015,$A84,Transaksi!$D$16:$D$5015,"Pindah",Transaksi!$B$16:$B$5015,"&lt;="&amp;MIN(EOMONTH(DATE(Dashboard!$C$4,2,1),0),TODAY())))</f>
        <v/>
      </c>
      <c r="E84" s="106">
        <f>IF(OR($A84="",DATE(Dashboard!$C$4,3,1)&gt;TODAY(),ISNA(MATCH($B84,{"Pribadi","Investasi (kas RDN)","Piutang","Pinjaman Mama (dompet)"},0))),"",SUMIFS(Akun!$C$5:$C$104,Akun!$A$5:$A$104,$A84,Akun!$D$5:$D$104,"&lt;="&amp;MIN(EOMONTH(DATE(Dashboard!$C$4,3,1),0),TODAY()))+SUMIFS(Transaksi!$F$16:$F$5015,Transaksi!$C$16:$C$5015,$A84,Transaksi!$D$16:$D$5015,"Masuk",Transaksi!$B$16:$B$5015,"&lt;="&amp;MIN(EOMONTH(DATE(Dashboard!$C$4,3,1),0),TODAY()))-SUMIFS(Transaksi!$F$16:$F$5015,Transaksi!$C$16:$C$5015,$A84,Transaksi!$D$16:$D$5015,"Keluar",Transaksi!$B$16:$B$5015,"&lt;="&amp;MIN(EOMONTH(DATE(Dashboard!$C$4,3,1),0),TODAY()))-SUMIFS(Transaksi!$F$16:$F$5015,Transaksi!$C$16:$C$5015,$A84,Transaksi!$D$16:$D$5015,"Pindah",Transaksi!$B$16:$B$5015,"&lt;="&amp;MIN(EOMONTH(DATE(Dashboard!$C$4,3,1),0),TODAY()))+SUMIFS(Transaksi!$F$16:$F$5015,Transaksi!$E$16:$E$5015,$A84,Transaksi!$D$16:$D$5015,"Pindah",Transaksi!$B$16:$B$5015,"&lt;="&amp;MIN(EOMONTH(DATE(Dashboard!$C$4,3,1),0),TODAY())))</f>
        <v/>
      </c>
      <c r="F84" s="106">
        <f>IF(OR($A84="",DATE(Dashboard!$C$4,4,1)&gt;TODAY(),ISNA(MATCH($B84,{"Pribadi","Investasi (kas RDN)","Piutang","Pinjaman Mama (dompet)"},0))),"",SUMIFS(Akun!$C$5:$C$104,Akun!$A$5:$A$104,$A84,Akun!$D$5:$D$104,"&lt;="&amp;MIN(EOMONTH(DATE(Dashboard!$C$4,4,1),0),TODAY()))+SUMIFS(Transaksi!$F$16:$F$5015,Transaksi!$C$16:$C$5015,$A84,Transaksi!$D$16:$D$5015,"Masuk",Transaksi!$B$16:$B$5015,"&lt;="&amp;MIN(EOMONTH(DATE(Dashboard!$C$4,4,1),0),TODAY()))-SUMIFS(Transaksi!$F$16:$F$5015,Transaksi!$C$16:$C$5015,$A84,Transaksi!$D$16:$D$5015,"Keluar",Transaksi!$B$16:$B$5015,"&lt;="&amp;MIN(EOMONTH(DATE(Dashboard!$C$4,4,1),0),TODAY()))-SUMIFS(Transaksi!$F$16:$F$5015,Transaksi!$C$16:$C$5015,$A84,Transaksi!$D$16:$D$5015,"Pindah",Transaksi!$B$16:$B$5015,"&lt;="&amp;MIN(EOMONTH(DATE(Dashboard!$C$4,4,1),0),TODAY()))+SUMIFS(Transaksi!$F$16:$F$5015,Transaksi!$E$16:$E$5015,$A84,Transaksi!$D$16:$D$5015,"Pindah",Transaksi!$B$16:$B$5015,"&lt;="&amp;MIN(EOMONTH(DATE(Dashboard!$C$4,4,1),0),TODAY())))</f>
        <v/>
      </c>
      <c r="G84" s="106">
        <f>IF(OR($A84="",DATE(Dashboard!$C$4,5,1)&gt;TODAY(),ISNA(MATCH($B84,{"Pribadi","Investasi (kas RDN)","Piutang","Pinjaman Mama (dompet)"},0))),"",SUMIFS(Akun!$C$5:$C$104,Akun!$A$5:$A$104,$A84,Akun!$D$5:$D$104,"&lt;="&amp;MIN(EOMONTH(DATE(Dashboard!$C$4,5,1),0),TODAY()))+SUMIFS(Transaksi!$F$16:$F$5015,Transaksi!$C$16:$C$5015,$A84,Transaksi!$D$16:$D$5015,"Masuk",Transaksi!$B$16:$B$5015,"&lt;="&amp;MIN(EOMONTH(DATE(Dashboard!$C$4,5,1),0),TODAY()))-SUMIFS(Transaksi!$F$16:$F$5015,Transaksi!$C$16:$C$5015,$A84,Transaksi!$D$16:$D$5015,"Keluar",Transaksi!$B$16:$B$5015,"&lt;="&amp;MIN(EOMONTH(DATE(Dashboard!$C$4,5,1),0),TODAY()))-SUMIFS(Transaksi!$F$16:$F$5015,Transaksi!$C$16:$C$5015,$A84,Transaksi!$D$16:$D$5015,"Pindah",Transaksi!$B$16:$B$5015,"&lt;="&amp;MIN(EOMONTH(DATE(Dashboard!$C$4,5,1),0),TODAY()))+SUMIFS(Transaksi!$F$16:$F$5015,Transaksi!$E$16:$E$5015,$A84,Transaksi!$D$16:$D$5015,"Pindah",Transaksi!$B$16:$B$5015,"&lt;="&amp;MIN(EOMONTH(DATE(Dashboard!$C$4,5,1),0),TODAY())))</f>
        <v/>
      </c>
      <c r="H84" s="106">
        <f>IF(OR($A84="",DATE(Dashboard!$C$4,6,1)&gt;TODAY(),ISNA(MATCH($B84,{"Pribadi","Investasi (kas RDN)","Piutang","Pinjaman Mama (dompet)"},0))),"",SUMIFS(Akun!$C$5:$C$104,Akun!$A$5:$A$104,$A84,Akun!$D$5:$D$104,"&lt;="&amp;MIN(EOMONTH(DATE(Dashboard!$C$4,6,1),0),TODAY()))+SUMIFS(Transaksi!$F$16:$F$5015,Transaksi!$C$16:$C$5015,$A84,Transaksi!$D$16:$D$5015,"Masuk",Transaksi!$B$16:$B$5015,"&lt;="&amp;MIN(EOMONTH(DATE(Dashboard!$C$4,6,1),0),TODAY()))-SUMIFS(Transaksi!$F$16:$F$5015,Transaksi!$C$16:$C$5015,$A84,Transaksi!$D$16:$D$5015,"Keluar",Transaksi!$B$16:$B$5015,"&lt;="&amp;MIN(EOMONTH(DATE(Dashboard!$C$4,6,1),0),TODAY()))-SUMIFS(Transaksi!$F$16:$F$5015,Transaksi!$C$16:$C$5015,$A84,Transaksi!$D$16:$D$5015,"Pindah",Transaksi!$B$16:$B$5015,"&lt;="&amp;MIN(EOMONTH(DATE(Dashboard!$C$4,6,1),0),TODAY()))+SUMIFS(Transaksi!$F$16:$F$5015,Transaksi!$E$16:$E$5015,$A84,Transaksi!$D$16:$D$5015,"Pindah",Transaksi!$B$16:$B$5015,"&lt;="&amp;MIN(EOMONTH(DATE(Dashboard!$C$4,6,1),0),TODAY())))</f>
        <v/>
      </c>
      <c r="I84" s="106">
        <f>IF(OR($A84="",DATE(Dashboard!$C$4,7,1)&gt;TODAY(),ISNA(MATCH($B84,{"Pribadi","Investasi (kas RDN)","Piutang","Pinjaman Mama (dompet)"},0))),"",SUMIFS(Akun!$C$5:$C$104,Akun!$A$5:$A$104,$A84,Akun!$D$5:$D$104,"&lt;="&amp;MIN(EOMONTH(DATE(Dashboard!$C$4,7,1),0),TODAY()))+SUMIFS(Transaksi!$F$16:$F$5015,Transaksi!$C$16:$C$5015,$A84,Transaksi!$D$16:$D$5015,"Masuk",Transaksi!$B$16:$B$5015,"&lt;="&amp;MIN(EOMONTH(DATE(Dashboard!$C$4,7,1),0),TODAY()))-SUMIFS(Transaksi!$F$16:$F$5015,Transaksi!$C$16:$C$5015,$A84,Transaksi!$D$16:$D$5015,"Keluar",Transaksi!$B$16:$B$5015,"&lt;="&amp;MIN(EOMONTH(DATE(Dashboard!$C$4,7,1),0),TODAY()))-SUMIFS(Transaksi!$F$16:$F$5015,Transaksi!$C$16:$C$5015,$A84,Transaksi!$D$16:$D$5015,"Pindah",Transaksi!$B$16:$B$5015,"&lt;="&amp;MIN(EOMONTH(DATE(Dashboard!$C$4,7,1),0),TODAY()))+SUMIFS(Transaksi!$F$16:$F$5015,Transaksi!$E$16:$E$5015,$A84,Transaksi!$D$16:$D$5015,"Pindah",Transaksi!$B$16:$B$5015,"&lt;="&amp;MIN(EOMONTH(DATE(Dashboard!$C$4,7,1),0),TODAY())))</f>
        <v/>
      </c>
      <c r="J84" s="106">
        <f>IF(OR($A84="",DATE(Dashboard!$C$4,8,1)&gt;TODAY(),ISNA(MATCH($B84,{"Pribadi","Investasi (kas RDN)","Piutang","Pinjaman Mama (dompet)"},0))),"",SUMIFS(Akun!$C$5:$C$104,Akun!$A$5:$A$104,$A84,Akun!$D$5:$D$104,"&lt;="&amp;MIN(EOMONTH(DATE(Dashboard!$C$4,8,1),0),TODAY()))+SUMIFS(Transaksi!$F$16:$F$5015,Transaksi!$C$16:$C$5015,$A84,Transaksi!$D$16:$D$5015,"Masuk",Transaksi!$B$16:$B$5015,"&lt;="&amp;MIN(EOMONTH(DATE(Dashboard!$C$4,8,1),0),TODAY()))-SUMIFS(Transaksi!$F$16:$F$5015,Transaksi!$C$16:$C$5015,$A84,Transaksi!$D$16:$D$5015,"Keluar",Transaksi!$B$16:$B$5015,"&lt;="&amp;MIN(EOMONTH(DATE(Dashboard!$C$4,8,1),0),TODAY()))-SUMIFS(Transaksi!$F$16:$F$5015,Transaksi!$C$16:$C$5015,$A84,Transaksi!$D$16:$D$5015,"Pindah",Transaksi!$B$16:$B$5015,"&lt;="&amp;MIN(EOMONTH(DATE(Dashboard!$C$4,8,1),0),TODAY()))+SUMIFS(Transaksi!$F$16:$F$5015,Transaksi!$E$16:$E$5015,$A84,Transaksi!$D$16:$D$5015,"Pindah",Transaksi!$B$16:$B$5015,"&lt;="&amp;MIN(EOMONTH(DATE(Dashboard!$C$4,8,1),0),TODAY())))</f>
        <v/>
      </c>
      <c r="K84" s="106">
        <f>IF(OR($A84="",DATE(Dashboard!$C$4,9,1)&gt;TODAY(),ISNA(MATCH($B84,{"Pribadi","Investasi (kas RDN)","Piutang","Pinjaman Mama (dompet)"},0))),"",SUMIFS(Akun!$C$5:$C$104,Akun!$A$5:$A$104,$A84,Akun!$D$5:$D$104,"&lt;="&amp;MIN(EOMONTH(DATE(Dashboard!$C$4,9,1),0),TODAY()))+SUMIFS(Transaksi!$F$16:$F$5015,Transaksi!$C$16:$C$5015,$A84,Transaksi!$D$16:$D$5015,"Masuk",Transaksi!$B$16:$B$5015,"&lt;="&amp;MIN(EOMONTH(DATE(Dashboard!$C$4,9,1),0),TODAY()))-SUMIFS(Transaksi!$F$16:$F$5015,Transaksi!$C$16:$C$5015,$A84,Transaksi!$D$16:$D$5015,"Keluar",Transaksi!$B$16:$B$5015,"&lt;="&amp;MIN(EOMONTH(DATE(Dashboard!$C$4,9,1),0),TODAY()))-SUMIFS(Transaksi!$F$16:$F$5015,Transaksi!$C$16:$C$5015,$A84,Transaksi!$D$16:$D$5015,"Pindah",Transaksi!$B$16:$B$5015,"&lt;="&amp;MIN(EOMONTH(DATE(Dashboard!$C$4,9,1),0),TODAY()))+SUMIFS(Transaksi!$F$16:$F$5015,Transaksi!$E$16:$E$5015,$A84,Transaksi!$D$16:$D$5015,"Pindah",Transaksi!$B$16:$B$5015,"&lt;="&amp;MIN(EOMONTH(DATE(Dashboard!$C$4,9,1),0),TODAY())))</f>
        <v/>
      </c>
      <c r="L84" s="106">
        <f>IF(OR($A84="",DATE(Dashboard!$C$4,10,1)&gt;TODAY(),ISNA(MATCH($B84,{"Pribadi","Investasi (kas RDN)","Piutang","Pinjaman Mama (dompet)"},0))),"",SUMIFS(Akun!$C$5:$C$104,Akun!$A$5:$A$104,$A84,Akun!$D$5:$D$104,"&lt;="&amp;MIN(EOMONTH(DATE(Dashboard!$C$4,10,1),0),TODAY()))+SUMIFS(Transaksi!$F$16:$F$5015,Transaksi!$C$16:$C$5015,$A84,Transaksi!$D$16:$D$5015,"Masuk",Transaksi!$B$16:$B$5015,"&lt;="&amp;MIN(EOMONTH(DATE(Dashboard!$C$4,10,1),0),TODAY()))-SUMIFS(Transaksi!$F$16:$F$5015,Transaksi!$C$16:$C$5015,$A84,Transaksi!$D$16:$D$5015,"Keluar",Transaksi!$B$16:$B$5015,"&lt;="&amp;MIN(EOMONTH(DATE(Dashboard!$C$4,10,1),0),TODAY()))-SUMIFS(Transaksi!$F$16:$F$5015,Transaksi!$C$16:$C$5015,$A84,Transaksi!$D$16:$D$5015,"Pindah",Transaksi!$B$16:$B$5015,"&lt;="&amp;MIN(EOMONTH(DATE(Dashboard!$C$4,10,1),0),TODAY()))+SUMIFS(Transaksi!$F$16:$F$5015,Transaksi!$E$16:$E$5015,$A84,Transaksi!$D$16:$D$5015,"Pindah",Transaksi!$B$16:$B$5015,"&lt;="&amp;MIN(EOMONTH(DATE(Dashboard!$C$4,10,1),0),TODAY())))</f>
        <v/>
      </c>
      <c r="M84" s="106">
        <f>IF(OR($A84="",DATE(Dashboard!$C$4,11,1)&gt;TODAY(),ISNA(MATCH($B84,{"Pribadi","Investasi (kas RDN)","Piutang","Pinjaman Mama (dompet)"},0))),"",SUMIFS(Akun!$C$5:$C$104,Akun!$A$5:$A$104,$A84,Akun!$D$5:$D$104,"&lt;="&amp;MIN(EOMONTH(DATE(Dashboard!$C$4,11,1),0),TODAY()))+SUMIFS(Transaksi!$F$16:$F$5015,Transaksi!$C$16:$C$5015,$A84,Transaksi!$D$16:$D$5015,"Masuk",Transaksi!$B$16:$B$5015,"&lt;="&amp;MIN(EOMONTH(DATE(Dashboard!$C$4,11,1),0),TODAY()))-SUMIFS(Transaksi!$F$16:$F$5015,Transaksi!$C$16:$C$5015,$A84,Transaksi!$D$16:$D$5015,"Keluar",Transaksi!$B$16:$B$5015,"&lt;="&amp;MIN(EOMONTH(DATE(Dashboard!$C$4,11,1),0),TODAY()))-SUMIFS(Transaksi!$F$16:$F$5015,Transaksi!$C$16:$C$5015,$A84,Transaksi!$D$16:$D$5015,"Pindah",Transaksi!$B$16:$B$5015,"&lt;="&amp;MIN(EOMONTH(DATE(Dashboard!$C$4,11,1),0),TODAY()))+SUMIFS(Transaksi!$F$16:$F$5015,Transaksi!$E$16:$E$5015,$A84,Transaksi!$D$16:$D$5015,"Pindah",Transaksi!$B$16:$B$5015,"&lt;="&amp;MIN(EOMONTH(DATE(Dashboard!$C$4,11,1),0),TODAY())))</f>
        <v/>
      </c>
      <c r="N84" s="106">
        <f>IF(OR($A84="",DATE(Dashboard!$C$4,12,1)&gt;TODAY(),ISNA(MATCH($B84,{"Pribadi","Investasi (kas RDN)","Piutang","Pinjaman Mama (dompet)"},0))),"",SUMIFS(Akun!$C$5:$C$104,Akun!$A$5:$A$104,$A84,Akun!$D$5:$D$104,"&lt;="&amp;MIN(EOMONTH(DATE(Dashboard!$C$4,12,1),0),TODAY()))+SUMIFS(Transaksi!$F$16:$F$5015,Transaksi!$C$16:$C$5015,$A84,Transaksi!$D$16:$D$5015,"Masuk",Transaksi!$B$16:$B$5015,"&lt;="&amp;MIN(EOMONTH(DATE(Dashboard!$C$4,12,1),0),TODAY()))-SUMIFS(Transaksi!$F$16:$F$5015,Transaksi!$C$16:$C$5015,$A84,Transaksi!$D$16:$D$5015,"Keluar",Transaksi!$B$16:$B$5015,"&lt;="&amp;MIN(EOMONTH(DATE(Dashboard!$C$4,12,1),0),TODAY()))-SUMIFS(Transaksi!$F$16:$F$5015,Transaksi!$C$16:$C$5015,$A84,Transaksi!$D$16:$D$5015,"Pindah",Transaksi!$B$16:$B$5015,"&lt;="&amp;MIN(EOMONTH(DATE(Dashboard!$C$4,12,1),0),TODAY()))+SUMIFS(Transaksi!$F$16:$F$5015,Transaksi!$E$16:$E$5015,$A84,Transaksi!$D$16:$D$5015,"Pindah",Transaksi!$B$16:$B$5015,"&lt;="&amp;MIN(EOMONTH(DATE(Dashboard!$C$4,12,1),0),TODAY())))</f>
        <v/>
      </c>
    </row>
    <row r="85" ht="15" customHeight="1" s="94">
      <c r="A85" s="93">
        <f>IF(Akun!$A$49="","",Akun!$A$49)</f>
        <v/>
      </c>
      <c r="B85" s="93">
        <f>IF(Akun!$A$49="","",Akun!$B$49)</f>
        <v/>
      </c>
      <c r="C85" s="106">
        <f>IF(OR($A85="",DATE(Dashboard!$C$4,1,1)&gt;TODAY(),ISNA(MATCH($B85,{"Pribadi","Investasi (kas RDN)","Piutang","Pinjaman Mama (dompet)"},0))),"",SUMIFS(Akun!$C$5:$C$104,Akun!$A$5:$A$104,$A85,Akun!$D$5:$D$104,"&lt;="&amp;MIN(EOMONTH(DATE(Dashboard!$C$4,1,1),0),TODAY()))+SUMIFS(Transaksi!$F$16:$F$5015,Transaksi!$C$16:$C$5015,$A85,Transaksi!$D$16:$D$5015,"Masuk",Transaksi!$B$16:$B$5015,"&lt;="&amp;MIN(EOMONTH(DATE(Dashboard!$C$4,1,1),0),TODAY()))-SUMIFS(Transaksi!$F$16:$F$5015,Transaksi!$C$16:$C$5015,$A85,Transaksi!$D$16:$D$5015,"Keluar",Transaksi!$B$16:$B$5015,"&lt;="&amp;MIN(EOMONTH(DATE(Dashboard!$C$4,1,1),0),TODAY()))-SUMIFS(Transaksi!$F$16:$F$5015,Transaksi!$C$16:$C$5015,$A85,Transaksi!$D$16:$D$5015,"Pindah",Transaksi!$B$16:$B$5015,"&lt;="&amp;MIN(EOMONTH(DATE(Dashboard!$C$4,1,1),0),TODAY()))+SUMIFS(Transaksi!$F$16:$F$5015,Transaksi!$E$16:$E$5015,$A85,Transaksi!$D$16:$D$5015,"Pindah",Transaksi!$B$16:$B$5015,"&lt;="&amp;MIN(EOMONTH(DATE(Dashboard!$C$4,1,1),0),TODAY())))</f>
        <v/>
      </c>
      <c r="D85" s="106">
        <f>IF(OR($A85="",DATE(Dashboard!$C$4,2,1)&gt;TODAY(),ISNA(MATCH($B85,{"Pribadi","Investasi (kas RDN)","Piutang","Pinjaman Mama (dompet)"},0))),"",SUMIFS(Akun!$C$5:$C$104,Akun!$A$5:$A$104,$A85,Akun!$D$5:$D$104,"&lt;="&amp;MIN(EOMONTH(DATE(Dashboard!$C$4,2,1),0),TODAY()))+SUMIFS(Transaksi!$F$16:$F$5015,Transaksi!$C$16:$C$5015,$A85,Transaksi!$D$16:$D$5015,"Masuk",Transaksi!$B$16:$B$5015,"&lt;="&amp;MIN(EOMONTH(DATE(Dashboard!$C$4,2,1),0),TODAY()))-SUMIFS(Transaksi!$F$16:$F$5015,Transaksi!$C$16:$C$5015,$A85,Transaksi!$D$16:$D$5015,"Keluar",Transaksi!$B$16:$B$5015,"&lt;="&amp;MIN(EOMONTH(DATE(Dashboard!$C$4,2,1),0),TODAY()))-SUMIFS(Transaksi!$F$16:$F$5015,Transaksi!$C$16:$C$5015,$A85,Transaksi!$D$16:$D$5015,"Pindah",Transaksi!$B$16:$B$5015,"&lt;="&amp;MIN(EOMONTH(DATE(Dashboard!$C$4,2,1),0),TODAY()))+SUMIFS(Transaksi!$F$16:$F$5015,Transaksi!$E$16:$E$5015,$A85,Transaksi!$D$16:$D$5015,"Pindah",Transaksi!$B$16:$B$5015,"&lt;="&amp;MIN(EOMONTH(DATE(Dashboard!$C$4,2,1),0),TODAY())))</f>
        <v/>
      </c>
      <c r="E85" s="106">
        <f>IF(OR($A85="",DATE(Dashboard!$C$4,3,1)&gt;TODAY(),ISNA(MATCH($B85,{"Pribadi","Investasi (kas RDN)","Piutang","Pinjaman Mama (dompet)"},0))),"",SUMIFS(Akun!$C$5:$C$104,Akun!$A$5:$A$104,$A85,Akun!$D$5:$D$104,"&lt;="&amp;MIN(EOMONTH(DATE(Dashboard!$C$4,3,1),0),TODAY()))+SUMIFS(Transaksi!$F$16:$F$5015,Transaksi!$C$16:$C$5015,$A85,Transaksi!$D$16:$D$5015,"Masuk",Transaksi!$B$16:$B$5015,"&lt;="&amp;MIN(EOMONTH(DATE(Dashboard!$C$4,3,1),0),TODAY()))-SUMIFS(Transaksi!$F$16:$F$5015,Transaksi!$C$16:$C$5015,$A85,Transaksi!$D$16:$D$5015,"Keluar",Transaksi!$B$16:$B$5015,"&lt;="&amp;MIN(EOMONTH(DATE(Dashboard!$C$4,3,1),0),TODAY()))-SUMIFS(Transaksi!$F$16:$F$5015,Transaksi!$C$16:$C$5015,$A85,Transaksi!$D$16:$D$5015,"Pindah",Transaksi!$B$16:$B$5015,"&lt;="&amp;MIN(EOMONTH(DATE(Dashboard!$C$4,3,1),0),TODAY()))+SUMIFS(Transaksi!$F$16:$F$5015,Transaksi!$E$16:$E$5015,$A85,Transaksi!$D$16:$D$5015,"Pindah",Transaksi!$B$16:$B$5015,"&lt;="&amp;MIN(EOMONTH(DATE(Dashboard!$C$4,3,1),0),TODAY())))</f>
        <v/>
      </c>
      <c r="F85" s="106">
        <f>IF(OR($A85="",DATE(Dashboard!$C$4,4,1)&gt;TODAY(),ISNA(MATCH($B85,{"Pribadi","Investasi (kas RDN)","Piutang","Pinjaman Mama (dompet)"},0))),"",SUMIFS(Akun!$C$5:$C$104,Akun!$A$5:$A$104,$A85,Akun!$D$5:$D$104,"&lt;="&amp;MIN(EOMONTH(DATE(Dashboard!$C$4,4,1),0),TODAY()))+SUMIFS(Transaksi!$F$16:$F$5015,Transaksi!$C$16:$C$5015,$A85,Transaksi!$D$16:$D$5015,"Masuk",Transaksi!$B$16:$B$5015,"&lt;="&amp;MIN(EOMONTH(DATE(Dashboard!$C$4,4,1),0),TODAY()))-SUMIFS(Transaksi!$F$16:$F$5015,Transaksi!$C$16:$C$5015,$A85,Transaksi!$D$16:$D$5015,"Keluar",Transaksi!$B$16:$B$5015,"&lt;="&amp;MIN(EOMONTH(DATE(Dashboard!$C$4,4,1),0),TODAY()))-SUMIFS(Transaksi!$F$16:$F$5015,Transaksi!$C$16:$C$5015,$A85,Transaksi!$D$16:$D$5015,"Pindah",Transaksi!$B$16:$B$5015,"&lt;="&amp;MIN(EOMONTH(DATE(Dashboard!$C$4,4,1),0),TODAY()))+SUMIFS(Transaksi!$F$16:$F$5015,Transaksi!$E$16:$E$5015,$A85,Transaksi!$D$16:$D$5015,"Pindah",Transaksi!$B$16:$B$5015,"&lt;="&amp;MIN(EOMONTH(DATE(Dashboard!$C$4,4,1),0),TODAY())))</f>
        <v/>
      </c>
      <c r="G85" s="106">
        <f>IF(OR($A85="",DATE(Dashboard!$C$4,5,1)&gt;TODAY(),ISNA(MATCH($B85,{"Pribadi","Investasi (kas RDN)","Piutang","Pinjaman Mama (dompet)"},0))),"",SUMIFS(Akun!$C$5:$C$104,Akun!$A$5:$A$104,$A85,Akun!$D$5:$D$104,"&lt;="&amp;MIN(EOMONTH(DATE(Dashboard!$C$4,5,1),0),TODAY()))+SUMIFS(Transaksi!$F$16:$F$5015,Transaksi!$C$16:$C$5015,$A85,Transaksi!$D$16:$D$5015,"Masuk",Transaksi!$B$16:$B$5015,"&lt;="&amp;MIN(EOMONTH(DATE(Dashboard!$C$4,5,1),0),TODAY()))-SUMIFS(Transaksi!$F$16:$F$5015,Transaksi!$C$16:$C$5015,$A85,Transaksi!$D$16:$D$5015,"Keluar",Transaksi!$B$16:$B$5015,"&lt;="&amp;MIN(EOMONTH(DATE(Dashboard!$C$4,5,1),0),TODAY()))-SUMIFS(Transaksi!$F$16:$F$5015,Transaksi!$C$16:$C$5015,$A85,Transaksi!$D$16:$D$5015,"Pindah",Transaksi!$B$16:$B$5015,"&lt;="&amp;MIN(EOMONTH(DATE(Dashboard!$C$4,5,1),0),TODAY()))+SUMIFS(Transaksi!$F$16:$F$5015,Transaksi!$E$16:$E$5015,$A85,Transaksi!$D$16:$D$5015,"Pindah",Transaksi!$B$16:$B$5015,"&lt;="&amp;MIN(EOMONTH(DATE(Dashboard!$C$4,5,1),0),TODAY())))</f>
        <v/>
      </c>
      <c r="H85" s="106">
        <f>IF(OR($A85="",DATE(Dashboard!$C$4,6,1)&gt;TODAY(),ISNA(MATCH($B85,{"Pribadi","Investasi (kas RDN)","Piutang","Pinjaman Mama (dompet)"},0))),"",SUMIFS(Akun!$C$5:$C$104,Akun!$A$5:$A$104,$A85,Akun!$D$5:$D$104,"&lt;="&amp;MIN(EOMONTH(DATE(Dashboard!$C$4,6,1),0),TODAY()))+SUMIFS(Transaksi!$F$16:$F$5015,Transaksi!$C$16:$C$5015,$A85,Transaksi!$D$16:$D$5015,"Masuk",Transaksi!$B$16:$B$5015,"&lt;="&amp;MIN(EOMONTH(DATE(Dashboard!$C$4,6,1),0),TODAY()))-SUMIFS(Transaksi!$F$16:$F$5015,Transaksi!$C$16:$C$5015,$A85,Transaksi!$D$16:$D$5015,"Keluar",Transaksi!$B$16:$B$5015,"&lt;="&amp;MIN(EOMONTH(DATE(Dashboard!$C$4,6,1),0),TODAY()))-SUMIFS(Transaksi!$F$16:$F$5015,Transaksi!$C$16:$C$5015,$A85,Transaksi!$D$16:$D$5015,"Pindah",Transaksi!$B$16:$B$5015,"&lt;="&amp;MIN(EOMONTH(DATE(Dashboard!$C$4,6,1),0),TODAY()))+SUMIFS(Transaksi!$F$16:$F$5015,Transaksi!$E$16:$E$5015,$A85,Transaksi!$D$16:$D$5015,"Pindah",Transaksi!$B$16:$B$5015,"&lt;="&amp;MIN(EOMONTH(DATE(Dashboard!$C$4,6,1),0),TODAY())))</f>
        <v/>
      </c>
      <c r="I85" s="106">
        <f>IF(OR($A85="",DATE(Dashboard!$C$4,7,1)&gt;TODAY(),ISNA(MATCH($B85,{"Pribadi","Investasi (kas RDN)","Piutang","Pinjaman Mama (dompet)"},0))),"",SUMIFS(Akun!$C$5:$C$104,Akun!$A$5:$A$104,$A85,Akun!$D$5:$D$104,"&lt;="&amp;MIN(EOMONTH(DATE(Dashboard!$C$4,7,1),0),TODAY()))+SUMIFS(Transaksi!$F$16:$F$5015,Transaksi!$C$16:$C$5015,$A85,Transaksi!$D$16:$D$5015,"Masuk",Transaksi!$B$16:$B$5015,"&lt;="&amp;MIN(EOMONTH(DATE(Dashboard!$C$4,7,1),0),TODAY()))-SUMIFS(Transaksi!$F$16:$F$5015,Transaksi!$C$16:$C$5015,$A85,Transaksi!$D$16:$D$5015,"Keluar",Transaksi!$B$16:$B$5015,"&lt;="&amp;MIN(EOMONTH(DATE(Dashboard!$C$4,7,1),0),TODAY()))-SUMIFS(Transaksi!$F$16:$F$5015,Transaksi!$C$16:$C$5015,$A85,Transaksi!$D$16:$D$5015,"Pindah",Transaksi!$B$16:$B$5015,"&lt;="&amp;MIN(EOMONTH(DATE(Dashboard!$C$4,7,1),0),TODAY()))+SUMIFS(Transaksi!$F$16:$F$5015,Transaksi!$E$16:$E$5015,$A85,Transaksi!$D$16:$D$5015,"Pindah",Transaksi!$B$16:$B$5015,"&lt;="&amp;MIN(EOMONTH(DATE(Dashboard!$C$4,7,1),0),TODAY())))</f>
        <v/>
      </c>
      <c r="J85" s="106">
        <f>IF(OR($A85="",DATE(Dashboard!$C$4,8,1)&gt;TODAY(),ISNA(MATCH($B85,{"Pribadi","Investasi (kas RDN)","Piutang","Pinjaman Mama (dompet)"},0))),"",SUMIFS(Akun!$C$5:$C$104,Akun!$A$5:$A$104,$A85,Akun!$D$5:$D$104,"&lt;="&amp;MIN(EOMONTH(DATE(Dashboard!$C$4,8,1),0),TODAY()))+SUMIFS(Transaksi!$F$16:$F$5015,Transaksi!$C$16:$C$5015,$A85,Transaksi!$D$16:$D$5015,"Masuk",Transaksi!$B$16:$B$5015,"&lt;="&amp;MIN(EOMONTH(DATE(Dashboard!$C$4,8,1),0),TODAY()))-SUMIFS(Transaksi!$F$16:$F$5015,Transaksi!$C$16:$C$5015,$A85,Transaksi!$D$16:$D$5015,"Keluar",Transaksi!$B$16:$B$5015,"&lt;="&amp;MIN(EOMONTH(DATE(Dashboard!$C$4,8,1),0),TODAY()))-SUMIFS(Transaksi!$F$16:$F$5015,Transaksi!$C$16:$C$5015,$A85,Transaksi!$D$16:$D$5015,"Pindah",Transaksi!$B$16:$B$5015,"&lt;="&amp;MIN(EOMONTH(DATE(Dashboard!$C$4,8,1),0),TODAY()))+SUMIFS(Transaksi!$F$16:$F$5015,Transaksi!$E$16:$E$5015,$A85,Transaksi!$D$16:$D$5015,"Pindah",Transaksi!$B$16:$B$5015,"&lt;="&amp;MIN(EOMONTH(DATE(Dashboard!$C$4,8,1),0),TODAY())))</f>
        <v/>
      </c>
      <c r="K85" s="106">
        <f>IF(OR($A85="",DATE(Dashboard!$C$4,9,1)&gt;TODAY(),ISNA(MATCH($B85,{"Pribadi","Investasi (kas RDN)","Piutang","Pinjaman Mama (dompet)"},0))),"",SUMIFS(Akun!$C$5:$C$104,Akun!$A$5:$A$104,$A85,Akun!$D$5:$D$104,"&lt;="&amp;MIN(EOMONTH(DATE(Dashboard!$C$4,9,1),0),TODAY()))+SUMIFS(Transaksi!$F$16:$F$5015,Transaksi!$C$16:$C$5015,$A85,Transaksi!$D$16:$D$5015,"Masuk",Transaksi!$B$16:$B$5015,"&lt;="&amp;MIN(EOMONTH(DATE(Dashboard!$C$4,9,1),0),TODAY()))-SUMIFS(Transaksi!$F$16:$F$5015,Transaksi!$C$16:$C$5015,$A85,Transaksi!$D$16:$D$5015,"Keluar",Transaksi!$B$16:$B$5015,"&lt;="&amp;MIN(EOMONTH(DATE(Dashboard!$C$4,9,1),0),TODAY()))-SUMIFS(Transaksi!$F$16:$F$5015,Transaksi!$C$16:$C$5015,$A85,Transaksi!$D$16:$D$5015,"Pindah",Transaksi!$B$16:$B$5015,"&lt;="&amp;MIN(EOMONTH(DATE(Dashboard!$C$4,9,1),0),TODAY()))+SUMIFS(Transaksi!$F$16:$F$5015,Transaksi!$E$16:$E$5015,$A85,Transaksi!$D$16:$D$5015,"Pindah",Transaksi!$B$16:$B$5015,"&lt;="&amp;MIN(EOMONTH(DATE(Dashboard!$C$4,9,1),0),TODAY())))</f>
        <v/>
      </c>
      <c r="L85" s="106">
        <f>IF(OR($A85="",DATE(Dashboard!$C$4,10,1)&gt;TODAY(),ISNA(MATCH($B85,{"Pribadi","Investasi (kas RDN)","Piutang","Pinjaman Mama (dompet)"},0))),"",SUMIFS(Akun!$C$5:$C$104,Akun!$A$5:$A$104,$A85,Akun!$D$5:$D$104,"&lt;="&amp;MIN(EOMONTH(DATE(Dashboard!$C$4,10,1),0),TODAY()))+SUMIFS(Transaksi!$F$16:$F$5015,Transaksi!$C$16:$C$5015,$A85,Transaksi!$D$16:$D$5015,"Masuk",Transaksi!$B$16:$B$5015,"&lt;="&amp;MIN(EOMONTH(DATE(Dashboard!$C$4,10,1),0),TODAY()))-SUMIFS(Transaksi!$F$16:$F$5015,Transaksi!$C$16:$C$5015,$A85,Transaksi!$D$16:$D$5015,"Keluar",Transaksi!$B$16:$B$5015,"&lt;="&amp;MIN(EOMONTH(DATE(Dashboard!$C$4,10,1),0),TODAY()))-SUMIFS(Transaksi!$F$16:$F$5015,Transaksi!$C$16:$C$5015,$A85,Transaksi!$D$16:$D$5015,"Pindah",Transaksi!$B$16:$B$5015,"&lt;="&amp;MIN(EOMONTH(DATE(Dashboard!$C$4,10,1),0),TODAY()))+SUMIFS(Transaksi!$F$16:$F$5015,Transaksi!$E$16:$E$5015,$A85,Transaksi!$D$16:$D$5015,"Pindah",Transaksi!$B$16:$B$5015,"&lt;="&amp;MIN(EOMONTH(DATE(Dashboard!$C$4,10,1),0),TODAY())))</f>
        <v/>
      </c>
      <c r="M85" s="106">
        <f>IF(OR($A85="",DATE(Dashboard!$C$4,11,1)&gt;TODAY(),ISNA(MATCH($B85,{"Pribadi","Investasi (kas RDN)","Piutang","Pinjaman Mama (dompet)"},0))),"",SUMIFS(Akun!$C$5:$C$104,Akun!$A$5:$A$104,$A85,Akun!$D$5:$D$104,"&lt;="&amp;MIN(EOMONTH(DATE(Dashboard!$C$4,11,1),0),TODAY()))+SUMIFS(Transaksi!$F$16:$F$5015,Transaksi!$C$16:$C$5015,$A85,Transaksi!$D$16:$D$5015,"Masuk",Transaksi!$B$16:$B$5015,"&lt;="&amp;MIN(EOMONTH(DATE(Dashboard!$C$4,11,1),0),TODAY()))-SUMIFS(Transaksi!$F$16:$F$5015,Transaksi!$C$16:$C$5015,$A85,Transaksi!$D$16:$D$5015,"Keluar",Transaksi!$B$16:$B$5015,"&lt;="&amp;MIN(EOMONTH(DATE(Dashboard!$C$4,11,1),0),TODAY()))-SUMIFS(Transaksi!$F$16:$F$5015,Transaksi!$C$16:$C$5015,$A85,Transaksi!$D$16:$D$5015,"Pindah",Transaksi!$B$16:$B$5015,"&lt;="&amp;MIN(EOMONTH(DATE(Dashboard!$C$4,11,1),0),TODAY()))+SUMIFS(Transaksi!$F$16:$F$5015,Transaksi!$E$16:$E$5015,$A85,Transaksi!$D$16:$D$5015,"Pindah",Transaksi!$B$16:$B$5015,"&lt;="&amp;MIN(EOMONTH(DATE(Dashboard!$C$4,11,1),0),TODAY())))</f>
        <v/>
      </c>
      <c r="N85" s="106">
        <f>IF(OR($A85="",DATE(Dashboard!$C$4,12,1)&gt;TODAY(),ISNA(MATCH($B85,{"Pribadi","Investasi (kas RDN)","Piutang","Pinjaman Mama (dompet)"},0))),"",SUMIFS(Akun!$C$5:$C$104,Akun!$A$5:$A$104,$A85,Akun!$D$5:$D$104,"&lt;="&amp;MIN(EOMONTH(DATE(Dashboard!$C$4,12,1),0),TODAY()))+SUMIFS(Transaksi!$F$16:$F$5015,Transaksi!$C$16:$C$5015,$A85,Transaksi!$D$16:$D$5015,"Masuk",Transaksi!$B$16:$B$5015,"&lt;="&amp;MIN(EOMONTH(DATE(Dashboard!$C$4,12,1),0),TODAY()))-SUMIFS(Transaksi!$F$16:$F$5015,Transaksi!$C$16:$C$5015,$A85,Transaksi!$D$16:$D$5015,"Keluar",Transaksi!$B$16:$B$5015,"&lt;="&amp;MIN(EOMONTH(DATE(Dashboard!$C$4,12,1),0),TODAY()))-SUMIFS(Transaksi!$F$16:$F$5015,Transaksi!$C$16:$C$5015,$A85,Transaksi!$D$16:$D$5015,"Pindah",Transaksi!$B$16:$B$5015,"&lt;="&amp;MIN(EOMONTH(DATE(Dashboard!$C$4,12,1),0),TODAY()))+SUMIFS(Transaksi!$F$16:$F$5015,Transaksi!$E$16:$E$5015,$A85,Transaksi!$D$16:$D$5015,"Pindah",Transaksi!$B$16:$B$5015,"&lt;="&amp;MIN(EOMONTH(DATE(Dashboard!$C$4,12,1),0),TODAY())))</f>
        <v/>
      </c>
    </row>
    <row r="86" ht="15" customHeight="1" s="94">
      <c r="A86" s="93">
        <f>IF(Akun!$A$50="","",Akun!$A$50)</f>
        <v/>
      </c>
      <c r="B86" s="93">
        <f>IF(Akun!$A$50="","",Akun!$B$50)</f>
        <v/>
      </c>
      <c r="C86" s="106">
        <f>IF(OR($A86="",DATE(Dashboard!$C$4,1,1)&gt;TODAY(),ISNA(MATCH($B86,{"Pribadi","Investasi (kas RDN)","Piutang","Pinjaman Mama (dompet)"},0))),"",SUMIFS(Akun!$C$5:$C$104,Akun!$A$5:$A$104,$A86,Akun!$D$5:$D$104,"&lt;="&amp;MIN(EOMONTH(DATE(Dashboard!$C$4,1,1),0),TODAY()))+SUMIFS(Transaksi!$F$16:$F$5015,Transaksi!$C$16:$C$5015,$A86,Transaksi!$D$16:$D$5015,"Masuk",Transaksi!$B$16:$B$5015,"&lt;="&amp;MIN(EOMONTH(DATE(Dashboard!$C$4,1,1),0),TODAY()))-SUMIFS(Transaksi!$F$16:$F$5015,Transaksi!$C$16:$C$5015,$A86,Transaksi!$D$16:$D$5015,"Keluar",Transaksi!$B$16:$B$5015,"&lt;="&amp;MIN(EOMONTH(DATE(Dashboard!$C$4,1,1),0),TODAY()))-SUMIFS(Transaksi!$F$16:$F$5015,Transaksi!$C$16:$C$5015,$A86,Transaksi!$D$16:$D$5015,"Pindah",Transaksi!$B$16:$B$5015,"&lt;="&amp;MIN(EOMONTH(DATE(Dashboard!$C$4,1,1),0),TODAY()))+SUMIFS(Transaksi!$F$16:$F$5015,Transaksi!$E$16:$E$5015,$A86,Transaksi!$D$16:$D$5015,"Pindah",Transaksi!$B$16:$B$5015,"&lt;="&amp;MIN(EOMONTH(DATE(Dashboard!$C$4,1,1),0),TODAY())))</f>
        <v/>
      </c>
      <c r="D86" s="106">
        <f>IF(OR($A86="",DATE(Dashboard!$C$4,2,1)&gt;TODAY(),ISNA(MATCH($B86,{"Pribadi","Investasi (kas RDN)","Piutang","Pinjaman Mama (dompet)"},0))),"",SUMIFS(Akun!$C$5:$C$104,Akun!$A$5:$A$104,$A86,Akun!$D$5:$D$104,"&lt;="&amp;MIN(EOMONTH(DATE(Dashboard!$C$4,2,1),0),TODAY()))+SUMIFS(Transaksi!$F$16:$F$5015,Transaksi!$C$16:$C$5015,$A86,Transaksi!$D$16:$D$5015,"Masuk",Transaksi!$B$16:$B$5015,"&lt;="&amp;MIN(EOMONTH(DATE(Dashboard!$C$4,2,1),0),TODAY()))-SUMIFS(Transaksi!$F$16:$F$5015,Transaksi!$C$16:$C$5015,$A86,Transaksi!$D$16:$D$5015,"Keluar",Transaksi!$B$16:$B$5015,"&lt;="&amp;MIN(EOMONTH(DATE(Dashboard!$C$4,2,1),0),TODAY()))-SUMIFS(Transaksi!$F$16:$F$5015,Transaksi!$C$16:$C$5015,$A86,Transaksi!$D$16:$D$5015,"Pindah",Transaksi!$B$16:$B$5015,"&lt;="&amp;MIN(EOMONTH(DATE(Dashboard!$C$4,2,1),0),TODAY()))+SUMIFS(Transaksi!$F$16:$F$5015,Transaksi!$E$16:$E$5015,$A86,Transaksi!$D$16:$D$5015,"Pindah",Transaksi!$B$16:$B$5015,"&lt;="&amp;MIN(EOMONTH(DATE(Dashboard!$C$4,2,1),0),TODAY())))</f>
        <v/>
      </c>
      <c r="E86" s="106">
        <f>IF(OR($A86="",DATE(Dashboard!$C$4,3,1)&gt;TODAY(),ISNA(MATCH($B86,{"Pribadi","Investasi (kas RDN)","Piutang","Pinjaman Mama (dompet)"},0))),"",SUMIFS(Akun!$C$5:$C$104,Akun!$A$5:$A$104,$A86,Akun!$D$5:$D$104,"&lt;="&amp;MIN(EOMONTH(DATE(Dashboard!$C$4,3,1),0),TODAY()))+SUMIFS(Transaksi!$F$16:$F$5015,Transaksi!$C$16:$C$5015,$A86,Transaksi!$D$16:$D$5015,"Masuk",Transaksi!$B$16:$B$5015,"&lt;="&amp;MIN(EOMONTH(DATE(Dashboard!$C$4,3,1),0),TODAY()))-SUMIFS(Transaksi!$F$16:$F$5015,Transaksi!$C$16:$C$5015,$A86,Transaksi!$D$16:$D$5015,"Keluar",Transaksi!$B$16:$B$5015,"&lt;="&amp;MIN(EOMONTH(DATE(Dashboard!$C$4,3,1),0),TODAY()))-SUMIFS(Transaksi!$F$16:$F$5015,Transaksi!$C$16:$C$5015,$A86,Transaksi!$D$16:$D$5015,"Pindah",Transaksi!$B$16:$B$5015,"&lt;="&amp;MIN(EOMONTH(DATE(Dashboard!$C$4,3,1),0),TODAY()))+SUMIFS(Transaksi!$F$16:$F$5015,Transaksi!$E$16:$E$5015,$A86,Transaksi!$D$16:$D$5015,"Pindah",Transaksi!$B$16:$B$5015,"&lt;="&amp;MIN(EOMONTH(DATE(Dashboard!$C$4,3,1),0),TODAY())))</f>
        <v/>
      </c>
      <c r="F86" s="106">
        <f>IF(OR($A86="",DATE(Dashboard!$C$4,4,1)&gt;TODAY(),ISNA(MATCH($B86,{"Pribadi","Investasi (kas RDN)","Piutang","Pinjaman Mama (dompet)"},0))),"",SUMIFS(Akun!$C$5:$C$104,Akun!$A$5:$A$104,$A86,Akun!$D$5:$D$104,"&lt;="&amp;MIN(EOMONTH(DATE(Dashboard!$C$4,4,1),0),TODAY()))+SUMIFS(Transaksi!$F$16:$F$5015,Transaksi!$C$16:$C$5015,$A86,Transaksi!$D$16:$D$5015,"Masuk",Transaksi!$B$16:$B$5015,"&lt;="&amp;MIN(EOMONTH(DATE(Dashboard!$C$4,4,1),0),TODAY()))-SUMIFS(Transaksi!$F$16:$F$5015,Transaksi!$C$16:$C$5015,$A86,Transaksi!$D$16:$D$5015,"Keluar",Transaksi!$B$16:$B$5015,"&lt;="&amp;MIN(EOMONTH(DATE(Dashboard!$C$4,4,1),0),TODAY()))-SUMIFS(Transaksi!$F$16:$F$5015,Transaksi!$C$16:$C$5015,$A86,Transaksi!$D$16:$D$5015,"Pindah",Transaksi!$B$16:$B$5015,"&lt;="&amp;MIN(EOMONTH(DATE(Dashboard!$C$4,4,1),0),TODAY()))+SUMIFS(Transaksi!$F$16:$F$5015,Transaksi!$E$16:$E$5015,$A86,Transaksi!$D$16:$D$5015,"Pindah",Transaksi!$B$16:$B$5015,"&lt;="&amp;MIN(EOMONTH(DATE(Dashboard!$C$4,4,1),0),TODAY())))</f>
        <v/>
      </c>
      <c r="G86" s="106">
        <f>IF(OR($A86="",DATE(Dashboard!$C$4,5,1)&gt;TODAY(),ISNA(MATCH($B86,{"Pribadi","Investasi (kas RDN)","Piutang","Pinjaman Mama (dompet)"},0))),"",SUMIFS(Akun!$C$5:$C$104,Akun!$A$5:$A$104,$A86,Akun!$D$5:$D$104,"&lt;="&amp;MIN(EOMONTH(DATE(Dashboard!$C$4,5,1),0),TODAY()))+SUMIFS(Transaksi!$F$16:$F$5015,Transaksi!$C$16:$C$5015,$A86,Transaksi!$D$16:$D$5015,"Masuk",Transaksi!$B$16:$B$5015,"&lt;="&amp;MIN(EOMONTH(DATE(Dashboard!$C$4,5,1),0),TODAY()))-SUMIFS(Transaksi!$F$16:$F$5015,Transaksi!$C$16:$C$5015,$A86,Transaksi!$D$16:$D$5015,"Keluar",Transaksi!$B$16:$B$5015,"&lt;="&amp;MIN(EOMONTH(DATE(Dashboard!$C$4,5,1),0),TODAY()))-SUMIFS(Transaksi!$F$16:$F$5015,Transaksi!$C$16:$C$5015,$A86,Transaksi!$D$16:$D$5015,"Pindah",Transaksi!$B$16:$B$5015,"&lt;="&amp;MIN(EOMONTH(DATE(Dashboard!$C$4,5,1),0),TODAY()))+SUMIFS(Transaksi!$F$16:$F$5015,Transaksi!$E$16:$E$5015,$A86,Transaksi!$D$16:$D$5015,"Pindah",Transaksi!$B$16:$B$5015,"&lt;="&amp;MIN(EOMONTH(DATE(Dashboard!$C$4,5,1),0),TODAY())))</f>
        <v/>
      </c>
      <c r="H86" s="106">
        <f>IF(OR($A86="",DATE(Dashboard!$C$4,6,1)&gt;TODAY(),ISNA(MATCH($B86,{"Pribadi","Investasi (kas RDN)","Piutang","Pinjaman Mama (dompet)"},0))),"",SUMIFS(Akun!$C$5:$C$104,Akun!$A$5:$A$104,$A86,Akun!$D$5:$D$104,"&lt;="&amp;MIN(EOMONTH(DATE(Dashboard!$C$4,6,1),0),TODAY()))+SUMIFS(Transaksi!$F$16:$F$5015,Transaksi!$C$16:$C$5015,$A86,Transaksi!$D$16:$D$5015,"Masuk",Transaksi!$B$16:$B$5015,"&lt;="&amp;MIN(EOMONTH(DATE(Dashboard!$C$4,6,1),0),TODAY()))-SUMIFS(Transaksi!$F$16:$F$5015,Transaksi!$C$16:$C$5015,$A86,Transaksi!$D$16:$D$5015,"Keluar",Transaksi!$B$16:$B$5015,"&lt;="&amp;MIN(EOMONTH(DATE(Dashboard!$C$4,6,1),0),TODAY()))-SUMIFS(Transaksi!$F$16:$F$5015,Transaksi!$C$16:$C$5015,$A86,Transaksi!$D$16:$D$5015,"Pindah",Transaksi!$B$16:$B$5015,"&lt;="&amp;MIN(EOMONTH(DATE(Dashboard!$C$4,6,1),0),TODAY()))+SUMIFS(Transaksi!$F$16:$F$5015,Transaksi!$E$16:$E$5015,$A86,Transaksi!$D$16:$D$5015,"Pindah",Transaksi!$B$16:$B$5015,"&lt;="&amp;MIN(EOMONTH(DATE(Dashboard!$C$4,6,1),0),TODAY())))</f>
        <v/>
      </c>
      <c r="I86" s="106">
        <f>IF(OR($A86="",DATE(Dashboard!$C$4,7,1)&gt;TODAY(),ISNA(MATCH($B86,{"Pribadi","Investasi (kas RDN)","Piutang","Pinjaman Mama (dompet)"},0))),"",SUMIFS(Akun!$C$5:$C$104,Akun!$A$5:$A$104,$A86,Akun!$D$5:$D$104,"&lt;="&amp;MIN(EOMONTH(DATE(Dashboard!$C$4,7,1),0),TODAY()))+SUMIFS(Transaksi!$F$16:$F$5015,Transaksi!$C$16:$C$5015,$A86,Transaksi!$D$16:$D$5015,"Masuk",Transaksi!$B$16:$B$5015,"&lt;="&amp;MIN(EOMONTH(DATE(Dashboard!$C$4,7,1),0),TODAY()))-SUMIFS(Transaksi!$F$16:$F$5015,Transaksi!$C$16:$C$5015,$A86,Transaksi!$D$16:$D$5015,"Keluar",Transaksi!$B$16:$B$5015,"&lt;="&amp;MIN(EOMONTH(DATE(Dashboard!$C$4,7,1),0),TODAY()))-SUMIFS(Transaksi!$F$16:$F$5015,Transaksi!$C$16:$C$5015,$A86,Transaksi!$D$16:$D$5015,"Pindah",Transaksi!$B$16:$B$5015,"&lt;="&amp;MIN(EOMONTH(DATE(Dashboard!$C$4,7,1),0),TODAY()))+SUMIFS(Transaksi!$F$16:$F$5015,Transaksi!$E$16:$E$5015,$A86,Transaksi!$D$16:$D$5015,"Pindah",Transaksi!$B$16:$B$5015,"&lt;="&amp;MIN(EOMONTH(DATE(Dashboard!$C$4,7,1),0),TODAY())))</f>
        <v/>
      </c>
      <c r="J86" s="106">
        <f>IF(OR($A86="",DATE(Dashboard!$C$4,8,1)&gt;TODAY(),ISNA(MATCH($B86,{"Pribadi","Investasi (kas RDN)","Piutang","Pinjaman Mama (dompet)"},0))),"",SUMIFS(Akun!$C$5:$C$104,Akun!$A$5:$A$104,$A86,Akun!$D$5:$D$104,"&lt;="&amp;MIN(EOMONTH(DATE(Dashboard!$C$4,8,1),0),TODAY()))+SUMIFS(Transaksi!$F$16:$F$5015,Transaksi!$C$16:$C$5015,$A86,Transaksi!$D$16:$D$5015,"Masuk",Transaksi!$B$16:$B$5015,"&lt;="&amp;MIN(EOMONTH(DATE(Dashboard!$C$4,8,1),0),TODAY()))-SUMIFS(Transaksi!$F$16:$F$5015,Transaksi!$C$16:$C$5015,$A86,Transaksi!$D$16:$D$5015,"Keluar",Transaksi!$B$16:$B$5015,"&lt;="&amp;MIN(EOMONTH(DATE(Dashboard!$C$4,8,1),0),TODAY()))-SUMIFS(Transaksi!$F$16:$F$5015,Transaksi!$C$16:$C$5015,$A86,Transaksi!$D$16:$D$5015,"Pindah",Transaksi!$B$16:$B$5015,"&lt;="&amp;MIN(EOMONTH(DATE(Dashboard!$C$4,8,1),0),TODAY()))+SUMIFS(Transaksi!$F$16:$F$5015,Transaksi!$E$16:$E$5015,$A86,Transaksi!$D$16:$D$5015,"Pindah",Transaksi!$B$16:$B$5015,"&lt;="&amp;MIN(EOMONTH(DATE(Dashboard!$C$4,8,1),0),TODAY())))</f>
        <v/>
      </c>
      <c r="K86" s="106">
        <f>IF(OR($A86="",DATE(Dashboard!$C$4,9,1)&gt;TODAY(),ISNA(MATCH($B86,{"Pribadi","Investasi (kas RDN)","Piutang","Pinjaman Mama (dompet)"},0))),"",SUMIFS(Akun!$C$5:$C$104,Akun!$A$5:$A$104,$A86,Akun!$D$5:$D$104,"&lt;="&amp;MIN(EOMONTH(DATE(Dashboard!$C$4,9,1),0),TODAY()))+SUMIFS(Transaksi!$F$16:$F$5015,Transaksi!$C$16:$C$5015,$A86,Transaksi!$D$16:$D$5015,"Masuk",Transaksi!$B$16:$B$5015,"&lt;="&amp;MIN(EOMONTH(DATE(Dashboard!$C$4,9,1),0),TODAY()))-SUMIFS(Transaksi!$F$16:$F$5015,Transaksi!$C$16:$C$5015,$A86,Transaksi!$D$16:$D$5015,"Keluar",Transaksi!$B$16:$B$5015,"&lt;="&amp;MIN(EOMONTH(DATE(Dashboard!$C$4,9,1),0),TODAY()))-SUMIFS(Transaksi!$F$16:$F$5015,Transaksi!$C$16:$C$5015,$A86,Transaksi!$D$16:$D$5015,"Pindah",Transaksi!$B$16:$B$5015,"&lt;="&amp;MIN(EOMONTH(DATE(Dashboard!$C$4,9,1),0),TODAY()))+SUMIFS(Transaksi!$F$16:$F$5015,Transaksi!$E$16:$E$5015,$A86,Transaksi!$D$16:$D$5015,"Pindah",Transaksi!$B$16:$B$5015,"&lt;="&amp;MIN(EOMONTH(DATE(Dashboard!$C$4,9,1),0),TODAY())))</f>
        <v/>
      </c>
      <c r="L86" s="106">
        <f>IF(OR($A86="",DATE(Dashboard!$C$4,10,1)&gt;TODAY(),ISNA(MATCH($B86,{"Pribadi","Investasi (kas RDN)","Piutang","Pinjaman Mama (dompet)"},0))),"",SUMIFS(Akun!$C$5:$C$104,Akun!$A$5:$A$104,$A86,Akun!$D$5:$D$104,"&lt;="&amp;MIN(EOMONTH(DATE(Dashboard!$C$4,10,1),0),TODAY()))+SUMIFS(Transaksi!$F$16:$F$5015,Transaksi!$C$16:$C$5015,$A86,Transaksi!$D$16:$D$5015,"Masuk",Transaksi!$B$16:$B$5015,"&lt;="&amp;MIN(EOMONTH(DATE(Dashboard!$C$4,10,1),0),TODAY()))-SUMIFS(Transaksi!$F$16:$F$5015,Transaksi!$C$16:$C$5015,$A86,Transaksi!$D$16:$D$5015,"Keluar",Transaksi!$B$16:$B$5015,"&lt;="&amp;MIN(EOMONTH(DATE(Dashboard!$C$4,10,1),0),TODAY()))-SUMIFS(Transaksi!$F$16:$F$5015,Transaksi!$C$16:$C$5015,$A86,Transaksi!$D$16:$D$5015,"Pindah",Transaksi!$B$16:$B$5015,"&lt;="&amp;MIN(EOMONTH(DATE(Dashboard!$C$4,10,1),0),TODAY()))+SUMIFS(Transaksi!$F$16:$F$5015,Transaksi!$E$16:$E$5015,$A86,Transaksi!$D$16:$D$5015,"Pindah",Transaksi!$B$16:$B$5015,"&lt;="&amp;MIN(EOMONTH(DATE(Dashboard!$C$4,10,1),0),TODAY())))</f>
        <v/>
      </c>
      <c r="M86" s="106">
        <f>IF(OR($A86="",DATE(Dashboard!$C$4,11,1)&gt;TODAY(),ISNA(MATCH($B86,{"Pribadi","Investasi (kas RDN)","Piutang","Pinjaman Mama (dompet)"},0))),"",SUMIFS(Akun!$C$5:$C$104,Akun!$A$5:$A$104,$A86,Akun!$D$5:$D$104,"&lt;="&amp;MIN(EOMONTH(DATE(Dashboard!$C$4,11,1),0),TODAY()))+SUMIFS(Transaksi!$F$16:$F$5015,Transaksi!$C$16:$C$5015,$A86,Transaksi!$D$16:$D$5015,"Masuk",Transaksi!$B$16:$B$5015,"&lt;="&amp;MIN(EOMONTH(DATE(Dashboard!$C$4,11,1),0),TODAY()))-SUMIFS(Transaksi!$F$16:$F$5015,Transaksi!$C$16:$C$5015,$A86,Transaksi!$D$16:$D$5015,"Keluar",Transaksi!$B$16:$B$5015,"&lt;="&amp;MIN(EOMONTH(DATE(Dashboard!$C$4,11,1),0),TODAY()))-SUMIFS(Transaksi!$F$16:$F$5015,Transaksi!$C$16:$C$5015,$A86,Transaksi!$D$16:$D$5015,"Pindah",Transaksi!$B$16:$B$5015,"&lt;="&amp;MIN(EOMONTH(DATE(Dashboard!$C$4,11,1),0),TODAY()))+SUMIFS(Transaksi!$F$16:$F$5015,Transaksi!$E$16:$E$5015,$A86,Transaksi!$D$16:$D$5015,"Pindah",Transaksi!$B$16:$B$5015,"&lt;="&amp;MIN(EOMONTH(DATE(Dashboard!$C$4,11,1),0),TODAY())))</f>
        <v/>
      </c>
      <c r="N86" s="106">
        <f>IF(OR($A86="",DATE(Dashboard!$C$4,12,1)&gt;TODAY(),ISNA(MATCH($B86,{"Pribadi","Investasi (kas RDN)","Piutang","Pinjaman Mama (dompet)"},0))),"",SUMIFS(Akun!$C$5:$C$104,Akun!$A$5:$A$104,$A86,Akun!$D$5:$D$104,"&lt;="&amp;MIN(EOMONTH(DATE(Dashboard!$C$4,12,1),0),TODAY()))+SUMIFS(Transaksi!$F$16:$F$5015,Transaksi!$C$16:$C$5015,$A86,Transaksi!$D$16:$D$5015,"Masuk",Transaksi!$B$16:$B$5015,"&lt;="&amp;MIN(EOMONTH(DATE(Dashboard!$C$4,12,1),0),TODAY()))-SUMIFS(Transaksi!$F$16:$F$5015,Transaksi!$C$16:$C$5015,$A86,Transaksi!$D$16:$D$5015,"Keluar",Transaksi!$B$16:$B$5015,"&lt;="&amp;MIN(EOMONTH(DATE(Dashboard!$C$4,12,1),0),TODAY()))-SUMIFS(Transaksi!$F$16:$F$5015,Transaksi!$C$16:$C$5015,$A86,Transaksi!$D$16:$D$5015,"Pindah",Transaksi!$B$16:$B$5015,"&lt;="&amp;MIN(EOMONTH(DATE(Dashboard!$C$4,12,1),0),TODAY()))+SUMIFS(Transaksi!$F$16:$F$5015,Transaksi!$E$16:$E$5015,$A86,Transaksi!$D$16:$D$5015,"Pindah",Transaksi!$B$16:$B$5015,"&lt;="&amp;MIN(EOMONTH(DATE(Dashboard!$C$4,12,1),0),TODAY())))</f>
        <v/>
      </c>
    </row>
    <row r="87" ht="15" customHeight="1" s="94">
      <c r="A87" s="93">
        <f>IF(Akun!$A$51="","",Akun!$A$51)</f>
        <v/>
      </c>
      <c r="B87" s="93">
        <f>IF(Akun!$A$51="","",Akun!$B$51)</f>
        <v/>
      </c>
      <c r="C87" s="106">
        <f>IF(OR($A87="",DATE(Dashboard!$C$4,1,1)&gt;TODAY(),ISNA(MATCH($B87,{"Pribadi","Investasi (kas RDN)","Piutang","Pinjaman Mama (dompet)"},0))),"",SUMIFS(Akun!$C$5:$C$104,Akun!$A$5:$A$104,$A87,Akun!$D$5:$D$104,"&lt;="&amp;MIN(EOMONTH(DATE(Dashboard!$C$4,1,1),0),TODAY()))+SUMIFS(Transaksi!$F$16:$F$5015,Transaksi!$C$16:$C$5015,$A87,Transaksi!$D$16:$D$5015,"Masuk",Transaksi!$B$16:$B$5015,"&lt;="&amp;MIN(EOMONTH(DATE(Dashboard!$C$4,1,1),0),TODAY()))-SUMIFS(Transaksi!$F$16:$F$5015,Transaksi!$C$16:$C$5015,$A87,Transaksi!$D$16:$D$5015,"Keluar",Transaksi!$B$16:$B$5015,"&lt;="&amp;MIN(EOMONTH(DATE(Dashboard!$C$4,1,1),0),TODAY()))-SUMIFS(Transaksi!$F$16:$F$5015,Transaksi!$C$16:$C$5015,$A87,Transaksi!$D$16:$D$5015,"Pindah",Transaksi!$B$16:$B$5015,"&lt;="&amp;MIN(EOMONTH(DATE(Dashboard!$C$4,1,1),0),TODAY()))+SUMIFS(Transaksi!$F$16:$F$5015,Transaksi!$E$16:$E$5015,$A87,Transaksi!$D$16:$D$5015,"Pindah",Transaksi!$B$16:$B$5015,"&lt;="&amp;MIN(EOMONTH(DATE(Dashboard!$C$4,1,1),0),TODAY())))</f>
        <v/>
      </c>
      <c r="D87" s="106">
        <f>IF(OR($A87="",DATE(Dashboard!$C$4,2,1)&gt;TODAY(),ISNA(MATCH($B87,{"Pribadi","Investasi (kas RDN)","Piutang","Pinjaman Mama (dompet)"},0))),"",SUMIFS(Akun!$C$5:$C$104,Akun!$A$5:$A$104,$A87,Akun!$D$5:$D$104,"&lt;="&amp;MIN(EOMONTH(DATE(Dashboard!$C$4,2,1),0),TODAY()))+SUMIFS(Transaksi!$F$16:$F$5015,Transaksi!$C$16:$C$5015,$A87,Transaksi!$D$16:$D$5015,"Masuk",Transaksi!$B$16:$B$5015,"&lt;="&amp;MIN(EOMONTH(DATE(Dashboard!$C$4,2,1),0),TODAY()))-SUMIFS(Transaksi!$F$16:$F$5015,Transaksi!$C$16:$C$5015,$A87,Transaksi!$D$16:$D$5015,"Keluar",Transaksi!$B$16:$B$5015,"&lt;="&amp;MIN(EOMONTH(DATE(Dashboard!$C$4,2,1),0),TODAY()))-SUMIFS(Transaksi!$F$16:$F$5015,Transaksi!$C$16:$C$5015,$A87,Transaksi!$D$16:$D$5015,"Pindah",Transaksi!$B$16:$B$5015,"&lt;="&amp;MIN(EOMONTH(DATE(Dashboard!$C$4,2,1),0),TODAY()))+SUMIFS(Transaksi!$F$16:$F$5015,Transaksi!$E$16:$E$5015,$A87,Transaksi!$D$16:$D$5015,"Pindah",Transaksi!$B$16:$B$5015,"&lt;="&amp;MIN(EOMONTH(DATE(Dashboard!$C$4,2,1),0),TODAY())))</f>
        <v/>
      </c>
      <c r="E87" s="106">
        <f>IF(OR($A87="",DATE(Dashboard!$C$4,3,1)&gt;TODAY(),ISNA(MATCH($B87,{"Pribadi","Investasi (kas RDN)","Piutang","Pinjaman Mama (dompet)"},0))),"",SUMIFS(Akun!$C$5:$C$104,Akun!$A$5:$A$104,$A87,Akun!$D$5:$D$104,"&lt;="&amp;MIN(EOMONTH(DATE(Dashboard!$C$4,3,1),0),TODAY()))+SUMIFS(Transaksi!$F$16:$F$5015,Transaksi!$C$16:$C$5015,$A87,Transaksi!$D$16:$D$5015,"Masuk",Transaksi!$B$16:$B$5015,"&lt;="&amp;MIN(EOMONTH(DATE(Dashboard!$C$4,3,1),0),TODAY()))-SUMIFS(Transaksi!$F$16:$F$5015,Transaksi!$C$16:$C$5015,$A87,Transaksi!$D$16:$D$5015,"Keluar",Transaksi!$B$16:$B$5015,"&lt;="&amp;MIN(EOMONTH(DATE(Dashboard!$C$4,3,1),0),TODAY()))-SUMIFS(Transaksi!$F$16:$F$5015,Transaksi!$C$16:$C$5015,$A87,Transaksi!$D$16:$D$5015,"Pindah",Transaksi!$B$16:$B$5015,"&lt;="&amp;MIN(EOMONTH(DATE(Dashboard!$C$4,3,1),0),TODAY()))+SUMIFS(Transaksi!$F$16:$F$5015,Transaksi!$E$16:$E$5015,$A87,Transaksi!$D$16:$D$5015,"Pindah",Transaksi!$B$16:$B$5015,"&lt;="&amp;MIN(EOMONTH(DATE(Dashboard!$C$4,3,1),0),TODAY())))</f>
        <v/>
      </c>
      <c r="F87" s="106">
        <f>IF(OR($A87="",DATE(Dashboard!$C$4,4,1)&gt;TODAY(),ISNA(MATCH($B87,{"Pribadi","Investasi (kas RDN)","Piutang","Pinjaman Mama (dompet)"},0))),"",SUMIFS(Akun!$C$5:$C$104,Akun!$A$5:$A$104,$A87,Akun!$D$5:$D$104,"&lt;="&amp;MIN(EOMONTH(DATE(Dashboard!$C$4,4,1),0),TODAY()))+SUMIFS(Transaksi!$F$16:$F$5015,Transaksi!$C$16:$C$5015,$A87,Transaksi!$D$16:$D$5015,"Masuk",Transaksi!$B$16:$B$5015,"&lt;="&amp;MIN(EOMONTH(DATE(Dashboard!$C$4,4,1),0),TODAY()))-SUMIFS(Transaksi!$F$16:$F$5015,Transaksi!$C$16:$C$5015,$A87,Transaksi!$D$16:$D$5015,"Keluar",Transaksi!$B$16:$B$5015,"&lt;="&amp;MIN(EOMONTH(DATE(Dashboard!$C$4,4,1),0),TODAY()))-SUMIFS(Transaksi!$F$16:$F$5015,Transaksi!$C$16:$C$5015,$A87,Transaksi!$D$16:$D$5015,"Pindah",Transaksi!$B$16:$B$5015,"&lt;="&amp;MIN(EOMONTH(DATE(Dashboard!$C$4,4,1),0),TODAY()))+SUMIFS(Transaksi!$F$16:$F$5015,Transaksi!$E$16:$E$5015,$A87,Transaksi!$D$16:$D$5015,"Pindah",Transaksi!$B$16:$B$5015,"&lt;="&amp;MIN(EOMONTH(DATE(Dashboard!$C$4,4,1),0),TODAY())))</f>
        <v/>
      </c>
      <c r="G87" s="106">
        <f>IF(OR($A87="",DATE(Dashboard!$C$4,5,1)&gt;TODAY(),ISNA(MATCH($B87,{"Pribadi","Investasi (kas RDN)","Piutang","Pinjaman Mama (dompet)"},0))),"",SUMIFS(Akun!$C$5:$C$104,Akun!$A$5:$A$104,$A87,Akun!$D$5:$D$104,"&lt;="&amp;MIN(EOMONTH(DATE(Dashboard!$C$4,5,1),0),TODAY()))+SUMIFS(Transaksi!$F$16:$F$5015,Transaksi!$C$16:$C$5015,$A87,Transaksi!$D$16:$D$5015,"Masuk",Transaksi!$B$16:$B$5015,"&lt;="&amp;MIN(EOMONTH(DATE(Dashboard!$C$4,5,1),0),TODAY()))-SUMIFS(Transaksi!$F$16:$F$5015,Transaksi!$C$16:$C$5015,$A87,Transaksi!$D$16:$D$5015,"Keluar",Transaksi!$B$16:$B$5015,"&lt;="&amp;MIN(EOMONTH(DATE(Dashboard!$C$4,5,1),0),TODAY()))-SUMIFS(Transaksi!$F$16:$F$5015,Transaksi!$C$16:$C$5015,$A87,Transaksi!$D$16:$D$5015,"Pindah",Transaksi!$B$16:$B$5015,"&lt;="&amp;MIN(EOMONTH(DATE(Dashboard!$C$4,5,1),0),TODAY()))+SUMIFS(Transaksi!$F$16:$F$5015,Transaksi!$E$16:$E$5015,$A87,Transaksi!$D$16:$D$5015,"Pindah",Transaksi!$B$16:$B$5015,"&lt;="&amp;MIN(EOMONTH(DATE(Dashboard!$C$4,5,1),0),TODAY())))</f>
        <v/>
      </c>
      <c r="H87" s="106">
        <f>IF(OR($A87="",DATE(Dashboard!$C$4,6,1)&gt;TODAY(),ISNA(MATCH($B87,{"Pribadi","Investasi (kas RDN)","Piutang","Pinjaman Mama (dompet)"},0))),"",SUMIFS(Akun!$C$5:$C$104,Akun!$A$5:$A$104,$A87,Akun!$D$5:$D$104,"&lt;="&amp;MIN(EOMONTH(DATE(Dashboard!$C$4,6,1),0),TODAY()))+SUMIFS(Transaksi!$F$16:$F$5015,Transaksi!$C$16:$C$5015,$A87,Transaksi!$D$16:$D$5015,"Masuk",Transaksi!$B$16:$B$5015,"&lt;="&amp;MIN(EOMONTH(DATE(Dashboard!$C$4,6,1),0),TODAY()))-SUMIFS(Transaksi!$F$16:$F$5015,Transaksi!$C$16:$C$5015,$A87,Transaksi!$D$16:$D$5015,"Keluar",Transaksi!$B$16:$B$5015,"&lt;="&amp;MIN(EOMONTH(DATE(Dashboard!$C$4,6,1),0),TODAY()))-SUMIFS(Transaksi!$F$16:$F$5015,Transaksi!$C$16:$C$5015,$A87,Transaksi!$D$16:$D$5015,"Pindah",Transaksi!$B$16:$B$5015,"&lt;="&amp;MIN(EOMONTH(DATE(Dashboard!$C$4,6,1),0),TODAY()))+SUMIFS(Transaksi!$F$16:$F$5015,Transaksi!$E$16:$E$5015,$A87,Transaksi!$D$16:$D$5015,"Pindah",Transaksi!$B$16:$B$5015,"&lt;="&amp;MIN(EOMONTH(DATE(Dashboard!$C$4,6,1),0),TODAY())))</f>
        <v/>
      </c>
      <c r="I87" s="106">
        <f>IF(OR($A87="",DATE(Dashboard!$C$4,7,1)&gt;TODAY(),ISNA(MATCH($B87,{"Pribadi","Investasi (kas RDN)","Piutang","Pinjaman Mama (dompet)"},0))),"",SUMIFS(Akun!$C$5:$C$104,Akun!$A$5:$A$104,$A87,Akun!$D$5:$D$104,"&lt;="&amp;MIN(EOMONTH(DATE(Dashboard!$C$4,7,1),0),TODAY()))+SUMIFS(Transaksi!$F$16:$F$5015,Transaksi!$C$16:$C$5015,$A87,Transaksi!$D$16:$D$5015,"Masuk",Transaksi!$B$16:$B$5015,"&lt;="&amp;MIN(EOMONTH(DATE(Dashboard!$C$4,7,1),0),TODAY()))-SUMIFS(Transaksi!$F$16:$F$5015,Transaksi!$C$16:$C$5015,$A87,Transaksi!$D$16:$D$5015,"Keluar",Transaksi!$B$16:$B$5015,"&lt;="&amp;MIN(EOMONTH(DATE(Dashboard!$C$4,7,1),0),TODAY()))-SUMIFS(Transaksi!$F$16:$F$5015,Transaksi!$C$16:$C$5015,$A87,Transaksi!$D$16:$D$5015,"Pindah",Transaksi!$B$16:$B$5015,"&lt;="&amp;MIN(EOMONTH(DATE(Dashboard!$C$4,7,1),0),TODAY()))+SUMIFS(Transaksi!$F$16:$F$5015,Transaksi!$E$16:$E$5015,$A87,Transaksi!$D$16:$D$5015,"Pindah",Transaksi!$B$16:$B$5015,"&lt;="&amp;MIN(EOMONTH(DATE(Dashboard!$C$4,7,1),0),TODAY())))</f>
        <v/>
      </c>
      <c r="J87" s="106">
        <f>IF(OR($A87="",DATE(Dashboard!$C$4,8,1)&gt;TODAY(),ISNA(MATCH($B87,{"Pribadi","Investasi (kas RDN)","Piutang","Pinjaman Mama (dompet)"},0))),"",SUMIFS(Akun!$C$5:$C$104,Akun!$A$5:$A$104,$A87,Akun!$D$5:$D$104,"&lt;="&amp;MIN(EOMONTH(DATE(Dashboard!$C$4,8,1),0),TODAY()))+SUMIFS(Transaksi!$F$16:$F$5015,Transaksi!$C$16:$C$5015,$A87,Transaksi!$D$16:$D$5015,"Masuk",Transaksi!$B$16:$B$5015,"&lt;="&amp;MIN(EOMONTH(DATE(Dashboard!$C$4,8,1),0),TODAY()))-SUMIFS(Transaksi!$F$16:$F$5015,Transaksi!$C$16:$C$5015,$A87,Transaksi!$D$16:$D$5015,"Keluar",Transaksi!$B$16:$B$5015,"&lt;="&amp;MIN(EOMONTH(DATE(Dashboard!$C$4,8,1),0),TODAY()))-SUMIFS(Transaksi!$F$16:$F$5015,Transaksi!$C$16:$C$5015,$A87,Transaksi!$D$16:$D$5015,"Pindah",Transaksi!$B$16:$B$5015,"&lt;="&amp;MIN(EOMONTH(DATE(Dashboard!$C$4,8,1),0),TODAY()))+SUMIFS(Transaksi!$F$16:$F$5015,Transaksi!$E$16:$E$5015,$A87,Transaksi!$D$16:$D$5015,"Pindah",Transaksi!$B$16:$B$5015,"&lt;="&amp;MIN(EOMONTH(DATE(Dashboard!$C$4,8,1),0),TODAY())))</f>
        <v/>
      </c>
      <c r="K87" s="106">
        <f>IF(OR($A87="",DATE(Dashboard!$C$4,9,1)&gt;TODAY(),ISNA(MATCH($B87,{"Pribadi","Investasi (kas RDN)","Piutang","Pinjaman Mama (dompet)"},0))),"",SUMIFS(Akun!$C$5:$C$104,Akun!$A$5:$A$104,$A87,Akun!$D$5:$D$104,"&lt;="&amp;MIN(EOMONTH(DATE(Dashboard!$C$4,9,1),0),TODAY()))+SUMIFS(Transaksi!$F$16:$F$5015,Transaksi!$C$16:$C$5015,$A87,Transaksi!$D$16:$D$5015,"Masuk",Transaksi!$B$16:$B$5015,"&lt;="&amp;MIN(EOMONTH(DATE(Dashboard!$C$4,9,1),0),TODAY()))-SUMIFS(Transaksi!$F$16:$F$5015,Transaksi!$C$16:$C$5015,$A87,Transaksi!$D$16:$D$5015,"Keluar",Transaksi!$B$16:$B$5015,"&lt;="&amp;MIN(EOMONTH(DATE(Dashboard!$C$4,9,1),0),TODAY()))-SUMIFS(Transaksi!$F$16:$F$5015,Transaksi!$C$16:$C$5015,$A87,Transaksi!$D$16:$D$5015,"Pindah",Transaksi!$B$16:$B$5015,"&lt;="&amp;MIN(EOMONTH(DATE(Dashboard!$C$4,9,1),0),TODAY()))+SUMIFS(Transaksi!$F$16:$F$5015,Transaksi!$E$16:$E$5015,$A87,Transaksi!$D$16:$D$5015,"Pindah",Transaksi!$B$16:$B$5015,"&lt;="&amp;MIN(EOMONTH(DATE(Dashboard!$C$4,9,1),0),TODAY())))</f>
        <v/>
      </c>
      <c r="L87" s="106">
        <f>IF(OR($A87="",DATE(Dashboard!$C$4,10,1)&gt;TODAY(),ISNA(MATCH($B87,{"Pribadi","Investasi (kas RDN)","Piutang","Pinjaman Mama (dompet)"},0))),"",SUMIFS(Akun!$C$5:$C$104,Akun!$A$5:$A$104,$A87,Akun!$D$5:$D$104,"&lt;="&amp;MIN(EOMONTH(DATE(Dashboard!$C$4,10,1),0),TODAY()))+SUMIFS(Transaksi!$F$16:$F$5015,Transaksi!$C$16:$C$5015,$A87,Transaksi!$D$16:$D$5015,"Masuk",Transaksi!$B$16:$B$5015,"&lt;="&amp;MIN(EOMONTH(DATE(Dashboard!$C$4,10,1),0),TODAY()))-SUMIFS(Transaksi!$F$16:$F$5015,Transaksi!$C$16:$C$5015,$A87,Transaksi!$D$16:$D$5015,"Keluar",Transaksi!$B$16:$B$5015,"&lt;="&amp;MIN(EOMONTH(DATE(Dashboard!$C$4,10,1),0),TODAY()))-SUMIFS(Transaksi!$F$16:$F$5015,Transaksi!$C$16:$C$5015,$A87,Transaksi!$D$16:$D$5015,"Pindah",Transaksi!$B$16:$B$5015,"&lt;="&amp;MIN(EOMONTH(DATE(Dashboard!$C$4,10,1),0),TODAY()))+SUMIFS(Transaksi!$F$16:$F$5015,Transaksi!$E$16:$E$5015,$A87,Transaksi!$D$16:$D$5015,"Pindah",Transaksi!$B$16:$B$5015,"&lt;="&amp;MIN(EOMONTH(DATE(Dashboard!$C$4,10,1),0),TODAY())))</f>
        <v/>
      </c>
      <c r="M87" s="106">
        <f>IF(OR($A87="",DATE(Dashboard!$C$4,11,1)&gt;TODAY(),ISNA(MATCH($B87,{"Pribadi","Investasi (kas RDN)","Piutang","Pinjaman Mama (dompet)"},0))),"",SUMIFS(Akun!$C$5:$C$104,Akun!$A$5:$A$104,$A87,Akun!$D$5:$D$104,"&lt;="&amp;MIN(EOMONTH(DATE(Dashboard!$C$4,11,1),0),TODAY()))+SUMIFS(Transaksi!$F$16:$F$5015,Transaksi!$C$16:$C$5015,$A87,Transaksi!$D$16:$D$5015,"Masuk",Transaksi!$B$16:$B$5015,"&lt;="&amp;MIN(EOMONTH(DATE(Dashboard!$C$4,11,1),0),TODAY()))-SUMIFS(Transaksi!$F$16:$F$5015,Transaksi!$C$16:$C$5015,$A87,Transaksi!$D$16:$D$5015,"Keluar",Transaksi!$B$16:$B$5015,"&lt;="&amp;MIN(EOMONTH(DATE(Dashboard!$C$4,11,1),0),TODAY()))-SUMIFS(Transaksi!$F$16:$F$5015,Transaksi!$C$16:$C$5015,$A87,Transaksi!$D$16:$D$5015,"Pindah",Transaksi!$B$16:$B$5015,"&lt;="&amp;MIN(EOMONTH(DATE(Dashboard!$C$4,11,1),0),TODAY()))+SUMIFS(Transaksi!$F$16:$F$5015,Transaksi!$E$16:$E$5015,$A87,Transaksi!$D$16:$D$5015,"Pindah",Transaksi!$B$16:$B$5015,"&lt;="&amp;MIN(EOMONTH(DATE(Dashboard!$C$4,11,1),0),TODAY())))</f>
        <v/>
      </c>
      <c r="N87" s="106">
        <f>IF(OR($A87="",DATE(Dashboard!$C$4,12,1)&gt;TODAY(),ISNA(MATCH($B87,{"Pribadi","Investasi (kas RDN)","Piutang","Pinjaman Mama (dompet)"},0))),"",SUMIFS(Akun!$C$5:$C$104,Akun!$A$5:$A$104,$A87,Akun!$D$5:$D$104,"&lt;="&amp;MIN(EOMONTH(DATE(Dashboard!$C$4,12,1),0),TODAY()))+SUMIFS(Transaksi!$F$16:$F$5015,Transaksi!$C$16:$C$5015,$A87,Transaksi!$D$16:$D$5015,"Masuk",Transaksi!$B$16:$B$5015,"&lt;="&amp;MIN(EOMONTH(DATE(Dashboard!$C$4,12,1),0),TODAY()))-SUMIFS(Transaksi!$F$16:$F$5015,Transaksi!$C$16:$C$5015,$A87,Transaksi!$D$16:$D$5015,"Keluar",Transaksi!$B$16:$B$5015,"&lt;="&amp;MIN(EOMONTH(DATE(Dashboard!$C$4,12,1),0),TODAY()))-SUMIFS(Transaksi!$F$16:$F$5015,Transaksi!$C$16:$C$5015,$A87,Transaksi!$D$16:$D$5015,"Pindah",Transaksi!$B$16:$B$5015,"&lt;="&amp;MIN(EOMONTH(DATE(Dashboard!$C$4,12,1),0),TODAY()))+SUMIFS(Transaksi!$F$16:$F$5015,Transaksi!$E$16:$E$5015,$A87,Transaksi!$D$16:$D$5015,"Pindah",Transaksi!$B$16:$B$5015,"&lt;="&amp;MIN(EOMONTH(DATE(Dashboard!$C$4,12,1),0),TODAY())))</f>
        <v/>
      </c>
    </row>
    <row r="88" ht="15" customHeight="1" s="94">
      <c r="A88" s="93">
        <f>IF(Akun!$A$52="","",Akun!$A$52)</f>
        <v/>
      </c>
      <c r="B88" s="93">
        <f>IF(Akun!$A$52="","",Akun!$B$52)</f>
        <v/>
      </c>
      <c r="C88" s="106">
        <f>IF(OR($A88="",DATE(Dashboard!$C$4,1,1)&gt;TODAY(),ISNA(MATCH($B88,{"Pribadi","Investasi (kas RDN)","Piutang","Pinjaman Mama (dompet)"},0))),"",SUMIFS(Akun!$C$5:$C$104,Akun!$A$5:$A$104,$A88,Akun!$D$5:$D$104,"&lt;="&amp;MIN(EOMONTH(DATE(Dashboard!$C$4,1,1),0),TODAY()))+SUMIFS(Transaksi!$F$16:$F$5015,Transaksi!$C$16:$C$5015,$A88,Transaksi!$D$16:$D$5015,"Masuk",Transaksi!$B$16:$B$5015,"&lt;="&amp;MIN(EOMONTH(DATE(Dashboard!$C$4,1,1),0),TODAY()))-SUMIFS(Transaksi!$F$16:$F$5015,Transaksi!$C$16:$C$5015,$A88,Transaksi!$D$16:$D$5015,"Keluar",Transaksi!$B$16:$B$5015,"&lt;="&amp;MIN(EOMONTH(DATE(Dashboard!$C$4,1,1),0),TODAY()))-SUMIFS(Transaksi!$F$16:$F$5015,Transaksi!$C$16:$C$5015,$A88,Transaksi!$D$16:$D$5015,"Pindah",Transaksi!$B$16:$B$5015,"&lt;="&amp;MIN(EOMONTH(DATE(Dashboard!$C$4,1,1),0),TODAY()))+SUMIFS(Transaksi!$F$16:$F$5015,Transaksi!$E$16:$E$5015,$A88,Transaksi!$D$16:$D$5015,"Pindah",Transaksi!$B$16:$B$5015,"&lt;="&amp;MIN(EOMONTH(DATE(Dashboard!$C$4,1,1),0),TODAY())))</f>
        <v/>
      </c>
      <c r="D88" s="106">
        <f>IF(OR($A88="",DATE(Dashboard!$C$4,2,1)&gt;TODAY(),ISNA(MATCH($B88,{"Pribadi","Investasi (kas RDN)","Piutang","Pinjaman Mama (dompet)"},0))),"",SUMIFS(Akun!$C$5:$C$104,Akun!$A$5:$A$104,$A88,Akun!$D$5:$D$104,"&lt;="&amp;MIN(EOMONTH(DATE(Dashboard!$C$4,2,1),0),TODAY()))+SUMIFS(Transaksi!$F$16:$F$5015,Transaksi!$C$16:$C$5015,$A88,Transaksi!$D$16:$D$5015,"Masuk",Transaksi!$B$16:$B$5015,"&lt;="&amp;MIN(EOMONTH(DATE(Dashboard!$C$4,2,1),0),TODAY()))-SUMIFS(Transaksi!$F$16:$F$5015,Transaksi!$C$16:$C$5015,$A88,Transaksi!$D$16:$D$5015,"Keluar",Transaksi!$B$16:$B$5015,"&lt;="&amp;MIN(EOMONTH(DATE(Dashboard!$C$4,2,1),0),TODAY()))-SUMIFS(Transaksi!$F$16:$F$5015,Transaksi!$C$16:$C$5015,$A88,Transaksi!$D$16:$D$5015,"Pindah",Transaksi!$B$16:$B$5015,"&lt;="&amp;MIN(EOMONTH(DATE(Dashboard!$C$4,2,1),0),TODAY()))+SUMIFS(Transaksi!$F$16:$F$5015,Transaksi!$E$16:$E$5015,$A88,Transaksi!$D$16:$D$5015,"Pindah",Transaksi!$B$16:$B$5015,"&lt;="&amp;MIN(EOMONTH(DATE(Dashboard!$C$4,2,1),0),TODAY())))</f>
        <v/>
      </c>
      <c r="E88" s="106">
        <f>IF(OR($A88="",DATE(Dashboard!$C$4,3,1)&gt;TODAY(),ISNA(MATCH($B88,{"Pribadi","Investasi (kas RDN)","Piutang","Pinjaman Mama (dompet)"},0))),"",SUMIFS(Akun!$C$5:$C$104,Akun!$A$5:$A$104,$A88,Akun!$D$5:$D$104,"&lt;="&amp;MIN(EOMONTH(DATE(Dashboard!$C$4,3,1),0),TODAY()))+SUMIFS(Transaksi!$F$16:$F$5015,Transaksi!$C$16:$C$5015,$A88,Transaksi!$D$16:$D$5015,"Masuk",Transaksi!$B$16:$B$5015,"&lt;="&amp;MIN(EOMONTH(DATE(Dashboard!$C$4,3,1),0),TODAY()))-SUMIFS(Transaksi!$F$16:$F$5015,Transaksi!$C$16:$C$5015,$A88,Transaksi!$D$16:$D$5015,"Keluar",Transaksi!$B$16:$B$5015,"&lt;="&amp;MIN(EOMONTH(DATE(Dashboard!$C$4,3,1),0),TODAY()))-SUMIFS(Transaksi!$F$16:$F$5015,Transaksi!$C$16:$C$5015,$A88,Transaksi!$D$16:$D$5015,"Pindah",Transaksi!$B$16:$B$5015,"&lt;="&amp;MIN(EOMONTH(DATE(Dashboard!$C$4,3,1),0),TODAY()))+SUMIFS(Transaksi!$F$16:$F$5015,Transaksi!$E$16:$E$5015,$A88,Transaksi!$D$16:$D$5015,"Pindah",Transaksi!$B$16:$B$5015,"&lt;="&amp;MIN(EOMONTH(DATE(Dashboard!$C$4,3,1),0),TODAY())))</f>
        <v/>
      </c>
      <c r="F88" s="106">
        <f>IF(OR($A88="",DATE(Dashboard!$C$4,4,1)&gt;TODAY(),ISNA(MATCH($B88,{"Pribadi","Investasi (kas RDN)","Piutang","Pinjaman Mama (dompet)"},0))),"",SUMIFS(Akun!$C$5:$C$104,Akun!$A$5:$A$104,$A88,Akun!$D$5:$D$104,"&lt;="&amp;MIN(EOMONTH(DATE(Dashboard!$C$4,4,1),0),TODAY()))+SUMIFS(Transaksi!$F$16:$F$5015,Transaksi!$C$16:$C$5015,$A88,Transaksi!$D$16:$D$5015,"Masuk",Transaksi!$B$16:$B$5015,"&lt;="&amp;MIN(EOMONTH(DATE(Dashboard!$C$4,4,1),0),TODAY()))-SUMIFS(Transaksi!$F$16:$F$5015,Transaksi!$C$16:$C$5015,$A88,Transaksi!$D$16:$D$5015,"Keluar",Transaksi!$B$16:$B$5015,"&lt;="&amp;MIN(EOMONTH(DATE(Dashboard!$C$4,4,1),0),TODAY()))-SUMIFS(Transaksi!$F$16:$F$5015,Transaksi!$C$16:$C$5015,$A88,Transaksi!$D$16:$D$5015,"Pindah",Transaksi!$B$16:$B$5015,"&lt;="&amp;MIN(EOMONTH(DATE(Dashboard!$C$4,4,1),0),TODAY()))+SUMIFS(Transaksi!$F$16:$F$5015,Transaksi!$E$16:$E$5015,$A88,Transaksi!$D$16:$D$5015,"Pindah",Transaksi!$B$16:$B$5015,"&lt;="&amp;MIN(EOMONTH(DATE(Dashboard!$C$4,4,1),0),TODAY())))</f>
        <v/>
      </c>
      <c r="G88" s="106">
        <f>IF(OR($A88="",DATE(Dashboard!$C$4,5,1)&gt;TODAY(),ISNA(MATCH($B88,{"Pribadi","Investasi (kas RDN)","Piutang","Pinjaman Mama (dompet)"},0))),"",SUMIFS(Akun!$C$5:$C$104,Akun!$A$5:$A$104,$A88,Akun!$D$5:$D$104,"&lt;="&amp;MIN(EOMONTH(DATE(Dashboard!$C$4,5,1),0),TODAY()))+SUMIFS(Transaksi!$F$16:$F$5015,Transaksi!$C$16:$C$5015,$A88,Transaksi!$D$16:$D$5015,"Masuk",Transaksi!$B$16:$B$5015,"&lt;="&amp;MIN(EOMONTH(DATE(Dashboard!$C$4,5,1),0),TODAY()))-SUMIFS(Transaksi!$F$16:$F$5015,Transaksi!$C$16:$C$5015,$A88,Transaksi!$D$16:$D$5015,"Keluar",Transaksi!$B$16:$B$5015,"&lt;="&amp;MIN(EOMONTH(DATE(Dashboard!$C$4,5,1),0),TODAY()))-SUMIFS(Transaksi!$F$16:$F$5015,Transaksi!$C$16:$C$5015,$A88,Transaksi!$D$16:$D$5015,"Pindah",Transaksi!$B$16:$B$5015,"&lt;="&amp;MIN(EOMONTH(DATE(Dashboard!$C$4,5,1),0),TODAY()))+SUMIFS(Transaksi!$F$16:$F$5015,Transaksi!$E$16:$E$5015,$A88,Transaksi!$D$16:$D$5015,"Pindah",Transaksi!$B$16:$B$5015,"&lt;="&amp;MIN(EOMONTH(DATE(Dashboard!$C$4,5,1),0),TODAY())))</f>
        <v/>
      </c>
      <c r="H88" s="106">
        <f>IF(OR($A88="",DATE(Dashboard!$C$4,6,1)&gt;TODAY(),ISNA(MATCH($B88,{"Pribadi","Investasi (kas RDN)","Piutang","Pinjaman Mama (dompet)"},0))),"",SUMIFS(Akun!$C$5:$C$104,Akun!$A$5:$A$104,$A88,Akun!$D$5:$D$104,"&lt;="&amp;MIN(EOMONTH(DATE(Dashboard!$C$4,6,1),0),TODAY()))+SUMIFS(Transaksi!$F$16:$F$5015,Transaksi!$C$16:$C$5015,$A88,Transaksi!$D$16:$D$5015,"Masuk",Transaksi!$B$16:$B$5015,"&lt;="&amp;MIN(EOMONTH(DATE(Dashboard!$C$4,6,1),0),TODAY()))-SUMIFS(Transaksi!$F$16:$F$5015,Transaksi!$C$16:$C$5015,$A88,Transaksi!$D$16:$D$5015,"Keluar",Transaksi!$B$16:$B$5015,"&lt;="&amp;MIN(EOMONTH(DATE(Dashboard!$C$4,6,1),0),TODAY()))-SUMIFS(Transaksi!$F$16:$F$5015,Transaksi!$C$16:$C$5015,$A88,Transaksi!$D$16:$D$5015,"Pindah",Transaksi!$B$16:$B$5015,"&lt;="&amp;MIN(EOMONTH(DATE(Dashboard!$C$4,6,1),0),TODAY()))+SUMIFS(Transaksi!$F$16:$F$5015,Transaksi!$E$16:$E$5015,$A88,Transaksi!$D$16:$D$5015,"Pindah",Transaksi!$B$16:$B$5015,"&lt;="&amp;MIN(EOMONTH(DATE(Dashboard!$C$4,6,1),0),TODAY())))</f>
        <v/>
      </c>
      <c r="I88" s="106">
        <f>IF(OR($A88="",DATE(Dashboard!$C$4,7,1)&gt;TODAY(),ISNA(MATCH($B88,{"Pribadi","Investasi (kas RDN)","Piutang","Pinjaman Mama (dompet)"},0))),"",SUMIFS(Akun!$C$5:$C$104,Akun!$A$5:$A$104,$A88,Akun!$D$5:$D$104,"&lt;="&amp;MIN(EOMONTH(DATE(Dashboard!$C$4,7,1),0),TODAY()))+SUMIFS(Transaksi!$F$16:$F$5015,Transaksi!$C$16:$C$5015,$A88,Transaksi!$D$16:$D$5015,"Masuk",Transaksi!$B$16:$B$5015,"&lt;="&amp;MIN(EOMONTH(DATE(Dashboard!$C$4,7,1),0),TODAY()))-SUMIFS(Transaksi!$F$16:$F$5015,Transaksi!$C$16:$C$5015,$A88,Transaksi!$D$16:$D$5015,"Keluar",Transaksi!$B$16:$B$5015,"&lt;="&amp;MIN(EOMONTH(DATE(Dashboard!$C$4,7,1),0),TODAY()))-SUMIFS(Transaksi!$F$16:$F$5015,Transaksi!$C$16:$C$5015,$A88,Transaksi!$D$16:$D$5015,"Pindah",Transaksi!$B$16:$B$5015,"&lt;="&amp;MIN(EOMONTH(DATE(Dashboard!$C$4,7,1),0),TODAY()))+SUMIFS(Transaksi!$F$16:$F$5015,Transaksi!$E$16:$E$5015,$A88,Transaksi!$D$16:$D$5015,"Pindah",Transaksi!$B$16:$B$5015,"&lt;="&amp;MIN(EOMONTH(DATE(Dashboard!$C$4,7,1),0),TODAY())))</f>
        <v/>
      </c>
      <c r="J88" s="106">
        <f>IF(OR($A88="",DATE(Dashboard!$C$4,8,1)&gt;TODAY(),ISNA(MATCH($B88,{"Pribadi","Investasi (kas RDN)","Piutang","Pinjaman Mama (dompet)"},0))),"",SUMIFS(Akun!$C$5:$C$104,Akun!$A$5:$A$104,$A88,Akun!$D$5:$D$104,"&lt;="&amp;MIN(EOMONTH(DATE(Dashboard!$C$4,8,1),0),TODAY()))+SUMIFS(Transaksi!$F$16:$F$5015,Transaksi!$C$16:$C$5015,$A88,Transaksi!$D$16:$D$5015,"Masuk",Transaksi!$B$16:$B$5015,"&lt;="&amp;MIN(EOMONTH(DATE(Dashboard!$C$4,8,1),0),TODAY()))-SUMIFS(Transaksi!$F$16:$F$5015,Transaksi!$C$16:$C$5015,$A88,Transaksi!$D$16:$D$5015,"Keluar",Transaksi!$B$16:$B$5015,"&lt;="&amp;MIN(EOMONTH(DATE(Dashboard!$C$4,8,1),0),TODAY()))-SUMIFS(Transaksi!$F$16:$F$5015,Transaksi!$C$16:$C$5015,$A88,Transaksi!$D$16:$D$5015,"Pindah",Transaksi!$B$16:$B$5015,"&lt;="&amp;MIN(EOMONTH(DATE(Dashboard!$C$4,8,1),0),TODAY()))+SUMIFS(Transaksi!$F$16:$F$5015,Transaksi!$E$16:$E$5015,$A88,Transaksi!$D$16:$D$5015,"Pindah",Transaksi!$B$16:$B$5015,"&lt;="&amp;MIN(EOMONTH(DATE(Dashboard!$C$4,8,1),0),TODAY())))</f>
        <v/>
      </c>
      <c r="K88" s="106">
        <f>IF(OR($A88="",DATE(Dashboard!$C$4,9,1)&gt;TODAY(),ISNA(MATCH($B88,{"Pribadi","Investasi (kas RDN)","Piutang","Pinjaman Mama (dompet)"},0))),"",SUMIFS(Akun!$C$5:$C$104,Akun!$A$5:$A$104,$A88,Akun!$D$5:$D$104,"&lt;="&amp;MIN(EOMONTH(DATE(Dashboard!$C$4,9,1),0),TODAY()))+SUMIFS(Transaksi!$F$16:$F$5015,Transaksi!$C$16:$C$5015,$A88,Transaksi!$D$16:$D$5015,"Masuk",Transaksi!$B$16:$B$5015,"&lt;="&amp;MIN(EOMONTH(DATE(Dashboard!$C$4,9,1),0),TODAY()))-SUMIFS(Transaksi!$F$16:$F$5015,Transaksi!$C$16:$C$5015,$A88,Transaksi!$D$16:$D$5015,"Keluar",Transaksi!$B$16:$B$5015,"&lt;="&amp;MIN(EOMONTH(DATE(Dashboard!$C$4,9,1),0),TODAY()))-SUMIFS(Transaksi!$F$16:$F$5015,Transaksi!$C$16:$C$5015,$A88,Transaksi!$D$16:$D$5015,"Pindah",Transaksi!$B$16:$B$5015,"&lt;="&amp;MIN(EOMONTH(DATE(Dashboard!$C$4,9,1),0),TODAY()))+SUMIFS(Transaksi!$F$16:$F$5015,Transaksi!$E$16:$E$5015,$A88,Transaksi!$D$16:$D$5015,"Pindah",Transaksi!$B$16:$B$5015,"&lt;="&amp;MIN(EOMONTH(DATE(Dashboard!$C$4,9,1),0),TODAY())))</f>
        <v/>
      </c>
      <c r="L88" s="106">
        <f>IF(OR($A88="",DATE(Dashboard!$C$4,10,1)&gt;TODAY(),ISNA(MATCH($B88,{"Pribadi","Investasi (kas RDN)","Piutang","Pinjaman Mama (dompet)"},0))),"",SUMIFS(Akun!$C$5:$C$104,Akun!$A$5:$A$104,$A88,Akun!$D$5:$D$104,"&lt;="&amp;MIN(EOMONTH(DATE(Dashboard!$C$4,10,1),0),TODAY()))+SUMIFS(Transaksi!$F$16:$F$5015,Transaksi!$C$16:$C$5015,$A88,Transaksi!$D$16:$D$5015,"Masuk",Transaksi!$B$16:$B$5015,"&lt;="&amp;MIN(EOMONTH(DATE(Dashboard!$C$4,10,1),0),TODAY()))-SUMIFS(Transaksi!$F$16:$F$5015,Transaksi!$C$16:$C$5015,$A88,Transaksi!$D$16:$D$5015,"Keluar",Transaksi!$B$16:$B$5015,"&lt;="&amp;MIN(EOMONTH(DATE(Dashboard!$C$4,10,1),0),TODAY()))-SUMIFS(Transaksi!$F$16:$F$5015,Transaksi!$C$16:$C$5015,$A88,Transaksi!$D$16:$D$5015,"Pindah",Transaksi!$B$16:$B$5015,"&lt;="&amp;MIN(EOMONTH(DATE(Dashboard!$C$4,10,1),0),TODAY()))+SUMIFS(Transaksi!$F$16:$F$5015,Transaksi!$E$16:$E$5015,$A88,Transaksi!$D$16:$D$5015,"Pindah",Transaksi!$B$16:$B$5015,"&lt;="&amp;MIN(EOMONTH(DATE(Dashboard!$C$4,10,1),0),TODAY())))</f>
        <v/>
      </c>
      <c r="M88" s="106">
        <f>IF(OR($A88="",DATE(Dashboard!$C$4,11,1)&gt;TODAY(),ISNA(MATCH($B88,{"Pribadi","Investasi (kas RDN)","Piutang","Pinjaman Mama (dompet)"},0))),"",SUMIFS(Akun!$C$5:$C$104,Akun!$A$5:$A$104,$A88,Akun!$D$5:$D$104,"&lt;="&amp;MIN(EOMONTH(DATE(Dashboard!$C$4,11,1),0),TODAY()))+SUMIFS(Transaksi!$F$16:$F$5015,Transaksi!$C$16:$C$5015,$A88,Transaksi!$D$16:$D$5015,"Masuk",Transaksi!$B$16:$B$5015,"&lt;="&amp;MIN(EOMONTH(DATE(Dashboard!$C$4,11,1),0),TODAY()))-SUMIFS(Transaksi!$F$16:$F$5015,Transaksi!$C$16:$C$5015,$A88,Transaksi!$D$16:$D$5015,"Keluar",Transaksi!$B$16:$B$5015,"&lt;="&amp;MIN(EOMONTH(DATE(Dashboard!$C$4,11,1),0),TODAY()))-SUMIFS(Transaksi!$F$16:$F$5015,Transaksi!$C$16:$C$5015,$A88,Transaksi!$D$16:$D$5015,"Pindah",Transaksi!$B$16:$B$5015,"&lt;="&amp;MIN(EOMONTH(DATE(Dashboard!$C$4,11,1),0),TODAY()))+SUMIFS(Transaksi!$F$16:$F$5015,Transaksi!$E$16:$E$5015,$A88,Transaksi!$D$16:$D$5015,"Pindah",Transaksi!$B$16:$B$5015,"&lt;="&amp;MIN(EOMONTH(DATE(Dashboard!$C$4,11,1),0),TODAY())))</f>
        <v/>
      </c>
      <c r="N88" s="106">
        <f>IF(OR($A88="",DATE(Dashboard!$C$4,12,1)&gt;TODAY(),ISNA(MATCH($B88,{"Pribadi","Investasi (kas RDN)","Piutang","Pinjaman Mama (dompet)"},0))),"",SUMIFS(Akun!$C$5:$C$104,Akun!$A$5:$A$104,$A88,Akun!$D$5:$D$104,"&lt;="&amp;MIN(EOMONTH(DATE(Dashboard!$C$4,12,1),0),TODAY()))+SUMIFS(Transaksi!$F$16:$F$5015,Transaksi!$C$16:$C$5015,$A88,Transaksi!$D$16:$D$5015,"Masuk",Transaksi!$B$16:$B$5015,"&lt;="&amp;MIN(EOMONTH(DATE(Dashboard!$C$4,12,1),0),TODAY()))-SUMIFS(Transaksi!$F$16:$F$5015,Transaksi!$C$16:$C$5015,$A88,Transaksi!$D$16:$D$5015,"Keluar",Transaksi!$B$16:$B$5015,"&lt;="&amp;MIN(EOMONTH(DATE(Dashboard!$C$4,12,1),0),TODAY()))-SUMIFS(Transaksi!$F$16:$F$5015,Transaksi!$C$16:$C$5015,$A88,Transaksi!$D$16:$D$5015,"Pindah",Transaksi!$B$16:$B$5015,"&lt;="&amp;MIN(EOMONTH(DATE(Dashboard!$C$4,12,1),0),TODAY()))+SUMIFS(Transaksi!$F$16:$F$5015,Transaksi!$E$16:$E$5015,$A88,Transaksi!$D$16:$D$5015,"Pindah",Transaksi!$B$16:$B$5015,"&lt;="&amp;MIN(EOMONTH(DATE(Dashboard!$C$4,12,1),0),TODAY())))</f>
        <v/>
      </c>
    </row>
    <row r="89" ht="15" customHeight="1" s="94">
      <c r="A89" s="93">
        <f>IF(Akun!$A$53="","",Akun!$A$53)</f>
        <v/>
      </c>
      <c r="B89" s="93">
        <f>IF(Akun!$A$53="","",Akun!$B$53)</f>
        <v/>
      </c>
      <c r="C89" s="106">
        <f>IF(OR($A89="",DATE(Dashboard!$C$4,1,1)&gt;TODAY(),ISNA(MATCH($B89,{"Pribadi","Investasi (kas RDN)","Piutang","Pinjaman Mama (dompet)"},0))),"",SUMIFS(Akun!$C$5:$C$104,Akun!$A$5:$A$104,$A89,Akun!$D$5:$D$104,"&lt;="&amp;MIN(EOMONTH(DATE(Dashboard!$C$4,1,1),0),TODAY()))+SUMIFS(Transaksi!$F$16:$F$5015,Transaksi!$C$16:$C$5015,$A89,Transaksi!$D$16:$D$5015,"Masuk",Transaksi!$B$16:$B$5015,"&lt;="&amp;MIN(EOMONTH(DATE(Dashboard!$C$4,1,1),0),TODAY()))-SUMIFS(Transaksi!$F$16:$F$5015,Transaksi!$C$16:$C$5015,$A89,Transaksi!$D$16:$D$5015,"Keluar",Transaksi!$B$16:$B$5015,"&lt;="&amp;MIN(EOMONTH(DATE(Dashboard!$C$4,1,1),0),TODAY()))-SUMIFS(Transaksi!$F$16:$F$5015,Transaksi!$C$16:$C$5015,$A89,Transaksi!$D$16:$D$5015,"Pindah",Transaksi!$B$16:$B$5015,"&lt;="&amp;MIN(EOMONTH(DATE(Dashboard!$C$4,1,1),0),TODAY()))+SUMIFS(Transaksi!$F$16:$F$5015,Transaksi!$E$16:$E$5015,$A89,Transaksi!$D$16:$D$5015,"Pindah",Transaksi!$B$16:$B$5015,"&lt;="&amp;MIN(EOMONTH(DATE(Dashboard!$C$4,1,1),0),TODAY())))</f>
        <v/>
      </c>
      <c r="D89" s="106">
        <f>IF(OR($A89="",DATE(Dashboard!$C$4,2,1)&gt;TODAY(),ISNA(MATCH($B89,{"Pribadi","Investasi (kas RDN)","Piutang","Pinjaman Mama (dompet)"},0))),"",SUMIFS(Akun!$C$5:$C$104,Akun!$A$5:$A$104,$A89,Akun!$D$5:$D$104,"&lt;="&amp;MIN(EOMONTH(DATE(Dashboard!$C$4,2,1),0),TODAY()))+SUMIFS(Transaksi!$F$16:$F$5015,Transaksi!$C$16:$C$5015,$A89,Transaksi!$D$16:$D$5015,"Masuk",Transaksi!$B$16:$B$5015,"&lt;="&amp;MIN(EOMONTH(DATE(Dashboard!$C$4,2,1),0),TODAY()))-SUMIFS(Transaksi!$F$16:$F$5015,Transaksi!$C$16:$C$5015,$A89,Transaksi!$D$16:$D$5015,"Keluar",Transaksi!$B$16:$B$5015,"&lt;="&amp;MIN(EOMONTH(DATE(Dashboard!$C$4,2,1),0),TODAY()))-SUMIFS(Transaksi!$F$16:$F$5015,Transaksi!$C$16:$C$5015,$A89,Transaksi!$D$16:$D$5015,"Pindah",Transaksi!$B$16:$B$5015,"&lt;="&amp;MIN(EOMONTH(DATE(Dashboard!$C$4,2,1),0),TODAY()))+SUMIFS(Transaksi!$F$16:$F$5015,Transaksi!$E$16:$E$5015,$A89,Transaksi!$D$16:$D$5015,"Pindah",Transaksi!$B$16:$B$5015,"&lt;="&amp;MIN(EOMONTH(DATE(Dashboard!$C$4,2,1),0),TODAY())))</f>
        <v/>
      </c>
      <c r="E89" s="106">
        <f>IF(OR($A89="",DATE(Dashboard!$C$4,3,1)&gt;TODAY(),ISNA(MATCH($B89,{"Pribadi","Investasi (kas RDN)","Piutang","Pinjaman Mama (dompet)"},0))),"",SUMIFS(Akun!$C$5:$C$104,Akun!$A$5:$A$104,$A89,Akun!$D$5:$D$104,"&lt;="&amp;MIN(EOMONTH(DATE(Dashboard!$C$4,3,1),0),TODAY()))+SUMIFS(Transaksi!$F$16:$F$5015,Transaksi!$C$16:$C$5015,$A89,Transaksi!$D$16:$D$5015,"Masuk",Transaksi!$B$16:$B$5015,"&lt;="&amp;MIN(EOMONTH(DATE(Dashboard!$C$4,3,1),0),TODAY()))-SUMIFS(Transaksi!$F$16:$F$5015,Transaksi!$C$16:$C$5015,$A89,Transaksi!$D$16:$D$5015,"Keluar",Transaksi!$B$16:$B$5015,"&lt;="&amp;MIN(EOMONTH(DATE(Dashboard!$C$4,3,1),0),TODAY()))-SUMIFS(Transaksi!$F$16:$F$5015,Transaksi!$C$16:$C$5015,$A89,Transaksi!$D$16:$D$5015,"Pindah",Transaksi!$B$16:$B$5015,"&lt;="&amp;MIN(EOMONTH(DATE(Dashboard!$C$4,3,1),0),TODAY()))+SUMIFS(Transaksi!$F$16:$F$5015,Transaksi!$E$16:$E$5015,$A89,Transaksi!$D$16:$D$5015,"Pindah",Transaksi!$B$16:$B$5015,"&lt;="&amp;MIN(EOMONTH(DATE(Dashboard!$C$4,3,1),0),TODAY())))</f>
        <v/>
      </c>
      <c r="F89" s="106">
        <f>IF(OR($A89="",DATE(Dashboard!$C$4,4,1)&gt;TODAY(),ISNA(MATCH($B89,{"Pribadi","Investasi (kas RDN)","Piutang","Pinjaman Mama (dompet)"},0))),"",SUMIFS(Akun!$C$5:$C$104,Akun!$A$5:$A$104,$A89,Akun!$D$5:$D$104,"&lt;="&amp;MIN(EOMONTH(DATE(Dashboard!$C$4,4,1),0),TODAY()))+SUMIFS(Transaksi!$F$16:$F$5015,Transaksi!$C$16:$C$5015,$A89,Transaksi!$D$16:$D$5015,"Masuk",Transaksi!$B$16:$B$5015,"&lt;="&amp;MIN(EOMONTH(DATE(Dashboard!$C$4,4,1),0),TODAY()))-SUMIFS(Transaksi!$F$16:$F$5015,Transaksi!$C$16:$C$5015,$A89,Transaksi!$D$16:$D$5015,"Keluar",Transaksi!$B$16:$B$5015,"&lt;="&amp;MIN(EOMONTH(DATE(Dashboard!$C$4,4,1),0),TODAY()))-SUMIFS(Transaksi!$F$16:$F$5015,Transaksi!$C$16:$C$5015,$A89,Transaksi!$D$16:$D$5015,"Pindah",Transaksi!$B$16:$B$5015,"&lt;="&amp;MIN(EOMONTH(DATE(Dashboard!$C$4,4,1),0),TODAY()))+SUMIFS(Transaksi!$F$16:$F$5015,Transaksi!$E$16:$E$5015,$A89,Transaksi!$D$16:$D$5015,"Pindah",Transaksi!$B$16:$B$5015,"&lt;="&amp;MIN(EOMONTH(DATE(Dashboard!$C$4,4,1),0),TODAY())))</f>
        <v/>
      </c>
      <c r="G89" s="106">
        <f>IF(OR($A89="",DATE(Dashboard!$C$4,5,1)&gt;TODAY(),ISNA(MATCH($B89,{"Pribadi","Investasi (kas RDN)","Piutang","Pinjaman Mama (dompet)"},0))),"",SUMIFS(Akun!$C$5:$C$104,Akun!$A$5:$A$104,$A89,Akun!$D$5:$D$104,"&lt;="&amp;MIN(EOMONTH(DATE(Dashboard!$C$4,5,1),0),TODAY()))+SUMIFS(Transaksi!$F$16:$F$5015,Transaksi!$C$16:$C$5015,$A89,Transaksi!$D$16:$D$5015,"Masuk",Transaksi!$B$16:$B$5015,"&lt;="&amp;MIN(EOMONTH(DATE(Dashboard!$C$4,5,1),0),TODAY()))-SUMIFS(Transaksi!$F$16:$F$5015,Transaksi!$C$16:$C$5015,$A89,Transaksi!$D$16:$D$5015,"Keluar",Transaksi!$B$16:$B$5015,"&lt;="&amp;MIN(EOMONTH(DATE(Dashboard!$C$4,5,1),0),TODAY()))-SUMIFS(Transaksi!$F$16:$F$5015,Transaksi!$C$16:$C$5015,$A89,Transaksi!$D$16:$D$5015,"Pindah",Transaksi!$B$16:$B$5015,"&lt;="&amp;MIN(EOMONTH(DATE(Dashboard!$C$4,5,1),0),TODAY()))+SUMIFS(Transaksi!$F$16:$F$5015,Transaksi!$E$16:$E$5015,$A89,Transaksi!$D$16:$D$5015,"Pindah",Transaksi!$B$16:$B$5015,"&lt;="&amp;MIN(EOMONTH(DATE(Dashboard!$C$4,5,1),0),TODAY())))</f>
        <v/>
      </c>
      <c r="H89" s="106">
        <f>IF(OR($A89="",DATE(Dashboard!$C$4,6,1)&gt;TODAY(),ISNA(MATCH($B89,{"Pribadi","Investasi (kas RDN)","Piutang","Pinjaman Mama (dompet)"},0))),"",SUMIFS(Akun!$C$5:$C$104,Akun!$A$5:$A$104,$A89,Akun!$D$5:$D$104,"&lt;="&amp;MIN(EOMONTH(DATE(Dashboard!$C$4,6,1),0),TODAY()))+SUMIFS(Transaksi!$F$16:$F$5015,Transaksi!$C$16:$C$5015,$A89,Transaksi!$D$16:$D$5015,"Masuk",Transaksi!$B$16:$B$5015,"&lt;="&amp;MIN(EOMONTH(DATE(Dashboard!$C$4,6,1),0),TODAY()))-SUMIFS(Transaksi!$F$16:$F$5015,Transaksi!$C$16:$C$5015,$A89,Transaksi!$D$16:$D$5015,"Keluar",Transaksi!$B$16:$B$5015,"&lt;="&amp;MIN(EOMONTH(DATE(Dashboard!$C$4,6,1),0),TODAY()))-SUMIFS(Transaksi!$F$16:$F$5015,Transaksi!$C$16:$C$5015,$A89,Transaksi!$D$16:$D$5015,"Pindah",Transaksi!$B$16:$B$5015,"&lt;="&amp;MIN(EOMONTH(DATE(Dashboard!$C$4,6,1),0),TODAY()))+SUMIFS(Transaksi!$F$16:$F$5015,Transaksi!$E$16:$E$5015,$A89,Transaksi!$D$16:$D$5015,"Pindah",Transaksi!$B$16:$B$5015,"&lt;="&amp;MIN(EOMONTH(DATE(Dashboard!$C$4,6,1),0),TODAY())))</f>
        <v/>
      </c>
      <c r="I89" s="106">
        <f>IF(OR($A89="",DATE(Dashboard!$C$4,7,1)&gt;TODAY(),ISNA(MATCH($B89,{"Pribadi","Investasi (kas RDN)","Piutang","Pinjaman Mama (dompet)"},0))),"",SUMIFS(Akun!$C$5:$C$104,Akun!$A$5:$A$104,$A89,Akun!$D$5:$D$104,"&lt;="&amp;MIN(EOMONTH(DATE(Dashboard!$C$4,7,1),0),TODAY()))+SUMIFS(Transaksi!$F$16:$F$5015,Transaksi!$C$16:$C$5015,$A89,Transaksi!$D$16:$D$5015,"Masuk",Transaksi!$B$16:$B$5015,"&lt;="&amp;MIN(EOMONTH(DATE(Dashboard!$C$4,7,1),0),TODAY()))-SUMIFS(Transaksi!$F$16:$F$5015,Transaksi!$C$16:$C$5015,$A89,Transaksi!$D$16:$D$5015,"Keluar",Transaksi!$B$16:$B$5015,"&lt;="&amp;MIN(EOMONTH(DATE(Dashboard!$C$4,7,1),0),TODAY()))-SUMIFS(Transaksi!$F$16:$F$5015,Transaksi!$C$16:$C$5015,$A89,Transaksi!$D$16:$D$5015,"Pindah",Transaksi!$B$16:$B$5015,"&lt;="&amp;MIN(EOMONTH(DATE(Dashboard!$C$4,7,1),0),TODAY()))+SUMIFS(Transaksi!$F$16:$F$5015,Transaksi!$E$16:$E$5015,$A89,Transaksi!$D$16:$D$5015,"Pindah",Transaksi!$B$16:$B$5015,"&lt;="&amp;MIN(EOMONTH(DATE(Dashboard!$C$4,7,1),0),TODAY())))</f>
        <v/>
      </c>
      <c r="J89" s="106">
        <f>IF(OR($A89="",DATE(Dashboard!$C$4,8,1)&gt;TODAY(),ISNA(MATCH($B89,{"Pribadi","Investasi (kas RDN)","Piutang","Pinjaman Mama (dompet)"},0))),"",SUMIFS(Akun!$C$5:$C$104,Akun!$A$5:$A$104,$A89,Akun!$D$5:$D$104,"&lt;="&amp;MIN(EOMONTH(DATE(Dashboard!$C$4,8,1),0),TODAY()))+SUMIFS(Transaksi!$F$16:$F$5015,Transaksi!$C$16:$C$5015,$A89,Transaksi!$D$16:$D$5015,"Masuk",Transaksi!$B$16:$B$5015,"&lt;="&amp;MIN(EOMONTH(DATE(Dashboard!$C$4,8,1),0),TODAY()))-SUMIFS(Transaksi!$F$16:$F$5015,Transaksi!$C$16:$C$5015,$A89,Transaksi!$D$16:$D$5015,"Keluar",Transaksi!$B$16:$B$5015,"&lt;="&amp;MIN(EOMONTH(DATE(Dashboard!$C$4,8,1),0),TODAY()))-SUMIFS(Transaksi!$F$16:$F$5015,Transaksi!$C$16:$C$5015,$A89,Transaksi!$D$16:$D$5015,"Pindah",Transaksi!$B$16:$B$5015,"&lt;="&amp;MIN(EOMONTH(DATE(Dashboard!$C$4,8,1),0),TODAY()))+SUMIFS(Transaksi!$F$16:$F$5015,Transaksi!$E$16:$E$5015,$A89,Transaksi!$D$16:$D$5015,"Pindah",Transaksi!$B$16:$B$5015,"&lt;="&amp;MIN(EOMONTH(DATE(Dashboard!$C$4,8,1),0),TODAY())))</f>
        <v/>
      </c>
      <c r="K89" s="106">
        <f>IF(OR($A89="",DATE(Dashboard!$C$4,9,1)&gt;TODAY(),ISNA(MATCH($B89,{"Pribadi","Investasi (kas RDN)","Piutang","Pinjaman Mama (dompet)"},0))),"",SUMIFS(Akun!$C$5:$C$104,Akun!$A$5:$A$104,$A89,Akun!$D$5:$D$104,"&lt;="&amp;MIN(EOMONTH(DATE(Dashboard!$C$4,9,1),0),TODAY()))+SUMIFS(Transaksi!$F$16:$F$5015,Transaksi!$C$16:$C$5015,$A89,Transaksi!$D$16:$D$5015,"Masuk",Transaksi!$B$16:$B$5015,"&lt;="&amp;MIN(EOMONTH(DATE(Dashboard!$C$4,9,1),0),TODAY()))-SUMIFS(Transaksi!$F$16:$F$5015,Transaksi!$C$16:$C$5015,$A89,Transaksi!$D$16:$D$5015,"Keluar",Transaksi!$B$16:$B$5015,"&lt;="&amp;MIN(EOMONTH(DATE(Dashboard!$C$4,9,1),0),TODAY()))-SUMIFS(Transaksi!$F$16:$F$5015,Transaksi!$C$16:$C$5015,$A89,Transaksi!$D$16:$D$5015,"Pindah",Transaksi!$B$16:$B$5015,"&lt;="&amp;MIN(EOMONTH(DATE(Dashboard!$C$4,9,1),0),TODAY()))+SUMIFS(Transaksi!$F$16:$F$5015,Transaksi!$E$16:$E$5015,$A89,Transaksi!$D$16:$D$5015,"Pindah",Transaksi!$B$16:$B$5015,"&lt;="&amp;MIN(EOMONTH(DATE(Dashboard!$C$4,9,1),0),TODAY())))</f>
        <v/>
      </c>
      <c r="L89" s="106">
        <f>IF(OR($A89="",DATE(Dashboard!$C$4,10,1)&gt;TODAY(),ISNA(MATCH($B89,{"Pribadi","Investasi (kas RDN)","Piutang","Pinjaman Mama (dompet)"},0))),"",SUMIFS(Akun!$C$5:$C$104,Akun!$A$5:$A$104,$A89,Akun!$D$5:$D$104,"&lt;="&amp;MIN(EOMONTH(DATE(Dashboard!$C$4,10,1),0),TODAY()))+SUMIFS(Transaksi!$F$16:$F$5015,Transaksi!$C$16:$C$5015,$A89,Transaksi!$D$16:$D$5015,"Masuk",Transaksi!$B$16:$B$5015,"&lt;="&amp;MIN(EOMONTH(DATE(Dashboard!$C$4,10,1),0),TODAY()))-SUMIFS(Transaksi!$F$16:$F$5015,Transaksi!$C$16:$C$5015,$A89,Transaksi!$D$16:$D$5015,"Keluar",Transaksi!$B$16:$B$5015,"&lt;="&amp;MIN(EOMONTH(DATE(Dashboard!$C$4,10,1),0),TODAY()))-SUMIFS(Transaksi!$F$16:$F$5015,Transaksi!$C$16:$C$5015,$A89,Transaksi!$D$16:$D$5015,"Pindah",Transaksi!$B$16:$B$5015,"&lt;="&amp;MIN(EOMONTH(DATE(Dashboard!$C$4,10,1),0),TODAY()))+SUMIFS(Transaksi!$F$16:$F$5015,Transaksi!$E$16:$E$5015,$A89,Transaksi!$D$16:$D$5015,"Pindah",Transaksi!$B$16:$B$5015,"&lt;="&amp;MIN(EOMONTH(DATE(Dashboard!$C$4,10,1),0),TODAY())))</f>
        <v/>
      </c>
      <c r="M89" s="106">
        <f>IF(OR($A89="",DATE(Dashboard!$C$4,11,1)&gt;TODAY(),ISNA(MATCH($B89,{"Pribadi","Investasi (kas RDN)","Piutang","Pinjaman Mama (dompet)"},0))),"",SUMIFS(Akun!$C$5:$C$104,Akun!$A$5:$A$104,$A89,Akun!$D$5:$D$104,"&lt;="&amp;MIN(EOMONTH(DATE(Dashboard!$C$4,11,1),0),TODAY()))+SUMIFS(Transaksi!$F$16:$F$5015,Transaksi!$C$16:$C$5015,$A89,Transaksi!$D$16:$D$5015,"Masuk",Transaksi!$B$16:$B$5015,"&lt;="&amp;MIN(EOMONTH(DATE(Dashboard!$C$4,11,1),0),TODAY()))-SUMIFS(Transaksi!$F$16:$F$5015,Transaksi!$C$16:$C$5015,$A89,Transaksi!$D$16:$D$5015,"Keluar",Transaksi!$B$16:$B$5015,"&lt;="&amp;MIN(EOMONTH(DATE(Dashboard!$C$4,11,1),0),TODAY()))-SUMIFS(Transaksi!$F$16:$F$5015,Transaksi!$C$16:$C$5015,$A89,Transaksi!$D$16:$D$5015,"Pindah",Transaksi!$B$16:$B$5015,"&lt;="&amp;MIN(EOMONTH(DATE(Dashboard!$C$4,11,1),0),TODAY()))+SUMIFS(Transaksi!$F$16:$F$5015,Transaksi!$E$16:$E$5015,$A89,Transaksi!$D$16:$D$5015,"Pindah",Transaksi!$B$16:$B$5015,"&lt;="&amp;MIN(EOMONTH(DATE(Dashboard!$C$4,11,1),0),TODAY())))</f>
        <v/>
      </c>
      <c r="N89" s="106">
        <f>IF(OR($A89="",DATE(Dashboard!$C$4,12,1)&gt;TODAY(),ISNA(MATCH($B89,{"Pribadi","Investasi (kas RDN)","Piutang","Pinjaman Mama (dompet)"},0))),"",SUMIFS(Akun!$C$5:$C$104,Akun!$A$5:$A$104,$A89,Akun!$D$5:$D$104,"&lt;="&amp;MIN(EOMONTH(DATE(Dashboard!$C$4,12,1),0),TODAY()))+SUMIFS(Transaksi!$F$16:$F$5015,Transaksi!$C$16:$C$5015,$A89,Transaksi!$D$16:$D$5015,"Masuk",Transaksi!$B$16:$B$5015,"&lt;="&amp;MIN(EOMONTH(DATE(Dashboard!$C$4,12,1),0),TODAY()))-SUMIFS(Transaksi!$F$16:$F$5015,Transaksi!$C$16:$C$5015,$A89,Transaksi!$D$16:$D$5015,"Keluar",Transaksi!$B$16:$B$5015,"&lt;="&amp;MIN(EOMONTH(DATE(Dashboard!$C$4,12,1),0),TODAY()))-SUMIFS(Transaksi!$F$16:$F$5015,Transaksi!$C$16:$C$5015,$A89,Transaksi!$D$16:$D$5015,"Pindah",Transaksi!$B$16:$B$5015,"&lt;="&amp;MIN(EOMONTH(DATE(Dashboard!$C$4,12,1),0),TODAY()))+SUMIFS(Transaksi!$F$16:$F$5015,Transaksi!$E$16:$E$5015,$A89,Transaksi!$D$16:$D$5015,"Pindah",Transaksi!$B$16:$B$5015,"&lt;="&amp;MIN(EOMONTH(DATE(Dashboard!$C$4,12,1),0),TODAY())))</f>
        <v/>
      </c>
    </row>
    <row r="90" ht="15" customHeight="1" s="94">
      <c r="A90" s="93">
        <f>IF(Akun!$A$54="","",Akun!$A$54)</f>
        <v/>
      </c>
      <c r="B90" s="93">
        <f>IF(Akun!$A$54="","",Akun!$B$54)</f>
        <v/>
      </c>
      <c r="C90" s="106">
        <f>IF(OR($A90="",DATE(Dashboard!$C$4,1,1)&gt;TODAY(),ISNA(MATCH($B90,{"Pribadi","Investasi (kas RDN)","Piutang","Pinjaman Mama (dompet)"},0))),"",SUMIFS(Akun!$C$5:$C$104,Akun!$A$5:$A$104,$A90,Akun!$D$5:$D$104,"&lt;="&amp;MIN(EOMONTH(DATE(Dashboard!$C$4,1,1),0),TODAY()))+SUMIFS(Transaksi!$F$16:$F$5015,Transaksi!$C$16:$C$5015,$A90,Transaksi!$D$16:$D$5015,"Masuk",Transaksi!$B$16:$B$5015,"&lt;="&amp;MIN(EOMONTH(DATE(Dashboard!$C$4,1,1),0),TODAY()))-SUMIFS(Transaksi!$F$16:$F$5015,Transaksi!$C$16:$C$5015,$A90,Transaksi!$D$16:$D$5015,"Keluar",Transaksi!$B$16:$B$5015,"&lt;="&amp;MIN(EOMONTH(DATE(Dashboard!$C$4,1,1),0),TODAY()))-SUMIFS(Transaksi!$F$16:$F$5015,Transaksi!$C$16:$C$5015,$A90,Transaksi!$D$16:$D$5015,"Pindah",Transaksi!$B$16:$B$5015,"&lt;="&amp;MIN(EOMONTH(DATE(Dashboard!$C$4,1,1),0),TODAY()))+SUMIFS(Transaksi!$F$16:$F$5015,Transaksi!$E$16:$E$5015,$A90,Transaksi!$D$16:$D$5015,"Pindah",Transaksi!$B$16:$B$5015,"&lt;="&amp;MIN(EOMONTH(DATE(Dashboard!$C$4,1,1),0),TODAY())))</f>
        <v/>
      </c>
      <c r="D90" s="106">
        <f>IF(OR($A90="",DATE(Dashboard!$C$4,2,1)&gt;TODAY(),ISNA(MATCH($B90,{"Pribadi","Investasi (kas RDN)","Piutang","Pinjaman Mama (dompet)"},0))),"",SUMIFS(Akun!$C$5:$C$104,Akun!$A$5:$A$104,$A90,Akun!$D$5:$D$104,"&lt;="&amp;MIN(EOMONTH(DATE(Dashboard!$C$4,2,1),0),TODAY()))+SUMIFS(Transaksi!$F$16:$F$5015,Transaksi!$C$16:$C$5015,$A90,Transaksi!$D$16:$D$5015,"Masuk",Transaksi!$B$16:$B$5015,"&lt;="&amp;MIN(EOMONTH(DATE(Dashboard!$C$4,2,1),0),TODAY()))-SUMIFS(Transaksi!$F$16:$F$5015,Transaksi!$C$16:$C$5015,$A90,Transaksi!$D$16:$D$5015,"Keluar",Transaksi!$B$16:$B$5015,"&lt;="&amp;MIN(EOMONTH(DATE(Dashboard!$C$4,2,1),0),TODAY()))-SUMIFS(Transaksi!$F$16:$F$5015,Transaksi!$C$16:$C$5015,$A90,Transaksi!$D$16:$D$5015,"Pindah",Transaksi!$B$16:$B$5015,"&lt;="&amp;MIN(EOMONTH(DATE(Dashboard!$C$4,2,1),0),TODAY()))+SUMIFS(Transaksi!$F$16:$F$5015,Transaksi!$E$16:$E$5015,$A90,Transaksi!$D$16:$D$5015,"Pindah",Transaksi!$B$16:$B$5015,"&lt;="&amp;MIN(EOMONTH(DATE(Dashboard!$C$4,2,1),0),TODAY())))</f>
        <v/>
      </c>
      <c r="E90" s="106">
        <f>IF(OR($A90="",DATE(Dashboard!$C$4,3,1)&gt;TODAY(),ISNA(MATCH($B90,{"Pribadi","Investasi (kas RDN)","Piutang","Pinjaman Mama (dompet)"},0))),"",SUMIFS(Akun!$C$5:$C$104,Akun!$A$5:$A$104,$A90,Akun!$D$5:$D$104,"&lt;="&amp;MIN(EOMONTH(DATE(Dashboard!$C$4,3,1),0),TODAY()))+SUMIFS(Transaksi!$F$16:$F$5015,Transaksi!$C$16:$C$5015,$A90,Transaksi!$D$16:$D$5015,"Masuk",Transaksi!$B$16:$B$5015,"&lt;="&amp;MIN(EOMONTH(DATE(Dashboard!$C$4,3,1),0),TODAY()))-SUMIFS(Transaksi!$F$16:$F$5015,Transaksi!$C$16:$C$5015,$A90,Transaksi!$D$16:$D$5015,"Keluar",Transaksi!$B$16:$B$5015,"&lt;="&amp;MIN(EOMONTH(DATE(Dashboard!$C$4,3,1),0),TODAY()))-SUMIFS(Transaksi!$F$16:$F$5015,Transaksi!$C$16:$C$5015,$A90,Transaksi!$D$16:$D$5015,"Pindah",Transaksi!$B$16:$B$5015,"&lt;="&amp;MIN(EOMONTH(DATE(Dashboard!$C$4,3,1),0),TODAY()))+SUMIFS(Transaksi!$F$16:$F$5015,Transaksi!$E$16:$E$5015,$A90,Transaksi!$D$16:$D$5015,"Pindah",Transaksi!$B$16:$B$5015,"&lt;="&amp;MIN(EOMONTH(DATE(Dashboard!$C$4,3,1),0),TODAY())))</f>
        <v/>
      </c>
      <c r="F90" s="106">
        <f>IF(OR($A90="",DATE(Dashboard!$C$4,4,1)&gt;TODAY(),ISNA(MATCH($B90,{"Pribadi","Investasi (kas RDN)","Piutang","Pinjaman Mama (dompet)"},0))),"",SUMIFS(Akun!$C$5:$C$104,Akun!$A$5:$A$104,$A90,Akun!$D$5:$D$104,"&lt;="&amp;MIN(EOMONTH(DATE(Dashboard!$C$4,4,1),0),TODAY()))+SUMIFS(Transaksi!$F$16:$F$5015,Transaksi!$C$16:$C$5015,$A90,Transaksi!$D$16:$D$5015,"Masuk",Transaksi!$B$16:$B$5015,"&lt;="&amp;MIN(EOMONTH(DATE(Dashboard!$C$4,4,1),0),TODAY()))-SUMIFS(Transaksi!$F$16:$F$5015,Transaksi!$C$16:$C$5015,$A90,Transaksi!$D$16:$D$5015,"Keluar",Transaksi!$B$16:$B$5015,"&lt;="&amp;MIN(EOMONTH(DATE(Dashboard!$C$4,4,1),0),TODAY()))-SUMIFS(Transaksi!$F$16:$F$5015,Transaksi!$C$16:$C$5015,$A90,Transaksi!$D$16:$D$5015,"Pindah",Transaksi!$B$16:$B$5015,"&lt;="&amp;MIN(EOMONTH(DATE(Dashboard!$C$4,4,1),0),TODAY()))+SUMIFS(Transaksi!$F$16:$F$5015,Transaksi!$E$16:$E$5015,$A90,Transaksi!$D$16:$D$5015,"Pindah",Transaksi!$B$16:$B$5015,"&lt;="&amp;MIN(EOMONTH(DATE(Dashboard!$C$4,4,1),0),TODAY())))</f>
        <v/>
      </c>
      <c r="G90" s="106">
        <f>IF(OR($A90="",DATE(Dashboard!$C$4,5,1)&gt;TODAY(),ISNA(MATCH($B90,{"Pribadi","Investasi (kas RDN)","Piutang","Pinjaman Mama (dompet)"},0))),"",SUMIFS(Akun!$C$5:$C$104,Akun!$A$5:$A$104,$A90,Akun!$D$5:$D$104,"&lt;="&amp;MIN(EOMONTH(DATE(Dashboard!$C$4,5,1),0),TODAY()))+SUMIFS(Transaksi!$F$16:$F$5015,Transaksi!$C$16:$C$5015,$A90,Transaksi!$D$16:$D$5015,"Masuk",Transaksi!$B$16:$B$5015,"&lt;="&amp;MIN(EOMONTH(DATE(Dashboard!$C$4,5,1),0),TODAY()))-SUMIFS(Transaksi!$F$16:$F$5015,Transaksi!$C$16:$C$5015,$A90,Transaksi!$D$16:$D$5015,"Keluar",Transaksi!$B$16:$B$5015,"&lt;="&amp;MIN(EOMONTH(DATE(Dashboard!$C$4,5,1),0),TODAY()))-SUMIFS(Transaksi!$F$16:$F$5015,Transaksi!$C$16:$C$5015,$A90,Transaksi!$D$16:$D$5015,"Pindah",Transaksi!$B$16:$B$5015,"&lt;="&amp;MIN(EOMONTH(DATE(Dashboard!$C$4,5,1),0),TODAY()))+SUMIFS(Transaksi!$F$16:$F$5015,Transaksi!$E$16:$E$5015,$A90,Transaksi!$D$16:$D$5015,"Pindah",Transaksi!$B$16:$B$5015,"&lt;="&amp;MIN(EOMONTH(DATE(Dashboard!$C$4,5,1),0),TODAY())))</f>
        <v/>
      </c>
      <c r="H90" s="106">
        <f>IF(OR($A90="",DATE(Dashboard!$C$4,6,1)&gt;TODAY(),ISNA(MATCH($B90,{"Pribadi","Investasi (kas RDN)","Piutang","Pinjaman Mama (dompet)"},0))),"",SUMIFS(Akun!$C$5:$C$104,Akun!$A$5:$A$104,$A90,Akun!$D$5:$D$104,"&lt;="&amp;MIN(EOMONTH(DATE(Dashboard!$C$4,6,1),0),TODAY()))+SUMIFS(Transaksi!$F$16:$F$5015,Transaksi!$C$16:$C$5015,$A90,Transaksi!$D$16:$D$5015,"Masuk",Transaksi!$B$16:$B$5015,"&lt;="&amp;MIN(EOMONTH(DATE(Dashboard!$C$4,6,1),0),TODAY()))-SUMIFS(Transaksi!$F$16:$F$5015,Transaksi!$C$16:$C$5015,$A90,Transaksi!$D$16:$D$5015,"Keluar",Transaksi!$B$16:$B$5015,"&lt;="&amp;MIN(EOMONTH(DATE(Dashboard!$C$4,6,1),0),TODAY()))-SUMIFS(Transaksi!$F$16:$F$5015,Transaksi!$C$16:$C$5015,$A90,Transaksi!$D$16:$D$5015,"Pindah",Transaksi!$B$16:$B$5015,"&lt;="&amp;MIN(EOMONTH(DATE(Dashboard!$C$4,6,1),0),TODAY()))+SUMIFS(Transaksi!$F$16:$F$5015,Transaksi!$E$16:$E$5015,$A90,Transaksi!$D$16:$D$5015,"Pindah",Transaksi!$B$16:$B$5015,"&lt;="&amp;MIN(EOMONTH(DATE(Dashboard!$C$4,6,1),0),TODAY())))</f>
        <v/>
      </c>
      <c r="I90" s="106">
        <f>IF(OR($A90="",DATE(Dashboard!$C$4,7,1)&gt;TODAY(),ISNA(MATCH($B90,{"Pribadi","Investasi (kas RDN)","Piutang","Pinjaman Mama (dompet)"},0))),"",SUMIFS(Akun!$C$5:$C$104,Akun!$A$5:$A$104,$A90,Akun!$D$5:$D$104,"&lt;="&amp;MIN(EOMONTH(DATE(Dashboard!$C$4,7,1),0),TODAY()))+SUMIFS(Transaksi!$F$16:$F$5015,Transaksi!$C$16:$C$5015,$A90,Transaksi!$D$16:$D$5015,"Masuk",Transaksi!$B$16:$B$5015,"&lt;="&amp;MIN(EOMONTH(DATE(Dashboard!$C$4,7,1),0),TODAY()))-SUMIFS(Transaksi!$F$16:$F$5015,Transaksi!$C$16:$C$5015,$A90,Transaksi!$D$16:$D$5015,"Keluar",Transaksi!$B$16:$B$5015,"&lt;="&amp;MIN(EOMONTH(DATE(Dashboard!$C$4,7,1),0),TODAY()))-SUMIFS(Transaksi!$F$16:$F$5015,Transaksi!$C$16:$C$5015,$A90,Transaksi!$D$16:$D$5015,"Pindah",Transaksi!$B$16:$B$5015,"&lt;="&amp;MIN(EOMONTH(DATE(Dashboard!$C$4,7,1),0),TODAY()))+SUMIFS(Transaksi!$F$16:$F$5015,Transaksi!$E$16:$E$5015,$A90,Transaksi!$D$16:$D$5015,"Pindah",Transaksi!$B$16:$B$5015,"&lt;="&amp;MIN(EOMONTH(DATE(Dashboard!$C$4,7,1),0),TODAY())))</f>
        <v/>
      </c>
      <c r="J90" s="106">
        <f>IF(OR($A90="",DATE(Dashboard!$C$4,8,1)&gt;TODAY(),ISNA(MATCH($B90,{"Pribadi","Investasi (kas RDN)","Piutang","Pinjaman Mama (dompet)"},0))),"",SUMIFS(Akun!$C$5:$C$104,Akun!$A$5:$A$104,$A90,Akun!$D$5:$D$104,"&lt;="&amp;MIN(EOMONTH(DATE(Dashboard!$C$4,8,1),0),TODAY()))+SUMIFS(Transaksi!$F$16:$F$5015,Transaksi!$C$16:$C$5015,$A90,Transaksi!$D$16:$D$5015,"Masuk",Transaksi!$B$16:$B$5015,"&lt;="&amp;MIN(EOMONTH(DATE(Dashboard!$C$4,8,1),0),TODAY()))-SUMIFS(Transaksi!$F$16:$F$5015,Transaksi!$C$16:$C$5015,$A90,Transaksi!$D$16:$D$5015,"Keluar",Transaksi!$B$16:$B$5015,"&lt;="&amp;MIN(EOMONTH(DATE(Dashboard!$C$4,8,1),0),TODAY()))-SUMIFS(Transaksi!$F$16:$F$5015,Transaksi!$C$16:$C$5015,$A90,Transaksi!$D$16:$D$5015,"Pindah",Transaksi!$B$16:$B$5015,"&lt;="&amp;MIN(EOMONTH(DATE(Dashboard!$C$4,8,1),0),TODAY()))+SUMIFS(Transaksi!$F$16:$F$5015,Transaksi!$E$16:$E$5015,$A90,Transaksi!$D$16:$D$5015,"Pindah",Transaksi!$B$16:$B$5015,"&lt;="&amp;MIN(EOMONTH(DATE(Dashboard!$C$4,8,1),0),TODAY())))</f>
        <v/>
      </c>
      <c r="K90" s="106">
        <f>IF(OR($A90="",DATE(Dashboard!$C$4,9,1)&gt;TODAY(),ISNA(MATCH($B90,{"Pribadi","Investasi (kas RDN)","Piutang","Pinjaman Mama (dompet)"},0))),"",SUMIFS(Akun!$C$5:$C$104,Akun!$A$5:$A$104,$A90,Akun!$D$5:$D$104,"&lt;="&amp;MIN(EOMONTH(DATE(Dashboard!$C$4,9,1),0),TODAY()))+SUMIFS(Transaksi!$F$16:$F$5015,Transaksi!$C$16:$C$5015,$A90,Transaksi!$D$16:$D$5015,"Masuk",Transaksi!$B$16:$B$5015,"&lt;="&amp;MIN(EOMONTH(DATE(Dashboard!$C$4,9,1),0),TODAY()))-SUMIFS(Transaksi!$F$16:$F$5015,Transaksi!$C$16:$C$5015,$A90,Transaksi!$D$16:$D$5015,"Keluar",Transaksi!$B$16:$B$5015,"&lt;="&amp;MIN(EOMONTH(DATE(Dashboard!$C$4,9,1),0),TODAY()))-SUMIFS(Transaksi!$F$16:$F$5015,Transaksi!$C$16:$C$5015,$A90,Transaksi!$D$16:$D$5015,"Pindah",Transaksi!$B$16:$B$5015,"&lt;="&amp;MIN(EOMONTH(DATE(Dashboard!$C$4,9,1),0),TODAY()))+SUMIFS(Transaksi!$F$16:$F$5015,Transaksi!$E$16:$E$5015,$A90,Transaksi!$D$16:$D$5015,"Pindah",Transaksi!$B$16:$B$5015,"&lt;="&amp;MIN(EOMONTH(DATE(Dashboard!$C$4,9,1),0),TODAY())))</f>
        <v/>
      </c>
      <c r="L90" s="106">
        <f>IF(OR($A90="",DATE(Dashboard!$C$4,10,1)&gt;TODAY(),ISNA(MATCH($B90,{"Pribadi","Investasi (kas RDN)","Piutang","Pinjaman Mama (dompet)"},0))),"",SUMIFS(Akun!$C$5:$C$104,Akun!$A$5:$A$104,$A90,Akun!$D$5:$D$104,"&lt;="&amp;MIN(EOMONTH(DATE(Dashboard!$C$4,10,1),0),TODAY()))+SUMIFS(Transaksi!$F$16:$F$5015,Transaksi!$C$16:$C$5015,$A90,Transaksi!$D$16:$D$5015,"Masuk",Transaksi!$B$16:$B$5015,"&lt;="&amp;MIN(EOMONTH(DATE(Dashboard!$C$4,10,1),0),TODAY()))-SUMIFS(Transaksi!$F$16:$F$5015,Transaksi!$C$16:$C$5015,$A90,Transaksi!$D$16:$D$5015,"Keluar",Transaksi!$B$16:$B$5015,"&lt;="&amp;MIN(EOMONTH(DATE(Dashboard!$C$4,10,1),0),TODAY()))-SUMIFS(Transaksi!$F$16:$F$5015,Transaksi!$C$16:$C$5015,$A90,Transaksi!$D$16:$D$5015,"Pindah",Transaksi!$B$16:$B$5015,"&lt;="&amp;MIN(EOMONTH(DATE(Dashboard!$C$4,10,1),0),TODAY()))+SUMIFS(Transaksi!$F$16:$F$5015,Transaksi!$E$16:$E$5015,$A90,Transaksi!$D$16:$D$5015,"Pindah",Transaksi!$B$16:$B$5015,"&lt;="&amp;MIN(EOMONTH(DATE(Dashboard!$C$4,10,1),0),TODAY())))</f>
        <v/>
      </c>
      <c r="M90" s="106">
        <f>IF(OR($A90="",DATE(Dashboard!$C$4,11,1)&gt;TODAY(),ISNA(MATCH($B90,{"Pribadi","Investasi (kas RDN)","Piutang","Pinjaman Mama (dompet)"},0))),"",SUMIFS(Akun!$C$5:$C$104,Akun!$A$5:$A$104,$A90,Akun!$D$5:$D$104,"&lt;="&amp;MIN(EOMONTH(DATE(Dashboard!$C$4,11,1),0),TODAY()))+SUMIFS(Transaksi!$F$16:$F$5015,Transaksi!$C$16:$C$5015,$A90,Transaksi!$D$16:$D$5015,"Masuk",Transaksi!$B$16:$B$5015,"&lt;="&amp;MIN(EOMONTH(DATE(Dashboard!$C$4,11,1),0),TODAY()))-SUMIFS(Transaksi!$F$16:$F$5015,Transaksi!$C$16:$C$5015,$A90,Transaksi!$D$16:$D$5015,"Keluar",Transaksi!$B$16:$B$5015,"&lt;="&amp;MIN(EOMONTH(DATE(Dashboard!$C$4,11,1),0),TODAY()))-SUMIFS(Transaksi!$F$16:$F$5015,Transaksi!$C$16:$C$5015,$A90,Transaksi!$D$16:$D$5015,"Pindah",Transaksi!$B$16:$B$5015,"&lt;="&amp;MIN(EOMONTH(DATE(Dashboard!$C$4,11,1),0),TODAY()))+SUMIFS(Transaksi!$F$16:$F$5015,Transaksi!$E$16:$E$5015,$A90,Transaksi!$D$16:$D$5015,"Pindah",Transaksi!$B$16:$B$5015,"&lt;="&amp;MIN(EOMONTH(DATE(Dashboard!$C$4,11,1),0),TODAY())))</f>
        <v/>
      </c>
      <c r="N90" s="106">
        <f>IF(OR($A90="",DATE(Dashboard!$C$4,12,1)&gt;TODAY(),ISNA(MATCH($B90,{"Pribadi","Investasi (kas RDN)","Piutang","Pinjaman Mama (dompet)"},0))),"",SUMIFS(Akun!$C$5:$C$104,Akun!$A$5:$A$104,$A90,Akun!$D$5:$D$104,"&lt;="&amp;MIN(EOMONTH(DATE(Dashboard!$C$4,12,1),0),TODAY()))+SUMIFS(Transaksi!$F$16:$F$5015,Transaksi!$C$16:$C$5015,$A90,Transaksi!$D$16:$D$5015,"Masuk",Transaksi!$B$16:$B$5015,"&lt;="&amp;MIN(EOMONTH(DATE(Dashboard!$C$4,12,1),0),TODAY()))-SUMIFS(Transaksi!$F$16:$F$5015,Transaksi!$C$16:$C$5015,$A90,Transaksi!$D$16:$D$5015,"Keluar",Transaksi!$B$16:$B$5015,"&lt;="&amp;MIN(EOMONTH(DATE(Dashboard!$C$4,12,1),0),TODAY()))-SUMIFS(Transaksi!$F$16:$F$5015,Transaksi!$C$16:$C$5015,$A90,Transaksi!$D$16:$D$5015,"Pindah",Transaksi!$B$16:$B$5015,"&lt;="&amp;MIN(EOMONTH(DATE(Dashboard!$C$4,12,1),0),TODAY()))+SUMIFS(Transaksi!$F$16:$F$5015,Transaksi!$E$16:$E$5015,$A90,Transaksi!$D$16:$D$5015,"Pindah",Transaksi!$B$16:$B$5015,"&lt;="&amp;MIN(EOMONTH(DATE(Dashboard!$C$4,12,1),0),TODAY())))</f>
        <v/>
      </c>
    </row>
    <row r="91" ht="15" customHeight="1" s="94">
      <c r="A91" s="93">
        <f>IF(Akun!$A$55="","",Akun!$A$55)</f>
        <v/>
      </c>
      <c r="B91" s="93">
        <f>IF(Akun!$A$55="","",Akun!$B$55)</f>
        <v/>
      </c>
      <c r="C91" s="106">
        <f>IF(OR($A91="",DATE(Dashboard!$C$4,1,1)&gt;TODAY(),ISNA(MATCH($B91,{"Pribadi","Investasi (kas RDN)","Piutang","Pinjaman Mama (dompet)"},0))),"",SUMIFS(Akun!$C$5:$C$104,Akun!$A$5:$A$104,$A91,Akun!$D$5:$D$104,"&lt;="&amp;MIN(EOMONTH(DATE(Dashboard!$C$4,1,1),0),TODAY()))+SUMIFS(Transaksi!$F$16:$F$5015,Transaksi!$C$16:$C$5015,$A91,Transaksi!$D$16:$D$5015,"Masuk",Transaksi!$B$16:$B$5015,"&lt;="&amp;MIN(EOMONTH(DATE(Dashboard!$C$4,1,1),0),TODAY()))-SUMIFS(Transaksi!$F$16:$F$5015,Transaksi!$C$16:$C$5015,$A91,Transaksi!$D$16:$D$5015,"Keluar",Transaksi!$B$16:$B$5015,"&lt;="&amp;MIN(EOMONTH(DATE(Dashboard!$C$4,1,1),0),TODAY()))-SUMIFS(Transaksi!$F$16:$F$5015,Transaksi!$C$16:$C$5015,$A91,Transaksi!$D$16:$D$5015,"Pindah",Transaksi!$B$16:$B$5015,"&lt;="&amp;MIN(EOMONTH(DATE(Dashboard!$C$4,1,1),0),TODAY()))+SUMIFS(Transaksi!$F$16:$F$5015,Transaksi!$E$16:$E$5015,$A91,Transaksi!$D$16:$D$5015,"Pindah",Transaksi!$B$16:$B$5015,"&lt;="&amp;MIN(EOMONTH(DATE(Dashboard!$C$4,1,1),0),TODAY())))</f>
        <v/>
      </c>
      <c r="D91" s="106">
        <f>IF(OR($A91="",DATE(Dashboard!$C$4,2,1)&gt;TODAY(),ISNA(MATCH($B91,{"Pribadi","Investasi (kas RDN)","Piutang","Pinjaman Mama (dompet)"},0))),"",SUMIFS(Akun!$C$5:$C$104,Akun!$A$5:$A$104,$A91,Akun!$D$5:$D$104,"&lt;="&amp;MIN(EOMONTH(DATE(Dashboard!$C$4,2,1),0),TODAY()))+SUMIFS(Transaksi!$F$16:$F$5015,Transaksi!$C$16:$C$5015,$A91,Transaksi!$D$16:$D$5015,"Masuk",Transaksi!$B$16:$B$5015,"&lt;="&amp;MIN(EOMONTH(DATE(Dashboard!$C$4,2,1),0),TODAY()))-SUMIFS(Transaksi!$F$16:$F$5015,Transaksi!$C$16:$C$5015,$A91,Transaksi!$D$16:$D$5015,"Keluar",Transaksi!$B$16:$B$5015,"&lt;="&amp;MIN(EOMONTH(DATE(Dashboard!$C$4,2,1),0),TODAY()))-SUMIFS(Transaksi!$F$16:$F$5015,Transaksi!$C$16:$C$5015,$A91,Transaksi!$D$16:$D$5015,"Pindah",Transaksi!$B$16:$B$5015,"&lt;="&amp;MIN(EOMONTH(DATE(Dashboard!$C$4,2,1),0),TODAY()))+SUMIFS(Transaksi!$F$16:$F$5015,Transaksi!$E$16:$E$5015,$A91,Transaksi!$D$16:$D$5015,"Pindah",Transaksi!$B$16:$B$5015,"&lt;="&amp;MIN(EOMONTH(DATE(Dashboard!$C$4,2,1),0),TODAY())))</f>
        <v/>
      </c>
      <c r="E91" s="106">
        <f>IF(OR($A91="",DATE(Dashboard!$C$4,3,1)&gt;TODAY(),ISNA(MATCH($B91,{"Pribadi","Investasi (kas RDN)","Piutang","Pinjaman Mama (dompet)"},0))),"",SUMIFS(Akun!$C$5:$C$104,Akun!$A$5:$A$104,$A91,Akun!$D$5:$D$104,"&lt;="&amp;MIN(EOMONTH(DATE(Dashboard!$C$4,3,1),0),TODAY()))+SUMIFS(Transaksi!$F$16:$F$5015,Transaksi!$C$16:$C$5015,$A91,Transaksi!$D$16:$D$5015,"Masuk",Transaksi!$B$16:$B$5015,"&lt;="&amp;MIN(EOMONTH(DATE(Dashboard!$C$4,3,1),0),TODAY()))-SUMIFS(Transaksi!$F$16:$F$5015,Transaksi!$C$16:$C$5015,$A91,Transaksi!$D$16:$D$5015,"Keluar",Transaksi!$B$16:$B$5015,"&lt;="&amp;MIN(EOMONTH(DATE(Dashboard!$C$4,3,1),0),TODAY()))-SUMIFS(Transaksi!$F$16:$F$5015,Transaksi!$C$16:$C$5015,$A91,Transaksi!$D$16:$D$5015,"Pindah",Transaksi!$B$16:$B$5015,"&lt;="&amp;MIN(EOMONTH(DATE(Dashboard!$C$4,3,1),0),TODAY()))+SUMIFS(Transaksi!$F$16:$F$5015,Transaksi!$E$16:$E$5015,$A91,Transaksi!$D$16:$D$5015,"Pindah",Transaksi!$B$16:$B$5015,"&lt;="&amp;MIN(EOMONTH(DATE(Dashboard!$C$4,3,1),0),TODAY())))</f>
        <v/>
      </c>
      <c r="F91" s="106">
        <f>IF(OR($A91="",DATE(Dashboard!$C$4,4,1)&gt;TODAY(),ISNA(MATCH($B91,{"Pribadi","Investasi (kas RDN)","Piutang","Pinjaman Mama (dompet)"},0))),"",SUMIFS(Akun!$C$5:$C$104,Akun!$A$5:$A$104,$A91,Akun!$D$5:$D$104,"&lt;="&amp;MIN(EOMONTH(DATE(Dashboard!$C$4,4,1),0),TODAY()))+SUMIFS(Transaksi!$F$16:$F$5015,Transaksi!$C$16:$C$5015,$A91,Transaksi!$D$16:$D$5015,"Masuk",Transaksi!$B$16:$B$5015,"&lt;="&amp;MIN(EOMONTH(DATE(Dashboard!$C$4,4,1),0),TODAY()))-SUMIFS(Transaksi!$F$16:$F$5015,Transaksi!$C$16:$C$5015,$A91,Transaksi!$D$16:$D$5015,"Keluar",Transaksi!$B$16:$B$5015,"&lt;="&amp;MIN(EOMONTH(DATE(Dashboard!$C$4,4,1),0),TODAY()))-SUMIFS(Transaksi!$F$16:$F$5015,Transaksi!$C$16:$C$5015,$A91,Transaksi!$D$16:$D$5015,"Pindah",Transaksi!$B$16:$B$5015,"&lt;="&amp;MIN(EOMONTH(DATE(Dashboard!$C$4,4,1),0),TODAY()))+SUMIFS(Transaksi!$F$16:$F$5015,Transaksi!$E$16:$E$5015,$A91,Transaksi!$D$16:$D$5015,"Pindah",Transaksi!$B$16:$B$5015,"&lt;="&amp;MIN(EOMONTH(DATE(Dashboard!$C$4,4,1),0),TODAY())))</f>
        <v/>
      </c>
      <c r="G91" s="106">
        <f>IF(OR($A91="",DATE(Dashboard!$C$4,5,1)&gt;TODAY(),ISNA(MATCH($B91,{"Pribadi","Investasi (kas RDN)","Piutang","Pinjaman Mama (dompet)"},0))),"",SUMIFS(Akun!$C$5:$C$104,Akun!$A$5:$A$104,$A91,Akun!$D$5:$D$104,"&lt;="&amp;MIN(EOMONTH(DATE(Dashboard!$C$4,5,1),0),TODAY()))+SUMIFS(Transaksi!$F$16:$F$5015,Transaksi!$C$16:$C$5015,$A91,Transaksi!$D$16:$D$5015,"Masuk",Transaksi!$B$16:$B$5015,"&lt;="&amp;MIN(EOMONTH(DATE(Dashboard!$C$4,5,1),0),TODAY()))-SUMIFS(Transaksi!$F$16:$F$5015,Transaksi!$C$16:$C$5015,$A91,Transaksi!$D$16:$D$5015,"Keluar",Transaksi!$B$16:$B$5015,"&lt;="&amp;MIN(EOMONTH(DATE(Dashboard!$C$4,5,1),0),TODAY()))-SUMIFS(Transaksi!$F$16:$F$5015,Transaksi!$C$16:$C$5015,$A91,Transaksi!$D$16:$D$5015,"Pindah",Transaksi!$B$16:$B$5015,"&lt;="&amp;MIN(EOMONTH(DATE(Dashboard!$C$4,5,1),0),TODAY()))+SUMIFS(Transaksi!$F$16:$F$5015,Transaksi!$E$16:$E$5015,$A91,Transaksi!$D$16:$D$5015,"Pindah",Transaksi!$B$16:$B$5015,"&lt;="&amp;MIN(EOMONTH(DATE(Dashboard!$C$4,5,1),0),TODAY())))</f>
        <v/>
      </c>
      <c r="H91" s="106">
        <f>IF(OR($A91="",DATE(Dashboard!$C$4,6,1)&gt;TODAY(),ISNA(MATCH($B91,{"Pribadi","Investasi (kas RDN)","Piutang","Pinjaman Mama (dompet)"},0))),"",SUMIFS(Akun!$C$5:$C$104,Akun!$A$5:$A$104,$A91,Akun!$D$5:$D$104,"&lt;="&amp;MIN(EOMONTH(DATE(Dashboard!$C$4,6,1),0),TODAY()))+SUMIFS(Transaksi!$F$16:$F$5015,Transaksi!$C$16:$C$5015,$A91,Transaksi!$D$16:$D$5015,"Masuk",Transaksi!$B$16:$B$5015,"&lt;="&amp;MIN(EOMONTH(DATE(Dashboard!$C$4,6,1),0),TODAY()))-SUMIFS(Transaksi!$F$16:$F$5015,Transaksi!$C$16:$C$5015,$A91,Transaksi!$D$16:$D$5015,"Keluar",Transaksi!$B$16:$B$5015,"&lt;="&amp;MIN(EOMONTH(DATE(Dashboard!$C$4,6,1),0),TODAY()))-SUMIFS(Transaksi!$F$16:$F$5015,Transaksi!$C$16:$C$5015,$A91,Transaksi!$D$16:$D$5015,"Pindah",Transaksi!$B$16:$B$5015,"&lt;="&amp;MIN(EOMONTH(DATE(Dashboard!$C$4,6,1),0),TODAY()))+SUMIFS(Transaksi!$F$16:$F$5015,Transaksi!$E$16:$E$5015,$A91,Transaksi!$D$16:$D$5015,"Pindah",Transaksi!$B$16:$B$5015,"&lt;="&amp;MIN(EOMONTH(DATE(Dashboard!$C$4,6,1),0),TODAY())))</f>
        <v/>
      </c>
      <c r="I91" s="106">
        <f>IF(OR($A91="",DATE(Dashboard!$C$4,7,1)&gt;TODAY(),ISNA(MATCH($B91,{"Pribadi","Investasi (kas RDN)","Piutang","Pinjaman Mama (dompet)"},0))),"",SUMIFS(Akun!$C$5:$C$104,Akun!$A$5:$A$104,$A91,Akun!$D$5:$D$104,"&lt;="&amp;MIN(EOMONTH(DATE(Dashboard!$C$4,7,1),0),TODAY()))+SUMIFS(Transaksi!$F$16:$F$5015,Transaksi!$C$16:$C$5015,$A91,Transaksi!$D$16:$D$5015,"Masuk",Transaksi!$B$16:$B$5015,"&lt;="&amp;MIN(EOMONTH(DATE(Dashboard!$C$4,7,1),0),TODAY()))-SUMIFS(Transaksi!$F$16:$F$5015,Transaksi!$C$16:$C$5015,$A91,Transaksi!$D$16:$D$5015,"Keluar",Transaksi!$B$16:$B$5015,"&lt;="&amp;MIN(EOMONTH(DATE(Dashboard!$C$4,7,1),0),TODAY()))-SUMIFS(Transaksi!$F$16:$F$5015,Transaksi!$C$16:$C$5015,$A91,Transaksi!$D$16:$D$5015,"Pindah",Transaksi!$B$16:$B$5015,"&lt;="&amp;MIN(EOMONTH(DATE(Dashboard!$C$4,7,1),0),TODAY()))+SUMIFS(Transaksi!$F$16:$F$5015,Transaksi!$E$16:$E$5015,$A91,Transaksi!$D$16:$D$5015,"Pindah",Transaksi!$B$16:$B$5015,"&lt;="&amp;MIN(EOMONTH(DATE(Dashboard!$C$4,7,1),0),TODAY())))</f>
        <v/>
      </c>
      <c r="J91" s="106">
        <f>IF(OR($A91="",DATE(Dashboard!$C$4,8,1)&gt;TODAY(),ISNA(MATCH($B91,{"Pribadi","Investasi (kas RDN)","Piutang","Pinjaman Mama (dompet)"},0))),"",SUMIFS(Akun!$C$5:$C$104,Akun!$A$5:$A$104,$A91,Akun!$D$5:$D$104,"&lt;="&amp;MIN(EOMONTH(DATE(Dashboard!$C$4,8,1),0),TODAY()))+SUMIFS(Transaksi!$F$16:$F$5015,Transaksi!$C$16:$C$5015,$A91,Transaksi!$D$16:$D$5015,"Masuk",Transaksi!$B$16:$B$5015,"&lt;="&amp;MIN(EOMONTH(DATE(Dashboard!$C$4,8,1),0),TODAY()))-SUMIFS(Transaksi!$F$16:$F$5015,Transaksi!$C$16:$C$5015,$A91,Transaksi!$D$16:$D$5015,"Keluar",Transaksi!$B$16:$B$5015,"&lt;="&amp;MIN(EOMONTH(DATE(Dashboard!$C$4,8,1),0),TODAY()))-SUMIFS(Transaksi!$F$16:$F$5015,Transaksi!$C$16:$C$5015,$A91,Transaksi!$D$16:$D$5015,"Pindah",Transaksi!$B$16:$B$5015,"&lt;="&amp;MIN(EOMONTH(DATE(Dashboard!$C$4,8,1),0),TODAY()))+SUMIFS(Transaksi!$F$16:$F$5015,Transaksi!$E$16:$E$5015,$A91,Transaksi!$D$16:$D$5015,"Pindah",Transaksi!$B$16:$B$5015,"&lt;="&amp;MIN(EOMONTH(DATE(Dashboard!$C$4,8,1),0),TODAY())))</f>
        <v/>
      </c>
      <c r="K91" s="106">
        <f>IF(OR($A91="",DATE(Dashboard!$C$4,9,1)&gt;TODAY(),ISNA(MATCH($B91,{"Pribadi","Investasi (kas RDN)","Piutang","Pinjaman Mama (dompet)"},0))),"",SUMIFS(Akun!$C$5:$C$104,Akun!$A$5:$A$104,$A91,Akun!$D$5:$D$104,"&lt;="&amp;MIN(EOMONTH(DATE(Dashboard!$C$4,9,1),0),TODAY()))+SUMIFS(Transaksi!$F$16:$F$5015,Transaksi!$C$16:$C$5015,$A91,Transaksi!$D$16:$D$5015,"Masuk",Transaksi!$B$16:$B$5015,"&lt;="&amp;MIN(EOMONTH(DATE(Dashboard!$C$4,9,1),0),TODAY()))-SUMIFS(Transaksi!$F$16:$F$5015,Transaksi!$C$16:$C$5015,$A91,Transaksi!$D$16:$D$5015,"Keluar",Transaksi!$B$16:$B$5015,"&lt;="&amp;MIN(EOMONTH(DATE(Dashboard!$C$4,9,1),0),TODAY()))-SUMIFS(Transaksi!$F$16:$F$5015,Transaksi!$C$16:$C$5015,$A91,Transaksi!$D$16:$D$5015,"Pindah",Transaksi!$B$16:$B$5015,"&lt;="&amp;MIN(EOMONTH(DATE(Dashboard!$C$4,9,1),0),TODAY()))+SUMIFS(Transaksi!$F$16:$F$5015,Transaksi!$E$16:$E$5015,$A91,Transaksi!$D$16:$D$5015,"Pindah",Transaksi!$B$16:$B$5015,"&lt;="&amp;MIN(EOMONTH(DATE(Dashboard!$C$4,9,1),0),TODAY())))</f>
        <v/>
      </c>
      <c r="L91" s="106">
        <f>IF(OR($A91="",DATE(Dashboard!$C$4,10,1)&gt;TODAY(),ISNA(MATCH($B91,{"Pribadi","Investasi (kas RDN)","Piutang","Pinjaman Mama (dompet)"},0))),"",SUMIFS(Akun!$C$5:$C$104,Akun!$A$5:$A$104,$A91,Akun!$D$5:$D$104,"&lt;="&amp;MIN(EOMONTH(DATE(Dashboard!$C$4,10,1),0),TODAY()))+SUMIFS(Transaksi!$F$16:$F$5015,Transaksi!$C$16:$C$5015,$A91,Transaksi!$D$16:$D$5015,"Masuk",Transaksi!$B$16:$B$5015,"&lt;="&amp;MIN(EOMONTH(DATE(Dashboard!$C$4,10,1),0),TODAY()))-SUMIFS(Transaksi!$F$16:$F$5015,Transaksi!$C$16:$C$5015,$A91,Transaksi!$D$16:$D$5015,"Keluar",Transaksi!$B$16:$B$5015,"&lt;="&amp;MIN(EOMONTH(DATE(Dashboard!$C$4,10,1),0),TODAY()))-SUMIFS(Transaksi!$F$16:$F$5015,Transaksi!$C$16:$C$5015,$A91,Transaksi!$D$16:$D$5015,"Pindah",Transaksi!$B$16:$B$5015,"&lt;="&amp;MIN(EOMONTH(DATE(Dashboard!$C$4,10,1),0),TODAY()))+SUMIFS(Transaksi!$F$16:$F$5015,Transaksi!$E$16:$E$5015,$A91,Transaksi!$D$16:$D$5015,"Pindah",Transaksi!$B$16:$B$5015,"&lt;="&amp;MIN(EOMONTH(DATE(Dashboard!$C$4,10,1),0),TODAY())))</f>
        <v/>
      </c>
      <c r="M91" s="106">
        <f>IF(OR($A91="",DATE(Dashboard!$C$4,11,1)&gt;TODAY(),ISNA(MATCH($B91,{"Pribadi","Investasi (kas RDN)","Piutang","Pinjaman Mama (dompet)"},0))),"",SUMIFS(Akun!$C$5:$C$104,Akun!$A$5:$A$104,$A91,Akun!$D$5:$D$104,"&lt;="&amp;MIN(EOMONTH(DATE(Dashboard!$C$4,11,1),0),TODAY()))+SUMIFS(Transaksi!$F$16:$F$5015,Transaksi!$C$16:$C$5015,$A91,Transaksi!$D$16:$D$5015,"Masuk",Transaksi!$B$16:$B$5015,"&lt;="&amp;MIN(EOMONTH(DATE(Dashboard!$C$4,11,1),0),TODAY()))-SUMIFS(Transaksi!$F$16:$F$5015,Transaksi!$C$16:$C$5015,$A91,Transaksi!$D$16:$D$5015,"Keluar",Transaksi!$B$16:$B$5015,"&lt;="&amp;MIN(EOMONTH(DATE(Dashboard!$C$4,11,1),0),TODAY()))-SUMIFS(Transaksi!$F$16:$F$5015,Transaksi!$C$16:$C$5015,$A91,Transaksi!$D$16:$D$5015,"Pindah",Transaksi!$B$16:$B$5015,"&lt;="&amp;MIN(EOMONTH(DATE(Dashboard!$C$4,11,1),0),TODAY()))+SUMIFS(Transaksi!$F$16:$F$5015,Transaksi!$E$16:$E$5015,$A91,Transaksi!$D$16:$D$5015,"Pindah",Transaksi!$B$16:$B$5015,"&lt;="&amp;MIN(EOMONTH(DATE(Dashboard!$C$4,11,1),0),TODAY())))</f>
        <v/>
      </c>
      <c r="N91" s="106">
        <f>IF(OR($A91="",DATE(Dashboard!$C$4,12,1)&gt;TODAY(),ISNA(MATCH($B91,{"Pribadi","Investasi (kas RDN)","Piutang","Pinjaman Mama (dompet)"},0))),"",SUMIFS(Akun!$C$5:$C$104,Akun!$A$5:$A$104,$A91,Akun!$D$5:$D$104,"&lt;="&amp;MIN(EOMONTH(DATE(Dashboard!$C$4,12,1),0),TODAY()))+SUMIFS(Transaksi!$F$16:$F$5015,Transaksi!$C$16:$C$5015,$A91,Transaksi!$D$16:$D$5015,"Masuk",Transaksi!$B$16:$B$5015,"&lt;="&amp;MIN(EOMONTH(DATE(Dashboard!$C$4,12,1),0),TODAY()))-SUMIFS(Transaksi!$F$16:$F$5015,Transaksi!$C$16:$C$5015,$A91,Transaksi!$D$16:$D$5015,"Keluar",Transaksi!$B$16:$B$5015,"&lt;="&amp;MIN(EOMONTH(DATE(Dashboard!$C$4,12,1),0),TODAY()))-SUMIFS(Transaksi!$F$16:$F$5015,Transaksi!$C$16:$C$5015,$A91,Transaksi!$D$16:$D$5015,"Pindah",Transaksi!$B$16:$B$5015,"&lt;="&amp;MIN(EOMONTH(DATE(Dashboard!$C$4,12,1),0),TODAY()))+SUMIFS(Transaksi!$F$16:$F$5015,Transaksi!$E$16:$E$5015,$A91,Transaksi!$D$16:$D$5015,"Pindah",Transaksi!$B$16:$B$5015,"&lt;="&amp;MIN(EOMONTH(DATE(Dashboard!$C$4,12,1),0),TODAY())))</f>
        <v/>
      </c>
    </row>
    <row r="92" ht="15" customHeight="1" s="94">
      <c r="A92" s="93">
        <f>IF(Akun!$A$56="","",Akun!$A$56)</f>
        <v/>
      </c>
      <c r="B92" s="93">
        <f>IF(Akun!$A$56="","",Akun!$B$56)</f>
        <v/>
      </c>
      <c r="C92" s="106">
        <f>IF(OR($A92="",DATE(Dashboard!$C$4,1,1)&gt;TODAY(),ISNA(MATCH($B92,{"Pribadi","Investasi (kas RDN)","Piutang","Pinjaman Mama (dompet)"},0))),"",SUMIFS(Akun!$C$5:$C$104,Akun!$A$5:$A$104,$A92,Akun!$D$5:$D$104,"&lt;="&amp;MIN(EOMONTH(DATE(Dashboard!$C$4,1,1),0),TODAY()))+SUMIFS(Transaksi!$F$16:$F$5015,Transaksi!$C$16:$C$5015,$A92,Transaksi!$D$16:$D$5015,"Masuk",Transaksi!$B$16:$B$5015,"&lt;="&amp;MIN(EOMONTH(DATE(Dashboard!$C$4,1,1),0),TODAY()))-SUMIFS(Transaksi!$F$16:$F$5015,Transaksi!$C$16:$C$5015,$A92,Transaksi!$D$16:$D$5015,"Keluar",Transaksi!$B$16:$B$5015,"&lt;="&amp;MIN(EOMONTH(DATE(Dashboard!$C$4,1,1),0),TODAY()))-SUMIFS(Transaksi!$F$16:$F$5015,Transaksi!$C$16:$C$5015,$A92,Transaksi!$D$16:$D$5015,"Pindah",Transaksi!$B$16:$B$5015,"&lt;="&amp;MIN(EOMONTH(DATE(Dashboard!$C$4,1,1),0),TODAY()))+SUMIFS(Transaksi!$F$16:$F$5015,Transaksi!$E$16:$E$5015,$A92,Transaksi!$D$16:$D$5015,"Pindah",Transaksi!$B$16:$B$5015,"&lt;="&amp;MIN(EOMONTH(DATE(Dashboard!$C$4,1,1),0),TODAY())))</f>
        <v/>
      </c>
      <c r="D92" s="106">
        <f>IF(OR($A92="",DATE(Dashboard!$C$4,2,1)&gt;TODAY(),ISNA(MATCH($B92,{"Pribadi","Investasi (kas RDN)","Piutang","Pinjaman Mama (dompet)"},0))),"",SUMIFS(Akun!$C$5:$C$104,Akun!$A$5:$A$104,$A92,Akun!$D$5:$D$104,"&lt;="&amp;MIN(EOMONTH(DATE(Dashboard!$C$4,2,1),0),TODAY()))+SUMIFS(Transaksi!$F$16:$F$5015,Transaksi!$C$16:$C$5015,$A92,Transaksi!$D$16:$D$5015,"Masuk",Transaksi!$B$16:$B$5015,"&lt;="&amp;MIN(EOMONTH(DATE(Dashboard!$C$4,2,1),0),TODAY()))-SUMIFS(Transaksi!$F$16:$F$5015,Transaksi!$C$16:$C$5015,$A92,Transaksi!$D$16:$D$5015,"Keluar",Transaksi!$B$16:$B$5015,"&lt;="&amp;MIN(EOMONTH(DATE(Dashboard!$C$4,2,1),0),TODAY()))-SUMIFS(Transaksi!$F$16:$F$5015,Transaksi!$C$16:$C$5015,$A92,Transaksi!$D$16:$D$5015,"Pindah",Transaksi!$B$16:$B$5015,"&lt;="&amp;MIN(EOMONTH(DATE(Dashboard!$C$4,2,1),0),TODAY()))+SUMIFS(Transaksi!$F$16:$F$5015,Transaksi!$E$16:$E$5015,$A92,Transaksi!$D$16:$D$5015,"Pindah",Transaksi!$B$16:$B$5015,"&lt;="&amp;MIN(EOMONTH(DATE(Dashboard!$C$4,2,1),0),TODAY())))</f>
        <v/>
      </c>
      <c r="E92" s="106">
        <f>IF(OR($A92="",DATE(Dashboard!$C$4,3,1)&gt;TODAY(),ISNA(MATCH($B92,{"Pribadi","Investasi (kas RDN)","Piutang","Pinjaman Mama (dompet)"},0))),"",SUMIFS(Akun!$C$5:$C$104,Akun!$A$5:$A$104,$A92,Akun!$D$5:$D$104,"&lt;="&amp;MIN(EOMONTH(DATE(Dashboard!$C$4,3,1),0),TODAY()))+SUMIFS(Transaksi!$F$16:$F$5015,Transaksi!$C$16:$C$5015,$A92,Transaksi!$D$16:$D$5015,"Masuk",Transaksi!$B$16:$B$5015,"&lt;="&amp;MIN(EOMONTH(DATE(Dashboard!$C$4,3,1),0),TODAY()))-SUMIFS(Transaksi!$F$16:$F$5015,Transaksi!$C$16:$C$5015,$A92,Transaksi!$D$16:$D$5015,"Keluar",Transaksi!$B$16:$B$5015,"&lt;="&amp;MIN(EOMONTH(DATE(Dashboard!$C$4,3,1),0),TODAY()))-SUMIFS(Transaksi!$F$16:$F$5015,Transaksi!$C$16:$C$5015,$A92,Transaksi!$D$16:$D$5015,"Pindah",Transaksi!$B$16:$B$5015,"&lt;="&amp;MIN(EOMONTH(DATE(Dashboard!$C$4,3,1),0),TODAY()))+SUMIFS(Transaksi!$F$16:$F$5015,Transaksi!$E$16:$E$5015,$A92,Transaksi!$D$16:$D$5015,"Pindah",Transaksi!$B$16:$B$5015,"&lt;="&amp;MIN(EOMONTH(DATE(Dashboard!$C$4,3,1),0),TODAY())))</f>
        <v/>
      </c>
      <c r="F92" s="106">
        <f>IF(OR($A92="",DATE(Dashboard!$C$4,4,1)&gt;TODAY(),ISNA(MATCH($B92,{"Pribadi","Investasi (kas RDN)","Piutang","Pinjaman Mama (dompet)"},0))),"",SUMIFS(Akun!$C$5:$C$104,Akun!$A$5:$A$104,$A92,Akun!$D$5:$D$104,"&lt;="&amp;MIN(EOMONTH(DATE(Dashboard!$C$4,4,1),0),TODAY()))+SUMIFS(Transaksi!$F$16:$F$5015,Transaksi!$C$16:$C$5015,$A92,Transaksi!$D$16:$D$5015,"Masuk",Transaksi!$B$16:$B$5015,"&lt;="&amp;MIN(EOMONTH(DATE(Dashboard!$C$4,4,1),0),TODAY()))-SUMIFS(Transaksi!$F$16:$F$5015,Transaksi!$C$16:$C$5015,$A92,Transaksi!$D$16:$D$5015,"Keluar",Transaksi!$B$16:$B$5015,"&lt;="&amp;MIN(EOMONTH(DATE(Dashboard!$C$4,4,1),0),TODAY()))-SUMIFS(Transaksi!$F$16:$F$5015,Transaksi!$C$16:$C$5015,$A92,Transaksi!$D$16:$D$5015,"Pindah",Transaksi!$B$16:$B$5015,"&lt;="&amp;MIN(EOMONTH(DATE(Dashboard!$C$4,4,1),0),TODAY()))+SUMIFS(Transaksi!$F$16:$F$5015,Transaksi!$E$16:$E$5015,$A92,Transaksi!$D$16:$D$5015,"Pindah",Transaksi!$B$16:$B$5015,"&lt;="&amp;MIN(EOMONTH(DATE(Dashboard!$C$4,4,1),0),TODAY())))</f>
        <v/>
      </c>
      <c r="G92" s="106">
        <f>IF(OR($A92="",DATE(Dashboard!$C$4,5,1)&gt;TODAY(),ISNA(MATCH($B92,{"Pribadi","Investasi (kas RDN)","Piutang","Pinjaman Mama (dompet)"},0))),"",SUMIFS(Akun!$C$5:$C$104,Akun!$A$5:$A$104,$A92,Akun!$D$5:$D$104,"&lt;="&amp;MIN(EOMONTH(DATE(Dashboard!$C$4,5,1),0),TODAY()))+SUMIFS(Transaksi!$F$16:$F$5015,Transaksi!$C$16:$C$5015,$A92,Transaksi!$D$16:$D$5015,"Masuk",Transaksi!$B$16:$B$5015,"&lt;="&amp;MIN(EOMONTH(DATE(Dashboard!$C$4,5,1),0),TODAY()))-SUMIFS(Transaksi!$F$16:$F$5015,Transaksi!$C$16:$C$5015,$A92,Transaksi!$D$16:$D$5015,"Keluar",Transaksi!$B$16:$B$5015,"&lt;="&amp;MIN(EOMONTH(DATE(Dashboard!$C$4,5,1),0),TODAY()))-SUMIFS(Transaksi!$F$16:$F$5015,Transaksi!$C$16:$C$5015,$A92,Transaksi!$D$16:$D$5015,"Pindah",Transaksi!$B$16:$B$5015,"&lt;="&amp;MIN(EOMONTH(DATE(Dashboard!$C$4,5,1),0),TODAY()))+SUMIFS(Transaksi!$F$16:$F$5015,Transaksi!$E$16:$E$5015,$A92,Transaksi!$D$16:$D$5015,"Pindah",Transaksi!$B$16:$B$5015,"&lt;="&amp;MIN(EOMONTH(DATE(Dashboard!$C$4,5,1),0),TODAY())))</f>
        <v/>
      </c>
      <c r="H92" s="106">
        <f>IF(OR($A92="",DATE(Dashboard!$C$4,6,1)&gt;TODAY(),ISNA(MATCH($B92,{"Pribadi","Investasi (kas RDN)","Piutang","Pinjaman Mama (dompet)"},0))),"",SUMIFS(Akun!$C$5:$C$104,Akun!$A$5:$A$104,$A92,Akun!$D$5:$D$104,"&lt;="&amp;MIN(EOMONTH(DATE(Dashboard!$C$4,6,1),0),TODAY()))+SUMIFS(Transaksi!$F$16:$F$5015,Transaksi!$C$16:$C$5015,$A92,Transaksi!$D$16:$D$5015,"Masuk",Transaksi!$B$16:$B$5015,"&lt;="&amp;MIN(EOMONTH(DATE(Dashboard!$C$4,6,1),0),TODAY()))-SUMIFS(Transaksi!$F$16:$F$5015,Transaksi!$C$16:$C$5015,$A92,Transaksi!$D$16:$D$5015,"Keluar",Transaksi!$B$16:$B$5015,"&lt;="&amp;MIN(EOMONTH(DATE(Dashboard!$C$4,6,1),0),TODAY()))-SUMIFS(Transaksi!$F$16:$F$5015,Transaksi!$C$16:$C$5015,$A92,Transaksi!$D$16:$D$5015,"Pindah",Transaksi!$B$16:$B$5015,"&lt;="&amp;MIN(EOMONTH(DATE(Dashboard!$C$4,6,1),0),TODAY()))+SUMIFS(Transaksi!$F$16:$F$5015,Transaksi!$E$16:$E$5015,$A92,Transaksi!$D$16:$D$5015,"Pindah",Transaksi!$B$16:$B$5015,"&lt;="&amp;MIN(EOMONTH(DATE(Dashboard!$C$4,6,1),0),TODAY())))</f>
        <v/>
      </c>
      <c r="I92" s="106">
        <f>IF(OR($A92="",DATE(Dashboard!$C$4,7,1)&gt;TODAY(),ISNA(MATCH($B92,{"Pribadi","Investasi (kas RDN)","Piutang","Pinjaman Mama (dompet)"},0))),"",SUMIFS(Akun!$C$5:$C$104,Akun!$A$5:$A$104,$A92,Akun!$D$5:$D$104,"&lt;="&amp;MIN(EOMONTH(DATE(Dashboard!$C$4,7,1),0),TODAY()))+SUMIFS(Transaksi!$F$16:$F$5015,Transaksi!$C$16:$C$5015,$A92,Transaksi!$D$16:$D$5015,"Masuk",Transaksi!$B$16:$B$5015,"&lt;="&amp;MIN(EOMONTH(DATE(Dashboard!$C$4,7,1),0),TODAY()))-SUMIFS(Transaksi!$F$16:$F$5015,Transaksi!$C$16:$C$5015,$A92,Transaksi!$D$16:$D$5015,"Keluar",Transaksi!$B$16:$B$5015,"&lt;="&amp;MIN(EOMONTH(DATE(Dashboard!$C$4,7,1),0),TODAY()))-SUMIFS(Transaksi!$F$16:$F$5015,Transaksi!$C$16:$C$5015,$A92,Transaksi!$D$16:$D$5015,"Pindah",Transaksi!$B$16:$B$5015,"&lt;="&amp;MIN(EOMONTH(DATE(Dashboard!$C$4,7,1),0),TODAY()))+SUMIFS(Transaksi!$F$16:$F$5015,Transaksi!$E$16:$E$5015,$A92,Transaksi!$D$16:$D$5015,"Pindah",Transaksi!$B$16:$B$5015,"&lt;="&amp;MIN(EOMONTH(DATE(Dashboard!$C$4,7,1),0),TODAY())))</f>
        <v/>
      </c>
      <c r="J92" s="106">
        <f>IF(OR($A92="",DATE(Dashboard!$C$4,8,1)&gt;TODAY(),ISNA(MATCH($B92,{"Pribadi","Investasi (kas RDN)","Piutang","Pinjaman Mama (dompet)"},0))),"",SUMIFS(Akun!$C$5:$C$104,Akun!$A$5:$A$104,$A92,Akun!$D$5:$D$104,"&lt;="&amp;MIN(EOMONTH(DATE(Dashboard!$C$4,8,1),0),TODAY()))+SUMIFS(Transaksi!$F$16:$F$5015,Transaksi!$C$16:$C$5015,$A92,Transaksi!$D$16:$D$5015,"Masuk",Transaksi!$B$16:$B$5015,"&lt;="&amp;MIN(EOMONTH(DATE(Dashboard!$C$4,8,1),0),TODAY()))-SUMIFS(Transaksi!$F$16:$F$5015,Transaksi!$C$16:$C$5015,$A92,Transaksi!$D$16:$D$5015,"Keluar",Transaksi!$B$16:$B$5015,"&lt;="&amp;MIN(EOMONTH(DATE(Dashboard!$C$4,8,1),0),TODAY()))-SUMIFS(Transaksi!$F$16:$F$5015,Transaksi!$C$16:$C$5015,$A92,Transaksi!$D$16:$D$5015,"Pindah",Transaksi!$B$16:$B$5015,"&lt;="&amp;MIN(EOMONTH(DATE(Dashboard!$C$4,8,1),0),TODAY()))+SUMIFS(Transaksi!$F$16:$F$5015,Transaksi!$E$16:$E$5015,$A92,Transaksi!$D$16:$D$5015,"Pindah",Transaksi!$B$16:$B$5015,"&lt;="&amp;MIN(EOMONTH(DATE(Dashboard!$C$4,8,1),0),TODAY())))</f>
        <v/>
      </c>
      <c r="K92" s="106">
        <f>IF(OR($A92="",DATE(Dashboard!$C$4,9,1)&gt;TODAY(),ISNA(MATCH($B92,{"Pribadi","Investasi (kas RDN)","Piutang","Pinjaman Mama (dompet)"},0))),"",SUMIFS(Akun!$C$5:$C$104,Akun!$A$5:$A$104,$A92,Akun!$D$5:$D$104,"&lt;="&amp;MIN(EOMONTH(DATE(Dashboard!$C$4,9,1),0),TODAY()))+SUMIFS(Transaksi!$F$16:$F$5015,Transaksi!$C$16:$C$5015,$A92,Transaksi!$D$16:$D$5015,"Masuk",Transaksi!$B$16:$B$5015,"&lt;="&amp;MIN(EOMONTH(DATE(Dashboard!$C$4,9,1),0),TODAY()))-SUMIFS(Transaksi!$F$16:$F$5015,Transaksi!$C$16:$C$5015,$A92,Transaksi!$D$16:$D$5015,"Keluar",Transaksi!$B$16:$B$5015,"&lt;="&amp;MIN(EOMONTH(DATE(Dashboard!$C$4,9,1),0),TODAY()))-SUMIFS(Transaksi!$F$16:$F$5015,Transaksi!$C$16:$C$5015,$A92,Transaksi!$D$16:$D$5015,"Pindah",Transaksi!$B$16:$B$5015,"&lt;="&amp;MIN(EOMONTH(DATE(Dashboard!$C$4,9,1),0),TODAY()))+SUMIFS(Transaksi!$F$16:$F$5015,Transaksi!$E$16:$E$5015,$A92,Transaksi!$D$16:$D$5015,"Pindah",Transaksi!$B$16:$B$5015,"&lt;="&amp;MIN(EOMONTH(DATE(Dashboard!$C$4,9,1),0),TODAY())))</f>
        <v/>
      </c>
      <c r="L92" s="106">
        <f>IF(OR($A92="",DATE(Dashboard!$C$4,10,1)&gt;TODAY(),ISNA(MATCH($B92,{"Pribadi","Investasi (kas RDN)","Piutang","Pinjaman Mama (dompet)"},0))),"",SUMIFS(Akun!$C$5:$C$104,Akun!$A$5:$A$104,$A92,Akun!$D$5:$D$104,"&lt;="&amp;MIN(EOMONTH(DATE(Dashboard!$C$4,10,1),0),TODAY()))+SUMIFS(Transaksi!$F$16:$F$5015,Transaksi!$C$16:$C$5015,$A92,Transaksi!$D$16:$D$5015,"Masuk",Transaksi!$B$16:$B$5015,"&lt;="&amp;MIN(EOMONTH(DATE(Dashboard!$C$4,10,1),0),TODAY()))-SUMIFS(Transaksi!$F$16:$F$5015,Transaksi!$C$16:$C$5015,$A92,Transaksi!$D$16:$D$5015,"Keluar",Transaksi!$B$16:$B$5015,"&lt;="&amp;MIN(EOMONTH(DATE(Dashboard!$C$4,10,1),0),TODAY()))-SUMIFS(Transaksi!$F$16:$F$5015,Transaksi!$C$16:$C$5015,$A92,Transaksi!$D$16:$D$5015,"Pindah",Transaksi!$B$16:$B$5015,"&lt;="&amp;MIN(EOMONTH(DATE(Dashboard!$C$4,10,1),0),TODAY()))+SUMIFS(Transaksi!$F$16:$F$5015,Transaksi!$E$16:$E$5015,$A92,Transaksi!$D$16:$D$5015,"Pindah",Transaksi!$B$16:$B$5015,"&lt;="&amp;MIN(EOMONTH(DATE(Dashboard!$C$4,10,1),0),TODAY())))</f>
        <v/>
      </c>
      <c r="M92" s="106">
        <f>IF(OR($A92="",DATE(Dashboard!$C$4,11,1)&gt;TODAY(),ISNA(MATCH($B92,{"Pribadi","Investasi (kas RDN)","Piutang","Pinjaman Mama (dompet)"},0))),"",SUMIFS(Akun!$C$5:$C$104,Akun!$A$5:$A$104,$A92,Akun!$D$5:$D$104,"&lt;="&amp;MIN(EOMONTH(DATE(Dashboard!$C$4,11,1),0),TODAY()))+SUMIFS(Transaksi!$F$16:$F$5015,Transaksi!$C$16:$C$5015,$A92,Transaksi!$D$16:$D$5015,"Masuk",Transaksi!$B$16:$B$5015,"&lt;="&amp;MIN(EOMONTH(DATE(Dashboard!$C$4,11,1),0),TODAY()))-SUMIFS(Transaksi!$F$16:$F$5015,Transaksi!$C$16:$C$5015,$A92,Transaksi!$D$16:$D$5015,"Keluar",Transaksi!$B$16:$B$5015,"&lt;="&amp;MIN(EOMONTH(DATE(Dashboard!$C$4,11,1),0),TODAY()))-SUMIFS(Transaksi!$F$16:$F$5015,Transaksi!$C$16:$C$5015,$A92,Transaksi!$D$16:$D$5015,"Pindah",Transaksi!$B$16:$B$5015,"&lt;="&amp;MIN(EOMONTH(DATE(Dashboard!$C$4,11,1),0),TODAY()))+SUMIFS(Transaksi!$F$16:$F$5015,Transaksi!$E$16:$E$5015,$A92,Transaksi!$D$16:$D$5015,"Pindah",Transaksi!$B$16:$B$5015,"&lt;="&amp;MIN(EOMONTH(DATE(Dashboard!$C$4,11,1),0),TODAY())))</f>
        <v/>
      </c>
      <c r="N92" s="106">
        <f>IF(OR($A92="",DATE(Dashboard!$C$4,12,1)&gt;TODAY(),ISNA(MATCH($B92,{"Pribadi","Investasi (kas RDN)","Piutang","Pinjaman Mama (dompet)"},0))),"",SUMIFS(Akun!$C$5:$C$104,Akun!$A$5:$A$104,$A92,Akun!$D$5:$D$104,"&lt;="&amp;MIN(EOMONTH(DATE(Dashboard!$C$4,12,1),0),TODAY()))+SUMIFS(Transaksi!$F$16:$F$5015,Transaksi!$C$16:$C$5015,$A92,Transaksi!$D$16:$D$5015,"Masuk",Transaksi!$B$16:$B$5015,"&lt;="&amp;MIN(EOMONTH(DATE(Dashboard!$C$4,12,1),0),TODAY()))-SUMIFS(Transaksi!$F$16:$F$5015,Transaksi!$C$16:$C$5015,$A92,Transaksi!$D$16:$D$5015,"Keluar",Transaksi!$B$16:$B$5015,"&lt;="&amp;MIN(EOMONTH(DATE(Dashboard!$C$4,12,1),0),TODAY()))-SUMIFS(Transaksi!$F$16:$F$5015,Transaksi!$C$16:$C$5015,$A92,Transaksi!$D$16:$D$5015,"Pindah",Transaksi!$B$16:$B$5015,"&lt;="&amp;MIN(EOMONTH(DATE(Dashboard!$C$4,12,1),0),TODAY()))+SUMIFS(Transaksi!$F$16:$F$5015,Transaksi!$E$16:$E$5015,$A92,Transaksi!$D$16:$D$5015,"Pindah",Transaksi!$B$16:$B$5015,"&lt;="&amp;MIN(EOMONTH(DATE(Dashboard!$C$4,12,1),0),TODAY())))</f>
        <v/>
      </c>
    </row>
    <row r="93" ht="15" customHeight="1" s="94">
      <c r="A93" s="93">
        <f>IF(Akun!$A$57="","",Akun!$A$57)</f>
        <v/>
      </c>
      <c r="B93" s="93">
        <f>IF(Akun!$A$57="","",Akun!$B$57)</f>
        <v/>
      </c>
      <c r="C93" s="106">
        <f>IF(OR($A93="",DATE(Dashboard!$C$4,1,1)&gt;TODAY(),ISNA(MATCH($B93,{"Pribadi","Investasi (kas RDN)","Piutang","Pinjaman Mama (dompet)"},0))),"",SUMIFS(Akun!$C$5:$C$104,Akun!$A$5:$A$104,$A93,Akun!$D$5:$D$104,"&lt;="&amp;MIN(EOMONTH(DATE(Dashboard!$C$4,1,1),0),TODAY()))+SUMIFS(Transaksi!$F$16:$F$5015,Transaksi!$C$16:$C$5015,$A93,Transaksi!$D$16:$D$5015,"Masuk",Transaksi!$B$16:$B$5015,"&lt;="&amp;MIN(EOMONTH(DATE(Dashboard!$C$4,1,1),0),TODAY()))-SUMIFS(Transaksi!$F$16:$F$5015,Transaksi!$C$16:$C$5015,$A93,Transaksi!$D$16:$D$5015,"Keluar",Transaksi!$B$16:$B$5015,"&lt;="&amp;MIN(EOMONTH(DATE(Dashboard!$C$4,1,1),0),TODAY()))-SUMIFS(Transaksi!$F$16:$F$5015,Transaksi!$C$16:$C$5015,$A93,Transaksi!$D$16:$D$5015,"Pindah",Transaksi!$B$16:$B$5015,"&lt;="&amp;MIN(EOMONTH(DATE(Dashboard!$C$4,1,1),0),TODAY()))+SUMIFS(Transaksi!$F$16:$F$5015,Transaksi!$E$16:$E$5015,$A93,Transaksi!$D$16:$D$5015,"Pindah",Transaksi!$B$16:$B$5015,"&lt;="&amp;MIN(EOMONTH(DATE(Dashboard!$C$4,1,1),0),TODAY())))</f>
        <v/>
      </c>
      <c r="D93" s="106">
        <f>IF(OR($A93="",DATE(Dashboard!$C$4,2,1)&gt;TODAY(),ISNA(MATCH($B93,{"Pribadi","Investasi (kas RDN)","Piutang","Pinjaman Mama (dompet)"},0))),"",SUMIFS(Akun!$C$5:$C$104,Akun!$A$5:$A$104,$A93,Akun!$D$5:$D$104,"&lt;="&amp;MIN(EOMONTH(DATE(Dashboard!$C$4,2,1),0),TODAY()))+SUMIFS(Transaksi!$F$16:$F$5015,Transaksi!$C$16:$C$5015,$A93,Transaksi!$D$16:$D$5015,"Masuk",Transaksi!$B$16:$B$5015,"&lt;="&amp;MIN(EOMONTH(DATE(Dashboard!$C$4,2,1),0),TODAY()))-SUMIFS(Transaksi!$F$16:$F$5015,Transaksi!$C$16:$C$5015,$A93,Transaksi!$D$16:$D$5015,"Keluar",Transaksi!$B$16:$B$5015,"&lt;="&amp;MIN(EOMONTH(DATE(Dashboard!$C$4,2,1),0),TODAY()))-SUMIFS(Transaksi!$F$16:$F$5015,Transaksi!$C$16:$C$5015,$A93,Transaksi!$D$16:$D$5015,"Pindah",Transaksi!$B$16:$B$5015,"&lt;="&amp;MIN(EOMONTH(DATE(Dashboard!$C$4,2,1),0),TODAY()))+SUMIFS(Transaksi!$F$16:$F$5015,Transaksi!$E$16:$E$5015,$A93,Transaksi!$D$16:$D$5015,"Pindah",Transaksi!$B$16:$B$5015,"&lt;="&amp;MIN(EOMONTH(DATE(Dashboard!$C$4,2,1),0),TODAY())))</f>
        <v/>
      </c>
      <c r="E93" s="106">
        <f>IF(OR($A93="",DATE(Dashboard!$C$4,3,1)&gt;TODAY(),ISNA(MATCH($B93,{"Pribadi","Investasi (kas RDN)","Piutang","Pinjaman Mama (dompet)"},0))),"",SUMIFS(Akun!$C$5:$C$104,Akun!$A$5:$A$104,$A93,Akun!$D$5:$D$104,"&lt;="&amp;MIN(EOMONTH(DATE(Dashboard!$C$4,3,1),0),TODAY()))+SUMIFS(Transaksi!$F$16:$F$5015,Transaksi!$C$16:$C$5015,$A93,Transaksi!$D$16:$D$5015,"Masuk",Transaksi!$B$16:$B$5015,"&lt;="&amp;MIN(EOMONTH(DATE(Dashboard!$C$4,3,1),0),TODAY()))-SUMIFS(Transaksi!$F$16:$F$5015,Transaksi!$C$16:$C$5015,$A93,Transaksi!$D$16:$D$5015,"Keluar",Transaksi!$B$16:$B$5015,"&lt;="&amp;MIN(EOMONTH(DATE(Dashboard!$C$4,3,1),0),TODAY()))-SUMIFS(Transaksi!$F$16:$F$5015,Transaksi!$C$16:$C$5015,$A93,Transaksi!$D$16:$D$5015,"Pindah",Transaksi!$B$16:$B$5015,"&lt;="&amp;MIN(EOMONTH(DATE(Dashboard!$C$4,3,1),0),TODAY()))+SUMIFS(Transaksi!$F$16:$F$5015,Transaksi!$E$16:$E$5015,$A93,Transaksi!$D$16:$D$5015,"Pindah",Transaksi!$B$16:$B$5015,"&lt;="&amp;MIN(EOMONTH(DATE(Dashboard!$C$4,3,1),0),TODAY())))</f>
        <v/>
      </c>
      <c r="F93" s="106">
        <f>IF(OR($A93="",DATE(Dashboard!$C$4,4,1)&gt;TODAY(),ISNA(MATCH($B93,{"Pribadi","Investasi (kas RDN)","Piutang","Pinjaman Mama (dompet)"},0))),"",SUMIFS(Akun!$C$5:$C$104,Akun!$A$5:$A$104,$A93,Akun!$D$5:$D$104,"&lt;="&amp;MIN(EOMONTH(DATE(Dashboard!$C$4,4,1),0),TODAY()))+SUMIFS(Transaksi!$F$16:$F$5015,Transaksi!$C$16:$C$5015,$A93,Transaksi!$D$16:$D$5015,"Masuk",Transaksi!$B$16:$B$5015,"&lt;="&amp;MIN(EOMONTH(DATE(Dashboard!$C$4,4,1),0),TODAY()))-SUMIFS(Transaksi!$F$16:$F$5015,Transaksi!$C$16:$C$5015,$A93,Transaksi!$D$16:$D$5015,"Keluar",Transaksi!$B$16:$B$5015,"&lt;="&amp;MIN(EOMONTH(DATE(Dashboard!$C$4,4,1),0),TODAY()))-SUMIFS(Transaksi!$F$16:$F$5015,Transaksi!$C$16:$C$5015,$A93,Transaksi!$D$16:$D$5015,"Pindah",Transaksi!$B$16:$B$5015,"&lt;="&amp;MIN(EOMONTH(DATE(Dashboard!$C$4,4,1),0),TODAY()))+SUMIFS(Transaksi!$F$16:$F$5015,Transaksi!$E$16:$E$5015,$A93,Transaksi!$D$16:$D$5015,"Pindah",Transaksi!$B$16:$B$5015,"&lt;="&amp;MIN(EOMONTH(DATE(Dashboard!$C$4,4,1),0),TODAY())))</f>
        <v/>
      </c>
      <c r="G93" s="106">
        <f>IF(OR($A93="",DATE(Dashboard!$C$4,5,1)&gt;TODAY(),ISNA(MATCH($B93,{"Pribadi","Investasi (kas RDN)","Piutang","Pinjaman Mama (dompet)"},0))),"",SUMIFS(Akun!$C$5:$C$104,Akun!$A$5:$A$104,$A93,Akun!$D$5:$D$104,"&lt;="&amp;MIN(EOMONTH(DATE(Dashboard!$C$4,5,1),0),TODAY()))+SUMIFS(Transaksi!$F$16:$F$5015,Transaksi!$C$16:$C$5015,$A93,Transaksi!$D$16:$D$5015,"Masuk",Transaksi!$B$16:$B$5015,"&lt;="&amp;MIN(EOMONTH(DATE(Dashboard!$C$4,5,1),0),TODAY()))-SUMIFS(Transaksi!$F$16:$F$5015,Transaksi!$C$16:$C$5015,$A93,Transaksi!$D$16:$D$5015,"Keluar",Transaksi!$B$16:$B$5015,"&lt;="&amp;MIN(EOMONTH(DATE(Dashboard!$C$4,5,1),0),TODAY()))-SUMIFS(Transaksi!$F$16:$F$5015,Transaksi!$C$16:$C$5015,$A93,Transaksi!$D$16:$D$5015,"Pindah",Transaksi!$B$16:$B$5015,"&lt;="&amp;MIN(EOMONTH(DATE(Dashboard!$C$4,5,1),0),TODAY()))+SUMIFS(Transaksi!$F$16:$F$5015,Transaksi!$E$16:$E$5015,$A93,Transaksi!$D$16:$D$5015,"Pindah",Transaksi!$B$16:$B$5015,"&lt;="&amp;MIN(EOMONTH(DATE(Dashboard!$C$4,5,1),0),TODAY())))</f>
        <v/>
      </c>
      <c r="H93" s="106">
        <f>IF(OR($A93="",DATE(Dashboard!$C$4,6,1)&gt;TODAY(),ISNA(MATCH($B93,{"Pribadi","Investasi (kas RDN)","Piutang","Pinjaman Mama (dompet)"},0))),"",SUMIFS(Akun!$C$5:$C$104,Akun!$A$5:$A$104,$A93,Akun!$D$5:$D$104,"&lt;="&amp;MIN(EOMONTH(DATE(Dashboard!$C$4,6,1),0),TODAY()))+SUMIFS(Transaksi!$F$16:$F$5015,Transaksi!$C$16:$C$5015,$A93,Transaksi!$D$16:$D$5015,"Masuk",Transaksi!$B$16:$B$5015,"&lt;="&amp;MIN(EOMONTH(DATE(Dashboard!$C$4,6,1),0),TODAY()))-SUMIFS(Transaksi!$F$16:$F$5015,Transaksi!$C$16:$C$5015,$A93,Transaksi!$D$16:$D$5015,"Keluar",Transaksi!$B$16:$B$5015,"&lt;="&amp;MIN(EOMONTH(DATE(Dashboard!$C$4,6,1),0),TODAY()))-SUMIFS(Transaksi!$F$16:$F$5015,Transaksi!$C$16:$C$5015,$A93,Transaksi!$D$16:$D$5015,"Pindah",Transaksi!$B$16:$B$5015,"&lt;="&amp;MIN(EOMONTH(DATE(Dashboard!$C$4,6,1),0),TODAY()))+SUMIFS(Transaksi!$F$16:$F$5015,Transaksi!$E$16:$E$5015,$A93,Transaksi!$D$16:$D$5015,"Pindah",Transaksi!$B$16:$B$5015,"&lt;="&amp;MIN(EOMONTH(DATE(Dashboard!$C$4,6,1),0),TODAY())))</f>
        <v/>
      </c>
      <c r="I93" s="106">
        <f>IF(OR($A93="",DATE(Dashboard!$C$4,7,1)&gt;TODAY(),ISNA(MATCH($B93,{"Pribadi","Investasi (kas RDN)","Piutang","Pinjaman Mama (dompet)"},0))),"",SUMIFS(Akun!$C$5:$C$104,Akun!$A$5:$A$104,$A93,Akun!$D$5:$D$104,"&lt;="&amp;MIN(EOMONTH(DATE(Dashboard!$C$4,7,1),0),TODAY()))+SUMIFS(Transaksi!$F$16:$F$5015,Transaksi!$C$16:$C$5015,$A93,Transaksi!$D$16:$D$5015,"Masuk",Transaksi!$B$16:$B$5015,"&lt;="&amp;MIN(EOMONTH(DATE(Dashboard!$C$4,7,1),0),TODAY()))-SUMIFS(Transaksi!$F$16:$F$5015,Transaksi!$C$16:$C$5015,$A93,Transaksi!$D$16:$D$5015,"Keluar",Transaksi!$B$16:$B$5015,"&lt;="&amp;MIN(EOMONTH(DATE(Dashboard!$C$4,7,1),0),TODAY()))-SUMIFS(Transaksi!$F$16:$F$5015,Transaksi!$C$16:$C$5015,$A93,Transaksi!$D$16:$D$5015,"Pindah",Transaksi!$B$16:$B$5015,"&lt;="&amp;MIN(EOMONTH(DATE(Dashboard!$C$4,7,1),0),TODAY()))+SUMIFS(Transaksi!$F$16:$F$5015,Transaksi!$E$16:$E$5015,$A93,Transaksi!$D$16:$D$5015,"Pindah",Transaksi!$B$16:$B$5015,"&lt;="&amp;MIN(EOMONTH(DATE(Dashboard!$C$4,7,1),0),TODAY())))</f>
        <v/>
      </c>
      <c r="J93" s="106">
        <f>IF(OR($A93="",DATE(Dashboard!$C$4,8,1)&gt;TODAY(),ISNA(MATCH($B93,{"Pribadi","Investasi (kas RDN)","Piutang","Pinjaman Mama (dompet)"},0))),"",SUMIFS(Akun!$C$5:$C$104,Akun!$A$5:$A$104,$A93,Akun!$D$5:$D$104,"&lt;="&amp;MIN(EOMONTH(DATE(Dashboard!$C$4,8,1),0),TODAY()))+SUMIFS(Transaksi!$F$16:$F$5015,Transaksi!$C$16:$C$5015,$A93,Transaksi!$D$16:$D$5015,"Masuk",Transaksi!$B$16:$B$5015,"&lt;="&amp;MIN(EOMONTH(DATE(Dashboard!$C$4,8,1),0),TODAY()))-SUMIFS(Transaksi!$F$16:$F$5015,Transaksi!$C$16:$C$5015,$A93,Transaksi!$D$16:$D$5015,"Keluar",Transaksi!$B$16:$B$5015,"&lt;="&amp;MIN(EOMONTH(DATE(Dashboard!$C$4,8,1),0),TODAY()))-SUMIFS(Transaksi!$F$16:$F$5015,Transaksi!$C$16:$C$5015,$A93,Transaksi!$D$16:$D$5015,"Pindah",Transaksi!$B$16:$B$5015,"&lt;="&amp;MIN(EOMONTH(DATE(Dashboard!$C$4,8,1),0),TODAY()))+SUMIFS(Transaksi!$F$16:$F$5015,Transaksi!$E$16:$E$5015,$A93,Transaksi!$D$16:$D$5015,"Pindah",Transaksi!$B$16:$B$5015,"&lt;="&amp;MIN(EOMONTH(DATE(Dashboard!$C$4,8,1),0),TODAY())))</f>
        <v/>
      </c>
      <c r="K93" s="106">
        <f>IF(OR($A93="",DATE(Dashboard!$C$4,9,1)&gt;TODAY(),ISNA(MATCH($B93,{"Pribadi","Investasi (kas RDN)","Piutang","Pinjaman Mama (dompet)"},0))),"",SUMIFS(Akun!$C$5:$C$104,Akun!$A$5:$A$104,$A93,Akun!$D$5:$D$104,"&lt;="&amp;MIN(EOMONTH(DATE(Dashboard!$C$4,9,1),0),TODAY()))+SUMIFS(Transaksi!$F$16:$F$5015,Transaksi!$C$16:$C$5015,$A93,Transaksi!$D$16:$D$5015,"Masuk",Transaksi!$B$16:$B$5015,"&lt;="&amp;MIN(EOMONTH(DATE(Dashboard!$C$4,9,1),0),TODAY()))-SUMIFS(Transaksi!$F$16:$F$5015,Transaksi!$C$16:$C$5015,$A93,Transaksi!$D$16:$D$5015,"Keluar",Transaksi!$B$16:$B$5015,"&lt;="&amp;MIN(EOMONTH(DATE(Dashboard!$C$4,9,1),0),TODAY()))-SUMIFS(Transaksi!$F$16:$F$5015,Transaksi!$C$16:$C$5015,$A93,Transaksi!$D$16:$D$5015,"Pindah",Transaksi!$B$16:$B$5015,"&lt;="&amp;MIN(EOMONTH(DATE(Dashboard!$C$4,9,1),0),TODAY()))+SUMIFS(Transaksi!$F$16:$F$5015,Transaksi!$E$16:$E$5015,$A93,Transaksi!$D$16:$D$5015,"Pindah",Transaksi!$B$16:$B$5015,"&lt;="&amp;MIN(EOMONTH(DATE(Dashboard!$C$4,9,1),0),TODAY())))</f>
        <v/>
      </c>
      <c r="L93" s="106">
        <f>IF(OR($A93="",DATE(Dashboard!$C$4,10,1)&gt;TODAY(),ISNA(MATCH($B93,{"Pribadi","Investasi (kas RDN)","Piutang","Pinjaman Mama (dompet)"},0))),"",SUMIFS(Akun!$C$5:$C$104,Akun!$A$5:$A$104,$A93,Akun!$D$5:$D$104,"&lt;="&amp;MIN(EOMONTH(DATE(Dashboard!$C$4,10,1),0),TODAY()))+SUMIFS(Transaksi!$F$16:$F$5015,Transaksi!$C$16:$C$5015,$A93,Transaksi!$D$16:$D$5015,"Masuk",Transaksi!$B$16:$B$5015,"&lt;="&amp;MIN(EOMONTH(DATE(Dashboard!$C$4,10,1),0),TODAY()))-SUMIFS(Transaksi!$F$16:$F$5015,Transaksi!$C$16:$C$5015,$A93,Transaksi!$D$16:$D$5015,"Keluar",Transaksi!$B$16:$B$5015,"&lt;="&amp;MIN(EOMONTH(DATE(Dashboard!$C$4,10,1),0),TODAY()))-SUMIFS(Transaksi!$F$16:$F$5015,Transaksi!$C$16:$C$5015,$A93,Transaksi!$D$16:$D$5015,"Pindah",Transaksi!$B$16:$B$5015,"&lt;="&amp;MIN(EOMONTH(DATE(Dashboard!$C$4,10,1),0),TODAY()))+SUMIFS(Transaksi!$F$16:$F$5015,Transaksi!$E$16:$E$5015,$A93,Transaksi!$D$16:$D$5015,"Pindah",Transaksi!$B$16:$B$5015,"&lt;="&amp;MIN(EOMONTH(DATE(Dashboard!$C$4,10,1),0),TODAY())))</f>
        <v/>
      </c>
      <c r="M93" s="106">
        <f>IF(OR($A93="",DATE(Dashboard!$C$4,11,1)&gt;TODAY(),ISNA(MATCH($B93,{"Pribadi","Investasi (kas RDN)","Piutang","Pinjaman Mama (dompet)"},0))),"",SUMIFS(Akun!$C$5:$C$104,Akun!$A$5:$A$104,$A93,Akun!$D$5:$D$104,"&lt;="&amp;MIN(EOMONTH(DATE(Dashboard!$C$4,11,1),0),TODAY()))+SUMIFS(Transaksi!$F$16:$F$5015,Transaksi!$C$16:$C$5015,$A93,Transaksi!$D$16:$D$5015,"Masuk",Transaksi!$B$16:$B$5015,"&lt;="&amp;MIN(EOMONTH(DATE(Dashboard!$C$4,11,1),0),TODAY()))-SUMIFS(Transaksi!$F$16:$F$5015,Transaksi!$C$16:$C$5015,$A93,Transaksi!$D$16:$D$5015,"Keluar",Transaksi!$B$16:$B$5015,"&lt;="&amp;MIN(EOMONTH(DATE(Dashboard!$C$4,11,1),0),TODAY()))-SUMIFS(Transaksi!$F$16:$F$5015,Transaksi!$C$16:$C$5015,$A93,Transaksi!$D$16:$D$5015,"Pindah",Transaksi!$B$16:$B$5015,"&lt;="&amp;MIN(EOMONTH(DATE(Dashboard!$C$4,11,1),0),TODAY()))+SUMIFS(Transaksi!$F$16:$F$5015,Transaksi!$E$16:$E$5015,$A93,Transaksi!$D$16:$D$5015,"Pindah",Transaksi!$B$16:$B$5015,"&lt;="&amp;MIN(EOMONTH(DATE(Dashboard!$C$4,11,1),0),TODAY())))</f>
        <v/>
      </c>
      <c r="N93" s="106">
        <f>IF(OR($A93="",DATE(Dashboard!$C$4,12,1)&gt;TODAY(),ISNA(MATCH($B93,{"Pribadi","Investasi (kas RDN)","Piutang","Pinjaman Mama (dompet)"},0))),"",SUMIFS(Akun!$C$5:$C$104,Akun!$A$5:$A$104,$A93,Akun!$D$5:$D$104,"&lt;="&amp;MIN(EOMONTH(DATE(Dashboard!$C$4,12,1),0),TODAY()))+SUMIFS(Transaksi!$F$16:$F$5015,Transaksi!$C$16:$C$5015,$A93,Transaksi!$D$16:$D$5015,"Masuk",Transaksi!$B$16:$B$5015,"&lt;="&amp;MIN(EOMONTH(DATE(Dashboard!$C$4,12,1),0),TODAY()))-SUMIFS(Transaksi!$F$16:$F$5015,Transaksi!$C$16:$C$5015,$A93,Transaksi!$D$16:$D$5015,"Keluar",Transaksi!$B$16:$B$5015,"&lt;="&amp;MIN(EOMONTH(DATE(Dashboard!$C$4,12,1),0),TODAY()))-SUMIFS(Transaksi!$F$16:$F$5015,Transaksi!$C$16:$C$5015,$A93,Transaksi!$D$16:$D$5015,"Pindah",Transaksi!$B$16:$B$5015,"&lt;="&amp;MIN(EOMONTH(DATE(Dashboard!$C$4,12,1),0),TODAY()))+SUMIFS(Transaksi!$F$16:$F$5015,Transaksi!$E$16:$E$5015,$A93,Transaksi!$D$16:$D$5015,"Pindah",Transaksi!$B$16:$B$5015,"&lt;="&amp;MIN(EOMONTH(DATE(Dashboard!$C$4,12,1),0),TODAY())))</f>
        <v/>
      </c>
    </row>
    <row r="94" ht="15" customHeight="1" s="94">
      <c r="A94" s="93">
        <f>IF(Akun!$A$58="","",Akun!$A$58)</f>
        <v/>
      </c>
      <c r="B94" s="93">
        <f>IF(Akun!$A$58="","",Akun!$B$58)</f>
        <v/>
      </c>
      <c r="C94" s="106">
        <f>IF(OR($A94="",DATE(Dashboard!$C$4,1,1)&gt;TODAY(),ISNA(MATCH($B94,{"Pribadi","Investasi (kas RDN)","Piutang","Pinjaman Mama (dompet)"},0))),"",SUMIFS(Akun!$C$5:$C$104,Akun!$A$5:$A$104,$A94,Akun!$D$5:$D$104,"&lt;="&amp;MIN(EOMONTH(DATE(Dashboard!$C$4,1,1),0),TODAY()))+SUMIFS(Transaksi!$F$16:$F$5015,Transaksi!$C$16:$C$5015,$A94,Transaksi!$D$16:$D$5015,"Masuk",Transaksi!$B$16:$B$5015,"&lt;="&amp;MIN(EOMONTH(DATE(Dashboard!$C$4,1,1),0),TODAY()))-SUMIFS(Transaksi!$F$16:$F$5015,Transaksi!$C$16:$C$5015,$A94,Transaksi!$D$16:$D$5015,"Keluar",Transaksi!$B$16:$B$5015,"&lt;="&amp;MIN(EOMONTH(DATE(Dashboard!$C$4,1,1),0),TODAY()))-SUMIFS(Transaksi!$F$16:$F$5015,Transaksi!$C$16:$C$5015,$A94,Transaksi!$D$16:$D$5015,"Pindah",Transaksi!$B$16:$B$5015,"&lt;="&amp;MIN(EOMONTH(DATE(Dashboard!$C$4,1,1),0),TODAY()))+SUMIFS(Transaksi!$F$16:$F$5015,Transaksi!$E$16:$E$5015,$A94,Transaksi!$D$16:$D$5015,"Pindah",Transaksi!$B$16:$B$5015,"&lt;="&amp;MIN(EOMONTH(DATE(Dashboard!$C$4,1,1),0),TODAY())))</f>
        <v/>
      </c>
      <c r="D94" s="106">
        <f>IF(OR($A94="",DATE(Dashboard!$C$4,2,1)&gt;TODAY(),ISNA(MATCH($B94,{"Pribadi","Investasi (kas RDN)","Piutang","Pinjaman Mama (dompet)"},0))),"",SUMIFS(Akun!$C$5:$C$104,Akun!$A$5:$A$104,$A94,Akun!$D$5:$D$104,"&lt;="&amp;MIN(EOMONTH(DATE(Dashboard!$C$4,2,1),0),TODAY()))+SUMIFS(Transaksi!$F$16:$F$5015,Transaksi!$C$16:$C$5015,$A94,Transaksi!$D$16:$D$5015,"Masuk",Transaksi!$B$16:$B$5015,"&lt;="&amp;MIN(EOMONTH(DATE(Dashboard!$C$4,2,1),0),TODAY()))-SUMIFS(Transaksi!$F$16:$F$5015,Transaksi!$C$16:$C$5015,$A94,Transaksi!$D$16:$D$5015,"Keluar",Transaksi!$B$16:$B$5015,"&lt;="&amp;MIN(EOMONTH(DATE(Dashboard!$C$4,2,1),0),TODAY()))-SUMIFS(Transaksi!$F$16:$F$5015,Transaksi!$C$16:$C$5015,$A94,Transaksi!$D$16:$D$5015,"Pindah",Transaksi!$B$16:$B$5015,"&lt;="&amp;MIN(EOMONTH(DATE(Dashboard!$C$4,2,1),0),TODAY()))+SUMIFS(Transaksi!$F$16:$F$5015,Transaksi!$E$16:$E$5015,$A94,Transaksi!$D$16:$D$5015,"Pindah",Transaksi!$B$16:$B$5015,"&lt;="&amp;MIN(EOMONTH(DATE(Dashboard!$C$4,2,1),0),TODAY())))</f>
        <v/>
      </c>
      <c r="E94" s="106">
        <f>IF(OR($A94="",DATE(Dashboard!$C$4,3,1)&gt;TODAY(),ISNA(MATCH($B94,{"Pribadi","Investasi (kas RDN)","Piutang","Pinjaman Mama (dompet)"},0))),"",SUMIFS(Akun!$C$5:$C$104,Akun!$A$5:$A$104,$A94,Akun!$D$5:$D$104,"&lt;="&amp;MIN(EOMONTH(DATE(Dashboard!$C$4,3,1),0),TODAY()))+SUMIFS(Transaksi!$F$16:$F$5015,Transaksi!$C$16:$C$5015,$A94,Transaksi!$D$16:$D$5015,"Masuk",Transaksi!$B$16:$B$5015,"&lt;="&amp;MIN(EOMONTH(DATE(Dashboard!$C$4,3,1),0),TODAY()))-SUMIFS(Transaksi!$F$16:$F$5015,Transaksi!$C$16:$C$5015,$A94,Transaksi!$D$16:$D$5015,"Keluar",Transaksi!$B$16:$B$5015,"&lt;="&amp;MIN(EOMONTH(DATE(Dashboard!$C$4,3,1),0),TODAY()))-SUMIFS(Transaksi!$F$16:$F$5015,Transaksi!$C$16:$C$5015,$A94,Transaksi!$D$16:$D$5015,"Pindah",Transaksi!$B$16:$B$5015,"&lt;="&amp;MIN(EOMONTH(DATE(Dashboard!$C$4,3,1),0),TODAY()))+SUMIFS(Transaksi!$F$16:$F$5015,Transaksi!$E$16:$E$5015,$A94,Transaksi!$D$16:$D$5015,"Pindah",Transaksi!$B$16:$B$5015,"&lt;="&amp;MIN(EOMONTH(DATE(Dashboard!$C$4,3,1),0),TODAY())))</f>
        <v/>
      </c>
      <c r="F94" s="106">
        <f>IF(OR($A94="",DATE(Dashboard!$C$4,4,1)&gt;TODAY(),ISNA(MATCH($B94,{"Pribadi","Investasi (kas RDN)","Piutang","Pinjaman Mama (dompet)"},0))),"",SUMIFS(Akun!$C$5:$C$104,Akun!$A$5:$A$104,$A94,Akun!$D$5:$D$104,"&lt;="&amp;MIN(EOMONTH(DATE(Dashboard!$C$4,4,1),0),TODAY()))+SUMIFS(Transaksi!$F$16:$F$5015,Transaksi!$C$16:$C$5015,$A94,Transaksi!$D$16:$D$5015,"Masuk",Transaksi!$B$16:$B$5015,"&lt;="&amp;MIN(EOMONTH(DATE(Dashboard!$C$4,4,1),0),TODAY()))-SUMIFS(Transaksi!$F$16:$F$5015,Transaksi!$C$16:$C$5015,$A94,Transaksi!$D$16:$D$5015,"Keluar",Transaksi!$B$16:$B$5015,"&lt;="&amp;MIN(EOMONTH(DATE(Dashboard!$C$4,4,1),0),TODAY()))-SUMIFS(Transaksi!$F$16:$F$5015,Transaksi!$C$16:$C$5015,$A94,Transaksi!$D$16:$D$5015,"Pindah",Transaksi!$B$16:$B$5015,"&lt;="&amp;MIN(EOMONTH(DATE(Dashboard!$C$4,4,1),0),TODAY()))+SUMIFS(Transaksi!$F$16:$F$5015,Transaksi!$E$16:$E$5015,$A94,Transaksi!$D$16:$D$5015,"Pindah",Transaksi!$B$16:$B$5015,"&lt;="&amp;MIN(EOMONTH(DATE(Dashboard!$C$4,4,1),0),TODAY())))</f>
        <v/>
      </c>
      <c r="G94" s="106">
        <f>IF(OR($A94="",DATE(Dashboard!$C$4,5,1)&gt;TODAY(),ISNA(MATCH($B94,{"Pribadi","Investasi (kas RDN)","Piutang","Pinjaman Mama (dompet)"},0))),"",SUMIFS(Akun!$C$5:$C$104,Akun!$A$5:$A$104,$A94,Akun!$D$5:$D$104,"&lt;="&amp;MIN(EOMONTH(DATE(Dashboard!$C$4,5,1),0),TODAY()))+SUMIFS(Transaksi!$F$16:$F$5015,Transaksi!$C$16:$C$5015,$A94,Transaksi!$D$16:$D$5015,"Masuk",Transaksi!$B$16:$B$5015,"&lt;="&amp;MIN(EOMONTH(DATE(Dashboard!$C$4,5,1),0),TODAY()))-SUMIFS(Transaksi!$F$16:$F$5015,Transaksi!$C$16:$C$5015,$A94,Transaksi!$D$16:$D$5015,"Keluar",Transaksi!$B$16:$B$5015,"&lt;="&amp;MIN(EOMONTH(DATE(Dashboard!$C$4,5,1),0),TODAY()))-SUMIFS(Transaksi!$F$16:$F$5015,Transaksi!$C$16:$C$5015,$A94,Transaksi!$D$16:$D$5015,"Pindah",Transaksi!$B$16:$B$5015,"&lt;="&amp;MIN(EOMONTH(DATE(Dashboard!$C$4,5,1),0),TODAY()))+SUMIFS(Transaksi!$F$16:$F$5015,Transaksi!$E$16:$E$5015,$A94,Transaksi!$D$16:$D$5015,"Pindah",Transaksi!$B$16:$B$5015,"&lt;="&amp;MIN(EOMONTH(DATE(Dashboard!$C$4,5,1),0),TODAY())))</f>
        <v/>
      </c>
      <c r="H94" s="106">
        <f>IF(OR($A94="",DATE(Dashboard!$C$4,6,1)&gt;TODAY(),ISNA(MATCH($B94,{"Pribadi","Investasi (kas RDN)","Piutang","Pinjaman Mama (dompet)"},0))),"",SUMIFS(Akun!$C$5:$C$104,Akun!$A$5:$A$104,$A94,Akun!$D$5:$D$104,"&lt;="&amp;MIN(EOMONTH(DATE(Dashboard!$C$4,6,1),0),TODAY()))+SUMIFS(Transaksi!$F$16:$F$5015,Transaksi!$C$16:$C$5015,$A94,Transaksi!$D$16:$D$5015,"Masuk",Transaksi!$B$16:$B$5015,"&lt;="&amp;MIN(EOMONTH(DATE(Dashboard!$C$4,6,1),0),TODAY()))-SUMIFS(Transaksi!$F$16:$F$5015,Transaksi!$C$16:$C$5015,$A94,Transaksi!$D$16:$D$5015,"Keluar",Transaksi!$B$16:$B$5015,"&lt;="&amp;MIN(EOMONTH(DATE(Dashboard!$C$4,6,1),0),TODAY()))-SUMIFS(Transaksi!$F$16:$F$5015,Transaksi!$C$16:$C$5015,$A94,Transaksi!$D$16:$D$5015,"Pindah",Transaksi!$B$16:$B$5015,"&lt;="&amp;MIN(EOMONTH(DATE(Dashboard!$C$4,6,1),0),TODAY()))+SUMIFS(Transaksi!$F$16:$F$5015,Transaksi!$E$16:$E$5015,$A94,Transaksi!$D$16:$D$5015,"Pindah",Transaksi!$B$16:$B$5015,"&lt;="&amp;MIN(EOMONTH(DATE(Dashboard!$C$4,6,1),0),TODAY())))</f>
        <v/>
      </c>
      <c r="I94" s="106">
        <f>IF(OR($A94="",DATE(Dashboard!$C$4,7,1)&gt;TODAY(),ISNA(MATCH($B94,{"Pribadi","Investasi (kas RDN)","Piutang","Pinjaman Mama (dompet)"},0))),"",SUMIFS(Akun!$C$5:$C$104,Akun!$A$5:$A$104,$A94,Akun!$D$5:$D$104,"&lt;="&amp;MIN(EOMONTH(DATE(Dashboard!$C$4,7,1),0),TODAY()))+SUMIFS(Transaksi!$F$16:$F$5015,Transaksi!$C$16:$C$5015,$A94,Transaksi!$D$16:$D$5015,"Masuk",Transaksi!$B$16:$B$5015,"&lt;="&amp;MIN(EOMONTH(DATE(Dashboard!$C$4,7,1),0),TODAY()))-SUMIFS(Transaksi!$F$16:$F$5015,Transaksi!$C$16:$C$5015,$A94,Transaksi!$D$16:$D$5015,"Keluar",Transaksi!$B$16:$B$5015,"&lt;="&amp;MIN(EOMONTH(DATE(Dashboard!$C$4,7,1),0),TODAY()))-SUMIFS(Transaksi!$F$16:$F$5015,Transaksi!$C$16:$C$5015,$A94,Transaksi!$D$16:$D$5015,"Pindah",Transaksi!$B$16:$B$5015,"&lt;="&amp;MIN(EOMONTH(DATE(Dashboard!$C$4,7,1),0),TODAY()))+SUMIFS(Transaksi!$F$16:$F$5015,Transaksi!$E$16:$E$5015,$A94,Transaksi!$D$16:$D$5015,"Pindah",Transaksi!$B$16:$B$5015,"&lt;="&amp;MIN(EOMONTH(DATE(Dashboard!$C$4,7,1),0),TODAY())))</f>
        <v/>
      </c>
      <c r="J94" s="106">
        <f>IF(OR($A94="",DATE(Dashboard!$C$4,8,1)&gt;TODAY(),ISNA(MATCH($B94,{"Pribadi","Investasi (kas RDN)","Piutang","Pinjaman Mama (dompet)"},0))),"",SUMIFS(Akun!$C$5:$C$104,Akun!$A$5:$A$104,$A94,Akun!$D$5:$D$104,"&lt;="&amp;MIN(EOMONTH(DATE(Dashboard!$C$4,8,1),0),TODAY()))+SUMIFS(Transaksi!$F$16:$F$5015,Transaksi!$C$16:$C$5015,$A94,Transaksi!$D$16:$D$5015,"Masuk",Transaksi!$B$16:$B$5015,"&lt;="&amp;MIN(EOMONTH(DATE(Dashboard!$C$4,8,1),0),TODAY()))-SUMIFS(Transaksi!$F$16:$F$5015,Transaksi!$C$16:$C$5015,$A94,Transaksi!$D$16:$D$5015,"Keluar",Transaksi!$B$16:$B$5015,"&lt;="&amp;MIN(EOMONTH(DATE(Dashboard!$C$4,8,1),0),TODAY()))-SUMIFS(Transaksi!$F$16:$F$5015,Transaksi!$C$16:$C$5015,$A94,Transaksi!$D$16:$D$5015,"Pindah",Transaksi!$B$16:$B$5015,"&lt;="&amp;MIN(EOMONTH(DATE(Dashboard!$C$4,8,1),0),TODAY()))+SUMIFS(Transaksi!$F$16:$F$5015,Transaksi!$E$16:$E$5015,$A94,Transaksi!$D$16:$D$5015,"Pindah",Transaksi!$B$16:$B$5015,"&lt;="&amp;MIN(EOMONTH(DATE(Dashboard!$C$4,8,1),0),TODAY())))</f>
        <v/>
      </c>
      <c r="K94" s="106">
        <f>IF(OR($A94="",DATE(Dashboard!$C$4,9,1)&gt;TODAY(),ISNA(MATCH($B94,{"Pribadi","Investasi (kas RDN)","Piutang","Pinjaman Mama (dompet)"},0))),"",SUMIFS(Akun!$C$5:$C$104,Akun!$A$5:$A$104,$A94,Akun!$D$5:$D$104,"&lt;="&amp;MIN(EOMONTH(DATE(Dashboard!$C$4,9,1),0),TODAY()))+SUMIFS(Transaksi!$F$16:$F$5015,Transaksi!$C$16:$C$5015,$A94,Transaksi!$D$16:$D$5015,"Masuk",Transaksi!$B$16:$B$5015,"&lt;="&amp;MIN(EOMONTH(DATE(Dashboard!$C$4,9,1),0),TODAY()))-SUMIFS(Transaksi!$F$16:$F$5015,Transaksi!$C$16:$C$5015,$A94,Transaksi!$D$16:$D$5015,"Keluar",Transaksi!$B$16:$B$5015,"&lt;="&amp;MIN(EOMONTH(DATE(Dashboard!$C$4,9,1),0),TODAY()))-SUMIFS(Transaksi!$F$16:$F$5015,Transaksi!$C$16:$C$5015,$A94,Transaksi!$D$16:$D$5015,"Pindah",Transaksi!$B$16:$B$5015,"&lt;="&amp;MIN(EOMONTH(DATE(Dashboard!$C$4,9,1),0),TODAY()))+SUMIFS(Transaksi!$F$16:$F$5015,Transaksi!$E$16:$E$5015,$A94,Transaksi!$D$16:$D$5015,"Pindah",Transaksi!$B$16:$B$5015,"&lt;="&amp;MIN(EOMONTH(DATE(Dashboard!$C$4,9,1),0),TODAY())))</f>
        <v/>
      </c>
      <c r="L94" s="106">
        <f>IF(OR($A94="",DATE(Dashboard!$C$4,10,1)&gt;TODAY(),ISNA(MATCH($B94,{"Pribadi","Investasi (kas RDN)","Piutang","Pinjaman Mama (dompet)"},0))),"",SUMIFS(Akun!$C$5:$C$104,Akun!$A$5:$A$104,$A94,Akun!$D$5:$D$104,"&lt;="&amp;MIN(EOMONTH(DATE(Dashboard!$C$4,10,1),0),TODAY()))+SUMIFS(Transaksi!$F$16:$F$5015,Transaksi!$C$16:$C$5015,$A94,Transaksi!$D$16:$D$5015,"Masuk",Transaksi!$B$16:$B$5015,"&lt;="&amp;MIN(EOMONTH(DATE(Dashboard!$C$4,10,1),0),TODAY()))-SUMIFS(Transaksi!$F$16:$F$5015,Transaksi!$C$16:$C$5015,$A94,Transaksi!$D$16:$D$5015,"Keluar",Transaksi!$B$16:$B$5015,"&lt;="&amp;MIN(EOMONTH(DATE(Dashboard!$C$4,10,1),0),TODAY()))-SUMIFS(Transaksi!$F$16:$F$5015,Transaksi!$C$16:$C$5015,$A94,Transaksi!$D$16:$D$5015,"Pindah",Transaksi!$B$16:$B$5015,"&lt;="&amp;MIN(EOMONTH(DATE(Dashboard!$C$4,10,1),0),TODAY()))+SUMIFS(Transaksi!$F$16:$F$5015,Transaksi!$E$16:$E$5015,$A94,Transaksi!$D$16:$D$5015,"Pindah",Transaksi!$B$16:$B$5015,"&lt;="&amp;MIN(EOMONTH(DATE(Dashboard!$C$4,10,1),0),TODAY())))</f>
        <v/>
      </c>
      <c r="M94" s="106">
        <f>IF(OR($A94="",DATE(Dashboard!$C$4,11,1)&gt;TODAY(),ISNA(MATCH($B94,{"Pribadi","Investasi (kas RDN)","Piutang","Pinjaman Mama (dompet)"},0))),"",SUMIFS(Akun!$C$5:$C$104,Akun!$A$5:$A$104,$A94,Akun!$D$5:$D$104,"&lt;="&amp;MIN(EOMONTH(DATE(Dashboard!$C$4,11,1),0),TODAY()))+SUMIFS(Transaksi!$F$16:$F$5015,Transaksi!$C$16:$C$5015,$A94,Transaksi!$D$16:$D$5015,"Masuk",Transaksi!$B$16:$B$5015,"&lt;="&amp;MIN(EOMONTH(DATE(Dashboard!$C$4,11,1),0),TODAY()))-SUMIFS(Transaksi!$F$16:$F$5015,Transaksi!$C$16:$C$5015,$A94,Transaksi!$D$16:$D$5015,"Keluar",Transaksi!$B$16:$B$5015,"&lt;="&amp;MIN(EOMONTH(DATE(Dashboard!$C$4,11,1),0),TODAY()))-SUMIFS(Transaksi!$F$16:$F$5015,Transaksi!$C$16:$C$5015,$A94,Transaksi!$D$16:$D$5015,"Pindah",Transaksi!$B$16:$B$5015,"&lt;="&amp;MIN(EOMONTH(DATE(Dashboard!$C$4,11,1),0),TODAY()))+SUMIFS(Transaksi!$F$16:$F$5015,Transaksi!$E$16:$E$5015,$A94,Transaksi!$D$16:$D$5015,"Pindah",Transaksi!$B$16:$B$5015,"&lt;="&amp;MIN(EOMONTH(DATE(Dashboard!$C$4,11,1),0),TODAY())))</f>
        <v/>
      </c>
      <c r="N94" s="106">
        <f>IF(OR($A94="",DATE(Dashboard!$C$4,12,1)&gt;TODAY(),ISNA(MATCH($B94,{"Pribadi","Investasi (kas RDN)","Piutang","Pinjaman Mama (dompet)"},0))),"",SUMIFS(Akun!$C$5:$C$104,Akun!$A$5:$A$104,$A94,Akun!$D$5:$D$104,"&lt;="&amp;MIN(EOMONTH(DATE(Dashboard!$C$4,12,1),0),TODAY()))+SUMIFS(Transaksi!$F$16:$F$5015,Transaksi!$C$16:$C$5015,$A94,Transaksi!$D$16:$D$5015,"Masuk",Transaksi!$B$16:$B$5015,"&lt;="&amp;MIN(EOMONTH(DATE(Dashboard!$C$4,12,1),0),TODAY()))-SUMIFS(Transaksi!$F$16:$F$5015,Transaksi!$C$16:$C$5015,$A94,Transaksi!$D$16:$D$5015,"Keluar",Transaksi!$B$16:$B$5015,"&lt;="&amp;MIN(EOMONTH(DATE(Dashboard!$C$4,12,1),0),TODAY()))-SUMIFS(Transaksi!$F$16:$F$5015,Transaksi!$C$16:$C$5015,$A94,Transaksi!$D$16:$D$5015,"Pindah",Transaksi!$B$16:$B$5015,"&lt;="&amp;MIN(EOMONTH(DATE(Dashboard!$C$4,12,1),0),TODAY()))+SUMIFS(Transaksi!$F$16:$F$5015,Transaksi!$E$16:$E$5015,$A94,Transaksi!$D$16:$D$5015,"Pindah",Transaksi!$B$16:$B$5015,"&lt;="&amp;MIN(EOMONTH(DATE(Dashboard!$C$4,12,1),0),TODAY())))</f>
        <v/>
      </c>
    </row>
    <row r="95" ht="15" customHeight="1" s="94">
      <c r="A95" s="93">
        <f>IF(Akun!$A$59="","",Akun!$A$59)</f>
        <v/>
      </c>
      <c r="B95" s="93">
        <f>IF(Akun!$A$59="","",Akun!$B$59)</f>
        <v/>
      </c>
      <c r="C95" s="106">
        <f>IF(OR($A95="",DATE(Dashboard!$C$4,1,1)&gt;TODAY(),ISNA(MATCH($B95,{"Pribadi","Investasi (kas RDN)","Piutang","Pinjaman Mama (dompet)"},0))),"",SUMIFS(Akun!$C$5:$C$104,Akun!$A$5:$A$104,$A95,Akun!$D$5:$D$104,"&lt;="&amp;MIN(EOMONTH(DATE(Dashboard!$C$4,1,1),0),TODAY()))+SUMIFS(Transaksi!$F$16:$F$5015,Transaksi!$C$16:$C$5015,$A95,Transaksi!$D$16:$D$5015,"Masuk",Transaksi!$B$16:$B$5015,"&lt;="&amp;MIN(EOMONTH(DATE(Dashboard!$C$4,1,1),0),TODAY()))-SUMIFS(Transaksi!$F$16:$F$5015,Transaksi!$C$16:$C$5015,$A95,Transaksi!$D$16:$D$5015,"Keluar",Transaksi!$B$16:$B$5015,"&lt;="&amp;MIN(EOMONTH(DATE(Dashboard!$C$4,1,1),0),TODAY()))-SUMIFS(Transaksi!$F$16:$F$5015,Transaksi!$C$16:$C$5015,$A95,Transaksi!$D$16:$D$5015,"Pindah",Transaksi!$B$16:$B$5015,"&lt;="&amp;MIN(EOMONTH(DATE(Dashboard!$C$4,1,1),0),TODAY()))+SUMIFS(Transaksi!$F$16:$F$5015,Transaksi!$E$16:$E$5015,$A95,Transaksi!$D$16:$D$5015,"Pindah",Transaksi!$B$16:$B$5015,"&lt;="&amp;MIN(EOMONTH(DATE(Dashboard!$C$4,1,1),0),TODAY())))</f>
        <v/>
      </c>
      <c r="D95" s="106">
        <f>IF(OR($A95="",DATE(Dashboard!$C$4,2,1)&gt;TODAY(),ISNA(MATCH($B95,{"Pribadi","Investasi (kas RDN)","Piutang","Pinjaman Mama (dompet)"},0))),"",SUMIFS(Akun!$C$5:$C$104,Akun!$A$5:$A$104,$A95,Akun!$D$5:$D$104,"&lt;="&amp;MIN(EOMONTH(DATE(Dashboard!$C$4,2,1),0),TODAY()))+SUMIFS(Transaksi!$F$16:$F$5015,Transaksi!$C$16:$C$5015,$A95,Transaksi!$D$16:$D$5015,"Masuk",Transaksi!$B$16:$B$5015,"&lt;="&amp;MIN(EOMONTH(DATE(Dashboard!$C$4,2,1),0),TODAY()))-SUMIFS(Transaksi!$F$16:$F$5015,Transaksi!$C$16:$C$5015,$A95,Transaksi!$D$16:$D$5015,"Keluar",Transaksi!$B$16:$B$5015,"&lt;="&amp;MIN(EOMONTH(DATE(Dashboard!$C$4,2,1),0),TODAY()))-SUMIFS(Transaksi!$F$16:$F$5015,Transaksi!$C$16:$C$5015,$A95,Transaksi!$D$16:$D$5015,"Pindah",Transaksi!$B$16:$B$5015,"&lt;="&amp;MIN(EOMONTH(DATE(Dashboard!$C$4,2,1),0),TODAY()))+SUMIFS(Transaksi!$F$16:$F$5015,Transaksi!$E$16:$E$5015,$A95,Transaksi!$D$16:$D$5015,"Pindah",Transaksi!$B$16:$B$5015,"&lt;="&amp;MIN(EOMONTH(DATE(Dashboard!$C$4,2,1),0),TODAY())))</f>
        <v/>
      </c>
      <c r="E95" s="106">
        <f>IF(OR($A95="",DATE(Dashboard!$C$4,3,1)&gt;TODAY(),ISNA(MATCH($B95,{"Pribadi","Investasi (kas RDN)","Piutang","Pinjaman Mama (dompet)"},0))),"",SUMIFS(Akun!$C$5:$C$104,Akun!$A$5:$A$104,$A95,Akun!$D$5:$D$104,"&lt;="&amp;MIN(EOMONTH(DATE(Dashboard!$C$4,3,1),0),TODAY()))+SUMIFS(Transaksi!$F$16:$F$5015,Transaksi!$C$16:$C$5015,$A95,Transaksi!$D$16:$D$5015,"Masuk",Transaksi!$B$16:$B$5015,"&lt;="&amp;MIN(EOMONTH(DATE(Dashboard!$C$4,3,1),0),TODAY()))-SUMIFS(Transaksi!$F$16:$F$5015,Transaksi!$C$16:$C$5015,$A95,Transaksi!$D$16:$D$5015,"Keluar",Transaksi!$B$16:$B$5015,"&lt;="&amp;MIN(EOMONTH(DATE(Dashboard!$C$4,3,1),0),TODAY()))-SUMIFS(Transaksi!$F$16:$F$5015,Transaksi!$C$16:$C$5015,$A95,Transaksi!$D$16:$D$5015,"Pindah",Transaksi!$B$16:$B$5015,"&lt;="&amp;MIN(EOMONTH(DATE(Dashboard!$C$4,3,1),0),TODAY()))+SUMIFS(Transaksi!$F$16:$F$5015,Transaksi!$E$16:$E$5015,$A95,Transaksi!$D$16:$D$5015,"Pindah",Transaksi!$B$16:$B$5015,"&lt;="&amp;MIN(EOMONTH(DATE(Dashboard!$C$4,3,1),0),TODAY())))</f>
        <v/>
      </c>
      <c r="F95" s="106">
        <f>IF(OR($A95="",DATE(Dashboard!$C$4,4,1)&gt;TODAY(),ISNA(MATCH($B95,{"Pribadi","Investasi (kas RDN)","Piutang","Pinjaman Mama (dompet)"},0))),"",SUMIFS(Akun!$C$5:$C$104,Akun!$A$5:$A$104,$A95,Akun!$D$5:$D$104,"&lt;="&amp;MIN(EOMONTH(DATE(Dashboard!$C$4,4,1),0),TODAY()))+SUMIFS(Transaksi!$F$16:$F$5015,Transaksi!$C$16:$C$5015,$A95,Transaksi!$D$16:$D$5015,"Masuk",Transaksi!$B$16:$B$5015,"&lt;="&amp;MIN(EOMONTH(DATE(Dashboard!$C$4,4,1),0),TODAY()))-SUMIFS(Transaksi!$F$16:$F$5015,Transaksi!$C$16:$C$5015,$A95,Transaksi!$D$16:$D$5015,"Keluar",Transaksi!$B$16:$B$5015,"&lt;="&amp;MIN(EOMONTH(DATE(Dashboard!$C$4,4,1),0),TODAY()))-SUMIFS(Transaksi!$F$16:$F$5015,Transaksi!$C$16:$C$5015,$A95,Transaksi!$D$16:$D$5015,"Pindah",Transaksi!$B$16:$B$5015,"&lt;="&amp;MIN(EOMONTH(DATE(Dashboard!$C$4,4,1),0),TODAY()))+SUMIFS(Transaksi!$F$16:$F$5015,Transaksi!$E$16:$E$5015,$A95,Transaksi!$D$16:$D$5015,"Pindah",Transaksi!$B$16:$B$5015,"&lt;="&amp;MIN(EOMONTH(DATE(Dashboard!$C$4,4,1),0),TODAY())))</f>
        <v/>
      </c>
      <c r="G95" s="106">
        <f>IF(OR($A95="",DATE(Dashboard!$C$4,5,1)&gt;TODAY(),ISNA(MATCH($B95,{"Pribadi","Investasi (kas RDN)","Piutang","Pinjaman Mama (dompet)"},0))),"",SUMIFS(Akun!$C$5:$C$104,Akun!$A$5:$A$104,$A95,Akun!$D$5:$D$104,"&lt;="&amp;MIN(EOMONTH(DATE(Dashboard!$C$4,5,1),0),TODAY()))+SUMIFS(Transaksi!$F$16:$F$5015,Transaksi!$C$16:$C$5015,$A95,Transaksi!$D$16:$D$5015,"Masuk",Transaksi!$B$16:$B$5015,"&lt;="&amp;MIN(EOMONTH(DATE(Dashboard!$C$4,5,1),0),TODAY()))-SUMIFS(Transaksi!$F$16:$F$5015,Transaksi!$C$16:$C$5015,$A95,Transaksi!$D$16:$D$5015,"Keluar",Transaksi!$B$16:$B$5015,"&lt;="&amp;MIN(EOMONTH(DATE(Dashboard!$C$4,5,1),0),TODAY()))-SUMIFS(Transaksi!$F$16:$F$5015,Transaksi!$C$16:$C$5015,$A95,Transaksi!$D$16:$D$5015,"Pindah",Transaksi!$B$16:$B$5015,"&lt;="&amp;MIN(EOMONTH(DATE(Dashboard!$C$4,5,1),0),TODAY()))+SUMIFS(Transaksi!$F$16:$F$5015,Transaksi!$E$16:$E$5015,$A95,Transaksi!$D$16:$D$5015,"Pindah",Transaksi!$B$16:$B$5015,"&lt;="&amp;MIN(EOMONTH(DATE(Dashboard!$C$4,5,1),0),TODAY())))</f>
        <v/>
      </c>
      <c r="H95" s="106">
        <f>IF(OR($A95="",DATE(Dashboard!$C$4,6,1)&gt;TODAY(),ISNA(MATCH($B95,{"Pribadi","Investasi (kas RDN)","Piutang","Pinjaman Mama (dompet)"},0))),"",SUMIFS(Akun!$C$5:$C$104,Akun!$A$5:$A$104,$A95,Akun!$D$5:$D$104,"&lt;="&amp;MIN(EOMONTH(DATE(Dashboard!$C$4,6,1),0),TODAY()))+SUMIFS(Transaksi!$F$16:$F$5015,Transaksi!$C$16:$C$5015,$A95,Transaksi!$D$16:$D$5015,"Masuk",Transaksi!$B$16:$B$5015,"&lt;="&amp;MIN(EOMONTH(DATE(Dashboard!$C$4,6,1),0),TODAY()))-SUMIFS(Transaksi!$F$16:$F$5015,Transaksi!$C$16:$C$5015,$A95,Transaksi!$D$16:$D$5015,"Keluar",Transaksi!$B$16:$B$5015,"&lt;="&amp;MIN(EOMONTH(DATE(Dashboard!$C$4,6,1),0),TODAY()))-SUMIFS(Transaksi!$F$16:$F$5015,Transaksi!$C$16:$C$5015,$A95,Transaksi!$D$16:$D$5015,"Pindah",Transaksi!$B$16:$B$5015,"&lt;="&amp;MIN(EOMONTH(DATE(Dashboard!$C$4,6,1),0),TODAY()))+SUMIFS(Transaksi!$F$16:$F$5015,Transaksi!$E$16:$E$5015,$A95,Transaksi!$D$16:$D$5015,"Pindah",Transaksi!$B$16:$B$5015,"&lt;="&amp;MIN(EOMONTH(DATE(Dashboard!$C$4,6,1),0),TODAY())))</f>
        <v/>
      </c>
      <c r="I95" s="106">
        <f>IF(OR($A95="",DATE(Dashboard!$C$4,7,1)&gt;TODAY(),ISNA(MATCH($B95,{"Pribadi","Investasi (kas RDN)","Piutang","Pinjaman Mama (dompet)"},0))),"",SUMIFS(Akun!$C$5:$C$104,Akun!$A$5:$A$104,$A95,Akun!$D$5:$D$104,"&lt;="&amp;MIN(EOMONTH(DATE(Dashboard!$C$4,7,1),0),TODAY()))+SUMIFS(Transaksi!$F$16:$F$5015,Transaksi!$C$16:$C$5015,$A95,Transaksi!$D$16:$D$5015,"Masuk",Transaksi!$B$16:$B$5015,"&lt;="&amp;MIN(EOMONTH(DATE(Dashboard!$C$4,7,1),0),TODAY()))-SUMIFS(Transaksi!$F$16:$F$5015,Transaksi!$C$16:$C$5015,$A95,Transaksi!$D$16:$D$5015,"Keluar",Transaksi!$B$16:$B$5015,"&lt;="&amp;MIN(EOMONTH(DATE(Dashboard!$C$4,7,1),0),TODAY()))-SUMIFS(Transaksi!$F$16:$F$5015,Transaksi!$C$16:$C$5015,$A95,Transaksi!$D$16:$D$5015,"Pindah",Transaksi!$B$16:$B$5015,"&lt;="&amp;MIN(EOMONTH(DATE(Dashboard!$C$4,7,1),0),TODAY()))+SUMIFS(Transaksi!$F$16:$F$5015,Transaksi!$E$16:$E$5015,$A95,Transaksi!$D$16:$D$5015,"Pindah",Transaksi!$B$16:$B$5015,"&lt;="&amp;MIN(EOMONTH(DATE(Dashboard!$C$4,7,1),0),TODAY())))</f>
        <v/>
      </c>
      <c r="J95" s="106">
        <f>IF(OR($A95="",DATE(Dashboard!$C$4,8,1)&gt;TODAY(),ISNA(MATCH($B95,{"Pribadi","Investasi (kas RDN)","Piutang","Pinjaman Mama (dompet)"},0))),"",SUMIFS(Akun!$C$5:$C$104,Akun!$A$5:$A$104,$A95,Akun!$D$5:$D$104,"&lt;="&amp;MIN(EOMONTH(DATE(Dashboard!$C$4,8,1),0),TODAY()))+SUMIFS(Transaksi!$F$16:$F$5015,Transaksi!$C$16:$C$5015,$A95,Transaksi!$D$16:$D$5015,"Masuk",Transaksi!$B$16:$B$5015,"&lt;="&amp;MIN(EOMONTH(DATE(Dashboard!$C$4,8,1),0),TODAY()))-SUMIFS(Transaksi!$F$16:$F$5015,Transaksi!$C$16:$C$5015,$A95,Transaksi!$D$16:$D$5015,"Keluar",Transaksi!$B$16:$B$5015,"&lt;="&amp;MIN(EOMONTH(DATE(Dashboard!$C$4,8,1),0),TODAY()))-SUMIFS(Transaksi!$F$16:$F$5015,Transaksi!$C$16:$C$5015,$A95,Transaksi!$D$16:$D$5015,"Pindah",Transaksi!$B$16:$B$5015,"&lt;="&amp;MIN(EOMONTH(DATE(Dashboard!$C$4,8,1),0),TODAY()))+SUMIFS(Transaksi!$F$16:$F$5015,Transaksi!$E$16:$E$5015,$A95,Transaksi!$D$16:$D$5015,"Pindah",Transaksi!$B$16:$B$5015,"&lt;="&amp;MIN(EOMONTH(DATE(Dashboard!$C$4,8,1),0),TODAY())))</f>
        <v/>
      </c>
      <c r="K95" s="106">
        <f>IF(OR($A95="",DATE(Dashboard!$C$4,9,1)&gt;TODAY(),ISNA(MATCH($B95,{"Pribadi","Investasi (kas RDN)","Piutang","Pinjaman Mama (dompet)"},0))),"",SUMIFS(Akun!$C$5:$C$104,Akun!$A$5:$A$104,$A95,Akun!$D$5:$D$104,"&lt;="&amp;MIN(EOMONTH(DATE(Dashboard!$C$4,9,1),0),TODAY()))+SUMIFS(Transaksi!$F$16:$F$5015,Transaksi!$C$16:$C$5015,$A95,Transaksi!$D$16:$D$5015,"Masuk",Transaksi!$B$16:$B$5015,"&lt;="&amp;MIN(EOMONTH(DATE(Dashboard!$C$4,9,1),0),TODAY()))-SUMIFS(Transaksi!$F$16:$F$5015,Transaksi!$C$16:$C$5015,$A95,Transaksi!$D$16:$D$5015,"Keluar",Transaksi!$B$16:$B$5015,"&lt;="&amp;MIN(EOMONTH(DATE(Dashboard!$C$4,9,1),0),TODAY()))-SUMIFS(Transaksi!$F$16:$F$5015,Transaksi!$C$16:$C$5015,$A95,Transaksi!$D$16:$D$5015,"Pindah",Transaksi!$B$16:$B$5015,"&lt;="&amp;MIN(EOMONTH(DATE(Dashboard!$C$4,9,1),0),TODAY()))+SUMIFS(Transaksi!$F$16:$F$5015,Transaksi!$E$16:$E$5015,$A95,Transaksi!$D$16:$D$5015,"Pindah",Transaksi!$B$16:$B$5015,"&lt;="&amp;MIN(EOMONTH(DATE(Dashboard!$C$4,9,1),0),TODAY())))</f>
        <v/>
      </c>
      <c r="L95" s="106">
        <f>IF(OR($A95="",DATE(Dashboard!$C$4,10,1)&gt;TODAY(),ISNA(MATCH($B95,{"Pribadi","Investasi (kas RDN)","Piutang","Pinjaman Mama (dompet)"},0))),"",SUMIFS(Akun!$C$5:$C$104,Akun!$A$5:$A$104,$A95,Akun!$D$5:$D$104,"&lt;="&amp;MIN(EOMONTH(DATE(Dashboard!$C$4,10,1),0),TODAY()))+SUMIFS(Transaksi!$F$16:$F$5015,Transaksi!$C$16:$C$5015,$A95,Transaksi!$D$16:$D$5015,"Masuk",Transaksi!$B$16:$B$5015,"&lt;="&amp;MIN(EOMONTH(DATE(Dashboard!$C$4,10,1),0),TODAY()))-SUMIFS(Transaksi!$F$16:$F$5015,Transaksi!$C$16:$C$5015,$A95,Transaksi!$D$16:$D$5015,"Keluar",Transaksi!$B$16:$B$5015,"&lt;="&amp;MIN(EOMONTH(DATE(Dashboard!$C$4,10,1),0),TODAY()))-SUMIFS(Transaksi!$F$16:$F$5015,Transaksi!$C$16:$C$5015,$A95,Transaksi!$D$16:$D$5015,"Pindah",Transaksi!$B$16:$B$5015,"&lt;="&amp;MIN(EOMONTH(DATE(Dashboard!$C$4,10,1),0),TODAY()))+SUMIFS(Transaksi!$F$16:$F$5015,Transaksi!$E$16:$E$5015,$A95,Transaksi!$D$16:$D$5015,"Pindah",Transaksi!$B$16:$B$5015,"&lt;="&amp;MIN(EOMONTH(DATE(Dashboard!$C$4,10,1),0),TODAY())))</f>
        <v/>
      </c>
      <c r="M95" s="106">
        <f>IF(OR($A95="",DATE(Dashboard!$C$4,11,1)&gt;TODAY(),ISNA(MATCH($B95,{"Pribadi","Investasi (kas RDN)","Piutang","Pinjaman Mama (dompet)"},0))),"",SUMIFS(Akun!$C$5:$C$104,Akun!$A$5:$A$104,$A95,Akun!$D$5:$D$104,"&lt;="&amp;MIN(EOMONTH(DATE(Dashboard!$C$4,11,1),0),TODAY()))+SUMIFS(Transaksi!$F$16:$F$5015,Transaksi!$C$16:$C$5015,$A95,Transaksi!$D$16:$D$5015,"Masuk",Transaksi!$B$16:$B$5015,"&lt;="&amp;MIN(EOMONTH(DATE(Dashboard!$C$4,11,1),0),TODAY()))-SUMIFS(Transaksi!$F$16:$F$5015,Transaksi!$C$16:$C$5015,$A95,Transaksi!$D$16:$D$5015,"Keluar",Transaksi!$B$16:$B$5015,"&lt;="&amp;MIN(EOMONTH(DATE(Dashboard!$C$4,11,1),0),TODAY()))-SUMIFS(Transaksi!$F$16:$F$5015,Transaksi!$C$16:$C$5015,$A95,Transaksi!$D$16:$D$5015,"Pindah",Transaksi!$B$16:$B$5015,"&lt;="&amp;MIN(EOMONTH(DATE(Dashboard!$C$4,11,1),0),TODAY()))+SUMIFS(Transaksi!$F$16:$F$5015,Transaksi!$E$16:$E$5015,$A95,Transaksi!$D$16:$D$5015,"Pindah",Transaksi!$B$16:$B$5015,"&lt;="&amp;MIN(EOMONTH(DATE(Dashboard!$C$4,11,1),0),TODAY())))</f>
        <v/>
      </c>
      <c r="N95" s="106">
        <f>IF(OR($A95="",DATE(Dashboard!$C$4,12,1)&gt;TODAY(),ISNA(MATCH($B95,{"Pribadi","Investasi (kas RDN)","Piutang","Pinjaman Mama (dompet)"},0))),"",SUMIFS(Akun!$C$5:$C$104,Akun!$A$5:$A$104,$A95,Akun!$D$5:$D$104,"&lt;="&amp;MIN(EOMONTH(DATE(Dashboard!$C$4,12,1),0),TODAY()))+SUMIFS(Transaksi!$F$16:$F$5015,Transaksi!$C$16:$C$5015,$A95,Transaksi!$D$16:$D$5015,"Masuk",Transaksi!$B$16:$B$5015,"&lt;="&amp;MIN(EOMONTH(DATE(Dashboard!$C$4,12,1),0),TODAY()))-SUMIFS(Transaksi!$F$16:$F$5015,Transaksi!$C$16:$C$5015,$A95,Transaksi!$D$16:$D$5015,"Keluar",Transaksi!$B$16:$B$5015,"&lt;="&amp;MIN(EOMONTH(DATE(Dashboard!$C$4,12,1),0),TODAY()))-SUMIFS(Transaksi!$F$16:$F$5015,Transaksi!$C$16:$C$5015,$A95,Transaksi!$D$16:$D$5015,"Pindah",Transaksi!$B$16:$B$5015,"&lt;="&amp;MIN(EOMONTH(DATE(Dashboard!$C$4,12,1),0),TODAY()))+SUMIFS(Transaksi!$F$16:$F$5015,Transaksi!$E$16:$E$5015,$A95,Transaksi!$D$16:$D$5015,"Pindah",Transaksi!$B$16:$B$5015,"&lt;="&amp;MIN(EOMONTH(DATE(Dashboard!$C$4,12,1),0),TODAY())))</f>
        <v/>
      </c>
    </row>
    <row r="96" ht="15" customHeight="1" s="94">
      <c r="A96" s="93">
        <f>IF(Akun!$A$60="","",Akun!$A$60)</f>
        <v/>
      </c>
      <c r="B96" s="93">
        <f>IF(Akun!$A$60="","",Akun!$B$60)</f>
        <v/>
      </c>
      <c r="C96" s="106">
        <f>IF(OR($A96="",DATE(Dashboard!$C$4,1,1)&gt;TODAY(),ISNA(MATCH($B96,{"Pribadi","Investasi (kas RDN)","Piutang","Pinjaman Mama (dompet)"},0))),"",SUMIFS(Akun!$C$5:$C$104,Akun!$A$5:$A$104,$A96,Akun!$D$5:$D$104,"&lt;="&amp;MIN(EOMONTH(DATE(Dashboard!$C$4,1,1),0),TODAY()))+SUMIFS(Transaksi!$F$16:$F$5015,Transaksi!$C$16:$C$5015,$A96,Transaksi!$D$16:$D$5015,"Masuk",Transaksi!$B$16:$B$5015,"&lt;="&amp;MIN(EOMONTH(DATE(Dashboard!$C$4,1,1),0),TODAY()))-SUMIFS(Transaksi!$F$16:$F$5015,Transaksi!$C$16:$C$5015,$A96,Transaksi!$D$16:$D$5015,"Keluar",Transaksi!$B$16:$B$5015,"&lt;="&amp;MIN(EOMONTH(DATE(Dashboard!$C$4,1,1),0),TODAY()))-SUMIFS(Transaksi!$F$16:$F$5015,Transaksi!$C$16:$C$5015,$A96,Transaksi!$D$16:$D$5015,"Pindah",Transaksi!$B$16:$B$5015,"&lt;="&amp;MIN(EOMONTH(DATE(Dashboard!$C$4,1,1),0),TODAY()))+SUMIFS(Transaksi!$F$16:$F$5015,Transaksi!$E$16:$E$5015,$A96,Transaksi!$D$16:$D$5015,"Pindah",Transaksi!$B$16:$B$5015,"&lt;="&amp;MIN(EOMONTH(DATE(Dashboard!$C$4,1,1),0),TODAY())))</f>
        <v/>
      </c>
      <c r="D96" s="106">
        <f>IF(OR($A96="",DATE(Dashboard!$C$4,2,1)&gt;TODAY(),ISNA(MATCH($B96,{"Pribadi","Investasi (kas RDN)","Piutang","Pinjaman Mama (dompet)"},0))),"",SUMIFS(Akun!$C$5:$C$104,Akun!$A$5:$A$104,$A96,Akun!$D$5:$D$104,"&lt;="&amp;MIN(EOMONTH(DATE(Dashboard!$C$4,2,1),0),TODAY()))+SUMIFS(Transaksi!$F$16:$F$5015,Transaksi!$C$16:$C$5015,$A96,Transaksi!$D$16:$D$5015,"Masuk",Transaksi!$B$16:$B$5015,"&lt;="&amp;MIN(EOMONTH(DATE(Dashboard!$C$4,2,1),0),TODAY()))-SUMIFS(Transaksi!$F$16:$F$5015,Transaksi!$C$16:$C$5015,$A96,Transaksi!$D$16:$D$5015,"Keluar",Transaksi!$B$16:$B$5015,"&lt;="&amp;MIN(EOMONTH(DATE(Dashboard!$C$4,2,1),0),TODAY()))-SUMIFS(Transaksi!$F$16:$F$5015,Transaksi!$C$16:$C$5015,$A96,Transaksi!$D$16:$D$5015,"Pindah",Transaksi!$B$16:$B$5015,"&lt;="&amp;MIN(EOMONTH(DATE(Dashboard!$C$4,2,1),0),TODAY()))+SUMIFS(Transaksi!$F$16:$F$5015,Transaksi!$E$16:$E$5015,$A96,Transaksi!$D$16:$D$5015,"Pindah",Transaksi!$B$16:$B$5015,"&lt;="&amp;MIN(EOMONTH(DATE(Dashboard!$C$4,2,1),0),TODAY())))</f>
        <v/>
      </c>
      <c r="E96" s="106">
        <f>IF(OR($A96="",DATE(Dashboard!$C$4,3,1)&gt;TODAY(),ISNA(MATCH($B96,{"Pribadi","Investasi (kas RDN)","Piutang","Pinjaman Mama (dompet)"},0))),"",SUMIFS(Akun!$C$5:$C$104,Akun!$A$5:$A$104,$A96,Akun!$D$5:$D$104,"&lt;="&amp;MIN(EOMONTH(DATE(Dashboard!$C$4,3,1),0),TODAY()))+SUMIFS(Transaksi!$F$16:$F$5015,Transaksi!$C$16:$C$5015,$A96,Transaksi!$D$16:$D$5015,"Masuk",Transaksi!$B$16:$B$5015,"&lt;="&amp;MIN(EOMONTH(DATE(Dashboard!$C$4,3,1),0),TODAY()))-SUMIFS(Transaksi!$F$16:$F$5015,Transaksi!$C$16:$C$5015,$A96,Transaksi!$D$16:$D$5015,"Keluar",Transaksi!$B$16:$B$5015,"&lt;="&amp;MIN(EOMONTH(DATE(Dashboard!$C$4,3,1),0),TODAY()))-SUMIFS(Transaksi!$F$16:$F$5015,Transaksi!$C$16:$C$5015,$A96,Transaksi!$D$16:$D$5015,"Pindah",Transaksi!$B$16:$B$5015,"&lt;="&amp;MIN(EOMONTH(DATE(Dashboard!$C$4,3,1),0),TODAY()))+SUMIFS(Transaksi!$F$16:$F$5015,Transaksi!$E$16:$E$5015,$A96,Transaksi!$D$16:$D$5015,"Pindah",Transaksi!$B$16:$B$5015,"&lt;="&amp;MIN(EOMONTH(DATE(Dashboard!$C$4,3,1),0),TODAY())))</f>
        <v/>
      </c>
      <c r="F96" s="106">
        <f>IF(OR($A96="",DATE(Dashboard!$C$4,4,1)&gt;TODAY(),ISNA(MATCH($B96,{"Pribadi","Investasi (kas RDN)","Piutang","Pinjaman Mama (dompet)"},0))),"",SUMIFS(Akun!$C$5:$C$104,Akun!$A$5:$A$104,$A96,Akun!$D$5:$D$104,"&lt;="&amp;MIN(EOMONTH(DATE(Dashboard!$C$4,4,1),0),TODAY()))+SUMIFS(Transaksi!$F$16:$F$5015,Transaksi!$C$16:$C$5015,$A96,Transaksi!$D$16:$D$5015,"Masuk",Transaksi!$B$16:$B$5015,"&lt;="&amp;MIN(EOMONTH(DATE(Dashboard!$C$4,4,1),0),TODAY()))-SUMIFS(Transaksi!$F$16:$F$5015,Transaksi!$C$16:$C$5015,$A96,Transaksi!$D$16:$D$5015,"Keluar",Transaksi!$B$16:$B$5015,"&lt;="&amp;MIN(EOMONTH(DATE(Dashboard!$C$4,4,1),0),TODAY()))-SUMIFS(Transaksi!$F$16:$F$5015,Transaksi!$C$16:$C$5015,$A96,Transaksi!$D$16:$D$5015,"Pindah",Transaksi!$B$16:$B$5015,"&lt;="&amp;MIN(EOMONTH(DATE(Dashboard!$C$4,4,1),0),TODAY()))+SUMIFS(Transaksi!$F$16:$F$5015,Transaksi!$E$16:$E$5015,$A96,Transaksi!$D$16:$D$5015,"Pindah",Transaksi!$B$16:$B$5015,"&lt;="&amp;MIN(EOMONTH(DATE(Dashboard!$C$4,4,1),0),TODAY())))</f>
        <v/>
      </c>
      <c r="G96" s="106">
        <f>IF(OR($A96="",DATE(Dashboard!$C$4,5,1)&gt;TODAY(),ISNA(MATCH($B96,{"Pribadi","Investasi (kas RDN)","Piutang","Pinjaman Mama (dompet)"},0))),"",SUMIFS(Akun!$C$5:$C$104,Akun!$A$5:$A$104,$A96,Akun!$D$5:$D$104,"&lt;="&amp;MIN(EOMONTH(DATE(Dashboard!$C$4,5,1),0),TODAY()))+SUMIFS(Transaksi!$F$16:$F$5015,Transaksi!$C$16:$C$5015,$A96,Transaksi!$D$16:$D$5015,"Masuk",Transaksi!$B$16:$B$5015,"&lt;="&amp;MIN(EOMONTH(DATE(Dashboard!$C$4,5,1),0),TODAY()))-SUMIFS(Transaksi!$F$16:$F$5015,Transaksi!$C$16:$C$5015,$A96,Transaksi!$D$16:$D$5015,"Keluar",Transaksi!$B$16:$B$5015,"&lt;="&amp;MIN(EOMONTH(DATE(Dashboard!$C$4,5,1),0),TODAY()))-SUMIFS(Transaksi!$F$16:$F$5015,Transaksi!$C$16:$C$5015,$A96,Transaksi!$D$16:$D$5015,"Pindah",Transaksi!$B$16:$B$5015,"&lt;="&amp;MIN(EOMONTH(DATE(Dashboard!$C$4,5,1),0),TODAY()))+SUMIFS(Transaksi!$F$16:$F$5015,Transaksi!$E$16:$E$5015,$A96,Transaksi!$D$16:$D$5015,"Pindah",Transaksi!$B$16:$B$5015,"&lt;="&amp;MIN(EOMONTH(DATE(Dashboard!$C$4,5,1),0),TODAY())))</f>
        <v/>
      </c>
      <c r="H96" s="106">
        <f>IF(OR($A96="",DATE(Dashboard!$C$4,6,1)&gt;TODAY(),ISNA(MATCH($B96,{"Pribadi","Investasi (kas RDN)","Piutang","Pinjaman Mama (dompet)"},0))),"",SUMIFS(Akun!$C$5:$C$104,Akun!$A$5:$A$104,$A96,Akun!$D$5:$D$104,"&lt;="&amp;MIN(EOMONTH(DATE(Dashboard!$C$4,6,1),0),TODAY()))+SUMIFS(Transaksi!$F$16:$F$5015,Transaksi!$C$16:$C$5015,$A96,Transaksi!$D$16:$D$5015,"Masuk",Transaksi!$B$16:$B$5015,"&lt;="&amp;MIN(EOMONTH(DATE(Dashboard!$C$4,6,1),0),TODAY()))-SUMIFS(Transaksi!$F$16:$F$5015,Transaksi!$C$16:$C$5015,$A96,Transaksi!$D$16:$D$5015,"Keluar",Transaksi!$B$16:$B$5015,"&lt;="&amp;MIN(EOMONTH(DATE(Dashboard!$C$4,6,1),0),TODAY()))-SUMIFS(Transaksi!$F$16:$F$5015,Transaksi!$C$16:$C$5015,$A96,Transaksi!$D$16:$D$5015,"Pindah",Transaksi!$B$16:$B$5015,"&lt;="&amp;MIN(EOMONTH(DATE(Dashboard!$C$4,6,1),0),TODAY()))+SUMIFS(Transaksi!$F$16:$F$5015,Transaksi!$E$16:$E$5015,$A96,Transaksi!$D$16:$D$5015,"Pindah",Transaksi!$B$16:$B$5015,"&lt;="&amp;MIN(EOMONTH(DATE(Dashboard!$C$4,6,1),0),TODAY())))</f>
        <v/>
      </c>
      <c r="I96" s="106">
        <f>IF(OR($A96="",DATE(Dashboard!$C$4,7,1)&gt;TODAY(),ISNA(MATCH($B96,{"Pribadi","Investasi (kas RDN)","Piutang","Pinjaman Mama (dompet)"},0))),"",SUMIFS(Akun!$C$5:$C$104,Akun!$A$5:$A$104,$A96,Akun!$D$5:$D$104,"&lt;="&amp;MIN(EOMONTH(DATE(Dashboard!$C$4,7,1),0),TODAY()))+SUMIFS(Transaksi!$F$16:$F$5015,Transaksi!$C$16:$C$5015,$A96,Transaksi!$D$16:$D$5015,"Masuk",Transaksi!$B$16:$B$5015,"&lt;="&amp;MIN(EOMONTH(DATE(Dashboard!$C$4,7,1),0),TODAY()))-SUMIFS(Transaksi!$F$16:$F$5015,Transaksi!$C$16:$C$5015,$A96,Transaksi!$D$16:$D$5015,"Keluar",Transaksi!$B$16:$B$5015,"&lt;="&amp;MIN(EOMONTH(DATE(Dashboard!$C$4,7,1),0),TODAY()))-SUMIFS(Transaksi!$F$16:$F$5015,Transaksi!$C$16:$C$5015,$A96,Transaksi!$D$16:$D$5015,"Pindah",Transaksi!$B$16:$B$5015,"&lt;="&amp;MIN(EOMONTH(DATE(Dashboard!$C$4,7,1),0),TODAY()))+SUMIFS(Transaksi!$F$16:$F$5015,Transaksi!$E$16:$E$5015,$A96,Transaksi!$D$16:$D$5015,"Pindah",Transaksi!$B$16:$B$5015,"&lt;="&amp;MIN(EOMONTH(DATE(Dashboard!$C$4,7,1),0),TODAY())))</f>
        <v/>
      </c>
      <c r="J96" s="106">
        <f>IF(OR($A96="",DATE(Dashboard!$C$4,8,1)&gt;TODAY(),ISNA(MATCH($B96,{"Pribadi","Investasi (kas RDN)","Piutang","Pinjaman Mama (dompet)"},0))),"",SUMIFS(Akun!$C$5:$C$104,Akun!$A$5:$A$104,$A96,Akun!$D$5:$D$104,"&lt;="&amp;MIN(EOMONTH(DATE(Dashboard!$C$4,8,1),0),TODAY()))+SUMIFS(Transaksi!$F$16:$F$5015,Transaksi!$C$16:$C$5015,$A96,Transaksi!$D$16:$D$5015,"Masuk",Transaksi!$B$16:$B$5015,"&lt;="&amp;MIN(EOMONTH(DATE(Dashboard!$C$4,8,1),0),TODAY()))-SUMIFS(Transaksi!$F$16:$F$5015,Transaksi!$C$16:$C$5015,$A96,Transaksi!$D$16:$D$5015,"Keluar",Transaksi!$B$16:$B$5015,"&lt;="&amp;MIN(EOMONTH(DATE(Dashboard!$C$4,8,1),0),TODAY()))-SUMIFS(Transaksi!$F$16:$F$5015,Transaksi!$C$16:$C$5015,$A96,Transaksi!$D$16:$D$5015,"Pindah",Transaksi!$B$16:$B$5015,"&lt;="&amp;MIN(EOMONTH(DATE(Dashboard!$C$4,8,1),0),TODAY()))+SUMIFS(Transaksi!$F$16:$F$5015,Transaksi!$E$16:$E$5015,$A96,Transaksi!$D$16:$D$5015,"Pindah",Transaksi!$B$16:$B$5015,"&lt;="&amp;MIN(EOMONTH(DATE(Dashboard!$C$4,8,1),0),TODAY())))</f>
        <v/>
      </c>
      <c r="K96" s="106">
        <f>IF(OR($A96="",DATE(Dashboard!$C$4,9,1)&gt;TODAY(),ISNA(MATCH($B96,{"Pribadi","Investasi (kas RDN)","Piutang","Pinjaman Mama (dompet)"},0))),"",SUMIFS(Akun!$C$5:$C$104,Akun!$A$5:$A$104,$A96,Akun!$D$5:$D$104,"&lt;="&amp;MIN(EOMONTH(DATE(Dashboard!$C$4,9,1),0),TODAY()))+SUMIFS(Transaksi!$F$16:$F$5015,Transaksi!$C$16:$C$5015,$A96,Transaksi!$D$16:$D$5015,"Masuk",Transaksi!$B$16:$B$5015,"&lt;="&amp;MIN(EOMONTH(DATE(Dashboard!$C$4,9,1),0),TODAY()))-SUMIFS(Transaksi!$F$16:$F$5015,Transaksi!$C$16:$C$5015,$A96,Transaksi!$D$16:$D$5015,"Keluar",Transaksi!$B$16:$B$5015,"&lt;="&amp;MIN(EOMONTH(DATE(Dashboard!$C$4,9,1),0),TODAY()))-SUMIFS(Transaksi!$F$16:$F$5015,Transaksi!$C$16:$C$5015,$A96,Transaksi!$D$16:$D$5015,"Pindah",Transaksi!$B$16:$B$5015,"&lt;="&amp;MIN(EOMONTH(DATE(Dashboard!$C$4,9,1),0),TODAY()))+SUMIFS(Transaksi!$F$16:$F$5015,Transaksi!$E$16:$E$5015,$A96,Transaksi!$D$16:$D$5015,"Pindah",Transaksi!$B$16:$B$5015,"&lt;="&amp;MIN(EOMONTH(DATE(Dashboard!$C$4,9,1),0),TODAY())))</f>
        <v/>
      </c>
      <c r="L96" s="106">
        <f>IF(OR($A96="",DATE(Dashboard!$C$4,10,1)&gt;TODAY(),ISNA(MATCH($B96,{"Pribadi","Investasi (kas RDN)","Piutang","Pinjaman Mama (dompet)"},0))),"",SUMIFS(Akun!$C$5:$C$104,Akun!$A$5:$A$104,$A96,Akun!$D$5:$D$104,"&lt;="&amp;MIN(EOMONTH(DATE(Dashboard!$C$4,10,1),0),TODAY()))+SUMIFS(Transaksi!$F$16:$F$5015,Transaksi!$C$16:$C$5015,$A96,Transaksi!$D$16:$D$5015,"Masuk",Transaksi!$B$16:$B$5015,"&lt;="&amp;MIN(EOMONTH(DATE(Dashboard!$C$4,10,1),0),TODAY()))-SUMIFS(Transaksi!$F$16:$F$5015,Transaksi!$C$16:$C$5015,$A96,Transaksi!$D$16:$D$5015,"Keluar",Transaksi!$B$16:$B$5015,"&lt;="&amp;MIN(EOMONTH(DATE(Dashboard!$C$4,10,1),0),TODAY()))-SUMIFS(Transaksi!$F$16:$F$5015,Transaksi!$C$16:$C$5015,$A96,Transaksi!$D$16:$D$5015,"Pindah",Transaksi!$B$16:$B$5015,"&lt;="&amp;MIN(EOMONTH(DATE(Dashboard!$C$4,10,1),0),TODAY()))+SUMIFS(Transaksi!$F$16:$F$5015,Transaksi!$E$16:$E$5015,$A96,Transaksi!$D$16:$D$5015,"Pindah",Transaksi!$B$16:$B$5015,"&lt;="&amp;MIN(EOMONTH(DATE(Dashboard!$C$4,10,1),0),TODAY())))</f>
        <v/>
      </c>
      <c r="M96" s="106">
        <f>IF(OR($A96="",DATE(Dashboard!$C$4,11,1)&gt;TODAY(),ISNA(MATCH($B96,{"Pribadi","Investasi (kas RDN)","Piutang","Pinjaman Mama (dompet)"},0))),"",SUMIFS(Akun!$C$5:$C$104,Akun!$A$5:$A$104,$A96,Akun!$D$5:$D$104,"&lt;="&amp;MIN(EOMONTH(DATE(Dashboard!$C$4,11,1),0),TODAY()))+SUMIFS(Transaksi!$F$16:$F$5015,Transaksi!$C$16:$C$5015,$A96,Transaksi!$D$16:$D$5015,"Masuk",Transaksi!$B$16:$B$5015,"&lt;="&amp;MIN(EOMONTH(DATE(Dashboard!$C$4,11,1),0),TODAY()))-SUMIFS(Transaksi!$F$16:$F$5015,Transaksi!$C$16:$C$5015,$A96,Transaksi!$D$16:$D$5015,"Keluar",Transaksi!$B$16:$B$5015,"&lt;="&amp;MIN(EOMONTH(DATE(Dashboard!$C$4,11,1),0),TODAY()))-SUMIFS(Transaksi!$F$16:$F$5015,Transaksi!$C$16:$C$5015,$A96,Transaksi!$D$16:$D$5015,"Pindah",Transaksi!$B$16:$B$5015,"&lt;="&amp;MIN(EOMONTH(DATE(Dashboard!$C$4,11,1),0),TODAY()))+SUMIFS(Transaksi!$F$16:$F$5015,Transaksi!$E$16:$E$5015,$A96,Transaksi!$D$16:$D$5015,"Pindah",Transaksi!$B$16:$B$5015,"&lt;="&amp;MIN(EOMONTH(DATE(Dashboard!$C$4,11,1),0),TODAY())))</f>
        <v/>
      </c>
      <c r="N96" s="106">
        <f>IF(OR($A96="",DATE(Dashboard!$C$4,12,1)&gt;TODAY(),ISNA(MATCH($B96,{"Pribadi","Investasi (kas RDN)","Piutang","Pinjaman Mama (dompet)"},0))),"",SUMIFS(Akun!$C$5:$C$104,Akun!$A$5:$A$104,$A96,Akun!$D$5:$D$104,"&lt;="&amp;MIN(EOMONTH(DATE(Dashboard!$C$4,12,1),0),TODAY()))+SUMIFS(Transaksi!$F$16:$F$5015,Transaksi!$C$16:$C$5015,$A96,Transaksi!$D$16:$D$5015,"Masuk",Transaksi!$B$16:$B$5015,"&lt;="&amp;MIN(EOMONTH(DATE(Dashboard!$C$4,12,1),0),TODAY()))-SUMIFS(Transaksi!$F$16:$F$5015,Transaksi!$C$16:$C$5015,$A96,Transaksi!$D$16:$D$5015,"Keluar",Transaksi!$B$16:$B$5015,"&lt;="&amp;MIN(EOMONTH(DATE(Dashboard!$C$4,12,1),0),TODAY()))-SUMIFS(Transaksi!$F$16:$F$5015,Transaksi!$C$16:$C$5015,$A96,Transaksi!$D$16:$D$5015,"Pindah",Transaksi!$B$16:$B$5015,"&lt;="&amp;MIN(EOMONTH(DATE(Dashboard!$C$4,12,1),0),TODAY()))+SUMIFS(Transaksi!$F$16:$F$5015,Transaksi!$E$16:$E$5015,$A96,Transaksi!$D$16:$D$5015,"Pindah",Transaksi!$B$16:$B$5015,"&lt;="&amp;MIN(EOMONTH(DATE(Dashboard!$C$4,12,1),0),TODAY())))</f>
        <v/>
      </c>
    </row>
    <row r="97" ht="15" customHeight="1" s="94">
      <c r="A97" s="93">
        <f>IF(Akun!$A$61="","",Akun!$A$61)</f>
        <v/>
      </c>
      <c r="B97" s="93">
        <f>IF(Akun!$A$61="","",Akun!$B$61)</f>
        <v/>
      </c>
      <c r="C97" s="106">
        <f>IF(OR($A97="",DATE(Dashboard!$C$4,1,1)&gt;TODAY(),ISNA(MATCH($B97,{"Pribadi","Investasi (kas RDN)","Piutang","Pinjaman Mama (dompet)"},0))),"",SUMIFS(Akun!$C$5:$C$104,Akun!$A$5:$A$104,$A97,Akun!$D$5:$D$104,"&lt;="&amp;MIN(EOMONTH(DATE(Dashboard!$C$4,1,1),0),TODAY()))+SUMIFS(Transaksi!$F$16:$F$5015,Transaksi!$C$16:$C$5015,$A97,Transaksi!$D$16:$D$5015,"Masuk",Transaksi!$B$16:$B$5015,"&lt;="&amp;MIN(EOMONTH(DATE(Dashboard!$C$4,1,1),0),TODAY()))-SUMIFS(Transaksi!$F$16:$F$5015,Transaksi!$C$16:$C$5015,$A97,Transaksi!$D$16:$D$5015,"Keluar",Transaksi!$B$16:$B$5015,"&lt;="&amp;MIN(EOMONTH(DATE(Dashboard!$C$4,1,1),0),TODAY()))-SUMIFS(Transaksi!$F$16:$F$5015,Transaksi!$C$16:$C$5015,$A97,Transaksi!$D$16:$D$5015,"Pindah",Transaksi!$B$16:$B$5015,"&lt;="&amp;MIN(EOMONTH(DATE(Dashboard!$C$4,1,1),0),TODAY()))+SUMIFS(Transaksi!$F$16:$F$5015,Transaksi!$E$16:$E$5015,$A97,Transaksi!$D$16:$D$5015,"Pindah",Transaksi!$B$16:$B$5015,"&lt;="&amp;MIN(EOMONTH(DATE(Dashboard!$C$4,1,1),0),TODAY())))</f>
        <v/>
      </c>
      <c r="D97" s="106">
        <f>IF(OR($A97="",DATE(Dashboard!$C$4,2,1)&gt;TODAY(),ISNA(MATCH($B97,{"Pribadi","Investasi (kas RDN)","Piutang","Pinjaman Mama (dompet)"},0))),"",SUMIFS(Akun!$C$5:$C$104,Akun!$A$5:$A$104,$A97,Akun!$D$5:$D$104,"&lt;="&amp;MIN(EOMONTH(DATE(Dashboard!$C$4,2,1),0),TODAY()))+SUMIFS(Transaksi!$F$16:$F$5015,Transaksi!$C$16:$C$5015,$A97,Transaksi!$D$16:$D$5015,"Masuk",Transaksi!$B$16:$B$5015,"&lt;="&amp;MIN(EOMONTH(DATE(Dashboard!$C$4,2,1),0),TODAY()))-SUMIFS(Transaksi!$F$16:$F$5015,Transaksi!$C$16:$C$5015,$A97,Transaksi!$D$16:$D$5015,"Keluar",Transaksi!$B$16:$B$5015,"&lt;="&amp;MIN(EOMONTH(DATE(Dashboard!$C$4,2,1),0),TODAY()))-SUMIFS(Transaksi!$F$16:$F$5015,Transaksi!$C$16:$C$5015,$A97,Transaksi!$D$16:$D$5015,"Pindah",Transaksi!$B$16:$B$5015,"&lt;="&amp;MIN(EOMONTH(DATE(Dashboard!$C$4,2,1),0),TODAY()))+SUMIFS(Transaksi!$F$16:$F$5015,Transaksi!$E$16:$E$5015,$A97,Transaksi!$D$16:$D$5015,"Pindah",Transaksi!$B$16:$B$5015,"&lt;="&amp;MIN(EOMONTH(DATE(Dashboard!$C$4,2,1),0),TODAY())))</f>
        <v/>
      </c>
      <c r="E97" s="106">
        <f>IF(OR($A97="",DATE(Dashboard!$C$4,3,1)&gt;TODAY(),ISNA(MATCH($B97,{"Pribadi","Investasi (kas RDN)","Piutang","Pinjaman Mama (dompet)"},0))),"",SUMIFS(Akun!$C$5:$C$104,Akun!$A$5:$A$104,$A97,Akun!$D$5:$D$104,"&lt;="&amp;MIN(EOMONTH(DATE(Dashboard!$C$4,3,1),0),TODAY()))+SUMIFS(Transaksi!$F$16:$F$5015,Transaksi!$C$16:$C$5015,$A97,Transaksi!$D$16:$D$5015,"Masuk",Transaksi!$B$16:$B$5015,"&lt;="&amp;MIN(EOMONTH(DATE(Dashboard!$C$4,3,1),0),TODAY()))-SUMIFS(Transaksi!$F$16:$F$5015,Transaksi!$C$16:$C$5015,$A97,Transaksi!$D$16:$D$5015,"Keluar",Transaksi!$B$16:$B$5015,"&lt;="&amp;MIN(EOMONTH(DATE(Dashboard!$C$4,3,1),0),TODAY()))-SUMIFS(Transaksi!$F$16:$F$5015,Transaksi!$C$16:$C$5015,$A97,Transaksi!$D$16:$D$5015,"Pindah",Transaksi!$B$16:$B$5015,"&lt;="&amp;MIN(EOMONTH(DATE(Dashboard!$C$4,3,1),0),TODAY()))+SUMIFS(Transaksi!$F$16:$F$5015,Transaksi!$E$16:$E$5015,$A97,Transaksi!$D$16:$D$5015,"Pindah",Transaksi!$B$16:$B$5015,"&lt;="&amp;MIN(EOMONTH(DATE(Dashboard!$C$4,3,1),0),TODAY())))</f>
        <v/>
      </c>
      <c r="F97" s="106">
        <f>IF(OR($A97="",DATE(Dashboard!$C$4,4,1)&gt;TODAY(),ISNA(MATCH($B97,{"Pribadi","Investasi (kas RDN)","Piutang","Pinjaman Mama (dompet)"},0))),"",SUMIFS(Akun!$C$5:$C$104,Akun!$A$5:$A$104,$A97,Akun!$D$5:$D$104,"&lt;="&amp;MIN(EOMONTH(DATE(Dashboard!$C$4,4,1),0),TODAY()))+SUMIFS(Transaksi!$F$16:$F$5015,Transaksi!$C$16:$C$5015,$A97,Transaksi!$D$16:$D$5015,"Masuk",Transaksi!$B$16:$B$5015,"&lt;="&amp;MIN(EOMONTH(DATE(Dashboard!$C$4,4,1),0),TODAY()))-SUMIFS(Transaksi!$F$16:$F$5015,Transaksi!$C$16:$C$5015,$A97,Transaksi!$D$16:$D$5015,"Keluar",Transaksi!$B$16:$B$5015,"&lt;="&amp;MIN(EOMONTH(DATE(Dashboard!$C$4,4,1),0),TODAY()))-SUMIFS(Transaksi!$F$16:$F$5015,Transaksi!$C$16:$C$5015,$A97,Transaksi!$D$16:$D$5015,"Pindah",Transaksi!$B$16:$B$5015,"&lt;="&amp;MIN(EOMONTH(DATE(Dashboard!$C$4,4,1),0),TODAY()))+SUMIFS(Transaksi!$F$16:$F$5015,Transaksi!$E$16:$E$5015,$A97,Transaksi!$D$16:$D$5015,"Pindah",Transaksi!$B$16:$B$5015,"&lt;="&amp;MIN(EOMONTH(DATE(Dashboard!$C$4,4,1),0),TODAY())))</f>
        <v/>
      </c>
      <c r="G97" s="106">
        <f>IF(OR($A97="",DATE(Dashboard!$C$4,5,1)&gt;TODAY(),ISNA(MATCH($B97,{"Pribadi","Investasi (kas RDN)","Piutang","Pinjaman Mama (dompet)"},0))),"",SUMIFS(Akun!$C$5:$C$104,Akun!$A$5:$A$104,$A97,Akun!$D$5:$D$104,"&lt;="&amp;MIN(EOMONTH(DATE(Dashboard!$C$4,5,1),0),TODAY()))+SUMIFS(Transaksi!$F$16:$F$5015,Transaksi!$C$16:$C$5015,$A97,Transaksi!$D$16:$D$5015,"Masuk",Transaksi!$B$16:$B$5015,"&lt;="&amp;MIN(EOMONTH(DATE(Dashboard!$C$4,5,1),0),TODAY()))-SUMIFS(Transaksi!$F$16:$F$5015,Transaksi!$C$16:$C$5015,$A97,Transaksi!$D$16:$D$5015,"Keluar",Transaksi!$B$16:$B$5015,"&lt;="&amp;MIN(EOMONTH(DATE(Dashboard!$C$4,5,1),0),TODAY()))-SUMIFS(Transaksi!$F$16:$F$5015,Transaksi!$C$16:$C$5015,$A97,Transaksi!$D$16:$D$5015,"Pindah",Transaksi!$B$16:$B$5015,"&lt;="&amp;MIN(EOMONTH(DATE(Dashboard!$C$4,5,1),0),TODAY()))+SUMIFS(Transaksi!$F$16:$F$5015,Transaksi!$E$16:$E$5015,$A97,Transaksi!$D$16:$D$5015,"Pindah",Transaksi!$B$16:$B$5015,"&lt;="&amp;MIN(EOMONTH(DATE(Dashboard!$C$4,5,1),0),TODAY())))</f>
        <v/>
      </c>
      <c r="H97" s="106">
        <f>IF(OR($A97="",DATE(Dashboard!$C$4,6,1)&gt;TODAY(),ISNA(MATCH($B97,{"Pribadi","Investasi (kas RDN)","Piutang","Pinjaman Mama (dompet)"},0))),"",SUMIFS(Akun!$C$5:$C$104,Akun!$A$5:$A$104,$A97,Akun!$D$5:$D$104,"&lt;="&amp;MIN(EOMONTH(DATE(Dashboard!$C$4,6,1),0),TODAY()))+SUMIFS(Transaksi!$F$16:$F$5015,Transaksi!$C$16:$C$5015,$A97,Transaksi!$D$16:$D$5015,"Masuk",Transaksi!$B$16:$B$5015,"&lt;="&amp;MIN(EOMONTH(DATE(Dashboard!$C$4,6,1),0),TODAY()))-SUMIFS(Transaksi!$F$16:$F$5015,Transaksi!$C$16:$C$5015,$A97,Transaksi!$D$16:$D$5015,"Keluar",Transaksi!$B$16:$B$5015,"&lt;="&amp;MIN(EOMONTH(DATE(Dashboard!$C$4,6,1),0),TODAY()))-SUMIFS(Transaksi!$F$16:$F$5015,Transaksi!$C$16:$C$5015,$A97,Transaksi!$D$16:$D$5015,"Pindah",Transaksi!$B$16:$B$5015,"&lt;="&amp;MIN(EOMONTH(DATE(Dashboard!$C$4,6,1),0),TODAY()))+SUMIFS(Transaksi!$F$16:$F$5015,Transaksi!$E$16:$E$5015,$A97,Transaksi!$D$16:$D$5015,"Pindah",Transaksi!$B$16:$B$5015,"&lt;="&amp;MIN(EOMONTH(DATE(Dashboard!$C$4,6,1),0),TODAY())))</f>
        <v/>
      </c>
      <c r="I97" s="106">
        <f>IF(OR($A97="",DATE(Dashboard!$C$4,7,1)&gt;TODAY(),ISNA(MATCH($B97,{"Pribadi","Investasi (kas RDN)","Piutang","Pinjaman Mama (dompet)"},0))),"",SUMIFS(Akun!$C$5:$C$104,Akun!$A$5:$A$104,$A97,Akun!$D$5:$D$104,"&lt;="&amp;MIN(EOMONTH(DATE(Dashboard!$C$4,7,1),0),TODAY()))+SUMIFS(Transaksi!$F$16:$F$5015,Transaksi!$C$16:$C$5015,$A97,Transaksi!$D$16:$D$5015,"Masuk",Transaksi!$B$16:$B$5015,"&lt;="&amp;MIN(EOMONTH(DATE(Dashboard!$C$4,7,1),0),TODAY()))-SUMIFS(Transaksi!$F$16:$F$5015,Transaksi!$C$16:$C$5015,$A97,Transaksi!$D$16:$D$5015,"Keluar",Transaksi!$B$16:$B$5015,"&lt;="&amp;MIN(EOMONTH(DATE(Dashboard!$C$4,7,1),0),TODAY()))-SUMIFS(Transaksi!$F$16:$F$5015,Transaksi!$C$16:$C$5015,$A97,Transaksi!$D$16:$D$5015,"Pindah",Transaksi!$B$16:$B$5015,"&lt;="&amp;MIN(EOMONTH(DATE(Dashboard!$C$4,7,1),0),TODAY()))+SUMIFS(Transaksi!$F$16:$F$5015,Transaksi!$E$16:$E$5015,$A97,Transaksi!$D$16:$D$5015,"Pindah",Transaksi!$B$16:$B$5015,"&lt;="&amp;MIN(EOMONTH(DATE(Dashboard!$C$4,7,1),0),TODAY())))</f>
        <v/>
      </c>
      <c r="J97" s="106">
        <f>IF(OR($A97="",DATE(Dashboard!$C$4,8,1)&gt;TODAY(),ISNA(MATCH($B97,{"Pribadi","Investasi (kas RDN)","Piutang","Pinjaman Mama (dompet)"},0))),"",SUMIFS(Akun!$C$5:$C$104,Akun!$A$5:$A$104,$A97,Akun!$D$5:$D$104,"&lt;="&amp;MIN(EOMONTH(DATE(Dashboard!$C$4,8,1),0),TODAY()))+SUMIFS(Transaksi!$F$16:$F$5015,Transaksi!$C$16:$C$5015,$A97,Transaksi!$D$16:$D$5015,"Masuk",Transaksi!$B$16:$B$5015,"&lt;="&amp;MIN(EOMONTH(DATE(Dashboard!$C$4,8,1),0),TODAY()))-SUMIFS(Transaksi!$F$16:$F$5015,Transaksi!$C$16:$C$5015,$A97,Transaksi!$D$16:$D$5015,"Keluar",Transaksi!$B$16:$B$5015,"&lt;="&amp;MIN(EOMONTH(DATE(Dashboard!$C$4,8,1),0),TODAY()))-SUMIFS(Transaksi!$F$16:$F$5015,Transaksi!$C$16:$C$5015,$A97,Transaksi!$D$16:$D$5015,"Pindah",Transaksi!$B$16:$B$5015,"&lt;="&amp;MIN(EOMONTH(DATE(Dashboard!$C$4,8,1),0),TODAY()))+SUMIFS(Transaksi!$F$16:$F$5015,Transaksi!$E$16:$E$5015,$A97,Transaksi!$D$16:$D$5015,"Pindah",Transaksi!$B$16:$B$5015,"&lt;="&amp;MIN(EOMONTH(DATE(Dashboard!$C$4,8,1),0),TODAY())))</f>
        <v/>
      </c>
      <c r="K97" s="106">
        <f>IF(OR($A97="",DATE(Dashboard!$C$4,9,1)&gt;TODAY(),ISNA(MATCH($B97,{"Pribadi","Investasi (kas RDN)","Piutang","Pinjaman Mama (dompet)"},0))),"",SUMIFS(Akun!$C$5:$C$104,Akun!$A$5:$A$104,$A97,Akun!$D$5:$D$104,"&lt;="&amp;MIN(EOMONTH(DATE(Dashboard!$C$4,9,1),0),TODAY()))+SUMIFS(Transaksi!$F$16:$F$5015,Transaksi!$C$16:$C$5015,$A97,Transaksi!$D$16:$D$5015,"Masuk",Transaksi!$B$16:$B$5015,"&lt;="&amp;MIN(EOMONTH(DATE(Dashboard!$C$4,9,1),0),TODAY()))-SUMIFS(Transaksi!$F$16:$F$5015,Transaksi!$C$16:$C$5015,$A97,Transaksi!$D$16:$D$5015,"Keluar",Transaksi!$B$16:$B$5015,"&lt;="&amp;MIN(EOMONTH(DATE(Dashboard!$C$4,9,1),0),TODAY()))-SUMIFS(Transaksi!$F$16:$F$5015,Transaksi!$C$16:$C$5015,$A97,Transaksi!$D$16:$D$5015,"Pindah",Transaksi!$B$16:$B$5015,"&lt;="&amp;MIN(EOMONTH(DATE(Dashboard!$C$4,9,1),0),TODAY()))+SUMIFS(Transaksi!$F$16:$F$5015,Transaksi!$E$16:$E$5015,$A97,Transaksi!$D$16:$D$5015,"Pindah",Transaksi!$B$16:$B$5015,"&lt;="&amp;MIN(EOMONTH(DATE(Dashboard!$C$4,9,1),0),TODAY())))</f>
        <v/>
      </c>
      <c r="L97" s="106">
        <f>IF(OR($A97="",DATE(Dashboard!$C$4,10,1)&gt;TODAY(),ISNA(MATCH($B97,{"Pribadi","Investasi (kas RDN)","Piutang","Pinjaman Mama (dompet)"},0))),"",SUMIFS(Akun!$C$5:$C$104,Akun!$A$5:$A$104,$A97,Akun!$D$5:$D$104,"&lt;="&amp;MIN(EOMONTH(DATE(Dashboard!$C$4,10,1),0),TODAY()))+SUMIFS(Transaksi!$F$16:$F$5015,Transaksi!$C$16:$C$5015,$A97,Transaksi!$D$16:$D$5015,"Masuk",Transaksi!$B$16:$B$5015,"&lt;="&amp;MIN(EOMONTH(DATE(Dashboard!$C$4,10,1),0),TODAY()))-SUMIFS(Transaksi!$F$16:$F$5015,Transaksi!$C$16:$C$5015,$A97,Transaksi!$D$16:$D$5015,"Keluar",Transaksi!$B$16:$B$5015,"&lt;="&amp;MIN(EOMONTH(DATE(Dashboard!$C$4,10,1),0),TODAY()))-SUMIFS(Transaksi!$F$16:$F$5015,Transaksi!$C$16:$C$5015,$A97,Transaksi!$D$16:$D$5015,"Pindah",Transaksi!$B$16:$B$5015,"&lt;="&amp;MIN(EOMONTH(DATE(Dashboard!$C$4,10,1),0),TODAY()))+SUMIFS(Transaksi!$F$16:$F$5015,Transaksi!$E$16:$E$5015,$A97,Transaksi!$D$16:$D$5015,"Pindah",Transaksi!$B$16:$B$5015,"&lt;="&amp;MIN(EOMONTH(DATE(Dashboard!$C$4,10,1),0),TODAY())))</f>
        <v/>
      </c>
      <c r="M97" s="106">
        <f>IF(OR($A97="",DATE(Dashboard!$C$4,11,1)&gt;TODAY(),ISNA(MATCH($B97,{"Pribadi","Investasi (kas RDN)","Piutang","Pinjaman Mama (dompet)"},0))),"",SUMIFS(Akun!$C$5:$C$104,Akun!$A$5:$A$104,$A97,Akun!$D$5:$D$104,"&lt;="&amp;MIN(EOMONTH(DATE(Dashboard!$C$4,11,1),0),TODAY()))+SUMIFS(Transaksi!$F$16:$F$5015,Transaksi!$C$16:$C$5015,$A97,Transaksi!$D$16:$D$5015,"Masuk",Transaksi!$B$16:$B$5015,"&lt;="&amp;MIN(EOMONTH(DATE(Dashboard!$C$4,11,1),0),TODAY()))-SUMIFS(Transaksi!$F$16:$F$5015,Transaksi!$C$16:$C$5015,$A97,Transaksi!$D$16:$D$5015,"Keluar",Transaksi!$B$16:$B$5015,"&lt;="&amp;MIN(EOMONTH(DATE(Dashboard!$C$4,11,1),0),TODAY()))-SUMIFS(Transaksi!$F$16:$F$5015,Transaksi!$C$16:$C$5015,$A97,Transaksi!$D$16:$D$5015,"Pindah",Transaksi!$B$16:$B$5015,"&lt;="&amp;MIN(EOMONTH(DATE(Dashboard!$C$4,11,1),0),TODAY()))+SUMIFS(Transaksi!$F$16:$F$5015,Transaksi!$E$16:$E$5015,$A97,Transaksi!$D$16:$D$5015,"Pindah",Transaksi!$B$16:$B$5015,"&lt;="&amp;MIN(EOMONTH(DATE(Dashboard!$C$4,11,1),0),TODAY())))</f>
        <v/>
      </c>
      <c r="N97" s="106">
        <f>IF(OR($A97="",DATE(Dashboard!$C$4,12,1)&gt;TODAY(),ISNA(MATCH($B97,{"Pribadi","Investasi (kas RDN)","Piutang","Pinjaman Mama (dompet)"},0))),"",SUMIFS(Akun!$C$5:$C$104,Akun!$A$5:$A$104,$A97,Akun!$D$5:$D$104,"&lt;="&amp;MIN(EOMONTH(DATE(Dashboard!$C$4,12,1),0),TODAY()))+SUMIFS(Transaksi!$F$16:$F$5015,Transaksi!$C$16:$C$5015,$A97,Transaksi!$D$16:$D$5015,"Masuk",Transaksi!$B$16:$B$5015,"&lt;="&amp;MIN(EOMONTH(DATE(Dashboard!$C$4,12,1),0),TODAY()))-SUMIFS(Transaksi!$F$16:$F$5015,Transaksi!$C$16:$C$5015,$A97,Transaksi!$D$16:$D$5015,"Keluar",Transaksi!$B$16:$B$5015,"&lt;="&amp;MIN(EOMONTH(DATE(Dashboard!$C$4,12,1),0),TODAY()))-SUMIFS(Transaksi!$F$16:$F$5015,Transaksi!$C$16:$C$5015,$A97,Transaksi!$D$16:$D$5015,"Pindah",Transaksi!$B$16:$B$5015,"&lt;="&amp;MIN(EOMONTH(DATE(Dashboard!$C$4,12,1),0),TODAY()))+SUMIFS(Transaksi!$F$16:$F$5015,Transaksi!$E$16:$E$5015,$A97,Transaksi!$D$16:$D$5015,"Pindah",Transaksi!$B$16:$B$5015,"&lt;="&amp;MIN(EOMONTH(DATE(Dashboard!$C$4,12,1),0),TODAY())))</f>
        <v/>
      </c>
    </row>
    <row r="98" ht="15" customHeight="1" s="94">
      <c r="A98" s="93">
        <f>IF(Akun!$A$62="","",Akun!$A$62)</f>
        <v/>
      </c>
      <c r="B98" s="93">
        <f>IF(Akun!$A$62="","",Akun!$B$62)</f>
        <v/>
      </c>
      <c r="C98" s="106">
        <f>IF(OR($A98="",DATE(Dashboard!$C$4,1,1)&gt;TODAY(),ISNA(MATCH($B98,{"Pribadi","Investasi (kas RDN)","Piutang","Pinjaman Mama (dompet)"},0))),"",SUMIFS(Akun!$C$5:$C$104,Akun!$A$5:$A$104,$A98,Akun!$D$5:$D$104,"&lt;="&amp;MIN(EOMONTH(DATE(Dashboard!$C$4,1,1),0),TODAY()))+SUMIFS(Transaksi!$F$16:$F$5015,Transaksi!$C$16:$C$5015,$A98,Transaksi!$D$16:$D$5015,"Masuk",Transaksi!$B$16:$B$5015,"&lt;="&amp;MIN(EOMONTH(DATE(Dashboard!$C$4,1,1),0),TODAY()))-SUMIFS(Transaksi!$F$16:$F$5015,Transaksi!$C$16:$C$5015,$A98,Transaksi!$D$16:$D$5015,"Keluar",Transaksi!$B$16:$B$5015,"&lt;="&amp;MIN(EOMONTH(DATE(Dashboard!$C$4,1,1),0),TODAY()))-SUMIFS(Transaksi!$F$16:$F$5015,Transaksi!$C$16:$C$5015,$A98,Transaksi!$D$16:$D$5015,"Pindah",Transaksi!$B$16:$B$5015,"&lt;="&amp;MIN(EOMONTH(DATE(Dashboard!$C$4,1,1),0),TODAY()))+SUMIFS(Transaksi!$F$16:$F$5015,Transaksi!$E$16:$E$5015,$A98,Transaksi!$D$16:$D$5015,"Pindah",Transaksi!$B$16:$B$5015,"&lt;="&amp;MIN(EOMONTH(DATE(Dashboard!$C$4,1,1),0),TODAY())))</f>
        <v/>
      </c>
      <c r="D98" s="106">
        <f>IF(OR($A98="",DATE(Dashboard!$C$4,2,1)&gt;TODAY(),ISNA(MATCH($B98,{"Pribadi","Investasi (kas RDN)","Piutang","Pinjaman Mama (dompet)"},0))),"",SUMIFS(Akun!$C$5:$C$104,Akun!$A$5:$A$104,$A98,Akun!$D$5:$D$104,"&lt;="&amp;MIN(EOMONTH(DATE(Dashboard!$C$4,2,1),0),TODAY()))+SUMIFS(Transaksi!$F$16:$F$5015,Transaksi!$C$16:$C$5015,$A98,Transaksi!$D$16:$D$5015,"Masuk",Transaksi!$B$16:$B$5015,"&lt;="&amp;MIN(EOMONTH(DATE(Dashboard!$C$4,2,1),0),TODAY()))-SUMIFS(Transaksi!$F$16:$F$5015,Transaksi!$C$16:$C$5015,$A98,Transaksi!$D$16:$D$5015,"Keluar",Transaksi!$B$16:$B$5015,"&lt;="&amp;MIN(EOMONTH(DATE(Dashboard!$C$4,2,1),0),TODAY()))-SUMIFS(Transaksi!$F$16:$F$5015,Transaksi!$C$16:$C$5015,$A98,Transaksi!$D$16:$D$5015,"Pindah",Transaksi!$B$16:$B$5015,"&lt;="&amp;MIN(EOMONTH(DATE(Dashboard!$C$4,2,1),0),TODAY()))+SUMIFS(Transaksi!$F$16:$F$5015,Transaksi!$E$16:$E$5015,$A98,Transaksi!$D$16:$D$5015,"Pindah",Transaksi!$B$16:$B$5015,"&lt;="&amp;MIN(EOMONTH(DATE(Dashboard!$C$4,2,1),0),TODAY())))</f>
        <v/>
      </c>
      <c r="E98" s="106">
        <f>IF(OR($A98="",DATE(Dashboard!$C$4,3,1)&gt;TODAY(),ISNA(MATCH($B98,{"Pribadi","Investasi (kas RDN)","Piutang","Pinjaman Mama (dompet)"},0))),"",SUMIFS(Akun!$C$5:$C$104,Akun!$A$5:$A$104,$A98,Akun!$D$5:$D$104,"&lt;="&amp;MIN(EOMONTH(DATE(Dashboard!$C$4,3,1),0),TODAY()))+SUMIFS(Transaksi!$F$16:$F$5015,Transaksi!$C$16:$C$5015,$A98,Transaksi!$D$16:$D$5015,"Masuk",Transaksi!$B$16:$B$5015,"&lt;="&amp;MIN(EOMONTH(DATE(Dashboard!$C$4,3,1),0),TODAY()))-SUMIFS(Transaksi!$F$16:$F$5015,Transaksi!$C$16:$C$5015,$A98,Transaksi!$D$16:$D$5015,"Keluar",Transaksi!$B$16:$B$5015,"&lt;="&amp;MIN(EOMONTH(DATE(Dashboard!$C$4,3,1),0),TODAY()))-SUMIFS(Transaksi!$F$16:$F$5015,Transaksi!$C$16:$C$5015,$A98,Transaksi!$D$16:$D$5015,"Pindah",Transaksi!$B$16:$B$5015,"&lt;="&amp;MIN(EOMONTH(DATE(Dashboard!$C$4,3,1),0),TODAY()))+SUMIFS(Transaksi!$F$16:$F$5015,Transaksi!$E$16:$E$5015,$A98,Transaksi!$D$16:$D$5015,"Pindah",Transaksi!$B$16:$B$5015,"&lt;="&amp;MIN(EOMONTH(DATE(Dashboard!$C$4,3,1),0),TODAY())))</f>
        <v/>
      </c>
      <c r="F98" s="106">
        <f>IF(OR($A98="",DATE(Dashboard!$C$4,4,1)&gt;TODAY(),ISNA(MATCH($B98,{"Pribadi","Investasi (kas RDN)","Piutang","Pinjaman Mama (dompet)"},0))),"",SUMIFS(Akun!$C$5:$C$104,Akun!$A$5:$A$104,$A98,Akun!$D$5:$D$104,"&lt;="&amp;MIN(EOMONTH(DATE(Dashboard!$C$4,4,1),0),TODAY()))+SUMIFS(Transaksi!$F$16:$F$5015,Transaksi!$C$16:$C$5015,$A98,Transaksi!$D$16:$D$5015,"Masuk",Transaksi!$B$16:$B$5015,"&lt;="&amp;MIN(EOMONTH(DATE(Dashboard!$C$4,4,1),0),TODAY()))-SUMIFS(Transaksi!$F$16:$F$5015,Transaksi!$C$16:$C$5015,$A98,Transaksi!$D$16:$D$5015,"Keluar",Transaksi!$B$16:$B$5015,"&lt;="&amp;MIN(EOMONTH(DATE(Dashboard!$C$4,4,1),0),TODAY()))-SUMIFS(Transaksi!$F$16:$F$5015,Transaksi!$C$16:$C$5015,$A98,Transaksi!$D$16:$D$5015,"Pindah",Transaksi!$B$16:$B$5015,"&lt;="&amp;MIN(EOMONTH(DATE(Dashboard!$C$4,4,1),0),TODAY()))+SUMIFS(Transaksi!$F$16:$F$5015,Transaksi!$E$16:$E$5015,$A98,Transaksi!$D$16:$D$5015,"Pindah",Transaksi!$B$16:$B$5015,"&lt;="&amp;MIN(EOMONTH(DATE(Dashboard!$C$4,4,1),0),TODAY())))</f>
        <v/>
      </c>
      <c r="G98" s="106">
        <f>IF(OR($A98="",DATE(Dashboard!$C$4,5,1)&gt;TODAY(),ISNA(MATCH($B98,{"Pribadi","Investasi (kas RDN)","Piutang","Pinjaman Mama (dompet)"},0))),"",SUMIFS(Akun!$C$5:$C$104,Akun!$A$5:$A$104,$A98,Akun!$D$5:$D$104,"&lt;="&amp;MIN(EOMONTH(DATE(Dashboard!$C$4,5,1),0),TODAY()))+SUMIFS(Transaksi!$F$16:$F$5015,Transaksi!$C$16:$C$5015,$A98,Transaksi!$D$16:$D$5015,"Masuk",Transaksi!$B$16:$B$5015,"&lt;="&amp;MIN(EOMONTH(DATE(Dashboard!$C$4,5,1),0),TODAY()))-SUMIFS(Transaksi!$F$16:$F$5015,Transaksi!$C$16:$C$5015,$A98,Transaksi!$D$16:$D$5015,"Keluar",Transaksi!$B$16:$B$5015,"&lt;="&amp;MIN(EOMONTH(DATE(Dashboard!$C$4,5,1),0),TODAY()))-SUMIFS(Transaksi!$F$16:$F$5015,Transaksi!$C$16:$C$5015,$A98,Transaksi!$D$16:$D$5015,"Pindah",Transaksi!$B$16:$B$5015,"&lt;="&amp;MIN(EOMONTH(DATE(Dashboard!$C$4,5,1),0),TODAY()))+SUMIFS(Transaksi!$F$16:$F$5015,Transaksi!$E$16:$E$5015,$A98,Transaksi!$D$16:$D$5015,"Pindah",Transaksi!$B$16:$B$5015,"&lt;="&amp;MIN(EOMONTH(DATE(Dashboard!$C$4,5,1),0),TODAY())))</f>
        <v/>
      </c>
      <c r="H98" s="106">
        <f>IF(OR($A98="",DATE(Dashboard!$C$4,6,1)&gt;TODAY(),ISNA(MATCH($B98,{"Pribadi","Investasi (kas RDN)","Piutang","Pinjaman Mama (dompet)"},0))),"",SUMIFS(Akun!$C$5:$C$104,Akun!$A$5:$A$104,$A98,Akun!$D$5:$D$104,"&lt;="&amp;MIN(EOMONTH(DATE(Dashboard!$C$4,6,1),0),TODAY()))+SUMIFS(Transaksi!$F$16:$F$5015,Transaksi!$C$16:$C$5015,$A98,Transaksi!$D$16:$D$5015,"Masuk",Transaksi!$B$16:$B$5015,"&lt;="&amp;MIN(EOMONTH(DATE(Dashboard!$C$4,6,1),0),TODAY()))-SUMIFS(Transaksi!$F$16:$F$5015,Transaksi!$C$16:$C$5015,$A98,Transaksi!$D$16:$D$5015,"Keluar",Transaksi!$B$16:$B$5015,"&lt;="&amp;MIN(EOMONTH(DATE(Dashboard!$C$4,6,1),0),TODAY()))-SUMIFS(Transaksi!$F$16:$F$5015,Transaksi!$C$16:$C$5015,$A98,Transaksi!$D$16:$D$5015,"Pindah",Transaksi!$B$16:$B$5015,"&lt;="&amp;MIN(EOMONTH(DATE(Dashboard!$C$4,6,1),0),TODAY()))+SUMIFS(Transaksi!$F$16:$F$5015,Transaksi!$E$16:$E$5015,$A98,Transaksi!$D$16:$D$5015,"Pindah",Transaksi!$B$16:$B$5015,"&lt;="&amp;MIN(EOMONTH(DATE(Dashboard!$C$4,6,1),0),TODAY())))</f>
        <v/>
      </c>
      <c r="I98" s="106">
        <f>IF(OR($A98="",DATE(Dashboard!$C$4,7,1)&gt;TODAY(),ISNA(MATCH($B98,{"Pribadi","Investasi (kas RDN)","Piutang","Pinjaman Mama (dompet)"},0))),"",SUMIFS(Akun!$C$5:$C$104,Akun!$A$5:$A$104,$A98,Akun!$D$5:$D$104,"&lt;="&amp;MIN(EOMONTH(DATE(Dashboard!$C$4,7,1),0),TODAY()))+SUMIFS(Transaksi!$F$16:$F$5015,Transaksi!$C$16:$C$5015,$A98,Transaksi!$D$16:$D$5015,"Masuk",Transaksi!$B$16:$B$5015,"&lt;="&amp;MIN(EOMONTH(DATE(Dashboard!$C$4,7,1),0),TODAY()))-SUMIFS(Transaksi!$F$16:$F$5015,Transaksi!$C$16:$C$5015,$A98,Transaksi!$D$16:$D$5015,"Keluar",Transaksi!$B$16:$B$5015,"&lt;="&amp;MIN(EOMONTH(DATE(Dashboard!$C$4,7,1),0),TODAY()))-SUMIFS(Transaksi!$F$16:$F$5015,Transaksi!$C$16:$C$5015,$A98,Transaksi!$D$16:$D$5015,"Pindah",Transaksi!$B$16:$B$5015,"&lt;="&amp;MIN(EOMONTH(DATE(Dashboard!$C$4,7,1),0),TODAY()))+SUMIFS(Transaksi!$F$16:$F$5015,Transaksi!$E$16:$E$5015,$A98,Transaksi!$D$16:$D$5015,"Pindah",Transaksi!$B$16:$B$5015,"&lt;="&amp;MIN(EOMONTH(DATE(Dashboard!$C$4,7,1),0),TODAY())))</f>
        <v/>
      </c>
      <c r="J98" s="106">
        <f>IF(OR($A98="",DATE(Dashboard!$C$4,8,1)&gt;TODAY(),ISNA(MATCH($B98,{"Pribadi","Investasi (kas RDN)","Piutang","Pinjaman Mama (dompet)"},0))),"",SUMIFS(Akun!$C$5:$C$104,Akun!$A$5:$A$104,$A98,Akun!$D$5:$D$104,"&lt;="&amp;MIN(EOMONTH(DATE(Dashboard!$C$4,8,1),0),TODAY()))+SUMIFS(Transaksi!$F$16:$F$5015,Transaksi!$C$16:$C$5015,$A98,Transaksi!$D$16:$D$5015,"Masuk",Transaksi!$B$16:$B$5015,"&lt;="&amp;MIN(EOMONTH(DATE(Dashboard!$C$4,8,1),0),TODAY()))-SUMIFS(Transaksi!$F$16:$F$5015,Transaksi!$C$16:$C$5015,$A98,Transaksi!$D$16:$D$5015,"Keluar",Transaksi!$B$16:$B$5015,"&lt;="&amp;MIN(EOMONTH(DATE(Dashboard!$C$4,8,1),0),TODAY()))-SUMIFS(Transaksi!$F$16:$F$5015,Transaksi!$C$16:$C$5015,$A98,Transaksi!$D$16:$D$5015,"Pindah",Transaksi!$B$16:$B$5015,"&lt;="&amp;MIN(EOMONTH(DATE(Dashboard!$C$4,8,1),0),TODAY()))+SUMIFS(Transaksi!$F$16:$F$5015,Transaksi!$E$16:$E$5015,$A98,Transaksi!$D$16:$D$5015,"Pindah",Transaksi!$B$16:$B$5015,"&lt;="&amp;MIN(EOMONTH(DATE(Dashboard!$C$4,8,1),0),TODAY())))</f>
        <v/>
      </c>
      <c r="K98" s="106">
        <f>IF(OR($A98="",DATE(Dashboard!$C$4,9,1)&gt;TODAY(),ISNA(MATCH($B98,{"Pribadi","Investasi (kas RDN)","Piutang","Pinjaman Mama (dompet)"},0))),"",SUMIFS(Akun!$C$5:$C$104,Akun!$A$5:$A$104,$A98,Akun!$D$5:$D$104,"&lt;="&amp;MIN(EOMONTH(DATE(Dashboard!$C$4,9,1),0),TODAY()))+SUMIFS(Transaksi!$F$16:$F$5015,Transaksi!$C$16:$C$5015,$A98,Transaksi!$D$16:$D$5015,"Masuk",Transaksi!$B$16:$B$5015,"&lt;="&amp;MIN(EOMONTH(DATE(Dashboard!$C$4,9,1),0),TODAY()))-SUMIFS(Transaksi!$F$16:$F$5015,Transaksi!$C$16:$C$5015,$A98,Transaksi!$D$16:$D$5015,"Keluar",Transaksi!$B$16:$B$5015,"&lt;="&amp;MIN(EOMONTH(DATE(Dashboard!$C$4,9,1),0),TODAY()))-SUMIFS(Transaksi!$F$16:$F$5015,Transaksi!$C$16:$C$5015,$A98,Transaksi!$D$16:$D$5015,"Pindah",Transaksi!$B$16:$B$5015,"&lt;="&amp;MIN(EOMONTH(DATE(Dashboard!$C$4,9,1),0),TODAY()))+SUMIFS(Transaksi!$F$16:$F$5015,Transaksi!$E$16:$E$5015,$A98,Transaksi!$D$16:$D$5015,"Pindah",Transaksi!$B$16:$B$5015,"&lt;="&amp;MIN(EOMONTH(DATE(Dashboard!$C$4,9,1),0),TODAY())))</f>
        <v/>
      </c>
      <c r="L98" s="106">
        <f>IF(OR($A98="",DATE(Dashboard!$C$4,10,1)&gt;TODAY(),ISNA(MATCH($B98,{"Pribadi","Investasi (kas RDN)","Piutang","Pinjaman Mama (dompet)"},0))),"",SUMIFS(Akun!$C$5:$C$104,Akun!$A$5:$A$104,$A98,Akun!$D$5:$D$104,"&lt;="&amp;MIN(EOMONTH(DATE(Dashboard!$C$4,10,1),0),TODAY()))+SUMIFS(Transaksi!$F$16:$F$5015,Transaksi!$C$16:$C$5015,$A98,Transaksi!$D$16:$D$5015,"Masuk",Transaksi!$B$16:$B$5015,"&lt;="&amp;MIN(EOMONTH(DATE(Dashboard!$C$4,10,1),0),TODAY()))-SUMIFS(Transaksi!$F$16:$F$5015,Transaksi!$C$16:$C$5015,$A98,Transaksi!$D$16:$D$5015,"Keluar",Transaksi!$B$16:$B$5015,"&lt;="&amp;MIN(EOMONTH(DATE(Dashboard!$C$4,10,1),0),TODAY()))-SUMIFS(Transaksi!$F$16:$F$5015,Transaksi!$C$16:$C$5015,$A98,Transaksi!$D$16:$D$5015,"Pindah",Transaksi!$B$16:$B$5015,"&lt;="&amp;MIN(EOMONTH(DATE(Dashboard!$C$4,10,1),0),TODAY()))+SUMIFS(Transaksi!$F$16:$F$5015,Transaksi!$E$16:$E$5015,$A98,Transaksi!$D$16:$D$5015,"Pindah",Transaksi!$B$16:$B$5015,"&lt;="&amp;MIN(EOMONTH(DATE(Dashboard!$C$4,10,1),0),TODAY())))</f>
        <v/>
      </c>
      <c r="M98" s="106">
        <f>IF(OR($A98="",DATE(Dashboard!$C$4,11,1)&gt;TODAY(),ISNA(MATCH($B98,{"Pribadi","Investasi (kas RDN)","Piutang","Pinjaman Mama (dompet)"},0))),"",SUMIFS(Akun!$C$5:$C$104,Akun!$A$5:$A$104,$A98,Akun!$D$5:$D$104,"&lt;="&amp;MIN(EOMONTH(DATE(Dashboard!$C$4,11,1),0),TODAY()))+SUMIFS(Transaksi!$F$16:$F$5015,Transaksi!$C$16:$C$5015,$A98,Transaksi!$D$16:$D$5015,"Masuk",Transaksi!$B$16:$B$5015,"&lt;="&amp;MIN(EOMONTH(DATE(Dashboard!$C$4,11,1),0),TODAY()))-SUMIFS(Transaksi!$F$16:$F$5015,Transaksi!$C$16:$C$5015,$A98,Transaksi!$D$16:$D$5015,"Keluar",Transaksi!$B$16:$B$5015,"&lt;="&amp;MIN(EOMONTH(DATE(Dashboard!$C$4,11,1),0),TODAY()))-SUMIFS(Transaksi!$F$16:$F$5015,Transaksi!$C$16:$C$5015,$A98,Transaksi!$D$16:$D$5015,"Pindah",Transaksi!$B$16:$B$5015,"&lt;="&amp;MIN(EOMONTH(DATE(Dashboard!$C$4,11,1),0),TODAY()))+SUMIFS(Transaksi!$F$16:$F$5015,Transaksi!$E$16:$E$5015,$A98,Transaksi!$D$16:$D$5015,"Pindah",Transaksi!$B$16:$B$5015,"&lt;="&amp;MIN(EOMONTH(DATE(Dashboard!$C$4,11,1),0),TODAY())))</f>
        <v/>
      </c>
      <c r="N98" s="106">
        <f>IF(OR($A98="",DATE(Dashboard!$C$4,12,1)&gt;TODAY(),ISNA(MATCH($B98,{"Pribadi","Investasi (kas RDN)","Piutang","Pinjaman Mama (dompet)"},0))),"",SUMIFS(Akun!$C$5:$C$104,Akun!$A$5:$A$104,$A98,Akun!$D$5:$D$104,"&lt;="&amp;MIN(EOMONTH(DATE(Dashboard!$C$4,12,1),0),TODAY()))+SUMIFS(Transaksi!$F$16:$F$5015,Transaksi!$C$16:$C$5015,$A98,Transaksi!$D$16:$D$5015,"Masuk",Transaksi!$B$16:$B$5015,"&lt;="&amp;MIN(EOMONTH(DATE(Dashboard!$C$4,12,1),0),TODAY()))-SUMIFS(Transaksi!$F$16:$F$5015,Transaksi!$C$16:$C$5015,$A98,Transaksi!$D$16:$D$5015,"Keluar",Transaksi!$B$16:$B$5015,"&lt;="&amp;MIN(EOMONTH(DATE(Dashboard!$C$4,12,1),0),TODAY()))-SUMIFS(Transaksi!$F$16:$F$5015,Transaksi!$C$16:$C$5015,$A98,Transaksi!$D$16:$D$5015,"Pindah",Transaksi!$B$16:$B$5015,"&lt;="&amp;MIN(EOMONTH(DATE(Dashboard!$C$4,12,1),0),TODAY()))+SUMIFS(Transaksi!$F$16:$F$5015,Transaksi!$E$16:$E$5015,$A98,Transaksi!$D$16:$D$5015,"Pindah",Transaksi!$B$16:$B$5015,"&lt;="&amp;MIN(EOMONTH(DATE(Dashboard!$C$4,12,1),0),TODAY())))</f>
        <v/>
      </c>
    </row>
    <row r="99" ht="15" customHeight="1" s="94">
      <c r="A99" s="93">
        <f>IF(Akun!$A$63="","",Akun!$A$63)</f>
        <v/>
      </c>
      <c r="B99" s="93">
        <f>IF(Akun!$A$63="","",Akun!$B$63)</f>
        <v/>
      </c>
      <c r="C99" s="106">
        <f>IF(OR($A99="",DATE(Dashboard!$C$4,1,1)&gt;TODAY(),ISNA(MATCH($B99,{"Pribadi","Investasi (kas RDN)","Piutang","Pinjaman Mama (dompet)"},0))),"",SUMIFS(Akun!$C$5:$C$104,Akun!$A$5:$A$104,$A99,Akun!$D$5:$D$104,"&lt;="&amp;MIN(EOMONTH(DATE(Dashboard!$C$4,1,1),0),TODAY()))+SUMIFS(Transaksi!$F$16:$F$5015,Transaksi!$C$16:$C$5015,$A99,Transaksi!$D$16:$D$5015,"Masuk",Transaksi!$B$16:$B$5015,"&lt;="&amp;MIN(EOMONTH(DATE(Dashboard!$C$4,1,1),0),TODAY()))-SUMIFS(Transaksi!$F$16:$F$5015,Transaksi!$C$16:$C$5015,$A99,Transaksi!$D$16:$D$5015,"Keluar",Transaksi!$B$16:$B$5015,"&lt;="&amp;MIN(EOMONTH(DATE(Dashboard!$C$4,1,1),0),TODAY()))-SUMIFS(Transaksi!$F$16:$F$5015,Transaksi!$C$16:$C$5015,$A99,Transaksi!$D$16:$D$5015,"Pindah",Transaksi!$B$16:$B$5015,"&lt;="&amp;MIN(EOMONTH(DATE(Dashboard!$C$4,1,1),0),TODAY()))+SUMIFS(Transaksi!$F$16:$F$5015,Transaksi!$E$16:$E$5015,$A99,Transaksi!$D$16:$D$5015,"Pindah",Transaksi!$B$16:$B$5015,"&lt;="&amp;MIN(EOMONTH(DATE(Dashboard!$C$4,1,1),0),TODAY())))</f>
        <v/>
      </c>
      <c r="D99" s="106">
        <f>IF(OR($A99="",DATE(Dashboard!$C$4,2,1)&gt;TODAY(),ISNA(MATCH($B99,{"Pribadi","Investasi (kas RDN)","Piutang","Pinjaman Mama (dompet)"},0))),"",SUMIFS(Akun!$C$5:$C$104,Akun!$A$5:$A$104,$A99,Akun!$D$5:$D$104,"&lt;="&amp;MIN(EOMONTH(DATE(Dashboard!$C$4,2,1),0),TODAY()))+SUMIFS(Transaksi!$F$16:$F$5015,Transaksi!$C$16:$C$5015,$A99,Transaksi!$D$16:$D$5015,"Masuk",Transaksi!$B$16:$B$5015,"&lt;="&amp;MIN(EOMONTH(DATE(Dashboard!$C$4,2,1),0),TODAY()))-SUMIFS(Transaksi!$F$16:$F$5015,Transaksi!$C$16:$C$5015,$A99,Transaksi!$D$16:$D$5015,"Keluar",Transaksi!$B$16:$B$5015,"&lt;="&amp;MIN(EOMONTH(DATE(Dashboard!$C$4,2,1),0),TODAY()))-SUMIFS(Transaksi!$F$16:$F$5015,Transaksi!$C$16:$C$5015,$A99,Transaksi!$D$16:$D$5015,"Pindah",Transaksi!$B$16:$B$5015,"&lt;="&amp;MIN(EOMONTH(DATE(Dashboard!$C$4,2,1),0),TODAY()))+SUMIFS(Transaksi!$F$16:$F$5015,Transaksi!$E$16:$E$5015,$A99,Transaksi!$D$16:$D$5015,"Pindah",Transaksi!$B$16:$B$5015,"&lt;="&amp;MIN(EOMONTH(DATE(Dashboard!$C$4,2,1),0),TODAY())))</f>
        <v/>
      </c>
      <c r="E99" s="106">
        <f>IF(OR($A99="",DATE(Dashboard!$C$4,3,1)&gt;TODAY(),ISNA(MATCH($B99,{"Pribadi","Investasi (kas RDN)","Piutang","Pinjaman Mama (dompet)"},0))),"",SUMIFS(Akun!$C$5:$C$104,Akun!$A$5:$A$104,$A99,Akun!$D$5:$D$104,"&lt;="&amp;MIN(EOMONTH(DATE(Dashboard!$C$4,3,1),0),TODAY()))+SUMIFS(Transaksi!$F$16:$F$5015,Transaksi!$C$16:$C$5015,$A99,Transaksi!$D$16:$D$5015,"Masuk",Transaksi!$B$16:$B$5015,"&lt;="&amp;MIN(EOMONTH(DATE(Dashboard!$C$4,3,1),0),TODAY()))-SUMIFS(Transaksi!$F$16:$F$5015,Transaksi!$C$16:$C$5015,$A99,Transaksi!$D$16:$D$5015,"Keluar",Transaksi!$B$16:$B$5015,"&lt;="&amp;MIN(EOMONTH(DATE(Dashboard!$C$4,3,1),0),TODAY()))-SUMIFS(Transaksi!$F$16:$F$5015,Transaksi!$C$16:$C$5015,$A99,Transaksi!$D$16:$D$5015,"Pindah",Transaksi!$B$16:$B$5015,"&lt;="&amp;MIN(EOMONTH(DATE(Dashboard!$C$4,3,1),0),TODAY()))+SUMIFS(Transaksi!$F$16:$F$5015,Transaksi!$E$16:$E$5015,$A99,Transaksi!$D$16:$D$5015,"Pindah",Transaksi!$B$16:$B$5015,"&lt;="&amp;MIN(EOMONTH(DATE(Dashboard!$C$4,3,1),0),TODAY())))</f>
        <v/>
      </c>
      <c r="F99" s="106">
        <f>IF(OR($A99="",DATE(Dashboard!$C$4,4,1)&gt;TODAY(),ISNA(MATCH($B99,{"Pribadi","Investasi (kas RDN)","Piutang","Pinjaman Mama (dompet)"},0))),"",SUMIFS(Akun!$C$5:$C$104,Akun!$A$5:$A$104,$A99,Akun!$D$5:$D$104,"&lt;="&amp;MIN(EOMONTH(DATE(Dashboard!$C$4,4,1),0),TODAY()))+SUMIFS(Transaksi!$F$16:$F$5015,Transaksi!$C$16:$C$5015,$A99,Transaksi!$D$16:$D$5015,"Masuk",Transaksi!$B$16:$B$5015,"&lt;="&amp;MIN(EOMONTH(DATE(Dashboard!$C$4,4,1),0),TODAY()))-SUMIFS(Transaksi!$F$16:$F$5015,Transaksi!$C$16:$C$5015,$A99,Transaksi!$D$16:$D$5015,"Keluar",Transaksi!$B$16:$B$5015,"&lt;="&amp;MIN(EOMONTH(DATE(Dashboard!$C$4,4,1),0),TODAY()))-SUMIFS(Transaksi!$F$16:$F$5015,Transaksi!$C$16:$C$5015,$A99,Transaksi!$D$16:$D$5015,"Pindah",Transaksi!$B$16:$B$5015,"&lt;="&amp;MIN(EOMONTH(DATE(Dashboard!$C$4,4,1),0),TODAY()))+SUMIFS(Transaksi!$F$16:$F$5015,Transaksi!$E$16:$E$5015,$A99,Transaksi!$D$16:$D$5015,"Pindah",Transaksi!$B$16:$B$5015,"&lt;="&amp;MIN(EOMONTH(DATE(Dashboard!$C$4,4,1),0),TODAY())))</f>
        <v/>
      </c>
      <c r="G99" s="106">
        <f>IF(OR($A99="",DATE(Dashboard!$C$4,5,1)&gt;TODAY(),ISNA(MATCH($B99,{"Pribadi","Investasi (kas RDN)","Piutang","Pinjaman Mama (dompet)"},0))),"",SUMIFS(Akun!$C$5:$C$104,Akun!$A$5:$A$104,$A99,Akun!$D$5:$D$104,"&lt;="&amp;MIN(EOMONTH(DATE(Dashboard!$C$4,5,1),0),TODAY()))+SUMIFS(Transaksi!$F$16:$F$5015,Transaksi!$C$16:$C$5015,$A99,Transaksi!$D$16:$D$5015,"Masuk",Transaksi!$B$16:$B$5015,"&lt;="&amp;MIN(EOMONTH(DATE(Dashboard!$C$4,5,1),0),TODAY()))-SUMIFS(Transaksi!$F$16:$F$5015,Transaksi!$C$16:$C$5015,$A99,Transaksi!$D$16:$D$5015,"Keluar",Transaksi!$B$16:$B$5015,"&lt;="&amp;MIN(EOMONTH(DATE(Dashboard!$C$4,5,1),0),TODAY()))-SUMIFS(Transaksi!$F$16:$F$5015,Transaksi!$C$16:$C$5015,$A99,Transaksi!$D$16:$D$5015,"Pindah",Transaksi!$B$16:$B$5015,"&lt;="&amp;MIN(EOMONTH(DATE(Dashboard!$C$4,5,1),0),TODAY()))+SUMIFS(Transaksi!$F$16:$F$5015,Transaksi!$E$16:$E$5015,$A99,Transaksi!$D$16:$D$5015,"Pindah",Transaksi!$B$16:$B$5015,"&lt;="&amp;MIN(EOMONTH(DATE(Dashboard!$C$4,5,1),0),TODAY())))</f>
        <v/>
      </c>
      <c r="H99" s="106">
        <f>IF(OR($A99="",DATE(Dashboard!$C$4,6,1)&gt;TODAY(),ISNA(MATCH($B99,{"Pribadi","Investasi (kas RDN)","Piutang","Pinjaman Mama (dompet)"},0))),"",SUMIFS(Akun!$C$5:$C$104,Akun!$A$5:$A$104,$A99,Akun!$D$5:$D$104,"&lt;="&amp;MIN(EOMONTH(DATE(Dashboard!$C$4,6,1),0),TODAY()))+SUMIFS(Transaksi!$F$16:$F$5015,Transaksi!$C$16:$C$5015,$A99,Transaksi!$D$16:$D$5015,"Masuk",Transaksi!$B$16:$B$5015,"&lt;="&amp;MIN(EOMONTH(DATE(Dashboard!$C$4,6,1),0),TODAY()))-SUMIFS(Transaksi!$F$16:$F$5015,Transaksi!$C$16:$C$5015,$A99,Transaksi!$D$16:$D$5015,"Keluar",Transaksi!$B$16:$B$5015,"&lt;="&amp;MIN(EOMONTH(DATE(Dashboard!$C$4,6,1),0),TODAY()))-SUMIFS(Transaksi!$F$16:$F$5015,Transaksi!$C$16:$C$5015,$A99,Transaksi!$D$16:$D$5015,"Pindah",Transaksi!$B$16:$B$5015,"&lt;="&amp;MIN(EOMONTH(DATE(Dashboard!$C$4,6,1),0),TODAY()))+SUMIFS(Transaksi!$F$16:$F$5015,Transaksi!$E$16:$E$5015,$A99,Transaksi!$D$16:$D$5015,"Pindah",Transaksi!$B$16:$B$5015,"&lt;="&amp;MIN(EOMONTH(DATE(Dashboard!$C$4,6,1),0),TODAY())))</f>
        <v/>
      </c>
      <c r="I99" s="106">
        <f>IF(OR($A99="",DATE(Dashboard!$C$4,7,1)&gt;TODAY(),ISNA(MATCH($B99,{"Pribadi","Investasi (kas RDN)","Piutang","Pinjaman Mama (dompet)"},0))),"",SUMIFS(Akun!$C$5:$C$104,Akun!$A$5:$A$104,$A99,Akun!$D$5:$D$104,"&lt;="&amp;MIN(EOMONTH(DATE(Dashboard!$C$4,7,1),0),TODAY()))+SUMIFS(Transaksi!$F$16:$F$5015,Transaksi!$C$16:$C$5015,$A99,Transaksi!$D$16:$D$5015,"Masuk",Transaksi!$B$16:$B$5015,"&lt;="&amp;MIN(EOMONTH(DATE(Dashboard!$C$4,7,1),0),TODAY()))-SUMIFS(Transaksi!$F$16:$F$5015,Transaksi!$C$16:$C$5015,$A99,Transaksi!$D$16:$D$5015,"Keluar",Transaksi!$B$16:$B$5015,"&lt;="&amp;MIN(EOMONTH(DATE(Dashboard!$C$4,7,1),0),TODAY()))-SUMIFS(Transaksi!$F$16:$F$5015,Transaksi!$C$16:$C$5015,$A99,Transaksi!$D$16:$D$5015,"Pindah",Transaksi!$B$16:$B$5015,"&lt;="&amp;MIN(EOMONTH(DATE(Dashboard!$C$4,7,1),0),TODAY()))+SUMIFS(Transaksi!$F$16:$F$5015,Transaksi!$E$16:$E$5015,$A99,Transaksi!$D$16:$D$5015,"Pindah",Transaksi!$B$16:$B$5015,"&lt;="&amp;MIN(EOMONTH(DATE(Dashboard!$C$4,7,1),0),TODAY())))</f>
        <v/>
      </c>
      <c r="J99" s="106">
        <f>IF(OR($A99="",DATE(Dashboard!$C$4,8,1)&gt;TODAY(),ISNA(MATCH($B99,{"Pribadi","Investasi (kas RDN)","Piutang","Pinjaman Mama (dompet)"},0))),"",SUMIFS(Akun!$C$5:$C$104,Akun!$A$5:$A$104,$A99,Akun!$D$5:$D$104,"&lt;="&amp;MIN(EOMONTH(DATE(Dashboard!$C$4,8,1),0),TODAY()))+SUMIFS(Transaksi!$F$16:$F$5015,Transaksi!$C$16:$C$5015,$A99,Transaksi!$D$16:$D$5015,"Masuk",Transaksi!$B$16:$B$5015,"&lt;="&amp;MIN(EOMONTH(DATE(Dashboard!$C$4,8,1),0),TODAY()))-SUMIFS(Transaksi!$F$16:$F$5015,Transaksi!$C$16:$C$5015,$A99,Transaksi!$D$16:$D$5015,"Keluar",Transaksi!$B$16:$B$5015,"&lt;="&amp;MIN(EOMONTH(DATE(Dashboard!$C$4,8,1),0),TODAY()))-SUMIFS(Transaksi!$F$16:$F$5015,Transaksi!$C$16:$C$5015,$A99,Transaksi!$D$16:$D$5015,"Pindah",Transaksi!$B$16:$B$5015,"&lt;="&amp;MIN(EOMONTH(DATE(Dashboard!$C$4,8,1),0),TODAY()))+SUMIFS(Transaksi!$F$16:$F$5015,Transaksi!$E$16:$E$5015,$A99,Transaksi!$D$16:$D$5015,"Pindah",Transaksi!$B$16:$B$5015,"&lt;="&amp;MIN(EOMONTH(DATE(Dashboard!$C$4,8,1),0),TODAY())))</f>
        <v/>
      </c>
      <c r="K99" s="106">
        <f>IF(OR($A99="",DATE(Dashboard!$C$4,9,1)&gt;TODAY(),ISNA(MATCH($B99,{"Pribadi","Investasi (kas RDN)","Piutang","Pinjaman Mama (dompet)"},0))),"",SUMIFS(Akun!$C$5:$C$104,Akun!$A$5:$A$104,$A99,Akun!$D$5:$D$104,"&lt;="&amp;MIN(EOMONTH(DATE(Dashboard!$C$4,9,1),0),TODAY()))+SUMIFS(Transaksi!$F$16:$F$5015,Transaksi!$C$16:$C$5015,$A99,Transaksi!$D$16:$D$5015,"Masuk",Transaksi!$B$16:$B$5015,"&lt;="&amp;MIN(EOMONTH(DATE(Dashboard!$C$4,9,1),0),TODAY()))-SUMIFS(Transaksi!$F$16:$F$5015,Transaksi!$C$16:$C$5015,$A99,Transaksi!$D$16:$D$5015,"Keluar",Transaksi!$B$16:$B$5015,"&lt;="&amp;MIN(EOMONTH(DATE(Dashboard!$C$4,9,1),0),TODAY()))-SUMIFS(Transaksi!$F$16:$F$5015,Transaksi!$C$16:$C$5015,$A99,Transaksi!$D$16:$D$5015,"Pindah",Transaksi!$B$16:$B$5015,"&lt;="&amp;MIN(EOMONTH(DATE(Dashboard!$C$4,9,1),0),TODAY()))+SUMIFS(Transaksi!$F$16:$F$5015,Transaksi!$E$16:$E$5015,$A99,Transaksi!$D$16:$D$5015,"Pindah",Transaksi!$B$16:$B$5015,"&lt;="&amp;MIN(EOMONTH(DATE(Dashboard!$C$4,9,1),0),TODAY())))</f>
        <v/>
      </c>
      <c r="L99" s="106">
        <f>IF(OR($A99="",DATE(Dashboard!$C$4,10,1)&gt;TODAY(),ISNA(MATCH($B99,{"Pribadi","Investasi (kas RDN)","Piutang","Pinjaman Mama (dompet)"},0))),"",SUMIFS(Akun!$C$5:$C$104,Akun!$A$5:$A$104,$A99,Akun!$D$5:$D$104,"&lt;="&amp;MIN(EOMONTH(DATE(Dashboard!$C$4,10,1),0),TODAY()))+SUMIFS(Transaksi!$F$16:$F$5015,Transaksi!$C$16:$C$5015,$A99,Transaksi!$D$16:$D$5015,"Masuk",Transaksi!$B$16:$B$5015,"&lt;="&amp;MIN(EOMONTH(DATE(Dashboard!$C$4,10,1),0),TODAY()))-SUMIFS(Transaksi!$F$16:$F$5015,Transaksi!$C$16:$C$5015,$A99,Transaksi!$D$16:$D$5015,"Keluar",Transaksi!$B$16:$B$5015,"&lt;="&amp;MIN(EOMONTH(DATE(Dashboard!$C$4,10,1),0),TODAY()))-SUMIFS(Transaksi!$F$16:$F$5015,Transaksi!$C$16:$C$5015,$A99,Transaksi!$D$16:$D$5015,"Pindah",Transaksi!$B$16:$B$5015,"&lt;="&amp;MIN(EOMONTH(DATE(Dashboard!$C$4,10,1),0),TODAY()))+SUMIFS(Transaksi!$F$16:$F$5015,Transaksi!$E$16:$E$5015,$A99,Transaksi!$D$16:$D$5015,"Pindah",Transaksi!$B$16:$B$5015,"&lt;="&amp;MIN(EOMONTH(DATE(Dashboard!$C$4,10,1),0),TODAY())))</f>
        <v/>
      </c>
      <c r="M99" s="106">
        <f>IF(OR($A99="",DATE(Dashboard!$C$4,11,1)&gt;TODAY(),ISNA(MATCH($B99,{"Pribadi","Investasi (kas RDN)","Piutang","Pinjaman Mama (dompet)"},0))),"",SUMIFS(Akun!$C$5:$C$104,Akun!$A$5:$A$104,$A99,Akun!$D$5:$D$104,"&lt;="&amp;MIN(EOMONTH(DATE(Dashboard!$C$4,11,1),0),TODAY()))+SUMIFS(Transaksi!$F$16:$F$5015,Transaksi!$C$16:$C$5015,$A99,Transaksi!$D$16:$D$5015,"Masuk",Transaksi!$B$16:$B$5015,"&lt;="&amp;MIN(EOMONTH(DATE(Dashboard!$C$4,11,1),0),TODAY()))-SUMIFS(Transaksi!$F$16:$F$5015,Transaksi!$C$16:$C$5015,$A99,Transaksi!$D$16:$D$5015,"Keluar",Transaksi!$B$16:$B$5015,"&lt;="&amp;MIN(EOMONTH(DATE(Dashboard!$C$4,11,1),0),TODAY()))-SUMIFS(Transaksi!$F$16:$F$5015,Transaksi!$C$16:$C$5015,$A99,Transaksi!$D$16:$D$5015,"Pindah",Transaksi!$B$16:$B$5015,"&lt;="&amp;MIN(EOMONTH(DATE(Dashboard!$C$4,11,1),0),TODAY()))+SUMIFS(Transaksi!$F$16:$F$5015,Transaksi!$E$16:$E$5015,$A99,Transaksi!$D$16:$D$5015,"Pindah",Transaksi!$B$16:$B$5015,"&lt;="&amp;MIN(EOMONTH(DATE(Dashboard!$C$4,11,1),0),TODAY())))</f>
        <v/>
      </c>
      <c r="N99" s="106">
        <f>IF(OR($A99="",DATE(Dashboard!$C$4,12,1)&gt;TODAY(),ISNA(MATCH($B99,{"Pribadi","Investasi (kas RDN)","Piutang","Pinjaman Mama (dompet)"},0))),"",SUMIFS(Akun!$C$5:$C$104,Akun!$A$5:$A$104,$A99,Akun!$D$5:$D$104,"&lt;="&amp;MIN(EOMONTH(DATE(Dashboard!$C$4,12,1),0),TODAY()))+SUMIFS(Transaksi!$F$16:$F$5015,Transaksi!$C$16:$C$5015,$A99,Transaksi!$D$16:$D$5015,"Masuk",Transaksi!$B$16:$B$5015,"&lt;="&amp;MIN(EOMONTH(DATE(Dashboard!$C$4,12,1),0),TODAY()))-SUMIFS(Transaksi!$F$16:$F$5015,Transaksi!$C$16:$C$5015,$A99,Transaksi!$D$16:$D$5015,"Keluar",Transaksi!$B$16:$B$5015,"&lt;="&amp;MIN(EOMONTH(DATE(Dashboard!$C$4,12,1),0),TODAY()))-SUMIFS(Transaksi!$F$16:$F$5015,Transaksi!$C$16:$C$5015,$A99,Transaksi!$D$16:$D$5015,"Pindah",Transaksi!$B$16:$B$5015,"&lt;="&amp;MIN(EOMONTH(DATE(Dashboard!$C$4,12,1),0),TODAY()))+SUMIFS(Transaksi!$F$16:$F$5015,Transaksi!$E$16:$E$5015,$A99,Transaksi!$D$16:$D$5015,"Pindah",Transaksi!$B$16:$B$5015,"&lt;="&amp;MIN(EOMONTH(DATE(Dashboard!$C$4,12,1),0),TODAY())))</f>
        <v/>
      </c>
    </row>
    <row r="100" ht="15" customHeight="1" s="94">
      <c r="A100" s="93">
        <f>IF(Akun!$A$64="","",Akun!$A$64)</f>
        <v/>
      </c>
      <c r="B100" s="93">
        <f>IF(Akun!$A$64="","",Akun!$B$64)</f>
        <v/>
      </c>
      <c r="C100" s="106">
        <f>IF(OR($A100="",DATE(Dashboard!$C$4,1,1)&gt;TODAY(),ISNA(MATCH($B100,{"Pribadi","Investasi (kas RDN)","Piutang","Pinjaman Mama (dompet)"},0))),"",SUMIFS(Akun!$C$5:$C$104,Akun!$A$5:$A$104,$A100,Akun!$D$5:$D$104,"&lt;="&amp;MIN(EOMONTH(DATE(Dashboard!$C$4,1,1),0),TODAY()))+SUMIFS(Transaksi!$F$16:$F$5015,Transaksi!$C$16:$C$5015,$A100,Transaksi!$D$16:$D$5015,"Masuk",Transaksi!$B$16:$B$5015,"&lt;="&amp;MIN(EOMONTH(DATE(Dashboard!$C$4,1,1),0),TODAY()))-SUMIFS(Transaksi!$F$16:$F$5015,Transaksi!$C$16:$C$5015,$A100,Transaksi!$D$16:$D$5015,"Keluar",Transaksi!$B$16:$B$5015,"&lt;="&amp;MIN(EOMONTH(DATE(Dashboard!$C$4,1,1),0),TODAY()))-SUMIFS(Transaksi!$F$16:$F$5015,Transaksi!$C$16:$C$5015,$A100,Transaksi!$D$16:$D$5015,"Pindah",Transaksi!$B$16:$B$5015,"&lt;="&amp;MIN(EOMONTH(DATE(Dashboard!$C$4,1,1),0),TODAY()))+SUMIFS(Transaksi!$F$16:$F$5015,Transaksi!$E$16:$E$5015,$A100,Transaksi!$D$16:$D$5015,"Pindah",Transaksi!$B$16:$B$5015,"&lt;="&amp;MIN(EOMONTH(DATE(Dashboard!$C$4,1,1),0),TODAY())))</f>
        <v/>
      </c>
      <c r="D100" s="106">
        <f>IF(OR($A100="",DATE(Dashboard!$C$4,2,1)&gt;TODAY(),ISNA(MATCH($B100,{"Pribadi","Investasi (kas RDN)","Piutang","Pinjaman Mama (dompet)"},0))),"",SUMIFS(Akun!$C$5:$C$104,Akun!$A$5:$A$104,$A100,Akun!$D$5:$D$104,"&lt;="&amp;MIN(EOMONTH(DATE(Dashboard!$C$4,2,1),0),TODAY()))+SUMIFS(Transaksi!$F$16:$F$5015,Transaksi!$C$16:$C$5015,$A100,Transaksi!$D$16:$D$5015,"Masuk",Transaksi!$B$16:$B$5015,"&lt;="&amp;MIN(EOMONTH(DATE(Dashboard!$C$4,2,1),0),TODAY()))-SUMIFS(Transaksi!$F$16:$F$5015,Transaksi!$C$16:$C$5015,$A100,Transaksi!$D$16:$D$5015,"Keluar",Transaksi!$B$16:$B$5015,"&lt;="&amp;MIN(EOMONTH(DATE(Dashboard!$C$4,2,1),0),TODAY()))-SUMIFS(Transaksi!$F$16:$F$5015,Transaksi!$C$16:$C$5015,$A100,Transaksi!$D$16:$D$5015,"Pindah",Transaksi!$B$16:$B$5015,"&lt;="&amp;MIN(EOMONTH(DATE(Dashboard!$C$4,2,1),0),TODAY()))+SUMIFS(Transaksi!$F$16:$F$5015,Transaksi!$E$16:$E$5015,$A100,Transaksi!$D$16:$D$5015,"Pindah",Transaksi!$B$16:$B$5015,"&lt;="&amp;MIN(EOMONTH(DATE(Dashboard!$C$4,2,1),0),TODAY())))</f>
        <v/>
      </c>
      <c r="E100" s="106">
        <f>IF(OR($A100="",DATE(Dashboard!$C$4,3,1)&gt;TODAY(),ISNA(MATCH($B100,{"Pribadi","Investasi (kas RDN)","Piutang","Pinjaman Mama (dompet)"},0))),"",SUMIFS(Akun!$C$5:$C$104,Akun!$A$5:$A$104,$A100,Akun!$D$5:$D$104,"&lt;="&amp;MIN(EOMONTH(DATE(Dashboard!$C$4,3,1),0),TODAY()))+SUMIFS(Transaksi!$F$16:$F$5015,Transaksi!$C$16:$C$5015,$A100,Transaksi!$D$16:$D$5015,"Masuk",Transaksi!$B$16:$B$5015,"&lt;="&amp;MIN(EOMONTH(DATE(Dashboard!$C$4,3,1),0),TODAY()))-SUMIFS(Transaksi!$F$16:$F$5015,Transaksi!$C$16:$C$5015,$A100,Transaksi!$D$16:$D$5015,"Keluar",Transaksi!$B$16:$B$5015,"&lt;="&amp;MIN(EOMONTH(DATE(Dashboard!$C$4,3,1),0),TODAY()))-SUMIFS(Transaksi!$F$16:$F$5015,Transaksi!$C$16:$C$5015,$A100,Transaksi!$D$16:$D$5015,"Pindah",Transaksi!$B$16:$B$5015,"&lt;="&amp;MIN(EOMONTH(DATE(Dashboard!$C$4,3,1),0),TODAY()))+SUMIFS(Transaksi!$F$16:$F$5015,Transaksi!$E$16:$E$5015,$A100,Transaksi!$D$16:$D$5015,"Pindah",Transaksi!$B$16:$B$5015,"&lt;="&amp;MIN(EOMONTH(DATE(Dashboard!$C$4,3,1),0),TODAY())))</f>
        <v/>
      </c>
      <c r="F100" s="106">
        <f>IF(OR($A100="",DATE(Dashboard!$C$4,4,1)&gt;TODAY(),ISNA(MATCH($B100,{"Pribadi","Investasi (kas RDN)","Piutang","Pinjaman Mama (dompet)"},0))),"",SUMIFS(Akun!$C$5:$C$104,Akun!$A$5:$A$104,$A100,Akun!$D$5:$D$104,"&lt;="&amp;MIN(EOMONTH(DATE(Dashboard!$C$4,4,1),0),TODAY()))+SUMIFS(Transaksi!$F$16:$F$5015,Transaksi!$C$16:$C$5015,$A100,Transaksi!$D$16:$D$5015,"Masuk",Transaksi!$B$16:$B$5015,"&lt;="&amp;MIN(EOMONTH(DATE(Dashboard!$C$4,4,1),0),TODAY()))-SUMIFS(Transaksi!$F$16:$F$5015,Transaksi!$C$16:$C$5015,$A100,Transaksi!$D$16:$D$5015,"Keluar",Transaksi!$B$16:$B$5015,"&lt;="&amp;MIN(EOMONTH(DATE(Dashboard!$C$4,4,1),0),TODAY()))-SUMIFS(Transaksi!$F$16:$F$5015,Transaksi!$C$16:$C$5015,$A100,Transaksi!$D$16:$D$5015,"Pindah",Transaksi!$B$16:$B$5015,"&lt;="&amp;MIN(EOMONTH(DATE(Dashboard!$C$4,4,1),0),TODAY()))+SUMIFS(Transaksi!$F$16:$F$5015,Transaksi!$E$16:$E$5015,$A100,Transaksi!$D$16:$D$5015,"Pindah",Transaksi!$B$16:$B$5015,"&lt;="&amp;MIN(EOMONTH(DATE(Dashboard!$C$4,4,1),0),TODAY())))</f>
        <v/>
      </c>
      <c r="G100" s="106">
        <f>IF(OR($A100="",DATE(Dashboard!$C$4,5,1)&gt;TODAY(),ISNA(MATCH($B100,{"Pribadi","Investasi (kas RDN)","Piutang","Pinjaman Mama (dompet)"},0))),"",SUMIFS(Akun!$C$5:$C$104,Akun!$A$5:$A$104,$A100,Akun!$D$5:$D$104,"&lt;="&amp;MIN(EOMONTH(DATE(Dashboard!$C$4,5,1),0),TODAY()))+SUMIFS(Transaksi!$F$16:$F$5015,Transaksi!$C$16:$C$5015,$A100,Transaksi!$D$16:$D$5015,"Masuk",Transaksi!$B$16:$B$5015,"&lt;="&amp;MIN(EOMONTH(DATE(Dashboard!$C$4,5,1),0),TODAY()))-SUMIFS(Transaksi!$F$16:$F$5015,Transaksi!$C$16:$C$5015,$A100,Transaksi!$D$16:$D$5015,"Keluar",Transaksi!$B$16:$B$5015,"&lt;="&amp;MIN(EOMONTH(DATE(Dashboard!$C$4,5,1),0),TODAY()))-SUMIFS(Transaksi!$F$16:$F$5015,Transaksi!$C$16:$C$5015,$A100,Transaksi!$D$16:$D$5015,"Pindah",Transaksi!$B$16:$B$5015,"&lt;="&amp;MIN(EOMONTH(DATE(Dashboard!$C$4,5,1),0),TODAY()))+SUMIFS(Transaksi!$F$16:$F$5015,Transaksi!$E$16:$E$5015,$A100,Transaksi!$D$16:$D$5015,"Pindah",Transaksi!$B$16:$B$5015,"&lt;="&amp;MIN(EOMONTH(DATE(Dashboard!$C$4,5,1),0),TODAY())))</f>
        <v/>
      </c>
      <c r="H100" s="106">
        <f>IF(OR($A100="",DATE(Dashboard!$C$4,6,1)&gt;TODAY(),ISNA(MATCH($B100,{"Pribadi","Investasi (kas RDN)","Piutang","Pinjaman Mama (dompet)"},0))),"",SUMIFS(Akun!$C$5:$C$104,Akun!$A$5:$A$104,$A100,Akun!$D$5:$D$104,"&lt;="&amp;MIN(EOMONTH(DATE(Dashboard!$C$4,6,1),0),TODAY()))+SUMIFS(Transaksi!$F$16:$F$5015,Transaksi!$C$16:$C$5015,$A100,Transaksi!$D$16:$D$5015,"Masuk",Transaksi!$B$16:$B$5015,"&lt;="&amp;MIN(EOMONTH(DATE(Dashboard!$C$4,6,1),0),TODAY()))-SUMIFS(Transaksi!$F$16:$F$5015,Transaksi!$C$16:$C$5015,$A100,Transaksi!$D$16:$D$5015,"Keluar",Transaksi!$B$16:$B$5015,"&lt;="&amp;MIN(EOMONTH(DATE(Dashboard!$C$4,6,1),0),TODAY()))-SUMIFS(Transaksi!$F$16:$F$5015,Transaksi!$C$16:$C$5015,$A100,Transaksi!$D$16:$D$5015,"Pindah",Transaksi!$B$16:$B$5015,"&lt;="&amp;MIN(EOMONTH(DATE(Dashboard!$C$4,6,1),0),TODAY()))+SUMIFS(Transaksi!$F$16:$F$5015,Transaksi!$E$16:$E$5015,$A100,Transaksi!$D$16:$D$5015,"Pindah",Transaksi!$B$16:$B$5015,"&lt;="&amp;MIN(EOMONTH(DATE(Dashboard!$C$4,6,1),0),TODAY())))</f>
        <v/>
      </c>
      <c r="I100" s="106">
        <f>IF(OR($A100="",DATE(Dashboard!$C$4,7,1)&gt;TODAY(),ISNA(MATCH($B100,{"Pribadi","Investasi (kas RDN)","Piutang","Pinjaman Mama (dompet)"},0))),"",SUMIFS(Akun!$C$5:$C$104,Akun!$A$5:$A$104,$A100,Akun!$D$5:$D$104,"&lt;="&amp;MIN(EOMONTH(DATE(Dashboard!$C$4,7,1),0),TODAY()))+SUMIFS(Transaksi!$F$16:$F$5015,Transaksi!$C$16:$C$5015,$A100,Transaksi!$D$16:$D$5015,"Masuk",Transaksi!$B$16:$B$5015,"&lt;="&amp;MIN(EOMONTH(DATE(Dashboard!$C$4,7,1),0),TODAY()))-SUMIFS(Transaksi!$F$16:$F$5015,Transaksi!$C$16:$C$5015,$A100,Transaksi!$D$16:$D$5015,"Keluar",Transaksi!$B$16:$B$5015,"&lt;="&amp;MIN(EOMONTH(DATE(Dashboard!$C$4,7,1),0),TODAY()))-SUMIFS(Transaksi!$F$16:$F$5015,Transaksi!$C$16:$C$5015,$A100,Transaksi!$D$16:$D$5015,"Pindah",Transaksi!$B$16:$B$5015,"&lt;="&amp;MIN(EOMONTH(DATE(Dashboard!$C$4,7,1),0),TODAY()))+SUMIFS(Transaksi!$F$16:$F$5015,Transaksi!$E$16:$E$5015,$A100,Transaksi!$D$16:$D$5015,"Pindah",Transaksi!$B$16:$B$5015,"&lt;="&amp;MIN(EOMONTH(DATE(Dashboard!$C$4,7,1),0),TODAY())))</f>
        <v/>
      </c>
      <c r="J100" s="106">
        <f>IF(OR($A100="",DATE(Dashboard!$C$4,8,1)&gt;TODAY(),ISNA(MATCH($B100,{"Pribadi","Investasi (kas RDN)","Piutang","Pinjaman Mama (dompet)"},0))),"",SUMIFS(Akun!$C$5:$C$104,Akun!$A$5:$A$104,$A100,Akun!$D$5:$D$104,"&lt;="&amp;MIN(EOMONTH(DATE(Dashboard!$C$4,8,1),0),TODAY()))+SUMIFS(Transaksi!$F$16:$F$5015,Transaksi!$C$16:$C$5015,$A100,Transaksi!$D$16:$D$5015,"Masuk",Transaksi!$B$16:$B$5015,"&lt;="&amp;MIN(EOMONTH(DATE(Dashboard!$C$4,8,1),0),TODAY()))-SUMIFS(Transaksi!$F$16:$F$5015,Transaksi!$C$16:$C$5015,$A100,Transaksi!$D$16:$D$5015,"Keluar",Transaksi!$B$16:$B$5015,"&lt;="&amp;MIN(EOMONTH(DATE(Dashboard!$C$4,8,1),0),TODAY()))-SUMIFS(Transaksi!$F$16:$F$5015,Transaksi!$C$16:$C$5015,$A100,Transaksi!$D$16:$D$5015,"Pindah",Transaksi!$B$16:$B$5015,"&lt;="&amp;MIN(EOMONTH(DATE(Dashboard!$C$4,8,1),0),TODAY()))+SUMIFS(Transaksi!$F$16:$F$5015,Transaksi!$E$16:$E$5015,$A100,Transaksi!$D$16:$D$5015,"Pindah",Transaksi!$B$16:$B$5015,"&lt;="&amp;MIN(EOMONTH(DATE(Dashboard!$C$4,8,1),0),TODAY())))</f>
        <v/>
      </c>
      <c r="K100" s="106">
        <f>IF(OR($A100="",DATE(Dashboard!$C$4,9,1)&gt;TODAY(),ISNA(MATCH($B100,{"Pribadi","Investasi (kas RDN)","Piutang","Pinjaman Mama (dompet)"},0))),"",SUMIFS(Akun!$C$5:$C$104,Akun!$A$5:$A$104,$A100,Akun!$D$5:$D$104,"&lt;="&amp;MIN(EOMONTH(DATE(Dashboard!$C$4,9,1),0),TODAY()))+SUMIFS(Transaksi!$F$16:$F$5015,Transaksi!$C$16:$C$5015,$A100,Transaksi!$D$16:$D$5015,"Masuk",Transaksi!$B$16:$B$5015,"&lt;="&amp;MIN(EOMONTH(DATE(Dashboard!$C$4,9,1),0),TODAY()))-SUMIFS(Transaksi!$F$16:$F$5015,Transaksi!$C$16:$C$5015,$A100,Transaksi!$D$16:$D$5015,"Keluar",Transaksi!$B$16:$B$5015,"&lt;="&amp;MIN(EOMONTH(DATE(Dashboard!$C$4,9,1),0),TODAY()))-SUMIFS(Transaksi!$F$16:$F$5015,Transaksi!$C$16:$C$5015,$A100,Transaksi!$D$16:$D$5015,"Pindah",Transaksi!$B$16:$B$5015,"&lt;="&amp;MIN(EOMONTH(DATE(Dashboard!$C$4,9,1),0),TODAY()))+SUMIFS(Transaksi!$F$16:$F$5015,Transaksi!$E$16:$E$5015,$A100,Transaksi!$D$16:$D$5015,"Pindah",Transaksi!$B$16:$B$5015,"&lt;="&amp;MIN(EOMONTH(DATE(Dashboard!$C$4,9,1),0),TODAY())))</f>
        <v/>
      </c>
      <c r="L100" s="106">
        <f>IF(OR($A100="",DATE(Dashboard!$C$4,10,1)&gt;TODAY(),ISNA(MATCH($B100,{"Pribadi","Investasi (kas RDN)","Piutang","Pinjaman Mama (dompet)"},0))),"",SUMIFS(Akun!$C$5:$C$104,Akun!$A$5:$A$104,$A100,Akun!$D$5:$D$104,"&lt;="&amp;MIN(EOMONTH(DATE(Dashboard!$C$4,10,1),0),TODAY()))+SUMIFS(Transaksi!$F$16:$F$5015,Transaksi!$C$16:$C$5015,$A100,Transaksi!$D$16:$D$5015,"Masuk",Transaksi!$B$16:$B$5015,"&lt;="&amp;MIN(EOMONTH(DATE(Dashboard!$C$4,10,1),0),TODAY()))-SUMIFS(Transaksi!$F$16:$F$5015,Transaksi!$C$16:$C$5015,$A100,Transaksi!$D$16:$D$5015,"Keluar",Transaksi!$B$16:$B$5015,"&lt;="&amp;MIN(EOMONTH(DATE(Dashboard!$C$4,10,1),0),TODAY()))-SUMIFS(Transaksi!$F$16:$F$5015,Transaksi!$C$16:$C$5015,$A100,Transaksi!$D$16:$D$5015,"Pindah",Transaksi!$B$16:$B$5015,"&lt;="&amp;MIN(EOMONTH(DATE(Dashboard!$C$4,10,1),0),TODAY()))+SUMIFS(Transaksi!$F$16:$F$5015,Transaksi!$E$16:$E$5015,$A100,Transaksi!$D$16:$D$5015,"Pindah",Transaksi!$B$16:$B$5015,"&lt;="&amp;MIN(EOMONTH(DATE(Dashboard!$C$4,10,1),0),TODAY())))</f>
        <v/>
      </c>
      <c r="M100" s="106">
        <f>IF(OR($A100="",DATE(Dashboard!$C$4,11,1)&gt;TODAY(),ISNA(MATCH($B100,{"Pribadi","Investasi (kas RDN)","Piutang","Pinjaman Mama (dompet)"},0))),"",SUMIFS(Akun!$C$5:$C$104,Akun!$A$5:$A$104,$A100,Akun!$D$5:$D$104,"&lt;="&amp;MIN(EOMONTH(DATE(Dashboard!$C$4,11,1),0),TODAY()))+SUMIFS(Transaksi!$F$16:$F$5015,Transaksi!$C$16:$C$5015,$A100,Transaksi!$D$16:$D$5015,"Masuk",Transaksi!$B$16:$B$5015,"&lt;="&amp;MIN(EOMONTH(DATE(Dashboard!$C$4,11,1),0),TODAY()))-SUMIFS(Transaksi!$F$16:$F$5015,Transaksi!$C$16:$C$5015,$A100,Transaksi!$D$16:$D$5015,"Keluar",Transaksi!$B$16:$B$5015,"&lt;="&amp;MIN(EOMONTH(DATE(Dashboard!$C$4,11,1),0),TODAY()))-SUMIFS(Transaksi!$F$16:$F$5015,Transaksi!$C$16:$C$5015,$A100,Transaksi!$D$16:$D$5015,"Pindah",Transaksi!$B$16:$B$5015,"&lt;="&amp;MIN(EOMONTH(DATE(Dashboard!$C$4,11,1),0),TODAY()))+SUMIFS(Transaksi!$F$16:$F$5015,Transaksi!$E$16:$E$5015,$A100,Transaksi!$D$16:$D$5015,"Pindah",Transaksi!$B$16:$B$5015,"&lt;="&amp;MIN(EOMONTH(DATE(Dashboard!$C$4,11,1),0),TODAY())))</f>
        <v/>
      </c>
      <c r="N100" s="106">
        <f>IF(OR($A100="",DATE(Dashboard!$C$4,12,1)&gt;TODAY(),ISNA(MATCH($B100,{"Pribadi","Investasi (kas RDN)","Piutang","Pinjaman Mama (dompet)"},0))),"",SUMIFS(Akun!$C$5:$C$104,Akun!$A$5:$A$104,$A100,Akun!$D$5:$D$104,"&lt;="&amp;MIN(EOMONTH(DATE(Dashboard!$C$4,12,1),0),TODAY()))+SUMIFS(Transaksi!$F$16:$F$5015,Transaksi!$C$16:$C$5015,$A100,Transaksi!$D$16:$D$5015,"Masuk",Transaksi!$B$16:$B$5015,"&lt;="&amp;MIN(EOMONTH(DATE(Dashboard!$C$4,12,1),0),TODAY()))-SUMIFS(Transaksi!$F$16:$F$5015,Transaksi!$C$16:$C$5015,$A100,Transaksi!$D$16:$D$5015,"Keluar",Transaksi!$B$16:$B$5015,"&lt;="&amp;MIN(EOMONTH(DATE(Dashboard!$C$4,12,1),0),TODAY()))-SUMIFS(Transaksi!$F$16:$F$5015,Transaksi!$C$16:$C$5015,$A100,Transaksi!$D$16:$D$5015,"Pindah",Transaksi!$B$16:$B$5015,"&lt;="&amp;MIN(EOMONTH(DATE(Dashboard!$C$4,12,1),0),TODAY()))+SUMIFS(Transaksi!$F$16:$F$5015,Transaksi!$E$16:$E$5015,$A100,Transaksi!$D$16:$D$5015,"Pindah",Transaksi!$B$16:$B$5015,"&lt;="&amp;MIN(EOMONTH(DATE(Dashboard!$C$4,12,1),0),TODAY())))</f>
        <v/>
      </c>
    </row>
    <row r="101" ht="15" customHeight="1" s="94">
      <c r="A101" s="93">
        <f>IF(Akun!$A$65="","",Akun!$A$65)</f>
        <v/>
      </c>
      <c r="B101" s="93">
        <f>IF(Akun!$A$65="","",Akun!$B$65)</f>
        <v/>
      </c>
      <c r="C101" s="106">
        <f>IF(OR($A101="",DATE(Dashboard!$C$4,1,1)&gt;TODAY(),ISNA(MATCH($B101,{"Pribadi","Investasi (kas RDN)","Piutang","Pinjaman Mama (dompet)"},0))),"",SUMIFS(Akun!$C$5:$C$104,Akun!$A$5:$A$104,$A101,Akun!$D$5:$D$104,"&lt;="&amp;MIN(EOMONTH(DATE(Dashboard!$C$4,1,1),0),TODAY()))+SUMIFS(Transaksi!$F$16:$F$5015,Transaksi!$C$16:$C$5015,$A101,Transaksi!$D$16:$D$5015,"Masuk",Transaksi!$B$16:$B$5015,"&lt;="&amp;MIN(EOMONTH(DATE(Dashboard!$C$4,1,1),0),TODAY()))-SUMIFS(Transaksi!$F$16:$F$5015,Transaksi!$C$16:$C$5015,$A101,Transaksi!$D$16:$D$5015,"Keluar",Transaksi!$B$16:$B$5015,"&lt;="&amp;MIN(EOMONTH(DATE(Dashboard!$C$4,1,1),0),TODAY()))-SUMIFS(Transaksi!$F$16:$F$5015,Transaksi!$C$16:$C$5015,$A101,Transaksi!$D$16:$D$5015,"Pindah",Transaksi!$B$16:$B$5015,"&lt;="&amp;MIN(EOMONTH(DATE(Dashboard!$C$4,1,1),0),TODAY()))+SUMIFS(Transaksi!$F$16:$F$5015,Transaksi!$E$16:$E$5015,$A101,Transaksi!$D$16:$D$5015,"Pindah",Transaksi!$B$16:$B$5015,"&lt;="&amp;MIN(EOMONTH(DATE(Dashboard!$C$4,1,1),0),TODAY())))</f>
        <v/>
      </c>
      <c r="D101" s="106">
        <f>IF(OR($A101="",DATE(Dashboard!$C$4,2,1)&gt;TODAY(),ISNA(MATCH($B101,{"Pribadi","Investasi (kas RDN)","Piutang","Pinjaman Mama (dompet)"},0))),"",SUMIFS(Akun!$C$5:$C$104,Akun!$A$5:$A$104,$A101,Akun!$D$5:$D$104,"&lt;="&amp;MIN(EOMONTH(DATE(Dashboard!$C$4,2,1),0),TODAY()))+SUMIFS(Transaksi!$F$16:$F$5015,Transaksi!$C$16:$C$5015,$A101,Transaksi!$D$16:$D$5015,"Masuk",Transaksi!$B$16:$B$5015,"&lt;="&amp;MIN(EOMONTH(DATE(Dashboard!$C$4,2,1),0),TODAY()))-SUMIFS(Transaksi!$F$16:$F$5015,Transaksi!$C$16:$C$5015,$A101,Transaksi!$D$16:$D$5015,"Keluar",Transaksi!$B$16:$B$5015,"&lt;="&amp;MIN(EOMONTH(DATE(Dashboard!$C$4,2,1),0),TODAY()))-SUMIFS(Transaksi!$F$16:$F$5015,Transaksi!$C$16:$C$5015,$A101,Transaksi!$D$16:$D$5015,"Pindah",Transaksi!$B$16:$B$5015,"&lt;="&amp;MIN(EOMONTH(DATE(Dashboard!$C$4,2,1),0),TODAY()))+SUMIFS(Transaksi!$F$16:$F$5015,Transaksi!$E$16:$E$5015,$A101,Transaksi!$D$16:$D$5015,"Pindah",Transaksi!$B$16:$B$5015,"&lt;="&amp;MIN(EOMONTH(DATE(Dashboard!$C$4,2,1),0),TODAY())))</f>
        <v/>
      </c>
      <c r="E101" s="106">
        <f>IF(OR($A101="",DATE(Dashboard!$C$4,3,1)&gt;TODAY(),ISNA(MATCH($B101,{"Pribadi","Investasi (kas RDN)","Piutang","Pinjaman Mama (dompet)"},0))),"",SUMIFS(Akun!$C$5:$C$104,Akun!$A$5:$A$104,$A101,Akun!$D$5:$D$104,"&lt;="&amp;MIN(EOMONTH(DATE(Dashboard!$C$4,3,1),0),TODAY()))+SUMIFS(Transaksi!$F$16:$F$5015,Transaksi!$C$16:$C$5015,$A101,Transaksi!$D$16:$D$5015,"Masuk",Transaksi!$B$16:$B$5015,"&lt;="&amp;MIN(EOMONTH(DATE(Dashboard!$C$4,3,1),0),TODAY()))-SUMIFS(Transaksi!$F$16:$F$5015,Transaksi!$C$16:$C$5015,$A101,Transaksi!$D$16:$D$5015,"Keluar",Transaksi!$B$16:$B$5015,"&lt;="&amp;MIN(EOMONTH(DATE(Dashboard!$C$4,3,1),0),TODAY()))-SUMIFS(Transaksi!$F$16:$F$5015,Transaksi!$C$16:$C$5015,$A101,Transaksi!$D$16:$D$5015,"Pindah",Transaksi!$B$16:$B$5015,"&lt;="&amp;MIN(EOMONTH(DATE(Dashboard!$C$4,3,1),0),TODAY()))+SUMIFS(Transaksi!$F$16:$F$5015,Transaksi!$E$16:$E$5015,$A101,Transaksi!$D$16:$D$5015,"Pindah",Transaksi!$B$16:$B$5015,"&lt;="&amp;MIN(EOMONTH(DATE(Dashboard!$C$4,3,1),0),TODAY())))</f>
        <v/>
      </c>
      <c r="F101" s="106">
        <f>IF(OR($A101="",DATE(Dashboard!$C$4,4,1)&gt;TODAY(),ISNA(MATCH($B101,{"Pribadi","Investasi (kas RDN)","Piutang","Pinjaman Mama (dompet)"},0))),"",SUMIFS(Akun!$C$5:$C$104,Akun!$A$5:$A$104,$A101,Akun!$D$5:$D$104,"&lt;="&amp;MIN(EOMONTH(DATE(Dashboard!$C$4,4,1),0),TODAY()))+SUMIFS(Transaksi!$F$16:$F$5015,Transaksi!$C$16:$C$5015,$A101,Transaksi!$D$16:$D$5015,"Masuk",Transaksi!$B$16:$B$5015,"&lt;="&amp;MIN(EOMONTH(DATE(Dashboard!$C$4,4,1),0),TODAY()))-SUMIFS(Transaksi!$F$16:$F$5015,Transaksi!$C$16:$C$5015,$A101,Transaksi!$D$16:$D$5015,"Keluar",Transaksi!$B$16:$B$5015,"&lt;="&amp;MIN(EOMONTH(DATE(Dashboard!$C$4,4,1),0),TODAY()))-SUMIFS(Transaksi!$F$16:$F$5015,Transaksi!$C$16:$C$5015,$A101,Transaksi!$D$16:$D$5015,"Pindah",Transaksi!$B$16:$B$5015,"&lt;="&amp;MIN(EOMONTH(DATE(Dashboard!$C$4,4,1),0),TODAY()))+SUMIFS(Transaksi!$F$16:$F$5015,Transaksi!$E$16:$E$5015,$A101,Transaksi!$D$16:$D$5015,"Pindah",Transaksi!$B$16:$B$5015,"&lt;="&amp;MIN(EOMONTH(DATE(Dashboard!$C$4,4,1),0),TODAY())))</f>
        <v/>
      </c>
      <c r="G101" s="106">
        <f>IF(OR($A101="",DATE(Dashboard!$C$4,5,1)&gt;TODAY(),ISNA(MATCH($B101,{"Pribadi","Investasi (kas RDN)","Piutang","Pinjaman Mama (dompet)"},0))),"",SUMIFS(Akun!$C$5:$C$104,Akun!$A$5:$A$104,$A101,Akun!$D$5:$D$104,"&lt;="&amp;MIN(EOMONTH(DATE(Dashboard!$C$4,5,1),0),TODAY()))+SUMIFS(Transaksi!$F$16:$F$5015,Transaksi!$C$16:$C$5015,$A101,Transaksi!$D$16:$D$5015,"Masuk",Transaksi!$B$16:$B$5015,"&lt;="&amp;MIN(EOMONTH(DATE(Dashboard!$C$4,5,1),0),TODAY()))-SUMIFS(Transaksi!$F$16:$F$5015,Transaksi!$C$16:$C$5015,$A101,Transaksi!$D$16:$D$5015,"Keluar",Transaksi!$B$16:$B$5015,"&lt;="&amp;MIN(EOMONTH(DATE(Dashboard!$C$4,5,1),0),TODAY()))-SUMIFS(Transaksi!$F$16:$F$5015,Transaksi!$C$16:$C$5015,$A101,Transaksi!$D$16:$D$5015,"Pindah",Transaksi!$B$16:$B$5015,"&lt;="&amp;MIN(EOMONTH(DATE(Dashboard!$C$4,5,1),0),TODAY()))+SUMIFS(Transaksi!$F$16:$F$5015,Transaksi!$E$16:$E$5015,$A101,Transaksi!$D$16:$D$5015,"Pindah",Transaksi!$B$16:$B$5015,"&lt;="&amp;MIN(EOMONTH(DATE(Dashboard!$C$4,5,1),0),TODAY())))</f>
        <v/>
      </c>
      <c r="H101" s="106">
        <f>IF(OR($A101="",DATE(Dashboard!$C$4,6,1)&gt;TODAY(),ISNA(MATCH($B101,{"Pribadi","Investasi (kas RDN)","Piutang","Pinjaman Mama (dompet)"},0))),"",SUMIFS(Akun!$C$5:$C$104,Akun!$A$5:$A$104,$A101,Akun!$D$5:$D$104,"&lt;="&amp;MIN(EOMONTH(DATE(Dashboard!$C$4,6,1),0),TODAY()))+SUMIFS(Transaksi!$F$16:$F$5015,Transaksi!$C$16:$C$5015,$A101,Transaksi!$D$16:$D$5015,"Masuk",Transaksi!$B$16:$B$5015,"&lt;="&amp;MIN(EOMONTH(DATE(Dashboard!$C$4,6,1),0),TODAY()))-SUMIFS(Transaksi!$F$16:$F$5015,Transaksi!$C$16:$C$5015,$A101,Transaksi!$D$16:$D$5015,"Keluar",Transaksi!$B$16:$B$5015,"&lt;="&amp;MIN(EOMONTH(DATE(Dashboard!$C$4,6,1),0),TODAY()))-SUMIFS(Transaksi!$F$16:$F$5015,Transaksi!$C$16:$C$5015,$A101,Transaksi!$D$16:$D$5015,"Pindah",Transaksi!$B$16:$B$5015,"&lt;="&amp;MIN(EOMONTH(DATE(Dashboard!$C$4,6,1),0),TODAY()))+SUMIFS(Transaksi!$F$16:$F$5015,Transaksi!$E$16:$E$5015,$A101,Transaksi!$D$16:$D$5015,"Pindah",Transaksi!$B$16:$B$5015,"&lt;="&amp;MIN(EOMONTH(DATE(Dashboard!$C$4,6,1),0),TODAY())))</f>
        <v/>
      </c>
      <c r="I101" s="106">
        <f>IF(OR($A101="",DATE(Dashboard!$C$4,7,1)&gt;TODAY(),ISNA(MATCH($B101,{"Pribadi","Investasi (kas RDN)","Piutang","Pinjaman Mama (dompet)"},0))),"",SUMIFS(Akun!$C$5:$C$104,Akun!$A$5:$A$104,$A101,Akun!$D$5:$D$104,"&lt;="&amp;MIN(EOMONTH(DATE(Dashboard!$C$4,7,1),0),TODAY()))+SUMIFS(Transaksi!$F$16:$F$5015,Transaksi!$C$16:$C$5015,$A101,Transaksi!$D$16:$D$5015,"Masuk",Transaksi!$B$16:$B$5015,"&lt;="&amp;MIN(EOMONTH(DATE(Dashboard!$C$4,7,1),0),TODAY()))-SUMIFS(Transaksi!$F$16:$F$5015,Transaksi!$C$16:$C$5015,$A101,Transaksi!$D$16:$D$5015,"Keluar",Transaksi!$B$16:$B$5015,"&lt;="&amp;MIN(EOMONTH(DATE(Dashboard!$C$4,7,1),0),TODAY()))-SUMIFS(Transaksi!$F$16:$F$5015,Transaksi!$C$16:$C$5015,$A101,Transaksi!$D$16:$D$5015,"Pindah",Transaksi!$B$16:$B$5015,"&lt;="&amp;MIN(EOMONTH(DATE(Dashboard!$C$4,7,1),0),TODAY()))+SUMIFS(Transaksi!$F$16:$F$5015,Transaksi!$E$16:$E$5015,$A101,Transaksi!$D$16:$D$5015,"Pindah",Transaksi!$B$16:$B$5015,"&lt;="&amp;MIN(EOMONTH(DATE(Dashboard!$C$4,7,1),0),TODAY())))</f>
        <v/>
      </c>
      <c r="J101" s="106">
        <f>IF(OR($A101="",DATE(Dashboard!$C$4,8,1)&gt;TODAY(),ISNA(MATCH($B101,{"Pribadi","Investasi (kas RDN)","Piutang","Pinjaman Mama (dompet)"},0))),"",SUMIFS(Akun!$C$5:$C$104,Akun!$A$5:$A$104,$A101,Akun!$D$5:$D$104,"&lt;="&amp;MIN(EOMONTH(DATE(Dashboard!$C$4,8,1),0),TODAY()))+SUMIFS(Transaksi!$F$16:$F$5015,Transaksi!$C$16:$C$5015,$A101,Transaksi!$D$16:$D$5015,"Masuk",Transaksi!$B$16:$B$5015,"&lt;="&amp;MIN(EOMONTH(DATE(Dashboard!$C$4,8,1),0),TODAY()))-SUMIFS(Transaksi!$F$16:$F$5015,Transaksi!$C$16:$C$5015,$A101,Transaksi!$D$16:$D$5015,"Keluar",Transaksi!$B$16:$B$5015,"&lt;="&amp;MIN(EOMONTH(DATE(Dashboard!$C$4,8,1),0),TODAY()))-SUMIFS(Transaksi!$F$16:$F$5015,Transaksi!$C$16:$C$5015,$A101,Transaksi!$D$16:$D$5015,"Pindah",Transaksi!$B$16:$B$5015,"&lt;="&amp;MIN(EOMONTH(DATE(Dashboard!$C$4,8,1),0),TODAY()))+SUMIFS(Transaksi!$F$16:$F$5015,Transaksi!$E$16:$E$5015,$A101,Transaksi!$D$16:$D$5015,"Pindah",Transaksi!$B$16:$B$5015,"&lt;="&amp;MIN(EOMONTH(DATE(Dashboard!$C$4,8,1),0),TODAY())))</f>
        <v/>
      </c>
      <c r="K101" s="106">
        <f>IF(OR($A101="",DATE(Dashboard!$C$4,9,1)&gt;TODAY(),ISNA(MATCH($B101,{"Pribadi","Investasi (kas RDN)","Piutang","Pinjaman Mama (dompet)"},0))),"",SUMIFS(Akun!$C$5:$C$104,Akun!$A$5:$A$104,$A101,Akun!$D$5:$D$104,"&lt;="&amp;MIN(EOMONTH(DATE(Dashboard!$C$4,9,1),0),TODAY()))+SUMIFS(Transaksi!$F$16:$F$5015,Transaksi!$C$16:$C$5015,$A101,Transaksi!$D$16:$D$5015,"Masuk",Transaksi!$B$16:$B$5015,"&lt;="&amp;MIN(EOMONTH(DATE(Dashboard!$C$4,9,1),0),TODAY()))-SUMIFS(Transaksi!$F$16:$F$5015,Transaksi!$C$16:$C$5015,$A101,Transaksi!$D$16:$D$5015,"Keluar",Transaksi!$B$16:$B$5015,"&lt;="&amp;MIN(EOMONTH(DATE(Dashboard!$C$4,9,1),0),TODAY()))-SUMIFS(Transaksi!$F$16:$F$5015,Transaksi!$C$16:$C$5015,$A101,Transaksi!$D$16:$D$5015,"Pindah",Transaksi!$B$16:$B$5015,"&lt;="&amp;MIN(EOMONTH(DATE(Dashboard!$C$4,9,1),0),TODAY()))+SUMIFS(Transaksi!$F$16:$F$5015,Transaksi!$E$16:$E$5015,$A101,Transaksi!$D$16:$D$5015,"Pindah",Transaksi!$B$16:$B$5015,"&lt;="&amp;MIN(EOMONTH(DATE(Dashboard!$C$4,9,1),0),TODAY())))</f>
        <v/>
      </c>
      <c r="L101" s="106">
        <f>IF(OR($A101="",DATE(Dashboard!$C$4,10,1)&gt;TODAY(),ISNA(MATCH($B101,{"Pribadi","Investasi (kas RDN)","Piutang","Pinjaman Mama (dompet)"},0))),"",SUMIFS(Akun!$C$5:$C$104,Akun!$A$5:$A$104,$A101,Akun!$D$5:$D$104,"&lt;="&amp;MIN(EOMONTH(DATE(Dashboard!$C$4,10,1),0),TODAY()))+SUMIFS(Transaksi!$F$16:$F$5015,Transaksi!$C$16:$C$5015,$A101,Transaksi!$D$16:$D$5015,"Masuk",Transaksi!$B$16:$B$5015,"&lt;="&amp;MIN(EOMONTH(DATE(Dashboard!$C$4,10,1),0),TODAY()))-SUMIFS(Transaksi!$F$16:$F$5015,Transaksi!$C$16:$C$5015,$A101,Transaksi!$D$16:$D$5015,"Keluar",Transaksi!$B$16:$B$5015,"&lt;="&amp;MIN(EOMONTH(DATE(Dashboard!$C$4,10,1),0),TODAY()))-SUMIFS(Transaksi!$F$16:$F$5015,Transaksi!$C$16:$C$5015,$A101,Transaksi!$D$16:$D$5015,"Pindah",Transaksi!$B$16:$B$5015,"&lt;="&amp;MIN(EOMONTH(DATE(Dashboard!$C$4,10,1),0),TODAY()))+SUMIFS(Transaksi!$F$16:$F$5015,Transaksi!$E$16:$E$5015,$A101,Transaksi!$D$16:$D$5015,"Pindah",Transaksi!$B$16:$B$5015,"&lt;="&amp;MIN(EOMONTH(DATE(Dashboard!$C$4,10,1),0),TODAY())))</f>
        <v/>
      </c>
      <c r="M101" s="106">
        <f>IF(OR($A101="",DATE(Dashboard!$C$4,11,1)&gt;TODAY(),ISNA(MATCH($B101,{"Pribadi","Investasi (kas RDN)","Piutang","Pinjaman Mama (dompet)"},0))),"",SUMIFS(Akun!$C$5:$C$104,Akun!$A$5:$A$104,$A101,Akun!$D$5:$D$104,"&lt;="&amp;MIN(EOMONTH(DATE(Dashboard!$C$4,11,1),0),TODAY()))+SUMIFS(Transaksi!$F$16:$F$5015,Transaksi!$C$16:$C$5015,$A101,Transaksi!$D$16:$D$5015,"Masuk",Transaksi!$B$16:$B$5015,"&lt;="&amp;MIN(EOMONTH(DATE(Dashboard!$C$4,11,1),0),TODAY()))-SUMIFS(Transaksi!$F$16:$F$5015,Transaksi!$C$16:$C$5015,$A101,Transaksi!$D$16:$D$5015,"Keluar",Transaksi!$B$16:$B$5015,"&lt;="&amp;MIN(EOMONTH(DATE(Dashboard!$C$4,11,1),0),TODAY()))-SUMIFS(Transaksi!$F$16:$F$5015,Transaksi!$C$16:$C$5015,$A101,Transaksi!$D$16:$D$5015,"Pindah",Transaksi!$B$16:$B$5015,"&lt;="&amp;MIN(EOMONTH(DATE(Dashboard!$C$4,11,1),0),TODAY()))+SUMIFS(Transaksi!$F$16:$F$5015,Transaksi!$E$16:$E$5015,$A101,Transaksi!$D$16:$D$5015,"Pindah",Transaksi!$B$16:$B$5015,"&lt;="&amp;MIN(EOMONTH(DATE(Dashboard!$C$4,11,1),0),TODAY())))</f>
        <v/>
      </c>
      <c r="N101" s="106">
        <f>IF(OR($A101="",DATE(Dashboard!$C$4,12,1)&gt;TODAY(),ISNA(MATCH($B101,{"Pribadi","Investasi (kas RDN)","Piutang","Pinjaman Mama (dompet)"},0))),"",SUMIFS(Akun!$C$5:$C$104,Akun!$A$5:$A$104,$A101,Akun!$D$5:$D$104,"&lt;="&amp;MIN(EOMONTH(DATE(Dashboard!$C$4,12,1),0),TODAY()))+SUMIFS(Transaksi!$F$16:$F$5015,Transaksi!$C$16:$C$5015,$A101,Transaksi!$D$16:$D$5015,"Masuk",Transaksi!$B$16:$B$5015,"&lt;="&amp;MIN(EOMONTH(DATE(Dashboard!$C$4,12,1),0),TODAY()))-SUMIFS(Transaksi!$F$16:$F$5015,Transaksi!$C$16:$C$5015,$A101,Transaksi!$D$16:$D$5015,"Keluar",Transaksi!$B$16:$B$5015,"&lt;="&amp;MIN(EOMONTH(DATE(Dashboard!$C$4,12,1),0),TODAY()))-SUMIFS(Transaksi!$F$16:$F$5015,Transaksi!$C$16:$C$5015,$A101,Transaksi!$D$16:$D$5015,"Pindah",Transaksi!$B$16:$B$5015,"&lt;="&amp;MIN(EOMONTH(DATE(Dashboard!$C$4,12,1),0),TODAY()))+SUMIFS(Transaksi!$F$16:$F$5015,Transaksi!$E$16:$E$5015,$A101,Transaksi!$D$16:$D$5015,"Pindah",Transaksi!$B$16:$B$5015,"&lt;="&amp;MIN(EOMONTH(DATE(Dashboard!$C$4,12,1),0),TODAY())))</f>
        <v/>
      </c>
    </row>
    <row r="102" ht="15" customHeight="1" s="94">
      <c r="A102" s="93">
        <f>IF(Akun!$A$66="","",Akun!$A$66)</f>
        <v/>
      </c>
      <c r="B102" s="93">
        <f>IF(Akun!$A$66="","",Akun!$B$66)</f>
        <v/>
      </c>
      <c r="C102" s="106">
        <f>IF(OR($A102="",DATE(Dashboard!$C$4,1,1)&gt;TODAY(),ISNA(MATCH($B102,{"Pribadi","Investasi (kas RDN)","Piutang","Pinjaman Mama (dompet)"},0))),"",SUMIFS(Akun!$C$5:$C$104,Akun!$A$5:$A$104,$A102,Akun!$D$5:$D$104,"&lt;="&amp;MIN(EOMONTH(DATE(Dashboard!$C$4,1,1),0),TODAY()))+SUMIFS(Transaksi!$F$16:$F$5015,Transaksi!$C$16:$C$5015,$A102,Transaksi!$D$16:$D$5015,"Masuk",Transaksi!$B$16:$B$5015,"&lt;="&amp;MIN(EOMONTH(DATE(Dashboard!$C$4,1,1),0),TODAY()))-SUMIFS(Transaksi!$F$16:$F$5015,Transaksi!$C$16:$C$5015,$A102,Transaksi!$D$16:$D$5015,"Keluar",Transaksi!$B$16:$B$5015,"&lt;="&amp;MIN(EOMONTH(DATE(Dashboard!$C$4,1,1),0),TODAY()))-SUMIFS(Transaksi!$F$16:$F$5015,Transaksi!$C$16:$C$5015,$A102,Transaksi!$D$16:$D$5015,"Pindah",Transaksi!$B$16:$B$5015,"&lt;="&amp;MIN(EOMONTH(DATE(Dashboard!$C$4,1,1),0),TODAY()))+SUMIFS(Transaksi!$F$16:$F$5015,Transaksi!$E$16:$E$5015,$A102,Transaksi!$D$16:$D$5015,"Pindah",Transaksi!$B$16:$B$5015,"&lt;="&amp;MIN(EOMONTH(DATE(Dashboard!$C$4,1,1),0),TODAY())))</f>
        <v/>
      </c>
      <c r="D102" s="106">
        <f>IF(OR($A102="",DATE(Dashboard!$C$4,2,1)&gt;TODAY(),ISNA(MATCH($B102,{"Pribadi","Investasi (kas RDN)","Piutang","Pinjaman Mama (dompet)"},0))),"",SUMIFS(Akun!$C$5:$C$104,Akun!$A$5:$A$104,$A102,Akun!$D$5:$D$104,"&lt;="&amp;MIN(EOMONTH(DATE(Dashboard!$C$4,2,1),0),TODAY()))+SUMIFS(Transaksi!$F$16:$F$5015,Transaksi!$C$16:$C$5015,$A102,Transaksi!$D$16:$D$5015,"Masuk",Transaksi!$B$16:$B$5015,"&lt;="&amp;MIN(EOMONTH(DATE(Dashboard!$C$4,2,1),0),TODAY()))-SUMIFS(Transaksi!$F$16:$F$5015,Transaksi!$C$16:$C$5015,$A102,Transaksi!$D$16:$D$5015,"Keluar",Transaksi!$B$16:$B$5015,"&lt;="&amp;MIN(EOMONTH(DATE(Dashboard!$C$4,2,1),0),TODAY()))-SUMIFS(Transaksi!$F$16:$F$5015,Transaksi!$C$16:$C$5015,$A102,Transaksi!$D$16:$D$5015,"Pindah",Transaksi!$B$16:$B$5015,"&lt;="&amp;MIN(EOMONTH(DATE(Dashboard!$C$4,2,1),0),TODAY()))+SUMIFS(Transaksi!$F$16:$F$5015,Transaksi!$E$16:$E$5015,$A102,Transaksi!$D$16:$D$5015,"Pindah",Transaksi!$B$16:$B$5015,"&lt;="&amp;MIN(EOMONTH(DATE(Dashboard!$C$4,2,1),0),TODAY())))</f>
        <v/>
      </c>
      <c r="E102" s="106">
        <f>IF(OR($A102="",DATE(Dashboard!$C$4,3,1)&gt;TODAY(),ISNA(MATCH($B102,{"Pribadi","Investasi (kas RDN)","Piutang","Pinjaman Mama (dompet)"},0))),"",SUMIFS(Akun!$C$5:$C$104,Akun!$A$5:$A$104,$A102,Akun!$D$5:$D$104,"&lt;="&amp;MIN(EOMONTH(DATE(Dashboard!$C$4,3,1),0),TODAY()))+SUMIFS(Transaksi!$F$16:$F$5015,Transaksi!$C$16:$C$5015,$A102,Transaksi!$D$16:$D$5015,"Masuk",Transaksi!$B$16:$B$5015,"&lt;="&amp;MIN(EOMONTH(DATE(Dashboard!$C$4,3,1),0),TODAY()))-SUMIFS(Transaksi!$F$16:$F$5015,Transaksi!$C$16:$C$5015,$A102,Transaksi!$D$16:$D$5015,"Keluar",Transaksi!$B$16:$B$5015,"&lt;="&amp;MIN(EOMONTH(DATE(Dashboard!$C$4,3,1),0),TODAY()))-SUMIFS(Transaksi!$F$16:$F$5015,Transaksi!$C$16:$C$5015,$A102,Transaksi!$D$16:$D$5015,"Pindah",Transaksi!$B$16:$B$5015,"&lt;="&amp;MIN(EOMONTH(DATE(Dashboard!$C$4,3,1),0),TODAY()))+SUMIFS(Transaksi!$F$16:$F$5015,Transaksi!$E$16:$E$5015,$A102,Transaksi!$D$16:$D$5015,"Pindah",Transaksi!$B$16:$B$5015,"&lt;="&amp;MIN(EOMONTH(DATE(Dashboard!$C$4,3,1),0),TODAY())))</f>
        <v/>
      </c>
      <c r="F102" s="106">
        <f>IF(OR($A102="",DATE(Dashboard!$C$4,4,1)&gt;TODAY(),ISNA(MATCH($B102,{"Pribadi","Investasi (kas RDN)","Piutang","Pinjaman Mama (dompet)"},0))),"",SUMIFS(Akun!$C$5:$C$104,Akun!$A$5:$A$104,$A102,Akun!$D$5:$D$104,"&lt;="&amp;MIN(EOMONTH(DATE(Dashboard!$C$4,4,1),0),TODAY()))+SUMIFS(Transaksi!$F$16:$F$5015,Transaksi!$C$16:$C$5015,$A102,Transaksi!$D$16:$D$5015,"Masuk",Transaksi!$B$16:$B$5015,"&lt;="&amp;MIN(EOMONTH(DATE(Dashboard!$C$4,4,1),0),TODAY()))-SUMIFS(Transaksi!$F$16:$F$5015,Transaksi!$C$16:$C$5015,$A102,Transaksi!$D$16:$D$5015,"Keluar",Transaksi!$B$16:$B$5015,"&lt;="&amp;MIN(EOMONTH(DATE(Dashboard!$C$4,4,1),0),TODAY()))-SUMIFS(Transaksi!$F$16:$F$5015,Transaksi!$C$16:$C$5015,$A102,Transaksi!$D$16:$D$5015,"Pindah",Transaksi!$B$16:$B$5015,"&lt;="&amp;MIN(EOMONTH(DATE(Dashboard!$C$4,4,1),0),TODAY()))+SUMIFS(Transaksi!$F$16:$F$5015,Transaksi!$E$16:$E$5015,$A102,Transaksi!$D$16:$D$5015,"Pindah",Transaksi!$B$16:$B$5015,"&lt;="&amp;MIN(EOMONTH(DATE(Dashboard!$C$4,4,1),0),TODAY())))</f>
        <v/>
      </c>
      <c r="G102" s="106">
        <f>IF(OR($A102="",DATE(Dashboard!$C$4,5,1)&gt;TODAY(),ISNA(MATCH($B102,{"Pribadi","Investasi (kas RDN)","Piutang","Pinjaman Mama (dompet)"},0))),"",SUMIFS(Akun!$C$5:$C$104,Akun!$A$5:$A$104,$A102,Akun!$D$5:$D$104,"&lt;="&amp;MIN(EOMONTH(DATE(Dashboard!$C$4,5,1),0),TODAY()))+SUMIFS(Transaksi!$F$16:$F$5015,Transaksi!$C$16:$C$5015,$A102,Transaksi!$D$16:$D$5015,"Masuk",Transaksi!$B$16:$B$5015,"&lt;="&amp;MIN(EOMONTH(DATE(Dashboard!$C$4,5,1),0),TODAY()))-SUMIFS(Transaksi!$F$16:$F$5015,Transaksi!$C$16:$C$5015,$A102,Transaksi!$D$16:$D$5015,"Keluar",Transaksi!$B$16:$B$5015,"&lt;="&amp;MIN(EOMONTH(DATE(Dashboard!$C$4,5,1),0),TODAY()))-SUMIFS(Transaksi!$F$16:$F$5015,Transaksi!$C$16:$C$5015,$A102,Transaksi!$D$16:$D$5015,"Pindah",Transaksi!$B$16:$B$5015,"&lt;="&amp;MIN(EOMONTH(DATE(Dashboard!$C$4,5,1),0),TODAY()))+SUMIFS(Transaksi!$F$16:$F$5015,Transaksi!$E$16:$E$5015,$A102,Transaksi!$D$16:$D$5015,"Pindah",Transaksi!$B$16:$B$5015,"&lt;="&amp;MIN(EOMONTH(DATE(Dashboard!$C$4,5,1),0),TODAY())))</f>
        <v/>
      </c>
      <c r="H102" s="106">
        <f>IF(OR($A102="",DATE(Dashboard!$C$4,6,1)&gt;TODAY(),ISNA(MATCH($B102,{"Pribadi","Investasi (kas RDN)","Piutang","Pinjaman Mama (dompet)"},0))),"",SUMIFS(Akun!$C$5:$C$104,Akun!$A$5:$A$104,$A102,Akun!$D$5:$D$104,"&lt;="&amp;MIN(EOMONTH(DATE(Dashboard!$C$4,6,1),0),TODAY()))+SUMIFS(Transaksi!$F$16:$F$5015,Transaksi!$C$16:$C$5015,$A102,Transaksi!$D$16:$D$5015,"Masuk",Transaksi!$B$16:$B$5015,"&lt;="&amp;MIN(EOMONTH(DATE(Dashboard!$C$4,6,1),0),TODAY()))-SUMIFS(Transaksi!$F$16:$F$5015,Transaksi!$C$16:$C$5015,$A102,Transaksi!$D$16:$D$5015,"Keluar",Transaksi!$B$16:$B$5015,"&lt;="&amp;MIN(EOMONTH(DATE(Dashboard!$C$4,6,1),0),TODAY()))-SUMIFS(Transaksi!$F$16:$F$5015,Transaksi!$C$16:$C$5015,$A102,Transaksi!$D$16:$D$5015,"Pindah",Transaksi!$B$16:$B$5015,"&lt;="&amp;MIN(EOMONTH(DATE(Dashboard!$C$4,6,1),0),TODAY()))+SUMIFS(Transaksi!$F$16:$F$5015,Transaksi!$E$16:$E$5015,$A102,Transaksi!$D$16:$D$5015,"Pindah",Transaksi!$B$16:$B$5015,"&lt;="&amp;MIN(EOMONTH(DATE(Dashboard!$C$4,6,1),0),TODAY())))</f>
        <v/>
      </c>
      <c r="I102" s="106">
        <f>IF(OR($A102="",DATE(Dashboard!$C$4,7,1)&gt;TODAY(),ISNA(MATCH($B102,{"Pribadi","Investasi (kas RDN)","Piutang","Pinjaman Mama (dompet)"},0))),"",SUMIFS(Akun!$C$5:$C$104,Akun!$A$5:$A$104,$A102,Akun!$D$5:$D$104,"&lt;="&amp;MIN(EOMONTH(DATE(Dashboard!$C$4,7,1),0),TODAY()))+SUMIFS(Transaksi!$F$16:$F$5015,Transaksi!$C$16:$C$5015,$A102,Transaksi!$D$16:$D$5015,"Masuk",Transaksi!$B$16:$B$5015,"&lt;="&amp;MIN(EOMONTH(DATE(Dashboard!$C$4,7,1),0),TODAY()))-SUMIFS(Transaksi!$F$16:$F$5015,Transaksi!$C$16:$C$5015,$A102,Transaksi!$D$16:$D$5015,"Keluar",Transaksi!$B$16:$B$5015,"&lt;="&amp;MIN(EOMONTH(DATE(Dashboard!$C$4,7,1),0),TODAY()))-SUMIFS(Transaksi!$F$16:$F$5015,Transaksi!$C$16:$C$5015,$A102,Transaksi!$D$16:$D$5015,"Pindah",Transaksi!$B$16:$B$5015,"&lt;="&amp;MIN(EOMONTH(DATE(Dashboard!$C$4,7,1),0),TODAY()))+SUMIFS(Transaksi!$F$16:$F$5015,Transaksi!$E$16:$E$5015,$A102,Transaksi!$D$16:$D$5015,"Pindah",Transaksi!$B$16:$B$5015,"&lt;="&amp;MIN(EOMONTH(DATE(Dashboard!$C$4,7,1),0),TODAY())))</f>
        <v/>
      </c>
      <c r="J102" s="106">
        <f>IF(OR($A102="",DATE(Dashboard!$C$4,8,1)&gt;TODAY(),ISNA(MATCH($B102,{"Pribadi","Investasi (kas RDN)","Piutang","Pinjaman Mama (dompet)"},0))),"",SUMIFS(Akun!$C$5:$C$104,Akun!$A$5:$A$104,$A102,Akun!$D$5:$D$104,"&lt;="&amp;MIN(EOMONTH(DATE(Dashboard!$C$4,8,1),0),TODAY()))+SUMIFS(Transaksi!$F$16:$F$5015,Transaksi!$C$16:$C$5015,$A102,Transaksi!$D$16:$D$5015,"Masuk",Transaksi!$B$16:$B$5015,"&lt;="&amp;MIN(EOMONTH(DATE(Dashboard!$C$4,8,1),0),TODAY()))-SUMIFS(Transaksi!$F$16:$F$5015,Transaksi!$C$16:$C$5015,$A102,Transaksi!$D$16:$D$5015,"Keluar",Transaksi!$B$16:$B$5015,"&lt;="&amp;MIN(EOMONTH(DATE(Dashboard!$C$4,8,1),0),TODAY()))-SUMIFS(Transaksi!$F$16:$F$5015,Transaksi!$C$16:$C$5015,$A102,Transaksi!$D$16:$D$5015,"Pindah",Transaksi!$B$16:$B$5015,"&lt;="&amp;MIN(EOMONTH(DATE(Dashboard!$C$4,8,1),0),TODAY()))+SUMIFS(Transaksi!$F$16:$F$5015,Transaksi!$E$16:$E$5015,$A102,Transaksi!$D$16:$D$5015,"Pindah",Transaksi!$B$16:$B$5015,"&lt;="&amp;MIN(EOMONTH(DATE(Dashboard!$C$4,8,1),0),TODAY())))</f>
        <v/>
      </c>
      <c r="K102" s="106">
        <f>IF(OR($A102="",DATE(Dashboard!$C$4,9,1)&gt;TODAY(),ISNA(MATCH($B102,{"Pribadi","Investasi (kas RDN)","Piutang","Pinjaman Mama (dompet)"},0))),"",SUMIFS(Akun!$C$5:$C$104,Akun!$A$5:$A$104,$A102,Akun!$D$5:$D$104,"&lt;="&amp;MIN(EOMONTH(DATE(Dashboard!$C$4,9,1),0),TODAY()))+SUMIFS(Transaksi!$F$16:$F$5015,Transaksi!$C$16:$C$5015,$A102,Transaksi!$D$16:$D$5015,"Masuk",Transaksi!$B$16:$B$5015,"&lt;="&amp;MIN(EOMONTH(DATE(Dashboard!$C$4,9,1),0),TODAY()))-SUMIFS(Transaksi!$F$16:$F$5015,Transaksi!$C$16:$C$5015,$A102,Transaksi!$D$16:$D$5015,"Keluar",Transaksi!$B$16:$B$5015,"&lt;="&amp;MIN(EOMONTH(DATE(Dashboard!$C$4,9,1),0),TODAY()))-SUMIFS(Transaksi!$F$16:$F$5015,Transaksi!$C$16:$C$5015,$A102,Transaksi!$D$16:$D$5015,"Pindah",Transaksi!$B$16:$B$5015,"&lt;="&amp;MIN(EOMONTH(DATE(Dashboard!$C$4,9,1),0),TODAY()))+SUMIFS(Transaksi!$F$16:$F$5015,Transaksi!$E$16:$E$5015,$A102,Transaksi!$D$16:$D$5015,"Pindah",Transaksi!$B$16:$B$5015,"&lt;="&amp;MIN(EOMONTH(DATE(Dashboard!$C$4,9,1),0),TODAY())))</f>
        <v/>
      </c>
      <c r="L102" s="106">
        <f>IF(OR($A102="",DATE(Dashboard!$C$4,10,1)&gt;TODAY(),ISNA(MATCH($B102,{"Pribadi","Investasi (kas RDN)","Piutang","Pinjaman Mama (dompet)"},0))),"",SUMIFS(Akun!$C$5:$C$104,Akun!$A$5:$A$104,$A102,Akun!$D$5:$D$104,"&lt;="&amp;MIN(EOMONTH(DATE(Dashboard!$C$4,10,1),0),TODAY()))+SUMIFS(Transaksi!$F$16:$F$5015,Transaksi!$C$16:$C$5015,$A102,Transaksi!$D$16:$D$5015,"Masuk",Transaksi!$B$16:$B$5015,"&lt;="&amp;MIN(EOMONTH(DATE(Dashboard!$C$4,10,1),0),TODAY()))-SUMIFS(Transaksi!$F$16:$F$5015,Transaksi!$C$16:$C$5015,$A102,Transaksi!$D$16:$D$5015,"Keluar",Transaksi!$B$16:$B$5015,"&lt;="&amp;MIN(EOMONTH(DATE(Dashboard!$C$4,10,1),0),TODAY()))-SUMIFS(Transaksi!$F$16:$F$5015,Transaksi!$C$16:$C$5015,$A102,Transaksi!$D$16:$D$5015,"Pindah",Transaksi!$B$16:$B$5015,"&lt;="&amp;MIN(EOMONTH(DATE(Dashboard!$C$4,10,1),0),TODAY()))+SUMIFS(Transaksi!$F$16:$F$5015,Transaksi!$E$16:$E$5015,$A102,Transaksi!$D$16:$D$5015,"Pindah",Transaksi!$B$16:$B$5015,"&lt;="&amp;MIN(EOMONTH(DATE(Dashboard!$C$4,10,1),0),TODAY())))</f>
        <v/>
      </c>
      <c r="M102" s="106">
        <f>IF(OR($A102="",DATE(Dashboard!$C$4,11,1)&gt;TODAY(),ISNA(MATCH($B102,{"Pribadi","Investasi (kas RDN)","Piutang","Pinjaman Mama (dompet)"},0))),"",SUMIFS(Akun!$C$5:$C$104,Akun!$A$5:$A$104,$A102,Akun!$D$5:$D$104,"&lt;="&amp;MIN(EOMONTH(DATE(Dashboard!$C$4,11,1),0),TODAY()))+SUMIFS(Transaksi!$F$16:$F$5015,Transaksi!$C$16:$C$5015,$A102,Transaksi!$D$16:$D$5015,"Masuk",Transaksi!$B$16:$B$5015,"&lt;="&amp;MIN(EOMONTH(DATE(Dashboard!$C$4,11,1),0),TODAY()))-SUMIFS(Transaksi!$F$16:$F$5015,Transaksi!$C$16:$C$5015,$A102,Transaksi!$D$16:$D$5015,"Keluar",Transaksi!$B$16:$B$5015,"&lt;="&amp;MIN(EOMONTH(DATE(Dashboard!$C$4,11,1),0),TODAY()))-SUMIFS(Transaksi!$F$16:$F$5015,Transaksi!$C$16:$C$5015,$A102,Transaksi!$D$16:$D$5015,"Pindah",Transaksi!$B$16:$B$5015,"&lt;="&amp;MIN(EOMONTH(DATE(Dashboard!$C$4,11,1),0),TODAY()))+SUMIFS(Transaksi!$F$16:$F$5015,Transaksi!$E$16:$E$5015,$A102,Transaksi!$D$16:$D$5015,"Pindah",Transaksi!$B$16:$B$5015,"&lt;="&amp;MIN(EOMONTH(DATE(Dashboard!$C$4,11,1),0),TODAY())))</f>
        <v/>
      </c>
      <c r="N102" s="106">
        <f>IF(OR($A102="",DATE(Dashboard!$C$4,12,1)&gt;TODAY(),ISNA(MATCH($B102,{"Pribadi","Investasi (kas RDN)","Piutang","Pinjaman Mama (dompet)"},0))),"",SUMIFS(Akun!$C$5:$C$104,Akun!$A$5:$A$104,$A102,Akun!$D$5:$D$104,"&lt;="&amp;MIN(EOMONTH(DATE(Dashboard!$C$4,12,1),0),TODAY()))+SUMIFS(Transaksi!$F$16:$F$5015,Transaksi!$C$16:$C$5015,$A102,Transaksi!$D$16:$D$5015,"Masuk",Transaksi!$B$16:$B$5015,"&lt;="&amp;MIN(EOMONTH(DATE(Dashboard!$C$4,12,1),0),TODAY()))-SUMIFS(Transaksi!$F$16:$F$5015,Transaksi!$C$16:$C$5015,$A102,Transaksi!$D$16:$D$5015,"Keluar",Transaksi!$B$16:$B$5015,"&lt;="&amp;MIN(EOMONTH(DATE(Dashboard!$C$4,12,1),0),TODAY()))-SUMIFS(Transaksi!$F$16:$F$5015,Transaksi!$C$16:$C$5015,$A102,Transaksi!$D$16:$D$5015,"Pindah",Transaksi!$B$16:$B$5015,"&lt;="&amp;MIN(EOMONTH(DATE(Dashboard!$C$4,12,1),0),TODAY()))+SUMIFS(Transaksi!$F$16:$F$5015,Transaksi!$E$16:$E$5015,$A102,Transaksi!$D$16:$D$5015,"Pindah",Transaksi!$B$16:$B$5015,"&lt;="&amp;MIN(EOMONTH(DATE(Dashboard!$C$4,12,1),0),TODAY())))</f>
        <v/>
      </c>
    </row>
    <row r="103" ht="15" customHeight="1" s="94">
      <c r="A103" s="93">
        <f>IF(Akun!$A$67="","",Akun!$A$67)</f>
        <v/>
      </c>
      <c r="B103" s="93">
        <f>IF(Akun!$A$67="","",Akun!$B$67)</f>
        <v/>
      </c>
      <c r="C103" s="106">
        <f>IF(OR($A103="",DATE(Dashboard!$C$4,1,1)&gt;TODAY(),ISNA(MATCH($B103,{"Pribadi","Investasi (kas RDN)","Piutang","Pinjaman Mama (dompet)"},0))),"",SUMIFS(Akun!$C$5:$C$104,Akun!$A$5:$A$104,$A103,Akun!$D$5:$D$104,"&lt;="&amp;MIN(EOMONTH(DATE(Dashboard!$C$4,1,1),0),TODAY()))+SUMIFS(Transaksi!$F$16:$F$5015,Transaksi!$C$16:$C$5015,$A103,Transaksi!$D$16:$D$5015,"Masuk",Transaksi!$B$16:$B$5015,"&lt;="&amp;MIN(EOMONTH(DATE(Dashboard!$C$4,1,1),0),TODAY()))-SUMIFS(Transaksi!$F$16:$F$5015,Transaksi!$C$16:$C$5015,$A103,Transaksi!$D$16:$D$5015,"Keluar",Transaksi!$B$16:$B$5015,"&lt;="&amp;MIN(EOMONTH(DATE(Dashboard!$C$4,1,1),0),TODAY()))-SUMIFS(Transaksi!$F$16:$F$5015,Transaksi!$C$16:$C$5015,$A103,Transaksi!$D$16:$D$5015,"Pindah",Transaksi!$B$16:$B$5015,"&lt;="&amp;MIN(EOMONTH(DATE(Dashboard!$C$4,1,1),0),TODAY()))+SUMIFS(Transaksi!$F$16:$F$5015,Transaksi!$E$16:$E$5015,$A103,Transaksi!$D$16:$D$5015,"Pindah",Transaksi!$B$16:$B$5015,"&lt;="&amp;MIN(EOMONTH(DATE(Dashboard!$C$4,1,1),0),TODAY())))</f>
        <v/>
      </c>
      <c r="D103" s="106">
        <f>IF(OR($A103="",DATE(Dashboard!$C$4,2,1)&gt;TODAY(),ISNA(MATCH($B103,{"Pribadi","Investasi (kas RDN)","Piutang","Pinjaman Mama (dompet)"},0))),"",SUMIFS(Akun!$C$5:$C$104,Akun!$A$5:$A$104,$A103,Akun!$D$5:$D$104,"&lt;="&amp;MIN(EOMONTH(DATE(Dashboard!$C$4,2,1),0),TODAY()))+SUMIFS(Transaksi!$F$16:$F$5015,Transaksi!$C$16:$C$5015,$A103,Transaksi!$D$16:$D$5015,"Masuk",Transaksi!$B$16:$B$5015,"&lt;="&amp;MIN(EOMONTH(DATE(Dashboard!$C$4,2,1),0),TODAY()))-SUMIFS(Transaksi!$F$16:$F$5015,Transaksi!$C$16:$C$5015,$A103,Transaksi!$D$16:$D$5015,"Keluar",Transaksi!$B$16:$B$5015,"&lt;="&amp;MIN(EOMONTH(DATE(Dashboard!$C$4,2,1),0),TODAY()))-SUMIFS(Transaksi!$F$16:$F$5015,Transaksi!$C$16:$C$5015,$A103,Transaksi!$D$16:$D$5015,"Pindah",Transaksi!$B$16:$B$5015,"&lt;="&amp;MIN(EOMONTH(DATE(Dashboard!$C$4,2,1),0),TODAY()))+SUMIFS(Transaksi!$F$16:$F$5015,Transaksi!$E$16:$E$5015,$A103,Transaksi!$D$16:$D$5015,"Pindah",Transaksi!$B$16:$B$5015,"&lt;="&amp;MIN(EOMONTH(DATE(Dashboard!$C$4,2,1),0),TODAY())))</f>
        <v/>
      </c>
      <c r="E103" s="106">
        <f>IF(OR($A103="",DATE(Dashboard!$C$4,3,1)&gt;TODAY(),ISNA(MATCH($B103,{"Pribadi","Investasi (kas RDN)","Piutang","Pinjaman Mama (dompet)"},0))),"",SUMIFS(Akun!$C$5:$C$104,Akun!$A$5:$A$104,$A103,Akun!$D$5:$D$104,"&lt;="&amp;MIN(EOMONTH(DATE(Dashboard!$C$4,3,1),0),TODAY()))+SUMIFS(Transaksi!$F$16:$F$5015,Transaksi!$C$16:$C$5015,$A103,Transaksi!$D$16:$D$5015,"Masuk",Transaksi!$B$16:$B$5015,"&lt;="&amp;MIN(EOMONTH(DATE(Dashboard!$C$4,3,1),0),TODAY()))-SUMIFS(Transaksi!$F$16:$F$5015,Transaksi!$C$16:$C$5015,$A103,Transaksi!$D$16:$D$5015,"Keluar",Transaksi!$B$16:$B$5015,"&lt;="&amp;MIN(EOMONTH(DATE(Dashboard!$C$4,3,1),0),TODAY()))-SUMIFS(Transaksi!$F$16:$F$5015,Transaksi!$C$16:$C$5015,$A103,Transaksi!$D$16:$D$5015,"Pindah",Transaksi!$B$16:$B$5015,"&lt;="&amp;MIN(EOMONTH(DATE(Dashboard!$C$4,3,1),0),TODAY()))+SUMIFS(Transaksi!$F$16:$F$5015,Transaksi!$E$16:$E$5015,$A103,Transaksi!$D$16:$D$5015,"Pindah",Transaksi!$B$16:$B$5015,"&lt;="&amp;MIN(EOMONTH(DATE(Dashboard!$C$4,3,1),0),TODAY())))</f>
        <v/>
      </c>
      <c r="F103" s="106">
        <f>IF(OR($A103="",DATE(Dashboard!$C$4,4,1)&gt;TODAY(),ISNA(MATCH($B103,{"Pribadi","Investasi (kas RDN)","Piutang","Pinjaman Mama (dompet)"},0))),"",SUMIFS(Akun!$C$5:$C$104,Akun!$A$5:$A$104,$A103,Akun!$D$5:$D$104,"&lt;="&amp;MIN(EOMONTH(DATE(Dashboard!$C$4,4,1),0),TODAY()))+SUMIFS(Transaksi!$F$16:$F$5015,Transaksi!$C$16:$C$5015,$A103,Transaksi!$D$16:$D$5015,"Masuk",Transaksi!$B$16:$B$5015,"&lt;="&amp;MIN(EOMONTH(DATE(Dashboard!$C$4,4,1),0),TODAY()))-SUMIFS(Transaksi!$F$16:$F$5015,Transaksi!$C$16:$C$5015,$A103,Transaksi!$D$16:$D$5015,"Keluar",Transaksi!$B$16:$B$5015,"&lt;="&amp;MIN(EOMONTH(DATE(Dashboard!$C$4,4,1),0),TODAY()))-SUMIFS(Transaksi!$F$16:$F$5015,Transaksi!$C$16:$C$5015,$A103,Transaksi!$D$16:$D$5015,"Pindah",Transaksi!$B$16:$B$5015,"&lt;="&amp;MIN(EOMONTH(DATE(Dashboard!$C$4,4,1),0),TODAY()))+SUMIFS(Transaksi!$F$16:$F$5015,Transaksi!$E$16:$E$5015,$A103,Transaksi!$D$16:$D$5015,"Pindah",Transaksi!$B$16:$B$5015,"&lt;="&amp;MIN(EOMONTH(DATE(Dashboard!$C$4,4,1),0),TODAY())))</f>
        <v/>
      </c>
      <c r="G103" s="106">
        <f>IF(OR($A103="",DATE(Dashboard!$C$4,5,1)&gt;TODAY(),ISNA(MATCH($B103,{"Pribadi","Investasi (kas RDN)","Piutang","Pinjaman Mama (dompet)"},0))),"",SUMIFS(Akun!$C$5:$C$104,Akun!$A$5:$A$104,$A103,Akun!$D$5:$D$104,"&lt;="&amp;MIN(EOMONTH(DATE(Dashboard!$C$4,5,1),0),TODAY()))+SUMIFS(Transaksi!$F$16:$F$5015,Transaksi!$C$16:$C$5015,$A103,Transaksi!$D$16:$D$5015,"Masuk",Transaksi!$B$16:$B$5015,"&lt;="&amp;MIN(EOMONTH(DATE(Dashboard!$C$4,5,1),0),TODAY()))-SUMIFS(Transaksi!$F$16:$F$5015,Transaksi!$C$16:$C$5015,$A103,Transaksi!$D$16:$D$5015,"Keluar",Transaksi!$B$16:$B$5015,"&lt;="&amp;MIN(EOMONTH(DATE(Dashboard!$C$4,5,1),0),TODAY()))-SUMIFS(Transaksi!$F$16:$F$5015,Transaksi!$C$16:$C$5015,$A103,Transaksi!$D$16:$D$5015,"Pindah",Transaksi!$B$16:$B$5015,"&lt;="&amp;MIN(EOMONTH(DATE(Dashboard!$C$4,5,1),0),TODAY()))+SUMIFS(Transaksi!$F$16:$F$5015,Transaksi!$E$16:$E$5015,$A103,Transaksi!$D$16:$D$5015,"Pindah",Transaksi!$B$16:$B$5015,"&lt;="&amp;MIN(EOMONTH(DATE(Dashboard!$C$4,5,1),0),TODAY())))</f>
        <v/>
      </c>
      <c r="H103" s="106">
        <f>IF(OR($A103="",DATE(Dashboard!$C$4,6,1)&gt;TODAY(),ISNA(MATCH($B103,{"Pribadi","Investasi (kas RDN)","Piutang","Pinjaman Mama (dompet)"},0))),"",SUMIFS(Akun!$C$5:$C$104,Akun!$A$5:$A$104,$A103,Akun!$D$5:$D$104,"&lt;="&amp;MIN(EOMONTH(DATE(Dashboard!$C$4,6,1),0),TODAY()))+SUMIFS(Transaksi!$F$16:$F$5015,Transaksi!$C$16:$C$5015,$A103,Transaksi!$D$16:$D$5015,"Masuk",Transaksi!$B$16:$B$5015,"&lt;="&amp;MIN(EOMONTH(DATE(Dashboard!$C$4,6,1),0),TODAY()))-SUMIFS(Transaksi!$F$16:$F$5015,Transaksi!$C$16:$C$5015,$A103,Transaksi!$D$16:$D$5015,"Keluar",Transaksi!$B$16:$B$5015,"&lt;="&amp;MIN(EOMONTH(DATE(Dashboard!$C$4,6,1),0),TODAY()))-SUMIFS(Transaksi!$F$16:$F$5015,Transaksi!$C$16:$C$5015,$A103,Transaksi!$D$16:$D$5015,"Pindah",Transaksi!$B$16:$B$5015,"&lt;="&amp;MIN(EOMONTH(DATE(Dashboard!$C$4,6,1),0),TODAY()))+SUMIFS(Transaksi!$F$16:$F$5015,Transaksi!$E$16:$E$5015,$A103,Transaksi!$D$16:$D$5015,"Pindah",Transaksi!$B$16:$B$5015,"&lt;="&amp;MIN(EOMONTH(DATE(Dashboard!$C$4,6,1),0),TODAY())))</f>
        <v/>
      </c>
      <c r="I103" s="106">
        <f>IF(OR($A103="",DATE(Dashboard!$C$4,7,1)&gt;TODAY(),ISNA(MATCH($B103,{"Pribadi","Investasi (kas RDN)","Piutang","Pinjaman Mama (dompet)"},0))),"",SUMIFS(Akun!$C$5:$C$104,Akun!$A$5:$A$104,$A103,Akun!$D$5:$D$104,"&lt;="&amp;MIN(EOMONTH(DATE(Dashboard!$C$4,7,1),0),TODAY()))+SUMIFS(Transaksi!$F$16:$F$5015,Transaksi!$C$16:$C$5015,$A103,Transaksi!$D$16:$D$5015,"Masuk",Transaksi!$B$16:$B$5015,"&lt;="&amp;MIN(EOMONTH(DATE(Dashboard!$C$4,7,1),0),TODAY()))-SUMIFS(Transaksi!$F$16:$F$5015,Transaksi!$C$16:$C$5015,$A103,Transaksi!$D$16:$D$5015,"Keluar",Transaksi!$B$16:$B$5015,"&lt;="&amp;MIN(EOMONTH(DATE(Dashboard!$C$4,7,1),0),TODAY()))-SUMIFS(Transaksi!$F$16:$F$5015,Transaksi!$C$16:$C$5015,$A103,Transaksi!$D$16:$D$5015,"Pindah",Transaksi!$B$16:$B$5015,"&lt;="&amp;MIN(EOMONTH(DATE(Dashboard!$C$4,7,1),0),TODAY()))+SUMIFS(Transaksi!$F$16:$F$5015,Transaksi!$E$16:$E$5015,$A103,Transaksi!$D$16:$D$5015,"Pindah",Transaksi!$B$16:$B$5015,"&lt;="&amp;MIN(EOMONTH(DATE(Dashboard!$C$4,7,1),0),TODAY())))</f>
        <v/>
      </c>
      <c r="J103" s="106">
        <f>IF(OR($A103="",DATE(Dashboard!$C$4,8,1)&gt;TODAY(),ISNA(MATCH($B103,{"Pribadi","Investasi (kas RDN)","Piutang","Pinjaman Mama (dompet)"},0))),"",SUMIFS(Akun!$C$5:$C$104,Akun!$A$5:$A$104,$A103,Akun!$D$5:$D$104,"&lt;="&amp;MIN(EOMONTH(DATE(Dashboard!$C$4,8,1),0),TODAY()))+SUMIFS(Transaksi!$F$16:$F$5015,Transaksi!$C$16:$C$5015,$A103,Transaksi!$D$16:$D$5015,"Masuk",Transaksi!$B$16:$B$5015,"&lt;="&amp;MIN(EOMONTH(DATE(Dashboard!$C$4,8,1),0),TODAY()))-SUMIFS(Transaksi!$F$16:$F$5015,Transaksi!$C$16:$C$5015,$A103,Transaksi!$D$16:$D$5015,"Keluar",Transaksi!$B$16:$B$5015,"&lt;="&amp;MIN(EOMONTH(DATE(Dashboard!$C$4,8,1),0),TODAY()))-SUMIFS(Transaksi!$F$16:$F$5015,Transaksi!$C$16:$C$5015,$A103,Transaksi!$D$16:$D$5015,"Pindah",Transaksi!$B$16:$B$5015,"&lt;="&amp;MIN(EOMONTH(DATE(Dashboard!$C$4,8,1),0),TODAY()))+SUMIFS(Transaksi!$F$16:$F$5015,Transaksi!$E$16:$E$5015,$A103,Transaksi!$D$16:$D$5015,"Pindah",Transaksi!$B$16:$B$5015,"&lt;="&amp;MIN(EOMONTH(DATE(Dashboard!$C$4,8,1),0),TODAY())))</f>
        <v/>
      </c>
      <c r="K103" s="106">
        <f>IF(OR($A103="",DATE(Dashboard!$C$4,9,1)&gt;TODAY(),ISNA(MATCH($B103,{"Pribadi","Investasi (kas RDN)","Piutang","Pinjaman Mama (dompet)"},0))),"",SUMIFS(Akun!$C$5:$C$104,Akun!$A$5:$A$104,$A103,Akun!$D$5:$D$104,"&lt;="&amp;MIN(EOMONTH(DATE(Dashboard!$C$4,9,1),0),TODAY()))+SUMIFS(Transaksi!$F$16:$F$5015,Transaksi!$C$16:$C$5015,$A103,Transaksi!$D$16:$D$5015,"Masuk",Transaksi!$B$16:$B$5015,"&lt;="&amp;MIN(EOMONTH(DATE(Dashboard!$C$4,9,1),0),TODAY()))-SUMIFS(Transaksi!$F$16:$F$5015,Transaksi!$C$16:$C$5015,$A103,Transaksi!$D$16:$D$5015,"Keluar",Transaksi!$B$16:$B$5015,"&lt;="&amp;MIN(EOMONTH(DATE(Dashboard!$C$4,9,1),0),TODAY()))-SUMIFS(Transaksi!$F$16:$F$5015,Transaksi!$C$16:$C$5015,$A103,Transaksi!$D$16:$D$5015,"Pindah",Transaksi!$B$16:$B$5015,"&lt;="&amp;MIN(EOMONTH(DATE(Dashboard!$C$4,9,1),0),TODAY()))+SUMIFS(Transaksi!$F$16:$F$5015,Transaksi!$E$16:$E$5015,$A103,Transaksi!$D$16:$D$5015,"Pindah",Transaksi!$B$16:$B$5015,"&lt;="&amp;MIN(EOMONTH(DATE(Dashboard!$C$4,9,1),0),TODAY())))</f>
        <v/>
      </c>
      <c r="L103" s="106">
        <f>IF(OR($A103="",DATE(Dashboard!$C$4,10,1)&gt;TODAY(),ISNA(MATCH($B103,{"Pribadi","Investasi (kas RDN)","Piutang","Pinjaman Mama (dompet)"},0))),"",SUMIFS(Akun!$C$5:$C$104,Akun!$A$5:$A$104,$A103,Akun!$D$5:$D$104,"&lt;="&amp;MIN(EOMONTH(DATE(Dashboard!$C$4,10,1),0),TODAY()))+SUMIFS(Transaksi!$F$16:$F$5015,Transaksi!$C$16:$C$5015,$A103,Transaksi!$D$16:$D$5015,"Masuk",Transaksi!$B$16:$B$5015,"&lt;="&amp;MIN(EOMONTH(DATE(Dashboard!$C$4,10,1),0),TODAY()))-SUMIFS(Transaksi!$F$16:$F$5015,Transaksi!$C$16:$C$5015,$A103,Transaksi!$D$16:$D$5015,"Keluar",Transaksi!$B$16:$B$5015,"&lt;="&amp;MIN(EOMONTH(DATE(Dashboard!$C$4,10,1),0),TODAY()))-SUMIFS(Transaksi!$F$16:$F$5015,Transaksi!$C$16:$C$5015,$A103,Transaksi!$D$16:$D$5015,"Pindah",Transaksi!$B$16:$B$5015,"&lt;="&amp;MIN(EOMONTH(DATE(Dashboard!$C$4,10,1),0),TODAY()))+SUMIFS(Transaksi!$F$16:$F$5015,Transaksi!$E$16:$E$5015,$A103,Transaksi!$D$16:$D$5015,"Pindah",Transaksi!$B$16:$B$5015,"&lt;="&amp;MIN(EOMONTH(DATE(Dashboard!$C$4,10,1),0),TODAY())))</f>
        <v/>
      </c>
      <c r="M103" s="106">
        <f>IF(OR($A103="",DATE(Dashboard!$C$4,11,1)&gt;TODAY(),ISNA(MATCH($B103,{"Pribadi","Investasi (kas RDN)","Piutang","Pinjaman Mama (dompet)"},0))),"",SUMIFS(Akun!$C$5:$C$104,Akun!$A$5:$A$104,$A103,Akun!$D$5:$D$104,"&lt;="&amp;MIN(EOMONTH(DATE(Dashboard!$C$4,11,1),0),TODAY()))+SUMIFS(Transaksi!$F$16:$F$5015,Transaksi!$C$16:$C$5015,$A103,Transaksi!$D$16:$D$5015,"Masuk",Transaksi!$B$16:$B$5015,"&lt;="&amp;MIN(EOMONTH(DATE(Dashboard!$C$4,11,1),0),TODAY()))-SUMIFS(Transaksi!$F$16:$F$5015,Transaksi!$C$16:$C$5015,$A103,Transaksi!$D$16:$D$5015,"Keluar",Transaksi!$B$16:$B$5015,"&lt;="&amp;MIN(EOMONTH(DATE(Dashboard!$C$4,11,1),0),TODAY()))-SUMIFS(Transaksi!$F$16:$F$5015,Transaksi!$C$16:$C$5015,$A103,Transaksi!$D$16:$D$5015,"Pindah",Transaksi!$B$16:$B$5015,"&lt;="&amp;MIN(EOMONTH(DATE(Dashboard!$C$4,11,1),0),TODAY()))+SUMIFS(Transaksi!$F$16:$F$5015,Transaksi!$E$16:$E$5015,$A103,Transaksi!$D$16:$D$5015,"Pindah",Transaksi!$B$16:$B$5015,"&lt;="&amp;MIN(EOMONTH(DATE(Dashboard!$C$4,11,1),0),TODAY())))</f>
        <v/>
      </c>
      <c r="N103" s="106">
        <f>IF(OR($A103="",DATE(Dashboard!$C$4,12,1)&gt;TODAY(),ISNA(MATCH($B103,{"Pribadi","Investasi (kas RDN)","Piutang","Pinjaman Mama (dompet)"},0))),"",SUMIFS(Akun!$C$5:$C$104,Akun!$A$5:$A$104,$A103,Akun!$D$5:$D$104,"&lt;="&amp;MIN(EOMONTH(DATE(Dashboard!$C$4,12,1),0),TODAY()))+SUMIFS(Transaksi!$F$16:$F$5015,Transaksi!$C$16:$C$5015,$A103,Transaksi!$D$16:$D$5015,"Masuk",Transaksi!$B$16:$B$5015,"&lt;="&amp;MIN(EOMONTH(DATE(Dashboard!$C$4,12,1),0),TODAY()))-SUMIFS(Transaksi!$F$16:$F$5015,Transaksi!$C$16:$C$5015,$A103,Transaksi!$D$16:$D$5015,"Keluar",Transaksi!$B$16:$B$5015,"&lt;="&amp;MIN(EOMONTH(DATE(Dashboard!$C$4,12,1),0),TODAY()))-SUMIFS(Transaksi!$F$16:$F$5015,Transaksi!$C$16:$C$5015,$A103,Transaksi!$D$16:$D$5015,"Pindah",Transaksi!$B$16:$B$5015,"&lt;="&amp;MIN(EOMONTH(DATE(Dashboard!$C$4,12,1),0),TODAY()))+SUMIFS(Transaksi!$F$16:$F$5015,Transaksi!$E$16:$E$5015,$A103,Transaksi!$D$16:$D$5015,"Pindah",Transaksi!$B$16:$B$5015,"&lt;="&amp;MIN(EOMONTH(DATE(Dashboard!$C$4,12,1),0),TODAY())))</f>
        <v/>
      </c>
    </row>
    <row r="104" ht="15" customHeight="1" s="94">
      <c r="A104" s="93">
        <f>IF(Akun!$A$68="","",Akun!$A$68)</f>
        <v/>
      </c>
      <c r="B104" s="93">
        <f>IF(Akun!$A$68="","",Akun!$B$68)</f>
        <v/>
      </c>
      <c r="C104" s="106">
        <f>IF(OR($A104="",DATE(Dashboard!$C$4,1,1)&gt;TODAY(),ISNA(MATCH($B104,{"Pribadi","Investasi (kas RDN)","Piutang","Pinjaman Mama (dompet)"},0))),"",SUMIFS(Akun!$C$5:$C$104,Akun!$A$5:$A$104,$A104,Akun!$D$5:$D$104,"&lt;="&amp;MIN(EOMONTH(DATE(Dashboard!$C$4,1,1),0),TODAY()))+SUMIFS(Transaksi!$F$16:$F$5015,Transaksi!$C$16:$C$5015,$A104,Transaksi!$D$16:$D$5015,"Masuk",Transaksi!$B$16:$B$5015,"&lt;="&amp;MIN(EOMONTH(DATE(Dashboard!$C$4,1,1),0),TODAY()))-SUMIFS(Transaksi!$F$16:$F$5015,Transaksi!$C$16:$C$5015,$A104,Transaksi!$D$16:$D$5015,"Keluar",Transaksi!$B$16:$B$5015,"&lt;="&amp;MIN(EOMONTH(DATE(Dashboard!$C$4,1,1),0),TODAY()))-SUMIFS(Transaksi!$F$16:$F$5015,Transaksi!$C$16:$C$5015,$A104,Transaksi!$D$16:$D$5015,"Pindah",Transaksi!$B$16:$B$5015,"&lt;="&amp;MIN(EOMONTH(DATE(Dashboard!$C$4,1,1),0),TODAY()))+SUMIFS(Transaksi!$F$16:$F$5015,Transaksi!$E$16:$E$5015,$A104,Transaksi!$D$16:$D$5015,"Pindah",Transaksi!$B$16:$B$5015,"&lt;="&amp;MIN(EOMONTH(DATE(Dashboard!$C$4,1,1),0),TODAY())))</f>
        <v/>
      </c>
      <c r="D104" s="106">
        <f>IF(OR($A104="",DATE(Dashboard!$C$4,2,1)&gt;TODAY(),ISNA(MATCH($B104,{"Pribadi","Investasi (kas RDN)","Piutang","Pinjaman Mama (dompet)"},0))),"",SUMIFS(Akun!$C$5:$C$104,Akun!$A$5:$A$104,$A104,Akun!$D$5:$D$104,"&lt;="&amp;MIN(EOMONTH(DATE(Dashboard!$C$4,2,1),0),TODAY()))+SUMIFS(Transaksi!$F$16:$F$5015,Transaksi!$C$16:$C$5015,$A104,Transaksi!$D$16:$D$5015,"Masuk",Transaksi!$B$16:$B$5015,"&lt;="&amp;MIN(EOMONTH(DATE(Dashboard!$C$4,2,1),0),TODAY()))-SUMIFS(Transaksi!$F$16:$F$5015,Transaksi!$C$16:$C$5015,$A104,Transaksi!$D$16:$D$5015,"Keluar",Transaksi!$B$16:$B$5015,"&lt;="&amp;MIN(EOMONTH(DATE(Dashboard!$C$4,2,1),0),TODAY()))-SUMIFS(Transaksi!$F$16:$F$5015,Transaksi!$C$16:$C$5015,$A104,Transaksi!$D$16:$D$5015,"Pindah",Transaksi!$B$16:$B$5015,"&lt;="&amp;MIN(EOMONTH(DATE(Dashboard!$C$4,2,1),0),TODAY()))+SUMIFS(Transaksi!$F$16:$F$5015,Transaksi!$E$16:$E$5015,$A104,Transaksi!$D$16:$D$5015,"Pindah",Transaksi!$B$16:$B$5015,"&lt;="&amp;MIN(EOMONTH(DATE(Dashboard!$C$4,2,1),0),TODAY())))</f>
        <v/>
      </c>
      <c r="E104" s="106">
        <f>IF(OR($A104="",DATE(Dashboard!$C$4,3,1)&gt;TODAY(),ISNA(MATCH($B104,{"Pribadi","Investasi (kas RDN)","Piutang","Pinjaman Mama (dompet)"},0))),"",SUMIFS(Akun!$C$5:$C$104,Akun!$A$5:$A$104,$A104,Akun!$D$5:$D$104,"&lt;="&amp;MIN(EOMONTH(DATE(Dashboard!$C$4,3,1),0),TODAY()))+SUMIFS(Transaksi!$F$16:$F$5015,Transaksi!$C$16:$C$5015,$A104,Transaksi!$D$16:$D$5015,"Masuk",Transaksi!$B$16:$B$5015,"&lt;="&amp;MIN(EOMONTH(DATE(Dashboard!$C$4,3,1),0),TODAY()))-SUMIFS(Transaksi!$F$16:$F$5015,Transaksi!$C$16:$C$5015,$A104,Transaksi!$D$16:$D$5015,"Keluar",Transaksi!$B$16:$B$5015,"&lt;="&amp;MIN(EOMONTH(DATE(Dashboard!$C$4,3,1),0),TODAY()))-SUMIFS(Transaksi!$F$16:$F$5015,Transaksi!$C$16:$C$5015,$A104,Transaksi!$D$16:$D$5015,"Pindah",Transaksi!$B$16:$B$5015,"&lt;="&amp;MIN(EOMONTH(DATE(Dashboard!$C$4,3,1),0),TODAY()))+SUMIFS(Transaksi!$F$16:$F$5015,Transaksi!$E$16:$E$5015,$A104,Transaksi!$D$16:$D$5015,"Pindah",Transaksi!$B$16:$B$5015,"&lt;="&amp;MIN(EOMONTH(DATE(Dashboard!$C$4,3,1),0),TODAY())))</f>
        <v/>
      </c>
      <c r="F104" s="106">
        <f>IF(OR($A104="",DATE(Dashboard!$C$4,4,1)&gt;TODAY(),ISNA(MATCH($B104,{"Pribadi","Investasi (kas RDN)","Piutang","Pinjaman Mama (dompet)"},0))),"",SUMIFS(Akun!$C$5:$C$104,Akun!$A$5:$A$104,$A104,Akun!$D$5:$D$104,"&lt;="&amp;MIN(EOMONTH(DATE(Dashboard!$C$4,4,1),0),TODAY()))+SUMIFS(Transaksi!$F$16:$F$5015,Transaksi!$C$16:$C$5015,$A104,Transaksi!$D$16:$D$5015,"Masuk",Transaksi!$B$16:$B$5015,"&lt;="&amp;MIN(EOMONTH(DATE(Dashboard!$C$4,4,1),0),TODAY()))-SUMIFS(Transaksi!$F$16:$F$5015,Transaksi!$C$16:$C$5015,$A104,Transaksi!$D$16:$D$5015,"Keluar",Transaksi!$B$16:$B$5015,"&lt;="&amp;MIN(EOMONTH(DATE(Dashboard!$C$4,4,1),0),TODAY()))-SUMIFS(Transaksi!$F$16:$F$5015,Transaksi!$C$16:$C$5015,$A104,Transaksi!$D$16:$D$5015,"Pindah",Transaksi!$B$16:$B$5015,"&lt;="&amp;MIN(EOMONTH(DATE(Dashboard!$C$4,4,1),0),TODAY()))+SUMIFS(Transaksi!$F$16:$F$5015,Transaksi!$E$16:$E$5015,$A104,Transaksi!$D$16:$D$5015,"Pindah",Transaksi!$B$16:$B$5015,"&lt;="&amp;MIN(EOMONTH(DATE(Dashboard!$C$4,4,1),0),TODAY())))</f>
        <v/>
      </c>
      <c r="G104" s="106">
        <f>IF(OR($A104="",DATE(Dashboard!$C$4,5,1)&gt;TODAY(),ISNA(MATCH($B104,{"Pribadi","Investasi (kas RDN)","Piutang","Pinjaman Mama (dompet)"},0))),"",SUMIFS(Akun!$C$5:$C$104,Akun!$A$5:$A$104,$A104,Akun!$D$5:$D$104,"&lt;="&amp;MIN(EOMONTH(DATE(Dashboard!$C$4,5,1),0),TODAY()))+SUMIFS(Transaksi!$F$16:$F$5015,Transaksi!$C$16:$C$5015,$A104,Transaksi!$D$16:$D$5015,"Masuk",Transaksi!$B$16:$B$5015,"&lt;="&amp;MIN(EOMONTH(DATE(Dashboard!$C$4,5,1),0),TODAY()))-SUMIFS(Transaksi!$F$16:$F$5015,Transaksi!$C$16:$C$5015,$A104,Transaksi!$D$16:$D$5015,"Keluar",Transaksi!$B$16:$B$5015,"&lt;="&amp;MIN(EOMONTH(DATE(Dashboard!$C$4,5,1),0),TODAY()))-SUMIFS(Transaksi!$F$16:$F$5015,Transaksi!$C$16:$C$5015,$A104,Transaksi!$D$16:$D$5015,"Pindah",Transaksi!$B$16:$B$5015,"&lt;="&amp;MIN(EOMONTH(DATE(Dashboard!$C$4,5,1),0),TODAY()))+SUMIFS(Transaksi!$F$16:$F$5015,Transaksi!$E$16:$E$5015,$A104,Transaksi!$D$16:$D$5015,"Pindah",Transaksi!$B$16:$B$5015,"&lt;="&amp;MIN(EOMONTH(DATE(Dashboard!$C$4,5,1),0),TODAY())))</f>
        <v/>
      </c>
      <c r="H104" s="106">
        <f>IF(OR($A104="",DATE(Dashboard!$C$4,6,1)&gt;TODAY(),ISNA(MATCH($B104,{"Pribadi","Investasi (kas RDN)","Piutang","Pinjaman Mama (dompet)"},0))),"",SUMIFS(Akun!$C$5:$C$104,Akun!$A$5:$A$104,$A104,Akun!$D$5:$D$104,"&lt;="&amp;MIN(EOMONTH(DATE(Dashboard!$C$4,6,1),0),TODAY()))+SUMIFS(Transaksi!$F$16:$F$5015,Transaksi!$C$16:$C$5015,$A104,Transaksi!$D$16:$D$5015,"Masuk",Transaksi!$B$16:$B$5015,"&lt;="&amp;MIN(EOMONTH(DATE(Dashboard!$C$4,6,1),0),TODAY()))-SUMIFS(Transaksi!$F$16:$F$5015,Transaksi!$C$16:$C$5015,$A104,Transaksi!$D$16:$D$5015,"Keluar",Transaksi!$B$16:$B$5015,"&lt;="&amp;MIN(EOMONTH(DATE(Dashboard!$C$4,6,1),0),TODAY()))-SUMIFS(Transaksi!$F$16:$F$5015,Transaksi!$C$16:$C$5015,$A104,Transaksi!$D$16:$D$5015,"Pindah",Transaksi!$B$16:$B$5015,"&lt;="&amp;MIN(EOMONTH(DATE(Dashboard!$C$4,6,1),0),TODAY()))+SUMIFS(Transaksi!$F$16:$F$5015,Transaksi!$E$16:$E$5015,$A104,Transaksi!$D$16:$D$5015,"Pindah",Transaksi!$B$16:$B$5015,"&lt;="&amp;MIN(EOMONTH(DATE(Dashboard!$C$4,6,1),0),TODAY())))</f>
        <v/>
      </c>
      <c r="I104" s="106">
        <f>IF(OR($A104="",DATE(Dashboard!$C$4,7,1)&gt;TODAY(),ISNA(MATCH($B104,{"Pribadi","Investasi (kas RDN)","Piutang","Pinjaman Mama (dompet)"},0))),"",SUMIFS(Akun!$C$5:$C$104,Akun!$A$5:$A$104,$A104,Akun!$D$5:$D$104,"&lt;="&amp;MIN(EOMONTH(DATE(Dashboard!$C$4,7,1),0),TODAY()))+SUMIFS(Transaksi!$F$16:$F$5015,Transaksi!$C$16:$C$5015,$A104,Transaksi!$D$16:$D$5015,"Masuk",Transaksi!$B$16:$B$5015,"&lt;="&amp;MIN(EOMONTH(DATE(Dashboard!$C$4,7,1),0),TODAY()))-SUMIFS(Transaksi!$F$16:$F$5015,Transaksi!$C$16:$C$5015,$A104,Transaksi!$D$16:$D$5015,"Keluar",Transaksi!$B$16:$B$5015,"&lt;="&amp;MIN(EOMONTH(DATE(Dashboard!$C$4,7,1),0),TODAY()))-SUMIFS(Transaksi!$F$16:$F$5015,Transaksi!$C$16:$C$5015,$A104,Transaksi!$D$16:$D$5015,"Pindah",Transaksi!$B$16:$B$5015,"&lt;="&amp;MIN(EOMONTH(DATE(Dashboard!$C$4,7,1),0),TODAY()))+SUMIFS(Transaksi!$F$16:$F$5015,Transaksi!$E$16:$E$5015,$A104,Transaksi!$D$16:$D$5015,"Pindah",Transaksi!$B$16:$B$5015,"&lt;="&amp;MIN(EOMONTH(DATE(Dashboard!$C$4,7,1),0),TODAY())))</f>
        <v/>
      </c>
      <c r="J104" s="106">
        <f>IF(OR($A104="",DATE(Dashboard!$C$4,8,1)&gt;TODAY(),ISNA(MATCH($B104,{"Pribadi","Investasi (kas RDN)","Piutang","Pinjaman Mama (dompet)"},0))),"",SUMIFS(Akun!$C$5:$C$104,Akun!$A$5:$A$104,$A104,Akun!$D$5:$D$104,"&lt;="&amp;MIN(EOMONTH(DATE(Dashboard!$C$4,8,1),0),TODAY()))+SUMIFS(Transaksi!$F$16:$F$5015,Transaksi!$C$16:$C$5015,$A104,Transaksi!$D$16:$D$5015,"Masuk",Transaksi!$B$16:$B$5015,"&lt;="&amp;MIN(EOMONTH(DATE(Dashboard!$C$4,8,1),0),TODAY()))-SUMIFS(Transaksi!$F$16:$F$5015,Transaksi!$C$16:$C$5015,$A104,Transaksi!$D$16:$D$5015,"Keluar",Transaksi!$B$16:$B$5015,"&lt;="&amp;MIN(EOMONTH(DATE(Dashboard!$C$4,8,1),0),TODAY()))-SUMIFS(Transaksi!$F$16:$F$5015,Transaksi!$C$16:$C$5015,$A104,Transaksi!$D$16:$D$5015,"Pindah",Transaksi!$B$16:$B$5015,"&lt;="&amp;MIN(EOMONTH(DATE(Dashboard!$C$4,8,1),0),TODAY()))+SUMIFS(Transaksi!$F$16:$F$5015,Transaksi!$E$16:$E$5015,$A104,Transaksi!$D$16:$D$5015,"Pindah",Transaksi!$B$16:$B$5015,"&lt;="&amp;MIN(EOMONTH(DATE(Dashboard!$C$4,8,1),0),TODAY())))</f>
        <v/>
      </c>
      <c r="K104" s="106">
        <f>IF(OR($A104="",DATE(Dashboard!$C$4,9,1)&gt;TODAY(),ISNA(MATCH($B104,{"Pribadi","Investasi (kas RDN)","Piutang","Pinjaman Mama (dompet)"},0))),"",SUMIFS(Akun!$C$5:$C$104,Akun!$A$5:$A$104,$A104,Akun!$D$5:$D$104,"&lt;="&amp;MIN(EOMONTH(DATE(Dashboard!$C$4,9,1),0),TODAY()))+SUMIFS(Transaksi!$F$16:$F$5015,Transaksi!$C$16:$C$5015,$A104,Transaksi!$D$16:$D$5015,"Masuk",Transaksi!$B$16:$B$5015,"&lt;="&amp;MIN(EOMONTH(DATE(Dashboard!$C$4,9,1),0),TODAY()))-SUMIFS(Transaksi!$F$16:$F$5015,Transaksi!$C$16:$C$5015,$A104,Transaksi!$D$16:$D$5015,"Keluar",Transaksi!$B$16:$B$5015,"&lt;="&amp;MIN(EOMONTH(DATE(Dashboard!$C$4,9,1),0),TODAY()))-SUMIFS(Transaksi!$F$16:$F$5015,Transaksi!$C$16:$C$5015,$A104,Transaksi!$D$16:$D$5015,"Pindah",Transaksi!$B$16:$B$5015,"&lt;="&amp;MIN(EOMONTH(DATE(Dashboard!$C$4,9,1),0),TODAY()))+SUMIFS(Transaksi!$F$16:$F$5015,Transaksi!$E$16:$E$5015,$A104,Transaksi!$D$16:$D$5015,"Pindah",Transaksi!$B$16:$B$5015,"&lt;="&amp;MIN(EOMONTH(DATE(Dashboard!$C$4,9,1),0),TODAY())))</f>
        <v/>
      </c>
      <c r="L104" s="106">
        <f>IF(OR($A104="",DATE(Dashboard!$C$4,10,1)&gt;TODAY(),ISNA(MATCH($B104,{"Pribadi","Investasi (kas RDN)","Piutang","Pinjaman Mama (dompet)"},0))),"",SUMIFS(Akun!$C$5:$C$104,Akun!$A$5:$A$104,$A104,Akun!$D$5:$D$104,"&lt;="&amp;MIN(EOMONTH(DATE(Dashboard!$C$4,10,1),0),TODAY()))+SUMIFS(Transaksi!$F$16:$F$5015,Transaksi!$C$16:$C$5015,$A104,Transaksi!$D$16:$D$5015,"Masuk",Transaksi!$B$16:$B$5015,"&lt;="&amp;MIN(EOMONTH(DATE(Dashboard!$C$4,10,1),0),TODAY()))-SUMIFS(Transaksi!$F$16:$F$5015,Transaksi!$C$16:$C$5015,$A104,Transaksi!$D$16:$D$5015,"Keluar",Transaksi!$B$16:$B$5015,"&lt;="&amp;MIN(EOMONTH(DATE(Dashboard!$C$4,10,1),0),TODAY()))-SUMIFS(Transaksi!$F$16:$F$5015,Transaksi!$C$16:$C$5015,$A104,Transaksi!$D$16:$D$5015,"Pindah",Transaksi!$B$16:$B$5015,"&lt;="&amp;MIN(EOMONTH(DATE(Dashboard!$C$4,10,1),0),TODAY()))+SUMIFS(Transaksi!$F$16:$F$5015,Transaksi!$E$16:$E$5015,$A104,Transaksi!$D$16:$D$5015,"Pindah",Transaksi!$B$16:$B$5015,"&lt;="&amp;MIN(EOMONTH(DATE(Dashboard!$C$4,10,1),0),TODAY())))</f>
        <v/>
      </c>
      <c r="M104" s="106">
        <f>IF(OR($A104="",DATE(Dashboard!$C$4,11,1)&gt;TODAY(),ISNA(MATCH($B104,{"Pribadi","Investasi (kas RDN)","Piutang","Pinjaman Mama (dompet)"},0))),"",SUMIFS(Akun!$C$5:$C$104,Akun!$A$5:$A$104,$A104,Akun!$D$5:$D$104,"&lt;="&amp;MIN(EOMONTH(DATE(Dashboard!$C$4,11,1),0),TODAY()))+SUMIFS(Transaksi!$F$16:$F$5015,Transaksi!$C$16:$C$5015,$A104,Transaksi!$D$16:$D$5015,"Masuk",Transaksi!$B$16:$B$5015,"&lt;="&amp;MIN(EOMONTH(DATE(Dashboard!$C$4,11,1),0),TODAY()))-SUMIFS(Transaksi!$F$16:$F$5015,Transaksi!$C$16:$C$5015,$A104,Transaksi!$D$16:$D$5015,"Keluar",Transaksi!$B$16:$B$5015,"&lt;="&amp;MIN(EOMONTH(DATE(Dashboard!$C$4,11,1),0),TODAY()))-SUMIFS(Transaksi!$F$16:$F$5015,Transaksi!$C$16:$C$5015,$A104,Transaksi!$D$16:$D$5015,"Pindah",Transaksi!$B$16:$B$5015,"&lt;="&amp;MIN(EOMONTH(DATE(Dashboard!$C$4,11,1),0),TODAY()))+SUMIFS(Transaksi!$F$16:$F$5015,Transaksi!$E$16:$E$5015,$A104,Transaksi!$D$16:$D$5015,"Pindah",Transaksi!$B$16:$B$5015,"&lt;="&amp;MIN(EOMONTH(DATE(Dashboard!$C$4,11,1),0),TODAY())))</f>
        <v/>
      </c>
      <c r="N104" s="106">
        <f>IF(OR($A104="",DATE(Dashboard!$C$4,12,1)&gt;TODAY(),ISNA(MATCH($B104,{"Pribadi","Investasi (kas RDN)","Piutang","Pinjaman Mama (dompet)"},0))),"",SUMIFS(Akun!$C$5:$C$104,Akun!$A$5:$A$104,$A104,Akun!$D$5:$D$104,"&lt;="&amp;MIN(EOMONTH(DATE(Dashboard!$C$4,12,1),0),TODAY()))+SUMIFS(Transaksi!$F$16:$F$5015,Transaksi!$C$16:$C$5015,$A104,Transaksi!$D$16:$D$5015,"Masuk",Transaksi!$B$16:$B$5015,"&lt;="&amp;MIN(EOMONTH(DATE(Dashboard!$C$4,12,1),0),TODAY()))-SUMIFS(Transaksi!$F$16:$F$5015,Transaksi!$C$16:$C$5015,$A104,Transaksi!$D$16:$D$5015,"Keluar",Transaksi!$B$16:$B$5015,"&lt;="&amp;MIN(EOMONTH(DATE(Dashboard!$C$4,12,1),0),TODAY()))-SUMIFS(Transaksi!$F$16:$F$5015,Transaksi!$C$16:$C$5015,$A104,Transaksi!$D$16:$D$5015,"Pindah",Transaksi!$B$16:$B$5015,"&lt;="&amp;MIN(EOMONTH(DATE(Dashboard!$C$4,12,1),0),TODAY()))+SUMIFS(Transaksi!$F$16:$F$5015,Transaksi!$E$16:$E$5015,$A104,Transaksi!$D$16:$D$5015,"Pindah",Transaksi!$B$16:$B$5015,"&lt;="&amp;MIN(EOMONTH(DATE(Dashboard!$C$4,12,1),0),TODAY())))</f>
        <v/>
      </c>
    </row>
    <row r="105" ht="15" customHeight="1" s="94">
      <c r="A105" s="93">
        <f>IF(Akun!$A$69="","",Akun!$A$69)</f>
        <v/>
      </c>
      <c r="B105" s="93">
        <f>IF(Akun!$A$69="","",Akun!$B$69)</f>
        <v/>
      </c>
      <c r="C105" s="106">
        <f>IF(OR($A105="",DATE(Dashboard!$C$4,1,1)&gt;TODAY(),ISNA(MATCH($B105,{"Pribadi","Investasi (kas RDN)","Piutang","Pinjaman Mama (dompet)"},0))),"",SUMIFS(Akun!$C$5:$C$104,Akun!$A$5:$A$104,$A105,Akun!$D$5:$D$104,"&lt;="&amp;MIN(EOMONTH(DATE(Dashboard!$C$4,1,1),0),TODAY()))+SUMIFS(Transaksi!$F$16:$F$5015,Transaksi!$C$16:$C$5015,$A105,Transaksi!$D$16:$D$5015,"Masuk",Transaksi!$B$16:$B$5015,"&lt;="&amp;MIN(EOMONTH(DATE(Dashboard!$C$4,1,1),0),TODAY()))-SUMIFS(Transaksi!$F$16:$F$5015,Transaksi!$C$16:$C$5015,$A105,Transaksi!$D$16:$D$5015,"Keluar",Transaksi!$B$16:$B$5015,"&lt;="&amp;MIN(EOMONTH(DATE(Dashboard!$C$4,1,1),0),TODAY()))-SUMIFS(Transaksi!$F$16:$F$5015,Transaksi!$C$16:$C$5015,$A105,Transaksi!$D$16:$D$5015,"Pindah",Transaksi!$B$16:$B$5015,"&lt;="&amp;MIN(EOMONTH(DATE(Dashboard!$C$4,1,1),0),TODAY()))+SUMIFS(Transaksi!$F$16:$F$5015,Transaksi!$E$16:$E$5015,$A105,Transaksi!$D$16:$D$5015,"Pindah",Transaksi!$B$16:$B$5015,"&lt;="&amp;MIN(EOMONTH(DATE(Dashboard!$C$4,1,1),0),TODAY())))</f>
        <v/>
      </c>
      <c r="D105" s="106">
        <f>IF(OR($A105="",DATE(Dashboard!$C$4,2,1)&gt;TODAY(),ISNA(MATCH($B105,{"Pribadi","Investasi (kas RDN)","Piutang","Pinjaman Mama (dompet)"},0))),"",SUMIFS(Akun!$C$5:$C$104,Akun!$A$5:$A$104,$A105,Akun!$D$5:$D$104,"&lt;="&amp;MIN(EOMONTH(DATE(Dashboard!$C$4,2,1),0),TODAY()))+SUMIFS(Transaksi!$F$16:$F$5015,Transaksi!$C$16:$C$5015,$A105,Transaksi!$D$16:$D$5015,"Masuk",Transaksi!$B$16:$B$5015,"&lt;="&amp;MIN(EOMONTH(DATE(Dashboard!$C$4,2,1),0),TODAY()))-SUMIFS(Transaksi!$F$16:$F$5015,Transaksi!$C$16:$C$5015,$A105,Transaksi!$D$16:$D$5015,"Keluar",Transaksi!$B$16:$B$5015,"&lt;="&amp;MIN(EOMONTH(DATE(Dashboard!$C$4,2,1),0),TODAY()))-SUMIFS(Transaksi!$F$16:$F$5015,Transaksi!$C$16:$C$5015,$A105,Transaksi!$D$16:$D$5015,"Pindah",Transaksi!$B$16:$B$5015,"&lt;="&amp;MIN(EOMONTH(DATE(Dashboard!$C$4,2,1),0),TODAY()))+SUMIFS(Transaksi!$F$16:$F$5015,Transaksi!$E$16:$E$5015,$A105,Transaksi!$D$16:$D$5015,"Pindah",Transaksi!$B$16:$B$5015,"&lt;="&amp;MIN(EOMONTH(DATE(Dashboard!$C$4,2,1),0),TODAY())))</f>
        <v/>
      </c>
      <c r="E105" s="106">
        <f>IF(OR($A105="",DATE(Dashboard!$C$4,3,1)&gt;TODAY(),ISNA(MATCH($B105,{"Pribadi","Investasi (kas RDN)","Piutang","Pinjaman Mama (dompet)"},0))),"",SUMIFS(Akun!$C$5:$C$104,Akun!$A$5:$A$104,$A105,Akun!$D$5:$D$104,"&lt;="&amp;MIN(EOMONTH(DATE(Dashboard!$C$4,3,1),0),TODAY()))+SUMIFS(Transaksi!$F$16:$F$5015,Transaksi!$C$16:$C$5015,$A105,Transaksi!$D$16:$D$5015,"Masuk",Transaksi!$B$16:$B$5015,"&lt;="&amp;MIN(EOMONTH(DATE(Dashboard!$C$4,3,1),0),TODAY()))-SUMIFS(Transaksi!$F$16:$F$5015,Transaksi!$C$16:$C$5015,$A105,Transaksi!$D$16:$D$5015,"Keluar",Transaksi!$B$16:$B$5015,"&lt;="&amp;MIN(EOMONTH(DATE(Dashboard!$C$4,3,1),0),TODAY()))-SUMIFS(Transaksi!$F$16:$F$5015,Transaksi!$C$16:$C$5015,$A105,Transaksi!$D$16:$D$5015,"Pindah",Transaksi!$B$16:$B$5015,"&lt;="&amp;MIN(EOMONTH(DATE(Dashboard!$C$4,3,1),0),TODAY()))+SUMIFS(Transaksi!$F$16:$F$5015,Transaksi!$E$16:$E$5015,$A105,Transaksi!$D$16:$D$5015,"Pindah",Transaksi!$B$16:$B$5015,"&lt;="&amp;MIN(EOMONTH(DATE(Dashboard!$C$4,3,1),0),TODAY())))</f>
        <v/>
      </c>
      <c r="F105" s="106">
        <f>IF(OR($A105="",DATE(Dashboard!$C$4,4,1)&gt;TODAY(),ISNA(MATCH($B105,{"Pribadi","Investasi (kas RDN)","Piutang","Pinjaman Mama (dompet)"},0))),"",SUMIFS(Akun!$C$5:$C$104,Akun!$A$5:$A$104,$A105,Akun!$D$5:$D$104,"&lt;="&amp;MIN(EOMONTH(DATE(Dashboard!$C$4,4,1),0),TODAY()))+SUMIFS(Transaksi!$F$16:$F$5015,Transaksi!$C$16:$C$5015,$A105,Transaksi!$D$16:$D$5015,"Masuk",Transaksi!$B$16:$B$5015,"&lt;="&amp;MIN(EOMONTH(DATE(Dashboard!$C$4,4,1),0),TODAY()))-SUMIFS(Transaksi!$F$16:$F$5015,Transaksi!$C$16:$C$5015,$A105,Transaksi!$D$16:$D$5015,"Keluar",Transaksi!$B$16:$B$5015,"&lt;="&amp;MIN(EOMONTH(DATE(Dashboard!$C$4,4,1),0),TODAY()))-SUMIFS(Transaksi!$F$16:$F$5015,Transaksi!$C$16:$C$5015,$A105,Transaksi!$D$16:$D$5015,"Pindah",Transaksi!$B$16:$B$5015,"&lt;="&amp;MIN(EOMONTH(DATE(Dashboard!$C$4,4,1),0),TODAY()))+SUMIFS(Transaksi!$F$16:$F$5015,Transaksi!$E$16:$E$5015,$A105,Transaksi!$D$16:$D$5015,"Pindah",Transaksi!$B$16:$B$5015,"&lt;="&amp;MIN(EOMONTH(DATE(Dashboard!$C$4,4,1),0),TODAY())))</f>
        <v/>
      </c>
      <c r="G105" s="106">
        <f>IF(OR($A105="",DATE(Dashboard!$C$4,5,1)&gt;TODAY(),ISNA(MATCH($B105,{"Pribadi","Investasi (kas RDN)","Piutang","Pinjaman Mama (dompet)"},0))),"",SUMIFS(Akun!$C$5:$C$104,Akun!$A$5:$A$104,$A105,Akun!$D$5:$D$104,"&lt;="&amp;MIN(EOMONTH(DATE(Dashboard!$C$4,5,1),0),TODAY()))+SUMIFS(Transaksi!$F$16:$F$5015,Transaksi!$C$16:$C$5015,$A105,Transaksi!$D$16:$D$5015,"Masuk",Transaksi!$B$16:$B$5015,"&lt;="&amp;MIN(EOMONTH(DATE(Dashboard!$C$4,5,1),0),TODAY()))-SUMIFS(Transaksi!$F$16:$F$5015,Transaksi!$C$16:$C$5015,$A105,Transaksi!$D$16:$D$5015,"Keluar",Transaksi!$B$16:$B$5015,"&lt;="&amp;MIN(EOMONTH(DATE(Dashboard!$C$4,5,1),0),TODAY()))-SUMIFS(Transaksi!$F$16:$F$5015,Transaksi!$C$16:$C$5015,$A105,Transaksi!$D$16:$D$5015,"Pindah",Transaksi!$B$16:$B$5015,"&lt;="&amp;MIN(EOMONTH(DATE(Dashboard!$C$4,5,1),0),TODAY()))+SUMIFS(Transaksi!$F$16:$F$5015,Transaksi!$E$16:$E$5015,$A105,Transaksi!$D$16:$D$5015,"Pindah",Transaksi!$B$16:$B$5015,"&lt;="&amp;MIN(EOMONTH(DATE(Dashboard!$C$4,5,1),0),TODAY())))</f>
        <v/>
      </c>
      <c r="H105" s="106">
        <f>IF(OR($A105="",DATE(Dashboard!$C$4,6,1)&gt;TODAY(),ISNA(MATCH($B105,{"Pribadi","Investasi (kas RDN)","Piutang","Pinjaman Mama (dompet)"},0))),"",SUMIFS(Akun!$C$5:$C$104,Akun!$A$5:$A$104,$A105,Akun!$D$5:$D$104,"&lt;="&amp;MIN(EOMONTH(DATE(Dashboard!$C$4,6,1),0),TODAY()))+SUMIFS(Transaksi!$F$16:$F$5015,Transaksi!$C$16:$C$5015,$A105,Transaksi!$D$16:$D$5015,"Masuk",Transaksi!$B$16:$B$5015,"&lt;="&amp;MIN(EOMONTH(DATE(Dashboard!$C$4,6,1),0),TODAY()))-SUMIFS(Transaksi!$F$16:$F$5015,Transaksi!$C$16:$C$5015,$A105,Transaksi!$D$16:$D$5015,"Keluar",Transaksi!$B$16:$B$5015,"&lt;="&amp;MIN(EOMONTH(DATE(Dashboard!$C$4,6,1),0),TODAY()))-SUMIFS(Transaksi!$F$16:$F$5015,Transaksi!$C$16:$C$5015,$A105,Transaksi!$D$16:$D$5015,"Pindah",Transaksi!$B$16:$B$5015,"&lt;="&amp;MIN(EOMONTH(DATE(Dashboard!$C$4,6,1),0),TODAY()))+SUMIFS(Transaksi!$F$16:$F$5015,Transaksi!$E$16:$E$5015,$A105,Transaksi!$D$16:$D$5015,"Pindah",Transaksi!$B$16:$B$5015,"&lt;="&amp;MIN(EOMONTH(DATE(Dashboard!$C$4,6,1),0),TODAY())))</f>
        <v/>
      </c>
      <c r="I105" s="106">
        <f>IF(OR($A105="",DATE(Dashboard!$C$4,7,1)&gt;TODAY(),ISNA(MATCH($B105,{"Pribadi","Investasi (kas RDN)","Piutang","Pinjaman Mama (dompet)"},0))),"",SUMIFS(Akun!$C$5:$C$104,Akun!$A$5:$A$104,$A105,Akun!$D$5:$D$104,"&lt;="&amp;MIN(EOMONTH(DATE(Dashboard!$C$4,7,1),0),TODAY()))+SUMIFS(Transaksi!$F$16:$F$5015,Transaksi!$C$16:$C$5015,$A105,Transaksi!$D$16:$D$5015,"Masuk",Transaksi!$B$16:$B$5015,"&lt;="&amp;MIN(EOMONTH(DATE(Dashboard!$C$4,7,1),0),TODAY()))-SUMIFS(Transaksi!$F$16:$F$5015,Transaksi!$C$16:$C$5015,$A105,Transaksi!$D$16:$D$5015,"Keluar",Transaksi!$B$16:$B$5015,"&lt;="&amp;MIN(EOMONTH(DATE(Dashboard!$C$4,7,1),0),TODAY()))-SUMIFS(Transaksi!$F$16:$F$5015,Transaksi!$C$16:$C$5015,$A105,Transaksi!$D$16:$D$5015,"Pindah",Transaksi!$B$16:$B$5015,"&lt;="&amp;MIN(EOMONTH(DATE(Dashboard!$C$4,7,1),0),TODAY()))+SUMIFS(Transaksi!$F$16:$F$5015,Transaksi!$E$16:$E$5015,$A105,Transaksi!$D$16:$D$5015,"Pindah",Transaksi!$B$16:$B$5015,"&lt;="&amp;MIN(EOMONTH(DATE(Dashboard!$C$4,7,1),0),TODAY())))</f>
        <v/>
      </c>
      <c r="J105" s="106">
        <f>IF(OR($A105="",DATE(Dashboard!$C$4,8,1)&gt;TODAY(),ISNA(MATCH($B105,{"Pribadi","Investasi (kas RDN)","Piutang","Pinjaman Mama (dompet)"},0))),"",SUMIFS(Akun!$C$5:$C$104,Akun!$A$5:$A$104,$A105,Akun!$D$5:$D$104,"&lt;="&amp;MIN(EOMONTH(DATE(Dashboard!$C$4,8,1),0),TODAY()))+SUMIFS(Transaksi!$F$16:$F$5015,Transaksi!$C$16:$C$5015,$A105,Transaksi!$D$16:$D$5015,"Masuk",Transaksi!$B$16:$B$5015,"&lt;="&amp;MIN(EOMONTH(DATE(Dashboard!$C$4,8,1),0),TODAY()))-SUMIFS(Transaksi!$F$16:$F$5015,Transaksi!$C$16:$C$5015,$A105,Transaksi!$D$16:$D$5015,"Keluar",Transaksi!$B$16:$B$5015,"&lt;="&amp;MIN(EOMONTH(DATE(Dashboard!$C$4,8,1),0),TODAY()))-SUMIFS(Transaksi!$F$16:$F$5015,Transaksi!$C$16:$C$5015,$A105,Transaksi!$D$16:$D$5015,"Pindah",Transaksi!$B$16:$B$5015,"&lt;="&amp;MIN(EOMONTH(DATE(Dashboard!$C$4,8,1),0),TODAY()))+SUMIFS(Transaksi!$F$16:$F$5015,Transaksi!$E$16:$E$5015,$A105,Transaksi!$D$16:$D$5015,"Pindah",Transaksi!$B$16:$B$5015,"&lt;="&amp;MIN(EOMONTH(DATE(Dashboard!$C$4,8,1),0),TODAY())))</f>
        <v/>
      </c>
      <c r="K105" s="106">
        <f>IF(OR($A105="",DATE(Dashboard!$C$4,9,1)&gt;TODAY(),ISNA(MATCH($B105,{"Pribadi","Investasi (kas RDN)","Piutang","Pinjaman Mama (dompet)"},0))),"",SUMIFS(Akun!$C$5:$C$104,Akun!$A$5:$A$104,$A105,Akun!$D$5:$D$104,"&lt;="&amp;MIN(EOMONTH(DATE(Dashboard!$C$4,9,1),0),TODAY()))+SUMIFS(Transaksi!$F$16:$F$5015,Transaksi!$C$16:$C$5015,$A105,Transaksi!$D$16:$D$5015,"Masuk",Transaksi!$B$16:$B$5015,"&lt;="&amp;MIN(EOMONTH(DATE(Dashboard!$C$4,9,1),0),TODAY()))-SUMIFS(Transaksi!$F$16:$F$5015,Transaksi!$C$16:$C$5015,$A105,Transaksi!$D$16:$D$5015,"Keluar",Transaksi!$B$16:$B$5015,"&lt;="&amp;MIN(EOMONTH(DATE(Dashboard!$C$4,9,1),0),TODAY()))-SUMIFS(Transaksi!$F$16:$F$5015,Transaksi!$C$16:$C$5015,$A105,Transaksi!$D$16:$D$5015,"Pindah",Transaksi!$B$16:$B$5015,"&lt;="&amp;MIN(EOMONTH(DATE(Dashboard!$C$4,9,1),0),TODAY()))+SUMIFS(Transaksi!$F$16:$F$5015,Transaksi!$E$16:$E$5015,$A105,Transaksi!$D$16:$D$5015,"Pindah",Transaksi!$B$16:$B$5015,"&lt;="&amp;MIN(EOMONTH(DATE(Dashboard!$C$4,9,1),0),TODAY())))</f>
        <v/>
      </c>
      <c r="L105" s="106">
        <f>IF(OR($A105="",DATE(Dashboard!$C$4,10,1)&gt;TODAY(),ISNA(MATCH($B105,{"Pribadi","Investasi (kas RDN)","Piutang","Pinjaman Mama (dompet)"},0))),"",SUMIFS(Akun!$C$5:$C$104,Akun!$A$5:$A$104,$A105,Akun!$D$5:$D$104,"&lt;="&amp;MIN(EOMONTH(DATE(Dashboard!$C$4,10,1),0),TODAY()))+SUMIFS(Transaksi!$F$16:$F$5015,Transaksi!$C$16:$C$5015,$A105,Transaksi!$D$16:$D$5015,"Masuk",Transaksi!$B$16:$B$5015,"&lt;="&amp;MIN(EOMONTH(DATE(Dashboard!$C$4,10,1),0),TODAY()))-SUMIFS(Transaksi!$F$16:$F$5015,Transaksi!$C$16:$C$5015,$A105,Transaksi!$D$16:$D$5015,"Keluar",Transaksi!$B$16:$B$5015,"&lt;="&amp;MIN(EOMONTH(DATE(Dashboard!$C$4,10,1),0),TODAY()))-SUMIFS(Transaksi!$F$16:$F$5015,Transaksi!$C$16:$C$5015,$A105,Transaksi!$D$16:$D$5015,"Pindah",Transaksi!$B$16:$B$5015,"&lt;="&amp;MIN(EOMONTH(DATE(Dashboard!$C$4,10,1),0),TODAY()))+SUMIFS(Transaksi!$F$16:$F$5015,Transaksi!$E$16:$E$5015,$A105,Transaksi!$D$16:$D$5015,"Pindah",Transaksi!$B$16:$B$5015,"&lt;="&amp;MIN(EOMONTH(DATE(Dashboard!$C$4,10,1),0),TODAY())))</f>
        <v/>
      </c>
      <c r="M105" s="106">
        <f>IF(OR($A105="",DATE(Dashboard!$C$4,11,1)&gt;TODAY(),ISNA(MATCH($B105,{"Pribadi","Investasi (kas RDN)","Piutang","Pinjaman Mama (dompet)"},0))),"",SUMIFS(Akun!$C$5:$C$104,Akun!$A$5:$A$104,$A105,Akun!$D$5:$D$104,"&lt;="&amp;MIN(EOMONTH(DATE(Dashboard!$C$4,11,1),0),TODAY()))+SUMIFS(Transaksi!$F$16:$F$5015,Transaksi!$C$16:$C$5015,$A105,Transaksi!$D$16:$D$5015,"Masuk",Transaksi!$B$16:$B$5015,"&lt;="&amp;MIN(EOMONTH(DATE(Dashboard!$C$4,11,1),0),TODAY()))-SUMIFS(Transaksi!$F$16:$F$5015,Transaksi!$C$16:$C$5015,$A105,Transaksi!$D$16:$D$5015,"Keluar",Transaksi!$B$16:$B$5015,"&lt;="&amp;MIN(EOMONTH(DATE(Dashboard!$C$4,11,1),0),TODAY()))-SUMIFS(Transaksi!$F$16:$F$5015,Transaksi!$C$16:$C$5015,$A105,Transaksi!$D$16:$D$5015,"Pindah",Transaksi!$B$16:$B$5015,"&lt;="&amp;MIN(EOMONTH(DATE(Dashboard!$C$4,11,1),0),TODAY()))+SUMIFS(Transaksi!$F$16:$F$5015,Transaksi!$E$16:$E$5015,$A105,Transaksi!$D$16:$D$5015,"Pindah",Transaksi!$B$16:$B$5015,"&lt;="&amp;MIN(EOMONTH(DATE(Dashboard!$C$4,11,1),0),TODAY())))</f>
        <v/>
      </c>
      <c r="N105" s="106">
        <f>IF(OR($A105="",DATE(Dashboard!$C$4,12,1)&gt;TODAY(),ISNA(MATCH($B105,{"Pribadi","Investasi (kas RDN)","Piutang","Pinjaman Mama (dompet)"},0))),"",SUMIFS(Akun!$C$5:$C$104,Akun!$A$5:$A$104,$A105,Akun!$D$5:$D$104,"&lt;="&amp;MIN(EOMONTH(DATE(Dashboard!$C$4,12,1),0),TODAY()))+SUMIFS(Transaksi!$F$16:$F$5015,Transaksi!$C$16:$C$5015,$A105,Transaksi!$D$16:$D$5015,"Masuk",Transaksi!$B$16:$B$5015,"&lt;="&amp;MIN(EOMONTH(DATE(Dashboard!$C$4,12,1),0),TODAY()))-SUMIFS(Transaksi!$F$16:$F$5015,Transaksi!$C$16:$C$5015,$A105,Transaksi!$D$16:$D$5015,"Keluar",Transaksi!$B$16:$B$5015,"&lt;="&amp;MIN(EOMONTH(DATE(Dashboard!$C$4,12,1),0),TODAY()))-SUMIFS(Transaksi!$F$16:$F$5015,Transaksi!$C$16:$C$5015,$A105,Transaksi!$D$16:$D$5015,"Pindah",Transaksi!$B$16:$B$5015,"&lt;="&amp;MIN(EOMONTH(DATE(Dashboard!$C$4,12,1),0),TODAY()))+SUMIFS(Transaksi!$F$16:$F$5015,Transaksi!$E$16:$E$5015,$A105,Transaksi!$D$16:$D$5015,"Pindah",Transaksi!$B$16:$B$5015,"&lt;="&amp;MIN(EOMONTH(DATE(Dashboard!$C$4,12,1),0),TODAY())))</f>
        <v/>
      </c>
    </row>
    <row r="106" ht="15" customHeight="1" s="94">
      <c r="A106" s="93">
        <f>IF(Akun!$A$70="","",Akun!$A$70)</f>
        <v/>
      </c>
      <c r="B106" s="93">
        <f>IF(Akun!$A$70="","",Akun!$B$70)</f>
        <v/>
      </c>
      <c r="C106" s="106">
        <f>IF(OR($A106="",DATE(Dashboard!$C$4,1,1)&gt;TODAY(),ISNA(MATCH($B106,{"Pribadi","Investasi (kas RDN)","Piutang","Pinjaman Mama (dompet)"},0))),"",SUMIFS(Akun!$C$5:$C$104,Akun!$A$5:$A$104,$A106,Akun!$D$5:$D$104,"&lt;="&amp;MIN(EOMONTH(DATE(Dashboard!$C$4,1,1),0),TODAY()))+SUMIFS(Transaksi!$F$16:$F$5015,Transaksi!$C$16:$C$5015,$A106,Transaksi!$D$16:$D$5015,"Masuk",Transaksi!$B$16:$B$5015,"&lt;="&amp;MIN(EOMONTH(DATE(Dashboard!$C$4,1,1),0),TODAY()))-SUMIFS(Transaksi!$F$16:$F$5015,Transaksi!$C$16:$C$5015,$A106,Transaksi!$D$16:$D$5015,"Keluar",Transaksi!$B$16:$B$5015,"&lt;="&amp;MIN(EOMONTH(DATE(Dashboard!$C$4,1,1),0),TODAY()))-SUMIFS(Transaksi!$F$16:$F$5015,Transaksi!$C$16:$C$5015,$A106,Transaksi!$D$16:$D$5015,"Pindah",Transaksi!$B$16:$B$5015,"&lt;="&amp;MIN(EOMONTH(DATE(Dashboard!$C$4,1,1),0),TODAY()))+SUMIFS(Transaksi!$F$16:$F$5015,Transaksi!$E$16:$E$5015,$A106,Transaksi!$D$16:$D$5015,"Pindah",Transaksi!$B$16:$B$5015,"&lt;="&amp;MIN(EOMONTH(DATE(Dashboard!$C$4,1,1),0),TODAY())))</f>
        <v/>
      </c>
      <c r="D106" s="106">
        <f>IF(OR($A106="",DATE(Dashboard!$C$4,2,1)&gt;TODAY(),ISNA(MATCH($B106,{"Pribadi","Investasi (kas RDN)","Piutang","Pinjaman Mama (dompet)"},0))),"",SUMIFS(Akun!$C$5:$C$104,Akun!$A$5:$A$104,$A106,Akun!$D$5:$D$104,"&lt;="&amp;MIN(EOMONTH(DATE(Dashboard!$C$4,2,1),0),TODAY()))+SUMIFS(Transaksi!$F$16:$F$5015,Transaksi!$C$16:$C$5015,$A106,Transaksi!$D$16:$D$5015,"Masuk",Transaksi!$B$16:$B$5015,"&lt;="&amp;MIN(EOMONTH(DATE(Dashboard!$C$4,2,1),0),TODAY()))-SUMIFS(Transaksi!$F$16:$F$5015,Transaksi!$C$16:$C$5015,$A106,Transaksi!$D$16:$D$5015,"Keluar",Transaksi!$B$16:$B$5015,"&lt;="&amp;MIN(EOMONTH(DATE(Dashboard!$C$4,2,1),0),TODAY()))-SUMIFS(Transaksi!$F$16:$F$5015,Transaksi!$C$16:$C$5015,$A106,Transaksi!$D$16:$D$5015,"Pindah",Transaksi!$B$16:$B$5015,"&lt;="&amp;MIN(EOMONTH(DATE(Dashboard!$C$4,2,1),0),TODAY()))+SUMIFS(Transaksi!$F$16:$F$5015,Transaksi!$E$16:$E$5015,$A106,Transaksi!$D$16:$D$5015,"Pindah",Transaksi!$B$16:$B$5015,"&lt;="&amp;MIN(EOMONTH(DATE(Dashboard!$C$4,2,1),0),TODAY())))</f>
        <v/>
      </c>
      <c r="E106" s="106">
        <f>IF(OR($A106="",DATE(Dashboard!$C$4,3,1)&gt;TODAY(),ISNA(MATCH($B106,{"Pribadi","Investasi (kas RDN)","Piutang","Pinjaman Mama (dompet)"},0))),"",SUMIFS(Akun!$C$5:$C$104,Akun!$A$5:$A$104,$A106,Akun!$D$5:$D$104,"&lt;="&amp;MIN(EOMONTH(DATE(Dashboard!$C$4,3,1),0),TODAY()))+SUMIFS(Transaksi!$F$16:$F$5015,Transaksi!$C$16:$C$5015,$A106,Transaksi!$D$16:$D$5015,"Masuk",Transaksi!$B$16:$B$5015,"&lt;="&amp;MIN(EOMONTH(DATE(Dashboard!$C$4,3,1),0),TODAY()))-SUMIFS(Transaksi!$F$16:$F$5015,Transaksi!$C$16:$C$5015,$A106,Transaksi!$D$16:$D$5015,"Keluar",Transaksi!$B$16:$B$5015,"&lt;="&amp;MIN(EOMONTH(DATE(Dashboard!$C$4,3,1),0),TODAY()))-SUMIFS(Transaksi!$F$16:$F$5015,Transaksi!$C$16:$C$5015,$A106,Transaksi!$D$16:$D$5015,"Pindah",Transaksi!$B$16:$B$5015,"&lt;="&amp;MIN(EOMONTH(DATE(Dashboard!$C$4,3,1),0),TODAY()))+SUMIFS(Transaksi!$F$16:$F$5015,Transaksi!$E$16:$E$5015,$A106,Transaksi!$D$16:$D$5015,"Pindah",Transaksi!$B$16:$B$5015,"&lt;="&amp;MIN(EOMONTH(DATE(Dashboard!$C$4,3,1),0),TODAY())))</f>
        <v/>
      </c>
      <c r="F106" s="106">
        <f>IF(OR($A106="",DATE(Dashboard!$C$4,4,1)&gt;TODAY(),ISNA(MATCH($B106,{"Pribadi","Investasi (kas RDN)","Piutang","Pinjaman Mama (dompet)"},0))),"",SUMIFS(Akun!$C$5:$C$104,Akun!$A$5:$A$104,$A106,Akun!$D$5:$D$104,"&lt;="&amp;MIN(EOMONTH(DATE(Dashboard!$C$4,4,1),0),TODAY()))+SUMIFS(Transaksi!$F$16:$F$5015,Transaksi!$C$16:$C$5015,$A106,Transaksi!$D$16:$D$5015,"Masuk",Transaksi!$B$16:$B$5015,"&lt;="&amp;MIN(EOMONTH(DATE(Dashboard!$C$4,4,1),0),TODAY()))-SUMIFS(Transaksi!$F$16:$F$5015,Transaksi!$C$16:$C$5015,$A106,Transaksi!$D$16:$D$5015,"Keluar",Transaksi!$B$16:$B$5015,"&lt;="&amp;MIN(EOMONTH(DATE(Dashboard!$C$4,4,1),0),TODAY()))-SUMIFS(Transaksi!$F$16:$F$5015,Transaksi!$C$16:$C$5015,$A106,Transaksi!$D$16:$D$5015,"Pindah",Transaksi!$B$16:$B$5015,"&lt;="&amp;MIN(EOMONTH(DATE(Dashboard!$C$4,4,1),0),TODAY()))+SUMIFS(Transaksi!$F$16:$F$5015,Transaksi!$E$16:$E$5015,$A106,Transaksi!$D$16:$D$5015,"Pindah",Transaksi!$B$16:$B$5015,"&lt;="&amp;MIN(EOMONTH(DATE(Dashboard!$C$4,4,1),0),TODAY())))</f>
        <v/>
      </c>
      <c r="G106" s="106">
        <f>IF(OR($A106="",DATE(Dashboard!$C$4,5,1)&gt;TODAY(),ISNA(MATCH($B106,{"Pribadi","Investasi (kas RDN)","Piutang","Pinjaman Mama (dompet)"},0))),"",SUMIFS(Akun!$C$5:$C$104,Akun!$A$5:$A$104,$A106,Akun!$D$5:$D$104,"&lt;="&amp;MIN(EOMONTH(DATE(Dashboard!$C$4,5,1),0),TODAY()))+SUMIFS(Transaksi!$F$16:$F$5015,Transaksi!$C$16:$C$5015,$A106,Transaksi!$D$16:$D$5015,"Masuk",Transaksi!$B$16:$B$5015,"&lt;="&amp;MIN(EOMONTH(DATE(Dashboard!$C$4,5,1),0),TODAY()))-SUMIFS(Transaksi!$F$16:$F$5015,Transaksi!$C$16:$C$5015,$A106,Transaksi!$D$16:$D$5015,"Keluar",Transaksi!$B$16:$B$5015,"&lt;="&amp;MIN(EOMONTH(DATE(Dashboard!$C$4,5,1),0),TODAY()))-SUMIFS(Transaksi!$F$16:$F$5015,Transaksi!$C$16:$C$5015,$A106,Transaksi!$D$16:$D$5015,"Pindah",Transaksi!$B$16:$B$5015,"&lt;="&amp;MIN(EOMONTH(DATE(Dashboard!$C$4,5,1),0),TODAY()))+SUMIFS(Transaksi!$F$16:$F$5015,Transaksi!$E$16:$E$5015,$A106,Transaksi!$D$16:$D$5015,"Pindah",Transaksi!$B$16:$B$5015,"&lt;="&amp;MIN(EOMONTH(DATE(Dashboard!$C$4,5,1),0),TODAY())))</f>
        <v/>
      </c>
      <c r="H106" s="106">
        <f>IF(OR($A106="",DATE(Dashboard!$C$4,6,1)&gt;TODAY(),ISNA(MATCH($B106,{"Pribadi","Investasi (kas RDN)","Piutang","Pinjaman Mama (dompet)"},0))),"",SUMIFS(Akun!$C$5:$C$104,Akun!$A$5:$A$104,$A106,Akun!$D$5:$D$104,"&lt;="&amp;MIN(EOMONTH(DATE(Dashboard!$C$4,6,1),0),TODAY()))+SUMIFS(Transaksi!$F$16:$F$5015,Transaksi!$C$16:$C$5015,$A106,Transaksi!$D$16:$D$5015,"Masuk",Transaksi!$B$16:$B$5015,"&lt;="&amp;MIN(EOMONTH(DATE(Dashboard!$C$4,6,1),0),TODAY()))-SUMIFS(Transaksi!$F$16:$F$5015,Transaksi!$C$16:$C$5015,$A106,Transaksi!$D$16:$D$5015,"Keluar",Transaksi!$B$16:$B$5015,"&lt;="&amp;MIN(EOMONTH(DATE(Dashboard!$C$4,6,1),0),TODAY()))-SUMIFS(Transaksi!$F$16:$F$5015,Transaksi!$C$16:$C$5015,$A106,Transaksi!$D$16:$D$5015,"Pindah",Transaksi!$B$16:$B$5015,"&lt;="&amp;MIN(EOMONTH(DATE(Dashboard!$C$4,6,1),0),TODAY()))+SUMIFS(Transaksi!$F$16:$F$5015,Transaksi!$E$16:$E$5015,$A106,Transaksi!$D$16:$D$5015,"Pindah",Transaksi!$B$16:$B$5015,"&lt;="&amp;MIN(EOMONTH(DATE(Dashboard!$C$4,6,1),0),TODAY())))</f>
        <v/>
      </c>
      <c r="I106" s="106">
        <f>IF(OR($A106="",DATE(Dashboard!$C$4,7,1)&gt;TODAY(),ISNA(MATCH($B106,{"Pribadi","Investasi (kas RDN)","Piutang","Pinjaman Mama (dompet)"},0))),"",SUMIFS(Akun!$C$5:$C$104,Akun!$A$5:$A$104,$A106,Akun!$D$5:$D$104,"&lt;="&amp;MIN(EOMONTH(DATE(Dashboard!$C$4,7,1),0),TODAY()))+SUMIFS(Transaksi!$F$16:$F$5015,Transaksi!$C$16:$C$5015,$A106,Transaksi!$D$16:$D$5015,"Masuk",Transaksi!$B$16:$B$5015,"&lt;="&amp;MIN(EOMONTH(DATE(Dashboard!$C$4,7,1),0),TODAY()))-SUMIFS(Transaksi!$F$16:$F$5015,Transaksi!$C$16:$C$5015,$A106,Transaksi!$D$16:$D$5015,"Keluar",Transaksi!$B$16:$B$5015,"&lt;="&amp;MIN(EOMONTH(DATE(Dashboard!$C$4,7,1),0),TODAY()))-SUMIFS(Transaksi!$F$16:$F$5015,Transaksi!$C$16:$C$5015,$A106,Transaksi!$D$16:$D$5015,"Pindah",Transaksi!$B$16:$B$5015,"&lt;="&amp;MIN(EOMONTH(DATE(Dashboard!$C$4,7,1),0),TODAY()))+SUMIFS(Transaksi!$F$16:$F$5015,Transaksi!$E$16:$E$5015,$A106,Transaksi!$D$16:$D$5015,"Pindah",Transaksi!$B$16:$B$5015,"&lt;="&amp;MIN(EOMONTH(DATE(Dashboard!$C$4,7,1),0),TODAY())))</f>
        <v/>
      </c>
      <c r="J106" s="106">
        <f>IF(OR($A106="",DATE(Dashboard!$C$4,8,1)&gt;TODAY(),ISNA(MATCH($B106,{"Pribadi","Investasi (kas RDN)","Piutang","Pinjaman Mama (dompet)"},0))),"",SUMIFS(Akun!$C$5:$C$104,Akun!$A$5:$A$104,$A106,Akun!$D$5:$D$104,"&lt;="&amp;MIN(EOMONTH(DATE(Dashboard!$C$4,8,1),0),TODAY()))+SUMIFS(Transaksi!$F$16:$F$5015,Transaksi!$C$16:$C$5015,$A106,Transaksi!$D$16:$D$5015,"Masuk",Transaksi!$B$16:$B$5015,"&lt;="&amp;MIN(EOMONTH(DATE(Dashboard!$C$4,8,1),0),TODAY()))-SUMIFS(Transaksi!$F$16:$F$5015,Transaksi!$C$16:$C$5015,$A106,Transaksi!$D$16:$D$5015,"Keluar",Transaksi!$B$16:$B$5015,"&lt;="&amp;MIN(EOMONTH(DATE(Dashboard!$C$4,8,1),0),TODAY()))-SUMIFS(Transaksi!$F$16:$F$5015,Transaksi!$C$16:$C$5015,$A106,Transaksi!$D$16:$D$5015,"Pindah",Transaksi!$B$16:$B$5015,"&lt;="&amp;MIN(EOMONTH(DATE(Dashboard!$C$4,8,1),0),TODAY()))+SUMIFS(Transaksi!$F$16:$F$5015,Transaksi!$E$16:$E$5015,$A106,Transaksi!$D$16:$D$5015,"Pindah",Transaksi!$B$16:$B$5015,"&lt;="&amp;MIN(EOMONTH(DATE(Dashboard!$C$4,8,1),0),TODAY())))</f>
        <v/>
      </c>
      <c r="K106" s="106">
        <f>IF(OR($A106="",DATE(Dashboard!$C$4,9,1)&gt;TODAY(),ISNA(MATCH($B106,{"Pribadi","Investasi (kas RDN)","Piutang","Pinjaman Mama (dompet)"},0))),"",SUMIFS(Akun!$C$5:$C$104,Akun!$A$5:$A$104,$A106,Akun!$D$5:$D$104,"&lt;="&amp;MIN(EOMONTH(DATE(Dashboard!$C$4,9,1),0),TODAY()))+SUMIFS(Transaksi!$F$16:$F$5015,Transaksi!$C$16:$C$5015,$A106,Transaksi!$D$16:$D$5015,"Masuk",Transaksi!$B$16:$B$5015,"&lt;="&amp;MIN(EOMONTH(DATE(Dashboard!$C$4,9,1),0),TODAY()))-SUMIFS(Transaksi!$F$16:$F$5015,Transaksi!$C$16:$C$5015,$A106,Transaksi!$D$16:$D$5015,"Keluar",Transaksi!$B$16:$B$5015,"&lt;="&amp;MIN(EOMONTH(DATE(Dashboard!$C$4,9,1),0),TODAY()))-SUMIFS(Transaksi!$F$16:$F$5015,Transaksi!$C$16:$C$5015,$A106,Transaksi!$D$16:$D$5015,"Pindah",Transaksi!$B$16:$B$5015,"&lt;="&amp;MIN(EOMONTH(DATE(Dashboard!$C$4,9,1),0),TODAY()))+SUMIFS(Transaksi!$F$16:$F$5015,Transaksi!$E$16:$E$5015,$A106,Transaksi!$D$16:$D$5015,"Pindah",Transaksi!$B$16:$B$5015,"&lt;="&amp;MIN(EOMONTH(DATE(Dashboard!$C$4,9,1),0),TODAY())))</f>
        <v/>
      </c>
      <c r="L106" s="106">
        <f>IF(OR($A106="",DATE(Dashboard!$C$4,10,1)&gt;TODAY(),ISNA(MATCH($B106,{"Pribadi","Investasi (kas RDN)","Piutang","Pinjaman Mama (dompet)"},0))),"",SUMIFS(Akun!$C$5:$C$104,Akun!$A$5:$A$104,$A106,Akun!$D$5:$D$104,"&lt;="&amp;MIN(EOMONTH(DATE(Dashboard!$C$4,10,1),0),TODAY()))+SUMIFS(Transaksi!$F$16:$F$5015,Transaksi!$C$16:$C$5015,$A106,Transaksi!$D$16:$D$5015,"Masuk",Transaksi!$B$16:$B$5015,"&lt;="&amp;MIN(EOMONTH(DATE(Dashboard!$C$4,10,1),0),TODAY()))-SUMIFS(Transaksi!$F$16:$F$5015,Transaksi!$C$16:$C$5015,$A106,Transaksi!$D$16:$D$5015,"Keluar",Transaksi!$B$16:$B$5015,"&lt;="&amp;MIN(EOMONTH(DATE(Dashboard!$C$4,10,1),0),TODAY()))-SUMIFS(Transaksi!$F$16:$F$5015,Transaksi!$C$16:$C$5015,$A106,Transaksi!$D$16:$D$5015,"Pindah",Transaksi!$B$16:$B$5015,"&lt;="&amp;MIN(EOMONTH(DATE(Dashboard!$C$4,10,1),0),TODAY()))+SUMIFS(Transaksi!$F$16:$F$5015,Transaksi!$E$16:$E$5015,$A106,Transaksi!$D$16:$D$5015,"Pindah",Transaksi!$B$16:$B$5015,"&lt;="&amp;MIN(EOMONTH(DATE(Dashboard!$C$4,10,1),0),TODAY())))</f>
        <v/>
      </c>
      <c r="M106" s="106">
        <f>IF(OR($A106="",DATE(Dashboard!$C$4,11,1)&gt;TODAY(),ISNA(MATCH($B106,{"Pribadi","Investasi (kas RDN)","Piutang","Pinjaman Mama (dompet)"},0))),"",SUMIFS(Akun!$C$5:$C$104,Akun!$A$5:$A$104,$A106,Akun!$D$5:$D$104,"&lt;="&amp;MIN(EOMONTH(DATE(Dashboard!$C$4,11,1),0),TODAY()))+SUMIFS(Transaksi!$F$16:$F$5015,Transaksi!$C$16:$C$5015,$A106,Transaksi!$D$16:$D$5015,"Masuk",Transaksi!$B$16:$B$5015,"&lt;="&amp;MIN(EOMONTH(DATE(Dashboard!$C$4,11,1),0),TODAY()))-SUMIFS(Transaksi!$F$16:$F$5015,Transaksi!$C$16:$C$5015,$A106,Transaksi!$D$16:$D$5015,"Keluar",Transaksi!$B$16:$B$5015,"&lt;="&amp;MIN(EOMONTH(DATE(Dashboard!$C$4,11,1),0),TODAY()))-SUMIFS(Transaksi!$F$16:$F$5015,Transaksi!$C$16:$C$5015,$A106,Transaksi!$D$16:$D$5015,"Pindah",Transaksi!$B$16:$B$5015,"&lt;="&amp;MIN(EOMONTH(DATE(Dashboard!$C$4,11,1),0),TODAY()))+SUMIFS(Transaksi!$F$16:$F$5015,Transaksi!$E$16:$E$5015,$A106,Transaksi!$D$16:$D$5015,"Pindah",Transaksi!$B$16:$B$5015,"&lt;="&amp;MIN(EOMONTH(DATE(Dashboard!$C$4,11,1),0),TODAY())))</f>
        <v/>
      </c>
      <c r="N106" s="106">
        <f>IF(OR($A106="",DATE(Dashboard!$C$4,12,1)&gt;TODAY(),ISNA(MATCH($B106,{"Pribadi","Investasi (kas RDN)","Piutang","Pinjaman Mama (dompet)"},0))),"",SUMIFS(Akun!$C$5:$C$104,Akun!$A$5:$A$104,$A106,Akun!$D$5:$D$104,"&lt;="&amp;MIN(EOMONTH(DATE(Dashboard!$C$4,12,1),0),TODAY()))+SUMIFS(Transaksi!$F$16:$F$5015,Transaksi!$C$16:$C$5015,$A106,Transaksi!$D$16:$D$5015,"Masuk",Transaksi!$B$16:$B$5015,"&lt;="&amp;MIN(EOMONTH(DATE(Dashboard!$C$4,12,1),0),TODAY()))-SUMIFS(Transaksi!$F$16:$F$5015,Transaksi!$C$16:$C$5015,$A106,Transaksi!$D$16:$D$5015,"Keluar",Transaksi!$B$16:$B$5015,"&lt;="&amp;MIN(EOMONTH(DATE(Dashboard!$C$4,12,1),0),TODAY()))-SUMIFS(Transaksi!$F$16:$F$5015,Transaksi!$C$16:$C$5015,$A106,Transaksi!$D$16:$D$5015,"Pindah",Transaksi!$B$16:$B$5015,"&lt;="&amp;MIN(EOMONTH(DATE(Dashboard!$C$4,12,1),0),TODAY()))+SUMIFS(Transaksi!$F$16:$F$5015,Transaksi!$E$16:$E$5015,$A106,Transaksi!$D$16:$D$5015,"Pindah",Transaksi!$B$16:$B$5015,"&lt;="&amp;MIN(EOMONTH(DATE(Dashboard!$C$4,12,1),0),TODAY())))</f>
        <v/>
      </c>
    </row>
    <row r="107" ht="15" customHeight="1" s="94">
      <c r="A107" s="93">
        <f>IF(Akun!$A$71="","",Akun!$A$71)</f>
        <v/>
      </c>
      <c r="B107" s="93">
        <f>IF(Akun!$A$71="","",Akun!$B$71)</f>
        <v/>
      </c>
      <c r="C107" s="106">
        <f>IF(OR($A107="",DATE(Dashboard!$C$4,1,1)&gt;TODAY(),ISNA(MATCH($B107,{"Pribadi","Investasi (kas RDN)","Piutang","Pinjaman Mama (dompet)"},0))),"",SUMIFS(Akun!$C$5:$C$104,Akun!$A$5:$A$104,$A107,Akun!$D$5:$D$104,"&lt;="&amp;MIN(EOMONTH(DATE(Dashboard!$C$4,1,1),0),TODAY()))+SUMIFS(Transaksi!$F$16:$F$5015,Transaksi!$C$16:$C$5015,$A107,Transaksi!$D$16:$D$5015,"Masuk",Transaksi!$B$16:$B$5015,"&lt;="&amp;MIN(EOMONTH(DATE(Dashboard!$C$4,1,1),0),TODAY()))-SUMIFS(Transaksi!$F$16:$F$5015,Transaksi!$C$16:$C$5015,$A107,Transaksi!$D$16:$D$5015,"Keluar",Transaksi!$B$16:$B$5015,"&lt;="&amp;MIN(EOMONTH(DATE(Dashboard!$C$4,1,1),0),TODAY()))-SUMIFS(Transaksi!$F$16:$F$5015,Transaksi!$C$16:$C$5015,$A107,Transaksi!$D$16:$D$5015,"Pindah",Transaksi!$B$16:$B$5015,"&lt;="&amp;MIN(EOMONTH(DATE(Dashboard!$C$4,1,1),0),TODAY()))+SUMIFS(Transaksi!$F$16:$F$5015,Transaksi!$E$16:$E$5015,$A107,Transaksi!$D$16:$D$5015,"Pindah",Transaksi!$B$16:$B$5015,"&lt;="&amp;MIN(EOMONTH(DATE(Dashboard!$C$4,1,1),0),TODAY())))</f>
        <v/>
      </c>
      <c r="D107" s="106">
        <f>IF(OR($A107="",DATE(Dashboard!$C$4,2,1)&gt;TODAY(),ISNA(MATCH($B107,{"Pribadi","Investasi (kas RDN)","Piutang","Pinjaman Mama (dompet)"},0))),"",SUMIFS(Akun!$C$5:$C$104,Akun!$A$5:$A$104,$A107,Akun!$D$5:$D$104,"&lt;="&amp;MIN(EOMONTH(DATE(Dashboard!$C$4,2,1),0),TODAY()))+SUMIFS(Transaksi!$F$16:$F$5015,Transaksi!$C$16:$C$5015,$A107,Transaksi!$D$16:$D$5015,"Masuk",Transaksi!$B$16:$B$5015,"&lt;="&amp;MIN(EOMONTH(DATE(Dashboard!$C$4,2,1),0),TODAY()))-SUMIFS(Transaksi!$F$16:$F$5015,Transaksi!$C$16:$C$5015,$A107,Transaksi!$D$16:$D$5015,"Keluar",Transaksi!$B$16:$B$5015,"&lt;="&amp;MIN(EOMONTH(DATE(Dashboard!$C$4,2,1),0),TODAY()))-SUMIFS(Transaksi!$F$16:$F$5015,Transaksi!$C$16:$C$5015,$A107,Transaksi!$D$16:$D$5015,"Pindah",Transaksi!$B$16:$B$5015,"&lt;="&amp;MIN(EOMONTH(DATE(Dashboard!$C$4,2,1),0),TODAY()))+SUMIFS(Transaksi!$F$16:$F$5015,Transaksi!$E$16:$E$5015,$A107,Transaksi!$D$16:$D$5015,"Pindah",Transaksi!$B$16:$B$5015,"&lt;="&amp;MIN(EOMONTH(DATE(Dashboard!$C$4,2,1),0),TODAY())))</f>
        <v/>
      </c>
      <c r="E107" s="106">
        <f>IF(OR($A107="",DATE(Dashboard!$C$4,3,1)&gt;TODAY(),ISNA(MATCH($B107,{"Pribadi","Investasi (kas RDN)","Piutang","Pinjaman Mama (dompet)"},0))),"",SUMIFS(Akun!$C$5:$C$104,Akun!$A$5:$A$104,$A107,Akun!$D$5:$D$104,"&lt;="&amp;MIN(EOMONTH(DATE(Dashboard!$C$4,3,1),0),TODAY()))+SUMIFS(Transaksi!$F$16:$F$5015,Transaksi!$C$16:$C$5015,$A107,Transaksi!$D$16:$D$5015,"Masuk",Transaksi!$B$16:$B$5015,"&lt;="&amp;MIN(EOMONTH(DATE(Dashboard!$C$4,3,1),0),TODAY()))-SUMIFS(Transaksi!$F$16:$F$5015,Transaksi!$C$16:$C$5015,$A107,Transaksi!$D$16:$D$5015,"Keluar",Transaksi!$B$16:$B$5015,"&lt;="&amp;MIN(EOMONTH(DATE(Dashboard!$C$4,3,1),0),TODAY()))-SUMIFS(Transaksi!$F$16:$F$5015,Transaksi!$C$16:$C$5015,$A107,Transaksi!$D$16:$D$5015,"Pindah",Transaksi!$B$16:$B$5015,"&lt;="&amp;MIN(EOMONTH(DATE(Dashboard!$C$4,3,1),0),TODAY()))+SUMIFS(Transaksi!$F$16:$F$5015,Transaksi!$E$16:$E$5015,$A107,Transaksi!$D$16:$D$5015,"Pindah",Transaksi!$B$16:$B$5015,"&lt;="&amp;MIN(EOMONTH(DATE(Dashboard!$C$4,3,1),0),TODAY())))</f>
        <v/>
      </c>
      <c r="F107" s="106">
        <f>IF(OR($A107="",DATE(Dashboard!$C$4,4,1)&gt;TODAY(),ISNA(MATCH($B107,{"Pribadi","Investasi (kas RDN)","Piutang","Pinjaman Mama (dompet)"},0))),"",SUMIFS(Akun!$C$5:$C$104,Akun!$A$5:$A$104,$A107,Akun!$D$5:$D$104,"&lt;="&amp;MIN(EOMONTH(DATE(Dashboard!$C$4,4,1),0),TODAY()))+SUMIFS(Transaksi!$F$16:$F$5015,Transaksi!$C$16:$C$5015,$A107,Transaksi!$D$16:$D$5015,"Masuk",Transaksi!$B$16:$B$5015,"&lt;="&amp;MIN(EOMONTH(DATE(Dashboard!$C$4,4,1),0),TODAY()))-SUMIFS(Transaksi!$F$16:$F$5015,Transaksi!$C$16:$C$5015,$A107,Transaksi!$D$16:$D$5015,"Keluar",Transaksi!$B$16:$B$5015,"&lt;="&amp;MIN(EOMONTH(DATE(Dashboard!$C$4,4,1),0),TODAY()))-SUMIFS(Transaksi!$F$16:$F$5015,Transaksi!$C$16:$C$5015,$A107,Transaksi!$D$16:$D$5015,"Pindah",Transaksi!$B$16:$B$5015,"&lt;="&amp;MIN(EOMONTH(DATE(Dashboard!$C$4,4,1),0),TODAY()))+SUMIFS(Transaksi!$F$16:$F$5015,Transaksi!$E$16:$E$5015,$A107,Transaksi!$D$16:$D$5015,"Pindah",Transaksi!$B$16:$B$5015,"&lt;="&amp;MIN(EOMONTH(DATE(Dashboard!$C$4,4,1),0),TODAY())))</f>
        <v/>
      </c>
      <c r="G107" s="106">
        <f>IF(OR($A107="",DATE(Dashboard!$C$4,5,1)&gt;TODAY(),ISNA(MATCH($B107,{"Pribadi","Investasi (kas RDN)","Piutang","Pinjaman Mama (dompet)"},0))),"",SUMIFS(Akun!$C$5:$C$104,Akun!$A$5:$A$104,$A107,Akun!$D$5:$D$104,"&lt;="&amp;MIN(EOMONTH(DATE(Dashboard!$C$4,5,1),0),TODAY()))+SUMIFS(Transaksi!$F$16:$F$5015,Transaksi!$C$16:$C$5015,$A107,Transaksi!$D$16:$D$5015,"Masuk",Transaksi!$B$16:$B$5015,"&lt;="&amp;MIN(EOMONTH(DATE(Dashboard!$C$4,5,1),0),TODAY()))-SUMIFS(Transaksi!$F$16:$F$5015,Transaksi!$C$16:$C$5015,$A107,Transaksi!$D$16:$D$5015,"Keluar",Transaksi!$B$16:$B$5015,"&lt;="&amp;MIN(EOMONTH(DATE(Dashboard!$C$4,5,1),0),TODAY()))-SUMIFS(Transaksi!$F$16:$F$5015,Transaksi!$C$16:$C$5015,$A107,Transaksi!$D$16:$D$5015,"Pindah",Transaksi!$B$16:$B$5015,"&lt;="&amp;MIN(EOMONTH(DATE(Dashboard!$C$4,5,1),0),TODAY()))+SUMIFS(Transaksi!$F$16:$F$5015,Transaksi!$E$16:$E$5015,$A107,Transaksi!$D$16:$D$5015,"Pindah",Transaksi!$B$16:$B$5015,"&lt;="&amp;MIN(EOMONTH(DATE(Dashboard!$C$4,5,1),0),TODAY())))</f>
        <v/>
      </c>
      <c r="H107" s="106">
        <f>IF(OR($A107="",DATE(Dashboard!$C$4,6,1)&gt;TODAY(),ISNA(MATCH($B107,{"Pribadi","Investasi (kas RDN)","Piutang","Pinjaman Mama (dompet)"},0))),"",SUMIFS(Akun!$C$5:$C$104,Akun!$A$5:$A$104,$A107,Akun!$D$5:$D$104,"&lt;="&amp;MIN(EOMONTH(DATE(Dashboard!$C$4,6,1),0),TODAY()))+SUMIFS(Transaksi!$F$16:$F$5015,Transaksi!$C$16:$C$5015,$A107,Transaksi!$D$16:$D$5015,"Masuk",Transaksi!$B$16:$B$5015,"&lt;="&amp;MIN(EOMONTH(DATE(Dashboard!$C$4,6,1),0),TODAY()))-SUMIFS(Transaksi!$F$16:$F$5015,Transaksi!$C$16:$C$5015,$A107,Transaksi!$D$16:$D$5015,"Keluar",Transaksi!$B$16:$B$5015,"&lt;="&amp;MIN(EOMONTH(DATE(Dashboard!$C$4,6,1),0),TODAY()))-SUMIFS(Transaksi!$F$16:$F$5015,Transaksi!$C$16:$C$5015,$A107,Transaksi!$D$16:$D$5015,"Pindah",Transaksi!$B$16:$B$5015,"&lt;="&amp;MIN(EOMONTH(DATE(Dashboard!$C$4,6,1),0),TODAY()))+SUMIFS(Transaksi!$F$16:$F$5015,Transaksi!$E$16:$E$5015,$A107,Transaksi!$D$16:$D$5015,"Pindah",Transaksi!$B$16:$B$5015,"&lt;="&amp;MIN(EOMONTH(DATE(Dashboard!$C$4,6,1),0),TODAY())))</f>
        <v/>
      </c>
      <c r="I107" s="106">
        <f>IF(OR($A107="",DATE(Dashboard!$C$4,7,1)&gt;TODAY(),ISNA(MATCH($B107,{"Pribadi","Investasi (kas RDN)","Piutang","Pinjaman Mama (dompet)"},0))),"",SUMIFS(Akun!$C$5:$C$104,Akun!$A$5:$A$104,$A107,Akun!$D$5:$D$104,"&lt;="&amp;MIN(EOMONTH(DATE(Dashboard!$C$4,7,1),0),TODAY()))+SUMIFS(Transaksi!$F$16:$F$5015,Transaksi!$C$16:$C$5015,$A107,Transaksi!$D$16:$D$5015,"Masuk",Transaksi!$B$16:$B$5015,"&lt;="&amp;MIN(EOMONTH(DATE(Dashboard!$C$4,7,1),0),TODAY()))-SUMIFS(Transaksi!$F$16:$F$5015,Transaksi!$C$16:$C$5015,$A107,Transaksi!$D$16:$D$5015,"Keluar",Transaksi!$B$16:$B$5015,"&lt;="&amp;MIN(EOMONTH(DATE(Dashboard!$C$4,7,1),0),TODAY()))-SUMIFS(Transaksi!$F$16:$F$5015,Transaksi!$C$16:$C$5015,$A107,Transaksi!$D$16:$D$5015,"Pindah",Transaksi!$B$16:$B$5015,"&lt;="&amp;MIN(EOMONTH(DATE(Dashboard!$C$4,7,1),0),TODAY()))+SUMIFS(Transaksi!$F$16:$F$5015,Transaksi!$E$16:$E$5015,$A107,Transaksi!$D$16:$D$5015,"Pindah",Transaksi!$B$16:$B$5015,"&lt;="&amp;MIN(EOMONTH(DATE(Dashboard!$C$4,7,1),0),TODAY())))</f>
        <v/>
      </c>
      <c r="J107" s="106">
        <f>IF(OR($A107="",DATE(Dashboard!$C$4,8,1)&gt;TODAY(),ISNA(MATCH($B107,{"Pribadi","Investasi (kas RDN)","Piutang","Pinjaman Mama (dompet)"},0))),"",SUMIFS(Akun!$C$5:$C$104,Akun!$A$5:$A$104,$A107,Akun!$D$5:$D$104,"&lt;="&amp;MIN(EOMONTH(DATE(Dashboard!$C$4,8,1),0),TODAY()))+SUMIFS(Transaksi!$F$16:$F$5015,Transaksi!$C$16:$C$5015,$A107,Transaksi!$D$16:$D$5015,"Masuk",Transaksi!$B$16:$B$5015,"&lt;="&amp;MIN(EOMONTH(DATE(Dashboard!$C$4,8,1),0),TODAY()))-SUMIFS(Transaksi!$F$16:$F$5015,Transaksi!$C$16:$C$5015,$A107,Transaksi!$D$16:$D$5015,"Keluar",Transaksi!$B$16:$B$5015,"&lt;="&amp;MIN(EOMONTH(DATE(Dashboard!$C$4,8,1),0),TODAY()))-SUMIFS(Transaksi!$F$16:$F$5015,Transaksi!$C$16:$C$5015,$A107,Transaksi!$D$16:$D$5015,"Pindah",Transaksi!$B$16:$B$5015,"&lt;="&amp;MIN(EOMONTH(DATE(Dashboard!$C$4,8,1),0),TODAY()))+SUMIFS(Transaksi!$F$16:$F$5015,Transaksi!$E$16:$E$5015,$A107,Transaksi!$D$16:$D$5015,"Pindah",Transaksi!$B$16:$B$5015,"&lt;="&amp;MIN(EOMONTH(DATE(Dashboard!$C$4,8,1),0),TODAY())))</f>
        <v/>
      </c>
      <c r="K107" s="106">
        <f>IF(OR($A107="",DATE(Dashboard!$C$4,9,1)&gt;TODAY(),ISNA(MATCH($B107,{"Pribadi","Investasi (kas RDN)","Piutang","Pinjaman Mama (dompet)"},0))),"",SUMIFS(Akun!$C$5:$C$104,Akun!$A$5:$A$104,$A107,Akun!$D$5:$D$104,"&lt;="&amp;MIN(EOMONTH(DATE(Dashboard!$C$4,9,1),0),TODAY()))+SUMIFS(Transaksi!$F$16:$F$5015,Transaksi!$C$16:$C$5015,$A107,Transaksi!$D$16:$D$5015,"Masuk",Transaksi!$B$16:$B$5015,"&lt;="&amp;MIN(EOMONTH(DATE(Dashboard!$C$4,9,1),0),TODAY()))-SUMIFS(Transaksi!$F$16:$F$5015,Transaksi!$C$16:$C$5015,$A107,Transaksi!$D$16:$D$5015,"Keluar",Transaksi!$B$16:$B$5015,"&lt;="&amp;MIN(EOMONTH(DATE(Dashboard!$C$4,9,1),0),TODAY()))-SUMIFS(Transaksi!$F$16:$F$5015,Transaksi!$C$16:$C$5015,$A107,Transaksi!$D$16:$D$5015,"Pindah",Transaksi!$B$16:$B$5015,"&lt;="&amp;MIN(EOMONTH(DATE(Dashboard!$C$4,9,1),0),TODAY()))+SUMIFS(Transaksi!$F$16:$F$5015,Transaksi!$E$16:$E$5015,$A107,Transaksi!$D$16:$D$5015,"Pindah",Transaksi!$B$16:$B$5015,"&lt;="&amp;MIN(EOMONTH(DATE(Dashboard!$C$4,9,1),0),TODAY())))</f>
        <v/>
      </c>
      <c r="L107" s="106">
        <f>IF(OR($A107="",DATE(Dashboard!$C$4,10,1)&gt;TODAY(),ISNA(MATCH($B107,{"Pribadi","Investasi (kas RDN)","Piutang","Pinjaman Mama (dompet)"},0))),"",SUMIFS(Akun!$C$5:$C$104,Akun!$A$5:$A$104,$A107,Akun!$D$5:$D$104,"&lt;="&amp;MIN(EOMONTH(DATE(Dashboard!$C$4,10,1),0),TODAY()))+SUMIFS(Transaksi!$F$16:$F$5015,Transaksi!$C$16:$C$5015,$A107,Transaksi!$D$16:$D$5015,"Masuk",Transaksi!$B$16:$B$5015,"&lt;="&amp;MIN(EOMONTH(DATE(Dashboard!$C$4,10,1),0),TODAY()))-SUMIFS(Transaksi!$F$16:$F$5015,Transaksi!$C$16:$C$5015,$A107,Transaksi!$D$16:$D$5015,"Keluar",Transaksi!$B$16:$B$5015,"&lt;="&amp;MIN(EOMONTH(DATE(Dashboard!$C$4,10,1),0),TODAY()))-SUMIFS(Transaksi!$F$16:$F$5015,Transaksi!$C$16:$C$5015,$A107,Transaksi!$D$16:$D$5015,"Pindah",Transaksi!$B$16:$B$5015,"&lt;="&amp;MIN(EOMONTH(DATE(Dashboard!$C$4,10,1),0),TODAY()))+SUMIFS(Transaksi!$F$16:$F$5015,Transaksi!$E$16:$E$5015,$A107,Transaksi!$D$16:$D$5015,"Pindah",Transaksi!$B$16:$B$5015,"&lt;="&amp;MIN(EOMONTH(DATE(Dashboard!$C$4,10,1),0),TODAY())))</f>
        <v/>
      </c>
      <c r="M107" s="106">
        <f>IF(OR($A107="",DATE(Dashboard!$C$4,11,1)&gt;TODAY(),ISNA(MATCH($B107,{"Pribadi","Investasi (kas RDN)","Piutang","Pinjaman Mama (dompet)"},0))),"",SUMIFS(Akun!$C$5:$C$104,Akun!$A$5:$A$104,$A107,Akun!$D$5:$D$104,"&lt;="&amp;MIN(EOMONTH(DATE(Dashboard!$C$4,11,1),0),TODAY()))+SUMIFS(Transaksi!$F$16:$F$5015,Transaksi!$C$16:$C$5015,$A107,Transaksi!$D$16:$D$5015,"Masuk",Transaksi!$B$16:$B$5015,"&lt;="&amp;MIN(EOMONTH(DATE(Dashboard!$C$4,11,1),0),TODAY()))-SUMIFS(Transaksi!$F$16:$F$5015,Transaksi!$C$16:$C$5015,$A107,Transaksi!$D$16:$D$5015,"Keluar",Transaksi!$B$16:$B$5015,"&lt;="&amp;MIN(EOMONTH(DATE(Dashboard!$C$4,11,1),0),TODAY()))-SUMIFS(Transaksi!$F$16:$F$5015,Transaksi!$C$16:$C$5015,$A107,Transaksi!$D$16:$D$5015,"Pindah",Transaksi!$B$16:$B$5015,"&lt;="&amp;MIN(EOMONTH(DATE(Dashboard!$C$4,11,1),0),TODAY()))+SUMIFS(Transaksi!$F$16:$F$5015,Transaksi!$E$16:$E$5015,$A107,Transaksi!$D$16:$D$5015,"Pindah",Transaksi!$B$16:$B$5015,"&lt;="&amp;MIN(EOMONTH(DATE(Dashboard!$C$4,11,1),0),TODAY())))</f>
        <v/>
      </c>
      <c r="N107" s="106">
        <f>IF(OR($A107="",DATE(Dashboard!$C$4,12,1)&gt;TODAY(),ISNA(MATCH($B107,{"Pribadi","Investasi (kas RDN)","Piutang","Pinjaman Mama (dompet)"},0))),"",SUMIFS(Akun!$C$5:$C$104,Akun!$A$5:$A$104,$A107,Akun!$D$5:$D$104,"&lt;="&amp;MIN(EOMONTH(DATE(Dashboard!$C$4,12,1),0),TODAY()))+SUMIFS(Transaksi!$F$16:$F$5015,Transaksi!$C$16:$C$5015,$A107,Transaksi!$D$16:$D$5015,"Masuk",Transaksi!$B$16:$B$5015,"&lt;="&amp;MIN(EOMONTH(DATE(Dashboard!$C$4,12,1),0),TODAY()))-SUMIFS(Transaksi!$F$16:$F$5015,Transaksi!$C$16:$C$5015,$A107,Transaksi!$D$16:$D$5015,"Keluar",Transaksi!$B$16:$B$5015,"&lt;="&amp;MIN(EOMONTH(DATE(Dashboard!$C$4,12,1),0),TODAY()))-SUMIFS(Transaksi!$F$16:$F$5015,Transaksi!$C$16:$C$5015,$A107,Transaksi!$D$16:$D$5015,"Pindah",Transaksi!$B$16:$B$5015,"&lt;="&amp;MIN(EOMONTH(DATE(Dashboard!$C$4,12,1),0),TODAY()))+SUMIFS(Transaksi!$F$16:$F$5015,Transaksi!$E$16:$E$5015,$A107,Transaksi!$D$16:$D$5015,"Pindah",Transaksi!$B$16:$B$5015,"&lt;="&amp;MIN(EOMONTH(DATE(Dashboard!$C$4,12,1),0),TODAY())))</f>
        <v/>
      </c>
    </row>
    <row r="108" ht="15" customHeight="1" s="94">
      <c r="A108" s="93">
        <f>IF(Akun!$A$72="","",Akun!$A$72)</f>
        <v/>
      </c>
      <c r="B108" s="93">
        <f>IF(Akun!$A$72="","",Akun!$B$72)</f>
        <v/>
      </c>
      <c r="C108" s="106">
        <f>IF(OR($A108="",DATE(Dashboard!$C$4,1,1)&gt;TODAY(),ISNA(MATCH($B108,{"Pribadi","Investasi (kas RDN)","Piutang","Pinjaman Mama (dompet)"},0))),"",SUMIFS(Akun!$C$5:$C$104,Akun!$A$5:$A$104,$A108,Akun!$D$5:$D$104,"&lt;="&amp;MIN(EOMONTH(DATE(Dashboard!$C$4,1,1),0),TODAY()))+SUMIFS(Transaksi!$F$16:$F$5015,Transaksi!$C$16:$C$5015,$A108,Transaksi!$D$16:$D$5015,"Masuk",Transaksi!$B$16:$B$5015,"&lt;="&amp;MIN(EOMONTH(DATE(Dashboard!$C$4,1,1),0),TODAY()))-SUMIFS(Transaksi!$F$16:$F$5015,Transaksi!$C$16:$C$5015,$A108,Transaksi!$D$16:$D$5015,"Keluar",Transaksi!$B$16:$B$5015,"&lt;="&amp;MIN(EOMONTH(DATE(Dashboard!$C$4,1,1),0),TODAY()))-SUMIFS(Transaksi!$F$16:$F$5015,Transaksi!$C$16:$C$5015,$A108,Transaksi!$D$16:$D$5015,"Pindah",Transaksi!$B$16:$B$5015,"&lt;="&amp;MIN(EOMONTH(DATE(Dashboard!$C$4,1,1),0),TODAY()))+SUMIFS(Transaksi!$F$16:$F$5015,Transaksi!$E$16:$E$5015,$A108,Transaksi!$D$16:$D$5015,"Pindah",Transaksi!$B$16:$B$5015,"&lt;="&amp;MIN(EOMONTH(DATE(Dashboard!$C$4,1,1),0),TODAY())))</f>
        <v/>
      </c>
      <c r="D108" s="106">
        <f>IF(OR($A108="",DATE(Dashboard!$C$4,2,1)&gt;TODAY(),ISNA(MATCH($B108,{"Pribadi","Investasi (kas RDN)","Piutang","Pinjaman Mama (dompet)"},0))),"",SUMIFS(Akun!$C$5:$C$104,Akun!$A$5:$A$104,$A108,Akun!$D$5:$D$104,"&lt;="&amp;MIN(EOMONTH(DATE(Dashboard!$C$4,2,1),0),TODAY()))+SUMIFS(Transaksi!$F$16:$F$5015,Transaksi!$C$16:$C$5015,$A108,Transaksi!$D$16:$D$5015,"Masuk",Transaksi!$B$16:$B$5015,"&lt;="&amp;MIN(EOMONTH(DATE(Dashboard!$C$4,2,1),0),TODAY()))-SUMIFS(Transaksi!$F$16:$F$5015,Transaksi!$C$16:$C$5015,$A108,Transaksi!$D$16:$D$5015,"Keluar",Transaksi!$B$16:$B$5015,"&lt;="&amp;MIN(EOMONTH(DATE(Dashboard!$C$4,2,1),0),TODAY()))-SUMIFS(Transaksi!$F$16:$F$5015,Transaksi!$C$16:$C$5015,$A108,Transaksi!$D$16:$D$5015,"Pindah",Transaksi!$B$16:$B$5015,"&lt;="&amp;MIN(EOMONTH(DATE(Dashboard!$C$4,2,1),0),TODAY()))+SUMIFS(Transaksi!$F$16:$F$5015,Transaksi!$E$16:$E$5015,$A108,Transaksi!$D$16:$D$5015,"Pindah",Transaksi!$B$16:$B$5015,"&lt;="&amp;MIN(EOMONTH(DATE(Dashboard!$C$4,2,1),0),TODAY())))</f>
        <v/>
      </c>
      <c r="E108" s="106">
        <f>IF(OR($A108="",DATE(Dashboard!$C$4,3,1)&gt;TODAY(),ISNA(MATCH($B108,{"Pribadi","Investasi (kas RDN)","Piutang","Pinjaman Mama (dompet)"},0))),"",SUMIFS(Akun!$C$5:$C$104,Akun!$A$5:$A$104,$A108,Akun!$D$5:$D$104,"&lt;="&amp;MIN(EOMONTH(DATE(Dashboard!$C$4,3,1),0),TODAY()))+SUMIFS(Transaksi!$F$16:$F$5015,Transaksi!$C$16:$C$5015,$A108,Transaksi!$D$16:$D$5015,"Masuk",Transaksi!$B$16:$B$5015,"&lt;="&amp;MIN(EOMONTH(DATE(Dashboard!$C$4,3,1),0),TODAY()))-SUMIFS(Transaksi!$F$16:$F$5015,Transaksi!$C$16:$C$5015,$A108,Transaksi!$D$16:$D$5015,"Keluar",Transaksi!$B$16:$B$5015,"&lt;="&amp;MIN(EOMONTH(DATE(Dashboard!$C$4,3,1),0),TODAY()))-SUMIFS(Transaksi!$F$16:$F$5015,Transaksi!$C$16:$C$5015,$A108,Transaksi!$D$16:$D$5015,"Pindah",Transaksi!$B$16:$B$5015,"&lt;="&amp;MIN(EOMONTH(DATE(Dashboard!$C$4,3,1),0),TODAY()))+SUMIFS(Transaksi!$F$16:$F$5015,Transaksi!$E$16:$E$5015,$A108,Transaksi!$D$16:$D$5015,"Pindah",Transaksi!$B$16:$B$5015,"&lt;="&amp;MIN(EOMONTH(DATE(Dashboard!$C$4,3,1),0),TODAY())))</f>
        <v/>
      </c>
      <c r="F108" s="106">
        <f>IF(OR($A108="",DATE(Dashboard!$C$4,4,1)&gt;TODAY(),ISNA(MATCH($B108,{"Pribadi","Investasi (kas RDN)","Piutang","Pinjaman Mama (dompet)"},0))),"",SUMIFS(Akun!$C$5:$C$104,Akun!$A$5:$A$104,$A108,Akun!$D$5:$D$104,"&lt;="&amp;MIN(EOMONTH(DATE(Dashboard!$C$4,4,1),0),TODAY()))+SUMIFS(Transaksi!$F$16:$F$5015,Transaksi!$C$16:$C$5015,$A108,Transaksi!$D$16:$D$5015,"Masuk",Transaksi!$B$16:$B$5015,"&lt;="&amp;MIN(EOMONTH(DATE(Dashboard!$C$4,4,1),0),TODAY()))-SUMIFS(Transaksi!$F$16:$F$5015,Transaksi!$C$16:$C$5015,$A108,Transaksi!$D$16:$D$5015,"Keluar",Transaksi!$B$16:$B$5015,"&lt;="&amp;MIN(EOMONTH(DATE(Dashboard!$C$4,4,1),0),TODAY()))-SUMIFS(Transaksi!$F$16:$F$5015,Transaksi!$C$16:$C$5015,$A108,Transaksi!$D$16:$D$5015,"Pindah",Transaksi!$B$16:$B$5015,"&lt;="&amp;MIN(EOMONTH(DATE(Dashboard!$C$4,4,1),0),TODAY()))+SUMIFS(Transaksi!$F$16:$F$5015,Transaksi!$E$16:$E$5015,$A108,Transaksi!$D$16:$D$5015,"Pindah",Transaksi!$B$16:$B$5015,"&lt;="&amp;MIN(EOMONTH(DATE(Dashboard!$C$4,4,1),0),TODAY())))</f>
        <v/>
      </c>
      <c r="G108" s="106">
        <f>IF(OR($A108="",DATE(Dashboard!$C$4,5,1)&gt;TODAY(),ISNA(MATCH($B108,{"Pribadi","Investasi (kas RDN)","Piutang","Pinjaman Mama (dompet)"},0))),"",SUMIFS(Akun!$C$5:$C$104,Akun!$A$5:$A$104,$A108,Akun!$D$5:$D$104,"&lt;="&amp;MIN(EOMONTH(DATE(Dashboard!$C$4,5,1),0),TODAY()))+SUMIFS(Transaksi!$F$16:$F$5015,Transaksi!$C$16:$C$5015,$A108,Transaksi!$D$16:$D$5015,"Masuk",Transaksi!$B$16:$B$5015,"&lt;="&amp;MIN(EOMONTH(DATE(Dashboard!$C$4,5,1),0),TODAY()))-SUMIFS(Transaksi!$F$16:$F$5015,Transaksi!$C$16:$C$5015,$A108,Transaksi!$D$16:$D$5015,"Keluar",Transaksi!$B$16:$B$5015,"&lt;="&amp;MIN(EOMONTH(DATE(Dashboard!$C$4,5,1),0),TODAY()))-SUMIFS(Transaksi!$F$16:$F$5015,Transaksi!$C$16:$C$5015,$A108,Transaksi!$D$16:$D$5015,"Pindah",Transaksi!$B$16:$B$5015,"&lt;="&amp;MIN(EOMONTH(DATE(Dashboard!$C$4,5,1),0),TODAY()))+SUMIFS(Transaksi!$F$16:$F$5015,Transaksi!$E$16:$E$5015,$A108,Transaksi!$D$16:$D$5015,"Pindah",Transaksi!$B$16:$B$5015,"&lt;="&amp;MIN(EOMONTH(DATE(Dashboard!$C$4,5,1),0),TODAY())))</f>
        <v/>
      </c>
      <c r="H108" s="106">
        <f>IF(OR($A108="",DATE(Dashboard!$C$4,6,1)&gt;TODAY(),ISNA(MATCH($B108,{"Pribadi","Investasi (kas RDN)","Piutang","Pinjaman Mama (dompet)"},0))),"",SUMIFS(Akun!$C$5:$C$104,Akun!$A$5:$A$104,$A108,Akun!$D$5:$D$104,"&lt;="&amp;MIN(EOMONTH(DATE(Dashboard!$C$4,6,1),0),TODAY()))+SUMIFS(Transaksi!$F$16:$F$5015,Transaksi!$C$16:$C$5015,$A108,Transaksi!$D$16:$D$5015,"Masuk",Transaksi!$B$16:$B$5015,"&lt;="&amp;MIN(EOMONTH(DATE(Dashboard!$C$4,6,1),0),TODAY()))-SUMIFS(Transaksi!$F$16:$F$5015,Transaksi!$C$16:$C$5015,$A108,Transaksi!$D$16:$D$5015,"Keluar",Transaksi!$B$16:$B$5015,"&lt;="&amp;MIN(EOMONTH(DATE(Dashboard!$C$4,6,1),0),TODAY()))-SUMIFS(Transaksi!$F$16:$F$5015,Transaksi!$C$16:$C$5015,$A108,Transaksi!$D$16:$D$5015,"Pindah",Transaksi!$B$16:$B$5015,"&lt;="&amp;MIN(EOMONTH(DATE(Dashboard!$C$4,6,1),0),TODAY()))+SUMIFS(Transaksi!$F$16:$F$5015,Transaksi!$E$16:$E$5015,$A108,Transaksi!$D$16:$D$5015,"Pindah",Transaksi!$B$16:$B$5015,"&lt;="&amp;MIN(EOMONTH(DATE(Dashboard!$C$4,6,1),0),TODAY())))</f>
        <v/>
      </c>
      <c r="I108" s="106">
        <f>IF(OR($A108="",DATE(Dashboard!$C$4,7,1)&gt;TODAY(),ISNA(MATCH($B108,{"Pribadi","Investasi (kas RDN)","Piutang","Pinjaman Mama (dompet)"},0))),"",SUMIFS(Akun!$C$5:$C$104,Akun!$A$5:$A$104,$A108,Akun!$D$5:$D$104,"&lt;="&amp;MIN(EOMONTH(DATE(Dashboard!$C$4,7,1),0),TODAY()))+SUMIFS(Transaksi!$F$16:$F$5015,Transaksi!$C$16:$C$5015,$A108,Transaksi!$D$16:$D$5015,"Masuk",Transaksi!$B$16:$B$5015,"&lt;="&amp;MIN(EOMONTH(DATE(Dashboard!$C$4,7,1),0),TODAY()))-SUMIFS(Transaksi!$F$16:$F$5015,Transaksi!$C$16:$C$5015,$A108,Transaksi!$D$16:$D$5015,"Keluar",Transaksi!$B$16:$B$5015,"&lt;="&amp;MIN(EOMONTH(DATE(Dashboard!$C$4,7,1),0),TODAY()))-SUMIFS(Transaksi!$F$16:$F$5015,Transaksi!$C$16:$C$5015,$A108,Transaksi!$D$16:$D$5015,"Pindah",Transaksi!$B$16:$B$5015,"&lt;="&amp;MIN(EOMONTH(DATE(Dashboard!$C$4,7,1),0),TODAY()))+SUMIFS(Transaksi!$F$16:$F$5015,Transaksi!$E$16:$E$5015,$A108,Transaksi!$D$16:$D$5015,"Pindah",Transaksi!$B$16:$B$5015,"&lt;="&amp;MIN(EOMONTH(DATE(Dashboard!$C$4,7,1),0),TODAY())))</f>
        <v/>
      </c>
      <c r="J108" s="106">
        <f>IF(OR($A108="",DATE(Dashboard!$C$4,8,1)&gt;TODAY(),ISNA(MATCH($B108,{"Pribadi","Investasi (kas RDN)","Piutang","Pinjaman Mama (dompet)"},0))),"",SUMIFS(Akun!$C$5:$C$104,Akun!$A$5:$A$104,$A108,Akun!$D$5:$D$104,"&lt;="&amp;MIN(EOMONTH(DATE(Dashboard!$C$4,8,1),0),TODAY()))+SUMIFS(Transaksi!$F$16:$F$5015,Transaksi!$C$16:$C$5015,$A108,Transaksi!$D$16:$D$5015,"Masuk",Transaksi!$B$16:$B$5015,"&lt;="&amp;MIN(EOMONTH(DATE(Dashboard!$C$4,8,1),0),TODAY()))-SUMIFS(Transaksi!$F$16:$F$5015,Transaksi!$C$16:$C$5015,$A108,Transaksi!$D$16:$D$5015,"Keluar",Transaksi!$B$16:$B$5015,"&lt;="&amp;MIN(EOMONTH(DATE(Dashboard!$C$4,8,1),0),TODAY()))-SUMIFS(Transaksi!$F$16:$F$5015,Transaksi!$C$16:$C$5015,$A108,Transaksi!$D$16:$D$5015,"Pindah",Transaksi!$B$16:$B$5015,"&lt;="&amp;MIN(EOMONTH(DATE(Dashboard!$C$4,8,1),0),TODAY()))+SUMIFS(Transaksi!$F$16:$F$5015,Transaksi!$E$16:$E$5015,$A108,Transaksi!$D$16:$D$5015,"Pindah",Transaksi!$B$16:$B$5015,"&lt;="&amp;MIN(EOMONTH(DATE(Dashboard!$C$4,8,1),0),TODAY())))</f>
        <v/>
      </c>
      <c r="K108" s="106">
        <f>IF(OR($A108="",DATE(Dashboard!$C$4,9,1)&gt;TODAY(),ISNA(MATCH($B108,{"Pribadi","Investasi (kas RDN)","Piutang","Pinjaman Mama (dompet)"},0))),"",SUMIFS(Akun!$C$5:$C$104,Akun!$A$5:$A$104,$A108,Akun!$D$5:$D$104,"&lt;="&amp;MIN(EOMONTH(DATE(Dashboard!$C$4,9,1),0),TODAY()))+SUMIFS(Transaksi!$F$16:$F$5015,Transaksi!$C$16:$C$5015,$A108,Transaksi!$D$16:$D$5015,"Masuk",Transaksi!$B$16:$B$5015,"&lt;="&amp;MIN(EOMONTH(DATE(Dashboard!$C$4,9,1),0),TODAY()))-SUMIFS(Transaksi!$F$16:$F$5015,Transaksi!$C$16:$C$5015,$A108,Transaksi!$D$16:$D$5015,"Keluar",Transaksi!$B$16:$B$5015,"&lt;="&amp;MIN(EOMONTH(DATE(Dashboard!$C$4,9,1),0),TODAY()))-SUMIFS(Transaksi!$F$16:$F$5015,Transaksi!$C$16:$C$5015,$A108,Transaksi!$D$16:$D$5015,"Pindah",Transaksi!$B$16:$B$5015,"&lt;="&amp;MIN(EOMONTH(DATE(Dashboard!$C$4,9,1),0),TODAY()))+SUMIFS(Transaksi!$F$16:$F$5015,Transaksi!$E$16:$E$5015,$A108,Transaksi!$D$16:$D$5015,"Pindah",Transaksi!$B$16:$B$5015,"&lt;="&amp;MIN(EOMONTH(DATE(Dashboard!$C$4,9,1),0),TODAY())))</f>
        <v/>
      </c>
      <c r="L108" s="106">
        <f>IF(OR($A108="",DATE(Dashboard!$C$4,10,1)&gt;TODAY(),ISNA(MATCH($B108,{"Pribadi","Investasi (kas RDN)","Piutang","Pinjaman Mama (dompet)"},0))),"",SUMIFS(Akun!$C$5:$C$104,Akun!$A$5:$A$104,$A108,Akun!$D$5:$D$104,"&lt;="&amp;MIN(EOMONTH(DATE(Dashboard!$C$4,10,1),0),TODAY()))+SUMIFS(Transaksi!$F$16:$F$5015,Transaksi!$C$16:$C$5015,$A108,Transaksi!$D$16:$D$5015,"Masuk",Transaksi!$B$16:$B$5015,"&lt;="&amp;MIN(EOMONTH(DATE(Dashboard!$C$4,10,1),0),TODAY()))-SUMIFS(Transaksi!$F$16:$F$5015,Transaksi!$C$16:$C$5015,$A108,Transaksi!$D$16:$D$5015,"Keluar",Transaksi!$B$16:$B$5015,"&lt;="&amp;MIN(EOMONTH(DATE(Dashboard!$C$4,10,1),0),TODAY()))-SUMIFS(Transaksi!$F$16:$F$5015,Transaksi!$C$16:$C$5015,$A108,Transaksi!$D$16:$D$5015,"Pindah",Transaksi!$B$16:$B$5015,"&lt;="&amp;MIN(EOMONTH(DATE(Dashboard!$C$4,10,1),0),TODAY()))+SUMIFS(Transaksi!$F$16:$F$5015,Transaksi!$E$16:$E$5015,$A108,Transaksi!$D$16:$D$5015,"Pindah",Transaksi!$B$16:$B$5015,"&lt;="&amp;MIN(EOMONTH(DATE(Dashboard!$C$4,10,1),0),TODAY())))</f>
        <v/>
      </c>
      <c r="M108" s="106">
        <f>IF(OR($A108="",DATE(Dashboard!$C$4,11,1)&gt;TODAY(),ISNA(MATCH($B108,{"Pribadi","Investasi (kas RDN)","Piutang","Pinjaman Mama (dompet)"},0))),"",SUMIFS(Akun!$C$5:$C$104,Akun!$A$5:$A$104,$A108,Akun!$D$5:$D$104,"&lt;="&amp;MIN(EOMONTH(DATE(Dashboard!$C$4,11,1),0),TODAY()))+SUMIFS(Transaksi!$F$16:$F$5015,Transaksi!$C$16:$C$5015,$A108,Transaksi!$D$16:$D$5015,"Masuk",Transaksi!$B$16:$B$5015,"&lt;="&amp;MIN(EOMONTH(DATE(Dashboard!$C$4,11,1),0),TODAY()))-SUMIFS(Transaksi!$F$16:$F$5015,Transaksi!$C$16:$C$5015,$A108,Transaksi!$D$16:$D$5015,"Keluar",Transaksi!$B$16:$B$5015,"&lt;="&amp;MIN(EOMONTH(DATE(Dashboard!$C$4,11,1),0),TODAY()))-SUMIFS(Transaksi!$F$16:$F$5015,Transaksi!$C$16:$C$5015,$A108,Transaksi!$D$16:$D$5015,"Pindah",Transaksi!$B$16:$B$5015,"&lt;="&amp;MIN(EOMONTH(DATE(Dashboard!$C$4,11,1),0),TODAY()))+SUMIFS(Transaksi!$F$16:$F$5015,Transaksi!$E$16:$E$5015,$A108,Transaksi!$D$16:$D$5015,"Pindah",Transaksi!$B$16:$B$5015,"&lt;="&amp;MIN(EOMONTH(DATE(Dashboard!$C$4,11,1),0),TODAY())))</f>
        <v/>
      </c>
      <c r="N108" s="106">
        <f>IF(OR($A108="",DATE(Dashboard!$C$4,12,1)&gt;TODAY(),ISNA(MATCH($B108,{"Pribadi","Investasi (kas RDN)","Piutang","Pinjaman Mama (dompet)"},0))),"",SUMIFS(Akun!$C$5:$C$104,Akun!$A$5:$A$104,$A108,Akun!$D$5:$D$104,"&lt;="&amp;MIN(EOMONTH(DATE(Dashboard!$C$4,12,1),0),TODAY()))+SUMIFS(Transaksi!$F$16:$F$5015,Transaksi!$C$16:$C$5015,$A108,Transaksi!$D$16:$D$5015,"Masuk",Transaksi!$B$16:$B$5015,"&lt;="&amp;MIN(EOMONTH(DATE(Dashboard!$C$4,12,1),0),TODAY()))-SUMIFS(Transaksi!$F$16:$F$5015,Transaksi!$C$16:$C$5015,$A108,Transaksi!$D$16:$D$5015,"Keluar",Transaksi!$B$16:$B$5015,"&lt;="&amp;MIN(EOMONTH(DATE(Dashboard!$C$4,12,1),0),TODAY()))-SUMIFS(Transaksi!$F$16:$F$5015,Transaksi!$C$16:$C$5015,$A108,Transaksi!$D$16:$D$5015,"Pindah",Transaksi!$B$16:$B$5015,"&lt;="&amp;MIN(EOMONTH(DATE(Dashboard!$C$4,12,1),0),TODAY()))+SUMIFS(Transaksi!$F$16:$F$5015,Transaksi!$E$16:$E$5015,$A108,Transaksi!$D$16:$D$5015,"Pindah",Transaksi!$B$16:$B$5015,"&lt;="&amp;MIN(EOMONTH(DATE(Dashboard!$C$4,12,1),0),TODAY())))</f>
        <v/>
      </c>
    </row>
    <row r="109" ht="15" customHeight="1" s="94">
      <c r="A109" s="93">
        <f>IF(Akun!$A$73="","",Akun!$A$73)</f>
        <v/>
      </c>
      <c r="B109" s="93">
        <f>IF(Akun!$A$73="","",Akun!$B$73)</f>
        <v/>
      </c>
      <c r="C109" s="106">
        <f>IF(OR($A109="",DATE(Dashboard!$C$4,1,1)&gt;TODAY(),ISNA(MATCH($B109,{"Pribadi","Investasi (kas RDN)","Piutang","Pinjaman Mama (dompet)"},0))),"",SUMIFS(Akun!$C$5:$C$104,Akun!$A$5:$A$104,$A109,Akun!$D$5:$D$104,"&lt;="&amp;MIN(EOMONTH(DATE(Dashboard!$C$4,1,1),0),TODAY()))+SUMIFS(Transaksi!$F$16:$F$5015,Transaksi!$C$16:$C$5015,$A109,Transaksi!$D$16:$D$5015,"Masuk",Transaksi!$B$16:$B$5015,"&lt;="&amp;MIN(EOMONTH(DATE(Dashboard!$C$4,1,1),0),TODAY()))-SUMIFS(Transaksi!$F$16:$F$5015,Transaksi!$C$16:$C$5015,$A109,Transaksi!$D$16:$D$5015,"Keluar",Transaksi!$B$16:$B$5015,"&lt;="&amp;MIN(EOMONTH(DATE(Dashboard!$C$4,1,1),0),TODAY()))-SUMIFS(Transaksi!$F$16:$F$5015,Transaksi!$C$16:$C$5015,$A109,Transaksi!$D$16:$D$5015,"Pindah",Transaksi!$B$16:$B$5015,"&lt;="&amp;MIN(EOMONTH(DATE(Dashboard!$C$4,1,1),0),TODAY()))+SUMIFS(Transaksi!$F$16:$F$5015,Transaksi!$E$16:$E$5015,$A109,Transaksi!$D$16:$D$5015,"Pindah",Transaksi!$B$16:$B$5015,"&lt;="&amp;MIN(EOMONTH(DATE(Dashboard!$C$4,1,1),0),TODAY())))</f>
        <v/>
      </c>
      <c r="D109" s="106">
        <f>IF(OR($A109="",DATE(Dashboard!$C$4,2,1)&gt;TODAY(),ISNA(MATCH($B109,{"Pribadi","Investasi (kas RDN)","Piutang","Pinjaman Mama (dompet)"},0))),"",SUMIFS(Akun!$C$5:$C$104,Akun!$A$5:$A$104,$A109,Akun!$D$5:$D$104,"&lt;="&amp;MIN(EOMONTH(DATE(Dashboard!$C$4,2,1),0),TODAY()))+SUMIFS(Transaksi!$F$16:$F$5015,Transaksi!$C$16:$C$5015,$A109,Transaksi!$D$16:$D$5015,"Masuk",Transaksi!$B$16:$B$5015,"&lt;="&amp;MIN(EOMONTH(DATE(Dashboard!$C$4,2,1),0),TODAY()))-SUMIFS(Transaksi!$F$16:$F$5015,Transaksi!$C$16:$C$5015,$A109,Transaksi!$D$16:$D$5015,"Keluar",Transaksi!$B$16:$B$5015,"&lt;="&amp;MIN(EOMONTH(DATE(Dashboard!$C$4,2,1),0),TODAY()))-SUMIFS(Transaksi!$F$16:$F$5015,Transaksi!$C$16:$C$5015,$A109,Transaksi!$D$16:$D$5015,"Pindah",Transaksi!$B$16:$B$5015,"&lt;="&amp;MIN(EOMONTH(DATE(Dashboard!$C$4,2,1),0),TODAY()))+SUMIFS(Transaksi!$F$16:$F$5015,Transaksi!$E$16:$E$5015,$A109,Transaksi!$D$16:$D$5015,"Pindah",Transaksi!$B$16:$B$5015,"&lt;="&amp;MIN(EOMONTH(DATE(Dashboard!$C$4,2,1),0),TODAY())))</f>
        <v/>
      </c>
      <c r="E109" s="106">
        <f>IF(OR($A109="",DATE(Dashboard!$C$4,3,1)&gt;TODAY(),ISNA(MATCH($B109,{"Pribadi","Investasi (kas RDN)","Piutang","Pinjaman Mama (dompet)"},0))),"",SUMIFS(Akun!$C$5:$C$104,Akun!$A$5:$A$104,$A109,Akun!$D$5:$D$104,"&lt;="&amp;MIN(EOMONTH(DATE(Dashboard!$C$4,3,1),0),TODAY()))+SUMIFS(Transaksi!$F$16:$F$5015,Transaksi!$C$16:$C$5015,$A109,Transaksi!$D$16:$D$5015,"Masuk",Transaksi!$B$16:$B$5015,"&lt;="&amp;MIN(EOMONTH(DATE(Dashboard!$C$4,3,1),0),TODAY()))-SUMIFS(Transaksi!$F$16:$F$5015,Transaksi!$C$16:$C$5015,$A109,Transaksi!$D$16:$D$5015,"Keluar",Transaksi!$B$16:$B$5015,"&lt;="&amp;MIN(EOMONTH(DATE(Dashboard!$C$4,3,1),0),TODAY()))-SUMIFS(Transaksi!$F$16:$F$5015,Transaksi!$C$16:$C$5015,$A109,Transaksi!$D$16:$D$5015,"Pindah",Transaksi!$B$16:$B$5015,"&lt;="&amp;MIN(EOMONTH(DATE(Dashboard!$C$4,3,1),0),TODAY()))+SUMIFS(Transaksi!$F$16:$F$5015,Transaksi!$E$16:$E$5015,$A109,Transaksi!$D$16:$D$5015,"Pindah",Transaksi!$B$16:$B$5015,"&lt;="&amp;MIN(EOMONTH(DATE(Dashboard!$C$4,3,1),0),TODAY())))</f>
        <v/>
      </c>
      <c r="F109" s="106">
        <f>IF(OR($A109="",DATE(Dashboard!$C$4,4,1)&gt;TODAY(),ISNA(MATCH($B109,{"Pribadi","Investasi (kas RDN)","Piutang","Pinjaman Mama (dompet)"},0))),"",SUMIFS(Akun!$C$5:$C$104,Akun!$A$5:$A$104,$A109,Akun!$D$5:$D$104,"&lt;="&amp;MIN(EOMONTH(DATE(Dashboard!$C$4,4,1),0),TODAY()))+SUMIFS(Transaksi!$F$16:$F$5015,Transaksi!$C$16:$C$5015,$A109,Transaksi!$D$16:$D$5015,"Masuk",Transaksi!$B$16:$B$5015,"&lt;="&amp;MIN(EOMONTH(DATE(Dashboard!$C$4,4,1),0),TODAY()))-SUMIFS(Transaksi!$F$16:$F$5015,Transaksi!$C$16:$C$5015,$A109,Transaksi!$D$16:$D$5015,"Keluar",Transaksi!$B$16:$B$5015,"&lt;="&amp;MIN(EOMONTH(DATE(Dashboard!$C$4,4,1),0),TODAY()))-SUMIFS(Transaksi!$F$16:$F$5015,Transaksi!$C$16:$C$5015,$A109,Transaksi!$D$16:$D$5015,"Pindah",Transaksi!$B$16:$B$5015,"&lt;="&amp;MIN(EOMONTH(DATE(Dashboard!$C$4,4,1),0),TODAY()))+SUMIFS(Transaksi!$F$16:$F$5015,Transaksi!$E$16:$E$5015,$A109,Transaksi!$D$16:$D$5015,"Pindah",Transaksi!$B$16:$B$5015,"&lt;="&amp;MIN(EOMONTH(DATE(Dashboard!$C$4,4,1),0),TODAY())))</f>
        <v/>
      </c>
      <c r="G109" s="106">
        <f>IF(OR($A109="",DATE(Dashboard!$C$4,5,1)&gt;TODAY(),ISNA(MATCH($B109,{"Pribadi","Investasi (kas RDN)","Piutang","Pinjaman Mama (dompet)"},0))),"",SUMIFS(Akun!$C$5:$C$104,Akun!$A$5:$A$104,$A109,Akun!$D$5:$D$104,"&lt;="&amp;MIN(EOMONTH(DATE(Dashboard!$C$4,5,1),0),TODAY()))+SUMIFS(Transaksi!$F$16:$F$5015,Transaksi!$C$16:$C$5015,$A109,Transaksi!$D$16:$D$5015,"Masuk",Transaksi!$B$16:$B$5015,"&lt;="&amp;MIN(EOMONTH(DATE(Dashboard!$C$4,5,1),0),TODAY()))-SUMIFS(Transaksi!$F$16:$F$5015,Transaksi!$C$16:$C$5015,$A109,Transaksi!$D$16:$D$5015,"Keluar",Transaksi!$B$16:$B$5015,"&lt;="&amp;MIN(EOMONTH(DATE(Dashboard!$C$4,5,1),0),TODAY()))-SUMIFS(Transaksi!$F$16:$F$5015,Transaksi!$C$16:$C$5015,$A109,Transaksi!$D$16:$D$5015,"Pindah",Transaksi!$B$16:$B$5015,"&lt;="&amp;MIN(EOMONTH(DATE(Dashboard!$C$4,5,1),0),TODAY()))+SUMIFS(Transaksi!$F$16:$F$5015,Transaksi!$E$16:$E$5015,$A109,Transaksi!$D$16:$D$5015,"Pindah",Transaksi!$B$16:$B$5015,"&lt;="&amp;MIN(EOMONTH(DATE(Dashboard!$C$4,5,1),0),TODAY())))</f>
        <v/>
      </c>
      <c r="H109" s="106">
        <f>IF(OR($A109="",DATE(Dashboard!$C$4,6,1)&gt;TODAY(),ISNA(MATCH($B109,{"Pribadi","Investasi (kas RDN)","Piutang","Pinjaman Mama (dompet)"},0))),"",SUMIFS(Akun!$C$5:$C$104,Akun!$A$5:$A$104,$A109,Akun!$D$5:$D$104,"&lt;="&amp;MIN(EOMONTH(DATE(Dashboard!$C$4,6,1),0),TODAY()))+SUMIFS(Transaksi!$F$16:$F$5015,Transaksi!$C$16:$C$5015,$A109,Transaksi!$D$16:$D$5015,"Masuk",Transaksi!$B$16:$B$5015,"&lt;="&amp;MIN(EOMONTH(DATE(Dashboard!$C$4,6,1),0),TODAY()))-SUMIFS(Transaksi!$F$16:$F$5015,Transaksi!$C$16:$C$5015,$A109,Transaksi!$D$16:$D$5015,"Keluar",Transaksi!$B$16:$B$5015,"&lt;="&amp;MIN(EOMONTH(DATE(Dashboard!$C$4,6,1),0),TODAY()))-SUMIFS(Transaksi!$F$16:$F$5015,Transaksi!$C$16:$C$5015,$A109,Transaksi!$D$16:$D$5015,"Pindah",Transaksi!$B$16:$B$5015,"&lt;="&amp;MIN(EOMONTH(DATE(Dashboard!$C$4,6,1),0),TODAY()))+SUMIFS(Transaksi!$F$16:$F$5015,Transaksi!$E$16:$E$5015,$A109,Transaksi!$D$16:$D$5015,"Pindah",Transaksi!$B$16:$B$5015,"&lt;="&amp;MIN(EOMONTH(DATE(Dashboard!$C$4,6,1),0),TODAY())))</f>
        <v/>
      </c>
      <c r="I109" s="106">
        <f>IF(OR($A109="",DATE(Dashboard!$C$4,7,1)&gt;TODAY(),ISNA(MATCH($B109,{"Pribadi","Investasi (kas RDN)","Piutang","Pinjaman Mama (dompet)"},0))),"",SUMIFS(Akun!$C$5:$C$104,Akun!$A$5:$A$104,$A109,Akun!$D$5:$D$104,"&lt;="&amp;MIN(EOMONTH(DATE(Dashboard!$C$4,7,1),0),TODAY()))+SUMIFS(Transaksi!$F$16:$F$5015,Transaksi!$C$16:$C$5015,$A109,Transaksi!$D$16:$D$5015,"Masuk",Transaksi!$B$16:$B$5015,"&lt;="&amp;MIN(EOMONTH(DATE(Dashboard!$C$4,7,1),0),TODAY()))-SUMIFS(Transaksi!$F$16:$F$5015,Transaksi!$C$16:$C$5015,$A109,Transaksi!$D$16:$D$5015,"Keluar",Transaksi!$B$16:$B$5015,"&lt;="&amp;MIN(EOMONTH(DATE(Dashboard!$C$4,7,1),0),TODAY()))-SUMIFS(Transaksi!$F$16:$F$5015,Transaksi!$C$16:$C$5015,$A109,Transaksi!$D$16:$D$5015,"Pindah",Transaksi!$B$16:$B$5015,"&lt;="&amp;MIN(EOMONTH(DATE(Dashboard!$C$4,7,1),0),TODAY()))+SUMIFS(Transaksi!$F$16:$F$5015,Transaksi!$E$16:$E$5015,$A109,Transaksi!$D$16:$D$5015,"Pindah",Transaksi!$B$16:$B$5015,"&lt;="&amp;MIN(EOMONTH(DATE(Dashboard!$C$4,7,1),0),TODAY())))</f>
        <v/>
      </c>
      <c r="J109" s="106">
        <f>IF(OR($A109="",DATE(Dashboard!$C$4,8,1)&gt;TODAY(),ISNA(MATCH($B109,{"Pribadi","Investasi (kas RDN)","Piutang","Pinjaman Mama (dompet)"},0))),"",SUMIFS(Akun!$C$5:$C$104,Akun!$A$5:$A$104,$A109,Akun!$D$5:$D$104,"&lt;="&amp;MIN(EOMONTH(DATE(Dashboard!$C$4,8,1),0),TODAY()))+SUMIFS(Transaksi!$F$16:$F$5015,Transaksi!$C$16:$C$5015,$A109,Transaksi!$D$16:$D$5015,"Masuk",Transaksi!$B$16:$B$5015,"&lt;="&amp;MIN(EOMONTH(DATE(Dashboard!$C$4,8,1),0),TODAY()))-SUMIFS(Transaksi!$F$16:$F$5015,Transaksi!$C$16:$C$5015,$A109,Transaksi!$D$16:$D$5015,"Keluar",Transaksi!$B$16:$B$5015,"&lt;="&amp;MIN(EOMONTH(DATE(Dashboard!$C$4,8,1),0),TODAY()))-SUMIFS(Transaksi!$F$16:$F$5015,Transaksi!$C$16:$C$5015,$A109,Transaksi!$D$16:$D$5015,"Pindah",Transaksi!$B$16:$B$5015,"&lt;="&amp;MIN(EOMONTH(DATE(Dashboard!$C$4,8,1),0),TODAY()))+SUMIFS(Transaksi!$F$16:$F$5015,Transaksi!$E$16:$E$5015,$A109,Transaksi!$D$16:$D$5015,"Pindah",Transaksi!$B$16:$B$5015,"&lt;="&amp;MIN(EOMONTH(DATE(Dashboard!$C$4,8,1),0),TODAY())))</f>
        <v/>
      </c>
      <c r="K109" s="106">
        <f>IF(OR($A109="",DATE(Dashboard!$C$4,9,1)&gt;TODAY(),ISNA(MATCH($B109,{"Pribadi","Investasi (kas RDN)","Piutang","Pinjaman Mama (dompet)"},0))),"",SUMIFS(Akun!$C$5:$C$104,Akun!$A$5:$A$104,$A109,Akun!$D$5:$D$104,"&lt;="&amp;MIN(EOMONTH(DATE(Dashboard!$C$4,9,1),0),TODAY()))+SUMIFS(Transaksi!$F$16:$F$5015,Transaksi!$C$16:$C$5015,$A109,Transaksi!$D$16:$D$5015,"Masuk",Transaksi!$B$16:$B$5015,"&lt;="&amp;MIN(EOMONTH(DATE(Dashboard!$C$4,9,1),0),TODAY()))-SUMIFS(Transaksi!$F$16:$F$5015,Transaksi!$C$16:$C$5015,$A109,Transaksi!$D$16:$D$5015,"Keluar",Transaksi!$B$16:$B$5015,"&lt;="&amp;MIN(EOMONTH(DATE(Dashboard!$C$4,9,1),0),TODAY()))-SUMIFS(Transaksi!$F$16:$F$5015,Transaksi!$C$16:$C$5015,$A109,Transaksi!$D$16:$D$5015,"Pindah",Transaksi!$B$16:$B$5015,"&lt;="&amp;MIN(EOMONTH(DATE(Dashboard!$C$4,9,1),0),TODAY()))+SUMIFS(Transaksi!$F$16:$F$5015,Transaksi!$E$16:$E$5015,$A109,Transaksi!$D$16:$D$5015,"Pindah",Transaksi!$B$16:$B$5015,"&lt;="&amp;MIN(EOMONTH(DATE(Dashboard!$C$4,9,1),0),TODAY())))</f>
        <v/>
      </c>
      <c r="L109" s="106">
        <f>IF(OR($A109="",DATE(Dashboard!$C$4,10,1)&gt;TODAY(),ISNA(MATCH($B109,{"Pribadi","Investasi (kas RDN)","Piutang","Pinjaman Mama (dompet)"},0))),"",SUMIFS(Akun!$C$5:$C$104,Akun!$A$5:$A$104,$A109,Akun!$D$5:$D$104,"&lt;="&amp;MIN(EOMONTH(DATE(Dashboard!$C$4,10,1),0),TODAY()))+SUMIFS(Transaksi!$F$16:$F$5015,Transaksi!$C$16:$C$5015,$A109,Transaksi!$D$16:$D$5015,"Masuk",Transaksi!$B$16:$B$5015,"&lt;="&amp;MIN(EOMONTH(DATE(Dashboard!$C$4,10,1),0),TODAY()))-SUMIFS(Transaksi!$F$16:$F$5015,Transaksi!$C$16:$C$5015,$A109,Transaksi!$D$16:$D$5015,"Keluar",Transaksi!$B$16:$B$5015,"&lt;="&amp;MIN(EOMONTH(DATE(Dashboard!$C$4,10,1),0),TODAY()))-SUMIFS(Transaksi!$F$16:$F$5015,Transaksi!$C$16:$C$5015,$A109,Transaksi!$D$16:$D$5015,"Pindah",Transaksi!$B$16:$B$5015,"&lt;="&amp;MIN(EOMONTH(DATE(Dashboard!$C$4,10,1),0),TODAY()))+SUMIFS(Transaksi!$F$16:$F$5015,Transaksi!$E$16:$E$5015,$A109,Transaksi!$D$16:$D$5015,"Pindah",Transaksi!$B$16:$B$5015,"&lt;="&amp;MIN(EOMONTH(DATE(Dashboard!$C$4,10,1),0),TODAY())))</f>
        <v/>
      </c>
      <c r="M109" s="106">
        <f>IF(OR($A109="",DATE(Dashboard!$C$4,11,1)&gt;TODAY(),ISNA(MATCH($B109,{"Pribadi","Investasi (kas RDN)","Piutang","Pinjaman Mama (dompet)"},0))),"",SUMIFS(Akun!$C$5:$C$104,Akun!$A$5:$A$104,$A109,Akun!$D$5:$D$104,"&lt;="&amp;MIN(EOMONTH(DATE(Dashboard!$C$4,11,1),0),TODAY()))+SUMIFS(Transaksi!$F$16:$F$5015,Transaksi!$C$16:$C$5015,$A109,Transaksi!$D$16:$D$5015,"Masuk",Transaksi!$B$16:$B$5015,"&lt;="&amp;MIN(EOMONTH(DATE(Dashboard!$C$4,11,1),0),TODAY()))-SUMIFS(Transaksi!$F$16:$F$5015,Transaksi!$C$16:$C$5015,$A109,Transaksi!$D$16:$D$5015,"Keluar",Transaksi!$B$16:$B$5015,"&lt;="&amp;MIN(EOMONTH(DATE(Dashboard!$C$4,11,1),0),TODAY()))-SUMIFS(Transaksi!$F$16:$F$5015,Transaksi!$C$16:$C$5015,$A109,Transaksi!$D$16:$D$5015,"Pindah",Transaksi!$B$16:$B$5015,"&lt;="&amp;MIN(EOMONTH(DATE(Dashboard!$C$4,11,1),0),TODAY()))+SUMIFS(Transaksi!$F$16:$F$5015,Transaksi!$E$16:$E$5015,$A109,Transaksi!$D$16:$D$5015,"Pindah",Transaksi!$B$16:$B$5015,"&lt;="&amp;MIN(EOMONTH(DATE(Dashboard!$C$4,11,1),0),TODAY())))</f>
        <v/>
      </c>
      <c r="N109" s="106">
        <f>IF(OR($A109="",DATE(Dashboard!$C$4,12,1)&gt;TODAY(),ISNA(MATCH($B109,{"Pribadi","Investasi (kas RDN)","Piutang","Pinjaman Mama (dompet)"},0))),"",SUMIFS(Akun!$C$5:$C$104,Akun!$A$5:$A$104,$A109,Akun!$D$5:$D$104,"&lt;="&amp;MIN(EOMONTH(DATE(Dashboard!$C$4,12,1),0),TODAY()))+SUMIFS(Transaksi!$F$16:$F$5015,Transaksi!$C$16:$C$5015,$A109,Transaksi!$D$16:$D$5015,"Masuk",Transaksi!$B$16:$B$5015,"&lt;="&amp;MIN(EOMONTH(DATE(Dashboard!$C$4,12,1),0),TODAY()))-SUMIFS(Transaksi!$F$16:$F$5015,Transaksi!$C$16:$C$5015,$A109,Transaksi!$D$16:$D$5015,"Keluar",Transaksi!$B$16:$B$5015,"&lt;="&amp;MIN(EOMONTH(DATE(Dashboard!$C$4,12,1),0),TODAY()))-SUMIFS(Transaksi!$F$16:$F$5015,Transaksi!$C$16:$C$5015,$A109,Transaksi!$D$16:$D$5015,"Pindah",Transaksi!$B$16:$B$5015,"&lt;="&amp;MIN(EOMONTH(DATE(Dashboard!$C$4,12,1),0),TODAY()))+SUMIFS(Transaksi!$F$16:$F$5015,Transaksi!$E$16:$E$5015,$A109,Transaksi!$D$16:$D$5015,"Pindah",Transaksi!$B$16:$B$5015,"&lt;="&amp;MIN(EOMONTH(DATE(Dashboard!$C$4,12,1),0),TODAY())))</f>
        <v/>
      </c>
    </row>
    <row r="110" ht="15" customHeight="1" s="94">
      <c r="A110" s="93">
        <f>IF(Akun!$A$74="","",Akun!$A$74)</f>
        <v/>
      </c>
      <c r="B110" s="93">
        <f>IF(Akun!$A$74="","",Akun!$B$74)</f>
        <v/>
      </c>
      <c r="C110" s="106">
        <f>IF(OR($A110="",DATE(Dashboard!$C$4,1,1)&gt;TODAY(),ISNA(MATCH($B110,{"Pribadi","Investasi (kas RDN)","Piutang","Pinjaman Mama (dompet)"},0))),"",SUMIFS(Akun!$C$5:$C$104,Akun!$A$5:$A$104,$A110,Akun!$D$5:$D$104,"&lt;="&amp;MIN(EOMONTH(DATE(Dashboard!$C$4,1,1),0),TODAY()))+SUMIFS(Transaksi!$F$16:$F$5015,Transaksi!$C$16:$C$5015,$A110,Transaksi!$D$16:$D$5015,"Masuk",Transaksi!$B$16:$B$5015,"&lt;="&amp;MIN(EOMONTH(DATE(Dashboard!$C$4,1,1),0),TODAY()))-SUMIFS(Transaksi!$F$16:$F$5015,Transaksi!$C$16:$C$5015,$A110,Transaksi!$D$16:$D$5015,"Keluar",Transaksi!$B$16:$B$5015,"&lt;="&amp;MIN(EOMONTH(DATE(Dashboard!$C$4,1,1),0),TODAY()))-SUMIFS(Transaksi!$F$16:$F$5015,Transaksi!$C$16:$C$5015,$A110,Transaksi!$D$16:$D$5015,"Pindah",Transaksi!$B$16:$B$5015,"&lt;="&amp;MIN(EOMONTH(DATE(Dashboard!$C$4,1,1),0),TODAY()))+SUMIFS(Transaksi!$F$16:$F$5015,Transaksi!$E$16:$E$5015,$A110,Transaksi!$D$16:$D$5015,"Pindah",Transaksi!$B$16:$B$5015,"&lt;="&amp;MIN(EOMONTH(DATE(Dashboard!$C$4,1,1),0),TODAY())))</f>
        <v/>
      </c>
      <c r="D110" s="106">
        <f>IF(OR($A110="",DATE(Dashboard!$C$4,2,1)&gt;TODAY(),ISNA(MATCH($B110,{"Pribadi","Investasi (kas RDN)","Piutang","Pinjaman Mama (dompet)"},0))),"",SUMIFS(Akun!$C$5:$C$104,Akun!$A$5:$A$104,$A110,Akun!$D$5:$D$104,"&lt;="&amp;MIN(EOMONTH(DATE(Dashboard!$C$4,2,1),0),TODAY()))+SUMIFS(Transaksi!$F$16:$F$5015,Transaksi!$C$16:$C$5015,$A110,Transaksi!$D$16:$D$5015,"Masuk",Transaksi!$B$16:$B$5015,"&lt;="&amp;MIN(EOMONTH(DATE(Dashboard!$C$4,2,1),0),TODAY()))-SUMIFS(Transaksi!$F$16:$F$5015,Transaksi!$C$16:$C$5015,$A110,Transaksi!$D$16:$D$5015,"Keluar",Transaksi!$B$16:$B$5015,"&lt;="&amp;MIN(EOMONTH(DATE(Dashboard!$C$4,2,1),0),TODAY()))-SUMIFS(Transaksi!$F$16:$F$5015,Transaksi!$C$16:$C$5015,$A110,Transaksi!$D$16:$D$5015,"Pindah",Transaksi!$B$16:$B$5015,"&lt;="&amp;MIN(EOMONTH(DATE(Dashboard!$C$4,2,1),0),TODAY()))+SUMIFS(Transaksi!$F$16:$F$5015,Transaksi!$E$16:$E$5015,$A110,Transaksi!$D$16:$D$5015,"Pindah",Transaksi!$B$16:$B$5015,"&lt;="&amp;MIN(EOMONTH(DATE(Dashboard!$C$4,2,1),0),TODAY())))</f>
        <v/>
      </c>
      <c r="E110" s="106">
        <f>IF(OR($A110="",DATE(Dashboard!$C$4,3,1)&gt;TODAY(),ISNA(MATCH($B110,{"Pribadi","Investasi (kas RDN)","Piutang","Pinjaman Mama (dompet)"},0))),"",SUMIFS(Akun!$C$5:$C$104,Akun!$A$5:$A$104,$A110,Akun!$D$5:$D$104,"&lt;="&amp;MIN(EOMONTH(DATE(Dashboard!$C$4,3,1),0),TODAY()))+SUMIFS(Transaksi!$F$16:$F$5015,Transaksi!$C$16:$C$5015,$A110,Transaksi!$D$16:$D$5015,"Masuk",Transaksi!$B$16:$B$5015,"&lt;="&amp;MIN(EOMONTH(DATE(Dashboard!$C$4,3,1),0),TODAY()))-SUMIFS(Transaksi!$F$16:$F$5015,Transaksi!$C$16:$C$5015,$A110,Transaksi!$D$16:$D$5015,"Keluar",Transaksi!$B$16:$B$5015,"&lt;="&amp;MIN(EOMONTH(DATE(Dashboard!$C$4,3,1),0),TODAY()))-SUMIFS(Transaksi!$F$16:$F$5015,Transaksi!$C$16:$C$5015,$A110,Transaksi!$D$16:$D$5015,"Pindah",Transaksi!$B$16:$B$5015,"&lt;="&amp;MIN(EOMONTH(DATE(Dashboard!$C$4,3,1),0),TODAY()))+SUMIFS(Transaksi!$F$16:$F$5015,Transaksi!$E$16:$E$5015,$A110,Transaksi!$D$16:$D$5015,"Pindah",Transaksi!$B$16:$B$5015,"&lt;="&amp;MIN(EOMONTH(DATE(Dashboard!$C$4,3,1),0),TODAY())))</f>
        <v/>
      </c>
      <c r="F110" s="106">
        <f>IF(OR($A110="",DATE(Dashboard!$C$4,4,1)&gt;TODAY(),ISNA(MATCH($B110,{"Pribadi","Investasi (kas RDN)","Piutang","Pinjaman Mama (dompet)"},0))),"",SUMIFS(Akun!$C$5:$C$104,Akun!$A$5:$A$104,$A110,Akun!$D$5:$D$104,"&lt;="&amp;MIN(EOMONTH(DATE(Dashboard!$C$4,4,1),0),TODAY()))+SUMIFS(Transaksi!$F$16:$F$5015,Transaksi!$C$16:$C$5015,$A110,Transaksi!$D$16:$D$5015,"Masuk",Transaksi!$B$16:$B$5015,"&lt;="&amp;MIN(EOMONTH(DATE(Dashboard!$C$4,4,1),0),TODAY()))-SUMIFS(Transaksi!$F$16:$F$5015,Transaksi!$C$16:$C$5015,$A110,Transaksi!$D$16:$D$5015,"Keluar",Transaksi!$B$16:$B$5015,"&lt;="&amp;MIN(EOMONTH(DATE(Dashboard!$C$4,4,1),0),TODAY()))-SUMIFS(Transaksi!$F$16:$F$5015,Transaksi!$C$16:$C$5015,$A110,Transaksi!$D$16:$D$5015,"Pindah",Transaksi!$B$16:$B$5015,"&lt;="&amp;MIN(EOMONTH(DATE(Dashboard!$C$4,4,1),0),TODAY()))+SUMIFS(Transaksi!$F$16:$F$5015,Transaksi!$E$16:$E$5015,$A110,Transaksi!$D$16:$D$5015,"Pindah",Transaksi!$B$16:$B$5015,"&lt;="&amp;MIN(EOMONTH(DATE(Dashboard!$C$4,4,1),0),TODAY())))</f>
        <v/>
      </c>
      <c r="G110" s="106">
        <f>IF(OR($A110="",DATE(Dashboard!$C$4,5,1)&gt;TODAY(),ISNA(MATCH($B110,{"Pribadi","Investasi (kas RDN)","Piutang","Pinjaman Mama (dompet)"},0))),"",SUMIFS(Akun!$C$5:$C$104,Akun!$A$5:$A$104,$A110,Akun!$D$5:$D$104,"&lt;="&amp;MIN(EOMONTH(DATE(Dashboard!$C$4,5,1),0),TODAY()))+SUMIFS(Transaksi!$F$16:$F$5015,Transaksi!$C$16:$C$5015,$A110,Transaksi!$D$16:$D$5015,"Masuk",Transaksi!$B$16:$B$5015,"&lt;="&amp;MIN(EOMONTH(DATE(Dashboard!$C$4,5,1),0),TODAY()))-SUMIFS(Transaksi!$F$16:$F$5015,Transaksi!$C$16:$C$5015,$A110,Transaksi!$D$16:$D$5015,"Keluar",Transaksi!$B$16:$B$5015,"&lt;="&amp;MIN(EOMONTH(DATE(Dashboard!$C$4,5,1),0),TODAY()))-SUMIFS(Transaksi!$F$16:$F$5015,Transaksi!$C$16:$C$5015,$A110,Transaksi!$D$16:$D$5015,"Pindah",Transaksi!$B$16:$B$5015,"&lt;="&amp;MIN(EOMONTH(DATE(Dashboard!$C$4,5,1),0),TODAY()))+SUMIFS(Transaksi!$F$16:$F$5015,Transaksi!$E$16:$E$5015,$A110,Transaksi!$D$16:$D$5015,"Pindah",Transaksi!$B$16:$B$5015,"&lt;="&amp;MIN(EOMONTH(DATE(Dashboard!$C$4,5,1),0),TODAY())))</f>
        <v/>
      </c>
      <c r="H110" s="106">
        <f>IF(OR($A110="",DATE(Dashboard!$C$4,6,1)&gt;TODAY(),ISNA(MATCH($B110,{"Pribadi","Investasi (kas RDN)","Piutang","Pinjaman Mama (dompet)"},0))),"",SUMIFS(Akun!$C$5:$C$104,Akun!$A$5:$A$104,$A110,Akun!$D$5:$D$104,"&lt;="&amp;MIN(EOMONTH(DATE(Dashboard!$C$4,6,1),0),TODAY()))+SUMIFS(Transaksi!$F$16:$F$5015,Transaksi!$C$16:$C$5015,$A110,Transaksi!$D$16:$D$5015,"Masuk",Transaksi!$B$16:$B$5015,"&lt;="&amp;MIN(EOMONTH(DATE(Dashboard!$C$4,6,1),0),TODAY()))-SUMIFS(Transaksi!$F$16:$F$5015,Transaksi!$C$16:$C$5015,$A110,Transaksi!$D$16:$D$5015,"Keluar",Transaksi!$B$16:$B$5015,"&lt;="&amp;MIN(EOMONTH(DATE(Dashboard!$C$4,6,1),0),TODAY()))-SUMIFS(Transaksi!$F$16:$F$5015,Transaksi!$C$16:$C$5015,$A110,Transaksi!$D$16:$D$5015,"Pindah",Transaksi!$B$16:$B$5015,"&lt;="&amp;MIN(EOMONTH(DATE(Dashboard!$C$4,6,1),0),TODAY()))+SUMIFS(Transaksi!$F$16:$F$5015,Transaksi!$E$16:$E$5015,$A110,Transaksi!$D$16:$D$5015,"Pindah",Transaksi!$B$16:$B$5015,"&lt;="&amp;MIN(EOMONTH(DATE(Dashboard!$C$4,6,1),0),TODAY())))</f>
        <v/>
      </c>
      <c r="I110" s="106">
        <f>IF(OR($A110="",DATE(Dashboard!$C$4,7,1)&gt;TODAY(),ISNA(MATCH($B110,{"Pribadi","Investasi (kas RDN)","Piutang","Pinjaman Mama (dompet)"},0))),"",SUMIFS(Akun!$C$5:$C$104,Akun!$A$5:$A$104,$A110,Akun!$D$5:$D$104,"&lt;="&amp;MIN(EOMONTH(DATE(Dashboard!$C$4,7,1),0),TODAY()))+SUMIFS(Transaksi!$F$16:$F$5015,Transaksi!$C$16:$C$5015,$A110,Transaksi!$D$16:$D$5015,"Masuk",Transaksi!$B$16:$B$5015,"&lt;="&amp;MIN(EOMONTH(DATE(Dashboard!$C$4,7,1),0),TODAY()))-SUMIFS(Transaksi!$F$16:$F$5015,Transaksi!$C$16:$C$5015,$A110,Transaksi!$D$16:$D$5015,"Keluar",Transaksi!$B$16:$B$5015,"&lt;="&amp;MIN(EOMONTH(DATE(Dashboard!$C$4,7,1),0),TODAY()))-SUMIFS(Transaksi!$F$16:$F$5015,Transaksi!$C$16:$C$5015,$A110,Transaksi!$D$16:$D$5015,"Pindah",Transaksi!$B$16:$B$5015,"&lt;="&amp;MIN(EOMONTH(DATE(Dashboard!$C$4,7,1),0),TODAY()))+SUMIFS(Transaksi!$F$16:$F$5015,Transaksi!$E$16:$E$5015,$A110,Transaksi!$D$16:$D$5015,"Pindah",Transaksi!$B$16:$B$5015,"&lt;="&amp;MIN(EOMONTH(DATE(Dashboard!$C$4,7,1),0),TODAY())))</f>
        <v/>
      </c>
      <c r="J110" s="106">
        <f>IF(OR($A110="",DATE(Dashboard!$C$4,8,1)&gt;TODAY(),ISNA(MATCH($B110,{"Pribadi","Investasi (kas RDN)","Piutang","Pinjaman Mama (dompet)"},0))),"",SUMIFS(Akun!$C$5:$C$104,Akun!$A$5:$A$104,$A110,Akun!$D$5:$D$104,"&lt;="&amp;MIN(EOMONTH(DATE(Dashboard!$C$4,8,1),0),TODAY()))+SUMIFS(Transaksi!$F$16:$F$5015,Transaksi!$C$16:$C$5015,$A110,Transaksi!$D$16:$D$5015,"Masuk",Transaksi!$B$16:$B$5015,"&lt;="&amp;MIN(EOMONTH(DATE(Dashboard!$C$4,8,1),0),TODAY()))-SUMIFS(Transaksi!$F$16:$F$5015,Transaksi!$C$16:$C$5015,$A110,Transaksi!$D$16:$D$5015,"Keluar",Transaksi!$B$16:$B$5015,"&lt;="&amp;MIN(EOMONTH(DATE(Dashboard!$C$4,8,1),0),TODAY()))-SUMIFS(Transaksi!$F$16:$F$5015,Transaksi!$C$16:$C$5015,$A110,Transaksi!$D$16:$D$5015,"Pindah",Transaksi!$B$16:$B$5015,"&lt;="&amp;MIN(EOMONTH(DATE(Dashboard!$C$4,8,1),0),TODAY()))+SUMIFS(Transaksi!$F$16:$F$5015,Transaksi!$E$16:$E$5015,$A110,Transaksi!$D$16:$D$5015,"Pindah",Transaksi!$B$16:$B$5015,"&lt;="&amp;MIN(EOMONTH(DATE(Dashboard!$C$4,8,1),0),TODAY())))</f>
        <v/>
      </c>
      <c r="K110" s="106">
        <f>IF(OR($A110="",DATE(Dashboard!$C$4,9,1)&gt;TODAY(),ISNA(MATCH($B110,{"Pribadi","Investasi (kas RDN)","Piutang","Pinjaman Mama (dompet)"},0))),"",SUMIFS(Akun!$C$5:$C$104,Akun!$A$5:$A$104,$A110,Akun!$D$5:$D$104,"&lt;="&amp;MIN(EOMONTH(DATE(Dashboard!$C$4,9,1),0),TODAY()))+SUMIFS(Transaksi!$F$16:$F$5015,Transaksi!$C$16:$C$5015,$A110,Transaksi!$D$16:$D$5015,"Masuk",Transaksi!$B$16:$B$5015,"&lt;="&amp;MIN(EOMONTH(DATE(Dashboard!$C$4,9,1),0),TODAY()))-SUMIFS(Transaksi!$F$16:$F$5015,Transaksi!$C$16:$C$5015,$A110,Transaksi!$D$16:$D$5015,"Keluar",Transaksi!$B$16:$B$5015,"&lt;="&amp;MIN(EOMONTH(DATE(Dashboard!$C$4,9,1),0),TODAY()))-SUMIFS(Transaksi!$F$16:$F$5015,Transaksi!$C$16:$C$5015,$A110,Transaksi!$D$16:$D$5015,"Pindah",Transaksi!$B$16:$B$5015,"&lt;="&amp;MIN(EOMONTH(DATE(Dashboard!$C$4,9,1),0),TODAY()))+SUMIFS(Transaksi!$F$16:$F$5015,Transaksi!$E$16:$E$5015,$A110,Transaksi!$D$16:$D$5015,"Pindah",Transaksi!$B$16:$B$5015,"&lt;="&amp;MIN(EOMONTH(DATE(Dashboard!$C$4,9,1),0),TODAY())))</f>
        <v/>
      </c>
      <c r="L110" s="106">
        <f>IF(OR($A110="",DATE(Dashboard!$C$4,10,1)&gt;TODAY(),ISNA(MATCH($B110,{"Pribadi","Investasi (kas RDN)","Piutang","Pinjaman Mama (dompet)"},0))),"",SUMIFS(Akun!$C$5:$C$104,Akun!$A$5:$A$104,$A110,Akun!$D$5:$D$104,"&lt;="&amp;MIN(EOMONTH(DATE(Dashboard!$C$4,10,1),0),TODAY()))+SUMIFS(Transaksi!$F$16:$F$5015,Transaksi!$C$16:$C$5015,$A110,Transaksi!$D$16:$D$5015,"Masuk",Transaksi!$B$16:$B$5015,"&lt;="&amp;MIN(EOMONTH(DATE(Dashboard!$C$4,10,1),0),TODAY()))-SUMIFS(Transaksi!$F$16:$F$5015,Transaksi!$C$16:$C$5015,$A110,Transaksi!$D$16:$D$5015,"Keluar",Transaksi!$B$16:$B$5015,"&lt;="&amp;MIN(EOMONTH(DATE(Dashboard!$C$4,10,1),0),TODAY()))-SUMIFS(Transaksi!$F$16:$F$5015,Transaksi!$C$16:$C$5015,$A110,Transaksi!$D$16:$D$5015,"Pindah",Transaksi!$B$16:$B$5015,"&lt;="&amp;MIN(EOMONTH(DATE(Dashboard!$C$4,10,1),0),TODAY()))+SUMIFS(Transaksi!$F$16:$F$5015,Transaksi!$E$16:$E$5015,$A110,Transaksi!$D$16:$D$5015,"Pindah",Transaksi!$B$16:$B$5015,"&lt;="&amp;MIN(EOMONTH(DATE(Dashboard!$C$4,10,1),0),TODAY())))</f>
        <v/>
      </c>
      <c r="M110" s="106">
        <f>IF(OR($A110="",DATE(Dashboard!$C$4,11,1)&gt;TODAY(),ISNA(MATCH($B110,{"Pribadi","Investasi (kas RDN)","Piutang","Pinjaman Mama (dompet)"},0))),"",SUMIFS(Akun!$C$5:$C$104,Akun!$A$5:$A$104,$A110,Akun!$D$5:$D$104,"&lt;="&amp;MIN(EOMONTH(DATE(Dashboard!$C$4,11,1),0),TODAY()))+SUMIFS(Transaksi!$F$16:$F$5015,Transaksi!$C$16:$C$5015,$A110,Transaksi!$D$16:$D$5015,"Masuk",Transaksi!$B$16:$B$5015,"&lt;="&amp;MIN(EOMONTH(DATE(Dashboard!$C$4,11,1),0),TODAY()))-SUMIFS(Transaksi!$F$16:$F$5015,Transaksi!$C$16:$C$5015,$A110,Transaksi!$D$16:$D$5015,"Keluar",Transaksi!$B$16:$B$5015,"&lt;="&amp;MIN(EOMONTH(DATE(Dashboard!$C$4,11,1),0),TODAY()))-SUMIFS(Transaksi!$F$16:$F$5015,Transaksi!$C$16:$C$5015,$A110,Transaksi!$D$16:$D$5015,"Pindah",Transaksi!$B$16:$B$5015,"&lt;="&amp;MIN(EOMONTH(DATE(Dashboard!$C$4,11,1),0),TODAY()))+SUMIFS(Transaksi!$F$16:$F$5015,Transaksi!$E$16:$E$5015,$A110,Transaksi!$D$16:$D$5015,"Pindah",Transaksi!$B$16:$B$5015,"&lt;="&amp;MIN(EOMONTH(DATE(Dashboard!$C$4,11,1),0),TODAY())))</f>
        <v/>
      </c>
      <c r="N110" s="106">
        <f>IF(OR($A110="",DATE(Dashboard!$C$4,12,1)&gt;TODAY(),ISNA(MATCH($B110,{"Pribadi","Investasi (kas RDN)","Piutang","Pinjaman Mama (dompet)"},0))),"",SUMIFS(Akun!$C$5:$C$104,Akun!$A$5:$A$104,$A110,Akun!$D$5:$D$104,"&lt;="&amp;MIN(EOMONTH(DATE(Dashboard!$C$4,12,1),0),TODAY()))+SUMIFS(Transaksi!$F$16:$F$5015,Transaksi!$C$16:$C$5015,$A110,Transaksi!$D$16:$D$5015,"Masuk",Transaksi!$B$16:$B$5015,"&lt;="&amp;MIN(EOMONTH(DATE(Dashboard!$C$4,12,1),0),TODAY()))-SUMIFS(Transaksi!$F$16:$F$5015,Transaksi!$C$16:$C$5015,$A110,Transaksi!$D$16:$D$5015,"Keluar",Transaksi!$B$16:$B$5015,"&lt;="&amp;MIN(EOMONTH(DATE(Dashboard!$C$4,12,1),0),TODAY()))-SUMIFS(Transaksi!$F$16:$F$5015,Transaksi!$C$16:$C$5015,$A110,Transaksi!$D$16:$D$5015,"Pindah",Transaksi!$B$16:$B$5015,"&lt;="&amp;MIN(EOMONTH(DATE(Dashboard!$C$4,12,1),0),TODAY()))+SUMIFS(Transaksi!$F$16:$F$5015,Transaksi!$E$16:$E$5015,$A110,Transaksi!$D$16:$D$5015,"Pindah",Transaksi!$B$16:$B$5015,"&lt;="&amp;MIN(EOMONTH(DATE(Dashboard!$C$4,12,1),0),TODAY())))</f>
        <v/>
      </c>
    </row>
    <row r="111" ht="15" customHeight="1" s="94">
      <c r="A111" s="93">
        <f>IF(Akun!$A$75="","",Akun!$A$75)</f>
        <v/>
      </c>
      <c r="B111" s="93">
        <f>IF(Akun!$A$75="","",Akun!$B$75)</f>
        <v/>
      </c>
      <c r="C111" s="106">
        <f>IF(OR($A111="",DATE(Dashboard!$C$4,1,1)&gt;TODAY(),ISNA(MATCH($B111,{"Pribadi","Investasi (kas RDN)","Piutang","Pinjaman Mama (dompet)"},0))),"",SUMIFS(Akun!$C$5:$C$104,Akun!$A$5:$A$104,$A111,Akun!$D$5:$D$104,"&lt;="&amp;MIN(EOMONTH(DATE(Dashboard!$C$4,1,1),0),TODAY()))+SUMIFS(Transaksi!$F$16:$F$5015,Transaksi!$C$16:$C$5015,$A111,Transaksi!$D$16:$D$5015,"Masuk",Transaksi!$B$16:$B$5015,"&lt;="&amp;MIN(EOMONTH(DATE(Dashboard!$C$4,1,1),0),TODAY()))-SUMIFS(Transaksi!$F$16:$F$5015,Transaksi!$C$16:$C$5015,$A111,Transaksi!$D$16:$D$5015,"Keluar",Transaksi!$B$16:$B$5015,"&lt;="&amp;MIN(EOMONTH(DATE(Dashboard!$C$4,1,1),0),TODAY()))-SUMIFS(Transaksi!$F$16:$F$5015,Transaksi!$C$16:$C$5015,$A111,Transaksi!$D$16:$D$5015,"Pindah",Transaksi!$B$16:$B$5015,"&lt;="&amp;MIN(EOMONTH(DATE(Dashboard!$C$4,1,1),0),TODAY()))+SUMIFS(Transaksi!$F$16:$F$5015,Transaksi!$E$16:$E$5015,$A111,Transaksi!$D$16:$D$5015,"Pindah",Transaksi!$B$16:$B$5015,"&lt;="&amp;MIN(EOMONTH(DATE(Dashboard!$C$4,1,1),0),TODAY())))</f>
        <v/>
      </c>
      <c r="D111" s="106">
        <f>IF(OR($A111="",DATE(Dashboard!$C$4,2,1)&gt;TODAY(),ISNA(MATCH($B111,{"Pribadi","Investasi (kas RDN)","Piutang","Pinjaman Mama (dompet)"},0))),"",SUMIFS(Akun!$C$5:$C$104,Akun!$A$5:$A$104,$A111,Akun!$D$5:$D$104,"&lt;="&amp;MIN(EOMONTH(DATE(Dashboard!$C$4,2,1),0),TODAY()))+SUMIFS(Transaksi!$F$16:$F$5015,Transaksi!$C$16:$C$5015,$A111,Transaksi!$D$16:$D$5015,"Masuk",Transaksi!$B$16:$B$5015,"&lt;="&amp;MIN(EOMONTH(DATE(Dashboard!$C$4,2,1),0),TODAY()))-SUMIFS(Transaksi!$F$16:$F$5015,Transaksi!$C$16:$C$5015,$A111,Transaksi!$D$16:$D$5015,"Keluar",Transaksi!$B$16:$B$5015,"&lt;="&amp;MIN(EOMONTH(DATE(Dashboard!$C$4,2,1),0),TODAY()))-SUMIFS(Transaksi!$F$16:$F$5015,Transaksi!$C$16:$C$5015,$A111,Transaksi!$D$16:$D$5015,"Pindah",Transaksi!$B$16:$B$5015,"&lt;="&amp;MIN(EOMONTH(DATE(Dashboard!$C$4,2,1),0),TODAY()))+SUMIFS(Transaksi!$F$16:$F$5015,Transaksi!$E$16:$E$5015,$A111,Transaksi!$D$16:$D$5015,"Pindah",Transaksi!$B$16:$B$5015,"&lt;="&amp;MIN(EOMONTH(DATE(Dashboard!$C$4,2,1),0),TODAY())))</f>
        <v/>
      </c>
      <c r="E111" s="106">
        <f>IF(OR($A111="",DATE(Dashboard!$C$4,3,1)&gt;TODAY(),ISNA(MATCH($B111,{"Pribadi","Investasi (kas RDN)","Piutang","Pinjaman Mama (dompet)"},0))),"",SUMIFS(Akun!$C$5:$C$104,Akun!$A$5:$A$104,$A111,Akun!$D$5:$D$104,"&lt;="&amp;MIN(EOMONTH(DATE(Dashboard!$C$4,3,1),0),TODAY()))+SUMIFS(Transaksi!$F$16:$F$5015,Transaksi!$C$16:$C$5015,$A111,Transaksi!$D$16:$D$5015,"Masuk",Transaksi!$B$16:$B$5015,"&lt;="&amp;MIN(EOMONTH(DATE(Dashboard!$C$4,3,1),0),TODAY()))-SUMIFS(Transaksi!$F$16:$F$5015,Transaksi!$C$16:$C$5015,$A111,Transaksi!$D$16:$D$5015,"Keluar",Transaksi!$B$16:$B$5015,"&lt;="&amp;MIN(EOMONTH(DATE(Dashboard!$C$4,3,1),0),TODAY()))-SUMIFS(Transaksi!$F$16:$F$5015,Transaksi!$C$16:$C$5015,$A111,Transaksi!$D$16:$D$5015,"Pindah",Transaksi!$B$16:$B$5015,"&lt;="&amp;MIN(EOMONTH(DATE(Dashboard!$C$4,3,1),0),TODAY()))+SUMIFS(Transaksi!$F$16:$F$5015,Transaksi!$E$16:$E$5015,$A111,Transaksi!$D$16:$D$5015,"Pindah",Transaksi!$B$16:$B$5015,"&lt;="&amp;MIN(EOMONTH(DATE(Dashboard!$C$4,3,1),0),TODAY())))</f>
        <v/>
      </c>
      <c r="F111" s="106">
        <f>IF(OR($A111="",DATE(Dashboard!$C$4,4,1)&gt;TODAY(),ISNA(MATCH($B111,{"Pribadi","Investasi (kas RDN)","Piutang","Pinjaman Mama (dompet)"},0))),"",SUMIFS(Akun!$C$5:$C$104,Akun!$A$5:$A$104,$A111,Akun!$D$5:$D$104,"&lt;="&amp;MIN(EOMONTH(DATE(Dashboard!$C$4,4,1),0),TODAY()))+SUMIFS(Transaksi!$F$16:$F$5015,Transaksi!$C$16:$C$5015,$A111,Transaksi!$D$16:$D$5015,"Masuk",Transaksi!$B$16:$B$5015,"&lt;="&amp;MIN(EOMONTH(DATE(Dashboard!$C$4,4,1),0),TODAY()))-SUMIFS(Transaksi!$F$16:$F$5015,Transaksi!$C$16:$C$5015,$A111,Transaksi!$D$16:$D$5015,"Keluar",Transaksi!$B$16:$B$5015,"&lt;="&amp;MIN(EOMONTH(DATE(Dashboard!$C$4,4,1),0),TODAY()))-SUMIFS(Transaksi!$F$16:$F$5015,Transaksi!$C$16:$C$5015,$A111,Transaksi!$D$16:$D$5015,"Pindah",Transaksi!$B$16:$B$5015,"&lt;="&amp;MIN(EOMONTH(DATE(Dashboard!$C$4,4,1),0),TODAY()))+SUMIFS(Transaksi!$F$16:$F$5015,Transaksi!$E$16:$E$5015,$A111,Transaksi!$D$16:$D$5015,"Pindah",Transaksi!$B$16:$B$5015,"&lt;="&amp;MIN(EOMONTH(DATE(Dashboard!$C$4,4,1),0),TODAY())))</f>
        <v/>
      </c>
      <c r="G111" s="106">
        <f>IF(OR($A111="",DATE(Dashboard!$C$4,5,1)&gt;TODAY(),ISNA(MATCH($B111,{"Pribadi","Investasi (kas RDN)","Piutang","Pinjaman Mama (dompet)"},0))),"",SUMIFS(Akun!$C$5:$C$104,Akun!$A$5:$A$104,$A111,Akun!$D$5:$D$104,"&lt;="&amp;MIN(EOMONTH(DATE(Dashboard!$C$4,5,1),0),TODAY()))+SUMIFS(Transaksi!$F$16:$F$5015,Transaksi!$C$16:$C$5015,$A111,Transaksi!$D$16:$D$5015,"Masuk",Transaksi!$B$16:$B$5015,"&lt;="&amp;MIN(EOMONTH(DATE(Dashboard!$C$4,5,1),0),TODAY()))-SUMIFS(Transaksi!$F$16:$F$5015,Transaksi!$C$16:$C$5015,$A111,Transaksi!$D$16:$D$5015,"Keluar",Transaksi!$B$16:$B$5015,"&lt;="&amp;MIN(EOMONTH(DATE(Dashboard!$C$4,5,1),0),TODAY()))-SUMIFS(Transaksi!$F$16:$F$5015,Transaksi!$C$16:$C$5015,$A111,Transaksi!$D$16:$D$5015,"Pindah",Transaksi!$B$16:$B$5015,"&lt;="&amp;MIN(EOMONTH(DATE(Dashboard!$C$4,5,1),0),TODAY()))+SUMIFS(Transaksi!$F$16:$F$5015,Transaksi!$E$16:$E$5015,$A111,Transaksi!$D$16:$D$5015,"Pindah",Transaksi!$B$16:$B$5015,"&lt;="&amp;MIN(EOMONTH(DATE(Dashboard!$C$4,5,1),0),TODAY())))</f>
        <v/>
      </c>
      <c r="H111" s="106">
        <f>IF(OR($A111="",DATE(Dashboard!$C$4,6,1)&gt;TODAY(),ISNA(MATCH($B111,{"Pribadi","Investasi (kas RDN)","Piutang","Pinjaman Mama (dompet)"},0))),"",SUMIFS(Akun!$C$5:$C$104,Akun!$A$5:$A$104,$A111,Akun!$D$5:$D$104,"&lt;="&amp;MIN(EOMONTH(DATE(Dashboard!$C$4,6,1),0),TODAY()))+SUMIFS(Transaksi!$F$16:$F$5015,Transaksi!$C$16:$C$5015,$A111,Transaksi!$D$16:$D$5015,"Masuk",Transaksi!$B$16:$B$5015,"&lt;="&amp;MIN(EOMONTH(DATE(Dashboard!$C$4,6,1),0),TODAY()))-SUMIFS(Transaksi!$F$16:$F$5015,Transaksi!$C$16:$C$5015,$A111,Transaksi!$D$16:$D$5015,"Keluar",Transaksi!$B$16:$B$5015,"&lt;="&amp;MIN(EOMONTH(DATE(Dashboard!$C$4,6,1),0),TODAY()))-SUMIFS(Transaksi!$F$16:$F$5015,Transaksi!$C$16:$C$5015,$A111,Transaksi!$D$16:$D$5015,"Pindah",Transaksi!$B$16:$B$5015,"&lt;="&amp;MIN(EOMONTH(DATE(Dashboard!$C$4,6,1),0),TODAY()))+SUMIFS(Transaksi!$F$16:$F$5015,Transaksi!$E$16:$E$5015,$A111,Transaksi!$D$16:$D$5015,"Pindah",Transaksi!$B$16:$B$5015,"&lt;="&amp;MIN(EOMONTH(DATE(Dashboard!$C$4,6,1),0),TODAY())))</f>
        <v/>
      </c>
      <c r="I111" s="106">
        <f>IF(OR($A111="",DATE(Dashboard!$C$4,7,1)&gt;TODAY(),ISNA(MATCH($B111,{"Pribadi","Investasi (kas RDN)","Piutang","Pinjaman Mama (dompet)"},0))),"",SUMIFS(Akun!$C$5:$C$104,Akun!$A$5:$A$104,$A111,Akun!$D$5:$D$104,"&lt;="&amp;MIN(EOMONTH(DATE(Dashboard!$C$4,7,1),0),TODAY()))+SUMIFS(Transaksi!$F$16:$F$5015,Transaksi!$C$16:$C$5015,$A111,Transaksi!$D$16:$D$5015,"Masuk",Transaksi!$B$16:$B$5015,"&lt;="&amp;MIN(EOMONTH(DATE(Dashboard!$C$4,7,1),0),TODAY()))-SUMIFS(Transaksi!$F$16:$F$5015,Transaksi!$C$16:$C$5015,$A111,Transaksi!$D$16:$D$5015,"Keluar",Transaksi!$B$16:$B$5015,"&lt;="&amp;MIN(EOMONTH(DATE(Dashboard!$C$4,7,1),0),TODAY()))-SUMIFS(Transaksi!$F$16:$F$5015,Transaksi!$C$16:$C$5015,$A111,Transaksi!$D$16:$D$5015,"Pindah",Transaksi!$B$16:$B$5015,"&lt;="&amp;MIN(EOMONTH(DATE(Dashboard!$C$4,7,1),0),TODAY()))+SUMIFS(Transaksi!$F$16:$F$5015,Transaksi!$E$16:$E$5015,$A111,Transaksi!$D$16:$D$5015,"Pindah",Transaksi!$B$16:$B$5015,"&lt;="&amp;MIN(EOMONTH(DATE(Dashboard!$C$4,7,1),0),TODAY())))</f>
        <v/>
      </c>
      <c r="J111" s="106">
        <f>IF(OR($A111="",DATE(Dashboard!$C$4,8,1)&gt;TODAY(),ISNA(MATCH($B111,{"Pribadi","Investasi (kas RDN)","Piutang","Pinjaman Mama (dompet)"},0))),"",SUMIFS(Akun!$C$5:$C$104,Akun!$A$5:$A$104,$A111,Akun!$D$5:$D$104,"&lt;="&amp;MIN(EOMONTH(DATE(Dashboard!$C$4,8,1),0),TODAY()))+SUMIFS(Transaksi!$F$16:$F$5015,Transaksi!$C$16:$C$5015,$A111,Transaksi!$D$16:$D$5015,"Masuk",Transaksi!$B$16:$B$5015,"&lt;="&amp;MIN(EOMONTH(DATE(Dashboard!$C$4,8,1),0),TODAY()))-SUMIFS(Transaksi!$F$16:$F$5015,Transaksi!$C$16:$C$5015,$A111,Transaksi!$D$16:$D$5015,"Keluar",Transaksi!$B$16:$B$5015,"&lt;="&amp;MIN(EOMONTH(DATE(Dashboard!$C$4,8,1),0),TODAY()))-SUMIFS(Transaksi!$F$16:$F$5015,Transaksi!$C$16:$C$5015,$A111,Transaksi!$D$16:$D$5015,"Pindah",Transaksi!$B$16:$B$5015,"&lt;="&amp;MIN(EOMONTH(DATE(Dashboard!$C$4,8,1),0),TODAY()))+SUMIFS(Transaksi!$F$16:$F$5015,Transaksi!$E$16:$E$5015,$A111,Transaksi!$D$16:$D$5015,"Pindah",Transaksi!$B$16:$B$5015,"&lt;="&amp;MIN(EOMONTH(DATE(Dashboard!$C$4,8,1),0),TODAY())))</f>
        <v/>
      </c>
      <c r="K111" s="106">
        <f>IF(OR($A111="",DATE(Dashboard!$C$4,9,1)&gt;TODAY(),ISNA(MATCH($B111,{"Pribadi","Investasi (kas RDN)","Piutang","Pinjaman Mama (dompet)"},0))),"",SUMIFS(Akun!$C$5:$C$104,Akun!$A$5:$A$104,$A111,Akun!$D$5:$D$104,"&lt;="&amp;MIN(EOMONTH(DATE(Dashboard!$C$4,9,1),0),TODAY()))+SUMIFS(Transaksi!$F$16:$F$5015,Transaksi!$C$16:$C$5015,$A111,Transaksi!$D$16:$D$5015,"Masuk",Transaksi!$B$16:$B$5015,"&lt;="&amp;MIN(EOMONTH(DATE(Dashboard!$C$4,9,1),0),TODAY()))-SUMIFS(Transaksi!$F$16:$F$5015,Transaksi!$C$16:$C$5015,$A111,Transaksi!$D$16:$D$5015,"Keluar",Transaksi!$B$16:$B$5015,"&lt;="&amp;MIN(EOMONTH(DATE(Dashboard!$C$4,9,1),0),TODAY()))-SUMIFS(Transaksi!$F$16:$F$5015,Transaksi!$C$16:$C$5015,$A111,Transaksi!$D$16:$D$5015,"Pindah",Transaksi!$B$16:$B$5015,"&lt;="&amp;MIN(EOMONTH(DATE(Dashboard!$C$4,9,1),0),TODAY()))+SUMIFS(Transaksi!$F$16:$F$5015,Transaksi!$E$16:$E$5015,$A111,Transaksi!$D$16:$D$5015,"Pindah",Transaksi!$B$16:$B$5015,"&lt;="&amp;MIN(EOMONTH(DATE(Dashboard!$C$4,9,1),0),TODAY())))</f>
        <v/>
      </c>
      <c r="L111" s="106">
        <f>IF(OR($A111="",DATE(Dashboard!$C$4,10,1)&gt;TODAY(),ISNA(MATCH($B111,{"Pribadi","Investasi (kas RDN)","Piutang","Pinjaman Mama (dompet)"},0))),"",SUMIFS(Akun!$C$5:$C$104,Akun!$A$5:$A$104,$A111,Akun!$D$5:$D$104,"&lt;="&amp;MIN(EOMONTH(DATE(Dashboard!$C$4,10,1),0),TODAY()))+SUMIFS(Transaksi!$F$16:$F$5015,Transaksi!$C$16:$C$5015,$A111,Transaksi!$D$16:$D$5015,"Masuk",Transaksi!$B$16:$B$5015,"&lt;="&amp;MIN(EOMONTH(DATE(Dashboard!$C$4,10,1),0),TODAY()))-SUMIFS(Transaksi!$F$16:$F$5015,Transaksi!$C$16:$C$5015,$A111,Transaksi!$D$16:$D$5015,"Keluar",Transaksi!$B$16:$B$5015,"&lt;="&amp;MIN(EOMONTH(DATE(Dashboard!$C$4,10,1),0),TODAY()))-SUMIFS(Transaksi!$F$16:$F$5015,Transaksi!$C$16:$C$5015,$A111,Transaksi!$D$16:$D$5015,"Pindah",Transaksi!$B$16:$B$5015,"&lt;="&amp;MIN(EOMONTH(DATE(Dashboard!$C$4,10,1),0),TODAY()))+SUMIFS(Transaksi!$F$16:$F$5015,Transaksi!$E$16:$E$5015,$A111,Transaksi!$D$16:$D$5015,"Pindah",Transaksi!$B$16:$B$5015,"&lt;="&amp;MIN(EOMONTH(DATE(Dashboard!$C$4,10,1),0),TODAY())))</f>
        <v/>
      </c>
      <c r="M111" s="106">
        <f>IF(OR($A111="",DATE(Dashboard!$C$4,11,1)&gt;TODAY(),ISNA(MATCH($B111,{"Pribadi","Investasi (kas RDN)","Piutang","Pinjaman Mama (dompet)"},0))),"",SUMIFS(Akun!$C$5:$C$104,Akun!$A$5:$A$104,$A111,Akun!$D$5:$D$104,"&lt;="&amp;MIN(EOMONTH(DATE(Dashboard!$C$4,11,1),0),TODAY()))+SUMIFS(Transaksi!$F$16:$F$5015,Transaksi!$C$16:$C$5015,$A111,Transaksi!$D$16:$D$5015,"Masuk",Transaksi!$B$16:$B$5015,"&lt;="&amp;MIN(EOMONTH(DATE(Dashboard!$C$4,11,1),0),TODAY()))-SUMIFS(Transaksi!$F$16:$F$5015,Transaksi!$C$16:$C$5015,$A111,Transaksi!$D$16:$D$5015,"Keluar",Transaksi!$B$16:$B$5015,"&lt;="&amp;MIN(EOMONTH(DATE(Dashboard!$C$4,11,1),0),TODAY()))-SUMIFS(Transaksi!$F$16:$F$5015,Transaksi!$C$16:$C$5015,$A111,Transaksi!$D$16:$D$5015,"Pindah",Transaksi!$B$16:$B$5015,"&lt;="&amp;MIN(EOMONTH(DATE(Dashboard!$C$4,11,1),0),TODAY()))+SUMIFS(Transaksi!$F$16:$F$5015,Transaksi!$E$16:$E$5015,$A111,Transaksi!$D$16:$D$5015,"Pindah",Transaksi!$B$16:$B$5015,"&lt;="&amp;MIN(EOMONTH(DATE(Dashboard!$C$4,11,1),0),TODAY())))</f>
        <v/>
      </c>
      <c r="N111" s="106">
        <f>IF(OR($A111="",DATE(Dashboard!$C$4,12,1)&gt;TODAY(),ISNA(MATCH($B111,{"Pribadi","Investasi (kas RDN)","Piutang","Pinjaman Mama (dompet)"},0))),"",SUMIFS(Akun!$C$5:$C$104,Akun!$A$5:$A$104,$A111,Akun!$D$5:$D$104,"&lt;="&amp;MIN(EOMONTH(DATE(Dashboard!$C$4,12,1),0),TODAY()))+SUMIFS(Transaksi!$F$16:$F$5015,Transaksi!$C$16:$C$5015,$A111,Transaksi!$D$16:$D$5015,"Masuk",Transaksi!$B$16:$B$5015,"&lt;="&amp;MIN(EOMONTH(DATE(Dashboard!$C$4,12,1),0),TODAY()))-SUMIFS(Transaksi!$F$16:$F$5015,Transaksi!$C$16:$C$5015,$A111,Transaksi!$D$16:$D$5015,"Keluar",Transaksi!$B$16:$B$5015,"&lt;="&amp;MIN(EOMONTH(DATE(Dashboard!$C$4,12,1),0),TODAY()))-SUMIFS(Transaksi!$F$16:$F$5015,Transaksi!$C$16:$C$5015,$A111,Transaksi!$D$16:$D$5015,"Pindah",Transaksi!$B$16:$B$5015,"&lt;="&amp;MIN(EOMONTH(DATE(Dashboard!$C$4,12,1),0),TODAY()))+SUMIFS(Transaksi!$F$16:$F$5015,Transaksi!$E$16:$E$5015,$A111,Transaksi!$D$16:$D$5015,"Pindah",Transaksi!$B$16:$B$5015,"&lt;="&amp;MIN(EOMONTH(DATE(Dashboard!$C$4,12,1),0),TODAY())))</f>
        <v/>
      </c>
    </row>
    <row r="112" ht="15" customHeight="1" s="94">
      <c r="A112" s="93">
        <f>IF(Akun!$A$76="","",Akun!$A$76)</f>
        <v/>
      </c>
      <c r="B112" s="93">
        <f>IF(Akun!$A$76="","",Akun!$B$76)</f>
        <v/>
      </c>
      <c r="C112" s="106">
        <f>IF(OR($A112="",DATE(Dashboard!$C$4,1,1)&gt;TODAY(),ISNA(MATCH($B112,{"Pribadi","Investasi (kas RDN)","Piutang","Pinjaman Mama (dompet)"},0))),"",SUMIFS(Akun!$C$5:$C$104,Akun!$A$5:$A$104,$A112,Akun!$D$5:$D$104,"&lt;="&amp;MIN(EOMONTH(DATE(Dashboard!$C$4,1,1),0),TODAY()))+SUMIFS(Transaksi!$F$16:$F$5015,Transaksi!$C$16:$C$5015,$A112,Transaksi!$D$16:$D$5015,"Masuk",Transaksi!$B$16:$B$5015,"&lt;="&amp;MIN(EOMONTH(DATE(Dashboard!$C$4,1,1),0),TODAY()))-SUMIFS(Transaksi!$F$16:$F$5015,Transaksi!$C$16:$C$5015,$A112,Transaksi!$D$16:$D$5015,"Keluar",Transaksi!$B$16:$B$5015,"&lt;="&amp;MIN(EOMONTH(DATE(Dashboard!$C$4,1,1),0),TODAY()))-SUMIFS(Transaksi!$F$16:$F$5015,Transaksi!$C$16:$C$5015,$A112,Transaksi!$D$16:$D$5015,"Pindah",Transaksi!$B$16:$B$5015,"&lt;="&amp;MIN(EOMONTH(DATE(Dashboard!$C$4,1,1),0),TODAY()))+SUMIFS(Transaksi!$F$16:$F$5015,Transaksi!$E$16:$E$5015,$A112,Transaksi!$D$16:$D$5015,"Pindah",Transaksi!$B$16:$B$5015,"&lt;="&amp;MIN(EOMONTH(DATE(Dashboard!$C$4,1,1),0),TODAY())))</f>
        <v/>
      </c>
      <c r="D112" s="106">
        <f>IF(OR($A112="",DATE(Dashboard!$C$4,2,1)&gt;TODAY(),ISNA(MATCH($B112,{"Pribadi","Investasi (kas RDN)","Piutang","Pinjaman Mama (dompet)"},0))),"",SUMIFS(Akun!$C$5:$C$104,Akun!$A$5:$A$104,$A112,Akun!$D$5:$D$104,"&lt;="&amp;MIN(EOMONTH(DATE(Dashboard!$C$4,2,1),0),TODAY()))+SUMIFS(Transaksi!$F$16:$F$5015,Transaksi!$C$16:$C$5015,$A112,Transaksi!$D$16:$D$5015,"Masuk",Transaksi!$B$16:$B$5015,"&lt;="&amp;MIN(EOMONTH(DATE(Dashboard!$C$4,2,1),0),TODAY()))-SUMIFS(Transaksi!$F$16:$F$5015,Transaksi!$C$16:$C$5015,$A112,Transaksi!$D$16:$D$5015,"Keluar",Transaksi!$B$16:$B$5015,"&lt;="&amp;MIN(EOMONTH(DATE(Dashboard!$C$4,2,1),0),TODAY()))-SUMIFS(Transaksi!$F$16:$F$5015,Transaksi!$C$16:$C$5015,$A112,Transaksi!$D$16:$D$5015,"Pindah",Transaksi!$B$16:$B$5015,"&lt;="&amp;MIN(EOMONTH(DATE(Dashboard!$C$4,2,1),0),TODAY()))+SUMIFS(Transaksi!$F$16:$F$5015,Transaksi!$E$16:$E$5015,$A112,Transaksi!$D$16:$D$5015,"Pindah",Transaksi!$B$16:$B$5015,"&lt;="&amp;MIN(EOMONTH(DATE(Dashboard!$C$4,2,1),0),TODAY())))</f>
        <v/>
      </c>
      <c r="E112" s="106">
        <f>IF(OR($A112="",DATE(Dashboard!$C$4,3,1)&gt;TODAY(),ISNA(MATCH($B112,{"Pribadi","Investasi (kas RDN)","Piutang","Pinjaman Mama (dompet)"},0))),"",SUMIFS(Akun!$C$5:$C$104,Akun!$A$5:$A$104,$A112,Akun!$D$5:$D$104,"&lt;="&amp;MIN(EOMONTH(DATE(Dashboard!$C$4,3,1),0),TODAY()))+SUMIFS(Transaksi!$F$16:$F$5015,Transaksi!$C$16:$C$5015,$A112,Transaksi!$D$16:$D$5015,"Masuk",Transaksi!$B$16:$B$5015,"&lt;="&amp;MIN(EOMONTH(DATE(Dashboard!$C$4,3,1),0),TODAY()))-SUMIFS(Transaksi!$F$16:$F$5015,Transaksi!$C$16:$C$5015,$A112,Transaksi!$D$16:$D$5015,"Keluar",Transaksi!$B$16:$B$5015,"&lt;="&amp;MIN(EOMONTH(DATE(Dashboard!$C$4,3,1),0),TODAY()))-SUMIFS(Transaksi!$F$16:$F$5015,Transaksi!$C$16:$C$5015,$A112,Transaksi!$D$16:$D$5015,"Pindah",Transaksi!$B$16:$B$5015,"&lt;="&amp;MIN(EOMONTH(DATE(Dashboard!$C$4,3,1),0),TODAY()))+SUMIFS(Transaksi!$F$16:$F$5015,Transaksi!$E$16:$E$5015,$A112,Transaksi!$D$16:$D$5015,"Pindah",Transaksi!$B$16:$B$5015,"&lt;="&amp;MIN(EOMONTH(DATE(Dashboard!$C$4,3,1),0),TODAY())))</f>
        <v/>
      </c>
      <c r="F112" s="106">
        <f>IF(OR($A112="",DATE(Dashboard!$C$4,4,1)&gt;TODAY(),ISNA(MATCH($B112,{"Pribadi","Investasi (kas RDN)","Piutang","Pinjaman Mama (dompet)"},0))),"",SUMIFS(Akun!$C$5:$C$104,Akun!$A$5:$A$104,$A112,Akun!$D$5:$D$104,"&lt;="&amp;MIN(EOMONTH(DATE(Dashboard!$C$4,4,1),0),TODAY()))+SUMIFS(Transaksi!$F$16:$F$5015,Transaksi!$C$16:$C$5015,$A112,Transaksi!$D$16:$D$5015,"Masuk",Transaksi!$B$16:$B$5015,"&lt;="&amp;MIN(EOMONTH(DATE(Dashboard!$C$4,4,1),0),TODAY()))-SUMIFS(Transaksi!$F$16:$F$5015,Transaksi!$C$16:$C$5015,$A112,Transaksi!$D$16:$D$5015,"Keluar",Transaksi!$B$16:$B$5015,"&lt;="&amp;MIN(EOMONTH(DATE(Dashboard!$C$4,4,1),0),TODAY()))-SUMIFS(Transaksi!$F$16:$F$5015,Transaksi!$C$16:$C$5015,$A112,Transaksi!$D$16:$D$5015,"Pindah",Transaksi!$B$16:$B$5015,"&lt;="&amp;MIN(EOMONTH(DATE(Dashboard!$C$4,4,1),0),TODAY()))+SUMIFS(Transaksi!$F$16:$F$5015,Transaksi!$E$16:$E$5015,$A112,Transaksi!$D$16:$D$5015,"Pindah",Transaksi!$B$16:$B$5015,"&lt;="&amp;MIN(EOMONTH(DATE(Dashboard!$C$4,4,1),0),TODAY())))</f>
        <v/>
      </c>
      <c r="G112" s="106">
        <f>IF(OR($A112="",DATE(Dashboard!$C$4,5,1)&gt;TODAY(),ISNA(MATCH($B112,{"Pribadi","Investasi (kas RDN)","Piutang","Pinjaman Mama (dompet)"},0))),"",SUMIFS(Akun!$C$5:$C$104,Akun!$A$5:$A$104,$A112,Akun!$D$5:$D$104,"&lt;="&amp;MIN(EOMONTH(DATE(Dashboard!$C$4,5,1),0),TODAY()))+SUMIFS(Transaksi!$F$16:$F$5015,Transaksi!$C$16:$C$5015,$A112,Transaksi!$D$16:$D$5015,"Masuk",Transaksi!$B$16:$B$5015,"&lt;="&amp;MIN(EOMONTH(DATE(Dashboard!$C$4,5,1),0),TODAY()))-SUMIFS(Transaksi!$F$16:$F$5015,Transaksi!$C$16:$C$5015,$A112,Transaksi!$D$16:$D$5015,"Keluar",Transaksi!$B$16:$B$5015,"&lt;="&amp;MIN(EOMONTH(DATE(Dashboard!$C$4,5,1),0),TODAY()))-SUMIFS(Transaksi!$F$16:$F$5015,Transaksi!$C$16:$C$5015,$A112,Transaksi!$D$16:$D$5015,"Pindah",Transaksi!$B$16:$B$5015,"&lt;="&amp;MIN(EOMONTH(DATE(Dashboard!$C$4,5,1),0),TODAY()))+SUMIFS(Transaksi!$F$16:$F$5015,Transaksi!$E$16:$E$5015,$A112,Transaksi!$D$16:$D$5015,"Pindah",Transaksi!$B$16:$B$5015,"&lt;="&amp;MIN(EOMONTH(DATE(Dashboard!$C$4,5,1),0),TODAY())))</f>
        <v/>
      </c>
      <c r="H112" s="106">
        <f>IF(OR($A112="",DATE(Dashboard!$C$4,6,1)&gt;TODAY(),ISNA(MATCH($B112,{"Pribadi","Investasi (kas RDN)","Piutang","Pinjaman Mama (dompet)"},0))),"",SUMIFS(Akun!$C$5:$C$104,Akun!$A$5:$A$104,$A112,Akun!$D$5:$D$104,"&lt;="&amp;MIN(EOMONTH(DATE(Dashboard!$C$4,6,1),0),TODAY()))+SUMIFS(Transaksi!$F$16:$F$5015,Transaksi!$C$16:$C$5015,$A112,Transaksi!$D$16:$D$5015,"Masuk",Transaksi!$B$16:$B$5015,"&lt;="&amp;MIN(EOMONTH(DATE(Dashboard!$C$4,6,1),0),TODAY()))-SUMIFS(Transaksi!$F$16:$F$5015,Transaksi!$C$16:$C$5015,$A112,Transaksi!$D$16:$D$5015,"Keluar",Transaksi!$B$16:$B$5015,"&lt;="&amp;MIN(EOMONTH(DATE(Dashboard!$C$4,6,1),0),TODAY()))-SUMIFS(Transaksi!$F$16:$F$5015,Transaksi!$C$16:$C$5015,$A112,Transaksi!$D$16:$D$5015,"Pindah",Transaksi!$B$16:$B$5015,"&lt;="&amp;MIN(EOMONTH(DATE(Dashboard!$C$4,6,1),0),TODAY()))+SUMIFS(Transaksi!$F$16:$F$5015,Transaksi!$E$16:$E$5015,$A112,Transaksi!$D$16:$D$5015,"Pindah",Transaksi!$B$16:$B$5015,"&lt;="&amp;MIN(EOMONTH(DATE(Dashboard!$C$4,6,1),0),TODAY())))</f>
        <v/>
      </c>
      <c r="I112" s="106">
        <f>IF(OR($A112="",DATE(Dashboard!$C$4,7,1)&gt;TODAY(),ISNA(MATCH($B112,{"Pribadi","Investasi (kas RDN)","Piutang","Pinjaman Mama (dompet)"},0))),"",SUMIFS(Akun!$C$5:$C$104,Akun!$A$5:$A$104,$A112,Akun!$D$5:$D$104,"&lt;="&amp;MIN(EOMONTH(DATE(Dashboard!$C$4,7,1),0),TODAY()))+SUMIFS(Transaksi!$F$16:$F$5015,Transaksi!$C$16:$C$5015,$A112,Transaksi!$D$16:$D$5015,"Masuk",Transaksi!$B$16:$B$5015,"&lt;="&amp;MIN(EOMONTH(DATE(Dashboard!$C$4,7,1),0),TODAY()))-SUMIFS(Transaksi!$F$16:$F$5015,Transaksi!$C$16:$C$5015,$A112,Transaksi!$D$16:$D$5015,"Keluar",Transaksi!$B$16:$B$5015,"&lt;="&amp;MIN(EOMONTH(DATE(Dashboard!$C$4,7,1),0),TODAY()))-SUMIFS(Transaksi!$F$16:$F$5015,Transaksi!$C$16:$C$5015,$A112,Transaksi!$D$16:$D$5015,"Pindah",Transaksi!$B$16:$B$5015,"&lt;="&amp;MIN(EOMONTH(DATE(Dashboard!$C$4,7,1),0),TODAY()))+SUMIFS(Transaksi!$F$16:$F$5015,Transaksi!$E$16:$E$5015,$A112,Transaksi!$D$16:$D$5015,"Pindah",Transaksi!$B$16:$B$5015,"&lt;="&amp;MIN(EOMONTH(DATE(Dashboard!$C$4,7,1),0),TODAY())))</f>
        <v/>
      </c>
      <c r="J112" s="106">
        <f>IF(OR($A112="",DATE(Dashboard!$C$4,8,1)&gt;TODAY(),ISNA(MATCH($B112,{"Pribadi","Investasi (kas RDN)","Piutang","Pinjaman Mama (dompet)"},0))),"",SUMIFS(Akun!$C$5:$C$104,Akun!$A$5:$A$104,$A112,Akun!$D$5:$D$104,"&lt;="&amp;MIN(EOMONTH(DATE(Dashboard!$C$4,8,1),0),TODAY()))+SUMIFS(Transaksi!$F$16:$F$5015,Transaksi!$C$16:$C$5015,$A112,Transaksi!$D$16:$D$5015,"Masuk",Transaksi!$B$16:$B$5015,"&lt;="&amp;MIN(EOMONTH(DATE(Dashboard!$C$4,8,1),0),TODAY()))-SUMIFS(Transaksi!$F$16:$F$5015,Transaksi!$C$16:$C$5015,$A112,Transaksi!$D$16:$D$5015,"Keluar",Transaksi!$B$16:$B$5015,"&lt;="&amp;MIN(EOMONTH(DATE(Dashboard!$C$4,8,1),0),TODAY()))-SUMIFS(Transaksi!$F$16:$F$5015,Transaksi!$C$16:$C$5015,$A112,Transaksi!$D$16:$D$5015,"Pindah",Transaksi!$B$16:$B$5015,"&lt;="&amp;MIN(EOMONTH(DATE(Dashboard!$C$4,8,1),0),TODAY()))+SUMIFS(Transaksi!$F$16:$F$5015,Transaksi!$E$16:$E$5015,$A112,Transaksi!$D$16:$D$5015,"Pindah",Transaksi!$B$16:$B$5015,"&lt;="&amp;MIN(EOMONTH(DATE(Dashboard!$C$4,8,1),0),TODAY())))</f>
        <v/>
      </c>
      <c r="K112" s="106">
        <f>IF(OR($A112="",DATE(Dashboard!$C$4,9,1)&gt;TODAY(),ISNA(MATCH($B112,{"Pribadi","Investasi (kas RDN)","Piutang","Pinjaman Mama (dompet)"},0))),"",SUMIFS(Akun!$C$5:$C$104,Akun!$A$5:$A$104,$A112,Akun!$D$5:$D$104,"&lt;="&amp;MIN(EOMONTH(DATE(Dashboard!$C$4,9,1),0),TODAY()))+SUMIFS(Transaksi!$F$16:$F$5015,Transaksi!$C$16:$C$5015,$A112,Transaksi!$D$16:$D$5015,"Masuk",Transaksi!$B$16:$B$5015,"&lt;="&amp;MIN(EOMONTH(DATE(Dashboard!$C$4,9,1),0),TODAY()))-SUMIFS(Transaksi!$F$16:$F$5015,Transaksi!$C$16:$C$5015,$A112,Transaksi!$D$16:$D$5015,"Keluar",Transaksi!$B$16:$B$5015,"&lt;="&amp;MIN(EOMONTH(DATE(Dashboard!$C$4,9,1),0),TODAY()))-SUMIFS(Transaksi!$F$16:$F$5015,Transaksi!$C$16:$C$5015,$A112,Transaksi!$D$16:$D$5015,"Pindah",Transaksi!$B$16:$B$5015,"&lt;="&amp;MIN(EOMONTH(DATE(Dashboard!$C$4,9,1),0),TODAY()))+SUMIFS(Transaksi!$F$16:$F$5015,Transaksi!$E$16:$E$5015,$A112,Transaksi!$D$16:$D$5015,"Pindah",Transaksi!$B$16:$B$5015,"&lt;="&amp;MIN(EOMONTH(DATE(Dashboard!$C$4,9,1),0),TODAY())))</f>
        <v/>
      </c>
      <c r="L112" s="106">
        <f>IF(OR($A112="",DATE(Dashboard!$C$4,10,1)&gt;TODAY(),ISNA(MATCH($B112,{"Pribadi","Investasi (kas RDN)","Piutang","Pinjaman Mama (dompet)"},0))),"",SUMIFS(Akun!$C$5:$C$104,Akun!$A$5:$A$104,$A112,Akun!$D$5:$D$104,"&lt;="&amp;MIN(EOMONTH(DATE(Dashboard!$C$4,10,1),0),TODAY()))+SUMIFS(Transaksi!$F$16:$F$5015,Transaksi!$C$16:$C$5015,$A112,Transaksi!$D$16:$D$5015,"Masuk",Transaksi!$B$16:$B$5015,"&lt;="&amp;MIN(EOMONTH(DATE(Dashboard!$C$4,10,1),0),TODAY()))-SUMIFS(Transaksi!$F$16:$F$5015,Transaksi!$C$16:$C$5015,$A112,Transaksi!$D$16:$D$5015,"Keluar",Transaksi!$B$16:$B$5015,"&lt;="&amp;MIN(EOMONTH(DATE(Dashboard!$C$4,10,1),0),TODAY()))-SUMIFS(Transaksi!$F$16:$F$5015,Transaksi!$C$16:$C$5015,$A112,Transaksi!$D$16:$D$5015,"Pindah",Transaksi!$B$16:$B$5015,"&lt;="&amp;MIN(EOMONTH(DATE(Dashboard!$C$4,10,1),0),TODAY()))+SUMIFS(Transaksi!$F$16:$F$5015,Transaksi!$E$16:$E$5015,$A112,Transaksi!$D$16:$D$5015,"Pindah",Transaksi!$B$16:$B$5015,"&lt;="&amp;MIN(EOMONTH(DATE(Dashboard!$C$4,10,1),0),TODAY())))</f>
        <v/>
      </c>
      <c r="M112" s="106">
        <f>IF(OR($A112="",DATE(Dashboard!$C$4,11,1)&gt;TODAY(),ISNA(MATCH($B112,{"Pribadi","Investasi (kas RDN)","Piutang","Pinjaman Mama (dompet)"},0))),"",SUMIFS(Akun!$C$5:$C$104,Akun!$A$5:$A$104,$A112,Akun!$D$5:$D$104,"&lt;="&amp;MIN(EOMONTH(DATE(Dashboard!$C$4,11,1),0),TODAY()))+SUMIFS(Transaksi!$F$16:$F$5015,Transaksi!$C$16:$C$5015,$A112,Transaksi!$D$16:$D$5015,"Masuk",Transaksi!$B$16:$B$5015,"&lt;="&amp;MIN(EOMONTH(DATE(Dashboard!$C$4,11,1),0),TODAY()))-SUMIFS(Transaksi!$F$16:$F$5015,Transaksi!$C$16:$C$5015,$A112,Transaksi!$D$16:$D$5015,"Keluar",Transaksi!$B$16:$B$5015,"&lt;="&amp;MIN(EOMONTH(DATE(Dashboard!$C$4,11,1),0),TODAY()))-SUMIFS(Transaksi!$F$16:$F$5015,Transaksi!$C$16:$C$5015,$A112,Transaksi!$D$16:$D$5015,"Pindah",Transaksi!$B$16:$B$5015,"&lt;="&amp;MIN(EOMONTH(DATE(Dashboard!$C$4,11,1),0),TODAY()))+SUMIFS(Transaksi!$F$16:$F$5015,Transaksi!$E$16:$E$5015,$A112,Transaksi!$D$16:$D$5015,"Pindah",Transaksi!$B$16:$B$5015,"&lt;="&amp;MIN(EOMONTH(DATE(Dashboard!$C$4,11,1),0),TODAY())))</f>
        <v/>
      </c>
      <c r="N112" s="106">
        <f>IF(OR($A112="",DATE(Dashboard!$C$4,12,1)&gt;TODAY(),ISNA(MATCH($B112,{"Pribadi","Investasi (kas RDN)","Piutang","Pinjaman Mama (dompet)"},0))),"",SUMIFS(Akun!$C$5:$C$104,Akun!$A$5:$A$104,$A112,Akun!$D$5:$D$104,"&lt;="&amp;MIN(EOMONTH(DATE(Dashboard!$C$4,12,1),0),TODAY()))+SUMIFS(Transaksi!$F$16:$F$5015,Transaksi!$C$16:$C$5015,$A112,Transaksi!$D$16:$D$5015,"Masuk",Transaksi!$B$16:$B$5015,"&lt;="&amp;MIN(EOMONTH(DATE(Dashboard!$C$4,12,1),0),TODAY()))-SUMIFS(Transaksi!$F$16:$F$5015,Transaksi!$C$16:$C$5015,$A112,Transaksi!$D$16:$D$5015,"Keluar",Transaksi!$B$16:$B$5015,"&lt;="&amp;MIN(EOMONTH(DATE(Dashboard!$C$4,12,1),0),TODAY()))-SUMIFS(Transaksi!$F$16:$F$5015,Transaksi!$C$16:$C$5015,$A112,Transaksi!$D$16:$D$5015,"Pindah",Transaksi!$B$16:$B$5015,"&lt;="&amp;MIN(EOMONTH(DATE(Dashboard!$C$4,12,1),0),TODAY()))+SUMIFS(Transaksi!$F$16:$F$5015,Transaksi!$E$16:$E$5015,$A112,Transaksi!$D$16:$D$5015,"Pindah",Transaksi!$B$16:$B$5015,"&lt;="&amp;MIN(EOMONTH(DATE(Dashboard!$C$4,12,1),0),TODAY())))</f>
        <v/>
      </c>
    </row>
    <row r="113" ht="15" customHeight="1" s="94">
      <c r="A113" s="93">
        <f>IF(Akun!$A$77="","",Akun!$A$77)</f>
        <v/>
      </c>
      <c r="B113" s="93">
        <f>IF(Akun!$A$77="","",Akun!$B$77)</f>
        <v/>
      </c>
      <c r="C113" s="106">
        <f>IF(OR($A113="",DATE(Dashboard!$C$4,1,1)&gt;TODAY(),ISNA(MATCH($B113,{"Pribadi","Investasi (kas RDN)","Piutang","Pinjaman Mama (dompet)"},0))),"",SUMIFS(Akun!$C$5:$C$104,Akun!$A$5:$A$104,$A113,Akun!$D$5:$D$104,"&lt;="&amp;MIN(EOMONTH(DATE(Dashboard!$C$4,1,1),0),TODAY()))+SUMIFS(Transaksi!$F$16:$F$5015,Transaksi!$C$16:$C$5015,$A113,Transaksi!$D$16:$D$5015,"Masuk",Transaksi!$B$16:$B$5015,"&lt;="&amp;MIN(EOMONTH(DATE(Dashboard!$C$4,1,1),0),TODAY()))-SUMIFS(Transaksi!$F$16:$F$5015,Transaksi!$C$16:$C$5015,$A113,Transaksi!$D$16:$D$5015,"Keluar",Transaksi!$B$16:$B$5015,"&lt;="&amp;MIN(EOMONTH(DATE(Dashboard!$C$4,1,1),0),TODAY()))-SUMIFS(Transaksi!$F$16:$F$5015,Transaksi!$C$16:$C$5015,$A113,Transaksi!$D$16:$D$5015,"Pindah",Transaksi!$B$16:$B$5015,"&lt;="&amp;MIN(EOMONTH(DATE(Dashboard!$C$4,1,1),0),TODAY()))+SUMIFS(Transaksi!$F$16:$F$5015,Transaksi!$E$16:$E$5015,$A113,Transaksi!$D$16:$D$5015,"Pindah",Transaksi!$B$16:$B$5015,"&lt;="&amp;MIN(EOMONTH(DATE(Dashboard!$C$4,1,1),0),TODAY())))</f>
        <v/>
      </c>
      <c r="D113" s="106">
        <f>IF(OR($A113="",DATE(Dashboard!$C$4,2,1)&gt;TODAY(),ISNA(MATCH($B113,{"Pribadi","Investasi (kas RDN)","Piutang","Pinjaman Mama (dompet)"},0))),"",SUMIFS(Akun!$C$5:$C$104,Akun!$A$5:$A$104,$A113,Akun!$D$5:$D$104,"&lt;="&amp;MIN(EOMONTH(DATE(Dashboard!$C$4,2,1),0),TODAY()))+SUMIFS(Transaksi!$F$16:$F$5015,Transaksi!$C$16:$C$5015,$A113,Transaksi!$D$16:$D$5015,"Masuk",Transaksi!$B$16:$B$5015,"&lt;="&amp;MIN(EOMONTH(DATE(Dashboard!$C$4,2,1),0),TODAY()))-SUMIFS(Transaksi!$F$16:$F$5015,Transaksi!$C$16:$C$5015,$A113,Transaksi!$D$16:$D$5015,"Keluar",Transaksi!$B$16:$B$5015,"&lt;="&amp;MIN(EOMONTH(DATE(Dashboard!$C$4,2,1),0),TODAY()))-SUMIFS(Transaksi!$F$16:$F$5015,Transaksi!$C$16:$C$5015,$A113,Transaksi!$D$16:$D$5015,"Pindah",Transaksi!$B$16:$B$5015,"&lt;="&amp;MIN(EOMONTH(DATE(Dashboard!$C$4,2,1),0),TODAY()))+SUMIFS(Transaksi!$F$16:$F$5015,Transaksi!$E$16:$E$5015,$A113,Transaksi!$D$16:$D$5015,"Pindah",Transaksi!$B$16:$B$5015,"&lt;="&amp;MIN(EOMONTH(DATE(Dashboard!$C$4,2,1),0),TODAY())))</f>
        <v/>
      </c>
      <c r="E113" s="106">
        <f>IF(OR($A113="",DATE(Dashboard!$C$4,3,1)&gt;TODAY(),ISNA(MATCH($B113,{"Pribadi","Investasi (kas RDN)","Piutang","Pinjaman Mama (dompet)"},0))),"",SUMIFS(Akun!$C$5:$C$104,Akun!$A$5:$A$104,$A113,Akun!$D$5:$D$104,"&lt;="&amp;MIN(EOMONTH(DATE(Dashboard!$C$4,3,1),0),TODAY()))+SUMIFS(Transaksi!$F$16:$F$5015,Transaksi!$C$16:$C$5015,$A113,Transaksi!$D$16:$D$5015,"Masuk",Transaksi!$B$16:$B$5015,"&lt;="&amp;MIN(EOMONTH(DATE(Dashboard!$C$4,3,1),0),TODAY()))-SUMIFS(Transaksi!$F$16:$F$5015,Transaksi!$C$16:$C$5015,$A113,Transaksi!$D$16:$D$5015,"Keluar",Transaksi!$B$16:$B$5015,"&lt;="&amp;MIN(EOMONTH(DATE(Dashboard!$C$4,3,1),0),TODAY()))-SUMIFS(Transaksi!$F$16:$F$5015,Transaksi!$C$16:$C$5015,$A113,Transaksi!$D$16:$D$5015,"Pindah",Transaksi!$B$16:$B$5015,"&lt;="&amp;MIN(EOMONTH(DATE(Dashboard!$C$4,3,1),0),TODAY()))+SUMIFS(Transaksi!$F$16:$F$5015,Transaksi!$E$16:$E$5015,$A113,Transaksi!$D$16:$D$5015,"Pindah",Transaksi!$B$16:$B$5015,"&lt;="&amp;MIN(EOMONTH(DATE(Dashboard!$C$4,3,1),0),TODAY())))</f>
        <v/>
      </c>
      <c r="F113" s="106">
        <f>IF(OR($A113="",DATE(Dashboard!$C$4,4,1)&gt;TODAY(),ISNA(MATCH($B113,{"Pribadi","Investasi (kas RDN)","Piutang","Pinjaman Mama (dompet)"},0))),"",SUMIFS(Akun!$C$5:$C$104,Akun!$A$5:$A$104,$A113,Akun!$D$5:$D$104,"&lt;="&amp;MIN(EOMONTH(DATE(Dashboard!$C$4,4,1),0),TODAY()))+SUMIFS(Transaksi!$F$16:$F$5015,Transaksi!$C$16:$C$5015,$A113,Transaksi!$D$16:$D$5015,"Masuk",Transaksi!$B$16:$B$5015,"&lt;="&amp;MIN(EOMONTH(DATE(Dashboard!$C$4,4,1),0),TODAY()))-SUMIFS(Transaksi!$F$16:$F$5015,Transaksi!$C$16:$C$5015,$A113,Transaksi!$D$16:$D$5015,"Keluar",Transaksi!$B$16:$B$5015,"&lt;="&amp;MIN(EOMONTH(DATE(Dashboard!$C$4,4,1),0),TODAY()))-SUMIFS(Transaksi!$F$16:$F$5015,Transaksi!$C$16:$C$5015,$A113,Transaksi!$D$16:$D$5015,"Pindah",Transaksi!$B$16:$B$5015,"&lt;="&amp;MIN(EOMONTH(DATE(Dashboard!$C$4,4,1),0),TODAY()))+SUMIFS(Transaksi!$F$16:$F$5015,Transaksi!$E$16:$E$5015,$A113,Transaksi!$D$16:$D$5015,"Pindah",Transaksi!$B$16:$B$5015,"&lt;="&amp;MIN(EOMONTH(DATE(Dashboard!$C$4,4,1),0),TODAY())))</f>
        <v/>
      </c>
      <c r="G113" s="106">
        <f>IF(OR($A113="",DATE(Dashboard!$C$4,5,1)&gt;TODAY(),ISNA(MATCH($B113,{"Pribadi","Investasi (kas RDN)","Piutang","Pinjaman Mama (dompet)"},0))),"",SUMIFS(Akun!$C$5:$C$104,Akun!$A$5:$A$104,$A113,Akun!$D$5:$D$104,"&lt;="&amp;MIN(EOMONTH(DATE(Dashboard!$C$4,5,1),0),TODAY()))+SUMIFS(Transaksi!$F$16:$F$5015,Transaksi!$C$16:$C$5015,$A113,Transaksi!$D$16:$D$5015,"Masuk",Transaksi!$B$16:$B$5015,"&lt;="&amp;MIN(EOMONTH(DATE(Dashboard!$C$4,5,1),0),TODAY()))-SUMIFS(Transaksi!$F$16:$F$5015,Transaksi!$C$16:$C$5015,$A113,Transaksi!$D$16:$D$5015,"Keluar",Transaksi!$B$16:$B$5015,"&lt;="&amp;MIN(EOMONTH(DATE(Dashboard!$C$4,5,1),0),TODAY()))-SUMIFS(Transaksi!$F$16:$F$5015,Transaksi!$C$16:$C$5015,$A113,Transaksi!$D$16:$D$5015,"Pindah",Transaksi!$B$16:$B$5015,"&lt;="&amp;MIN(EOMONTH(DATE(Dashboard!$C$4,5,1),0),TODAY()))+SUMIFS(Transaksi!$F$16:$F$5015,Transaksi!$E$16:$E$5015,$A113,Transaksi!$D$16:$D$5015,"Pindah",Transaksi!$B$16:$B$5015,"&lt;="&amp;MIN(EOMONTH(DATE(Dashboard!$C$4,5,1),0),TODAY())))</f>
        <v/>
      </c>
      <c r="H113" s="106">
        <f>IF(OR($A113="",DATE(Dashboard!$C$4,6,1)&gt;TODAY(),ISNA(MATCH($B113,{"Pribadi","Investasi (kas RDN)","Piutang","Pinjaman Mama (dompet)"},0))),"",SUMIFS(Akun!$C$5:$C$104,Akun!$A$5:$A$104,$A113,Akun!$D$5:$D$104,"&lt;="&amp;MIN(EOMONTH(DATE(Dashboard!$C$4,6,1),0),TODAY()))+SUMIFS(Transaksi!$F$16:$F$5015,Transaksi!$C$16:$C$5015,$A113,Transaksi!$D$16:$D$5015,"Masuk",Transaksi!$B$16:$B$5015,"&lt;="&amp;MIN(EOMONTH(DATE(Dashboard!$C$4,6,1),0),TODAY()))-SUMIFS(Transaksi!$F$16:$F$5015,Transaksi!$C$16:$C$5015,$A113,Transaksi!$D$16:$D$5015,"Keluar",Transaksi!$B$16:$B$5015,"&lt;="&amp;MIN(EOMONTH(DATE(Dashboard!$C$4,6,1),0),TODAY()))-SUMIFS(Transaksi!$F$16:$F$5015,Transaksi!$C$16:$C$5015,$A113,Transaksi!$D$16:$D$5015,"Pindah",Transaksi!$B$16:$B$5015,"&lt;="&amp;MIN(EOMONTH(DATE(Dashboard!$C$4,6,1),0),TODAY()))+SUMIFS(Transaksi!$F$16:$F$5015,Transaksi!$E$16:$E$5015,$A113,Transaksi!$D$16:$D$5015,"Pindah",Transaksi!$B$16:$B$5015,"&lt;="&amp;MIN(EOMONTH(DATE(Dashboard!$C$4,6,1),0),TODAY())))</f>
        <v/>
      </c>
      <c r="I113" s="106">
        <f>IF(OR($A113="",DATE(Dashboard!$C$4,7,1)&gt;TODAY(),ISNA(MATCH($B113,{"Pribadi","Investasi (kas RDN)","Piutang","Pinjaman Mama (dompet)"},0))),"",SUMIFS(Akun!$C$5:$C$104,Akun!$A$5:$A$104,$A113,Akun!$D$5:$D$104,"&lt;="&amp;MIN(EOMONTH(DATE(Dashboard!$C$4,7,1),0),TODAY()))+SUMIFS(Transaksi!$F$16:$F$5015,Transaksi!$C$16:$C$5015,$A113,Transaksi!$D$16:$D$5015,"Masuk",Transaksi!$B$16:$B$5015,"&lt;="&amp;MIN(EOMONTH(DATE(Dashboard!$C$4,7,1),0),TODAY()))-SUMIFS(Transaksi!$F$16:$F$5015,Transaksi!$C$16:$C$5015,$A113,Transaksi!$D$16:$D$5015,"Keluar",Transaksi!$B$16:$B$5015,"&lt;="&amp;MIN(EOMONTH(DATE(Dashboard!$C$4,7,1),0),TODAY()))-SUMIFS(Transaksi!$F$16:$F$5015,Transaksi!$C$16:$C$5015,$A113,Transaksi!$D$16:$D$5015,"Pindah",Transaksi!$B$16:$B$5015,"&lt;="&amp;MIN(EOMONTH(DATE(Dashboard!$C$4,7,1),0),TODAY()))+SUMIFS(Transaksi!$F$16:$F$5015,Transaksi!$E$16:$E$5015,$A113,Transaksi!$D$16:$D$5015,"Pindah",Transaksi!$B$16:$B$5015,"&lt;="&amp;MIN(EOMONTH(DATE(Dashboard!$C$4,7,1),0),TODAY())))</f>
        <v/>
      </c>
      <c r="J113" s="106">
        <f>IF(OR($A113="",DATE(Dashboard!$C$4,8,1)&gt;TODAY(),ISNA(MATCH($B113,{"Pribadi","Investasi (kas RDN)","Piutang","Pinjaman Mama (dompet)"},0))),"",SUMIFS(Akun!$C$5:$C$104,Akun!$A$5:$A$104,$A113,Akun!$D$5:$D$104,"&lt;="&amp;MIN(EOMONTH(DATE(Dashboard!$C$4,8,1),0),TODAY()))+SUMIFS(Transaksi!$F$16:$F$5015,Transaksi!$C$16:$C$5015,$A113,Transaksi!$D$16:$D$5015,"Masuk",Transaksi!$B$16:$B$5015,"&lt;="&amp;MIN(EOMONTH(DATE(Dashboard!$C$4,8,1),0),TODAY()))-SUMIFS(Transaksi!$F$16:$F$5015,Transaksi!$C$16:$C$5015,$A113,Transaksi!$D$16:$D$5015,"Keluar",Transaksi!$B$16:$B$5015,"&lt;="&amp;MIN(EOMONTH(DATE(Dashboard!$C$4,8,1),0),TODAY()))-SUMIFS(Transaksi!$F$16:$F$5015,Transaksi!$C$16:$C$5015,$A113,Transaksi!$D$16:$D$5015,"Pindah",Transaksi!$B$16:$B$5015,"&lt;="&amp;MIN(EOMONTH(DATE(Dashboard!$C$4,8,1),0),TODAY()))+SUMIFS(Transaksi!$F$16:$F$5015,Transaksi!$E$16:$E$5015,$A113,Transaksi!$D$16:$D$5015,"Pindah",Transaksi!$B$16:$B$5015,"&lt;="&amp;MIN(EOMONTH(DATE(Dashboard!$C$4,8,1),0),TODAY())))</f>
        <v/>
      </c>
      <c r="K113" s="106">
        <f>IF(OR($A113="",DATE(Dashboard!$C$4,9,1)&gt;TODAY(),ISNA(MATCH($B113,{"Pribadi","Investasi (kas RDN)","Piutang","Pinjaman Mama (dompet)"},0))),"",SUMIFS(Akun!$C$5:$C$104,Akun!$A$5:$A$104,$A113,Akun!$D$5:$D$104,"&lt;="&amp;MIN(EOMONTH(DATE(Dashboard!$C$4,9,1),0),TODAY()))+SUMIFS(Transaksi!$F$16:$F$5015,Transaksi!$C$16:$C$5015,$A113,Transaksi!$D$16:$D$5015,"Masuk",Transaksi!$B$16:$B$5015,"&lt;="&amp;MIN(EOMONTH(DATE(Dashboard!$C$4,9,1),0),TODAY()))-SUMIFS(Transaksi!$F$16:$F$5015,Transaksi!$C$16:$C$5015,$A113,Transaksi!$D$16:$D$5015,"Keluar",Transaksi!$B$16:$B$5015,"&lt;="&amp;MIN(EOMONTH(DATE(Dashboard!$C$4,9,1),0),TODAY()))-SUMIFS(Transaksi!$F$16:$F$5015,Transaksi!$C$16:$C$5015,$A113,Transaksi!$D$16:$D$5015,"Pindah",Transaksi!$B$16:$B$5015,"&lt;="&amp;MIN(EOMONTH(DATE(Dashboard!$C$4,9,1),0),TODAY()))+SUMIFS(Transaksi!$F$16:$F$5015,Transaksi!$E$16:$E$5015,$A113,Transaksi!$D$16:$D$5015,"Pindah",Transaksi!$B$16:$B$5015,"&lt;="&amp;MIN(EOMONTH(DATE(Dashboard!$C$4,9,1),0),TODAY())))</f>
        <v/>
      </c>
      <c r="L113" s="106">
        <f>IF(OR($A113="",DATE(Dashboard!$C$4,10,1)&gt;TODAY(),ISNA(MATCH($B113,{"Pribadi","Investasi (kas RDN)","Piutang","Pinjaman Mama (dompet)"},0))),"",SUMIFS(Akun!$C$5:$C$104,Akun!$A$5:$A$104,$A113,Akun!$D$5:$D$104,"&lt;="&amp;MIN(EOMONTH(DATE(Dashboard!$C$4,10,1),0),TODAY()))+SUMIFS(Transaksi!$F$16:$F$5015,Transaksi!$C$16:$C$5015,$A113,Transaksi!$D$16:$D$5015,"Masuk",Transaksi!$B$16:$B$5015,"&lt;="&amp;MIN(EOMONTH(DATE(Dashboard!$C$4,10,1),0),TODAY()))-SUMIFS(Transaksi!$F$16:$F$5015,Transaksi!$C$16:$C$5015,$A113,Transaksi!$D$16:$D$5015,"Keluar",Transaksi!$B$16:$B$5015,"&lt;="&amp;MIN(EOMONTH(DATE(Dashboard!$C$4,10,1),0),TODAY()))-SUMIFS(Transaksi!$F$16:$F$5015,Transaksi!$C$16:$C$5015,$A113,Transaksi!$D$16:$D$5015,"Pindah",Transaksi!$B$16:$B$5015,"&lt;="&amp;MIN(EOMONTH(DATE(Dashboard!$C$4,10,1),0),TODAY()))+SUMIFS(Transaksi!$F$16:$F$5015,Transaksi!$E$16:$E$5015,$A113,Transaksi!$D$16:$D$5015,"Pindah",Transaksi!$B$16:$B$5015,"&lt;="&amp;MIN(EOMONTH(DATE(Dashboard!$C$4,10,1),0),TODAY())))</f>
        <v/>
      </c>
      <c r="M113" s="106">
        <f>IF(OR($A113="",DATE(Dashboard!$C$4,11,1)&gt;TODAY(),ISNA(MATCH($B113,{"Pribadi","Investasi (kas RDN)","Piutang","Pinjaman Mama (dompet)"},0))),"",SUMIFS(Akun!$C$5:$C$104,Akun!$A$5:$A$104,$A113,Akun!$D$5:$D$104,"&lt;="&amp;MIN(EOMONTH(DATE(Dashboard!$C$4,11,1),0),TODAY()))+SUMIFS(Transaksi!$F$16:$F$5015,Transaksi!$C$16:$C$5015,$A113,Transaksi!$D$16:$D$5015,"Masuk",Transaksi!$B$16:$B$5015,"&lt;="&amp;MIN(EOMONTH(DATE(Dashboard!$C$4,11,1),0),TODAY()))-SUMIFS(Transaksi!$F$16:$F$5015,Transaksi!$C$16:$C$5015,$A113,Transaksi!$D$16:$D$5015,"Keluar",Transaksi!$B$16:$B$5015,"&lt;="&amp;MIN(EOMONTH(DATE(Dashboard!$C$4,11,1),0),TODAY()))-SUMIFS(Transaksi!$F$16:$F$5015,Transaksi!$C$16:$C$5015,$A113,Transaksi!$D$16:$D$5015,"Pindah",Transaksi!$B$16:$B$5015,"&lt;="&amp;MIN(EOMONTH(DATE(Dashboard!$C$4,11,1),0),TODAY()))+SUMIFS(Transaksi!$F$16:$F$5015,Transaksi!$E$16:$E$5015,$A113,Transaksi!$D$16:$D$5015,"Pindah",Transaksi!$B$16:$B$5015,"&lt;="&amp;MIN(EOMONTH(DATE(Dashboard!$C$4,11,1),0),TODAY())))</f>
        <v/>
      </c>
      <c r="N113" s="106">
        <f>IF(OR($A113="",DATE(Dashboard!$C$4,12,1)&gt;TODAY(),ISNA(MATCH($B113,{"Pribadi","Investasi (kas RDN)","Piutang","Pinjaman Mama (dompet)"},0))),"",SUMIFS(Akun!$C$5:$C$104,Akun!$A$5:$A$104,$A113,Akun!$D$5:$D$104,"&lt;="&amp;MIN(EOMONTH(DATE(Dashboard!$C$4,12,1),0),TODAY()))+SUMIFS(Transaksi!$F$16:$F$5015,Transaksi!$C$16:$C$5015,$A113,Transaksi!$D$16:$D$5015,"Masuk",Transaksi!$B$16:$B$5015,"&lt;="&amp;MIN(EOMONTH(DATE(Dashboard!$C$4,12,1),0),TODAY()))-SUMIFS(Transaksi!$F$16:$F$5015,Transaksi!$C$16:$C$5015,$A113,Transaksi!$D$16:$D$5015,"Keluar",Transaksi!$B$16:$B$5015,"&lt;="&amp;MIN(EOMONTH(DATE(Dashboard!$C$4,12,1),0),TODAY()))-SUMIFS(Transaksi!$F$16:$F$5015,Transaksi!$C$16:$C$5015,$A113,Transaksi!$D$16:$D$5015,"Pindah",Transaksi!$B$16:$B$5015,"&lt;="&amp;MIN(EOMONTH(DATE(Dashboard!$C$4,12,1),0),TODAY()))+SUMIFS(Transaksi!$F$16:$F$5015,Transaksi!$E$16:$E$5015,$A113,Transaksi!$D$16:$D$5015,"Pindah",Transaksi!$B$16:$B$5015,"&lt;="&amp;MIN(EOMONTH(DATE(Dashboard!$C$4,12,1),0),TODAY())))</f>
        <v/>
      </c>
    </row>
    <row r="114" ht="15" customHeight="1" s="94">
      <c r="A114" s="93">
        <f>IF(Akun!$A$78="","",Akun!$A$78)</f>
        <v/>
      </c>
      <c r="B114" s="93">
        <f>IF(Akun!$A$78="","",Akun!$B$78)</f>
        <v/>
      </c>
      <c r="C114" s="106">
        <f>IF(OR($A114="",DATE(Dashboard!$C$4,1,1)&gt;TODAY(),ISNA(MATCH($B114,{"Pribadi","Investasi (kas RDN)","Piutang","Pinjaman Mama (dompet)"},0))),"",SUMIFS(Akun!$C$5:$C$104,Akun!$A$5:$A$104,$A114,Akun!$D$5:$D$104,"&lt;="&amp;MIN(EOMONTH(DATE(Dashboard!$C$4,1,1),0),TODAY()))+SUMIFS(Transaksi!$F$16:$F$5015,Transaksi!$C$16:$C$5015,$A114,Transaksi!$D$16:$D$5015,"Masuk",Transaksi!$B$16:$B$5015,"&lt;="&amp;MIN(EOMONTH(DATE(Dashboard!$C$4,1,1),0),TODAY()))-SUMIFS(Transaksi!$F$16:$F$5015,Transaksi!$C$16:$C$5015,$A114,Transaksi!$D$16:$D$5015,"Keluar",Transaksi!$B$16:$B$5015,"&lt;="&amp;MIN(EOMONTH(DATE(Dashboard!$C$4,1,1),0),TODAY()))-SUMIFS(Transaksi!$F$16:$F$5015,Transaksi!$C$16:$C$5015,$A114,Transaksi!$D$16:$D$5015,"Pindah",Transaksi!$B$16:$B$5015,"&lt;="&amp;MIN(EOMONTH(DATE(Dashboard!$C$4,1,1),0),TODAY()))+SUMIFS(Transaksi!$F$16:$F$5015,Transaksi!$E$16:$E$5015,$A114,Transaksi!$D$16:$D$5015,"Pindah",Transaksi!$B$16:$B$5015,"&lt;="&amp;MIN(EOMONTH(DATE(Dashboard!$C$4,1,1),0),TODAY())))</f>
        <v/>
      </c>
      <c r="D114" s="106">
        <f>IF(OR($A114="",DATE(Dashboard!$C$4,2,1)&gt;TODAY(),ISNA(MATCH($B114,{"Pribadi","Investasi (kas RDN)","Piutang","Pinjaman Mama (dompet)"},0))),"",SUMIFS(Akun!$C$5:$C$104,Akun!$A$5:$A$104,$A114,Akun!$D$5:$D$104,"&lt;="&amp;MIN(EOMONTH(DATE(Dashboard!$C$4,2,1),0),TODAY()))+SUMIFS(Transaksi!$F$16:$F$5015,Transaksi!$C$16:$C$5015,$A114,Transaksi!$D$16:$D$5015,"Masuk",Transaksi!$B$16:$B$5015,"&lt;="&amp;MIN(EOMONTH(DATE(Dashboard!$C$4,2,1),0),TODAY()))-SUMIFS(Transaksi!$F$16:$F$5015,Transaksi!$C$16:$C$5015,$A114,Transaksi!$D$16:$D$5015,"Keluar",Transaksi!$B$16:$B$5015,"&lt;="&amp;MIN(EOMONTH(DATE(Dashboard!$C$4,2,1),0),TODAY()))-SUMIFS(Transaksi!$F$16:$F$5015,Transaksi!$C$16:$C$5015,$A114,Transaksi!$D$16:$D$5015,"Pindah",Transaksi!$B$16:$B$5015,"&lt;="&amp;MIN(EOMONTH(DATE(Dashboard!$C$4,2,1),0),TODAY()))+SUMIFS(Transaksi!$F$16:$F$5015,Transaksi!$E$16:$E$5015,$A114,Transaksi!$D$16:$D$5015,"Pindah",Transaksi!$B$16:$B$5015,"&lt;="&amp;MIN(EOMONTH(DATE(Dashboard!$C$4,2,1),0),TODAY())))</f>
        <v/>
      </c>
      <c r="E114" s="106">
        <f>IF(OR($A114="",DATE(Dashboard!$C$4,3,1)&gt;TODAY(),ISNA(MATCH($B114,{"Pribadi","Investasi (kas RDN)","Piutang","Pinjaman Mama (dompet)"},0))),"",SUMIFS(Akun!$C$5:$C$104,Akun!$A$5:$A$104,$A114,Akun!$D$5:$D$104,"&lt;="&amp;MIN(EOMONTH(DATE(Dashboard!$C$4,3,1),0),TODAY()))+SUMIFS(Transaksi!$F$16:$F$5015,Transaksi!$C$16:$C$5015,$A114,Transaksi!$D$16:$D$5015,"Masuk",Transaksi!$B$16:$B$5015,"&lt;="&amp;MIN(EOMONTH(DATE(Dashboard!$C$4,3,1),0),TODAY()))-SUMIFS(Transaksi!$F$16:$F$5015,Transaksi!$C$16:$C$5015,$A114,Transaksi!$D$16:$D$5015,"Keluar",Transaksi!$B$16:$B$5015,"&lt;="&amp;MIN(EOMONTH(DATE(Dashboard!$C$4,3,1),0),TODAY()))-SUMIFS(Transaksi!$F$16:$F$5015,Transaksi!$C$16:$C$5015,$A114,Transaksi!$D$16:$D$5015,"Pindah",Transaksi!$B$16:$B$5015,"&lt;="&amp;MIN(EOMONTH(DATE(Dashboard!$C$4,3,1),0),TODAY()))+SUMIFS(Transaksi!$F$16:$F$5015,Transaksi!$E$16:$E$5015,$A114,Transaksi!$D$16:$D$5015,"Pindah",Transaksi!$B$16:$B$5015,"&lt;="&amp;MIN(EOMONTH(DATE(Dashboard!$C$4,3,1),0),TODAY())))</f>
        <v/>
      </c>
      <c r="F114" s="106">
        <f>IF(OR($A114="",DATE(Dashboard!$C$4,4,1)&gt;TODAY(),ISNA(MATCH($B114,{"Pribadi","Investasi (kas RDN)","Piutang","Pinjaman Mama (dompet)"},0))),"",SUMIFS(Akun!$C$5:$C$104,Akun!$A$5:$A$104,$A114,Akun!$D$5:$D$104,"&lt;="&amp;MIN(EOMONTH(DATE(Dashboard!$C$4,4,1),0),TODAY()))+SUMIFS(Transaksi!$F$16:$F$5015,Transaksi!$C$16:$C$5015,$A114,Transaksi!$D$16:$D$5015,"Masuk",Transaksi!$B$16:$B$5015,"&lt;="&amp;MIN(EOMONTH(DATE(Dashboard!$C$4,4,1),0),TODAY()))-SUMIFS(Transaksi!$F$16:$F$5015,Transaksi!$C$16:$C$5015,$A114,Transaksi!$D$16:$D$5015,"Keluar",Transaksi!$B$16:$B$5015,"&lt;="&amp;MIN(EOMONTH(DATE(Dashboard!$C$4,4,1),0),TODAY()))-SUMIFS(Transaksi!$F$16:$F$5015,Transaksi!$C$16:$C$5015,$A114,Transaksi!$D$16:$D$5015,"Pindah",Transaksi!$B$16:$B$5015,"&lt;="&amp;MIN(EOMONTH(DATE(Dashboard!$C$4,4,1),0),TODAY()))+SUMIFS(Transaksi!$F$16:$F$5015,Transaksi!$E$16:$E$5015,$A114,Transaksi!$D$16:$D$5015,"Pindah",Transaksi!$B$16:$B$5015,"&lt;="&amp;MIN(EOMONTH(DATE(Dashboard!$C$4,4,1),0),TODAY())))</f>
        <v/>
      </c>
      <c r="G114" s="106">
        <f>IF(OR($A114="",DATE(Dashboard!$C$4,5,1)&gt;TODAY(),ISNA(MATCH($B114,{"Pribadi","Investasi (kas RDN)","Piutang","Pinjaman Mama (dompet)"},0))),"",SUMIFS(Akun!$C$5:$C$104,Akun!$A$5:$A$104,$A114,Akun!$D$5:$D$104,"&lt;="&amp;MIN(EOMONTH(DATE(Dashboard!$C$4,5,1),0),TODAY()))+SUMIFS(Transaksi!$F$16:$F$5015,Transaksi!$C$16:$C$5015,$A114,Transaksi!$D$16:$D$5015,"Masuk",Transaksi!$B$16:$B$5015,"&lt;="&amp;MIN(EOMONTH(DATE(Dashboard!$C$4,5,1),0),TODAY()))-SUMIFS(Transaksi!$F$16:$F$5015,Transaksi!$C$16:$C$5015,$A114,Transaksi!$D$16:$D$5015,"Keluar",Transaksi!$B$16:$B$5015,"&lt;="&amp;MIN(EOMONTH(DATE(Dashboard!$C$4,5,1),0),TODAY()))-SUMIFS(Transaksi!$F$16:$F$5015,Transaksi!$C$16:$C$5015,$A114,Transaksi!$D$16:$D$5015,"Pindah",Transaksi!$B$16:$B$5015,"&lt;="&amp;MIN(EOMONTH(DATE(Dashboard!$C$4,5,1),0),TODAY()))+SUMIFS(Transaksi!$F$16:$F$5015,Transaksi!$E$16:$E$5015,$A114,Transaksi!$D$16:$D$5015,"Pindah",Transaksi!$B$16:$B$5015,"&lt;="&amp;MIN(EOMONTH(DATE(Dashboard!$C$4,5,1),0),TODAY())))</f>
        <v/>
      </c>
      <c r="H114" s="106">
        <f>IF(OR($A114="",DATE(Dashboard!$C$4,6,1)&gt;TODAY(),ISNA(MATCH($B114,{"Pribadi","Investasi (kas RDN)","Piutang","Pinjaman Mama (dompet)"},0))),"",SUMIFS(Akun!$C$5:$C$104,Akun!$A$5:$A$104,$A114,Akun!$D$5:$D$104,"&lt;="&amp;MIN(EOMONTH(DATE(Dashboard!$C$4,6,1),0),TODAY()))+SUMIFS(Transaksi!$F$16:$F$5015,Transaksi!$C$16:$C$5015,$A114,Transaksi!$D$16:$D$5015,"Masuk",Transaksi!$B$16:$B$5015,"&lt;="&amp;MIN(EOMONTH(DATE(Dashboard!$C$4,6,1),0),TODAY()))-SUMIFS(Transaksi!$F$16:$F$5015,Transaksi!$C$16:$C$5015,$A114,Transaksi!$D$16:$D$5015,"Keluar",Transaksi!$B$16:$B$5015,"&lt;="&amp;MIN(EOMONTH(DATE(Dashboard!$C$4,6,1),0),TODAY()))-SUMIFS(Transaksi!$F$16:$F$5015,Transaksi!$C$16:$C$5015,$A114,Transaksi!$D$16:$D$5015,"Pindah",Transaksi!$B$16:$B$5015,"&lt;="&amp;MIN(EOMONTH(DATE(Dashboard!$C$4,6,1),0),TODAY()))+SUMIFS(Transaksi!$F$16:$F$5015,Transaksi!$E$16:$E$5015,$A114,Transaksi!$D$16:$D$5015,"Pindah",Transaksi!$B$16:$B$5015,"&lt;="&amp;MIN(EOMONTH(DATE(Dashboard!$C$4,6,1),0),TODAY())))</f>
        <v/>
      </c>
      <c r="I114" s="106">
        <f>IF(OR($A114="",DATE(Dashboard!$C$4,7,1)&gt;TODAY(),ISNA(MATCH($B114,{"Pribadi","Investasi (kas RDN)","Piutang","Pinjaman Mama (dompet)"},0))),"",SUMIFS(Akun!$C$5:$C$104,Akun!$A$5:$A$104,$A114,Akun!$D$5:$D$104,"&lt;="&amp;MIN(EOMONTH(DATE(Dashboard!$C$4,7,1),0),TODAY()))+SUMIFS(Transaksi!$F$16:$F$5015,Transaksi!$C$16:$C$5015,$A114,Transaksi!$D$16:$D$5015,"Masuk",Transaksi!$B$16:$B$5015,"&lt;="&amp;MIN(EOMONTH(DATE(Dashboard!$C$4,7,1),0),TODAY()))-SUMIFS(Transaksi!$F$16:$F$5015,Transaksi!$C$16:$C$5015,$A114,Transaksi!$D$16:$D$5015,"Keluar",Transaksi!$B$16:$B$5015,"&lt;="&amp;MIN(EOMONTH(DATE(Dashboard!$C$4,7,1),0),TODAY()))-SUMIFS(Transaksi!$F$16:$F$5015,Transaksi!$C$16:$C$5015,$A114,Transaksi!$D$16:$D$5015,"Pindah",Transaksi!$B$16:$B$5015,"&lt;="&amp;MIN(EOMONTH(DATE(Dashboard!$C$4,7,1),0),TODAY()))+SUMIFS(Transaksi!$F$16:$F$5015,Transaksi!$E$16:$E$5015,$A114,Transaksi!$D$16:$D$5015,"Pindah",Transaksi!$B$16:$B$5015,"&lt;="&amp;MIN(EOMONTH(DATE(Dashboard!$C$4,7,1),0),TODAY())))</f>
        <v/>
      </c>
      <c r="J114" s="106">
        <f>IF(OR($A114="",DATE(Dashboard!$C$4,8,1)&gt;TODAY(),ISNA(MATCH($B114,{"Pribadi","Investasi (kas RDN)","Piutang","Pinjaman Mama (dompet)"},0))),"",SUMIFS(Akun!$C$5:$C$104,Akun!$A$5:$A$104,$A114,Akun!$D$5:$D$104,"&lt;="&amp;MIN(EOMONTH(DATE(Dashboard!$C$4,8,1),0),TODAY()))+SUMIFS(Transaksi!$F$16:$F$5015,Transaksi!$C$16:$C$5015,$A114,Transaksi!$D$16:$D$5015,"Masuk",Transaksi!$B$16:$B$5015,"&lt;="&amp;MIN(EOMONTH(DATE(Dashboard!$C$4,8,1),0),TODAY()))-SUMIFS(Transaksi!$F$16:$F$5015,Transaksi!$C$16:$C$5015,$A114,Transaksi!$D$16:$D$5015,"Keluar",Transaksi!$B$16:$B$5015,"&lt;="&amp;MIN(EOMONTH(DATE(Dashboard!$C$4,8,1),0),TODAY()))-SUMIFS(Transaksi!$F$16:$F$5015,Transaksi!$C$16:$C$5015,$A114,Transaksi!$D$16:$D$5015,"Pindah",Transaksi!$B$16:$B$5015,"&lt;="&amp;MIN(EOMONTH(DATE(Dashboard!$C$4,8,1),0),TODAY()))+SUMIFS(Transaksi!$F$16:$F$5015,Transaksi!$E$16:$E$5015,$A114,Transaksi!$D$16:$D$5015,"Pindah",Transaksi!$B$16:$B$5015,"&lt;="&amp;MIN(EOMONTH(DATE(Dashboard!$C$4,8,1),0),TODAY())))</f>
        <v/>
      </c>
      <c r="K114" s="106">
        <f>IF(OR($A114="",DATE(Dashboard!$C$4,9,1)&gt;TODAY(),ISNA(MATCH($B114,{"Pribadi","Investasi (kas RDN)","Piutang","Pinjaman Mama (dompet)"},0))),"",SUMIFS(Akun!$C$5:$C$104,Akun!$A$5:$A$104,$A114,Akun!$D$5:$D$104,"&lt;="&amp;MIN(EOMONTH(DATE(Dashboard!$C$4,9,1),0),TODAY()))+SUMIFS(Transaksi!$F$16:$F$5015,Transaksi!$C$16:$C$5015,$A114,Transaksi!$D$16:$D$5015,"Masuk",Transaksi!$B$16:$B$5015,"&lt;="&amp;MIN(EOMONTH(DATE(Dashboard!$C$4,9,1),0),TODAY()))-SUMIFS(Transaksi!$F$16:$F$5015,Transaksi!$C$16:$C$5015,$A114,Transaksi!$D$16:$D$5015,"Keluar",Transaksi!$B$16:$B$5015,"&lt;="&amp;MIN(EOMONTH(DATE(Dashboard!$C$4,9,1),0),TODAY()))-SUMIFS(Transaksi!$F$16:$F$5015,Transaksi!$C$16:$C$5015,$A114,Transaksi!$D$16:$D$5015,"Pindah",Transaksi!$B$16:$B$5015,"&lt;="&amp;MIN(EOMONTH(DATE(Dashboard!$C$4,9,1),0),TODAY()))+SUMIFS(Transaksi!$F$16:$F$5015,Transaksi!$E$16:$E$5015,$A114,Transaksi!$D$16:$D$5015,"Pindah",Transaksi!$B$16:$B$5015,"&lt;="&amp;MIN(EOMONTH(DATE(Dashboard!$C$4,9,1),0),TODAY())))</f>
        <v/>
      </c>
      <c r="L114" s="106">
        <f>IF(OR($A114="",DATE(Dashboard!$C$4,10,1)&gt;TODAY(),ISNA(MATCH($B114,{"Pribadi","Investasi (kas RDN)","Piutang","Pinjaman Mama (dompet)"},0))),"",SUMIFS(Akun!$C$5:$C$104,Akun!$A$5:$A$104,$A114,Akun!$D$5:$D$104,"&lt;="&amp;MIN(EOMONTH(DATE(Dashboard!$C$4,10,1),0),TODAY()))+SUMIFS(Transaksi!$F$16:$F$5015,Transaksi!$C$16:$C$5015,$A114,Transaksi!$D$16:$D$5015,"Masuk",Transaksi!$B$16:$B$5015,"&lt;="&amp;MIN(EOMONTH(DATE(Dashboard!$C$4,10,1),0),TODAY()))-SUMIFS(Transaksi!$F$16:$F$5015,Transaksi!$C$16:$C$5015,$A114,Transaksi!$D$16:$D$5015,"Keluar",Transaksi!$B$16:$B$5015,"&lt;="&amp;MIN(EOMONTH(DATE(Dashboard!$C$4,10,1),0),TODAY()))-SUMIFS(Transaksi!$F$16:$F$5015,Transaksi!$C$16:$C$5015,$A114,Transaksi!$D$16:$D$5015,"Pindah",Transaksi!$B$16:$B$5015,"&lt;="&amp;MIN(EOMONTH(DATE(Dashboard!$C$4,10,1),0),TODAY()))+SUMIFS(Transaksi!$F$16:$F$5015,Transaksi!$E$16:$E$5015,$A114,Transaksi!$D$16:$D$5015,"Pindah",Transaksi!$B$16:$B$5015,"&lt;="&amp;MIN(EOMONTH(DATE(Dashboard!$C$4,10,1),0),TODAY())))</f>
        <v/>
      </c>
      <c r="M114" s="106">
        <f>IF(OR($A114="",DATE(Dashboard!$C$4,11,1)&gt;TODAY(),ISNA(MATCH($B114,{"Pribadi","Investasi (kas RDN)","Piutang","Pinjaman Mama (dompet)"},0))),"",SUMIFS(Akun!$C$5:$C$104,Akun!$A$5:$A$104,$A114,Akun!$D$5:$D$104,"&lt;="&amp;MIN(EOMONTH(DATE(Dashboard!$C$4,11,1),0),TODAY()))+SUMIFS(Transaksi!$F$16:$F$5015,Transaksi!$C$16:$C$5015,$A114,Transaksi!$D$16:$D$5015,"Masuk",Transaksi!$B$16:$B$5015,"&lt;="&amp;MIN(EOMONTH(DATE(Dashboard!$C$4,11,1),0),TODAY()))-SUMIFS(Transaksi!$F$16:$F$5015,Transaksi!$C$16:$C$5015,$A114,Transaksi!$D$16:$D$5015,"Keluar",Transaksi!$B$16:$B$5015,"&lt;="&amp;MIN(EOMONTH(DATE(Dashboard!$C$4,11,1),0),TODAY()))-SUMIFS(Transaksi!$F$16:$F$5015,Transaksi!$C$16:$C$5015,$A114,Transaksi!$D$16:$D$5015,"Pindah",Transaksi!$B$16:$B$5015,"&lt;="&amp;MIN(EOMONTH(DATE(Dashboard!$C$4,11,1),0),TODAY()))+SUMIFS(Transaksi!$F$16:$F$5015,Transaksi!$E$16:$E$5015,$A114,Transaksi!$D$16:$D$5015,"Pindah",Transaksi!$B$16:$B$5015,"&lt;="&amp;MIN(EOMONTH(DATE(Dashboard!$C$4,11,1),0),TODAY())))</f>
        <v/>
      </c>
      <c r="N114" s="106">
        <f>IF(OR($A114="",DATE(Dashboard!$C$4,12,1)&gt;TODAY(),ISNA(MATCH($B114,{"Pribadi","Investasi (kas RDN)","Piutang","Pinjaman Mama (dompet)"},0))),"",SUMIFS(Akun!$C$5:$C$104,Akun!$A$5:$A$104,$A114,Akun!$D$5:$D$104,"&lt;="&amp;MIN(EOMONTH(DATE(Dashboard!$C$4,12,1),0),TODAY()))+SUMIFS(Transaksi!$F$16:$F$5015,Transaksi!$C$16:$C$5015,$A114,Transaksi!$D$16:$D$5015,"Masuk",Transaksi!$B$16:$B$5015,"&lt;="&amp;MIN(EOMONTH(DATE(Dashboard!$C$4,12,1),0),TODAY()))-SUMIFS(Transaksi!$F$16:$F$5015,Transaksi!$C$16:$C$5015,$A114,Transaksi!$D$16:$D$5015,"Keluar",Transaksi!$B$16:$B$5015,"&lt;="&amp;MIN(EOMONTH(DATE(Dashboard!$C$4,12,1),0),TODAY()))-SUMIFS(Transaksi!$F$16:$F$5015,Transaksi!$C$16:$C$5015,$A114,Transaksi!$D$16:$D$5015,"Pindah",Transaksi!$B$16:$B$5015,"&lt;="&amp;MIN(EOMONTH(DATE(Dashboard!$C$4,12,1),0),TODAY()))+SUMIFS(Transaksi!$F$16:$F$5015,Transaksi!$E$16:$E$5015,$A114,Transaksi!$D$16:$D$5015,"Pindah",Transaksi!$B$16:$B$5015,"&lt;="&amp;MIN(EOMONTH(DATE(Dashboard!$C$4,12,1),0),TODAY())))</f>
        <v/>
      </c>
    </row>
    <row r="115" ht="15" customHeight="1" s="94">
      <c r="A115" s="93">
        <f>IF(Akun!$A$79="","",Akun!$A$79)</f>
        <v/>
      </c>
      <c r="B115" s="93">
        <f>IF(Akun!$A$79="","",Akun!$B$79)</f>
        <v/>
      </c>
      <c r="C115" s="106">
        <f>IF(OR($A115="",DATE(Dashboard!$C$4,1,1)&gt;TODAY(),ISNA(MATCH($B115,{"Pribadi","Investasi (kas RDN)","Piutang","Pinjaman Mama (dompet)"},0))),"",SUMIFS(Akun!$C$5:$C$104,Akun!$A$5:$A$104,$A115,Akun!$D$5:$D$104,"&lt;="&amp;MIN(EOMONTH(DATE(Dashboard!$C$4,1,1),0),TODAY()))+SUMIFS(Transaksi!$F$16:$F$5015,Transaksi!$C$16:$C$5015,$A115,Transaksi!$D$16:$D$5015,"Masuk",Transaksi!$B$16:$B$5015,"&lt;="&amp;MIN(EOMONTH(DATE(Dashboard!$C$4,1,1),0),TODAY()))-SUMIFS(Transaksi!$F$16:$F$5015,Transaksi!$C$16:$C$5015,$A115,Transaksi!$D$16:$D$5015,"Keluar",Transaksi!$B$16:$B$5015,"&lt;="&amp;MIN(EOMONTH(DATE(Dashboard!$C$4,1,1),0),TODAY()))-SUMIFS(Transaksi!$F$16:$F$5015,Transaksi!$C$16:$C$5015,$A115,Transaksi!$D$16:$D$5015,"Pindah",Transaksi!$B$16:$B$5015,"&lt;="&amp;MIN(EOMONTH(DATE(Dashboard!$C$4,1,1),0),TODAY()))+SUMIFS(Transaksi!$F$16:$F$5015,Transaksi!$E$16:$E$5015,$A115,Transaksi!$D$16:$D$5015,"Pindah",Transaksi!$B$16:$B$5015,"&lt;="&amp;MIN(EOMONTH(DATE(Dashboard!$C$4,1,1),0),TODAY())))</f>
        <v/>
      </c>
      <c r="D115" s="106">
        <f>IF(OR($A115="",DATE(Dashboard!$C$4,2,1)&gt;TODAY(),ISNA(MATCH($B115,{"Pribadi","Investasi (kas RDN)","Piutang","Pinjaman Mama (dompet)"},0))),"",SUMIFS(Akun!$C$5:$C$104,Akun!$A$5:$A$104,$A115,Akun!$D$5:$D$104,"&lt;="&amp;MIN(EOMONTH(DATE(Dashboard!$C$4,2,1),0),TODAY()))+SUMIFS(Transaksi!$F$16:$F$5015,Transaksi!$C$16:$C$5015,$A115,Transaksi!$D$16:$D$5015,"Masuk",Transaksi!$B$16:$B$5015,"&lt;="&amp;MIN(EOMONTH(DATE(Dashboard!$C$4,2,1),0),TODAY()))-SUMIFS(Transaksi!$F$16:$F$5015,Transaksi!$C$16:$C$5015,$A115,Transaksi!$D$16:$D$5015,"Keluar",Transaksi!$B$16:$B$5015,"&lt;="&amp;MIN(EOMONTH(DATE(Dashboard!$C$4,2,1),0),TODAY()))-SUMIFS(Transaksi!$F$16:$F$5015,Transaksi!$C$16:$C$5015,$A115,Transaksi!$D$16:$D$5015,"Pindah",Transaksi!$B$16:$B$5015,"&lt;="&amp;MIN(EOMONTH(DATE(Dashboard!$C$4,2,1),0),TODAY()))+SUMIFS(Transaksi!$F$16:$F$5015,Transaksi!$E$16:$E$5015,$A115,Transaksi!$D$16:$D$5015,"Pindah",Transaksi!$B$16:$B$5015,"&lt;="&amp;MIN(EOMONTH(DATE(Dashboard!$C$4,2,1),0),TODAY())))</f>
        <v/>
      </c>
      <c r="E115" s="106">
        <f>IF(OR($A115="",DATE(Dashboard!$C$4,3,1)&gt;TODAY(),ISNA(MATCH($B115,{"Pribadi","Investasi (kas RDN)","Piutang","Pinjaman Mama (dompet)"},0))),"",SUMIFS(Akun!$C$5:$C$104,Akun!$A$5:$A$104,$A115,Akun!$D$5:$D$104,"&lt;="&amp;MIN(EOMONTH(DATE(Dashboard!$C$4,3,1),0),TODAY()))+SUMIFS(Transaksi!$F$16:$F$5015,Transaksi!$C$16:$C$5015,$A115,Transaksi!$D$16:$D$5015,"Masuk",Transaksi!$B$16:$B$5015,"&lt;="&amp;MIN(EOMONTH(DATE(Dashboard!$C$4,3,1),0),TODAY()))-SUMIFS(Transaksi!$F$16:$F$5015,Transaksi!$C$16:$C$5015,$A115,Transaksi!$D$16:$D$5015,"Keluar",Transaksi!$B$16:$B$5015,"&lt;="&amp;MIN(EOMONTH(DATE(Dashboard!$C$4,3,1),0),TODAY()))-SUMIFS(Transaksi!$F$16:$F$5015,Transaksi!$C$16:$C$5015,$A115,Transaksi!$D$16:$D$5015,"Pindah",Transaksi!$B$16:$B$5015,"&lt;="&amp;MIN(EOMONTH(DATE(Dashboard!$C$4,3,1),0),TODAY()))+SUMIFS(Transaksi!$F$16:$F$5015,Transaksi!$E$16:$E$5015,$A115,Transaksi!$D$16:$D$5015,"Pindah",Transaksi!$B$16:$B$5015,"&lt;="&amp;MIN(EOMONTH(DATE(Dashboard!$C$4,3,1),0),TODAY())))</f>
        <v/>
      </c>
      <c r="F115" s="106">
        <f>IF(OR($A115="",DATE(Dashboard!$C$4,4,1)&gt;TODAY(),ISNA(MATCH($B115,{"Pribadi","Investasi (kas RDN)","Piutang","Pinjaman Mama (dompet)"},0))),"",SUMIFS(Akun!$C$5:$C$104,Akun!$A$5:$A$104,$A115,Akun!$D$5:$D$104,"&lt;="&amp;MIN(EOMONTH(DATE(Dashboard!$C$4,4,1),0),TODAY()))+SUMIFS(Transaksi!$F$16:$F$5015,Transaksi!$C$16:$C$5015,$A115,Transaksi!$D$16:$D$5015,"Masuk",Transaksi!$B$16:$B$5015,"&lt;="&amp;MIN(EOMONTH(DATE(Dashboard!$C$4,4,1),0),TODAY()))-SUMIFS(Transaksi!$F$16:$F$5015,Transaksi!$C$16:$C$5015,$A115,Transaksi!$D$16:$D$5015,"Keluar",Transaksi!$B$16:$B$5015,"&lt;="&amp;MIN(EOMONTH(DATE(Dashboard!$C$4,4,1),0),TODAY()))-SUMIFS(Transaksi!$F$16:$F$5015,Transaksi!$C$16:$C$5015,$A115,Transaksi!$D$16:$D$5015,"Pindah",Transaksi!$B$16:$B$5015,"&lt;="&amp;MIN(EOMONTH(DATE(Dashboard!$C$4,4,1),0),TODAY()))+SUMIFS(Transaksi!$F$16:$F$5015,Transaksi!$E$16:$E$5015,$A115,Transaksi!$D$16:$D$5015,"Pindah",Transaksi!$B$16:$B$5015,"&lt;="&amp;MIN(EOMONTH(DATE(Dashboard!$C$4,4,1),0),TODAY())))</f>
        <v/>
      </c>
      <c r="G115" s="106">
        <f>IF(OR($A115="",DATE(Dashboard!$C$4,5,1)&gt;TODAY(),ISNA(MATCH($B115,{"Pribadi","Investasi (kas RDN)","Piutang","Pinjaman Mama (dompet)"},0))),"",SUMIFS(Akun!$C$5:$C$104,Akun!$A$5:$A$104,$A115,Akun!$D$5:$D$104,"&lt;="&amp;MIN(EOMONTH(DATE(Dashboard!$C$4,5,1),0),TODAY()))+SUMIFS(Transaksi!$F$16:$F$5015,Transaksi!$C$16:$C$5015,$A115,Transaksi!$D$16:$D$5015,"Masuk",Transaksi!$B$16:$B$5015,"&lt;="&amp;MIN(EOMONTH(DATE(Dashboard!$C$4,5,1),0),TODAY()))-SUMIFS(Transaksi!$F$16:$F$5015,Transaksi!$C$16:$C$5015,$A115,Transaksi!$D$16:$D$5015,"Keluar",Transaksi!$B$16:$B$5015,"&lt;="&amp;MIN(EOMONTH(DATE(Dashboard!$C$4,5,1),0),TODAY()))-SUMIFS(Transaksi!$F$16:$F$5015,Transaksi!$C$16:$C$5015,$A115,Transaksi!$D$16:$D$5015,"Pindah",Transaksi!$B$16:$B$5015,"&lt;="&amp;MIN(EOMONTH(DATE(Dashboard!$C$4,5,1),0),TODAY()))+SUMIFS(Transaksi!$F$16:$F$5015,Transaksi!$E$16:$E$5015,$A115,Transaksi!$D$16:$D$5015,"Pindah",Transaksi!$B$16:$B$5015,"&lt;="&amp;MIN(EOMONTH(DATE(Dashboard!$C$4,5,1),0),TODAY())))</f>
        <v/>
      </c>
      <c r="H115" s="106">
        <f>IF(OR($A115="",DATE(Dashboard!$C$4,6,1)&gt;TODAY(),ISNA(MATCH($B115,{"Pribadi","Investasi (kas RDN)","Piutang","Pinjaman Mama (dompet)"},0))),"",SUMIFS(Akun!$C$5:$C$104,Akun!$A$5:$A$104,$A115,Akun!$D$5:$D$104,"&lt;="&amp;MIN(EOMONTH(DATE(Dashboard!$C$4,6,1),0),TODAY()))+SUMIFS(Transaksi!$F$16:$F$5015,Transaksi!$C$16:$C$5015,$A115,Transaksi!$D$16:$D$5015,"Masuk",Transaksi!$B$16:$B$5015,"&lt;="&amp;MIN(EOMONTH(DATE(Dashboard!$C$4,6,1),0),TODAY()))-SUMIFS(Transaksi!$F$16:$F$5015,Transaksi!$C$16:$C$5015,$A115,Transaksi!$D$16:$D$5015,"Keluar",Transaksi!$B$16:$B$5015,"&lt;="&amp;MIN(EOMONTH(DATE(Dashboard!$C$4,6,1),0),TODAY()))-SUMIFS(Transaksi!$F$16:$F$5015,Transaksi!$C$16:$C$5015,$A115,Transaksi!$D$16:$D$5015,"Pindah",Transaksi!$B$16:$B$5015,"&lt;="&amp;MIN(EOMONTH(DATE(Dashboard!$C$4,6,1),0),TODAY()))+SUMIFS(Transaksi!$F$16:$F$5015,Transaksi!$E$16:$E$5015,$A115,Transaksi!$D$16:$D$5015,"Pindah",Transaksi!$B$16:$B$5015,"&lt;="&amp;MIN(EOMONTH(DATE(Dashboard!$C$4,6,1),0),TODAY())))</f>
        <v/>
      </c>
      <c r="I115" s="106">
        <f>IF(OR($A115="",DATE(Dashboard!$C$4,7,1)&gt;TODAY(),ISNA(MATCH($B115,{"Pribadi","Investasi (kas RDN)","Piutang","Pinjaman Mama (dompet)"},0))),"",SUMIFS(Akun!$C$5:$C$104,Akun!$A$5:$A$104,$A115,Akun!$D$5:$D$104,"&lt;="&amp;MIN(EOMONTH(DATE(Dashboard!$C$4,7,1),0),TODAY()))+SUMIFS(Transaksi!$F$16:$F$5015,Transaksi!$C$16:$C$5015,$A115,Transaksi!$D$16:$D$5015,"Masuk",Transaksi!$B$16:$B$5015,"&lt;="&amp;MIN(EOMONTH(DATE(Dashboard!$C$4,7,1),0),TODAY()))-SUMIFS(Transaksi!$F$16:$F$5015,Transaksi!$C$16:$C$5015,$A115,Transaksi!$D$16:$D$5015,"Keluar",Transaksi!$B$16:$B$5015,"&lt;="&amp;MIN(EOMONTH(DATE(Dashboard!$C$4,7,1),0),TODAY()))-SUMIFS(Transaksi!$F$16:$F$5015,Transaksi!$C$16:$C$5015,$A115,Transaksi!$D$16:$D$5015,"Pindah",Transaksi!$B$16:$B$5015,"&lt;="&amp;MIN(EOMONTH(DATE(Dashboard!$C$4,7,1),0),TODAY()))+SUMIFS(Transaksi!$F$16:$F$5015,Transaksi!$E$16:$E$5015,$A115,Transaksi!$D$16:$D$5015,"Pindah",Transaksi!$B$16:$B$5015,"&lt;="&amp;MIN(EOMONTH(DATE(Dashboard!$C$4,7,1),0),TODAY())))</f>
        <v/>
      </c>
      <c r="J115" s="106">
        <f>IF(OR($A115="",DATE(Dashboard!$C$4,8,1)&gt;TODAY(),ISNA(MATCH($B115,{"Pribadi","Investasi (kas RDN)","Piutang","Pinjaman Mama (dompet)"},0))),"",SUMIFS(Akun!$C$5:$C$104,Akun!$A$5:$A$104,$A115,Akun!$D$5:$D$104,"&lt;="&amp;MIN(EOMONTH(DATE(Dashboard!$C$4,8,1),0),TODAY()))+SUMIFS(Transaksi!$F$16:$F$5015,Transaksi!$C$16:$C$5015,$A115,Transaksi!$D$16:$D$5015,"Masuk",Transaksi!$B$16:$B$5015,"&lt;="&amp;MIN(EOMONTH(DATE(Dashboard!$C$4,8,1),0),TODAY()))-SUMIFS(Transaksi!$F$16:$F$5015,Transaksi!$C$16:$C$5015,$A115,Transaksi!$D$16:$D$5015,"Keluar",Transaksi!$B$16:$B$5015,"&lt;="&amp;MIN(EOMONTH(DATE(Dashboard!$C$4,8,1),0),TODAY()))-SUMIFS(Transaksi!$F$16:$F$5015,Transaksi!$C$16:$C$5015,$A115,Transaksi!$D$16:$D$5015,"Pindah",Transaksi!$B$16:$B$5015,"&lt;="&amp;MIN(EOMONTH(DATE(Dashboard!$C$4,8,1),0),TODAY()))+SUMIFS(Transaksi!$F$16:$F$5015,Transaksi!$E$16:$E$5015,$A115,Transaksi!$D$16:$D$5015,"Pindah",Transaksi!$B$16:$B$5015,"&lt;="&amp;MIN(EOMONTH(DATE(Dashboard!$C$4,8,1),0),TODAY())))</f>
        <v/>
      </c>
      <c r="K115" s="106">
        <f>IF(OR($A115="",DATE(Dashboard!$C$4,9,1)&gt;TODAY(),ISNA(MATCH($B115,{"Pribadi","Investasi (kas RDN)","Piutang","Pinjaman Mama (dompet)"},0))),"",SUMIFS(Akun!$C$5:$C$104,Akun!$A$5:$A$104,$A115,Akun!$D$5:$D$104,"&lt;="&amp;MIN(EOMONTH(DATE(Dashboard!$C$4,9,1),0),TODAY()))+SUMIFS(Transaksi!$F$16:$F$5015,Transaksi!$C$16:$C$5015,$A115,Transaksi!$D$16:$D$5015,"Masuk",Transaksi!$B$16:$B$5015,"&lt;="&amp;MIN(EOMONTH(DATE(Dashboard!$C$4,9,1),0),TODAY()))-SUMIFS(Transaksi!$F$16:$F$5015,Transaksi!$C$16:$C$5015,$A115,Transaksi!$D$16:$D$5015,"Keluar",Transaksi!$B$16:$B$5015,"&lt;="&amp;MIN(EOMONTH(DATE(Dashboard!$C$4,9,1),0),TODAY()))-SUMIFS(Transaksi!$F$16:$F$5015,Transaksi!$C$16:$C$5015,$A115,Transaksi!$D$16:$D$5015,"Pindah",Transaksi!$B$16:$B$5015,"&lt;="&amp;MIN(EOMONTH(DATE(Dashboard!$C$4,9,1),0),TODAY()))+SUMIFS(Transaksi!$F$16:$F$5015,Transaksi!$E$16:$E$5015,$A115,Transaksi!$D$16:$D$5015,"Pindah",Transaksi!$B$16:$B$5015,"&lt;="&amp;MIN(EOMONTH(DATE(Dashboard!$C$4,9,1),0),TODAY())))</f>
        <v/>
      </c>
      <c r="L115" s="106">
        <f>IF(OR($A115="",DATE(Dashboard!$C$4,10,1)&gt;TODAY(),ISNA(MATCH($B115,{"Pribadi","Investasi (kas RDN)","Piutang","Pinjaman Mama (dompet)"},0))),"",SUMIFS(Akun!$C$5:$C$104,Akun!$A$5:$A$104,$A115,Akun!$D$5:$D$104,"&lt;="&amp;MIN(EOMONTH(DATE(Dashboard!$C$4,10,1),0),TODAY()))+SUMIFS(Transaksi!$F$16:$F$5015,Transaksi!$C$16:$C$5015,$A115,Transaksi!$D$16:$D$5015,"Masuk",Transaksi!$B$16:$B$5015,"&lt;="&amp;MIN(EOMONTH(DATE(Dashboard!$C$4,10,1),0),TODAY()))-SUMIFS(Transaksi!$F$16:$F$5015,Transaksi!$C$16:$C$5015,$A115,Transaksi!$D$16:$D$5015,"Keluar",Transaksi!$B$16:$B$5015,"&lt;="&amp;MIN(EOMONTH(DATE(Dashboard!$C$4,10,1),0),TODAY()))-SUMIFS(Transaksi!$F$16:$F$5015,Transaksi!$C$16:$C$5015,$A115,Transaksi!$D$16:$D$5015,"Pindah",Transaksi!$B$16:$B$5015,"&lt;="&amp;MIN(EOMONTH(DATE(Dashboard!$C$4,10,1),0),TODAY()))+SUMIFS(Transaksi!$F$16:$F$5015,Transaksi!$E$16:$E$5015,$A115,Transaksi!$D$16:$D$5015,"Pindah",Transaksi!$B$16:$B$5015,"&lt;="&amp;MIN(EOMONTH(DATE(Dashboard!$C$4,10,1),0),TODAY())))</f>
        <v/>
      </c>
      <c r="M115" s="106">
        <f>IF(OR($A115="",DATE(Dashboard!$C$4,11,1)&gt;TODAY(),ISNA(MATCH($B115,{"Pribadi","Investasi (kas RDN)","Piutang","Pinjaman Mama (dompet)"},0))),"",SUMIFS(Akun!$C$5:$C$104,Akun!$A$5:$A$104,$A115,Akun!$D$5:$D$104,"&lt;="&amp;MIN(EOMONTH(DATE(Dashboard!$C$4,11,1),0),TODAY()))+SUMIFS(Transaksi!$F$16:$F$5015,Transaksi!$C$16:$C$5015,$A115,Transaksi!$D$16:$D$5015,"Masuk",Transaksi!$B$16:$B$5015,"&lt;="&amp;MIN(EOMONTH(DATE(Dashboard!$C$4,11,1),0),TODAY()))-SUMIFS(Transaksi!$F$16:$F$5015,Transaksi!$C$16:$C$5015,$A115,Transaksi!$D$16:$D$5015,"Keluar",Transaksi!$B$16:$B$5015,"&lt;="&amp;MIN(EOMONTH(DATE(Dashboard!$C$4,11,1),0),TODAY()))-SUMIFS(Transaksi!$F$16:$F$5015,Transaksi!$C$16:$C$5015,$A115,Transaksi!$D$16:$D$5015,"Pindah",Transaksi!$B$16:$B$5015,"&lt;="&amp;MIN(EOMONTH(DATE(Dashboard!$C$4,11,1),0),TODAY()))+SUMIFS(Transaksi!$F$16:$F$5015,Transaksi!$E$16:$E$5015,$A115,Transaksi!$D$16:$D$5015,"Pindah",Transaksi!$B$16:$B$5015,"&lt;="&amp;MIN(EOMONTH(DATE(Dashboard!$C$4,11,1),0),TODAY())))</f>
        <v/>
      </c>
      <c r="N115" s="106">
        <f>IF(OR($A115="",DATE(Dashboard!$C$4,12,1)&gt;TODAY(),ISNA(MATCH($B115,{"Pribadi","Investasi (kas RDN)","Piutang","Pinjaman Mama (dompet)"},0))),"",SUMIFS(Akun!$C$5:$C$104,Akun!$A$5:$A$104,$A115,Akun!$D$5:$D$104,"&lt;="&amp;MIN(EOMONTH(DATE(Dashboard!$C$4,12,1),0),TODAY()))+SUMIFS(Transaksi!$F$16:$F$5015,Transaksi!$C$16:$C$5015,$A115,Transaksi!$D$16:$D$5015,"Masuk",Transaksi!$B$16:$B$5015,"&lt;="&amp;MIN(EOMONTH(DATE(Dashboard!$C$4,12,1),0),TODAY()))-SUMIFS(Transaksi!$F$16:$F$5015,Transaksi!$C$16:$C$5015,$A115,Transaksi!$D$16:$D$5015,"Keluar",Transaksi!$B$16:$B$5015,"&lt;="&amp;MIN(EOMONTH(DATE(Dashboard!$C$4,12,1),0),TODAY()))-SUMIFS(Transaksi!$F$16:$F$5015,Transaksi!$C$16:$C$5015,$A115,Transaksi!$D$16:$D$5015,"Pindah",Transaksi!$B$16:$B$5015,"&lt;="&amp;MIN(EOMONTH(DATE(Dashboard!$C$4,12,1),0),TODAY()))+SUMIFS(Transaksi!$F$16:$F$5015,Transaksi!$E$16:$E$5015,$A115,Transaksi!$D$16:$D$5015,"Pindah",Transaksi!$B$16:$B$5015,"&lt;="&amp;MIN(EOMONTH(DATE(Dashboard!$C$4,12,1),0),TODAY())))</f>
        <v/>
      </c>
    </row>
    <row r="116" ht="15" customHeight="1" s="94">
      <c r="A116" s="93">
        <f>IF(Akun!$A$80="","",Akun!$A$80)</f>
        <v/>
      </c>
      <c r="B116" s="93">
        <f>IF(Akun!$A$80="","",Akun!$B$80)</f>
        <v/>
      </c>
      <c r="C116" s="106">
        <f>IF(OR($A116="",DATE(Dashboard!$C$4,1,1)&gt;TODAY(),ISNA(MATCH($B116,{"Pribadi","Investasi (kas RDN)","Piutang","Pinjaman Mama (dompet)"},0))),"",SUMIFS(Akun!$C$5:$C$104,Akun!$A$5:$A$104,$A116,Akun!$D$5:$D$104,"&lt;="&amp;MIN(EOMONTH(DATE(Dashboard!$C$4,1,1),0),TODAY()))+SUMIFS(Transaksi!$F$16:$F$5015,Transaksi!$C$16:$C$5015,$A116,Transaksi!$D$16:$D$5015,"Masuk",Transaksi!$B$16:$B$5015,"&lt;="&amp;MIN(EOMONTH(DATE(Dashboard!$C$4,1,1),0),TODAY()))-SUMIFS(Transaksi!$F$16:$F$5015,Transaksi!$C$16:$C$5015,$A116,Transaksi!$D$16:$D$5015,"Keluar",Transaksi!$B$16:$B$5015,"&lt;="&amp;MIN(EOMONTH(DATE(Dashboard!$C$4,1,1),0),TODAY()))-SUMIFS(Transaksi!$F$16:$F$5015,Transaksi!$C$16:$C$5015,$A116,Transaksi!$D$16:$D$5015,"Pindah",Transaksi!$B$16:$B$5015,"&lt;="&amp;MIN(EOMONTH(DATE(Dashboard!$C$4,1,1),0),TODAY()))+SUMIFS(Transaksi!$F$16:$F$5015,Transaksi!$E$16:$E$5015,$A116,Transaksi!$D$16:$D$5015,"Pindah",Transaksi!$B$16:$B$5015,"&lt;="&amp;MIN(EOMONTH(DATE(Dashboard!$C$4,1,1),0),TODAY())))</f>
        <v/>
      </c>
      <c r="D116" s="106">
        <f>IF(OR($A116="",DATE(Dashboard!$C$4,2,1)&gt;TODAY(),ISNA(MATCH($B116,{"Pribadi","Investasi (kas RDN)","Piutang","Pinjaman Mama (dompet)"},0))),"",SUMIFS(Akun!$C$5:$C$104,Akun!$A$5:$A$104,$A116,Akun!$D$5:$D$104,"&lt;="&amp;MIN(EOMONTH(DATE(Dashboard!$C$4,2,1),0),TODAY()))+SUMIFS(Transaksi!$F$16:$F$5015,Transaksi!$C$16:$C$5015,$A116,Transaksi!$D$16:$D$5015,"Masuk",Transaksi!$B$16:$B$5015,"&lt;="&amp;MIN(EOMONTH(DATE(Dashboard!$C$4,2,1),0),TODAY()))-SUMIFS(Transaksi!$F$16:$F$5015,Transaksi!$C$16:$C$5015,$A116,Transaksi!$D$16:$D$5015,"Keluar",Transaksi!$B$16:$B$5015,"&lt;="&amp;MIN(EOMONTH(DATE(Dashboard!$C$4,2,1),0),TODAY()))-SUMIFS(Transaksi!$F$16:$F$5015,Transaksi!$C$16:$C$5015,$A116,Transaksi!$D$16:$D$5015,"Pindah",Transaksi!$B$16:$B$5015,"&lt;="&amp;MIN(EOMONTH(DATE(Dashboard!$C$4,2,1),0),TODAY()))+SUMIFS(Transaksi!$F$16:$F$5015,Transaksi!$E$16:$E$5015,$A116,Transaksi!$D$16:$D$5015,"Pindah",Transaksi!$B$16:$B$5015,"&lt;="&amp;MIN(EOMONTH(DATE(Dashboard!$C$4,2,1),0),TODAY())))</f>
        <v/>
      </c>
      <c r="E116" s="106">
        <f>IF(OR($A116="",DATE(Dashboard!$C$4,3,1)&gt;TODAY(),ISNA(MATCH($B116,{"Pribadi","Investasi (kas RDN)","Piutang","Pinjaman Mama (dompet)"},0))),"",SUMIFS(Akun!$C$5:$C$104,Akun!$A$5:$A$104,$A116,Akun!$D$5:$D$104,"&lt;="&amp;MIN(EOMONTH(DATE(Dashboard!$C$4,3,1),0),TODAY()))+SUMIFS(Transaksi!$F$16:$F$5015,Transaksi!$C$16:$C$5015,$A116,Transaksi!$D$16:$D$5015,"Masuk",Transaksi!$B$16:$B$5015,"&lt;="&amp;MIN(EOMONTH(DATE(Dashboard!$C$4,3,1),0),TODAY()))-SUMIFS(Transaksi!$F$16:$F$5015,Transaksi!$C$16:$C$5015,$A116,Transaksi!$D$16:$D$5015,"Keluar",Transaksi!$B$16:$B$5015,"&lt;="&amp;MIN(EOMONTH(DATE(Dashboard!$C$4,3,1),0),TODAY()))-SUMIFS(Transaksi!$F$16:$F$5015,Transaksi!$C$16:$C$5015,$A116,Transaksi!$D$16:$D$5015,"Pindah",Transaksi!$B$16:$B$5015,"&lt;="&amp;MIN(EOMONTH(DATE(Dashboard!$C$4,3,1),0),TODAY()))+SUMIFS(Transaksi!$F$16:$F$5015,Transaksi!$E$16:$E$5015,$A116,Transaksi!$D$16:$D$5015,"Pindah",Transaksi!$B$16:$B$5015,"&lt;="&amp;MIN(EOMONTH(DATE(Dashboard!$C$4,3,1),0),TODAY())))</f>
        <v/>
      </c>
      <c r="F116" s="106">
        <f>IF(OR($A116="",DATE(Dashboard!$C$4,4,1)&gt;TODAY(),ISNA(MATCH($B116,{"Pribadi","Investasi (kas RDN)","Piutang","Pinjaman Mama (dompet)"},0))),"",SUMIFS(Akun!$C$5:$C$104,Akun!$A$5:$A$104,$A116,Akun!$D$5:$D$104,"&lt;="&amp;MIN(EOMONTH(DATE(Dashboard!$C$4,4,1),0),TODAY()))+SUMIFS(Transaksi!$F$16:$F$5015,Transaksi!$C$16:$C$5015,$A116,Transaksi!$D$16:$D$5015,"Masuk",Transaksi!$B$16:$B$5015,"&lt;="&amp;MIN(EOMONTH(DATE(Dashboard!$C$4,4,1),0),TODAY()))-SUMIFS(Transaksi!$F$16:$F$5015,Transaksi!$C$16:$C$5015,$A116,Transaksi!$D$16:$D$5015,"Keluar",Transaksi!$B$16:$B$5015,"&lt;="&amp;MIN(EOMONTH(DATE(Dashboard!$C$4,4,1),0),TODAY()))-SUMIFS(Transaksi!$F$16:$F$5015,Transaksi!$C$16:$C$5015,$A116,Transaksi!$D$16:$D$5015,"Pindah",Transaksi!$B$16:$B$5015,"&lt;="&amp;MIN(EOMONTH(DATE(Dashboard!$C$4,4,1),0),TODAY()))+SUMIFS(Transaksi!$F$16:$F$5015,Transaksi!$E$16:$E$5015,$A116,Transaksi!$D$16:$D$5015,"Pindah",Transaksi!$B$16:$B$5015,"&lt;="&amp;MIN(EOMONTH(DATE(Dashboard!$C$4,4,1),0),TODAY())))</f>
        <v/>
      </c>
      <c r="G116" s="106">
        <f>IF(OR($A116="",DATE(Dashboard!$C$4,5,1)&gt;TODAY(),ISNA(MATCH($B116,{"Pribadi","Investasi (kas RDN)","Piutang","Pinjaman Mama (dompet)"},0))),"",SUMIFS(Akun!$C$5:$C$104,Akun!$A$5:$A$104,$A116,Akun!$D$5:$D$104,"&lt;="&amp;MIN(EOMONTH(DATE(Dashboard!$C$4,5,1),0),TODAY()))+SUMIFS(Transaksi!$F$16:$F$5015,Transaksi!$C$16:$C$5015,$A116,Transaksi!$D$16:$D$5015,"Masuk",Transaksi!$B$16:$B$5015,"&lt;="&amp;MIN(EOMONTH(DATE(Dashboard!$C$4,5,1),0),TODAY()))-SUMIFS(Transaksi!$F$16:$F$5015,Transaksi!$C$16:$C$5015,$A116,Transaksi!$D$16:$D$5015,"Keluar",Transaksi!$B$16:$B$5015,"&lt;="&amp;MIN(EOMONTH(DATE(Dashboard!$C$4,5,1),0),TODAY()))-SUMIFS(Transaksi!$F$16:$F$5015,Transaksi!$C$16:$C$5015,$A116,Transaksi!$D$16:$D$5015,"Pindah",Transaksi!$B$16:$B$5015,"&lt;="&amp;MIN(EOMONTH(DATE(Dashboard!$C$4,5,1),0),TODAY()))+SUMIFS(Transaksi!$F$16:$F$5015,Transaksi!$E$16:$E$5015,$A116,Transaksi!$D$16:$D$5015,"Pindah",Transaksi!$B$16:$B$5015,"&lt;="&amp;MIN(EOMONTH(DATE(Dashboard!$C$4,5,1),0),TODAY())))</f>
        <v/>
      </c>
      <c r="H116" s="106">
        <f>IF(OR($A116="",DATE(Dashboard!$C$4,6,1)&gt;TODAY(),ISNA(MATCH($B116,{"Pribadi","Investasi (kas RDN)","Piutang","Pinjaman Mama (dompet)"},0))),"",SUMIFS(Akun!$C$5:$C$104,Akun!$A$5:$A$104,$A116,Akun!$D$5:$D$104,"&lt;="&amp;MIN(EOMONTH(DATE(Dashboard!$C$4,6,1),0),TODAY()))+SUMIFS(Transaksi!$F$16:$F$5015,Transaksi!$C$16:$C$5015,$A116,Transaksi!$D$16:$D$5015,"Masuk",Transaksi!$B$16:$B$5015,"&lt;="&amp;MIN(EOMONTH(DATE(Dashboard!$C$4,6,1),0),TODAY()))-SUMIFS(Transaksi!$F$16:$F$5015,Transaksi!$C$16:$C$5015,$A116,Transaksi!$D$16:$D$5015,"Keluar",Transaksi!$B$16:$B$5015,"&lt;="&amp;MIN(EOMONTH(DATE(Dashboard!$C$4,6,1),0),TODAY()))-SUMIFS(Transaksi!$F$16:$F$5015,Transaksi!$C$16:$C$5015,$A116,Transaksi!$D$16:$D$5015,"Pindah",Transaksi!$B$16:$B$5015,"&lt;="&amp;MIN(EOMONTH(DATE(Dashboard!$C$4,6,1),0),TODAY()))+SUMIFS(Transaksi!$F$16:$F$5015,Transaksi!$E$16:$E$5015,$A116,Transaksi!$D$16:$D$5015,"Pindah",Transaksi!$B$16:$B$5015,"&lt;="&amp;MIN(EOMONTH(DATE(Dashboard!$C$4,6,1),0),TODAY())))</f>
        <v/>
      </c>
      <c r="I116" s="106">
        <f>IF(OR($A116="",DATE(Dashboard!$C$4,7,1)&gt;TODAY(),ISNA(MATCH($B116,{"Pribadi","Investasi (kas RDN)","Piutang","Pinjaman Mama (dompet)"},0))),"",SUMIFS(Akun!$C$5:$C$104,Akun!$A$5:$A$104,$A116,Akun!$D$5:$D$104,"&lt;="&amp;MIN(EOMONTH(DATE(Dashboard!$C$4,7,1),0),TODAY()))+SUMIFS(Transaksi!$F$16:$F$5015,Transaksi!$C$16:$C$5015,$A116,Transaksi!$D$16:$D$5015,"Masuk",Transaksi!$B$16:$B$5015,"&lt;="&amp;MIN(EOMONTH(DATE(Dashboard!$C$4,7,1),0),TODAY()))-SUMIFS(Transaksi!$F$16:$F$5015,Transaksi!$C$16:$C$5015,$A116,Transaksi!$D$16:$D$5015,"Keluar",Transaksi!$B$16:$B$5015,"&lt;="&amp;MIN(EOMONTH(DATE(Dashboard!$C$4,7,1),0),TODAY()))-SUMIFS(Transaksi!$F$16:$F$5015,Transaksi!$C$16:$C$5015,$A116,Transaksi!$D$16:$D$5015,"Pindah",Transaksi!$B$16:$B$5015,"&lt;="&amp;MIN(EOMONTH(DATE(Dashboard!$C$4,7,1),0),TODAY()))+SUMIFS(Transaksi!$F$16:$F$5015,Transaksi!$E$16:$E$5015,$A116,Transaksi!$D$16:$D$5015,"Pindah",Transaksi!$B$16:$B$5015,"&lt;="&amp;MIN(EOMONTH(DATE(Dashboard!$C$4,7,1),0),TODAY())))</f>
        <v/>
      </c>
      <c r="J116" s="106">
        <f>IF(OR($A116="",DATE(Dashboard!$C$4,8,1)&gt;TODAY(),ISNA(MATCH($B116,{"Pribadi","Investasi (kas RDN)","Piutang","Pinjaman Mama (dompet)"},0))),"",SUMIFS(Akun!$C$5:$C$104,Akun!$A$5:$A$104,$A116,Akun!$D$5:$D$104,"&lt;="&amp;MIN(EOMONTH(DATE(Dashboard!$C$4,8,1),0),TODAY()))+SUMIFS(Transaksi!$F$16:$F$5015,Transaksi!$C$16:$C$5015,$A116,Transaksi!$D$16:$D$5015,"Masuk",Transaksi!$B$16:$B$5015,"&lt;="&amp;MIN(EOMONTH(DATE(Dashboard!$C$4,8,1),0),TODAY()))-SUMIFS(Transaksi!$F$16:$F$5015,Transaksi!$C$16:$C$5015,$A116,Transaksi!$D$16:$D$5015,"Keluar",Transaksi!$B$16:$B$5015,"&lt;="&amp;MIN(EOMONTH(DATE(Dashboard!$C$4,8,1),0),TODAY()))-SUMIFS(Transaksi!$F$16:$F$5015,Transaksi!$C$16:$C$5015,$A116,Transaksi!$D$16:$D$5015,"Pindah",Transaksi!$B$16:$B$5015,"&lt;="&amp;MIN(EOMONTH(DATE(Dashboard!$C$4,8,1),0),TODAY()))+SUMIFS(Transaksi!$F$16:$F$5015,Transaksi!$E$16:$E$5015,$A116,Transaksi!$D$16:$D$5015,"Pindah",Transaksi!$B$16:$B$5015,"&lt;="&amp;MIN(EOMONTH(DATE(Dashboard!$C$4,8,1),0),TODAY())))</f>
        <v/>
      </c>
      <c r="K116" s="106">
        <f>IF(OR($A116="",DATE(Dashboard!$C$4,9,1)&gt;TODAY(),ISNA(MATCH($B116,{"Pribadi","Investasi (kas RDN)","Piutang","Pinjaman Mama (dompet)"},0))),"",SUMIFS(Akun!$C$5:$C$104,Akun!$A$5:$A$104,$A116,Akun!$D$5:$D$104,"&lt;="&amp;MIN(EOMONTH(DATE(Dashboard!$C$4,9,1),0),TODAY()))+SUMIFS(Transaksi!$F$16:$F$5015,Transaksi!$C$16:$C$5015,$A116,Transaksi!$D$16:$D$5015,"Masuk",Transaksi!$B$16:$B$5015,"&lt;="&amp;MIN(EOMONTH(DATE(Dashboard!$C$4,9,1),0),TODAY()))-SUMIFS(Transaksi!$F$16:$F$5015,Transaksi!$C$16:$C$5015,$A116,Transaksi!$D$16:$D$5015,"Keluar",Transaksi!$B$16:$B$5015,"&lt;="&amp;MIN(EOMONTH(DATE(Dashboard!$C$4,9,1),0),TODAY()))-SUMIFS(Transaksi!$F$16:$F$5015,Transaksi!$C$16:$C$5015,$A116,Transaksi!$D$16:$D$5015,"Pindah",Transaksi!$B$16:$B$5015,"&lt;="&amp;MIN(EOMONTH(DATE(Dashboard!$C$4,9,1),0),TODAY()))+SUMIFS(Transaksi!$F$16:$F$5015,Transaksi!$E$16:$E$5015,$A116,Transaksi!$D$16:$D$5015,"Pindah",Transaksi!$B$16:$B$5015,"&lt;="&amp;MIN(EOMONTH(DATE(Dashboard!$C$4,9,1),0),TODAY())))</f>
        <v/>
      </c>
      <c r="L116" s="106">
        <f>IF(OR($A116="",DATE(Dashboard!$C$4,10,1)&gt;TODAY(),ISNA(MATCH($B116,{"Pribadi","Investasi (kas RDN)","Piutang","Pinjaman Mama (dompet)"},0))),"",SUMIFS(Akun!$C$5:$C$104,Akun!$A$5:$A$104,$A116,Akun!$D$5:$D$104,"&lt;="&amp;MIN(EOMONTH(DATE(Dashboard!$C$4,10,1),0),TODAY()))+SUMIFS(Transaksi!$F$16:$F$5015,Transaksi!$C$16:$C$5015,$A116,Transaksi!$D$16:$D$5015,"Masuk",Transaksi!$B$16:$B$5015,"&lt;="&amp;MIN(EOMONTH(DATE(Dashboard!$C$4,10,1),0),TODAY()))-SUMIFS(Transaksi!$F$16:$F$5015,Transaksi!$C$16:$C$5015,$A116,Transaksi!$D$16:$D$5015,"Keluar",Transaksi!$B$16:$B$5015,"&lt;="&amp;MIN(EOMONTH(DATE(Dashboard!$C$4,10,1),0),TODAY()))-SUMIFS(Transaksi!$F$16:$F$5015,Transaksi!$C$16:$C$5015,$A116,Transaksi!$D$16:$D$5015,"Pindah",Transaksi!$B$16:$B$5015,"&lt;="&amp;MIN(EOMONTH(DATE(Dashboard!$C$4,10,1),0),TODAY()))+SUMIFS(Transaksi!$F$16:$F$5015,Transaksi!$E$16:$E$5015,$A116,Transaksi!$D$16:$D$5015,"Pindah",Transaksi!$B$16:$B$5015,"&lt;="&amp;MIN(EOMONTH(DATE(Dashboard!$C$4,10,1),0),TODAY())))</f>
        <v/>
      </c>
      <c r="M116" s="106">
        <f>IF(OR($A116="",DATE(Dashboard!$C$4,11,1)&gt;TODAY(),ISNA(MATCH($B116,{"Pribadi","Investasi (kas RDN)","Piutang","Pinjaman Mama (dompet)"},0))),"",SUMIFS(Akun!$C$5:$C$104,Akun!$A$5:$A$104,$A116,Akun!$D$5:$D$104,"&lt;="&amp;MIN(EOMONTH(DATE(Dashboard!$C$4,11,1),0),TODAY()))+SUMIFS(Transaksi!$F$16:$F$5015,Transaksi!$C$16:$C$5015,$A116,Transaksi!$D$16:$D$5015,"Masuk",Transaksi!$B$16:$B$5015,"&lt;="&amp;MIN(EOMONTH(DATE(Dashboard!$C$4,11,1),0),TODAY()))-SUMIFS(Transaksi!$F$16:$F$5015,Transaksi!$C$16:$C$5015,$A116,Transaksi!$D$16:$D$5015,"Keluar",Transaksi!$B$16:$B$5015,"&lt;="&amp;MIN(EOMONTH(DATE(Dashboard!$C$4,11,1),0),TODAY()))-SUMIFS(Transaksi!$F$16:$F$5015,Transaksi!$C$16:$C$5015,$A116,Transaksi!$D$16:$D$5015,"Pindah",Transaksi!$B$16:$B$5015,"&lt;="&amp;MIN(EOMONTH(DATE(Dashboard!$C$4,11,1),0),TODAY()))+SUMIFS(Transaksi!$F$16:$F$5015,Transaksi!$E$16:$E$5015,$A116,Transaksi!$D$16:$D$5015,"Pindah",Transaksi!$B$16:$B$5015,"&lt;="&amp;MIN(EOMONTH(DATE(Dashboard!$C$4,11,1),0),TODAY())))</f>
        <v/>
      </c>
      <c r="N116" s="106">
        <f>IF(OR($A116="",DATE(Dashboard!$C$4,12,1)&gt;TODAY(),ISNA(MATCH($B116,{"Pribadi","Investasi (kas RDN)","Piutang","Pinjaman Mama (dompet)"},0))),"",SUMIFS(Akun!$C$5:$C$104,Akun!$A$5:$A$104,$A116,Akun!$D$5:$D$104,"&lt;="&amp;MIN(EOMONTH(DATE(Dashboard!$C$4,12,1),0),TODAY()))+SUMIFS(Transaksi!$F$16:$F$5015,Transaksi!$C$16:$C$5015,$A116,Transaksi!$D$16:$D$5015,"Masuk",Transaksi!$B$16:$B$5015,"&lt;="&amp;MIN(EOMONTH(DATE(Dashboard!$C$4,12,1),0),TODAY()))-SUMIFS(Transaksi!$F$16:$F$5015,Transaksi!$C$16:$C$5015,$A116,Transaksi!$D$16:$D$5015,"Keluar",Transaksi!$B$16:$B$5015,"&lt;="&amp;MIN(EOMONTH(DATE(Dashboard!$C$4,12,1),0),TODAY()))-SUMIFS(Transaksi!$F$16:$F$5015,Transaksi!$C$16:$C$5015,$A116,Transaksi!$D$16:$D$5015,"Pindah",Transaksi!$B$16:$B$5015,"&lt;="&amp;MIN(EOMONTH(DATE(Dashboard!$C$4,12,1),0),TODAY()))+SUMIFS(Transaksi!$F$16:$F$5015,Transaksi!$E$16:$E$5015,$A116,Transaksi!$D$16:$D$5015,"Pindah",Transaksi!$B$16:$B$5015,"&lt;="&amp;MIN(EOMONTH(DATE(Dashboard!$C$4,12,1),0),TODAY())))</f>
        <v/>
      </c>
    </row>
    <row r="117" ht="15" customHeight="1" s="94">
      <c r="A117" s="93">
        <f>IF(Akun!$A$81="","",Akun!$A$81)</f>
        <v/>
      </c>
      <c r="B117" s="93">
        <f>IF(Akun!$A$81="","",Akun!$B$81)</f>
        <v/>
      </c>
      <c r="C117" s="106">
        <f>IF(OR($A117="",DATE(Dashboard!$C$4,1,1)&gt;TODAY(),ISNA(MATCH($B117,{"Pribadi","Investasi (kas RDN)","Piutang","Pinjaman Mama (dompet)"},0))),"",SUMIFS(Akun!$C$5:$C$104,Akun!$A$5:$A$104,$A117,Akun!$D$5:$D$104,"&lt;="&amp;MIN(EOMONTH(DATE(Dashboard!$C$4,1,1),0),TODAY()))+SUMIFS(Transaksi!$F$16:$F$5015,Transaksi!$C$16:$C$5015,$A117,Transaksi!$D$16:$D$5015,"Masuk",Transaksi!$B$16:$B$5015,"&lt;="&amp;MIN(EOMONTH(DATE(Dashboard!$C$4,1,1),0),TODAY()))-SUMIFS(Transaksi!$F$16:$F$5015,Transaksi!$C$16:$C$5015,$A117,Transaksi!$D$16:$D$5015,"Keluar",Transaksi!$B$16:$B$5015,"&lt;="&amp;MIN(EOMONTH(DATE(Dashboard!$C$4,1,1),0),TODAY()))-SUMIFS(Transaksi!$F$16:$F$5015,Transaksi!$C$16:$C$5015,$A117,Transaksi!$D$16:$D$5015,"Pindah",Transaksi!$B$16:$B$5015,"&lt;="&amp;MIN(EOMONTH(DATE(Dashboard!$C$4,1,1),0),TODAY()))+SUMIFS(Transaksi!$F$16:$F$5015,Transaksi!$E$16:$E$5015,$A117,Transaksi!$D$16:$D$5015,"Pindah",Transaksi!$B$16:$B$5015,"&lt;="&amp;MIN(EOMONTH(DATE(Dashboard!$C$4,1,1),0),TODAY())))</f>
        <v/>
      </c>
      <c r="D117" s="106">
        <f>IF(OR($A117="",DATE(Dashboard!$C$4,2,1)&gt;TODAY(),ISNA(MATCH($B117,{"Pribadi","Investasi (kas RDN)","Piutang","Pinjaman Mama (dompet)"},0))),"",SUMIFS(Akun!$C$5:$C$104,Akun!$A$5:$A$104,$A117,Akun!$D$5:$D$104,"&lt;="&amp;MIN(EOMONTH(DATE(Dashboard!$C$4,2,1),0),TODAY()))+SUMIFS(Transaksi!$F$16:$F$5015,Transaksi!$C$16:$C$5015,$A117,Transaksi!$D$16:$D$5015,"Masuk",Transaksi!$B$16:$B$5015,"&lt;="&amp;MIN(EOMONTH(DATE(Dashboard!$C$4,2,1),0),TODAY()))-SUMIFS(Transaksi!$F$16:$F$5015,Transaksi!$C$16:$C$5015,$A117,Transaksi!$D$16:$D$5015,"Keluar",Transaksi!$B$16:$B$5015,"&lt;="&amp;MIN(EOMONTH(DATE(Dashboard!$C$4,2,1),0),TODAY()))-SUMIFS(Transaksi!$F$16:$F$5015,Transaksi!$C$16:$C$5015,$A117,Transaksi!$D$16:$D$5015,"Pindah",Transaksi!$B$16:$B$5015,"&lt;="&amp;MIN(EOMONTH(DATE(Dashboard!$C$4,2,1),0),TODAY()))+SUMIFS(Transaksi!$F$16:$F$5015,Transaksi!$E$16:$E$5015,$A117,Transaksi!$D$16:$D$5015,"Pindah",Transaksi!$B$16:$B$5015,"&lt;="&amp;MIN(EOMONTH(DATE(Dashboard!$C$4,2,1),0),TODAY())))</f>
        <v/>
      </c>
      <c r="E117" s="106">
        <f>IF(OR($A117="",DATE(Dashboard!$C$4,3,1)&gt;TODAY(),ISNA(MATCH($B117,{"Pribadi","Investasi (kas RDN)","Piutang","Pinjaman Mama (dompet)"},0))),"",SUMIFS(Akun!$C$5:$C$104,Akun!$A$5:$A$104,$A117,Akun!$D$5:$D$104,"&lt;="&amp;MIN(EOMONTH(DATE(Dashboard!$C$4,3,1),0),TODAY()))+SUMIFS(Transaksi!$F$16:$F$5015,Transaksi!$C$16:$C$5015,$A117,Transaksi!$D$16:$D$5015,"Masuk",Transaksi!$B$16:$B$5015,"&lt;="&amp;MIN(EOMONTH(DATE(Dashboard!$C$4,3,1),0),TODAY()))-SUMIFS(Transaksi!$F$16:$F$5015,Transaksi!$C$16:$C$5015,$A117,Transaksi!$D$16:$D$5015,"Keluar",Transaksi!$B$16:$B$5015,"&lt;="&amp;MIN(EOMONTH(DATE(Dashboard!$C$4,3,1),0),TODAY()))-SUMIFS(Transaksi!$F$16:$F$5015,Transaksi!$C$16:$C$5015,$A117,Transaksi!$D$16:$D$5015,"Pindah",Transaksi!$B$16:$B$5015,"&lt;="&amp;MIN(EOMONTH(DATE(Dashboard!$C$4,3,1),0),TODAY()))+SUMIFS(Transaksi!$F$16:$F$5015,Transaksi!$E$16:$E$5015,$A117,Transaksi!$D$16:$D$5015,"Pindah",Transaksi!$B$16:$B$5015,"&lt;="&amp;MIN(EOMONTH(DATE(Dashboard!$C$4,3,1),0),TODAY())))</f>
        <v/>
      </c>
      <c r="F117" s="106">
        <f>IF(OR($A117="",DATE(Dashboard!$C$4,4,1)&gt;TODAY(),ISNA(MATCH($B117,{"Pribadi","Investasi (kas RDN)","Piutang","Pinjaman Mama (dompet)"},0))),"",SUMIFS(Akun!$C$5:$C$104,Akun!$A$5:$A$104,$A117,Akun!$D$5:$D$104,"&lt;="&amp;MIN(EOMONTH(DATE(Dashboard!$C$4,4,1),0),TODAY()))+SUMIFS(Transaksi!$F$16:$F$5015,Transaksi!$C$16:$C$5015,$A117,Transaksi!$D$16:$D$5015,"Masuk",Transaksi!$B$16:$B$5015,"&lt;="&amp;MIN(EOMONTH(DATE(Dashboard!$C$4,4,1),0),TODAY()))-SUMIFS(Transaksi!$F$16:$F$5015,Transaksi!$C$16:$C$5015,$A117,Transaksi!$D$16:$D$5015,"Keluar",Transaksi!$B$16:$B$5015,"&lt;="&amp;MIN(EOMONTH(DATE(Dashboard!$C$4,4,1),0),TODAY()))-SUMIFS(Transaksi!$F$16:$F$5015,Transaksi!$C$16:$C$5015,$A117,Transaksi!$D$16:$D$5015,"Pindah",Transaksi!$B$16:$B$5015,"&lt;="&amp;MIN(EOMONTH(DATE(Dashboard!$C$4,4,1),0),TODAY()))+SUMIFS(Transaksi!$F$16:$F$5015,Transaksi!$E$16:$E$5015,$A117,Transaksi!$D$16:$D$5015,"Pindah",Transaksi!$B$16:$B$5015,"&lt;="&amp;MIN(EOMONTH(DATE(Dashboard!$C$4,4,1),0),TODAY())))</f>
        <v/>
      </c>
      <c r="G117" s="106">
        <f>IF(OR($A117="",DATE(Dashboard!$C$4,5,1)&gt;TODAY(),ISNA(MATCH($B117,{"Pribadi","Investasi (kas RDN)","Piutang","Pinjaman Mama (dompet)"},0))),"",SUMIFS(Akun!$C$5:$C$104,Akun!$A$5:$A$104,$A117,Akun!$D$5:$D$104,"&lt;="&amp;MIN(EOMONTH(DATE(Dashboard!$C$4,5,1),0),TODAY()))+SUMIFS(Transaksi!$F$16:$F$5015,Transaksi!$C$16:$C$5015,$A117,Transaksi!$D$16:$D$5015,"Masuk",Transaksi!$B$16:$B$5015,"&lt;="&amp;MIN(EOMONTH(DATE(Dashboard!$C$4,5,1),0),TODAY()))-SUMIFS(Transaksi!$F$16:$F$5015,Transaksi!$C$16:$C$5015,$A117,Transaksi!$D$16:$D$5015,"Keluar",Transaksi!$B$16:$B$5015,"&lt;="&amp;MIN(EOMONTH(DATE(Dashboard!$C$4,5,1),0),TODAY()))-SUMIFS(Transaksi!$F$16:$F$5015,Transaksi!$C$16:$C$5015,$A117,Transaksi!$D$16:$D$5015,"Pindah",Transaksi!$B$16:$B$5015,"&lt;="&amp;MIN(EOMONTH(DATE(Dashboard!$C$4,5,1),0),TODAY()))+SUMIFS(Transaksi!$F$16:$F$5015,Transaksi!$E$16:$E$5015,$A117,Transaksi!$D$16:$D$5015,"Pindah",Transaksi!$B$16:$B$5015,"&lt;="&amp;MIN(EOMONTH(DATE(Dashboard!$C$4,5,1),0),TODAY())))</f>
        <v/>
      </c>
      <c r="H117" s="106">
        <f>IF(OR($A117="",DATE(Dashboard!$C$4,6,1)&gt;TODAY(),ISNA(MATCH($B117,{"Pribadi","Investasi (kas RDN)","Piutang","Pinjaman Mama (dompet)"},0))),"",SUMIFS(Akun!$C$5:$C$104,Akun!$A$5:$A$104,$A117,Akun!$D$5:$D$104,"&lt;="&amp;MIN(EOMONTH(DATE(Dashboard!$C$4,6,1),0),TODAY()))+SUMIFS(Transaksi!$F$16:$F$5015,Transaksi!$C$16:$C$5015,$A117,Transaksi!$D$16:$D$5015,"Masuk",Transaksi!$B$16:$B$5015,"&lt;="&amp;MIN(EOMONTH(DATE(Dashboard!$C$4,6,1),0),TODAY()))-SUMIFS(Transaksi!$F$16:$F$5015,Transaksi!$C$16:$C$5015,$A117,Transaksi!$D$16:$D$5015,"Keluar",Transaksi!$B$16:$B$5015,"&lt;="&amp;MIN(EOMONTH(DATE(Dashboard!$C$4,6,1),0),TODAY()))-SUMIFS(Transaksi!$F$16:$F$5015,Transaksi!$C$16:$C$5015,$A117,Transaksi!$D$16:$D$5015,"Pindah",Transaksi!$B$16:$B$5015,"&lt;="&amp;MIN(EOMONTH(DATE(Dashboard!$C$4,6,1),0),TODAY()))+SUMIFS(Transaksi!$F$16:$F$5015,Transaksi!$E$16:$E$5015,$A117,Transaksi!$D$16:$D$5015,"Pindah",Transaksi!$B$16:$B$5015,"&lt;="&amp;MIN(EOMONTH(DATE(Dashboard!$C$4,6,1),0),TODAY())))</f>
        <v/>
      </c>
      <c r="I117" s="106">
        <f>IF(OR($A117="",DATE(Dashboard!$C$4,7,1)&gt;TODAY(),ISNA(MATCH($B117,{"Pribadi","Investasi (kas RDN)","Piutang","Pinjaman Mama (dompet)"},0))),"",SUMIFS(Akun!$C$5:$C$104,Akun!$A$5:$A$104,$A117,Akun!$D$5:$D$104,"&lt;="&amp;MIN(EOMONTH(DATE(Dashboard!$C$4,7,1),0),TODAY()))+SUMIFS(Transaksi!$F$16:$F$5015,Transaksi!$C$16:$C$5015,$A117,Transaksi!$D$16:$D$5015,"Masuk",Transaksi!$B$16:$B$5015,"&lt;="&amp;MIN(EOMONTH(DATE(Dashboard!$C$4,7,1),0),TODAY()))-SUMIFS(Transaksi!$F$16:$F$5015,Transaksi!$C$16:$C$5015,$A117,Transaksi!$D$16:$D$5015,"Keluar",Transaksi!$B$16:$B$5015,"&lt;="&amp;MIN(EOMONTH(DATE(Dashboard!$C$4,7,1),0),TODAY()))-SUMIFS(Transaksi!$F$16:$F$5015,Transaksi!$C$16:$C$5015,$A117,Transaksi!$D$16:$D$5015,"Pindah",Transaksi!$B$16:$B$5015,"&lt;="&amp;MIN(EOMONTH(DATE(Dashboard!$C$4,7,1),0),TODAY()))+SUMIFS(Transaksi!$F$16:$F$5015,Transaksi!$E$16:$E$5015,$A117,Transaksi!$D$16:$D$5015,"Pindah",Transaksi!$B$16:$B$5015,"&lt;="&amp;MIN(EOMONTH(DATE(Dashboard!$C$4,7,1),0),TODAY())))</f>
        <v/>
      </c>
      <c r="J117" s="106">
        <f>IF(OR($A117="",DATE(Dashboard!$C$4,8,1)&gt;TODAY(),ISNA(MATCH($B117,{"Pribadi","Investasi (kas RDN)","Piutang","Pinjaman Mama (dompet)"},0))),"",SUMIFS(Akun!$C$5:$C$104,Akun!$A$5:$A$104,$A117,Akun!$D$5:$D$104,"&lt;="&amp;MIN(EOMONTH(DATE(Dashboard!$C$4,8,1),0),TODAY()))+SUMIFS(Transaksi!$F$16:$F$5015,Transaksi!$C$16:$C$5015,$A117,Transaksi!$D$16:$D$5015,"Masuk",Transaksi!$B$16:$B$5015,"&lt;="&amp;MIN(EOMONTH(DATE(Dashboard!$C$4,8,1),0),TODAY()))-SUMIFS(Transaksi!$F$16:$F$5015,Transaksi!$C$16:$C$5015,$A117,Transaksi!$D$16:$D$5015,"Keluar",Transaksi!$B$16:$B$5015,"&lt;="&amp;MIN(EOMONTH(DATE(Dashboard!$C$4,8,1),0),TODAY()))-SUMIFS(Transaksi!$F$16:$F$5015,Transaksi!$C$16:$C$5015,$A117,Transaksi!$D$16:$D$5015,"Pindah",Transaksi!$B$16:$B$5015,"&lt;="&amp;MIN(EOMONTH(DATE(Dashboard!$C$4,8,1),0),TODAY()))+SUMIFS(Transaksi!$F$16:$F$5015,Transaksi!$E$16:$E$5015,$A117,Transaksi!$D$16:$D$5015,"Pindah",Transaksi!$B$16:$B$5015,"&lt;="&amp;MIN(EOMONTH(DATE(Dashboard!$C$4,8,1),0),TODAY())))</f>
        <v/>
      </c>
      <c r="K117" s="106">
        <f>IF(OR($A117="",DATE(Dashboard!$C$4,9,1)&gt;TODAY(),ISNA(MATCH($B117,{"Pribadi","Investasi (kas RDN)","Piutang","Pinjaman Mama (dompet)"},0))),"",SUMIFS(Akun!$C$5:$C$104,Akun!$A$5:$A$104,$A117,Akun!$D$5:$D$104,"&lt;="&amp;MIN(EOMONTH(DATE(Dashboard!$C$4,9,1),0),TODAY()))+SUMIFS(Transaksi!$F$16:$F$5015,Transaksi!$C$16:$C$5015,$A117,Transaksi!$D$16:$D$5015,"Masuk",Transaksi!$B$16:$B$5015,"&lt;="&amp;MIN(EOMONTH(DATE(Dashboard!$C$4,9,1),0),TODAY()))-SUMIFS(Transaksi!$F$16:$F$5015,Transaksi!$C$16:$C$5015,$A117,Transaksi!$D$16:$D$5015,"Keluar",Transaksi!$B$16:$B$5015,"&lt;="&amp;MIN(EOMONTH(DATE(Dashboard!$C$4,9,1),0),TODAY()))-SUMIFS(Transaksi!$F$16:$F$5015,Transaksi!$C$16:$C$5015,$A117,Transaksi!$D$16:$D$5015,"Pindah",Transaksi!$B$16:$B$5015,"&lt;="&amp;MIN(EOMONTH(DATE(Dashboard!$C$4,9,1),0),TODAY()))+SUMIFS(Transaksi!$F$16:$F$5015,Transaksi!$E$16:$E$5015,$A117,Transaksi!$D$16:$D$5015,"Pindah",Transaksi!$B$16:$B$5015,"&lt;="&amp;MIN(EOMONTH(DATE(Dashboard!$C$4,9,1),0),TODAY())))</f>
        <v/>
      </c>
      <c r="L117" s="106">
        <f>IF(OR($A117="",DATE(Dashboard!$C$4,10,1)&gt;TODAY(),ISNA(MATCH($B117,{"Pribadi","Investasi (kas RDN)","Piutang","Pinjaman Mama (dompet)"},0))),"",SUMIFS(Akun!$C$5:$C$104,Akun!$A$5:$A$104,$A117,Akun!$D$5:$D$104,"&lt;="&amp;MIN(EOMONTH(DATE(Dashboard!$C$4,10,1),0),TODAY()))+SUMIFS(Transaksi!$F$16:$F$5015,Transaksi!$C$16:$C$5015,$A117,Transaksi!$D$16:$D$5015,"Masuk",Transaksi!$B$16:$B$5015,"&lt;="&amp;MIN(EOMONTH(DATE(Dashboard!$C$4,10,1),0),TODAY()))-SUMIFS(Transaksi!$F$16:$F$5015,Transaksi!$C$16:$C$5015,$A117,Transaksi!$D$16:$D$5015,"Keluar",Transaksi!$B$16:$B$5015,"&lt;="&amp;MIN(EOMONTH(DATE(Dashboard!$C$4,10,1),0),TODAY()))-SUMIFS(Transaksi!$F$16:$F$5015,Transaksi!$C$16:$C$5015,$A117,Transaksi!$D$16:$D$5015,"Pindah",Transaksi!$B$16:$B$5015,"&lt;="&amp;MIN(EOMONTH(DATE(Dashboard!$C$4,10,1),0),TODAY()))+SUMIFS(Transaksi!$F$16:$F$5015,Transaksi!$E$16:$E$5015,$A117,Transaksi!$D$16:$D$5015,"Pindah",Transaksi!$B$16:$B$5015,"&lt;="&amp;MIN(EOMONTH(DATE(Dashboard!$C$4,10,1),0),TODAY())))</f>
        <v/>
      </c>
      <c r="M117" s="106">
        <f>IF(OR($A117="",DATE(Dashboard!$C$4,11,1)&gt;TODAY(),ISNA(MATCH($B117,{"Pribadi","Investasi (kas RDN)","Piutang","Pinjaman Mama (dompet)"},0))),"",SUMIFS(Akun!$C$5:$C$104,Akun!$A$5:$A$104,$A117,Akun!$D$5:$D$104,"&lt;="&amp;MIN(EOMONTH(DATE(Dashboard!$C$4,11,1),0),TODAY()))+SUMIFS(Transaksi!$F$16:$F$5015,Transaksi!$C$16:$C$5015,$A117,Transaksi!$D$16:$D$5015,"Masuk",Transaksi!$B$16:$B$5015,"&lt;="&amp;MIN(EOMONTH(DATE(Dashboard!$C$4,11,1),0),TODAY()))-SUMIFS(Transaksi!$F$16:$F$5015,Transaksi!$C$16:$C$5015,$A117,Transaksi!$D$16:$D$5015,"Keluar",Transaksi!$B$16:$B$5015,"&lt;="&amp;MIN(EOMONTH(DATE(Dashboard!$C$4,11,1),0),TODAY()))-SUMIFS(Transaksi!$F$16:$F$5015,Transaksi!$C$16:$C$5015,$A117,Transaksi!$D$16:$D$5015,"Pindah",Transaksi!$B$16:$B$5015,"&lt;="&amp;MIN(EOMONTH(DATE(Dashboard!$C$4,11,1),0),TODAY()))+SUMIFS(Transaksi!$F$16:$F$5015,Transaksi!$E$16:$E$5015,$A117,Transaksi!$D$16:$D$5015,"Pindah",Transaksi!$B$16:$B$5015,"&lt;="&amp;MIN(EOMONTH(DATE(Dashboard!$C$4,11,1),0),TODAY())))</f>
        <v/>
      </c>
      <c r="N117" s="106">
        <f>IF(OR($A117="",DATE(Dashboard!$C$4,12,1)&gt;TODAY(),ISNA(MATCH($B117,{"Pribadi","Investasi (kas RDN)","Piutang","Pinjaman Mama (dompet)"},0))),"",SUMIFS(Akun!$C$5:$C$104,Akun!$A$5:$A$104,$A117,Akun!$D$5:$D$104,"&lt;="&amp;MIN(EOMONTH(DATE(Dashboard!$C$4,12,1),0),TODAY()))+SUMIFS(Transaksi!$F$16:$F$5015,Transaksi!$C$16:$C$5015,$A117,Transaksi!$D$16:$D$5015,"Masuk",Transaksi!$B$16:$B$5015,"&lt;="&amp;MIN(EOMONTH(DATE(Dashboard!$C$4,12,1),0),TODAY()))-SUMIFS(Transaksi!$F$16:$F$5015,Transaksi!$C$16:$C$5015,$A117,Transaksi!$D$16:$D$5015,"Keluar",Transaksi!$B$16:$B$5015,"&lt;="&amp;MIN(EOMONTH(DATE(Dashboard!$C$4,12,1),0),TODAY()))-SUMIFS(Transaksi!$F$16:$F$5015,Transaksi!$C$16:$C$5015,$A117,Transaksi!$D$16:$D$5015,"Pindah",Transaksi!$B$16:$B$5015,"&lt;="&amp;MIN(EOMONTH(DATE(Dashboard!$C$4,12,1),0),TODAY()))+SUMIFS(Transaksi!$F$16:$F$5015,Transaksi!$E$16:$E$5015,$A117,Transaksi!$D$16:$D$5015,"Pindah",Transaksi!$B$16:$B$5015,"&lt;="&amp;MIN(EOMONTH(DATE(Dashboard!$C$4,12,1),0),TODAY())))</f>
        <v/>
      </c>
    </row>
    <row r="118" ht="15" customHeight="1" s="94">
      <c r="A118" s="93">
        <f>IF(Akun!$A$82="","",Akun!$A$82)</f>
        <v/>
      </c>
      <c r="B118" s="93">
        <f>IF(Akun!$A$82="","",Akun!$B$82)</f>
        <v/>
      </c>
      <c r="C118" s="106">
        <f>IF(OR($A118="",DATE(Dashboard!$C$4,1,1)&gt;TODAY(),ISNA(MATCH($B118,{"Pribadi","Investasi (kas RDN)","Piutang","Pinjaman Mama (dompet)"},0))),"",SUMIFS(Akun!$C$5:$C$104,Akun!$A$5:$A$104,$A118,Akun!$D$5:$D$104,"&lt;="&amp;MIN(EOMONTH(DATE(Dashboard!$C$4,1,1),0),TODAY()))+SUMIFS(Transaksi!$F$16:$F$5015,Transaksi!$C$16:$C$5015,$A118,Transaksi!$D$16:$D$5015,"Masuk",Transaksi!$B$16:$B$5015,"&lt;="&amp;MIN(EOMONTH(DATE(Dashboard!$C$4,1,1),0),TODAY()))-SUMIFS(Transaksi!$F$16:$F$5015,Transaksi!$C$16:$C$5015,$A118,Transaksi!$D$16:$D$5015,"Keluar",Transaksi!$B$16:$B$5015,"&lt;="&amp;MIN(EOMONTH(DATE(Dashboard!$C$4,1,1),0),TODAY()))-SUMIFS(Transaksi!$F$16:$F$5015,Transaksi!$C$16:$C$5015,$A118,Transaksi!$D$16:$D$5015,"Pindah",Transaksi!$B$16:$B$5015,"&lt;="&amp;MIN(EOMONTH(DATE(Dashboard!$C$4,1,1),0),TODAY()))+SUMIFS(Transaksi!$F$16:$F$5015,Transaksi!$E$16:$E$5015,$A118,Transaksi!$D$16:$D$5015,"Pindah",Transaksi!$B$16:$B$5015,"&lt;="&amp;MIN(EOMONTH(DATE(Dashboard!$C$4,1,1),0),TODAY())))</f>
        <v/>
      </c>
      <c r="D118" s="106">
        <f>IF(OR($A118="",DATE(Dashboard!$C$4,2,1)&gt;TODAY(),ISNA(MATCH($B118,{"Pribadi","Investasi (kas RDN)","Piutang","Pinjaman Mama (dompet)"},0))),"",SUMIFS(Akun!$C$5:$C$104,Akun!$A$5:$A$104,$A118,Akun!$D$5:$D$104,"&lt;="&amp;MIN(EOMONTH(DATE(Dashboard!$C$4,2,1),0),TODAY()))+SUMIFS(Transaksi!$F$16:$F$5015,Transaksi!$C$16:$C$5015,$A118,Transaksi!$D$16:$D$5015,"Masuk",Transaksi!$B$16:$B$5015,"&lt;="&amp;MIN(EOMONTH(DATE(Dashboard!$C$4,2,1),0),TODAY()))-SUMIFS(Transaksi!$F$16:$F$5015,Transaksi!$C$16:$C$5015,$A118,Transaksi!$D$16:$D$5015,"Keluar",Transaksi!$B$16:$B$5015,"&lt;="&amp;MIN(EOMONTH(DATE(Dashboard!$C$4,2,1),0),TODAY()))-SUMIFS(Transaksi!$F$16:$F$5015,Transaksi!$C$16:$C$5015,$A118,Transaksi!$D$16:$D$5015,"Pindah",Transaksi!$B$16:$B$5015,"&lt;="&amp;MIN(EOMONTH(DATE(Dashboard!$C$4,2,1),0),TODAY()))+SUMIFS(Transaksi!$F$16:$F$5015,Transaksi!$E$16:$E$5015,$A118,Transaksi!$D$16:$D$5015,"Pindah",Transaksi!$B$16:$B$5015,"&lt;="&amp;MIN(EOMONTH(DATE(Dashboard!$C$4,2,1),0),TODAY())))</f>
        <v/>
      </c>
      <c r="E118" s="106">
        <f>IF(OR($A118="",DATE(Dashboard!$C$4,3,1)&gt;TODAY(),ISNA(MATCH($B118,{"Pribadi","Investasi (kas RDN)","Piutang","Pinjaman Mama (dompet)"},0))),"",SUMIFS(Akun!$C$5:$C$104,Akun!$A$5:$A$104,$A118,Akun!$D$5:$D$104,"&lt;="&amp;MIN(EOMONTH(DATE(Dashboard!$C$4,3,1),0),TODAY()))+SUMIFS(Transaksi!$F$16:$F$5015,Transaksi!$C$16:$C$5015,$A118,Transaksi!$D$16:$D$5015,"Masuk",Transaksi!$B$16:$B$5015,"&lt;="&amp;MIN(EOMONTH(DATE(Dashboard!$C$4,3,1),0),TODAY()))-SUMIFS(Transaksi!$F$16:$F$5015,Transaksi!$C$16:$C$5015,$A118,Transaksi!$D$16:$D$5015,"Keluar",Transaksi!$B$16:$B$5015,"&lt;="&amp;MIN(EOMONTH(DATE(Dashboard!$C$4,3,1),0),TODAY()))-SUMIFS(Transaksi!$F$16:$F$5015,Transaksi!$C$16:$C$5015,$A118,Transaksi!$D$16:$D$5015,"Pindah",Transaksi!$B$16:$B$5015,"&lt;="&amp;MIN(EOMONTH(DATE(Dashboard!$C$4,3,1),0),TODAY()))+SUMIFS(Transaksi!$F$16:$F$5015,Transaksi!$E$16:$E$5015,$A118,Transaksi!$D$16:$D$5015,"Pindah",Transaksi!$B$16:$B$5015,"&lt;="&amp;MIN(EOMONTH(DATE(Dashboard!$C$4,3,1),0),TODAY())))</f>
        <v/>
      </c>
      <c r="F118" s="106">
        <f>IF(OR($A118="",DATE(Dashboard!$C$4,4,1)&gt;TODAY(),ISNA(MATCH($B118,{"Pribadi","Investasi (kas RDN)","Piutang","Pinjaman Mama (dompet)"},0))),"",SUMIFS(Akun!$C$5:$C$104,Akun!$A$5:$A$104,$A118,Akun!$D$5:$D$104,"&lt;="&amp;MIN(EOMONTH(DATE(Dashboard!$C$4,4,1),0),TODAY()))+SUMIFS(Transaksi!$F$16:$F$5015,Transaksi!$C$16:$C$5015,$A118,Transaksi!$D$16:$D$5015,"Masuk",Transaksi!$B$16:$B$5015,"&lt;="&amp;MIN(EOMONTH(DATE(Dashboard!$C$4,4,1),0),TODAY()))-SUMIFS(Transaksi!$F$16:$F$5015,Transaksi!$C$16:$C$5015,$A118,Transaksi!$D$16:$D$5015,"Keluar",Transaksi!$B$16:$B$5015,"&lt;="&amp;MIN(EOMONTH(DATE(Dashboard!$C$4,4,1),0),TODAY()))-SUMIFS(Transaksi!$F$16:$F$5015,Transaksi!$C$16:$C$5015,$A118,Transaksi!$D$16:$D$5015,"Pindah",Transaksi!$B$16:$B$5015,"&lt;="&amp;MIN(EOMONTH(DATE(Dashboard!$C$4,4,1),0),TODAY()))+SUMIFS(Transaksi!$F$16:$F$5015,Transaksi!$E$16:$E$5015,$A118,Transaksi!$D$16:$D$5015,"Pindah",Transaksi!$B$16:$B$5015,"&lt;="&amp;MIN(EOMONTH(DATE(Dashboard!$C$4,4,1),0),TODAY())))</f>
        <v/>
      </c>
      <c r="G118" s="106">
        <f>IF(OR($A118="",DATE(Dashboard!$C$4,5,1)&gt;TODAY(),ISNA(MATCH($B118,{"Pribadi","Investasi (kas RDN)","Piutang","Pinjaman Mama (dompet)"},0))),"",SUMIFS(Akun!$C$5:$C$104,Akun!$A$5:$A$104,$A118,Akun!$D$5:$D$104,"&lt;="&amp;MIN(EOMONTH(DATE(Dashboard!$C$4,5,1),0),TODAY()))+SUMIFS(Transaksi!$F$16:$F$5015,Transaksi!$C$16:$C$5015,$A118,Transaksi!$D$16:$D$5015,"Masuk",Transaksi!$B$16:$B$5015,"&lt;="&amp;MIN(EOMONTH(DATE(Dashboard!$C$4,5,1),0),TODAY()))-SUMIFS(Transaksi!$F$16:$F$5015,Transaksi!$C$16:$C$5015,$A118,Transaksi!$D$16:$D$5015,"Keluar",Transaksi!$B$16:$B$5015,"&lt;="&amp;MIN(EOMONTH(DATE(Dashboard!$C$4,5,1),0),TODAY()))-SUMIFS(Transaksi!$F$16:$F$5015,Transaksi!$C$16:$C$5015,$A118,Transaksi!$D$16:$D$5015,"Pindah",Transaksi!$B$16:$B$5015,"&lt;="&amp;MIN(EOMONTH(DATE(Dashboard!$C$4,5,1),0),TODAY()))+SUMIFS(Transaksi!$F$16:$F$5015,Transaksi!$E$16:$E$5015,$A118,Transaksi!$D$16:$D$5015,"Pindah",Transaksi!$B$16:$B$5015,"&lt;="&amp;MIN(EOMONTH(DATE(Dashboard!$C$4,5,1),0),TODAY())))</f>
        <v/>
      </c>
      <c r="H118" s="106">
        <f>IF(OR($A118="",DATE(Dashboard!$C$4,6,1)&gt;TODAY(),ISNA(MATCH($B118,{"Pribadi","Investasi (kas RDN)","Piutang","Pinjaman Mama (dompet)"},0))),"",SUMIFS(Akun!$C$5:$C$104,Akun!$A$5:$A$104,$A118,Akun!$D$5:$D$104,"&lt;="&amp;MIN(EOMONTH(DATE(Dashboard!$C$4,6,1),0),TODAY()))+SUMIFS(Transaksi!$F$16:$F$5015,Transaksi!$C$16:$C$5015,$A118,Transaksi!$D$16:$D$5015,"Masuk",Transaksi!$B$16:$B$5015,"&lt;="&amp;MIN(EOMONTH(DATE(Dashboard!$C$4,6,1),0),TODAY()))-SUMIFS(Transaksi!$F$16:$F$5015,Transaksi!$C$16:$C$5015,$A118,Transaksi!$D$16:$D$5015,"Keluar",Transaksi!$B$16:$B$5015,"&lt;="&amp;MIN(EOMONTH(DATE(Dashboard!$C$4,6,1),0),TODAY()))-SUMIFS(Transaksi!$F$16:$F$5015,Transaksi!$C$16:$C$5015,$A118,Transaksi!$D$16:$D$5015,"Pindah",Transaksi!$B$16:$B$5015,"&lt;="&amp;MIN(EOMONTH(DATE(Dashboard!$C$4,6,1),0),TODAY()))+SUMIFS(Transaksi!$F$16:$F$5015,Transaksi!$E$16:$E$5015,$A118,Transaksi!$D$16:$D$5015,"Pindah",Transaksi!$B$16:$B$5015,"&lt;="&amp;MIN(EOMONTH(DATE(Dashboard!$C$4,6,1),0),TODAY())))</f>
        <v/>
      </c>
      <c r="I118" s="106">
        <f>IF(OR($A118="",DATE(Dashboard!$C$4,7,1)&gt;TODAY(),ISNA(MATCH($B118,{"Pribadi","Investasi (kas RDN)","Piutang","Pinjaman Mama (dompet)"},0))),"",SUMIFS(Akun!$C$5:$C$104,Akun!$A$5:$A$104,$A118,Akun!$D$5:$D$104,"&lt;="&amp;MIN(EOMONTH(DATE(Dashboard!$C$4,7,1),0),TODAY()))+SUMIFS(Transaksi!$F$16:$F$5015,Transaksi!$C$16:$C$5015,$A118,Transaksi!$D$16:$D$5015,"Masuk",Transaksi!$B$16:$B$5015,"&lt;="&amp;MIN(EOMONTH(DATE(Dashboard!$C$4,7,1),0),TODAY()))-SUMIFS(Transaksi!$F$16:$F$5015,Transaksi!$C$16:$C$5015,$A118,Transaksi!$D$16:$D$5015,"Keluar",Transaksi!$B$16:$B$5015,"&lt;="&amp;MIN(EOMONTH(DATE(Dashboard!$C$4,7,1),0),TODAY()))-SUMIFS(Transaksi!$F$16:$F$5015,Transaksi!$C$16:$C$5015,$A118,Transaksi!$D$16:$D$5015,"Pindah",Transaksi!$B$16:$B$5015,"&lt;="&amp;MIN(EOMONTH(DATE(Dashboard!$C$4,7,1),0),TODAY()))+SUMIFS(Transaksi!$F$16:$F$5015,Transaksi!$E$16:$E$5015,$A118,Transaksi!$D$16:$D$5015,"Pindah",Transaksi!$B$16:$B$5015,"&lt;="&amp;MIN(EOMONTH(DATE(Dashboard!$C$4,7,1),0),TODAY())))</f>
        <v/>
      </c>
      <c r="J118" s="106">
        <f>IF(OR($A118="",DATE(Dashboard!$C$4,8,1)&gt;TODAY(),ISNA(MATCH($B118,{"Pribadi","Investasi (kas RDN)","Piutang","Pinjaman Mama (dompet)"},0))),"",SUMIFS(Akun!$C$5:$C$104,Akun!$A$5:$A$104,$A118,Akun!$D$5:$D$104,"&lt;="&amp;MIN(EOMONTH(DATE(Dashboard!$C$4,8,1),0),TODAY()))+SUMIFS(Transaksi!$F$16:$F$5015,Transaksi!$C$16:$C$5015,$A118,Transaksi!$D$16:$D$5015,"Masuk",Transaksi!$B$16:$B$5015,"&lt;="&amp;MIN(EOMONTH(DATE(Dashboard!$C$4,8,1),0),TODAY()))-SUMIFS(Transaksi!$F$16:$F$5015,Transaksi!$C$16:$C$5015,$A118,Transaksi!$D$16:$D$5015,"Keluar",Transaksi!$B$16:$B$5015,"&lt;="&amp;MIN(EOMONTH(DATE(Dashboard!$C$4,8,1),0),TODAY()))-SUMIFS(Transaksi!$F$16:$F$5015,Transaksi!$C$16:$C$5015,$A118,Transaksi!$D$16:$D$5015,"Pindah",Transaksi!$B$16:$B$5015,"&lt;="&amp;MIN(EOMONTH(DATE(Dashboard!$C$4,8,1),0),TODAY()))+SUMIFS(Transaksi!$F$16:$F$5015,Transaksi!$E$16:$E$5015,$A118,Transaksi!$D$16:$D$5015,"Pindah",Transaksi!$B$16:$B$5015,"&lt;="&amp;MIN(EOMONTH(DATE(Dashboard!$C$4,8,1),0),TODAY())))</f>
        <v/>
      </c>
      <c r="K118" s="106">
        <f>IF(OR($A118="",DATE(Dashboard!$C$4,9,1)&gt;TODAY(),ISNA(MATCH($B118,{"Pribadi","Investasi (kas RDN)","Piutang","Pinjaman Mama (dompet)"},0))),"",SUMIFS(Akun!$C$5:$C$104,Akun!$A$5:$A$104,$A118,Akun!$D$5:$D$104,"&lt;="&amp;MIN(EOMONTH(DATE(Dashboard!$C$4,9,1),0),TODAY()))+SUMIFS(Transaksi!$F$16:$F$5015,Transaksi!$C$16:$C$5015,$A118,Transaksi!$D$16:$D$5015,"Masuk",Transaksi!$B$16:$B$5015,"&lt;="&amp;MIN(EOMONTH(DATE(Dashboard!$C$4,9,1),0),TODAY()))-SUMIFS(Transaksi!$F$16:$F$5015,Transaksi!$C$16:$C$5015,$A118,Transaksi!$D$16:$D$5015,"Keluar",Transaksi!$B$16:$B$5015,"&lt;="&amp;MIN(EOMONTH(DATE(Dashboard!$C$4,9,1),0),TODAY()))-SUMIFS(Transaksi!$F$16:$F$5015,Transaksi!$C$16:$C$5015,$A118,Transaksi!$D$16:$D$5015,"Pindah",Transaksi!$B$16:$B$5015,"&lt;="&amp;MIN(EOMONTH(DATE(Dashboard!$C$4,9,1),0),TODAY()))+SUMIFS(Transaksi!$F$16:$F$5015,Transaksi!$E$16:$E$5015,$A118,Transaksi!$D$16:$D$5015,"Pindah",Transaksi!$B$16:$B$5015,"&lt;="&amp;MIN(EOMONTH(DATE(Dashboard!$C$4,9,1),0),TODAY())))</f>
        <v/>
      </c>
      <c r="L118" s="106">
        <f>IF(OR($A118="",DATE(Dashboard!$C$4,10,1)&gt;TODAY(),ISNA(MATCH($B118,{"Pribadi","Investasi (kas RDN)","Piutang","Pinjaman Mama (dompet)"},0))),"",SUMIFS(Akun!$C$5:$C$104,Akun!$A$5:$A$104,$A118,Akun!$D$5:$D$104,"&lt;="&amp;MIN(EOMONTH(DATE(Dashboard!$C$4,10,1),0),TODAY()))+SUMIFS(Transaksi!$F$16:$F$5015,Transaksi!$C$16:$C$5015,$A118,Transaksi!$D$16:$D$5015,"Masuk",Transaksi!$B$16:$B$5015,"&lt;="&amp;MIN(EOMONTH(DATE(Dashboard!$C$4,10,1),0),TODAY()))-SUMIFS(Transaksi!$F$16:$F$5015,Transaksi!$C$16:$C$5015,$A118,Transaksi!$D$16:$D$5015,"Keluar",Transaksi!$B$16:$B$5015,"&lt;="&amp;MIN(EOMONTH(DATE(Dashboard!$C$4,10,1),0),TODAY()))-SUMIFS(Transaksi!$F$16:$F$5015,Transaksi!$C$16:$C$5015,$A118,Transaksi!$D$16:$D$5015,"Pindah",Transaksi!$B$16:$B$5015,"&lt;="&amp;MIN(EOMONTH(DATE(Dashboard!$C$4,10,1),0),TODAY()))+SUMIFS(Transaksi!$F$16:$F$5015,Transaksi!$E$16:$E$5015,$A118,Transaksi!$D$16:$D$5015,"Pindah",Transaksi!$B$16:$B$5015,"&lt;="&amp;MIN(EOMONTH(DATE(Dashboard!$C$4,10,1),0),TODAY())))</f>
        <v/>
      </c>
      <c r="M118" s="106">
        <f>IF(OR($A118="",DATE(Dashboard!$C$4,11,1)&gt;TODAY(),ISNA(MATCH($B118,{"Pribadi","Investasi (kas RDN)","Piutang","Pinjaman Mama (dompet)"},0))),"",SUMIFS(Akun!$C$5:$C$104,Akun!$A$5:$A$104,$A118,Akun!$D$5:$D$104,"&lt;="&amp;MIN(EOMONTH(DATE(Dashboard!$C$4,11,1),0),TODAY()))+SUMIFS(Transaksi!$F$16:$F$5015,Transaksi!$C$16:$C$5015,$A118,Transaksi!$D$16:$D$5015,"Masuk",Transaksi!$B$16:$B$5015,"&lt;="&amp;MIN(EOMONTH(DATE(Dashboard!$C$4,11,1),0),TODAY()))-SUMIFS(Transaksi!$F$16:$F$5015,Transaksi!$C$16:$C$5015,$A118,Transaksi!$D$16:$D$5015,"Keluar",Transaksi!$B$16:$B$5015,"&lt;="&amp;MIN(EOMONTH(DATE(Dashboard!$C$4,11,1),0),TODAY()))-SUMIFS(Transaksi!$F$16:$F$5015,Transaksi!$C$16:$C$5015,$A118,Transaksi!$D$16:$D$5015,"Pindah",Transaksi!$B$16:$B$5015,"&lt;="&amp;MIN(EOMONTH(DATE(Dashboard!$C$4,11,1),0),TODAY()))+SUMIFS(Transaksi!$F$16:$F$5015,Transaksi!$E$16:$E$5015,$A118,Transaksi!$D$16:$D$5015,"Pindah",Transaksi!$B$16:$B$5015,"&lt;="&amp;MIN(EOMONTH(DATE(Dashboard!$C$4,11,1),0),TODAY())))</f>
        <v/>
      </c>
      <c r="N118" s="106">
        <f>IF(OR($A118="",DATE(Dashboard!$C$4,12,1)&gt;TODAY(),ISNA(MATCH($B118,{"Pribadi","Investasi (kas RDN)","Piutang","Pinjaman Mama (dompet)"},0))),"",SUMIFS(Akun!$C$5:$C$104,Akun!$A$5:$A$104,$A118,Akun!$D$5:$D$104,"&lt;="&amp;MIN(EOMONTH(DATE(Dashboard!$C$4,12,1),0),TODAY()))+SUMIFS(Transaksi!$F$16:$F$5015,Transaksi!$C$16:$C$5015,$A118,Transaksi!$D$16:$D$5015,"Masuk",Transaksi!$B$16:$B$5015,"&lt;="&amp;MIN(EOMONTH(DATE(Dashboard!$C$4,12,1),0),TODAY()))-SUMIFS(Transaksi!$F$16:$F$5015,Transaksi!$C$16:$C$5015,$A118,Transaksi!$D$16:$D$5015,"Keluar",Transaksi!$B$16:$B$5015,"&lt;="&amp;MIN(EOMONTH(DATE(Dashboard!$C$4,12,1),0),TODAY()))-SUMIFS(Transaksi!$F$16:$F$5015,Transaksi!$C$16:$C$5015,$A118,Transaksi!$D$16:$D$5015,"Pindah",Transaksi!$B$16:$B$5015,"&lt;="&amp;MIN(EOMONTH(DATE(Dashboard!$C$4,12,1),0),TODAY()))+SUMIFS(Transaksi!$F$16:$F$5015,Transaksi!$E$16:$E$5015,$A118,Transaksi!$D$16:$D$5015,"Pindah",Transaksi!$B$16:$B$5015,"&lt;="&amp;MIN(EOMONTH(DATE(Dashboard!$C$4,12,1),0),TODAY())))</f>
        <v/>
      </c>
    </row>
    <row r="119" ht="15" customHeight="1" s="94">
      <c r="A119" s="93">
        <f>IF(Akun!$A$83="","",Akun!$A$83)</f>
        <v/>
      </c>
      <c r="B119" s="93">
        <f>IF(Akun!$A$83="","",Akun!$B$83)</f>
        <v/>
      </c>
      <c r="C119" s="106">
        <f>IF(OR($A119="",DATE(Dashboard!$C$4,1,1)&gt;TODAY(),ISNA(MATCH($B119,{"Pribadi","Investasi (kas RDN)","Piutang","Pinjaman Mama (dompet)"},0))),"",SUMIFS(Akun!$C$5:$C$104,Akun!$A$5:$A$104,$A119,Akun!$D$5:$D$104,"&lt;="&amp;MIN(EOMONTH(DATE(Dashboard!$C$4,1,1),0),TODAY()))+SUMIFS(Transaksi!$F$16:$F$5015,Transaksi!$C$16:$C$5015,$A119,Transaksi!$D$16:$D$5015,"Masuk",Transaksi!$B$16:$B$5015,"&lt;="&amp;MIN(EOMONTH(DATE(Dashboard!$C$4,1,1),0),TODAY()))-SUMIFS(Transaksi!$F$16:$F$5015,Transaksi!$C$16:$C$5015,$A119,Transaksi!$D$16:$D$5015,"Keluar",Transaksi!$B$16:$B$5015,"&lt;="&amp;MIN(EOMONTH(DATE(Dashboard!$C$4,1,1),0),TODAY()))-SUMIFS(Transaksi!$F$16:$F$5015,Transaksi!$C$16:$C$5015,$A119,Transaksi!$D$16:$D$5015,"Pindah",Transaksi!$B$16:$B$5015,"&lt;="&amp;MIN(EOMONTH(DATE(Dashboard!$C$4,1,1),0),TODAY()))+SUMIFS(Transaksi!$F$16:$F$5015,Transaksi!$E$16:$E$5015,$A119,Transaksi!$D$16:$D$5015,"Pindah",Transaksi!$B$16:$B$5015,"&lt;="&amp;MIN(EOMONTH(DATE(Dashboard!$C$4,1,1),0),TODAY())))</f>
        <v/>
      </c>
      <c r="D119" s="106">
        <f>IF(OR($A119="",DATE(Dashboard!$C$4,2,1)&gt;TODAY(),ISNA(MATCH($B119,{"Pribadi","Investasi (kas RDN)","Piutang","Pinjaman Mama (dompet)"},0))),"",SUMIFS(Akun!$C$5:$C$104,Akun!$A$5:$A$104,$A119,Akun!$D$5:$D$104,"&lt;="&amp;MIN(EOMONTH(DATE(Dashboard!$C$4,2,1),0),TODAY()))+SUMIFS(Transaksi!$F$16:$F$5015,Transaksi!$C$16:$C$5015,$A119,Transaksi!$D$16:$D$5015,"Masuk",Transaksi!$B$16:$B$5015,"&lt;="&amp;MIN(EOMONTH(DATE(Dashboard!$C$4,2,1),0),TODAY()))-SUMIFS(Transaksi!$F$16:$F$5015,Transaksi!$C$16:$C$5015,$A119,Transaksi!$D$16:$D$5015,"Keluar",Transaksi!$B$16:$B$5015,"&lt;="&amp;MIN(EOMONTH(DATE(Dashboard!$C$4,2,1),0),TODAY()))-SUMIFS(Transaksi!$F$16:$F$5015,Transaksi!$C$16:$C$5015,$A119,Transaksi!$D$16:$D$5015,"Pindah",Transaksi!$B$16:$B$5015,"&lt;="&amp;MIN(EOMONTH(DATE(Dashboard!$C$4,2,1),0),TODAY()))+SUMIFS(Transaksi!$F$16:$F$5015,Transaksi!$E$16:$E$5015,$A119,Transaksi!$D$16:$D$5015,"Pindah",Transaksi!$B$16:$B$5015,"&lt;="&amp;MIN(EOMONTH(DATE(Dashboard!$C$4,2,1),0),TODAY())))</f>
        <v/>
      </c>
      <c r="E119" s="106">
        <f>IF(OR($A119="",DATE(Dashboard!$C$4,3,1)&gt;TODAY(),ISNA(MATCH($B119,{"Pribadi","Investasi (kas RDN)","Piutang","Pinjaman Mama (dompet)"},0))),"",SUMIFS(Akun!$C$5:$C$104,Akun!$A$5:$A$104,$A119,Akun!$D$5:$D$104,"&lt;="&amp;MIN(EOMONTH(DATE(Dashboard!$C$4,3,1),0),TODAY()))+SUMIFS(Transaksi!$F$16:$F$5015,Transaksi!$C$16:$C$5015,$A119,Transaksi!$D$16:$D$5015,"Masuk",Transaksi!$B$16:$B$5015,"&lt;="&amp;MIN(EOMONTH(DATE(Dashboard!$C$4,3,1),0),TODAY()))-SUMIFS(Transaksi!$F$16:$F$5015,Transaksi!$C$16:$C$5015,$A119,Transaksi!$D$16:$D$5015,"Keluar",Transaksi!$B$16:$B$5015,"&lt;="&amp;MIN(EOMONTH(DATE(Dashboard!$C$4,3,1),0),TODAY()))-SUMIFS(Transaksi!$F$16:$F$5015,Transaksi!$C$16:$C$5015,$A119,Transaksi!$D$16:$D$5015,"Pindah",Transaksi!$B$16:$B$5015,"&lt;="&amp;MIN(EOMONTH(DATE(Dashboard!$C$4,3,1),0),TODAY()))+SUMIFS(Transaksi!$F$16:$F$5015,Transaksi!$E$16:$E$5015,$A119,Transaksi!$D$16:$D$5015,"Pindah",Transaksi!$B$16:$B$5015,"&lt;="&amp;MIN(EOMONTH(DATE(Dashboard!$C$4,3,1),0),TODAY())))</f>
        <v/>
      </c>
      <c r="F119" s="106">
        <f>IF(OR($A119="",DATE(Dashboard!$C$4,4,1)&gt;TODAY(),ISNA(MATCH($B119,{"Pribadi","Investasi (kas RDN)","Piutang","Pinjaman Mama (dompet)"},0))),"",SUMIFS(Akun!$C$5:$C$104,Akun!$A$5:$A$104,$A119,Akun!$D$5:$D$104,"&lt;="&amp;MIN(EOMONTH(DATE(Dashboard!$C$4,4,1),0),TODAY()))+SUMIFS(Transaksi!$F$16:$F$5015,Transaksi!$C$16:$C$5015,$A119,Transaksi!$D$16:$D$5015,"Masuk",Transaksi!$B$16:$B$5015,"&lt;="&amp;MIN(EOMONTH(DATE(Dashboard!$C$4,4,1),0),TODAY()))-SUMIFS(Transaksi!$F$16:$F$5015,Transaksi!$C$16:$C$5015,$A119,Transaksi!$D$16:$D$5015,"Keluar",Transaksi!$B$16:$B$5015,"&lt;="&amp;MIN(EOMONTH(DATE(Dashboard!$C$4,4,1),0),TODAY()))-SUMIFS(Transaksi!$F$16:$F$5015,Transaksi!$C$16:$C$5015,$A119,Transaksi!$D$16:$D$5015,"Pindah",Transaksi!$B$16:$B$5015,"&lt;="&amp;MIN(EOMONTH(DATE(Dashboard!$C$4,4,1),0),TODAY()))+SUMIFS(Transaksi!$F$16:$F$5015,Transaksi!$E$16:$E$5015,$A119,Transaksi!$D$16:$D$5015,"Pindah",Transaksi!$B$16:$B$5015,"&lt;="&amp;MIN(EOMONTH(DATE(Dashboard!$C$4,4,1),0),TODAY())))</f>
        <v/>
      </c>
      <c r="G119" s="106">
        <f>IF(OR($A119="",DATE(Dashboard!$C$4,5,1)&gt;TODAY(),ISNA(MATCH($B119,{"Pribadi","Investasi (kas RDN)","Piutang","Pinjaman Mama (dompet)"},0))),"",SUMIFS(Akun!$C$5:$C$104,Akun!$A$5:$A$104,$A119,Akun!$D$5:$D$104,"&lt;="&amp;MIN(EOMONTH(DATE(Dashboard!$C$4,5,1),0),TODAY()))+SUMIFS(Transaksi!$F$16:$F$5015,Transaksi!$C$16:$C$5015,$A119,Transaksi!$D$16:$D$5015,"Masuk",Transaksi!$B$16:$B$5015,"&lt;="&amp;MIN(EOMONTH(DATE(Dashboard!$C$4,5,1),0),TODAY()))-SUMIFS(Transaksi!$F$16:$F$5015,Transaksi!$C$16:$C$5015,$A119,Transaksi!$D$16:$D$5015,"Keluar",Transaksi!$B$16:$B$5015,"&lt;="&amp;MIN(EOMONTH(DATE(Dashboard!$C$4,5,1),0),TODAY()))-SUMIFS(Transaksi!$F$16:$F$5015,Transaksi!$C$16:$C$5015,$A119,Transaksi!$D$16:$D$5015,"Pindah",Transaksi!$B$16:$B$5015,"&lt;="&amp;MIN(EOMONTH(DATE(Dashboard!$C$4,5,1),0),TODAY()))+SUMIFS(Transaksi!$F$16:$F$5015,Transaksi!$E$16:$E$5015,$A119,Transaksi!$D$16:$D$5015,"Pindah",Transaksi!$B$16:$B$5015,"&lt;="&amp;MIN(EOMONTH(DATE(Dashboard!$C$4,5,1),0),TODAY())))</f>
        <v/>
      </c>
      <c r="H119" s="106">
        <f>IF(OR($A119="",DATE(Dashboard!$C$4,6,1)&gt;TODAY(),ISNA(MATCH($B119,{"Pribadi","Investasi (kas RDN)","Piutang","Pinjaman Mama (dompet)"},0))),"",SUMIFS(Akun!$C$5:$C$104,Akun!$A$5:$A$104,$A119,Akun!$D$5:$D$104,"&lt;="&amp;MIN(EOMONTH(DATE(Dashboard!$C$4,6,1),0),TODAY()))+SUMIFS(Transaksi!$F$16:$F$5015,Transaksi!$C$16:$C$5015,$A119,Transaksi!$D$16:$D$5015,"Masuk",Transaksi!$B$16:$B$5015,"&lt;="&amp;MIN(EOMONTH(DATE(Dashboard!$C$4,6,1),0),TODAY()))-SUMIFS(Transaksi!$F$16:$F$5015,Transaksi!$C$16:$C$5015,$A119,Transaksi!$D$16:$D$5015,"Keluar",Transaksi!$B$16:$B$5015,"&lt;="&amp;MIN(EOMONTH(DATE(Dashboard!$C$4,6,1),0),TODAY()))-SUMIFS(Transaksi!$F$16:$F$5015,Transaksi!$C$16:$C$5015,$A119,Transaksi!$D$16:$D$5015,"Pindah",Transaksi!$B$16:$B$5015,"&lt;="&amp;MIN(EOMONTH(DATE(Dashboard!$C$4,6,1),0),TODAY()))+SUMIFS(Transaksi!$F$16:$F$5015,Transaksi!$E$16:$E$5015,$A119,Transaksi!$D$16:$D$5015,"Pindah",Transaksi!$B$16:$B$5015,"&lt;="&amp;MIN(EOMONTH(DATE(Dashboard!$C$4,6,1),0),TODAY())))</f>
        <v/>
      </c>
      <c r="I119" s="106">
        <f>IF(OR($A119="",DATE(Dashboard!$C$4,7,1)&gt;TODAY(),ISNA(MATCH($B119,{"Pribadi","Investasi (kas RDN)","Piutang","Pinjaman Mama (dompet)"},0))),"",SUMIFS(Akun!$C$5:$C$104,Akun!$A$5:$A$104,$A119,Akun!$D$5:$D$104,"&lt;="&amp;MIN(EOMONTH(DATE(Dashboard!$C$4,7,1),0),TODAY()))+SUMIFS(Transaksi!$F$16:$F$5015,Transaksi!$C$16:$C$5015,$A119,Transaksi!$D$16:$D$5015,"Masuk",Transaksi!$B$16:$B$5015,"&lt;="&amp;MIN(EOMONTH(DATE(Dashboard!$C$4,7,1),0),TODAY()))-SUMIFS(Transaksi!$F$16:$F$5015,Transaksi!$C$16:$C$5015,$A119,Transaksi!$D$16:$D$5015,"Keluar",Transaksi!$B$16:$B$5015,"&lt;="&amp;MIN(EOMONTH(DATE(Dashboard!$C$4,7,1),0),TODAY()))-SUMIFS(Transaksi!$F$16:$F$5015,Transaksi!$C$16:$C$5015,$A119,Transaksi!$D$16:$D$5015,"Pindah",Transaksi!$B$16:$B$5015,"&lt;="&amp;MIN(EOMONTH(DATE(Dashboard!$C$4,7,1),0),TODAY()))+SUMIFS(Transaksi!$F$16:$F$5015,Transaksi!$E$16:$E$5015,$A119,Transaksi!$D$16:$D$5015,"Pindah",Transaksi!$B$16:$B$5015,"&lt;="&amp;MIN(EOMONTH(DATE(Dashboard!$C$4,7,1),0),TODAY())))</f>
        <v/>
      </c>
      <c r="J119" s="106">
        <f>IF(OR($A119="",DATE(Dashboard!$C$4,8,1)&gt;TODAY(),ISNA(MATCH($B119,{"Pribadi","Investasi (kas RDN)","Piutang","Pinjaman Mama (dompet)"},0))),"",SUMIFS(Akun!$C$5:$C$104,Akun!$A$5:$A$104,$A119,Akun!$D$5:$D$104,"&lt;="&amp;MIN(EOMONTH(DATE(Dashboard!$C$4,8,1),0),TODAY()))+SUMIFS(Transaksi!$F$16:$F$5015,Transaksi!$C$16:$C$5015,$A119,Transaksi!$D$16:$D$5015,"Masuk",Transaksi!$B$16:$B$5015,"&lt;="&amp;MIN(EOMONTH(DATE(Dashboard!$C$4,8,1),0),TODAY()))-SUMIFS(Transaksi!$F$16:$F$5015,Transaksi!$C$16:$C$5015,$A119,Transaksi!$D$16:$D$5015,"Keluar",Transaksi!$B$16:$B$5015,"&lt;="&amp;MIN(EOMONTH(DATE(Dashboard!$C$4,8,1),0),TODAY()))-SUMIFS(Transaksi!$F$16:$F$5015,Transaksi!$C$16:$C$5015,$A119,Transaksi!$D$16:$D$5015,"Pindah",Transaksi!$B$16:$B$5015,"&lt;="&amp;MIN(EOMONTH(DATE(Dashboard!$C$4,8,1),0),TODAY()))+SUMIFS(Transaksi!$F$16:$F$5015,Transaksi!$E$16:$E$5015,$A119,Transaksi!$D$16:$D$5015,"Pindah",Transaksi!$B$16:$B$5015,"&lt;="&amp;MIN(EOMONTH(DATE(Dashboard!$C$4,8,1),0),TODAY())))</f>
        <v/>
      </c>
      <c r="K119" s="106">
        <f>IF(OR($A119="",DATE(Dashboard!$C$4,9,1)&gt;TODAY(),ISNA(MATCH($B119,{"Pribadi","Investasi (kas RDN)","Piutang","Pinjaman Mama (dompet)"},0))),"",SUMIFS(Akun!$C$5:$C$104,Akun!$A$5:$A$104,$A119,Akun!$D$5:$D$104,"&lt;="&amp;MIN(EOMONTH(DATE(Dashboard!$C$4,9,1),0),TODAY()))+SUMIFS(Transaksi!$F$16:$F$5015,Transaksi!$C$16:$C$5015,$A119,Transaksi!$D$16:$D$5015,"Masuk",Transaksi!$B$16:$B$5015,"&lt;="&amp;MIN(EOMONTH(DATE(Dashboard!$C$4,9,1),0),TODAY()))-SUMIFS(Transaksi!$F$16:$F$5015,Transaksi!$C$16:$C$5015,$A119,Transaksi!$D$16:$D$5015,"Keluar",Transaksi!$B$16:$B$5015,"&lt;="&amp;MIN(EOMONTH(DATE(Dashboard!$C$4,9,1),0),TODAY()))-SUMIFS(Transaksi!$F$16:$F$5015,Transaksi!$C$16:$C$5015,$A119,Transaksi!$D$16:$D$5015,"Pindah",Transaksi!$B$16:$B$5015,"&lt;="&amp;MIN(EOMONTH(DATE(Dashboard!$C$4,9,1),0),TODAY()))+SUMIFS(Transaksi!$F$16:$F$5015,Transaksi!$E$16:$E$5015,$A119,Transaksi!$D$16:$D$5015,"Pindah",Transaksi!$B$16:$B$5015,"&lt;="&amp;MIN(EOMONTH(DATE(Dashboard!$C$4,9,1),0),TODAY())))</f>
        <v/>
      </c>
      <c r="L119" s="106">
        <f>IF(OR($A119="",DATE(Dashboard!$C$4,10,1)&gt;TODAY(),ISNA(MATCH($B119,{"Pribadi","Investasi (kas RDN)","Piutang","Pinjaman Mama (dompet)"},0))),"",SUMIFS(Akun!$C$5:$C$104,Akun!$A$5:$A$104,$A119,Akun!$D$5:$D$104,"&lt;="&amp;MIN(EOMONTH(DATE(Dashboard!$C$4,10,1),0),TODAY()))+SUMIFS(Transaksi!$F$16:$F$5015,Transaksi!$C$16:$C$5015,$A119,Transaksi!$D$16:$D$5015,"Masuk",Transaksi!$B$16:$B$5015,"&lt;="&amp;MIN(EOMONTH(DATE(Dashboard!$C$4,10,1),0),TODAY()))-SUMIFS(Transaksi!$F$16:$F$5015,Transaksi!$C$16:$C$5015,$A119,Transaksi!$D$16:$D$5015,"Keluar",Transaksi!$B$16:$B$5015,"&lt;="&amp;MIN(EOMONTH(DATE(Dashboard!$C$4,10,1),0),TODAY()))-SUMIFS(Transaksi!$F$16:$F$5015,Transaksi!$C$16:$C$5015,$A119,Transaksi!$D$16:$D$5015,"Pindah",Transaksi!$B$16:$B$5015,"&lt;="&amp;MIN(EOMONTH(DATE(Dashboard!$C$4,10,1),0),TODAY()))+SUMIFS(Transaksi!$F$16:$F$5015,Transaksi!$E$16:$E$5015,$A119,Transaksi!$D$16:$D$5015,"Pindah",Transaksi!$B$16:$B$5015,"&lt;="&amp;MIN(EOMONTH(DATE(Dashboard!$C$4,10,1),0),TODAY())))</f>
        <v/>
      </c>
      <c r="M119" s="106">
        <f>IF(OR($A119="",DATE(Dashboard!$C$4,11,1)&gt;TODAY(),ISNA(MATCH($B119,{"Pribadi","Investasi (kas RDN)","Piutang","Pinjaman Mama (dompet)"},0))),"",SUMIFS(Akun!$C$5:$C$104,Akun!$A$5:$A$104,$A119,Akun!$D$5:$D$104,"&lt;="&amp;MIN(EOMONTH(DATE(Dashboard!$C$4,11,1),0),TODAY()))+SUMIFS(Transaksi!$F$16:$F$5015,Transaksi!$C$16:$C$5015,$A119,Transaksi!$D$16:$D$5015,"Masuk",Transaksi!$B$16:$B$5015,"&lt;="&amp;MIN(EOMONTH(DATE(Dashboard!$C$4,11,1),0),TODAY()))-SUMIFS(Transaksi!$F$16:$F$5015,Transaksi!$C$16:$C$5015,$A119,Transaksi!$D$16:$D$5015,"Keluar",Transaksi!$B$16:$B$5015,"&lt;="&amp;MIN(EOMONTH(DATE(Dashboard!$C$4,11,1),0),TODAY()))-SUMIFS(Transaksi!$F$16:$F$5015,Transaksi!$C$16:$C$5015,$A119,Transaksi!$D$16:$D$5015,"Pindah",Transaksi!$B$16:$B$5015,"&lt;="&amp;MIN(EOMONTH(DATE(Dashboard!$C$4,11,1),0),TODAY()))+SUMIFS(Transaksi!$F$16:$F$5015,Transaksi!$E$16:$E$5015,$A119,Transaksi!$D$16:$D$5015,"Pindah",Transaksi!$B$16:$B$5015,"&lt;="&amp;MIN(EOMONTH(DATE(Dashboard!$C$4,11,1),0),TODAY())))</f>
        <v/>
      </c>
      <c r="N119" s="106">
        <f>IF(OR($A119="",DATE(Dashboard!$C$4,12,1)&gt;TODAY(),ISNA(MATCH($B119,{"Pribadi","Investasi (kas RDN)","Piutang","Pinjaman Mama (dompet)"},0))),"",SUMIFS(Akun!$C$5:$C$104,Akun!$A$5:$A$104,$A119,Akun!$D$5:$D$104,"&lt;="&amp;MIN(EOMONTH(DATE(Dashboard!$C$4,12,1),0),TODAY()))+SUMIFS(Transaksi!$F$16:$F$5015,Transaksi!$C$16:$C$5015,$A119,Transaksi!$D$16:$D$5015,"Masuk",Transaksi!$B$16:$B$5015,"&lt;="&amp;MIN(EOMONTH(DATE(Dashboard!$C$4,12,1),0),TODAY()))-SUMIFS(Transaksi!$F$16:$F$5015,Transaksi!$C$16:$C$5015,$A119,Transaksi!$D$16:$D$5015,"Keluar",Transaksi!$B$16:$B$5015,"&lt;="&amp;MIN(EOMONTH(DATE(Dashboard!$C$4,12,1),0),TODAY()))-SUMIFS(Transaksi!$F$16:$F$5015,Transaksi!$C$16:$C$5015,$A119,Transaksi!$D$16:$D$5015,"Pindah",Transaksi!$B$16:$B$5015,"&lt;="&amp;MIN(EOMONTH(DATE(Dashboard!$C$4,12,1),0),TODAY()))+SUMIFS(Transaksi!$F$16:$F$5015,Transaksi!$E$16:$E$5015,$A119,Transaksi!$D$16:$D$5015,"Pindah",Transaksi!$B$16:$B$5015,"&lt;="&amp;MIN(EOMONTH(DATE(Dashboard!$C$4,12,1),0),TODAY())))</f>
        <v/>
      </c>
    </row>
    <row r="120" ht="15" customHeight="1" s="94">
      <c r="A120" s="93">
        <f>IF(Akun!$A$84="","",Akun!$A$84)</f>
        <v/>
      </c>
      <c r="B120" s="93">
        <f>IF(Akun!$A$84="","",Akun!$B$84)</f>
        <v/>
      </c>
      <c r="C120" s="106">
        <f>IF(OR($A120="",DATE(Dashboard!$C$4,1,1)&gt;TODAY(),ISNA(MATCH($B120,{"Pribadi","Investasi (kas RDN)","Piutang","Pinjaman Mama (dompet)"},0))),"",SUMIFS(Akun!$C$5:$C$104,Akun!$A$5:$A$104,$A120,Akun!$D$5:$D$104,"&lt;="&amp;MIN(EOMONTH(DATE(Dashboard!$C$4,1,1),0),TODAY()))+SUMIFS(Transaksi!$F$16:$F$5015,Transaksi!$C$16:$C$5015,$A120,Transaksi!$D$16:$D$5015,"Masuk",Transaksi!$B$16:$B$5015,"&lt;="&amp;MIN(EOMONTH(DATE(Dashboard!$C$4,1,1),0),TODAY()))-SUMIFS(Transaksi!$F$16:$F$5015,Transaksi!$C$16:$C$5015,$A120,Transaksi!$D$16:$D$5015,"Keluar",Transaksi!$B$16:$B$5015,"&lt;="&amp;MIN(EOMONTH(DATE(Dashboard!$C$4,1,1),0),TODAY()))-SUMIFS(Transaksi!$F$16:$F$5015,Transaksi!$C$16:$C$5015,$A120,Transaksi!$D$16:$D$5015,"Pindah",Transaksi!$B$16:$B$5015,"&lt;="&amp;MIN(EOMONTH(DATE(Dashboard!$C$4,1,1),0),TODAY()))+SUMIFS(Transaksi!$F$16:$F$5015,Transaksi!$E$16:$E$5015,$A120,Transaksi!$D$16:$D$5015,"Pindah",Transaksi!$B$16:$B$5015,"&lt;="&amp;MIN(EOMONTH(DATE(Dashboard!$C$4,1,1),0),TODAY())))</f>
        <v/>
      </c>
      <c r="D120" s="106">
        <f>IF(OR($A120="",DATE(Dashboard!$C$4,2,1)&gt;TODAY(),ISNA(MATCH($B120,{"Pribadi","Investasi (kas RDN)","Piutang","Pinjaman Mama (dompet)"},0))),"",SUMIFS(Akun!$C$5:$C$104,Akun!$A$5:$A$104,$A120,Akun!$D$5:$D$104,"&lt;="&amp;MIN(EOMONTH(DATE(Dashboard!$C$4,2,1),0),TODAY()))+SUMIFS(Transaksi!$F$16:$F$5015,Transaksi!$C$16:$C$5015,$A120,Transaksi!$D$16:$D$5015,"Masuk",Transaksi!$B$16:$B$5015,"&lt;="&amp;MIN(EOMONTH(DATE(Dashboard!$C$4,2,1),0),TODAY()))-SUMIFS(Transaksi!$F$16:$F$5015,Transaksi!$C$16:$C$5015,$A120,Transaksi!$D$16:$D$5015,"Keluar",Transaksi!$B$16:$B$5015,"&lt;="&amp;MIN(EOMONTH(DATE(Dashboard!$C$4,2,1),0),TODAY()))-SUMIFS(Transaksi!$F$16:$F$5015,Transaksi!$C$16:$C$5015,$A120,Transaksi!$D$16:$D$5015,"Pindah",Transaksi!$B$16:$B$5015,"&lt;="&amp;MIN(EOMONTH(DATE(Dashboard!$C$4,2,1),0),TODAY()))+SUMIFS(Transaksi!$F$16:$F$5015,Transaksi!$E$16:$E$5015,$A120,Transaksi!$D$16:$D$5015,"Pindah",Transaksi!$B$16:$B$5015,"&lt;="&amp;MIN(EOMONTH(DATE(Dashboard!$C$4,2,1),0),TODAY())))</f>
        <v/>
      </c>
      <c r="E120" s="106">
        <f>IF(OR($A120="",DATE(Dashboard!$C$4,3,1)&gt;TODAY(),ISNA(MATCH($B120,{"Pribadi","Investasi (kas RDN)","Piutang","Pinjaman Mama (dompet)"},0))),"",SUMIFS(Akun!$C$5:$C$104,Akun!$A$5:$A$104,$A120,Akun!$D$5:$D$104,"&lt;="&amp;MIN(EOMONTH(DATE(Dashboard!$C$4,3,1),0),TODAY()))+SUMIFS(Transaksi!$F$16:$F$5015,Transaksi!$C$16:$C$5015,$A120,Transaksi!$D$16:$D$5015,"Masuk",Transaksi!$B$16:$B$5015,"&lt;="&amp;MIN(EOMONTH(DATE(Dashboard!$C$4,3,1),0),TODAY()))-SUMIFS(Transaksi!$F$16:$F$5015,Transaksi!$C$16:$C$5015,$A120,Transaksi!$D$16:$D$5015,"Keluar",Transaksi!$B$16:$B$5015,"&lt;="&amp;MIN(EOMONTH(DATE(Dashboard!$C$4,3,1),0),TODAY()))-SUMIFS(Transaksi!$F$16:$F$5015,Transaksi!$C$16:$C$5015,$A120,Transaksi!$D$16:$D$5015,"Pindah",Transaksi!$B$16:$B$5015,"&lt;="&amp;MIN(EOMONTH(DATE(Dashboard!$C$4,3,1),0),TODAY()))+SUMIFS(Transaksi!$F$16:$F$5015,Transaksi!$E$16:$E$5015,$A120,Transaksi!$D$16:$D$5015,"Pindah",Transaksi!$B$16:$B$5015,"&lt;="&amp;MIN(EOMONTH(DATE(Dashboard!$C$4,3,1),0),TODAY())))</f>
        <v/>
      </c>
      <c r="F120" s="106">
        <f>IF(OR($A120="",DATE(Dashboard!$C$4,4,1)&gt;TODAY(),ISNA(MATCH($B120,{"Pribadi","Investasi (kas RDN)","Piutang","Pinjaman Mama (dompet)"},0))),"",SUMIFS(Akun!$C$5:$C$104,Akun!$A$5:$A$104,$A120,Akun!$D$5:$D$104,"&lt;="&amp;MIN(EOMONTH(DATE(Dashboard!$C$4,4,1),0),TODAY()))+SUMIFS(Transaksi!$F$16:$F$5015,Transaksi!$C$16:$C$5015,$A120,Transaksi!$D$16:$D$5015,"Masuk",Transaksi!$B$16:$B$5015,"&lt;="&amp;MIN(EOMONTH(DATE(Dashboard!$C$4,4,1),0),TODAY()))-SUMIFS(Transaksi!$F$16:$F$5015,Transaksi!$C$16:$C$5015,$A120,Transaksi!$D$16:$D$5015,"Keluar",Transaksi!$B$16:$B$5015,"&lt;="&amp;MIN(EOMONTH(DATE(Dashboard!$C$4,4,1),0),TODAY()))-SUMIFS(Transaksi!$F$16:$F$5015,Transaksi!$C$16:$C$5015,$A120,Transaksi!$D$16:$D$5015,"Pindah",Transaksi!$B$16:$B$5015,"&lt;="&amp;MIN(EOMONTH(DATE(Dashboard!$C$4,4,1),0),TODAY()))+SUMIFS(Transaksi!$F$16:$F$5015,Transaksi!$E$16:$E$5015,$A120,Transaksi!$D$16:$D$5015,"Pindah",Transaksi!$B$16:$B$5015,"&lt;="&amp;MIN(EOMONTH(DATE(Dashboard!$C$4,4,1),0),TODAY())))</f>
        <v/>
      </c>
      <c r="G120" s="106">
        <f>IF(OR($A120="",DATE(Dashboard!$C$4,5,1)&gt;TODAY(),ISNA(MATCH($B120,{"Pribadi","Investasi (kas RDN)","Piutang","Pinjaman Mama (dompet)"},0))),"",SUMIFS(Akun!$C$5:$C$104,Akun!$A$5:$A$104,$A120,Akun!$D$5:$D$104,"&lt;="&amp;MIN(EOMONTH(DATE(Dashboard!$C$4,5,1),0),TODAY()))+SUMIFS(Transaksi!$F$16:$F$5015,Transaksi!$C$16:$C$5015,$A120,Transaksi!$D$16:$D$5015,"Masuk",Transaksi!$B$16:$B$5015,"&lt;="&amp;MIN(EOMONTH(DATE(Dashboard!$C$4,5,1),0),TODAY()))-SUMIFS(Transaksi!$F$16:$F$5015,Transaksi!$C$16:$C$5015,$A120,Transaksi!$D$16:$D$5015,"Keluar",Transaksi!$B$16:$B$5015,"&lt;="&amp;MIN(EOMONTH(DATE(Dashboard!$C$4,5,1),0),TODAY()))-SUMIFS(Transaksi!$F$16:$F$5015,Transaksi!$C$16:$C$5015,$A120,Transaksi!$D$16:$D$5015,"Pindah",Transaksi!$B$16:$B$5015,"&lt;="&amp;MIN(EOMONTH(DATE(Dashboard!$C$4,5,1),0),TODAY()))+SUMIFS(Transaksi!$F$16:$F$5015,Transaksi!$E$16:$E$5015,$A120,Transaksi!$D$16:$D$5015,"Pindah",Transaksi!$B$16:$B$5015,"&lt;="&amp;MIN(EOMONTH(DATE(Dashboard!$C$4,5,1),0),TODAY())))</f>
        <v/>
      </c>
      <c r="H120" s="106">
        <f>IF(OR($A120="",DATE(Dashboard!$C$4,6,1)&gt;TODAY(),ISNA(MATCH($B120,{"Pribadi","Investasi (kas RDN)","Piutang","Pinjaman Mama (dompet)"},0))),"",SUMIFS(Akun!$C$5:$C$104,Akun!$A$5:$A$104,$A120,Akun!$D$5:$D$104,"&lt;="&amp;MIN(EOMONTH(DATE(Dashboard!$C$4,6,1),0),TODAY()))+SUMIFS(Transaksi!$F$16:$F$5015,Transaksi!$C$16:$C$5015,$A120,Transaksi!$D$16:$D$5015,"Masuk",Transaksi!$B$16:$B$5015,"&lt;="&amp;MIN(EOMONTH(DATE(Dashboard!$C$4,6,1),0),TODAY()))-SUMIFS(Transaksi!$F$16:$F$5015,Transaksi!$C$16:$C$5015,$A120,Transaksi!$D$16:$D$5015,"Keluar",Transaksi!$B$16:$B$5015,"&lt;="&amp;MIN(EOMONTH(DATE(Dashboard!$C$4,6,1),0),TODAY()))-SUMIFS(Transaksi!$F$16:$F$5015,Transaksi!$C$16:$C$5015,$A120,Transaksi!$D$16:$D$5015,"Pindah",Transaksi!$B$16:$B$5015,"&lt;="&amp;MIN(EOMONTH(DATE(Dashboard!$C$4,6,1),0),TODAY()))+SUMIFS(Transaksi!$F$16:$F$5015,Transaksi!$E$16:$E$5015,$A120,Transaksi!$D$16:$D$5015,"Pindah",Transaksi!$B$16:$B$5015,"&lt;="&amp;MIN(EOMONTH(DATE(Dashboard!$C$4,6,1),0),TODAY())))</f>
        <v/>
      </c>
      <c r="I120" s="106">
        <f>IF(OR($A120="",DATE(Dashboard!$C$4,7,1)&gt;TODAY(),ISNA(MATCH($B120,{"Pribadi","Investasi (kas RDN)","Piutang","Pinjaman Mama (dompet)"},0))),"",SUMIFS(Akun!$C$5:$C$104,Akun!$A$5:$A$104,$A120,Akun!$D$5:$D$104,"&lt;="&amp;MIN(EOMONTH(DATE(Dashboard!$C$4,7,1),0),TODAY()))+SUMIFS(Transaksi!$F$16:$F$5015,Transaksi!$C$16:$C$5015,$A120,Transaksi!$D$16:$D$5015,"Masuk",Transaksi!$B$16:$B$5015,"&lt;="&amp;MIN(EOMONTH(DATE(Dashboard!$C$4,7,1),0),TODAY()))-SUMIFS(Transaksi!$F$16:$F$5015,Transaksi!$C$16:$C$5015,$A120,Transaksi!$D$16:$D$5015,"Keluar",Transaksi!$B$16:$B$5015,"&lt;="&amp;MIN(EOMONTH(DATE(Dashboard!$C$4,7,1),0),TODAY()))-SUMIFS(Transaksi!$F$16:$F$5015,Transaksi!$C$16:$C$5015,$A120,Transaksi!$D$16:$D$5015,"Pindah",Transaksi!$B$16:$B$5015,"&lt;="&amp;MIN(EOMONTH(DATE(Dashboard!$C$4,7,1),0),TODAY()))+SUMIFS(Transaksi!$F$16:$F$5015,Transaksi!$E$16:$E$5015,$A120,Transaksi!$D$16:$D$5015,"Pindah",Transaksi!$B$16:$B$5015,"&lt;="&amp;MIN(EOMONTH(DATE(Dashboard!$C$4,7,1),0),TODAY())))</f>
        <v/>
      </c>
      <c r="J120" s="106">
        <f>IF(OR($A120="",DATE(Dashboard!$C$4,8,1)&gt;TODAY(),ISNA(MATCH($B120,{"Pribadi","Investasi (kas RDN)","Piutang","Pinjaman Mama (dompet)"},0))),"",SUMIFS(Akun!$C$5:$C$104,Akun!$A$5:$A$104,$A120,Akun!$D$5:$D$104,"&lt;="&amp;MIN(EOMONTH(DATE(Dashboard!$C$4,8,1),0),TODAY()))+SUMIFS(Transaksi!$F$16:$F$5015,Transaksi!$C$16:$C$5015,$A120,Transaksi!$D$16:$D$5015,"Masuk",Transaksi!$B$16:$B$5015,"&lt;="&amp;MIN(EOMONTH(DATE(Dashboard!$C$4,8,1),0),TODAY()))-SUMIFS(Transaksi!$F$16:$F$5015,Transaksi!$C$16:$C$5015,$A120,Transaksi!$D$16:$D$5015,"Keluar",Transaksi!$B$16:$B$5015,"&lt;="&amp;MIN(EOMONTH(DATE(Dashboard!$C$4,8,1),0),TODAY()))-SUMIFS(Transaksi!$F$16:$F$5015,Transaksi!$C$16:$C$5015,$A120,Transaksi!$D$16:$D$5015,"Pindah",Transaksi!$B$16:$B$5015,"&lt;="&amp;MIN(EOMONTH(DATE(Dashboard!$C$4,8,1),0),TODAY()))+SUMIFS(Transaksi!$F$16:$F$5015,Transaksi!$E$16:$E$5015,$A120,Transaksi!$D$16:$D$5015,"Pindah",Transaksi!$B$16:$B$5015,"&lt;="&amp;MIN(EOMONTH(DATE(Dashboard!$C$4,8,1),0),TODAY())))</f>
        <v/>
      </c>
      <c r="K120" s="106">
        <f>IF(OR($A120="",DATE(Dashboard!$C$4,9,1)&gt;TODAY(),ISNA(MATCH($B120,{"Pribadi","Investasi (kas RDN)","Piutang","Pinjaman Mama (dompet)"},0))),"",SUMIFS(Akun!$C$5:$C$104,Akun!$A$5:$A$104,$A120,Akun!$D$5:$D$104,"&lt;="&amp;MIN(EOMONTH(DATE(Dashboard!$C$4,9,1),0),TODAY()))+SUMIFS(Transaksi!$F$16:$F$5015,Transaksi!$C$16:$C$5015,$A120,Transaksi!$D$16:$D$5015,"Masuk",Transaksi!$B$16:$B$5015,"&lt;="&amp;MIN(EOMONTH(DATE(Dashboard!$C$4,9,1),0),TODAY()))-SUMIFS(Transaksi!$F$16:$F$5015,Transaksi!$C$16:$C$5015,$A120,Transaksi!$D$16:$D$5015,"Keluar",Transaksi!$B$16:$B$5015,"&lt;="&amp;MIN(EOMONTH(DATE(Dashboard!$C$4,9,1),0),TODAY()))-SUMIFS(Transaksi!$F$16:$F$5015,Transaksi!$C$16:$C$5015,$A120,Transaksi!$D$16:$D$5015,"Pindah",Transaksi!$B$16:$B$5015,"&lt;="&amp;MIN(EOMONTH(DATE(Dashboard!$C$4,9,1),0),TODAY()))+SUMIFS(Transaksi!$F$16:$F$5015,Transaksi!$E$16:$E$5015,$A120,Transaksi!$D$16:$D$5015,"Pindah",Transaksi!$B$16:$B$5015,"&lt;="&amp;MIN(EOMONTH(DATE(Dashboard!$C$4,9,1),0),TODAY())))</f>
        <v/>
      </c>
      <c r="L120" s="106">
        <f>IF(OR($A120="",DATE(Dashboard!$C$4,10,1)&gt;TODAY(),ISNA(MATCH($B120,{"Pribadi","Investasi (kas RDN)","Piutang","Pinjaman Mama (dompet)"},0))),"",SUMIFS(Akun!$C$5:$C$104,Akun!$A$5:$A$104,$A120,Akun!$D$5:$D$104,"&lt;="&amp;MIN(EOMONTH(DATE(Dashboard!$C$4,10,1),0),TODAY()))+SUMIFS(Transaksi!$F$16:$F$5015,Transaksi!$C$16:$C$5015,$A120,Transaksi!$D$16:$D$5015,"Masuk",Transaksi!$B$16:$B$5015,"&lt;="&amp;MIN(EOMONTH(DATE(Dashboard!$C$4,10,1),0),TODAY()))-SUMIFS(Transaksi!$F$16:$F$5015,Transaksi!$C$16:$C$5015,$A120,Transaksi!$D$16:$D$5015,"Keluar",Transaksi!$B$16:$B$5015,"&lt;="&amp;MIN(EOMONTH(DATE(Dashboard!$C$4,10,1),0),TODAY()))-SUMIFS(Transaksi!$F$16:$F$5015,Transaksi!$C$16:$C$5015,$A120,Transaksi!$D$16:$D$5015,"Pindah",Transaksi!$B$16:$B$5015,"&lt;="&amp;MIN(EOMONTH(DATE(Dashboard!$C$4,10,1),0),TODAY()))+SUMIFS(Transaksi!$F$16:$F$5015,Transaksi!$E$16:$E$5015,$A120,Transaksi!$D$16:$D$5015,"Pindah",Transaksi!$B$16:$B$5015,"&lt;="&amp;MIN(EOMONTH(DATE(Dashboard!$C$4,10,1),0),TODAY())))</f>
        <v/>
      </c>
      <c r="M120" s="106">
        <f>IF(OR($A120="",DATE(Dashboard!$C$4,11,1)&gt;TODAY(),ISNA(MATCH($B120,{"Pribadi","Investasi (kas RDN)","Piutang","Pinjaman Mama (dompet)"},0))),"",SUMIFS(Akun!$C$5:$C$104,Akun!$A$5:$A$104,$A120,Akun!$D$5:$D$104,"&lt;="&amp;MIN(EOMONTH(DATE(Dashboard!$C$4,11,1),0),TODAY()))+SUMIFS(Transaksi!$F$16:$F$5015,Transaksi!$C$16:$C$5015,$A120,Transaksi!$D$16:$D$5015,"Masuk",Transaksi!$B$16:$B$5015,"&lt;="&amp;MIN(EOMONTH(DATE(Dashboard!$C$4,11,1),0),TODAY()))-SUMIFS(Transaksi!$F$16:$F$5015,Transaksi!$C$16:$C$5015,$A120,Transaksi!$D$16:$D$5015,"Keluar",Transaksi!$B$16:$B$5015,"&lt;="&amp;MIN(EOMONTH(DATE(Dashboard!$C$4,11,1),0),TODAY()))-SUMIFS(Transaksi!$F$16:$F$5015,Transaksi!$C$16:$C$5015,$A120,Transaksi!$D$16:$D$5015,"Pindah",Transaksi!$B$16:$B$5015,"&lt;="&amp;MIN(EOMONTH(DATE(Dashboard!$C$4,11,1),0),TODAY()))+SUMIFS(Transaksi!$F$16:$F$5015,Transaksi!$E$16:$E$5015,$A120,Transaksi!$D$16:$D$5015,"Pindah",Transaksi!$B$16:$B$5015,"&lt;="&amp;MIN(EOMONTH(DATE(Dashboard!$C$4,11,1),0),TODAY())))</f>
        <v/>
      </c>
      <c r="N120" s="106">
        <f>IF(OR($A120="",DATE(Dashboard!$C$4,12,1)&gt;TODAY(),ISNA(MATCH($B120,{"Pribadi","Investasi (kas RDN)","Piutang","Pinjaman Mama (dompet)"},0))),"",SUMIFS(Akun!$C$5:$C$104,Akun!$A$5:$A$104,$A120,Akun!$D$5:$D$104,"&lt;="&amp;MIN(EOMONTH(DATE(Dashboard!$C$4,12,1),0),TODAY()))+SUMIFS(Transaksi!$F$16:$F$5015,Transaksi!$C$16:$C$5015,$A120,Transaksi!$D$16:$D$5015,"Masuk",Transaksi!$B$16:$B$5015,"&lt;="&amp;MIN(EOMONTH(DATE(Dashboard!$C$4,12,1),0),TODAY()))-SUMIFS(Transaksi!$F$16:$F$5015,Transaksi!$C$16:$C$5015,$A120,Transaksi!$D$16:$D$5015,"Keluar",Transaksi!$B$16:$B$5015,"&lt;="&amp;MIN(EOMONTH(DATE(Dashboard!$C$4,12,1),0),TODAY()))-SUMIFS(Transaksi!$F$16:$F$5015,Transaksi!$C$16:$C$5015,$A120,Transaksi!$D$16:$D$5015,"Pindah",Transaksi!$B$16:$B$5015,"&lt;="&amp;MIN(EOMONTH(DATE(Dashboard!$C$4,12,1),0),TODAY()))+SUMIFS(Transaksi!$F$16:$F$5015,Transaksi!$E$16:$E$5015,$A120,Transaksi!$D$16:$D$5015,"Pindah",Transaksi!$B$16:$B$5015,"&lt;="&amp;MIN(EOMONTH(DATE(Dashboard!$C$4,12,1),0),TODAY())))</f>
        <v/>
      </c>
    </row>
    <row r="121" ht="15" customHeight="1" s="94">
      <c r="A121" s="93">
        <f>IF(Akun!$A$85="","",Akun!$A$85)</f>
        <v/>
      </c>
      <c r="B121" s="93">
        <f>IF(Akun!$A$85="","",Akun!$B$85)</f>
        <v/>
      </c>
      <c r="C121" s="106">
        <f>IF(OR($A121="",DATE(Dashboard!$C$4,1,1)&gt;TODAY(),ISNA(MATCH($B121,{"Pribadi","Investasi (kas RDN)","Piutang","Pinjaman Mama (dompet)"},0))),"",SUMIFS(Akun!$C$5:$C$104,Akun!$A$5:$A$104,$A121,Akun!$D$5:$D$104,"&lt;="&amp;MIN(EOMONTH(DATE(Dashboard!$C$4,1,1),0),TODAY()))+SUMIFS(Transaksi!$F$16:$F$5015,Transaksi!$C$16:$C$5015,$A121,Transaksi!$D$16:$D$5015,"Masuk",Transaksi!$B$16:$B$5015,"&lt;="&amp;MIN(EOMONTH(DATE(Dashboard!$C$4,1,1),0),TODAY()))-SUMIFS(Transaksi!$F$16:$F$5015,Transaksi!$C$16:$C$5015,$A121,Transaksi!$D$16:$D$5015,"Keluar",Transaksi!$B$16:$B$5015,"&lt;="&amp;MIN(EOMONTH(DATE(Dashboard!$C$4,1,1),0),TODAY()))-SUMIFS(Transaksi!$F$16:$F$5015,Transaksi!$C$16:$C$5015,$A121,Transaksi!$D$16:$D$5015,"Pindah",Transaksi!$B$16:$B$5015,"&lt;="&amp;MIN(EOMONTH(DATE(Dashboard!$C$4,1,1),0),TODAY()))+SUMIFS(Transaksi!$F$16:$F$5015,Transaksi!$E$16:$E$5015,$A121,Transaksi!$D$16:$D$5015,"Pindah",Transaksi!$B$16:$B$5015,"&lt;="&amp;MIN(EOMONTH(DATE(Dashboard!$C$4,1,1),0),TODAY())))</f>
        <v/>
      </c>
      <c r="D121" s="106">
        <f>IF(OR($A121="",DATE(Dashboard!$C$4,2,1)&gt;TODAY(),ISNA(MATCH($B121,{"Pribadi","Investasi (kas RDN)","Piutang","Pinjaman Mama (dompet)"},0))),"",SUMIFS(Akun!$C$5:$C$104,Akun!$A$5:$A$104,$A121,Akun!$D$5:$D$104,"&lt;="&amp;MIN(EOMONTH(DATE(Dashboard!$C$4,2,1),0),TODAY()))+SUMIFS(Transaksi!$F$16:$F$5015,Transaksi!$C$16:$C$5015,$A121,Transaksi!$D$16:$D$5015,"Masuk",Transaksi!$B$16:$B$5015,"&lt;="&amp;MIN(EOMONTH(DATE(Dashboard!$C$4,2,1),0),TODAY()))-SUMIFS(Transaksi!$F$16:$F$5015,Transaksi!$C$16:$C$5015,$A121,Transaksi!$D$16:$D$5015,"Keluar",Transaksi!$B$16:$B$5015,"&lt;="&amp;MIN(EOMONTH(DATE(Dashboard!$C$4,2,1),0),TODAY()))-SUMIFS(Transaksi!$F$16:$F$5015,Transaksi!$C$16:$C$5015,$A121,Transaksi!$D$16:$D$5015,"Pindah",Transaksi!$B$16:$B$5015,"&lt;="&amp;MIN(EOMONTH(DATE(Dashboard!$C$4,2,1),0),TODAY()))+SUMIFS(Transaksi!$F$16:$F$5015,Transaksi!$E$16:$E$5015,$A121,Transaksi!$D$16:$D$5015,"Pindah",Transaksi!$B$16:$B$5015,"&lt;="&amp;MIN(EOMONTH(DATE(Dashboard!$C$4,2,1),0),TODAY())))</f>
        <v/>
      </c>
      <c r="E121" s="106">
        <f>IF(OR($A121="",DATE(Dashboard!$C$4,3,1)&gt;TODAY(),ISNA(MATCH($B121,{"Pribadi","Investasi (kas RDN)","Piutang","Pinjaman Mama (dompet)"},0))),"",SUMIFS(Akun!$C$5:$C$104,Akun!$A$5:$A$104,$A121,Akun!$D$5:$D$104,"&lt;="&amp;MIN(EOMONTH(DATE(Dashboard!$C$4,3,1),0),TODAY()))+SUMIFS(Transaksi!$F$16:$F$5015,Transaksi!$C$16:$C$5015,$A121,Transaksi!$D$16:$D$5015,"Masuk",Transaksi!$B$16:$B$5015,"&lt;="&amp;MIN(EOMONTH(DATE(Dashboard!$C$4,3,1),0),TODAY()))-SUMIFS(Transaksi!$F$16:$F$5015,Transaksi!$C$16:$C$5015,$A121,Transaksi!$D$16:$D$5015,"Keluar",Transaksi!$B$16:$B$5015,"&lt;="&amp;MIN(EOMONTH(DATE(Dashboard!$C$4,3,1),0),TODAY()))-SUMIFS(Transaksi!$F$16:$F$5015,Transaksi!$C$16:$C$5015,$A121,Transaksi!$D$16:$D$5015,"Pindah",Transaksi!$B$16:$B$5015,"&lt;="&amp;MIN(EOMONTH(DATE(Dashboard!$C$4,3,1),0),TODAY()))+SUMIFS(Transaksi!$F$16:$F$5015,Transaksi!$E$16:$E$5015,$A121,Transaksi!$D$16:$D$5015,"Pindah",Transaksi!$B$16:$B$5015,"&lt;="&amp;MIN(EOMONTH(DATE(Dashboard!$C$4,3,1),0),TODAY())))</f>
        <v/>
      </c>
      <c r="F121" s="106">
        <f>IF(OR($A121="",DATE(Dashboard!$C$4,4,1)&gt;TODAY(),ISNA(MATCH($B121,{"Pribadi","Investasi (kas RDN)","Piutang","Pinjaman Mama (dompet)"},0))),"",SUMIFS(Akun!$C$5:$C$104,Akun!$A$5:$A$104,$A121,Akun!$D$5:$D$104,"&lt;="&amp;MIN(EOMONTH(DATE(Dashboard!$C$4,4,1),0),TODAY()))+SUMIFS(Transaksi!$F$16:$F$5015,Transaksi!$C$16:$C$5015,$A121,Transaksi!$D$16:$D$5015,"Masuk",Transaksi!$B$16:$B$5015,"&lt;="&amp;MIN(EOMONTH(DATE(Dashboard!$C$4,4,1),0),TODAY()))-SUMIFS(Transaksi!$F$16:$F$5015,Transaksi!$C$16:$C$5015,$A121,Transaksi!$D$16:$D$5015,"Keluar",Transaksi!$B$16:$B$5015,"&lt;="&amp;MIN(EOMONTH(DATE(Dashboard!$C$4,4,1),0),TODAY()))-SUMIFS(Transaksi!$F$16:$F$5015,Transaksi!$C$16:$C$5015,$A121,Transaksi!$D$16:$D$5015,"Pindah",Transaksi!$B$16:$B$5015,"&lt;="&amp;MIN(EOMONTH(DATE(Dashboard!$C$4,4,1),0),TODAY()))+SUMIFS(Transaksi!$F$16:$F$5015,Transaksi!$E$16:$E$5015,$A121,Transaksi!$D$16:$D$5015,"Pindah",Transaksi!$B$16:$B$5015,"&lt;="&amp;MIN(EOMONTH(DATE(Dashboard!$C$4,4,1),0),TODAY())))</f>
        <v/>
      </c>
      <c r="G121" s="106">
        <f>IF(OR($A121="",DATE(Dashboard!$C$4,5,1)&gt;TODAY(),ISNA(MATCH($B121,{"Pribadi","Investasi (kas RDN)","Piutang","Pinjaman Mama (dompet)"},0))),"",SUMIFS(Akun!$C$5:$C$104,Akun!$A$5:$A$104,$A121,Akun!$D$5:$D$104,"&lt;="&amp;MIN(EOMONTH(DATE(Dashboard!$C$4,5,1),0),TODAY()))+SUMIFS(Transaksi!$F$16:$F$5015,Transaksi!$C$16:$C$5015,$A121,Transaksi!$D$16:$D$5015,"Masuk",Transaksi!$B$16:$B$5015,"&lt;="&amp;MIN(EOMONTH(DATE(Dashboard!$C$4,5,1),0),TODAY()))-SUMIFS(Transaksi!$F$16:$F$5015,Transaksi!$C$16:$C$5015,$A121,Transaksi!$D$16:$D$5015,"Keluar",Transaksi!$B$16:$B$5015,"&lt;="&amp;MIN(EOMONTH(DATE(Dashboard!$C$4,5,1),0),TODAY()))-SUMIFS(Transaksi!$F$16:$F$5015,Transaksi!$C$16:$C$5015,$A121,Transaksi!$D$16:$D$5015,"Pindah",Transaksi!$B$16:$B$5015,"&lt;="&amp;MIN(EOMONTH(DATE(Dashboard!$C$4,5,1),0),TODAY()))+SUMIFS(Transaksi!$F$16:$F$5015,Transaksi!$E$16:$E$5015,$A121,Transaksi!$D$16:$D$5015,"Pindah",Transaksi!$B$16:$B$5015,"&lt;="&amp;MIN(EOMONTH(DATE(Dashboard!$C$4,5,1),0),TODAY())))</f>
        <v/>
      </c>
      <c r="H121" s="106">
        <f>IF(OR($A121="",DATE(Dashboard!$C$4,6,1)&gt;TODAY(),ISNA(MATCH($B121,{"Pribadi","Investasi (kas RDN)","Piutang","Pinjaman Mama (dompet)"},0))),"",SUMIFS(Akun!$C$5:$C$104,Akun!$A$5:$A$104,$A121,Akun!$D$5:$D$104,"&lt;="&amp;MIN(EOMONTH(DATE(Dashboard!$C$4,6,1),0),TODAY()))+SUMIFS(Transaksi!$F$16:$F$5015,Transaksi!$C$16:$C$5015,$A121,Transaksi!$D$16:$D$5015,"Masuk",Transaksi!$B$16:$B$5015,"&lt;="&amp;MIN(EOMONTH(DATE(Dashboard!$C$4,6,1),0),TODAY()))-SUMIFS(Transaksi!$F$16:$F$5015,Transaksi!$C$16:$C$5015,$A121,Transaksi!$D$16:$D$5015,"Keluar",Transaksi!$B$16:$B$5015,"&lt;="&amp;MIN(EOMONTH(DATE(Dashboard!$C$4,6,1),0),TODAY()))-SUMIFS(Transaksi!$F$16:$F$5015,Transaksi!$C$16:$C$5015,$A121,Transaksi!$D$16:$D$5015,"Pindah",Transaksi!$B$16:$B$5015,"&lt;="&amp;MIN(EOMONTH(DATE(Dashboard!$C$4,6,1),0),TODAY()))+SUMIFS(Transaksi!$F$16:$F$5015,Transaksi!$E$16:$E$5015,$A121,Transaksi!$D$16:$D$5015,"Pindah",Transaksi!$B$16:$B$5015,"&lt;="&amp;MIN(EOMONTH(DATE(Dashboard!$C$4,6,1),0),TODAY())))</f>
        <v/>
      </c>
      <c r="I121" s="106">
        <f>IF(OR($A121="",DATE(Dashboard!$C$4,7,1)&gt;TODAY(),ISNA(MATCH($B121,{"Pribadi","Investasi (kas RDN)","Piutang","Pinjaman Mama (dompet)"},0))),"",SUMIFS(Akun!$C$5:$C$104,Akun!$A$5:$A$104,$A121,Akun!$D$5:$D$104,"&lt;="&amp;MIN(EOMONTH(DATE(Dashboard!$C$4,7,1),0),TODAY()))+SUMIFS(Transaksi!$F$16:$F$5015,Transaksi!$C$16:$C$5015,$A121,Transaksi!$D$16:$D$5015,"Masuk",Transaksi!$B$16:$B$5015,"&lt;="&amp;MIN(EOMONTH(DATE(Dashboard!$C$4,7,1),0),TODAY()))-SUMIFS(Transaksi!$F$16:$F$5015,Transaksi!$C$16:$C$5015,$A121,Transaksi!$D$16:$D$5015,"Keluar",Transaksi!$B$16:$B$5015,"&lt;="&amp;MIN(EOMONTH(DATE(Dashboard!$C$4,7,1),0),TODAY()))-SUMIFS(Transaksi!$F$16:$F$5015,Transaksi!$C$16:$C$5015,$A121,Transaksi!$D$16:$D$5015,"Pindah",Transaksi!$B$16:$B$5015,"&lt;="&amp;MIN(EOMONTH(DATE(Dashboard!$C$4,7,1),0),TODAY()))+SUMIFS(Transaksi!$F$16:$F$5015,Transaksi!$E$16:$E$5015,$A121,Transaksi!$D$16:$D$5015,"Pindah",Transaksi!$B$16:$B$5015,"&lt;="&amp;MIN(EOMONTH(DATE(Dashboard!$C$4,7,1),0),TODAY())))</f>
        <v/>
      </c>
      <c r="J121" s="106">
        <f>IF(OR($A121="",DATE(Dashboard!$C$4,8,1)&gt;TODAY(),ISNA(MATCH($B121,{"Pribadi","Investasi (kas RDN)","Piutang","Pinjaman Mama (dompet)"},0))),"",SUMIFS(Akun!$C$5:$C$104,Akun!$A$5:$A$104,$A121,Akun!$D$5:$D$104,"&lt;="&amp;MIN(EOMONTH(DATE(Dashboard!$C$4,8,1),0),TODAY()))+SUMIFS(Transaksi!$F$16:$F$5015,Transaksi!$C$16:$C$5015,$A121,Transaksi!$D$16:$D$5015,"Masuk",Transaksi!$B$16:$B$5015,"&lt;="&amp;MIN(EOMONTH(DATE(Dashboard!$C$4,8,1),0),TODAY()))-SUMIFS(Transaksi!$F$16:$F$5015,Transaksi!$C$16:$C$5015,$A121,Transaksi!$D$16:$D$5015,"Keluar",Transaksi!$B$16:$B$5015,"&lt;="&amp;MIN(EOMONTH(DATE(Dashboard!$C$4,8,1),0),TODAY()))-SUMIFS(Transaksi!$F$16:$F$5015,Transaksi!$C$16:$C$5015,$A121,Transaksi!$D$16:$D$5015,"Pindah",Transaksi!$B$16:$B$5015,"&lt;="&amp;MIN(EOMONTH(DATE(Dashboard!$C$4,8,1),0),TODAY()))+SUMIFS(Transaksi!$F$16:$F$5015,Transaksi!$E$16:$E$5015,$A121,Transaksi!$D$16:$D$5015,"Pindah",Transaksi!$B$16:$B$5015,"&lt;="&amp;MIN(EOMONTH(DATE(Dashboard!$C$4,8,1),0),TODAY())))</f>
        <v/>
      </c>
      <c r="K121" s="106">
        <f>IF(OR($A121="",DATE(Dashboard!$C$4,9,1)&gt;TODAY(),ISNA(MATCH($B121,{"Pribadi","Investasi (kas RDN)","Piutang","Pinjaman Mama (dompet)"},0))),"",SUMIFS(Akun!$C$5:$C$104,Akun!$A$5:$A$104,$A121,Akun!$D$5:$D$104,"&lt;="&amp;MIN(EOMONTH(DATE(Dashboard!$C$4,9,1),0),TODAY()))+SUMIFS(Transaksi!$F$16:$F$5015,Transaksi!$C$16:$C$5015,$A121,Transaksi!$D$16:$D$5015,"Masuk",Transaksi!$B$16:$B$5015,"&lt;="&amp;MIN(EOMONTH(DATE(Dashboard!$C$4,9,1),0),TODAY()))-SUMIFS(Transaksi!$F$16:$F$5015,Transaksi!$C$16:$C$5015,$A121,Transaksi!$D$16:$D$5015,"Keluar",Transaksi!$B$16:$B$5015,"&lt;="&amp;MIN(EOMONTH(DATE(Dashboard!$C$4,9,1),0),TODAY()))-SUMIFS(Transaksi!$F$16:$F$5015,Transaksi!$C$16:$C$5015,$A121,Transaksi!$D$16:$D$5015,"Pindah",Transaksi!$B$16:$B$5015,"&lt;="&amp;MIN(EOMONTH(DATE(Dashboard!$C$4,9,1),0),TODAY()))+SUMIFS(Transaksi!$F$16:$F$5015,Transaksi!$E$16:$E$5015,$A121,Transaksi!$D$16:$D$5015,"Pindah",Transaksi!$B$16:$B$5015,"&lt;="&amp;MIN(EOMONTH(DATE(Dashboard!$C$4,9,1),0),TODAY())))</f>
        <v/>
      </c>
      <c r="L121" s="106">
        <f>IF(OR($A121="",DATE(Dashboard!$C$4,10,1)&gt;TODAY(),ISNA(MATCH($B121,{"Pribadi","Investasi (kas RDN)","Piutang","Pinjaman Mama (dompet)"},0))),"",SUMIFS(Akun!$C$5:$C$104,Akun!$A$5:$A$104,$A121,Akun!$D$5:$D$104,"&lt;="&amp;MIN(EOMONTH(DATE(Dashboard!$C$4,10,1),0),TODAY()))+SUMIFS(Transaksi!$F$16:$F$5015,Transaksi!$C$16:$C$5015,$A121,Transaksi!$D$16:$D$5015,"Masuk",Transaksi!$B$16:$B$5015,"&lt;="&amp;MIN(EOMONTH(DATE(Dashboard!$C$4,10,1),0),TODAY()))-SUMIFS(Transaksi!$F$16:$F$5015,Transaksi!$C$16:$C$5015,$A121,Transaksi!$D$16:$D$5015,"Keluar",Transaksi!$B$16:$B$5015,"&lt;="&amp;MIN(EOMONTH(DATE(Dashboard!$C$4,10,1),0),TODAY()))-SUMIFS(Transaksi!$F$16:$F$5015,Transaksi!$C$16:$C$5015,$A121,Transaksi!$D$16:$D$5015,"Pindah",Transaksi!$B$16:$B$5015,"&lt;="&amp;MIN(EOMONTH(DATE(Dashboard!$C$4,10,1),0),TODAY()))+SUMIFS(Transaksi!$F$16:$F$5015,Transaksi!$E$16:$E$5015,$A121,Transaksi!$D$16:$D$5015,"Pindah",Transaksi!$B$16:$B$5015,"&lt;="&amp;MIN(EOMONTH(DATE(Dashboard!$C$4,10,1),0),TODAY())))</f>
        <v/>
      </c>
      <c r="M121" s="106">
        <f>IF(OR($A121="",DATE(Dashboard!$C$4,11,1)&gt;TODAY(),ISNA(MATCH($B121,{"Pribadi","Investasi (kas RDN)","Piutang","Pinjaman Mama (dompet)"},0))),"",SUMIFS(Akun!$C$5:$C$104,Akun!$A$5:$A$104,$A121,Akun!$D$5:$D$104,"&lt;="&amp;MIN(EOMONTH(DATE(Dashboard!$C$4,11,1),0),TODAY()))+SUMIFS(Transaksi!$F$16:$F$5015,Transaksi!$C$16:$C$5015,$A121,Transaksi!$D$16:$D$5015,"Masuk",Transaksi!$B$16:$B$5015,"&lt;="&amp;MIN(EOMONTH(DATE(Dashboard!$C$4,11,1),0),TODAY()))-SUMIFS(Transaksi!$F$16:$F$5015,Transaksi!$C$16:$C$5015,$A121,Transaksi!$D$16:$D$5015,"Keluar",Transaksi!$B$16:$B$5015,"&lt;="&amp;MIN(EOMONTH(DATE(Dashboard!$C$4,11,1),0),TODAY()))-SUMIFS(Transaksi!$F$16:$F$5015,Transaksi!$C$16:$C$5015,$A121,Transaksi!$D$16:$D$5015,"Pindah",Transaksi!$B$16:$B$5015,"&lt;="&amp;MIN(EOMONTH(DATE(Dashboard!$C$4,11,1),0),TODAY()))+SUMIFS(Transaksi!$F$16:$F$5015,Transaksi!$E$16:$E$5015,$A121,Transaksi!$D$16:$D$5015,"Pindah",Transaksi!$B$16:$B$5015,"&lt;="&amp;MIN(EOMONTH(DATE(Dashboard!$C$4,11,1),0),TODAY())))</f>
        <v/>
      </c>
      <c r="N121" s="106">
        <f>IF(OR($A121="",DATE(Dashboard!$C$4,12,1)&gt;TODAY(),ISNA(MATCH($B121,{"Pribadi","Investasi (kas RDN)","Piutang","Pinjaman Mama (dompet)"},0))),"",SUMIFS(Akun!$C$5:$C$104,Akun!$A$5:$A$104,$A121,Akun!$D$5:$D$104,"&lt;="&amp;MIN(EOMONTH(DATE(Dashboard!$C$4,12,1),0),TODAY()))+SUMIFS(Transaksi!$F$16:$F$5015,Transaksi!$C$16:$C$5015,$A121,Transaksi!$D$16:$D$5015,"Masuk",Transaksi!$B$16:$B$5015,"&lt;="&amp;MIN(EOMONTH(DATE(Dashboard!$C$4,12,1),0),TODAY()))-SUMIFS(Transaksi!$F$16:$F$5015,Transaksi!$C$16:$C$5015,$A121,Transaksi!$D$16:$D$5015,"Keluar",Transaksi!$B$16:$B$5015,"&lt;="&amp;MIN(EOMONTH(DATE(Dashboard!$C$4,12,1),0),TODAY()))-SUMIFS(Transaksi!$F$16:$F$5015,Transaksi!$C$16:$C$5015,$A121,Transaksi!$D$16:$D$5015,"Pindah",Transaksi!$B$16:$B$5015,"&lt;="&amp;MIN(EOMONTH(DATE(Dashboard!$C$4,12,1),0),TODAY()))+SUMIFS(Transaksi!$F$16:$F$5015,Transaksi!$E$16:$E$5015,$A121,Transaksi!$D$16:$D$5015,"Pindah",Transaksi!$B$16:$B$5015,"&lt;="&amp;MIN(EOMONTH(DATE(Dashboard!$C$4,12,1),0),TODAY())))</f>
        <v/>
      </c>
    </row>
    <row r="122" ht="15" customHeight="1" s="94">
      <c r="A122" s="93">
        <f>IF(Akun!$A$86="","",Akun!$A$86)</f>
        <v/>
      </c>
      <c r="B122" s="93">
        <f>IF(Akun!$A$86="","",Akun!$B$86)</f>
        <v/>
      </c>
      <c r="C122" s="106">
        <f>IF(OR($A122="",DATE(Dashboard!$C$4,1,1)&gt;TODAY(),ISNA(MATCH($B122,{"Pribadi","Investasi (kas RDN)","Piutang","Pinjaman Mama (dompet)"},0))),"",SUMIFS(Akun!$C$5:$C$104,Akun!$A$5:$A$104,$A122,Akun!$D$5:$D$104,"&lt;="&amp;MIN(EOMONTH(DATE(Dashboard!$C$4,1,1),0),TODAY()))+SUMIFS(Transaksi!$F$16:$F$5015,Transaksi!$C$16:$C$5015,$A122,Transaksi!$D$16:$D$5015,"Masuk",Transaksi!$B$16:$B$5015,"&lt;="&amp;MIN(EOMONTH(DATE(Dashboard!$C$4,1,1),0),TODAY()))-SUMIFS(Transaksi!$F$16:$F$5015,Transaksi!$C$16:$C$5015,$A122,Transaksi!$D$16:$D$5015,"Keluar",Transaksi!$B$16:$B$5015,"&lt;="&amp;MIN(EOMONTH(DATE(Dashboard!$C$4,1,1),0),TODAY()))-SUMIFS(Transaksi!$F$16:$F$5015,Transaksi!$C$16:$C$5015,$A122,Transaksi!$D$16:$D$5015,"Pindah",Transaksi!$B$16:$B$5015,"&lt;="&amp;MIN(EOMONTH(DATE(Dashboard!$C$4,1,1),0),TODAY()))+SUMIFS(Transaksi!$F$16:$F$5015,Transaksi!$E$16:$E$5015,$A122,Transaksi!$D$16:$D$5015,"Pindah",Transaksi!$B$16:$B$5015,"&lt;="&amp;MIN(EOMONTH(DATE(Dashboard!$C$4,1,1),0),TODAY())))</f>
        <v/>
      </c>
      <c r="D122" s="106">
        <f>IF(OR($A122="",DATE(Dashboard!$C$4,2,1)&gt;TODAY(),ISNA(MATCH($B122,{"Pribadi","Investasi (kas RDN)","Piutang","Pinjaman Mama (dompet)"},0))),"",SUMIFS(Akun!$C$5:$C$104,Akun!$A$5:$A$104,$A122,Akun!$D$5:$D$104,"&lt;="&amp;MIN(EOMONTH(DATE(Dashboard!$C$4,2,1),0),TODAY()))+SUMIFS(Transaksi!$F$16:$F$5015,Transaksi!$C$16:$C$5015,$A122,Transaksi!$D$16:$D$5015,"Masuk",Transaksi!$B$16:$B$5015,"&lt;="&amp;MIN(EOMONTH(DATE(Dashboard!$C$4,2,1),0),TODAY()))-SUMIFS(Transaksi!$F$16:$F$5015,Transaksi!$C$16:$C$5015,$A122,Transaksi!$D$16:$D$5015,"Keluar",Transaksi!$B$16:$B$5015,"&lt;="&amp;MIN(EOMONTH(DATE(Dashboard!$C$4,2,1),0),TODAY()))-SUMIFS(Transaksi!$F$16:$F$5015,Transaksi!$C$16:$C$5015,$A122,Transaksi!$D$16:$D$5015,"Pindah",Transaksi!$B$16:$B$5015,"&lt;="&amp;MIN(EOMONTH(DATE(Dashboard!$C$4,2,1),0),TODAY()))+SUMIFS(Transaksi!$F$16:$F$5015,Transaksi!$E$16:$E$5015,$A122,Transaksi!$D$16:$D$5015,"Pindah",Transaksi!$B$16:$B$5015,"&lt;="&amp;MIN(EOMONTH(DATE(Dashboard!$C$4,2,1),0),TODAY())))</f>
        <v/>
      </c>
      <c r="E122" s="106">
        <f>IF(OR($A122="",DATE(Dashboard!$C$4,3,1)&gt;TODAY(),ISNA(MATCH($B122,{"Pribadi","Investasi (kas RDN)","Piutang","Pinjaman Mama (dompet)"},0))),"",SUMIFS(Akun!$C$5:$C$104,Akun!$A$5:$A$104,$A122,Akun!$D$5:$D$104,"&lt;="&amp;MIN(EOMONTH(DATE(Dashboard!$C$4,3,1),0),TODAY()))+SUMIFS(Transaksi!$F$16:$F$5015,Transaksi!$C$16:$C$5015,$A122,Transaksi!$D$16:$D$5015,"Masuk",Transaksi!$B$16:$B$5015,"&lt;="&amp;MIN(EOMONTH(DATE(Dashboard!$C$4,3,1),0),TODAY()))-SUMIFS(Transaksi!$F$16:$F$5015,Transaksi!$C$16:$C$5015,$A122,Transaksi!$D$16:$D$5015,"Keluar",Transaksi!$B$16:$B$5015,"&lt;="&amp;MIN(EOMONTH(DATE(Dashboard!$C$4,3,1),0),TODAY()))-SUMIFS(Transaksi!$F$16:$F$5015,Transaksi!$C$16:$C$5015,$A122,Transaksi!$D$16:$D$5015,"Pindah",Transaksi!$B$16:$B$5015,"&lt;="&amp;MIN(EOMONTH(DATE(Dashboard!$C$4,3,1),0),TODAY()))+SUMIFS(Transaksi!$F$16:$F$5015,Transaksi!$E$16:$E$5015,$A122,Transaksi!$D$16:$D$5015,"Pindah",Transaksi!$B$16:$B$5015,"&lt;="&amp;MIN(EOMONTH(DATE(Dashboard!$C$4,3,1),0),TODAY())))</f>
        <v/>
      </c>
      <c r="F122" s="106">
        <f>IF(OR($A122="",DATE(Dashboard!$C$4,4,1)&gt;TODAY(),ISNA(MATCH($B122,{"Pribadi","Investasi (kas RDN)","Piutang","Pinjaman Mama (dompet)"},0))),"",SUMIFS(Akun!$C$5:$C$104,Akun!$A$5:$A$104,$A122,Akun!$D$5:$D$104,"&lt;="&amp;MIN(EOMONTH(DATE(Dashboard!$C$4,4,1),0),TODAY()))+SUMIFS(Transaksi!$F$16:$F$5015,Transaksi!$C$16:$C$5015,$A122,Transaksi!$D$16:$D$5015,"Masuk",Transaksi!$B$16:$B$5015,"&lt;="&amp;MIN(EOMONTH(DATE(Dashboard!$C$4,4,1),0),TODAY()))-SUMIFS(Transaksi!$F$16:$F$5015,Transaksi!$C$16:$C$5015,$A122,Transaksi!$D$16:$D$5015,"Keluar",Transaksi!$B$16:$B$5015,"&lt;="&amp;MIN(EOMONTH(DATE(Dashboard!$C$4,4,1),0),TODAY()))-SUMIFS(Transaksi!$F$16:$F$5015,Transaksi!$C$16:$C$5015,$A122,Transaksi!$D$16:$D$5015,"Pindah",Transaksi!$B$16:$B$5015,"&lt;="&amp;MIN(EOMONTH(DATE(Dashboard!$C$4,4,1),0),TODAY()))+SUMIFS(Transaksi!$F$16:$F$5015,Transaksi!$E$16:$E$5015,$A122,Transaksi!$D$16:$D$5015,"Pindah",Transaksi!$B$16:$B$5015,"&lt;="&amp;MIN(EOMONTH(DATE(Dashboard!$C$4,4,1),0),TODAY())))</f>
        <v/>
      </c>
      <c r="G122" s="106">
        <f>IF(OR($A122="",DATE(Dashboard!$C$4,5,1)&gt;TODAY(),ISNA(MATCH($B122,{"Pribadi","Investasi (kas RDN)","Piutang","Pinjaman Mama (dompet)"},0))),"",SUMIFS(Akun!$C$5:$C$104,Akun!$A$5:$A$104,$A122,Akun!$D$5:$D$104,"&lt;="&amp;MIN(EOMONTH(DATE(Dashboard!$C$4,5,1),0),TODAY()))+SUMIFS(Transaksi!$F$16:$F$5015,Transaksi!$C$16:$C$5015,$A122,Transaksi!$D$16:$D$5015,"Masuk",Transaksi!$B$16:$B$5015,"&lt;="&amp;MIN(EOMONTH(DATE(Dashboard!$C$4,5,1),0),TODAY()))-SUMIFS(Transaksi!$F$16:$F$5015,Transaksi!$C$16:$C$5015,$A122,Transaksi!$D$16:$D$5015,"Keluar",Transaksi!$B$16:$B$5015,"&lt;="&amp;MIN(EOMONTH(DATE(Dashboard!$C$4,5,1),0),TODAY()))-SUMIFS(Transaksi!$F$16:$F$5015,Transaksi!$C$16:$C$5015,$A122,Transaksi!$D$16:$D$5015,"Pindah",Transaksi!$B$16:$B$5015,"&lt;="&amp;MIN(EOMONTH(DATE(Dashboard!$C$4,5,1),0),TODAY()))+SUMIFS(Transaksi!$F$16:$F$5015,Transaksi!$E$16:$E$5015,$A122,Transaksi!$D$16:$D$5015,"Pindah",Transaksi!$B$16:$B$5015,"&lt;="&amp;MIN(EOMONTH(DATE(Dashboard!$C$4,5,1),0),TODAY())))</f>
        <v/>
      </c>
      <c r="H122" s="106">
        <f>IF(OR($A122="",DATE(Dashboard!$C$4,6,1)&gt;TODAY(),ISNA(MATCH($B122,{"Pribadi","Investasi (kas RDN)","Piutang","Pinjaman Mama (dompet)"},0))),"",SUMIFS(Akun!$C$5:$C$104,Akun!$A$5:$A$104,$A122,Akun!$D$5:$D$104,"&lt;="&amp;MIN(EOMONTH(DATE(Dashboard!$C$4,6,1),0),TODAY()))+SUMIFS(Transaksi!$F$16:$F$5015,Transaksi!$C$16:$C$5015,$A122,Transaksi!$D$16:$D$5015,"Masuk",Transaksi!$B$16:$B$5015,"&lt;="&amp;MIN(EOMONTH(DATE(Dashboard!$C$4,6,1),0),TODAY()))-SUMIFS(Transaksi!$F$16:$F$5015,Transaksi!$C$16:$C$5015,$A122,Transaksi!$D$16:$D$5015,"Keluar",Transaksi!$B$16:$B$5015,"&lt;="&amp;MIN(EOMONTH(DATE(Dashboard!$C$4,6,1),0),TODAY()))-SUMIFS(Transaksi!$F$16:$F$5015,Transaksi!$C$16:$C$5015,$A122,Transaksi!$D$16:$D$5015,"Pindah",Transaksi!$B$16:$B$5015,"&lt;="&amp;MIN(EOMONTH(DATE(Dashboard!$C$4,6,1),0),TODAY()))+SUMIFS(Transaksi!$F$16:$F$5015,Transaksi!$E$16:$E$5015,$A122,Transaksi!$D$16:$D$5015,"Pindah",Transaksi!$B$16:$B$5015,"&lt;="&amp;MIN(EOMONTH(DATE(Dashboard!$C$4,6,1),0),TODAY())))</f>
        <v/>
      </c>
      <c r="I122" s="106">
        <f>IF(OR($A122="",DATE(Dashboard!$C$4,7,1)&gt;TODAY(),ISNA(MATCH($B122,{"Pribadi","Investasi (kas RDN)","Piutang","Pinjaman Mama (dompet)"},0))),"",SUMIFS(Akun!$C$5:$C$104,Akun!$A$5:$A$104,$A122,Akun!$D$5:$D$104,"&lt;="&amp;MIN(EOMONTH(DATE(Dashboard!$C$4,7,1),0),TODAY()))+SUMIFS(Transaksi!$F$16:$F$5015,Transaksi!$C$16:$C$5015,$A122,Transaksi!$D$16:$D$5015,"Masuk",Transaksi!$B$16:$B$5015,"&lt;="&amp;MIN(EOMONTH(DATE(Dashboard!$C$4,7,1),0),TODAY()))-SUMIFS(Transaksi!$F$16:$F$5015,Transaksi!$C$16:$C$5015,$A122,Transaksi!$D$16:$D$5015,"Keluar",Transaksi!$B$16:$B$5015,"&lt;="&amp;MIN(EOMONTH(DATE(Dashboard!$C$4,7,1),0),TODAY()))-SUMIFS(Transaksi!$F$16:$F$5015,Transaksi!$C$16:$C$5015,$A122,Transaksi!$D$16:$D$5015,"Pindah",Transaksi!$B$16:$B$5015,"&lt;="&amp;MIN(EOMONTH(DATE(Dashboard!$C$4,7,1),0),TODAY()))+SUMIFS(Transaksi!$F$16:$F$5015,Transaksi!$E$16:$E$5015,$A122,Transaksi!$D$16:$D$5015,"Pindah",Transaksi!$B$16:$B$5015,"&lt;="&amp;MIN(EOMONTH(DATE(Dashboard!$C$4,7,1),0),TODAY())))</f>
        <v/>
      </c>
      <c r="J122" s="106">
        <f>IF(OR($A122="",DATE(Dashboard!$C$4,8,1)&gt;TODAY(),ISNA(MATCH($B122,{"Pribadi","Investasi (kas RDN)","Piutang","Pinjaman Mama (dompet)"},0))),"",SUMIFS(Akun!$C$5:$C$104,Akun!$A$5:$A$104,$A122,Akun!$D$5:$D$104,"&lt;="&amp;MIN(EOMONTH(DATE(Dashboard!$C$4,8,1),0),TODAY()))+SUMIFS(Transaksi!$F$16:$F$5015,Transaksi!$C$16:$C$5015,$A122,Transaksi!$D$16:$D$5015,"Masuk",Transaksi!$B$16:$B$5015,"&lt;="&amp;MIN(EOMONTH(DATE(Dashboard!$C$4,8,1),0),TODAY()))-SUMIFS(Transaksi!$F$16:$F$5015,Transaksi!$C$16:$C$5015,$A122,Transaksi!$D$16:$D$5015,"Keluar",Transaksi!$B$16:$B$5015,"&lt;="&amp;MIN(EOMONTH(DATE(Dashboard!$C$4,8,1),0),TODAY()))-SUMIFS(Transaksi!$F$16:$F$5015,Transaksi!$C$16:$C$5015,$A122,Transaksi!$D$16:$D$5015,"Pindah",Transaksi!$B$16:$B$5015,"&lt;="&amp;MIN(EOMONTH(DATE(Dashboard!$C$4,8,1),0),TODAY()))+SUMIFS(Transaksi!$F$16:$F$5015,Transaksi!$E$16:$E$5015,$A122,Transaksi!$D$16:$D$5015,"Pindah",Transaksi!$B$16:$B$5015,"&lt;="&amp;MIN(EOMONTH(DATE(Dashboard!$C$4,8,1),0),TODAY())))</f>
        <v/>
      </c>
      <c r="K122" s="106">
        <f>IF(OR($A122="",DATE(Dashboard!$C$4,9,1)&gt;TODAY(),ISNA(MATCH($B122,{"Pribadi","Investasi (kas RDN)","Piutang","Pinjaman Mama (dompet)"},0))),"",SUMIFS(Akun!$C$5:$C$104,Akun!$A$5:$A$104,$A122,Akun!$D$5:$D$104,"&lt;="&amp;MIN(EOMONTH(DATE(Dashboard!$C$4,9,1),0),TODAY()))+SUMIFS(Transaksi!$F$16:$F$5015,Transaksi!$C$16:$C$5015,$A122,Transaksi!$D$16:$D$5015,"Masuk",Transaksi!$B$16:$B$5015,"&lt;="&amp;MIN(EOMONTH(DATE(Dashboard!$C$4,9,1),0),TODAY()))-SUMIFS(Transaksi!$F$16:$F$5015,Transaksi!$C$16:$C$5015,$A122,Transaksi!$D$16:$D$5015,"Keluar",Transaksi!$B$16:$B$5015,"&lt;="&amp;MIN(EOMONTH(DATE(Dashboard!$C$4,9,1),0),TODAY()))-SUMIFS(Transaksi!$F$16:$F$5015,Transaksi!$C$16:$C$5015,$A122,Transaksi!$D$16:$D$5015,"Pindah",Transaksi!$B$16:$B$5015,"&lt;="&amp;MIN(EOMONTH(DATE(Dashboard!$C$4,9,1),0),TODAY()))+SUMIFS(Transaksi!$F$16:$F$5015,Transaksi!$E$16:$E$5015,$A122,Transaksi!$D$16:$D$5015,"Pindah",Transaksi!$B$16:$B$5015,"&lt;="&amp;MIN(EOMONTH(DATE(Dashboard!$C$4,9,1),0),TODAY())))</f>
        <v/>
      </c>
      <c r="L122" s="106">
        <f>IF(OR($A122="",DATE(Dashboard!$C$4,10,1)&gt;TODAY(),ISNA(MATCH($B122,{"Pribadi","Investasi (kas RDN)","Piutang","Pinjaman Mama (dompet)"},0))),"",SUMIFS(Akun!$C$5:$C$104,Akun!$A$5:$A$104,$A122,Akun!$D$5:$D$104,"&lt;="&amp;MIN(EOMONTH(DATE(Dashboard!$C$4,10,1),0),TODAY()))+SUMIFS(Transaksi!$F$16:$F$5015,Transaksi!$C$16:$C$5015,$A122,Transaksi!$D$16:$D$5015,"Masuk",Transaksi!$B$16:$B$5015,"&lt;="&amp;MIN(EOMONTH(DATE(Dashboard!$C$4,10,1),0),TODAY()))-SUMIFS(Transaksi!$F$16:$F$5015,Transaksi!$C$16:$C$5015,$A122,Transaksi!$D$16:$D$5015,"Keluar",Transaksi!$B$16:$B$5015,"&lt;="&amp;MIN(EOMONTH(DATE(Dashboard!$C$4,10,1),0),TODAY()))-SUMIFS(Transaksi!$F$16:$F$5015,Transaksi!$C$16:$C$5015,$A122,Transaksi!$D$16:$D$5015,"Pindah",Transaksi!$B$16:$B$5015,"&lt;="&amp;MIN(EOMONTH(DATE(Dashboard!$C$4,10,1),0),TODAY()))+SUMIFS(Transaksi!$F$16:$F$5015,Transaksi!$E$16:$E$5015,$A122,Transaksi!$D$16:$D$5015,"Pindah",Transaksi!$B$16:$B$5015,"&lt;="&amp;MIN(EOMONTH(DATE(Dashboard!$C$4,10,1),0),TODAY())))</f>
        <v/>
      </c>
      <c r="M122" s="106">
        <f>IF(OR($A122="",DATE(Dashboard!$C$4,11,1)&gt;TODAY(),ISNA(MATCH($B122,{"Pribadi","Investasi (kas RDN)","Piutang","Pinjaman Mama (dompet)"},0))),"",SUMIFS(Akun!$C$5:$C$104,Akun!$A$5:$A$104,$A122,Akun!$D$5:$D$104,"&lt;="&amp;MIN(EOMONTH(DATE(Dashboard!$C$4,11,1),0),TODAY()))+SUMIFS(Transaksi!$F$16:$F$5015,Transaksi!$C$16:$C$5015,$A122,Transaksi!$D$16:$D$5015,"Masuk",Transaksi!$B$16:$B$5015,"&lt;="&amp;MIN(EOMONTH(DATE(Dashboard!$C$4,11,1),0),TODAY()))-SUMIFS(Transaksi!$F$16:$F$5015,Transaksi!$C$16:$C$5015,$A122,Transaksi!$D$16:$D$5015,"Keluar",Transaksi!$B$16:$B$5015,"&lt;="&amp;MIN(EOMONTH(DATE(Dashboard!$C$4,11,1),0),TODAY()))-SUMIFS(Transaksi!$F$16:$F$5015,Transaksi!$C$16:$C$5015,$A122,Transaksi!$D$16:$D$5015,"Pindah",Transaksi!$B$16:$B$5015,"&lt;="&amp;MIN(EOMONTH(DATE(Dashboard!$C$4,11,1),0),TODAY()))+SUMIFS(Transaksi!$F$16:$F$5015,Transaksi!$E$16:$E$5015,$A122,Transaksi!$D$16:$D$5015,"Pindah",Transaksi!$B$16:$B$5015,"&lt;="&amp;MIN(EOMONTH(DATE(Dashboard!$C$4,11,1),0),TODAY())))</f>
        <v/>
      </c>
      <c r="N122" s="106">
        <f>IF(OR($A122="",DATE(Dashboard!$C$4,12,1)&gt;TODAY(),ISNA(MATCH($B122,{"Pribadi","Investasi (kas RDN)","Piutang","Pinjaman Mama (dompet)"},0))),"",SUMIFS(Akun!$C$5:$C$104,Akun!$A$5:$A$104,$A122,Akun!$D$5:$D$104,"&lt;="&amp;MIN(EOMONTH(DATE(Dashboard!$C$4,12,1),0),TODAY()))+SUMIFS(Transaksi!$F$16:$F$5015,Transaksi!$C$16:$C$5015,$A122,Transaksi!$D$16:$D$5015,"Masuk",Transaksi!$B$16:$B$5015,"&lt;="&amp;MIN(EOMONTH(DATE(Dashboard!$C$4,12,1),0),TODAY()))-SUMIFS(Transaksi!$F$16:$F$5015,Transaksi!$C$16:$C$5015,$A122,Transaksi!$D$16:$D$5015,"Keluar",Transaksi!$B$16:$B$5015,"&lt;="&amp;MIN(EOMONTH(DATE(Dashboard!$C$4,12,1),0),TODAY()))-SUMIFS(Transaksi!$F$16:$F$5015,Transaksi!$C$16:$C$5015,$A122,Transaksi!$D$16:$D$5015,"Pindah",Transaksi!$B$16:$B$5015,"&lt;="&amp;MIN(EOMONTH(DATE(Dashboard!$C$4,12,1),0),TODAY()))+SUMIFS(Transaksi!$F$16:$F$5015,Transaksi!$E$16:$E$5015,$A122,Transaksi!$D$16:$D$5015,"Pindah",Transaksi!$B$16:$B$5015,"&lt;="&amp;MIN(EOMONTH(DATE(Dashboard!$C$4,12,1),0),TODAY())))</f>
        <v/>
      </c>
    </row>
    <row r="123" ht="15" customHeight="1" s="94">
      <c r="A123" s="93">
        <f>IF(Akun!$A$87="","",Akun!$A$87)</f>
        <v/>
      </c>
      <c r="B123" s="93">
        <f>IF(Akun!$A$87="","",Akun!$B$87)</f>
        <v/>
      </c>
      <c r="C123" s="106">
        <f>IF(OR($A123="",DATE(Dashboard!$C$4,1,1)&gt;TODAY(),ISNA(MATCH($B123,{"Pribadi","Investasi (kas RDN)","Piutang","Pinjaman Mama (dompet)"},0))),"",SUMIFS(Akun!$C$5:$C$104,Akun!$A$5:$A$104,$A123,Akun!$D$5:$D$104,"&lt;="&amp;MIN(EOMONTH(DATE(Dashboard!$C$4,1,1),0),TODAY()))+SUMIFS(Transaksi!$F$16:$F$5015,Transaksi!$C$16:$C$5015,$A123,Transaksi!$D$16:$D$5015,"Masuk",Transaksi!$B$16:$B$5015,"&lt;="&amp;MIN(EOMONTH(DATE(Dashboard!$C$4,1,1),0),TODAY()))-SUMIFS(Transaksi!$F$16:$F$5015,Transaksi!$C$16:$C$5015,$A123,Transaksi!$D$16:$D$5015,"Keluar",Transaksi!$B$16:$B$5015,"&lt;="&amp;MIN(EOMONTH(DATE(Dashboard!$C$4,1,1),0),TODAY()))-SUMIFS(Transaksi!$F$16:$F$5015,Transaksi!$C$16:$C$5015,$A123,Transaksi!$D$16:$D$5015,"Pindah",Transaksi!$B$16:$B$5015,"&lt;="&amp;MIN(EOMONTH(DATE(Dashboard!$C$4,1,1),0),TODAY()))+SUMIFS(Transaksi!$F$16:$F$5015,Transaksi!$E$16:$E$5015,$A123,Transaksi!$D$16:$D$5015,"Pindah",Transaksi!$B$16:$B$5015,"&lt;="&amp;MIN(EOMONTH(DATE(Dashboard!$C$4,1,1),0),TODAY())))</f>
        <v/>
      </c>
      <c r="D123" s="106">
        <f>IF(OR($A123="",DATE(Dashboard!$C$4,2,1)&gt;TODAY(),ISNA(MATCH($B123,{"Pribadi","Investasi (kas RDN)","Piutang","Pinjaman Mama (dompet)"},0))),"",SUMIFS(Akun!$C$5:$C$104,Akun!$A$5:$A$104,$A123,Akun!$D$5:$D$104,"&lt;="&amp;MIN(EOMONTH(DATE(Dashboard!$C$4,2,1),0),TODAY()))+SUMIFS(Transaksi!$F$16:$F$5015,Transaksi!$C$16:$C$5015,$A123,Transaksi!$D$16:$D$5015,"Masuk",Transaksi!$B$16:$B$5015,"&lt;="&amp;MIN(EOMONTH(DATE(Dashboard!$C$4,2,1),0),TODAY()))-SUMIFS(Transaksi!$F$16:$F$5015,Transaksi!$C$16:$C$5015,$A123,Transaksi!$D$16:$D$5015,"Keluar",Transaksi!$B$16:$B$5015,"&lt;="&amp;MIN(EOMONTH(DATE(Dashboard!$C$4,2,1),0),TODAY()))-SUMIFS(Transaksi!$F$16:$F$5015,Transaksi!$C$16:$C$5015,$A123,Transaksi!$D$16:$D$5015,"Pindah",Transaksi!$B$16:$B$5015,"&lt;="&amp;MIN(EOMONTH(DATE(Dashboard!$C$4,2,1),0),TODAY()))+SUMIFS(Transaksi!$F$16:$F$5015,Transaksi!$E$16:$E$5015,$A123,Transaksi!$D$16:$D$5015,"Pindah",Transaksi!$B$16:$B$5015,"&lt;="&amp;MIN(EOMONTH(DATE(Dashboard!$C$4,2,1),0),TODAY())))</f>
        <v/>
      </c>
      <c r="E123" s="106">
        <f>IF(OR($A123="",DATE(Dashboard!$C$4,3,1)&gt;TODAY(),ISNA(MATCH($B123,{"Pribadi","Investasi (kas RDN)","Piutang","Pinjaman Mama (dompet)"},0))),"",SUMIFS(Akun!$C$5:$C$104,Akun!$A$5:$A$104,$A123,Akun!$D$5:$D$104,"&lt;="&amp;MIN(EOMONTH(DATE(Dashboard!$C$4,3,1),0),TODAY()))+SUMIFS(Transaksi!$F$16:$F$5015,Transaksi!$C$16:$C$5015,$A123,Transaksi!$D$16:$D$5015,"Masuk",Transaksi!$B$16:$B$5015,"&lt;="&amp;MIN(EOMONTH(DATE(Dashboard!$C$4,3,1),0),TODAY()))-SUMIFS(Transaksi!$F$16:$F$5015,Transaksi!$C$16:$C$5015,$A123,Transaksi!$D$16:$D$5015,"Keluar",Transaksi!$B$16:$B$5015,"&lt;="&amp;MIN(EOMONTH(DATE(Dashboard!$C$4,3,1),0),TODAY()))-SUMIFS(Transaksi!$F$16:$F$5015,Transaksi!$C$16:$C$5015,$A123,Transaksi!$D$16:$D$5015,"Pindah",Transaksi!$B$16:$B$5015,"&lt;="&amp;MIN(EOMONTH(DATE(Dashboard!$C$4,3,1),0),TODAY()))+SUMIFS(Transaksi!$F$16:$F$5015,Transaksi!$E$16:$E$5015,$A123,Transaksi!$D$16:$D$5015,"Pindah",Transaksi!$B$16:$B$5015,"&lt;="&amp;MIN(EOMONTH(DATE(Dashboard!$C$4,3,1),0),TODAY())))</f>
        <v/>
      </c>
      <c r="F123" s="106">
        <f>IF(OR($A123="",DATE(Dashboard!$C$4,4,1)&gt;TODAY(),ISNA(MATCH($B123,{"Pribadi","Investasi (kas RDN)","Piutang","Pinjaman Mama (dompet)"},0))),"",SUMIFS(Akun!$C$5:$C$104,Akun!$A$5:$A$104,$A123,Akun!$D$5:$D$104,"&lt;="&amp;MIN(EOMONTH(DATE(Dashboard!$C$4,4,1),0),TODAY()))+SUMIFS(Transaksi!$F$16:$F$5015,Transaksi!$C$16:$C$5015,$A123,Transaksi!$D$16:$D$5015,"Masuk",Transaksi!$B$16:$B$5015,"&lt;="&amp;MIN(EOMONTH(DATE(Dashboard!$C$4,4,1),0),TODAY()))-SUMIFS(Transaksi!$F$16:$F$5015,Transaksi!$C$16:$C$5015,$A123,Transaksi!$D$16:$D$5015,"Keluar",Transaksi!$B$16:$B$5015,"&lt;="&amp;MIN(EOMONTH(DATE(Dashboard!$C$4,4,1),0),TODAY()))-SUMIFS(Transaksi!$F$16:$F$5015,Transaksi!$C$16:$C$5015,$A123,Transaksi!$D$16:$D$5015,"Pindah",Transaksi!$B$16:$B$5015,"&lt;="&amp;MIN(EOMONTH(DATE(Dashboard!$C$4,4,1),0),TODAY()))+SUMIFS(Transaksi!$F$16:$F$5015,Transaksi!$E$16:$E$5015,$A123,Transaksi!$D$16:$D$5015,"Pindah",Transaksi!$B$16:$B$5015,"&lt;="&amp;MIN(EOMONTH(DATE(Dashboard!$C$4,4,1),0),TODAY())))</f>
        <v/>
      </c>
      <c r="G123" s="106">
        <f>IF(OR($A123="",DATE(Dashboard!$C$4,5,1)&gt;TODAY(),ISNA(MATCH($B123,{"Pribadi","Investasi (kas RDN)","Piutang","Pinjaman Mama (dompet)"},0))),"",SUMIFS(Akun!$C$5:$C$104,Akun!$A$5:$A$104,$A123,Akun!$D$5:$D$104,"&lt;="&amp;MIN(EOMONTH(DATE(Dashboard!$C$4,5,1),0),TODAY()))+SUMIFS(Transaksi!$F$16:$F$5015,Transaksi!$C$16:$C$5015,$A123,Transaksi!$D$16:$D$5015,"Masuk",Transaksi!$B$16:$B$5015,"&lt;="&amp;MIN(EOMONTH(DATE(Dashboard!$C$4,5,1),0),TODAY()))-SUMIFS(Transaksi!$F$16:$F$5015,Transaksi!$C$16:$C$5015,$A123,Transaksi!$D$16:$D$5015,"Keluar",Transaksi!$B$16:$B$5015,"&lt;="&amp;MIN(EOMONTH(DATE(Dashboard!$C$4,5,1),0),TODAY()))-SUMIFS(Transaksi!$F$16:$F$5015,Transaksi!$C$16:$C$5015,$A123,Transaksi!$D$16:$D$5015,"Pindah",Transaksi!$B$16:$B$5015,"&lt;="&amp;MIN(EOMONTH(DATE(Dashboard!$C$4,5,1),0),TODAY()))+SUMIFS(Transaksi!$F$16:$F$5015,Transaksi!$E$16:$E$5015,$A123,Transaksi!$D$16:$D$5015,"Pindah",Transaksi!$B$16:$B$5015,"&lt;="&amp;MIN(EOMONTH(DATE(Dashboard!$C$4,5,1),0),TODAY())))</f>
        <v/>
      </c>
      <c r="H123" s="106">
        <f>IF(OR($A123="",DATE(Dashboard!$C$4,6,1)&gt;TODAY(),ISNA(MATCH($B123,{"Pribadi","Investasi (kas RDN)","Piutang","Pinjaman Mama (dompet)"},0))),"",SUMIFS(Akun!$C$5:$C$104,Akun!$A$5:$A$104,$A123,Akun!$D$5:$D$104,"&lt;="&amp;MIN(EOMONTH(DATE(Dashboard!$C$4,6,1),0),TODAY()))+SUMIFS(Transaksi!$F$16:$F$5015,Transaksi!$C$16:$C$5015,$A123,Transaksi!$D$16:$D$5015,"Masuk",Transaksi!$B$16:$B$5015,"&lt;="&amp;MIN(EOMONTH(DATE(Dashboard!$C$4,6,1),0),TODAY()))-SUMIFS(Transaksi!$F$16:$F$5015,Transaksi!$C$16:$C$5015,$A123,Transaksi!$D$16:$D$5015,"Keluar",Transaksi!$B$16:$B$5015,"&lt;="&amp;MIN(EOMONTH(DATE(Dashboard!$C$4,6,1),0),TODAY()))-SUMIFS(Transaksi!$F$16:$F$5015,Transaksi!$C$16:$C$5015,$A123,Transaksi!$D$16:$D$5015,"Pindah",Transaksi!$B$16:$B$5015,"&lt;="&amp;MIN(EOMONTH(DATE(Dashboard!$C$4,6,1),0),TODAY()))+SUMIFS(Transaksi!$F$16:$F$5015,Transaksi!$E$16:$E$5015,$A123,Transaksi!$D$16:$D$5015,"Pindah",Transaksi!$B$16:$B$5015,"&lt;="&amp;MIN(EOMONTH(DATE(Dashboard!$C$4,6,1),0),TODAY())))</f>
        <v/>
      </c>
      <c r="I123" s="106">
        <f>IF(OR($A123="",DATE(Dashboard!$C$4,7,1)&gt;TODAY(),ISNA(MATCH($B123,{"Pribadi","Investasi (kas RDN)","Piutang","Pinjaman Mama (dompet)"},0))),"",SUMIFS(Akun!$C$5:$C$104,Akun!$A$5:$A$104,$A123,Akun!$D$5:$D$104,"&lt;="&amp;MIN(EOMONTH(DATE(Dashboard!$C$4,7,1),0),TODAY()))+SUMIFS(Transaksi!$F$16:$F$5015,Transaksi!$C$16:$C$5015,$A123,Transaksi!$D$16:$D$5015,"Masuk",Transaksi!$B$16:$B$5015,"&lt;="&amp;MIN(EOMONTH(DATE(Dashboard!$C$4,7,1),0),TODAY()))-SUMIFS(Transaksi!$F$16:$F$5015,Transaksi!$C$16:$C$5015,$A123,Transaksi!$D$16:$D$5015,"Keluar",Transaksi!$B$16:$B$5015,"&lt;="&amp;MIN(EOMONTH(DATE(Dashboard!$C$4,7,1),0),TODAY()))-SUMIFS(Transaksi!$F$16:$F$5015,Transaksi!$C$16:$C$5015,$A123,Transaksi!$D$16:$D$5015,"Pindah",Transaksi!$B$16:$B$5015,"&lt;="&amp;MIN(EOMONTH(DATE(Dashboard!$C$4,7,1),0),TODAY()))+SUMIFS(Transaksi!$F$16:$F$5015,Transaksi!$E$16:$E$5015,$A123,Transaksi!$D$16:$D$5015,"Pindah",Transaksi!$B$16:$B$5015,"&lt;="&amp;MIN(EOMONTH(DATE(Dashboard!$C$4,7,1),0),TODAY())))</f>
        <v/>
      </c>
      <c r="J123" s="106">
        <f>IF(OR($A123="",DATE(Dashboard!$C$4,8,1)&gt;TODAY(),ISNA(MATCH($B123,{"Pribadi","Investasi (kas RDN)","Piutang","Pinjaman Mama (dompet)"},0))),"",SUMIFS(Akun!$C$5:$C$104,Akun!$A$5:$A$104,$A123,Akun!$D$5:$D$104,"&lt;="&amp;MIN(EOMONTH(DATE(Dashboard!$C$4,8,1),0),TODAY()))+SUMIFS(Transaksi!$F$16:$F$5015,Transaksi!$C$16:$C$5015,$A123,Transaksi!$D$16:$D$5015,"Masuk",Transaksi!$B$16:$B$5015,"&lt;="&amp;MIN(EOMONTH(DATE(Dashboard!$C$4,8,1),0),TODAY()))-SUMIFS(Transaksi!$F$16:$F$5015,Transaksi!$C$16:$C$5015,$A123,Transaksi!$D$16:$D$5015,"Keluar",Transaksi!$B$16:$B$5015,"&lt;="&amp;MIN(EOMONTH(DATE(Dashboard!$C$4,8,1),0),TODAY()))-SUMIFS(Transaksi!$F$16:$F$5015,Transaksi!$C$16:$C$5015,$A123,Transaksi!$D$16:$D$5015,"Pindah",Transaksi!$B$16:$B$5015,"&lt;="&amp;MIN(EOMONTH(DATE(Dashboard!$C$4,8,1),0),TODAY()))+SUMIFS(Transaksi!$F$16:$F$5015,Transaksi!$E$16:$E$5015,$A123,Transaksi!$D$16:$D$5015,"Pindah",Transaksi!$B$16:$B$5015,"&lt;="&amp;MIN(EOMONTH(DATE(Dashboard!$C$4,8,1),0),TODAY())))</f>
        <v/>
      </c>
      <c r="K123" s="106">
        <f>IF(OR($A123="",DATE(Dashboard!$C$4,9,1)&gt;TODAY(),ISNA(MATCH($B123,{"Pribadi","Investasi (kas RDN)","Piutang","Pinjaman Mama (dompet)"},0))),"",SUMIFS(Akun!$C$5:$C$104,Akun!$A$5:$A$104,$A123,Akun!$D$5:$D$104,"&lt;="&amp;MIN(EOMONTH(DATE(Dashboard!$C$4,9,1),0),TODAY()))+SUMIFS(Transaksi!$F$16:$F$5015,Transaksi!$C$16:$C$5015,$A123,Transaksi!$D$16:$D$5015,"Masuk",Transaksi!$B$16:$B$5015,"&lt;="&amp;MIN(EOMONTH(DATE(Dashboard!$C$4,9,1),0),TODAY()))-SUMIFS(Transaksi!$F$16:$F$5015,Transaksi!$C$16:$C$5015,$A123,Transaksi!$D$16:$D$5015,"Keluar",Transaksi!$B$16:$B$5015,"&lt;="&amp;MIN(EOMONTH(DATE(Dashboard!$C$4,9,1),0),TODAY()))-SUMIFS(Transaksi!$F$16:$F$5015,Transaksi!$C$16:$C$5015,$A123,Transaksi!$D$16:$D$5015,"Pindah",Transaksi!$B$16:$B$5015,"&lt;="&amp;MIN(EOMONTH(DATE(Dashboard!$C$4,9,1),0),TODAY()))+SUMIFS(Transaksi!$F$16:$F$5015,Transaksi!$E$16:$E$5015,$A123,Transaksi!$D$16:$D$5015,"Pindah",Transaksi!$B$16:$B$5015,"&lt;="&amp;MIN(EOMONTH(DATE(Dashboard!$C$4,9,1),0),TODAY())))</f>
        <v/>
      </c>
      <c r="L123" s="106">
        <f>IF(OR($A123="",DATE(Dashboard!$C$4,10,1)&gt;TODAY(),ISNA(MATCH($B123,{"Pribadi","Investasi (kas RDN)","Piutang","Pinjaman Mama (dompet)"},0))),"",SUMIFS(Akun!$C$5:$C$104,Akun!$A$5:$A$104,$A123,Akun!$D$5:$D$104,"&lt;="&amp;MIN(EOMONTH(DATE(Dashboard!$C$4,10,1),0),TODAY()))+SUMIFS(Transaksi!$F$16:$F$5015,Transaksi!$C$16:$C$5015,$A123,Transaksi!$D$16:$D$5015,"Masuk",Transaksi!$B$16:$B$5015,"&lt;="&amp;MIN(EOMONTH(DATE(Dashboard!$C$4,10,1),0),TODAY()))-SUMIFS(Transaksi!$F$16:$F$5015,Transaksi!$C$16:$C$5015,$A123,Transaksi!$D$16:$D$5015,"Keluar",Transaksi!$B$16:$B$5015,"&lt;="&amp;MIN(EOMONTH(DATE(Dashboard!$C$4,10,1),0),TODAY()))-SUMIFS(Transaksi!$F$16:$F$5015,Transaksi!$C$16:$C$5015,$A123,Transaksi!$D$16:$D$5015,"Pindah",Transaksi!$B$16:$B$5015,"&lt;="&amp;MIN(EOMONTH(DATE(Dashboard!$C$4,10,1),0),TODAY()))+SUMIFS(Transaksi!$F$16:$F$5015,Transaksi!$E$16:$E$5015,$A123,Transaksi!$D$16:$D$5015,"Pindah",Transaksi!$B$16:$B$5015,"&lt;="&amp;MIN(EOMONTH(DATE(Dashboard!$C$4,10,1),0),TODAY())))</f>
        <v/>
      </c>
      <c r="M123" s="106">
        <f>IF(OR($A123="",DATE(Dashboard!$C$4,11,1)&gt;TODAY(),ISNA(MATCH($B123,{"Pribadi","Investasi (kas RDN)","Piutang","Pinjaman Mama (dompet)"},0))),"",SUMIFS(Akun!$C$5:$C$104,Akun!$A$5:$A$104,$A123,Akun!$D$5:$D$104,"&lt;="&amp;MIN(EOMONTH(DATE(Dashboard!$C$4,11,1),0),TODAY()))+SUMIFS(Transaksi!$F$16:$F$5015,Transaksi!$C$16:$C$5015,$A123,Transaksi!$D$16:$D$5015,"Masuk",Transaksi!$B$16:$B$5015,"&lt;="&amp;MIN(EOMONTH(DATE(Dashboard!$C$4,11,1),0),TODAY()))-SUMIFS(Transaksi!$F$16:$F$5015,Transaksi!$C$16:$C$5015,$A123,Transaksi!$D$16:$D$5015,"Keluar",Transaksi!$B$16:$B$5015,"&lt;="&amp;MIN(EOMONTH(DATE(Dashboard!$C$4,11,1),0),TODAY()))-SUMIFS(Transaksi!$F$16:$F$5015,Transaksi!$C$16:$C$5015,$A123,Transaksi!$D$16:$D$5015,"Pindah",Transaksi!$B$16:$B$5015,"&lt;="&amp;MIN(EOMONTH(DATE(Dashboard!$C$4,11,1),0),TODAY()))+SUMIFS(Transaksi!$F$16:$F$5015,Transaksi!$E$16:$E$5015,$A123,Transaksi!$D$16:$D$5015,"Pindah",Transaksi!$B$16:$B$5015,"&lt;="&amp;MIN(EOMONTH(DATE(Dashboard!$C$4,11,1),0),TODAY())))</f>
        <v/>
      </c>
      <c r="N123" s="106">
        <f>IF(OR($A123="",DATE(Dashboard!$C$4,12,1)&gt;TODAY(),ISNA(MATCH($B123,{"Pribadi","Investasi (kas RDN)","Piutang","Pinjaman Mama (dompet)"},0))),"",SUMIFS(Akun!$C$5:$C$104,Akun!$A$5:$A$104,$A123,Akun!$D$5:$D$104,"&lt;="&amp;MIN(EOMONTH(DATE(Dashboard!$C$4,12,1),0),TODAY()))+SUMIFS(Transaksi!$F$16:$F$5015,Transaksi!$C$16:$C$5015,$A123,Transaksi!$D$16:$D$5015,"Masuk",Transaksi!$B$16:$B$5015,"&lt;="&amp;MIN(EOMONTH(DATE(Dashboard!$C$4,12,1),0),TODAY()))-SUMIFS(Transaksi!$F$16:$F$5015,Transaksi!$C$16:$C$5015,$A123,Transaksi!$D$16:$D$5015,"Keluar",Transaksi!$B$16:$B$5015,"&lt;="&amp;MIN(EOMONTH(DATE(Dashboard!$C$4,12,1),0),TODAY()))-SUMIFS(Transaksi!$F$16:$F$5015,Transaksi!$C$16:$C$5015,$A123,Transaksi!$D$16:$D$5015,"Pindah",Transaksi!$B$16:$B$5015,"&lt;="&amp;MIN(EOMONTH(DATE(Dashboard!$C$4,12,1),0),TODAY()))+SUMIFS(Transaksi!$F$16:$F$5015,Transaksi!$E$16:$E$5015,$A123,Transaksi!$D$16:$D$5015,"Pindah",Transaksi!$B$16:$B$5015,"&lt;="&amp;MIN(EOMONTH(DATE(Dashboard!$C$4,12,1),0),TODAY())))</f>
        <v/>
      </c>
    </row>
    <row r="124" ht="15" customHeight="1" s="94">
      <c r="A124" s="93">
        <f>IF(Akun!$A$88="","",Akun!$A$88)</f>
        <v/>
      </c>
      <c r="B124" s="93">
        <f>IF(Akun!$A$88="","",Akun!$B$88)</f>
        <v/>
      </c>
      <c r="C124" s="106">
        <f>IF(OR($A124="",DATE(Dashboard!$C$4,1,1)&gt;TODAY(),ISNA(MATCH($B124,{"Pribadi","Investasi (kas RDN)","Piutang","Pinjaman Mama (dompet)"},0))),"",SUMIFS(Akun!$C$5:$C$104,Akun!$A$5:$A$104,$A124,Akun!$D$5:$D$104,"&lt;="&amp;MIN(EOMONTH(DATE(Dashboard!$C$4,1,1),0),TODAY()))+SUMIFS(Transaksi!$F$16:$F$5015,Transaksi!$C$16:$C$5015,$A124,Transaksi!$D$16:$D$5015,"Masuk",Transaksi!$B$16:$B$5015,"&lt;="&amp;MIN(EOMONTH(DATE(Dashboard!$C$4,1,1),0),TODAY()))-SUMIFS(Transaksi!$F$16:$F$5015,Transaksi!$C$16:$C$5015,$A124,Transaksi!$D$16:$D$5015,"Keluar",Transaksi!$B$16:$B$5015,"&lt;="&amp;MIN(EOMONTH(DATE(Dashboard!$C$4,1,1),0),TODAY()))-SUMIFS(Transaksi!$F$16:$F$5015,Transaksi!$C$16:$C$5015,$A124,Transaksi!$D$16:$D$5015,"Pindah",Transaksi!$B$16:$B$5015,"&lt;="&amp;MIN(EOMONTH(DATE(Dashboard!$C$4,1,1),0),TODAY()))+SUMIFS(Transaksi!$F$16:$F$5015,Transaksi!$E$16:$E$5015,$A124,Transaksi!$D$16:$D$5015,"Pindah",Transaksi!$B$16:$B$5015,"&lt;="&amp;MIN(EOMONTH(DATE(Dashboard!$C$4,1,1),0),TODAY())))</f>
        <v/>
      </c>
      <c r="D124" s="106">
        <f>IF(OR($A124="",DATE(Dashboard!$C$4,2,1)&gt;TODAY(),ISNA(MATCH($B124,{"Pribadi","Investasi (kas RDN)","Piutang","Pinjaman Mama (dompet)"},0))),"",SUMIFS(Akun!$C$5:$C$104,Akun!$A$5:$A$104,$A124,Akun!$D$5:$D$104,"&lt;="&amp;MIN(EOMONTH(DATE(Dashboard!$C$4,2,1),0),TODAY()))+SUMIFS(Transaksi!$F$16:$F$5015,Transaksi!$C$16:$C$5015,$A124,Transaksi!$D$16:$D$5015,"Masuk",Transaksi!$B$16:$B$5015,"&lt;="&amp;MIN(EOMONTH(DATE(Dashboard!$C$4,2,1),0),TODAY()))-SUMIFS(Transaksi!$F$16:$F$5015,Transaksi!$C$16:$C$5015,$A124,Transaksi!$D$16:$D$5015,"Keluar",Transaksi!$B$16:$B$5015,"&lt;="&amp;MIN(EOMONTH(DATE(Dashboard!$C$4,2,1),0),TODAY()))-SUMIFS(Transaksi!$F$16:$F$5015,Transaksi!$C$16:$C$5015,$A124,Transaksi!$D$16:$D$5015,"Pindah",Transaksi!$B$16:$B$5015,"&lt;="&amp;MIN(EOMONTH(DATE(Dashboard!$C$4,2,1),0),TODAY()))+SUMIFS(Transaksi!$F$16:$F$5015,Transaksi!$E$16:$E$5015,$A124,Transaksi!$D$16:$D$5015,"Pindah",Transaksi!$B$16:$B$5015,"&lt;="&amp;MIN(EOMONTH(DATE(Dashboard!$C$4,2,1),0),TODAY())))</f>
        <v/>
      </c>
      <c r="E124" s="106">
        <f>IF(OR($A124="",DATE(Dashboard!$C$4,3,1)&gt;TODAY(),ISNA(MATCH($B124,{"Pribadi","Investasi (kas RDN)","Piutang","Pinjaman Mama (dompet)"},0))),"",SUMIFS(Akun!$C$5:$C$104,Akun!$A$5:$A$104,$A124,Akun!$D$5:$D$104,"&lt;="&amp;MIN(EOMONTH(DATE(Dashboard!$C$4,3,1),0),TODAY()))+SUMIFS(Transaksi!$F$16:$F$5015,Transaksi!$C$16:$C$5015,$A124,Transaksi!$D$16:$D$5015,"Masuk",Transaksi!$B$16:$B$5015,"&lt;="&amp;MIN(EOMONTH(DATE(Dashboard!$C$4,3,1),0),TODAY()))-SUMIFS(Transaksi!$F$16:$F$5015,Transaksi!$C$16:$C$5015,$A124,Transaksi!$D$16:$D$5015,"Keluar",Transaksi!$B$16:$B$5015,"&lt;="&amp;MIN(EOMONTH(DATE(Dashboard!$C$4,3,1),0),TODAY()))-SUMIFS(Transaksi!$F$16:$F$5015,Transaksi!$C$16:$C$5015,$A124,Transaksi!$D$16:$D$5015,"Pindah",Transaksi!$B$16:$B$5015,"&lt;="&amp;MIN(EOMONTH(DATE(Dashboard!$C$4,3,1),0),TODAY()))+SUMIFS(Transaksi!$F$16:$F$5015,Transaksi!$E$16:$E$5015,$A124,Transaksi!$D$16:$D$5015,"Pindah",Transaksi!$B$16:$B$5015,"&lt;="&amp;MIN(EOMONTH(DATE(Dashboard!$C$4,3,1),0),TODAY())))</f>
        <v/>
      </c>
      <c r="F124" s="106">
        <f>IF(OR($A124="",DATE(Dashboard!$C$4,4,1)&gt;TODAY(),ISNA(MATCH($B124,{"Pribadi","Investasi (kas RDN)","Piutang","Pinjaman Mama (dompet)"},0))),"",SUMIFS(Akun!$C$5:$C$104,Akun!$A$5:$A$104,$A124,Akun!$D$5:$D$104,"&lt;="&amp;MIN(EOMONTH(DATE(Dashboard!$C$4,4,1),0),TODAY()))+SUMIFS(Transaksi!$F$16:$F$5015,Transaksi!$C$16:$C$5015,$A124,Transaksi!$D$16:$D$5015,"Masuk",Transaksi!$B$16:$B$5015,"&lt;="&amp;MIN(EOMONTH(DATE(Dashboard!$C$4,4,1),0),TODAY()))-SUMIFS(Transaksi!$F$16:$F$5015,Transaksi!$C$16:$C$5015,$A124,Transaksi!$D$16:$D$5015,"Keluar",Transaksi!$B$16:$B$5015,"&lt;="&amp;MIN(EOMONTH(DATE(Dashboard!$C$4,4,1),0),TODAY()))-SUMIFS(Transaksi!$F$16:$F$5015,Transaksi!$C$16:$C$5015,$A124,Transaksi!$D$16:$D$5015,"Pindah",Transaksi!$B$16:$B$5015,"&lt;="&amp;MIN(EOMONTH(DATE(Dashboard!$C$4,4,1),0),TODAY()))+SUMIFS(Transaksi!$F$16:$F$5015,Transaksi!$E$16:$E$5015,$A124,Transaksi!$D$16:$D$5015,"Pindah",Transaksi!$B$16:$B$5015,"&lt;="&amp;MIN(EOMONTH(DATE(Dashboard!$C$4,4,1),0),TODAY())))</f>
        <v/>
      </c>
      <c r="G124" s="106">
        <f>IF(OR($A124="",DATE(Dashboard!$C$4,5,1)&gt;TODAY(),ISNA(MATCH($B124,{"Pribadi","Investasi (kas RDN)","Piutang","Pinjaman Mama (dompet)"},0))),"",SUMIFS(Akun!$C$5:$C$104,Akun!$A$5:$A$104,$A124,Akun!$D$5:$D$104,"&lt;="&amp;MIN(EOMONTH(DATE(Dashboard!$C$4,5,1),0),TODAY()))+SUMIFS(Transaksi!$F$16:$F$5015,Transaksi!$C$16:$C$5015,$A124,Transaksi!$D$16:$D$5015,"Masuk",Transaksi!$B$16:$B$5015,"&lt;="&amp;MIN(EOMONTH(DATE(Dashboard!$C$4,5,1),0),TODAY()))-SUMIFS(Transaksi!$F$16:$F$5015,Transaksi!$C$16:$C$5015,$A124,Transaksi!$D$16:$D$5015,"Keluar",Transaksi!$B$16:$B$5015,"&lt;="&amp;MIN(EOMONTH(DATE(Dashboard!$C$4,5,1),0),TODAY()))-SUMIFS(Transaksi!$F$16:$F$5015,Transaksi!$C$16:$C$5015,$A124,Transaksi!$D$16:$D$5015,"Pindah",Transaksi!$B$16:$B$5015,"&lt;="&amp;MIN(EOMONTH(DATE(Dashboard!$C$4,5,1),0),TODAY()))+SUMIFS(Transaksi!$F$16:$F$5015,Transaksi!$E$16:$E$5015,$A124,Transaksi!$D$16:$D$5015,"Pindah",Transaksi!$B$16:$B$5015,"&lt;="&amp;MIN(EOMONTH(DATE(Dashboard!$C$4,5,1),0),TODAY())))</f>
        <v/>
      </c>
      <c r="H124" s="106">
        <f>IF(OR($A124="",DATE(Dashboard!$C$4,6,1)&gt;TODAY(),ISNA(MATCH($B124,{"Pribadi","Investasi (kas RDN)","Piutang","Pinjaman Mama (dompet)"},0))),"",SUMIFS(Akun!$C$5:$C$104,Akun!$A$5:$A$104,$A124,Akun!$D$5:$D$104,"&lt;="&amp;MIN(EOMONTH(DATE(Dashboard!$C$4,6,1),0),TODAY()))+SUMIFS(Transaksi!$F$16:$F$5015,Transaksi!$C$16:$C$5015,$A124,Transaksi!$D$16:$D$5015,"Masuk",Transaksi!$B$16:$B$5015,"&lt;="&amp;MIN(EOMONTH(DATE(Dashboard!$C$4,6,1),0),TODAY()))-SUMIFS(Transaksi!$F$16:$F$5015,Transaksi!$C$16:$C$5015,$A124,Transaksi!$D$16:$D$5015,"Keluar",Transaksi!$B$16:$B$5015,"&lt;="&amp;MIN(EOMONTH(DATE(Dashboard!$C$4,6,1),0),TODAY()))-SUMIFS(Transaksi!$F$16:$F$5015,Transaksi!$C$16:$C$5015,$A124,Transaksi!$D$16:$D$5015,"Pindah",Transaksi!$B$16:$B$5015,"&lt;="&amp;MIN(EOMONTH(DATE(Dashboard!$C$4,6,1),0),TODAY()))+SUMIFS(Transaksi!$F$16:$F$5015,Transaksi!$E$16:$E$5015,$A124,Transaksi!$D$16:$D$5015,"Pindah",Transaksi!$B$16:$B$5015,"&lt;="&amp;MIN(EOMONTH(DATE(Dashboard!$C$4,6,1),0),TODAY())))</f>
        <v/>
      </c>
      <c r="I124" s="106">
        <f>IF(OR($A124="",DATE(Dashboard!$C$4,7,1)&gt;TODAY(),ISNA(MATCH($B124,{"Pribadi","Investasi (kas RDN)","Piutang","Pinjaman Mama (dompet)"},0))),"",SUMIFS(Akun!$C$5:$C$104,Akun!$A$5:$A$104,$A124,Akun!$D$5:$D$104,"&lt;="&amp;MIN(EOMONTH(DATE(Dashboard!$C$4,7,1),0),TODAY()))+SUMIFS(Transaksi!$F$16:$F$5015,Transaksi!$C$16:$C$5015,$A124,Transaksi!$D$16:$D$5015,"Masuk",Transaksi!$B$16:$B$5015,"&lt;="&amp;MIN(EOMONTH(DATE(Dashboard!$C$4,7,1),0),TODAY()))-SUMIFS(Transaksi!$F$16:$F$5015,Transaksi!$C$16:$C$5015,$A124,Transaksi!$D$16:$D$5015,"Keluar",Transaksi!$B$16:$B$5015,"&lt;="&amp;MIN(EOMONTH(DATE(Dashboard!$C$4,7,1),0),TODAY()))-SUMIFS(Transaksi!$F$16:$F$5015,Transaksi!$C$16:$C$5015,$A124,Transaksi!$D$16:$D$5015,"Pindah",Transaksi!$B$16:$B$5015,"&lt;="&amp;MIN(EOMONTH(DATE(Dashboard!$C$4,7,1),0),TODAY()))+SUMIFS(Transaksi!$F$16:$F$5015,Transaksi!$E$16:$E$5015,$A124,Transaksi!$D$16:$D$5015,"Pindah",Transaksi!$B$16:$B$5015,"&lt;="&amp;MIN(EOMONTH(DATE(Dashboard!$C$4,7,1),0),TODAY())))</f>
        <v/>
      </c>
      <c r="J124" s="106">
        <f>IF(OR($A124="",DATE(Dashboard!$C$4,8,1)&gt;TODAY(),ISNA(MATCH($B124,{"Pribadi","Investasi (kas RDN)","Piutang","Pinjaman Mama (dompet)"},0))),"",SUMIFS(Akun!$C$5:$C$104,Akun!$A$5:$A$104,$A124,Akun!$D$5:$D$104,"&lt;="&amp;MIN(EOMONTH(DATE(Dashboard!$C$4,8,1),0),TODAY()))+SUMIFS(Transaksi!$F$16:$F$5015,Transaksi!$C$16:$C$5015,$A124,Transaksi!$D$16:$D$5015,"Masuk",Transaksi!$B$16:$B$5015,"&lt;="&amp;MIN(EOMONTH(DATE(Dashboard!$C$4,8,1),0),TODAY()))-SUMIFS(Transaksi!$F$16:$F$5015,Transaksi!$C$16:$C$5015,$A124,Transaksi!$D$16:$D$5015,"Keluar",Transaksi!$B$16:$B$5015,"&lt;="&amp;MIN(EOMONTH(DATE(Dashboard!$C$4,8,1),0),TODAY()))-SUMIFS(Transaksi!$F$16:$F$5015,Transaksi!$C$16:$C$5015,$A124,Transaksi!$D$16:$D$5015,"Pindah",Transaksi!$B$16:$B$5015,"&lt;="&amp;MIN(EOMONTH(DATE(Dashboard!$C$4,8,1),0),TODAY()))+SUMIFS(Transaksi!$F$16:$F$5015,Transaksi!$E$16:$E$5015,$A124,Transaksi!$D$16:$D$5015,"Pindah",Transaksi!$B$16:$B$5015,"&lt;="&amp;MIN(EOMONTH(DATE(Dashboard!$C$4,8,1),0),TODAY())))</f>
        <v/>
      </c>
      <c r="K124" s="106">
        <f>IF(OR($A124="",DATE(Dashboard!$C$4,9,1)&gt;TODAY(),ISNA(MATCH($B124,{"Pribadi","Investasi (kas RDN)","Piutang","Pinjaman Mama (dompet)"},0))),"",SUMIFS(Akun!$C$5:$C$104,Akun!$A$5:$A$104,$A124,Akun!$D$5:$D$104,"&lt;="&amp;MIN(EOMONTH(DATE(Dashboard!$C$4,9,1),0),TODAY()))+SUMIFS(Transaksi!$F$16:$F$5015,Transaksi!$C$16:$C$5015,$A124,Transaksi!$D$16:$D$5015,"Masuk",Transaksi!$B$16:$B$5015,"&lt;="&amp;MIN(EOMONTH(DATE(Dashboard!$C$4,9,1),0),TODAY()))-SUMIFS(Transaksi!$F$16:$F$5015,Transaksi!$C$16:$C$5015,$A124,Transaksi!$D$16:$D$5015,"Keluar",Transaksi!$B$16:$B$5015,"&lt;="&amp;MIN(EOMONTH(DATE(Dashboard!$C$4,9,1),0),TODAY()))-SUMIFS(Transaksi!$F$16:$F$5015,Transaksi!$C$16:$C$5015,$A124,Transaksi!$D$16:$D$5015,"Pindah",Transaksi!$B$16:$B$5015,"&lt;="&amp;MIN(EOMONTH(DATE(Dashboard!$C$4,9,1),0),TODAY()))+SUMIFS(Transaksi!$F$16:$F$5015,Transaksi!$E$16:$E$5015,$A124,Transaksi!$D$16:$D$5015,"Pindah",Transaksi!$B$16:$B$5015,"&lt;="&amp;MIN(EOMONTH(DATE(Dashboard!$C$4,9,1),0),TODAY())))</f>
        <v/>
      </c>
      <c r="L124" s="106">
        <f>IF(OR($A124="",DATE(Dashboard!$C$4,10,1)&gt;TODAY(),ISNA(MATCH($B124,{"Pribadi","Investasi (kas RDN)","Piutang","Pinjaman Mama (dompet)"},0))),"",SUMIFS(Akun!$C$5:$C$104,Akun!$A$5:$A$104,$A124,Akun!$D$5:$D$104,"&lt;="&amp;MIN(EOMONTH(DATE(Dashboard!$C$4,10,1),0),TODAY()))+SUMIFS(Transaksi!$F$16:$F$5015,Transaksi!$C$16:$C$5015,$A124,Transaksi!$D$16:$D$5015,"Masuk",Transaksi!$B$16:$B$5015,"&lt;="&amp;MIN(EOMONTH(DATE(Dashboard!$C$4,10,1),0),TODAY()))-SUMIFS(Transaksi!$F$16:$F$5015,Transaksi!$C$16:$C$5015,$A124,Transaksi!$D$16:$D$5015,"Keluar",Transaksi!$B$16:$B$5015,"&lt;="&amp;MIN(EOMONTH(DATE(Dashboard!$C$4,10,1),0),TODAY()))-SUMIFS(Transaksi!$F$16:$F$5015,Transaksi!$C$16:$C$5015,$A124,Transaksi!$D$16:$D$5015,"Pindah",Transaksi!$B$16:$B$5015,"&lt;="&amp;MIN(EOMONTH(DATE(Dashboard!$C$4,10,1),0),TODAY()))+SUMIFS(Transaksi!$F$16:$F$5015,Transaksi!$E$16:$E$5015,$A124,Transaksi!$D$16:$D$5015,"Pindah",Transaksi!$B$16:$B$5015,"&lt;="&amp;MIN(EOMONTH(DATE(Dashboard!$C$4,10,1),0),TODAY())))</f>
        <v/>
      </c>
      <c r="M124" s="106">
        <f>IF(OR($A124="",DATE(Dashboard!$C$4,11,1)&gt;TODAY(),ISNA(MATCH($B124,{"Pribadi","Investasi (kas RDN)","Piutang","Pinjaman Mama (dompet)"},0))),"",SUMIFS(Akun!$C$5:$C$104,Akun!$A$5:$A$104,$A124,Akun!$D$5:$D$104,"&lt;="&amp;MIN(EOMONTH(DATE(Dashboard!$C$4,11,1),0),TODAY()))+SUMIFS(Transaksi!$F$16:$F$5015,Transaksi!$C$16:$C$5015,$A124,Transaksi!$D$16:$D$5015,"Masuk",Transaksi!$B$16:$B$5015,"&lt;="&amp;MIN(EOMONTH(DATE(Dashboard!$C$4,11,1),0),TODAY()))-SUMIFS(Transaksi!$F$16:$F$5015,Transaksi!$C$16:$C$5015,$A124,Transaksi!$D$16:$D$5015,"Keluar",Transaksi!$B$16:$B$5015,"&lt;="&amp;MIN(EOMONTH(DATE(Dashboard!$C$4,11,1),0),TODAY()))-SUMIFS(Transaksi!$F$16:$F$5015,Transaksi!$C$16:$C$5015,$A124,Transaksi!$D$16:$D$5015,"Pindah",Transaksi!$B$16:$B$5015,"&lt;="&amp;MIN(EOMONTH(DATE(Dashboard!$C$4,11,1),0),TODAY()))+SUMIFS(Transaksi!$F$16:$F$5015,Transaksi!$E$16:$E$5015,$A124,Transaksi!$D$16:$D$5015,"Pindah",Transaksi!$B$16:$B$5015,"&lt;="&amp;MIN(EOMONTH(DATE(Dashboard!$C$4,11,1),0),TODAY())))</f>
        <v/>
      </c>
      <c r="N124" s="106">
        <f>IF(OR($A124="",DATE(Dashboard!$C$4,12,1)&gt;TODAY(),ISNA(MATCH($B124,{"Pribadi","Investasi (kas RDN)","Piutang","Pinjaman Mama (dompet)"},0))),"",SUMIFS(Akun!$C$5:$C$104,Akun!$A$5:$A$104,$A124,Akun!$D$5:$D$104,"&lt;="&amp;MIN(EOMONTH(DATE(Dashboard!$C$4,12,1),0),TODAY()))+SUMIFS(Transaksi!$F$16:$F$5015,Transaksi!$C$16:$C$5015,$A124,Transaksi!$D$16:$D$5015,"Masuk",Transaksi!$B$16:$B$5015,"&lt;="&amp;MIN(EOMONTH(DATE(Dashboard!$C$4,12,1),0),TODAY()))-SUMIFS(Transaksi!$F$16:$F$5015,Transaksi!$C$16:$C$5015,$A124,Transaksi!$D$16:$D$5015,"Keluar",Transaksi!$B$16:$B$5015,"&lt;="&amp;MIN(EOMONTH(DATE(Dashboard!$C$4,12,1),0),TODAY()))-SUMIFS(Transaksi!$F$16:$F$5015,Transaksi!$C$16:$C$5015,$A124,Transaksi!$D$16:$D$5015,"Pindah",Transaksi!$B$16:$B$5015,"&lt;="&amp;MIN(EOMONTH(DATE(Dashboard!$C$4,12,1),0),TODAY()))+SUMIFS(Transaksi!$F$16:$F$5015,Transaksi!$E$16:$E$5015,$A124,Transaksi!$D$16:$D$5015,"Pindah",Transaksi!$B$16:$B$5015,"&lt;="&amp;MIN(EOMONTH(DATE(Dashboard!$C$4,12,1),0),TODAY())))</f>
        <v/>
      </c>
    </row>
    <row r="125" ht="15" customHeight="1" s="94">
      <c r="A125" s="93">
        <f>IF(Akun!$A$89="","",Akun!$A$89)</f>
        <v/>
      </c>
      <c r="B125" s="93">
        <f>IF(Akun!$A$89="","",Akun!$B$89)</f>
        <v/>
      </c>
      <c r="C125" s="106">
        <f>IF(OR($A125="",DATE(Dashboard!$C$4,1,1)&gt;TODAY(),ISNA(MATCH($B125,{"Pribadi","Investasi (kas RDN)","Piutang","Pinjaman Mama (dompet)"},0))),"",SUMIFS(Akun!$C$5:$C$104,Akun!$A$5:$A$104,$A125,Akun!$D$5:$D$104,"&lt;="&amp;MIN(EOMONTH(DATE(Dashboard!$C$4,1,1),0),TODAY()))+SUMIFS(Transaksi!$F$16:$F$5015,Transaksi!$C$16:$C$5015,$A125,Transaksi!$D$16:$D$5015,"Masuk",Transaksi!$B$16:$B$5015,"&lt;="&amp;MIN(EOMONTH(DATE(Dashboard!$C$4,1,1),0),TODAY()))-SUMIFS(Transaksi!$F$16:$F$5015,Transaksi!$C$16:$C$5015,$A125,Transaksi!$D$16:$D$5015,"Keluar",Transaksi!$B$16:$B$5015,"&lt;="&amp;MIN(EOMONTH(DATE(Dashboard!$C$4,1,1),0),TODAY()))-SUMIFS(Transaksi!$F$16:$F$5015,Transaksi!$C$16:$C$5015,$A125,Transaksi!$D$16:$D$5015,"Pindah",Transaksi!$B$16:$B$5015,"&lt;="&amp;MIN(EOMONTH(DATE(Dashboard!$C$4,1,1),0),TODAY()))+SUMIFS(Transaksi!$F$16:$F$5015,Transaksi!$E$16:$E$5015,$A125,Transaksi!$D$16:$D$5015,"Pindah",Transaksi!$B$16:$B$5015,"&lt;="&amp;MIN(EOMONTH(DATE(Dashboard!$C$4,1,1),0),TODAY())))</f>
        <v/>
      </c>
      <c r="D125" s="106">
        <f>IF(OR($A125="",DATE(Dashboard!$C$4,2,1)&gt;TODAY(),ISNA(MATCH($B125,{"Pribadi","Investasi (kas RDN)","Piutang","Pinjaman Mama (dompet)"},0))),"",SUMIFS(Akun!$C$5:$C$104,Akun!$A$5:$A$104,$A125,Akun!$D$5:$D$104,"&lt;="&amp;MIN(EOMONTH(DATE(Dashboard!$C$4,2,1),0),TODAY()))+SUMIFS(Transaksi!$F$16:$F$5015,Transaksi!$C$16:$C$5015,$A125,Transaksi!$D$16:$D$5015,"Masuk",Transaksi!$B$16:$B$5015,"&lt;="&amp;MIN(EOMONTH(DATE(Dashboard!$C$4,2,1),0),TODAY()))-SUMIFS(Transaksi!$F$16:$F$5015,Transaksi!$C$16:$C$5015,$A125,Transaksi!$D$16:$D$5015,"Keluar",Transaksi!$B$16:$B$5015,"&lt;="&amp;MIN(EOMONTH(DATE(Dashboard!$C$4,2,1),0),TODAY()))-SUMIFS(Transaksi!$F$16:$F$5015,Transaksi!$C$16:$C$5015,$A125,Transaksi!$D$16:$D$5015,"Pindah",Transaksi!$B$16:$B$5015,"&lt;="&amp;MIN(EOMONTH(DATE(Dashboard!$C$4,2,1),0),TODAY()))+SUMIFS(Transaksi!$F$16:$F$5015,Transaksi!$E$16:$E$5015,$A125,Transaksi!$D$16:$D$5015,"Pindah",Transaksi!$B$16:$B$5015,"&lt;="&amp;MIN(EOMONTH(DATE(Dashboard!$C$4,2,1),0),TODAY())))</f>
        <v/>
      </c>
      <c r="E125" s="106">
        <f>IF(OR($A125="",DATE(Dashboard!$C$4,3,1)&gt;TODAY(),ISNA(MATCH($B125,{"Pribadi","Investasi (kas RDN)","Piutang","Pinjaman Mama (dompet)"},0))),"",SUMIFS(Akun!$C$5:$C$104,Akun!$A$5:$A$104,$A125,Akun!$D$5:$D$104,"&lt;="&amp;MIN(EOMONTH(DATE(Dashboard!$C$4,3,1),0),TODAY()))+SUMIFS(Transaksi!$F$16:$F$5015,Transaksi!$C$16:$C$5015,$A125,Transaksi!$D$16:$D$5015,"Masuk",Transaksi!$B$16:$B$5015,"&lt;="&amp;MIN(EOMONTH(DATE(Dashboard!$C$4,3,1),0),TODAY()))-SUMIFS(Transaksi!$F$16:$F$5015,Transaksi!$C$16:$C$5015,$A125,Transaksi!$D$16:$D$5015,"Keluar",Transaksi!$B$16:$B$5015,"&lt;="&amp;MIN(EOMONTH(DATE(Dashboard!$C$4,3,1),0),TODAY()))-SUMIFS(Transaksi!$F$16:$F$5015,Transaksi!$C$16:$C$5015,$A125,Transaksi!$D$16:$D$5015,"Pindah",Transaksi!$B$16:$B$5015,"&lt;="&amp;MIN(EOMONTH(DATE(Dashboard!$C$4,3,1),0),TODAY()))+SUMIFS(Transaksi!$F$16:$F$5015,Transaksi!$E$16:$E$5015,$A125,Transaksi!$D$16:$D$5015,"Pindah",Transaksi!$B$16:$B$5015,"&lt;="&amp;MIN(EOMONTH(DATE(Dashboard!$C$4,3,1),0),TODAY())))</f>
        <v/>
      </c>
      <c r="F125" s="106">
        <f>IF(OR($A125="",DATE(Dashboard!$C$4,4,1)&gt;TODAY(),ISNA(MATCH($B125,{"Pribadi","Investasi (kas RDN)","Piutang","Pinjaman Mama (dompet)"},0))),"",SUMIFS(Akun!$C$5:$C$104,Akun!$A$5:$A$104,$A125,Akun!$D$5:$D$104,"&lt;="&amp;MIN(EOMONTH(DATE(Dashboard!$C$4,4,1),0),TODAY()))+SUMIFS(Transaksi!$F$16:$F$5015,Transaksi!$C$16:$C$5015,$A125,Transaksi!$D$16:$D$5015,"Masuk",Transaksi!$B$16:$B$5015,"&lt;="&amp;MIN(EOMONTH(DATE(Dashboard!$C$4,4,1),0),TODAY()))-SUMIFS(Transaksi!$F$16:$F$5015,Transaksi!$C$16:$C$5015,$A125,Transaksi!$D$16:$D$5015,"Keluar",Transaksi!$B$16:$B$5015,"&lt;="&amp;MIN(EOMONTH(DATE(Dashboard!$C$4,4,1),0),TODAY()))-SUMIFS(Transaksi!$F$16:$F$5015,Transaksi!$C$16:$C$5015,$A125,Transaksi!$D$16:$D$5015,"Pindah",Transaksi!$B$16:$B$5015,"&lt;="&amp;MIN(EOMONTH(DATE(Dashboard!$C$4,4,1),0),TODAY()))+SUMIFS(Transaksi!$F$16:$F$5015,Transaksi!$E$16:$E$5015,$A125,Transaksi!$D$16:$D$5015,"Pindah",Transaksi!$B$16:$B$5015,"&lt;="&amp;MIN(EOMONTH(DATE(Dashboard!$C$4,4,1),0),TODAY())))</f>
        <v/>
      </c>
      <c r="G125" s="106">
        <f>IF(OR($A125="",DATE(Dashboard!$C$4,5,1)&gt;TODAY(),ISNA(MATCH($B125,{"Pribadi","Investasi (kas RDN)","Piutang","Pinjaman Mama (dompet)"},0))),"",SUMIFS(Akun!$C$5:$C$104,Akun!$A$5:$A$104,$A125,Akun!$D$5:$D$104,"&lt;="&amp;MIN(EOMONTH(DATE(Dashboard!$C$4,5,1),0),TODAY()))+SUMIFS(Transaksi!$F$16:$F$5015,Transaksi!$C$16:$C$5015,$A125,Transaksi!$D$16:$D$5015,"Masuk",Transaksi!$B$16:$B$5015,"&lt;="&amp;MIN(EOMONTH(DATE(Dashboard!$C$4,5,1),0),TODAY()))-SUMIFS(Transaksi!$F$16:$F$5015,Transaksi!$C$16:$C$5015,$A125,Transaksi!$D$16:$D$5015,"Keluar",Transaksi!$B$16:$B$5015,"&lt;="&amp;MIN(EOMONTH(DATE(Dashboard!$C$4,5,1),0),TODAY()))-SUMIFS(Transaksi!$F$16:$F$5015,Transaksi!$C$16:$C$5015,$A125,Transaksi!$D$16:$D$5015,"Pindah",Transaksi!$B$16:$B$5015,"&lt;="&amp;MIN(EOMONTH(DATE(Dashboard!$C$4,5,1),0),TODAY()))+SUMIFS(Transaksi!$F$16:$F$5015,Transaksi!$E$16:$E$5015,$A125,Transaksi!$D$16:$D$5015,"Pindah",Transaksi!$B$16:$B$5015,"&lt;="&amp;MIN(EOMONTH(DATE(Dashboard!$C$4,5,1),0),TODAY())))</f>
        <v/>
      </c>
      <c r="H125" s="106">
        <f>IF(OR($A125="",DATE(Dashboard!$C$4,6,1)&gt;TODAY(),ISNA(MATCH($B125,{"Pribadi","Investasi (kas RDN)","Piutang","Pinjaman Mama (dompet)"},0))),"",SUMIFS(Akun!$C$5:$C$104,Akun!$A$5:$A$104,$A125,Akun!$D$5:$D$104,"&lt;="&amp;MIN(EOMONTH(DATE(Dashboard!$C$4,6,1),0),TODAY()))+SUMIFS(Transaksi!$F$16:$F$5015,Transaksi!$C$16:$C$5015,$A125,Transaksi!$D$16:$D$5015,"Masuk",Transaksi!$B$16:$B$5015,"&lt;="&amp;MIN(EOMONTH(DATE(Dashboard!$C$4,6,1),0),TODAY()))-SUMIFS(Transaksi!$F$16:$F$5015,Transaksi!$C$16:$C$5015,$A125,Transaksi!$D$16:$D$5015,"Keluar",Transaksi!$B$16:$B$5015,"&lt;="&amp;MIN(EOMONTH(DATE(Dashboard!$C$4,6,1),0),TODAY()))-SUMIFS(Transaksi!$F$16:$F$5015,Transaksi!$C$16:$C$5015,$A125,Transaksi!$D$16:$D$5015,"Pindah",Transaksi!$B$16:$B$5015,"&lt;="&amp;MIN(EOMONTH(DATE(Dashboard!$C$4,6,1),0),TODAY()))+SUMIFS(Transaksi!$F$16:$F$5015,Transaksi!$E$16:$E$5015,$A125,Transaksi!$D$16:$D$5015,"Pindah",Transaksi!$B$16:$B$5015,"&lt;="&amp;MIN(EOMONTH(DATE(Dashboard!$C$4,6,1),0),TODAY())))</f>
        <v/>
      </c>
      <c r="I125" s="106">
        <f>IF(OR($A125="",DATE(Dashboard!$C$4,7,1)&gt;TODAY(),ISNA(MATCH($B125,{"Pribadi","Investasi (kas RDN)","Piutang","Pinjaman Mama (dompet)"},0))),"",SUMIFS(Akun!$C$5:$C$104,Akun!$A$5:$A$104,$A125,Akun!$D$5:$D$104,"&lt;="&amp;MIN(EOMONTH(DATE(Dashboard!$C$4,7,1),0),TODAY()))+SUMIFS(Transaksi!$F$16:$F$5015,Transaksi!$C$16:$C$5015,$A125,Transaksi!$D$16:$D$5015,"Masuk",Transaksi!$B$16:$B$5015,"&lt;="&amp;MIN(EOMONTH(DATE(Dashboard!$C$4,7,1),0),TODAY()))-SUMIFS(Transaksi!$F$16:$F$5015,Transaksi!$C$16:$C$5015,$A125,Transaksi!$D$16:$D$5015,"Keluar",Transaksi!$B$16:$B$5015,"&lt;="&amp;MIN(EOMONTH(DATE(Dashboard!$C$4,7,1),0),TODAY()))-SUMIFS(Transaksi!$F$16:$F$5015,Transaksi!$C$16:$C$5015,$A125,Transaksi!$D$16:$D$5015,"Pindah",Transaksi!$B$16:$B$5015,"&lt;="&amp;MIN(EOMONTH(DATE(Dashboard!$C$4,7,1),0),TODAY()))+SUMIFS(Transaksi!$F$16:$F$5015,Transaksi!$E$16:$E$5015,$A125,Transaksi!$D$16:$D$5015,"Pindah",Transaksi!$B$16:$B$5015,"&lt;="&amp;MIN(EOMONTH(DATE(Dashboard!$C$4,7,1),0),TODAY())))</f>
        <v/>
      </c>
      <c r="J125" s="106">
        <f>IF(OR($A125="",DATE(Dashboard!$C$4,8,1)&gt;TODAY(),ISNA(MATCH($B125,{"Pribadi","Investasi (kas RDN)","Piutang","Pinjaman Mama (dompet)"},0))),"",SUMIFS(Akun!$C$5:$C$104,Akun!$A$5:$A$104,$A125,Akun!$D$5:$D$104,"&lt;="&amp;MIN(EOMONTH(DATE(Dashboard!$C$4,8,1),0),TODAY()))+SUMIFS(Transaksi!$F$16:$F$5015,Transaksi!$C$16:$C$5015,$A125,Transaksi!$D$16:$D$5015,"Masuk",Transaksi!$B$16:$B$5015,"&lt;="&amp;MIN(EOMONTH(DATE(Dashboard!$C$4,8,1),0),TODAY()))-SUMIFS(Transaksi!$F$16:$F$5015,Transaksi!$C$16:$C$5015,$A125,Transaksi!$D$16:$D$5015,"Keluar",Transaksi!$B$16:$B$5015,"&lt;="&amp;MIN(EOMONTH(DATE(Dashboard!$C$4,8,1),0),TODAY()))-SUMIFS(Transaksi!$F$16:$F$5015,Transaksi!$C$16:$C$5015,$A125,Transaksi!$D$16:$D$5015,"Pindah",Transaksi!$B$16:$B$5015,"&lt;="&amp;MIN(EOMONTH(DATE(Dashboard!$C$4,8,1),0),TODAY()))+SUMIFS(Transaksi!$F$16:$F$5015,Transaksi!$E$16:$E$5015,$A125,Transaksi!$D$16:$D$5015,"Pindah",Transaksi!$B$16:$B$5015,"&lt;="&amp;MIN(EOMONTH(DATE(Dashboard!$C$4,8,1),0),TODAY())))</f>
        <v/>
      </c>
      <c r="K125" s="106">
        <f>IF(OR($A125="",DATE(Dashboard!$C$4,9,1)&gt;TODAY(),ISNA(MATCH($B125,{"Pribadi","Investasi (kas RDN)","Piutang","Pinjaman Mama (dompet)"},0))),"",SUMIFS(Akun!$C$5:$C$104,Akun!$A$5:$A$104,$A125,Akun!$D$5:$D$104,"&lt;="&amp;MIN(EOMONTH(DATE(Dashboard!$C$4,9,1),0),TODAY()))+SUMIFS(Transaksi!$F$16:$F$5015,Transaksi!$C$16:$C$5015,$A125,Transaksi!$D$16:$D$5015,"Masuk",Transaksi!$B$16:$B$5015,"&lt;="&amp;MIN(EOMONTH(DATE(Dashboard!$C$4,9,1),0),TODAY()))-SUMIFS(Transaksi!$F$16:$F$5015,Transaksi!$C$16:$C$5015,$A125,Transaksi!$D$16:$D$5015,"Keluar",Transaksi!$B$16:$B$5015,"&lt;="&amp;MIN(EOMONTH(DATE(Dashboard!$C$4,9,1),0),TODAY()))-SUMIFS(Transaksi!$F$16:$F$5015,Transaksi!$C$16:$C$5015,$A125,Transaksi!$D$16:$D$5015,"Pindah",Transaksi!$B$16:$B$5015,"&lt;="&amp;MIN(EOMONTH(DATE(Dashboard!$C$4,9,1),0),TODAY()))+SUMIFS(Transaksi!$F$16:$F$5015,Transaksi!$E$16:$E$5015,$A125,Transaksi!$D$16:$D$5015,"Pindah",Transaksi!$B$16:$B$5015,"&lt;="&amp;MIN(EOMONTH(DATE(Dashboard!$C$4,9,1),0),TODAY())))</f>
        <v/>
      </c>
      <c r="L125" s="106">
        <f>IF(OR($A125="",DATE(Dashboard!$C$4,10,1)&gt;TODAY(),ISNA(MATCH($B125,{"Pribadi","Investasi (kas RDN)","Piutang","Pinjaman Mama (dompet)"},0))),"",SUMIFS(Akun!$C$5:$C$104,Akun!$A$5:$A$104,$A125,Akun!$D$5:$D$104,"&lt;="&amp;MIN(EOMONTH(DATE(Dashboard!$C$4,10,1),0),TODAY()))+SUMIFS(Transaksi!$F$16:$F$5015,Transaksi!$C$16:$C$5015,$A125,Transaksi!$D$16:$D$5015,"Masuk",Transaksi!$B$16:$B$5015,"&lt;="&amp;MIN(EOMONTH(DATE(Dashboard!$C$4,10,1),0),TODAY()))-SUMIFS(Transaksi!$F$16:$F$5015,Transaksi!$C$16:$C$5015,$A125,Transaksi!$D$16:$D$5015,"Keluar",Transaksi!$B$16:$B$5015,"&lt;="&amp;MIN(EOMONTH(DATE(Dashboard!$C$4,10,1),0),TODAY()))-SUMIFS(Transaksi!$F$16:$F$5015,Transaksi!$C$16:$C$5015,$A125,Transaksi!$D$16:$D$5015,"Pindah",Transaksi!$B$16:$B$5015,"&lt;="&amp;MIN(EOMONTH(DATE(Dashboard!$C$4,10,1),0),TODAY()))+SUMIFS(Transaksi!$F$16:$F$5015,Transaksi!$E$16:$E$5015,$A125,Transaksi!$D$16:$D$5015,"Pindah",Transaksi!$B$16:$B$5015,"&lt;="&amp;MIN(EOMONTH(DATE(Dashboard!$C$4,10,1),0),TODAY())))</f>
        <v/>
      </c>
      <c r="M125" s="106">
        <f>IF(OR($A125="",DATE(Dashboard!$C$4,11,1)&gt;TODAY(),ISNA(MATCH($B125,{"Pribadi","Investasi (kas RDN)","Piutang","Pinjaman Mama (dompet)"},0))),"",SUMIFS(Akun!$C$5:$C$104,Akun!$A$5:$A$104,$A125,Akun!$D$5:$D$104,"&lt;="&amp;MIN(EOMONTH(DATE(Dashboard!$C$4,11,1),0),TODAY()))+SUMIFS(Transaksi!$F$16:$F$5015,Transaksi!$C$16:$C$5015,$A125,Transaksi!$D$16:$D$5015,"Masuk",Transaksi!$B$16:$B$5015,"&lt;="&amp;MIN(EOMONTH(DATE(Dashboard!$C$4,11,1),0),TODAY()))-SUMIFS(Transaksi!$F$16:$F$5015,Transaksi!$C$16:$C$5015,$A125,Transaksi!$D$16:$D$5015,"Keluar",Transaksi!$B$16:$B$5015,"&lt;="&amp;MIN(EOMONTH(DATE(Dashboard!$C$4,11,1),0),TODAY()))-SUMIFS(Transaksi!$F$16:$F$5015,Transaksi!$C$16:$C$5015,$A125,Transaksi!$D$16:$D$5015,"Pindah",Transaksi!$B$16:$B$5015,"&lt;="&amp;MIN(EOMONTH(DATE(Dashboard!$C$4,11,1),0),TODAY()))+SUMIFS(Transaksi!$F$16:$F$5015,Transaksi!$E$16:$E$5015,$A125,Transaksi!$D$16:$D$5015,"Pindah",Transaksi!$B$16:$B$5015,"&lt;="&amp;MIN(EOMONTH(DATE(Dashboard!$C$4,11,1),0),TODAY())))</f>
        <v/>
      </c>
      <c r="N125" s="106">
        <f>IF(OR($A125="",DATE(Dashboard!$C$4,12,1)&gt;TODAY(),ISNA(MATCH($B125,{"Pribadi","Investasi (kas RDN)","Piutang","Pinjaman Mama (dompet)"},0))),"",SUMIFS(Akun!$C$5:$C$104,Akun!$A$5:$A$104,$A125,Akun!$D$5:$D$104,"&lt;="&amp;MIN(EOMONTH(DATE(Dashboard!$C$4,12,1),0),TODAY()))+SUMIFS(Transaksi!$F$16:$F$5015,Transaksi!$C$16:$C$5015,$A125,Transaksi!$D$16:$D$5015,"Masuk",Transaksi!$B$16:$B$5015,"&lt;="&amp;MIN(EOMONTH(DATE(Dashboard!$C$4,12,1),0),TODAY()))-SUMIFS(Transaksi!$F$16:$F$5015,Transaksi!$C$16:$C$5015,$A125,Transaksi!$D$16:$D$5015,"Keluar",Transaksi!$B$16:$B$5015,"&lt;="&amp;MIN(EOMONTH(DATE(Dashboard!$C$4,12,1),0),TODAY()))-SUMIFS(Transaksi!$F$16:$F$5015,Transaksi!$C$16:$C$5015,$A125,Transaksi!$D$16:$D$5015,"Pindah",Transaksi!$B$16:$B$5015,"&lt;="&amp;MIN(EOMONTH(DATE(Dashboard!$C$4,12,1),0),TODAY()))+SUMIFS(Transaksi!$F$16:$F$5015,Transaksi!$E$16:$E$5015,$A125,Transaksi!$D$16:$D$5015,"Pindah",Transaksi!$B$16:$B$5015,"&lt;="&amp;MIN(EOMONTH(DATE(Dashboard!$C$4,12,1),0),TODAY())))</f>
        <v/>
      </c>
    </row>
    <row r="126" ht="15" customHeight="1" s="94">
      <c r="A126" s="93">
        <f>IF(Akun!$A$90="","",Akun!$A$90)</f>
        <v/>
      </c>
      <c r="B126" s="93">
        <f>IF(Akun!$A$90="","",Akun!$B$90)</f>
        <v/>
      </c>
      <c r="C126" s="106">
        <f>IF(OR($A126="",DATE(Dashboard!$C$4,1,1)&gt;TODAY(),ISNA(MATCH($B126,{"Pribadi","Investasi (kas RDN)","Piutang","Pinjaman Mama (dompet)"},0))),"",SUMIFS(Akun!$C$5:$C$104,Akun!$A$5:$A$104,$A126,Akun!$D$5:$D$104,"&lt;="&amp;MIN(EOMONTH(DATE(Dashboard!$C$4,1,1),0),TODAY()))+SUMIFS(Transaksi!$F$16:$F$5015,Transaksi!$C$16:$C$5015,$A126,Transaksi!$D$16:$D$5015,"Masuk",Transaksi!$B$16:$B$5015,"&lt;="&amp;MIN(EOMONTH(DATE(Dashboard!$C$4,1,1),0),TODAY()))-SUMIFS(Transaksi!$F$16:$F$5015,Transaksi!$C$16:$C$5015,$A126,Transaksi!$D$16:$D$5015,"Keluar",Transaksi!$B$16:$B$5015,"&lt;="&amp;MIN(EOMONTH(DATE(Dashboard!$C$4,1,1),0),TODAY()))-SUMIFS(Transaksi!$F$16:$F$5015,Transaksi!$C$16:$C$5015,$A126,Transaksi!$D$16:$D$5015,"Pindah",Transaksi!$B$16:$B$5015,"&lt;="&amp;MIN(EOMONTH(DATE(Dashboard!$C$4,1,1),0),TODAY()))+SUMIFS(Transaksi!$F$16:$F$5015,Transaksi!$E$16:$E$5015,$A126,Transaksi!$D$16:$D$5015,"Pindah",Transaksi!$B$16:$B$5015,"&lt;="&amp;MIN(EOMONTH(DATE(Dashboard!$C$4,1,1),0),TODAY())))</f>
        <v/>
      </c>
      <c r="D126" s="106">
        <f>IF(OR($A126="",DATE(Dashboard!$C$4,2,1)&gt;TODAY(),ISNA(MATCH($B126,{"Pribadi","Investasi (kas RDN)","Piutang","Pinjaman Mama (dompet)"},0))),"",SUMIFS(Akun!$C$5:$C$104,Akun!$A$5:$A$104,$A126,Akun!$D$5:$D$104,"&lt;="&amp;MIN(EOMONTH(DATE(Dashboard!$C$4,2,1),0),TODAY()))+SUMIFS(Transaksi!$F$16:$F$5015,Transaksi!$C$16:$C$5015,$A126,Transaksi!$D$16:$D$5015,"Masuk",Transaksi!$B$16:$B$5015,"&lt;="&amp;MIN(EOMONTH(DATE(Dashboard!$C$4,2,1),0),TODAY()))-SUMIFS(Transaksi!$F$16:$F$5015,Transaksi!$C$16:$C$5015,$A126,Transaksi!$D$16:$D$5015,"Keluar",Transaksi!$B$16:$B$5015,"&lt;="&amp;MIN(EOMONTH(DATE(Dashboard!$C$4,2,1),0),TODAY()))-SUMIFS(Transaksi!$F$16:$F$5015,Transaksi!$C$16:$C$5015,$A126,Transaksi!$D$16:$D$5015,"Pindah",Transaksi!$B$16:$B$5015,"&lt;="&amp;MIN(EOMONTH(DATE(Dashboard!$C$4,2,1),0),TODAY()))+SUMIFS(Transaksi!$F$16:$F$5015,Transaksi!$E$16:$E$5015,$A126,Transaksi!$D$16:$D$5015,"Pindah",Transaksi!$B$16:$B$5015,"&lt;="&amp;MIN(EOMONTH(DATE(Dashboard!$C$4,2,1),0),TODAY())))</f>
        <v/>
      </c>
      <c r="E126" s="106">
        <f>IF(OR($A126="",DATE(Dashboard!$C$4,3,1)&gt;TODAY(),ISNA(MATCH($B126,{"Pribadi","Investasi (kas RDN)","Piutang","Pinjaman Mama (dompet)"},0))),"",SUMIFS(Akun!$C$5:$C$104,Akun!$A$5:$A$104,$A126,Akun!$D$5:$D$104,"&lt;="&amp;MIN(EOMONTH(DATE(Dashboard!$C$4,3,1),0),TODAY()))+SUMIFS(Transaksi!$F$16:$F$5015,Transaksi!$C$16:$C$5015,$A126,Transaksi!$D$16:$D$5015,"Masuk",Transaksi!$B$16:$B$5015,"&lt;="&amp;MIN(EOMONTH(DATE(Dashboard!$C$4,3,1),0),TODAY()))-SUMIFS(Transaksi!$F$16:$F$5015,Transaksi!$C$16:$C$5015,$A126,Transaksi!$D$16:$D$5015,"Keluar",Transaksi!$B$16:$B$5015,"&lt;="&amp;MIN(EOMONTH(DATE(Dashboard!$C$4,3,1),0),TODAY()))-SUMIFS(Transaksi!$F$16:$F$5015,Transaksi!$C$16:$C$5015,$A126,Transaksi!$D$16:$D$5015,"Pindah",Transaksi!$B$16:$B$5015,"&lt;="&amp;MIN(EOMONTH(DATE(Dashboard!$C$4,3,1),0),TODAY()))+SUMIFS(Transaksi!$F$16:$F$5015,Transaksi!$E$16:$E$5015,$A126,Transaksi!$D$16:$D$5015,"Pindah",Transaksi!$B$16:$B$5015,"&lt;="&amp;MIN(EOMONTH(DATE(Dashboard!$C$4,3,1),0),TODAY())))</f>
        <v/>
      </c>
      <c r="F126" s="106">
        <f>IF(OR($A126="",DATE(Dashboard!$C$4,4,1)&gt;TODAY(),ISNA(MATCH($B126,{"Pribadi","Investasi (kas RDN)","Piutang","Pinjaman Mama (dompet)"},0))),"",SUMIFS(Akun!$C$5:$C$104,Akun!$A$5:$A$104,$A126,Akun!$D$5:$D$104,"&lt;="&amp;MIN(EOMONTH(DATE(Dashboard!$C$4,4,1),0),TODAY()))+SUMIFS(Transaksi!$F$16:$F$5015,Transaksi!$C$16:$C$5015,$A126,Transaksi!$D$16:$D$5015,"Masuk",Transaksi!$B$16:$B$5015,"&lt;="&amp;MIN(EOMONTH(DATE(Dashboard!$C$4,4,1),0),TODAY()))-SUMIFS(Transaksi!$F$16:$F$5015,Transaksi!$C$16:$C$5015,$A126,Transaksi!$D$16:$D$5015,"Keluar",Transaksi!$B$16:$B$5015,"&lt;="&amp;MIN(EOMONTH(DATE(Dashboard!$C$4,4,1),0),TODAY()))-SUMIFS(Transaksi!$F$16:$F$5015,Transaksi!$C$16:$C$5015,$A126,Transaksi!$D$16:$D$5015,"Pindah",Transaksi!$B$16:$B$5015,"&lt;="&amp;MIN(EOMONTH(DATE(Dashboard!$C$4,4,1),0),TODAY()))+SUMIFS(Transaksi!$F$16:$F$5015,Transaksi!$E$16:$E$5015,$A126,Transaksi!$D$16:$D$5015,"Pindah",Transaksi!$B$16:$B$5015,"&lt;="&amp;MIN(EOMONTH(DATE(Dashboard!$C$4,4,1),0),TODAY())))</f>
        <v/>
      </c>
      <c r="G126" s="106">
        <f>IF(OR($A126="",DATE(Dashboard!$C$4,5,1)&gt;TODAY(),ISNA(MATCH($B126,{"Pribadi","Investasi (kas RDN)","Piutang","Pinjaman Mama (dompet)"},0))),"",SUMIFS(Akun!$C$5:$C$104,Akun!$A$5:$A$104,$A126,Akun!$D$5:$D$104,"&lt;="&amp;MIN(EOMONTH(DATE(Dashboard!$C$4,5,1),0),TODAY()))+SUMIFS(Transaksi!$F$16:$F$5015,Transaksi!$C$16:$C$5015,$A126,Transaksi!$D$16:$D$5015,"Masuk",Transaksi!$B$16:$B$5015,"&lt;="&amp;MIN(EOMONTH(DATE(Dashboard!$C$4,5,1),0),TODAY()))-SUMIFS(Transaksi!$F$16:$F$5015,Transaksi!$C$16:$C$5015,$A126,Transaksi!$D$16:$D$5015,"Keluar",Transaksi!$B$16:$B$5015,"&lt;="&amp;MIN(EOMONTH(DATE(Dashboard!$C$4,5,1),0),TODAY()))-SUMIFS(Transaksi!$F$16:$F$5015,Transaksi!$C$16:$C$5015,$A126,Transaksi!$D$16:$D$5015,"Pindah",Transaksi!$B$16:$B$5015,"&lt;="&amp;MIN(EOMONTH(DATE(Dashboard!$C$4,5,1),0),TODAY()))+SUMIFS(Transaksi!$F$16:$F$5015,Transaksi!$E$16:$E$5015,$A126,Transaksi!$D$16:$D$5015,"Pindah",Transaksi!$B$16:$B$5015,"&lt;="&amp;MIN(EOMONTH(DATE(Dashboard!$C$4,5,1),0),TODAY())))</f>
        <v/>
      </c>
      <c r="H126" s="106">
        <f>IF(OR($A126="",DATE(Dashboard!$C$4,6,1)&gt;TODAY(),ISNA(MATCH($B126,{"Pribadi","Investasi (kas RDN)","Piutang","Pinjaman Mama (dompet)"},0))),"",SUMIFS(Akun!$C$5:$C$104,Akun!$A$5:$A$104,$A126,Akun!$D$5:$D$104,"&lt;="&amp;MIN(EOMONTH(DATE(Dashboard!$C$4,6,1),0),TODAY()))+SUMIFS(Transaksi!$F$16:$F$5015,Transaksi!$C$16:$C$5015,$A126,Transaksi!$D$16:$D$5015,"Masuk",Transaksi!$B$16:$B$5015,"&lt;="&amp;MIN(EOMONTH(DATE(Dashboard!$C$4,6,1),0),TODAY()))-SUMIFS(Transaksi!$F$16:$F$5015,Transaksi!$C$16:$C$5015,$A126,Transaksi!$D$16:$D$5015,"Keluar",Transaksi!$B$16:$B$5015,"&lt;="&amp;MIN(EOMONTH(DATE(Dashboard!$C$4,6,1),0),TODAY()))-SUMIFS(Transaksi!$F$16:$F$5015,Transaksi!$C$16:$C$5015,$A126,Transaksi!$D$16:$D$5015,"Pindah",Transaksi!$B$16:$B$5015,"&lt;="&amp;MIN(EOMONTH(DATE(Dashboard!$C$4,6,1),0),TODAY()))+SUMIFS(Transaksi!$F$16:$F$5015,Transaksi!$E$16:$E$5015,$A126,Transaksi!$D$16:$D$5015,"Pindah",Transaksi!$B$16:$B$5015,"&lt;="&amp;MIN(EOMONTH(DATE(Dashboard!$C$4,6,1),0),TODAY())))</f>
        <v/>
      </c>
      <c r="I126" s="106">
        <f>IF(OR($A126="",DATE(Dashboard!$C$4,7,1)&gt;TODAY(),ISNA(MATCH($B126,{"Pribadi","Investasi (kas RDN)","Piutang","Pinjaman Mama (dompet)"},0))),"",SUMIFS(Akun!$C$5:$C$104,Akun!$A$5:$A$104,$A126,Akun!$D$5:$D$104,"&lt;="&amp;MIN(EOMONTH(DATE(Dashboard!$C$4,7,1),0),TODAY()))+SUMIFS(Transaksi!$F$16:$F$5015,Transaksi!$C$16:$C$5015,$A126,Transaksi!$D$16:$D$5015,"Masuk",Transaksi!$B$16:$B$5015,"&lt;="&amp;MIN(EOMONTH(DATE(Dashboard!$C$4,7,1),0),TODAY()))-SUMIFS(Transaksi!$F$16:$F$5015,Transaksi!$C$16:$C$5015,$A126,Transaksi!$D$16:$D$5015,"Keluar",Transaksi!$B$16:$B$5015,"&lt;="&amp;MIN(EOMONTH(DATE(Dashboard!$C$4,7,1),0),TODAY()))-SUMIFS(Transaksi!$F$16:$F$5015,Transaksi!$C$16:$C$5015,$A126,Transaksi!$D$16:$D$5015,"Pindah",Transaksi!$B$16:$B$5015,"&lt;="&amp;MIN(EOMONTH(DATE(Dashboard!$C$4,7,1),0),TODAY()))+SUMIFS(Transaksi!$F$16:$F$5015,Transaksi!$E$16:$E$5015,$A126,Transaksi!$D$16:$D$5015,"Pindah",Transaksi!$B$16:$B$5015,"&lt;="&amp;MIN(EOMONTH(DATE(Dashboard!$C$4,7,1),0),TODAY())))</f>
        <v/>
      </c>
      <c r="J126" s="106">
        <f>IF(OR($A126="",DATE(Dashboard!$C$4,8,1)&gt;TODAY(),ISNA(MATCH($B126,{"Pribadi","Investasi (kas RDN)","Piutang","Pinjaman Mama (dompet)"},0))),"",SUMIFS(Akun!$C$5:$C$104,Akun!$A$5:$A$104,$A126,Akun!$D$5:$D$104,"&lt;="&amp;MIN(EOMONTH(DATE(Dashboard!$C$4,8,1),0),TODAY()))+SUMIFS(Transaksi!$F$16:$F$5015,Transaksi!$C$16:$C$5015,$A126,Transaksi!$D$16:$D$5015,"Masuk",Transaksi!$B$16:$B$5015,"&lt;="&amp;MIN(EOMONTH(DATE(Dashboard!$C$4,8,1),0),TODAY()))-SUMIFS(Transaksi!$F$16:$F$5015,Transaksi!$C$16:$C$5015,$A126,Transaksi!$D$16:$D$5015,"Keluar",Transaksi!$B$16:$B$5015,"&lt;="&amp;MIN(EOMONTH(DATE(Dashboard!$C$4,8,1),0),TODAY()))-SUMIFS(Transaksi!$F$16:$F$5015,Transaksi!$C$16:$C$5015,$A126,Transaksi!$D$16:$D$5015,"Pindah",Transaksi!$B$16:$B$5015,"&lt;="&amp;MIN(EOMONTH(DATE(Dashboard!$C$4,8,1),0),TODAY()))+SUMIFS(Transaksi!$F$16:$F$5015,Transaksi!$E$16:$E$5015,$A126,Transaksi!$D$16:$D$5015,"Pindah",Transaksi!$B$16:$B$5015,"&lt;="&amp;MIN(EOMONTH(DATE(Dashboard!$C$4,8,1),0),TODAY())))</f>
        <v/>
      </c>
      <c r="K126" s="106">
        <f>IF(OR($A126="",DATE(Dashboard!$C$4,9,1)&gt;TODAY(),ISNA(MATCH($B126,{"Pribadi","Investasi (kas RDN)","Piutang","Pinjaman Mama (dompet)"},0))),"",SUMIFS(Akun!$C$5:$C$104,Akun!$A$5:$A$104,$A126,Akun!$D$5:$D$104,"&lt;="&amp;MIN(EOMONTH(DATE(Dashboard!$C$4,9,1),0),TODAY()))+SUMIFS(Transaksi!$F$16:$F$5015,Transaksi!$C$16:$C$5015,$A126,Transaksi!$D$16:$D$5015,"Masuk",Transaksi!$B$16:$B$5015,"&lt;="&amp;MIN(EOMONTH(DATE(Dashboard!$C$4,9,1),0),TODAY()))-SUMIFS(Transaksi!$F$16:$F$5015,Transaksi!$C$16:$C$5015,$A126,Transaksi!$D$16:$D$5015,"Keluar",Transaksi!$B$16:$B$5015,"&lt;="&amp;MIN(EOMONTH(DATE(Dashboard!$C$4,9,1),0),TODAY()))-SUMIFS(Transaksi!$F$16:$F$5015,Transaksi!$C$16:$C$5015,$A126,Transaksi!$D$16:$D$5015,"Pindah",Transaksi!$B$16:$B$5015,"&lt;="&amp;MIN(EOMONTH(DATE(Dashboard!$C$4,9,1),0),TODAY()))+SUMIFS(Transaksi!$F$16:$F$5015,Transaksi!$E$16:$E$5015,$A126,Transaksi!$D$16:$D$5015,"Pindah",Transaksi!$B$16:$B$5015,"&lt;="&amp;MIN(EOMONTH(DATE(Dashboard!$C$4,9,1),0),TODAY())))</f>
        <v/>
      </c>
      <c r="L126" s="106">
        <f>IF(OR($A126="",DATE(Dashboard!$C$4,10,1)&gt;TODAY(),ISNA(MATCH($B126,{"Pribadi","Investasi (kas RDN)","Piutang","Pinjaman Mama (dompet)"},0))),"",SUMIFS(Akun!$C$5:$C$104,Akun!$A$5:$A$104,$A126,Akun!$D$5:$D$104,"&lt;="&amp;MIN(EOMONTH(DATE(Dashboard!$C$4,10,1),0),TODAY()))+SUMIFS(Transaksi!$F$16:$F$5015,Transaksi!$C$16:$C$5015,$A126,Transaksi!$D$16:$D$5015,"Masuk",Transaksi!$B$16:$B$5015,"&lt;="&amp;MIN(EOMONTH(DATE(Dashboard!$C$4,10,1),0),TODAY()))-SUMIFS(Transaksi!$F$16:$F$5015,Transaksi!$C$16:$C$5015,$A126,Transaksi!$D$16:$D$5015,"Keluar",Transaksi!$B$16:$B$5015,"&lt;="&amp;MIN(EOMONTH(DATE(Dashboard!$C$4,10,1),0),TODAY()))-SUMIFS(Transaksi!$F$16:$F$5015,Transaksi!$C$16:$C$5015,$A126,Transaksi!$D$16:$D$5015,"Pindah",Transaksi!$B$16:$B$5015,"&lt;="&amp;MIN(EOMONTH(DATE(Dashboard!$C$4,10,1),0),TODAY()))+SUMIFS(Transaksi!$F$16:$F$5015,Transaksi!$E$16:$E$5015,$A126,Transaksi!$D$16:$D$5015,"Pindah",Transaksi!$B$16:$B$5015,"&lt;="&amp;MIN(EOMONTH(DATE(Dashboard!$C$4,10,1),0),TODAY())))</f>
        <v/>
      </c>
      <c r="M126" s="106">
        <f>IF(OR($A126="",DATE(Dashboard!$C$4,11,1)&gt;TODAY(),ISNA(MATCH($B126,{"Pribadi","Investasi (kas RDN)","Piutang","Pinjaman Mama (dompet)"},0))),"",SUMIFS(Akun!$C$5:$C$104,Akun!$A$5:$A$104,$A126,Akun!$D$5:$D$104,"&lt;="&amp;MIN(EOMONTH(DATE(Dashboard!$C$4,11,1),0),TODAY()))+SUMIFS(Transaksi!$F$16:$F$5015,Transaksi!$C$16:$C$5015,$A126,Transaksi!$D$16:$D$5015,"Masuk",Transaksi!$B$16:$B$5015,"&lt;="&amp;MIN(EOMONTH(DATE(Dashboard!$C$4,11,1),0),TODAY()))-SUMIFS(Transaksi!$F$16:$F$5015,Transaksi!$C$16:$C$5015,$A126,Transaksi!$D$16:$D$5015,"Keluar",Transaksi!$B$16:$B$5015,"&lt;="&amp;MIN(EOMONTH(DATE(Dashboard!$C$4,11,1),0),TODAY()))-SUMIFS(Transaksi!$F$16:$F$5015,Transaksi!$C$16:$C$5015,$A126,Transaksi!$D$16:$D$5015,"Pindah",Transaksi!$B$16:$B$5015,"&lt;="&amp;MIN(EOMONTH(DATE(Dashboard!$C$4,11,1),0),TODAY()))+SUMIFS(Transaksi!$F$16:$F$5015,Transaksi!$E$16:$E$5015,$A126,Transaksi!$D$16:$D$5015,"Pindah",Transaksi!$B$16:$B$5015,"&lt;="&amp;MIN(EOMONTH(DATE(Dashboard!$C$4,11,1),0),TODAY())))</f>
        <v/>
      </c>
      <c r="N126" s="106">
        <f>IF(OR($A126="",DATE(Dashboard!$C$4,12,1)&gt;TODAY(),ISNA(MATCH($B126,{"Pribadi","Investasi (kas RDN)","Piutang","Pinjaman Mama (dompet)"},0))),"",SUMIFS(Akun!$C$5:$C$104,Akun!$A$5:$A$104,$A126,Akun!$D$5:$D$104,"&lt;="&amp;MIN(EOMONTH(DATE(Dashboard!$C$4,12,1),0),TODAY()))+SUMIFS(Transaksi!$F$16:$F$5015,Transaksi!$C$16:$C$5015,$A126,Transaksi!$D$16:$D$5015,"Masuk",Transaksi!$B$16:$B$5015,"&lt;="&amp;MIN(EOMONTH(DATE(Dashboard!$C$4,12,1),0),TODAY()))-SUMIFS(Transaksi!$F$16:$F$5015,Transaksi!$C$16:$C$5015,$A126,Transaksi!$D$16:$D$5015,"Keluar",Transaksi!$B$16:$B$5015,"&lt;="&amp;MIN(EOMONTH(DATE(Dashboard!$C$4,12,1),0),TODAY()))-SUMIFS(Transaksi!$F$16:$F$5015,Transaksi!$C$16:$C$5015,$A126,Transaksi!$D$16:$D$5015,"Pindah",Transaksi!$B$16:$B$5015,"&lt;="&amp;MIN(EOMONTH(DATE(Dashboard!$C$4,12,1),0),TODAY()))+SUMIFS(Transaksi!$F$16:$F$5015,Transaksi!$E$16:$E$5015,$A126,Transaksi!$D$16:$D$5015,"Pindah",Transaksi!$B$16:$B$5015,"&lt;="&amp;MIN(EOMONTH(DATE(Dashboard!$C$4,12,1),0),TODAY())))</f>
        <v/>
      </c>
    </row>
    <row r="127" ht="15" customHeight="1" s="94">
      <c r="A127" s="93">
        <f>IF(Akun!$A$91="","",Akun!$A$91)</f>
        <v/>
      </c>
      <c r="B127" s="93">
        <f>IF(Akun!$A$91="","",Akun!$B$91)</f>
        <v/>
      </c>
      <c r="C127" s="106">
        <f>IF(OR($A127="",DATE(Dashboard!$C$4,1,1)&gt;TODAY(),ISNA(MATCH($B127,{"Pribadi","Investasi (kas RDN)","Piutang","Pinjaman Mama (dompet)"},0))),"",SUMIFS(Akun!$C$5:$C$104,Akun!$A$5:$A$104,$A127,Akun!$D$5:$D$104,"&lt;="&amp;MIN(EOMONTH(DATE(Dashboard!$C$4,1,1),0),TODAY()))+SUMIFS(Transaksi!$F$16:$F$5015,Transaksi!$C$16:$C$5015,$A127,Transaksi!$D$16:$D$5015,"Masuk",Transaksi!$B$16:$B$5015,"&lt;="&amp;MIN(EOMONTH(DATE(Dashboard!$C$4,1,1),0),TODAY()))-SUMIFS(Transaksi!$F$16:$F$5015,Transaksi!$C$16:$C$5015,$A127,Transaksi!$D$16:$D$5015,"Keluar",Transaksi!$B$16:$B$5015,"&lt;="&amp;MIN(EOMONTH(DATE(Dashboard!$C$4,1,1),0),TODAY()))-SUMIFS(Transaksi!$F$16:$F$5015,Transaksi!$C$16:$C$5015,$A127,Transaksi!$D$16:$D$5015,"Pindah",Transaksi!$B$16:$B$5015,"&lt;="&amp;MIN(EOMONTH(DATE(Dashboard!$C$4,1,1),0),TODAY()))+SUMIFS(Transaksi!$F$16:$F$5015,Transaksi!$E$16:$E$5015,$A127,Transaksi!$D$16:$D$5015,"Pindah",Transaksi!$B$16:$B$5015,"&lt;="&amp;MIN(EOMONTH(DATE(Dashboard!$C$4,1,1),0),TODAY())))</f>
        <v/>
      </c>
      <c r="D127" s="106">
        <f>IF(OR($A127="",DATE(Dashboard!$C$4,2,1)&gt;TODAY(),ISNA(MATCH($B127,{"Pribadi","Investasi (kas RDN)","Piutang","Pinjaman Mama (dompet)"},0))),"",SUMIFS(Akun!$C$5:$C$104,Akun!$A$5:$A$104,$A127,Akun!$D$5:$D$104,"&lt;="&amp;MIN(EOMONTH(DATE(Dashboard!$C$4,2,1),0),TODAY()))+SUMIFS(Transaksi!$F$16:$F$5015,Transaksi!$C$16:$C$5015,$A127,Transaksi!$D$16:$D$5015,"Masuk",Transaksi!$B$16:$B$5015,"&lt;="&amp;MIN(EOMONTH(DATE(Dashboard!$C$4,2,1),0),TODAY()))-SUMIFS(Transaksi!$F$16:$F$5015,Transaksi!$C$16:$C$5015,$A127,Transaksi!$D$16:$D$5015,"Keluar",Transaksi!$B$16:$B$5015,"&lt;="&amp;MIN(EOMONTH(DATE(Dashboard!$C$4,2,1),0),TODAY()))-SUMIFS(Transaksi!$F$16:$F$5015,Transaksi!$C$16:$C$5015,$A127,Transaksi!$D$16:$D$5015,"Pindah",Transaksi!$B$16:$B$5015,"&lt;="&amp;MIN(EOMONTH(DATE(Dashboard!$C$4,2,1),0),TODAY()))+SUMIFS(Transaksi!$F$16:$F$5015,Transaksi!$E$16:$E$5015,$A127,Transaksi!$D$16:$D$5015,"Pindah",Transaksi!$B$16:$B$5015,"&lt;="&amp;MIN(EOMONTH(DATE(Dashboard!$C$4,2,1),0),TODAY())))</f>
        <v/>
      </c>
      <c r="E127" s="106">
        <f>IF(OR($A127="",DATE(Dashboard!$C$4,3,1)&gt;TODAY(),ISNA(MATCH($B127,{"Pribadi","Investasi (kas RDN)","Piutang","Pinjaman Mama (dompet)"},0))),"",SUMIFS(Akun!$C$5:$C$104,Akun!$A$5:$A$104,$A127,Akun!$D$5:$D$104,"&lt;="&amp;MIN(EOMONTH(DATE(Dashboard!$C$4,3,1),0),TODAY()))+SUMIFS(Transaksi!$F$16:$F$5015,Transaksi!$C$16:$C$5015,$A127,Transaksi!$D$16:$D$5015,"Masuk",Transaksi!$B$16:$B$5015,"&lt;="&amp;MIN(EOMONTH(DATE(Dashboard!$C$4,3,1),0),TODAY()))-SUMIFS(Transaksi!$F$16:$F$5015,Transaksi!$C$16:$C$5015,$A127,Transaksi!$D$16:$D$5015,"Keluar",Transaksi!$B$16:$B$5015,"&lt;="&amp;MIN(EOMONTH(DATE(Dashboard!$C$4,3,1),0),TODAY()))-SUMIFS(Transaksi!$F$16:$F$5015,Transaksi!$C$16:$C$5015,$A127,Transaksi!$D$16:$D$5015,"Pindah",Transaksi!$B$16:$B$5015,"&lt;="&amp;MIN(EOMONTH(DATE(Dashboard!$C$4,3,1),0),TODAY()))+SUMIFS(Transaksi!$F$16:$F$5015,Transaksi!$E$16:$E$5015,$A127,Transaksi!$D$16:$D$5015,"Pindah",Transaksi!$B$16:$B$5015,"&lt;="&amp;MIN(EOMONTH(DATE(Dashboard!$C$4,3,1),0),TODAY())))</f>
        <v/>
      </c>
      <c r="F127" s="106">
        <f>IF(OR($A127="",DATE(Dashboard!$C$4,4,1)&gt;TODAY(),ISNA(MATCH($B127,{"Pribadi","Investasi (kas RDN)","Piutang","Pinjaman Mama (dompet)"},0))),"",SUMIFS(Akun!$C$5:$C$104,Akun!$A$5:$A$104,$A127,Akun!$D$5:$D$104,"&lt;="&amp;MIN(EOMONTH(DATE(Dashboard!$C$4,4,1),0),TODAY()))+SUMIFS(Transaksi!$F$16:$F$5015,Transaksi!$C$16:$C$5015,$A127,Transaksi!$D$16:$D$5015,"Masuk",Transaksi!$B$16:$B$5015,"&lt;="&amp;MIN(EOMONTH(DATE(Dashboard!$C$4,4,1),0),TODAY()))-SUMIFS(Transaksi!$F$16:$F$5015,Transaksi!$C$16:$C$5015,$A127,Transaksi!$D$16:$D$5015,"Keluar",Transaksi!$B$16:$B$5015,"&lt;="&amp;MIN(EOMONTH(DATE(Dashboard!$C$4,4,1),0),TODAY()))-SUMIFS(Transaksi!$F$16:$F$5015,Transaksi!$C$16:$C$5015,$A127,Transaksi!$D$16:$D$5015,"Pindah",Transaksi!$B$16:$B$5015,"&lt;="&amp;MIN(EOMONTH(DATE(Dashboard!$C$4,4,1),0),TODAY()))+SUMIFS(Transaksi!$F$16:$F$5015,Transaksi!$E$16:$E$5015,$A127,Transaksi!$D$16:$D$5015,"Pindah",Transaksi!$B$16:$B$5015,"&lt;="&amp;MIN(EOMONTH(DATE(Dashboard!$C$4,4,1),0),TODAY())))</f>
        <v/>
      </c>
      <c r="G127" s="106">
        <f>IF(OR($A127="",DATE(Dashboard!$C$4,5,1)&gt;TODAY(),ISNA(MATCH($B127,{"Pribadi","Investasi (kas RDN)","Piutang","Pinjaman Mama (dompet)"},0))),"",SUMIFS(Akun!$C$5:$C$104,Akun!$A$5:$A$104,$A127,Akun!$D$5:$D$104,"&lt;="&amp;MIN(EOMONTH(DATE(Dashboard!$C$4,5,1),0),TODAY()))+SUMIFS(Transaksi!$F$16:$F$5015,Transaksi!$C$16:$C$5015,$A127,Transaksi!$D$16:$D$5015,"Masuk",Transaksi!$B$16:$B$5015,"&lt;="&amp;MIN(EOMONTH(DATE(Dashboard!$C$4,5,1),0),TODAY()))-SUMIFS(Transaksi!$F$16:$F$5015,Transaksi!$C$16:$C$5015,$A127,Transaksi!$D$16:$D$5015,"Keluar",Transaksi!$B$16:$B$5015,"&lt;="&amp;MIN(EOMONTH(DATE(Dashboard!$C$4,5,1),0),TODAY()))-SUMIFS(Transaksi!$F$16:$F$5015,Transaksi!$C$16:$C$5015,$A127,Transaksi!$D$16:$D$5015,"Pindah",Transaksi!$B$16:$B$5015,"&lt;="&amp;MIN(EOMONTH(DATE(Dashboard!$C$4,5,1),0),TODAY()))+SUMIFS(Transaksi!$F$16:$F$5015,Transaksi!$E$16:$E$5015,$A127,Transaksi!$D$16:$D$5015,"Pindah",Transaksi!$B$16:$B$5015,"&lt;="&amp;MIN(EOMONTH(DATE(Dashboard!$C$4,5,1),0),TODAY())))</f>
        <v/>
      </c>
      <c r="H127" s="106">
        <f>IF(OR($A127="",DATE(Dashboard!$C$4,6,1)&gt;TODAY(),ISNA(MATCH($B127,{"Pribadi","Investasi (kas RDN)","Piutang","Pinjaman Mama (dompet)"},0))),"",SUMIFS(Akun!$C$5:$C$104,Akun!$A$5:$A$104,$A127,Akun!$D$5:$D$104,"&lt;="&amp;MIN(EOMONTH(DATE(Dashboard!$C$4,6,1),0),TODAY()))+SUMIFS(Transaksi!$F$16:$F$5015,Transaksi!$C$16:$C$5015,$A127,Transaksi!$D$16:$D$5015,"Masuk",Transaksi!$B$16:$B$5015,"&lt;="&amp;MIN(EOMONTH(DATE(Dashboard!$C$4,6,1),0),TODAY()))-SUMIFS(Transaksi!$F$16:$F$5015,Transaksi!$C$16:$C$5015,$A127,Transaksi!$D$16:$D$5015,"Keluar",Transaksi!$B$16:$B$5015,"&lt;="&amp;MIN(EOMONTH(DATE(Dashboard!$C$4,6,1),0),TODAY()))-SUMIFS(Transaksi!$F$16:$F$5015,Transaksi!$C$16:$C$5015,$A127,Transaksi!$D$16:$D$5015,"Pindah",Transaksi!$B$16:$B$5015,"&lt;="&amp;MIN(EOMONTH(DATE(Dashboard!$C$4,6,1),0),TODAY()))+SUMIFS(Transaksi!$F$16:$F$5015,Transaksi!$E$16:$E$5015,$A127,Transaksi!$D$16:$D$5015,"Pindah",Transaksi!$B$16:$B$5015,"&lt;="&amp;MIN(EOMONTH(DATE(Dashboard!$C$4,6,1),0),TODAY())))</f>
        <v/>
      </c>
      <c r="I127" s="106">
        <f>IF(OR($A127="",DATE(Dashboard!$C$4,7,1)&gt;TODAY(),ISNA(MATCH($B127,{"Pribadi","Investasi (kas RDN)","Piutang","Pinjaman Mama (dompet)"},0))),"",SUMIFS(Akun!$C$5:$C$104,Akun!$A$5:$A$104,$A127,Akun!$D$5:$D$104,"&lt;="&amp;MIN(EOMONTH(DATE(Dashboard!$C$4,7,1),0),TODAY()))+SUMIFS(Transaksi!$F$16:$F$5015,Transaksi!$C$16:$C$5015,$A127,Transaksi!$D$16:$D$5015,"Masuk",Transaksi!$B$16:$B$5015,"&lt;="&amp;MIN(EOMONTH(DATE(Dashboard!$C$4,7,1),0),TODAY()))-SUMIFS(Transaksi!$F$16:$F$5015,Transaksi!$C$16:$C$5015,$A127,Transaksi!$D$16:$D$5015,"Keluar",Transaksi!$B$16:$B$5015,"&lt;="&amp;MIN(EOMONTH(DATE(Dashboard!$C$4,7,1),0),TODAY()))-SUMIFS(Transaksi!$F$16:$F$5015,Transaksi!$C$16:$C$5015,$A127,Transaksi!$D$16:$D$5015,"Pindah",Transaksi!$B$16:$B$5015,"&lt;="&amp;MIN(EOMONTH(DATE(Dashboard!$C$4,7,1),0),TODAY()))+SUMIFS(Transaksi!$F$16:$F$5015,Transaksi!$E$16:$E$5015,$A127,Transaksi!$D$16:$D$5015,"Pindah",Transaksi!$B$16:$B$5015,"&lt;="&amp;MIN(EOMONTH(DATE(Dashboard!$C$4,7,1),0),TODAY())))</f>
        <v/>
      </c>
      <c r="J127" s="106">
        <f>IF(OR($A127="",DATE(Dashboard!$C$4,8,1)&gt;TODAY(),ISNA(MATCH($B127,{"Pribadi","Investasi (kas RDN)","Piutang","Pinjaman Mama (dompet)"},0))),"",SUMIFS(Akun!$C$5:$C$104,Akun!$A$5:$A$104,$A127,Akun!$D$5:$D$104,"&lt;="&amp;MIN(EOMONTH(DATE(Dashboard!$C$4,8,1),0),TODAY()))+SUMIFS(Transaksi!$F$16:$F$5015,Transaksi!$C$16:$C$5015,$A127,Transaksi!$D$16:$D$5015,"Masuk",Transaksi!$B$16:$B$5015,"&lt;="&amp;MIN(EOMONTH(DATE(Dashboard!$C$4,8,1),0),TODAY()))-SUMIFS(Transaksi!$F$16:$F$5015,Transaksi!$C$16:$C$5015,$A127,Transaksi!$D$16:$D$5015,"Keluar",Transaksi!$B$16:$B$5015,"&lt;="&amp;MIN(EOMONTH(DATE(Dashboard!$C$4,8,1),0),TODAY()))-SUMIFS(Transaksi!$F$16:$F$5015,Transaksi!$C$16:$C$5015,$A127,Transaksi!$D$16:$D$5015,"Pindah",Transaksi!$B$16:$B$5015,"&lt;="&amp;MIN(EOMONTH(DATE(Dashboard!$C$4,8,1),0),TODAY()))+SUMIFS(Transaksi!$F$16:$F$5015,Transaksi!$E$16:$E$5015,$A127,Transaksi!$D$16:$D$5015,"Pindah",Transaksi!$B$16:$B$5015,"&lt;="&amp;MIN(EOMONTH(DATE(Dashboard!$C$4,8,1),0),TODAY())))</f>
        <v/>
      </c>
      <c r="K127" s="106">
        <f>IF(OR($A127="",DATE(Dashboard!$C$4,9,1)&gt;TODAY(),ISNA(MATCH($B127,{"Pribadi","Investasi (kas RDN)","Piutang","Pinjaman Mama (dompet)"},0))),"",SUMIFS(Akun!$C$5:$C$104,Akun!$A$5:$A$104,$A127,Akun!$D$5:$D$104,"&lt;="&amp;MIN(EOMONTH(DATE(Dashboard!$C$4,9,1),0),TODAY()))+SUMIFS(Transaksi!$F$16:$F$5015,Transaksi!$C$16:$C$5015,$A127,Transaksi!$D$16:$D$5015,"Masuk",Transaksi!$B$16:$B$5015,"&lt;="&amp;MIN(EOMONTH(DATE(Dashboard!$C$4,9,1),0),TODAY()))-SUMIFS(Transaksi!$F$16:$F$5015,Transaksi!$C$16:$C$5015,$A127,Transaksi!$D$16:$D$5015,"Keluar",Transaksi!$B$16:$B$5015,"&lt;="&amp;MIN(EOMONTH(DATE(Dashboard!$C$4,9,1),0),TODAY()))-SUMIFS(Transaksi!$F$16:$F$5015,Transaksi!$C$16:$C$5015,$A127,Transaksi!$D$16:$D$5015,"Pindah",Transaksi!$B$16:$B$5015,"&lt;="&amp;MIN(EOMONTH(DATE(Dashboard!$C$4,9,1),0),TODAY()))+SUMIFS(Transaksi!$F$16:$F$5015,Transaksi!$E$16:$E$5015,$A127,Transaksi!$D$16:$D$5015,"Pindah",Transaksi!$B$16:$B$5015,"&lt;="&amp;MIN(EOMONTH(DATE(Dashboard!$C$4,9,1),0),TODAY())))</f>
        <v/>
      </c>
      <c r="L127" s="106">
        <f>IF(OR($A127="",DATE(Dashboard!$C$4,10,1)&gt;TODAY(),ISNA(MATCH($B127,{"Pribadi","Investasi (kas RDN)","Piutang","Pinjaman Mama (dompet)"},0))),"",SUMIFS(Akun!$C$5:$C$104,Akun!$A$5:$A$104,$A127,Akun!$D$5:$D$104,"&lt;="&amp;MIN(EOMONTH(DATE(Dashboard!$C$4,10,1),0),TODAY()))+SUMIFS(Transaksi!$F$16:$F$5015,Transaksi!$C$16:$C$5015,$A127,Transaksi!$D$16:$D$5015,"Masuk",Transaksi!$B$16:$B$5015,"&lt;="&amp;MIN(EOMONTH(DATE(Dashboard!$C$4,10,1),0),TODAY()))-SUMIFS(Transaksi!$F$16:$F$5015,Transaksi!$C$16:$C$5015,$A127,Transaksi!$D$16:$D$5015,"Keluar",Transaksi!$B$16:$B$5015,"&lt;="&amp;MIN(EOMONTH(DATE(Dashboard!$C$4,10,1),0),TODAY()))-SUMIFS(Transaksi!$F$16:$F$5015,Transaksi!$C$16:$C$5015,$A127,Transaksi!$D$16:$D$5015,"Pindah",Transaksi!$B$16:$B$5015,"&lt;="&amp;MIN(EOMONTH(DATE(Dashboard!$C$4,10,1),0),TODAY()))+SUMIFS(Transaksi!$F$16:$F$5015,Transaksi!$E$16:$E$5015,$A127,Transaksi!$D$16:$D$5015,"Pindah",Transaksi!$B$16:$B$5015,"&lt;="&amp;MIN(EOMONTH(DATE(Dashboard!$C$4,10,1),0),TODAY())))</f>
        <v/>
      </c>
      <c r="M127" s="106">
        <f>IF(OR($A127="",DATE(Dashboard!$C$4,11,1)&gt;TODAY(),ISNA(MATCH($B127,{"Pribadi","Investasi (kas RDN)","Piutang","Pinjaman Mama (dompet)"},0))),"",SUMIFS(Akun!$C$5:$C$104,Akun!$A$5:$A$104,$A127,Akun!$D$5:$D$104,"&lt;="&amp;MIN(EOMONTH(DATE(Dashboard!$C$4,11,1),0),TODAY()))+SUMIFS(Transaksi!$F$16:$F$5015,Transaksi!$C$16:$C$5015,$A127,Transaksi!$D$16:$D$5015,"Masuk",Transaksi!$B$16:$B$5015,"&lt;="&amp;MIN(EOMONTH(DATE(Dashboard!$C$4,11,1),0),TODAY()))-SUMIFS(Transaksi!$F$16:$F$5015,Transaksi!$C$16:$C$5015,$A127,Transaksi!$D$16:$D$5015,"Keluar",Transaksi!$B$16:$B$5015,"&lt;="&amp;MIN(EOMONTH(DATE(Dashboard!$C$4,11,1),0),TODAY()))-SUMIFS(Transaksi!$F$16:$F$5015,Transaksi!$C$16:$C$5015,$A127,Transaksi!$D$16:$D$5015,"Pindah",Transaksi!$B$16:$B$5015,"&lt;="&amp;MIN(EOMONTH(DATE(Dashboard!$C$4,11,1),0),TODAY()))+SUMIFS(Transaksi!$F$16:$F$5015,Transaksi!$E$16:$E$5015,$A127,Transaksi!$D$16:$D$5015,"Pindah",Transaksi!$B$16:$B$5015,"&lt;="&amp;MIN(EOMONTH(DATE(Dashboard!$C$4,11,1),0),TODAY())))</f>
        <v/>
      </c>
      <c r="N127" s="106">
        <f>IF(OR($A127="",DATE(Dashboard!$C$4,12,1)&gt;TODAY(),ISNA(MATCH($B127,{"Pribadi","Investasi (kas RDN)","Piutang","Pinjaman Mama (dompet)"},0))),"",SUMIFS(Akun!$C$5:$C$104,Akun!$A$5:$A$104,$A127,Akun!$D$5:$D$104,"&lt;="&amp;MIN(EOMONTH(DATE(Dashboard!$C$4,12,1),0),TODAY()))+SUMIFS(Transaksi!$F$16:$F$5015,Transaksi!$C$16:$C$5015,$A127,Transaksi!$D$16:$D$5015,"Masuk",Transaksi!$B$16:$B$5015,"&lt;="&amp;MIN(EOMONTH(DATE(Dashboard!$C$4,12,1),0),TODAY()))-SUMIFS(Transaksi!$F$16:$F$5015,Transaksi!$C$16:$C$5015,$A127,Transaksi!$D$16:$D$5015,"Keluar",Transaksi!$B$16:$B$5015,"&lt;="&amp;MIN(EOMONTH(DATE(Dashboard!$C$4,12,1),0),TODAY()))-SUMIFS(Transaksi!$F$16:$F$5015,Transaksi!$C$16:$C$5015,$A127,Transaksi!$D$16:$D$5015,"Pindah",Transaksi!$B$16:$B$5015,"&lt;="&amp;MIN(EOMONTH(DATE(Dashboard!$C$4,12,1),0),TODAY()))+SUMIFS(Transaksi!$F$16:$F$5015,Transaksi!$E$16:$E$5015,$A127,Transaksi!$D$16:$D$5015,"Pindah",Transaksi!$B$16:$B$5015,"&lt;="&amp;MIN(EOMONTH(DATE(Dashboard!$C$4,12,1),0),TODAY())))</f>
        <v/>
      </c>
    </row>
    <row r="128" ht="15" customHeight="1" s="94">
      <c r="A128" s="93">
        <f>IF(Akun!$A$92="","",Akun!$A$92)</f>
        <v/>
      </c>
      <c r="B128" s="93">
        <f>IF(Akun!$A$92="","",Akun!$B$92)</f>
        <v/>
      </c>
      <c r="C128" s="106">
        <f>IF(OR($A128="",DATE(Dashboard!$C$4,1,1)&gt;TODAY(),ISNA(MATCH($B128,{"Pribadi","Investasi (kas RDN)","Piutang","Pinjaman Mama (dompet)"},0))),"",SUMIFS(Akun!$C$5:$C$104,Akun!$A$5:$A$104,$A128,Akun!$D$5:$D$104,"&lt;="&amp;MIN(EOMONTH(DATE(Dashboard!$C$4,1,1),0),TODAY()))+SUMIFS(Transaksi!$F$16:$F$5015,Transaksi!$C$16:$C$5015,$A128,Transaksi!$D$16:$D$5015,"Masuk",Transaksi!$B$16:$B$5015,"&lt;="&amp;MIN(EOMONTH(DATE(Dashboard!$C$4,1,1),0),TODAY()))-SUMIFS(Transaksi!$F$16:$F$5015,Transaksi!$C$16:$C$5015,$A128,Transaksi!$D$16:$D$5015,"Keluar",Transaksi!$B$16:$B$5015,"&lt;="&amp;MIN(EOMONTH(DATE(Dashboard!$C$4,1,1),0),TODAY()))-SUMIFS(Transaksi!$F$16:$F$5015,Transaksi!$C$16:$C$5015,$A128,Transaksi!$D$16:$D$5015,"Pindah",Transaksi!$B$16:$B$5015,"&lt;="&amp;MIN(EOMONTH(DATE(Dashboard!$C$4,1,1),0),TODAY()))+SUMIFS(Transaksi!$F$16:$F$5015,Transaksi!$E$16:$E$5015,$A128,Transaksi!$D$16:$D$5015,"Pindah",Transaksi!$B$16:$B$5015,"&lt;="&amp;MIN(EOMONTH(DATE(Dashboard!$C$4,1,1),0),TODAY())))</f>
        <v/>
      </c>
      <c r="D128" s="106">
        <f>IF(OR($A128="",DATE(Dashboard!$C$4,2,1)&gt;TODAY(),ISNA(MATCH($B128,{"Pribadi","Investasi (kas RDN)","Piutang","Pinjaman Mama (dompet)"},0))),"",SUMIFS(Akun!$C$5:$C$104,Akun!$A$5:$A$104,$A128,Akun!$D$5:$D$104,"&lt;="&amp;MIN(EOMONTH(DATE(Dashboard!$C$4,2,1),0),TODAY()))+SUMIFS(Transaksi!$F$16:$F$5015,Transaksi!$C$16:$C$5015,$A128,Transaksi!$D$16:$D$5015,"Masuk",Transaksi!$B$16:$B$5015,"&lt;="&amp;MIN(EOMONTH(DATE(Dashboard!$C$4,2,1),0),TODAY()))-SUMIFS(Transaksi!$F$16:$F$5015,Transaksi!$C$16:$C$5015,$A128,Transaksi!$D$16:$D$5015,"Keluar",Transaksi!$B$16:$B$5015,"&lt;="&amp;MIN(EOMONTH(DATE(Dashboard!$C$4,2,1),0),TODAY()))-SUMIFS(Transaksi!$F$16:$F$5015,Transaksi!$C$16:$C$5015,$A128,Transaksi!$D$16:$D$5015,"Pindah",Transaksi!$B$16:$B$5015,"&lt;="&amp;MIN(EOMONTH(DATE(Dashboard!$C$4,2,1),0),TODAY()))+SUMIFS(Transaksi!$F$16:$F$5015,Transaksi!$E$16:$E$5015,$A128,Transaksi!$D$16:$D$5015,"Pindah",Transaksi!$B$16:$B$5015,"&lt;="&amp;MIN(EOMONTH(DATE(Dashboard!$C$4,2,1),0),TODAY())))</f>
        <v/>
      </c>
      <c r="E128" s="106">
        <f>IF(OR($A128="",DATE(Dashboard!$C$4,3,1)&gt;TODAY(),ISNA(MATCH($B128,{"Pribadi","Investasi (kas RDN)","Piutang","Pinjaman Mama (dompet)"},0))),"",SUMIFS(Akun!$C$5:$C$104,Akun!$A$5:$A$104,$A128,Akun!$D$5:$D$104,"&lt;="&amp;MIN(EOMONTH(DATE(Dashboard!$C$4,3,1),0),TODAY()))+SUMIFS(Transaksi!$F$16:$F$5015,Transaksi!$C$16:$C$5015,$A128,Transaksi!$D$16:$D$5015,"Masuk",Transaksi!$B$16:$B$5015,"&lt;="&amp;MIN(EOMONTH(DATE(Dashboard!$C$4,3,1),0),TODAY()))-SUMIFS(Transaksi!$F$16:$F$5015,Transaksi!$C$16:$C$5015,$A128,Transaksi!$D$16:$D$5015,"Keluar",Transaksi!$B$16:$B$5015,"&lt;="&amp;MIN(EOMONTH(DATE(Dashboard!$C$4,3,1),0),TODAY()))-SUMIFS(Transaksi!$F$16:$F$5015,Transaksi!$C$16:$C$5015,$A128,Transaksi!$D$16:$D$5015,"Pindah",Transaksi!$B$16:$B$5015,"&lt;="&amp;MIN(EOMONTH(DATE(Dashboard!$C$4,3,1),0),TODAY()))+SUMIFS(Transaksi!$F$16:$F$5015,Transaksi!$E$16:$E$5015,$A128,Transaksi!$D$16:$D$5015,"Pindah",Transaksi!$B$16:$B$5015,"&lt;="&amp;MIN(EOMONTH(DATE(Dashboard!$C$4,3,1),0),TODAY())))</f>
        <v/>
      </c>
      <c r="F128" s="106">
        <f>IF(OR($A128="",DATE(Dashboard!$C$4,4,1)&gt;TODAY(),ISNA(MATCH($B128,{"Pribadi","Investasi (kas RDN)","Piutang","Pinjaman Mama (dompet)"},0))),"",SUMIFS(Akun!$C$5:$C$104,Akun!$A$5:$A$104,$A128,Akun!$D$5:$D$104,"&lt;="&amp;MIN(EOMONTH(DATE(Dashboard!$C$4,4,1),0),TODAY()))+SUMIFS(Transaksi!$F$16:$F$5015,Transaksi!$C$16:$C$5015,$A128,Transaksi!$D$16:$D$5015,"Masuk",Transaksi!$B$16:$B$5015,"&lt;="&amp;MIN(EOMONTH(DATE(Dashboard!$C$4,4,1),0),TODAY()))-SUMIFS(Transaksi!$F$16:$F$5015,Transaksi!$C$16:$C$5015,$A128,Transaksi!$D$16:$D$5015,"Keluar",Transaksi!$B$16:$B$5015,"&lt;="&amp;MIN(EOMONTH(DATE(Dashboard!$C$4,4,1),0),TODAY()))-SUMIFS(Transaksi!$F$16:$F$5015,Transaksi!$C$16:$C$5015,$A128,Transaksi!$D$16:$D$5015,"Pindah",Transaksi!$B$16:$B$5015,"&lt;="&amp;MIN(EOMONTH(DATE(Dashboard!$C$4,4,1),0),TODAY()))+SUMIFS(Transaksi!$F$16:$F$5015,Transaksi!$E$16:$E$5015,$A128,Transaksi!$D$16:$D$5015,"Pindah",Transaksi!$B$16:$B$5015,"&lt;="&amp;MIN(EOMONTH(DATE(Dashboard!$C$4,4,1),0),TODAY())))</f>
        <v/>
      </c>
      <c r="G128" s="106">
        <f>IF(OR($A128="",DATE(Dashboard!$C$4,5,1)&gt;TODAY(),ISNA(MATCH($B128,{"Pribadi","Investasi (kas RDN)","Piutang","Pinjaman Mama (dompet)"},0))),"",SUMIFS(Akun!$C$5:$C$104,Akun!$A$5:$A$104,$A128,Akun!$D$5:$D$104,"&lt;="&amp;MIN(EOMONTH(DATE(Dashboard!$C$4,5,1),0),TODAY()))+SUMIFS(Transaksi!$F$16:$F$5015,Transaksi!$C$16:$C$5015,$A128,Transaksi!$D$16:$D$5015,"Masuk",Transaksi!$B$16:$B$5015,"&lt;="&amp;MIN(EOMONTH(DATE(Dashboard!$C$4,5,1),0),TODAY()))-SUMIFS(Transaksi!$F$16:$F$5015,Transaksi!$C$16:$C$5015,$A128,Transaksi!$D$16:$D$5015,"Keluar",Transaksi!$B$16:$B$5015,"&lt;="&amp;MIN(EOMONTH(DATE(Dashboard!$C$4,5,1),0),TODAY()))-SUMIFS(Transaksi!$F$16:$F$5015,Transaksi!$C$16:$C$5015,$A128,Transaksi!$D$16:$D$5015,"Pindah",Transaksi!$B$16:$B$5015,"&lt;="&amp;MIN(EOMONTH(DATE(Dashboard!$C$4,5,1),0),TODAY()))+SUMIFS(Transaksi!$F$16:$F$5015,Transaksi!$E$16:$E$5015,$A128,Transaksi!$D$16:$D$5015,"Pindah",Transaksi!$B$16:$B$5015,"&lt;="&amp;MIN(EOMONTH(DATE(Dashboard!$C$4,5,1),0),TODAY())))</f>
        <v/>
      </c>
      <c r="H128" s="106">
        <f>IF(OR($A128="",DATE(Dashboard!$C$4,6,1)&gt;TODAY(),ISNA(MATCH($B128,{"Pribadi","Investasi (kas RDN)","Piutang","Pinjaman Mama (dompet)"},0))),"",SUMIFS(Akun!$C$5:$C$104,Akun!$A$5:$A$104,$A128,Akun!$D$5:$D$104,"&lt;="&amp;MIN(EOMONTH(DATE(Dashboard!$C$4,6,1),0),TODAY()))+SUMIFS(Transaksi!$F$16:$F$5015,Transaksi!$C$16:$C$5015,$A128,Transaksi!$D$16:$D$5015,"Masuk",Transaksi!$B$16:$B$5015,"&lt;="&amp;MIN(EOMONTH(DATE(Dashboard!$C$4,6,1),0),TODAY()))-SUMIFS(Transaksi!$F$16:$F$5015,Transaksi!$C$16:$C$5015,$A128,Transaksi!$D$16:$D$5015,"Keluar",Transaksi!$B$16:$B$5015,"&lt;="&amp;MIN(EOMONTH(DATE(Dashboard!$C$4,6,1),0),TODAY()))-SUMIFS(Transaksi!$F$16:$F$5015,Transaksi!$C$16:$C$5015,$A128,Transaksi!$D$16:$D$5015,"Pindah",Transaksi!$B$16:$B$5015,"&lt;="&amp;MIN(EOMONTH(DATE(Dashboard!$C$4,6,1),0),TODAY()))+SUMIFS(Transaksi!$F$16:$F$5015,Transaksi!$E$16:$E$5015,$A128,Transaksi!$D$16:$D$5015,"Pindah",Transaksi!$B$16:$B$5015,"&lt;="&amp;MIN(EOMONTH(DATE(Dashboard!$C$4,6,1),0),TODAY())))</f>
        <v/>
      </c>
      <c r="I128" s="106">
        <f>IF(OR($A128="",DATE(Dashboard!$C$4,7,1)&gt;TODAY(),ISNA(MATCH($B128,{"Pribadi","Investasi (kas RDN)","Piutang","Pinjaman Mama (dompet)"},0))),"",SUMIFS(Akun!$C$5:$C$104,Akun!$A$5:$A$104,$A128,Akun!$D$5:$D$104,"&lt;="&amp;MIN(EOMONTH(DATE(Dashboard!$C$4,7,1),0),TODAY()))+SUMIFS(Transaksi!$F$16:$F$5015,Transaksi!$C$16:$C$5015,$A128,Transaksi!$D$16:$D$5015,"Masuk",Transaksi!$B$16:$B$5015,"&lt;="&amp;MIN(EOMONTH(DATE(Dashboard!$C$4,7,1),0),TODAY()))-SUMIFS(Transaksi!$F$16:$F$5015,Transaksi!$C$16:$C$5015,$A128,Transaksi!$D$16:$D$5015,"Keluar",Transaksi!$B$16:$B$5015,"&lt;="&amp;MIN(EOMONTH(DATE(Dashboard!$C$4,7,1),0),TODAY()))-SUMIFS(Transaksi!$F$16:$F$5015,Transaksi!$C$16:$C$5015,$A128,Transaksi!$D$16:$D$5015,"Pindah",Transaksi!$B$16:$B$5015,"&lt;="&amp;MIN(EOMONTH(DATE(Dashboard!$C$4,7,1),0),TODAY()))+SUMIFS(Transaksi!$F$16:$F$5015,Transaksi!$E$16:$E$5015,$A128,Transaksi!$D$16:$D$5015,"Pindah",Transaksi!$B$16:$B$5015,"&lt;="&amp;MIN(EOMONTH(DATE(Dashboard!$C$4,7,1),0),TODAY())))</f>
        <v/>
      </c>
      <c r="J128" s="106">
        <f>IF(OR($A128="",DATE(Dashboard!$C$4,8,1)&gt;TODAY(),ISNA(MATCH($B128,{"Pribadi","Investasi (kas RDN)","Piutang","Pinjaman Mama (dompet)"},0))),"",SUMIFS(Akun!$C$5:$C$104,Akun!$A$5:$A$104,$A128,Akun!$D$5:$D$104,"&lt;="&amp;MIN(EOMONTH(DATE(Dashboard!$C$4,8,1),0),TODAY()))+SUMIFS(Transaksi!$F$16:$F$5015,Transaksi!$C$16:$C$5015,$A128,Transaksi!$D$16:$D$5015,"Masuk",Transaksi!$B$16:$B$5015,"&lt;="&amp;MIN(EOMONTH(DATE(Dashboard!$C$4,8,1),0),TODAY()))-SUMIFS(Transaksi!$F$16:$F$5015,Transaksi!$C$16:$C$5015,$A128,Transaksi!$D$16:$D$5015,"Keluar",Transaksi!$B$16:$B$5015,"&lt;="&amp;MIN(EOMONTH(DATE(Dashboard!$C$4,8,1),0),TODAY()))-SUMIFS(Transaksi!$F$16:$F$5015,Transaksi!$C$16:$C$5015,$A128,Transaksi!$D$16:$D$5015,"Pindah",Transaksi!$B$16:$B$5015,"&lt;="&amp;MIN(EOMONTH(DATE(Dashboard!$C$4,8,1),0),TODAY()))+SUMIFS(Transaksi!$F$16:$F$5015,Transaksi!$E$16:$E$5015,$A128,Transaksi!$D$16:$D$5015,"Pindah",Transaksi!$B$16:$B$5015,"&lt;="&amp;MIN(EOMONTH(DATE(Dashboard!$C$4,8,1),0),TODAY())))</f>
        <v/>
      </c>
      <c r="K128" s="106">
        <f>IF(OR($A128="",DATE(Dashboard!$C$4,9,1)&gt;TODAY(),ISNA(MATCH($B128,{"Pribadi","Investasi (kas RDN)","Piutang","Pinjaman Mama (dompet)"},0))),"",SUMIFS(Akun!$C$5:$C$104,Akun!$A$5:$A$104,$A128,Akun!$D$5:$D$104,"&lt;="&amp;MIN(EOMONTH(DATE(Dashboard!$C$4,9,1),0),TODAY()))+SUMIFS(Transaksi!$F$16:$F$5015,Transaksi!$C$16:$C$5015,$A128,Transaksi!$D$16:$D$5015,"Masuk",Transaksi!$B$16:$B$5015,"&lt;="&amp;MIN(EOMONTH(DATE(Dashboard!$C$4,9,1),0),TODAY()))-SUMIFS(Transaksi!$F$16:$F$5015,Transaksi!$C$16:$C$5015,$A128,Transaksi!$D$16:$D$5015,"Keluar",Transaksi!$B$16:$B$5015,"&lt;="&amp;MIN(EOMONTH(DATE(Dashboard!$C$4,9,1),0),TODAY()))-SUMIFS(Transaksi!$F$16:$F$5015,Transaksi!$C$16:$C$5015,$A128,Transaksi!$D$16:$D$5015,"Pindah",Transaksi!$B$16:$B$5015,"&lt;="&amp;MIN(EOMONTH(DATE(Dashboard!$C$4,9,1),0),TODAY()))+SUMIFS(Transaksi!$F$16:$F$5015,Transaksi!$E$16:$E$5015,$A128,Transaksi!$D$16:$D$5015,"Pindah",Transaksi!$B$16:$B$5015,"&lt;="&amp;MIN(EOMONTH(DATE(Dashboard!$C$4,9,1),0),TODAY())))</f>
        <v/>
      </c>
      <c r="L128" s="106">
        <f>IF(OR($A128="",DATE(Dashboard!$C$4,10,1)&gt;TODAY(),ISNA(MATCH($B128,{"Pribadi","Investasi (kas RDN)","Piutang","Pinjaman Mama (dompet)"},0))),"",SUMIFS(Akun!$C$5:$C$104,Akun!$A$5:$A$104,$A128,Akun!$D$5:$D$104,"&lt;="&amp;MIN(EOMONTH(DATE(Dashboard!$C$4,10,1),0),TODAY()))+SUMIFS(Transaksi!$F$16:$F$5015,Transaksi!$C$16:$C$5015,$A128,Transaksi!$D$16:$D$5015,"Masuk",Transaksi!$B$16:$B$5015,"&lt;="&amp;MIN(EOMONTH(DATE(Dashboard!$C$4,10,1),0),TODAY()))-SUMIFS(Transaksi!$F$16:$F$5015,Transaksi!$C$16:$C$5015,$A128,Transaksi!$D$16:$D$5015,"Keluar",Transaksi!$B$16:$B$5015,"&lt;="&amp;MIN(EOMONTH(DATE(Dashboard!$C$4,10,1),0),TODAY()))-SUMIFS(Transaksi!$F$16:$F$5015,Transaksi!$C$16:$C$5015,$A128,Transaksi!$D$16:$D$5015,"Pindah",Transaksi!$B$16:$B$5015,"&lt;="&amp;MIN(EOMONTH(DATE(Dashboard!$C$4,10,1),0),TODAY()))+SUMIFS(Transaksi!$F$16:$F$5015,Transaksi!$E$16:$E$5015,$A128,Transaksi!$D$16:$D$5015,"Pindah",Transaksi!$B$16:$B$5015,"&lt;="&amp;MIN(EOMONTH(DATE(Dashboard!$C$4,10,1),0),TODAY())))</f>
        <v/>
      </c>
      <c r="M128" s="106">
        <f>IF(OR($A128="",DATE(Dashboard!$C$4,11,1)&gt;TODAY(),ISNA(MATCH($B128,{"Pribadi","Investasi (kas RDN)","Piutang","Pinjaman Mama (dompet)"},0))),"",SUMIFS(Akun!$C$5:$C$104,Akun!$A$5:$A$104,$A128,Akun!$D$5:$D$104,"&lt;="&amp;MIN(EOMONTH(DATE(Dashboard!$C$4,11,1),0),TODAY()))+SUMIFS(Transaksi!$F$16:$F$5015,Transaksi!$C$16:$C$5015,$A128,Transaksi!$D$16:$D$5015,"Masuk",Transaksi!$B$16:$B$5015,"&lt;="&amp;MIN(EOMONTH(DATE(Dashboard!$C$4,11,1),0),TODAY()))-SUMIFS(Transaksi!$F$16:$F$5015,Transaksi!$C$16:$C$5015,$A128,Transaksi!$D$16:$D$5015,"Keluar",Transaksi!$B$16:$B$5015,"&lt;="&amp;MIN(EOMONTH(DATE(Dashboard!$C$4,11,1),0),TODAY()))-SUMIFS(Transaksi!$F$16:$F$5015,Transaksi!$C$16:$C$5015,$A128,Transaksi!$D$16:$D$5015,"Pindah",Transaksi!$B$16:$B$5015,"&lt;="&amp;MIN(EOMONTH(DATE(Dashboard!$C$4,11,1),0),TODAY()))+SUMIFS(Transaksi!$F$16:$F$5015,Transaksi!$E$16:$E$5015,$A128,Transaksi!$D$16:$D$5015,"Pindah",Transaksi!$B$16:$B$5015,"&lt;="&amp;MIN(EOMONTH(DATE(Dashboard!$C$4,11,1),0),TODAY())))</f>
        <v/>
      </c>
      <c r="N128" s="106">
        <f>IF(OR($A128="",DATE(Dashboard!$C$4,12,1)&gt;TODAY(),ISNA(MATCH($B128,{"Pribadi","Investasi (kas RDN)","Piutang","Pinjaman Mama (dompet)"},0))),"",SUMIFS(Akun!$C$5:$C$104,Akun!$A$5:$A$104,$A128,Akun!$D$5:$D$104,"&lt;="&amp;MIN(EOMONTH(DATE(Dashboard!$C$4,12,1),0),TODAY()))+SUMIFS(Transaksi!$F$16:$F$5015,Transaksi!$C$16:$C$5015,$A128,Transaksi!$D$16:$D$5015,"Masuk",Transaksi!$B$16:$B$5015,"&lt;="&amp;MIN(EOMONTH(DATE(Dashboard!$C$4,12,1),0),TODAY()))-SUMIFS(Transaksi!$F$16:$F$5015,Transaksi!$C$16:$C$5015,$A128,Transaksi!$D$16:$D$5015,"Keluar",Transaksi!$B$16:$B$5015,"&lt;="&amp;MIN(EOMONTH(DATE(Dashboard!$C$4,12,1),0),TODAY()))-SUMIFS(Transaksi!$F$16:$F$5015,Transaksi!$C$16:$C$5015,$A128,Transaksi!$D$16:$D$5015,"Pindah",Transaksi!$B$16:$B$5015,"&lt;="&amp;MIN(EOMONTH(DATE(Dashboard!$C$4,12,1),0),TODAY()))+SUMIFS(Transaksi!$F$16:$F$5015,Transaksi!$E$16:$E$5015,$A128,Transaksi!$D$16:$D$5015,"Pindah",Transaksi!$B$16:$B$5015,"&lt;="&amp;MIN(EOMONTH(DATE(Dashboard!$C$4,12,1),0),TODAY())))</f>
        <v/>
      </c>
    </row>
    <row r="129" ht="15" customHeight="1" s="94">
      <c r="A129" s="93">
        <f>IF(Akun!$A$93="","",Akun!$A$93)</f>
        <v/>
      </c>
      <c r="B129" s="93">
        <f>IF(Akun!$A$93="","",Akun!$B$93)</f>
        <v/>
      </c>
      <c r="C129" s="106">
        <f>IF(OR($A129="",DATE(Dashboard!$C$4,1,1)&gt;TODAY(),ISNA(MATCH($B129,{"Pribadi","Investasi (kas RDN)","Piutang","Pinjaman Mama (dompet)"},0))),"",SUMIFS(Akun!$C$5:$C$104,Akun!$A$5:$A$104,$A129,Akun!$D$5:$D$104,"&lt;="&amp;MIN(EOMONTH(DATE(Dashboard!$C$4,1,1),0),TODAY()))+SUMIFS(Transaksi!$F$16:$F$5015,Transaksi!$C$16:$C$5015,$A129,Transaksi!$D$16:$D$5015,"Masuk",Transaksi!$B$16:$B$5015,"&lt;="&amp;MIN(EOMONTH(DATE(Dashboard!$C$4,1,1),0),TODAY()))-SUMIFS(Transaksi!$F$16:$F$5015,Transaksi!$C$16:$C$5015,$A129,Transaksi!$D$16:$D$5015,"Keluar",Transaksi!$B$16:$B$5015,"&lt;="&amp;MIN(EOMONTH(DATE(Dashboard!$C$4,1,1),0),TODAY()))-SUMIFS(Transaksi!$F$16:$F$5015,Transaksi!$C$16:$C$5015,$A129,Transaksi!$D$16:$D$5015,"Pindah",Transaksi!$B$16:$B$5015,"&lt;="&amp;MIN(EOMONTH(DATE(Dashboard!$C$4,1,1),0),TODAY()))+SUMIFS(Transaksi!$F$16:$F$5015,Transaksi!$E$16:$E$5015,$A129,Transaksi!$D$16:$D$5015,"Pindah",Transaksi!$B$16:$B$5015,"&lt;="&amp;MIN(EOMONTH(DATE(Dashboard!$C$4,1,1),0),TODAY())))</f>
        <v/>
      </c>
      <c r="D129" s="106">
        <f>IF(OR($A129="",DATE(Dashboard!$C$4,2,1)&gt;TODAY(),ISNA(MATCH($B129,{"Pribadi","Investasi (kas RDN)","Piutang","Pinjaman Mama (dompet)"},0))),"",SUMIFS(Akun!$C$5:$C$104,Akun!$A$5:$A$104,$A129,Akun!$D$5:$D$104,"&lt;="&amp;MIN(EOMONTH(DATE(Dashboard!$C$4,2,1),0),TODAY()))+SUMIFS(Transaksi!$F$16:$F$5015,Transaksi!$C$16:$C$5015,$A129,Transaksi!$D$16:$D$5015,"Masuk",Transaksi!$B$16:$B$5015,"&lt;="&amp;MIN(EOMONTH(DATE(Dashboard!$C$4,2,1),0),TODAY()))-SUMIFS(Transaksi!$F$16:$F$5015,Transaksi!$C$16:$C$5015,$A129,Transaksi!$D$16:$D$5015,"Keluar",Transaksi!$B$16:$B$5015,"&lt;="&amp;MIN(EOMONTH(DATE(Dashboard!$C$4,2,1),0),TODAY()))-SUMIFS(Transaksi!$F$16:$F$5015,Transaksi!$C$16:$C$5015,$A129,Transaksi!$D$16:$D$5015,"Pindah",Transaksi!$B$16:$B$5015,"&lt;="&amp;MIN(EOMONTH(DATE(Dashboard!$C$4,2,1),0),TODAY()))+SUMIFS(Transaksi!$F$16:$F$5015,Transaksi!$E$16:$E$5015,$A129,Transaksi!$D$16:$D$5015,"Pindah",Transaksi!$B$16:$B$5015,"&lt;="&amp;MIN(EOMONTH(DATE(Dashboard!$C$4,2,1),0),TODAY())))</f>
        <v/>
      </c>
      <c r="E129" s="106">
        <f>IF(OR($A129="",DATE(Dashboard!$C$4,3,1)&gt;TODAY(),ISNA(MATCH($B129,{"Pribadi","Investasi (kas RDN)","Piutang","Pinjaman Mama (dompet)"},0))),"",SUMIFS(Akun!$C$5:$C$104,Akun!$A$5:$A$104,$A129,Akun!$D$5:$D$104,"&lt;="&amp;MIN(EOMONTH(DATE(Dashboard!$C$4,3,1),0),TODAY()))+SUMIFS(Transaksi!$F$16:$F$5015,Transaksi!$C$16:$C$5015,$A129,Transaksi!$D$16:$D$5015,"Masuk",Transaksi!$B$16:$B$5015,"&lt;="&amp;MIN(EOMONTH(DATE(Dashboard!$C$4,3,1),0),TODAY()))-SUMIFS(Transaksi!$F$16:$F$5015,Transaksi!$C$16:$C$5015,$A129,Transaksi!$D$16:$D$5015,"Keluar",Transaksi!$B$16:$B$5015,"&lt;="&amp;MIN(EOMONTH(DATE(Dashboard!$C$4,3,1),0),TODAY()))-SUMIFS(Transaksi!$F$16:$F$5015,Transaksi!$C$16:$C$5015,$A129,Transaksi!$D$16:$D$5015,"Pindah",Transaksi!$B$16:$B$5015,"&lt;="&amp;MIN(EOMONTH(DATE(Dashboard!$C$4,3,1),0),TODAY()))+SUMIFS(Transaksi!$F$16:$F$5015,Transaksi!$E$16:$E$5015,$A129,Transaksi!$D$16:$D$5015,"Pindah",Transaksi!$B$16:$B$5015,"&lt;="&amp;MIN(EOMONTH(DATE(Dashboard!$C$4,3,1),0),TODAY())))</f>
        <v/>
      </c>
      <c r="F129" s="106">
        <f>IF(OR($A129="",DATE(Dashboard!$C$4,4,1)&gt;TODAY(),ISNA(MATCH($B129,{"Pribadi","Investasi (kas RDN)","Piutang","Pinjaman Mama (dompet)"},0))),"",SUMIFS(Akun!$C$5:$C$104,Akun!$A$5:$A$104,$A129,Akun!$D$5:$D$104,"&lt;="&amp;MIN(EOMONTH(DATE(Dashboard!$C$4,4,1),0),TODAY()))+SUMIFS(Transaksi!$F$16:$F$5015,Transaksi!$C$16:$C$5015,$A129,Transaksi!$D$16:$D$5015,"Masuk",Transaksi!$B$16:$B$5015,"&lt;="&amp;MIN(EOMONTH(DATE(Dashboard!$C$4,4,1),0),TODAY()))-SUMIFS(Transaksi!$F$16:$F$5015,Transaksi!$C$16:$C$5015,$A129,Transaksi!$D$16:$D$5015,"Keluar",Transaksi!$B$16:$B$5015,"&lt;="&amp;MIN(EOMONTH(DATE(Dashboard!$C$4,4,1),0),TODAY()))-SUMIFS(Transaksi!$F$16:$F$5015,Transaksi!$C$16:$C$5015,$A129,Transaksi!$D$16:$D$5015,"Pindah",Transaksi!$B$16:$B$5015,"&lt;="&amp;MIN(EOMONTH(DATE(Dashboard!$C$4,4,1),0),TODAY()))+SUMIFS(Transaksi!$F$16:$F$5015,Transaksi!$E$16:$E$5015,$A129,Transaksi!$D$16:$D$5015,"Pindah",Transaksi!$B$16:$B$5015,"&lt;="&amp;MIN(EOMONTH(DATE(Dashboard!$C$4,4,1),0),TODAY())))</f>
        <v/>
      </c>
      <c r="G129" s="106">
        <f>IF(OR($A129="",DATE(Dashboard!$C$4,5,1)&gt;TODAY(),ISNA(MATCH($B129,{"Pribadi","Investasi (kas RDN)","Piutang","Pinjaman Mama (dompet)"},0))),"",SUMIFS(Akun!$C$5:$C$104,Akun!$A$5:$A$104,$A129,Akun!$D$5:$D$104,"&lt;="&amp;MIN(EOMONTH(DATE(Dashboard!$C$4,5,1),0),TODAY()))+SUMIFS(Transaksi!$F$16:$F$5015,Transaksi!$C$16:$C$5015,$A129,Transaksi!$D$16:$D$5015,"Masuk",Transaksi!$B$16:$B$5015,"&lt;="&amp;MIN(EOMONTH(DATE(Dashboard!$C$4,5,1),0),TODAY()))-SUMIFS(Transaksi!$F$16:$F$5015,Transaksi!$C$16:$C$5015,$A129,Transaksi!$D$16:$D$5015,"Keluar",Transaksi!$B$16:$B$5015,"&lt;="&amp;MIN(EOMONTH(DATE(Dashboard!$C$4,5,1),0),TODAY()))-SUMIFS(Transaksi!$F$16:$F$5015,Transaksi!$C$16:$C$5015,$A129,Transaksi!$D$16:$D$5015,"Pindah",Transaksi!$B$16:$B$5015,"&lt;="&amp;MIN(EOMONTH(DATE(Dashboard!$C$4,5,1),0),TODAY()))+SUMIFS(Transaksi!$F$16:$F$5015,Transaksi!$E$16:$E$5015,$A129,Transaksi!$D$16:$D$5015,"Pindah",Transaksi!$B$16:$B$5015,"&lt;="&amp;MIN(EOMONTH(DATE(Dashboard!$C$4,5,1),0),TODAY())))</f>
        <v/>
      </c>
      <c r="H129" s="106">
        <f>IF(OR($A129="",DATE(Dashboard!$C$4,6,1)&gt;TODAY(),ISNA(MATCH($B129,{"Pribadi","Investasi (kas RDN)","Piutang","Pinjaman Mama (dompet)"},0))),"",SUMIFS(Akun!$C$5:$C$104,Akun!$A$5:$A$104,$A129,Akun!$D$5:$D$104,"&lt;="&amp;MIN(EOMONTH(DATE(Dashboard!$C$4,6,1),0),TODAY()))+SUMIFS(Transaksi!$F$16:$F$5015,Transaksi!$C$16:$C$5015,$A129,Transaksi!$D$16:$D$5015,"Masuk",Transaksi!$B$16:$B$5015,"&lt;="&amp;MIN(EOMONTH(DATE(Dashboard!$C$4,6,1),0),TODAY()))-SUMIFS(Transaksi!$F$16:$F$5015,Transaksi!$C$16:$C$5015,$A129,Transaksi!$D$16:$D$5015,"Keluar",Transaksi!$B$16:$B$5015,"&lt;="&amp;MIN(EOMONTH(DATE(Dashboard!$C$4,6,1),0),TODAY()))-SUMIFS(Transaksi!$F$16:$F$5015,Transaksi!$C$16:$C$5015,$A129,Transaksi!$D$16:$D$5015,"Pindah",Transaksi!$B$16:$B$5015,"&lt;="&amp;MIN(EOMONTH(DATE(Dashboard!$C$4,6,1),0),TODAY()))+SUMIFS(Transaksi!$F$16:$F$5015,Transaksi!$E$16:$E$5015,$A129,Transaksi!$D$16:$D$5015,"Pindah",Transaksi!$B$16:$B$5015,"&lt;="&amp;MIN(EOMONTH(DATE(Dashboard!$C$4,6,1),0),TODAY())))</f>
        <v/>
      </c>
      <c r="I129" s="106">
        <f>IF(OR($A129="",DATE(Dashboard!$C$4,7,1)&gt;TODAY(),ISNA(MATCH($B129,{"Pribadi","Investasi (kas RDN)","Piutang","Pinjaman Mama (dompet)"},0))),"",SUMIFS(Akun!$C$5:$C$104,Akun!$A$5:$A$104,$A129,Akun!$D$5:$D$104,"&lt;="&amp;MIN(EOMONTH(DATE(Dashboard!$C$4,7,1),0),TODAY()))+SUMIFS(Transaksi!$F$16:$F$5015,Transaksi!$C$16:$C$5015,$A129,Transaksi!$D$16:$D$5015,"Masuk",Transaksi!$B$16:$B$5015,"&lt;="&amp;MIN(EOMONTH(DATE(Dashboard!$C$4,7,1),0),TODAY()))-SUMIFS(Transaksi!$F$16:$F$5015,Transaksi!$C$16:$C$5015,$A129,Transaksi!$D$16:$D$5015,"Keluar",Transaksi!$B$16:$B$5015,"&lt;="&amp;MIN(EOMONTH(DATE(Dashboard!$C$4,7,1),0),TODAY()))-SUMIFS(Transaksi!$F$16:$F$5015,Transaksi!$C$16:$C$5015,$A129,Transaksi!$D$16:$D$5015,"Pindah",Transaksi!$B$16:$B$5015,"&lt;="&amp;MIN(EOMONTH(DATE(Dashboard!$C$4,7,1),0),TODAY()))+SUMIFS(Transaksi!$F$16:$F$5015,Transaksi!$E$16:$E$5015,$A129,Transaksi!$D$16:$D$5015,"Pindah",Transaksi!$B$16:$B$5015,"&lt;="&amp;MIN(EOMONTH(DATE(Dashboard!$C$4,7,1),0),TODAY())))</f>
        <v/>
      </c>
      <c r="J129" s="106">
        <f>IF(OR($A129="",DATE(Dashboard!$C$4,8,1)&gt;TODAY(),ISNA(MATCH($B129,{"Pribadi","Investasi (kas RDN)","Piutang","Pinjaman Mama (dompet)"},0))),"",SUMIFS(Akun!$C$5:$C$104,Akun!$A$5:$A$104,$A129,Akun!$D$5:$D$104,"&lt;="&amp;MIN(EOMONTH(DATE(Dashboard!$C$4,8,1),0),TODAY()))+SUMIFS(Transaksi!$F$16:$F$5015,Transaksi!$C$16:$C$5015,$A129,Transaksi!$D$16:$D$5015,"Masuk",Transaksi!$B$16:$B$5015,"&lt;="&amp;MIN(EOMONTH(DATE(Dashboard!$C$4,8,1),0),TODAY()))-SUMIFS(Transaksi!$F$16:$F$5015,Transaksi!$C$16:$C$5015,$A129,Transaksi!$D$16:$D$5015,"Keluar",Transaksi!$B$16:$B$5015,"&lt;="&amp;MIN(EOMONTH(DATE(Dashboard!$C$4,8,1),0),TODAY()))-SUMIFS(Transaksi!$F$16:$F$5015,Transaksi!$C$16:$C$5015,$A129,Transaksi!$D$16:$D$5015,"Pindah",Transaksi!$B$16:$B$5015,"&lt;="&amp;MIN(EOMONTH(DATE(Dashboard!$C$4,8,1),0),TODAY()))+SUMIFS(Transaksi!$F$16:$F$5015,Transaksi!$E$16:$E$5015,$A129,Transaksi!$D$16:$D$5015,"Pindah",Transaksi!$B$16:$B$5015,"&lt;="&amp;MIN(EOMONTH(DATE(Dashboard!$C$4,8,1),0),TODAY())))</f>
        <v/>
      </c>
      <c r="K129" s="106">
        <f>IF(OR($A129="",DATE(Dashboard!$C$4,9,1)&gt;TODAY(),ISNA(MATCH($B129,{"Pribadi","Investasi (kas RDN)","Piutang","Pinjaman Mama (dompet)"},0))),"",SUMIFS(Akun!$C$5:$C$104,Akun!$A$5:$A$104,$A129,Akun!$D$5:$D$104,"&lt;="&amp;MIN(EOMONTH(DATE(Dashboard!$C$4,9,1),0),TODAY()))+SUMIFS(Transaksi!$F$16:$F$5015,Transaksi!$C$16:$C$5015,$A129,Transaksi!$D$16:$D$5015,"Masuk",Transaksi!$B$16:$B$5015,"&lt;="&amp;MIN(EOMONTH(DATE(Dashboard!$C$4,9,1),0),TODAY()))-SUMIFS(Transaksi!$F$16:$F$5015,Transaksi!$C$16:$C$5015,$A129,Transaksi!$D$16:$D$5015,"Keluar",Transaksi!$B$16:$B$5015,"&lt;="&amp;MIN(EOMONTH(DATE(Dashboard!$C$4,9,1),0),TODAY()))-SUMIFS(Transaksi!$F$16:$F$5015,Transaksi!$C$16:$C$5015,$A129,Transaksi!$D$16:$D$5015,"Pindah",Transaksi!$B$16:$B$5015,"&lt;="&amp;MIN(EOMONTH(DATE(Dashboard!$C$4,9,1),0),TODAY()))+SUMIFS(Transaksi!$F$16:$F$5015,Transaksi!$E$16:$E$5015,$A129,Transaksi!$D$16:$D$5015,"Pindah",Transaksi!$B$16:$B$5015,"&lt;="&amp;MIN(EOMONTH(DATE(Dashboard!$C$4,9,1),0),TODAY())))</f>
        <v/>
      </c>
      <c r="L129" s="106">
        <f>IF(OR($A129="",DATE(Dashboard!$C$4,10,1)&gt;TODAY(),ISNA(MATCH($B129,{"Pribadi","Investasi (kas RDN)","Piutang","Pinjaman Mama (dompet)"},0))),"",SUMIFS(Akun!$C$5:$C$104,Akun!$A$5:$A$104,$A129,Akun!$D$5:$D$104,"&lt;="&amp;MIN(EOMONTH(DATE(Dashboard!$C$4,10,1),0),TODAY()))+SUMIFS(Transaksi!$F$16:$F$5015,Transaksi!$C$16:$C$5015,$A129,Transaksi!$D$16:$D$5015,"Masuk",Transaksi!$B$16:$B$5015,"&lt;="&amp;MIN(EOMONTH(DATE(Dashboard!$C$4,10,1),0),TODAY()))-SUMIFS(Transaksi!$F$16:$F$5015,Transaksi!$C$16:$C$5015,$A129,Transaksi!$D$16:$D$5015,"Keluar",Transaksi!$B$16:$B$5015,"&lt;="&amp;MIN(EOMONTH(DATE(Dashboard!$C$4,10,1),0),TODAY()))-SUMIFS(Transaksi!$F$16:$F$5015,Transaksi!$C$16:$C$5015,$A129,Transaksi!$D$16:$D$5015,"Pindah",Transaksi!$B$16:$B$5015,"&lt;="&amp;MIN(EOMONTH(DATE(Dashboard!$C$4,10,1),0),TODAY()))+SUMIFS(Transaksi!$F$16:$F$5015,Transaksi!$E$16:$E$5015,$A129,Transaksi!$D$16:$D$5015,"Pindah",Transaksi!$B$16:$B$5015,"&lt;="&amp;MIN(EOMONTH(DATE(Dashboard!$C$4,10,1),0),TODAY())))</f>
        <v/>
      </c>
      <c r="M129" s="106">
        <f>IF(OR($A129="",DATE(Dashboard!$C$4,11,1)&gt;TODAY(),ISNA(MATCH($B129,{"Pribadi","Investasi (kas RDN)","Piutang","Pinjaman Mama (dompet)"},0))),"",SUMIFS(Akun!$C$5:$C$104,Akun!$A$5:$A$104,$A129,Akun!$D$5:$D$104,"&lt;="&amp;MIN(EOMONTH(DATE(Dashboard!$C$4,11,1),0),TODAY()))+SUMIFS(Transaksi!$F$16:$F$5015,Transaksi!$C$16:$C$5015,$A129,Transaksi!$D$16:$D$5015,"Masuk",Transaksi!$B$16:$B$5015,"&lt;="&amp;MIN(EOMONTH(DATE(Dashboard!$C$4,11,1),0),TODAY()))-SUMIFS(Transaksi!$F$16:$F$5015,Transaksi!$C$16:$C$5015,$A129,Transaksi!$D$16:$D$5015,"Keluar",Transaksi!$B$16:$B$5015,"&lt;="&amp;MIN(EOMONTH(DATE(Dashboard!$C$4,11,1),0),TODAY()))-SUMIFS(Transaksi!$F$16:$F$5015,Transaksi!$C$16:$C$5015,$A129,Transaksi!$D$16:$D$5015,"Pindah",Transaksi!$B$16:$B$5015,"&lt;="&amp;MIN(EOMONTH(DATE(Dashboard!$C$4,11,1),0),TODAY()))+SUMIFS(Transaksi!$F$16:$F$5015,Transaksi!$E$16:$E$5015,$A129,Transaksi!$D$16:$D$5015,"Pindah",Transaksi!$B$16:$B$5015,"&lt;="&amp;MIN(EOMONTH(DATE(Dashboard!$C$4,11,1),0),TODAY())))</f>
        <v/>
      </c>
      <c r="N129" s="106">
        <f>IF(OR($A129="",DATE(Dashboard!$C$4,12,1)&gt;TODAY(),ISNA(MATCH($B129,{"Pribadi","Investasi (kas RDN)","Piutang","Pinjaman Mama (dompet)"},0))),"",SUMIFS(Akun!$C$5:$C$104,Akun!$A$5:$A$104,$A129,Akun!$D$5:$D$104,"&lt;="&amp;MIN(EOMONTH(DATE(Dashboard!$C$4,12,1),0),TODAY()))+SUMIFS(Transaksi!$F$16:$F$5015,Transaksi!$C$16:$C$5015,$A129,Transaksi!$D$16:$D$5015,"Masuk",Transaksi!$B$16:$B$5015,"&lt;="&amp;MIN(EOMONTH(DATE(Dashboard!$C$4,12,1),0),TODAY()))-SUMIFS(Transaksi!$F$16:$F$5015,Transaksi!$C$16:$C$5015,$A129,Transaksi!$D$16:$D$5015,"Keluar",Transaksi!$B$16:$B$5015,"&lt;="&amp;MIN(EOMONTH(DATE(Dashboard!$C$4,12,1),0),TODAY()))-SUMIFS(Transaksi!$F$16:$F$5015,Transaksi!$C$16:$C$5015,$A129,Transaksi!$D$16:$D$5015,"Pindah",Transaksi!$B$16:$B$5015,"&lt;="&amp;MIN(EOMONTH(DATE(Dashboard!$C$4,12,1),0),TODAY()))+SUMIFS(Transaksi!$F$16:$F$5015,Transaksi!$E$16:$E$5015,$A129,Transaksi!$D$16:$D$5015,"Pindah",Transaksi!$B$16:$B$5015,"&lt;="&amp;MIN(EOMONTH(DATE(Dashboard!$C$4,12,1),0),TODAY())))</f>
        <v/>
      </c>
    </row>
    <row r="130" ht="15" customHeight="1" s="94">
      <c r="A130" s="93">
        <f>IF(Akun!$A$94="","",Akun!$A$94)</f>
        <v/>
      </c>
      <c r="B130" s="93">
        <f>IF(Akun!$A$94="","",Akun!$B$94)</f>
        <v/>
      </c>
      <c r="C130" s="106">
        <f>IF(OR($A130="",DATE(Dashboard!$C$4,1,1)&gt;TODAY(),ISNA(MATCH($B130,{"Pribadi","Investasi (kas RDN)","Piutang","Pinjaman Mama (dompet)"},0))),"",SUMIFS(Akun!$C$5:$C$104,Akun!$A$5:$A$104,$A130,Akun!$D$5:$D$104,"&lt;="&amp;MIN(EOMONTH(DATE(Dashboard!$C$4,1,1),0),TODAY()))+SUMIFS(Transaksi!$F$16:$F$5015,Transaksi!$C$16:$C$5015,$A130,Transaksi!$D$16:$D$5015,"Masuk",Transaksi!$B$16:$B$5015,"&lt;="&amp;MIN(EOMONTH(DATE(Dashboard!$C$4,1,1),0),TODAY()))-SUMIFS(Transaksi!$F$16:$F$5015,Transaksi!$C$16:$C$5015,$A130,Transaksi!$D$16:$D$5015,"Keluar",Transaksi!$B$16:$B$5015,"&lt;="&amp;MIN(EOMONTH(DATE(Dashboard!$C$4,1,1),0),TODAY()))-SUMIFS(Transaksi!$F$16:$F$5015,Transaksi!$C$16:$C$5015,$A130,Transaksi!$D$16:$D$5015,"Pindah",Transaksi!$B$16:$B$5015,"&lt;="&amp;MIN(EOMONTH(DATE(Dashboard!$C$4,1,1),0),TODAY()))+SUMIFS(Transaksi!$F$16:$F$5015,Transaksi!$E$16:$E$5015,$A130,Transaksi!$D$16:$D$5015,"Pindah",Transaksi!$B$16:$B$5015,"&lt;="&amp;MIN(EOMONTH(DATE(Dashboard!$C$4,1,1),0),TODAY())))</f>
        <v/>
      </c>
      <c r="D130" s="106">
        <f>IF(OR($A130="",DATE(Dashboard!$C$4,2,1)&gt;TODAY(),ISNA(MATCH($B130,{"Pribadi","Investasi (kas RDN)","Piutang","Pinjaman Mama (dompet)"},0))),"",SUMIFS(Akun!$C$5:$C$104,Akun!$A$5:$A$104,$A130,Akun!$D$5:$D$104,"&lt;="&amp;MIN(EOMONTH(DATE(Dashboard!$C$4,2,1),0),TODAY()))+SUMIFS(Transaksi!$F$16:$F$5015,Transaksi!$C$16:$C$5015,$A130,Transaksi!$D$16:$D$5015,"Masuk",Transaksi!$B$16:$B$5015,"&lt;="&amp;MIN(EOMONTH(DATE(Dashboard!$C$4,2,1),0),TODAY()))-SUMIFS(Transaksi!$F$16:$F$5015,Transaksi!$C$16:$C$5015,$A130,Transaksi!$D$16:$D$5015,"Keluar",Transaksi!$B$16:$B$5015,"&lt;="&amp;MIN(EOMONTH(DATE(Dashboard!$C$4,2,1),0),TODAY()))-SUMIFS(Transaksi!$F$16:$F$5015,Transaksi!$C$16:$C$5015,$A130,Transaksi!$D$16:$D$5015,"Pindah",Transaksi!$B$16:$B$5015,"&lt;="&amp;MIN(EOMONTH(DATE(Dashboard!$C$4,2,1),0),TODAY()))+SUMIFS(Transaksi!$F$16:$F$5015,Transaksi!$E$16:$E$5015,$A130,Transaksi!$D$16:$D$5015,"Pindah",Transaksi!$B$16:$B$5015,"&lt;="&amp;MIN(EOMONTH(DATE(Dashboard!$C$4,2,1),0),TODAY())))</f>
        <v/>
      </c>
      <c r="E130" s="106">
        <f>IF(OR($A130="",DATE(Dashboard!$C$4,3,1)&gt;TODAY(),ISNA(MATCH($B130,{"Pribadi","Investasi (kas RDN)","Piutang","Pinjaman Mama (dompet)"},0))),"",SUMIFS(Akun!$C$5:$C$104,Akun!$A$5:$A$104,$A130,Akun!$D$5:$D$104,"&lt;="&amp;MIN(EOMONTH(DATE(Dashboard!$C$4,3,1),0),TODAY()))+SUMIFS(Transaksi!$F$16:$F$5015,Transaksi!$C$16:$C$5015,$A130,Transaksi!$D$16:$D$5015,"Masuk",Transaksi!$B$16:$B$5015,"&lt;="&amp;MIN(EOMONTH(DATE(Dashboard!$C$4,3,1),0),TODAY()))-SUMIFS(Transaksi!$F$16:$F$5015,Transaksi!$C$16:$C$5015,$A130,Transaksi!$D$16:$D$5015,"Keluar",Transaksi!$B$16:$B$5015,"&lt;="&amp;MIN(EOMONTH(DATE(Dashboard!$C$4,3,1),0),TODAY()))-SUMIFS(Transaksi!$F$16:$F$5015,Transaksi!$C$16:$C$5015,$A130,Transaksi!$D$16:$D$5015,"Pindah",Transaksi!$B$16:$B$5015,"&lt;="&amp;MIN(EOMONTH(DATE(Dashboard!$C$4,3,1),0),TODAY()))+SUMIFS(Transaksi!$F$16:$F$5015,Transaksi!$E$16:$E$5015,$A130,Transaksi!$D$16:$D$5015,"Pindah",Transaksi!$B$16:$B$5015,"&lt;="&amp;MIN(EOMONTH(DATE(Dashboard!$C$4,3,1),0),TODAY())))</f>
        <v/>
      </c>
      <c r="F130" s="106">
        <f>IF(OR($A130="",DATE(Dashboard!$C$4,4,1)&gt;TODAY(),ISNA(MATCH($B130,{"Pribadi","Investasi (kas RDN)","Piutang","Pinjaman Mama (dompet)"},0))),"",SUMIFS(Akun!$C$5:$C$104,Akun!$A$5:$A$104,$A130,Akun!$D$5:$D$104,"&lt;="&amp;MIN(EOMONTH(DATE(Dashboard!$C$4,4,1),0),TODAY()))+SUMIFS(Transaksi!$F$16:$F$5015,Transaksi!$C$16:$C$5015,$A130,Transaksi!$D$16:$D$5015,"Masuk",Transaksi!$B$16:$B$5015,"&lt;="&amp;MIN(EOMONTH(DATE(Dashboard!$C$4,4,1),0),TODAY()))-SUMIFS(Transaksi!$F$16:$F$5015,Transaksi!$C$16:$C$5015,$A130,Transaksi!$D$16:$D$5015,"Keluar",Transaksi!$B$16:$B$5015,"&lt;="&amp;MIN(EOMONTH(DATE(Dashboard!$C$4,4,1),0),TODAY()))-SUMIFS(Transaksi!$F$16:$F$5015,Transaksi!$C$16:$C$5015,$A130,Transaksi!$D$16:$D$5015,"Pindah",Transaksi!$B$16:$B$5015,"&lt;="&amp;MIN(EOMONTH(DATE(Dashboard!$C$4,4,1),0),TODAY()))+SUMIFS(Transaksi!$F$16:$F$5015,Transaksi!$E$16:$E$5015,$A130,Transaksi!$D$16:$D$5015,"Pindah",Transaksi!$B$16:$B$5015,"&lt;="&amp;MIN(EOMONTH(DATE(Dashboard!$C$4,4,1),0),TODAY())))</f>
        <v/>
      </c>
      <c r="G130" s="106">
        <f>IF(OR($A130="",DATE(Dashboard!$C$4,5,1)&gt;TODAY(),ISNA(MATCH($B130,{"Pribadi","Investasi (kas RDN)","Piutang","Pinjaman Mama (dompet)"},0))),"",SUMIFS(Akun!$C$5:$C$104,Akun!$A$5:$A$104,$A130,Akun!$D$5:$D$104,"&lt;="&amp;MIN(EOMONTH(DATE(Dashboard!$C$4,5,1),0),TODAY()))+SUMIFS(Transaksi!$F$16:$F$5015,Transaksi!$C$16:$C$5015,$A130,Transaksi!$D$16:$D$5015,"Masuk",Transaksi!$B$16:$B$5015,"&lt;="&amp;MIN(EOMONTH(DATE(Dashboard!$C$4,5,1),0),TODAY()))-SUMIFS(Transaksi!$F$16:$F$5015,Transaksi!$C$16:$C$5015,$A130,Transaksi!$D$16:$D$5015,"Keluar",Transaksi!$B$16:$B$5015,"&lt;="&amp;MIN(EOMONTH(DATE(Dashboard!$C$4,5,1),0),TODAY()))-SUMIFS(Transaksi!$F$16:$F$5015,Transaksi!$C$16:$C$5015,$A130,Transaksi!$D$16:$D$5015,"Pindah",Transaksi!$B$16:$B$5015,"&lt;="&amp;MIN(EOMONTH(DATE(Dashboard!$C$4,5,1),0),TODAY()))+SUMIFS(Transaksi!$F$16:$F$5015,Transaksi!$E$16:$E$5015,$A130,Transaksi!$D$16:$D$5015,"Pindah",Transaksi!$B$16:$B$5015,"&lt;="&amp;MIN(EOMONTH(DATE(Dashboard!$C$4,5,1),0),TODAY())))</f>
        <v/>
      </c>
      <c r="H130" s="106">
        <f>IF(OR($A130="",DATE(Dashboard!$C$4,6,1)&gt;TODAY(),ISNA(MATCH($B130,{"Pribadi","Investasi (kas RDN)","Piutang","Pinjaman Mama (dompet)"},0))),"",SUMIFS(Akun!$C$5:$C$104,Akun!$A$5:$A$104,$A130,Akun!$D$5:$D$104,"&lt;="&amp;MIN(EOMONTH(DATE(Dashboard!$C$4,6,1),0),TODAY()))+SUMIFS(Transaksi!$F$16:$F$5015,Transaksi!$C$16:$C$5015,$A130,Transaksi!$D$16:$D$5015,"Masuk",Transaksi!$B$16:$B$5015,"&lt;="&amp;MIN(EOMONTH(DATE(Dashboard!$C$4,6,1),0),TODAY()))-SUMIFS(Transaksi!$F$16:$F$5015,Transaksi!$C$16:$C$5015,$A130,Transaksi!$D$16:$D$5015,"Keluar",Transaksi!$B$16:$B$5015,"&lt;="&amp;MIN(EOMONTH(DATE(Dashboard!$C$4,6,1),0),TODAY()))-SUMIFS(Transaksi!$F$16:$F$5015,Transaksi!$C$16:$C$5015,$A130,Transaksi!$D$16:$D$5015,"Pindah",Transaksi!$B$16:$B$5015,"&lt;="&amp;MIN(EOMONTH(DATE(Dashboard!$C$4,6,1),0),TODAY()))+SUMIFS(Transaksi!$F$16:$F$5015,Transaksi!$E$16:$E$5015,$A130,Transaksi!$D$16:$D$5015,"Pindah",Transaksi!$B$16:$B$5015,"&lt;="&amp;MIN(EOMONTH(DATE(Dashboard!$C$4,6,1),0),TODAY())))</f>
        <v/>
      </c>
      <c r="I130" s="106">
        <f>IF(OR($A130="",DATE(Dashboard!$C$4,7,1)&gt;TODAY(),ISNA(MATCH($B130,{"Pribadi","Investasi (kas RDN)","Piutang","Pinjaman Mama (dompet)"},0))),"",SUMIFS(Akun!$C$5:$C$104,Akun!$A$5:$A$104,$A130,Akun!$D$5:$D$104,"&lt;="&amp;MIN(EOMONTH(DATE(Dashboard!$C$4,7,1),0),TODAY()))+SUMIFS(Transaksi!$F$16:$F$5015,Transaksi!$C$16:$C$5015,$A130,Transaksi!$D$16:$D$5015,"Masuk",Transaksi!$B$16:$B$5015,"&lt;="&amp;MIN(EOMONTH(DATE(Dashboard!$C$4,7,1),0),TODAY()))-SUMIFS(Transaksi!$F$16:$F$5015,Transaksi!$C$16:$C$5015,$A130,Transaksi!$D$16:$D$5015,"Keluar",Transaksi!$B$16:$B$5015,"&lt;="&amp;MIN(EOMONTH(DATE(Dashboard!$C$4,7,1),0),TODAY()))-SUMIFS(Transaksi!$F$16:$F$5015,Transaksi!$C$16:$C$5015,$A130,Transaksi!$D$16:$D$5015,"Pindah",Transaksi!$B$16:$B$5015,"&lt;="&amp;MIN(EOMONTH(DATE(Dashboard!$C$4,7,1),0),TODAY()))+SUMIFS(Transaksi!$F$16:$F$5015,Transaksi!$E$16:$E$5015,$A130,Transaksi!$D$16:$D$5015,"Pindah",Transaksi!$B$16:$B$5015,"&lt;="&amp;MIN(EOMONTH(DATE(Dashboard!$C$4,7,1),0),TODAY())))</f>
        <v/>
      </c>
      <c r="J130" s="106">
        <f>IF(OR($A130="",DATE(Dashboard!$C$4,8,1)&gt;TODAY(),ISNA(MATCH($B130,{"Pribadi","Investasi (kas RDN)","Piutang","Pinjaman Mama (dompet)"},0))),"",SUMIFS(Akun!$C$5:$C$104,Akun!$A$5:$A$104,$A130,Akun!$D$5:$D$104,"&lt;="&amp;MIN(EOMONTH(DATE(Dashboard!$C$4,8,1),0),TODAY()))+SUMIFS(Transaksi!$F$16:$F$5015,Transaksi!$C$16:$C$5015,$A130,Transaksi!$D$16:$D$5015,"Masuk",Transaksi!$B$16:$B$5015,"&lt;="&amp;MIN(EOMONTH(DATE(Dashboard!$C$4,8,1),0),TODAY()))-SUMIFS(Transaksi!$F$16:$F$5015,Transaksi!$C$16:$C$5015,$A130,Transaksi!$D$16:$D$5015,"Keluar",Transaksi!$B$16:$B$5015,"&lt;="&amp;MIN(EOMONTH(DATE(Dashboard!$C$4,8,1),0),TODAY()))-SUMIFS(Transaksi!$F$16:$F$5015,Transaksi!$C$16:$C$5015,$A130,Transaksi!$D$16:$D$5015,"Pindah",Transaksi!$B$16:$B$5015,"&lt;="&amp;MIN(EOMONTH(DATE(Dashboard!$C$4,8,1),0),TODAY()))+SUMIFS(Transaksi!$F$16:$F$5015,Transaksi!$E$16:$E$5015,$A130,Transaksi!$D$16:$D$5015,"Pindah",Transaksi!$B$16:$B$5015,"&lt;="&amp;MIN(EOMONTH(DATE(Dashboard!$C$4,8,1),0),TODAY())))</f>
        <v/>
      </c>
      <c r="K130" s="106">
        <f>IF(OR($A130="",DATE(Dashboard!$C$4,9,1)&gt;TODAY(),ISNA(MATCH($B130,{"Pribadi","Investasi (kas RDN)","Piutang","Pinjaman Mama (dompet)"},0))),"",SUMIFS(Akun!$C$5:$C$104,Akun!$A$5:$A$104,$A130,Akun!$D$5:$D$104,"&lt;="&amp;MIN(EOMONTH(DATE(Dashboard!$C$4,9,1),0),TODAY()))+SUMIFS(Transaksi!$F$16:$F$5015,Transaksi!$C$16:$C$5015,$A130,Transaksi!$D$16:$D$5015,"Masuk",Transaksi!$B$16:$B$5015,"&lt;="&amp;MIN(EOMONTH(DATE(Dashboard!$C$4,9,1),0),TODAY()))-SUMIFS(Transaksi!$F$16:$F$5015,Transaksi!$C$16:$C$5015,$A130,Transaksi!$D$16:$D$5015,"Keluar",Transaksi!$B$16:$B$5015,"&lt;="&amp;MIN(EOMONTH(DATE(Dashboard!$C$4,9,1),0),TODAY()))-SUMIFS(Transaksi!$F$16:$F$5015,Transaksi!$C$16:$C$5015,$A130,Transaksi!$D$16:$D$5015,"Pindah",Transaksi!$B$16:$B$5015,"&lt;="&amp;MIN(EOMONTH(DATE(Dashboard!$C$4,9,1),0),TODAY()))+SUMIFS(Transaksi!$F$16:$F$5015,Transaksi!$E$16:$E$5015,$A130,Transaksi!$D$16:$D$5015,"Pindah",Transaksi!$B$16:$B$5015,"&lt;="&amp;MIN(EOMONTH(DATE(Dashboard!$C$4,9,1),0),TODAY())))</f>
        <v/>
      </c>
      <c r="L130" s="106">
        <f>IF(OR($A130="",DATE(Dashboard!$C$4,10,1)&gt;TODAY(),ISNA(MATCH($B130,{"Pribadi","Investasi (kas RDN)","Piutang","Pinjaman Mama (dompet)"},0))),"",SUMIFS(Akun!$C$5:$C$104,Akun!$A$5:$A$104,$A130,Akun!$D$5:$D$104,"&lt;="&amp;MIN(EOMONTH(DATE(Dashboard!$C$4,10,1),0),TODAY()))+SUMIFS(Transaksi!$F$16:$F$5015,Transaksi!$C$16:$C$5015,$A130,Transaksi!$D$16:$D$5015,"Masuk",Transaksi!$B$16:$B$5015,"&lt;="&amp;MIN(EOMONTH(DATE(Dashboard!$C$4,10,1),0),TODAY()))-SUMIFS(Transaksi!$F$16:$F$5015,Transaksi!$C$16:$C$5015,$A130,Transaksi!$D$16:$D$5015,"Keluar",Transaksi!$B$16:$B$5015,"&lt;="&amp;MIN(EOMONTH(DATE(Dashboard!$C$4,10,1),0),TODAY()))-SUMIFS(Transaksi!$F$16:$F$5015,Transaksi!$C$16:$C$5015,$A130,Transaksi!$D$16:$D$5015,"Pindah",Transaksi!$B$16:$B$5015,"&lt;="&amp;MIN(EOMONTH(DATE(Dashboard!$C$4,10,1),0),TODAY()))+SUMIFS(Transaksi!$F$16:$F$5015,Transaksi!$E$16:$E$5015,$A130,Transaksi!$D$16:$D$5015,"Pindah",Transaksi!$B$16:$B$5015,"&lt;="&amp;MIN(EOMONTH(DATE(Dashboard!$C$4,10,1),0),TODAY())))</f>
        <v/>
      </c>
      <c r="M130" s="106">
        <f>IF(OR($A130="",DATE(Dashboard!$C$4,11,1)&gt;TODAY(),ISNA(MATCH($B130,{"Pribadi","Investasi (kas RDN)","Piutang","Pinjaman Mama (dompet)"},0))),"",SUMIFS(Akun!$C$5:$C$104,Akun!$A$5:$A$104,$A130,Akun!$D$5:$D$104,"&lt;="&amp;MIN(EOMONTH(DATE(Dashboard!$C$4,11,1),0),TODAY()))+SUMIFS(Transaksi!$F$16:$F$5015,Transaksi!$C$16:$C$5015,$A130,Transaksi!$D$16:$D$5015,"Masuk",Transaksi!$B$16:$B$5015,"&lt;="&amp;MIN(EOMONTH(DATE(Dashboard!$C$4,11,1),0),TODAY()))-SUMIFS(Transaksi!$F$16:$F$5015,Transaksi!$C$16:$C$5015,$A130,Transaksi!$D$16:$D$5015,"Keluar",Transaksi!$B$16:$B$5015,"&lt;="&amp;MIN(EOMONTH(DATE(Dashboard!$C$4,11,1),0),TODAY()))-SUMIFS(Transaksi!$F$16:$F$5015,Transaksi!$C$16:$C$5015,$A130,Transaksi!$D$16:$D$5015,"Pindah",Transaksi!$B$16:$B$5015,"&lt;="&amp;MIN(EOMONTH(DATE(Dashboard!$C$4,11,1),0),TODAY()))+SUMIFS(Transaksi!$F$16:$F$5015,Transaksi!$E$16:$E$5015,$A130,Transaksi!$D$16:$D$5015,"Pindah",Transaksi!$B$16:$B$5015,"&lt;="&amp;MIN(EOMONTH(DATE(Dashboard!$C$4,11,1),0),TODAY())))</f>
        <v/>
      </c>
      <c r="N130" s="106">
        <f>IF(OR($A130="",DATE(Dashboard!$C$4,12,1)&gt;TODAY(),ISNA(MATCH($B130,{"Pribadi","Investasi (kas RDN)","Piutang","Pinjaman Mama (dompet)"},0))),"",SUMIFS(Akun!$C$5:$C$104,Akun!$A$5:$A$104,$A130,Akun!$D$5:$D$104,"&lt;="&amp;MIN(EOMONTH(DATE(Dashboard!$C$4,12,1),0),TODAY()))+SUMIFS(Transaksi!$F$16:$F$5015,Transaksi!$C$16:$C$5015,$A130,Transaksi!$D$16:$D$5015,"Masuk",Transaksi!$B$16:$B$5015,"&lt;="&amp;MIN(EOMONTH(DATE(Dashboard!$C$4,12,1),0),TODAY()))-SUMIFS(Transaksi!$F$16:$F$5015,Transaksi!$C$16:$C$5015,$A130,Transaksi!$D$16:$D$5015,"Keluar",Transaksi!$B$16:$B$5015,"&lt;="&amp;MIN(EOMONTH(DATE(Dashboard!$C$4,12,1),0),TODAY()))-SUMIFS(Transaksi!$F$16:$F$5015,Transaksi!$C$16:$C$5015,$A130,Transaksi!$D$16:$D$5015,"Pindah",Transaksi!$B$16:$B$5015,"&lt;="&amp;MIN(EOMONTH(DATE(Dashboard!$C$4,12,1),0),TODAY()))+SUMIFS(Transaksi!$F$16:$F$5015,Transaksi!$E$16:$E$5015,$A130,Transaksi!$D$16:$D$5015,"Pindah",Transaksi!$B$16:$B$5015,"&lt;="&amp;MIN(EOMONTH(DATE(Dashboard!$C$4,12,1),0),TODAY())))</f>
        <v/>
      </c>
    </row>
    <row r="131" ht="15" customHeight="1" s="94">
      <c r="A131" s="93">
        <f>IF(Akun!$A$95="","",Akun!$A$95)</f>
        <v/>
      </c>
      <c r="B131" s="93">
        <f>IF(Akun!$A$95="","",Akun!$B$95)</f>
        <v/>
      </c>
      <c r="C131" s="106">
        <f>IF(OR($A131="",DATE(Dashboard!$C$4,1,1)&gt;TODAY(),ISNA(MATCH($B131,{"Pribadi","Investasi (kas RDN)","Piutang","Pinjaman Mama (dompet)"},0))),"",SUMIFS(Akun!$C$5:$C$104,Akun!$A$5:$A$104,$A131,Akun!$D$5:$D$104,"&lt;="&amp;MIN(EOMONTH(DATE(Dashboard!$C$4,1,1),0),TODAY()))+SUMIFS(Transaksi!$F$16:$F$5015,Transaksi!$C$16:$C$5015,$A131,Transaksi!$D$16:$D$5015,"Masuk",Transaksi!$B$16:$B$5015,"&lt;="&amp;MIN(EOMONTH(DATE(Dashboard!$C$4,1,1),0),TODAY()))-SUMIFS(Transaksi!$F$16:$F$5015,Transaksi!$C$16:$C$5015,$A131,Transaksi!$D$16:$D$5015,"Keluar",Transaksi!$B$16:$B$5015,"&lt;="&amp;MIN(EOMONTH(DATE(Dashboard!$C$4,1,1),0),TODAY()))-SUMIFS(Transaksi!$F$16:$F$5015,Transaksi!$C$16:$C$5015,$A131,Transaksi!$D$16:$D$5015,"Pindah",Transaksi!$B$16:$B$5015,"&lt;="&amp;MIN(EOMONTH(DATE(Dashboard!$C$4,1,1),0),TODAY()))+SUMIFS(Transaksi!$F$16:$F$5015,Transaksi!$E$16:$E$5015,$A131,Transaksi!$D$16:$D$5015,"Pindah",Transaksi!$B$16:$B$5015,"&lt;="&amp;MIN(EOMONTH(DATE(Dashboard!$C$4,1,1),0),TODAY())))</f>
        <v/>
      </c>
      <c r="D131" s="106">
        <f>IF(OR($A131="",DATE(Dashboard!$C$4,2,1)&gt;TODAY(),ISNA(MATCH($B131,{"Pribadi","Investasi (kas RDN)","Piutang","Pinjaman Mama (dompet)"},0))),"",SUMIFS(Akun!$C$5:$C$104,Akun!$A$5:$A$104,$A131,Akun!$D$5:$D$104,"&lt;="&amp;MIN(EOMONTH(DATE(Dashboard!$C$4,2,1),0),TODAY()))+SUMIFS(Transaksi!$F$16:$F$5015,Transaksi!$C$16:$C$5015,$A131,Transaksi!$D$16:$D$5015,"Masuk",Transaksi!$B$16:$B$5015,"&lt;="&amp;MIN(EOMONTH(DATE(Dashboard!$C$4,2,1),0),TODAY()))-SUMIFS(Transaksi!$F$16:$F$5015,Transaksi!$C$16:$C$5015,$A131,Transaksi!$D$16:$D$5015,"Keluar",Transaksi!$B$16:$B$5015,"&lt;="&amp;MIN(EOMONTH(DATE(Dashboard!$C$4,2,1),0),TODAY()))-SUMIFS(Transaksi!$F$16:$F$5015,Transaksi!$C$16:$C$5015,$A131,Transaksi!$D$16:$D$5015,"Pindah",Transaksi!$B$16:$B$5015,"&lt;="&amp;MIN(EOMONTH(DATE(Dashboard!$C$4,2,1),0),TODAY()))+SUMIFS(Transaksi!$F$16:$F$5015,Transaksi!$E$16:$E$5015,$A131,Transaksi!$D$16:$D$5015,"Pindah",Transaksi!$B$16:$B$5015,"&lt;="&amp;MIN(EOMONTH(DATE(Dashboard!$C$4,2,1),0),TODAY())))</f>
        <v/>
      </c>
      <c r="E131" s="106">
        <f>IF(OR($A131="",DATE(Dashboard!$C$4,3,1)&gt;TODAY(),ISNA(MATCH($B131,{"Pribadi","Investasi (kas RDN)","Piutang","Pinjaman Mama (dompet)"},0))),"",SUMIFS(Akun!$C$5:$C$104,Akun!$A$5:$A$104,$A131,Akun!$D$5:$D$104,"&lt;="&amp;MIN(EOMONTH(DATE(Dashboard!$C$4,3,1),0),TODAY()))+SUMIFS(Transaksi!$F$16:$F$5015,Transaksi!$C$16:$C$5015,$A131,Transaksi!$D$16:$D$5015,"Masuk",Transaksi!$B$16:$B$5015,"&lt;="&amp;MIN(EOMONTH(DATE(Dashboard!$C$4,3,1),0),TODAY()))-SUMIFS(Transaksi!$F$16:$F$5015,Transaksi!$C$16:$C$5015,$A131,Transaksi!$D$16:$D$5015,"Keluar",Transaksi!$B$16:$B$5015,"&lt;="&amp;MIN(EOMONTH(DATE(Dashboard!$C$4,3,1),0),TODAY()))-SUMIFS(Transaksi!$F$16:$F$5015,Transaksi!$C$16:$C$5015,$A131,Transaksi!$D$16:$D$5015,"Pindah",Transaksi!$B$16:$B$5015,"&lt;="&amp;MIN(EOMONTH(DATE(Dashboard!$C$4,3,1),0),TODAY()))+SUMIFS(Transaksi!$F$16:$F$5015,Transaksi!$E$16:$E$5015,$A131,Transaksi!$D$16:$D$5015,"Pindah",Transaksi!$B$16:$B$5015,"&lt;="&amp;MIN(EOMONTH(DATE(Dashboard!$C$4,3,1),0),TODAY())))</f>
        <v/>
      </c>
      <c r="F131" s="106">
        <f>IF(OR($A131="",DATE(Dashboard!$C$4,4,1)&gt;TODAY(),ISNA(MATCH($B131,{"Pribadi","Investasi (kas RDN)","Piutang","Pinjaman Mama (dompet)"},0))),"",SUMIFS(Akun!$C$5:$C$104,Akun!$A$5:$A$104,$A131,Akun!$D$5:$D$104,"&lt;="&amp;MIN(EOMONTH(DATE(Dashboard!$C$4,4,1),0),TODAY()))+SUMIFS(Transaksi!$F$16:$F$5015,Transaksi!$C$16:$C$5015,$A131,Transaksi!$D$16:$D$5015,"Masuk",Transaksi!$B$16:$B$5015,"&lt;="&amp;MIN(EOMONTH(DATE(Dashboard!$C$4,4,1),0),TODAY()))-SUMIFS(Transaksi!$F$16:$F$5015,Transaksi!$C$16:$C$5015,$A131,Transaksi!$D$16:$D$5015,"Keluar",Transaksi!$B$16:$B$5015,"&lt;="&amp;MIN(EOMONTH(DATE(Dashboard!$C$4,4,1),0),TODAY()))-SUMIFS(Transaksi!$F$16:$F$5015,Transaksi!$C$16:$C$5015,$A131,Transaksi!$D$16:$D$5015,"Pindah",Transaksi!$B$16:$B$5015,"&lt;="&amp;MIN(EOMONTH(DATE(Dashboard!$C$4,4,1),0),TODAY()))+SUMIFS(Transaksi!$F$16:$F$5015,Transaksi!$E$16:$E$5015,$A131,Transaksi!$D$16:$D$5015,"Pindah",Transaksi!$B$16:$B$5015,"&lt;="&amp;MIN(EOMONTH(DATE(Dashboard!$C$4,4,1),0),TODAY())))</f>
        <v/>
      </c>
      <c r="G131" s="106">
        <f>IF(OR($A131="",DATE(Dashboard!$C$4,5,1)&gt;TODAY(),ISNA(MATCH($B131,{"Pribadi","Investasi (kas RDN)","Piutang","Pinjaman Mama (dompet)"},0))),"",SUMIFS(Akun!$C$5:$C$104,Akun!$A$5:$A$104,$A131,Akun!$D$5:$D$104,"&lt;="&amp;MIN(EOMONTH(DATE(Dashboard!$C$4,5,1),0),TODAY()))+SUMIFS(Transaksi!$F$16:$F$5015,Transaksi!$C$16:$C$5015,$A131,Transaksi!$D$16:$D$5015,"Masuk",Transaksi!$B$16:$B$5015,"&lt;="&amp;MIN(EOMONTH(DATE(Dashboard!$C$4,5,1),0),TODAY()))-SUMIFS(Transaksi!$F$16:$F$5015,Transaksi!$C$16:$C$5015,$A131,Transaksi!$D$16:$D$5015,"Keluar",Transaksi!$B$16:$B$5015,"&lt;="&amp;MIN(EOMONTH(DATE(Dashboard!$C$4,5,1),0),TODAY()))-SUMIFS(Transaksi!$F$16:$F$5015,Transaksi!$C$16:$C$5015,$A131,Transaksi!$D$16:$D$5015,"Pindah",Transaksi!$B$16:$B$5015,"&lt;="&amp;MIN(EOMONTH(DATE(Dashboard!$C$4,5,1),0),TODAY()))+SUMIFS(Transaksi!$F$16:$F$5015,Transaksi!$E$16:$E$5015,$A131,Transaksi!$D$16:$D$5015,"Pindah",Transaksi!$B$16:$B$5015,"&lt;="&amp;MIN(EOMONTH(DATE(Dashboard!$C$4,5,1),0),TODAY())))</f>
        <v/>
      </c>
      <c r="H131" s="106">
        <f>IF(OR($A131="",DATE(Dashboard!$C$4,6,1)&gt;TODAY(),ISNA(MATCH($B131,{"Pribadi","Investasi (kas RDN)","Piutang","Pinjaman Mama (dompet)"},0))),"",SUMIFS(Akun!$C$5:$C$104,Akun!$A$5:$A$104,$A131,Akun!$D$5:$D$104,"&lt;="&amp;MIN(EOMONTH(DATE(Dashboard!$C$4,6,1),0),TODAY()))+SUMIFS(Transaksi!$F$16:$F$5015,Transaksi!$C$16:$C$5015,$A131,Transaksi!$D$16:$D$5015,"Masuk",Transaksi!$B$16:$B$5015,"&lt;="&amp;MIN(EOMONTH(DATE(Dashboard!$C$4,6,1),0),TODAY()))-SUMIFS(Transaksi!$F$16:$F$5015,Transaksi!$C$16:$C$5015,$A131,Transaksi!$D$16:$D$5015,"Keluar",Transaksi!$B$16:$B$5015,"&lt;="&amp;MIN(EOMONTH(DATE(Dashboard!$C$4,6,1),0),TODAY()))-SUMIFS(Transaksi!$F$16:$F$5015,Transaksi!$C$16:$C$5015,$A131,Transaksi!$D$16:$D$5015,"Pindah",Transaksi!$B$16:$B$5015,"&lt;="&amp;MIN(EOMONTH(DATE(Dashboard!$C$4,6,1),0),TODAY()))+SUMIFS(Transaksi!$F$16:$F$5015,Transaksi!$E$16:$E$5015,$A131,Transaksi!$D$16:$D$5015,"Pindah",Transaksi!$B$16:$B$5015,"&lt;="&amp;MIN(EOMONTH(DATE(Dashboard!$C$4,6,1),0),TODAY())))</f>
        <v/>
      </c>
      <c r="I131" s="106">
        <f>IF(OR($A131="",DATE(Dashboard!$C$4,7,1)&gt;TODAY(),ISNA(MATCH($B131,{"Pribadi","Investasi (kas RDN)","Piutang","Pinjaman Mama (dompet)"},0))),"",SUMIFS(Akun!$C$5:$C$104,Akun!$A$5:$A$104,$A131,Akun!$D$5:$D$104,"&lt;="&amp;MIN(EOMONTH(DATE(Dashboard!$C$4,7,1),0),TODAY()))+SUMIFS(Transaksi!$F$16:$F$5015,Transaksi!$C$16:$C$5015,$A131,Transaksi!$D$16:$D$5015,"Masuk",Transaksi!$B$16:$B$5015,"&lt;="&amp;MIN(EOMONTH(DATE(Dashboard!$C$4,7,1),0),TODAY()))-SUMIFS(Transaksi!$F$16:$F$5015,Transaksi!$C$16:$C$5015,$A131,Transaksi!$D$16:$D$5015,"Keluar",Transaksi!$B$16:$B$5015,"&lt;="&amp;MIN(EOMONTH(DATE(Dashboard!$C$4,7,1),0),TODAY()))-SUMIFS(Transaksi!$F$16:$F$5015,Transaksi!$C$16:$C$5015,$A131,Transaksi!$D$16:$D$5015,"Pindah",Transaksi!$B$16:$B$5015,"&lt;="&amp;MIN(EOMONTH(DATE(Dashboard!$C$4,7,1),0),TODAY()))+SUMIFS(Transaksi!$F$16:$F$5015,Transaksi!$E$16:$E$5015,$A131,Transaksi!$D$16:$D$5015,"Pindah",Transaksi!$B$16:$B$5015,"&lt;="&amp;MIN(EOMONTH(DATE(Dashboard!$C$4,7,1),0),TODAY())))</f>
        <v/>
      </c>
      <c r="J131" s="106">
        <f>IF(OR($A131="",DATE(Dashboard!$C$4,8,1)&gt;TODAY(),ISNA(MATCH($B131,{"Pribadi","Investasi (kas RDN)","Piutang","Pinjaman Mama (dompet)"},0))),"",SUMIFS(Akun!$C$5:$C$104,Akun!$A$5:$A$104,$A131,Akun!$D$5:$D$104,"&lt;="&amp;MIN(EOMONTH(DATE(Dashboard!$C$4,8,1),0),TODAY()))+SUMIFS(Transaksi!$F$16:$F$5015,Transaksi!$C$16:$C$5015,$A131,Transaksi!$D$16:$D$5015,"Masuk",Transaksi!$B$16:$B$5015,"&lt;="&amp;MIN(EOMONTH(DATE(Dashboard!$C$4,8,1),0),TODAY()))-SUMIFS(Transaksi!$F$16:$F$5015,Transaksi!$C$16:$C$5015,$A131,Transaksi!$D$16:$D$5015,"Keluar",Transaksi!$B$16:$B$5015,"&lt;="&amp;MIN(EOMONTH(DATE(Dashboard!$C$4,8,1),0),TODAY()))-SUMIFS(Transaksi!$F$16:$F$5015,Transaksi!$C$16:$C$5015,$A131,Transaksi!$D$16:$D$5015,"Pindah",Transaksi!$B$16:$B$5015,"&lt;="&amp;MIN(EOMONTH(DATE(Dashboard!$C$4,8,1),0),TODAY()))+SUMIFS(Transaksi!$F$16:$F$5015,Transaksi!$E$16:$E$5015,$A131,Transaksi!$D$16:$D$5015,"Pindah",Transaksi!$B$16:$B$5015,"&lt;="&amp;MIN(EOMONTH(DATE(Dashboard!$C$4,8,1),0),TODAY())))</f>
        <v/>
      </c>
      <c r="K131" s="106">
        <f>IF(OR($A131="",DATE(Dashboard!$C$4,9,1)&gt;TODAY(),ISNA(MATCH($B131,{"Pribadi","Investasi (kas RDN)","Piutang","Pinjaman Mama (dompet)"},0))),"",SUMIFS(Akun!$C$5:$C$104,Akun!$A$5:$A$104,$A131,Akun!$D$5:$D$104,"&lt;="&amp;MIN(EOMONTH(DATE(Dashboard!$C$4,9,1),0),TODAY()))+SUMIFS(Transaksi!$F$16:$F$5015,Transaksi!$C$16:$C$5015,$A131,Transaksi!$D$16:$D$5015,"Masuk",Transaksi!$B$16:$B$5015,"&lt;="&amp;MIN(EOMONTH(DATE(Dashboard!$C$4,9,1),0),TODAY()))-SUMIFS(Transaksi!$F$16:$F$5015,Transaksi!$C$16:$C$5015,$A131,Transaksi!$D$16:$D$5015,"Keluar",Transaksi!$B$16:$B$5015,"&lt;="&amp;MIN(EOMONTH(DATE(Dashboard!$C$4,9,1),0),TODAY()))-SUMIFS(Transaksi!$F$16:$F$5015,Transaksi!$C$16:$C$5015,$A131,Transaksi!$D$16:$D$5015,"Pindah",Transaksi!$B$16:$B$5015,"&lt;="&amp;MIN(EOMONTH(DATE(Dashboard!$C$4,9,1),0),TODAY()))+SUMIFS(Transaksi!$F$16:$F$5015,Transaksi!$E$16:$E$5015,$A131,Transaksi!$D$16:$D$5015,"Pindah",Transaksi!$B$16:$B$5015,"&lt;="&amp;MIN(EOMONTH(DATE(Dashboard!$C$4,9,1),0),TODAY())))</f>
        <v/>
      </c>
      <c r="L131" s="106">
        <f>IF(OR($A131="",DATE(Dashboard!$C$4,10,1)&gt;TODAY(),ISNA(MATCH($B131,{"Pribadi","Investasi (kas RDN)","Piutang","Pinjaman Mama (dompet)"},0))),"",SUMIFS(Akun!$C$5:$C$104,Akun!$A$5:$A$104,$A131,Akun!$D$5:$D$104,"&lt;="&amp;MIN(EOMONTH(DATE(Dashboard!$C$4,10,1),0),TODAY()))+SUMIFS(Transaksi!$F$16:$F$5015,Transaksi!$C$16:$C$5015,$A131,Transaksi!$D$16:$D$5015,"Masuk",Transaksi!$B$16:$B$5015,"&lt;="&amp;MIN(EOMONTH(DATE(Dashboard!$C$4,10,1),0),TODAY()))-SUMIFS(Transaksi!$F$16:$F$5015,Transaksi!$C$16:$C$5015,$A131,Transaksi!$D$16:$D$5015,"Keluar",Transaksi!$B$16:$B$5015,"&lt;="&amp;MIN(EOMONTH(DATE(Dashboard!$C$4,10,1),0),TODAY()))-SUMIFS(Transaksi!$F$16:$F$5015,Transaksi!$C$16:$C$5015,$A131,Transaksi!$D$16:$D$5015,"Pindah",Transaksi!$B$16:$B$5015,"&lt;="&amp;MIN(EOMONTH(DATE(Dashboard!$C$4,10,1),0),TODAY()))+SUMIFS(Transaksi!$F$16:$F$5015,Transaksi!$E$16:$E$5015,$A131,Transaksi!$D$16:$D$5015,"Pindah",Transaksi!$B$16:$B$5015,"&lt;="&amp;MIN(EOMONTH(DATE(Dashboard!$C$4,10,1),0),TODAY())))</f>
        <v/>
      </c>
      <c r="M131" s="106">
        <f>IF(OR($A131="",DATE(Dashboard!$C$4,11,1)&gt;TODAY(),ISNA(MATCH($B131,{"Pribadi","Investasi (kas RDN)","Piutang","Pinjaman Mama (dompet)"},0))),"",SUMIFS(Akun!$C$5:$C$104,Akun!$A$5:$A$104,$A131,Akun!$D$5:$D$104,"&lt;="&amp;MIN(EOMONTH(DATE(Dashboard!$C$4,11,1),0),TODAY()))+SUMIFS(Transaksi!$F$16:$F$5015,Transaksi!$C$16:$C$5015,$A131,Transaksi!$D$16:$D$5015,"Masuk",Transaksi!$B$16:$B$5015,"&lt;="&amp;MIN(EOMONTH(DATE(Dashboard!$C$4,11,1),0),TODAY()))-SUMIFS(Transaksi!$F$16:$F$5015,Transaksi!$C$16:$C$5015,$A131,Transaksi!$D$16:$D$5015,"Keluar",Transaksi!$B$16:$B$5015,"&lt;="&amp;MIN(EOMONTH(DATE(Dashboard!$C$4,11,1),0),TODAY()))-SUMIFS(Transaksi!$F$16:$F$5015,Transaksi!$C$16:$C$5015,$A131,Transaksi!$D$16:$D$5015,"Pindah",Transaksi!$B$16:$B$5015,"&lt;="&amp;MIN(EOMONTH(DATE(Dashboard!$C$4,11,1),0),TODAY()))+SUMIFS(Transaksi!$F$16:$F$5015,Transaksi!$E$16:$E$5015,$A131,Transaksi!$D$16:$D$5015,"Pindah",Transaksi!$B$16:$B$5015,"&lt;="&amp;MIN(EOMONTH(DATE(Dashboard!$C$4,11,1),0),TODAY())))</f>
        <v/>
      </c>
      <c r="N131" s="106">
        <f>IF(OR($A131="",DATE(Dashboard!$C$4,12,1)&gt;TODAY(),ISNA(MATCH($B131,{"Pribadi","Investasi (kas RDN)","Piutang","Pinjaman Mama (dompet)"},0))),"",SUMIFS(Akun!$C$5:$C$104,Akun!$A$5:$A$104,$A131,Akun!$D$5:$D$104,"&lt;="&amp;MIN(EOMONTH(DATE(Dashboard!$C$4,12,1),0),TODAY()))+SUMIFS(Transaksi!$F$16:$F$5015,Transaksi!$C$16:$C$5015,$A131,Transaksi!$D$16:$D$5015,"Masuk",Transaksi!$B$16:$B$5015,"&lt;="&amp;MIN(EOMONTH(DATE(Dashboard!$C$4,12,1),0),TODAY()))-SUMIFS(Transaksi!$F$16:$F$5015,Transaksi!$C$16:$C$5015,$A131,Transaksi!$D$16:$D$5015,"Keluar",Transaksi!$B$16:$B$5015,"&lt;="&amp;MIN(EOMONTH(DATE(Dashboard!$C$4,12,1),0),TODAY()))-SUMIFS(Transaksi!$F$16:$F$5015,Transaksi!$C$16:$C$5015,$A131,Transaksi!$D$16:$D$5015,"Pindah",Transaksi!$B$16:$B$5015,"&lt;="&amp;MIN(EOMONTH(DATE(Dashboard!$C$4,12,1),0),TODAY()))+SUMIFS(Transaksi!$F$16:$F$5015,Transaksi!$E$16:$E$5015,$A131,Transaksi!$D$16:$D$5015,"Pindah",Transaksi!$B$16:$B$5015,"&lt;="&amp;MIN(EOMONTH(DATE(Dashboard!$C$4,12,1),0),TODAY())))</f>
        <v/>
      </c>
    </row>
    <row r="132" ht="15" customHeight="1" s="94">
      <c r="A132" s="93">
        <f>IF(Akun!$A$96="","",Akun!$A$96)</f>
        <v/>
      </c>
      <c r="B132" s="93">
        <f>IF(Akun!$A$96="","",Akun!$B$96)</f>
        <v/>
      </c>
      <c r="C132" s="106">
        <f>IF(OR($A132="",DATE(Dashboard!$C$4,1,1)&gt;TODAY(),ISNA(MATCH($B132,{"Pribadi","Investasi (kas RDN)","Piutang","Pinjaman Mama (dompet)"},0))),"",SUMIFS(Akun!$C$5:$C$104,Akun!$A$5:$A$104,$A132,Akun!$D$5:$D$104,"&lt;="&amp;MIN(EOMONTH(DATE(Dashboard!$C$4,1,1),0),TODAY()))+SUMIFS(Transaksi!$F$16:$F$5015,Transaksi!$C$16:$C$5015,$A132,Transaksi!$D$16:$D$5015,"Masuk",Transaksi!$B$16:$B$5015,"&lt;="&amp;MIN(EOMONTH(DATE(Dashboard!$C$4,1,1),0),TODAY()))-SUMIFS(Transaksi!$F$16:$F$5015,Transaksi!$C$16:$C$5015,$A132,Transaksi!$D$16:$D$5015,"Keluar",Transaksi!$B$16:$B$5015,"&lt;="&amp;MIN(EOMONTH(DATE(Dashboard!$C$4,1,1),0),TODAY()))-SUMIFS(Transaksi!$F$16:$F$5015,Transaksi!$C$16:$C$5015,$A132,Transaksi!$D$16:$D$5015,"Pindah",Transaksi!$B$16:$B$5015,"&lt;="&amp;MIN(EOMONTH(DATE(Dashboard!$C$4,1,1),0),TODAY()))+SUMIFS(Transaksi!$F$16:$F$5015,Transaksi!$E$16:$E$5015,$A132,Transaksi!$D$16:$D$5015,"Pindah",Transaksi!$B$16:$B$5015,"&lt;="&amp;MIN(EOMONTH(DATE(Dashboard!$C$4,1,1),0),TODAY())))</f>
        <v/>
      </c>
      <c r="D132" s="106">
        <f>IF(OR($A132="",DATE(Dashboard!$C$4,2,1)&gt;TODAY(),ISNA(MATCH($B132,{"Pribadi","Investasi (kas RDN)","Piutang","Pinjaman Mama (dompet)"},0))),"",SUMIFS(Akun!$C$5:$C$104,Akun!$A$5:$A$104,$A132,Akun!$D$5:$D$104,"&lt;="&amp;MIN(EOMONTH(DATE(Dashboard!$C$4,2,1),0),TODAY()))+SUMIFS(Transaksi!$F$16:$F$5015,Transaksi!$C$16:$C$5015,$A132,Transaksi!$D$16:$D$5015,"Masuk",Transaksi!$B$16:$B$5015,"&lt;="&amp;MIN(EOMONTH(DATE(Dashboard!$C$4,2,1),0),TODAY()))-SUMIFS(Transaksi!$F$16:$F$5015,Transaksi!$C$16:$C$5015,$A132,Transaksi!$D$16:$D$5015,"Keluar",Transaksi!$B$16:$B$5015,"&lt;="&amp;MIN(EOMONTH(DATE(Dashboard!$C$4,2,1),0),TODAY()))-SUMIFS(Transaksi!$F$16:$F$5015,Transaksi!$C$16:$C$5015,$A132,Transaksi!$D$16:$D$5015,"Pindah",Transaksi!$B$16:$B$5015,"&lt;="&amp;MIN(EOMONTH(DATE(Dashboard!$C$4,2,1),0),TODAY()))+SUMIFS(Transaksi!$F$16:$F$5015,Transaksi!$E$16:$E$5015,$A132,Transaksi!$D$16:$D$5015,"Pindah",Transaksi!$B$16:$B$5015,"&lt;="&amp;MIN(EOMONTH(DATE(Dashboard!$C$4,2,1),0),TODAY())))</f>
        <v/>
      </c>
      <c r="E132" s="106">
        <f>IF(OR($A132="",DATE(Dashboard!$C$4,3,1)&gt;TODAY(),ISNA(MATCH($B132,{"Pribadi","Investasi (kas RDN)","Piutang","Pinjaman Mama (dompet)"},0))),"",SUMIFS(Akun!$C$5:$C$104,Akun!$A$5:$A$104,$A132,Akun!$D$5:$D$104,"&lt;="&amp;MIN(EOMONTH(DATE(Dashboard!$C$4,3,1),0),TODAY()))+SUMIFS(Transaksi!$F$16:$F$5015,Transaksi!$C$16:$C$5015,$A132,Transaksi!$D$16:$D$5015,"Masuk",Transaksi!$B$16:$B$5015,"&lt;="&amp;MIN(EOMONTH(DATE(Dashboard!$C$4,3,1),0),TODAY()))-SUMIFS(Transaksi!$F$16:$F$5015,Transaksi!$C$16:$C$5015,$A132,Transaksi!$D$16:$D$5015,"Keluar",Transaksi!$B$16:$B$5015,"&lt;="&amp;MIN(EOMONTH(DATE(Dashboard!$C$4,3,1),0),TODAY()))-SUMIFS(Transaksi!$F$16:$F$5015,Transaksi!$C$16:$C$5015,$A132,Transaksi!$D$16:$D$5015,"Pindah",Transaksi!$B$16:$B$5015,"&lt;="&amp;MIN(EOMONTH(DATE(Dashboard!$C$4,3,1),0),TODAY()))+SUMIFS(Transaksi!$F$16:$F$5015,Transaksi!$E$16:$E$5015,$A132,Transaksi!$D$16:$D$5015,"Pindah",Transaksi!$B$16:$B$5015,"&lt;="&amp;MIN(EOMONTH(DATE(Dashboard!$C$4,3,1),0),TODAY())))</f>
        <v/>
      </c>
      <c r="F132" s="106">
        <f>IF(OR($A132="",DATE(Dashboard!$C$4,4,1)&gt;TODAY(),ISNA(MATCH($B132,{"Pribadi","Investasi (kas RDN)","Piutang","Pinjaman Mama (dompet)"},0))),"",SUMIFS(Akun!$C$5:$C$104,Akun!$A$5:$A$104,$A132,Akun!$D$5:$D$104,"&lt;="&amp;MIN(EOMONTH(DATE(Dashboard!$C$4,4,1),0),TODAY()))+SUMIFS(Transaksi!$F$16:$F$5015,Transaksi!$C$16:$C$5015,$A132,Transaksi!$D$16:$D$5015,"Masuk",Transaksi!$B$16:$B$5015,"&lt;="&amp;MIN(EOMONTH(DATE(Dashboard!$C$4,4,1),0),TODAY()))-SUMIFS(Transaksi!$F$16:$F$5015,Transaksi!$C$16:$C$5015,$A132,Transaksi!$D$16:$D$5015,"Keluar",Transaksi!$B$16:$B$5015,"&lt;="&amp;MIN(EOMONTH(DATE(Dashboard!$C$4,4,1),0),TODAY()))-SUMIFS(Transaksi!$F$16:$F$5015,Transaksi!$C$16:$C$5015,$A132,Transaksi!$D$16:$D$5015,"Pindah",Transaksi!$B$16:$B$5015,"&lt;="&amp;MIN(EOMONTH(DATE(Dashboard!$C$4,4,1),0),TODAY()))+SUMIFS(Transaksi!$F$16:$F$5015,Transaksi!$E$16:$E$5015,$A132,Transaksi!$D$16:$D$5015,"Pindah",Transaksi!$B$16:$B$5015,"&lt;="&amp;MIN(EOMONTH(DATE(Dashboard!$C$4,4,1),0),TODAY())))</f>
        <v/>
      </c>
      <c r="G132" s="106">
        <f>IF(OR($A132="",DATE(Dashboard!$C$4,5,1)&gt;TODAY(),ISNA(MATCH($B132,{"Pribadi","Investasi (kas RDN)","Piutang","Pinjaman Mama (dompet)"},0))),"",SUMIFS(Akun!$C$5:$C$104,Akun!$A$5:$A$104,$A132,Akun!$D$5:$D$104,"&lt;="&amp;MIN(EOMONTH(DATE(Dashboard!$C$4,5,1),0),TODAY()))+SUMIFS(Transaksi!$F$16:$F$5015,Transaksi!$C$16:$C$5015,$A132,Transaksi!$D$16:$D$5015,"Masuk",Transaksi!$B$16:$B$5015,"&lt;="&amp;MIN(EOMONTH(DATE(Dashboard!$C$4,5,1),0),TODAY()))-SUMIFS(Transaksi!$F$16:$F$5015,Transaksi!$C$16:$C$5015,$A132,Transaksi!$D$16:$D$5015,"Keluar",Transaksi!$B$16:$B$5015,"&lt;="&amp;MIN(EOMONTH(DATE(Dashboard!$C$4,5,1),0),TODAY()))-SUMIFS(Transaksi!$F$16:$F$5015,Transaksi!$C$16:$C$5015,$A132,Transaksi!$D$16:$D$5015,"Pindah",Transaksi!$B$16:$B$5015,"&lt;="&amp;MIN(EOMONTH(DATE(Dashboard!$C$4,5,1),0),TODAY()))+SUMIFS(Transaksi!$F$16:$F$5015,Transaksi!$E$16:$E$5015,$A132,Transaksi!$D$16:$D$5015,"Pindah",Transaksi!$B$16:$B$5015,"&lt;="&amp;MIN(EOMONTH(DATE(Dashboard!$C$4,5,1),0),TODAY())))</f>
        <v/>
      </c>
      <c r="H132" s="106">
        <f>IF(OR($A132="",DATE(Dashboard!$C$4,6,1)&gt;TODAY(),ISNA(MATCH($B132,{"Pribadi","Investasi (kas RDN)","Piutang","Pinjaman Mama (dompet)"},0))),"",SUMIFS(Akun!$C$5:$C$104,Akun!$A$5:$A$104,$A132,Akun!$D$5:$D$104,"&lt;="&amp;MIN(EOMONTH(DATE(Dashboard!$C$4,6,1),0),TODAY()))+SUMIFS(Transaksi!$F$16:$F$5015,Transaksi!$C$16:$C$5015,$A132,Transaksi!$D$16:$D$5015,"Masuk",Transaksi!$B$16:$B$5015,"&lt;="&amp;MIN(EOMONTH(DATE(Dashboard!$C$4,6,1),0),TODAY()))-SUMIFS(Transaksi!$F$16:$F$5015,Transaksi!$C$16:$C$5015,$A132,Transaksi!$D$16:$D$5015,"Keluar",Transaksi!$B$16:$B$5015,"&lt;="&amp;MIN(EOMONTH(DATE(Dashboard!$C$4,6,1),0),TODAY()))-SUMIFS(Transaksi!$F$16:$F$5015,Transaksi!$C$16:$C$5015,$A132,Transaksi!$D$16:$D$5015,"Pindah",Transaksi!$B$16:$B$5015,"&lt;="&amp;MIN(EOMONTH(DATE(Dashboard!$C$4,6,1),0),TODAY()))+SUMIFS(Transaksi!$F$16:$F$5015,Transaksi!$E$16:$E$5015,$A132,Transaksi!$D$16:$D$5015,"Pindah",Transaksi!$B$16:$B$5015,"&lt;="&amp;MIN(EOMONTH(DATE(Dashboard!$C$4,6,1),0),TODAY())))</f>
        <v/>
      </c>
      <c r="I132" s="106">
        <f>IF(OR($A132="",DATE(Dashboard!$C$4,7,1)&gt;TODAY(),ISNA(MATCH($B132,{"Pribadi","Investasi (kas RDN)","Piutang","Pinjaman Mama (dompet)"},0))),"",SUMIFS(Akun!$C$5:$C$104,Akun!$A$5:$A$104,$A132,Akun!$D$5:$D$104,"&lt;="&amp;MIN(EOMONTH(DATE(Dashboard!$C$4,7,1),0),TODAY()))+SUMIFS(Transaksi!$F$16:$F$5015,Transaksi!$C$16:$C$5015,$A132,Transaksi!$D$16:$D$5015,"Masuk",Transaksi!$B$16:$B$5015,"&lt;="&amp;MIN(EOMONTH(DATE(Dashboard!$C$4,7,1),0),TODAY()))-SUMIFS(Transaksi!$F$16:$F$5015,Transaksi!$C$16:$C$5015,$A132,Transaksi!$D$16:$D$5015,"Keluar",Transaksi!$B$16:$B$5015,"&lt;="&amp;MIN(EOMONTH(DATE(Dashboard!$C$4,7,1),0),TODAY()))-SUMIFS(Transaksi!$F$16:$F$5015,Transaksi!$C$16:$C$5015,$A132,Transaksi!$D$16:$D$5015,"Pindah",Transaksi!$B$16:$B$5015,"&lt;="&amp;MIN(EOMONTH(DATE(Dashboard!$C$4,7,1),0),TODAY()))+SUMIFS(Transaksi!$F$16:$F$5015,Transaksi!$E$16:$E$5015,$A132,Transaksi!$D$16:$D$5015,"Pindah",Transaksi!$B$16:$B$5015,"&lt;="&amp;MIN(EOMONTH(DATE(Dashboard!$C$4,7,1),0),TODAY())))</f>
        <v/>
      </c>
      <c r="J132" s="106">
        <f>IF(OR($A132="",DATE(Dashboard!$C$4,8,1)&gt;TODAY(),ISNA(MATCH($B132,{"Pribadi","Investasi (kas RDN)","Piutang","Pinjaman Mama (dompet)"},0))),"",SUMIFS(Akun!$C$5:$C$104,Akun!$A$5:$A$104,$A132,Akun!$D$5:$D$104,"&lt;="&amp;MIN(EOMONTH(DATE(Dashboard!$C$4,8,1),0),TODAY()))+SUMIFS(Transaksi!$F$16:$F$5015,Transaksi!$C$16:$C$5015,$A132,Transaksi!$D$16:$D$5015,"Masuk",Transaksi!$B$16:$B$5015,"&lt;="&amp;MIN(EOMONTH(DATE(Dashboard!$C$4,8,1),0),TODAY()))-SUMIFS(Transaksi!$F$16:$F$5015,Transaksi!$C$16:$C$5015,$A132,Transaksi!$D$16:$D$5015,"Keluar",Transaksi!$B$16:$B$5015,"&lt;="&amp;MIN(EOMONTH(DATE(Dashboard!$C$4,8,1),0),TODAY()))-SUMIFS(Transaksi!$F$16:$F$5015,Transaksi!$C$16:$C$5015,$A132,Transaksi!$D$16:$D$5015,"Pindah",Transaksi!$B$16:$B$5015,"&lt;="&amp;MIN(EOMONTH(DATE(Dashboard!$C$4,8,1),0),TODAY()))+SUMIFS(Transaksi!$F$16:$F$5015,Transaksi!$E$16:$E$5015,$A132,Transaksi!$D$16:$D$5015,"Pindah",Transaksi!$B$16:$B$5015,"&lt;="&amp;MIN(EOMONTH(DATE(Dashboard!$C$4,8,1),0),TODAY())))</f>
        <v/>
      </c>
      <c r="K132" s="106">
        <f>IF(OR($A132="",DATE(Dashboard!$C$4,9,1)&gt;TODAY(),ISNA(MATCH($B132,{"Pribadi","Investasi (kas RDN)","Piutang","Pinjaman Mama (dompet)"},0))),"",SUMIFS(Akun!$C$5:$C$104,Akun!$A$5:$A$104,$A132,Akun!$D$5:$D$104,"&lt;="&amp;MIN(EOMONTH(DATE(Dashboard!$C$4,9,1),0),TODAY()))+SUMIFS(Transaksi!$F$16:$F$5015,Transaksi!$C$16:$C$5015,$A132,Transaksi!$D$16:$D$5015,"Masuk",Transaksi!$B$16:$B$5015,"&lt;="&amp;MIN(EOMONTH(DATE(Dashboard!$C$4,9,1),0),TODAY()))-SUMIFS(Transaksi!$F$16:$F$5015,Transaksi!$C$16:$C$5015,$A132,Transaksi!$D$16:$D$5015,"Keluar",Transaksi!$B$16:$B$5015,"&lt;="&amp;MIN(EOMONTH(DATE(Dashboard!$C$4,9,1),0),TODAY()))-SUMIFS(Transaksi!$F$16:$F$5015,Transaksi!$C$16:$C$5015,$A132,Transaksi!$D$16:$D$5015,"Pindah",Transaksi!$B$16:$B$5015,"&lt;="&amp;MIN(EOMONTH(DATE(Dashboard!$C$4,9,1),0),TODAY()))+SUMIFS(Transaksi!$F$16:$F$5015,Transaksi!$E$16:$E$5015,$A132,Transaksi!$D$16:$D$5015,"Pindah",Transaksi!$B$16:$B$5015,"&lt;="&amp;MIN(EOMONTH(DATE(Dashboard!$C$4,9,1),0),TODAY())))</f>
        <v/>
      </c>
      <c r="L132" s="106">
        <f>IF(OR($A132="",DATE(Dashboard!$C$4,10,1)&gt;TODAY(),ISNA(MATCH($B132,{"Pribadi","Investasi (kas RDN)","Piutang","Pinjaman Mama (dompet)"},0))),"",SUMIFS(Akun!$C$5:$C$104,Akun!$A$5:$A$104,$A132,Akun!$D$5:$D$104,"&lt;="&amp;MIN(EOMONTH(DATE(Dashboard!$C$4,10,1),0),TODAY()))+SUMIFS(Transaksi!$F$16:$F$5015,Transaksi!$C$16:$C$5015,$A132,Transaksi!$D$16:$D$5015,"Masuk",Transaksi!$B$16:$B$5015,"&lt;="&amp;MIN(EOMONTH(DATE(Dashboard!$C$4,10,1),0),TODAY()))-SUMIFS(Transaksi!$F$16:$F$5015,Transaksi!$C$16:$C$5015,$A132,Transaksi!$D$16:$D$5015,"Keluar",Transaksi!$B$16:$B$5015,"&lt;="&amp;MIN(EOMONTH(DATE(Dashboard!$C$4,10,1),0),TODAY()))-SUMIFS(Transaksi!$F$16:$F$5015,Transaksi!$C$16:$C$5015,$A132,Transaksi!$D$16:$D$5015,"Pindah",Transaksi!$B$16:$B$5015,"&lt;="&amp;MIN(EOMONTH(DATE(Dashboard!$C$4,10,1),0),TODAY()))+SUMIFS(Transaksi!$F$16:$F$5015,Transaksi!$E$16:$E$5015,$A132,Transaksi!$D$16:$D$5015,"Pindah",Transaksi!$B$16:$B$5015,"&lt;="&amp;MIN(EOMONTH(DATE(Dashboard!$C$4,10,1),0),TODAY())))</f>
        <v/>
      </c>
      <c r="M132" s="106">
        <f>IF(OR($A132="",DATE(Dashboard!$C$4,11,1)&gt;TODAY(),ISNA(MATCH($B132,{"Pribadi","Investasi (kas RDN)","Piutang","Pinjaman Mama (dompet)"},0))),"",SUMIFS(Akun!$C$5:$C$104,Akun!$A$5:$A$104,$A132,Akun!$D$5:$D$104,"&lt;="&amp;MIN(EOMONTH(DATE(Dashboard!$C$4,11,1),0),TODAY()))+SUMIFS(Transaksi!$F$16:$F$5015,Transaksi!$C$16:$C$5015,$A132,Transaksi!$D$16:$D$5015,"Masuk",Transaksi!$B$16:$B$5015,"&lt;="&amp;MIN(EOMONTH(DATE(Dashboard!$C$4,11,1),0),TODAY()))-SUMIFS(Transaksi!$F$16:$F$5015,Transaksi!$C$16:$C$5015,$A132,Transaksi!$D$16:$D$5015,"Keluar",Transaksi!$B$16:$B$5015,"&lt;="&amp;MIN(EOMONTH(DATE(Dashboard!$C$4,11,1),0),TODAY()))-SUMIFS(Transaksi!$F$16:$F$5015,Transaksi!$C$16:$C$5015,$A132,Transaksi!$D$16:$D$5015,"Pindah",Transaksi!$B$16:$B$5015,"&lt;="&amp;MIN(EOMONTH(DATE(Dashboard!$C$4,11,1),0),TODAY()))+SUMIFS(Transaksi!$F$16:$F$5015,Transaksi!$E$16:$E$5015,$A132,Transaksi!$D$16:$D$5015,"Pindah",Transaksi!$B$16:$B$5015,"&lt;="&amp;MIN(EOMONTH(DATE(Dashboard!$C$4,11,1),0),TODAY())))</f>
        <v/>
      </c>
      <c r="N132" s="106">
        <f>IF(OR($A132="",DATE(Dashboard!$C$4,12,1)&gt;TODAY(),ISNA(MATCH($B132,{"Pribadi","Investasi (kas RDN)","Piutang","Pinjaman Mama (dompet)"},0))),"",SUMIFS(Akun!$C$5:$C$104,Akun!$A$5:$A$104,$A132,Akun!$D$5:$D$104,"&lt;="&amp;MIN(EOMONTH(DATE(Dashboard!$C$4,12,1),0),TODAY()))+SUMIFS(Transaksi!$F$16:$F$5015,Transaksi!$C$16:$C$5015,$A132,Transaksi!$D$16:$D$5015,"Masuk",Transaksi!$B$16:$B$5015,"&lt;="&amp;MIN(EOMONTH(DATE(Dashboard!$C$4,12,1),0),TODAY()))-SUMIFS(Transaksi!$F$16:$F$5015,Transaksi!$C$16:$C$5015,$A132,Transaksi!$D$16:$D$5015,"Keluar",Transaksi!$B$16:$B$5015,"&lt;="&amp;MIN(EOMONTH(DATE(Dashboard!$C$4,12,1),0),TODAY()))-SUMIFS(Transaksi!$F$16:$F$5015,Transaksi!$C$16:$C$5015,$A132,Transaksi!$D$16:$D$5015,"Pindah",Transaksi!$B$16:$B$5015,"&lt;="&amp;MIN(EOMONTH(DATE(Dashboard!$C$4,12,1),0),TODAY()))+SUMIFS(Transaksi!$F$16:$F$5015,Transaksi!$E$16:$E$5015,$A132,Transaksi!$D$16:$D$5015,"Pindah",Transaksi!$B$16:$B$5015,"&lt;="&amp;MIN(EOMONTH(DATE(Dashboard!$C$4,12,1),0),TODAY())))</f>
        <v/>
      </c>
    </row>
    <row r="133" ht="15" customHeight="1" s="94">
      <c r="A133" s="93">
        <f>IF(Akun!$A$97="","",Akun!$A$97)</f>
        <v/>
      </c>
      <c r="B133" s="93">
        <f>IF(Akun!$A$97="","",Akun!$B$97)</f>
        <v/>
      </c>
      <c r="C133" s="106">
        <f>IF(OR($A133="",DATE(Dashboard!$C$4,1,1)&gt;TODAY(),ISNA(MATCH($B133,{"Pribadi","Investasi (kas RDN)","Piutang","Pinjaman Mama (dompet)"},0))),"",SUMIFS(Akun!$C$5:$C$104,Akun!$A$5:$A$104,$A133,Akun!$D$5:$D$104,"&lt;="&amp;MIN(EOMONTH(DATE(Dashboard!$C$4,1,1),0),TODAY()))+SUMIFS(Transaksi!$F$16:$F$5015,Transaksi!$C$16:$C$5015,$A133,Transaksi!$D$16:$D$5015,"Masuk",Transaksi!$B$16:$B$5015,"&lt;="&amp;MIN(EOMONTH(DATE(Dashboard!$C$4,1,1),0),TODAY()))-SUMIFS(Transaksi!$F$16:$F$5015,Transaksi!$C$16:$C$5015,$A133,Transaksi!$D$16:$D$5015,"Keluar",Transaksi!$B$16:$B$5015,"&lt;="&amp;MIN(EOMONTH(DATE(Dashboard!$C$4,1,1),0),TODAY()))-SUMIFS(Transaksi!$F$16:$F$5015,Transaksi!$C$16:$C$5015,$A133,Transaksi!$D$16:$D$5015,"Pindah",Transaksi!$B$16:$B$5015,"&lt;="&amp;MIN(EOMONTH(DATE(Dashboard!$C$4,1,1),0),TODAY()))+SUMIFS(Transaksi!$F$16:$F$5015,Transaksi!$E$16:$E$5015,$A133,Transaksi!$D$16:$D$5015,"Pindah",Transaksi!$B$16:$B$5015,"&lt;="&amp;MIN(EOMONTH(DATE(Dashboard!$C$4,1,1),0),TODAY())))</f>
        <v/>
      </c>
      <c r="D133" s="106">
        <f>IF(OR($A133="",DATE(Dashboard!$C$4,2,1)&gt;TODAY(),ISNA(MATCH($B133,{"Pribadi","Investasi (kas RDN)","Piutang","Pinjaman Mama (dompet)"},0))),"",SUMIFS(Akun!$C$5:$C$104,Akun!$A$5:$A$104,$A133,Akun!$D$5:$D$104,"&lt;="&amp;MIN(EOMONTH(DATE(Dashboard!$C$4,2,1),0),TODAY()))+SUMIFS(Transaksi!$F$16:$F$5015,Transaksi!$C$16:$C$5015,$A133,Transaksi!$D$16:$D$5015,"Masuk",Transaksi!$B$16:$B$5015,"&lt;="&amp;MIN(EOMONTH(DATE(Dashboard!$C$4,2,1),0),TODAY()))-SUMIFS(Transaksi!$F$16:$F$5015,Transaksi!$C$16:$C$5015,$A133,Transaksi!$D$16:$D$5015,"Keluar",Transaksi!$B$16:$B$5015,"&lt;="&amp;MIN(EOMONTH(DATE(Dashboard!$C$4,2,1),0),TODAY()))-SUMIFS(Transaksi!$F$16:$F$5015,Transaksi!$C$16:$C$5015,$A133,Transaksi!$D$16:$D$5015,"Pindah",Transaksi!$B$16:$B$5015,"&lt;="&amp;MIN(EOMONTH(DATE(Dashboard!$C$4,2,1),0),TODAY()))+SUMIFS(Transaksi!$F$16:$F$5015,Transaksi!$E$16:$E$5015,$A133,Transaksi!$D$16:$D$5015,"Pindah",Transaksi!$B$16:$B$5015,"&lt;="&amp;MIN(EOMONTH(DATE(Dashboard!$C$4,2,1),0),TODAY())))</f>
        <v/>
      </c>
      <c r="E133" s="106">
        <f>IF(OR($A133="",DATE(Dashboard!$C$4,3,1)&gt;TODAY(),ISNA(MATCH($B133,{"Pribadi","Investasi (kas RDN)","Piutang","Pinjaman Mama (dompet)"},0))),"",SUMIFS(Akun!$C$5:$C$104,Akun!$A$5:$A$104,$A133,Akun!$D$5:$D$104,"&lt;="&amp;MIN(EOMONTH(DATE(Dashboard!$C$4,3,1),0),TODAY()))+SUMIFS(Transaksi!$F$16:$F$5015,Transaksi!$C$16:$C$5015,$A133,Transaksi!$D$16:$D$5015,"Masuk",Transaksi!$B$16:$B$5015,"&lt;="&amp;MIN(EOMONTH(DATE(Dashboard!$C$4,3,1),0),TODAY()))-SUMIFS(Transaksi!$F$16:$F$5015,Transaksi!$C$16:$C$5015,$A133,Transaksi!$D$16:$D$5015,"Keluar",Transaksi!$B$16:$B$5015,"&lt;="&amp;MIN(EOMONTH(DATE(Dashboard!$C$4,3,1),0),TODAY()))-SUMIFS(Transaksi!$F$16:$F$5015,Transaksi!$C$16:$C$5015,$A133,Transaksi!$D$16:$D$5015,"Pindah",Transaksi!$B$16:$B$5015,"&lt;="&amp;MIN(EOMONTH(DATE(Dashboard!$C$4,3,1),0),TODAY()))+SUMIFS(Transaksi!$F$16:$F$5015,Transaksi!$E$16:$E$5015,$A133,Transaksi!$D$16:$D$5015,"Pindah",Transaksi!$B$16:$B$5015,"&lt;="&amp;MIN(EOMONTH(DATE(Dashboard!$C$4,3,1),0),TODAY())))</f>
        <v/>
      </c>
      <c r="F133" s="106">
        <f>IF(OR($A133="",DATE(Dashboard!$C$4,4,1)&gt;TODAY(),ISNA(MATCH($B133,{"Pribadi","Investasi (kas RDN)","Piutang","Pinjaman Mama (dompet)"},0))),"",SUMIFS(Akun!$C$5:$C$104,Akun!$A$5:$A$104,$A133,Akun!$D$5:$D$104,"&lt;="&amp;MIN(EOMONTH(DATE(Dashboard!$C$4,4,1),0),TODAY()))+SUMIFS(Transaksi!$F$16:$F$5015,Transaksi!$C$16:$C$5015,$A133,Transaksi!$D$16:$D$5015,"Masuk",Transaksi!$B$16:$B$5015,"&lt;="&amp;MIN(EOMONTH(DATE(Dashboard!$C$4,4,1),0),TODAY()))-SUMIFS(Transaksi!$F$16:$F$5015,Transaksi!$C$16:$C$5015,$A133,Transaksi!$D$16:$D$5015,"Keluar",Transaksi!$B$16:$B$5015,"&lt;="&amp;MIN(EOMONTH(DATE(Dashboard!$C$4,4,1),0),TODAY()))-SUMIFS(Transaksi!$F$16:$F$5015,Transaksi!$C$16:$C$5015,$A133,Transaksi!$D$16:$D$5015,"Pindah",Transaksi!$B$16:$B$5015,"&lt;="&amp;MIN(EOMONTH(DATE(Dashboard!$C$4,4,1),0),TODAY()))+SUMIFS(Transaksi!$F$16:$F$5015,Transaksi!$E$16:$E$5015,$A133,Transaksi!$D$16:$D$5015,"Pindah",Transaksi!$B$16:$B$5015,"&lt;="&amp;MIN(EOMONTH(DATE(Dashboard!$C$4,4,1),0),TODAY())))</f>
        <v/>
      </c>
      <c r="G133" s="106">
        <f>IF(OR($A133="",DATE(Dashboard!$C$4,5,1)&gt;TODAY(),ISNA(MATCH($B133,{"Pribadi","Investasi (kas RDN)","Piutang","Pinjaman Mama (dompet)"},0))),"",SUMIFS(Akun!$C$5:$C$104,Akun!$A$5:$A$104,$A133,Akun!$D$5:$D$104,"&lt;="&amp;MIN(EOMONTH(DATE(Dashboard!$C$4,5,1),0),TODAY()))+SUMIFS(Transaksi!$F$16:$F$5015,Transaksi!$C$16:$C$5015,$A133,Transaksi!$D$16:$D$5015,"Masuk",Transaksi!$B$16:$B$5015,"&lt;="&amp;MIN(EOMONTH(DATE(Dashboard!$C$4,5,1),0),TODAY()))-SUMIFS(Transaksi!$F$16:$F$5015,Transaksi!$C$16:$C$5015,$A133,Transaksi!$D$16:$D$5015,"Keluar",Transaksi!$B$16:$B$5015,"&lt;="&amp;MIN(EOMONTH(DATE(Dashboard!$C$4,5,1),0),TODAY()))-SUMIFS(Transaksi!$F$16:$F$5015,Transaksi!$C$16:$C$5015,$A133,Transaksi!$D$16:$D$5015,"Pindah",Transaksi!$B$16:$B$5015,"&lt;="&amp;MIN(EOMONTH(DATE(Dashboard!$C$4,5,1),0),TODAY()))+SUMIFS(Transaksi!$F$16:$F$5015,Transaksi!$E$16:$E$5015,$A133,Transaksi!$D$16:$D$5015,"Pindah",Transaksi!$B$16:$B$5015,"&lt;="&amp;MIN(EOMONTH(DATE(Dashboard!$C$4,5,1),0),TODAY())))</f>
        <v/>
      </c>
      <c r="H133" s="106">
        <f>IF(OR($A133="",DATE(Dashboard!$C$4,6,1)&gt;TODAY(),ISNA(MATCH($B133,{"Pribadi","Investasi (kas RDN)","Piutang","Pinjaman Mama (dompet)"},0))),"",SUMIFS(Akun!$C$5:$C$104,Akun!$A$5:$A$104,$A133,Akun!$D$5:$D$104,"&lt;="&amp;MIN(EOMONTH(DATE(Dashboard!$C$4,6,1),0),TODAY()))+SUMIFS(Transaksi!$F$16:$F$5015,Transaksi!$C$16:$C$5015,$A133,Transaksi!$D$16:$D$5015,"Masuk",Transaksi!$B$16:$B$5015,"&lt;="&amp;MIN(EOMONTH(DATE(Dashboard!$C$4,6,1),0),TODAY()))-SUMIFS(Transaksi!$F$16:$F$5015,Transaksi!$C$16:$C$5015,$A133,Transaksi!$D$16:$D$5015,"Keluar",Transaksi!$B$16:$B$5015,"&lt;="&amp;MIN(EOMONTH(DATE(Dashboard!$C$4,6,1),0),TODAY()))-SUMIFS(Transaksi!$F$16:$F$5015,Transaksi!$C$16:$C$5015,$A133,Transaksi!$D$16:$D$5015,"Pindah",Transaksi!$B$16:$B$5015,"&lt;="&amp;MIN(EOMONTH(DATE(Dashboard!$C$4,6,1),0),TODAY()))+SUMIFS(Transaksi!$F$16:$F$5015,Transaksi!$E$16:$E$5015,$A133,Transaksi!$D$16:$D$5015,"Pindah",Transaksi!$B$16:$B$5015,"&lt;="&amp;MIN(EOMONTH(DATE(Dashboard!$C$4,6,1),0),TODAY())))</f>
        <v/>
      </c>
      <c r="I133" s="106">
        <f>IF(OR($A133="",DATE(Dashboard!$C$4,7,1)&gt;TODAY(),ISNA(MATCH($B133,{"Pribadi","Investasi (kas RDN)","Piutang","Pinjaman Mama (dompet)"},0))),"",SUMIFS(Akun!$C$5:$C$104,Akun!$A$5:$A$104,$A133,Akun!$D$5:$D$104,"&lt;="&amp;MIN(EOMONTH(DATE(Dashboard!$C$4,7,1),0),TODAY()))+SUMIFS(Transaksi!$F$16:$F$5015,Transaksi!$C$16:$C$5015,$A133,Transaksi!$D$16:$D$5015,"Masuk",Transaksi!$B$16:$B$5015,"&lt;="&amp;MIN(EOMONTH(DATE(Dashboard!$C$4,7,1),0),TODAY()))-SUMIFS(Transaksi!$F$16:$F$5015,Transaksi!$C$16:$C$5015,$A133,Transaksi!$D$16:$D$5015,"Keluar",Transaksi!$B$16:$B$5015,"&lt;="&amp;MIN(EOMONTH(DATE(Dashboard!$C$4,7,1),0),TODAY()))-SUMIFS(Transaksi!$F$16:$F$5015,Transaksi!$C$16:$C$5015,$A133,Transaksi!$D$16:$D$5015,"Pindah",Transaksi!$B$16:$B$5015,"&lt;="&amp;MIN(EOMONTH(DATE(Dashboard!$C$4,7,1),0),TODAY()))+SUMIFS(Transaksi!$F$16:$F$5015,Transaksi!$E$16:$E$5015,$A133,Transaksi!$D$16:$D$5015,"Pindah",Transaksi!$B$16:$B$5015,"&lt;="&amp;MIN(EOMONTH(DATE(Dashboard!$C$4,7,1),0),TODAY())))</f>
        <v/>
      </c>
      <c r="J133" s="106">
        <f>IF(OR($A133="",DATE(Dashboard!$C$4,8,1)&gt;TODAY(),ISNA(MATCH($B133,{"Pribadi","Investasi (kas RDN)","Piutang","Pinjaman Mama (dompet)"},0))),"",SUMIFS(Akun!$C$5:$C$104,Akun!$A$5:$A$104,$A133,Akun!$D$5:$D$104,"&lt;="&amp;MIN(EOMONTH(DATE(Dashboard!$C$4,8,1),0),TODAY()))+SUMIFS(Transaksi!$F$16:$F$5015,Transaksi!$C$16:$C$5015,$A133,Transaksi!$D$16:$D$5015,"Masuk",Transaksi!$B$16:$B$5015,"&lt;="&amp;MIN(EOMONTH(DATE(Dashboard!$C$4,8,1),0),TODAY()))-SUMIFS(Transaksi!$F$16:$F$5015,Transaksi!$C$16:$C$5015,$A133,Transaksi!$D$16:$D$5015,"Keluar",Transaksi!$B$16:$B$5015,"&lt;="&amp;MIN(EOMONTH(DATE(Dashboard!$C$4,8,1),0),TODAY()))-SUMIFS(Transaksi!$F$16:$F$5015,Transaksi!$C$16:$C$5015,$A133,Transaksi!$D$16:$D$5015,"Pindah",Transaksi!$B$16:$B$5015,"&lt;="&amp;MIN(EOMONTH(DATE(Dashboard!$C$4,8,1),0),TODAY()))+SUMIFS(Transaksi!$F$16:$F$5015,Transaksi!$E$16:$E$5015,$A133,Transaksi!$D$16:$D$5015,"Pindah",Transaksi!$B$16:$B$5015,"&lt;="&amp;MIN(EOMONTH(DATE(Dashboard!$C$4,8,1),0),TODAY())))</f>
        <v/>
      </c>
      <c r="K133" s="106">
        <f>IF(OR($A133="",DATE(Dashboard!$C$4,9,1)&gt;TODAY(),ISNA(MATCH($B133,{"Pribadi","Investasi (kas RDN)","Piutang","Pinjaman Mama (dompet)"},0))),"",SUMIFS(Akun!$C$5:$C$104,Akun!$A$5:$A$104,$A133,Akun!$D$5:$D$104,"&lt;="&amp;MIN(EOMONTH(DATE(Dashboard!$C$4,9,1),0),TODAY()))+SUMIFS(Transaksi!$F$16:$F$5015,Transaksi!$C$16:$C$5015,$A133,Transaksi!$D$16:$D$5015,"Masuk",Transaksi!$B$16:$B$5015,"&lt;="&amp;MIN(EOMONTH(DATE(Dashboard!$C$4,9,1),0),TODAY()))-SUMIFS(Transaksi!$F$16:$F$5015,Transaksi!$C$16:$C$5015,$A133,Transaksi!$D$16:$D$5015,"Keluar",Transaksi!$B$16:$B$5015,"&lt;="&amp;MIN(EOMONTH(DATE(Dashboard!$C$4,9,1),0),TODAY()))-SUMIFS(Transaksi!$F$16:$F$5015,Transaksi!$C$16:$C$5015,$A133,Transaksi!$D$16:$D$5015,"Pindah",Transaksi!$B$16:$B$5015,"&lt;="&amp;MIN(EOMONTH(DATE(Dashboard!$C$4,9,1),0),TODAY()))+SUMIFS(Transaksi!$F$16:$F$5015,Transaksi!$E$16:$E$5015,$A133,Transaksi!$D$16:$D$5015,"Pindah",Transaksi!$B$16:$B$5015,"&lt;="&amp;MIN(EOMONTH(DATE(Dashboard!$C$4,9,1),0),TODAY())))</f>
        <v/>
      </c>
      <c r="L133" s="106">
        <f>IF(OR($A133="",DATE(Dashboard!$C$4,10,1)&gt;TODAY(),ISNA(MATCH($B133,{"Pribadi","Investasi (kas RDN)","Piutang","Pinjaman Mama (dompet)"},0))),"",SUMIFS(Akun!$C$5:$C$104,Akun!$A$5:$A$104,$A133,Akun!$D$5:$D$104,"&lt;="&amp;MIN(EOMONTH(DATE(Dashboard!$C$4,10,1),0),TODAY()))+SUMIFS(Transaksi!$F$16:$F$5015,Transaksi!$C$16:$C$5015,$A133,Transaksi!$D$16:$D$5015,"Masuk",Transaksi!$B$16:$B$5015,"&lt;="&amp;MIN(EOMONTH(DATE(Dashboard!$C$4,10,1),0),TODAY()))-SUMIFS(Transaksi!$F$16:$F$5015,Transaksi!$C$16:$C$5015,$A133,Transaksi!$D$16:$D$5015,"Keluar",Transaksi!$B$16:$B$5015,"&lt;="&amp;MIN(EOMONTH(DATE(Dashboard!$C$4,10,1),0),TODAY()))-SUMIFS(Transaksi!$F$16:$F$5015,Transaksi!$C$16:$C$5015,$A133,Transaksi!$D$16:$D$5015,"Pindah",Transaksi!$B$16:$B$5015,"&lt;="&amp;MIN(EOMONTH(DATE(Dashboard!$C$4,10,1),0),TODAY()))+SUMIFS(Transaksi!$F$16:$F$5015,Transaksi!$E$16:$E$5015,$A133,Transaksi!$D$16:$D$5015,"Pindah",Transaksi!$B$16:$B$5015,"&lt;="&amp;MIN(EOMONTH(DATE(Dashboard!$C$4,10,1),0),TODAY())))</f>
        <v/>
      </c>
      <c r="M133" s="106">
        <f>IF(OR($A133="",DATE(Dashboard!$C$4,11,1)&gt;TODAY(),ISNA(MATCH($B133,{"Pribadi","Investasi (kas RDN)","Piutang","Pinjaman Mama (dompet)"},0))),"",SUMIFS(Akun!$C$5:$C$104,Akun!$A$5:$A$104,$A133,Akun!$D$5:$D$104,"&lt;="&amp;MIN(EOMONTH(DATE(Dashboard!$C$4,11,1),0),TODAY()))+SUMIFS(Transaksi!$F$16:$F$5015,Transaksi!$C$16:$C$5015,$A133,Transaksi!$D$16:$D$5015,"Masuk",Transaksi!$B$16:$B$5015,"&lt;="&amp;MIN(EOMONTH(DATE(Dashboard!$C$4,11,1),0),TODAY()))-SUMIFS(Transaksi!$F$16:$F$5015,Transaksi!$C$16:$C$5015,$A133,Transaksi!$D$16:$D$5015,"Keluar",Transaksi!$B$16:$B$5015,"&lt;="&amp;MIN(EOMONTH(DATE(Dashboard!$C$4,11,1),0),TODAY()))-SUMIFS(Transaksi!$F$16:$F$5015,Transaksi!$C$16:$C$5015,$A133,Transaksi!$D$16:$D$5015,"Pindah",Transaksi!$B$16:$B$5015,"&lt;="&amp;MIN(EOMONTH(DATE(Dashboard!$C$4,11,1),0),TODAY()))+SUMIFS(Transaksi!$F$16:$F$5015,Transaksi!$E$16:$E$5015,$A133,Transaksi!$D$16:$D$5015,"Pindah",Transaksi!$B$16:$B$5015,"&lt;="&amp;MIN(EOMONTH(DATE(Dashboard!$C$4,11,1),0),TODAY())))</f>
        <v/>
      </c>
      <c r="N133" s="106">
        <f>IF(OR($A133="",DATE(Dashboard!$C$4,12,1)&gt;TODAY(),ISNA(MATCH($B133,{"Pribadi","Investasi (kas RDN)","Piutang","Pinjaman Mama (dompet)"},0))),"",SUMIFS(Akun!$C$5:$C$104,Akun!$A$5:$A$104,$A133,Akun!$D$5:$D$104,"&lt;="&amp;MIN(EOMONTH(DATE(Dashboard!$C$4,12,1),0),TODAY()))+SUMIFS(Transaksi!$F$16:$F$5015,Transaksi!$C$16:$C$5015,$A133,Transaksi!$D$16:$D$5015,"Masuk",Transaksi!$B$16:$B$5015,"&lt;="&amp;MIN(EOMONTH(DATE(Dashboard!$C$4,12,1),0),TODAY()))-SUMIFS(Transaksi!$F$16:$F$5015,Transaksi!$C$16:$C$5015,$A133,Transaksi!$D$16:$D$5015,"Keluar",Transaksi!$B$16:$B$5015,"&lt;="&amp;MIN(EOMONTH(DATE(Dashboard!$C$4,12,1),0),TODAY()))-SUMIFS(Transaksi!$F$16:$F$5015,Transaksi!$C$16:$C$5015,$A133,Transaksi!$D$16:$D$5015,"Pindah",Transaksi!$B$16:$B$5015,"&lt;="&amp;MIN(EOMONTH(DATE(Dashboard!$C$4,12,1),0),TODAY()))+SUMIFS(Transaksi!$F$16:$F$5015,Transaksi!$E$16:$E$5015,$A133,Transaksi!$D$16:$D$5015,"Pindah",Transaksi!$B$16:$B$5015,"&lt;="&amp;MIN(EOMONTH(DATE(Dashboard!$C$4,12,1),0),TODAY())))</f>
        <v/>
      </c>
    </row>
    <row r="134" ht="15" customHeight="1" s="94">
      <c r="A134" s="93">
        <f>IF(Akun!$A$98="","",Akun!$A$98)</f>
        <v/>
      </c>
      <c r="B134" s="93">
        <f>IF(Akun!$A$98="","",Akun!$B$98)</f>
        <v/>
      </c>
      <c r="C134" s="106">
        <f>IF(OR($A134="",DATE(Dashboard!$C$4,1,1)&gt;TODAY(),ISNA(MATCH($B134,{"Pribadi","Investasi (kas RDN)","Piutang","Pinjaman Mama (dompet)"},0))),"",SUMIFS(Akun!$C$5:$C$104,Akun!$A$5:$A$104,$A134,Akun!$D$5:$D$104,"&lt;="&amp;MIN(EOMONTH(DATE(Dashboard!$C$4,1,1),0),TODAY()))+SUMIFS(Transaksi!$F$16:$F$5015,Transaksi!$C$16:$C$5015,$A134,Transaksi!$D$16:$D$5015,"Masuk",Transaksi!$B$16:$B$5015,"&lt;="&amp;MIN(EOMONTH(DATE(Dashboard!$C$4,1,1),0),TODAY()))-SUMIFS(Transaksi!$F$16:$F$5015,Transaksi!$C$16:$C$5015,$A134,Transaksi!$D$16:$D$5015,"Keluar",Transaksi!$B$16:$B$5015,"&lt;="&amp;MIN(EOMONTH(DATE(Dashboard!$C$4,1,1),0),TODAY()))-SUMIFS(Transaksi!$F$16:$F$5015,Transaksi!$C$16:$C$5015,$A134,Transaksi!$D$16:$D$5015,"Pindah",Transaksi!$B$16:$B$5015,"&lt;="&amp;MIN(EOMONTH(DATE(Dashboard!$C$4,1,1),0),TODAY()))+SUMIFS(Transaksi!$F$16:$F$5015,Transaksi!$E$16:$E$5015,$A134,Transaksi!$D$16:$D$5015,"Pindah",Transaksi!$B$16:$B$5015,"&lt;="&amp;MIN(EOMONTH(DATE(Dashboard!$C$4,1,1),0),TODAY())))</f>
        <v/>
      </c>
      <c r="D134" s="106">
        <f>IF(OR($A134="",DATE(Dashboard!$C$4,2,1)&gt;TODAY(),ISNA(MATCH($B134,{"Pribadi","Investasi (kas RDN)","Piutang","Pinjaman Mama (dompet)"},0))),"",SUMIFS(Akun!$C$5:$C$104,Akun!$A$5:$A$104,$A134,Akun!$D$5:$D$104,"&lt;="&amp;MIN(EOMONTH(DATE(Dashboard!$C$4,2,1),0),TODAY()))+SUMIFS(Transaksi!$F$16:$F$5015,Transaksi!$C$16:$C$5015,$A134,Transaksi!$D$16:$D$5015,"Masuk",Transaksi!$B$16:$B$5015,"&lt;="&amp;MIN(EOMONTH(DATE(Dashboard!$C$4,2,1),0),TODAY()))-SUMIFS(Transaksi!$F$16:$F$5015,Transaksi!$C$16:$C$5015,$A134,Transaksi!$D$16:$D$5015,"Keluar",Transaksi!$B$16:$B$5015,"&lt;="&amp;MIN(EOMONTH(DATE(Dashboard!$C$4,2,1),0),TODAY()))-SUMIFS(Transaksi!$F$16:$F$5015,Transaksi!$C$16:$C$5015,$A134,Transaksi!$D$16:$D$5015,"Pindah",Transaksi!$B$16:$B$5015,"&lt;="&amp;MIN(EOMONTH(DATE(Dashboard!$C$4,2,1),0),TODAY()))+SUMIFS(Transaksi!$F$16:$F$5015,Transaksi!$E$16:$E$5015,$A134,Transaksi!$D$16:$D$5015,"Pindah",Transaksi!$B$16:$B$5015,"&lt;="&amp;MIN(EOMONTH(DATE(Dashboard!$C$4,2,1),0),TODAY())))</f>
        <v/>
      </c>
      <c r="E134" s="106">
        <f>IF(OR($A134="",DATE(Dashboard!$C$4,3,1)&gt;TODAY(),ISNA(MATCH($B134,{"Pribadi","Investasi (kas RDN)","Piutang","Pinjaman Mama (dompet)"},0))),"",SUMIFS(Akun!$C$5:$C$104,Akun!$A$5:$A$104,$A134,Akun!$D$5:$D$104,"&lt;="&amp;MIN(EOMONTH(DATE(Dashboard!$C$4,3,1),0),TODAY()))+SUMIFS(Transaksi!$F$16:$F$5015,Transaksi!$C$16:$C$5015,$A134,Transaksi!$D$16:$D$5015,"Masuk",Transaksi!$B$16:$B$5015,"&lt;="&amp;MIN(EOMONTH(DATE(Dashboard!$C$4,3,1),0),TODAY()))-SUMIFS(Transaksi!$F$16:$F$5015,Transaksi!$C$16:$C$5015,$A134,Transaksi!$D$16:$D$5015,"Keluar",Transaksi!$B$16:$B$5015,"&lt;="&amp;MIN(EOMONTH(DATE(Dashboard!$C$4,3,1),0),TODAY()))-SUMIFS(Transaksi!$F$16:$F$5015,Transaksi!$C$16:$C$5015,$A134,Transaksi!$D$16:$D$5015,"Pindah",Transaksi!$B$16:$B$5015,"&lt;="&amp;MIN(EOMONTH(DATE(Dashboard!$C$4,3,1),0),TODAY()))+SUMIFS(Transaksi!$F$16:$F$5015,Transaksi!$E$16:$E$5015,$A134,Transaksi!$D$16:$D$5015,"Pindah",Transaksi!$B$16:$B$5015,"&lt;="&amp;MIN(EOMONTH(DATE(Dashboard!$C$4,3,1),0),TODAY())))</f>
        <v/>
      </c>
      <c r="F134" s="106">
        <f>IF(OR($A134="",DATE(Dashboard!$C$4,4,1)&gt;TODAY(),ISNA(MATCH($B134,{"Pribadi","Investasi (kas RDN)","Piutang","Pinjaman Mama (dompet)"},0))),"",SUMIFS(Akun!$C$5:$C$104,Akun!$A$5:$A$104,$A134,Akun!$D$5:$D$104,"&lt;="&amp;MIN(EOMONTH(DATE(Dashboard!$C$4,4,1),0),TODAY()))+SUMIFS(Transaksi!$F$16:$F$5015,Transaksi!$C$16:$C$5015,$A134,Transaksi!$D$16:$D$5015,"Masuk",Transaksi!$B$16:$B$5015,"&lt;="&amp;MIN(EOMONTH(DATE(Dashboard!$C$4,4,1),0),TODAY()))-SUMIFS(Transaksi!$F$16:$F$5015,Transaksi!$C$16:$C$5015,$A134,Transaksi!$D$16:$D$5015,"Keluar",Transaksi!$B$16:$B$5015,"&lt;="&amp;MIN(EOMONTH(DATE(Dashboard!$C$4,4,1),0),TODAY()))-SUMIFS(Transaksi!$F$16:$F$5015,Transaksi!$C$16:$C$5015,$A134,Transaksi!$D$16:$D$5015,"Pindah",Transaksi!$B$16:$B$5015,"&lt;="&amp;MIN(EOMONTH(DATE(Dashboard!$C$4,4,1),0),TODAY()))+SUMIFS(Transaksi!$F$16:$F$5015,Transaksi!$E$16:$E$5015,$A134,Transaksi!$D$16:$D$5015,"Pindah",Transaksi!$B$16:$B$5015,"&lt;="&amp;MIN(EOMONTH(DATE(Dashboard!$C$4,4,1),0),TODAY())))</f>
        <v/>
      </c>
      <c r="G134" s="106">
        <f>IF(OR($A134="",DATE(Dashboard!$C$4,5,1)&gt;TODAY(),ISNA(MATCH($B134,{"Pribadi","Investasi (kas RDN)","Piutang","Pinjaman Mama (dompet)"},0))),"",SUMIFS(Akun!$C$5:$C$104,Akun!$A$5:$A$104,$A134,Akun!$D$5:$D$104,"&lt;="&amp;MIN(EOMONTH(DATE(Dashboard!$C$4,5,1),0),TODAY()))+SUMIFS(Transaksi!$F$16:$F$5015,Transaksi!$C$16:$C$5015,$A134,Transaksi!$D$16:$D$5015,"Masuk",Transaksi!$B$16:$B$5015,"&lt;="&amp;MIN(EOMONTH(DATE(Dashboard!$C$4,5,1),0),TODAY()))-SUMIFS(Transaksi!$F$16:$F$5015,Transaksi!$C$16:$C$5015,$A134,Transaksi!$D$16:$D$5015,"Keluar",Transaksi!$B$16:$B$5015,"&lt;="&amp;MIN(EOMONTH(DATE(Dashboard!$C$4,5,1),0),TODAY()))-SUMIFS(Transaksi!$F$16:$F$5015,Transaksi!$C$16:$C$5015,$A134,Transaksi!$D$16:$D$5015,"Pindah",Transaksi!$B$16:$B$5015,"&lt;="&amp;MIN(EOMONTH(DATE(Dashboard!$C$4,5,1),0),TODAY()))+SUMIFS(Transaksi!$F$16:$F$5015,Transaksi!$E$16:$E$5015,$A134,Transaksi!$D$16:$D$5015,"Pindah",Transaksi!$B$16:$B$5015,"&lt;="&amp;MIN(EOMONTH(DATE(Dashboard!$C$4,5,1),0),TODAY())))</f>
        <v/>
      </c>
      <c r="H134" s="106">
        <f>IF(OR($A134="",DATE(Dashboard!$C$4,6,1)&gt;TODAY(),ISNA(MATCH($B134,{"Pribadi","Investasi (kas RDN)","Piutang","Pinjaman Mama (dompet)"},0))),"",SUMIFS(Akun!$C$5:$C$104,Akun!$A$5:$A$104,$A134,Akun!$D$5:$D$104,"&lt;="&amp;MIN(EOMONTH(DATE(Dashboard!$C$4,6,1),0),TODAY()))+SUMIFS(Transaksi!$F$16:$F$5015,Transaksi!$C$16:$C$5015,$A134,Transaksi!$D$16:$D$5015,"Masuk",Transaksi!$B$16:$B$5015,"&lt;="&amp;MIN(EOMONTH(DATE(Dashboard!$C$4,6,1),0),TODAY()))-SUMIFS(Transaksi!$F$16:$F$5015,Transaksi!$C$16:$C$5015,$A134,Transaksi!$D$16:$D$5015,"Keluar",Transaksi!$B$16:$B$5015,"&lt;="&amp;MIN(EOMONTH(DATE(Dashboard!$C$4,6,1),0),TODAY()))-SUMIFS(Transaksi!$F$16:$F$5015,Transaksi!$C$16:$C$5015,$A134,Transaksi!$D$16:$D$5015,"Pindah",Transaksi!$B$16:$B$5015,"&lt;="&amp;MIN(EOMONTH(DATE(Dashboard!$C$4,6,1),0),TODAY()))+SUMIFS(Transaksi!$F$16:$F$5015,Transaksi!$E$16:$E$5015,$A134,Transaksi!$D$16:$D$5015,"Pindah",Transaksi!$B$16:$B$5015,"&lt;="&amp;MIN(EOMONTH(DATE(Dashboard!$C$4,6,1),0),TODAY())))</f>
        <v/>
      </c>
      <c r="I134" s="106">
        <f>IF(OR($A134="",DATE(Dashboard!$C$4,7,1)&gt;TODAY(),ISNA(MATCH($B134,{"Pribadi","Investasi (kas RDN)","Piutang","Pinjaman Mama (dompet)"},0))),"",SUMIFS(Akun!$C$5:$C$104,Akun!$A$5:$A$104,$A134,Akun!$D$5:$D$104,"&lt;="&amp;MIN(EOMONTH(DATE(Dashboard!$C$4,7,1),0),TODAY()))+SUMIFS(Transaksi!$F$16:$F$5015,Transaksi!$C$16:$C$5015,$A134,Transaksi!$D$16:$D$5015,"Masuk",Transaksi!$B$16:$B$5015,"&lt;="&amp;MIN(EOMONTH(DATE(Dashboard!$C$4,7,1),0),TODAY()))-SUMIFS(Transaksi!$F$16:$F$5015,Transaksi!$C$16:$C$5015,$A134,Transaksi!$D$16:$D$5015,"Keluar",Transaksi!$B$16:$B$5015,"&lt;="&amp;MIN(EOMONTH(DATE(Dashboard!$C$4,7,1),0),TODAY()))-SUMIFS(Transaksi!$F$16:$F$5015,Transaksi!$C$16:$C$5015,$A134,Transaksi!$D$16:$D$5015,"Pindah",Transaksi!$B$16:$B$5015,"&lt;="&amp;MIN(EOMONTH(DATE(Dashboard!$C$4,7,1),0),TODAY()))+SUMIFS(Transaksi!$F$16:$F$5015,Transaksi!$E$16:$E$5015,$A134,Transaksi!$D$16:$D$5015,"Pindah",Transaksi!$B$16:$B$5015,"&lt;="&amp;MIN(EOMONTH(DATE(Dashboard!$C$4,7,1),0),TODAY())))</f>
        <v/>
      </c>
      <c r="J134" s="106">
        <f>IF(OR($A134="",DATE(Dashboard!$C$4,8,1)&gt;TODAY(),ISNA(MATCH($B134,{"Pribadi","Investasi (kas RDN)","Piutang","Pinjaman Mama (dompet)"},0))),"",SUMIFS(Akun!$C$5:$C$104,Akun!$A$5:$A$104,$A134,Akun!$D$5:$D$104,"&lt;="&amp;MIN(EOMONTH(DATE(Dashboard!$C$4,8,1),0),TODAY()))+SUMIFS(Transaksi!$F$16:$F$5015,Transaksi!$C$16:$C$5015,$A134,Transaksi!$D$16:$D$5015,"Masuk",Transaksi!$B$16:$B$5015,"&lt;="&amp;MIN(EOMONTH(DATE(Dashboard!$C$4,8,1),0),TODAY()))-SUMIFS(Transaksi!$F$16:$F$5015,Transaksi!$C$16:$C$5015,$A134,Transaksi!$D$16:$D$5015,"Keluar",Transaksi!$B$16:$B$5015,"&lt;="&amp;MIN(EOMONTH(DATE(Dashboard!$C$4,8,1),0),TODAY()))-SUMIFS(Transaksi!$F$16:$F$5015,Transaksi!$C$16:$C$5015,$A134,Transaksi!$D$16:$D$5015,"Pindah",Transaksi!$B$16:$B$5015,"&lt;="&amp;MIN(EOMONTH(DATE(Dashboard!$C$4,8,1),0),TODAY()))+SUMIFS(Transaksi!$F$16:$F$5015,Transaksi!$E$16:$E$5015,$A134,Transaksi!$D$16:$D$5015,"Pindah",Transaksi!$B$16:$B$5015,"&lt;="&amp;MIN(EOMONTH(DATE(Dashboard!$C$4,8,1),0),TODAY())))</f>
        <v/>
      </c>
      <c r="K134" s="106">
        <f>IF(OR($A134="",DATE(Dashboard!$C$4,9,1)&gt;TODAY(),ISNA(MATCH($B134,{"Pribadi","Investasi (kas RDN)","Piutang","Pinjaman Mama (dompet)"},0))),"",SUMIFS(Akun!$C$5:$C$104,Akun!$A$5:$A$104,$A134,Akun!$D$5:$D$104,"&lt;="&amp;MIN(EOMONTH(DATE(Dashboard!$C$4,9,1),0),TODAY()))+SUMIFS(Transaksi!$F$16:$F$5015,Transaksi!$C$16:$C$5015,$A134,Transaksi!$D$16:$D$5015,"Masuk",Transaksi!$B$16:$B$5015,"&lt;="&amp;MIN(EOMONTH(DATE(Dashboard!$C$4,9,1),0),TODAY()))-SUMIFS(Transaksi!$F$16:$F$5015,Transaksi!$C$16:$C$5015,$A134,Transaksi!$D$16:$D$5015,"Keluar",Transaksi!$B$16:$B$5015,"&lt;="&amp;MIN(EOMONTH(DATE(Dashboard!$C$4,9,1),0),TODAY()))-SUMIFS(Transaksi!$F$16:$F$5015,Transaksi!$C$16:$C$5015,$A134,Transaksi!$D$16:$D$5015,"Pindah",Transaksi!$B$16:$B$5015,"&lt;="&amp;MIN(EOMONTH(DATE(Dashboard!$C$4,9,1),0),TODAY()))+SUMIFS(Transaksi!$F$16:$F$5015,Transaksi!$E$16:$E$5015,$A134,Transaksi!$D$16:$D$5015,"Pindah",Transaksi!$B$16:$B$5015,"&lt;="&amp;MIN(EOMONTH(DATE(Dashboard!$C$4,9,1),0),TODAY())))</f>
        <v/>
      </c>
      <c r="L134" s="106">
        <f>IF(OR($A134="",DATE(Dashboard!$C$4,10,1)&gt;TODAY(),ISNA(MATCH($B134,{"Pribadi","Investasi (kas RDN)","Piutang","Pinjaman Mama (dompet)"},0))),"",SUMIFS(Akun!$C$5:$C$104,Akun!$A$5:$A$104,$A134,Akun!$D$5:$D$104,"&lt;="&amp;MIN(EOMONTH(DATE(Dashboard!$C$4,10,1),0),TODAY()))+SUMIFS(Transaksi!$F$16:$F$5015,Transaksi!$C$16:$C$5015,$A134,Transaksi!$D$16:$D$5015,"Masuk",Transaksi!$B$16:$B$5015,"&lt;="&amp;MIN(EOMONTH(DATE(Dashboard!$C$4,10,1),0),TODAY()))-SUMIFS(Transaksi!$F$16:$F$5015,Transaksi!$C$16:$C$5015,$A134,Transaksi!$D$16:$D$5015,"Keluar",Transaksi!$B$16:$B$5015,"&lt;="&amp;MIN(EOMONTH(DATE(Dashboard!$C$4,10,1),0),TODAY()))-SUMIFS(Transaksi!$F$16:$F$5015,Transaksi!$C$16:$C$5015,$A134,Transaksi!$D$16:$D$5015,"Pindah",Transaksi!$B$16:$B$5015,"&lt;="&amp;MIN(EOMONTH(DATE(Dashboard!$C$4,10,1),0),TODAY()))+SUMIFS(Transaksi!$F$16:$F$5015,Transaksi!$E$16:$E$5015,$A134,Transaksi!$D$16:$D$5015,"Pindah",Transaksi!$B$16:$B$5015,"&lt;="&amp;MIN(EOMONTH(DATE(Dashboard!$C$4,10,1),0),TODAY())))</f>
        <v/>
      </c>
      <c r="M134" s="106">
        <f>IF(OR($A134="",DATE(Dashboard!$C$4,11,1)&gt;TODAY(),ISNA(MATCH($B134,{"Pribadi","Investasi (kas RDN)","Piutang","Pinjaman Mama (dompet)"},0))),"",SUMIFS(Akun!$C$5:$C$104,Akun!$A$5:$A$104,$A134,Akun!$D$5:$D$104,"&lt;="&amp;MIN(EOMONTH(DATE(Dashboard!$C$4,11,1),0),TODAY()))+SUMIFS(Transaksi!$F$16:$F$5015,Transaksi!$C$16:$C$5015,$A134,Transaksi!$D$16:$D$5015,"Masuk",Transaksi!$B$16:$B$5015,"&lt;="&amp;MIN(EOMONTH(DATE(Dashboard!$C$4,11,1),0),TODAY()))-SUMIFS(Transaksi!$F$16:$F$5015,Transaksi!$C$16:$C$5015,$A134,Transaksi!$D$16:$D$5015,"Keluar",Transaksi!$B$16:$B$5015,"&lt;="&amp;MIN(EOMONTH(DATE(Dashboard!$C$4,11,1),0),TODAY()))-SUMIFS(Transaksi!$F$16:$F$5015,Transaksi!$C$16:$C$5015,$A134,Transaksi!$D$16:$D$5015,"Pindah",Transaksi!$B$16:$B$5015,"&lt;="&amp;MIN(EOMONTH(DATE(Dashboard!$C$4,11,1),0),TODAY()))+SUMIFS(Transaksi!$F$16:$F$5015,Transaksi!$E$16:$E$5015,$A134,Transaksi!$D$16:$D$5015,"Pindah",Transaksi!$B$16:$B$5015,"&lt;="&amp;MIN(EOMONTH(DATE(Dashboard!$C$4,11,1),0),TODAY())))</f>
        <v/>
      </c>
      <c r="N134" s="106">
        <f>IF(OR($A134="",DATE(Dashboard!$C$4,12,1)&gt;TODAY(),ISNA(MATCH($B134,{"Pribadi","Investasi (kas RDN)","Piutang","Pinjaman Mama (dompet)"},0))),"",SUMIFS(Akun!$C$5:$C$104,Akun!$A$5:$A$104,$A134,Akun!$D$5:$D$104,"&lt;="&amp;MIN(EOMONTH(DATE(Dashboard!$C$4,12,1),0),TODAY()))+SUMIFS(Transaksi!$F$16:$F$5015,Transaksi!$C$16:$C$5015,$A134,Transaksi!$D$16:$D$5015,"Masuk",Transaksi!$B$16:$B$5015,"&lt;="&amp;MIN(EOMONTH(DATE(Dashboard!$C$4,12,1),0),TODAY()))-SUMIFS(Transaksi!$F$16:$F$5015,Transaksi!$C$16:$C$5015,$A134,Transaksi!$D$16:$D$5015,"Keluar",Transaksi!$B$16:$B$5015,"&lt;="&amp;MIN(EOMONTH(DATE(Dashboard!$C$4,12,1),0),TODAY()))-SUMIFS(Transaksi!$F$16:$F$5015,Transaksi!$C$16:$C$5015,$A134,Transaksi!$D$16:$D$5015,"Pindah",Transaksi!$B$16:$B$5015,"&lt;="&amp;MIN(EOMONTH(DATE(Dashboard!$C$4,12,1),0),TODAY()))+SUMIFS(Transaksi!$F$16:$F$5015,Transaksi!$E$16:$E$5015,$A134,Transaksi!$D$16:$D$5015,"Pindah",Transaksi!$B$16:$B$5015,"&lt;="&amp;MIN(EOMONTH(DATE(Dashboard!$C$4,12,1),0),TODAY())))</f>
        <v/>
      </c>
    </row>
    <row r="135" ht="15" customHeight="1" s="94">
      <c r="A135" s="93">
        <f>IF(Akun!$A$99="","",Akun!$A$99)</f>
        <v/>
      </c>
      <c r="B135" s="93">
        <f>IF(Akun!$A$99="","",Akun!$B$99)</f>
        <v/>
      </c>
      <c r="C135" s="106">
        <f>IF(OR($A135="",DATE(Dashboard!$C$4,1,1)&gt;TODAY(),ISNA(MATCH($B135,{"Pribadi","Investasi (kas RDN)","Piutang","Pinjaman Mama (dompet)"},0))),"",SUMIFS(Akun!$C$5:$C$104,Akun!$A$5:$A$104,$A135,Akun!$D$5:$D$104,"&lt;="&amp;MIN(EOMONTH(DATE(Dashboard!$C$4,1,1),0),TODAY()))+SUMIFS(Transaksi!$F$16:$F$5015,Transaksi!$C$16:$C$5015,$A135,Transaksi!$D$16:$D$5015,"Masuk",Transaksi!$B$16:$B$5015,"&lt;="&amp;MIN(EOMONTH(DATE(Dashboard!$C$4,1,1),0),TODAY()))-SUMIFS(Transaksi!$F$16:$F$5015,Transaksi!$C$16:$C$5015,$A135,Transaksi!$D$16:$D$5015,"Keluar",Transaksi!$B$16:$B$5015,"&lt;="&amp;MIN(EOMONTH(DATE(Dashboard!$C$4,1,1),0),TODAY()))-SUMIFS(Transaksi!$F$16:$F$5015,Transaksi!$C$16:$C$5015,$A135,Transaksi!$D$16:$D$5015,"Pindah",Transaksi!$B$16:$B$5015,"&lt;="&amp;MIN(EOMONTH(DATE(Dashboard!$C$4,1,1),0),TODAY()))+SUMIFS(Transaksi!$F$16:$F$5015,Transaksi!$E$16:$E$5015,$A135,Transaksi!$D$16:$D$5015,"Pindah",Transaksi!$B$16:$B$5015,"&lt;="&amp;MIN(EOMONTH(DATE(Dashboard!$C$4,1,1),0),TODAY())))</f>
        <v/>
      </c>
      <c r="D135" s="106">
        <f>IF(OR($A135="",DATE(Dashboard!$C$4,2,1)&gt;TODAY(),ISNA(MATCH($B135,{"Pribadi","Investasi (kas RDN)","Piutang","Pinjaman Mama (dompet)"},0))),"",SUMIFS(Akun!$C$5:$C$104,Akun!$A$5:$A$104,$A135,Akun!$D$5:$D$104,"&lt;="&amp;MIN(EOMONTH(DATE(Dashboard!$C$4,2,1),0),TODAY()))+SUMIFS(Transaksi!$F$16:$F$5015,Transaksi!$C$16:$C$5015,$A135,Transaksi!$D$16:$D$5015,"Masuk",Transaksi!$B$16:$B$5015,"&lt;="&amp;MIN(EOMONTH(DATE(Dashboard!$C$4,2,1),0),TODAY()))-SUMIFS(Transaksi!$F$16:$F$5015,Transaksi!$C$16:$C$5015,$A135,Transaksi!$D$16:$D$5015,"Keluar",Transaksi!$B$16:$B$5015,"&lt;="&amp;MIN(EOMONTH(DATE(Dashboard!$C$4,2,1),0),TODAY()))-SUMIFS(Transaksi!$F$16:$F$5015,Transaksi!$C$16:$C$5015,$A135,Transaksi!$D$16:$D$5015,"Pindah",Transaksi!$B$16:$B$5015,"&lt;="&amp;MIN(EOMONTH(DATE(Dashboard!$C$4,2,1),0),TODAY()))+SUMIFS(Transaksi!$F$16:$F$5015,Transaksi!$E$16:$E$5015,$A135,Transaksi!$D$16:$D$5015,"Pindah",Transaksi!$B$16:$B$5015,"&lt;="&amp;MIN(EOMONTH(DATE(Dashboard!$C$4,2,1),0),TODAY())))</f>
        <v/>
      </c>
      <c r="E135" s="106">
        <f>IF(OR($A135="",DATE(Dashboard!$C$4,3,1)&gt;TODAY(),ISNA(MATCH($B135,{"Pribadi","Investasi (kas RDN)","Piutang","Pinjaman Mama (dompet)"},0))),"",SUMIFS(Akun!$C$5:$C$104,Akun!$A$5:$A$104,$A135,Akun!$D$5:$D$104,"&lt;="&amp;MIN(EOMONTH(DATE(Dashboard!$C$4,3,1),0),TODAY()))+SUMIFS(Transaksi!$F$16:$F$5015,Transaksi!$C$16:$C$5015,$A135,Transaksi!$D$16:$D$5015,"Masuk",Transaksi!$B$16:$B$5015,"&lt;="&amp;MIN(EOMONTH(DATE(Dashboard!$C$4,3,1),0),TODAY()))-SUMIFS(Transaksi!$F$16:$F$5015,Transaksi!$C$16:$C$5015,$A135,Transaksi!$D$16:$D$5015,"Keluar",Transaksi!$B$16:$B$5015,"&lt;="&amp;MIN(EOMONTH(DATE(Dashboard!$C$4,3,1),0),TODAY()))-SUMIFS(Transaksi!$F$16:$F$5015,Transaksi!$C$16:$C$5015,$A135,Transaksi!$D$16:$D$5015,"Pindah",Transaksi!$B$16:$B$5015,"&lt;="&amp;MIN(EOMONTH(DATE(Dashboard!$C$4,3,1),0),TODAY()))+SUMIFS(Transaksi!$F$16:$F$5015,Transaksi!$E$16:$E$5015,$A135,Transaksi!$D$16:$D$5015,"Pindah",Transaksi!$B$16:$B$5015,"&lt;="&amp;MIN(EOMONTH(DATE(Dashboard!$C$4,3,1),0),TODAY())))</f>
        <v/>
      </c>
      <c r="F135" s="106">
        <f>IF(OR($A135="",DATE(Dashboard!$C$4,4,1)&gt;TODAY(),ISNA(MATCH($B135,{"Pribadi","Investasi (kas RDN)","Piutang","Pinjaman Mama (dompet)"},0))),"",SUMIFS(Akun!$C$5:$C$104,Akun!$A$5:$A$104,$A135,Akun!$D$5:$D$104,"&lt;="&amp;MIN(EOMONTH(DATE(Dashboard!$C$4,4,1),0),TODAY()))+SUMIFS(Transaksi!$F$16:$F$5015,Transaksi!$C$16:$C$5015,$A135,Transaksi!$D$16:$D$5015,"Masuk",Transaksi!$B$16:$B$5015,"&lt;="&amp;MIN(EOMONTH(DATE(Dashboard!$C$4,4,1),0),TODAY()))-SUMIFS(Transaksi!$F$16:$F$5015,Transaksi!$C$16:$C$5015,$A135,Transaksi!$D$16:$D$5015,"Keluar",Transaksi!$B$16:$B$5015,"&lt;="&amp;MIN(EOMONTH(DATE(Dashboard!$C$4,4,1),0),TODAY()))-SUMIFS(Transaksi!$F$16:$F$5015,Transaksi!$C$16:$C$5015,$A135,Transaksi!$D$16:$D$5015,"Pindah",Transaksi!$B$16:$B$5015,"&lt;="&amp;MIN(EOMONTH(DATE(Dashboard!$C$4,4,1),0),TODAY()))+SUMIFS(Transaksi!$F$16:$F$5015,Transaksi!$E$16:$E$5015,$A135,Transaksi!$D$16:$D$5015,"Pindah",Transaksi!$B$16:$B$5015,"&lt;="&amp;MIN(EOMONTH(DATE(Dashboard!$C$4,4,1),0),TODAY())))</f>
        <v/>
      </c>
      <c r="G135" s="106">
        <f>IF(OR($A135="",DATE(Dashboard!$C$4,5,1)&gt;TODAY(),ISNA(MATCH($B135,{"Pribadi","Investasi (kas RDN)","Piutang","Pinjaman Mama (dompet)"},0))),"",SUMIFS(Akun!$C$5:$C$104,Akun!$A$5:$A$104,$A135,Akun!$D$5:$D$104,"&lt;="&amp;MIN(EOMONTH(DATE(Dashboard!$C$4,5,1),0),TODAY()))+SUMIFS(Transaksi!$F$16:$F$5015,Transaksi!$C$16:$C$5015,$A135,Transaksi!$D$16:$D$5015,"Masuk",Transaksi!$B$16:$B$5015,"&lt;="&amp;MIN(EOMONTH(DATE(Dashboard!$C$4,5,1),0),TODAY()))-SUMIFS(Transaksi!$F$16:$F$5015,Transaksi!$C$16:$C$5015,$A135,Transaksi!$D$16:$D$5015,"Keluar",Transaksi!$B$16:$B$5015,"&lt;="&amp;MIN(EOMONTH(DATE(Dashboard!$C$4,5,1),0),TODAY()))-SUMIFS(Transaksi!$F$16:$F$5015,Transaksi!$C$16:$C$5015,$A135,Transaksi!$D$16:$D$5015,"Pindah",Transaksi!$B$16:$B$5015,"&lt;="&amp;MIN(EOMONTH(DATE(Dashboard!$C$4,5,1),0),TODAY()))+SUMIFS(Transaksi!$F$16:$F$5015,Transaksi!$E$16:$E$5015,$A135,Transaksi!$D$16:$D$5015,"Pindah",Transaksi!$B$16:$B$5015,"&lt;="&amp;MIN(EOMONTH(DATE(Dashboard!$C$4,5,1),0),TODAY())))</f>
        <v/>
      </c>
      <c r="H135" s="106">
        <f>IF(OR($A135="",DATE(Dashboard!$C$4,6,1)&gt;TODAY(),ISNA(MATCH($B135,{"Pribadi","Investasi (kas RDN)","Piutang","Pinjaman Mama (dompet)"},0))),"",SUMIFS(Akun!$C$5:$C$104,Akun!$A$5:$A$104,$A135,Akun!$D$5:$D$104,"&lt;="&amp;MIN(EOMONTH(DATE(Dashboard!$C$4,6,1),0),TODAY()))+SUMIFS(Transaksi!$F$16:$F$5015,Transaksi!$C$16:$C$5015,$A135,Transaksi!$D$16:$D$5015,"Masuk",Transaksi!$B$16:$B$5015,"&lt;="&amp;MIN(EOMONTH(DATE(Dashboard!$C$4,6,1),0),TODAY()))-SUMIFS(Transaksi!$F$16:$F$5015,Transaksi!$C$16:$C$5015,$A135,Transaksi!$D$16:$D$5015,"Keluar",Transaksi!$B$16:$B$5015,"&lt;="&amp;MIN(EOMONTH(DATE(Dashboard!$C$4,6,1),0),TODAY()))-SUMIFS(Transaksi!$F$16:$F$5015,Transaksi!$C$16:$C$5015,$A135,Transaksi!$D$16:$D$5015,"Pindah",Transaksi!$B$16:$B$5015,"&lt;="&amp;MIN(EOMONTH(DATE(Dashboard!$C$4,6,1),0),TODAY()))+SUMIFS(Transaksi!$F$16:$F$5015,Transaksi!$E$16:$E$5015,$A135,Transaksi!$D$16:$D$5015,"Pindah",Transaksi!$B$16:$B$5015,"&lt;="&amp;MIN(EOMONTH(DATE(Dashboard!$C$4,6,1),0),TODAY())))</f>
        <v/>
      </c>
      <c r="I135" s="106">
        <f>IF(OR($A135="",DATE(Dashboard!$C$4,7,1)&gt;TODAY(),ISNA(MATCH($B135,{"Pribadi","Investasi (kas RDN)","Piutang","Pinjaman Mama (dompet)"},0))),"",SUMIFS(Akun!$C$5:$C$104,Akun!$A$5:$A$104,$A135,Akun!$D$5:$D$104,"&lt;="&amp;MIN(EOMONTH(DATE(Dashboard!$C$4,7,1),0),TODAY()))+SUMIFS(Transaksi!$F$16:$F$5015,Transaksi!$C$16:$C$5015,$A135,Transaksi!$D$16:$D$5015,"Masuk",Transaksi!$B$16:$B$5015,"&lt;="&amp;MIN(EOMONTH(DATE(Dashboard!$C$4,7,1),0),TODAY()))-SUMIFS(Transaksi!$F$16:$F$5015,Transaksi!$C$16:$C$5015,$A135,Transaksi!$D$16:$D$5015,"Keluar",Transaksi!$B$16:$B$5015,"&lt;="&amp;MIN(EOMONTH(DATE(Dashboard!$C$4,7,1),0),TODAY()))-SUMIFS(Transaksi!$F$16:$F$5015,Transaksi!$C$16:$C$5015,$A135,Transaksi!$D$16:$D$5015,"Pindah",Transaksi!$B$16:$B$5015,"&lt;="&amp;MIN(EOMONTH(DATE(Dashboard!$C$4,7,1),0),TODAY()))+SUMIFS(Transaksi!$F$16:$F$5015,Transaksi!$E$16:$E$5015,$A135,Transaksi!$D$16:$D$5015,"Pindah",Transaksi!$B$16:$B$5015,"&lt;="&amp;MIN(EOMONTH(DATE(Dashboard!$C$4,7,1),0),TODAY())))</f>
        <v/>
      </c>
      <c r="J135" s="106">
        <f>IF(OR($A135="",DATE(Dashboard!$C$4,8,1)&gt;TODAY(),ISNA(MATCH($B135,{"Pribadi","Investasi (kas RDN)","Piutang","Pinjaman Mama (dompet)"},0))),"",SUMIFS(Akun!$C$5:$C$104,Akun!$A$5:$A$104,$A135,Akun!$D$5:$D$104,"&lt;="&amp;MIN(EOMONTH(DATE(Dashboard!$C$4,8,1),0),TODAY()))+SUMIFS(Transaksi!$F$16:$F$5015,Transaksi!$C$16:$C$5015,$A135,Transaksi!$D$16:$D$5015,"Masuk",Transaksi!$B$16:$B$5015,"&lt;="&amp;MIN(EOMONTH(DATE(Dashboard!$C$4,8,1),0),TODAY()))-SUMIFS(Transaksi!$F$16:$F$5015,Transaksi!$C$16:$C$5015,$A135,Transaksi!$D$16:$D$5015,"Keluar",Transaksi!$B$16:$B$5015,"&lt;="&amp;MIN(EOMONTH(DATE(Dashboard!$C$4,8,1),0),TODAY()))-SUMIFS(Transaksi!$F$16:$F$5015,Transaksi!$C$16:$C$5015,$A135,Transaksi!$D$16:$D$5015,"Pindah",Transaksi!$B$16:$B$5015,"&lt;="&amp;MIN(EOMONTH(DATE(Dashboard!$C$4,8,1),0),TODAY()))+SUMIFS(Transaksi!$F$16:$F$5015,Transaksi!$E$16:$E$5015,$A135,Transaksi!$D$16:$D$5015,"Pindah",Transaksi!$B$16:$B$5015,"&lt;="&amp;MIN(EOMONTH(DATE(Dashboard!$C$4,8,1),0),TODAY())))</f>
        <v/>
      </c>
      <c r="K135" s="106">
        <f>IF(OR($A135="",DATE(Dashboard!$C$4,9,1)&gt;TODAY(),ISNA(MATCH($B135,{"Pribadi","Investasi (kas RDN)","Piutang","Pinjaman Mama (dompet)"},0))),"",SUMIFS(Akun!$C$5:$C$104,Akun!$A$5:$A$104,$A135,Akun!$D$5:$D$104,"&lt;="&amp;MIN(EOMONTH(DATE(Dashboard!$C$4,9,1),0),TODAY()))+SUMIFS(Transaksi!$F$16:$F$5015,Transaksi!$C$16:$C$5015,$A135,Transaksi!$D$16:$D$5015,"Masuk",Transaksi!$B$16:$B$5015,"&lt;="&amp;MIN(EOMONTH(DATE(Dashboard!$C$4,9,1),0),TODAY()))-SUMIFS(Transaksi!$F$16:$F$5015,Transaksi!$C$16:$C$5015,$A135,Transaksi!$D$16:$D$5015,"Keluar",Transaksi!$B$16:$B$5015,"&lt;="&amp;MIN(EOMONTH(DATE(Dashboard!$C$4,9,1),0),TODAY()))-SUMIFS(Transaksi!$F$16:$F$5015,Transaksi!$C$16:$C$5015,$A135,Transaksi!$D$16:$D$5015,"Pindah",Transaksi!$B$16:$B$5015,"&lt;="&amp;MIN(EOMONTH(DATE(Dashboard!$C$4,9,1),0),TODAY()))+SUMIFS(Transaksi!$F$16:$F$5015,Transaksi!$E$16:$E$5015,$A135,Transaksi!$D$16:$D$5015,"Pindah",Transaksi!$B$16:$B$5015,"&lt;="&amp;MIN(EOMONTH(DATE(Dashboard!$C$4,9,1),0),TODAY())))</f>
        <v/>
      </c>
      <c r="L135" s="106">
        <f>IF(OR($A135="",DATE(Dashboard!$C$4,10,1)&gt;TODAY(),ISNA(MATCH($B135,{"Pribadi","Investasi (kas RDN)","Piutang","Pinjaman Mama (dompet)"},0))),"",SUMIFS(Akun!$C$5:$C$104,Akun!$A$5:$A$104,$A135,Akun!$D$5:$D$104,"&lt;="&amp;MIN(EOMONTH(DATE(Dashboard!$C$4,10,1),0),TODAY()))+SUMIFS(Transaksi!$F$16:$F$5015,Transaksi!$C$16:$C$5015,$A135,Transaksi!$D$16:$D$5015,"Masuk",Transaksi!$B$16:$B$5015,"&lt;="&amp;MIN(EOMONTH(DATE(Dashboard!$C$4,10,1),0),TODAY()))-SUMIFS(Transaksi!$F$16:$F$5015,Transaksi!$C$16:$C$5015,$A135,Transaksi!$D$16:$D$5015,"Keluar",Transaksi!$B$16:$B$5015,"&lt;="&amp;MIN(EOMONTH(DATE(Dashboard!$C$4,10,1),0),TODAY()))-SUMIFS(Transaksi!$F$16:$F$5015,Transaksi!$C$16:$C$5015,$A135,Transaksi!$D$16:$D$5015,"Pindah",Transaksi!$B$16:$B$5015,"&lt;="&amp;MIN(EOMONTH(DATE(Dashboard!$C$4,10,1),0),TODAY()))+SUMIFS(Transaksi!$F$16:$F$5015,Transaksi!$E$16:$E$5015,$A135,Transaksi!$D$16:$D$5015,"Pindah",Transaksi!$B$16:$B$5015,"&lt;="&amp;MIN(EOMONTH(DATE(Dashboard!$C$4,10,1),0),TODAY())))</f>
        <v/>
      </c>
      <c r="M135" s="106">
        <f>IF(OR($A135="",DATE(Dashboard!$C$4,11,1)&gt;TODAY(),ISNA(MATCH($B135,{"Pribadi","Investasi (kas RDN)","Piutang","Pinjaman Mama (dompet)"},0))),"",SUMIFS(Akun!$C$5:$C$104,Akun!$A$5:$A$104,$A135,Akun!$D$5:$D$104,"&lt;="&amp;MIN(EOMONTH(DATE(Dashboard!$C$4,11,1),0),TODAY()))+SUMIFS(Transaksi!$F$16:$F$5015,Transaksi!$C$16:$C$5015,$A135,Transaksi!$D$16:$D$5015,"Masuk",Transaksi!$B$16:$B$5015,"&lt;="&amp;MIN(EOMONTH(DATE(Dashboard!$C$4,11,1),0),TODAY()))-SUMIFS(Transaksi!$F$16:$F$5015,Transaksi!$C$16:$C$5015,$A135,Transaksi!$D$16:$D$5015,"Keluar",Transaksi!$B$16:$B$5015,"&lt;="&amp;MIN(EOMONTH(DATE(Dashboard!$C$4,11,1),0),TODAY()))-SUMIFS(Transaksi!$F$16:$F$5015,Transaksi!$C$16:$C$5015,$A135,Transaksi!$D$16:$D$5015,"Pindah",Transaksi!$B$16:$B$5015,"&lt;="&amp;MIN(EOMONTH(DATE(Dashboard!$C$4,11,1),0),TODAY()))+SUMIFS(Transaksi!$F$16:$F$5015,Transaksi!$E$16:$E$5015,$A135,Transaksi!$D$16:$D$5015,"Pindah",Transaksi!$B$16:$B$5015,"&lt;="&amp;MIN(EOMONTH(DATE(Dashboard!$C$4,11,1),0),TODAY())))</f>
        <v/>
      </c>
      <c r="N135" s="106">
        <f>IF(OR($A135="",DATE(Dashboard!$C$4,12,1)&gt;TODAY(),ISNA(MATCH($B135,{"Pribadi","Investasi (kas RDN)","Piutang","Pinjaman Mama (dompet)"},0))),"",SUMIFS(Akun!$C$5:$C$104,Akun!$A$5:$A$104,$A135,Akun!$D$5:$D$104,"&lt;="&amp;MIN(EOMONTH(DATE(Dashboard!$C$4,12,1),0),TODAY()))+SUMIFS(Transaksi!$F$16:$F$5015,Transaksi!$C$16:$C$5015,$A135,Transaksi!$D$16:$D$5015,"Masuk",Transaksi!$B$16:$B$5015,"&lt;="&amp;MIN(EOMONTH(DATE(Dashboard!$C$4,12,1),0),TODAY()))-SUMIFS(Transaksi!$F$16:$F$5015,Transaksi!$C$16:$C$5015,$A135,Transaksi!$D$16:$D$5015,"Keluar",Transaksi!$B$16:$B$5015,"&lt;="&amp;MIN(EOMONTH(DATE(Dashboard!$C$4,12,1),0),TODAY()))-SUMIFS(Transaksi!$F$16:$F$5015,Transaksi!$C$16:$C$5015,$A135,Transaksi!$D$16:$D$5015,"Pindah",Transaksi!$B$16:$B$5015,"&lt;="&amp;MIN(EOMONTH(DATE(Dashboard!$C$4,12,1),0),TODAY()))+SUMIFS(Transaksi!$F$16:$F$5015,Transaksi!$E$16:$E$5015,$A135,Transaksi!$D$16:$D$5015,"Pindah",Transaksi!$B$16:$B$5015,"&lt;="&amp;MIN(EOMONTH(DATE(Dashboard!$C$4,12,1),0),TODAY())))</f>
        <v/>
      </c>
    </row>
    <row r="136" ht="15" customHeight="1" s="94">
      <c r="A136" s="93">
        <f>IF(Akun!$A$100="","",Akun!$A$100)</f>
        <v/>
      </c>
      <c r="B136" s="93">
        <f>IF(Akun!$A$100="","",Akun!$B$100)</f>
        <v/>
      </c>
      <c r="C136" s="106">
        <f>IF(OR($A136="",DATE(Dashboard!$C$4,1,1)&gt;TODAY(),ISNA(MATCH($B136,{"Pribadi","Investasi (kas RDN)","Piutang","Pinjaman Mama (dompet)"},0))),"",SUMIFS(Akun!$C$5:$C$104,Akun!$A$5:$A$104,$A136,Akun!$D$5:$D$104,"&lt;="&amp;MIN(EOMONTH(DATE(Dashboard!$C$4,1,1),0),TODAY()))+SUMIFS(Transaksi!$F$16:$F$5015,Transaksi!$C$16:$C$5015,$A136,Transaksi!$D$16:$D$5015,"Masuk",Transaksi!$B$16:$B$5015,"&lt;="&amp;MIN(EOMONTH(DATE(Dashboard!$C$4,1,1),0),TODAY()))-SUMIFS(Transaksi!$F$16:$F$5015,Transaksi!$C$16:$C$5015,$A136,Transaksi!$D$16:$D$5015,"Keluar",Transaksi!$B$16:$B$5015,"&lt;="&amp;MIN(EOMONTH(DATE(Dashboard!$C$4,1,1),0),TODAY()))-SUMIFS(Transaksi!$F$16:$F$5015,Transaksi!$C$16:$C$5015,$A136,Transaksi!$D$16:$D$5015,"Pindah",Transaksi!$B$16:$B$5015,"&lt;="&amp;MIN(EOMONTH(DATE(Dashboard!$C$4,1,1),0),TODAY()))+SUMIFS(Transaksi!$F$16:$F$5015,Transaksi!$E$16:$E$5015,$A136,Transaksi!$D$16:$D$5015,"Pindah",Transaksi!$B$16:$B$5015,"&lt;="&amp;MIN(EOMONTH(DATE(Dashboard!$C$4,1,1),0),TODAY())))</f>
        <v/>
      </c>
      <c r="D136" s="106">
        <f>IF(OR($A136="",DATE(Dashboard!$C$4,2,1)&gt;TODAY(),ISNA(MATCH($B136,{"Pribadi","Investasi (kas RDN)","Piutang","Pinjaman Mama (dompet)"},0))),"",SUMIFS(Akun!$C$5:$C$104,Akun!$A$5:$A$104,$A136,Akun!$D$5:$D$104,"&lt;="&amp;MIN(EOMONTH(DATE(Dashboard!$C$4,2,1),0),TODAY()))+SUMIFS(Transaksi!$F$16:$F$5015,Transaksi!$C$16:$C$5015,$A136,Transaksi!$D$16:$D$5015,"Masuk",Transaksi!$B$16:$B$5015,"&lt;="&amp;MIN(EOMONTH(DATE(Dashboard!$C$4,2,1),0),TODAY()))-SUMIFS(Transaksi!$F$16:$F$5015,Transaksi!$C$16:$C$5015,$A136,Transaksi!$D$16:$D$5015,"Keluar",Transaksi!$B$16:$B$5015,"&lt;="&amp;MIN(EOMONTH(DATE(Dashboard!$C$4,2,1),0),TODAY()))-SUMIFS(Transaksi!$F$16:$F$5015,Transaksi!$C$16:$C$5015,$A136,Transaksi!$D$16:$D$5015,"Pindah",Transaksi!$B$16:$B$5015,"&lt;="&amp;MIN(EOMONTH(DATE(Dashboard!$C$4,2,1),0),TODAY()))+SUMIFS(Transaksi!$F$16:$F$5015,Transaksi!$E$16:$E$5015,$A136,Transaksi!$D$16:$D$5015,"Pindah",Transaksi!$B$16:$B$5015,"&lt;="&amp;MIN(EOMONTH(DATE(Dashboard!$C$4,2,1),0),TODAY())))</f>
        <v/>
      </c>
      <c r="E136" s="106">
        <f>IF(OR($A136="",DATE(Dashboard!$C$4,3,1)&gt;TODAY(),ISNA(MATCH($B136,{"Pribadi","Investasi (kas RDN)","Piutang","Pinjaman Mama (dompet)"},0))),"",SUMIFS(Akun!$C$5:$C$104,Akun!$A$5:$A$104,$A136,Akun!$D$5:$D$104,"&lt;="&amp;MIN(EOMONTH(DATE(Dashboard!$C$4,3,1),0),TODAY()))+SUMIFS(Transaksi!$F$16:$F$5015,Transaksi!$C$16:$C$5015,$A136,Transaksi!$D$16:$D$5015,"Masuk",Transaksi!$B$16:$B$5015,"&lt;="&amp;MIN(EOMONTH(DATE(Dashboard!$C$4,3,1),0),TODAY()))-SUMIFS(Transaksi!$F$16:$F$5015,Transaksi!$C$16:$C$5015,$A136,Transaksi!$D$16:$D$5015,"Keluar",Transaksi!$B$16:$B$5015,"&lt;="&amp;MIN(EOMONTH(DATE(Dashboard!$C$4,3,1),0),TODAY()))-SUMIFS(Transaksi!$F$16:$F$5015,Transaksi!$C$16:$C$5015,$A136,Transaksi!$D$16:$D$5015,"Pindah",Transaksi!$B$16:$B$5015,"&lt;="&amp;MIN(EOMONTH(DATE(Dashboard!$C$4,3,1),0),TODAY()))+SUMIFS(Transaksi!$F$16:$F$5015,Transaksi!$E$16:$E$5015,$A136,Transaksi!$D$16:$D$5015,"Pindah",Transaksi!$B$16:$B$5015,"&lt;="&amp;MIN(EOMONTH(DATE(Dashboard!$C$4,3,1),0),TODAY())))</f>
        <v/>
      </c>
      <c r="F136" s="106">
        <f>IF(OR($A136="",DATE(Dashboard!$C$4,4,1)&gt;TODAY(),ISNA(MATCH($B136,{"Pribadi","Investasi (kas RDN)","Piutang","Pinjaman Mama (dompet)"},0))),"",SUMIFS(Akun!$C$5:$C$104,Akun!$A$5:$A$104,$A136,Akun!$D$5:$D$104,"&lt;="&amp;MIN(EOMONTH(DATE(Dashboard!$C$4,4,1),0),TODAY()))+SUMIFS(Transaksi!$F$16:$F$5015,Transaksi!$C$16:$C$5015,$A136,Transaksi!$D$16:$D$5015,"Masuk",Transaksi!$B$16:$B$5015,"&lt;="&amp;MIN(EOMONTH(DATE(Dashboard!$C$4,4,1),0),TODAY()))-SUMIFS(Transaksi!$F$16:$F$5015,Transaksi!$C$16:$C$5015,$A136,Transaksi!$D$16:$D$5015,"Keluar",Transaksi!$B$16:$B$5015,"&lt;="&amp;MIN(EOMONTH(DATE(Dashboard!$C$4,4,1),0),TODAY()))-SUMIFS(Transaksi!$F$16:$F$5015,Transaksi!$C$16:$C$5015,$A136,Transaksi!$D$16:$D$5015,"Pindah",Transaksi!$B$16:$B$5015,"&lt;="&amp;MIN(EOMONTH(DATE(Dashboard!$C$4,4,1),0),TODAY()))+SUMIFS(Transaksi!$F$16:$F$5015,Transaksi!$E$16:$E$5015,$A136,Transaksi!$D$16:$D$5015,"Pindah",Transaksi!$B$16:$B$5015,"&lt;="&amp;MIN(EOMONTH(DATE(Dashboard!$C$4,4,1),0),TODAY())))</f>
        <v/>
      </c>
      <c r="G136" s="106">
        <f>IF(OR($A136="",DATE(Dashboard!$C$4,5,1)&gt;TODAY(),ISNA(MATCH($B136,{"Pribadi","Investasi (kas RDN)","Piutang","Pinjaman Mama (dompet)"},0))),"",SUMIFS(Akun!$C$5:$C$104,Akun!$A$5:$A$104,$A136,Akun!$D$5:$D$104,"&lt;="&amp;MIN(EOMONTH(DATE(Dashboard!$C$4,5,1),0),TODAY()))+SUMIFS(Transaksi!$F$16:$F$5015,Transaksi!$C$16:$C$5015,$A136,Transaksi!$D$16:$D$5015,"Masuk",Transaksi!$B$16:$B$5015,"&lt;="&amp;MIN(EOMONTH(DATE(Dashboard!$C$4,5,1),0),TODAY()))-SUMIFS(Transaksi!$F$16:$F$5015,Transaksi!$C$16:$C$5015,$A136,Transaksi!$D$16:$D$5015,"Keluar",Transaksi!$B$16:$B$5015,"&lt;="&amp;MIN(EOMONTH(DATE(Dashboard!$C$4,5,1),0),TODAY()))-SUMIFS(Transaksi!$F$16:$F$5015,Transaksi!$C$16:$C$5015,$A136,Transaksi!$D$16:$D$5015,"Pindah",Transaksi!$B$16:$B$5015,"&lt;="&amp;MIN(EOMONTH(DATE(Dashboard!$C$4,5,1),0),TODAY()))+SUMIFS(Transaksi!$F$16:$F$5015,Transaksi!$E$16:$E$5015,$A136,Transaksi!$D$16:$D$5015,"Pindah",Transaksi!$B$16:$B$5015,"&lt;="&amp;MIN(EOMONTH(DATE(Dashboard!$C$4,5,1),0),TODAY())))</f>
        <v/>
      </c>
      <c r="H136" s="106">
        <f>IF(OR($A136="",DATE(Dashboard!$C$4,6,1)&gt;TODAY(),ISNA(MATCH($B136,{"Pribadi","Investasi (kas RDN)","Piutang","Pinjaman Mama (dompet)"},0))),"",SUMIFS(Akun!$C$5:$C$104,Akun!$A$5:$A$104,$A136,Akun!$D$5:$D$104,"&lt;="&amp;MIN(EOMONTH(DATE(Dashboard!$C$4,6,1),0),TODAY()))+SUMIFS(Transaksi!$F$16:$F$5015,Transaksi!$C$16:$C$5015,$A136,Transaksi!$D$16:$D$5015,"Masuk",Transaksi!$B$16:$B$5015,"&lt;="&amp;MIN(EOMONTH(DATE(Dashboard!$C$4,6,1),0),TODAY()))-SUMIFS(Transaksi!$F$16:$F$5015,Transaksi!$C$16:$C$5015,$A136,Transaksi!$D$16:$D$5015,"Keluar",Transaksi!$B$16:$B$5015,"&lt;="&amp;MIN(EOMONTH(DATE(Dashboard!$C$4,6,1),0),TODAY()))-SUMIFS(Transaksi!$F$16:$F$5015,Transaksi!$C$16:$C$5015,$A136,Transaksi!$D$16:$D$5015,"Pindah",Transaksi!$B$16:$B$5015,"&lt;="&amp;MIN(EOMONTH(DATE(Dashboard!$C$4,6,1),0),TODAY()))+SUMIFS(Transaksi!$F$16:$F$5015,Transaksi!$E$16:$E$5015,$A136,Transaksi!$D$16:$D$5015,"Pindah",Transaksi!$B$16:$B$5015,"&lt;="&amp;MIN(EOMONTH(DATE(Dashboard!$C$4,6,1),0),TODAY())))</f>
        <v/>
      </c>
      <c r="I136" s="106">
        <f>IF(OR($A136="",DATE(Dashboard!$C$4,7,1)&gt;TODAY(),ISNA(MATCH($B136,{"Pribadi","Investasi (kas RDN)","Piutang","Pinjaman Mama (dompet)"},0))),"",SUMIFS(Akun!$C$5:$C$104,Akun!$A$5:$A$104,$A136,Akun!$D$5:$D$104,"&lt;="&amp;MIN(EOMONTH(DATE(Dashboard!$C$4,7,1),0),TODAY()))+SUMIFS(Transaksi!$F$16:$F$5015,Transaksi!$C$16:$C$5015,$A136,Transaksi!$D$16:$D$5015,"Masuk",Transaksi!$B$16:$B$5015,"&lt;="&amp;MIN(EOMONTH(DATE(Dashboard!$C$4,7,1),0),TODAY()))-SUMIFS(Transaksi!$F$16:$F$5015,Transaksi!$C$16:$C$5015,$A136,Transaksi!$D$16:$D$5015,"Keluar",Transaksi!$B$16:$B$5015,"&lt;="&amp;MIN(EOMONTH(DATE(Dashboard!$C$4,7,1),0),TODAY()))-SUMIFS(Transaksi!$F$16:$F$5015,Transaksi!$C$16:$C$5015,$A136,Transaksi!$D$16:$D$5015,"Pindah",Transaksi!$B$16:$B$5015,"&lt;="&amp;MIN(EOMONTH(DATE(Dashboard!$C$4,7,1),0),TODAY()))+SUMIFS(Transaksi!$F$16:$F$5015,Transaksi!$E$16:$E$5015,$A136,Transaksi!$D$16:$D$5015,"Pindah",Transaksi!$B$16:$B$5015,"&lt;="&amp;MIN(EOMONTH(DATE(Dashboard!$C$4,7,1),0),TODAY())))</f>
        <v/>
      </c>
      <c r="J136" s="106">
        <f>IF(OR($A136="",DATE(Dashboard!$C$4,8,1)&gt;TODAY(),ISNA(MATCH($B136,{"Pribadi","Investasi (kas RDN)","Piutang","Pinjaman Mama (dompet)"},0))),"",SUMIFS(Akun!$C$5:$C$104,Akun!$A$5:$A$104,$A136,Akun!$D$5:$D$104,"&lt;="&amp;MIN(EOMONTH(DATE(Dashboard!$C$4,8,1),0),TODAY()))+SUMIFS(Transaksi!$F$16:$F$5015,Transaksi!$C$16:$C$5015,$A136,Transaksi!$D$16:$D$5015,"Masuk",Transaksi!$B$16:$B$5015,"&lt;="&amp;MIN(EOMONTH(DATE(Dashboard!$C$4,8,1),0),TODAY()))-SUMIFS(Transaksi!$F$16:$F$5015,Transaksi!$C$16:$C$5015,$A136,Transaksi!$D$16:$D$5015,"Keluar",Transaksi!$B$16:$B$5015,"&lt;="&amp;MIN(EOMONTH(DATE(Dashboard!$C$4,8,1),0),TODAY()))-SUMIFS(Transaksi!$F$16:$F$5015,Transaksi!$C$16:$C$5015,$A136,Transaksi!$D$16:$D$5015,"Pindah",Transaksi!$B$16:$B$5015,"&lt;="&amp;MIN(EOMONTH(DATE(Dashboard!$C$4,8,1),0),TODAY()))+SUMIFS(Transaksi!$F$16:$F$5015,Transaksi!$E$16:$E$5015,$A136,Transaksi!$D$16:$D$5015,"Pindah",Transaksi!$B$16:$B$5015,"&lt;="&amp;MIN(EOMONTH(DATE(Dashboard!$C$4,8,1),0),TODAY())))</f>
        <v/>
      </c>
      <c r="K136" s="106">
        <f>IF(OR($A136="",DATE(Dashboard!$C$4,9,1)&gt;TODAY(),ISNA(MATCH($B136,{"Pribadi","Investasi (kas RDN)","Piutang","Pinjaman Mama (dompet)"},0))),"",SUMIFS(Akun!$C$5:$C$104,Akun!$A$5:$A$104,$A136,Akun!$D$5:$D$104,"&lt;="&amp;MIN(EOMONTH(DATE(Dashboard!$C$4,9,1),0),TODAY()))+SUMIFS(Transaksi!$F$16:$F$5015,Transaksi!$C$16:$C$5015,$A136,Transaksi!$D$16:$D$5015,"Masuk",Transaksi!$B$16:$B$5015,"&lt;="&amp;MIN(EOMONTH(DATE(Dashboard!$C$4,9,1),0),TODAY()))-SUMIFS(Transaksi!$F$16:$F$5015,Transaksi!$C$16:$C$5015,$A136,Transaksi!$D$16:$D$5015,"Keluar",Transaksi!$B$16:$B$5015,"&lt;="&amp;MIN(EOMONTH(DATE(Dashboard!$C$4,9,1),0),TODAY()))-SUMIFS(Transaksi!$F$16:$F$5015,Transaksi!$C$16:$C$5015,$A136,Transaksi!$D$16:$D$5015,"Pindah",Transaksi!$B$16:$B$5015,"&lt;="&amp;MIN(EOMONTH(DATE(Dashboard!$C$4,9,1),0),TODAY()))+SUMIFS(Transaksi!$F$16:$F$5015,Transaksi!$E$16:$E$5015,$A136,Transaksi!$D$16:$D$5015,"Pindah",Transaksi!$B$16:$B$5015,"&lt;="&amp;MIN(EOMONTH(DATE(Dashboard!$C$4,9,1),0),TODAY())))</f>
        <v/>
      </c>
      <c r="L136" s="106">
        <f>IF(OR($A136="",DATE(Dashboard!$C$4,10,1)&gt;TODAY(),ISNA(MATCH($B136,{"Pribadi","Investasi (kas RDN)","Piutang","Pinjaman Mama (dompet)"},0))),"",SUMIFS(Akun!$C$5:$C$104,Akun!$A$5:$A$104,$A136,Akun!$D$5:$D$104,"&lt;="&amp;MIN(EOMONTH(DATE(Dashboard!$C$4,10,1),0),TODAY()))+SUMIFS(Transaksi!$F$16:$F$5015,Transaksi!$C$16:$C$5015,$A136,Transaksi!$D$16:$D$5015,"Masuk",Transaksi!$B$16:$B$5015,"&lt;="&amp;MIN(EOMONTH(DATE(Dashboard!$C$4,10,1),0),TODAY()))-SUMIFS(Transaksi!$F$16:$F$5015,Transaksi!$C$16:$C$5015,$A136,Transaksi!$D$16:$D$5015,"Keluar",Transaksi!$B$16:$B$5015,"&lt;="&amp;MIN(EOMONTH(DATE(Dashboard!$C$4,10,1),0),TODAY()))-SUMIFS(Transaksi!$F$16:$F$5015,Transaksi!$C$16:$C$5015,$A136,Transaksi!$D$16:$D$5015,"Pindah",Transaksi!$B$16:$B$5015,"&lt;="&amp;MIN(EOMONTH(DATE(Dashboard!$C$4,10,1),0),TODAY()))+SUMIFS(Transaksi!$F$16:$F$5015,Transaksi!$E$16:$E$5015,$A136,Transaksi!$D$16:$D$5015,"Pindah",Transaksi!$B$16:$B$5015,"&lt;="&amp;MIN(EOMONTH(DATE(Dashboard!$C$4,10,1),0),TODAY())))</f>
        <v/>
      </c>
      <c r="M136" s="106">
        <f>IF(OR($A136="",DATE(Dashboard!$C$4,11,1)&gt;TODAY(),ISNA(MATCH($B136,{"Pribadi","Investasi (kas RDN)","Piutang","Pinjaman Mama (dompet)"},0))),"",SUMIFS(Akun!$C$5:$C$104,Akun!$A$5:$A$104,$A136,Akun!$D$5:$D$104,"&lt;="&amp;MIN(EOMONTH(DATE(Dashboard!$C$4,11,1),0),TODAY()))+SUMIFS(Transaksi!$F$16:$F$5015,Transaksi!$C$16:$C$5015,$A136,Transaksi!$D$16:$D$5015,"Masuk",Transaksi!$B$16:$B$5015,"&lt;="&amp;MIN(EOMONTH(DATE(Dashboard!$C$4,11,1),0),TODAY()))-SUMIFS(Transaksi!$F$16:$F$5015,Transaksi!$C$16:$C$5015,$A136,Transaksi!$D$16:$D$5015,"Keluar",Transaksi!$B$16:$B$5015,"&lt;="&amp;MIN(EOMONTH(DATE(Dashboard!$C$4,11,1),0),TODAY()))-SUMIFS(Transaksi!$F$16:$F$5015,Transaksi!$C$16:$C$5015,$A136,Transaksi!$D$16:$D$5015,"Pindah",Transaksi!$B$16:$B$5015,"&lt;="&amp;MIN(EOMONTH(DATE(Dashboard!$C$4,11,1),0),TODAY()))+SUMIFS(Transaksi!$F$16:$F$5015,Transaksi!$E$16:$E$5015,$A136,Transaksi!$D$16:$D$5015,"Pindah",Transaksi!$B$16:$B$5015,"&lt;="&amp;MIN(EOMONTH(DATE(Dashboard!$C$4,11,1),0),TODAY())))</f>
        <v/>
      </c>
      <c r="N136" s="106">
        <f>IF(OR($A136="",DATE(Dashboard!$C$4,12,1)&gt;TODAY(),ISNA(MATCH($B136,{"Pribadi","Investasi (kas RDN)","Piutang","Pinjaman Mama (dompet)"},0))),"",SUMIFS(Akun!$C$5:$C$104,Akun!$A$5:$A$104,$A136,Akun!$D$5:$D$104,"&lt;="&amp;MIN(EOMONTH(DATE(Dashboard!$C$4,12,1),0),TODAY()))+SUMIFS(Transaksi!$F$16:$F$5015,Transaksi!$C$16:$C$5015,$A136,Transaksi!$D$16:$D$5015,"Masuk",Transaksi!$B$16:$B$5015,"&lt;="&amp;MIN(EOMONTH(DATE(Dashboard!$C$4,12,1),0),TODAY()))-SUMIFS(Transaksi!$F$16:$F$5015,Transaksi!$C$16:$C$5015,$A136,Transaksi!$D$16:$D$5015,"Keluar",Transaksi!$B$16:$B$5015,"&lt;="&amp;MIN(EOMONTH(DATE(Dashboard!$C$4,12,1),0),TODAY()))-SUMIFS(Transaksi!$F$16:$F$5015,Transaksi!$C$16:$C$5015,$A136,Transaksi!$D$16:$D$5015,"Pindah",Transaksi!$B$16:$B$5015,"&lt;="&amp;MIN(EOMONTH(DATE(Dashboard!$C$4,12,1),0),TODAY()))+SUMIFS(Transaksi!$F$16:$F$5015,Transaksi!$E$16:$E$5015,$A136,Transaksi!$D$16:$D$5015,"Pindah",Transaksi!$B$16:$B$5015,"&lt;="&amp;MIN(EOMONTH(DATE(Dashboard!$C$4,12,1),0),TODAY())))</f>
        <v/>
      </c>
    </row>
    <row r="137" ht="15" customHeight="1" s="94">
      <c r="A137" s="93">
        <f>IF(Akun!$A$101="","",Akun!$A$101)</f>
        <v/>
      </c>
      <c r="B137" s="93">
        <f>IF(Akun!$A$101="","",Akun!$B$101)</f>
        <v/>
      </c>
      <c r="C137" s="106">
        <f>IF(OR($A137="",DATE(Dashboard!$C$4,1,1)&gt;TODAY(),ISNA(MATCH($B137,{"Pribadi","Investasi (kas RDN)","Piutang","Pinjaman Mama (dompet)"},0))),"",SUMIFS(Akun!$C$5:$C$104,Akun!$A$5:$A$104,$A137,Akun!$D$5:$D$104,"&lt;="&amp;MIN(EOMONTH(DATE(Dashboard!$C$4,1,1),0),TODAY()))+SUMIFS(Transaksi!$F$16:$F$5015,Transaksi!$C$16:$C$5015,$A137,Transaksi!$D$16:$D$5015,"Masuk",Transaksi!$B$16:$B$5015,"&lt;="&amp;MIN(EOMONTH(DATE(Dashboard!$C$4,1,1),0),TODAY()))-SUMIFS(Transaksi!$F$16:$F$5015,Transaksi!$C$16:$C$5015,$A137,Transaksi!$D$16:$D$5015,"Keluar",Transaksi!$B$16:$B$5015,"&lt;="&amp;MIN(EOMONTH(DATE(Dashboard!$C$4,1,1),0),TODAY()))-SUMIFS(Transaksi!$F$16:$F$5015,Transaksi!$C$16:$C$5015,$A137,Transaksi!$D$16:$D$5015,"Pindah",Transaksi!$B$16:$B$5015,"&lt;="&amp;MIN(EOMONTH(DATE(Dashboard!$C$4,1,1),0),TODAY()))+SUMIFS(Transaksi!$F$16:$F$5015,Transaksi!$E$16:$E$5015,$A137,Transaksi!$D$16:$D$5015,"Pindah",Transaksi!$B$16:$B$5015,"&lt;="&amp;MIN(EOMONTH(DATE(Dashboard!$C$4,1,1),0),TODAY())))</f>
        <v/>
      </c>
      <c r="D137" s="106">
        <f>IF(OR($A137="",DATE(Dashboard!$C$4,2,1)&gt;TODAY(),ISNA(MATCH($B137,{"Pribadi","Investasi (kas RDN)","Piutang","Pinjaman Mama (dompet)"},0))),"",SUMIFS(Akun!$C$5:$C$104,Akun!$A$5:$A$104,$A137,Akun!$D$5:$D$104,"&lt;="&amp;MIN(EOMONTH(DATE(Dashboard!$C$4,2,1),0),TODAY()))+SUMIFS(Transaksi!$F$16:$F$5015,Transaksi!$C$16:$C$5015,$A137,Transaksi!$D$16:$D$5015,"Masuk",Transaksi!$B$16:$B$5015,"&lt;="&amp;MIN(EOMONTH(DATE(Dashboard!$C$4,2,1),0),TODAY()))-SUMIFS(Transaksi!$F$16:$F$5015,Transaksi!$C$16:$C$5015,$A137,Transaksi!$D$16:$D$5015,"Keluar",Transaksi!$B$16:$B$5015,"&lt;="&amp;MIN(EOMONTH(DATE(Dashboard!$C$4,2,1),0),TODAY()))-SUMIFS(Transaksi!$F$16:$F$5015,Transaksi!$C$16:$C$5015,$A137,Transaksi!$D$16:$D$5015,"Pindah",Transaksi!$B$16:$B$5015,"&lt;="&amp;MIN(EOMONTH(DATE(Dashboard!$C$4,2,1),0),TODAY()))+SUMIFS(Transaksi!$F$16:$F$5015,Transaksi!$E$16:$E$5015,$A137,Transaksi!$D$16:$D$5015,"Pindah",Transaksi!$B$16:$B$5015,"&lt;="&amp;MIN(EOMONTH(DATE(Dashboard!$C$4,2,1),0),TODAY())))</f>
        <v/>
      </c>
      <c r="E137" s="106">
        <f>IF(OR($A137="",DATE(Dashboard!$C$4,3,1)&gt;TODAY(),ISNA(MATCH($B137,{"Pribadi","Investasi (kas RDN)","Piutang","Pinjaman Mama (dompet)"},0))),"",SUMIFS(Akun!$C$5:$C$104,Akun!$A$5:$A$104,$A137,Akun!$D$5:$D$104,"&lt;="&amp;MIN(EOMONTH(DATE(Dashboard!$C$4,3,1),0),TODAY()))+SUMIFS(Transaksi!$F$16:$F$5015,Transaksi!$C$16:$C$5015,$A137,Transaksi!$D$16:$D$5015,"Masuk",Transaksi!$B$16:$B$5015,"&lt;="&amp;MIN(EOMONTH(DATE(Dashboard!$C$4,3,1),0),TODAY()))-SUMIFS(Transaksi!$F$16:$F$5015,Transaksi!$C$16:$C$5015,$A137,Transaksi!$D$16:$D$5015,"Keluar",Transaksi!$B$16:$B$5015,"&lt;="&amp;MIN(EOMONTH(DATE(Dashboard!$C$4,3,1),0),TODAY()))-SUMIFS(Transaksi!$F$16:$F$5015,Transaksi!$C$16:$C$5015,$A137,Transaksi!$D$16:$D$5015,"Pindah",Transaksi!$B$16:$B$5015,"&lt;="&amp;MIN(EOMONTH(DATE(Dashboard!$C$4,3,1),0),TODAY()))+SUMIFS(Transaksi!$F$16:$F$5015,Transaksi!$E$16:$E$5015,$A137,Transaksi!$D$16:$D$5015,"Pindah",Transaksi!$B$16:$B$5015,"&lt;="&amp;MIN(EOMONTH(DATE(Dashboard!$C$4,3,1),0),TODAY())))</f>
        <v/>
      </c>
      <c r="F137" s="106">
        <f>IF(OR($A137="",DATE(Dashboard!$C$4,4,1)&gt;TODAY(),ISNA(MATCH($B137,{"Pribadi","Investasi (kas RDN)","Piutang","Pinjaman Mama (dompet)"},0))),"",SUMIFS(Akun!$C$5:$C$104,Akun!$A$5:$A$104,$A137,Akun!$D$5:$D$104,"&lt;="&amp;MIN(EOMONTH(DATE(Dashboard!$C$4,4,1),0),TODAY()))+SUMIFS(Transaksi!$F$16:$F$5015,Transaksi!$C$16:$C$5015,$A137,Transaksi!$D$16:$D$5015,"Masuk",Transaksi!$B$16:$B$5015,"&lt;="&amp;MIN(EOMONTH(DATE(Dashboard!$C$4,4,1),0),TODAY()))-SUMIFS(Transaksi!$F$16:$F$5015,Transaksi!$C$16:$C$5015,$A137,Transaksi!$D$16:$D$5015,"Keluar",Transaksi!$B$16:$B$5015,"&lt;="&amp;MIN(EOMONTH(DATE(Dashboard!$C$4,4,1),0),TODAY()))-SUMIFS(Transaksi!$F$16:$F$5015,Transaksi!$C$16:$C$5015,$A137,Transaksi!$D$16:$D$5015,"Pindah",Transaksi!$B$16:$B$5015,"&lt;="&amp;MIN(EOMONTH(DATE(Dashboard!$C$4,4,1),0),TODAY()))+SUMIFS(Transaksi!$F$16:$F$5015,Transaksi!$E$16:$E$5015,$A137,Transaksi!$D$16:$D$5015,"Pindah",Transaksi!$B$16:$B$5015,"&lt;="&amp;MIN(EOMONTH(DATE(Dashboard!$C$4,4,1),0),TODAY())))</f>
        <v/>
      </c>
      <c r="G137" s="106">
        <f>IF(OR($A137="",DATE(Dashboard!$C$4,5,1)&gt;TODAY(),ISNA(MATCH($B137,{"Pribadi","Investasi (kas RDN)","Piutang","Pinjaman Mama (dompet)"},0))),"",SUMIFS(Akun!$C$5:$C$104,Akun!$A$5:$A$104,$A137,Akun!$D$5:$D$104,"&lt;="&amp;MIN(EOMONTH(DATE(Dashboard!$C$4,5,1),0),TODAY()))+SUMIFS(Transaksi!$F$16:$F$5015,Transaksi!$C$16:$C$5015,$A137,Transaksi!$D$16:$D$5015,"Masuk",Transaksi!$B$16:$B$5015,"&lt;="&amp;MIN(EOMONTH(DATE(Dashboard!$C$4,5,1),0),TODAY()))-SUMIFS(Transaksi!$F$16:$F$5015,Transaksi!$C$16:$C$5015,$A137,Transaksi!$D$16:$D$5015,"Keluar",Transaksi!$B$16:$B$5015,"&lt;="&amp;MIN(EOMONTH(DATE(Dashboard!$C$4,5,1),0),TODAY()))-SUMIFS(Transaksi!$F$16:$F$5015,Transaksi!$C$16:$C$5015,$A137,Transaksi!$D$16:$D$5015,"Pindah",Transaksi!$B$16:$B$5015,"&lt;="&amp;MIN(EOMONTH(DATE(Dashboard!$C$4,5,1),0),TODAY()))+SUMIFS(Transaksi!$F$16:$F$5015,Transaksi!$E$16:$E$5015,$A137,Transaksi!$D$16:$D$5015,"Pindah",Transaksi!$B$16:$B$5015,"&lt;="&amp;MIN(EOMONTH(DATE(Dashboard!$C$4,5,1),0),TODAY())))</f>
        <v/>
      </c>
      <c r="H137" s="106">
        <f>IF(OR($A137="",DATE(Dashboard!$C$4,6,1)&gt;TODAY(),ISNA(MATCH($B137,{"Pribadi","Investasi (kas RDN)","Piutang","Pinjaman Mama (dompet)"},0))),"",SUMIFS(Akun!$C$5:$C$104,Akun!$A$5:$A$104,$A137,Akun!$D$5:$D$104,"&lt;="&amp;MIN(EOMONTH(DATE(Dashboard!$C$4,6,1),0),TODAY()))+SUMIFS(Transaksi!$F$16:$F$5015,Transaksi!$C$16:$C$5015,$A137,Transaksi!$D$16:$D$5015,"Masuk",Transaksi!$B$16:$B$5015,"&lt;="&amp;MIN(EOMONTH(DATE(Dashboard!$C$4,6,1),0),TODAY()))-SUMIFS(Transaksi!$F$16:$F$5015,Transaksi!$C$16:$C$5015,$A137,Transaksi!$D$16:$D$5015,"Keluar",Transaksi!$B$16:$B$5015,"&lt;="&amp;MIN(EOMONTH(DATE(Dashboard!$C$4,6,1),0),TODAY()))-SUMIFS(Transaksi!$F$16:$F$5015,Transaksi!$C$16:$C$5015,$A137,Transaksi!$D$16:$D$5015,"Pindah",Transaksi!$B$16:$B$5015,"&lt;="&amp;MIN(EOMONTH(DATE(Dashboard!$C$4,6,1),0),TODAY()))+SUMIFS(Transaksi!$F$16:$F$5015,Transaksi!$E$16:$E$5015,$A137,Transaksi!$D$16:$D$5015,"Pindah",Transaksi!$B$16:$B$5015,"&lt;="&amp;MIN(EOMONTH(DATE(Dashboard!$C$4,6,1),0),TODAY())))</f>
        <v/>
      </c>
      <c r="I137" s="106">
        <f>IF(OR($A137="",DATE(Dashboard!$C$4,7,1)&gt;TODAY(),ISNA(MATCH($B137,{"Pribadi","Investasi (kas RDN)","Piutang","Pinjaman Mama (dompet)"},0))),"",SUMIFS(Akun!$C$5:$C$104,Akun!$A$5:$A$104,$A137,Akun!$D$5:$D$104,"&lt;="&amp;MIN(EOMONTH(DATE(Dashboard!$C$4,7,1),0),TODAY()))+SUMIFS(Transaksi!$F$16:$F$5015,Transaksi!$C$16:$C$5015,$A137,Transaksi!$D$16:$D$5015,"Masuk",Transaksi!$B$16:$B$5015,"&lt;="&amp;MIN(EOMONTH(DATE(Dashboard!$C$4,7,1),0),TODAY()))-SUMIFS(Transaksi!$F$16:$F$5015,Transaksi!$C$16:$C$5015,$A137,Transaksi!$D$16:$D$5015,"Keluar",Transaksi!$B$16:$B$5015,"&lt;="&amp;MIN(EOMONTH(DATE(Dashboard!$C$4,7,1),0),TODAY()))-SUMIFS(Transaksi!$F$16:$F$5015,Transaksi!$C$16:$C$5015,$A137,Transaksi!$D$16:$D$5015,"Pindah",Transaksi!$B$16:$B$5015,"&lt;="&amp;MIN(EOMONTH(DATE(Dashboard!$C$4,7,1),0),TODAY()))+SUMIFS(Transaksi!$F$16:$F$5015,Transaksi!$E$16:$E$5015,$A137,Transaksi!$D$16:$D$5015,"Pindah",Transaksi!$B$16:$B$5015,"&lt;="&amp;MIN(EOMONTH(DATE(Dashboard!$C$4,7,1),0),TODAY())))</f>
        <v/>
      </c>
      <c r="J137" s="106">
        <f>IF(OR($A137="",DATE(Dashboard!$C$4,8,1)&gt;TODAY(),ISNA(MATCH($B137,{"Pribadi","Investasi (kas RDN)","Piutang","Pinjaman Mama (dompet)"},0))),"",SUMIFS(Akun!$C$5:$C$104,Akun!$A$5:$A$104,$A137,Akun!$D$5:$D$104,"&lt;="&amp;MIN(EOMONTH(DATE(Dashboard!$C$4,8,1),0),TODAY()))+SUMIFS(Transaksi!$F$16:$F$5015,Transaksi!$C$16:$C$5015,$A137,Transaksi!$D$16:$D$5015,"Masuk",Transaksi!$B$16:$B$5015,"&lt;="&amp;MIN(EOMONTH(DATE(Dashboard!$C$4,8,1),0),TODAY()))-SUMIFS(Transaksi!$F$16:$F$5015,Transaksi!$C$16:$C$5015,$A137,Transaksi!$D$16:$D$5015,"Keluar",Transaksi!$B$16:$B$5015,"&lt;="&amp;MIN(EOMONTH(DATE(Dashboard!$C$4,8,1),0),TODAY()))-SUMIFS(Transaksi!$F$16:$F$5015,Transaksi!$C$16:$C$5015,$A137,Transaksi!$D$16:$D$5015,"Pindah",Transaksi!$B$16:$B$5015,"&lt;="&amp;MIN(EOMONTH(DATE(Dashboard!$C$4,8,1),0),TODAY()))+SUMIFS(Transaksi!$F$16:$F$5015,Transaksi!$E$16:$E$5015,$A137,Transaksi!$D$16:$D$5015,"Pindah",Transaksi!$B$16:$B$5015,"&lt;="&amp;MIN(EOMONTH(DATE(Dashboard!$C$4,8,1),0),TODAY())))</f>
        <v/>
      </c>
      <c r="K137" s="106">
        <f>IF(OR($A137="",DATE(Dashboard!$C$4,9,1)&gt;TODAY(),ISNA(MATCH($B137,{"Pribadi","Investasi (kas RDN)","Piutang","Pinjaman Mama (dompet)"},0))),"",SUMIFS(Akun!$C$5:$C$104,Akun!$A$5:$A$104,$A137,Akun!$D$5:$D$104,"&lt;="&amp;MIN(EOMONTH(DATE(Dashboard!$C$4,9,1),0),TODAY()))+SUMIFS(Transaksi!$F$16:$F$5015,Transaksi!$C$16:$C$5015,$A137,Transaksi!$D$16:$D$5015,"Masuk",Transaksi!$B$16:$B$5015,"&lt;="&amp;MIN(EOMONTH(DATE(Dashboard!$C$4,9,1),0),TODAY()))-SUMIFS(Transaksi!$F$16:$F$5015,Transaksi!$C$16:$C$5015,$A137,Transaksi!$D$16:$D$5015,"Keluar",Transaksi!$B$16:$B$5015,"&lt;="&amp;MIN(EOMONTH(DATE(Dashboard!$C$4,9,1),0),TODAY()))-SUMIFS(Transaksi!$F$16:$F$5015,Transaksi!$C$16:$C$5015,$A137,Transaksi!$D$16:$D$5015,"Pindah",Transaksi!$B$16:$B$5015,"&lt;="&amp;MIN(EOMONTH(DATE(Dashboard!$C$4,9,1),0),TODAY()))+SUMIFS(Transaksi!$F$16:$F$5015,Transaksi!$E$16:$E$5015,$A137,Transaksi!$D$16:$D$5015,"Pindah",Transaksi!$B$16:$B$5015,"&lt;="&amp;MIN(EOMONTH(DATE(Dashboard!$C$4,9,1),0),TODAY())))</f>
        <v/>
      </c>
      <c r="L137" s="106">
        <f>IF(OR($A137="",DATE(Dashboard!$C$4,10,1)&gt;TODAY(),ISNA(MATCH($B137,{"Pribadi","Investasi (kas RDN)","Piutang","Pinjaman Mama (dompet)"},0))),"",SUMIFS(Akun!$C$5:$C$104,Akun!$A$5:$A$104,$A137,Akun!$D$5:$D$104,"&lt;="&amp;MIN(EOMONTH(DATE(Dashboard!$C$4,10,1),0),TODAY()))+SUMIFS(Transaksi!$F$16:$F$5015,Transaksi!$C$16:$C$5015,$A137,Transaksi!$D$16:$D$5015,"Masuk",Transaksi!$B$16:$B$5015,"&lt;="&amp;MIN(EOMONTH(DATE(Dashboard!$C$4,10,1),0),TODAY()))-SUMIFS(Transaksi!$F$16:$F$5015,Transaksi!$C$16:$C$5015,$A137,Transaksi!$D$16:$D$5015,"Keluar",Transaksi!$B$16:$B$5015,"&lt;="&amp;MIN(EOMONTH(DATE(Dashboard!$C$4,10,1),0),TODAY()))-SUMIFS(Transaksi!$F$16:$F$5015,Transaksi!$C$16:$C$5015,$A137,Transaksi!$D$16:$D$5015,"Pindah",Transaksi!$B$16:$B$5015,"&lt;="&amp;MIN(EOMONTH(DATE(Dashboard!$C$4,10,1),0),TODAY()))+SUMIFS(Transaksi!$F$16:$F$5015,Transaksi!$E$16:$E$5015,$A137,Transaksi!$D$16:$D$5015,"Pindah",Transaksi!$B$16:$B$5015,"&lt;="&amp;MIN(EOMONTH(DATE(Dashboard!$C$4,10,1),0),TODAY())))</f>
        <v/>
      </c>
      <c r="M137" s="106">
        <f>IF(OR($A137="",DATE(Dashboard!$C$4,11,1)&gt;TODAY(),ISNA(MATCH($B137,{"Pribadi","Investasi (kas RDN)","Piutang","Pinjaman Mama (dompet)"},0))),"",SUMIFS(Akun!$C$5:$C$104,Akun!$A$5:$A$104,$A137,Akun!$D$5:$D$104,"&lt;="&amp;MIN(EOMONTH(DATE(Dashboard!$C$4,11,1),0),TODAY()))+SUMIFS(Transaksi!$F$16:$F$5015,Transaksi!$C$16:$C$5015,$A137,Transaksi!$D$16:$D$5015,"Masuk",Transaksi!$B$16:$B$5015,"&lt;="&amp;MIN(EOMONTH(DATE(Dashboard!$C$4,11,1),0),TODAY()))-SUMIFS(Transaksi!$F$16:$F$5015,Transaksi!$C$16:$C$5015,$A137,Transaksi!$D$16:$D$5015,"Keluar",Transaksi!$B$16:$B$5015,"&lt;="&amp;MIN(EOMONTH(DATE(Dashboard!$C$4,11,1),0),TODAY()))-SUMIFS(Transaksi!$F$16:$F$5015,Transaksi!$C$16:$C$5015,$A137,Transaksi!$D$16:$D$5015,"Pindah",Transaksi!$B$16:$B$5015,"&lt;="&amp;MIN(EOMONTH(DATE(Dashboard!$C$4,11,1),0),TODAY()))+SUMIFS(Transaksi!$F$16:$F$5015,Transaksi!$E$16:$E$5015,$A137,Transaksi!$D$16:$D$5015,"Pindah",Transaksi!$B$16:$B$5015,"&lt;="&amp;MIN(EOMONTH(DATE(Dashboard!$C$4,11,1),0),TODAY())))</f>
        <v/>
      </c>
      <c r="N137" s="106">
        <f>IF(OR($A137="",DATE(Dashboard!$C$4,12,1)&gt;TODAY(),ISNA(MATCH($B137,{"Pribadi","Investasi (kas RDN)","Piutang","Pinjaman Mama (dompet)"},0))),"",SUMIFS(Akun!$C$5:$C$104,Akun!$A$5:$A$104,$A137,Akun!$D$5:$D$104,"&lt;="&amp;MIN(EOMONTH(DATE(Dashboard!$C$4,12,1),0),TODAY()))+SUMIFS(Transaksi!$F$16:$F$5015,Transaksi!$C$16:$C$5015,$A137,Transaksi!$D$16:$D$5015,"Masuk",Transaksi!$B$16:$B$5015,"&lt;="&amp;MIN(EOMONTH(DATE(Dashboard!$C$4,12,1),0),TODAY()))-SUMIFS(Transaksi!$F$16:$F$5015,Transaksi!$C$16:$C$5015,$A137,Transaksi!$D$16:$D$5015,"Keluar",Transaksi!$B$16:$B$5015,"&lt;="&amp;MIN(EOMONTH(DATE(Dashboard!$C$4,12,1),0),TODAY()))-SUMIFS(Transaksi!$F$16:$F$5015,Transaksi!$C$16:$C$5015,$A137,Transaksi!$D$16:$D$5015,"Pindah",Transaksi!$B$16:$B$5015,"&lt;="&amp;MIN(EOMONTH(DATE(Dashboard!$C$4,12,1),0),TODAY()))+SUMIFS(Transaksi!$F$16:$F$5015,Transaksi!$E$16:$E$5015,$A137,Transaksi!$D$16:$D$5015,"Pindah",Transaksi!$B$16:$B$5015,"&lt;="&amp;MIN(EOMONTH(DATE(Dashboard!$C$4,12,1),0),TODAY())))</f>
        <v/>
      </c>
    </row>
    <row r="138" ht="15" customHeight="1" s="94">
      <c r="A138" s="93">
        <f>IF(Akun!$A$102="","",Akun!$A$102)</f>
        <v/>
      </c>
      <c r="B138" s="93">
        <f>IF(Akun!$A$102="","",Akun!$B$102)</f>
        <v/>
      </c>
      <c r="C138" s="106">
        <f>IF(OR($A138="",DATE(Dashboard!$C$4,1,1)&gt;TODAY(),ISNA(MATCH($B138,{"Pribadi","Investasi (kas RDN)","Piutang","Pinjaman Mama (dompet)"},0))),"",SUMIFS(Akun!$C$5:$C$104,Akun!$A$5:$A$104,$A138,Akun!$D$5:$D$104,"&lt;="&amp;MIN(EOMONTH(DATE(Dashboard!$C$4,1,1),0),TODAY()))+SUMIFS(Transaksi!$F$16:$F$5015,Transaksi!$C$16:$C$5015,$A138,Transaksi!$D$16:$D$5015,"Masuk",Transaksi!$B$16:$B$5015,"&lt;="&amp;MIN(EOMONTH(DATE(Dashboard!$C$4,1,1),0),TODAY()))-SUMIFS(Transaksi!$F$16:$F$5015,Transaksi!$C$16:$C$5015,$A138,Transaksi!$D$16:$D$5015,"Keluar",Transaksi!$B$16:$B$5015,"&lt;="&amp;MIN(EOMONTH(DATE(Dashboard!$C$4,1,1),0),TODAY()))-SUMIFS(Transaksi!$F$16:$F$5015,Transaksi!$C$16:$C$5015,$A138,Transaksi!$D$16:$D$5015,"Pindah",Transaksi!$B$16:$B$5015,"&lt;="&amp;MIN(EOMONTH(DATE(Dashboard!$C$4,1,1),0),TODAY()))+SUMIFS(Transaksi!$F$16:$F$5015,Transaksi!$E$16:$E$5015,$A138,Transaksi!$D$16:$D$5015,"Pindah",Transaksi!$B$16:$B$5015,"&lt;="&amp;MIN(EOMONTH(DATE(Dashboard!$C$4,1,1),0),TODAY())))</f>
        <v/>
      </c>
      <c r="D138" s="106">
        <f>IF(OR($A138="",DATE(Dashboard!$C$4,2,1)&gt;TODAY(),ISNA(MATCH($B138,{"Pribadi","Investasi (kas RDN)","Piutang","Pinjaman Mama (dompet)"},0))),"",SUMIFS(Akun!$C$5:$C$104,Akun!$A$5:$A$104,$A138,Akun!$D$5:$D$104,"&lt;="&amp;MIN(EOMONTH(DATE(Dashboard!$C$4,2,1),0),TODAY()))+SUMIFS(Transaksi!$F$16:$F$5015,Transaksi!$C$16:$C$5015,$A138,Transaksi!$D$16:$D$5015,"Masuk",Transaksi!$B$16:$B$5015,"&lt;="&amp;MIN(EOMONTH(DATE(Dashboard!$C$4,2,1),0),TODAY()))-SUMIFS(Transaksi!$F$16:$F$5015,Transaksi!$C$16:$C$5015,$A138,Transaksi!$D$16:$D$5015,"Keluar",Transaksi!$B$16:$B$5015,"&lt;="&amp;MIN(EOMONTH(DATE(Dashboard!$C$4,2,1),0),TODAY()))-SUMIFS(Transaksi!$F$16:$F$5015,Transaksi!$C$16:$C$5015,$A138,Transaksi!$D$16:$D$5015,"Pindah",Transaksi!$B$16:$B$5015,"&lt;="&amp;MIN(EOMONTH(DATE(Dashboard!$C$4,2,1),0),TODAY()))+SUMIFS(Transaksi!$F$16:$F$5015,Transaksi!$E$16:$E$5015,$A138,Transaksi!$D$16:$D$5015,"Pindah",Transaksi!$B$16:$B$5015,"&lt;="&amp;MIN(EOMONTH(DATE(Dashboard!$C$4,2,1),0),TODAY())))</f>
        <v/>
      </c>
      <c r="E138" s="106">
        <f>IF(OR($A138="",DATE(Dashboard!$C$4,3,1)&gt;TODAY(),ISNA(MATCH($B138,{"Pribadi","Investasi (kas RDN)","Piutang","Pinjaman Mama (dompet)"},0))),"",SUMIFS(Akun!$C$5:$C$104,Akun!$A$5:$A$104,$A138,Akun!$D$5:$D$104,"&lt;="&amp;MIN(EOMONTH(DATE(Dashboard!$C$4,3,1),0),TODAY()))+SUMIFS(Transaksi!$F$16:$F$5015,Transaksi!$C$16:$C$5015,$A138,Transaksi!$D$16:$D$5015,"Masuk",Transaksi!$B$16:$B$5015,"&lt;="&amp;MIN(EOMONTH(DATE(Dashboard!$C$4,3,1),0),TODAY()))-SUMIFS(Transaksi!$F$16:$F$5015,Transaksi!$C$16:$C$5015,$A138,Transaksi!$D$16:$D$5015,"Keluar",Transaksi!$B$16:$B$5015,"&lt;="&amp;MIN(EOMONTH(DATE(Dashboard!$C$4,3,1),0),TODAY()))-SUMIFS(Transaksi!$F$16:$F$5015,Transaksi!$C$16:$C$5015,$A138,Transaksi!$D$16:$D$5015,"Pindah",Transaksi!$B$16:$B$5015,"&lt;="&amp;MIN(EOMONTH(DATE(Dashboard!$C$4,3,1),0),TODAY()))+SUMIFS(Transaksi!$F$16:$F$5015,Transaksi!$E$16:$E$5015,$A138,Transaksi!$D$16:$D$5015,"Pindah",Transaksi!$B$16:$B$5015,"&lt;="&amp;MIN(EOMONTH(DATE(Dashboard!$C$4,3,1),0),TODAY())))</f>
        <v/>
      </c>
      <c r="F138" s="106">
        <f>IF(OR($A138="",DATE(Dashboard!$C$4,4,1)&gt;TODAY(),ISNA(MATCH($B138,{"Pribadi","Investasi (kas RDN)","Piutang","Pinjaman Mama (dompet)"},0))),"",SUMIFS(Akun!$C$5:$C$104,Akun!$A$5:$A$104,$A138,Akun!$D$5:$D$104,"&lt;="&amp;MIN(EOMONTH(DATE(Dashboard!$C$4,4,1),0),TODAY()))+SUMIFS(Transaksi!$F$16:$F$5015,Transaksi!$C$16:$C$5015,$A138,Transaksi!$D$16:$D$5015,"Masuk",Transaksi!$B$16:$B$5015,"&lt;="&amp;MIN(EOMONTH(DATE(Dashboard!$C$4,4,1),0),TODAY()))-SUMIFS(Transaksi!$F$16:$F$5015,Transaksi!$C$16:$C$5015,$A138,Transaksi!$D$16:$D$5015,"Keluar",Transaksi!$B$16:$B$5015,"&lt;="&amp;MIN(EOMONTH(DATE(Dashboard!$C$4,4,1),0),TODAY()))-SUMIFS(Transaksi!$F$16:$F$5015,Transaksi!$C$16:$C$5015,$A138,Transaksi!$D$16:$D$5015,"Pindah",Transaksi!$B$16:$B$5015,"&lt;="&amp;MIN(EOMONTH(DATE(Dashboard!$C$4,4,1),0),TODAY()))+SUMIFS(Transaksi!$F$16:$F$5015,Transaksi!$E$16:$E$5015,$A138,Transaksi!$D$16:$D$5015,"Pindah",Transaksi!$B$16:$B$5015,"&lt;="&amp;MIN(EOMONTH(DATE(Dashboard!$C$4,4,1),0),TODAY())))</f>
        <v/>
      </c>
      <c r="G138" s="106">
        <f>IF(OR($A138="",DATE(Dashboard!$C$4,5,1)&gt;TODAY(),ISNA(MATCH($B138,{"Pribadi","Investasi (kas RDN)","Piutang","Pinjaman Mama (dompet)"},0))),"",SUMIFS(Akun!$C$5:$C$104,Akun!$A$5:$A$104,$A138,Akun!$D$5:$D$104,"&lt;="&amp;MIN(EOMONTH(DATE(Dashboard!$C$4,5,1),0),TODAY()))+SUMIFS(Transaksi!$F$16:$F$5015,Transaksi!$C$16:$C$5015,$A138,Transaksi!$D$16:$D$5015,"Masuk",Transaksi!$B$16:$B$5015,"&lt;="&amp;MIN(EOMONTH(DATE(Dashboard!$C$4,5,1),0),TODAY()))-SUMIFS(Transaksi!$F$16:$F$5015,Transaksi!$C$16:$C$5015,$A138,Transaksi!$D$16:$D$5015,"Keluar",Transaksi!$B$16:$B$5015,"&lt;="&amp;MIN(EOMONTH(DATE(Dashboard!$C$4,5,1),0),TODAY()))-SUMIFS(Transaksi!$F$16:$F$5015,Transaksi!$C$16:$C$5015,$A138,Transaksi!$D$16:$D$5015,"Pindah",Transaksi!$B$16:$B$5015,"&lt;="&amp;MIN(EOMONTH(DATE(Dashboard!$C$4,5,1),0),TODAY()))+SUMIFS(Transaksi!$F$16:$F$5015,Transaksi!$E$16:$E$5015,$A138,Transaksi!$D$16:$D$5015,"Pindah",Transaksi!$B$16:$B$5015,"&lt;="&amp;MIN(EOMONTH(DATE(Dashboard!$C$4,5,1),0),TODAY())))</f>
        <v/>
      </c>
      <c r="H138" s="106">
        <f>IF(OR($A138="",DATE(Dashboard!$C$4,6,1)&gt;TODAY(),ISNA(MATCH($B138,{"Pribadi","Investasi (kas RDN)","Piutang","Pinjaman Mama (dompet)"},0))),"",SUMIFS(Akun!$C$5:$C$104,Akun!$A$5:$A$104,$A138,Akun!$D$5:$D$104,"&lt;="&amp;MIN(EOMONTH(DATE(Dashboard!$C$4,6,1),0),TODAY()))+SUMIFS(Transaksi!$F$16:$F$5015,Transaksi!$C$16:$C$5015,$A138,Transaksi!$D$16:$D$5015,"Masuk",Transaksi!$B$16:$B$5015,"&lt;="&amp;MIN(EOMONTH(DATE(Dashboard!$C$4,6,1),0),TODAY()))-SUMIFS(Transaksi!$F$16:$F$5015,Transaksi!$C$16:$C$5015,$A138,Transaksi!$D$16:$D$5015,"Keluar",Transaksi!$B$16:$B$5015,"&lt;="&amp;MIN(EOMONTH(DATE(Dashboard!$C$4,6,1),0),TODAY()))-SUMIFS(Transaksi!$F$16:$F$5015,Transaksi!$C$16:$C$5015,$A138,Transaksi!$D$16:$D$5015,"Pindah",Transaksi!$B$16:$B$5015,"&lt;="&amp;MIN(EOMONTH(DATE(Dashboard!$C$4,6,1),0),TODAY()))+SUMIFS(Transaksi!$F$16:$F$5015,Transaksi!$E$16:$E$5015,$A138,Transaksi!$D$16:$D$5015,"Pindah",Transaksi!$B$16:$B$5015,"&lt;="&amp;MIN(EOMONTH(DATE(Dashboard!$C$4,6,1),0),TODAY())))</f>
        <v/>
      </c>
      <c r="I138" s="106">
        <f>IF(OR($A138="",DATE(Dashboard!$C$4,7,1)&gt;TODAY(),ISNA(MATCH($B138,{"Pribadi","Investasi (kas RDN)","Piutang","Pinjaman Mama (dompet)"},0))),"",SUMIFS(Akun!$C$5:$C$104,Akun!$A$5:$A$104,$A138,Akun!$D$5:$D$104,"&lt;="&amp;MIN(EOMONTH(DATE(Dashboard!$C$4,7,1),0),TODAY()))+SUMIFS(Transaksi!$F$16:$F$5015,Transaksi!$C$16:$C$5015,$A138,Transaksi!$D$16:$D$5015,"Masuk",Transaksi!$B$16:$B$5015,"&lt;="&amp;MIN(EOMONTH(DATE(Dashboard!$C$4,7,1),0),TODAY()))-SUMIFS(Transaksi!$F$16:$F$5015,Transaksi!$C$16:$C$5015,$A138,Transaksi!$D$16:$D$5015,"Keluar",Transaksi!$B$16:$B$5015,"&lt;="&amp;MIN(EOMONTH(DATE(Dashboard!$C$4,7,1),0),TODAY()))-SUMIFS(Transaksi!$F$16:$F$5015,Transaksi!$C$16:$C$5015,$A138,Transaksi!$D$16:$D$5015,"Pindah",Transaksi!$B$16:$B$5015,"&lt;="&amp;MIN(EOMONTH(DATE(Dashboard!$C$4,7,1),0),TODAY()))+SUMIFS(Transaksi!$F$16:$F$5015,Transaksi!$E$16:$E$5015,$A138,Transaksi!$D$16:$D$5015,"Pindah",Transaksi!$B$16:$B$5015,"&lt;="&amp;MIN(EOMONTH(DATE(Dashboard!$C$4,7,1),0),TODAY())))</f>
        <v/>
      </c>
      <c r="J138" s="106">
        <f>IF(OR($A138="",DATE(Dashboard!$C$4,8,1)&gt;TODAY(),ISNA(MATCH($B138,{"Pribadi","Investasi (kas RDN)","Piutang","Pinjaman Mama (dompet)"},0))),"",SUMIFS(Akun!$C$5:$C$104,Akun!$A$5:$A$104,$A138,Akun!$D$5:$D$104,"&lt;="&amp;MIN(EOMONTH(DATE(Dashboard!$C$4,8,1),0),TODAY()))+SUMIFS(Transaksi!$F$16:$F$5015,Transaksi!$C$16:$C$5015,$A138,Transaksi!$D$16:$D$5015,"Masuk",Transaksi!$B$16:$B$5015,"&lt;="&amp;MIN(EOMONTH(DATE(Dashboard!$C$4,8,1),0),TODAY()))-SUMIFS(Transaksi!$F$16:$F$5015,Transaksi!$C$16:$C$5015,$A138,Transaksi!$D$16:$D$5015,"Keluar",Transaksi!$B$16:$B$5015,"&lt;="&amp;MIN(EOMONTH(DATE(Dashboard!$C$4,8,1),0),TODAY()))-SUMIFS(Transaksi!$F$16:$F$5015,Transaksi!$C$16:$C$5015,$A138,Transaksi!$D$16:$D$5015,"Pindah",Transaksi!$B$16:$B$5015,"&lt;="&amp;MIN(EOMONTH(DATE(Dashboard!$C$4,8,1),0),TODAY()))+SUMIFS(Transaksi!$F$16:$F$5015,Transaksi!$E$16:$E$5015,$A138,Transaksi!$D$16:$D$5015,"Pindah",Transaksi!$B$16:$B$5015,"&lt;="&amp;MIN(EOMONTH(DATE(Dashboard!$C$4,8,1),0),TODAY())))</f>
        <v/>
      </c>
      <c r="K138" s="106">
        <f>IF(OR($A138="",DATE(Dashboard!$C$4,9,1)&gt;TODAY(),ISNA(MATCH($B138,{"Pribadi","Investasi (kas RDN)","Piutang","Pinjaman Mama (dompet)"},0))),"",SUMIFS(Akun!$C$5:$C$104,Akun!$A$5:$A$104,$A138,Akun!$D$5:$D$104,"&lt;="&amp;MIN(EOMONTH(DATE(Dashboard!$C$4,9,1),0),TODAY()))+SUMIFS(Transaksi!$F$16:$F$5015,Transaksi!$C$16:$C$5015,$A138,Transaksi!$D$16:$D$5015,"Masuk",Transaksi!$B$16:$B$5015,"&lt;="&amp;MIN(EOMONTH(DATE(Dashboard!$C$4,9,1),0),TODAY()))-SUMIFS(Transaksi!$F$16:$F$5015,Transaksi!$C$16:$C$5015,$A138,Transaksi!$D$16:$D$5015,"Keluar",Transaksi!$B$16:$B$5015,"&lt;="&amp;MIN(EOMONTH(DATE(Dashboard!$C$4,9,1),0),TODAY()))-SUMIFS(Transaksi!$F$16:$F$5015,Transaksi!$C$16:$C$5015,$A138,Transaksi!$D$16:$D$5015,"Pindah",Transaksi!$B$16:$B$5015,"&lt;="&amp;MIN(EOMONTH(DATE(Dashboard!$C$4,9,1),0),TODAY()))+SUMIFS(Transaksi!$F$16:$F$5015,Transaksi!$E$16:$E$5015,$A138,Transaksi!$D$16:$D$5015,"Pindah",Transaksi!$B$16:$B$5015,"&lt;="&amp;MIN(EOMONTH(DATE(Dashboard!$C$4,9,1),0),TODAY())))</f>
        <v/>
      </c>
      <c r="L138" s="106">
        <f>IF(OR($A138="",DATE(Dashboard!$C$4,10,1)&gt;TODAY(),ISNA(MATCH($B138,{"Pribadi","Investasi (kas RDN)","Piutang","Pinjaman Mama (dompet)"},0))),"",SUMIFS(Akun!$C$5:$C$104,Akun!$A$5:$A$104,$A138,Akun!$D$5:$D$104,"&lt;="&amp;MIN(EOMONTH(DATE(Dashboard!$C$4,10,1),0),TODAY()))+SUMIFS(Transaksi!$F$16:$F$5015,Transaksi!$C$16:$C$5015,$A138,Transaksi!$D$16:$D$5015,"Masuk",Transaksi!$B$16:$B$5015,"&lt;="&amp;MIN(EOMONTH(DATE(Dashboard!$C$4,10,1),0),TODAY()))-SUMIFS(Transaksi!$F$16:$F$5015,Transaksi!$C$16:$C$5015,$A138,Transaksi!$D$16:$D$5015,"Keluar",Transaksi!$B$16:$B$5015,"&lt;="&amp;MIN(EOMONTH(DATE(Dashboard!$C$4,10,1),0),TODAY()))-SUMIFS(Transaksi!$F$16:$F$5015,Transaksi!$C$16:$C$5015,$A138,Transaksi!$D$16:$D$5015,"Pindah",Transaksi!$B$16:$B$5015,"&lt;="&amp;MIN(EOMONTH(DATE(Dashboard!$C$4,10,1),0),TODAY()))+SUMIFS(Transaksi!$F$16:$F$5015,Transaksi!$E$16:$E$5015,$A138,Transaksi!$D$16:$D$5015,"Pindah",Transaksi!$B$16:$B$5015,"&lt;="&amp;MIN(EOMONTH(DATE(Dashboard!$C$4,10,1),0),TODAY())))</f>
        <v/>
      </c>
      <c r="M138" s="106">
        <f>IF(OR($A138="",DATE(Dashboard!$C$4,11,1)&gt;TODAY(),ISNA(MATCH($B138,{"Pribadi","Investasi (kas RDN)","Piutang","Pinjaman Mama (dompet)"},0))),"",SUMIFS(Akun!$C$5:$C$104,Akun!$A$5:$A$104,$A138,Akun!$D$5:$D$104,"&lt;="&amp;MIN(EOMONTH(DATE(Dashboard!$C$4,11,1),0),TODAY()))+SUMIFS(Transaksi!$F$16:$F$5015,Transaksi!$C$16:$C$5015,$A138,Transaksi!$D$16:$D$5015,"Masuk",Transaksi!$B$16:$B$5015,"&lt;="&amp;MIN(EOMONTH(DATE(Dashboard!$C$4,11,1),0),TODAY()))-SUMIFS(Transaksi!$F$16:$F$5015,Transaksi!$C$16:$C$5015,$A138,Transaksi!$D$16:$D$5015,"Keluar",Transaksi!$B$16:$B$5015,"&lt;="&amp;MIN(EOMONTH(DATE(Dashboard!$C$4,11,1),0),TODAY()))-SUMIFS(Transaksi!$F$16:$F$5015,Transaksi!$C$16:$C$5015,$A138,Transaksi!$D$16:$D$5015,"Pindah",Transaksi!$B$16:$B$5015,"&lt;="&amp;MIN(EOMONTH(DATE(Dashboard!$C$4,11,1),0),TODAY()))+SUMIFS(Transaksi!$F$16:$F$5015,Transaksi!$E$16:$E$5015,$A138,Transaksi!$D$16:$D$5015,"Pindah",Transaksi!$B$16:$B$5015,"&lt;="&amp;MIN(EOMONTH(DATE(Dashboard!$C$4,11,1),0),TODAY())))</f>
        <v/>
      </c>
      <c r="N138" s="106">
        <f>IF(OR($A138="",DATE(Dashboard!$C$4,12,1)&gt;TODAY(),ISNA(MATCH($B138,{"Pribadi","Investasi (kas RDN)","Piutang","Pinjaman Mama (dompet)"},0))),"",SUMIFS(Akun!$C$5:$C$104,Akun!$A$5:$A$104,$A138,Akun!$D$5:$D$104,"&lt;="&amp;MIN(EOMONTH(DATE(Dashboard!$C$4,12,1),0),TODAY()))+SUMIFS(Transaksi!$F$16:$F$5015,Transaksi!$C$16:$C$5015,$A138,Transaksi!$D$16:$D$5015,"Masuk",Transaksi!$B$16:$B$5015,"&lt;="&amp;MIN(EOMONTH(DATE(Dashboard!$C$4,12,1),0),TODAY()))-SUMIFS(Transaksi!$F$16:$F$5015,Transaksi!$C$16:$C$5015,$A138,Transaksi!$D$16:$D$5015,"Keluar",Transaksi!$B$16:$B$5015,"&lt;="&amp;MIN(EOMONTH(DATE(Dashboard!$C$4,12,1),0),TODAY()))-SUMIFS(Transaksi!$F$16:$F$5015,Transaksi!$C$16:$C$5015,$A138,Transaksi!$D$16:$D$5015,"Pindah",Transaksi!$B$16:$B$5015,"&lt;="&amp;MIN(EOMONTH(DATE(Dashboard!$C$4,12,1),0),TODAY()))+SUMIFS(Transaksi!$F$16:$F$5015,Transaksi!$E$16:$E$5015,$A138,Transaksi!$D$16:$D$5015,"Pindah",Transaksi!$B$16:$B$5015,"&lt;="&amp;MIN(EOMONTH(DATE(Dashboard!$C$4,12,1),0),TODAY())))</f>
        <v/>
      </c>
    </row>
    <row r="139" ht="15" customHeight="1" s="94">
      <c r="A139" s="93">
        <f>IF(Akun!$A$103="","",Akun!$A$103)</f>
        <v/>
      </c>
      <c r="B139" s="93">
        <f>IF(Akun!$A$103="","",Akun!$B$103)</f>
        <v/>
      </c>
      <c r="C139" s="106">
        <f>IF(OR($A139="",DATE(Dashboard!$C$4,1,1)&gt;TODAY(),ISNA(MATCH($B139,{"Pribadi","Investasi (kas RDN)","Piutang","Pinjaman Mama (dompet)"},0))),"",SUMIFS(Akun!$C$5:$C$104,Akun!$A$5:$A$104,$A139,Akun!$D$5:$D$104,"&lt;="&amp;MIN(EOMONTH(DATE(Dashboard!$C$4,1,1),0),TODAY()))+SUMIFS(Transaksi!$F$16:$F$5015,Transaksi!$C$16:$C$5015,$A139,Transaksi!$D$16:$D$5015,"Masuk",Transaksi!$B$16:$B$5015,"&lt;="&amp;MIN(EOMONTH(DATE(Dashboard!$C$4,1,1),0),TODAY()))-SUMIFS(Transaksi!$F$16:$F$5015,Transaksi!$C$16:$C$5015,$A139,Transaksi!$D$16:$D$5015,"Keluar",Transaksi!$B$16:$B$5015,"&lt;="&amp;MIN(EOMONTH(DATE(Dashboard!$C$4,1,1),0),TODAY()))-SUMIFS(Transaksi!$F$16:$F$5015,Transaksi!$C$16:$C$5015,$A139,Transaksi!$D$16:$D$5015,"Pindah",Transaksi!$B$16:$B$5015,"&lt;="&amp;MIN(EOMONTH(DATE(Dashboard!$C$4,1,1),0),TODAY()))+SUMIFS(Transaksi!$F$16:$F$5015,Transaksi!$E$16:$E$5015,$A139,Transaksi!$D$16:$D$5015,"Pindah",Transaksi!$B$16:$B$5015,"&lt;="&amp;MIN(EOMONTH(DATE(Dashboard!$C$4,1,1),0),TODAY())))</f>
        <v/>
      </c>
      <c r="D139" s="106">
        <f>IF(OR($A139="",DATE(Dashboard!$C$4,2,1)&gt;TODAY(),ISNA(MATCH($B139,{"Pribadi","Investasi (kas RDN)","Piutang","Pinjaman Mama (dompet)"},0))),"",SUMIFS(Akun!$C$5:$C$104,Akun!$A$5:$A$104,$A139,Akun!$D$5:$D$104,"&lt;="&amp;MIN(EOMONTH(DATE(Dashboard!$C$4,2,1),0),TODAY()))+SUMIFS(Transaksi!$F$16:$F$5015,Transaksi!$C$16:$C$5015,$A139,Transaksi!$D$16:$D$5015,"Masuk",Transaksi!$B$16:$B$5015,"&lt;="&amp;MIN(EOMONTH(DATE(Dashboard!$C$4,2,1),0),TODAY()))-SUMIFS(Transaksi!$F$16:$F$5015,Transaksi!$C$16:$C$5015,$A139,Transaksi!$D$16:$D$5015,"Keluar",Transaksi!$B$16:$B$5015,"&lt;="&amp;MIN(EOMONTH(DATE(Dashboard!$C$4,2,1),0),TODAY()))-SUMIFS(Transaksi!$F$16:$F$5015,Transaksi!$C$16:$C$5015,$A139,Transaksi!$D$16:$D$5015,"Pindah",Transaksi!$B$16:$B$5015,"&lt;="&amp;MIN(EOMONTH(DATE(Dashboard!$C$4,2,1),0),TODAY()))+SUMIFS(Transaksi!$F$16:$F$5015,Transaksi!$E$16:$E$5015,$A139,Transaksi!$D$16:$D$5015,"Pindah",Transaksi!$B$16:$B$5015,"&lt;="&amp;MIN(EOMONTH(DATE(Dashboard!$C$4,2,1),0),TODAY())))</f>
        <v/>
      </c>
      <c r="E139" s="106">
        <f>IF(OR($A139="",DATE(Dashboard!$C$4,3,1)&gt;TODAY(),ISNA(MATCH($B139,{"Pribadi","Investasi (kas RDN)","Piutang","Pinjaman Mama (dompet)"},0))),"",SUMIFS(Akun!$C$5:$C$104,Akun!$A$5:$A$104,$A139,Akun!$D$5:$D$104,"&lt;="&amp;MIN(EOMONTH(DATE(Dashboard!$C$4,3,1),0),TODAY()))+SUMIFS(Transaksi!$F$16:$F$5015,Transaksi!$C$16:$C$5015,$A139,Transaksi!$D$16:$D$5015,"Masuk",Transaksi!$B$16:$B$5015,"&lt;="&amp;MIN(EOMONTH(DATE(Dashboard!$C$4,3,1),0),TODAY()))-SUMIFS(Transaksi!$F$16:$F$5015,Transaksi!$C$16:$C$5015,$A139,Transaksi!$D$16:$D$5015,"Keluar",Transaksi!$B$16:$B$5015,"&lt;="&amp;MIN(EOMONTH(DATE(Dashboard!$C$4,3,1),0),TODAY()))-SUMIFS(Transaksi!$F$16:$F$5015,Transaksi!$C$16:$C$5015,$A139,Transaksi!$D$16:$D$5015,"Pindah",Transaksi!$B$16:$B$5015,"&lt;="&amp;MIN(EOMONTH(DATE(Dashboard!$C$4,3,1),0),TODAY()))+SUMIFS(Transaksi!$F$16:$F$5015,Transaksi!$E$16:$E$5015,$A139,Transaksi!$D$16:$D$5015,"Pindah",Transaksi!$B$16:$B$5015,"&lt;="&amp;MIN(EOMONTH(DATE(Dashboard!$C$4,3,1),0),TODAY())))</f>
        <v/>
      </c>
      <c r="F139" s="106">
        <f>IF(OR($A139="",DATE(Dashboard!$C$4,4,1)&gt;TODAY(),ISNA(MATCH($B139,{"Pribadi","Investasi (kas RDN)","Piutang","Pinjaman Mama (dompet)"},0))),"",SUMIFS(Akun!$C$5:$C$104,Akun!$A$5:$A$104,$A139,Akun!$D$5:$D$104,"&lt;="&amp;MIN(EOMONTH(DATE(Dashboard!$C$4,4,1),0),TODAY()))+SUMIFS(Transaksi!$F$16:$F$5015,Transaksi!$C$16:$C$5015,$A139,Transaksi!$D$16:$D$5015,"Masuk",Transaksi!$B$16:$B$5015,"&lt;="&amp;MIN(EOMONTH(DATE(Dashboard!$C$4,4,1),0),TODAY()))-SUMIFS(Transaksi!$F$16:$F$5015,Transaksi!$C$16:$C$5015,$A139,Transaksi!$D$16:$D$5015,"Keluar",Transaksi!$B$16:$B$5015,"&lt;="&amp;MIN(EOMONTH(DATE(Dashboard!$C$4,4,1),0),TODAY()))-SUMIFS(Transaksi!$F$16:$F$5015,Transaksi!$C$16:$C$5015,$A139,Transaksi!$D$16:$D$5015,"Pindah",Transaksi!$B$16:$B$5015,"&lt;="&amp;MIN(EOMONTH(DATE(Dashboard!$C$4,4,1),0),TODAY()))+SUMIFS(Transaksi!$F$16:$F$5015,Transaksi!$E$16:$E$5015,$A139,Transaksi!$D$16:$D$5015,"Pindah",Transaksi!$B$16:$B$5015,"&lt;="&amp;MIN(EOMONTH(DATE(Dashboard!$C$4,4,1),0),TODAY())))</f>
        <v/>
      </c>
      <c r="G139" s="106">
        <f>IF(OR($A139="",DATE(Dashboard!$C$4,5,1)&gt;TODAY(),ISNA(MATCH($B139,{"Pribadi","Investasi (kas RDN)","Piutang","Pinjaman Mama (dompet)"},0))),"",SUMIFS(Akun!$C$5:$C$104,Akun!$A$5:$A$104,$A139,Akun!$D$5:$D$104,"&lt;="&amp;MIN(EOMONTH(DATE(Dashboard!$C$4,5,1),0),TODAY()))+SUMIFS(Transaksi!$F$16:$F$5015,Transaksi!$C$16:$C$5015,$A139,Transaksi!$D$16:$D$5015,"Masuk",Transaksi!$B$16:$B$5015,"&lt;="&amp;MIN(EOMONTH(DATE(Dashboard!$C$4,5,1),0),TODAY()))-SUMIFS(Transaksi!$F$16:$F$5015,Transaksi!$C$16:$C$5015,$A139,Transaksi!$D$16:$D$5015,"Keluar",Transaksi!$B$16:$B$5015,"&lt;="&amp;MIN(EOMONTH(DATE(Dashboard!$C$4,5,1),0),TODAY()))-SUMIFS(Transaksi!$F$16:$F$5015,Transaksi!$C$16:$C$5015,$A139,Transaksi!$D$16:$D$5015,"Pindah",Transaksi!$B$16:$B$5015,"&lt;="&amp;MIN(EOMONTH(DATE(Dashboard!$C$4,5,1),0),TODAY()))+SUMIFS(Transaksi!$F$16:$F$5015,Transaksi!$E$16:$E$5015,$A139,Transaksi!$D$16:$D$5015,"Pindah",Transaksi!$B$16:$B$5015,"&lt;="&amp;MIN(EOMONTH(DATE(Dashboard!$C$4,5,1),0),TODAY())))</f>
        <v/>
      </c>
      <c r="H139" s="106">
        <f>IF(OR($A139="",DATE(Dashboard!$C$4,6,1)&gt;TODAY(),ISNA(MATCH($B139,{"Pribadi","Investasi (kas RDN)","Piutang","Pinjaman Mama (dompet)"},0))),"",SUMIFS(Akun!$C$5:$C$104,Akun!$A$5:$A$104,$A139,Akun!$D$5:$D$104,"&lt;="&amp;MIN(EOMONTH(DATE(Dashboard!$C$4,6,1),0),TODAY()))+SUMIFS(Transaksi!$F$16:$F$5015,Transaksi!$C$16:$C$5015,$A139,Transaksi!$D$16:$D$5015,"Masuk",Transaksi!$B$16:$B$5015,"&lt;="&amp;MIN(EOMONTH(DATE(Dashboard!$C$4,6,1),0),TODAY()))-SUMIFS(Transaksi!$F$16:$F$5015,Transaksi!$C$16:$C$5015,$A139,Transaksi!$D$16:$D$5015,"Keluar",Transaksi!$B$16:$B$5015,"&lt;="&amp;MIN(EOMONTH(DATE(Dashboard!$C$4,6,1),0),TODAY()))-SUMIFS(Transaksi!$F$16:$F$5015,Transaksi!$C$16:$C$5015,$A139,Transaksi!$D$16:$D$5015,"Pindah",Transaksi!$B$16:$B$5015,"&lt;="&amp;MIN(EOMONTH(DATE(Dashboard!$C$4,6,1),0),TODAY()))+SUMIFS(Transaksi!$F$16:$F$5015,Transaksi!$E$16:$E$5015,$A139,Transaksi!$D$16:$D$5015,"Pindah",Transaksi!$B$16:$B$5015,"&lt;="&amp;MIN(EOMONTH(DATE(Dashboard!$C$4,6,1),0),TODAY())))</f>
        <v/>
      </c>
      <c r="I139" s="106">
        <f>IF(OR($A139="",DATE(Dashboard!$C$4,7,1)&gt;TODAY(),ISNA(MATCH($B139,{"Pribadi","Investasi (kas RDN)","Piutang","Pinjaman Mama (dompet)"},0))),"",SUMIFS(Akun!$C$5:$C$104,Akun!$A$5:$A$104,$A139,Akun!$D$5:$D$104,"&lt;="&amp;MIN(EOMONTH(DATE(Dashboard!$C$4,7,1),0),TODAY()))+SUMIFS(Transaksi!$F$16:$F$5015,Transaksi!$C$16:$C$5015,$A139,Transaksi!$D$16:$D$5015,"Masuk",Transaksi!$B$16:$B$5015,"&lt;="&amp;MIN(EOMONTH(DATE(Dashboard!$C$4,7,1),0),TODAY()))-SUMIFS(Transaksi!$F$16:$F$5015,Transaksi!$C$16:$C$5015,$A139,Transaksi!$D$16:$D$5015,"Keluar",Transaksi!$B$16:$B$5015,"&lt;="&amp;MIN(EOMONTH(DATE(Dashboard!$C$4,7,1),0),TODAY()))-SUMIFS(Transaksi!$F$16:$F$5015,Transaksi!$C$16:$C$5015,$A139,Transaksi!$D$16:$D$5015,"Pindah",Transaksi!$B$16:$B$5015,"&lt;="&amp;MIN(EOMONTH(DATE(Dashboard!$C$4,7,1),0),TODAY()))+SUMIFS(Transaksi!$F$16:$F$5015,Transaksi!$E$16:$E$5015,$A139,Transaksi!$D$16:$D$5015,"Pindah",Transaksi!$B$16:$B$5015,"&lt;="&amp;MIN(EOMONTH(DATE(Dashboard!$C$4,7,1),0),TODAY())))</f>
        <v/>
      </c>
      <c r="J139" s="106">
        <f>IF(OR($A139="",DATE(Dashboard!$C$4,8,1)&gt;TODAY(),ISNA(MATCH($B139,{"Pribadi","Investasi (kas RDN)","Piutang","Pinjaman Mama (dompet)"},0))),"",SUMIFS(Akun!$C$5:$C$104,Akun!$A$5:$A$104,$A139,Akun!$D$5:$D$104,"&lt;="&amp;MIN(EOMONTH(DATE(Dashboard!$C$4,8,1),0),TODAY()))+SUMIFS(Transaksi!$F$16:$F$5015,Transaksi!$C$16:$C$5015,$A139,Transaksi!$D$16:$D$5015,"Masuk",Transaksi!$B$16:$B$5015,"&lt;="&amp;MIN(EOMONTH(DATE(Dashboard!$C$4,8,1),0),TODAY()))-SUMIFS(Transaksi!$F$16:$F$5015,Transaksi!$C$16:$C$5015,$A139,Transaksi!$D$16:$D$5015,"Keluar",Transaksi!$B$16:$B$5015,"&lt;="&amp;MIN(EOMONTH(DATE(Dashboard!$C$4,8,1),0),TODAY()))-SUMIFS(Transaksi!$F$16:$F$5015,Transaksi!$C$16:$C$5015,$A139,Transaksi!$D$16:$D$5015,"Pindah",Transaksi!$B$16:$B$5015,"&lt;="&amp;MIN(EOMONTH(DATE(Dashboard!$C$4,8,1),0),TODAY()))+SUMIFS(Transaksi!$F$16:$F$5015,Transaksi!$E$16:$E$5015,$A139,Transaksi!$D$16:$D$5015,"Pindah",Transaksi!$B$16:$B$5015,"&lt;="&amp;MIN(EOMONTH(DATE(Dashboard!$C$4,8,1),0),TODAY())))</f>
        <v/>
      </c>
      <c r="K139" s="106">
        <f>IF(OR($A139="",DATE(Dashboard!$C$4,9,1)&gt;TODAY(),ISNA(MATCH($B139,{"Pribadi","Investasi (kas RDN)","Piutang","Pinjaman Mama (dompet)"},0))),"",SUMIFS(Akun!$C$5:$C$104,Akun!$A$5:$A$104,$A139,Akun!$D$5:$D$104,"&lt;="&amp;MIN(EOMONTH(DATE(Dashboard!$C$4,9,1),0),TODAY()))+SUMIFS(Transaksi!$F$16:$F$5015,Transaksi!$C$16:$C$5015,$A139,Transaksi!$D$16:$D$5015,"Masuk",Transaksi!$B$16:$B$5015,"&lt;="&amp;MIN(EOMONTH(DATE(Dashboard!$C$4,9,1),0),TODAY()))-SUMIFS(Transaksi!$F$16:$F$5015,Transaksi!$C$16:$C$5015,$A139,Transaksi!$D$16:$D$5015,"Keluar",Transaksi!$B$16:$B$5015,"&lt;="&amp;MIN(EOMONTH(DATE(Dashboard!$C$4,9,1),0),TODAY()))-SUMIFS(Transaksi!$F$16:$F$5015,Transaksi!$C$16:$C$5015,$A139,Transaksi!$D$16:$D$5015,"Pindah",Transaksi!$B$16:$B$5015,"&lt;="&amp;MIN(EOMONTH(DATE(Dashboard!$C$4,9,1),0),TODAY()))+SUMIFS(Transaksi!$F$16:$F$5015,Transaksi!$E$16:$E$5015,$A139,Transaksi!$D$16:$D$5015,"Pindah",Transaksi!$B$16:$B$5015,"&lt;="&amp;MIN(EOMONTH(DATE(Dashboard!$C$4,9,1),0),TODAY())))</f>
        <v/>
      </c>
      <c r="L139" s="106">
        <f>IF(OR($A139="",DATE(Dashboard!$C$4,10,1)&gt;TODAY(),ISNA(MATCH($B139,{"Pribadi","Investasi (kas RDN)","Piutang","Pinjaman Mama (dompet)"},0))),"",SUMIFS(Akun!$C$5:$C$104,Akun!$A$5:$A$104,$A139,Akun!$D$5:$D$104,"&lt;="&amp;MIN(EOMONTH(DATE(Dashboard!$C$4,10,1),0),TODAY()))+SUMIFS(Transaksi!$F$16:$F$5015,Transaksi!$C$16:$C$5015,$A139,Transaksi!$D$16:$D$5015,"Masuk",Transaksi!$B$16:$B$5015,"&lt;="&amp;MIN(EOMONTH(DATE(Dashboard!$C$4,10,1),0),TODAY()))-SUMIFS(Transaksi!$F$16:$F$5015,Transaksi!$C$16:$C$5015,$A139,Transaksi!$D$16:$D$5015,"Keluar",Transaksi!$B$16:$B$5015,"&lt;="&amp;MIN(EOMONTH(DATE(Dashboard!$C$4,10,1),0),TODAY()))-SUMIFS(Transaksi!$F$16:$F$5015,Transaksi!$C$16:$C$5015,$A139,Transaksi!$D$16:$D$5015,"Pindah",Transaksi!$B$16:$B$5015,"&lt;="&amp;MIN(EOMONTH(DATE(Dashboard!$C$4,10,1),0),TODAY()))+SUMIFS(Transaksi!$F$16:$F$5015,Transaksi!$E$16:$E$5015,$A139,Transaksi!$D$16:$D$5015,"Pindah",Transaksi!$B$16:$B$5015,"&lt;="&amp;MIN(EOMONTH(DATE(Dashboard!$C$4,10,1),0),TODAY())))</f>
        <v/>
      </c>
      <c r="M139" s="106">
        <f>IF(OR($A139="",DATE(Dashboard!$C$4,11,1)&gt;TODAY(),ISNA(MATCH($B139,{"Pribadi","Investasi (kas RDN)","Piutang","Pinjaman Mama (dompet)"},0))),"",SUMIFS(Akun!$C$5:$C$104,Akun!$A$5:$A$104,$A139,Akun!$D$5:$D$104,"&lt;="&amp;MIN(EOMONTH(DATE(Dashboard!$C$4,11,1),0),TODAY()))+SUMIFS(Transaksi!$F$16:$F$5015,Transaksi!$C$16:$C$5015,$A139,Transaksi!$D$16:$D$5015,"Masuk",Transaksi!$B$16:$B$5015,"&lt;="&amp;MIN(EOMONTH(DATE(Dashboard!$C$4,11,1),0),TODAY()))-SUMIFS(Transaksi!$F$16:$F$5015,Transaksi!$C$16:$C$5015,$A139,Transaksi!$D$16:$D$5015,"Keluar",Transaksi!$B$16:$B$5015,"&lt;="&amp;MIN(EOMONTH(DATE(Dashboard!$C$4,11,1),0),TODAY()))-SUMIFS(Transaksi!$F$16:$F$5015,Transaksi!$C$16:$C$5015,$A139,Transaksi!$D$16:$D$5015,"Pindah",Transaksi!$B$16:$B$5015,"&lt;="&amp;MIN(EOMONTH(DATE(Dashboard!$C$4,11,1),0),TODAY()))+SUMIFS(Transaksi!$F$16:$F$5015,Transaksi!$E$16:$E$5015,$A139,Transaksi!$D$16:$D$5015,"Pindah",Transaksi!$B$16:$B$5015,"&lt;="&amp;MIN(EOMONTH(DATE(Dashboard!$C$4,11,1),0),TODAY())))</f>
        <v/>
      </c>
      <c r="N139" s="106">
        <f>IF(OR($A139="",DATE(Dashboard!$C$4,12,1)&gt;TODAY(),ISNA(MATCH($B139,{"Pribadi","Investasi (kas RDN)","Piutang","Pinjaman Mama (dompet)"},0))),"",SUMIFS(Akun!$C$5:$C$104,Akun!$A$5:$A$104,$A139,Akun!$D$5:$D$104,"&lt;="&amp;MIN(EOMONTH(DATE(Dashboard!$C$4,12,1),0),TODAY()))+SUMIFS(Transaksi!$F$16:$F$5015,Transaksi!$C$16:$C$5015,$A139,Transaksi!$D$16:$D$5015,"Masuk",Transaksi!$B$16:$B$5015,"&lt;="&amp;MIN(EOMONTH(DATE(Dashboard!$C$4,12,1),0),TODAY()))-SUMIFS(Transaksi!$F$16:$F$5015,Transaksi!$C$16:$C$5015,$A139,Transaksi!$D$16:$D$5015,"Keluar",Transaksi!$B$16:$B$5015,"&lt;="&amp;MIN(EOMONTH(DATE(Dashboard!$C$4,12,1),0),TODAY()))-SUMIFS(Transaksi!$F$16:$F$5015,Transaksi!$C$16:$C$5015,$A139,Transaksi!$D$16:$D$5015,"Pindah",Transaksi!$B$16:$B$5015,"&lt;="&amp;MIN(EOMONTH(DATE(Dashboard!$C$4,12,1),0),TODAY()))+SUMIFS(Transaksi!$F$16:$F$5015,Transaksi!$E$16:$E$5015,$A139,Transaksi!$D$16:$D$5015,"Pindah",Transaksi!$B$16:$B$5015,"&lt;="&amp;MIN(EOMONTH(DATE(Dashboard!$C$4,12,1),0),TODAY())))</f>
        <v/>
      </c>
    </row>
    <row r="140" ht="15" customHeight="1" s="94">
      <c r="A140" s="93">
        <f>IF(Akun!$A$104="","",Akun!$A$104)</f>
        <v/>
      </c>
      <c r="B140" s="93">
        <f>IF(Akun!$A$104="","",Akun!$B$104)</f>
        <v/>
      </c>
      <c r="C140" s="106">
        <f>IF(OR($A140="",DATE(Dashboard!$C$4,1,1)&gt;TODAY(),ISNA(MATCH($B140,{"Pribadi","Investasi (kas RDN)","Piutang","Pinjaman Mama (dompet)"},0))),"",SUMIFS(Akun!$C$5:$C$104,Akun!$A$5:$A$104,$A140,Akun!$D$5:$D$104,"&lt;="&amp;MIN(EOMONTH(DATE(Dashboard!$C$4,1,1),0),TODAY()))+SUMIFS(Transaksi!$F$16:$F$5015,Transaksi!$C$16:$C$5015,$A140,Transaksi!$D$16:$D$5015,"Masuk",Transaksi!$B$16:$B$5015,"&lt;="&amp;MIN(EOMONTH(DATE(Dashboard!$C$4,1,1),0),TODAY()))-SUMIFS(Transaksi!$F$16:$F$5015,Transaksi!$C$16:$C$5015,$A140,Transaksi!$D$16:$D$5015,"Keluar",Transaksi!$B$16:$B$5015,"&lt;="&amp;MIN(EOMONTH(DATE(Dashboard!$C$4,1,1),0),TODAY()))-SUMIFS(Transaksi!$F$16:$F$5015,Transaksi!$C$16:$C$5015,$A140,Transaksi!$D$16:$D$5015,"Pindah",Transaksi!$B$16:$B$5015,"&lt;="&amp;MIN(EOMONTH(DATE(Dashboard!$C$4,1,1),0),TODAY()))+SUMIFS(Transaksi!$F$16:$F$5015,Transaksi!$E$16:$E$5015,$A140,Transaksi!$D$16:$D$5015,"Pindah",Transaksi!$B$16:$B$5015,"&lt;="&amp;MIN(EOMONTH(DATE(Dashboard!$C$4,1,1),0),TODAY())))</f>
        <v/>
      </c>
      <c r="D140" s="106">
        <f>IF(OR($A140="",DATE(Dashboard!$C$4,2,1)&gt;TODAY(),ISNA(MATCH($B140,{"Pribadi","Investasi (kas RDN)","Piutang","Pinjaman Mama (dompet)"},0))),"",SUMIFS(Akun!$C$5:$C$104,Akun!$A$5:$A$104,$A140,Akun!$D$5:$D$104,"&lt;="&amp;MIN(EOMONTH(DATE(Dashboard!$C$4,2,1),0),TODAY()))+SUMIFS(Transaksi!$F$16:$F$5015,Transaksi!$C$16:$C$5015,$A140,Transaksi!$D$16:$D$5015,"Masuk",Transaksi!$B$16:$B$5015,"&lt;="&amp;MIN(EOMONTH(DATE(Dashboard!$C$4,2,1),0),TODAY()))-SUMIFS(Transaksi!$F$16:$F$5015,Transaksi!$C$16:$C$5015,$A140,Transaksi!$D$16:$D$5015,"Keluar",Transaksi!$B$16:$B$5015,"&lt;="&amp;MIN(EOMONTH(DATE(Dashboard!$C$4,2,1),0),TODAY()))-SUMIFS(Transaksi!$F$16:$F$5015,Transaksi!$C$16:$C$5015,$A140,Transaksi!$D$16:$D$5015,"Pindah",Transaksi!$B$16:$B$5015,"&lt;="&amp;MIN(EOMONTH(DATE(Dashboard!$C$4,2,1),0),TODAY()))+SUMIFS(Transaksi!$F$16:$F$5015,Transaksi!$E$16:$E$5015,$A140,Transaksi!$D$16:$D$5015,"Pindah",Transaksi!$B$16:$B$5015,"&lt;="&amp;MIN(EOMONTH(DATE(Dashboard!$C$4,2,1),0),TODAY())))</f>
        <v/>
      </c>
      <c r="E140" s="106">
        <f>IF(OR($A140="",DATE(Dashboard!$C$4,3,1)&gt;TODAY(),ISNA(MATCH($B140,{"Pribadi","Investasi (kas RDN)","Piutang","Pinjaman Mama (dompet)"},0))),"",SUMIFS(Akun!$C$5:$C$104,Akun!$A$5:$A$104,$A140,Akun!$D$5:$D$104,"&lt;="&amp;MIN(EOMONTH(DATE(Dashboard!$C$4,3,1),0),TODAY()))+SUMIFS(Transaksi!$F$16:$F$5015,Transaksi!$C$16:$C$5015,$A140,Transaksi!$D$16:$D$5015,"Masuk",Transaksi!$B$16:$B$5015,"&lt;="&amp;MIN(EOMONTH(DATE(Dashboard!$C$4,3,1),0),TODAY()))-SUMIFS(Transaksi!$F$16:$F$5015,Transaksi!$C$16:$C$5015,$A140,Transaksi!$D$16:$D$5015,"Keluar",Transaksi!$B$16:$B$5015,"&lt;="&amp;MIN(EOMONTH(DATE(Dashboard!$C$4,3,1),0),TODAY()))-SUMIFS(Transaksi!$F$16:$F$5015,Transaksi!$C$16:$C$5015,$A140,Transaksi!$D$16:$D$5015,"Pindah",Transaksi!$B$16:$B$5015,"&lt;="&amp;MIN(EOMONTH(DATE(Dashboard!$C$4,3,1),0),TODAY()))+SUMIFS(Transaksi!$F$16:$F$5015,Transaksi!$E$16:$E$5015,$A140,Transaksi!$D$16:$D$5015,"Pindah",Transaksi!$B$16:$B$5015,"&lt;="&amp;MIN(EOMONTH(DATE(Dashboard!$C$4,3,1),0),TODAY())))</f>
        <v/>
      </c>
      <c r="F140" s="106">
        <f>IF(OR($A140="",DATE(Dashboard!$C$4,4,1)&gt;TODAY(),ISNA(MATCH($B140,{"Pribadi","Investasi (kas RDN)","Piutang","Pinjaman Mama (dompet)"},0))),"",SUMIFS(Akun!$C$5:$C$104,Akun!$A$5:$A$104,$A140,Akun!$D$5:$D$104,"&lt;="&amp;MIN(EOMONTH(DATE(Dashboard!$C$4,4,1),0),TODAY()))+SUMIFS(Transaksi!$F$16:$F$5015,Transaksi!$C$16:$C$5015,$A140,Transaksi!$D$16:$D$5015,"Masuk",Transaksi!$B$16:$B$5015,"&lt;="&amp;MIN(EOMONTH(DATE(Dashboard!$C$4,4,1),0),TODAY()))-SUMIFS(Transaksi!$F$16:$F$5015,Transaksi!$C$16:$C$5015,$A140,Transaksi!$D$16:$D$5015,"Keluar",Transaksi!$B$16:$B$5015,"&lt;="&amp;MIN(EOMONTH(DATE(Dashboard!$C$4,4,1),0),TODAY()))-SUMIFS(Transaksi!$F$16:$F$5015,Transaksi!$C$16:$C$5015,$A140,Transaksi!$D$16:$D$5015,"Pindah",Transaksi!$B$16:$B$5015,"&lt;="&amp;MIN(EOMONTH(DATE(Dashboard!$C$4,4,1),0),TODAY()))+SUMIFS(Transaksi!$F$16:$F$5015,Transaksi!$E$16:$E$5015,$A140,Transaksi!$D$16:$D$5015,"Pindah",Transaksi!$B$16:$B$5015,"&lt;="&amp;MIN(EOMONTH(DATE(Dashboard!$C$4,4,1),0),TODAY())))</f>
        <v/>
      </c>
      <c r="G140" s="106">
        <f>IF(OR($A140="",DATE(Dashboard!$C$4,5,1)&gt;TODAY(),ISNA(MATCH($B140,{"Pribadi","Investasi (kas RDN)","Piutang","Pinjaman Mama (dompet)"},0))),"",SUMIFS(Akun!$C$5:$C$104,Akun!$A$5:$A$104,$A140,Akun!$D$5:$D$104,"&lt;="&amp;MIN(EOMONTH(DATE(Dashboard!$C$4,5,1),0),TODAY()))+SUMIFS(Transaksi!$F$16:$F$5015,Transaksi!$C$16:$C$5015,$A140,Transaksi!$D$16:$D$5015,"Masuk",Transaksi!$B$16:$B$5015,"&lt;="&amp;MIN(EOMONTH(DATE(Dashboard!$C$4,5,1),0),TODAY()))-SUMIFS(Transaksi!$F$16:$F$5015,Transaksi!$C$16:$C$5015,$A140,Transaksi!$D$16:$D$5015,"Keluar",Transaksi!$B$16:$B$5015,"&lt;="&amp;MIN(EOMONTH(DATE(Dashboard!$C$4,5,1),0),TODAY()))-SUMIFS(Transaksi!$F$16:$F$5015,Transaksi!$C$16:$C$5015,$A140,Transaksi!$D$16:$D$5015,"Pindah",Transaksi!$B$16:$B$5015,"&lt;="&amp;MIN(EOMONTH(DATE(Dashboard!$C$4,5,1),0),TODAY()))+SUMIFS(Transaksi!$F$16:$F$5015,Transaksi!$E$16:$E$5015,$A140,Transaksi!$D$16:$D$5015,"Pindah",Transaksi!$B$16:$B$5015,"&lt;="&amp;MIN(EOMONTH(DATE(Dashboard!$C$4,5,1),0),TODAY())))</f>
        <v/>
      </c>
      <c r="H140" s="106">
        <f>IF(OR($A140="",DATE(Dashboard!$C$4,6,1)&gt;TODAY(),ISNA(MATCH($B140,{"Pribadi","Investasi (kas RDN)","Piutang","Pinjaman Mama (dompet)"},0))),"",SUMIFS(Akun!$C$5:$C$104,Akun!$A$5:$A$104,$A140,Akun!$D$5:$D$104,"&lt;="&amp;MIN(EOMONTH(DATE(Dashboard!$C$4,6,1),0),TODAY()))+SUMIFS(Transaksi!$F$16:$F$5015,Transaksi!$C$16:$C$5015,$A140,Transaksi!$D$16:$D$5015,"Masuk",Transaksi!$B$16:$B$5015,"&lt;="&amp;MIN(EOMONTH(DATE(Dashboard!$C$4,6,1),0),TODAY()))-SUMIFS(Transaksi!$F$16:$F$5015,Transaksi!$C$16:$C$5015,$A140,Transaksi!$D$16:$D$5015,"Keluar",Transaksi!$B$16:$B$5015,"&lt;="&amp;MIN(EOMONTH(DATE(Dashboard!$C$4,6,1),0),TODAY()))-SUMIFS(Transaksi!$F$16:$F$5015,Transaksi!$C$16:$C$5015,$A140,Transaksi!$D$16:$D$5015,"Pindah",Transaksi!$B$16:$B$5015,"&lt;="&amp;MIN(EOMONTH(DATE(Dashboard!$C$4,6,1),0),TODAY()))+SUMIFS(Transaksi!$F$16:$F$5015,Transaksi!$E$16:$E$5015,$A140,Transaksi!$D$16:$D$5015,"Pindah",Transaksi!$B$16:$B$5015,"&lt;="&amp;MIN(EOMONTH(DATE(Dashboard!$C$4,6,1),0),TODAY())))</f>
        <v/>
      </c>
      <c r="I140" s="106">
        <f>IF(OR($A140="",DATE(Dashboard!$C$4,7,1)&gt;TODAY(),ISNA(MATCH($B140,{"Pribadi","Investasi (kas RDN)","Piutang","Pinjaman Mama (dompet)"},0))),"",SUMIFS(Akun!$C$5:$C$104,Akun!$A$5:$A$104,$A140,Akun!$D$5:$D$104,"&lt;="&amp;MIN(EOMONTH(DATE(Dashboard!$C$4,7,1),0),TODAY()))+SUMIFS(Transaksi!$F$16:$F$5015,Transaksi!$C$16:$C$5015,$A140,Transaksi!$D$16:$D$5015,"Masuk",Transaksi!$B$16:$B$5015,"&lt;="&amp;MIN(EOMONTH(DATE(Dashboard!$C$4,7,1),0),TODAY()))-SUMIFS(Transaksi!$F$16:$F$5015,Transaksi!$C$16:$C$5015,$A140,Transaksi!$D$16:$D$5015,"Keluar",Transaksi!$B$16:$B$5015,"&lt;="&amp;MIN(EOMONTH(DATE(Dashboard!$C$4,7,1),0),TODAY()))-SUMIFS(Transaksi!$F$16:$F$5015,Transaksi!$C$16:$C$5015,$A140,Transaksi!$D$16:$D$5015,"Pindah",Transaksi!$B$16:$B$5015,"&lt;="&amp;MIN(EOMONTH(DATE(Dashboard!$C$4,7,1),0),TODAY()))+SUMIFS(Transaksi!$F$16:$F$5015,Transaksi!$E$16:$E$5015,$A140,Transaksi!$D$16:$D$5015,"Pindah",Transaksi!$B$16:$B$5015,"&lt;="&amp;MIN(EOMONTH(DATE(Dashboard!$C$4,7,1),0),TODAY())))</f>
        <v/>
      </c>
      <c r="J140" s="106">
        <f>IF(OR($A140="",DATE(Dashboard!$C$4,8,1)&gt;TODAY(),ISNA(MATCH($B140,{"Pribadi","Investasi (kas RDN)","Piutang","Pinjaman Mama (dompet)"},0))),"",SUMIFS(Akun!$C$5:$C$104,Akun!$A$5:$A$104,$A140,Akun!$D$5:$D$104,"&lt;="&amp;MIN(EOMONTH(DATE(Dashboard!$C$4,8,1),0),TODAY()))+SUMIFS(Transaksi!$F$16:$F$5015,Transaksi!$C$16:$C$5015,$A140,Transaksi!$D$16:$D$5015,"Masuk",Transaksi!$B$16:$B$5015,"&lt;="&amp;MIN(EOMONTH(DATE(Dashboard!$C$4,8,1),0),TODAY()))-SUMIFS(Transaksi!$F$16:$F$5015,Transaksi!$C$16:$C$5015,$A140,Transaksi!$D$16:$D$5015,"Keluar",Transaksi!$B$16:$B$5015,"&lt;="&amp;MIN(EOMONTH(DATE(Dashboard!$C$4,8,1),0),TODAY()))-SUMIFS(Transaksi!$F$16:$F$5015,Transaksi!$C$16:$C$5015,$A140,Transaksi!$D$16:$D$5015,"Pindah",Transaksi!$B$16:$B$5015,"&lt;="&amp;MIN(EOMONTH(DATE(Dashboard!$C$4,8,1),0),TODAY()))+SUMIFS(Transaksi!$F$16:$F$5015,Transaksi!$E$16:$E$5015,$A140,Transaksi!$D$16:$D$5015,"Pindah",Transaksi!$B$16:$B$5015,"&lt;="&amp;MIN(EOMONTH(DATE(Dashboard!$C$4,8,1),0),TODAY())))</f>
        <v/>
      </c>
      <c r="K140" s="106">
        <f>IF(OR($A140="",DATE(Dashboard!$C$4,9,1)&gt;TODAY(),ISNA(MATCH($B140,{"Pribadi","Investasi (kas RDN)","Piutang","Pinjaman Mama (dompet)"},0))),"",SUMIFS(Akun!$C$5:$C$104,Akun!$A$5:$A$104,$A140,Akun!$D$5:$D$104,"&lt;="&amp;MIN(EOMONTH(DATE(Dashboard!$C$4,9,1),0),TODAY()))+SUMIFS(Transaksi!$F$16:$F$5015,Transaksi!$C$16:$C$5015,$A140,Transaksi!$D$16:$D$5015,"Masuk",Transaksi!$B$16:$B$5015,"&lt;="&amp;MIN(EOMONTH(DATE(Dashboard!$C$4,9,1),0),TODAY()))-SUMIFS(Transaksi!$F$16:$F$5015,Transaksi!$C$16:$C$5015,$A140,Transaksi!$D$16:$D$5015,"Keluar",Transaksi!$B$16:$B$5015,"&lt;="&amp;MIN(EOMONTH(DATE(Dashboard!$C$4,9,1),0),TODAY()))-SUMIFS(Transaksi!$F$16:$F$5015,Transaksi!$C$16:$C$5015,$A140,Transaksi!$D$16:$D$5015,"Pindah",Transaksi!$B$16:$B$5015,"&lt;="&amp;MIN(EOMONTH(DATE(Dashboard!$C$4,9,1),0),TODAY()))+SUMIFS(Transaksi!$F$16:$F$5015,Transaksi!$E$16:$E$5015,$A140,Transaksi!$D$16:$D$5015,"Pindah",Transaksi!$B$16:$B$5015,"&lt;="&amp;MIN(EOMONTH(DATE(Dashboard!$C$4,9,1),0),TODAY())))</f>
        <v/>
      </c>
      <c r="L140" s="106">
        <f>IF(OR($A140="",DATE(Dashboard!$C$4,10,1)&gt;TODAY(),ISNA(MATCH($B140,{"Pribadi","Investasi (kas RDN)","Piutang","Pinjaman Mama (dompet)"},0))),"",SUMIFS(Akun!$C$5:$C$104,Akun!$A$5:$A$104,$A140,Akun!$D$5:$D$104,"&lt;="&amp;MIN(EOMONTH(DATE(Dashboard!$C$4,10,1),0),TODAY()))+SUMIFS(Transaksi!$F$16:$F$5015,Transaksi!$C$16:$C$5015,$A140,Transaksi!$D$16:$D$5015,"Masuk",Transaksi!$B$16:$B$5015,"&lt;="&amp;MIN(EOMONTH(DATE(Dashboard!$C$4,10,1),0),TODAY()))-SUMIFS(Transaksi!$F$16:$F$5015,Transaksi!$C$16:$C$5015,$A140,Transaksi!$D$16:$D$5015,"Keluar",Transaksi!$B$16:$B$5015,"&lt;="&amp;MIN(EOMONTH(DATE(Dashboard!$C$4,10,1),0),TODAY()))-SUMIFS(Transaksi!$F$16:$F$5015,Transaksi!$C$16:$C$5015,$A140,Transaksi!$D$16:$D$5015,"Pindah",Transaksi!$B$16:$B$5015,"&lt;="&amp;MIN(EOMONTH(DATE(Dashboard!$C$4,10,1),0),TODAY()))+SUMIFS(Transaksi!$F$16:$F$5015,Transaksi!$E$16:$E$5015,$A140,Transaksi!$D$16:$D$5015,"Pindah",Transaksi!$B$16:$B$5015,"&lt;="&amp;MIN(EOMONTH(DATE(Dashboard!$C$4,10,1),0),TODAY())))</f>
        <v/>
      </c>
      <c r="M140" s="106">
        <f>IF(OR($A140="",DATE(Dashboard!$C$4,11,1)&gt;TODAY(),ISNA(MATCH($B140,{"Pribadi","Investasi (kas RDN)","Piutang","Pinjaman Mama (dompet)"},0))),"",SUMIFS(Akun!$C$5:$C$104,Akun!$A$5:$A$104,$A140,Akun!$D$5:$D$104,"&lt;="&amp;MIN(EOMONTH(DATE(Dashboard!$C$4,11,1),0),TODAY()))+SUMIFS(Transaksi!$F$16:$F$5015,Transaksi!$C$16:$C$5015,$A140,Transaksi!$D$16:$D$5015,"Masuk",Transaksi!$B$16:$B$5015,"&lt;="&amp;MIN(EOMONTH(DATE(Dashboard!$C$4,11,1),0),TODAY()))-SUMIFS(Transaksi!$F$16:$F$5015,Transaksi!$C$16:$C$5015,$A140,Transaksi!$D$16:$D$5015,"Keluar",Transaksi!$B$16:$B$5015,"&lt;="&amp;MIN(EOMONTH(DATE(Dashboard!$C$4,11,1),0),TODAY()))-SUMIFS(Transaksi!$F$16:$F$5015,Transaksi!$C$16:$C$5015,$A140,Transaksi!$D$16:$D$5015,"Pindah",Transaksi!$B$16:$B$5015,"&lt;="&amp;MIN(EOMONTH(DATE(Dashboard!$C$4,11,1),0),TODAY()))+SUMIFS(Transaksi!$F$16:$F$5015,Transaksi!$E$16:$E$5015,$A140,Transaksi!$D$16:$D$5015,"Pindah",Transaksi!$B$16:$B$5015,"&lt;="&amp;MIN(EOMONTH(DATE(Dashboard!$C$4,11,1),0),TODAY())))</f>
        <v/>
      </c>
      <c r="N140" s="106">
        <f>IF(OR($A140="",DATE(Dashboard!$C$4,12,1)&gt;TODAY(),ISNA(MATCH($B140,{"Pribadi","Investasi (kas RDN)","Piutang","Pinjaman Mama (dompet)"},0))),"",SUMIFS(Akun!$C$5:$C$104,Akun!$A$5:$A$104,$A140,Akun!$D$5:$D$104,"&lt;="&amp;MIN(EOMONTH(DATE(Dashboard!$C$4,12,1),0),TODAY()))+SUMIFS(Transaksi!$F$16:$F$5015,Transaksi!$C$16:$C$5015,$A140,Transaksi!$D$16:$D$5015,"Masuk",Transaksi!$B$16:$B$5015,"&lt;="&amp;MIN(EOMONTH(DATE(Dashboard!$C$4,12,1),0),TODAY()))-SUMIFS(Transaksi!$F$16:$F$5015,Transaksi!$C$16:$C$5015,$A140,Transaksi!$D$16:$D$5015,"Keluar",Transaksi!$B$16:$B$5015,"&lt;="&amp;MIN(EOMONTH(DATE(Dashboard!$C$4,12,1),0),TODAY()))-SUMIFS(Transaksi!$F$16:$F$5015,Transaksi!$C$16:$C$5015,$A140,Transaksi!$D$16:$D$5015,"Pindah",Transaksi!$B$16:$B$5015,"&lt;="&amp;MIN(EOMONTH(DATE(Dashboard!$C$4,12,1),0),TODAY()))+SUMIFS(Transaksi!$F$16:$F$5015,Transaksi!$E$16:$E$5015,$A140,Transaksi!$D$16:$D$5015,"Pindah",Transaksi!$B$16:$B$5015,"&lt;="&amp;MIN(EOMONTH(DATE(Dashboard!$C$4,12,1),0),TODAY())))</f>
        <v/>
      </c>
    </row>
  </sheetData>
  <mergeCells count="10">
    <mergeCell ref="B10:D10"/>
    <mergeCell ref="B11:D11"/>
    <mergeCell ref="A2:L2"/>
    <mergeCell ref="B5:D5"/>
    <mergeCell ref="B8:D8"/>
    <mergeCell ref="A1:L1"/>
    <mergeCell ref="B9:D9"/>
    <mergeCell ref="B12:D12"/>
    <mergeCell ref="B7:D7"/>
    <mergeCell ref="B6:D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tabColor rgb="FF6A4C93"/>
    <outlinePr summaryBelow="1" summaryRight="1"/>
    <pageSetUpPr fitToPage="0"/>
  </sheetPr>
  <dimension ref="A1:K535"/>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7421875" defaultRowHeight="15" zeroHeight="0" outlineLevelRow="0"/>
  <cols>
    <col width="9.94" customWidth="1" style="93" min="1" max="1"/>
    <col width="11.97" customWidth="1" style="93" min="2" max="2"/>
    <col width="9.94" customWidth="1" style="93" min="3" max="3"/>
    <col width="9.01" customWidth="1" style="93" min="4" max="4"/>
    <col width="16.01" customWidth="1" style="93" min="5" max="7"/>
    <col width="30" customWidth="1" style="93" min="8" max="8"/>
    <col width="46" customWidth="1" style="93" min="9" max="9"/>
    <col width="11.97" customWidth="1" style="93" min="10" max="10"/>
    <col hidden="1" width="2.96" customWidth="1" style="93" min="11" max="11"/>
  </cols>
  <sheetData>
    <row r="1" ht="30" customHeight="1" s="94">
      <c r="A1" s="95" t="inlineStr">
        <is>
          <t>INVESTASI SAHAM — MODAL, UNTUNG &amp; RIWAYAT</t>
        </is>
      </c>
    </row>
    <row r="2" ht="30" customHeight="1" s="94">
      <c r="A2" s="98" t="inlineStr">
        <is>
          <t>Dibuat otomatis dari aplikasi Dompet Digital. Harga terakhir = harga yang tersimpan di aplikasi (menu Investasi).</t>
        </is>
      </c>
    </row>
    <row r="3"/>
    <row r="4" ht="15" customHeight="1" s="94">
      <c r="A4" s="101" t="inlineStr">
        <is>
          <t>A. SAHAM DIPEGANG</t>
        </is>
      </c>
      <c r="B4" s="102" t="n"/>
      <c r="C4" s="102" t="n"/>
      <c r="D4" s="102" t="n"/>
      <c r="E4" s="102" t="n"/>
      <c r="F4" s="102" t="n"/>
      <c r="G4" s="102" t="n"/>
      <c r="H4" s="102" t="n"/>
      <c r="I4" s="102" t="n"/>
      <c r="J4" s="102" t="n"/>
    </row>
    <row r="5" ht="24.75" customHeight="1" s="94">
      <c r="A5" s="103" t="inlineStr">
        <is>
          <t>Kode</t>
        </is>
      </c>
      <c r="B5" s="103" t="inlineStr">
        <is>
          <t>Lot</t>
        </is>
      </c>
      <c r="C5" s="103" t="inlineStr">
        <is>
          <t>Modal</t>
        </is>
      </c>
      <c r="D5" s="103" t="inlineStr">
        <is>
          <t>Harga terakhir</t>
        </is>
      </c>
      <c r="E5" s="103" t="inlineStr">
        <is>
          <t>Nilai sekarang</t>
        </is>
      </c>
      <c r="F5" s="103" t="inlineStr">
        <is>
          <t>Untung/rugi</t>
        </is>
      </c>
      <c r="G5" s="103" t="inlineStr">
        <is>
          <t>%</t>
        </is>
      </c>
      <c r="H5" s="103" t="inlineStr">
        <is>
          <t>Dividen diterima</t>
        </is>
      </c>
      <c r="I5" s="103" t="inlineStr">
        <is>
          <t>Keterangan</t>
        </is>
      </c>
      <c r="J5" s="103" t="n"/>
    </row>
    <row r="6" ht="15" customHeight="1" s="94">
      <c r="A6" s="127" t="n"/>
      <c r="B6" s="167" t="n"/>
      <c r="C6" s="106" t="n"/>
      <c r="D6" s="168" t="n"/>
      <c r="E6" s="106">
        <f>IF(A6="","",B6*100*D6)</f>
        <v/>
      </c>
      <c r="F6" s="113">
        <f>IF(A6="","",E6-C6)</f>
        <v/>
      </c>
      <c r="G6" s="107">
        <f>IF(OR(A6="",C6=0),"",F6/C6)</f>
        <v/>
      </c>
      <c r="H6" s="106" t="n"/>
      <c r="I6" s="105" t="n"/>
      <c r="J6" s="105" t="n"/>
    </row>
    <row r="7" ht="15" customHeight="1" s="94">
      <c r="A7" s="127" t="n"/>
      <c r="B7" s="167" t="n"/>
      <c r="C7" s="106" t="n"/>
      <c r="D7" s="168" t="n"/>
      <c r="E7" s="106">
        <f>IF(A7="","",B7*100*D7)</f>
        <v/>
      </c>
      <c r="F7" s="113">
        <f>IF(A7="","",E7-C7)</f>
        <v/>
      </c>
      <c r="G7" s="107">
        <f>IF(OR(A7="",C7=0),"",F7/C7)</f>
        <v/>
      </c>
      <c r="H7" s="106" t="n"/>
      <c r="I7" s="105" t="n"/>
      <c r="J7" s="105" t="n"/>
    </row>
    <row r="8" ht="15" customHeight="1" s="94">
      <c r="A8" s="127" t="n"/>
      <c r="B8" s="167" t="n"/>
      <c r="C8" s="106" t="n"/>
      <c r="D8" s="168" t="n"/>
      <c r="E8" s="106">
        <f>IF(A8="","",B8*100*D8)</f>
        <v/>
      </c>
      <c r="F8" s="113">
        <f>IF(A8="","",E8-C8)</f>
        <v/>
      </c>
      <c r="G8" s="107">
        <f>IF(OR(A8="",C8=0),"",F8/C8)</f>
        <v/>
      </c>
      <c r="H8" s="106" t="n"/>
      <c r="I8" s="105" t="n"/>
      <c r="J8" s="105" t="n"/>
    </row>
    <row r="9" ht="15" customHeight="1" s="94">
      <c r="A9" s="127" t="n"/>
      <c r="B9" s="167" t="n"/>
      <c r="C9" s="106" t="n"/>
      <c r="D9" s="168" t="n"/>
      <c r="E9" s="106">
        <f>IF(A9="","",B9*100*D9)</f>
        <v/>
      </c>
      <c r="F9" s="113">
        <f>IF(A9="","",E9-C9)</f>
        <v/>
      </c>
      <c r="G9" s="107">
        <f>IF(OR(A9="",C9=0),"",F9/C9)</f>
        <v/>
      </c>
      <c r="H9" s="106" t="n"/>
      <c r="I9" s="105" t="n"/>
      <c r="J9" s="105" t="n"/>
    </row>
    <row r="10" ht="15" customHeight="1" s="94">
      <c r="A10" s="127" t="n"/>
      <c r="B10" s="167" t="n"/>
      <c r="C10" s="106" t="n"/>
      <c r="D10" s="168" t="n"/>
      <c r="E10" s="106">
        <f>IF(A10="","",B10*100*D10)</f>
        <v/>
      </c>
      <c r="F10" s="113">
        <f>IF(A10="","",E10-C10)</f>
        <v/>
      </c>
      <c r="G10" s="107">
        <f>IF(OR(A10="",C10=0),"",F10/C10)</f>
        <v/>
      </c>
      <c r="H10" s="106" t="n"/>
      <c r="I10" s="105" t="n"/>
      <c r="J10" s="105" t="n"/>
    </row>
    <row r="11" ht="15" customHeight="1" s="94">
      <c r="A11" s="127" t="n"/>
      <c r="B11" s="167" t="n"/>
      <c r="C11" s="106" t="n"/>
      <c r="D11" s="168" t="n"/>
      <c r="E11" s="106">
        <f>IF(A11="","",B11*100*D11)</f>
        <v/>
      </c>
      <c r="F11" s="113">
        <f>IF(A11="","",E11-C11)</f>
        <v/>
      </c>
      <c r="G11" s="107">
        <f>IF(OR(A11="",C11=0),"",F11/C11)</f>
        <v/>
      </c>
      <c r="H11" s="106" t="n"/>
      <c r="I11" s="105" t="n"/>
      <c r="J11" s="105" t="n"/>
    </row>
    <row r="12" ht="15" customHeight="1" s="94">
      <c r="A12" s="127" t="n"/>
      <c r="B12" s="167" t="n"/>
      <c r="C12" s="106" t="n"/>
      <c r="D12" s="168" t="n"/>
      <c r="E12" s="106">
        <f>IF(A12="","",B12*100*D12)</f>
        <v/>
      </c>
      <c r="F12" s="113">
        <f>IF(A12="","",E12-C12)</f>
        <v/>
      </c>
      <c r="G12" s="107">
        <f>IF(OR(A12="",C12=0),"",F12/C12)</f>
        <v/>
      </c>
      <c r="H12" s="106" t="n"/>
      <c r="I12" s="105" t="n"/>
      <c r="J12" s="105" t="n"/>
    </row>
    <row r="13" ht="15" customHeight="1" s="94">
      <c r="A13" s="127" t="n"/>
      <c r="B13" s="167" t="n"/>
      <c r="C13" s="106" t="n"/>
      <c r="D13" s="168" t="n"/>
      <c r="E13" s="106">
        <f>IF(A13="","",B13*100*D13)</f>
        <v/>
      </c>
      <c r="F13" s="113">
        <f>IF(A13="","",E13-C13)</f>
        <v/>
      </c>
      <c r="G13" s="107">
        <f>IF(OR(A13="",C13=0),"",F13/C13)</f>
        <v/>
      </c>
      <c r="H13" s="106" t="n"/>
      <c r="I13" s="105" t="n"/>
      <c r="J13" s="105" t="n"/>
    </row>
    <row r="14" ht="15" customHeight="1" s="94">
      <c r="A14" s="127" t="n"/>
      <c r="B14" s="167" t="n"/>
      <c r="C14" s="106" t="n"/>
      <c r="D14" s="168" t="n"/>
      <c r="E14" s="106">
        <f>IF(A14="","",B14*100*D14)</f>
        <v/>
      </c>
      <c r="F14" s="113">
        <f>IF(A14="","",E14-C14)</f>
        <v/>
      </c>
      <c r="G14" s="107">
        <f>IF(OR(A14="",C14=0),"",F14/C14)</f>
        <v/>
      </c>
      <c r="H14" s="106" t="n"/>
      <c r="I14" s="105" t="n"/>
    </row>
    <row r="15">
      <c r="A15" s="127" t="n"/>
      <c r="B15" s="167" t="n"/>
      <c r="C15" s="106" t="n"/>
      <c r="D15" s="168" t="n"/>
      <c r="E15" s="106">
        <f>IF(A15="","",B15*100*D15)</f>
        <v/>
      </c>
      <c r="F15" s="113">
        <f>IF(A15="","",E15-C15)</f>
        <v/>
      </c>
      <c r="G15" s="107">
        <f>IF(OR(A15="",C15=0),"",F15/C15)</f>
        <v/>
      </c>
      <c r="H15" s="106" t="n"/>
      <c r="I15" s="105" t="n"/>
    </row>
    <row r="16" ht="15" customHeight="1" s="94">
      <c r="A16" s="127" t="n"/>
      <c r="B16" s="167" t="n"/>
      <c r="C16" s="106" t="n"/>
      <c r="D16" s="168" t="n"/>
      <c r="E16" s="106">
        <f>IF(A16="","",B16*100*D16)</f>
        <v/>
      </c>
      <c r="F16" s="113">
        <f>IF(A16="","",E16-C16)</f>
        <v/>
      </c>
      <c r="G16" s="107">
        <f>IF(OR(A16="",C16=0),"",F16/C16)</f>
        <v/>
      </c>
      <c r="H16" s="106" t="n"/>
      <c r="I16" s="105" t="n"/>
    </row>
    <row r="17" ht="15" customHeight="1" s="94">
      <c r="A17" s="127" t="n"/>
      <c r="B17" s="167" t="n"/>
      <c r="C17" s="106" t="n"/>
      <c r="D17" s="168" t="n"/>
      <c r="E17" s="106">
        <f>IF(A17="","",B17*100*D17)</f>
        <v/>
      </c>
      <c r="F17" s="113">
        <f>IF(A17="","",E17-C17)</f>
        <v/>
      </c>
      <c r="G17" s="107">
        <f>IF(OR(A17="",C17=0),"",F17/C17)</f>
        <v/>
      </c>
      <c r="H17" s="106" t="n"/>
      <c r="I17" s="105" t="n"/>
    </row>
    <row r="18" ht="15" customHeight="1" s="94">
      <c r="A18" s="127" t="n"/>
      <c r="B18" s="167" t="n"/>
      <c r="C18" s="106" t="n"/>
      <c r="D18" s="168" t="n"/>
      <c r="E18" s="106">
        <f>IF(A18="","",B18*100*D18)</f>
        <v/>
      </c>
      <c r="F18" s="113">
        <f>IF(A18="","",E18-C18)</f>
        <v/>
      </c>
      <c r="G18" s="107">
        <f>IF(OR(A18="",C18=0),"",F18/C18)</f>
        <v/>
      </c>
      <c r="H18" s="106" t="n"/>
      <c r="I18" s="105" t="n"/>
    </row>
    <row r="19" ht="15" customHeight="1" s="94">
      <c r="A19" s="127" t="n"/>
      <c r="B19" s="167" t="n"/>
      <c r="C19" s="106" t="n"/>
      <c r="D19" s="168" t="n"/>
      <c r="E19" s="106">
        <f>IF(A19="","",B19*100*D19)</f>
        <v/>
      </c>
      <c r="F19" s="113">
        <f>IF(A19="","",E19-C19)</f>
        <v/>
      </c>
      <c r="G19" s="107">
        <f>IF(OR(A19="",C19=0),"",F19/C19)</f>
        <v/>
      </c>
      <c r="H19" s="106" t="n"/>
      <c r="I19" s="105" t="n"/>
    </row>
    <row r="20" ht="15" customHeight="1" s="94">
      <c r="A20" s="127" t="n"/>
      <c r="B20" s="167" t="n"/>
      <c r="C20" s="106" t="n"/>
      <c r="D20" s="168" t="n"/>
      <c r="E20" s="106">
        <f>IF(A20="","",B20*100*D20)</f>
        <v/>
      </c>
      <c r="F20" s="113">
        <f>IF(A20="","",E20-C20)</f>
        <v/>
      </c>
      <c r="G20" s="107">
        <f>IF(OR(A20="",C20=0),"",F20/C20)</f>
        <v/>
      </c>
      <c r="H20" s="106" t="n"/>
      <c r="I20" s="105" t="n"/>
    </row>
    <row r="21">
      <c r="A21" s="127" t="n"/>
      <c r="B21" s="167" t="n"/>
      <c r="C21" s="106" t="n"/>
      <c r="D21" s="168" t="n"/>
      <c r="E21" s="106">
        <f>IF(A21="","",B21*100*D21)</f>
        <v/>
      </c>
      <c r="F21" s="113">
        <f>IF(A21="","",E21-C21)</f>
        <v/>
      </c>
      <c r="G21" s="107">
        <f>IF(OR(A21="",C21=0),"",F21/C21)</f>
        <v/>
      </c>
      <c r="H21" s="106" t="n"/>
      <c r="I21" s="105" t="n"/>
    </row>
    <row r="22" ht="15" customHeight="1" s="94">
      <c r="A22" s="127" t="n"/>
      <c r="B22" s="167" t="n"/>
      <c r="C22" s="106" t="n"/>
      <c r="D22" s="168" t="n"/>
      <c r="E22" s="106">
        <f>IF(A22="","",B22*100*D22)</f>
        <v/>
      </c>
      <c r="F22" s="113">
        <f>IF(A22="","",E22-C22)</f>
        <v/>
      </c>
      <c r="G22" s="107">
        <f>IF(OR(A22="",C22=0),"",F22/C22)</f>
        <v/>
      </c>
      <c r="H22" s="106" t="n"/>
      <c r="I22" s="105" t="n"/>
    </row>
    <row r="23" ht="15" customHeight="1" s="94">
      <c r="A23" s="127" t="n"/>
      <c r="B23" s="167" t="n"/>
      <c r="C23" s="106" t="n"/>
      <c r="D23" s="168" t="n"/>
      <c r="E23" s="106">
        <f>IF(A23="","",B23*100*D23)</f>
        <v/>
      </c>
      <c r="F23" s="113">
        <f>IF(A23="","",E23-C23)</f>
        <v/>
      </c>
      <c r="G23" s="107">
        <f>IF(OR(A23="",C23=0),"",F23/C23)</f>
        <v/>
      </c>
      <c r="H23" s="106" t="n"/>
      <c r="I23" s="105" t="n"/>
      <c r="J23" s="103" t="n"/>
    </row>
    <row r="24" ht="24.75" customHeight="1" s="94">
      <c r="A24" s="127" t="n"/>
      <c r="B24" s="167" t="n"/>
      <c r="C24" s="106" t="n"/>
      <c r="D24" s="168" t="n"/>
      <c r="E24" s="106">
        <f>IF(A24="","",B24*100*D24)</f>
        <v/>
      </c>
      <c r="F24" s="113">
        <f>IF(A24="","",E24-C24)</f>
        <v/>
      </c>
      <c r="G24" s="107">
        <f>IF(OR(A24="",C24=0),"",F24/C24)</f>
        <v/>
      </c>
      <c r="H24" s="106" t="n"/>
      <c r="I24" s="105" t="n"/>
      <c r="J24" s="105" t="n"/>
    </row>
    <row r="25" ht="24.75" customHeight="1" s="94">
      <c r="A25" s="127" t="n"/>
      <c r="B25" s="167" t="n"/>
      <c r="C25" s="106" t="n"/>
      <c r="D25" s="168" t="n"/>
      <c r="E25" s="106">
        <f>IF(A25="","",B25*100*D25)</f>
        <v/>
      </c>
      <c r="F25" s="113">
        <f>IF(A25="","",E25-C25)</f>
        <v/>
      </c>
      <c r="G25" s="107">
        <f>IF(OR(A25="",C25=0),"",F25/C25)</f>
        <v/>
      </c>
      <c r="H25" s="106" t="n"/>
      <c r="I25" s="105" t="n"/>
      <c r="J25" s="105" t="n"/>
    </row>
    <row r="26" ht="47.25" customHeight="1" s="94">
      <c r="A26" s="108" t="inlineStr">
        <is>
          <t>TOTAL</t>
        </is>
      </c>
      <c r="B26" s="127" t="n"/>
      <c r="C26" s="109">
        <f>SUM(C6:C25)</f>
        <v/>
      </c>
      <c r="D26" s="167" t="n"/>
      <c r="E26" s="109">
        <f>SUM(E6:E25)</f>
        <v/>
      </c>
      <c r="F26" s="109">
        <f>SUM(F6:F25)</f>
        <v/>
      </c>
      <c r="G26" s="169">
        <f>IF(C26=0,"-",F26/C26)</f>
        <v/>
      </c>
      <c r="H26" s="109">
        <f>SUM(H6:H25)</f>
        <v/>
      </c>
      <c r="I26" s="172" t="n"/>
      <c r="J26" s="105" t="n"/>
    </row>
    <row r="27" ht="24.75" customHeight="1" s="94">
      <c r="A27" s="119" t="n"/>
      <c r="B27" s="127" t="n"/>
      <c r="C27" s="173" t="n"/>
      <c r="D27" s="167" t="n"/>
      <c r="E27" s="106" t="n"/>
      <c r="F27" s="106" t="n"/>
      <c r="G27" s="171" t="n"/>
      <c r="H27" s="172" t="n"/>
      <c r="I27" s="172" t="n"/>
      <c r="J27" s="105" t="n"/>
    </row>
    <row r="28" ht="47.25" customHeight="1" s="94">
      <c r="A28" s="188" t="inlineStr">
        <is>
          <t>B. RINGKASAN</t>
        </is>
      </c>
      <c r="B28" s="102" t="n"/>
      <c r="C28" s="102" t="n"/>
      <c r="D28" s="102" t="n"/>
      <c r="E28" s="102" t="n"/>
      <c r="F28" s="102" t="n"/>
      <c r="G28" s="102" t="n"/>
      <c r="H28" s="102" t="n"/>
      <c r="I28" s="102" t="n"/>
      <c r="J28" s="189" t="n"/>
    </row>
    <row r="29" ht="47.25" customHeight="1" s="94">
      <c r="A29" s="190" t="inlineStr">
        <is>
          <t>Untung dari saham yang sudah dijual</t>
        </is>
      </c>
      <c r="B29" s="191" t="n"/>
      <c r="C29" s="192" t="n"/>
      <c r="D29" s="166" t="n"/>
      <c r="E29" s="106" t="n"/>
      <c r="F29" s="106" t="n"/>
      <c r="G29" s="171" t="n"/>
      <c r="H29" s="172" t="n"/>
      <c r="I29" s="172" t="n"/>
      <c r="J29" s="105" t="n"/>
    </row>
    <row r="30" ht="47.25" customHeight="1" s="94">
      <c r="A30" s="190" t="inlineStr">
        <is>
          <t>Dividen halal</t>
        </is>
      </c>
      <c r="B30" s="191" t="n"/>
      <c r="C30" s="192" t="n"/>
      <c r="D30" s="166" t="n"/>
      <c r="E30" s="106" t="n"/>
      <c r="F30" s="106" t="n"/>
      <c r="G30" s="171" t="n"/>
      <c r="H30" s="172" t="n"/>
      <c r="I30" s="172" t="n"/>
      <c r="J30" s="105" t="n"/>
    </row>
    <row r="31" ht="24.75" customHeight="1" s="94">
      <c r="A31" s="190" t="inlineStr">
        <is>
          <t>Dividen riba (dipisahkan)</t>
        </is>
      </c>
      <c r="B31" s="191" t="n"/>
      <c r="C31" s="192" t="n"/>
      <c r="D31" s="166" t="n"/>
      <c r="E31" s="106" t="n"/>
      <c r="F31" s="106" t="n"/>
      <c r="G31" s="171" t="n"/>
      <c r="H31" s="172" t="n"/>
      <c r="I31" s="172" t="n"/>
      <c r="J31" s="105" t="n"/>
    </row>
    <row r="32" ht="24.75" customHeight="1" s="94">
      <c r="A32" s="190" t="inlineStr">
        <is>
          <t>Untung/rugi saham dipegang</t>
        </is>
      </c>
      <c r="B32" s="191" t="n"/>
      <c r="C32" s="192" t="n"/>
      <c r="D32" s="166">
        <f>F26</f>
        <v/>
      </c>
      <c r="E32" s="106" t="n"/>
      <c r="F32" s="106" t="n"/>
      <c r="G32" s="171" t="n"/>
      <c r="H32" s="172" t="n"/>
      <c r="I32" s="172" t="n"/>
      <c r="J32" s="105" t="n"/>
    </row>
    <row r="33" ht="24.75" customHeight="1" s="94">
      <c r="A33" s="119" t="n"/>
      <c r="B33" s="127" t="n"/>
      <c r="C33" s="174" t="n"/>
      <c r="D33" s="167" t="n"/>
      <c r="E33" s="106" t="n"/>
      <c r="F33" s="106" t="n"/>
      <c r="G33" s="171" t="n"/>
      <c r="H33" s="172" t="n"/>
      <c r="I33" s="172" t="n"/>
      <c r="J33" s="105" t="n"/>
    </row>
    <row r="34" ht="36" customHeight="1" s="94">
      <c r="A34" s="188" t="inlineStr">
        <is>
          <t>C. RIWAYAT (klik "Kas" untuk melompat ke transaksinya)</t>
        </is>
      </c>
      <c r="B34" s="102" t="n"/>
      <c r="C34" s="102" t="n"/>
      <c r="D34" s="102" t="n"/>
      <c r="E34" s="102" t="n"/>
      <c r="F34" s="102" t="n"/>
      <c r="G34" s="102" t="n"/>
      <c r="H34" s="102" t="n"/>
      <c r="I34" s="102" t="n"/>
      <c r="J34" s="189" t="n"/>
    </row>
    <row r="35" ht="24.75" customHeight="1" s="94">
      <c r="A35" s="103" t="inlineStr">
        <is>
          <t>Tanggal</t>
        </is>
      </c>
      <c r="B35" s="103" t="inlineStr">
        <is>
          <t>Kode</t>
        </is>
      </c>
      <c r="C35" s="103" t="inlineStr">
        <is>
          <t>Aksi</t>
        </is>
      </c>
      <c r="D35" s="103" t="inlineStr">
        <is>
          <t>Lot</t>
        </is>
      </c>
      <c r="E35" s="103" t="inlineStr">
        <is>
          <t>Jumlah</t>
        </is>
      </c>
      <c r="F35" s="103" t="inlineStr">
        <is>
          <t>Untung</t>
        </is>
      </c>
      <c r="G35" s="103" t="inlineStr">
        <is>
          <t>Kas (klik)</t>
        </is>
      </c>
      <c r="H35" s="103" t="inlineStr">
        <is>
          <t>Akun kas</t>
        </is>
      </c>
      <c r="I35" s="103" t="inlineStr">
        <is>
          <t>Keterangan</t>
        </is>
      </c>
      <c r="J35" s="103" t="inlineStr">
        <is>
          <t>Riba?</t>
        </is>
      </c>
    </row>
    <row r="36" ht="47.25" customHeight="1" s="94">
      <c r="A36" s="119" t="n"/>
      <c r="B36" s="127" t="n"/>
      <c r="C36" s="170" t="n"/>
      <c r="D36" s="167" t="n"/>
      <c r="E36" s="106" t="n"/>
      <c r="F36" s="106" t="n"/>
      <c r="G36" s="171">
        <f>IF(K36="","",HYPERLINK("#Transaksi!B"&amp;K36,"Kas"))</f>
        <v/>
      </c>
      <c r="H36" s="172" t="n"/>
      <c r="I36" s="172" t="n"/>
      <c r="J36" s="105" t="n"/>
      <c r="K36" s="119" t="n"/>
    </row>
    <row r="37" ht="24.75" customHeight="1" s="94">
      <c r="A37" s="119" t="n"/>
      <c r="B37" s="127" t="n"/>
      <c r="C37" s="170" t="n"/>
      <c r="D37" s="167" t="n"/>
      <c r="E37" s="106" t="n"/>
      <c r="F37" s="106" t="n"/>
      <c r="G37" s="171">
        <f>IF(K37="","",HYPERLINK("#Transaksi!B"&amp;K37,"Kas"))</f>
        <v/>
      </c>
      <c r="H37" s="172" t="n"/>
      <c r="I37" s="172" t="n"/>
      <c r="J37" s="105" t="n"/>
      <c r="K37" s="119" t="n"/>
    </row>
    <row r="38" ht="36" customHeight="1" s="94">
      <c r="A38" s="119" t="n"/>
      <c r="B38" s="127" t="n"/>
      <c r="C38" s="170" t="n"/>
      <c r="D38" s="167" t="n"/>
      <c r="E38" s="106" t="n"/>
      <c r="F38" s="106" t="n"/>
      <c r="G38" s="171">
        <f>IF(K38="","",HYPERLINK("#Transaksi!B"&amp;K38,"Kas"))</f>
        <v/>
      </c>
      <c r="H38" s="172" t="n"/>
      <c r="I38" s="172" t="n"/>
      <c r="J38" s="105" t="n"/>
      <c r="K38" s="119" t="n"/>
    </row>
    <row r="39" ht="47.25" customHeight="1" s="94">
      <c r="A39" s="119" t="n"/>
      <c r="B39" s="127" t="n"/>
      <c r="C39" s="170" t="n"/>
      <c r="D39" s="167" t="n"/>
      <c r="E39" s="106" t="n"/>
      <c r="F39" s="106" t="n"/>
      <c r="G39" s="171">
        <f>IF(K39="","",HYPERLINK("#Transaksi!B"&amp;K39,"Kas"))</f>
        <v/>
      </c>
      <c r="H39" s="172" t="n"/>
      <c r="I39" s="172" t="n"/>
      <c r="J39" s="105" t="n"/>
      <c r="K39" s="119" t="n"/>
    </row>
    <row r="40" ht="47.25" customHeight="1" s="94">
      <c r="A40" s="119" t="n"/>
      <c r="B40" s="127" t="n"/>
      <c r="C40" s="170" t="n"/>
      <c r="D40" s="167" t="n"/>
      <c r="E40" s="106" t="n"/>
      <c r="F40" s="106" t="n"/>
      <c r="G40" s="171">
        <f>IF(K40="","",HYPERLINK("#Transaksi!B"&amp;K40,"Kas"))</f>
        <v/>
      </c>
      <c r="H40" s="172" t="n"/>
      <c r="I40" s="172" t="n"/>
      <c r="J40" s="105" t="n"/>
      <c r="K40" s="119" t="n"/>
    </row>
    <row r="41" ht="47.25" customHeight="1" s="94">
      <c r="A41" s="119" t="n"/>
      <c r="B41" s="127" t="n"/>
      <c r="C41" s="170" t="n"/>
      <c r="D41" s="167" t="n"/>
      <c r="E41" s="106" t="n"/>
      <c r="F41" s="106" t="n"/>
      <c r="G41" s="171">
        <f>IF(K41="","",HYPERLINK("#Transaksi!B"&amp;K41,"Kas"))</f>
        <v/>
      </c>
      <c r="H41" s="172" t="n"/>
      <c r="I41" s="172" t="n"/>
      <c r="J41" s="105" t="n"/>
      <c r="K41" s="119" t="n"/>
    </row>
    <row r="42" ht="24.75" customHeight="1" s="94">
      <c r="A42" s="119" t="n"/>
      <c r="B42" s="127" t="n"/>
      <c r="C42" s="170" t="n"/>
      <c r="D42" s="167" t="n"/>
      <c r="E42" s="106" t="n"/>
      <c r="F42" s="106" t="n"/>
      <c r="G42" s="171">
        <f>IF(K42="","",HYPERLINK("#Transaksi!B"&amp;K42,"Kas"))</f>
        <v/>
      </c>
      <c r="H42" s="172" t="n"/>
      <c r="I42" s="172" t="n"/>
      <c r="J42" s="105" t="n"/>
      <c r="K42" s="119" t="n"/>
    </row>
    <row r="43" ht="47.25" customHeight="1" s="94">
      <c r="A43" s="119" t="n"/>
      <c r="B43" s="127" t="n"/>
      <c r="C43" s="170" t="n"/>
      <c r="D43" s="167" t="n"/>
      <c r="E43" s="106" t="n"/>
      <c r="F43" s="106" t="n"/>
      <c r="G43" s="171">
        <f>IF(K43="","",HYPERLINK("#Transaksi!B"&amp;K43,"Kas"))</f>
        <v/>
      </c>
      <c r="H43" s="172" t="n"/>
      <c r="I43" s="172" t="n"/>
      <c r="J43" s="105" t="n"/>
      <c r="K43" s="119" t="n"/>
    </row>
    <row r="44" ht="47.25" customHeight="1" s="94">
      <c r="A44" s="119" t="n"/>
      <c r="B44" s="127" t="n"/>
      <c r="C44" s="170" t="n"/>
      <c r="D44" s="167" t="n"/>
      <c r="E44" s="106" t="n"/>
      <c r="F44" s="106" t="n"/>
      <c r="G44" s="171">
        <f>IF(K44="","",HYPERLINK("#Transaksi!B"&amp;K44,"Kas"))</f>
        <v/>
      </c>
      <c r="H44" s="172" t="n"/>
      <c r="I44" s="172" t="n"/>
      <c r="J44" s="105" t="n"/>
      <c r="K44" s="119" t="n"/>
    </row>
    <row r="45" ht="24.75" customHeight="1" s="94">
      <c r="A45" s="119" t="n"/>
      <c r="B45" s="127" t="n"/>
      <c r="C45" s="170" t="n"/>
      <c r="D45" s="167" t="n"/>
      <c r="E45" s="106" t="n"/>
      <c r="F45" s="106" t="n"/>
      <c r="G45" s="171">
        <f>IF(K45="","",HYPERLINK("#Transaksi!B"&amp;K45,"Kas"))</f>
        <v/>
      </c>
      <c r="H45" s="172" t="n"/>
      <c r="I45" s="172" t="n"/>
      <c r="J45" s="105" t="n"/>
      <c r="K45" s="119" t="n"/>
    </row>
    <row r="46" ht="59.25" customHeight="1" s="94">
      <c r="A46" s="119" t="n"/>
      <c r="B46" s="127" t="n"/>
      <c r="C46" s="170" t="n"/>
      <c r="D46" s="167" t="n"/>
      <c r="E46" s="106" t="n"/>
      <c r="F46" s="106" t="n"/>
      <c r="G46" s="171">
        <f>IF(K46="","",HYPERLINK("#Transaksi!B"&amp;K46,"Kas"))</f>
        <v/>
      </c>
      <c r="H46" s="172" t="n"/>
      <c r="I46" s="172" t="n"/>
      <c r="J46" s="105" t="n"/>
      <c r="K46" s="119" t="n"/>
    </row>
    <row r="47" ht="24.75" customHeight="1" s="94">
      <c r="A47" s="119" t="n"/>
      <c r="B47" s="127" t="n"/>
      <c r="C47" s="170" t="n"/>
      <c r="D47" s="167" t="n"/>
      <c r="E47" s="106" t="n"/>
      <c r="F47" s="106" t="n"/>
      <c r="G47" s="171">
        <f>IF(K47="","",HYPERLINK("#Transaksi!B"&amp;K47,"Kas"))</f>
        <v/>
      </c>
      <c r="H47" s="172" t="n"/>
      <c r="I47" s="172" t="n"/>
      <c r="J47" s="105" t="n"/>
      <c r="K47" s="119" t="n"/>
    </row>
    <row r="48" ht="47.25" customHeight="1" s="94">
      <c r="A48" s="119" t="n"/>
      <c r="B48" s="127" t="n"/>
      <c r="C48" s="170" t="n"/>
      <c r="D48" s="167" t="n"/>
      <c r="E48" s="106" t="n"/>
      <c r="F48" s="106" t="n"/>
      <c r="G48" s="171">
        <f>IF(K48="","",HYPERLINK("#Transaksi!B"&amp;K48,"Kas"))</f>
        <v/>
      </c>
      <c r="H48" s="172" t="n"/>
      <c r="I48" s="172" t="n"/>
      <c r="J48" s="105" t="n"/>
      <c r="K48" s="119" t="n"/>
    </row>
    <row r="49" ht="24.75" customHeight="1" s="94">
      <c r="A49" s="119" t="n"/>
      <c r="B49" s="127" t="n"/>
      <c r="C49" s="170" t="n"/>
      <c r="D49" s="167" t="n"/>
      <c r="E49" s="106" t="n"/>
      <c r="F49" s="106" t="n"/>
      <c r="G49" s="171">
        <f>IF(K49="","",HYPERLINK("#Transaksi!B"&amp;K49,"Kas"))</f>
        <v/>
      </c>
      <c r="H49" s="172" t="n"/>
      <c r="I49" s="172" t="n"/>
      <c r="J49" s="105" t="n"/>
      <c r="K49" s="119" t="n"/>
    </row>
    <row r="50" ht="59.25" customHeight="1" s="94">
      <c r="A50" s="119" t="n"/>
      <c r="B50" s="127" t="n"/>
      <c r="C50" s="170" t="n"/>
      <c r="D50" s="167" t="n"/>
      <c r="E50" s="106" t="n"/>
      <c r="F50" s="106" t="n"/>
      <c r="G50" s="171">
        <f>IF(K50="","",HYPERLINK("#Transaksi!B"&amp;K50,"Kas"))</f>
        <v/>
      </c>
      <c r="H50" s="172" t="n"/>
      <c r="I50" s="172" t="n"/>
      <c r="J50" s="105" t="n"/>
      <c r="K50" s="119" t="n"/>
    </row>
    <row r="51" ht="24.75" customHeight="1" s="94">
      <c r="A51" s="119" t="n"/>
      <c r="B51" s="127" t="n"/>
      <c r="C51" s="170" t="n"/>
      <c r="D51" s="167" t="n"/>
      <c r="E51" s="106" t="n"/>
      <c r="F51" s="106" t="n"/>
      <c r="G51" s="171">
        <f>IF(K51="","",HYPERLINK("#Transaksi!B"&amp;K51,"Kas"))</f>
        <v/>
      </c>
      <c r="H51" s="172" t="n"/>
      <c r="I51" s="172" t="n"/>
      <c r="J51" s="105" t="n"/>
      <c r="K51" s="119" t="n"/>
    </row>
    <row r="52" ht="59.25" customHeight="1" s="94">
      <c r="A52" s="119" t="n"/>
      <c r="B52" s="127" t="n"/>
      <c r="C52" s="170" t="n"/>
      <c r="D52" s="167" t="n"/>
      <c r="E52" s="106" t="n"/>
      <c r="F52" s="106" t="n"/>
      <c r="G52" s="171">
        <f>IF(K52="","",HYPERLINK("#Transaksi!B"&amp;K52,"Kas"))</f>
        <v/>
      </c>
      <c r="H52" s="172" t="n"/>
      <c r="I52" s="172" t="n"/>
      <c r="J52" s="105" t="n"/>
      <c r="K52" s="119" t="n"/>
    </row>
    <row r="53" ht="59.25" customHeight="1" s="94">
      <c r="A53" s="119" t="n"/>
      <c r="B53" s="127" t="n"/>
      <c r="C53" s="170" t="n"/>
      <c r="D53" s="167" t="n"/>
      <c r="E53" s="106" t="n"/>
      <c r="F53" s="106" t="n"/>
      <c r="G53" s="171">
        <f>IF(K53="","",HYPERLINK("#Transaksi!B"&amp;K53,"Kas"))</f>
        <v/>
      </c>
      <c r="H53" s="172" t="n"/>
      <c r="I53" s="172" t="n"/>
      <c r="J53" s="105" t="n"/>
      <c r="K53" s="119" t="n"/>
    </row>
    <row r="54" ht="59.25" customHeight="1" s="94">
      <c r="A54" s="119" t="n"/>
      <c r="B54" s="127" t="n"/>
      <c r="C54" s="170" t="n"/>
      <c r="D54" s="167" t="n"/>
      <c r="E54" s="106" t="n"/>
      <c r="F54" s="106" t="n"/>
      <c r="G54" s="171">
        <f>IF(K54="","",HYPERLINK("#Transaksi!B"&amp;K54,"Kas"))</f>
        <v/>
      </c>
      <c r="H54" s="172" t="n"/>
      <c r="I54" s="172" t="n"/>
      <c r="J54" s="105" t="n"/>
      <c r="K54" s="119" t="n"/>
    </row>
    <row r="55" ht="24.75" customHeight="1" s="94">
      <c r="A55" s="119" t="n"/>
      <c r="B55" s="127" t="n"/>
      <c r="C55" s="170" t="n"/>
      <c r="D55" s="167" t="n"/>
      <c r="E55" s="106" t="n"/>
      <c r="F55" s="106" t="n"/>
      <c r="G55" s="171">
        <f>IF(K55="","",HYPERLINK("#Transaksi!B"&amp;K55,"Kas"))</f>
        <v/>
      </c>
      <c r="H55" s="172" t="n"/>
      <c r="I55" s="172" t="n"/>
      <c r="J55" s="105" t="n"/>
      <c r="K55" s="119" t="n"/>
    </row>
    <row r="56" ht="24.75" customHeight="1" s="94">
      <c r="A56" s="119" t="n"/>
      <c r="B56" s="127" t="n"/>
      <c r="C56" s="170" t="n"/>
      <c r="D56" s="167" t="n"/>
      <c r="E56" s="106" t="n"/>
      <c r="F56" s="106" t="n"/>
      <c r="G56" s="171">
        <f>IF(K56="","",HYPERLINK("#Transaksi!B"&amp;K56,"Kas"))</f>
        <v/>
      </c>
      <c r="H56" s="172" t="n"/>
      <c r="I56" s="172" t="n"/>
      <c r="J56" s="105" t="n"/>
      <c r="K56" s="119" t="n"/>
    </row>
    <row r="57" ht="24.75" customHeight="1" s="94">
      <c r="A57" s="119" t="n"/>
      <c r="B57" s="127" t="n"/>
      <c r="C57" s="170" t="n"/>
      <c r="D57" s="167" t="n"/>
      <c r="E57" s="106" t="n"/>
      <c r="F57" s="106" t="n"/>
      <c r="G57" s="171">
        <f>IF(K57="","",HYPERLINK("#Transaksi!B"&amp;K57,"Kas"))</f>
        <v/>
      </c>
      <c r="H57" s="172" t="n"/>
      <c r="I57" s="172" t="n"/>
      <c r="J57" s="105" t="n"/>
      <c r="K57" s="119" t="n"/>
    </row>
    <row r="58" ht="24.75" customHeight="1" s="94">
      <c r="A58" s="119" t="n"/>
      <c r="B58" s="127" t="n"/>
      <c r="C58" s="170" t="n"/>
      <c r="D58" s="167" t="n"/>
      <c r="E58" s="106" t="n"/>
      <c r="F58" s="106" t="n"/>
      <c r="G58" s="171">
        <f>IF(K58="","",HYPERLINK("#Transaksi!B"&amp;K58,"Kas"))</f>
        <v/>
      </c>
      <c r="H58" s="172" t="n"/>
      <c r="I58" s="172" t="n"/>
      <c r="J58" s="105" t="n"/>
      <c r="K58" s="119" t="n"/>
    </row>
    <row r="59" ht="24.75" customHeight="1" s="94">
      <c r="A59" s="119" t="n"/>
      <c r="B59" s="127" t="n"/>
      <c r="C59" s="170" t="n"/>
      <c r="D59" s="167" t="n"/>
      <c r="E59" s="106" t="n"/>
      <c r="F59" s="106" t="n"/>
      <c r="G59" s="171">
        <f>IF(K59="","",HYPERLINK("#Transaksi!B"&amp;K59,"Kas"))</f>
        <v/>
      </c>
      <c r="H59" s="172" t="n"/>
      <c r="I59" s="172" t="n"/>
      <c r="J59" s="105" t="n"/>
      <c r="K59" s="119" t="n"/>
    </row>
    <row r="60" ht="24.75" customHeight="1" s="94">
      <c r="A60" s="119" t="n"/>
      <c r="B60" s="127" t="n"/>
      <c r="C60" s="170" t="n"/>
      <c r="D60" s="167" t="n"/>
      <c r="E60" s="106" t="n"/>
      <c r="F60" s="106" t="n"/>
      <c r="G60" s="171">
        <f>IF(K60="","",HYPERLINK("#Transaksi!B"&amp;K60,"Kas"))</f>
        <v/>
      </c>
      <c r="H60" s="172" t="n"/>
      <c r="I60" s="172" t="n"/>
      <c r="J60" s="105" t="n"/>
      <c r="K60" s="119" t="n"/>
    </row>
    <row r="61" ht="36" customHeight="1" s="94">
      <c r="A61" s="119" t="n"/>
      <c r="B61" s="127" t="n"/>
      <c r="C61" s="170" t="n"/>
      <c r="D61" s="167" t="n"/>
      <c r="E61" s="106" t="n"/>
      <c r="F61" s="106" t="n"/>
      <c r="G61" s="171">
        <f>IF(K61="","",HYPERLINK("#Transaksi!B"&amp;K61,"Kas"))</f>
        <v/>
      </c>
      <c r="H61" s="172" t="n"/>
      <c r="I61" s="172" t="n"/>
      <c r="J61" s="105" t="n"/>
      <c r="K61" s="119" t="n"/>
    </row>
    <row r="62" ht="24.75" customHeight="1" s="94">
      <c r="A62" s="119" t="n"/>
      <c r="B62" s="127" t="n"/>
      <c r="C62" s="170" t="n"/>
      <c r="D62" s="167" t="n"/>
      <c r="E62" s="106" t="n"/>
      <c r="F62" s="106" t="n"/>
      <c r="G62" s="171">
        <f>IF(K62="","",HYPERLINK("#Transaksi!B"&amp;K62,"Kas"))</f>
        <v/>
      </c>
      <c r="H62" s="172" t="n"/>
      <c r="I62" s="172" t="n"/>
      <c r="J62" s="105" t="n"/>
      <c r="K62" s="119" t="n"/>
    </row>
    <row r="63" ht="24.75" customHeight="1" s="94">
      <c r="A63" s="119" t="n"/>
      <c r="B63" s="127" t="n"/>
      <c r="C63" s="170" t="n"/>
      <c r="D63" s="167" t="n"/>
      <c r="E63" s="106" t="n"/>
      <c r="F63" s="106" t="n"/>
      <c r="G63" s="171">
        <f>IF(K63="","",HYPERLINK("#Transaksi!B"&amp;K63,"Kas"))</f>
        <v/>
      </c>
      <c r="H63" s="172" t="n"/>
      <c r="I63" s="172" t="n"/>
      <c r="J63" s="105" t="n"/>
      <c r="K63" s="119" t="n"/>
    </row>
    <row r="64" ht="24.75" customHeight="1" s="94">
      <c r="A64" s="119" t="n"/>
      <c r="B64" s="127" t="n"/>
      <c r="C64" s="170" t="n"/>
      <c r="D64" s="167" t="n"/>
      <c r="E64" s="106" t="n"/>
      <c r="F64" s="106" t="n"/>
      <c r="G64" s="171">
        <f>IF(K64="","",HYPERLINK("#Transaksi!B"&amp;K64,"Kas"))</f>
        <v/>
      </c>
      <c r="H64" s="172" t="n"/>
      <c r="I64" s="172" t="n"/>
      <c r="J64" s="105" t="n"/>
      <c r="K64" s="119" t="n"/>
    </row>
    <row r="65" ht="24.75" customHeight="1" s="94">
      <c r="A65" s="119" t="n"/>
      <c r="B65" s="127" t="n"/>
      <c r="C65" s="170" t="n"/>
      <c r="D65" s="167" t="n"/>
      <c r="E65" s="106" t="n"/>
      <c r="F65" s="106" t="n"/>
      <c r="G65" s="171">
        <f>IF(K65="","",HYPERLINK("#Transaksi!B"&amp;K65,"Kas"))</f>
        <v/>
      </c>
      <c r="H65" s="172" t="n"/>
      <c r="I65" s="172" t="n"/>
      <c r="J65" s="105" t="n"/>
      <c r="K65" s="119" t="n"/>
    </row>
    <row r="66" ht="24.75" customHeight="1" s="94">
      <c r="A66" s="119" t="n"/>
      <c r="B66" s="127" t="n"/>
      <c r="C66" s="170" t="n"/>
      <c r="D66" s="167" t="n"/>
      <c r="E66" s="106" t="n"/>
      <c r="F66" s="106" t="n"/>
      <c r="G66" s="171">
        <f>IF(K66="","",HYPERLINK("#Transaksi!B"&amp;K66,"Kas"))</f>
        <v/>
      </c>
      <c r="H66" s="172" t="n"/>
      <c r="I66" s="172" t="n"/>
      <c r="J66" s="105" t="n"/>
      <c r="K66" s="119" t="n"/>
    </row>
    <row r="67" ht="47.25" customHeight="1" s="94">
      <c r="A67" s="119" t="n"/>
      <c r="B67" s="127" t="n"/>
      <c r="C67" s="170" t="n"/>
      <c r="D67" s="167" t="n"/>
      <c r="E67" s="106" t="n"/>
      <c r="F67" s="106" t="n"/>
      <c r="G67" s="171">
        <f>IF(K67="","",HYPERLINK("#Transaksi!B"&amp;K67,"Kas"))</f>
        <v/>
      </c>
      <c r="H67" s="172" t="n"/>
      <c r="I67" s="172" t="n"/>
      <c r="J67" s="105" t="n"/>
      <c r="K67" s="119" t="n"/>
    </row>
    <row r="68" ht="47.25" customHeight="1" s="94">
      <c r="A68" s="119" t="n"/>
      <c r="B68" s="127" t="n"/>
      <c r="C68" s="170" t="n"/>
      <c r="D68" s="167" t="n"/>
      <c r="E68" s="106" t="n"/>
      <c r="F68" s="106" t="n"/>
      <c r="G68" s="171">
        <f>IF(K68="","",HYPERLINK("#Transaksi!B"&amp;K68,"Kas"))</f>
        <v/>
      </c>
      <c r="H68" s="172" t="n"/>
      <c r="I68" s="172" t="n"/>
      <c r="J68" s="105" t="n"/>
      <c r="K68" s="119" t="n"/>
    </row>
    <row r="69" ht="24.75" customHeight="1" s="94">
      <c r="A69" s="119" t="n"/>
      <c r="B69" s="127" t="n"/>
      <c r="C69" s="170" t="n"/>
      <c r="D69" s="167" t="n"/>
      <c r="E69" s="106" t="n"/>
      <c r="F69" s="106" t="n"/>
      <c r="G69" s="171">
        <f>IF(K69="","",HYPERLINK("#Transaksi!B"&amp;K69,"Kas"))</f>
        <v/>
      </c>
      <c r="H69" s="172" t="n"/>
      <c r="I69" s="172" t="n"/>
      <c r="J69" s="105" t="n"/>
      <c r="K69" s="119" t="n"/>
    </row>
    <row r="70" ht="24.75" customHeight="1" s="94">
      <c r="A70" s="119" t="n"/>
      <c r="B70" s="127" t="n"/>
      <c r="C70" s="170" t="n"/>
      <c r="D70" s="167" t="n"/>
      <c r="E70" s="106" t="n"/>
      <c r="F70" s="106" t="n"/>
      <c r="G70" s="171">
        <f>IF(K70="","",HYPERLINK("#Transaksi!B"&amp;K70,"Kas"))</f>
        <v/>
      </c>
      <c r="H70" s="172" t="n"/>
      <c r="I70" s="172" t="n"/>
      <c r="J70" s="105" t="n"/>
      <c r="K70" s="119" t="n"/>
    </row>
    <row r="71">
      <c r="A71" s="119" t="n"/>
      <c r="B71" s="127" t="n"/>
      <c r="C71" s="170" t="n"/>
      <c r="D71" s="167" t="n"/>
      <c r="E71" s="106" t="n"/>
      <c r="F71" s="106" t="n"/>
      <c r="G71" s="171">
        <f>IF(K71="","",HYPERLINK("#Transaksi!B"&amp;K71,"Kas"))</f>
        <v/>
      </c>
      <c r="H71" s="172" t="n"/>
      <c r="I71" s="172" t="n"/>
      <c r="J71" s="105" t="n"/>
      <c r="K71" s="119" t="n"/>
    </row>
    <row r="72">
      <c r="A72" s="119" t="n"/>
      <c r="B72" s="127" t="n"/>
      <c r="C72" s="170" t="n"/>
      <c r="D72" s="167" t="n"/>
      <c r="E72" s="106" t="n"/>
      <c r="F72" s="106" t="n"/>
      <c r="G72" s="171">
        <f>IF(K72="","",HYPERLINK("#Transaksi!B"&amp;K72,"Kas"))</f>
        <v/>
      </c>
      <c r="H72" s="172" t="n"/>
      <c r="I72" s="172" t="n"/>
      <c r="J72" s="105" t="n"/>
      <c r="K72" s="119" t="n"/>
    </row>
    <row r="73">
      <c r="A73" s="119" t="n"/>
      <c r="B73" s="127" t="n"/>
      <c r="C73" s="170" t="n"/>
      <c r="D73" s="167" t="n"/>
      <c r="E73" s="106" t="n"/>
      <c r="F73" s="106" t="n"/>
      <c r="G73" s="171">
        <f>IF(K73="","",HYPERLINK("#Transaksi!B"&amp;K73,"Kas"))</f>
        <v/>
      </c>
      <c r="H73" s="172" t="n"/>
      <c r="I73" s="172" t="n"/>
      <c r="J73" s="105" t="n"/>
      <c r="K73" s="119" t="n"/>
    </row>
    <row r="74">
      <c r="A74" s="119" t="n"/>
      <c r="B74" s="127" t="n"/>
      <c r="C74" s="170" t="n"/>
      <c r="D74" s="167" t="n"/>
      <c r="E74" s="106" t="n"/>
      <c r="F74" s="106" t="n"/>
      <c r="G74" s="171">
        <f>IF(K74="","",HYPERLINK("#Transaksi!B"&amp;K74,"Kas"))</f>
        <v/>
      </c>
      <c r="H74" s="172" t="n"/>
      <c r="I74" s="172" t="n"/>
      <c r="J74" s="105" t="n"/>
      <c r="K74" s="119" t="n"/>
    </row>
    <row r="75">
      <c r="A75" s="119" t="n"/>
      <c r="B75" s="127" t="n"/>
      <c r="C75" s="170" t="n"/>
      <c r="D75" s="167" t="n"/>
      <c r="E75" s="106" t="n"/>
      <c r="F75" s="106" t="n"/>
      <c r="G75" s="171">
        <f>IF(K75="","",HYPERLINK("#Transaksi!B"&amp;K75,"Kas"))</f>
        <v/>
      </c>
      <c r="H75" s="172" t="n"/>
      <c r="I75" s="172" t="n"/>
      <c r="J75" s="105" t="n"/>
      <c r="K75" s="119" t="n"/>
    </row>
    <row r="76">
      <c r="A76" s="119" t="n"/>
      <c r="B76" s="127" t="n"/>
      <c r="C76" s="170" t="n"/>
      <c r="D76" s="167" t="n"/>
      <c r="E76" s="106" t="n"/>
      <c r="F76" s="106" t="n"/>
      <c r="G76" s="171">
        <f>IF(K76="","",HYPERLINK("#Transaksi!B"&amp;K76,"Kas"))</f>
        <v/>
      </c>
      <c r="H76" s="172" t="n"/>
      <c r="I76" s="172" t="n"/>
      <c r="J76" s="105" t="n"/>
      <c r="K76" s="119" t="n"/>
    </row>
    <row r="77">
      <c r="A77" s="119" t="n"/>
      <c r="B77" s="127" t="n"/>
      <c r="C77" s="170" t="n"/>
      <c r="D77" s="167" t="n"/>
      <c r="E77" s="106" t="n"/>
      <c r="F77" s="106" t="n"/>
      <c r="G77" s="171">
        <f>IF(K77="","",HYPERLINK("#Transaksi!B"&amp;K77,"Kas"))</f>
        <v/>
      </c>
      <c r="H77" s="172" t="n"/>
      <c r="I77" s="172" t="n"/>
      <c r="J77" s="105" t="n"/>
      <c r="K77" s="119" t="n"/>
    </row>
    <row r="78">
      <c r="A78" s="119" t="n"/>
      <c r="B78" s="127" t="n"/>
      <c r="C78" s="170" t="n"/>
      <c r="D78" s="167" t="n"/>
      <c r="E78" s="106" t="n"/>
      <c r="F78" s="106" t="n"/>
      <c r="G78" s="171">
        <f>IF(K78="","",HYPERLINK("#Transaksi!B"&amp;K78,"Kas"))</f>
        <v/>
      </c>
      <c r="H78" s="172" t="n"/>
      <c r="I78" s="172" t="n"/>
      <c r="J78" s="105" t="n"/>
      <c r="K78" s="119" t="n"/>
    </row>
    <row r="79">
      <c r="A79" s="119" t="n"/>
      <c r="B79" s="127" t="n"/>
      <c r="C79" s="170" t="n"/>
      <c r="D79" s="167" t="n"/>
      <c r="E79" s="106" t="n"/>
      <c r="F79" s="106" t="n"/>
      <c r="G79" s="171">
        <f>IF(K79="","",HYPERLINK("#Transaksi!B"&amp;K79,"Kas"))</f>
        <v/>
      </c>
      <c r="H79" s="172" t="n"/>
      <c r="I79" s="172" t="n"/>
      <c r="J79" s="105" t="n"/>
      <c r="K79" s="119" t="n"/>
    </row>
    <row r="80">
      <c r="A80" s="119" t="n"/>
      <c r="B80" s="127" t="n"/>
      <c r="C80" s="170" t="n"/>
      <c r="D80" s="167" t="n"/>
      <c r="E80" s="106" t="n"/>
      <c r="F80" s="106" t="n"/>
      <c r="G80" s="171">
        <f>IF(K80="","",HYPERLINK("#Transaksi!B"&amp;K80,"Kas"))</f>
        <v/>
      </c>
      <c r="H80" s="172" t="n"/>
      <c r="I80" s="172" t="n"/>
      <c r="J80" s="105" t="n"/>
      <c r="K80" s="119" t="n"/>
    </row>
    <row r="81">
      <c r="A81" s="119" t="n"/>
      <c r="B81" s="127" t="n"/>
      <c r="C81" s="170" t="n"/>
      <c r="D81" s="167" t="n"/>
      <c r="E81" s="106" t="n"/>
      <c r="F81" s="106" t="n"/>
      <c r="G81" s="171">
        <f>IF(K81="","",HYPERLINK("#Transaksi!B"&amp;K81,"Kas"))</f>
        <v/>
      </c>
      <c r="H81" s="172" t="n"/>
      <c r="I81" s="172" t="n"/>
      <c r="J81" s="105" t="n"/>
      <c r="K81" s="119" t="n"/>
    </row>
    <row r="82">
      <c r="A82" s="119" t="n"/>
      <c r="B82" s="127" t="n"/>
      <c r="C82" s="170" t="n"/>
      <c r="D82" s="167" t="n"/>
      <c r="E82" s="106" t="n"/>
      <c r="F82" s="106" t="n"/>
      <c r="G82" s="171">
        <f>IF(K82="","",HYPERLINK("#Transaksi!B"&amp;K82,"Kas"))</f>
        <v/>
      </c>
      <c r="H82" s="172" t="n"/>
      <c r="I82" s="172" t="n"/>
      <c r="J82" s="105" t="n"/>
      <c r="K82" s="119" t="n"/>
    </row>
    <row r="83">
      <c r="A83" s="119" t="n"/>
      <c r="B83" s="127" t="n"/>
      <c r="C83" s="170" t="n"/>
      <c r="D83" s="167" t="n"/>
      <c r="E83" s="106" t="n"/>
      <c r="F83" s="106" t="n"/>
      <c r="G83" s="171">
        <f>IF(K83="","",HYPERLINK("#Transaksi!B"&amp;K83,"Kas"))</f>
        <v/>
      </c>
      <c r="H83" s="172" t="n"/>
      <c r="I83" s="172" t="n"/>
      <c r="J83" s="105" t="n"/>
      <c r="K83" s="119" t="n"/>
    </row>
    <row r="84">
      <c r="A84" s="119" t="n"/>
      <c r="B84" s="127" t="n"/>
      <c r="C84" s="170" t="n"/>
      <c r="D84" s="167" t="n"/>
      <c r="E84" s="106" t="n"/>
      <c r="F84" s="106" t="n"/>
      <c r="G84" s="171">
        <f>IF(K84="","",HYPERLINK("#Transaksi!B"&amp;K84,"Kas"))</f>
        <v/>
      </c>
      <c r="H84" s="172" t="n"/>
      <c r="I84" s="172" t="n"/>
      <c r="J84" s="105" t="n"/>
      <c r="K84" s="119" t="n"/>
    </row>
    <row r="85">
      <c r="A85" s="119" t="n"/>
      <c r="B85" s="127" t="n"/>
      <c r="C85" s="170" t="n"/>
      <c r="D85" s="167" t="n"/>
      <c r="E85" s="106" t="n"/>
      <c r="F85" s="106" t="n"/>
      <c r="G85" s="171">
        <f>IF(K85="","",HYPERLINK("#Transaksi!B"&amp;K85,"Kas"))</f>
        <v/>
      </c>
      <c r="H85" s="172" t="n"/>
      <c r="I85" s="172" t="n"/>
      <c r="J85" s="105" t="n"/>
      <c r="K85" s="119" t="n"/>
    </row>
    <row r="86">
      <c r="A86" s="119" t="n"/>
      <c r="B86" s="127" t="n"/>
      <c r="C86" s="170" t="n"/>
      <c r="D86" s="167" t="n"/>
      <c r="E86" s="106" t="n"/>
      <c r="F86" s="106" t="n"/>
      <c r="G86" s="171">
        <f>IF(K86="","",HYPERLINK("#Transaksi!B"&amp;K86,"Kas"))</f>
        <v/>
      </c>
      <c r="H86" s="172" t="n"/>
      <c r="I86" s="172" t="n"/>
      <c r="J86" s="105" t="n"/>
      <c r="K86" s="119" t="n"/>
    </row>
    <row r="87">
      <c r="A87" s="119" t="n"/>
      <c r="B87" s="127" t="n"/>
      <c r="C87" s="170" t="n"/>
      <c r="D87" s="167" t="n"/>
      <c r="E87" s="106" t="n"/>
      <c r="F87" s="106" t="n"/>
      <c r="G87" s="171">
        <f>IF(K87="","",HYPERLINK("#Transaksi!B"&amp;K87,"Kas"))</f>
        <v/>
      </c>
      <c r="H87" s="172" t="n"/>
      <c r="I87" s="172" t="n"/>
      <c r="J87" s="105" t="n"/>
      <c r="K87" s="119" t="n"/>
    </row>
    <row r="88">
      <c r="A88" s="119" t="n"/>
      <c r="B88" s="127" t="n"/>
      <c r="C88" s="170" t="n"/>
      <c r="D88" s="167" t="n"/>
      <c r="E88" s="106" t="n"/>
      <c r="F88" s="106" t="n"/>
      <c r="G88" s="171">
        <f>IF(K88="","",HYPERLINK("#Transaksi!B"&amp;K88,"Kas"))</f>
        <v/>
      </c>
      <c r="H88" s="172" t="n"/>
      <c r="I88" s="172" t="n"/>
      <c r="J88" s="105" t="n"/>
      <c r="K88" s="119" t="n"/>
    </row>
    <row r="89">
      <c r="A89" s="119" t="n"/>
      <c r="B89" s="127" t="n"/>
      <c r="C89" s="170" t="n"/>
      <c r="D89" s="167" t="n"/>
      <c r="E89" s="106" t="n"/>
      <c r="F89" s="106" t="n"/>
      <c r="G89" s="171">
        <f>IF(K89="","",HYPERLINK("#Transaksi!B"&amp;K89,"Kas"))</f>
        <v/>
      </c>
      <c r="H89" s="172" t="n"/>
      <c r="I89" s="172" t="n"/>
      <c r="J89" s="105" t="n"/>
      <c r="K89" s="119" t="n"/>
    </row>
    <row r="90">
      <c r="A90" s="119" t="n"/>
      <c r="B90" s="127" t="n"/>
      <c r="C90" s="170" t="n"/>
      <c r="D90" s="167" t="n"/>
      <c r="E90" s="106" t="n"/>
      <c r="F90" s="106" t="n"/>
      <c r="G90" s="171">
        <f>IF(K90="","",HYPERLINK("#Transaksi!B"&amp;K90,"Kas"))</f>
        <v/>
      </c>
      <c r="H90" s="172" t="n"/>
      <c r="I90" s="172" t="n"/>
      <c r="J90" s="105" t="n"/>
      <c r="K90" s="119" t="n"/>
    </row>
    <row r="91">
      <c r="A91" s="119" t="n"/>
      <c r="B91" s="127" t="n"/>
      <c r="C91" s="170" t="n"/>
      <c r="D91" s="167" t="n"/>
      <c r="E91" s="106" t="n"/>
      <c r="F91" s="106" t="n"/>
      <c r="G91" s="171">
        <f>IF(K91="","",HYPERLINK("#Transaksi!B"&amp;K91,"Kas"))</f>
        <v/>
      </c>
      <c r="H91" s="172" t="n"/>
      <c r="I91" s="172" t="n"/>
      <c r="J91" s="105" t="n"/>
      <c r="K91" s="119" t="n"/>
    </row>
    <row r="92">
      <c r="A92" s="119" t="n"/>
      <c r="B92" s="127" t="n"/>
      <c r="C92" s="170" t="n"/>
      <c r="D92" s="167" t="n"/>
      <c r="E92" s="106" t="n"/>
      <c r="F92" s="106" t="n"/>
      <c r="G92" s="171">
        <f>IF(K92="","",HYPERLINK("#Transaksi!B"&amp;K92,"Kas"))</f>
        <v/>
      </c>
      <c r="H92" s="172" t="n"/>
      <c r="I92" s="172" t="n"/>
      <c r="J92" s="105" t="n"/>
      <c r="K92" s="119" t="n"/>
    </row>
    <row r="93">
      <c r="A93" s="119" t="n"/>
      <c r="B93" s="127" t="n"/>
      <c r="C93" s="170" t="n"/>
      <c r="D93" s="167" t="n"/>
      <c r="E93" s="106" t="n"/>
      <c r="F93" s="106" t="n"/>
      <c r="G93" s="171">
        <f>IF(K93="","",HYPERLINK("#Transaksi!B"&amp;K93,"Kas"))</f>
        <v/>
      </c>
      <c r="H93" s="172" t="n"/>
      <c r="I93" s="172" t="n"/>
      <c r="J93" s="105" t="n"/>
      <c r="K93" s="119" t="n"/>
    </row>
    <row r="94">
      <c r="A94" s="119" t="n"/>
      <c r="B94" s="127" t="n"/>
      <c r="C94" s="170" t="n"/>
      <c r="D94" s="167" t="n"/>
      <c r="E94" s="106" t="n"/>
      <c r="F94" s="106" t="n"/>
      <c r="G94" s="171">
        <f>IF(K94="","",HYPERLINK("#Transaksi!B"&amp;K94,"Kas"))</f>
        <v/>
      </c>
      <c r="H94" s="172" t="n"/>
      <c r="I94" s="172" t="n"/>
      <c r="J94" s="105" t="n"/>
      <c r="K94" s="119" t="n"/>
    </row>
    <row r="95">
      <c r="A95" s="119" t="n"/>
      <c r="B95" s="127" t="n"/>
      <c r="C95" s="170" t="n"/>
      <c r="D95" s="167" t="n"/>
      <c r="E95" s="106" t="n"/>
      <c r="F95" s="106" t="n"/>
      <c r="G95" s="171">
        <f>IF(K95="","",HYPERLINK("#Transaksi!B"&amp;K95,"Kas"))</f>
        <v/>
      </c>
      <c r="H95" s="172" t="n"/>
      <c r="I95" s="172" t="n"/>
      <c r="J95" s="105" t="n"/>
      <c r="K95" s="119" t="n"/>
    </row>
    <row r="96">
      <c r="A96" s="119" t="n"/>
      <c r="B96" s="127" t="n"/>
      <c r="C96" s="170" t="n"/>
      <c r="D96" s="167" t="n"/>
      <c r="E96" s="106" t="n"/>
      <c r="F96" s="106" t="n"/>
      <c r="G96" s="171">
        <f>IF(K96="","",HYPERLINK("#Transaksi!B"&amp;K96,"Kas"))</f>
        <v/>
      </c>
      <c r="H96" s="172" t="n"/>
      <c r="I96" s="172" t="n"/>
      <c r="J96" s="105" t="n"/>
      <c r="K96" s="119" t="n"/>
    </row>
    <row r="97">
      <c r="A97" s="119" t="n"/>
      <c r="B97" s="127" t="n"/>
      <c r="C97" s="170" t="n"/>
      <c r="D97" s="167" t="n"/>
      <c r="E97" s="106" t="n"/>
      <c r="F97" s="106" t="n"/>
      <c r="G97" s="171">
        <f>IF(K97="","",HYPERLINK("#Transaksi!B"&amp;K97,"Kas"))</f>
        <v/>
      </c>
      <c r="H97" s="172" t="n"/>
      <c r="I97" s="172" t="n"/>
      <c r="J97" s="105" t="n"/>
      <c r="K97" s="119" t="n"/>
    </row>
    <row r="98">
      <c r="A98" s="119" t="n"/>
      <c r="B98" s="127" t="n"/>
      <c r="C98" s="170" t="n"/>
      <c r="D98" s="167" t="n"/>
      <c r="E98" s="106" t="n"/>
      <c r="F98" s="106" t="n"/>
      <c r="G98" s="171">
        <f>IF(K98="","",HYPERLINK("#Transaksi!B"&amp;K98,"Kas"))</f>
        <v/>
      </c>
      <c r="H98" s="172" t="n"/>
      <c r="I98" s="172" t="n"/>
      <c r="J98" s="105" t="n"/>
      <c r="K98" s="119" t="n"/>
    </row>
    <row r="99">
      <c r="A99" s="119" t="n"/>
      <c r="B99" s="127" t="n"/>
      <c r="C99" s="170" t="n"/>
      <c r="D99" s="167" t="n"/>
      <c r="E99" s="106" t="n"/>
      <c r="F99" s="106" t="n"/>
      <c r="G99" s="171">
        <f>IF(K99="","",HYPERLINK("#Transaksi!B"&amp;K99,"Kas"))</f>
        <v/>
      </c>
      <c r="H99" s="172" t="n"/>
      <c r="I99" s="172" t="n"/>
      <c r="J99" s="105" t="n"/>
      <c r="K99" s="119" t="n"/>
    </row>
    <row r="100">
      <c r="A100" s="119" t="n"/>
      <c r="B100" s="127" t="n"/>
      <c r="C100" s="170" t="n"/>
      <c r="D100" s="167" t="n"/>
      <c r="E100" s="106" t="n"/>
      <c r="F100" s="106" t="n"/>
      <c r="G100" s="171">
        <f>IF(K100="","",HYPERLINK("#Transaksi!B"&amp;K100,"Kas"))</f>
        <v/>
      </c>
      <c r="H100" s="172" t="n"/>
      <c r="I100" s="172" t="n"/>
      <c r="J100" s="105" t="n"/>
      <c r="K100" s="119" t="n"/>
    </row>
    <row r="101">
      <c r="A101" s="119" t="n"/>
      <c r="B101" s="127" t="n"/>
      <c r="C101" s="170" t="n"/>
      <c r="D101" s="167" t="n"/>
      <c r="E101" s="106" t="n"/>
      <c r="F101" s="106" t="n"/>
      <c r="G101" s="171">
        <f>IF(K101="","",HYPERLINK("#Transaksi!B"&amp;K101,"Kas"))</f>
        <v/>
      </c>
      <c r="H101" s="172" t="n"/>
      <c r="I101" s="172" t="n"/>
      <c r="J101" s="105" t="n"/>
      <c r="K101" s="119" t="n"/>
    </row>
    <row r="102">
      <c r="A102" s="119" t="n"/>
      <c r="B102" s="127" t="n"/>
      <c r="C102" s="170" t="n"/>
      <c r="D102" s="167" t="n"/>
      <c r="E102" s="106" t="n"/>
      <c r="F102" s="106" t="n"/>
      <c r="G102" s="171">
        <f>IF(K102="","",HYPERLINK("#Transaksi!B"&amp;K102,"Kas"))</f>
        <v/>
      </c>
      <c r="H102" s="172" t="n"/>
      <c r="I102" s="172" t="n"/>
      <c r="J102" s="105" t="n"/>
      <c r="K102" s="119" t="n"/>
    </row>
    <row r="103">
      <c r="A103" s="119" t="n"/>
      <c r="B103" s="127" t="n"/>
      <c r="C103" s="170" t="n"/>
      <c r="D103" s="167" t="n"/>
      <c r="E103" s="106" t="n"/>
      <c r="F103" s="106" t="n"/>
      <c r="G103" s="171">
        <f>IF(K103="","",HYPERLINK("#Transaksi!B"&amp;K103,"Kas"))</f>
        <v/>
      </c>
      <c r="H103" s="172" t="n"/>
      <c r="I103" s="172" t="n"/>
      <c r="J103" s="105" t="n"/>
      <c r="K103" s="119" t="n"/>
    </row>
    <row r="104">
      <c r="A104" s="119" t="n"/>
      <c r="B104" s="127" t="n"/>
      <c r="C104" s="170" t="n"/>
      <c r="D104" s="167" t="n"/>
      <c r="E104" s="106" t="n"/>
      <c r="F104" s="106" t="n"/>
      <c r="G104" s="171">
        <f>IF(K104="","",HYPERLINK("#Transaksi!B"&amp;K104,"Kas"))</f>
        <v/>
      </c>
      <c r="H104" s="172" t="n"/>
      <c r="I104" s="172" t="n"/>
      <c r="J104" s="105" t="n"/>
      <c r="K104" s="119" t="n"/>
    </row>
    <row r="105">
      <c r="A105" s="119" t="n"/>
      <c r="B105" s="127" t="n"/>
      <c r="C105" s="170" t="n"/>
      <c r="D105" s="167" t="n"/>
      <c r="E105" s="106" t="n"/>
      <c r="F105" s="106" t="n"/>
      <c r="G105" s="171">
        <f>IF(K105="","",HYPERLINK("#Transaksi!B"&amp;K105,"Kas"))</f>
        <v/>
      </c>
      <c r="H105" s="172" t="n"/>
      <c r="I105" s="172" t="n"/>
      <c r="J105" s="105" t="n"/>
      <c r="K105" s="119" t="n"/>
    </row>
    <row r="106">
      <c r="A106" s="119" t="n"/>
      <c r="B106" s="127" t="n"/>
      <c r="C106" s="170" t="n"/>
      <c r="D106" s="167" t="n"/>
      <c r="E106" s="106" t="n"/>
      <c r="F106" s="106" t="n"/>
      <c r="G106" s="171">
        <f>IF(K106="","",HYPERLINK("#Transaksi!B"&amp;K106,"Kas"))</f>
        <v/>
      </c>
      <c r="H106" s="172" t="n"/>
      <c r="I106" s="172" t="n"/>
      <c r="J106" s="105" t="n"/>
      <c r="K106" s="119" t="n"/>
    </row>
    <row r="107">
      <c r="A107" s="119" t="n"/>
      <c r="B107" s="127" t="n"/>
      <c r="C107" s="170" t="n"/>
      <c r="D107" s="167" t="n"/>
      <c r="E107" s="106" t="n"/>
      <c r="F107" s="106" t="n"/>
      <c r="G107" s="171">
        <f>IF(K107="","",HYPERLINK("#Transaksi!B"&amp;K107,"Kas"))</f>
        <v/>
      </c>
      <c r="H107" s="172" t="n"/>
      <c r="I107" s="172" t="n"/>
      <c r="J107" s="105" t="n"/>
      <c r="K107" s="119" t="n"/>
    </row>
    <row r="108">
      <c r="A108" s="119" t="n"/>
      <c r="B108" s="127" t="n"/>
      <c r="C108" s="170" t="n"/>
      <c r="D108" s="167" t="n"/>
      <c r="E108" s="106" t="n"/>
      <c r="F108" s="106" t="n"/>
      <c r="G108" s="171">
        <f>IF(K108="","",HYPERLINK("#Transaksi!B"&amp;K108,"Kas"))</f>
        <v/>
      </c>
      <c r="H108" s="172" t="n"/>
      <c r="I108" s="172" t="n"/>
      <c r="J108" s="105" t="n"/>
      <c r="K108" s="119" t="n"/>
    </row>
    <row r="109">
      <c r="A109" s="119" t="n"/>
      <c r="B109" s="127" t="n"/>
      <c r="C109" s="170" t="n"/>
      <c r="D109" s="167" t="n"/>
      <c r="E109" s="106" t="n"/>
      <c r="F109" s="106" t="n"/>
      <c r="G109" s="171">
        <f>IF(K109="","",HYPERLINK("#Transaksi!B"&amp;K109,"Kas"))</f>
        <v/>
      </c>
      <c r="H109" s="172" t="n"/>
      <c r="I109" s="172" t="n"/>
      <c r="J109" s="105" t="n"/>
      <c r="K109" s="119" t="n"/>
    </row>
    <row r="110">
      <c r="A110" s="119" t="n"/>
      <c r="B110" s="127" t="n"/>
      <c r="C110" s="170" t="n"/>
      <c r="D110" s="167" t="n"/>
      <c r="E110" s="106" t="n"/>
      <c r="F110" s="106" t="n"/>
      <c r="G110" s="171">
        <f>IF(K110="","",HYPERLINK("#Transaksi!B"&amp;K110,"Kas"))</f>
        <v/>
      </c>
      <c r="H110" s="172" t="n"/>
      <c r="I110" s="172" t="n"/>
      <c r="J110" s="105" t="n"/>
      <c r="K110" s="119" t="n"/>
    </row>
    <row r="111">
      <c r="A111" s="119" t="n"/>
      <c r="B111" s="127" t="n"/>
      <c r="C111" s="170" t="n"/>
      <c r="D111" s="167" t="n"/>
      <c r="E111" s="106" t="n"/>
      <c r="F111" s="106" t="n"/>
      <c r="G111" s="171">
        <f>IF(K111="","",HYPERLINK("#Transaksi!B"&amp;K111,"Kas"))</f>
        <v/>
      </c>
      <c r="H111" s="172" t="n"/>
      <c r="I111" s="172" t="n"/>
      <c r="J111" s="105" t="n"/>
      <c r="K111" s="119" t="n"/>
    </row>
    <row r="112">
      <c r="A112" s="119" t="n"/>
      <c r="B112" s="127" t="n"/>
      <c r="C112" s="170" t="n"/>
      <c r="D112" s="167" t="n"/>
      <c r="E112" s="106" t="n"/>
      <c r="F112" s="106" t="n"/>
      <c r="G112" s="171">
        <f>IF(K112="","",HYPERLINK("#Transaksi!B"&amp;K112,"Kas"))</f>
        <v/>
      </c>
      <c r="H112" s="172" t="n"/>
      <c r="I112" s="172" t="n"/>
      <c r="J112" s="105" t="n"/>
      <c r="K112" s="119" t="n"/>
    </row>
    <row r="113">
      <c r="A113" s="119" t="n"/>
      <c r="B113" s="127" t="n"/>
      <c r="C113" s="170" t="n"/>
      <c r="D113" s="167" t="n"/>
      <c r="E113" s="106" t="n"/>
      <c r="F113" s="106" t="n"/>
      <c r="G113" s="171">
        <f>IF(K113="","",HYPERLINK("#Transaksi!B"&amp;K113,"Kas"))</f>
        <v/>
      </c>
      <c r="H113" s="172" t="n"/>
      <c r="I113" s="172" t="n"/>
      <c r="J113" s="105" t="n"/>
      <c r="K113" s="119" t="n"/>
    </row>
    <row r="114">
      <c r="A114" s="119" t="n"/>
      <c r="B114" s="127" t="n"/>
      <c r="C114" s="170" t="n"/>
      <c r="D114" s="167" t="n"/>
      <c r="E114" s="106" t="n"/>
      <c r="F114" s="106" t="n"/>
      <c r="G114" s="171">
        <f>IF(K114="","",HYPERLINK("#Transaksi!B"&amp;K114,"Kas"))</f>
        <v/>
      </c>
      <c r="H114" s="172" t="n"/>
      <c r="I114" s="172" t="n"/>
      <c r="J114" s="105" t="n"/>
      <c r="K114" s="119" t="n"/>
    </row>
    <row r="115">
      <c r="A115" s="119" t="n"/>
      <c r="B115" s="127" t="n"/>
      <c r="C115" s="170" t="n"/>
      <c r="D115" s="167" t="n"/>
      <c r="E115" s="106" t="n"/>
      <c r="F115" s="106" t="n"/>
      <c r="G115" s="171">
        <f>IF(K115="","",HYPERLINK("#Transaksi!B"&amp;K115,"Kas"))</f>
        <v/>
      </c>
      <c r="H115" s="172" t="n"/>
      <c r="I115" s="172" t="n"/>
      <c r="J115" s="105" t="n"/>
      <c r="K115" s="119" t="n"/>
    </row>
    <row r="116">
      <c r="A116" s="119" t="n"/>
      <c r="B116" s="127" t="n"/>
      <c r="C116" s="170" t="n"/>
      <c r="D116" s="167" t="n"/>
      <c r="E116" s="106" t="n"/>
      <c r="F116" s="106" t="n"/>
      <c r="G116" s="171">
        <f>IF(K116="","",HYPERLINK("#Transaksi!B"&amp;K116,"Kas"))</f>
        <v/>
      </c>
      <c r="H116" s="172" t="n"/>
      <c r="I116" s="172" t="n"/>
      <c r="J116" s="105" t="n"/>
      <c r="K116" s="119" t="n"/>
    </row>
    <row r="117">
      <c r="A117" s="119" t="n"/>
      <c r="B117" s="127" t="n"/>
      <c r="C117" s="170" t="n"/>
      <c r="D117" s="167" t="n"/>
      <c r="E117" s="106" t="n"/>
      <c r="F117" s="106" t="n"/>
      <c r="G117" s="171">
        <f>IF(K117="","",HYPERLINK("#Transaksi!B"&amp;K117,"Kas"))</f>
        <v/>
      </c>
      <c r="H117" s="172" t="n"/>
      <c r="I117" s="172" t="n"/>
      <c r="J117" s="105" t="n"/>
      <c r="K117" s="119" t="n"/>
    </row>
    <row r="118">
      <c r="A118" s="119" t="n"/>
      <c r="B118" s="127" t="n"/>
      <c r="C118" s="170" t="n"/>
      <c r="D118" s="167" t="n"/>
      <c r="E118" s="106" t="n"/>
      <c r="F118" s="106" t="n"/>
      <c r="G118" s="171">
        <f>IF(K118="","",HYPERLINK("#Transaksi!B"&amp;K118,"Kas"))</f>
        <v/>
      </c>
      <c r="H118" s="172" t="n"/>
      <c r="I118" s="172" t="n"/>
      <c r="J118" s="105" t="n"/>
      <c r="K118" s="119" t="n"/>
    </row>
    <row r="119">
      <c r="A119" s="119" t="n"/>
      <c r="B119" s="127" t="n"/>
      <c r="C119" s="170" t="n"/>
      <c r="D119" s="167" t="n"/>
      <c r="E119" s="106" t="n"/>
      <c r="F119" s="106" t="n"/>
      <c r="G119" s="171">
        <f>IF(K119="","",HYPERLINK("#Transaksi!B"&amp;K119,"Kas"))</f>
        <v/>
      </c>
      <c r="H119" s="172" t="n"/>
      <c r="I119" s="172" t="n"/>
      <c r="J119" s="105" t="n"/>
      <c r="K119" s="119" t="n"/>
    </row>
    <row r="120">
      <c r="A120" s="119" t="n"/>
      <c r="B120" s="127" t="n"/>
      <c r="C120" s="170" t="n"/>
      <c r="D120" s="167" t="n"/>
      <c r="E120" s="106" t="n"/>
      <c r="F120" s="106" t="n"/>
      <c r="G120" s="171">
        <f>IF(K120="","",HYPERLINK("#Transaksi!B"&amp;K120,"Kas"))</f>
        <v/>
      </c>
      <c r="H120" s="172" t="n"/>
      <c r="I120" s="172" t="n"/>
      <c r="J120" s="105" t="n"/>
      <c r="K120" s="119" t="n"/>
    </row>
    <row r="121">
      <c r="A121" s="119" t="n"/>
      <c r="B121" s="127" t="n"/>
      <c r="C121" s="170" t="n"/>
      <c r="D121" s="167" t="n"/>
      <c r="E121" s="106" t="n"/>
      <c r="F121" s="106" t="n"/>
      <c r="G121" s="171">
        <f>IF(K121="","",HYPERLINK("#Transaksi!B"&amp;K121,"Kas"))</f>
        <v/>
      </c>
      <c r="H121" s="172" t="n"/>
      <c r="I121" s="172" t="n"/>
      <c r="J121" s="105" t="n"/>
      <c r="K121" s="119" t="n"/>
    </row>
    <row r="122">
      <c r="A122" s="119" t="n"/>
      <c r="B122" s="127" t="n"/>
      <c r="C122" s="170" t="n"/>
      <c r="D122" s="167" t="n"/>
      <c r="E122" s="106" t="n"/>
      <c r="F122" s="106" t="n"/>
      <c r="G122" s="171">
        <f>IF(K122="","",HYPERLINK("#Transaksi!B"&amp;K122,"Kas"))</f>
        <v/>
      </c>
      <c r="H122" s="172" t="n"/>
      <c r="I122" s="172" t="n"/>
      <c r="J122" s="105" t="n"/>
      <c r="K122" s="119" t="n"/>
    </row>
    <row r="123">
      <c r="A123" s="119" t="n"/>
      <c r="B123" s="127" t="n"/>
      <c r="C123" s="170" t="n"/>
      <c r="D123" s="167" t="n"/>
      <c r="E123" s="106" t="n"/>
      <c r="F123" s="106" t="n"/>
      <c r="G123" s="171">
        <f>IF(K123="","",HYPERLINK("#Transaksi!B"&amp;K123,"Kas"))</f>
        <v/>
      </c>
      <c r="H123" s="172" t="n"/>
      <c r="I123" s="172" t="n"/>
      <c r="J123" s="105" t="n"/>
      <c r="K123" s="119" t="n"/>
    </row>
    <row r="124">
      <c r="A124" s="119" t="n"/>
      <c r="B124" s="127" t="n"/>
      <c r="C124" s="170" t="n"/>
      <c r="D124" s="167" t="n"/>
      <c r="E124" s="106" t="n"/>
      <c r="F124" s="106" t="n"/>
      <c r="G124" s="171">
        <f>IF(K124="","",HYPERLINK("#Transaksi!B"&amp;K124,"Kas"))</f>
        <v/>
      </c>
      <c r="H124" s="172" t="n"/>
      <c r="I124" s="172" t="n"/>
      <c r="J124" s="105" t="n"/>
      <c r="K124" s="119" t="n"/>
    </row>
    <row r="125">
      <c r="A125" s="119" t="n"/>
      <c r="B125" s="127" t="n"/>
      <c r="C125" s="170" t="n"/>
      <c r="D125" s="167" t="n"/>
      <c r="E125" s="106" t="n"/>
      <c r="F125" s="106" t="n"/>
      <c r="G125" s="171">
        <f>IF(K125="","",HYPERLINK("#Transaksi!B"&amp;K125,"Kas"))</f>
        <v/>
      </c>
      <c r="H125" s="172" t="n"/>
      <c r="I125" s="172" t="n"/>
      <c r="J125" s="105" t="n"/>
      <c r="K125" s="119" t="n"/>
    </row>
    <row r="126">
      <c r="A126" s="119" t="n"/>
      <c r="B126" s="127" t="n"/>
      <c r="C126" s="170" t="n"/>
      <c r="D126" s="167" t="n"/>
      <c r="E126" s="106" t="n"/>
      <c r="F126" s="106" t="n"/>
      <c r="G126" s="171">
        <f>IF(K126="","",HYPERLINK("#Transaksi!B"&amp;K126,"Kas"))</f>
        <v/>
      </c>
      <c r="H126" s="172" t="n"/>
      <c r="I126" s="172" t="n"/>
      <c r="J126" s="105" t="n"/>
      <c r="K126" s="119" t="n"/>
    </row>
    <row r="127">
      <c r="A127" s="119" t="n"/>
      <c r="B127" s="127" t="n"/>
      <c r="C127" s="170" t="n"/>
      <c r="D127" s="167" t="n"/>
      <c r="E127" s="106" t="n"/>
      <c r="F127" s="106" t="n"/>
      <c r="G127" s="171">
        <f>IF(K127="","",HYPERLINK("#Transaksi!B"&amp;K127,"Kas"))</f>
        <v/>
      </c>
      <c r="H127" s="172" t="n"/>
      <c r="I127" s="172" t="n"/>
      <c r="J127" s="105" t="n"/>
      <c r="K127" s="119" t="n"/>
    </row>
    <row r="128">
      <c r="A128" s="119" t="n"/>
      <c r="B128" s="127" t="n"/>
      <c r="C128" s="170" t="n"/>
      <c r="D128" s="167" t="n"/>
      <c r="E128" s="106" t="n"/>
      <c r="F128" s="106" t="n"/>
      <c r="G128" s="171">
        <f>IF(K128="","",HYPERLINK("#Transaksi!B"&amp;K128,"Kas"))</f>
        <v/>
      </c>
      <c r="H128" s="172" t="n"/>
      <c r="I128" s="172" t="n"/>
      <c r="J128" s="105" t="n"/>
      <c r="K128" s="119" t="n"/>
    </row>
    <row r="129">
      <c r="A129" s="119" t="n"/>
      <c r="B129" s="127" t="n"/>
      <c r="C129" s="170" t="n"/>
      <c r="D129" s="167" t="n"/>
      <c r="E129" s="106" t="n"/>
      <c r="F129" s="106" t="n"/>
      <c r="G129" s="171">
        <f>IF(K129="","",HYPERLINK("#Transaksi!B"&amp;K129,"Kas"))</f>
        <v/>
      </c>
      <c r="H129" s="172" t="n"/>
      <c r="I129" s="172" t="n"/>
      <c r="J129" s="105" t="n"/>
      <c r="K129" s="119" t="n"/>
    </row>
    <row r="130">
      <c r="A130" s="119" t="n"/>
      <c r="B130" s="127" t="n"/>
      <c r="C130" s="170" t="n"/>
      <c r="D130" s="167" t="n"/>
      <c r="E130" s="106" t="n"/>
      <c r="F130" s="106" t="n"/>
      <c r="G130" s="171">
        <f>IF(K130="","",HYPERLINK("#Transaksi!B"&amp;K130,"Kas"))</f>
        <v/>
      </c>
      <c r="H130" s="172" t="n"/>
      <c r="I130" s="172" t="n"/>
      <c r="J130" s="105" t="n"/>
      <c r="K130" s="119" t="n"/>
    </row>
    <row r="131">
      <c r="A131" s="119" t="n"/>
      <c r="B131" s="127" t="n"/>
      <c r="C131" s="170" t="n"/>
      <c r="D131" s="167" t="n"/>
      <c r="E131" s="106" t="n"/>
      <c r="F131" s="106" t="n"/>
      <c r="G131" s="171">
        <f>IF(K131="","",HYPERLINK("#Transaksi!B"&amp;K131,"Kas"))</f>
        <v/>
      </c>
      <c r="H131" s="172" t="n"/>
      <c r="I131" s="172" t="n"/>
      <c r="J131" s="105" t="n"/>
      <c r="K131" s="119" t="n"/>
    </row>
    <row r="132">
      <c r="A132" s="119" t="n"/>
      <c r="B132" s="127" t="n"/>
      <c r="C132" s="170" t="n"/>
      <c r="D132" s="167" t="n"/>
      <c r="E132" s="106" t="n"/>
      <c r="F132" s="106" t="n"/>
      <c r="G132" s="171">
        <f>IF(K132="","",HYPERLINK("#Transaksi!B"&amp;K132,"Kas"))</f>
        <v/>
      </c>
      <c r="H132" s="172" t="n"/>
      <c r="I132" s="172" t="n"/>
      <c r="J132" s="105" t="n"/>
      <c r="K132" s="119" t="n"/>
    </row>
    <row r="133">
      <c r="A133" s="119" t="n"/>
      <c r="B133" s="127" t="n"/>
      <c r="C133" s="170" t="n"/>
      <c r="D133" s="167" t="n"/>
      <c r="E133" s="106" t="n"/>
      <c r="F133" s="106" t="n"/>
      <c r="G133" s="171">
        <f>IF(K133="","",HYPERLINK("#Transaksi!B"&amp;K133,"Kas"))</f>
        <v/>
      </c>
      <c r="H133" s="172" t="n"/>
      <c r="I133" s="172" t="n"/>
      <c r="J133" s="105" t="n"/>
      <c r="K133" s="119" t="n"/>
    </row>
    <row r="134">
      <c r="A134" s="119" t="n"/>
      <c r="B134" s="127" t="n"/>
      <c r="C134" s="170" t="n"/>
      <c r="D134" s="167" t="n"/>
      <c r="E134" s="106" t="n"/>
      <c r="F134" s="106" t="n"/>
      <c r="G134" s="171">
        <f>IF(K134="","",HYPERLINK("#Transaksi!B"&amp;K134,"Kas"))</f>
        <v/>
      </c>
      <c r="H134" s="172" t="n"/>
      <c r="I134" s="172" t="n"/>
      <c r="J134" s="105" t="n"/>
      <c r="K134" s="119" t="n"/>
    </row>
    <row r="135">
      <c r="A135" s="119" t="n"/>
      <c r="B135" s="127" t="n"/>
      <c r="C135" s="170" t="n"/>
      <c r="D135" s="167" t="n"/>
      <c r="E135" s="106" t="n"/>
      <c r="F135" s="106" t="n"/>
      <c r="G135" s="171">
        <f>IF(K135="","",HYPERLINK("#Transaksi!B"&amp;K135,"Kas"))</f>
        <v/>
      </c>
      <c r="H135" s="172" t="n"/>
      <c r="I135" s="172" t="n"/>
      <c r="J135" s="105" t="n"/>
      <c r="K135" s="119" t="n"/>
    </row>
    <row r="136">
      <c r="A136" s="119" t="n"/>
      <c r="B136" s="127" t="n"/>
      <c r="C136" s="170" t="n"/>
      <c r="D136" s="167" t="n"/>
      <c r="E136" s="106" t="n"/>
      <c r="F136" s="106" t="n"/>
      <c r="G136" s="171">
        <f>IF(K136="","",HYPERLINK("#Transaksi!B"&amp;K136,"Kas"))</f>
        <v/>
      </c>
      <c r="H136" s="172" t="n"/>
      <c r="I136" s="172" t="n"/>
      <c r="J136" s="105" t="n"/>
      <c r="K136" s="119" t="n"/>
    </row>
    <row r="137">
      <c r="A137" s="119" t="n"/>
      <c r="B137" s="127" t="n"/>
      <c r="C137" s="170" t="n"/>
      <c r="D137" s="167" t="n"/>
      <c r="E137" s="106" t="n"/>
      <c r="F137" s="106" t="n"/>
      <c r="G137" s="171">
        <f>IF(K137="","",HYPERLINK("#Transaksi!B"&amp;K137,"Kas"))</f>
        <v/>
      </c>
      <c r="H137" s="172" t="n"/>
      <c r="I137" s="172" t="n"/>
      <c r="J137" s="105" t="n"/>
      <c r="K137" s="119" t="n"/>
    </row>
    <row r="138">
      <c r="A138" s="119" t="n"/>
      <c r="B138" s="127" t="n"/>
      <c r="C138" s="170" t="n"/>
      <c r="D138" s="167" t="n"/>
      <c r="E138" s="106" t="n"/>
      <c r="F138" s="106" t="n"/>
      <c r="G138" s="171">
        <f>IF(K138="","",HYPERLINK("#Transaksi!B"&amp;K138,"Kas"))</f>
        <v/>
      </c>
      <c r="H138" s="172" t="n"/>
      <c r="I138" s="172" t="n"/>
      <c r="J138" s="105" t="n"/>
      <c r="K138" s="119" t="n"/>
    </row>
    <row r="139">
      <c r="A139" s="119" t="n"/>
      <c r="B139" s="127" t="n"/>
      <c r="C139" s="170" t="n"/>
      <c r="D139" s="167" t="n"/>
      <c r="E139" s="106" t="n"/>
      <c r="F139" s="106" t="n"/>
      <c r="G139" s="171">
        <f>IF(K139="","",HYPERLINK("#Transaksi!B"&amp;K139,"Kas"))</f>
        <v/>
      </c>
      <c r="H139" s="172" t="n"/>
      <c r="I139" s="172" t="n"/>
      <c r="J139" s="105" t="n"/>
      <c r="K139" s="119" t="n"/>
    </row>
    <row r="140">
      <c r="A140" s="119" t="n"/>
      <c r="B140" s="127" t="n"/>
      <c r="C140" s="170" t="n"/>
      <c r="D140" s="167" t="n"/>
      <c r="E140" s="106" t="n"/>
      <c r="F140" s="106" t="n"/>
      <c r="G140" s="171">
        <f>IF(K140="","",HYPERLINK("#Transaksi!B"&amp;K140,"Kas"))</f>
        <v/>
      </c>
      <c r="H140" s="172" t="n"/>
      <c r="I140" s="172" t="n"/>
      <c r="J140" s="105" t="n"/>
      <c r="K140" s="119" t="n"/>
    </row>
    <row r="141">
      <c r="A141" s="119" t="n"/>
      <c r="B141" s="127" t="n"/>
      <c r="C141" s="170" t="n"/>
      <c r="D141" s="167" t="n"/>
      <c r="E141" s="106" t="n"/>
      <c r="F141" s="106" t="n"/>
      <c r="G141" s="171">
        <f>IF(K141="","",HYPERLINK("#Transaksi!B"&amp;K141,"Kas"))</f>
        <v/>
      </c>
      <c r="H141" s="172" t="n"/>
      <c r="I141" s="172" t="n"/>
      <c r="J141" s="105" t="n"/>
      <c r="K141" s="119" t="n"/>
    </row>
    <row r="142">
      <c r="A142" s="119" t="n"/>
      <c r="B142" s="127" t="n"/>
      <c r="C142" s="170" t="n"/>
      <c r="D142" s="167" t="n"/>
      <c r="E142" s="106" t="n"/>
      <c r="F142" s="106" t="n"/>
      <c r="G142" s="171">
        <f>IF(K142="","",HYPERLINK("#Transaksi!B"&amp;K142,"Kas"))</f>
        <v/>
      </c>
      <c r="H142" s="172" t="n"/>
      <c r="I142" s="172" t="n"/>
      <c r="J142" s="105" t="n"/>
      <c r="K142" s="119" t="n"/>
    </row>
    <row r="143">
      <c r="A143" s="119" t="n"/>
      <c r="B143" s="127" t="n"/>
      <c r="C143" s="170" t="n"/>
      <c r="D143" s="167" t="n"/>
      <c r="E143" s="106" t="n"/>
      <c r="F143" s="106" t="n"/>
      <c r="G143" s="171">
        <f>IF(K143="","",HYPERLINK("#Transaksi!B"&amp;K143,"Kas"))</f>
        <v/>
      </c>
      <c r="H143" s="172" t="n"/>
      <c r="I143" s="172" t="n"/>
      <c r="J143" s="105" t="n"/>
      <c r="K143" s="119" t="n"/>
    </row>
    <row r="144">
      <c r="A144" s="119" t="n"/>
      <c r="B144" s="127" t="n"/>
      <c r="C144" s="170" t="n"/>
      <c r="D144" s="167" t="n"/>
      <c r="E144" s="106" t="n"/>
      <c r="F144" s="106" t="n"/>
      <c r="G144" s="171">
        <f>IF(K144="","",HYPERLINK("#Transaksi!B"&amp;K144,"Kas"))</f>
        <v/>
      </c>
      <c r="H144" s="172" t="n"/>
      <c r="I144" s="172" t="n"/>
      <c r="J144" s="105" t="n"/>
      <c r="K144" s="119" t="n"/>
    </row>
    <row r="145">
      <c r="A145" s="119" t="n"/>
      <c r="B145" s="127" t="n"/>
      <c r="C145" s="170" t="n"/>
      <c r="D145" s="167" t="n"/>
      <c r="E145" s="106" t="n"/>
      <c r="F145" s="106" t="n"/>
      <c r="G145" s="171">
        <f>IF(K145="","",HYPERLINK("#Transaksi!B"&amp;K145,"Kas"))</f>
        <v/>
      </c>
      <c r="H145" s="172" t="n"/>
      <c r="I145" s="172" t="n"/>
      <c r="J145" s="105" t="n"/>
      <c r="K145" s="119" t="n"/>
    </row>
    <row r="146">
      <c r="A146" s="119" t="n"/>
      <c r="B146" s="127" t="n"/>
      <c r="C146" s="170" t="n"/>
      <c r="D146" s="167" t="n"/>
      <c r="E146" s="106" t="n"/>
      <c r="F146" s="106" t="n"/>
      <c r="G146" s="171">
        <f>IF(K146="","",HYPERLINK("#Transaksi!B"&amp;K146,"Kas"))</f>
        <v/>
      </c>
      <c r="H146" s="172" t="n"/>
      <c r="I146" s="172" t="n"/>
      <c r="J146" s="105" t="n"/>
      <c r="K146" s="119" t="n"/>
    </row>
    <row r="147">
      <c r="A147" s="119" t="n"/>
      <c r="B147" s="127" t="n"/>
      <c r="C147" s="170" t="n"/>
      <c r="D147" s="167" t="n"/>
      <c r="E147" s="106" t="n"/>
      <c r="F147" s="106" t="n"/>
      <c r="G147" s="171">
        <f>IF(K147="","",HYPERLINK("#Transaksi!B"&amp;K147,"Kas"))</f>
        <v/>
      </c>
      <c r="H147" s="172" t="n"/>
      <c r="I147" s="172" t="n"/>
      <c r="J147" s="105" t="n"/>
      <c r="K147" s="119" t="n"/>
    </row>
    <row r="148">
      <c r="A148" s="119" t="n"/>
      <c r="B148" s="127" t="n"/>
      <c r="C148" s="170" t="n"/>
      <c r="D148" s="167" t="n"/>
      <c r="E148" s="106" t="n"/>
      <c r="F148" s="106" t="n"/>
      <c r="G148" s="171">
        <f>IF(K148="","",HYPERLINK("#Transaksi!B"&amp;K148,"Kas"))</f>
        <v/>
      </c>
      <c r="H148" s="172" t="n"/>
      <c r="I148" s="172" t="n"/>
      <c r="J148" s="105" t="n"/>
      <c r="K148" s="119" t="n"/>
    </row>
    <row r="149">
      <c r="A149" s="119" t="n"/>
      <c r="B149" s="127" t="n"/>
      <c r="C149" s="170" t="n"/>
      <c r="D149" s="167" t="n"/>
      <c r="E149" s="106" t="n"/>
      <c r="F149" s="106" t="n"/>
      <c r="G149" s="171">
        <f>IF(K149="","",HYPERLINK("#Transaksi!B"&amp;K149,"Kas"))</f>
        <v/>
      </c>
      <c r="H149" s="172" t="n"/>
      <c r="I149" s="172" t="n"/>
      <c r="J149" s="105" t="n"/>
      <c r="K149" s="119" t="n"/>
    </row>
    <row r="150">
      <c r="A150" s="119" t="n"/>
      <c r="B150" s="127" t="n"/>
      <c r="C150" s="170" t="n"/>
      <c r="D150" s="167" t="n"/>
      <c r="E150" s="106" t="n"/>
      <c r="F150" s="106" t="n"/>
      <c r="G150" s="171">
        <f>IF(K150="","",HYPERLINK("#Transaksi!B"&amp;K150,"Kas"))</f>
        <v/>
      </c>
      <c r="H150" s="172" t="n"/>
      <c r="I150" s="172" t="n"/>
      <c r="J150" s="105" t="n"/>
      <c r="K150" s="119" t="n"/>
    </row>
    <row r="151">
      <c r="A151" s="119" t="n"/>
      <c r="B151" s="127" t="n"/>
      <c r="C151" s="170" t="n"/>
      <c r="D151" s="167" t="n"/>
      <c r="E151" s="106" t="n"/>
      <c r="F151" s="106" t="n"/>
      <c r="G151" s="171">
        <f>IF(K151="","",HYPERLINK("#Transaksi!B"&amp;K151,"Kas"))</f>
        <v/>
      </c>
      <c r="H151" s="172" t="n"/>
      <c r="I151" s="172" t="n"/>
      <c r="J151" s="105" t="n"/>
      <c r="K151" s="119" t="n"/>
    </row>
    <row r="152">
      <c r="A152" s="119" t="n"/>
      <c r="B152" s="127" t="n"/>
      <c r="C152" s="170" t="n"/>
      <c r="D152" s="167" t="n"/>
      <c r="E152" s="106" t="n"/>
      <c r="F152" s="106" t="n"/>
      <c r="G152" s="171">
        <f>IF(K152="","",HYPERLINK("#Transaksi!B"&amp;K152,"Kas"))</f>
        <v/>
      </c>
      <c r="H152" s="172" t="n"/>
      <c r="I152" s="172" t="n"/>
      <c r="J152" s="105" t="n"/>
      <c r="K152" s="119" t="n"/>
    </row>
    <row r="153">
      <c r="A153" s="119" t="n"/>
      <c r="B153" s="127" t="n"/>
      <c r="C153" s="170" t="n"/>
      <c r="D153" s="167" t="n"/>
      <c r="E153" s="106" t="n"/>
      <c r="F153" s="106" t="n"/>
      <c r="G153" s="171">
        <f>IF(K153="","",HYPERLINK("#Transaksi!B"&amp;K153,"Kas"))</f>
        <v/>
      </c>
      <c r="H153" s="172" t="n"/>
      <c r="I153" s="172" t="n"/>
      <c r="J153" s="105" t="n"/>
      <c r="K153" s="119" t="n"/>
    </row>
    <row r="154">
      <c r="A154" s="119" t="n"/>
      <c r="B154" s="127" t="n"/>
      <c r="C154" s="170" t="n"/>
      <c r="D154" s="167" t="n"/>
      <c r="E154" s="106" t="n"/>
      <c r="F154" s="106" t="n"/>
      <c r="G154" s="171">
        <f>IF(K154="","",HYPERLINK("#Transaksi!B"&amp;K154,"Kas"))</f>
        <v/>
      </c>
      <c r="H154" s="172" t="n"/>
      <c r="I154" s="172" t="n"/>
      <c r="J154" s="105" t="n"/>
      <c r="K154" s="119" t="n"/>
    </row>
    <row r="155">
      <c r="A155" s="119" t="n"/>
      <c r="B155" s="127" t="n"/>
      <c r="C155" s="170" t="n"/>
      <c r="D155" s="167" t="n"/>
      <c r="E155" s="106" t="n"/>
      <c r="F155" s="106" t="n"/>
      <c r="G155" s="171">
        <f>IF(K155="","",HYPERLINK("#Transaksi!B"&amp;K155,"Kas"))</f>
        <v/>
      </c>
      <c r="H155" s="172" t="n"/>
      <c r="I155" s="172" t="n"/>
      <c r="J155" s="105" t="n"/>
      <c r="K155" s="119" t="n"/>
    </row>
    <row r="156">
      <c r="A156" s="119" t="n"/>
      <c r="B156" s="127" t="n"/>
      <c r="C156" s="170" t="n"/>
      <c r="D156" s="167" t="n"/>
      <c r="E156" s="106" t="n"/>
      <c r="F156" s="106" t="n"/>
      <c r="G156" s="171">
        <f>IF(K156="","",HYPERLINK("#Transaksi!B"&amp;K156,"Kas"))</f>
        <v/>
      </c>
      <c r="H156" s="172" t="n"/>
      <c r="I156" s="172" t="n"/>
      <c r="J156" s="105" t="n"/>
      <c r="K156" s="119" t="n"/>
    </row>
    <row r="157">
      <c r="A157" s="119" t="n"/>
      <c r="B157" s="127" t="n"/>
      <c r="C157" s="170" t="n"/>
      <c r="D157" s="167" t="n"/>
      <c r="E157" s="106" t="n"/>
      <c r="F157" s="106" t="n"/>
      <c r="G157" s="171">
        <f>IF(K157="","",HYPERLINK("#Transaksi!B"&amp;K157,"Kas"))</f>
        <v/>
      </c>
      <c r="H157" s="172" t="n"/>
      <c r="I157" s="172" t="n"/>
      <c r="J157" s="105" t="n"/>
      <c r="K157" s="119" t="n"/>
    </row>
    <row r="158">
      <c r="A158" s="119" t="n"/>
      <c r="B158" s="127" t="n"/>
      <c r="C158" s="170" t="n"/>
      <c r="D158" s="167" t="n"/>
      <c r="E158" s="106" t="n"/>
      <c r="F158" s="106" t="n"/>
      <c r="G158" s="171">
        <f>IF(K158="","",HYPERLINK("#Transaksi!B"&amp;K158,"Kas"))</f>
        <v/>
      </c>
      <c r="H158" s="172" t="n"/>
      <c r="I158" s="172" t="n"/>
      <c r="J158" s="105" t="n"/>
      <c r="K158" s="119" t="n"/>
    </row>
    <row r="159">
      <c r="A159" s="119" t="n"/>
      <c r="B159" s="127" t="n"/>
      <c r="C159" s="170" t="n"/>
      <c r="D159" s="167" t="n"/>
      <c r="E159" s="106" t="n"/>
      <c r="F159" s="106" t="n"/>
      <c r="G159" s="171">
        <f>IF(K159="","",HYPERLINK("#Transaksi!B"&amp;K159,"Kas"))</f>
        <v/>
      </c>
      <c r="H159" s="172" t="n"/>
      <c r="I159" s="172" t="n"/>
      <c r="J159" s="105" t="n"/>
      <c r="K159" s="119" t="n"/>
    </row>
    <row r="160">
      <c r="A160" s="119" t="n"/>
      <c r="B160" s="127" t="n"/>
      <c r="C160" s="170" t="n"/>
      <c r="D160" s="167" t="n"/>
      <c r="E160" s="106" t="n"/>
      <c r="F160" s="106" t="n"/>
      <c r="G160" s="171">
        <f>IF(K160="","",HYPERLINK("#Transaksi!B"&amp;K160,"Kas"))</f>
        <v/>
      </c>
      <c r="H160" s="172" t="n"/>
      <c r="I160" s="172" t="n"/>
      <c r="J160" s="105" t="n"/>
      <c r="K160" s="119" t="n"/>
    </row>
    <row r="161">
      <c r="A161" s="119" t="n"/>
      <c r="B161" s="127" t="n"/>
      <c r="C161" s="170" t="n"/>
      <c r="D161" s="167" t="n"/>
      <c r="E161" s="106" t="n"/>
      <c r="F161" s="106" t="n"/>
      <c r="G161" s="171">
        <f>IF(K161="","",HYPERLINK("#Transaksi!B"&amp;K161,"Kas"))</f>
        <v/>
      </c>
      <c r="H161" s="172" t="n"/>
      <c r="I161" s="172" t="n"/>
      <c r="J161" s="105" t="n"/>
      <c r="K161" s="119" t="n"/>
    </row>
    <row r="162">
      <c r="A162" s="119" t="n"/>
      <c r="B162" s="127" t="n"/>
      <c r="C162" s="170" t="n"/>
      <c r="D162" s="167" t="n"/>
      <c r="E162" s="106" t="n"/>
      <c r="F162" s="106" t="n"/>
      <c r="G162" s="171">
        <f>IF(K162="","",HYPERLINK("#Transaksi!B"&amp;K162,"Kas"))</f>
        <v/>
      </c>
      <c r="H162" s="172" t="n"/>
      <c r="I162" s="172" t="n"/>
      <c r="J162" s="105" t="n"/>
      <c r="K162" s="119" t="n"/>
    </row>
    <row r="163">
      <c r="A163" s="119" t="n"/>
      <c r="B163" s="127" t="n"/>
      <c r="C163" s="170" t="n"/>
      <c r="D163" s="167" t="n"/>
      <c r="E163" s="106" t="n"/>
      <c r="F163" s="106" t="n"/>
      <c r="G163" s="171">
        <f>IF(K163="","",HYPERLINK("#Transaksi!B"&amp;K163,"Kas"))</f>
        <v/>
      </c>
      <c r="H163" s="172" t="n"/>
      <c r="I163" s="172" t="n"/>
      <c r="J163" s="105" t="n"/>
      <c r="K163" s="119" t="n"/>
    </row>
    <row r="164">
      <c r="A164" s="119" t="n"/>
      <c r="B164" s="127" t="n"/>
      <c r="C164" s="170" t="n"/>
      <c r="D164" s="167" t="n"/>
      <c r="E164" s="106" t="n"/>
      <c r="F164" s="106" t="n"/>
      <c r="G164" s="171">
        <f>IF(K164="","",HYPERLINK("#Transaksi!B"&amp;K164,"Kas"))</f>
        <v/>
      </c>
      <c r="H164" s="172" t="n"/>
      <c r="I164" s="172" t="n"/>
      <c r="J164" s="105" t="n"/>
      <c r="K164" s="119" t="n"/>
    </row>
    <row r="165">
      <c r="A165" s="119" t="n"/>
      <c r="B165" s="127" t="n"/>
      <c r="C165" s="170" t="n"/>
      <c r="D165" s="167" t="n"/>
      <c r="E165" s="106" t="n"/>
      <c r="F165" s="106" t="n"/>
      <c r="G165" s="171">
        <f>IF(K165="","",HYPERLINK("#Transaksi!B"&amp;K165,"Kas"))</f>
        <v/>
      </c>
      <c r="H165" s="172" t="n"/>
      <c r="I165" s="172" t="n"/>
      <c r="J165" s="105" t="n"/>
      <c r="K165" s="119" t="n"/>
    </row>
    <row r="166">
      <c r="A166" s="119" t="n"/>
      <c r="B166" s="127" t="n"/>
      <c r="C166" s="170" t="n"/>
      <c r="D166" s="167" t="n"/>
      <c r="E166" s="106" t="n"/>
      <c r="F166" s="106" t="n"/>
      <c r="G166" s="171">
        <f>IF(K166="","",HYPERLINK("#Transaksi!B"&amp;K166,"Kas"))</f>
        <v/>
      </c>
      <c r="H166" s="172" t="n"/>
      <c r="I166" s="172" t="n"/>
      <c r="J166" s="105" t="n"/>
      <c r="K166" s="119" t="n"/>
    </row>
    <row r="167">
      <c r="A167" s="119" t="n"/>
      <c r="B167" s="127" t="n"/>
      <c r="C167" s="170" t="n"/>
      <c r="D167" s="167" t="n"/>
      <c r="E167" s="106" t="n"/>
      <c r="F167" s="106" t="n"/>
      <c r="G167" s="171">
        <f>IF(K167="","",HYPERLINK("#Transaksi!B"&amp;K167,"Kas"))</f>
        <v/>
      </c>
      <c r="H167" s="172" t="n"/>
      <c r="I167" s="172" t="n"/>
      <c r="J167" s="105" t="n"/>
      <c r="K167" s="119" t="n"/>
    </row>
    <row r="168">
      <c r="A168" s="119" t="n"/>
      <c r="B168" s="127" t="n"/>
      <c r="C168" s="170" t="n"/>
      <c r="D168" s="167" t="n"/>
      <c r="E168" s="106" t="n"/>
      <c r="F168" s="106" t="n"/>
      <c r="G168" s="171">
        <f>IF(K168="","",HYPERLINK("#Transaksi!B"&amp;K168,"Kas"))</f>
        <v/>
      </c>
      <c r="H168" s="172" t="n"/>
      <c r="I168" s="172" t="n"/>
      <c r="J168" s="105" t="n"/>
      <c r="K168" s="119" t="n"/>
    </row>
    <row r="169">
      <c r="A169" s="119" t="n"/>
      <c r="B169" s="127" t="n"/>
      <c r="C169" s="170" t="n"/>
      <c r="D169" s="167" t="n"/>
      <c r="E169" s="106" t="n"/>
      <c r="F169" s="106" t="n"/>
      <c r="G169" s="171">
        <f>IF(K169="","",HYPERLINK("#Transaksi!B"&amp;K169,"Kas"))</f>
        <v/>
      </c>
      <c r="H169" s="172" t="n"/>
      <c r="I169" s="172" t="n"/>
      <c r="J169" s="105" t="n"/>
      <c r="K169" s="119" t="n"/>
    </row>
    <row r="170">
      <c r="A170" s="119" t="n"/>
      <c r="B170" s="127" t="n"/>
      <c r="C170" s="170" t="n"/>
      <c r="D170" s="167" t="n"/>
      <c r="E170" s="106" t="n"/>
      <c r="F170" s="106" t="n"/>
      <c r="G170" s="171">
        <f>IF(K170="","",HYPERLINK("#Transaksi!B"&amp;K170,"Kas"))</f>
        <v/>
      </c>
      <c r="H170" s="172" t="n"/>
      <c r="I170" s="172" t="n"/>
      <c r="J170" s="105" t="n"/>
      <c r="K170" s="119" t="n"/>
    </row>
    <row r="171">
      <c r="A171" s="119" t="n"/>
      <c r="B171" s="127" t="n"/>
      <c r="C171" s="170" t="n"/>
      <c r="D171" s="167" t="n"/>
      <c r="E171" s="106" t="n"/>
      <c r="F171" s="106" t="n"/>
      <c r="G171" s="171">
        <f>IF(K171="","",HYPERLINK("#Transaksi!B"&amp;K171,"Kas"))</f>
        <v/>
      </c>
      <c r="H171" s="172" t="n"/>
      <c r="I171" s="172" t="n"/>
      <c r="J171" s="105" t="n"/>
      <c r="K171" s="119" t="n"/>
    </row>
    <row r="172">
      <c r="A172" s="119" t="n"/>
      <c r="B172" s="127" t="n"/>
      <c r="C172" s="170" t="n"/>
      <c r="D172" s="167" t="n"/>
      <c r="E172" s="106" t="n"/>
      <c r="F172" s="106" t="n"/>
      <c r="G172" s="171">
        <f>IF(K172="","",HYPERLINK("#Transaksi!B"&amp;K172,"Kas"))</f>
        <v/>
      </c>
      <c r="H172" s="172" t="n"/>
      <c r="I172" s="172" t="n"/>
      <c r="J172" s="105" t="n"/>
      <c r="K172" s="119" t="n"/>
    </row>
    <row r="173">
      <c r="A173" s="119" t="n"/>
      <c r="B173" s="127" t="n"/>
      <c r="C173" s="170" t="n"/>
      <c r="D173" s="167" t="n"/>
      <c r="E173" s="106" t="n"/>
      <c r="F173" s="106" t="n"/>
      <c r="G173" s="171">
        <f>IF(K173="","",HYPERLINK("#Transaksi!B"&amp;K173,"Kas"))</f>
        <v/>
      </c>
      <c r="H173" s="172" t="n"/>
      <c r="I173" s="172" t="n"/>
      <c r="J173" s="105" t="n"/>
      <c r="K173" s="119" t="n"/>
    </row>
    <row r="174">
      <c r="A174" s="119" t="n"/>
      <c r="B174" s="127" t="n"/>
      <c r="C174" s="170" t="n"/>
      <c r="D174" s="167" t="n"/>
      <c r="E174" s="106" t="n"/>
      <c r="F174" s="106" t="n"/>
      <c r="G174" s="171">
        <f>IF(K174="","",HYPERLINK("#Transaksi!B"&amp;K174,"Kas"))</f>
        <v/>
      </c>
      <c r="H174" s="172" t="n"/>
      <c r="I174" s="172" t="n"/>
      <c r="J174" s="105" t="n"/>
      <c r="K174" s="119" t="n"/>
    </row>
    <row r="175">
      <c r="A175" s="119" t="n"/>
      <c r="B175" s="127" t="n"/>
      <c r="C175" s="170" t="n"/>
      <c r="D175" s="167" t="n"/>
      <c r="E175" s="106" t="n"/>
      <c r="F175" s="106" t="n"/>
      <c r="G175" s="171">
        <f>IF(K175="","",HYPERLINK("#Transaksi!B"&amp;K175,"Kas"))</f>
        <v/>
      </c>
      <c r="H175" s="172" t="n"/>
      <c r="I175" s="172" t="n"/>
      <c r="J175" s="105" t="n"/>
      <c r="K175" s="119" t="n"/>
    </row>
    <row r="176">
      <c r="A176" s="119" t="n"/>
      <c r="B176" s="127" t="n"/>
      <c r="C176" s="170" t="n"/>
      <c r="D176" s="167" t="n"/>
      <c r="E176" s="106" t="n"/>
      <c r="F176" s="106" t="n"/>
      <c r="G176" s="171">
        <f>IF(K176="","",HYPERLINK("#Transaksi!B"&amp;K176,"Kas"))</f>
        <v/>
      </c>
      <c r="H176" s="172" t="n"/>
      <c r="I176" s="172" t="n"/>
      <c r="J176" s="105" t="n"/>
      <c r="K176" s="119" t="n"/>
    </row>
    <row r="177">
      <c r="A177" s="119" t="n"/>
      <c r="B177" s="127" t="n"/>
      <c r="C177" s="170" t="n"/>
      <c r="D177" s="167" t="n"/>
      <c r="E177" s="106" t="n"/>
      <c r="F177" s="106" t="n"/>
      <c r="G177" s="171">
        <f>IF(K177="","",HYPERLINK("#Transaksi!B"&amp;K177,"Kas"))</f>
        <v/>
      </c>
      <c r="H177" s="172" t="n"/>
      <c r="I177" s="172" t="n"/>
      <c r="J177" s="105" t="n"/>
      <c r="K177" s="119" t="n"/>
    </row>
    <row r="178">
      <c r="A178" s="119" t="n"/>
      <c r="B178" s="127" t="n"/>
      <c r="C178" s="170" t="n"/>
      <c r="D178" s="167" t="n"/>
      <c r="E178" s="106" t="n"/>
      <c r="F178" s="106" t="n"/>
      <c r="G178" s="171">
        <f>IF(K178="","",HYPERLINK("#Transaksi!B"&amp;K178,"Kas"))</f>
        <v/>
      </c>
      <c r="H178" s="172" t="n"/>
      <c r="I178" s="172" t="n"/>
      <c r="J178" s="105" t="n"/>
      <c r="K178" s="119" t="n"/>
    </row>
    <row r="179">
      <c r="A179" s="119" t="n"/>
      <c r="B179" s="127" t="n"/>
      <c r="C179" s="170" t="n"/>
      <c r="D179" s="167" t="n"/>
      <c r="E179" s="106" t="n"/>
      <c r="F179" s="106" t="n"/>
      <c r="G179" s="171">
        <f>IF(K179="","",HYPERLINK("#Transaksi!B"&amp;K179,"Kas"))</f>
        <v/>
      </c>
      <c r="H179" s="172" t="n"/>
      <c r="I179" s="172" t="n"/>
      <c r="J179" s="105" t="n"/>
      <c r="K179" s="119" t="n"/>
    </row>
    <row r="180">
      <c r="A180" s="119" t="n"/>
      <c r="B180" s="127" t="n"/>
      <c r="C180" s="170" t="n"/>
      <c r="D180" s="167" t="n"/>
      <c r="E180" s="106" t="n"/>
      <c r="F180" s="106" t="n"/>
      <c r="G180" s="171">
        <f>IF(K180="","",HYPERLINK("#Transaksi!B"&amp;K180,"Kas"))</f>
        <v/>
      </c>
      <c r="H180" s="172" t="n"/>
      <c r="I180" s="172" t="n"/>
      <c r="J180" s="105" t="n"/>
      <c r="K180" s="119" t="n"/>
    </row>
    <row r="181">
      <c r="A181" s="119" t="n"/>
      <c r="B181" s="127" t="n"/>
      <c r="C181" s="170" t="n"/>
      <c r="D181" s="167" t="n"/>
      <c r="E181" s="106" t="n"/>
      <c r="F181" s="106" t="n"/>
      <c r="G181" s="171">
        <f>IF(K181="","",HYPERLINK("#Transaksi!B"&amp;K181,"Kas"))</f>
        <v/>
      </c>
      <c r="H181" s="172" t="n"/>
      <c r="I181" s="172" t="n"/>
      <c r="J181" s="105" t="n"/>
      <c r="K181" s="119" t="n"/>
    </row>
    <row r="182">
      <c r="A182" s="119" t="n"/>
      <c r="B182" s="127" t="n"/>
      <c r="C182" s="170" t="n"/>
      <c r="D182" s="167" t="n"/>
      <c r="E182" s="106" t="n"/>
      <c r="F182" s="106" t="n"/>
      <c r="G182" s="171">
        <f>IF(K182="","",HYPERLINK("#Transaksi!B"&amp;K182,"Kas"))</f>
        <v/>
      </c>
      <c r="H182" s="172" t="n"/>
      <c r="I182" s="172" t="n"/>
      <c r="J182" s="105" t="n"/>
      <c r="K182" s="119" t="n"/>
    </row>
    <row r="183">
      <c r="A183" s="119" t="n"/>
      <c r="B183" s="127" t="n"/>
      <c r="C183" s="170" t="n"/>
      <c r="D183" s="167" t="n"/>
      <c r="E183" s="106" t="n"/>
      <c r="F183" s="106" t="n"/>
      <c r="G183" s="171">
        <f>IF(K183="","",HYPERLINK("#Transaksi!B"&amp;K183,"Kas"))</f>
        <v/>
      </c>
      <c r="H183" s="172" t="n"/>
      <c r="I183" s="172" t="n"/>
      <c r="J183" s="105" t="n"/>
      <c r="K183" s="119" t="n"/>
    </row>
    <row r="184">
      <c r="A184" s="119" t="n"/>
      <c r="B184" s="127" t="n"/>
      <c r="C184" s="170" t="n"/>
      <c r="D184" s="167" t="n"/>
      <c r="E184" s="106" t="n"/>
      <c r="F184" s="106" t="n"/>
      <c r="G184" s="171">
        <f>IF(K184="","",HYPERLINK("#Transaksi!B"&amp;K184,"Kas"))</f>
        <v/>
      </c>
      <c r="H184" s="172" t="n"/>
      <c r="I184" s="172" t="n"/>
      <c r="J184" s="105" t="n"/>
      <c r="K184" s="119" t="n"/>
    </row>
    <row r="185">
      <c r="A185" s="119" t="n"/>
      <c r="B185" s="127" t="n"/>
      <c r="C185" s="170" t="n"/>
      <c r="D185" s="167" t="n"/>
      <c r="E185" s="106" t="n"/>
      <c r="F185" s="106" t="n"/>
      <c r="G185" s="171">
        <f>IF(K185="","",HYPERLINK("#Transaksi!B"&amp;K185,"Kas"))</f>
        <v/>
      </c>
      <c r="H185" s="172" t="n"/>
      <c r="I185" s="172" t="n"/>
      <c r="J185" s="105" t="n"/>
      <c r="K185" s="119" t="n"/>
    </row>
    <row r="186">
      <c r="A186" s="119" t="n"/>
      <c r="B186" s="127" t="n"/>
      <c r="C186" s="170" t="n"/>
      <c r="D186" s="167" t="n"/>
      <c r="E186" s="106" t="n"/>
      <c r="F186" s="106" t="n"/>
      <c r="G186" s="171">
        <f>IF(K186="","",HYPERLINK("#Transaksi!B"&amp;K186,"Kas"))</f>
        <v/>
      </c>
      <c r="H186" s="172" t="n"/>
      <c r="I186" s="172" t="n"/>
      <c r="J186" s="105" t="n"/>
      <c r="K186" s="119" t="n"/>
    </row>
    <row r="187">
      <c r="A187" s="119" t="n"/>
      <c r="B187" s="127" t="n"/>
      <c r="C187" s="170" t="n"/>
      <c r="D187" s="167" t="n"/>
      <c r="E187" s="106" t="n"/>
      <c r="F187" s="106" t="n"/>
      <c r="G187" s="171">
        <f>IF(K187="","",HYPERLINK("#Transaksi!B"&amp;K187,"Kas"))</f>
        <v/>
      </c>
      <c r="H187" s="172" t="n"/>
      <c r="I187" s="172" t="n"/>
      <c r="J187" s="105" t="n"/>
      <c r="K187" s="119" t="n"/>
    </row>
    <row r="188">
      <c r="A188" s="119" t="n"/>
      <c r="B188" s="127" t="n"/>
      <c r="C188" s="170" t="n"/>
      <c r="D188" s="167" t="n"/>
      <c r="E188" s="106" t="n"/>
      <c r="F188" s="106" t="n"/>
      <c r="G188" s="171">
        <f>IF(K188="","",HYPERLINK("#Transaksi!B"&amp;K188,"Kas"))</f>
        <v/>
      </c>
      <c r="H188" s="172" t="n"/>
      <c r="I188" s="172" t="n"/>
      <c r="J188" s="105" t="n"/>
      <c r="K188" s="119" t="n"/>
    </row>
    <row r="189">
      <c r="A189" s="119" t="n"/>
      <c r="B189" s="127" t="n"/>
      <c r="C189" s="170" t="n"/>
      <c r="D189" s="167" t="n"/>
      <c r="E189" s="106" t="n"/>
      <c r="F189" s="106" t="n"/>
      <c r="G189" s="171">
        <f>IF(K189="","",HYPERLINK("#Transaksi!B"&amp;K189,"Kas"))</f>
        <v/>
      </c>
      <c r="H189" s="172" t="n"/>
      <c r="I189" s="172" t="n"/>
      <c r="J189" s="105" t="n"/>
      <c r="K189" s="119" t="n"/>
    </row>
    <row r="190">
      <c r="A190" s="119" t="n"/>
      <c r="B190" s="127" t="n"/>
      <c r="C190" s="170" t="n"/>
      <c r="D190" s="167" t="n"/>
      <c r="E190" s="106" t="n"/>
      <c r="F190" s="106" t="n"/>
      <c r="G190" s="171">
        <f>IF(K190="","",HYPERLINK("#Transaksi!B"&amp;K190,"Kas"))</f>
        <v/>
      </c>
      <c r="H190" s="172" t="n"/>
      <c r="I190" s="172" t="n"/>
      <c r="J190" s="105" t="n"/>
      <c r="K190" s="119" t="n"/>
    </row>
    <row r="191">
      <c r="A191" s="119" t="n"/>
      <c r="B191" s="127" t="n"/>
      <c r="C191" s="170" t="n"/>
      <c r="D191" s="167" t="n"/>
      <c r="E191" s="106" t="n"/>
      <c r="F191" s="106" t="n"/>
      <c r="G191" s="171">
        <f>IF(K191="","",HYPERLINK("#Transaksi!B"&amp;K191,"Kas"))</f>
        <v/>
      </c>
      <c r="H191" s="172" t="n"/>
      <c r="I191" s="172" t="n"/>
      <c r="J191" s="105" t="n"/>
      <c r="K191" s="119" t="n"/>
    </row>
    <row r="192">
      <c r="A192" s="119" t="n"/>
      <c r="B192" s="127" t="n"/>
      <c r="C192" s="170" t="n"/>
      <c r="D192" s="167" t="n"/>
      <c r="E192" s="106" t="n"/>
      <c r="F192" s="106" t="n"/>
      <c r="G192" s="171">
        <f>IF(K192="","",HYPERLINK("#Transaksi!B"&amp;K192,"Kas"))</f>
        <v/>
      </c>
      <c r="H192" s="172" t="n"/>
      <c r="I192" s="172" t="n"/>
      <c r="J192" s="105" t="n"/>
      <c r="K192" s="119" t="n"/>
    </row>
    <row r="193">
      <c r="A193" s="119" t="n"/>
      <c r="B193" s="127" t="n"/>
      <c r="C193" s="170" t="n"/>
      <c r="D193" s="167" t="n"/>
      <c r="E193" s="106" t="n"/>
      <c r="F193" s="106" t="n"/>
      <c r="G193" s="171">
        <f>IF(K193="","",HYPERLINK("#Transaksi!B"&amp;K193,"Kas"))</f>
        <v/>
      </c>
      <c r="H193" s="172" t="n"/>
      <c r="I193" s="172" t="n"/>
      <c r="J193" s="105" t="n"/>
      <c r="K193" s="119" t="n"/>
    </row>
    <row r="194">
      <c r="A194" s="119" t="n"/>
      <c r="B194" s="127" t="n"/>
      <c r="C194" s="170" t="n"/>
      <c r="D194" s="167" t="n"/>
      <c r="E194" s="106" t="n"/>
      <c r="F194" s="106" t="n"/>
      <c r="G194" s="171">
        <f>IF(K194="","",HYPERLINK("#Transaksi!B"&amp;K194,"Kas"))</f>
        <v/>
      </c>
      <c r="H194" s="172" t="n"/>
      <c r="I194" s="172" t="n"/>
      <c r="J194" s="105" t="n"/>
      <c r="K194" s="119" t="n"/>
    </row>
    <row r="195">
      <c r="A195" s="119" t="n"/>
      <c r="B195" s="127" t="n"/>
      <c r="C195" s="170" t="n"/>
      <c r="D195" s="167" t="n"/>
      <c r="E195" s="106" t="n"/>
      <c r="F195" s="106" t="n"/>
      <c r="G195" s="171">
        <f>IF(K195="","",HYPERLINK("#Transaksi!B"&amp;K195,"Kas"))</f>
        <v/>
      </c>
      <c r="H195" s="172" t="n"/>
      <c r="I195" s="172" t="n"/>
      <c r="J195" s="105" t="n"/>
      <c r="K195" s="119" t="n"/>
    </row>
    <row r="196">
      <c r="A196" s="119" t="n"/>
      <c r="B196" s="127" t="n"/>
      <c r="C196" s="170" t="n"/>
      <c r="D196" s="167" t="n"/>
      <c r="E196" s="106" t="n"/>
      <c r="F196" s="106" t="n"/>
      <c r="G196" s="171">
        <f>IF(K196="","",HYPERLINK("#Transaksi!B"&amp;K196,"Kas"))</f>
        <v/>
      </c>
      <c r="H196" s="172" t="n"/>
      <c r="I196" s="172" t="n"/>
      <c r="J196" s="105" t="n"/>
      <c r="K196" s="119" t="n"/>
    </row>
    <row r="197">
      <c r="A197" s="119" t="n"/>
      <c r="B197" s="127" t="n"/>
      <c r="C197" s="170" t="n"/>
      <c r="D197" s="167" t="n"/>
      <c r="E197" s="106" t="n"/>
      <c r="F197" s="106" t="n"/>
      <c r="G197" s="171">
        <f>IF(K197="","",HYPERLINK("#Transaksi!B"&amp;K197,"Kas"))</f>
        <v/>
      </c>
      <c r="H197" s="172" t="n"/>
      <c r="I197" s="172" t="n"/>
      <c r="J197" s="105" t="n"/>
      <c r="K197" s="119" t="n"/>
    </row>
    <row r="198">
      <c r="A198" s="119" t="n"/>
      <c r="B198" s="127" t="n"/>
      <c r="C198" s="170" t="n"/>
      <c r="D198" s="167" t="n"/>
      <c r="E198" s="106" t="n"/>
      <c r="F198" s="106" t="n"/>
      <c r="G198" s="171">
        <f>IF(K198="","",HYPERLINK("#Transaksi!B"&amp;K198,"Kas"))</f>
        <v/>
      </c>
      <c r="H198" s="172" t="n"/>
      <c r="I198" s="172" t="n"/>
      <c r="J198" s="105" t="n"/>
      <c r="K198" s="119" t="n"/>
    </row>
    <row r="199">
      <c r="A199" s="119" t="n"/>
      <c r="B199" s="127" t="n"/>
      <c r="C199" s="170" t="n"/>
      <c r="D199" s="167" t="n"/>
      <c r="E199" s="106" t="n"/>
      <c r="F199" s="106" t="n"/>
      <c r="G199" s="171">
        <f>IF(K199="","",HYPERLINK("#Transaksi!B"&amp;K199,"Kas"))</f>
        <v/>
      </c>
      <c r="H199" s="172" t="n"/>
      <c r="I199" s="172" t="n"/>
      <c r="J199" s="105" t="n"/>
      <c r="K199" s="119" t="n"/>
    </row>
    <row r="200">
      <c r="A200" s="119" t="n"/>
      <c r="B200" s="127" t="n"/>
      <c r="C200" s="170" t="n"/>
      <c r="D200" s="167" t="n"/>
      <c r="E200" s="106" t="n"/>
      <c r="F200" s="106" t="n"/>
      <c r="G200" s="171">
        <f>IF(K200="","",HYPERLINK("#Transaksi!B"&amp;K200,"Kas"))</f>
        <v/>
      </c>
      <c r="H200" s="172" t="n"/>
      <c r="I200" s="172" t="n"/>
      <c r="J200" s="105" t="n"/>
      <c r="K200" s="119" t="n"/>
    </row>
    <row r="201">
      <c r="A201" s="119" t="n"/>
      <c r="B201" s="127" t="n"/>
      <c r="C201" s="170" t="n"/>
      <c r="D201" s="167" t="n"/>
      <c r="E201" s="106" t="n"/>
      <c r="F201" s="106" t="n"/>
      <c r="G201" s="171">
        <f>IF(K201="","",HYPERLINK("#Transaksi!B"&amp;K201,"Kas"))</f>
        <v/>
      </c>
      <c r="H201" s="172" t="n"/>
      <c r="I201" s="172" t="n"/>
      <c r="J201" s="105" t="n"/>
      <c r="K201" s="119" t="n"/>
    </row>
    <row r="202">
      <c r="A202" s="119" t="n"/>
      <c r="B202" s="127" t="n"/>
      <c r="C202" s="170" t="n"/>
      <c r="D202" s="167" t="n"/>
      <c r="E202" s="106" t="n"/>
      <c r="F202" s="106" t="n"/>
      <c r="G202" s="171">
        <f>IF(K202="","",HYPERLINK("#Transaksi!B"&amp;K202,"Kas"))</f>
        <v/>
      </c>
      <c r="H202" s="172" t="n"/>
      <c r="I202" s="172" t="n"/>
      <c r="J202" s="105" t="n"/>
      <c r="K202" s="119" t="n"/>
    </row>
    <row r="203">
      <c r="A203" s="119" t="n"/>
      <c r="B203" s="127" t="n"/>
      <c r="C203" s="170" t="n"/>
      <c r="D203" s="167" t="n"/>
      <c r="E203" s="106" t="n"/>
      <c r="F203" s="106" t="n"/>
      <c r="G203" s="171">
        <f>IF(K203="","",HYPERLINK("#Transaksi!B"&amp;K203,"Kas"))</f>
        <v/>
      </c>
      <c r="H203" s="172" t="n"/>
      <c r="I203" s="172" t="n"/>
      <c r="J203" s="105" t="n"/>
      <c r="K203" s="119" t="n"/>
    </row>
    <row r="204">
      <c r="A204" s="119" t="n"/>
      <c r="B204" s="127" t="n"/>
      <c r="C204" s="170" t="n"/>
      <c r="D204" s="167" t="n"/>
      <c r="E204" s="106" t="n"/>
      <c r="F204" s="106" t="n"/>
      <c r="G204" s="171">
        <f>IF(K204="","",HYPERLINK("#Transaksi!B"&amp;K204,"Kas"))</f>
        <v/>
      </c>
      <c r="H204" s="172" t="n"/>
      <c r="I204" s="172" t="n"/>
      <c r="J204" s="105" t="n"/>
      <c r="K204" s="119" t="n"/>
    </row>
    <row r="205">
      <c r="A205" s="119" t="n"/>
      <c r="B205" s="127" t="n"/>
      <c r="C205" s="170" t="n"/>
      <c r="D205" s="167" t="n"/>
      <c r="E205" s="106" t="n"/>
      <c r="F205" s="106" t="n"/>
      <c r="G205" s="171">
        <f>IF(K205="","",HYPERLINK("#Transaksi!B"&amp;K205,"Kas"))</f>
        <v/>
      </c>
      <c r="H205" s="172" t="n"/>
      <c r="I205" s="172" t="n"/>
      <c r="J205" s="105" t="n"/>
      <c r="K205" s="119" t="n"/>
    </row>
    <row r="206">
      <c r="A206" s="119" t="n"/>
      <c r="B206" s="127" t="n"/>
      <c r="C206" s="170" t="n"/>
      <c r="D206" s="167" t="n"/>
      <c r="E206" s="106" t="n"/>
      <c r="F206" s="106" t="n"/>
      <c r="G206" s="171">
        <f>IF(K206="","",HYPERLINK("#Transaksi!B"&amp;K206,"Kas"))</f>
        <v/>
      </c>
      <c r="H206" s="172" t="n"/>
      <c r="I206" s="172" t="n"/>
      <c r="J206" s="105" t="n"/>
      <c r="K206" s="119" t="n"/>
    </row>
    <row r="207">
      <c r="A207" s="119" t="n"/>
      <c r="B207" s="127" t="n"/>
      <c r="C207" s="170" t="n"/>
      <c r="D207" s="167" t="n"/>
      <c r="E207" s="106" t="n"/>
      <c r="F207" s="106" t="n"/>
      <c r="G207" s="171">
        <f>IF(K207="","",HYPERLINK("#Transaksi!B"&amp;K207,"Kas"))</f>
        <v/>
      </c>
      <c r="H207" s="172" t="n"/>
      <c r="I207" s="172" t="n"/>
      <c r="J207" s="105" t="n"/>
      <c r="K207" s="119" t="n"/>
    </row>
    <row r="208">
      <c r="A208" s="119" t="n"/>
      <c r="B208" s="127" t="n"/>
      <c r="C208" s="170" t="n"/>
      <c r="D208" s="167" t="n"/>
      <c r="E208" s="106" t="n"/>
      <c r="F208" s="106" t="n"/>
      <c r="G208" s="171">
        <f>IF(K208="","",HYPERLINK("#Transaksi!B"&amp;K208,"Kas"))</f>
        <v/>
      </c>
      <c r="H208" s="172" t="n"/>
      <c r="I208" s="172" t="n"/>
      <c r="J208" s="105" t="n"/>
      <c r="K208" s="119" t="n"/>
    </row>
    <row r="209">
      <c r="A209" s="119" t="n"/>
      <c r="B209" s="127" t="n"/>
      <c r="C209" s="170" t="n"/>
      <c r="D209" s="167" t="n"/>
      <c r="E209" s="106" t="n"/>
      <c r="F209" s="106" t="n"/>
      <c r="G209" s="171">
        <f>IF(K209="","",HYPERLINK("#Transaksi!B"&amp;K209,"Kas"))</f>
        <v/>
      </c>
      <c r="H209" s="172" t="n"/>
      <c r="I209" s="172" t="n"/>
      <c r="J209" s="105" t="n"/>
      <c r="K209" s="119" t="n"/>
    </row>
    <row r="210">
      <c r="A210" s="119" t="n"/>
      <c r="B210" s="127" t="n"/>
      <c r="C210" s="170" t="n"/>
      <c r="D210" s="167" t="n"/>
      <c r="E210" s="106" t="n"/>
      <c r="F210" s="106" t="n"/>
      <c r="G210" s="171">
        <f>IF(K210="","",HYPERLINK("#Transaksi!B"&amp;K210,"Kas"))</f>
        <v/>
      </c>
      <c r="H210" s="172" t="n"/>
      <c r="I210" s="172" t="n"/>
      <c r="J210" s="105" t="n"/>
      <c r="K210" s="119" t="n"/>
    </row>
    <row r="211">
      <c r="A211" s="119" t="n"/>
      <c r="B211" s="127" t="n"/>
      <c r="C211" s="170" t="n"/>
      <c r="D211" s="167" t="n"/>
      <c r="E211" s="106" t="n"/>
      <c r="F211" s="106" t="n"/>
      <c r="G211" s="171">
        <f>IF(K211="","",HYPERLINK("#Transaksi!B"&amp;K211,"Kas"))</f>
        <v/>
      </c>
      <c r="H211" s="172" t="n"/>
      <c r="I211" s="172" t="n"/>
      <c r="J211" s="105" t="n"/>
      <c r="K211" s="119" t="n"/>
    </row>
    <row r="212">
      <c r="A212" s="119" t="n"/>
      <c r="B212" s="127" t="n"/>
      <c r="C212" s="170" t="n"/>
      <c r="D212" s="167" t="n"/>
      <c r="E212" s="106" t="n"/>
      <c r="F212" s="106" t="n"/>
      <c r="G212" s="171">
        <f>IF(K212="","",HYPERLINK("#Transaksi!B"&amp;K212,"Kas"))</f>
        <v/>
      </c>
      <c r="H212" s="172" t="n"/>
      <c r="I212" s="172" t="n"/>
      <c r="J212" s="105" t="n"/>
      <c r="K212" s="119" t="n"/>
    </row>
    <row r="213">
      <c r="A213" s="119" t="n"/>
      <c r="B213" s="127" t="n"/>
      <c r="C213" s="170" t="n"/>
      <c r="D213" s="167" t="n"/>
      <c r="E213" s="106" t="n"/>
      <c r="F213" s="106" t="n"/>
      <c r="G213" s="171">
        <f>IF(K213="","",HYPERLINK("#Transaksi!B"&amp;K213,"Kas"))</f>
        <v/>
      </c>
      <c r="H213" s="172" t="n"/>
      <c r="I213" s="172" t="n"/>
      <c r="J213" s="105" t="n"/>
      <c r="K213" s="119" t="n"/>
    </row>
    <row r="214">
      <c r="A214" s="119" t="n"/>
      <c r="B214" s="127" t="n"/>
      <c r="C214" s="170" t="n"/>
      <c r="D214" s="167" t="n"/>
      <c r="E214" s="106" t="n"/>
      <c r="F214" s="106" t="n"/>
      <c r="G214" s="171">
        <f>IF(K214="","",HYPERLINK("#Transaksi!B"&amp;K214,"Kas"))</f>
        <v/>
      </c>
      <c r="H214" s="172" t="n"/>
      <c r="I214" s="172" t="n"/>
      <c r="J214" s="105" t="n"/>
      <c r="K214" s="119" t="n"/>
    </row>
    <row r="215">
      <c r="A215" s="119" t="n"/>
      <c r="B215" s="127" t="n"/>
      <c r="C215" s="170" t="n"/>
      <c r="D215" s="167" t="n"/>
      <c r="E215" s="106" t="n"/>
      <c r="F215" s="106" t="n"/>
      <c r="G215" s="171">
        <f>IF(K215="","",HYPERLINK("#Transaksi!B"&amp;K215,"Kas"))</f>
        <v/>
      </c>
      <c r="H215" s="172" t="n"/>
      <c r="I215" s="172" t="n"/>
      <c r="J215" s="105" t="n"/>
      <c r="K215" s="119" t="n"/>
    </row>
    <row r="216">
      <c r="A216" s="119" t="n"/>
      <c r="B216" s="127" t="n"/>
      <c r="C216" s="170" t="n"/>
      <c r="D216" s="167" t="n"/>
      <c r="E216" s="106" t="n"/>
      <c r="F216" s="106" t="n"/>
      <c r="G216" s="171">
        <f>IF(K216="","",HYPERLINK("#Transaksi!B"&amp;K216,"Kas"))</f>
        <v/>
      </c>
      <c r="H216" s="172" t="n"/>
      <c r="I216" s="172" t="n"/>
      <c r="J216" s="105" t="n"/>
      <c r="K216" s="119" t="n"/>
    </row>
    <row r="217">
      <c r="A217" s="119" t="n"/>
      <c r="B217" s="127" t="n"/>
      <c r="C217" s="170" t="n"/>
      <c r="D217" s="167" t="n"/>
      <c r="E217" s="106" t="n"/>
      <c r="F217" s="106" t="n"/>
      <c r="G217" s="171">
        <f>IF(K217="","",HYPERLINK("#Transaksi!B"&amp;K217,"Kas"))</f>
        <v/>
      </c>
      <c r="H217" s="172" t="n"/>
      <c r="I217" s="172" t="n"/>
      <c r="J217" s="105" t="n"/>
      <c r="K217" s="119" t="n"/>
    </row>
    <row r="218">
      <c r="A218" s="119" t="n"/>
      <c r="B218" s="127" t="n"/>
      <c r="C218" s="170" t="n"/>
      <c r="D218" s="167" t="n"/>
      <c r="E218" s="106" t="n"/>
      <c r="F218" s="106" t="n"/>
      <c r="G218" s="171">
        <f>IF(K218="","",HYPERLINK("#Transaksi!B"&amp;K218,"Kas"))</f>
        <v/>
      </c>
      <c r="H218" s="172" t="n"/>
      <c r="I218" s="172" t="n"/>
      <c r="J218" s="105" t="n"/>
      <c r="K218" s="119" t="n"/>
    </row>
    <row r="219">
      <c r="A219" s="119" t="n"/>
      <c r="B219" s="127" t="n"/>
      <c r="C219" s="170" t="n"/>
      <c r="D219" s="167" t="n"/>
      <c r="E219" s="106" t="n"/>
      <c r="F219" s="106" t="n"/>
      <c r="G219" s="171">
        <f>IF(K219="","",HYPERLINK("#Transaksi!B"&amp;K219,"Kas"))</f>
        <v/>
      </c>
      <c r="H219" s="172" t="n"/>
      <c r="I219" s="172" t="n"/>
      <c r="J219" s="105" t="n"/>
      <c r="K219" s="119" t="n"/>
    </row>
    <row r="220">
      <c r="A220" s="119" t="n"/>
      <c r="B220" s="127" t="n"/>
      <c r="C220" s="170" t="n"/>
      <c r="D220" s="167" t="n"/>
      <c r="E220" s="106" t="n"/>
      <c r="F220" s="106" t="n"/>
      <c r="G220" s="171">
        <f>IF(K220="","",HYPERLINK("#Transaksi!B"&amp;K220,"Kas"))</f>
        <v/>
      </c>
      <c r="H220" s="172" t="n"/>
      <c r="I220" s="172" t="n"/>
      <c r="J220" s="105" t="n"/>
      <c r="K220" s="119" t="n"/>
    </row>
    <row r="221">
      <c r="A221" s="119" t="n"/>
      <c r="B221" s="127" t="n"/>
      <c r="C221" s="170" t="n"/>
      <c r="D221" s="167" t="n"/>
      <c r="E221" s="106" t="n"/>
      <c r="F221" s="106" t="n"/>
      <c r="G221" s="171">
        <f>IF(K221="","",HYPERLINK("#Transaksi!B"&amp;K221,"Kas"))</f>
        <v/>
      </c>
      <c r="H221" s="172" t="n"/>
      <c r="I221" s="172" t="n"/>
      <c r="J221" s="105" t="n"/>
      <c r="K221" s="119" t="n"/>
    </row>
    <row r="222">
      <c r="A222" s="119" t="n"/>
      <c r="B222" s="127" t="n"/>
      <c r="C222" s="170" t="n"/>
      <c r="D222" s="167" t="n"/>
      <c r="E222" s="106" t="n"/>
      <c r="F222" s="106" t="n"/>
      <c r="G222" s="171">
        <f>IF(K222="","",HYPERLINK("#Transaksi!B"&amp;K222,"Kas"))</f>
        <v/>
      </c>
      <c r="H222" s="172" t="n"/>
      <c r="I222" s="172" t="n"/>
      <c r="J222" s="105" t="n"/>
      <c r="K222" s="119" t="n"/>
    </row>
    <row r="223">
      <c r="A223" s="119" t="n"/>
      <c r="B223" s="127" t="n"/>
      <c r="C223" s="170" t="n"/>
      <c r="D223" s="167" t="n"/>
      <c r="E223" s="106" t="n"/>
      <c r="F223" s="106" t="n"/>
      <c r="G223" s="171">
        <f>IF(K223="","",HYPERLINK("#Transaksi!B"&amp;K223,"Kas"))</f>
        <v/>
      </c>
      <c r="H223" s="172" t="n"/>
      <c r="I223" s="172" t="n"/>
      <c r="J223" s="105" t="n"/>
      <c r="K223" s="119" t="n"/>
    </row>
    <row r="224">
      <c r="A224" s="119" t="n"/>
      <c r="B224" s="127" t="n"/>
      <c r="C224" s="170" t="n"/>
      <c r="D224" s="167" t="n"/>
      <c r="E224" s="106" t="n"/>
      <c r="F224" s="106" t="n"/>
      <c r="G224" s="171">
        <f>IF(K224="","",HYPERLINK("#Transaksi!B"&amp;K224,"Kas"))</f>
        <v/>
      </c>
      <c r="H224" s="172" t="n"/>
      <c r="I224" s="172" t="n"/>
      <c r="J224" s="105" t="n"/>
      <c r="K224" s="119" t="n"/>
    </row>
    <row r="225">
      <c r="A225" s="119" t="n"/>
      <c r="B225" s="127" t="n"/>
      <c r="C225" s="170" t="n"/>
      <c r="D225" s="167" t="n"/>
      <c r="E225" s="106" t="n"/>
      <c r="F225" s="106" t="n"/>
      <c r="G225" s="171">
        <f>IF(K225="","",HYPERLINK("#Transaksi!B"&amp;K225,"Kas"))</f>
        <v/>
      </c>
      <c r="H225" s="172" t="n"/>
      <c r="I225" s="172" t="n"/>
      <c r="J225" s="105" t="n"/>
      <c r="K225" s="119" t="n"/>
    </row>
    <row r="226">
      <c r="A226" s="119" t="n"/>
      <c r="B226" s="127" t="n"/>
      <c r="C226" s="170" t="n"/>
      <c r="D226" s="167" t="n"/>
      <c r="E226" s="106" t="n"/>
      <c r="F226" s="106" t="n"/>
      <c r="G226" s="171">
        <f>IF(K226="","",HYPERLINK("#Transaksi!B"&amp;K226,"Kas"))</f>
        <v/>
      </c>
      <c r="H226" s="172" t="n"/>
      <c r="I226" s="172" t="n"/>
      <c r="J226" s="105" t="n"/>
      <c r="K226" s="119" t="n"/>
    </row>
    <row r="227">
      <c r="A227" s="119" t="n"/>
      <c r="B227" s="127" t="n"/>
      <c r="C227" s="170" t="n"/>
      <c r="D227" s="167" t="n"/>
      <c r="E227" s="106" t="n"/>
      <c r="F227" s="106" t="n"/>
      <c r="G227" s="171">
        <f>IF(K227="","",HYPERLINK("#Transaksi!B"&amp;K227,"Kas"))</f>
        <v/>
      </c>
      <c r="H227" s="172" t="n"/>
      <c r="I227" s="172" t="n"/>
      <c r="J227" s="105" t="n"/>
      <c r="K227" s="119" t="n"/>
    </row>
    <row r="228">
      <c r="A228" s="119" t="n"/>
      <c r="B228" s="127" t="n"/>
      <c r="C228" s="170" t="n"/>
      <c r="D228" s="167" t="n"/>
      <c r="E228" s="106" t="n"/>
      <c r="F228" s="106" t="n"/>
      <c r="G228" s="171">
        <f>IF(K228="","",HYPERLINK("#Transaksi!B"&amp;K228,"Kas"))</f>
        <v/>
      </c>
      <c r="H228" s="172" t="n"/>
      <c r="I228" s="172" t="n"/>
      <c r="J228" s="105" t="n"/>
      <c r="K228" s="119" t="n"/>
    </row>
    <row r="229">
      <c r="A229" s="119" t="n"/>
      <c r="B229" s="127" t="n"/>
      <c r="C229" s="170" t="n"/>
      <c r="D229" s="167" t="n"/>
      <c r="E229" s="106" t="n"/>
      <c r="F229" s="106" t="n"/>
      <c r="G229" s="171">
        <f>IF(K229="","",HYPERLINK("#Transaksi!B"&amp;K229,"Kas"))</f>
        <v/>
      </c>
      <c r="H229" s="172" t="n"/>
      <c r="I229" s="172" t="n"/>
      <c r="J229" s="105" t="n"/>
      <c r="K229" s="119" t="n"/>
    </row>
    <row r="230">
      <c r="A230" s="119" t="n"/>
      <c r="B230" s="127" t="n"/>
      <c r="C230" s="170" t="n"/>
      <c r="D230" s="167" t="n"/>
      <c r="E230" s="106" t="n"/>
      <c r="F230" s="106" t="n"/>
      <c r="G230" s="171">
        <f>IF(K230="","",HYPERLINK("#Transaksi!B"&amp;K230,"Kas"))</f>
        <v/>
      </c>
      <c r="H230" s="172" t="n"/>
      <c r="I230" s="172" t="n"/>
      <c r="J230" s="105" t="n"/>
      <c r="K230" s="119" t="n"/>
    </row>
    <row r="231">
      <c r="A231" s="119" t="n"/>
      <c r="B231" s="127" t="n"/>
      <c r="C231" s="170" t="n"/>
      <c r="D231" s="167" t="n"/>
      <c r="E231" s="106" t="n"/>
      <c r="F231" s="106" t="n"/>
      <c r="G231" s="171">
        <f>IF(K231="","",HYPERLINK("#Transaksi!B"&amp;K231,"Kas"))</f>
        <v/>
      </c>
      <c r="H231" s="172" t="n"/>
      <c r="I231" s="172" t="n"/>
      <c r="J231" s="105" t="n"/>
      <c r="K231" s="119" t="n"/>
    </row>
    <row r="232">
      <c r="A232" s="119" t="n"/>
      <c r="B232" s="127" t="n"/>
      <c r="C232" s="170" t="n"/>
      <c r="D232" s="167" t="n"/>
      <c r="E232" s="106" t="n"/>
      <c r="F232" s="106" t="n"/>
      <c r="G232" s="171">
        <f>IF(K232="","",HYPERLINK("#Transaksi!B"&amp;K232,"Kas"))</f>
        <v/>
      </c>
      <c r="H232" s="172" t="n"/>
      <c r="I232" s="172" t="n"/>
      <c r="J232" s="105" t="n"/>
      <c r="K232" s="119" t="n"/>
    </row>
    <row r="233">
      <c r="A233" s="119" t="n"/>
      <c r="B233" s="127" t="n"/>
      <c r="C233" s="170" t="n"/>
      <c r="D233" s="167" t="n"/>
      <c r="E233" s="106" t="n"/>
      <c r="F233" s="106" t="n"/>
      <c r="G233" s="171">
        <f>IF(K233="","",HYPERLINK("#Transaksi!B"&amp;K233,"Kas"))</f>
        <v/>
      </c>
      <c r="H233" s="172" t="n"/>
      <c r="I233" s="172" t="n"/>
      <c r="J233" s="105" t="n"/>
      <c r="K233" s="119" t="n"/>
    </row>
    <row r="234">
      <c r="A234" s="119" t="n"/>
      <c r="B234" s="127" t="n"/>
      <c r="C234" s="170" t="n"/>
      <c r="D234" s="167" t="n"/>
      <c r="E234" s="106" t="n"/>
      <c r="F234" s="106" t="n"/>
      <c r="G234" s="171">
        <f>IF(K234="","",HYPERLINK("#Transaksi!B"&amp;K234,"Kas"))</f>
        <v/>
      </c>
      <c r="H234" s="172" t="n"/>
      <c r="I234" s="172" t="n"/>
      <c r="J234" s="105" t="n"/>
      <c r="K234" s="119" t="n"/>
    </row>
    <row r="235">
      <c r="A235" s="119" t="n"/>
      <c r="B235" s="127" t="n"/>
      <c r="C235" s="170" t="n"/>
      <c r="D235" s="167" t="n"/>
      <c r="E235" s="106" t="n"/>
      <c r="F235" s="106" t="n"/>
      <c r="G235" s="171">
        <f>IF(K235="","",HYPERLINK("#Transaksi!B"&amp;K235,"Kas"))</f>
        <v/>
      </c>
      <c r="H235" s="172" t="n"/>
      <c r="I235" s="172" t="n"/>
      <c r="J235" s="105" t="n"/>
      <c r="K235" s="119" t="n"/>
    </row>
    <row r="236">
      <c r="A236" s="119" t="n"/>
      <c r="B236" s="127" t="n"/>
      <c r="C236" s="170" t="n"/>
      <c r="D236" s="167" t="n"/>
      <c r="E236" s="106" t="n"/>
      <c r="F236" s="106" t="n"/>
      <c r="G236" s="171">
        <f>IF(K236="","",HYPERLINK("#Transaksi!B"&amp;K236,"Kas"))</f>
        <v/>
      </c>
      <c r="H236" s="172" t="n"/>
      <c r="I236" s="172" t="n"/>
      <c r="J236" s="105" t="n"/>
      <c r="K236" s="119" t="n"/>
    </row>
    <row r="237">
      <c r="A237" s="119" t="n"/>
      <c r="B237" s="127" t="n"/>
      <c r="C237" s="170" t="n"/>
      <c r="D237" s="167" t="n"/>
      <c r="E237" s="106" t="n"/>
      <c r="F237" s="106" t="n"/>
      <c r="G237" s="171">
        <f>IF(K237="","",HYPERLINK("#Transaksi!B"&amp;K237,"Kas"))</f>
        <v/>
      </c>
      <c r="H237" s="172" t="n"/>
      <c r="I237" s="172" t="n"/>
      <c r="J237" s="105" t="n"/>
      <c r="K237" s="119" t="n"/>
    </row>
    <row r="238">
      <c r="A238" s="119" t="n"/>
      <c r="B238" s="127" t="n"/>
      <c r="C238" s="170" t="n"/>
      <c r="D238" s="167" t="n"/>
      <c r="E238" s="106" t="n"/>
      <c r="F238" s="106" t="n"/>
      <c r="G238" s="171">
        <f>IF(K238="","",HYPERLINK("#Transaksi!B"&amp;K238,"Kas"))</f>
        <v/>
      </c>
      <c r="H238" s="172" t="n"/>
      <c r="I238" s="172" t="n"/>
      <c r="J238" s="105" t="n"/>
      <c r="K238" s="119" t="n"/>
    </row>
    <row r="239">
      <c r="A239" s="119" t="n"/>
      <c r="B239" s="127" t="n"/>
      <c r="C239" s="170" t="n"/>
      <c r="D239" s="167" t="n"/>
      <c r="E239" s="106" t="n"/>
      <c r="F239" s="106" t="n"/>
      <c r="G239" s="171">
        <f>IF(K239="","",HYPERLINK("#Transaksi!B"&amp;K239,"Kas"))</f>
        <v/>
      </c>
      <c r="H239" s="172" t="n"/>
      <c r="I239" s="172" t="n"/>
      <c r="J239" s="105" t="n"/>
      <c r="K239" s="119" t="n"/>
    </row>
    <row r="240">
      <c r="A240" s="119" t="n"/>
      <c r="B240" s="127" t="n"/>
      <c r="C240" s="170" t="n"/>
      <c r="D240" s="167" t="n"/>
      <c r="E240" s="106" t="n"/>
      <c r="F240" s="106" t="n"/>
      <c r="G240" s="171">
        <f>IF(K240="","",HYPERLINK("#Transaksi!B"&amp;K240,"Kas"))</f>
        <v/>
      </c>
      <c r="H240" s="172" t="n"/>
      <c r="I240" s="172" t="n"/>
      <c r="J240" s="105" t="n"/>
      <c r="K240" s="119" t="n"/>
    </row>
    <row r="241">
      <c r="A241" s="119" t="n"/>
      <c r="B241" s="127" t="n"/>
      <c r="C241" s="170" t="n"/>
      <c r="D241" s="167" t="n"/>
      <c r="E241" s="106" t="n"/>
      <c r="F241" s="106" t="n"/>
      <c r="G241" s="171">
        <f>IF(K241="","",HYPERLINK("#Transaksi!B"&amp;K241,"Kas"))</f>
        <v/>
      </c>
      <c r="H241" s="172" t="n"/>
      <c r="I241" s="172" t="n"/>
      <c r="J241" s="105" t="n"/>
      <c r="K241" s="119" t="n"/>
    </row>
    <row r="242">
      <c r="A242" s="119" t="n"/>
      <c r="B242" s="127" t="n"/>
      <c r="C242" s="170" t="n"/>
      <c r="D242" s="167" t="n"/>
      <c r="E242" s="106" t="n"/>
      <c r="F242" s="106" t="n"/>
      <c r="G242" s="171">
        <f>IF(K242="","",HYPERLINK("#Transaksi!B"&amp;K242,"Kas"))</f>
        <v/>
      </c>
      <c r="H242" s="172" t="n"/>
      <c r="I242" s="172" t="n"/>
      <c r="J242" s="105" t="n"/>
      <c r="K242" s="119" t="n"/>
    </row>
    <row r="243">
      <c r="A243" s="119" t="n"/>
      <c r="B243" s="127" t="n"/>
      <c r="C243" s="170" t="n"/>
      <c r="D243" s="167" t="n"/>
      <c r="E243" s="106" t="n"/>
      <c r="F243" s="106" t="n"/>
      <c r="G243" s="171">
        <f>IF(K243="","",HYPERLINK("#Transaksi!B"&amp;K243,"Kas"))</f>
        <v/>
      </c>
      <c r="H243" s="172" t="n"/>
      <c r="I243" s="172" t="n"/>
      <c r="J243" s="105" t="n"/>
      <c r="K243" s="119" t="n"/>
    </row>
    <row r="244">
      <c r="A244" s="119" t="n"/>
      <c r="B244" s="127" t="n"/>
      <c r="C244" s="170" t="n"/>
      <c r="D244" s="167" t="n"/>
      <c r="E244" s="106" t="n"/>
      <c r="F244" s="106" t="n"/>
      <c r="G244" s="171">
        <f>IF(K244="","",HYPERLINK("#Transaksi!B"&amp;K244,"Kas"))</f>
        <v/>
      </c>
      <c r="H244" s="172" t="n"/>
      <c r="I244" s="172" t="n"/>
      <c r="J244" s="105" t="n"/>
      <c r="K244" s="119" t="n"/>
    </row>
    <row r="245">
      <c r="A245" s="119" t="n"/>
      <c r="B245" s="127" t="n"/>
      <c r="C245" s="170" t="n"/>
      <c r="D245" s="167" t="n"/>
      <c r="E245" s="106" t="n"/>
      <c r="F245" s="106" t="n"/>
      <c r="G245" s="171">
        <f>IF(K245="","",HYPERLINK("#Transaksi!B"&amp;K245,"Kas"))</f>
        <v/>
      </c>
      <c r="H245" s="172" t="n"/>
      <c r="I245" s="172" t="n"/>
      <c r="J245" s="105" t="n"/>
      <c r="K245" s="119" t="n"/>
    </row>
    <row r="246">
      <c r="A246" s="119" t="n"/>
      <c r="B246" s="127" t="n"/>
      <c r="C246" s="170" t="n"/>
      <c r="D246" s="167" t="n"/>
      <c r="E246" s="106" t="n"/>
      <c r="F246" s="106" t="n"/>
      <c r="G246" s="171">
        <f>IF(K246="","",HYPERLINK("#Transaksi!B"&amp;K246,"Kas"))</f>
        <v/>
      </c>
      <c r="H246" s="172" t="n"/>
      <c r="I246" s="172" t="n"/>
      <c r="J246" s="105" t="n"/>
      <c r="K246" s="119" t="n"/>
    </row>
    <row r="247">
      <c r="A247" s="119" t="n"/>
      <c r="B247" s="127" t="n"/>
      <c r="C247" s="170" t="n"/>
      <c r="D247" s="167" t="n"/>
      <c r="E247" s="106" t="n"/>
      <c r="F247" s="106" t="n"/>
      <c r="G247" s="171">
        <f>IF(K247="","",HYPERLINK("#Transaksi!B"&amp;K247,"Kas"))</f>
        <v/>
      </c>
      <c r="H247" s="172" t="n"/>
      <c r="I247" s="172" t="n"/>
      <c r="J247" s="105" t="n"/>
      <c r="K247" s="119" t="n"/>
    </row>
    <row r="248">
      <c r="A248" s="119" t="n"/>
      <c r="B248" s="127" t="n"/>
      <c r="C248" s="170" t="n"/>
      <c r="D248" s="167" t="n"/>
      <c r="E248" s="106" t="n"/>
      <c r="F248" s="106" t="n"/>
      <c r="G248" s="171">
        <f>IF(K248="","",HYPERLINK("#Transaksi!B"&amp;K248,"Kas"))</f>
        <v/>
      </c>
      <c r="H248" s="172" t="n"/>
      <c r="I248" s="172" t="n"/>
      <c r="J248" s="105" t="n"/>
      <c r="K248" s="119" t="n"/>
    </row>
    <row r="249">
      <c r="A249" s="119" t="n"/>
      <c r="B249" s="127" t="n"/>
      <c r="C249" s="170" t="n"/>
      <c r="D249" s="167" t="n"/>
      <c r="E249" s="106" t="n"/>
      <c r="F249" s="106" t="n"/>
      <c r="G249" s="171">
        <f>IF(K249="","",HYPERLINK("#Transaksi!B"&amp;K249,"Kas"))</f>
        <v/>
      </c>
      <c r="H249" s="172" t="n"/>
      <c r="I249" s="172" t="n"/>
      <c r="J249" s="105" t="n"/>
      <c r="K249" s="119" t="n"/>
    </row>
    <row r="250">
      <c r="A250" s="119" t="n"/>
      <c r="B250" s="127" t="n"/>
      <c r="C250" s="170" t="n"/>
      <c r="D250" s="167" t="n"/>
      <c r="E250" s="106" t="n"/>
      <c r="F250" s="106" t="n"/>
      <c r="G250" s="171">
        <f>IF(K250="","",HYPERLINK("#Transaksi!B"&amp;K250,"Kas"))</f>
        <v/>
      </c>
      <c r="H250" s="172" t="n"/>
      <c r="I250" s="172" t="n"/>
      <c r="J250" s="105" t="n"/>
      <c r="K250" s="119" t="n"/>
    </row>
    <row r="251">
      <c r="A251" s="119" t="n"/>
      <c r="B251" s="127" t="n"/>
      <c r="C251" s="170" t="n"/>
      <c r="D251" s="167" t="n"/>
      <c r="E251" s="106" t="n"/>
      <c r="F251" s="106" t="n"/>
      <c r="G251" s="171">
        <f>IF(K251="","",HYPERLINK("#Transaksi!B"&amp;K251,"Kas"))</f>
        <v/>
      </c>
      <c r="H251" s="172" t="n"/>
      <c r="I251" s="172" t="n"/>
      <c r="J251" s="105" t="n"/>
      <c r="K251" s="119" t="n"/>
    </row>
    <row r="252">
      <c r="A252" s="119" t="n"/>
      <c r="B252" s="127" t="n"/>
      <c r="C252" s="170" t="n"/>
      <c r="D252" s="167" t="n"/>
      <c r="E252" s="106" t="n"/>
      <c r="F252" s="106" t="n"/>
      <c r="G252" s="171">
        <f>IF(K252="","",HYPERLINK("#Transaksi!B"&amp;K252,"Kas"))</f>
        <v/>
      </c>
      <c r="H252" s="172" t="n"/>
      <c r="I252" s="172" t="n"/>
      <c r="J252" s="105" t="n"/>
      <c r="K252" s="119" t="n"/>
    </row>
    <row r="253">
      <c r="A253" s="119" t="n"/>
      <c r="B253" s="127" t="n"/>
      <c r="C253" s="170" t="n"/>
      <c r="D253" s="167" t="n"/>
      <c r="E253" s="106" t="n"/>
      <c r="F253" s="106" t="n"/>
      <c r="G253" s="171">
        <f>IF(K253="","",HYPERLINK("#Transaksi!B"&amp;K253,"Kas"))</f>
        <v/>
      </c>
      <c r="H253" s="172" t="n"/>
      <c r="I253" s="172" t="n"/>
      <c r="J253" s="105" t="n"/>
      <c r="K253" s="119" t="n"/>
    </row>
    <row r="254">
      <c r="A254" s="119" t="n"/>
      <c r="B254" s="127" t="n"/>
      <c r="C254" s="170" t="n"/>
      <c r="D254" s="167" t="n"/>
      <c r="E254" s="106" t="n"/>
      <c r="F254" s="106" t="n"/>
      <c r="G254" s="171">
        <f>IF(K254="","",HYPERLINK("#Transaksi!B"&amp;K254,"Kas"))</f>
        <v/>
      </c>
      <c r="H254" s="172" t="n"/>
      <c r="I254" s="172" t="n"/>
      <c r="J254" s="105" t="n"/>
      <c r="K254" s="119" t="n"/>
    </row>
    <row r="255">
      <c r="A255" s="119" t="n"/>
      <c r="B255" s="127" t="n"/>
      <c r="C255" s="170" t="n"/>
      <c r="D255" s="167" t="n"/>
      <c r="E255" s="106" t="n"/>
      <c r="F255" s="106" t="n"/>
      <c r="G255" s="171">
        <f>IF(K255="","",HYPERLINK("#Transaksi!B"&amp;K255,"Kas"))</f>
        <v/>
      </c>
      <c r="H255" s="172" t="n"/>
      <c r="I255" s="172" t="n"/>
      <c r="J255" s="105" t="n"/>
      <c r="K255" s="119" t="n"/>
    </row>
    <row r="256">
      <c r="A256" s="119" t="n"/>
      <c r="B256" s="127" t="n"/>
      <c r="C256" s="170" t="n"/>
      <c r="D256" s="167" t="n"/>
      <c r="E256" s="106" t="n"/>
      <c r="F256" s="106" t="n"/>
      <c r="G256" s="171">
        <f>IF(K256="","",HYPERLINK("#Transaksi!B"&amp;K256,"Kas"))</f>
        <v/>
      </c>
      <c r="H256" s="172" t="n"/>
      <c r="I256" s="172" t="n"/>
      <c r="J256" s="105" t="n"/>
      <c r="K256" s="119" t="n"/>
    </row>
    <row r="257">
      <c r="A257" s="119" t="n"/>
      <c r="B257" s="127" t="n"/>
      <c r="C257" s="170" t="n"/>
      <c r="D257" s="167" t="n"/>
      <c r="E257" s="106" t="n"/>
      <c r="F257" s="106" t="n"/>
      <c r="G257" s="171">
        <f>IF(K257="","",HYPERLINK("#Transaksi!B"&amp;K257,"Kas"))</f>
        <v/>
      </c>
      <c r="H257" s="172" t="n"/>
      <c r="I257" s="172" t="n"/>
      <c r="J257" s="105" t="n"/>
      <c r="K257" s="119" t="n"/>
    </row>
    <row r="258">
      <c r="A258" s="119" t="n"/>
      <c r="B258" s="127" t="n"/>
      <c r="C258" s="170" t="n"/>
      <c r="D258" s="167" t="n"/>
      <c r="E258" s="106" t="n"/>
      <c r="F258" s="106" t="n"/>
      <c r="G258" s="171">
        <f>IF(K258="","",HYPERLINK("#Transaksi!B"&amp;K258,"Kas"))</f>
        <v/>
      </c>
      <c r="H258" s="172" t="n"/>
      <c r="I258" s="172" t="n"/>
      <c r="J258" s="105" t="n"/>
      <c r="K258" s="119" t="n"/>
    </row>
    <row r="259">
      <c r="A259" s="119" t="n"/>
      <c r="B259" s="127" t="n"/>
      <c r="C259" s="170" t="n"/>
      <c r="D259" s="167" t="n"/>
      <c r="E259" s="106" t="n"/>
      <c r="F259" s="106" t="n"/>
      <c r="G259" s="171">
        <f>IF(K259="","",HYPERLINK("#Transaksi!B"&amp;K259,"Kas"))</f>
        <v/>
      </c>
      <c r="H259" s="172" t="n"/>
      <c r="I259" s="172" t="n"/>
      <c r="J259" s="105" t="n"/>
      <c r="K259" s="119" t="n"/>
    </row>
    <row r="260">
      <c r="A260" s="119" t="n"/>
      <c r="B260" s="127" t="n"/>
      <c r="C260" s="170" t="n"/>
      <c r="D260" s="167" t="n"/>
      <c r="E260" s="106" t="n"/>
      <c r="F260" s="106" t="n"/>
      <c r="G260" s="171">
        <f>IF(K260="","",HYPERLINK("#Transaksi!B"&amp;K260,"Kas"))</f>
        <v/>
      </c>
      <c r="H260" s="172" t="n"/>
      <c r="I260" s="172" t="n"/>
      <c r="J260" s="105" t="n"/>
      <c r="K260" s="119" t="n"/>
    </row>
    <row r="261">
      <c r="A261" s="119" t="n"/>
      <c r="B261" s="127" t="n"/>
      <c r="C261" s="170" t="n"/>
      <c r="D261" s="167" t="n"/>
      <c r="E261" s="106" t="n"/>
      <c r="F261" s="106" t="n"/>
      <c r="G261" s="171">
        <f>IF(K261="","",HYPERLINK("#Transaksi!B"&amp;K261,"Kas"))</f>
        <v/>
      </c>
      <c r="H261" s="172" t="n"/>
      <c r="I261" s="172" t="n"/>
      <c r="J261" s="105" t="n"/>
      <c r="K261" s="119" t="n"/>
    </row>
    <row r="262">
      <c r="A262" s="119" t="n"/>
      <c r="B262" s="127" t="n"/>
      <c r="C262" s="170" t="n"/>
      <c r="D262" s="167" t="n"/>
      <c r="E262" s="106" t="n"/>
      <c r="F262" s="106" t="n"/>
      <c r="G262" s="171">
        <f>IF(K262="","",HYPERLINK("#Transaksi!B"&amp;K262,"Kas"))</f>
        <v/>
      </c>
      <c r="H262" s="172" t="n"/>
      <c r="I262" s="172" t="n"/>
      <c r="J262" s="105" t="n"/>
      <c r="K262" s="119" t="n"/>
    </row>
    <row r="263">
      <c r="A263" s="119" t="n"/>
      <c r="B263" s="127" t="n"/>
      <c r="C263" s="170" t="n"/>
      <c r="D263" s="167" t="n"/>
      <c r="E263" s="106" t="n"/>
      <c r="F263" s="106" t="n"/>
      <c r="G263" s="171">
        <f>IF(K263="","",HYPERLINK("#Transaksi!B"&amp;K263,"Kas"))</f>
        <v/>
      </c>
      <c r="H263" s="172" t="n"/>
      <c r="I263" s="172" t="n"/>
      <c r="J263" s="105" t="n"/>
      <c r="K263" s="119" t="n"/>
    </row>
    <row r="264">
      <c r="A264" s="119" t="n"/>
      <c r="B264" s="127" t="n"/>
      <c r="C264" s="170" t="n"/>
      <c r="D264" s="167" t="n"/>
      <c r="E264" s="106" t="n"/>
      <c r="F264" s="106" t="n"/>
      <c r="G264" s="171">
        <f>IF(K264="","",HYPERLINK("#Transaksi!B"&amp;K264,"Kas"))</f>
        <v/>
      </c>
      <c r="H264" s="172" t="n"/>
      <c r="I264" s="172" t="n"/>
      <c r="J264" s="105" t="n"/>
      <c r="K264" s="119" t="n"/>
    </row>
    <row r="265">
      <c r="A265" s="119" t="n"/>
      <c r="B265" s="127" t="n"/>
      <c r="C265" s="170" t="n"/>
      <c r="D265" s="167" t="n"/>
      <c r="E265" s="106" t="n"/>
      <c r="F265" s="106" t="n"/>
      <c r="G265" s="171">
        <f>IF(K265="","",HYPERLINK("#Transaksi!B"&amp;K265,"Kas"))</f>
        <v/>
      </c>
      <c r="H265" s="172" t="n"/>
      <c r="I265" s="172" t="n"/>
      <c r="J265" s="105" t="n"/>
      <c r="K265" s="119" t="n"/>
    </row>
    <row r="266">
      <c r="A266" s="119" t="n"/>
      <c r="B266" s="127" t="n"/>
      <c r="C266" s="170" t="n"/>
      <c r="D266" s="167" t="n"/>
      <c r="E266" s="106" t="n"/>
      <c r="F266" s="106" t="n"/>
      <c r="G266" s="171">
        <f>IF(K266="","",HYPERLINK("#Transaksi!B"&amp;K266,"Kas"))</f>
        <v/>
      </c>
      <c r="H266" s="172" t="n"/>
      <c r="I266" s="172" t="n"/>
      <c r="J266" s="105" t="n"/>
      <c r="K266" s="119" t="n"/>
    </row>
    <row r="267">
      <c r="A267" s="119" t="n"/>
      <c r="B267" s="127" t="n"/>
      <c r="C267" s="170" t="n"/>
      <c r="D267" s="167" t="n"/>
      <c r="E267" s="106" t="n"/>
      <c r="F267" s="106" t="n"/>
      <c r="G267" s="171">
        <f>IF(K267="","",HYPERLINK("#Transaksi!B"&amp;K267,"Kas"))</f>
        <v/>
      </c>
      <c r="H267" s="172" t="n"/>
      <c r="I267" s="172" t="n"/>
      <c r="J267" s="105" t="n"/>
      <c r="K267" s="119" t="n"/>
    </row>
    <row r="268">
      <c r="A268" s="119" t="n"/>
      <c r="B268" s="127" t="n"/>
      <c r="C268" s="170" t="n"/>
      <c r="D268" s="167" t="n"/>
      <c r="E268" s="106" t="n"/>
      <c r="F268" s="106" t="n"/>
      <c r="G268" s="171">
        <f>IF(K268="","",HYPERLINK("#Transaksi!B"&amp;K268,"Kas"))</f>
        <v/>
      </c>
      <c r="H268" s="172" t="n"/>
      <c r="I268" s="172" t="n"/>
      <c r="J268" s="105" t="n"/>
      <c r="K268" s="119" t="n"/>
    </row>
    <row r="269">
      <c r="A269" s="119" t="n"/>
      <c r="B269" s="127" t="n"/>
      <c r="C269" s="170" t="n"/>
      <c r="D269" s="167" t="n"/>
      <c r="E269" s="106" t="n"/>
      <c r="F269" s="106" t="n"/>
      <c r="G269" s="171">
        <f>IF(K269="","",HYPERLINK("#Transaksi!B"&amp;K269,"Kas"))</f>
        <v/>
      </c>
      <c r="H269" s="172" t="n"/>
      <c r="I269" s="172" t="n"/>
      <c r="J269" s="105" t="n"/>
      <c r="K269" s="119" t="n"/>
    </row>
    <row r="270">
      <c r="A270" s="119" t="n"/>
      <c r="B270" s="127" t="n"/>
      <c r="C270" s="170" t="n"/>
      <c r="D270" s="167" t="n"/>
      <c r="E270" s="106" t="n"/>
      <c r="F270" s="106" t="n"/>
      <c r="G270" s="171">
        <f>IF(K270="","",HYPERLINK("#Transaksi!B"&amp;K270,"Kas"))</f>
        <v/>
      </c>
      <c r="H270" s="172" t="n"/>
      <c r="I270" s="172" t="n"/>
      <c r="J270" s="105" t="n"/>
      <c r="K270" s="119" t="n"/>
    </row>
    <row r="271">
      <c r="A271" s="119" t="n"/>
      <c r="B271" s="127" t="n"/>
      <c r="C271" s="170" t="n"/>
      <c r="D271" s="167" t="n"/>
      <c r="E271" s="106" t="n"/>
      <c r="F271" s="106" t="n"/>
      <c r="G271" s="171">
        <f>IF(K271="","",HYPERLINK("#Transaksi!B"&amp;K271,"Kas"))</f>
        <v/>
      </c>
      <c r="H271" s="172" t="n"/>
      <c r="I271" s="172" t="n"/>
      <c r="J271" s="105" t="n"/>
      <c r="K271" s="119" t="n"/>
    </row>
    <row r="272">
      <c r="A272" s="119" t="n"/>
      <c r="B272" s="127" t="n"/>
      <c r="C272" s="170" t="n"/>
      <c r="D272" s="167" t="n"/>
      <c r="E272" s="106" t="n"/>
      <c r="F272" s="106" t="n"/>
      <c r="G272" s="171">
        <f>IF(K272="","",HYPERLINK("#Transaksi!B"&amp;K272,"Kas"))</f>
        <v/>
      </c>
      <c r="H272" s="172" t="n"/>
      <c r="I272" s="172" t="n"/>
      <c r="J272" s="105" t="n"/>
      <c r="K272" s="119" t="n"/>
    </row>
    <row r="273">
      <c r="A273" s="119" t="n"/>
      <c r="B273" s="127" t="n"/>
      <c r="C273" s="170" t="n"/>
      <c r="D273" s="167" t="n"/>
      <c r="E273" s="106" t="n"/>
      <c r="F273" s="106" t="n"/>
      <c r="G273" s="171">
        <f>IF(K273="","",HYPERLINK("#Transaksi!B"&amp;K273,"Kas"))</f>
        <v/>
      </c>
      <c r="H273" s="172" t="n"/>
      <c r="I273" s="172" t="n"/>
      <c r="J273" s="105" t="n"/>
      <c r="K273" s="119" t="n"/>
    </row>
    <row r="274">
      <c r="A274" s="119" t="n"/>
      <c r="B274" s="127" t="n"/>
      <c r="C274" s="170" t="n"/>
      <c r="D274" s="167" t="n"/>
      <c r="E274" s="106" t="n"/>
      <c r="F274" s="106" t="n"/>
      <c r="G274" s="171">
        <f>IF(K274="","",HYPERLINK("#Transaksi!B"&amp;K274,"Kas"))</f>
        <v/>
      </c>
      <c r="H274" s="172" t="n"/>
      <c r="I274" s="172" t="n"/>
      <c r="J274" s="105" t="n"/>
      <c r="K274" s="119" t="n"/>
    </row>
    <row r="275">
      <c r="A275" s="119" t="n"/>
      <c r="B275" s="127" t="n"/>
      <c r="C275" s="170" t="n"/>
      <c r="D275" s="167" t="n"/>
      <c r="E275" s="106" t="n"/>
      <c r="F275" s="106" t="n"/>
      <c r="G275" s="171">
        <f>IF(K275="","",HYPERLINK("#Transaksi!B"&amp;K275,"Kas"))</f>
        <v/>
      </c>
      <c r="H275" s="172" t="n"/>
      <c r="I275" s="172" t="n"/>
      <c r="J275" s="105" t="n"/>
      <c r="K275" s="119" t="n"/>
    </row>
    <row r="276">
      <c r="A276" s="119" t="n"/>
      <c r="B276" s="127" t="n"/>
      <c r="C276" s="170" t="n"/>
      <c r="D276" s="167" t="n"/>
      <c r="E276" s="106" t="n"/>
      <c r="F276" s="106" t="n"/>
      <c r="G276" s="171">
        <f>IF(K276="","",HYPERLINK("#Transaksi!B"&amp;K276,"Kas"))</f>
        <v/>
      </c>
      <c r="H276" s="172" t="n"/>
      <c r="I276" s="172" t="n"/>
      <c r="J276" s="105" t="n"/>
      <c r="K276" s="119" t="n"/>
    </row>
    <row r="277">
      <c r="A277" s="119" t="n"/>
      <c r="B277" s="127" t="n"/>
      <c r="C277" s="170" t="n"/>
      <c r="D277" s="167" t="n"/>
      <c r="E277" s="106" t="n"/>
      <c r="F277" s="106" t="n"/>
      <c r="G277" s="171">
        <f>IF(K277="","",HYPERLINK("#Transaksi!B"&amp;K277,"Kas"))</f>
        <v/>
      </c>
      <c r="H277" s="172" t="n"/>
      <c r="I277" s="172" t="n"/>
      <c r="J277" s="105" t="n"/>
      <c r="K277" s="119" t="n"/>
    </row>
    <row r="278">
      <c r="A278" s="119" t="n"/>
      <c r="B278" s="127" t="n"/>
      <c r="C278" s="170" t="n"/>
      <c r="D278" s="167" t="n"/>
      <c r="E278" s="106" t="n"/>
      <c r="F278" s="106" t="n"/>
      <c r="G278" s="171">
        <f>IF(K278="","",HYPERLINK("#Transaksi!B"&amp;K278,"Kas"))</f>
        <v/>
      </c>
      <c r="H278" s="172" t="n"/>
      <c r="I278" s="172" t="n"/>
      <c r="J278" s="105" t="n"/>
      <c r="K278" s="119" t="n"/>
    </row>
    <row r="279">
      <c r="A279" s="119" t="n"/>
      <c r="B279" s="127" t="n"/>
      <c r="C279" s="170" t="n"/>
      <c r="D279" s="167" t="n"/>
      <c r="E279" s="106" t="n"/>
      <c r="F279" s="106" t="n"/>
      <c r="G279" s="171">
        <f>IF(K279="","",HYPERLINK("#Transaksi!B"&amp;K279,"Kas"))</f>
        <v/>
      </c>
      <c r="H279" s="172" t="n"/>
      <c r="I279" s="172" t="n"/>
      <c r="J279" s="105" t="n"/>
      <c r="K279" s="119" t="n"/>
    </row>
    <row r="280">
      <c r="A280" s="119" t="n"/>
      <c r="B280" s="127" t="n"/>
      <c r="C280" s="170" t="n"/>
      <c r="D280" s="167" t="n"/>
      <c r="E280" s="106" t="n"/>
      <c r="F280" s="106" t="n"/>
      <c r="G280" s="171">
        <f>IF(K280="","",HYPERLINK("#Transaksi!B"&amp;K280,"Kas"))</f>
        <v/>
      </c>
      <c r="H280" s="172" t="n"/>
      <c r="I280" s="172" t="n"/>
      <c r="J280" s="105" t="n"/>
      <c r="K280" s="119" t="n"/>
    </row>
    <row r="281">
      <c r="A281" s="119" t="n"/>
      <c r="B281" s="127" t="n"/>
      <c r="C281" s="170" t="n"/>
      <c r="D281" s="167" t="n"/>
      <c r="E281" s="106" t="n"/>
      <c r="F281" s="106" t="n"/>
      <c r="G281" s="171">
        <f>IF(K281="","",HYPERLINK("#Transaksi!B"&amp;K281,"Kas"))</f>
        <v/>
      </c>
      <c r="H281" s="172" t="n"/>
      <c r="I281" s="172" t="n"/>
      <c r="J281" s="105" t="n"/>
      <c r="K281" s="119" t="n"/>
    </row>
    <row r="282">
      <c r="A282" s="119" t="n"/>
      <c r="B282" s="127" t="n"/>
      <c r="C282" s="170" t="n"/>
      <c r="D282" s="167" t="n"/>
      <c r="E282" s="106" t="n"/>
      <c r="F282" s="106" t="n"/>
      <c r="G282" s="171">
        <f>IF(K282="","",HYPERLINK("#Transaksi!B"&amp;K282,"Kas"))</f>
        <v/>
      </c>
      <c r="H282" s="172" t="n"/>
      <c r="I282" s="172" t="n"/>
      <c r="J282" s="105" t="n"/>
      <c r="K282" s="119" t="n"/>
    </row>
    <row r="283">
      <c r="A283" s="119" t="n"/>
      <c r="B283" s="127" t="n"/>
      <c r="C283" s="170" t="n"/>
      <c r="D283" s="167" t="n"/>
      <c r="E283" s="106" t="n"/>
      <c r="F283" s="106" t="n"/>
      <c r="G283" s="171">
        <f>IF(K283="","",HYPERLINK("#Transaksi!B"&amp;K283,"Kas"))</f>
        <v/>
      </c>
      <c r="H283" s="172" t="n"/>
      <c r="I283" s="172" t="n"/>
      <c r="J283" s="105" t="n"/>
      <c r="K283" s="119" t="n"/>
    </row>
    <row r="284">
      <c r="A284" s="119" t="n"/>
      <c r="B284" s="127" t="n"/>
      <c r="C284" s="170" t="n"/>
      <c r="D284" s="167" t="n"/>
      <c r="E284" s="106" t="n"/>
      <c r="F284" s="106" t="n"/>
      <c r="G284" s="171">
        <f>IF(K284="","",HYPERLINK("#Transaksi!B"&amp;K284,"Kas"))</f>
        <v/>
      </c>
      <c r="H284" s="172" t="n"/>
      <c r="I284" s="172" t="n"/>
      <c r="J284" s="105" t="n"/>
      <c r="K284" s="119" t="n"/>
    </row>
    <row r="285">
      <c r="A285" s="119" t="n"/>
      <c r="B285" s="127" t="n"/>
      <c r="C285" s="170" t="n"/>
      <c r="D285" s="167" t="n"/>
      <c r="E285" s="106" t="n"/>
      <c r="F285" s="106" t="n"/>
      <c r="G285" s="171">
        <f>IF(K285="","",HYPERLINK("#Transaksi!B"&amp;K285,"Kas"))</f>
        <v/>
      </c>
      <c r="H285" s="172" t="n"/>
      <c r="I285" s="172" t="n"/>
      <c r="J285" s="105" t="n"/>
      <c r="K285" s="119" t="n"/>
    </row>
    <row r="286">
      <c r="A286" s="119" t="n"/>
      <c r="B286" s="127" t="n"/>
      <c r="C286" s="170" t="n"/>
      <c r="D286" s="167" t="n"/>
      <c r="E286" s="106" t="n"/>
      <c r="F286" s="106" t="n"/>
      <c r="G286" s="171">
        <f>IF(K286="","",HYPERLINK("#Transaksi!B"&amp;K286,"Kas"))</f>
        <v/>
      </c>
      <c r="H286" s="172" t="n"/>
      <c r="I286" s="172" t="n"/>
      <c r="J286" s="105" t="n"/>
      <c r="K286" s="119" t="n"/>
    </row>
    <row r="287">
      <c r="A287" s="119" t="n"/>
      <c r="B287" s="127" t="n"/>
      <c r="C287" s="170" t="n"/>
      <c r="D287" s="167" t="n"/>
      <c r="E287" s="106" t="n"/>
      <c r="F287" s="106" t="n"/>
      <c r="G287" s="171">
        <f>IF(K287="","",HYPERLINK("#Transaksi!B"&amp;K287,"Kas"))</f>
        <v/>
      </c>
      <c r="H287" s="172" t="n"/>
      <c r="I287" s="172" t="n"/>
      <c r="J287" s="105" t="n"/>
      <c r="K287" s="119" t="n"/>
    </row>
    <row r="288">
      <c r="A288" s="119" t="n"/>
      <c r="B288" s="127" t="n"/>
      <c r="C288" s="170" t="n"/>
      <c r="D288" s="167" t="n"/>
      <c r="E288" s="106" t="n"/>
      <c r="F288" s="106" t="n"/>
      <c r="G288" s="171">
        <f>IF(K288="","",HYPERLINK("#Transaksi!B"&amp;K288,"Kas"))</f>
        <v/>
      </c>
      <c r="H288" s="172" t="n"/>
      <c r="I288" s="172" t="n"/>
      <c r="J288" s="105" t="n"/>
      <c r="K288" s="119" t="n"/>
    </row>
    <row r="289">
      <c r="A289" s="119" t="n"/>
      <c r="B289" s="127" t="n"/>
      <c r="C289" s="170" t="n"/>
      <c r="D289" s="167" t="n"/>
      <c r="E289" s="106" t="n"/>
      <c r="F289" s="106" t="n"/>
      <c r="G289" s="171">
        <f>IF(K289="","",HYPERLINK("#Transaksi!B"&amp;K289,"Kas"))</f>
        <v/>
      </c>
      <c r="H289" s="172" t="n"/>
      <c r="I289" s="172" t="n"/>
      <c r="J289" s="105" t="n"/>
      <c r="K289" s="119" t="n"/>
    </row>
    <row r="290">
      <c r="A290" s="119" t="n"/>
      <c r="B290" s="127" t="n"/>
      <c r="C290" s="170" t="n"/>
      <c r="D290" s="167" t="n"/>
      <c r="E290" s="106" t="n"/>
      <c r="F290" s="106" t="n"/>
      <c r="G290" s="171">
        <f>IF(K290="","",HYPERLINK("#Transaksi!B"&amp;K290,"Kas"))</f>
        <v/>
      </c>
      <c r="H290" s="172" t="n"/>
      <c r="I290" s="172" t="n"/>
      <c r="J290" s="105" t="n"/>
      <c r="K290" s="119" t="n"/>
    </row>
    <row r="291">
      <c r="A291" s="119" t="n"/>
      <c r="B291" s="127" t="n"/>
      <c r="C291" s="170" t="n"/>
      <c r="D291" s="167" t="n"/>
      <c r="E291" s="106" t="n"/>
      <c r="F291" s="106" t="n"/>
      <c r="G291" s="171">
        <f>IF(K291="","",HYPERLINK("#Transaksi!B"&amp;K291,"Kas"))</f>
        <v/>
      </c>
      <c r="H291" s="172" t="n"/>
      <c r="I291" s="172" t="n"/>
      <c r="J291" s="105" t="n"/>
      <c r="K291" s="119" t="n"/>
    </row>
    <row r="292">
      <c r="A292" s="119" t="n"/>
      <c r="B292" s="127" t="n"/>
      <c r="C292" s="170" t="n"/>
      <c r="D292" s="167" t="n"/>
      <c r="E292" s="106" t="n"/>
      <c r="F292" s="106" t="n"/>
      <c r="G292" s="171">
        <f>IF(K292="","",HYPERLINK("#Transaksi!B"&amp;K292,"Kas"))</f>
        <v/>
      </c>
      <c r="H292" s="172" t="n"/>
      <c r="I292" s="172" t="n"/>
      <c r="J292" s="105" t="n"/>
      <c r="K292" s="119" t="n"/>
    </row>
    <row r="293">
      <c r="A293" s="119" t="n"/>
      <c r="B293" s="127" t="n"/>
      <c r="C293" s="170" t="n"/>
      <c r="D293" s="167" t="n"/>
      <c r="E293" s="106" t="n"/>
      <c r="F293" s="106" t="n"/>
      <c r="G293" s="171">
        <f>IF(K293="","",HYPERLINK("#Transaksi!B"&amp;K293,"Kas"))</f>
        <v/>
      </c>
      <c r="H293" s="172" t="n"/>
      <c r="I293" s="172" t="n"/>
      <c r="J293" s="105" t="n"/>
      <c r="K293" s="119" t="n"/>
    </row>
    <row r="294">
      <c r="A294" s="119" t="n"/>
      <c r="B294" s="127" t="n"/>
      <c r="C294" s="170" t="n"/>
      <c r="D294" s="167" t="n"/>
      <c r="E294" s="106" t="n"/>
      <c r="F294" s="106" t="n"/>
      <c r="G294" s="171">
        <f>IF(K294="","",HYPERLINK("#Transaksi!B"&amp;K294,"Kas"))</f>
        <v/>
      </c>
      <c r="H294" s="172" t="n"/>
      <c r="I294" s="172" t="n"/>
      <c r="J294" s="105" t="n"/>
      <c r="K294" s="119" t="n"/>
    </row>
    <row r="295">
      <c r="A295" s="119" t="n"/>
      <c r="B295" s="127" t="n"/>
      <c r="C295" s="170" t="n"/>
      <c r="D295" s="167" t="n"/>
      <c r="E295" s="106" t="n"/>
      <c r="F295" s="106" t="n"/>
      <c r="G295" s="171">
        <f>IF(K295="","",HYPERLINK("#Transaksi!B"&amp;K295,"Kas"))</f>
        <v/>
      </c>
      <c r="H295" s="172" t="n"/>
      <c r="I295" s="172" t="n"/>
      <c r="J295" s="105" t="n"/>
      <c r="K295" s="119" t="n"/>
    </row>
    <row r="296">
      <c r="A296" s="119" t="n"/>
      <c r="B296" s="127" t="n"/>
      <c r="C296" s="170" t="n"/>
      <c r="D296" s="167" t="n"/>
      <c r="E296" s="106" t="n"/>
      <c r="F296" s="106" t="n"/>
      <c r="G296" s="171">
        <f>IF(K296="","",HYPERLINK("#Transaksi!B"&amp;K296,"Kas"))</f>
        <v/>
      </c>
      <c r="H296" s="172" t="n"/>
      <c r="I296" s="172" t="n"/>
      <c r="J296" s="105" t="n"/>
      <c r="K296" s="119" t="n"/>
    </row>
    <row r="297">
      <c r="A297" s="119" t="n"/>
      <c r="B297" s="127" t="n"/>
      <c r="C297" s="170" t="n"/>
      <c r="D297" s="167" t="n"/>
      <c r="E297" s="106" t="n"/>
      <c r="F297" s="106" t="n"/>
      <c r="G297" s="171">
        <f>IF(K297="","",HYPERLINK("#Transaksi!B"&amp;K297,"Kas"))</f>
        <v/>
      </c>
      <c r="H297" s="172" t="n"/>
      <c r="I297" s="172" t="n"/>
      <c r="J297" s="105" t="n"/>
      <c r="K297" s="119" t="n"/>
    </row>
    <row r="298">
      <c r="A298" s="119" t="n"/>
      <c r="B298" s="127" t="n"/>
      <c r="C298" s="170" t="n"/>
      <c r="D298" s="167" t="n"/>
      <c r="E298" s="106" t="n"/>
      <c r="F298" s="106" t="n"/>
      <c r="G298" s="171">
        <f>IF(K298="","",HYPERLINK("#Transaksi!B"&amp;K298,"Kas"))</f>
        <v/>
      </c>
      <c r="H298" s="172" t="n"/>
      <c r="I298" s="172" t="n"/>
      <c r="J298" s="105" t="n"/>
      <c r="K298" s="119" t="n"/>
    </row>
    <row r="299">
      <c r="A299" s="119" t="n"/>
      <c r="B299" s="127" t="n"/>
      <c r="C299" s="170" t="n"/>
      <c r="D299" s="167" t="n"/>
      <c r="E299" s="106" t="n"/>
      <c r="F299" s="106" t="n"/>
      <c r="G299" s="171">
        <f>IF(K299="","",HYPERLINK("#Transaksi!B"&amp;K299,"Kas"))</f>
        <v/>
      </c>
      <c r="H299" s="172" t="n"/>
      <c r="I299" s="172" t="n"/>
      <c r="J299" s="105" t="n"/>
      <c r="K299" s="119" t="n"/>
    </row>
    <row r="300">
      <c r="A300" s="119" t="n"/>
      <c r="B300" s="127" t="n"/>
      <c r="C300" s="170" t="n"/>
      <c r="D300" s="167" t="n"/>
      <c r="E300" s="106" t="n"/>
      <c r="F300" s="106" t="n"/>
      <c r="G300" s="171">
        <f>IF(K300="","",HYPERLINK("#Transaksi!B"&amp;K300,"Kas"))</f>
        <v/>
      </c>
      <c r="H300" s="172" t="n"/>
      <c r="I300" s="172" t="n"/>
      <c r="J300" s="105" t="n"/>
      <c r="K300" s="119" t="n"/>
    </row>
    <row r="301">
      <c r="A301" s="119" t="n"/>
      <c r="B301" s="127" t="n"/>
      <c r="C301" s="170" t="n"/>
      <c r="D301" s="167" t="n"/>
      <c r="E301" s="106" t="n"/>
      <c r="F301" s="106" t="n"/>
      <c r="G301" s="171">
        <f>IF(K301="","",HYPERLINK("#Transaksi!B"&amp;K301,"Kas"))</f>
        <v/>
      </c>
      <c r="H301" s="172" t="n"/>
      <c r="I301" s="172" t="n"/>
      <c r="J301" s="105" t="n"/>
      <c r="K301" s="119" t="n"/>
    </row>
    <row r="302">
      <c r="A302" s="119" t="n"/>
      <c r="B302" s="127" t="n"/>
      <c r="C302" s="170" t="n"/>
      <c r="D302" s="167" t="n"/>
      <c r="E302" s="106" t="n"/>
      <c r="F302" s="106" t="n"/>
      <c r="G302" s="171">
        <f>IF(K302="","",HYPERLINK("#Transaksi!B"&amp;K302,"Kas"))</f>
        <v/>
      </c>
      <c r="H302" s="172" t="n"/>
      <c r="I302" s="172" t="n"/>
      <c r="J302" s="105" t="n"/>
      <c r="K302" s="119" t="n"/>
    </row>
    <row r="303">
      <c r="A303" s="119" t="n"/>
      <c r="B303" s="127" t="n"/>
      <c r="C303" s="170" t="n"/>
      <c r="D303" s="167" t="n"/>
      <c r="E303" s="106" t="n"/>
      <c r="F303" s="106" t="n"/>
      <c r="G303" s="171">
        <f>IF(K303="","",HYPERLINK("#Transaksi!B"&amp;K303,"Kas"))</f>
        <v/>
      </c>
      <c r="H303" s="172" t="n"/>
      <c r="I303" s="172" t="n"/>
      <c r="J303" s="105" t="n"/>
      <c r="K303" s="119" t="n"/>
    </row>
    <row r="304">
      <c r="A304" s="119" t="n"/>
      <c r="B304" s="127" t="n"/>
      <c r="C304" s="170" t="n"/>
      <c r="D304" s="167" t="n"/>
      <c r="E304" s="106" t="n"/>
      <c r="F304" s="106" t="n"/>
      <c r="G304" s="171">
        <f>IF(K304="","",HYPERLINK("#Transaksi!B"&amp;K304,"Kas"))</f>
        <v/>
      </c>
      <c r="H304" s="172" t="n"/>
      <c r="I304" s="172" t="n"/>
      <c r="J304" s="105" t="n"/>
      <c r="K304" s="119" t="n"/>
    </row>
    <row r="305">
      <c r="A305" s="119" t="n"/>
      <c r="B305" s="127" t="n"/>
      <c r="C305" s="170" t="n"/>
      <c r="D305" s="167" t="n"/>
      <c r="E305" s="106" t="n"/>
      <c r="F305" s="106" t="n"/>
      <c r="G305" s="171">
        <f>IF(K305="","",HYPERLINK("#Transaksi!B"&amp;K305,"Kas"))</f>
        <v/>
      </c>
      <c r="H305" s="172" t="n"/>
      <c r="I305" s="172" t="n"/>
      <c r="J305" s="105" t="n"/>
      <c r="K305" s="119" t="n"/>
    </row>
    <row r="306">
      <c r="A306" s="119" t="n"/>
      <c r="B306" s="127" t="n"/>
      <c r="C306" s="170" t="n"/>
      <c r="D306" s="167" t="n"/>
      <c r="E306" s="106" t="n"/>
      <c r="F306" s="106" t="n"/>
      <c r="G306" s="171">
        <f>IF(K306="","",HYPERLINK("#Transaksi!B"&amp;K306,"Kas"))</f>
        <v/>
      </c>
      <c r="H306" s="172" t="n"/>
      <c r="I306" s="172" t="n"/>
      <c r="J306" s="105" t="n"/>
      <c r="K306" s="119" t="n"/>
    </row>
    <row r="307">
      <c r="A307" s="119" t="n"/>
      <c r="B307" s="127" t="n"/>
      <c r="C307" s="170" t="n"/>
      <c r="D307" s="167" t="n"/>
      <c r="E307" s="106" t="n"/>
      <c r="F307" s="106" t="n"/>
      <c r="G307" s="171">
        <f>IF(K307="","",HYPERLINK("#Transaksi!B"&amp;K307,"Kas"))</f>
        <v/>
      </c>
      <c r="H307" s="172" t="n"/>
      <c r="I307" s="172" t="n"/>
      <c r="J307" s="105" t="n"/>
      <c r="K307" s="119" t="n"/>
    </row>
    <row r="308">
      <c r="A308" s="119" t="n"/>
      <c r="B308" s="127" t="n"/>
      <c r="C308" s="170" t="n"/>
      <c r="D308" s="167" t="n"/>
      <c r="E308" s="106" t="n"/>
      <c r="F308" s="106" t="n"/>
      <c r="G308" s="171">
        <f>IF(K308="","",HYPERLINK("#Transaksi!B"&amp;K308,"Kas"))</f>
        <v/>
      </c>
      <c r="H308" s="172" t="n"/>
      <c r="I308" s="172" t="n"/>
      <c r="J308" s="105" t="n"/>
      <c r="K308" s="119" t="n"/>
    </row>
    <row r="309">
      <c r="A309" s="119" t="n"/>
      <c r="B309" s="127" t="n"/>
      <c r="C309" s="170" t="n"/>
      <c r="D309" s="167" t="n"/>
      <c r="E309" s="106" t="n"/>
      <c r="F309" s="106" t="n"/>
      <c r="G309" s="171">
        <f>IF(K309="","",HYPERLINK("#Transaksi!B"&amp;K309,"Kas"))</f>
        <v/>
      </c>
      <c r="H309" s="172" t="n"/>
      <c r="I309" s="172" t="n"/>
      <c r="J309" s="105" t="n"/>
      <c r="K309" s="119" t="n"/>
    </row>
    <row r="310">
      <c r="A310" s="119" t="n"/>
      <c r="B310" s="127" t="n"/>
      <c r="C310" s="170" t="n"/>
      <c r="D310" s="167" t="n"/>
      <c r="E310" s="106" t="n"/>
      <c r="F310" s="106" t="n"/>
      <c r="G310" s="171">
        <f>IF(K310="","",HYPERLINK("#Transaksi!B"&amp;K310,"Kas"))</f>
        <v/>
      </c>
      <c r="H310" s="172" t="n"/>
      <c r="I310" s="172" t="n"/>
      <c r="J310" s="105" t="n"/>
      <c r="K310" s="119" t="n"/>
    </row>
    <row r="311">
      <c r="A311" s="119" t="n"/>
      <c r="B311" s="127" t="n"/>
      <c r="C311" s="170" t="n"/>
      <c r="D311" s="167" t="n"/>
      <c r="E311" s="106" t="n"/>
      <c r="F311" s="106" t="n"/>
      <c r="G311" s="171">
        <f>IF(K311="","",HYPERLINK("#Transaksi!B"&amp;K311,"Kas"))</f>
        <v/>
      </c>
      <c r="H311" s="172" t="n"/>
      <c r="I311" s="172" t="n"/>
      <c r="J311" s="105" t="n"/>
      <c r="K311" s="119" t="n"/>
    </row>
    <row r="312">
      <c r="A312" s="119" t="n"/>
      <c r="B312" s="127" t="n"/>
      <c r="C312" s="170" t="n"/>
      <c r="D312" s="167" t="n"/>
      <c r="E312" s="106" t="n"/>
      <c r="F312" s="106" t="n"/>
      <c r="G312" s="171">
        <f>IF(K312="","",HYPERLINK("#Transaksi!B"&amp;K312,"Kas"))</f>
        <v/>
      </c>
      <c r="H312" s="172" t="n"/>
      <c r="I312" s="172" t="n"/>
      <c r="J312" s="105" t="n"/>
      <c r="K312" s="119" t="n"/>
    </row>
    <row r="313">
      <c r="A313" s="119" t="n"/>
      <c r="B313" s="127" t="n"/>
      <c r="C313" s="170" t="n"/>
      <c r="D313" s="167" t="n"/>
      <c r="E313" s="106" t="n"/>
      <c r="F313" s="106" t="n"/>
      <c r="G313" s="171">
        <f>IF(K313="","",HYPERLINK("#Transaksi!B"&amp;K313,"Kas"))</f>
        <v/>
      </c>
      <c r="H313" s="172" t="n"/>
      <c r="I313" s="172" t="n"/>
      <c r="J313" s="105" t="n"/>
      <c r="K313" s="119" t="n"/>
    </row>
    <row r="314">
      <c r="A314" s="119" t="n"/>
      <c r="B314" s="127" t="n"/>
      <c r="C314" s="170" t="n"/>
      <c r="D314" s="167" t="n"/>
      <c r="E314" s="106" t="n"/>
      <c r="F314" s="106" t="n"/>
      <c r="G314" s="171">
        <f>IF(K314="","",HYPERLINK("#Transaksi!B"&amp;K314,"Kas"))</f>
        <v/>
      </c>
      <c r="H314" s="172" t="n"/>
      <c r="I314" s="172" t="n"/>
      <c r="J314" s="105" t="n"/>
      <c r="K314" s="119" t="n"/>
    </row>
    <row r="315">
      <c r="A315" s="119" t="n"/>
      <c r="B315" s="127" t="n"/>
      <c r="C315" s="170" t="n"/>
      <c r="D315" s="167" t="n"/>
      <c r="E315" s="106" t="n"/>
      <c r="F315" s="106" t="n"/>
      <c r="G315" s="171">
        <f>IF(K315="","",HYPERLINK("#Transaksi!B"&amp;K315,"Kas"))</f>
        <v/>
      </c>
      <c r="H315" s="172" t="n"/>
      <c r="I315" s="172" t="n"/>
      <c r="J315" s="105" t="n"/>
      <c r="K315" s="119" t="n"/>
    </row>
    <row r="316">
      <c r="A316" s="119" t="n"/>
      <c r="B316" s="127" t="n"/>
      <c r="C316" s="170" t="n"/>
      <c r="D316" s="167" t="n"/>
      <c r="E316" s="106" t="n"/>
      <c r="F316" s="106" t="n"/>
      <c r="G316" s="171">
        <f>IF(K316="","",HYPERLINK("#Transaksi!B"&amp;K316,"Kas"))</f>
        <v/>
      </c>
      <c r="H316" s="172" t="n"/>
      <c r="I316" s="172" t="n"/>
      <c r="J316" s="105" t="n"/>
      <c r="K316" s="119" t="n"/>
    </row>
    <row r="317">
      <c r="A317" s="119" t="n"/>
      <c r="B317" s="127" t="n"/>
      <c r="C317" s="170" t="n"/>
      <c r="D317" s="167" t="n"/>
      <c r="E317" s="106" t="n"/>
      <c r="F317" s="106" t="n"/>
      <c r="G317" s="171">
        <f>IF(K317="","",HYPERLINK("#Transaksi!B"&amp;K317,"Kas"))</f>
        <v/>
      </c>
      <c r="H317" s="172" t="n"/>
      <c r="I317" s="172" t="n"/>
      <c r="J317" s="105" t="n"/>
      <c r="K317" s="119" t="n"/>
    </row>
    <row r="318">
      <c r="A318" s="119" t="n"/>
      <c r="B318" s="127" t="n"/>
      <c r="C318" s="170" t="n"/>
      <c r="D318" s="167" t="n"/>
      <c r="E318" s="106" t="n"/>
      <c r="F318" s="106" t="n"/>
      <c r="G318" s="171">
        <f>IF(K318="","",HYPERLINK("#Transaksi!B"&amp;K318,"Kas"))</f>
        <v/>
      </c>
      <c r="H318" s="172" t="n"/>
      <c r="I318" s="172" t="n"/>
      <c r="J318" s="105" t="n"/>
      <c r="K318" s="119" t="n"/>
    </row>
    <row r="319">
      <c r="A319" s="119" t="n"/>
      <c r="B319" s="127" t="n"/>
      <c r="C319" s="170" t="n"/>
      <c r="D319" s="167" t="n"/>
      <c r="E319" s="106" t="n"/>
      <c r="F319" s="106" t="n"/>
      <c r="G319" s="171">
        <f>IF(K319="","",HYPERLINK("#Transaksi!B"&amp;K319,"Kas"))</f>
        <v/>
      </c>
      <c r="H319" s="172" t="n"/>
      <c r="I319" s="172" t="n"/>
      <c r="J319" s="105" t="n"/>
      <c r="K319" s="119" t="n"/>
    </row>
    <row r="320">
      <c r="A320" s="119" t="n"/>
      <c r="B320" s="127" t="n"/>
      <c r="C320" s="170" t="n"/>
      <c r="D320" s="167" t="n"/>
      <c r="E320" s="106" t="n"/>
      <c r="F320" s="106" t="n"/>
      <c r="G320" s="171">
        <f>IF(K320="","",HYPERLINK("#Transaksi!B"&amp;K320,"Kas"))</f>
        <v/>
      </c>
      <c r="H320" s="172" t="n"/>
      <c r="I320" s="172" t="n"/>
      <c r="J320" s="105" t="n"/>
      <c r="K320" s="119" t="n"/>
    </row>
    <row r="321">
      <c r="A321" s="119" t="n"/>
      <c r="B321" s="127" t="n"/>
      <c r="C321" s="170" t="n"/>
      <c r="D321" s="167" t="n"/>
      <c r="E321" s="106" t="n"/>
      <c r="F321" s="106" t="n"/>
      <c r="G321" s="171">
        <f>IF(K321="","",HYPERLINK("#Transaksi!B"&amp;K321,"Kas"))</f>
        <v/>
      </c>
      <c r="H321" s="172" t="n"/>
      <c r="I321" s="172" t="n"/>
      <c r="J321" s="105" t="n"/>
      <c r="K321" s="119" t="n"/>
    </row>
    <row r="322">
      <c r="A322" s="119" t="n"/>
      <c r="B322" s="127" t="n"/>
      <c r="C322" s="170" t="n"/>
      <c r="D322" s="167" t="n"/>
      <c r="E322" s="106" t="n"/>
      <c r="F322" s="106" t="n"/>
      <c r="G322" s="171">
        <f>IF(K322="","",HYPERLINK("#Transaksi!B"&amp;K322,"Kas"))</f>
        <v/>
      </c>
      <c r="H322" s="172" t="n"/>
      <c r="I322" s="172" t="n"/>
      <c r="J322" s="105" t="n"/>
      <c r="K322" s="119" t="n"/>
    </row>
    <row r="323">
      <c r="A323" s="119" t="n"/>
      <c r="B323" s="127" t="n"/>
      <c r="C323" s="170" t="n"/>
      <c r="D323" s="167" t="n"/>
      <c r="E323" s="106" t="n"/>
      <c r="F323" s="106" t="n"/>
      <c r="G323" s="171">
        <f>IF(K323="","",HYPERLINK("#Transaksi!B"&amp;K323,"Kas"))</f>
        <v/>
      </c>
      <c r="H323" s="172" t="n"/>
      <c r="I323" s="172" t="n"/>
      <c r="J323" s="105" t="n"/>
      <c r="K323" s="119" t="n"/>
    </row>
    <row r="324">
      <c r="A324" s="119" t="n"/>
      <c r="B324" s="127" t="n"/>
      <c r="C324" s="170" t="n"/>
      <c r="D324" s="167" t="n"/>
      <c r="E324" s="106" t="n"/>
      <c r="F324" s="106" t="n"/>
      <c r="G324" s="171">
        <f>IF(K324="","",HYPERLINK("#Transaksi!B"&amp;K324,"Kas"))</f>
        <v/>
      </c>
      <c r="H324" s="172" t="n"/>
      <c r="I324" s="172" t="n"/>
      <c r="J324" s="105" t="n"/>
      <c r="K324" s="119" t="n"/>
    </row>
    <row r="325">
      <c r="A325" s="119" t="n"/>
      <c r="B325" s="127" t="n"/>
      <c r="C325" s="170" t="n"/>
      <c r="D325" s="167" t="n"/>
      <c r="E325" s="106" t="n"/>
      <c r="F325" s="106" t="n"/>
      <c r="G325" s="171">
        <f>IF(K325="","",HYPERLINK("#Transaksi!B"&amp;K325,"Kas"))</f>
        <v/>
      </c>
      <c r="H325" s="172" t="n"/>
      <c r="I325" s="172" t="n"/>
      <c r="J325" s="105" t="n"/>
      <c r="K325" s="119" t="n"/>
    </row>
    <row r="326">
      <c r="A326" s="119" t="n"/>
      <c r="B326" s="127" t="n"/>
      <c r="C326" s="170" t="n"/>
      <c r="D326" s="167" t="n"/>
      <c r="E326" s="106" t="n"/>
      <c r="F326" s="106" t="n"/>
      <c r="G326" s="171">
        <f>IF(K326="","",HYPERLINK("#Transaksi!B"&amp;K326,"Kas"))</f>
        <v/>
      </c>
      <c r="H326" s="172" t="n"/>
      <c r="I326" s="172" t="n"/>
      <c r="J326" s="105" t="n"/>
      <c r="K326" s="119" t="n"/>
    </row>
    <row r="327">
      <c r="A327" s="119" t="n"/>
      <c r="B327" s="127" t="n"/>
      <c r="C327" s="170" t="n"/>
      <c r="D327" s="167" t="n"/>
      <c r="E327" s="106" t="n"/>
      <c r="F327" s="106" t="n"/>
      <c r="G327" s="171">
        <f>IF(K327="","",HYPERLINK("#Transaksi!B"&amp;K327,"Kas"))</f>
        <v/>
      </c>
      <c r="H327" s="172" t="n"/>
      <c r="I327" s="172" t="n"/>
      <c r="J327" s="105" t="n"/>
      <c r="K327" s="119" t="n"/>
    </row>
    <row r="328">
      <c r="A328" s="119" t="n"/>
      <c r="B328" s="127" t="n"/>
      <c r="C328" s="170" t="n"/>
      <c r="D328" s="167" t="n"/>
      <c r="E328" s="106" t="n"/>
      <c r="F328" s="106" t="n"/>
      <c r="G328" s="171">
        <f>IF(K328="","",HYPERLINK("#Transaksi!B"&amp;K328,"Kas"))</f>
        <v/>
      </c>
      <c r="H328" s="172" t="n"/>
      <c r="I328" s="172" t="n"/>
      <c r="J328" s="105" t="n"/>
      <c r="K328" s="119" t="n"/>
    </row>
    <row r="329">
      <c r="A329" s="119" t="n"/>
      <c r="B329" s="127" t="n"/>
      <c r="C329" s="170" t="n"/>
      <c r="D329" s="167" t="n"/>
      <c r="E329" s="106" t="n"/>
      <c r="F329" s="106" t="n"/>
      <c r="G329" s="171">
        <f>IF(K329="","",HYPERLINK("#Transaksi!B"&amp;K329,"Kas"))</f>
        <v/>
      </c>
      <c r="H329" s="172" t="n"/>
      <c r="I329" s="172" t="n"/>
      <c r="J329" s="105" t="n"/>
      <c r="K329" s="119" t="n"/>
    </row>
    <row r="330">
      <c r="A330" s="119" t="n"/>
      <c r="B330" s="127" t="n"/>
      <c r="C330" s="170" t="n"/>
      <c r="D330" s="167" t="n"/>
      <c r="E330" s="106" t="n"/>
      <c r="F330" s="106" t="n"/>
      <c r="G330" s="171">
        <f>IF(K330="","",HYPERLINK("#Transaksi!B"&amp;K330,"Kas"))</f>
        <v/>
      </c>
      <c r="H330" s="172" t="n"/>
      <c r="I330" s="172" t="n"/>
      <c r="J330" s="105" t="n"/>
      <c r="K330" s="119" t="n"/>
    </row>
    <row r="331">
      <c r="A331" s="119" t="n"/>
      <c r="B331" s="127" t="n"/>
      <c r="C331" s="170" t="n"/>
      <c r="D331" s="167" t="n"/>
      <c r="E331" s="106" t="n"/>
      <c r="F331" s="106" t="n"/>
      <c r="G331" s="171">
        <f>IF(K331="","",HYPERLINK("#Transaksi!B"&amp;K331,"Kas"))</f>
        <v/>
      </c>
      <c r="H331" s="172" t="n"/>
      <c r="I331" s="172" t="n"/>
      <c r="J331" s="105" t="n"/>
      <c r="K331" s="119" t="n"/>
    </row>
    <row r="332">
      <c r="A332" s="119" t="n"/>
      <c r="B332" s="127" t="n"/>
      <c r="C332" s="170" t="n"/>
      <c r="D332" s="167" t="n"/>
      <c r="E332" s="106" t="n"/>
      <c r="F332" s="106" t="n"/>
      <c r="G332" s="171">
        <f>IF(K332="","",HYPERLINK("#Transaksi!B"&amp;K332,"Kas"))</f>
        <v/>
      </c>
      <c r="H332" s="172" t="n"/>
      <c r="I332" s="172" t="n"/>
      <c r="J332" s="105" t="n"/>
      <c r="K332" s="119" t="n"/>
    </row>
    <row r="333">
      <c r="A333" s="119" t="n"/>
      <c r="B333" s="127" t="n"/>
      <c r="C333" s="170" t="n"/>
      <c r="D333" s="167" t="n"/>
      <c r="E333" s="106" t="n"/>
      <c r="F333" s="106" t="n"/>
      <c r="G333" s="171">
        <f>IF(K333="","",HYPERLINK("#Transaksi!B"&amp;K333,"Kas"))</f>
        <v/>
      </c>
      <c r="H333" s="172" t="n"/>
      <c r="I333" s="172" t="n"/>
      <c r="J333" s="105" t="n"/>
      <c r="K333" s="119" t="n"/>
    </row>
    <row r="334">
      <c r="A334" s="119" t="n"/>
      <c r="B334" s="127" t="n"/>
      <c r="C334" s="170" t="n"/>
      <c r="D334" s="167" t="n"/>
      <c r="E334" s="106" t="n"/>
      <c r="F334" s="106" t="n"/>
      <c r="G334" s="171">
        <f>IF(K334="","",HYPERLINK("#Transaksi!B"&amp;K334,"Kas"))</f>
        <v/>
      </c>
      <c r="H334" s="172" t="n"/>
      <c r="I334" s="172" t="n"/>
      <c r="J334" s="105" t="n"/>
      <c r="K334" s="119" t="n"/>
    </row>
    <row r="335">
      <c r="A335" s="119" t="n"/>
      <c r="B335" s="127" t="n"/>
      <c r="C335" s="170" t="n"/>
      <c r="D335" s="167" t="n"/>
      <c r="E335" s="106" t="n"/>
      <c r="F335" s="106" t="n"/>
      <c r="G335" s="171">
        <f>IF(K335="","",HYPERLINK("#Transaksi!B"&amp;K335,"Kas"))</f>
        <v/>
      </c>
      <c r="H335" s="172" t="n"/>
      <c r="I335" s="172" t="n"/>
      <c r="J335" s="105" t="n"/>
      <c r="K335" s="119" t="n"/>
    </row>
    <row r="336">
      <c r="A336" s="119" t="n"/>
      <c r="B336" s="127" t="n"/>
      <c r="C336" s="170" t="n"/>
      <c r="D336" s="167" t="n"/>
      <c r="E336" s="106" t="n"/>
      <c r="F336" s="106" t="n"/>
      <c r="G336" s="171">
        <f>IF(K336="","",HYPERLINK("#Transaksi!B"&amp;K336,"Kas"))</f>
        <v/>
      </c>
      <c r="H336" s="172" t="n"/>
      <c r="I336" s="172" t="n"/>
      <c r="J336" s="105" t="n"/>
      <c r="K336" s="119" t="n"/>
    </row>
    <row r="337">
      <c r="A337" s="119" t="n"/>
      <c r="B337" s="127" t="n"/>
      <c r="C337" s="170" t="n"/>
      <c r="D337" s="167" t="n"/>
      <c r="E337" s="106" t="n"/>
      <c r="F337" s="106" t="n"/>
      <c r="G337" s="171">
        <f>IF(K337="","",HYPERLINK("#Transaksi!B"&amp;K337,"Kas"))</f>
        <v/>
      </c>
      <c r="H337" s="172" t="n"/>
      <c r="I337" s="172" t="n"/>
      <c r="J337" s="105" t="n"/>
      <c r="K337" s="119" t="n"/>
    </row>
    <row r="338">
      <c r="A338" s="119" t="n"/>
      <c r="B338" s="127" t="n"/>
      <c r="C338" s="170" t="n"/>
      <c r="D338" s="167" t="n"/>
      <c r="E338" s="106" t="n"/>
      <c r="F338" s="106" t="n"/>
      <c r="G338" s="171">
        <f>IF(K338="","",HYPERLINK("#Transaksi!B"&amp;K338,"Kas"))</f>
        <v/>
      </c>
      <c r="H338" s="172" t="n"/>
      <c r="I338" s="172" t="n"/>
      <c r="J338" s="105" t="n"/>
      <c r="K338" s="119" t="n"/>
    </row>
    <row r="339">
      <c r="A339" s="119" t="n"/>
      <c r="B339" s="127" t="n"/>
      <c r="C339" s="170" t="n"/>
      <c r="D339" s="167" t="n"/>
      <c r="E339" s="106" t="n"/>
      <c r="F339" s="106" t="n"/>
      <c r="G339" s="171">
        <f>IF(K339="","",HYPERLINK("#Transaksi!B"&amp;K339,"Kas"))</f>
        <v/>
      </c>
      <c r="H339" s="172" t="n"/>
      <c r="I339" s="172" t="n"/>
      <c r="J339" s="105" t="n"/>
      <c r="K339" s="119" t="n"/>
    </row>
    <row r="340">
      <c r="A340" s="119" t="n"/>
      <c r="B340" s="127" t="n"/>
      <c r="C340" s="170" t="n"/>
      <c r="D340" s="167" t="n"/>
      <c r="E340" s="106" t="n"/>
      <c r="F340" s="106" t="n"/>
      <c r="G340" s="171">
        <f>IF(K340="","",HYPERLINK("#Transaksi!B"&amp;K340,"Kas"))</f>
        <v/>
      </c>
      <c r="H340" s="172" t="n"/>
      <c r="I340" s="172" t="n"/>
      <c r="J340" s="105" t="n"/>
      <c r="K340" s="119" t="n"/>
    </row>
    <row r="341">
      <c r="A341" s="119" t="n"/>
      <c r="B341" s="127" t="n"/>
      <c r="C341" s="170" t="n"/>
      <c r="D341" s="167" t="n"/>
      <c r="E341" s="106" t="n"/>
      <c r="F341" s="106" t="n"/>
      <c r="G341" s="171">
        <f>IF(K341="","",HYPERLINK("#Transaksi!B"&amp;K341,"Kas"))</f>
        <v/>
      </c>
      <c r="H341" s="172" t="n"/>
      <c r="I341" s="172" t="n"/>
      <c r="J341" s="105" t="n"/>
      <c r="K341" s="119" t="n"/>
    </row>
    <row r="342">
      <c r="A342" s="119" t="n"/>
      <c r="B342" s="127" t="n"/>
      <c r="C342" s="170" t="n"/>
      <c r="D342" s="167" t="n"/>
      <c r="E342" s="106" t="n"/>
      <c r="F342" s="106" t="n"/>
      <c r="G342" s="171">
        <f>IF(K342="","",HYPERLINK("#Transaksi!B"&amp;K342,"Kas"))</f>
        <v/>
      </c>
      <c r="H342" s="172" t="n"/>
      <c r="I342" s="172" t="n"/>
      <c r="J342" s="105" t="n"/>
      <c r="K342" s="119" t="n"/>
    </row>
    <row r="343">
      <c r="A343" s="119" t="n"/>
      <c r="B343" s="127" t="n"/>
      <c r="C343" s="170" t="n"/>
      <c r="D343" s="167" t="n"/>
      <c r="E343" s="106" t="n"/>
      <c r="F343" s="106" t="n"/>
      <c r="G343" s="171">
        <f>IF(K343="","",HYPERLINK("#Transaksi!B"&amp;K343,"Kas"))</f>
        <v/>
      </c>
      <c r="H343" s="172" t="n"/>
      <c r="I343" s="172" t="n"/>
      <c r="J343" s="105" t="n"/>
      <c r="K343" s="119" t="n"/>
    </row>
    <row r="344">
      <c r="A344" s="119" t="n"/>
      <c r="B344" s="127" t="n"/>
      <c r="C344" s="170" t="n"/>
      <c r="D344" s="167" t="n"/>
      <c r="E344" s="106" t="n"/>
      <c r="F344" s="106" t="n"/>
      <c r="G344" s="171">
        <f>IF(K344="","",HYPERLINK("#Transaksi!B"&amp;K344,"Kas"))</f>
        <v/>
      </c>
      <c r="H344" s="172" t="n"/>
      <c r="I344" s="172" t="n"/>
      <c r="J344" s="105" t="n"/>
      <c r="K344" s="119" t="n"/>
    </row>
    <row r="345">
      <c r="A345" s="119" t="n"/>
      <c r="B345" s="127" t="n"/>
      <c r="C345" s="170" t="n"/>
      <c r="D345" s="167" t="n"/>
      <c r="E345" s="106" t="n"/>
      <c r="F345" s="106" t="n"/>
      <c r="G345" s="171">
        <f>IF(K345="","",HYPERLINK("#Transaksi!B"&amp;K345,"Kas"))</f>
        <v/>
      </c>
      <c r="H345" s="172" t="n"/>
      <c r="I345" s="172" t="n"/>
      <c r="J345" s="105" t="n"/>
      <c r="K345" s="119" t="n"/>
    </row>
    <row r="346">
      <c r="A346" s="119" t="n"/>
      <c r="B346" s="127" t="n"/>
      <c r="C346" s="170" t="n"/>
      <c r="D346" s="167" t="n"/>
      <c r="E346" s="106" t="n"/>
      <c r="F346" s="106" t="n"/>
      <c r="G346" s="171">
        <f>IF(K346="","",HYPERLINK("#Transaksi!B"&amp;K346,"Kas"))</f>
        <v/>
      </c>
      <c r="H346" s="172" t="n"/>
      <c r="I346" s="172" t="n"/>
      <c r="J346" s="105" t="n"/>
      <c r="K346" s="119" t="n"/>
    </row>
    <row r="347">
      <c r="A347" s="119" t="n"/>
      <c r="B347" s="127" t="n"/>
      <c r="C347" s="170" t="n"/>
      <c r="D347" s="167" t="n"/>
      <c r="E347" s="106" t="n"/>
      <c r="F347" s="106" t="n"/>
      <c r="G347" s="171">
        <f>IF(K347="","",HYPERLINK("#Transaksi!B"&amp;K347,"Kas"))</f>
        <v/>
      </c>
      <c r="H347" s="172" t="n"/>
      <c r="I347" s="172" t="n"/>
      <c r="J347" s="105" t="n"/>
      <c r="K347" s="119" t="n"/>
    </row>
    <row r="348">
      <c r="A348" s="119" t="n"/>
      <c r="B348" s="127" t="n"/>
      <c r="C348" s="170" t="n"/>
      <c r="D348" s="167" t="n"/>
      <c r="E348" s="106" t="n"/>
      <c r="F348" s="106" t="n"/>
      <c r="G348" s="171">
        <f>IF(K348="","",HYPERLINK("#Transaksi!B"&amp;K348,"Kas"))</f>
        <v/>
      </c>
      <c r="H348" s="172" t="n"/>
      <c r="I348" s="172" t="n"/>
      <c r="J348" s="105" t="n"/>
      <c r="K348" s="119" t="n"/>
    </row>
    <row r="349">
      <c r="A349" s="119" t="n"/>
      <c r="B349" s="127" t="n"/>
      <c r="C349" s="170" t="n"/>
      <c r="D349" s="167" t="n"/>
      <c r="E349" s="106" t="n"/>
      <c r="F349" s="106" t="n"/>
      <c r="G349" s="171">
        <f>IF(K349="","",HYPERLINK("#Transaksi!B"&amp;K349,"Kas"))</f>
        <v/>
      </c>
      <c r="H349" s="172" t="n"/>
      <c r="I349" s="172" t="n"/>
      <c r="J349" s="105" t="n"/>
      <c r="K349" s="119" t="n"/>
    </row>
    <row r="350">
      <c r="A350" s="119" t="n"/>
      <c r="B350" s="127" t="n"/>
      <c r="C350" s="170" t="n"/>
      <c r="D350" s="167" t="n"/>
      <c r="E350" s="106" t="n"/>
      <c r="F350" s="106" t="n"/>
      <c r="G350" s="171">
        <f>IF(K350="","",HYPERLINK("#Transaksi!B"&amp;K350,"Kas"))</f>
        <v/>
      </c>
      <c r="H350" s="172" t="n"/>
      <c r="I350" s="172" t="n"/>
      <c r="J350" s="105" t="n"/>
      <c r="K350" s="119" t="n"/>
    </row>
    <row r="351">
      <c r="A351" s="119" t="n"/>
      <c r="B351" s="127" t="n"/>
      <c r="C351" s="170" t="n"/>
      <c r="D351" s="167" t="n"/>
      <c r="E351" s="106" t="n"/>
      <c r="F351" s="106" t="n"/>
      <c r="G351" s="171">
        <f>IF(K351="","",HYPERLINK("#Transaksi!B"&amp;K351,"Kas"))</f>
        <v/>
      </c>
      <c r="H351" s="172" t="n"/>
      <c r="I351" s="172" t="n"/>
      <c r="J351" s="105" t="n"/>
      <c r="K351" s="119" t="n"/>
    </row>
    <row r="352">
      <c r="A352" s="119" t="n"/>
      <c r="B352" s="127" t="n"/>
      <c r="C352" s="170" t="n"/>
      <c r="D352" s="167" t="n"/>
      <c r="E352" s="106" t="n"/>
      <c r="F352" s="106" t="n"/>
      <c r="G352" s="171">
        <f>IF(K352="","",HYPERLINK("#Transaksi!B"&amp;K352,"Kas"))</f>
        <v/>
      </c>
      <c r="H352" s="172" t="n"/>
      <c r="I352" s="172" t="n"/>
      <c r="J352" s="105" t="n"/>
      <c r="K352" s="119" t="n"/>
    </row>
    <row r="353">
      <c r="A353" s="119" t="n"/>
      <c r="B353" s="127" t="n"/>
      <c r="C353" s="170" t="n"/>
      <c r="D353" s="167" t="n"/>
      <c r="E353" s="106" t="n"/>
      <c r="F353" s="106" t="n"/>
      <c r="G353" s="171">
        <f>IF(K353="","",HYPERLINK("#Transaksi!B"&amp;K353,"Kas"))</f>
        <v/>
      </c>
      <c r="H353" s="172" t="n"/>
      <c r="I353" s="172" t="n"/>
      <c r="J353" s="105" t="n"/>
      <c r="K353" s="119" t="n"/>
    </row>
    <row r="354">
      <c r="A354" s="119" t="n"/>
      <c r="B354" s="127" t="n"/>
      <c r="C354" s="170" t="n"/>
      <c r="D354" s="167" t="n"/>
      <c r="E354" s="106" t="n"/>
      <c r="F354" s="106" t="n"/>
      <c r="G354" s="171">
        <f>IF(K354="","",HYPERLINK("#Transaksi!B"&amp;K354,"Kas"))</f>
        <v/>
      </c>
      <c r="H354" s="172" t="n"/>
      <c r="I354" s="172" t="n"/>
      <c r="J354" s="105" t="n"/>
      <c r="K354" s="119" t="n"/>
    </row>
    <row r="355">
      <c r="A355" s="119" t="n"/>
      <c r="B355" s="127" t="n"/>
      <c r="C355" s="170" t="n"/>
      <c r="D355" s="167" t="n"/>
      <c r="E355" s="106" t="n"/>
      <c r="F355" s="106" t="n"/>
      <c r="G355" s="171">
        <f>IF(K355="","",HYPERLINK("#Transaksi!B"&amp;K355,"Kas"))</f>
        <v/>
      </c>
      <c r="H355" s="172" t="n"/>
      <c r="I355" s="172" t="n"/>
      <c r="J355" s="105" t="n"/>
      <c r="K355" s="119" t="n"/>
    </row>
    <row r="356">
      <c r="A356" s="119" t="n"/>
      <c r="B356" s="127" t="n"/>
      <c r="C356" s="170" t="n"/>
      <c r="D356" s="167" t="n"/>
      <c r="E356" s="106" t="n"/>
      <c r="F356" s="106" t="n"/>
      <c r="G356" s="171">
        <f>IF(K356="","",HYPERLINK("#Transaksi!B"&amp;K356,"Kas"))</f>
        <v/>
      </c>
      <c r="H356" s="172" t="n"/>
      <c r="I356" s="172" t="n"/>
      <c r="J356" s="105" t="n"/>
      <c r="K356" s="119" t="n"/>
    </row>
    <row r="357">
      <c r="A357" s="119" t="n"/>
      <c r="B357" s="127" t="n"/>
      <c r="C357" s="170" t="n"/>
      <c r="D357" s="167" t="n"/>
      <c r="E357" s="106" t="n"/>
      <c r="F357" s="106" t="n"/>
      <c r="G357" s="171">
        <f>IF(K357="","",HYPERLINK("#Transaksi!B"&amp;K357,"Kas"))</f>
        <v/>
      </c>
      <c r="H357" s="172" t="n"/>
      <c r="I357" s="172" t="n"/>
      <c r="J357" s="105" t="n"/>
      <c r="K357" s="119" t="n"/>
    </row>
    <row r="358">
      <c r="A358" s="119" t="n"/>
      <c r="B358" s="127" t="n"/>
      <c r="C358" s="170" t="n"/>
      <c r="D358" s="167" t="n"/>
      <c r="E358" s="106" t="n"/>
      <c r="F358" s="106" t="n"/>
      <c r="G358" s="171">
        <f>IF(K358="","",HYPERLINK("#Transaksi!B"&amp;K358,"Kas"))</f>
        <v/>
      </c>
      <c r="H358" s="172" t="n"/>
      <c r="I358" s="172" t="n"/>
      <c r="J358" s="105" t="n"/>
      <c r="K358" s="119" t="n"/>
    </row>
    <row r="359">
      <c r="A359" s="119" t="n"/>
      <c r="B359" s="127" t="n"/>
      <c r="C359" s="170" t="n"/>
      <c r="D359" s="167" t="n"/>
      <c r="E359" s="106" t="n"/>
      <c r="F359" s="106" t="n"/>
      <c r="G359" s="171">
        <f>IF(K359="","",HYPERLINK("#Transaksi!B"&amp;K359,"Kas"))</f>
        <v/>
      </c>
      <c r="H359" s="172" t="n"/>
      <c r="I359" s="172" t="n"/>
      <c r="J359" s="105" t="n"/>
      <c r="K359" s="119" t="n"/>
    </row>
    <row r="360">
      <c r="A360" s="119" t="n"/>
      <c r="B360" s="127" t="n"/>
      <c r="C360" s="170" t="n"/>
      <c r="D360" s="167" t="n"/>
      <c r="E360" s="106" t="n"/>
      <c r="F360" s="106" t="n"/>
      <c r="G360" s="171">
        <f>IF(K360="","",HYPERLINK("#Transaksi!B"&amp;K360,"Kas"))</f>
        <v/>
      </c>
      <c r="H360" s="172" t="n"/>
      <c r="I360" s="172" t="n"/>
      <c r="J360" s="105" t="n"/>
      <c r="K360" s="119" t="n"/>
    </row>
    <row r="361">
      <c r="A361" s="119" t="n"/>
      <c r="B361" s="127" t="n"/>
      <c r="C361" s="170" t="n"/>
      <c r="D361" s="167" t="n"/>
      <c r="E361" s="106" t="n"/>
      <c r="F361" s="106" t="n"/>
      <c r="G361" s="171">
        <f>IF(K361="","",HYPERLINK("#Transaksi!B"&amp;K361,"Kas"))</f>
        <v/>
      </c>
      <c r="H361" s="172" t="n"/>
      <c r="I361" s="172" t="n"/>
      <c r="J361" s="105" t="n"/>
      <c r="K361" s="119" t="n"/>
    </row>
    <row r="362">
      <c r="A362" s="119" t="n"/>
      <c r="B362" s="127" t="n"/>
      <c r="C362" s="170" t="n"/>
      <c r="D362" s="167" t="n"/>
      <c r="E362" s="106" t="n"/>
      <c r="F362" s="106" t="n"/>
      <c r="G362" s="171">
        <f>IF(K362="","",HYPERLINK("#Transaksi!B"&amp;K362,"Kas"))</f>
        <v/>
      </c>
      <c r="H362" s="172" t="n"/>
      <c r="I362" s="172" t="n"/>
      <c r="J362" s="105" t="n"/>
      <c r="K362" s="119" t="n"/>
    </row>
    <row r="363">
      <c r="A363" s="119" t="n"/>
      <c r="B363" s="127" t="n"/>
      <c r="C363" s="170" t="n"/>
      <c r="D363" s="167" t="n"/>
      <c r="E363" s="106" t="n"/>
      <c r="F363" s="106" t="n"/>
      <c r="G363" s="171">
        <f>IF(K363="","",HYPERLINK("#Transaksi!B"&amp;K363,"Kas"))</f>
        <v/>
      </c>
      <c r="H363" s="172" t="n"/>
      <c r="I363" s="172" t="n"/>
      <c r="J363" s="105" t="n"/>
      <c r="K363" s="119" t="n"/>
    </row>
    <row r="364">
      <c r="A364" s="119" t="n"/>
      <c r="B364" s="127" t="n"/>
      <c r="C364" s="170" t="n"/>
      <c r="D364" s="167" t="n"/>
      <c r="E364" s="106" t="n"/>
      <c r="F364" s="106" t="n"/>
      <c r="G364" s="171">
        <f>IF(K364="","",HYPERLINK("#Transaksi!B"&amp;K364,"Kas"))</f>
        <v/>
      </c>
      <c r="H364" s="172" t="n"/>
      <c r="I364" s="172" t="n"/>
      <c r="J364" s="105" t="n"/>
      <c r="K364" s="119" t="n"/>
    </row>
    <row r="365">
      <c r="A365" s="119" t="n"/>
      <c r="B365" s="127" t="n"/>
      <c r="C365" s="170" t="n"/>
      <c r="D365" s="167" t="n"/>
      <c r="E365" s="106" t="n"/>
      <c r="F365" s="106" t="n"/>
      <c r="G365" s="171">
        <f>IF(K365="","",HYPERLINK("#Transaksi!B"&amp;K365,"Kas"))</f>
        <v/>
      </c>
      <c r="H365" s="172" t="n"/>
      <c r="I365" s="172" t="n"/>
      <c r="J365" s="105" t="n"/>
      <c r="K365" s="119" t="n"/>
    </row>
    <row r="366">
      <c r="A366" s="119" t="n"/>
      <c r="B366" s="127" t="n"/>
      <c r="C366" s="170" t="n"/>
      <c r="D366" s="167" t="n"/>
      <c r="E366" s="106" t="n"/>
      <c r="F366" s="106" t="n"/>
      <c r="G366" s="171">
        <f>IF(K366="","",HYPERLINK("#Transaksi!B"&amp;K366,"Kas"))</f>
        <v/>
      </c>
      <c r="H366" s="172" t="n"/>
      <c r="I366" s="172" t="n"/>
      <c r="J366" s="105" t="n"/>
      <c r="K366" s="119" t="n"/>
    </row>
    <row r="367">
      <c r="A367" s="119" t="n"/>
      <c r="B367" s="127" t="n"/>
      <c r="C367" s="170" t="n"/>
      <c r="D367" s="167" t="n"/>
      <c r="E367" s="106" t="n"/>
      <c r="F367" s="106" t="n"/>
      <c r="G367" s="171">
        <f>IF(K367="","",HYPERLINK("#Transaksi!B"&amp;K367,"Kas"))</f>
        <v/>
      </c>
      <c r="H367" s="172" t="n"/>
      <c r="I367" s="172" t="n"/>
      <c r="J367" s="105" t="n"/>
      <c r="K367" s="119" t="n"/>
    </row>
    <row r="368">
      <c r="A368" s="119" t="n"/>
      <c r="B368" s="127" t="n"/>
      <c r="C368" s="170" t="n"/>
      <c r="D368" s="167" t="n"/>
      <c r="E368" s="106" t="n"/>
      <c r="F368" s="106" t="n"/>
      <c r="G368" s="171">
        <f>IF(K368="","",HYPERLINK("#Transaksi!B"&amp;K368,"Kas"))</f>
        <v/>
      </c>
      <c r="H368" s="172" t="n"/>
      <c r="I368" s="172" t="n"/>
      <c r="J368" s="105" t="n"/>
      <c r="K368" s="119" t="n"/>
    </row>
    <row r="369">
      <c r="A369" s="119" t="n"/>
      <c r="B369" s="127" t="n"/>
      <c r="C369" s="170" t="n"/>
      <c r="D369" s="167" t="n"/>
      <c r="E369" s="106" t="n"/>
      <c r="F369" s="106" t="n"/>
      <c r="G369" s="171">
        <f>IF(K369="","",HYPERLINK("#Transaksi!B"&amp;K369,"Kas"))</f>
        <v/>
      </c>
      <c r="H369" s="172" t="n"/>
      <c r="I369" s="172" t="n"/>
      <c r="J369" s="105" t="n"/>
      <c r="K369" s="119" t="n"/>
    </row>
    <row r="370">
      <c r="A370" s="119" t="n"/>
      <c r="B370" s="127" t="n"/>
      <c r="C370" s="170" t="n"/>
      <c r="D370" s="167" t="n"/>
      <c r="E370" s="106" t="n"/>
      <c r="F370" s="106" t="n"/>
      <c r="G370" s="171">
        <f>IF(K370="","",HYPERLINK("#Transaksi!B"&amp;K370,"Kas"))</f>
        <v/>
      </c>
      <c r="H370" s="172" t="n"/>
      <c r="I370" s="172" t="n"/>
      <c r="J370" s="105" t="n"/>
      <c r="K370" s="119" t="n"/>
    </row>
    <row r="371">
      <c r="A371" s="119" t="n"/>
      <c r="B371" s="127" t="n"/>
      <c r="C371" s="170" t="n"/>
      <c r="D371" s="167" t="n"/>
      <c r="E371" s="106" t="n"/>
      <c r="F371" s="106" t="n"/>
      <c r="G371" s="171">
        <f>IF(K371="","",HYPERLINK("#Transaksi!B"&amp;K371,"Kas"))</f>
        <v/>
      </c>
      <c r="H371" s="172" t="n"/>
      <c r="I371" s="172" t="n"/>
      <c r="J371" s="105" t="n"/>
      <c r="K371" s="119" t="n"/>
    </row>
    <row r="372">
      <c r="A372" s="119" t="n"/>
      <c r="B372" s="127" t="n"/>
      <c r="C372" s="170" t="n"/>
      <c r="D372" s="167" t="n"/>
      <c r="E372" s="106" t="n"/>
      <c r="F372" s="106" t="n"/>
      <c r="G372" s="171">
        <f>IF(K372="","",HYPERLINK("#Transaksi!B"&amp;K372,"Kas"))</f>
        <v/>
      </c>
      <c r="H372" s="172" t="n"/>
      <c r="I372" s="172" t="n"/>
      <c r="J372" s="105" t="n"/>
      <c r="K372" s="119" t="n"/>
    </row>
    <row r="373">
      <c r="A373" s="119" t="n"/>
      <c r="B373" s="127" t="n"/>
      <c r="C373" s="170" t="n"/>
      <c r="D373" s="167" t="n"/>
      <c r="E373" s="106" t="n"/>
      <c r="F373" s="106" t="n"/>
      <c r="G373" s="171">
        <f>IF(K373="","",HYPERLINK("#Transaksi!B"&amp;K373,"Kas"))</f>
        <v/>
      </c>
      <c r="H373" s="172" t="n"/>
      <c r="I373" s="172" t="n"/>
      <c r="J373" s="105" t="n"/>
      <c r="K373" s="119" t="n"/>
    </row>
    <row r="374">
      <c r="A374" s="119" t="n"/>
      <c r="B374" s="127" t="n"/>
      <c r="C374" s="170" t="n"/>
      <c r="D374" s="167" t="n"/>
      <c r="E374" s="106" t="n"/>
      <c r="F374" s="106" t="n"/>
      <c r="G374" s="171">
        <f>IF(K374="","",HYPERLINK("#Transaksi!B"&amp;K374,"Kas"))</f>
        <v/>
      </c>
      <c r="H374" s="172" t="n"/>
      <c r="I374" s="172" t="n"/>
      <c r="J374" s="105" t="n"/>
      <c r="K374" s="119" t="n"/>
    </row>
    <row r="375">
      <c r="A375" s="119" t="n"/>
      <c r="B375" s="127" t="n"/>
      <c r="C375" s="170" t="n"/>
      <c r="D375" s="167" t="n"/>
      <c r="E375" s="106" t="n"/>
      <c r="F375" s="106" t="n"/>
      <c r="G375" s="171">
        <f>IF(K375="","",HYPERLINK("#Transaksi!B"&amp;K375,"Kas"))</f>
        <v/>
      </c>
      <c r="H375" s="172" t="n"/>
      <c r="I375" s="172" t="n"/>
      <c r="J375" s="105" t="n"/>
      <c r="K375" s="119" t="n"/>
    </row>
    <row r="376">
      <c r="A376" s="119" t="n"/>
      <c r="B376" s="127" t="n"/>
      <c r="C376" s="170" t="n"/>
      <c r="D376" s="167" t="n"/>
      <c r="E376" s="106" t="n"/>
      <c r="F376" s="106" t="n"/>
      <c r="G376" s="171">
        <f>IF(K376="","",HYPERLINK("#Transaksi!B"&amp;K376,"Kas"))</f>
        <v/>
      </c>
      <c r="H376" s="172" t="n"/>
      <c r="I376" s="172" t="n"/>
      <c r="J376" s="105" t="n"/>
      <c r="K376" s="119" t="n"/>
    </row>
    <row r="377">
      <c r="A377" s="119" t="n"/>
      <c r="B377" s="127" t="n"/>
      <c r="C377" s="170" t="n"/>
      <c r="D377" s="167" t="n"/>
      <c r="E377" s="106" t="n"/>
      <c r="F377" s="106" t="n"/>
      <c r="G377" s="171">
        <f>IF(K377="","",HYPERLINK("#Transaksi!B"&amp;K377,"Kas"))</f>
        <v/>
      </c>
      <c r="H377" s="172" t="n"/>
      <c r="I377" s="172" t="n"/>
      <c r="J377" s="105" t="n"/>
      <c r="K377" s="119" t="n"/>
    </row>
    <row r="378">
      <c r="A378" s="119" t="n"/>
      <c r="B378" s="127" t="n"/>
      <c r="C378" s="170" t="n"/>
      <c r="D378" s="167" t="n"/>
      <c r="E378" s="106" t="n"/>
      <c r="F378" s="106" t="n"/>
      <c r="G378" s="171">
        <f>IF(K378="","",HYPERLINK("#Transaksi!B"&amp;K378,"Kas"))</f>
        <v/>
      </c>
      <c r="H378" s="172" t="n"/>
      <c r="I378" s="172" t="n"/>
      <c r="J378" s="105" t="n"/>
      <c r="K378" s="119" t="n"/>
    </row>
    <row r="379">
      <c r="A379" s="119" t="n"/>
      <c r="B379" s="127" t="n"/>
      <c r="C379" s="170" t="n"/>
      <c r="D379" s="167" t="n"/>
      <c r="E379" s="106" t="n"/>
      <c r="F379" s="106" t="n"/>
      <c r="G379" s="171">
        <f>IF(K379="","",HYPERLINK("#Transaksi!B"&amp;K379,"Kas"))</f>
        <v/>
      </c>
      <c r="H379" s="172" t="n"/>
      <c r="I379" s="172" t="n"/>
      <c r="J379" s="105" t="n"/>
      <c r="K379" s="119" t="n"/>
    </row>
    <row r="380">
      <c r="A380" s="119" t="n"/>
      <c r="B380" s="127" t="n"/>
      <c r="C380" s="170" t="n"/>
      <c r="D380" s="167" t="n"/>
      <c r="E380" s="106" t="n"/>
      <c r="F380" s="106" t="n"/>
      <c r="G380" s="171">
        <f>IF(K380="","",HYPERLINK("#Transaksi!B"&amp;K380,"Kas"))</f>
        <v/>
      </c>
      <c r="H380" s="172" t="n"/>
      <c r="I380" s="172" t="n"/>
      <c r="J380" s="105" t="n"/>
      <c r="K380" s="119" t="n"/>
    </row>
    <row r="381">
      <c r="A381" s="119" t="n"/>
      <c r="B381" s="127" t="n"/>
      <c r="C381" s="170" t="n"/>
      <c r="D381" s="167" t="n"/>
      <c r="E381" s="106" t="n"/>
      <c r="F381" s="106" t="n"/>
      <c r="G381" s="171">
        <f>IF(K381="","",HYPERLINK("#Transaksi!B"&amp;K381,"Kas"))</f>
        <v/>
      </c>
      <c r="H381" s="172" t="n"/>
      <c r="I381" s="172" t="n"/>
      <c r="J381" s="105" t="n"/>
      <c r="K381" s="119" t="n"/>
    </row>
    <row r="382">
      <c r="A382" s="119" t="n"/>
      <c r="B382" s="127" t="n"/>
      <c r="C382" s="170" t="n"/>
      <c r="D382" s="167" t="n"/>
      <c r="E382" s="106" t="n"/>
      <c r="F382" s="106" t="n"/>
      <c r="G382" s="171">
        <f>IF(K382="","",HYPERLINK("#Transaksi!B"&amp;K382,"Kas"))</f>
        <v/>
      </c>
      <c r="H382" s="172" t="n"/>
      <c r="I382" s="172" t="n"/>
      <c r="J382" s="105" t="n"/>
      <c r="K382" s="119" t="n"/>
    </row>
    <row r="383">
      <c r="A383" s="119" t="n"/>
      <c r="B383" s="127" t="n"/>
      <c r="C383" s="170" t="n"/>
      <c r="D383" s="167" t="n"/>
      <c r="E383" s="106" t="n"/>
      <c r="F383" s="106" t="n"/>
      <c r="G383" s="171">
        <f>IF(K383="","",HYPERLINK("#Transaksi!B"&amp;K383,"Kas"))</f>
        <v/>
      </c>
      <c r="H383" s="172" t="n"/>
      <c r="I383" s="172" t="n"/>
      <c r="J383" s="105" t="n"/>
      <c r="K383" s="119" t="n"/>
    </row>
    <row r="384">
      <c r="A384" s="119" t="n"/>
      <c r="B384" s="127" t="n"/>
      <c r="C384" s="170" t="n"/>
      <c r="D384" s="167" t="n"/>
      <c r="E384" s="106" t="n"/>
      <c r="F384" s="106" t="n"/>
      <c r="G384" s="171">
        <f>IF(K384="","",HYPERLINK("#Transaksi!B"&amp;K384,"Kas"))</f>
        <v/>
      </c>
      <c r="H384" s="172" t="n"/>
      <c r="I384" s="172" t="n"/>
      <c r="J384" s="105" t="n"/>
      <c r="K384" s="119" t="n"/>
    </row>
    <row r="385">
      <c r="A385" s="119" t="n"/>
      <c r="B385" s="127" t="n"/>
      <c r="C385" s="170" t="n"/>
      <c r="D385" s="167" t="n"/>
      <c r="E385" s="106" t="n"/>
      <c r="F385" s="106" t="n"/>
      <c r="G385" s="171">
        <f>IF(K385="","",HYPERLINK("#Transaksi!B"&amp;K385,"Kas"))</f>
        <v/>
      </c>
      <c r="H385" s="172" t="n"/>
      <c r="I385" s="172" t="n"/>
      <c r="J385" s="105" t="n"/>
      <c r="K385" s="119" t="n"/>
    </row>
    <row r="386">
      <c r="A386" s="119" t="n"/>
      <c r="B386" s="127" t="n"/>
      <c r="C386" s="170" t="n"/>
      <c r="D386" s="167" t="n"/>
      <c r="E386" s="106" t="n"/>
      <c r="F386" s="106" t="n"/>
      <c r="G386" s="171">
        <f>IF(K386="","",HYPERLINK("#Transaksi!B"&amp;K386,"Kas"))</f>
        <v/>
      </c>
      <c r="H386" s="172" t="n"/>
      <c r="I386" s="172" t="n"/>
      <c r="J386" s="105" t="n"/>
      <c r="K386" s="119" t="n"/>
    </row>
    <row r="387">
      <c r="A387" s="119" t="n"/>
      <c r="B387" s="127" t="n"/>
      <c r="C387" s="170" t="n"/>
      <c r="D387" s="167" t="n"/>
      <c r="E387" s="106" t="n"/>
      <c r="F387" s="106" t="n"/>
      <c r="G387" s="171">
        <f>IF(K387="","",HYPERLINK("#Transaksi!B"&amp;K387,"Kas"))</f>
        <v/>
      </c>
      <c r="H387" s="172" t="n"/>
      <c r="I387" s="172" t="n"/>
      <c r="J387" s="105" t="n"/>
      <c r="K387" s="119" t="n"/>
    </row>
    <row r="388">
      <c r="A388" s="119" t="n"/>
      <c r="B388" s="127" t="n"/>
      <c r="C388" s="170" t="n"/>
      <c r="D388" s="167" t="n"/>
      <c r="E388" s="106" t="n"/>
      <c r="F388" s="106" t="n"/>
      <c r="G388" s="171">
        <f>IF(K388="","",HYPERLINK("#Transaksi!B"&amp;K388,"Kas"))</f>
        <v/>
      </c>
      <c r="H388" s="172" t="n"/>
      <c r="I388" s="172" t="n"/>
      <c r="J388" s="105" t="n"/>
      <c r="K388" s="119" t="n"/>
    </row>
    <row r="389">
      <c r="A389" s="119" t="n"/>
      <c r="B389" s="127" t="n"/>
      <c r="C389" s="170" t="n"/>
      <c r="D389" s="167" t="n"/>
      <c r="E389" s="106" t="n"/>
      <c r="F389" s="106" t="n"/>
      <c r="G389" s="171">
        <f>IF(K389="","",HYPERLINK("#Transaksi!B"&amp;K389,"Kas"))</f>
        <v/>
      </c>
      <c r="H389" s="172" t="n"/>
      <c r="I389" s="172" t="n"/>
      <c r="J389" s="105" t="n"/>
      <c r="K389" s="119" t="n"/>
    </row>
    <row r="390">
      <c r="A390" s="119" t="n"/>
      <c r="B390" s="127" t="n"/>
      <c r="C390" s="170" t="n"/>
      <c r="D390" s="167" t="n"/>
      <c r="E390" s="106" t="n"/>
      <c r="F390" s="106" t="n"/>
      <c r="G390" s="171">
        <f>IF(K390="","",HYPERLINK("#Transaksi!B"&amp;K390,"Kas"))</f>
        <v/>
      </c>
      <c r="H390" s="172" t="n"/>
      <c r="I390" s="172" t="n"/>
      <c r="J390" s="105" t="n"/>
      <c r="K390" s="119" t="n"/>
    </row>
    <row r="391">
      <c r="A391" s="119" t="n"/>
      <c r="B391" s="127" t="n"/>
      <c r="C391" s="170" t="n"/>
      <c r="D391" s="167" t="n"/>
      <c r="E391" s="106" t="n"/>
      <c r="F391" s="106" t="n"/>
      <c r="G391" s="171">
        <f>IF(K391="","",HYPERLINK("#Transaksi!B"&amp;K391,"Kas"))</f>
        <v/>
      </c>
      <c r="H391" s="172" t="n"/>
      <c r="I391" s="172" t="n"/>
      <c r="J391" s="105" t="n"/>
      <c r="K391" s="119" t="n"/>
    </row>
    <row r="392">
      <c r="A392" s="119" t="n"/>
      <c r="B392" s="127" t="n"/>
      <c r="C392" s="170" t="n"/>
      <c r="D392" s="167" t="n"/>
      <c r="E392" s="106" t="n"/>
      <c r="F392" s="106" t="n"/>
      <c r="G392" s="171">
        <f>IF(K392="","",HYPERLINK("#Transaksi!B"&amp;K392,"Kas"))</f>
        <v/>
      </c>
      <c r="H392" s="172" t="n"/>
      <c r="I392" s="172" t="n"/>
      <c r="J392" s="105" t="n"/>
      <c r="K392" s="119" t="n"/>
    </row>
    <row r="393">
      <c r="A393" s="119" t="n"/>
      <c r="B393" s="127" t="n"/>
      <c r="C393" s="170" t="n"/>
      <c r="D393" s="167" t="n"/>
      <c r="E393" s="106" t="n"/>
      <c r="F393" s="106" t="n"/>
      <c r="G393" s="171">
        <f>IF(K393="","",HYPERLINK("#Transaksi!B"&amp;K393,"Kas"))</f>
        <v/>
      </c>
      <c r="H393" s="172" t="n"/>
      <c r="I393" s="172" t="n"/>
      <c r="J393" s="105" t="n"/>
      <c r="K393" s="119" t="n"/>
    </row>
    <row r="394">
      <c r="A394" s="119" t="n"/>
      <c r="B394" s="127" t="n"/>
      <c r="C394" s="170" t="n"/>
      <c r="D394" s="167" t="n"/>
      <c r="E394" s="106" t="n"/>
      <c r="F394" s="106" t="n"/>
      <c r="G394" s="171">
        <f>IF(K394="","",HYPERLINK("#Transaksi!B"&amp;K394,"Kas"))</f>
        <v/>
      </c>
      <c r="H394" s="172" t="n"/>
      <c r="I394" s="172" t="n"/>
      <c r="J394" s="105" t="n"/>
      <c r="K394" s="119" t="n"/>
    </row>
    <row r="395">
      <c r="A395" s="119" t="n"/>
      <c r="B395" s="127" t="n"/>
      <c r="C395" s="170" t="n"/>
      <c r="D395" s="167" t="n"/>
      <c r="E395" s="106" t="n"/>
      <c r="F395" s="106" t="n"/>
      <c r="G395" s="171">
        <f>IF(K395="","",HYPERLINK("#Transaksi!B"&amp;K395,"Kas"))</f>
        <v/>
      </c>
      <c r="H395" s="172" t="n"/>
      <c r="I395" s="172" t="n"/>
      <c r="J395" s="105" t="n"/>
      <c r="K395" s="119" t="n"/>
    </row>
    <row r="396">
      <c r="A396" s="119" t="n"/>
      <c r="B396" s="127" t="n"/>
      <c r="C396" s="170" t="n"/>
      <c r="D396" s="167" t="n"/>
      <c r="E396" s="106" t="n"/>
      <c r="F396" s="106" t="n"/>
      <c r="G396" s="171">
        <f>IF(K396="","",HYPERLINK("#Transaksi!B"&amp;K396,"Kas"))</f>
        <v/>
      </c>
      <c r="H396" s="172" t="n"/>
      <c r="I396" s="172" t="n"/>
      <c r="J396" s="105" t="n"/>
      <c r="K396" s="119" t="n"/>
    </row>
    <row r="397">
      <c r="A397" s="119" t="n"/>
      <c r="B397" s="127" t="n"/>
      <c r="C397" s="170" t="n"/>
      <c r="D397" s="167" t="n"/>
      <c r="E397" s="106" t="n"/>
      <c r="F397" s="106" t="n"/>
      <c r="G397" s="171">
        <f>IF(K397="","",HYPERLINK("#Transaksi!B"&amp;K397,"Kas"))</f>
        <v/>
      </c>
      <c r="H397" s="172" t="n"/>
      <c r="I397" s="172" t="n"/>
      <c r="J397" s="105" t="n"/>
      <c r="K397" s="119" t="n"/>
    </row>
    <row r="398">
      <c r="A398" s="119" t="n"/>
      <c r="B398" s="127" t="n"/>
      <c r="C398" s="170" t="n"/>
      <c r="D398" s="167" t="n"/>
      <c r="E398" s="106" t="n"/>
      <c r="F398" s="106" t="n"/>
      <c r="G398" s="171">
        <f>IF(K398="","",HYPERLINK("#Transaksi!B"&amp;K398,"Kas"))</f>
        <v/>
      </c>
      <c r="H398" s="172" t="n"/>
      <c r="I398" s="172" t="n"/>
      <c r="J398" s="105" t="n"/>
      <c r="K398" s="119" t="n"/>
    </row>
    <row r="399">
      <c r="A399" s="119" t="n"/>
      <c r="B399" s="127" t="n"/>
      <c r="C399" s="170" t="n"/>
      <c r="D399" s="167" t="n"/>
      <c r="E399" s="106" t="n"/>
      <c r="F399" s="106" t="n"/>
      <c r="G399" s="171">
        <f>IF(K399="","",HYPERLINK("#Transaksi!B"&amp;K399,"Kas"))</f>
        <v/>
      </c>
      <c r="H399" s="172" t="n"/>
      <c r="I399" s="172" t="n"/>
      <c r="J399" s="105" t="n"/>
      <c r="K399" s="119" t="n"/>
    </row>
    <row r="400">
      <c r="A400" s="119" t="n"/>
      <c r="B400" s="127" t="n"/>
      <c r="C400" s="170" t="n"/>
      <c r="D400" s="167" t="n"/>
      <c r="E400" s="106" t="n"/>
      <c r="F400" s="106" t="n"/>
      <c r="G400" s="171">
        <f>IF(K400="","",HYPERLINK("#Transaksi!B"&amp;K400,"Kas"))</f>
        <v/>
      </c>
      <c r="H400" s="172" t="n"/>
      <c r="I400" s="172" t="n"/>
      <c r="J400" s="105" t="n"/>
      <c r="K400" s="119" t="n"/>
    </row>
    <row r="401">
      <c r="A401" s="119" t="n"/>
      <c r="B401" s="127" t="n"/>
      <c r="C401" s="170" t="n"/>
      <c r="D401" s="167" t="n"/>
      <c r="E401" s="106" t="n"/>
      <c r="F401" s="106" t="n"/>
      <c r="G401" s="171">
        <f>IF(K401="","",HYPERLINK("#Transaksi!B"&amp;K401,"Kas"))</f>
        <v/>
      </c>
      <c r="H401" s="172" t="n"/>
      <c r="I401" s="172" t="n"/>
      <c r="J401" s="105" t="n"/>
      <c r="K401" s="119" t="n"/>
    </row>
    <row r="402">
      <c r="A402" s="119" t="n"/>
      <c r="B402" s="127" t="n"/>
      <c r="C402" s="170" t="n"/>
      <c r="D402" s="167" t="n"/>
      <c r="E402" s="106" t="n"/>
      <c r="F402" s="106" t="n"/>
      <c r="G402" s="171">
        <f>IF(K402="","",HYPERLINK("#Transaksi!B"&amp;K402,"Kas"))</f>
        <v/>
      </c>
      <c r="H402" s="172" t="n"/>
      <c r="I402" s="172" t="n"/>
      <c r="J402" s="105" t="n"/>
      <c r="K402" s="119" t="n"/>
    </row>
    <row r="403">
      <c r="A403" s="119" t="n"/>
      <c r="B403" s="127" t="n"/>
      <c r="C403" s="170" t="n"/>
      <c r="D403" s="167" t="n"/>
      <c r="E403" s="106" t="n"/>
      <c r="F403" s="106" t="n"/>
      <c r="G403" s="171">
        <f>IF(K403="","",HYPERLINK("#Transaksi!B"&amp;K403,"Kas"))</f>
        <v/>
      </c>
      <c r="H403" s="172" t="n"/>
      <c r="I403" s="172" t="n"/>
      <c r="J403" s="105" t="n"/>
      <c r="K403" s="119" t="n"/>
    </row>
    <row r="404">
      <c r="A404" s="119" t="n"/>
      <c r="B404" s="127" t="n"/>
      <c r="C404" s="170" t="n"/>
      <c r="D404" s="167" t="n"/>
      <c r="E404" s="106" t="n"/>
      <c r="F404" s="106" t="n"/>
      <c r="G404" s="171">
        <f>IF(K404="","",HYPERLINK("#Transaksi!B"&amp;K404,"Kas"))</f>
        <v/>
      </c>
      <c r="H404" s="172" t="n"/>
      <c r="I404" s="172" t="n"/>
      <c r="J404" s="105" t="n"/>
      <c r="K404" s="119" t="n"/>
    </row>
    <row r="405">
      <c r="A405" s="119" t="n"/>
      <c r="B405" s="127" t="n"/>
      <c r="C405" s="170" t="n"/>
      <c r="D405" s="167" t="n"/>
      <c r="E405" s="106" t="n"/>
      <c r="F405" s="106" t="n"/>
      <c r="G405" s="171">
        <f>IF(K405="","",HYPERLINK("#Transaksi!B"&amp;K405,"Kas"))</f>
        <v/>
      </c>
      <c r="H405" s="172" t="n"/>
      <c r="I405" s="172" t="n"/>
      <c r="J405" s="105" t="n"/>
      <c r="K405" s="119" t="n"/>
    </row>
    <row r="406">
      <c r="A406" s="119" t="n"/>
      <c r="B406" s="127" t="n"/>
      <c r="C406" s="170" t="n"/>
      <c r="D406" s="167" t="n"/>
      <c r="E406" s="106" t="n"/>
      <c r="F406" s="106" t="n"/>
      <c r="G406" s="171">
        <f>IF(K406="","",HYPERLINK("#Transaksi!B"&amp;K406,"Kas"))</f>
        <v/>
      </c>
      <c r="H406" s="172" t="n"/>
      <c r="I406" s="172" t="n"/>
      <c r="J406" s="105" t="n"/>
      <c r="K406" s="119" t="n"/>
    </row>
    <row r="407">
      <c r="A407" s="119" t="n"/>
      <c r="B407" s="127" t="n"/>
      <c r="C407" s="170" t="n"/>
      <c r="D407" s="167" t="n"/>
      <c r="E407" s="106" t="n"/>
      <c r="F407" s="106" t="n"/>
      <c r="G407" s="171">
        <f>IF(K407="","",HYPERLINK("#Transaksi!B"&amp;K407,"Kas"))</f>
        <v/>
      </c>
      <c r="H407" s="172" t="n"/>
      <c r="I407" s="172" t="n"/>
      <c r="J407" s="105" t="n"/>
      <c r="K407" s="119" t="n"/>
    </row>
    <row r="408">
      <c r="A408" s="119" t="n"/>
      <c r="B408" s="127" t="n"/>
      <c r="C408" s="170" t="n"/>
      <c r="D408" s="167" t="n"/>
      <c r="E408" s="106" t="n"/>
      <c r="F408" s="106" t="n"/>
      <c r="G408" s="171">
        <f>IF(K408="","",HYPERLINK("#Transaksi!B"&amp;K408,"Kas"))</f>
        <v/>
      </c>
      <c r="H408" s="172" t="n"/>
      <c r="I408" s="172" t="n"/>
      <c r="J408" s="105" t="n"/>
      <c r="K408" s="119" t="n"/>
    </row>
    <row r="409">
      <c r="A409" s="119" t="n"/>
      <c r="B409" s="127" t="n"/>
      <c r="C409" s="170" t="n"/>
      <c r="D409" s="167" t="n"/>
      <c r="E409" s="106" t="n"/>
      <c r="F409" s="106" t="n"/>
      <c r="G409" s="171">
        <f>IF(K409="","",HYPERLINK("#Transaksi!B"&amp;K409,"Kas"))</f>
        <v/>
      </c>
      <c r="H409" s="172" t="n"/>
      <c r="I409" s="172" t="n"/>
      <c r="J409" s="105" t="n"/>
      <c r="K409" s="119" t="n"/>
    </row>
    <row r="410">
      <c r="A410" s="119" t="n"/>
      <c r="B410" s="127" t="n"/>
      <c r="C410" s="170" t="n"/>
      <c r="D410" s="167" t="n"/>
      <c r="E410" s="106" t="n"/>
      <c r="F410" s="106" t="n"/>
      <c r="G410" s="171">
        <f>IF(K410="","",HYPERLINK("#Transaksi!B"&amp;K410,"Kas"))</f>
        <v/>
      </c>
      <c r="H410" s="172" t="n"/>
      <c r="I410" s="172" t="n"/>
      <c r="J410" s="105" t="n"/>
      <c r="K410" s="119" t="n"/>
    </row>
    <row r="411">
      <c r="A411" s="119" t="n"/>
      <c r="B411" s="127" t="n"/>
      <c r="C411" s="170" t="n"/>
      <c r="D411" s="167" t="n"/>
      <c r="E411" s="106" t="n"/>
      <c r="F411" s="106" t="n"/>
      <c r="G411" s="171">
        <f>IF(K411="","",HYPERLINK("#Transaksi!B"&amp;K411,"Kas"))</f>
        <v/>
      </c>
      <c r="H411" s="172" t="n"/>
      <c r="I411" s="172" t="n"/>
      <c r="J411" s="105" t="n"/>
      <c r="K411" s="119" t="n"/>
    </row>
    <row r="412">
      <c r="A412" s="119" t="n"/>
      <c r="B412" s="127" t="n"/>
      <c r="C412" s="170" t="n"/>
      <c r="D412" s="167" t="n"/>
      <c r="E412" s="106" t="n"/>
      <c r="F412" s="106" t="n"/>
      <c r="G412" s="171">
        <f>IF(K412="","",HYPERLINK("#Transaksi!B"&amp;K412,"Kas"))</f>
        <v/>
      </c>
      <c r="H412" s="172" t="n"/>
      <c r="I412" s="172" t="n"/>
      <c r="J412" s="105" t="n"/>
      <c r="K412" s="119" t="n"/>
    </row>
    <row r="413">
      <c r="A413" s="119" t="n"/>
      <c r="B413" s="127" t="n"/>
      <c r="C413" s="170" t="n"/>
      <c r="D413" s="167" t="n"/>
      <c r="E413" s="106" t="n"/>
      <c r="F413" s="106" t="n"/>
      <c r="G413" s="171">
        <f>IF(K413="","",HYPERLINK("#Transaksi!B"&amp;K413,"Kas"))</f>
        <v/>
      </c>
      <c r="H413" s="172" t="n"/>
      <c r="I413" s="172" t="n"/>
      <c r="J413" s="105" t="n"/>
      <c r="K413" s="119" t="n"/>
    </row>
    <row r="414">
      <c r="A414" s="119" t="n"/>
      <c r="B414" s="127" t="n"/>
      <c r="C414" s="170" t="n"/>
      <c r="D414" s="167" t="n"/>
      <c r="E414" s="106" t="n"/>
      <c r="F414" s="106" t="n"/>
      <c r="G414" s="171">
        <f>IF(K414="","",HYPERLINK("#Transaksi!B"&amp;K414,"Kas"))</f>
        <v/>
      </c>
      <c r="H414" s="172" t="n"/>
      <c r="I414" s="172" t="n"/>
      <c r="J414" s="105" t="n"/>
      <c r="K414" s="119" t="n"/>
    </row>
    <row r="415">
      <c r="A415" s="119" t="n"/>
      <c r="B415" s="127" t="n"/>
      <c r="C415" s="170" t="n"/>
      <c r="D415" s="167" t="n"/>
      <c r="E415" s="106" t="n"/>
      <c r="F415" s="106" t="n"/>
      <c r="G415" s="171">
        <f>IF(K415="","",HYPERLINK("#Transaksi!B"&amp;K415,"Kas"))</f>
        <v/>
      </c>
      <c r="H415" s="172" t="n"/>
      <c r="I415" s="172" t="n"/>
      <c r="J415" s="105" t="n"/>
      <c r="K415" s="119" t="n"/>
    </row>
    <row r="416">
      <c r="A416" s="119" t="n"/>
      <c r="B416" s="127" t="n"/>
      <c r="C416" s="170" t="n"/>
      <c r="D416" s="167" t="n"/>
      <c r="E416" s="106" t="n"/>
      <c r="F416" s="106" t="n"/>
      <c r="G416" s="171">
        <f>IF(K416="","",HYPERLINK("#Transaksi!B"&amp;K416,"Kas"))</f>
        <v/>
      </c>
      <c r="H416" s="172" t="n"/>
      <c r="I416" s="172" t="n"/>
      <c r="J416" s="105" t="n"/>
      <c r="K416" s="119" t="n"/>
    </row>
    <row r="417">
      <c r="A417" s="119" t="n"/>
      <c r="B417" s="127" t="n"/>
      <c r="C417" s="170" t="n"/>
      <c r="D417" s="167" t="n"/>
      <c r="E417" s="106" t="n"/>
      <c r="F417" s="106" t="n"/>
      <c r="G417" s="171">
        <f>IF(K417="","",HYPERLINK("#Transaksi!B"&amp;K417,"Kas"))</f>
        <v/>
      </c>
      <c r="H417" s="172" t="n"/>
      <c r="I417" s="172" t="n"/>
      <c r="J417" s="105" t="n"/>
      <c r="K417" s="119" t="n"/>
    </row>
    <row r="418">
      <c r="A418" s="119" t="n"/>
      <c r="B418" s="127" t="n"/>
      <c r="C418" s="170" t="n"/>
      <c r="D418" s="167" t="n"/>
      <c r="E418" s="106" t="n"/>
      <c r="F418" s="106" t="n"/>
      <c r="G418" s="171">
        <f>IF(K418="","",HYPERLINK("#Transaksi!B"&amp;K418,"Kas"))</f>
        <v/>
      </c>
      <c r="H418" s="172" t="n"/>
      <c r="I418" s="172" t="n"/>
      <c r="J418" s="105" t="n"/>
      <c r="K418" s="119" t="n"/>
    </row>
    <row r="419">
      <c r="A419" s="119" t="n"/>
      <c r="B419" s="127" t="n"/>
      <c r="C419" s="170" t="n"/>
      <c r="D419" s="167" t="n"/>
      <c r="E419" s="106" t="n"/>
      <c r="F419" s="106" t="n"/>
      <c r="G419" s="171">
        <f>IF(K419="","",HYPERLINK("#Transaksi!B"&amp;K419,"Kas"))</f>
        <v/>
      </c>
      <c r="H419" s="172" t="n"/>
      <c r="I419" s="172" t="n"/>
      <c r="J419" s="105" t="n"/>
      <c r="K419" s="119" t="n"/>
    </row>
    <row r="420">
      <c r="A420" s="119" t="n"/>
      <c r="B420" s="127" t="n"/>
      <c r="C420" s="170" t="n"/>
      <c r="D420" s="167" t="n"/>
      <c r="E420" s="106" t="n"/>
      <c r="F420" s="106" t="n"/>
      <c r="G420" s="171">
        <f>IF(K420="","",HYPERLINK("#Transaksi!B"&amp;K420,"Kas"))</f>
        <v/>
      </c>
      <c r="H420" s="172" t="n"/>
      <c r="I420" s="172" t="n"/>
      <c r="J420" s="105" t="n"/>
      <c r="K420" s="119" t="n"/>
    </row>
    <row r="421">
      <c r="A421" s="119" t="n"/>
      <c r="B421" s="127" t="n"/>
      <c r="C421" s="170" t="n"/>
      <c r="D421" s="167" t="n"/>
      <c r="E421" s="106" t="n"/>
      <c r="F421" s="106" t="n"/>
      <c r="G421" s="171">
        <f>IF(K421="","",HYPERLINK("#Transaksi!B"&amp;K421,"Kas"))</f>
        <v/>
      </c>
      <c r="H421" s="172" t="n"/>
      <c r="I421" s="172" t="n"/>
      <c r="J421" s="105" t="n"/>
      <c r="K421" s="119" t="n"/>
    </row>
    <row r="422">
      <c r="A422" s="119" t="n"/>
      <c r="B422" s="127" t="n"/>
      <c r="C422" s="170" t="n"/>
      <c r="D422" s="167" t="n"/>
      <c r="E422" s="106" t="n"/>
      <c r="F422" s="106" t="n"/>
      <c r="G422" s="171">
        <f>IF(K422="","",HYPERLINK("#Transaksi!B"&amp;K422,"Kas"))</f>
        <v/>
      </c>
      <c r="H422" s="172" t="n"/>
      <c r="I422" s="172" t="n"/>
      <c r="J422" s="105" t="n"/>
      <c r="K422" s="119" t="n"/>
    </row>
    <row r="423">
      <c r="A423" s="119" t="n"/>
      <c r="B423" s="127" t="n"/>
      <c r="C423" s="170" t="n"/>
      <c r="D423" s="167" t="n"/>
      <c r="E423" s="106" t="n"/>
      <c r="F423" s="106" t="n"/>
      <c r="G423" s="171">
        <f>IF(K423="","",HYPERLINK("#Transaksi!B"&amp;K423,"Kas"))</f>
        <v/>
      </c>
      <c r="H423" s="172" t="n"/>
      <c r="I423" s="172" t="n"/>
      <c r="J423" s="105" t="n"/>
      <c r="K423" s="119" t="n"/>
    </row>
    <row r="424">
      <c r="A424" s="119" t="n"/>
      <c r="B424" s="127" t="n"/>
      <c r="C424" s="170" t="n"/>
      <c r="D424" s="167" t="n"/>
      <c r="E424" s="106" t="n"/>
      <c r="F424" s="106" t="n"/>
      <c r="G424" s="171">
        <f>IF(K424="","",HYPERLINK("#Transaksi!B"&amp;K424,"Kas"))</f>
        <v/>
      </c>
      <c r="H424" s="172" t="n"/>
      <c r="I424" s="172" t="n"/>
      <c r="J424" s="105" t="n"/>
      <c r="K424" s="119" t="n"/>
    </row>
    <row r="425">
      <c r="A425" s="119" t="n"/>
      <c r="B425" s="127" t="n"/>
      <c r="C425" s="170" t="n"/>
      <c r="D425" s="167" t="n"/>
      <c r="E425" s="106" t="n"/>
      <c r="F425" s="106" t="n"/>
      <c r="G425" s="171">
        <f>IF(K425="","",HYPERLINK("#Transaksi!B"&amp;K425,"Kas"))</f>
        <v/>
      </c>
      <c r="H425" s="172" t="n"/>
      <c r="I425" s="172" t="n"/>
      <c r="J425" s="105" t="n"/>
      <c r="K425" s="119" t="n"/>
    </row>
    <row r="426">
      <c r="A426" s="119" t="n"/>
      <c r="B426" s="127" t="n"/>
      <c r="C426" s="170" t="n"/>
      <c r="D426" s="167" t="n"/>
      <c r="E426" s="106" t="n"/>
      <c r="F426" s="106" t="n"/>
      <c r="G426" s="171">
        <f>IF(K426="","",HYPERLINK("#Transaksi!B"&amp;K426,"Kas"))</f>
        <v/>
      </c>
      <c r="H426" s="172" t="n"/>
      <c r="I426" s="172" t="n"/>
      <c r="J426" s="105" t="n"/>
      <c r="K426" s="119" t="n"/>
    </row>
    <row r="427">
      <c r="A427" s="119" t="n"/>
      <c r="B427" s="127" t="n"/>
      <c r="C427" s="170" t="n"/>
      <c r="D427" s="167" t="n"/>
      <c r="E427" s="106" t="n"/>
      <c r="F427" s="106" t="n"/>
      <c r="G427" s="171">
        <f>IF(K427="","",HYPERLINK("#Transaksi!B"&amp;K427,"Kas"))</f>
        <v/>
      </c>
      <c r="H427" s="172" t="n"/>
      <c r="I427" s="172" t="n"/>
      <c r="J427" s="105" t="n"/>
      <c r="K427" s="119" t="n"/>
    </row>
    <row r="428">
      <c r="A428" s="119" t="n"/>
      <c r="B428" s="127" t="n"/>
      <c r="C428" s="170" t="n"/>
      <c r="D428" s="167" t="n"/>
      <c r="E428" s="106" t="n"/>
      <c r="F428" s="106" t="n"/>
      <c r="G428" s="171">
        <f>IF(K428="","",HYPERLINK("#Transaksi!B"&amp;K428,"Kas"))</f>
        <v/>
      </c>
      <c r="H428" s="172" t="n"/>
      <c r="I428" s="172" t="n"/>
      <c r="J428" s="105" t="n"/>
      <c r="K428" s="119" t="n"/>
    </row>
    <row r="429">
      <c r="A429" s="119" t="n"/>
      <c r="B429" s="127" t="n"/>
      <c r="C429" s="170" t="n"/>
      <c r="D429" s="167" t="n"/>
      <c r="E429" s="106" t="n"/>
      <c r="F429" s="106" t="n"/>
      <c r="G429" s="171">
        <f>IF(K429="","",HYPERLINK("#Transaksi!B"&amp;K429,"Kas"))</f>
        <v/>
      </c>
      <c r="H429" s="172" t="n"/>
      <c r="I429" s="172" t="n"/>
      <c r="J429" s="105" t="n"/>
      <c r="K429" s="119" t="n"/>
    </row>
    <row r="430">
      <c r="A430" s="119" t="n"/>
      <c r="B430" s="127" t="n"/>
      <c r="C430" s="170" t="n"/>
      <c r="D430" s="167" t="n"/>
      <c r="E430" s="106" t="n"/>
      <c r="F430" s="106" t="n"/>
      <c r="G430" s="171">
        <f>IF(K430="","",HYPERLINK("#Transaksi!B"&amp;K430,"Kas"))</f>
        <v/>
      </c>
      <c r="H430" s="172" t="n"/>
      <c r="I430" s="172" t="n"/>
      <c r="J430" s="105" t="n"/>
      <c r="K430" s="119" t="n"/>
    </row>
    <row r="431">
      <c r="A431" s="119" t="n"/>
      <c r="B431" s="127" t="n"/>
      <c r="C431" s="170" t="n"/>
      <c r="D431" s="167" t="n"/>
      <c r="E431" s="106" t="n"/>
      <c r="F431" s="106" t="n"/>
      <c r="G431" s="171">
        <f>IF(K431="","",HYPERLINK("#Transaksi!B"&amp;K431,"Kas"))</f>
        <v/>
      </c>
      <c r="H431" s="172" t="n"/>
      <c r="I431" s="172" t="n"/>
      <c r="J431" s="105" t="n"/>
      <c r="K431" s="119" t="n"/>
    </row>
    <row r="432">
      <c r="A432" s="119" t="n"/>
      <c r="B432" s="127" t="n"/>
      <c r="C432" s="170" t="n"/>
      <c r="D432" s="167" t="n"/>
      <c r="E432" s="106" t="n"/>
      <c r="F432" s="106" t="n"/>
      <c r="G432" s="171">
        <f>IF(K432="","",HYPERLINK("#Transaksi!B"&amp;K432,"Kas"))</f>
        <v/>
      </c>
      <c r="H432" s="172" t="n"/>
      <c r="I432" s="172" t="n"/>
      <c r="J432" s="105" t="n"/>
      <c r="K432" s="119" t="n"/>
    </row>
    <row r="433">
      <c r="A433" s="119" t="n"/>
      <c r="B433" s="127" t="n"/>
      <c r="C433" s="170" t="n"/>
      <c r="D433" s="167" t="n"/>
      <c r="E433" s="106" t="n"/>
      <c r="F433" s="106" t="n"/>
      <c r="G433" s="171">
        <f>IF(K433="","",HYPERLINK("#Transaksi!B"&amp;K433,"Kas"))</f>
        <v/>
      </c>
      <c r="H433" s="172" t="n"/>
      <c r="I433" s="172" t="n"/>
      <c r="J433" s="105" t="n"/>
      <c r="K433" s="119" t="n"/>
    </row>
    <row r="434">
      <c r="A434" s="119" t="n"/>
      <c r="B434" s="127" t="n"/>
      <c r="C434" s="170" t="n"/>
      <c r="D434" s="167" t="n"/>
      <c r="E434" s="106" t="n"/>
      <c r="F434" s="106" t="n"/>
      <c r="G434" s="171">
        <f>IF(K434="","",HYPERLINK("#Transaksi!B"&amp;K434,"Kas"))</f>
        <v/>
      </c>
      <c r="H434" s="172" t="n"/>
      <c r="I434" s="172" t="n"/>
      <c r="J434" s="105" t="n"/>
      <c r="K434" s="119" t="n"/>
    </row>
    <row r="435">
      <c r="A435" s="119" t="n"/>
      <c r="B435" s="127" t="n"/>
      <c r="C435" s="170" t="n"/>
      <c r="D435" s="167" t="n"/>
      <c r="E435" s="106" t="n"/>
      <c r="F435" s="106" t="n"/>
      <c r="G435" s="171">
        <f>IF(K435="","",HYPERLINK("#Transaksi!B"&amp;K435,"Kas"))</f>
        <v/>
      </c>
      <c r="H435" s="172" t="n"/>
      <c r="I435" s="172" t="n"/>
      <c r="J435" s="105" t="n"/>
      <c r="K435" s="119" t="n"/>
    </row>
    <row r="436">
      <c r="A436" s="119" t="n"/>
      <c r="B436" s="127" t="n"/>
      <c r="C436" s="170" t="n"/>
      <c r="D436" s="167" t="n"/>
      <c r="E436" s="106" t="n"/>
      <c r="F436" s="106" t="n"/>
      <c r="G436" s="171">
        <f>IF(K436="","",HYPERLINK("#Transaksi!B"&amp;K436,"Kas"))</f>
        <v/>
      </c>
      <c r="H436" s="172" t="n"/>
      <c r="I436" s="172" t="n"/>
      <c r="J436" s="105" t="n"/>
      <c r="K436" s="119" t="n"/>
    </row>
    <row r="437">
      <c r="A437" s="119" t="n"/>
      <c r="B437" s="127" t="n"/>
      <c r="C437" s="170" t="n"/>
      <c r="D437" s="167" t="n"/>
      <c r="E437" s="106" t="n"/>
      <c r="F437" s="106" t="n"/>
      <c r="G437" s="171">
        <f>IF(K437="","",HYPERLINK("#Transaksi!B"&amp;K437,"Kas"))</f>
        <v/>
      </c>
      <c r="H437" s="172" t="n"/>
      <c r="I437" s="172" t="n"/>
      <c r="J437" s="105" t="n"/>
      <c r="K437" s="119" t="n"/>
    </row>
    <row r="438">
      <c r="A438" s="119" t="n"/>
      <c r="B438" s="127" t="n"/>
      <c r="C438" s="170" t="n"/>
      <c r="D438" s="167" t="n"/>
      <c r="E438" s="106" t="n"/>
      <c r="F438" s="106" t="n"/>
      <c r="G438" s="171">
        <f>IF(K438="","",HYPERLINK("#Transaksi!B"&amp;K438,"Kas"))</f>
        <v/>
      </c>
      <c r="H438" s="172" t="n"/>
      <c r="I438" s="172" t="n"/>
      <c r="J438" s="105" t="n"/>
      <c r="K438" s="119" t="n"/>
    </row>
    <row r="439">
      <c r="A439" s="119" t="n"/>
      <c r="B439" s="127" t="n"/>
      <c r="C439" s="170" t="n"/>
      <c r="D439" s="167" t="n"/>
      <c r="E439" s="106" t="n"/>
      <c r="F439" s="106" t="n"/>
      <c r="G439" s="171">
        <f>IF(K439="","",HYPERLINK("#Transaksi!B"&amp;K439,"Kas"))</f>
        <v/>
      </c>
      <c r="H439" s="172" t="n"/>
      <c r="I439" s="172" t="n"/>
      <c r="J439" s="105" t="n"/>
      <c r="K439" s="119" t="n"/>
    </row>
    <row r="440">
      <c r="A440" s="119" t="n"/>
      <c r="B440" s="127" t="n"/>
      <c r="C440" s="170" t="n"/>
      <c r="D440" s="167" t="n"/>
      <c r="E440" s="106" t="n"/>
      <c r="F440" s="106" t="n"/>
      <c r="G440" s="171">
        <f>IF(K440="","",HYPERLINK("#Transaksi!B"&amp;K440,"Kas"))</f>
        <v/>
      </c>
      <c r="H440" s="172" t="n"/>
      <c r="I440" s="172" t="n"/>
      <c r="J440" s="105" t="n"/>
      <c r="K440" s="119" t="n"/>
    </row>
    <row r="441">
      <c r="A441" s="119" t="n"/>
      <c r="B441" s="127" t="n"/>
      <c r="C441" s="170" t="n"/>
      <c r="D441" s="167" t="n"/>
      <c r="E441" s="106" t="n"/>
      <c r="F441" s="106" t="n"/>
      <c r="G441" s="171">
        <f>IF(K441="","",HYPERLINK("#Transaksi!B"&amp;K441,"Kas"))</f>
        <v/>
      </c>
      <c r="H441" s="172" t="n"/>
      <c r="I441" s="172" t="n"/>
      <c r="J441" s="105" t="n"/>
      <c r="K441" s="119" t="n"/>
    </row>
    <row r="442">
      <c r="A442" s="119" t="n"/>
      <c r="B442" s="127" t="n"/>
      <c r="C442" s="170" t="n"/>
      <c r="D442" s="167" t="n"/>
      <c r="E442" s="106" t="n"/>
      <c r="F442" s="106" t="n"/>
      <c r="G442" s="171">
        <f>IF(K442="","",HYPERLINK("#Transaksi!B"&amp;K442,"Kas"))</f>
        <v/>
      </c>
      <c r="H442" s="172" t="n"/>
      <c r="I442" s="172" t="n"/>
      <c r="J442" s="105" t="n"/>
      <c r="K442" s="119" t="n"/>
    </row>
    <row r="443">
      <c r="A443" s="119" t="n"/>
      <c r="B443" s="127" t="n"/>
      <c r="C443" s="170" t="n"/>
      <c r="D443" s="167" t="n"/>
      <c r="E443" s="106" t="n"/>
      <c r="F443" s="106" t="n"/>
      <c r="G443" s="171">
        <f>IF(K443="","",HYPERLINK("#Transaksi!B"&amp;K443,"Kas"))</f>
        <v/>
      </c>
      <c r="H443" s="172" t="n"/>
      <c r="I443" s="172" t="n"/>
      <c r="J443" s="105" t="n"/>
      <c r="K443" s="119" t="n"/>
    </row>
    <row r="444">
      <c r="A444" s="119" t="n"/>
      <c r="B444" s="127" t="n"/>
      <c r="C444" s="170" t="n"/>
      <c r="D444" s="167" t="n"/>
      <c r="E444" s="106" t="n"/>
      <c r="F444" s="106" t="n"/>
      <c r="G444" s="171">
        <f>IF(K444="","",HYPERLINK("#Transaksi!B"&amp;K444,"Kas"))</f>
        <v/>
      </c>
      <c r="H444" s="172" t="n"/>
      <c r="I444" s="172" t="n"/>
      <c r="J444" s="105" t="n"/>
      <c r="K444" s="119" t="n"/>
    </row>
    <row r="445">
      <c r="A445" s="119" t="n"/>
      <c r="B445" s="127" t="n"/>
      <c r="C445" s="170" t="n"/>
      <c r="D445" s="167" t="n"/>
      <c r="E445" s="106" t="n"/>
      <c r="F445" s="106" t="n"/>
      <c r="G445" s="171">
        <f>IF(K445="","",HYPERLINK("#Transaksi!B"&amp;K445,"Kas"))</f>
        <v/>
      </c>
      <c r="H445" s="172" t="n"/>
      <c r="I445" s="172" t="n"/>
      <c r="J445" s="105" t="n"/>
      <c r="K445" s="119" t="n"/>
    </row>
    <row r="446">
      <c r="A446" s="119" t="n"/>
      <c r="B446" s="127" t="n"/>
      <c r="C446" s="170" t="n"/>
      <c r="D446" s="167" t="n"/>
      <c r="E446" s="106" t="n"/>
      <c r="F446" s="106" t="n"/>
      <c r="G446" s="171">
        <f>IF(K446="","",HYPERLINK("#Transaksi!B"&amp;K446,"Kas"))</f>
        <v/>
      </c>
      <c r="H446" s="172" t="n"/>
      <c r="I446" s="172" t="n"/>
      <c r="J446" s="105" t="n"/>
      <c r="K446" s="119" t="n"/>
    </row>
    <row r="447">
      <c r="A447" s="119" t="n"/>
      <c r="B447" s="127" t="n"/>
      <c r="C447" s="170" t="n"/>
      <c r="D447" s="167" t="n"/>
      <c r="E447" s="106" t="n"/>
      <c r="F447" s="106" t="n"/>
      <c r="G447" s="171">
        <f>IF(K447="","",HYPERLINK("#Transaksi!B"&amp;K447,"Kas"))</f>
        <v/>
      </c>
      <c r="H447" s="172" t="n"/>
      <c r="I447" s="172" t="n"/>
      <c r="J447" s="105" t="n"/>
      <c r="K447" s="119" t="n"/>
    </row>
    <row r="448">
      <c r="A448" s="119" t="n"/>
      <c r="B448" s="127" t="n"/>
      <c r="C448" s="170" t="n"/>
      <c r="D448" s="167" t="n"/>
      <c r="E448" s="106" t="n"/>
      <c r="F448" s="106" t="n"/>
      <c r="G448" s="171">
        <f>IF(K448="","",HYPERLINK("#Transaksi!B"&amp;K448,"Kas"))</f>
        <v/>
      </c>
      <c r="H448" s="172" t="n"/>
      <c r="I448" s="172" t="n"/>
      <c r="J448" s="105" t="n"/>
      <c r="K448" s="119" t="n"/>
    </row>
    <row r="449">
      <c r="A449" s="119" t="n"/>
      <c r="B449" s="127" t="n"/>
      <c r="C449" s="170" t="n"/>
      <c r="D449" s="167" t="n"/>
      <c r="E449" s="106" t="n"/>
      <c r="F449" s="106" t="n"/>
      <c r="G449" s="171">
        <f>IF(K449="","",HYPERLINK("#Transaksi!B"&amp;K449,"Kas"))</f>
        <v/>
      </c>
      <c r="H449" s="172" t="n"/>
      <c r="I449" s="172" t="n"/>
      <c r="J449" s="105" t="n"/>
      <c r="K449" s="119" t="n"/>
    </row>
    <row r="450">
      <c r="A450" s="119" t="n"/>
      <c r="B450" s="127" t="n"/>
      <c r="C450" s="170" t="n"/>
      <c r="D450" s="167" t="n"/>
      <c r="E450" s="106" t="n"/>
      <c r="F450" s="106" t="n"/>
      <c r="G450" s="171">
        <f>IF(K450="","",HYPERLINK("#Transaksi!B"&amp;K450,"Kas"))</f>
        <v/>
      </c>
      <c r="H450" s="172" t="n"/>
      <c r="I450" s="172" t="n"/>
      <c r="J450" s="105" t="n"/>
      <c r="K450" s="119" t="n"/>
    </row>
    <row r="451">
      <c r="A451" s="119" t="n"/>
      <c r="B451" s="127" t="n"/>
      <c r="C451" s="170" t="n"/>
      <c r="D451" s="167" t="n"/>
      <c r="E451" s="106" t="n"/>
      <c r="F451" s="106" t="n"/>
      <c r="G451" s="171">
        <f>IF(K451="","",HYPERLINK("#Transaksi!B"&amp;K451,"Kas"))</f>
        <v/>
      </c>
      <c r="H451" s="172" t="n"/>
      <c r="I451" s="172" t="n"/>
      <c r="J451" s="105" t="n"/>
      <c r="K451" s="119" t="n"/>
    </row>
    <row r="452">
      <c r="A452" s="119" t="n"/>
      <c r="B452" s="127" t="n"/>
      <c r="C452" s="170" t="n"/>
      <c r="D452" s="167" t="n"/>
      <c r="E452" s="106" t="n"/>
      <c r="F452" s="106" t="n"/>
      <c r="G452" s="171">
        <f>IF(K452="","",HYPERLINK("#Transaksi!B"&amp;K452,"Kas"))</f>
        <v/>
      </c>
      <c r="H452" s="172" t="n"/>
      <c r="I452" s="172" t="n"/>
      <c r="J452" s="105" t="n"/>
      <c r="K452" s="119" t="n"/>
    </row>
    <row r="453">
      <c r="A453" s="119" t="n"/>
      <c r="B453" s="127" t="n"/>
      <c r="C453" s="170" t="n"/>
      <c r="D453" s="167" t="n"/>
      <c r="E453" s="106" t="n"/>
      <c r="F453" s="106" t="n"/>
      <c r="G453" s="171">
        <f>IF(K453="","",HYPERLINK("#Transaksi!B"&amp;K453,"Kas"))</f>
        <v/>
      </c>
      <c r="H453" s="172" t="n"/>
      <c r="I453" s="172" t="n"/>
      <c r="J453" s="105" t="n"/>
      <c r="K453" s="119" t="n"/>
    </row>
    <row r="454">
      <c r="A454" s="119" t="n"/>
      <c r="B454" s="127" t="n"/>
      <c r="C454" s="170" t="n"/>
      <c r="D454" s="167" t="n"/>
      <c r="E454" s="106" t="n"/>
      <c r="F454" s="106" t="n"/>
      <c r="G454" s="171">
        <f>IF(K454="","",HYPERLINK("#Transaksi!B"&amp;K454,"Kas"))</f>
        <v/>
      </c>
      <c r="H454" s="172" t="n"/>
      <c r="I454" s="172" t="n"/>
      <c r="J454" s="105" t="n"/>
      <c r="K454" s="119" t="n"/>
    </row>
    <row r="455">
      <c r="A455" s="119" t="n"/>
      <c r="B455" s="127" t="n"/>
      <c r="C455" s="170" t="n"/>
      <c r="D455" s="167" t="n"/>
      <c r="E455" s="106" t="n"/>
      <c r="F455" s="106" t="n"/>
      <c r="G455" s="171">
        <f>IF(K455="","",HYPERLINK("#Transaksi!B"&amp;K455,"Kas"))</f>
        <v/>
      </c>
      <c r="H455" s="172" t="n"/>
      <c r="I455" s="172" t="n"/>
      <c r="J455" s="105" t="n"/>
      <c r="K455" s="119" t="n"/>
    </row>
    <row r="456">
      <c r="A456" s="119" t="n"/>
      <c r="B456" s="127" t="n"/>
      <c r="C456" s="170" t="n"/>
      <c r="D456" s="167" t="n"/>
      <c r="E456" s="106" t="n"/>
      <c r="F456" s="106" t="n"/>
      <c r="G456" s="171">
        <f>IF(K456="","",HYPERLINK("#Transaksi!B"&amp;K456,"Kas"))</f>
        <v/>
      </c>
      <c r="H456" s="172" t="n"/>
      <c r="I456" s="172" t="n"/>
      <c r="J456" s="105" t="n"/>
      <c r="K456" s="119" t="n"/>
    </row>
    <row r="457">
      <c r="A457" s="119" t="n"/>
      <c r="B457" s="127" t="n"/>
      <c r="C457" s="170" t="n"/>
      <c r="D457" s="167" t="n"/>
      <c r="E457" s="106" t="n"/>
      <c r="F457" s="106" t="n"/>
      <c r="G457" s="171">
        <f>IF(K457="","",HYPERLINK("#Transaksi!B"&amp;K457,"Kas"))</f>
        <v/>
      </c>
      <c r="H457" s="172" t="n"/>
      <c r="I457" s="172" t="n"/>
      <c r="J457" s="105" t="n"/>
      <c r="K457" s="119" t="n"/>
    </row>
    <row r="458">
      <c r="A458" s="119" t="n"/>
      <c r="B458" s="127" t="n"/>
      <c r="C458" s="170" t="n"/>
      <c r="D458" s="167" t="n"/>
      <c r="E458" s="106" t="n"/>
      <c r="F458" s="106" t="n"/>
      <c r="G458" s="171">
        <f>IF(K458="","",HYPERLINK("#Transaksi!B"&amp;K458,"Kas"))</f>
        <v/>
      </c>
      <c r="H458" s="172" t="n"/>
      <c r="I458" s="172" t="n"/>
      <c r="J458" s="105" t="n"/>
      <c r="K458" s="119" t="n"/>
    </row>
    <row r="459">
      <c r="A459" s="119" t="n"/>
      <c r="B459" s="127" t="n"/>
      <c r="C459" s="170" t="n"/>
      <c r="D459" s="167" t="n"/>
      <c r="E459" s="106" t="n"/>
      <c r="F459" s="106" t="n"/>
      <c r="G459" s="171">
        <f>IF(K459="","",HYPERLINK("#Transaksi!B"&amp;K459,"Kas"))</f>
        <v/>
      </c>
      <c r="H459" s="172" t="n"/>
      <c r="I459" s="172" t="n"/>
      <c r="J459" s="105" t="n"/>
      <c r="K459" s="119" t="n"/>
    </row>
    <row r="460">
      <c r="A460" s="119" t="n"/>
      <c r="B460" s="127" t="n"/>
      <c r="C460" s="170" t="n"/>
      <c r="D460" s="167" t="n"/>
      <c r="E460" s="106" t="n"/>
      <c r="F460" s="106" t="n"/>
      <c r="G460" s="171">
        <f>IF(K460="","",HYPERLINK("#Transaksi!B"&amp;K460,"Kas"))</f>
        <v/>
      </c>
      <c r="H460" s="172" t="n"/>
      <c r="I460" s="172" t="n"/>
      <c r="J460" s="105" t="n"/>
      <c r="K460" s="119" t="n"/>
    </row>
    <row r="461">
      <c r="A461" s="119" t="n"/>
      <c r="B461" s="127" t="n"/>
      <c r="C461" s="170" t="n"/>
      <c r="D461" s="167" t="n"/>
      <c r="E461" s="106" t="n"/>
      <c r="F461" s="106" t="n"/>
      <c r="G461" s="171">
        <f>IF(K461="","",HYPERLINK("#Transaksi!B"&amp;K461,"Kas"))</f>
        <v/>
      </c>
      <c r="H461" s="172" t="n"/>
      <c r="I461" s="172" t="n"/>
      <c r="J461" s="105" t="n"/>
      <c r="K461" s="119" t="n"/>
    </row>
    <row r="462">
      <c r="A462" s="119" t="n"/>
      <c r="B462" s="127" t="n"/>
      <c r="C462" s="170" t="n"/>
      <c r="D462" s="167" t="n"/>
      <c r="E462" s="106" t="n"/>
      <c r="F462" s="106" t="n"/>
      <c r="G462" s="171">
        <f>IF(K462="","",HYPERLINK("#Transaksi!B"&amp;K462,"Kas"))</f>
        <v/>
      </c>
      <c r="H462" s="172" t="n"/>
      <c r="I462" s="172" t="n"/>
      <c r="J462" s="105" t="n"/>
      <c r="K462" s="119" t="n"/>
    </row>
    <row r="463">
      <c r="A463" s="119" t="n"/>
      <c r="B463" s="127" t="n"/>
      <c r="C463" s="170" t="n"/>
      <c r="D463" s="167" t="n"/>
      <c r="E463" s="106" t="n"/>
      <c r="F463" s="106" t="n"/>
      <c r="G463" s="171">
        <f>IF(K463="","",HYPERLINK("#Transaksi!B"&amp;K463,"Kas"))</f>
        <v/>
      </c>
      <c r="H463" s="172" t="n"/>
      <c r="I463" s="172" t="n"/>
      <c r="J463" s="105" t="n"/>
      <c r="K463" s="119" t="n"/>
    </row>
    <row r="464">
      <c r="A464" s="119" t="n"/>
      <c r="B464" s="127" t="n"/>
      <c r="C464" s="170" t="n"/>
      <c r="D464" s="167" t="n"/>
      <c r="E464" s="106" t="n"/>
      <c r="F464" s="106" t="n"/>
      <c r="G464" s="171">
        <f>IF(K464="","",HYPERLINK("#Transaksi!B"&amp;K464,"Kas"))</f>
        <v/>
      </c>
      <c r="H464" s="172" t="n"/>
      <c r="I464" s="172" t="n"/>
      <c r="J464" s="105" t="n"/>
      <c r="K464" s="119" t="n"/>
    </row>
    <row r="465">
      <c r="A465" s="119" t="n"/>
      <c r="B465" s="127" t="n"/>
      <c r="C465" s="170" t="n"/>
      <c r="D465" s="167" t="n"/>
      <c r="E465" s="106" t="n"/>
      <c r="F465" s="106" t="n"/>
      <c r="G465" s="171">
        <f>IF(K465="","",HYPERLINK("#Transaksi!B"&amp;K465,"Kas"))</f>
        <v/>
      </c>
      <c r="H465" s="172" t="n"/>
      <c r="I465" s="172" t="n"/>
      <c r="J465" s="105" t="n"/>
      <c r="K465" s="119" t="n"/>
    </row>
    <row r="466">
      <c r="A466" s="119" t="n"/>
      <c r="B466" s="127" t="n"/>
      <c r="C466" s="170" t="n"/>
      <c r="D466" s="167" t="n"/>
      <c r="E466" s="106" t="n"/>
      <c r="F466" s="106" t="n"/>
      <c r="G466" s="171">
        <f>IF(K466="","",HYPERLINK("#Transaksi!B"&amp;K466,"Kas"))</f>
        <v/>
      </c>
      <c r="H466" s="172" t="n"/>
      <c r="I466" s="172" t="n"/>
      <c r="J466" s="105" t="n"/>
      <c r="K466" s="119" t="n"/>
    </row>
    <row r="467">
      <c r="A467" s="119" t="n"/>
      <c r="B467" s="127" t="n"/>
      <c r="C467" s="170" t="n"/>
      <c r="D467" s="167" t="n"/>
      <c r="E467" s="106" t="n"/>
      <c r="F467" s="106" t="n"/>
      <c r="G467" s="171">
        <f>IF(K467="","",HYPERLINK("#Transaksi!B"&amp;K467,"Kas"))</f>
        <v/>
      </c>
      <c r="H467" s="172" t="n"/>
      <c r="I467" s="172" t="n"/>
      <c r="J467" s="105" t="n"/>
      <c r="K467" s="119" t="n"/>
    </row>
    <row r="468">
      <c r="A468" s="119" t="n"/>
      <c r="B468" s="127" t="n"/>
      <c r="C468" s="170" t="n"/>
      <c r="D468" s="167" t="n"/>
      <c r="E468" s="106" t="n"/>
      <c r="F468" s="106" t="n"/>
      <c r="G468" s="171">
        <f>IF(K468="","",HYPERLINK("#Transaksi!B"&amp;K468,"Kas"))</f>
        <v/>
      </c>
      <c r="H468" s="172" t="n"/>
      <c r="I468" s="172" t="n"/>
      <c r="J468" s="105" t="n"/>
      <c r="K468" s="119" t="n"/>
    </row>
    <row r="469">
      <c r="A469" s="119" t="n"/>
      <c r="B469" s="127" t="n"/>
      <c r="C469" s="170" t="n"/>
      <c r="D469" s="167" t="n"/>
      <c r="E469" s="106" t="n"/>
      <c r="F469" s="106" t="n"/>
      <c r="G469" s="171">
        <f>IF(K469="","",HYPERLINK("#Transaksi!B"&amp;K469,"Kas"))</f>
        <v/>
      </c>
      <c r="H469" s="172" t="n"/>
      <c r="I469" s="172" t="n"/>
      <c r="J469" s="105" t="n"/>
      <c r="K469" s="119" t="n"/>
    </row>
    <row r="470">
      <c r="A470" s="119" t="n"/>
      <c r="B470" s="127" t="n"/>
      <c r="C470" s="170" t="n"/>
      <c r="D470" s="167" t="n"/>
      <c r="E470" s="106" t="n"/>
      <c r="F470" s="106" t="n"/>
      <c r="G470" s="171">
        <f>IF(K470="","",HYPERLINK("#Transaksi!B"&amp;K470,"Kas"))</f>
        <v/>
      </c>
      <c r="H470" s="172" t="n"/>
      <c r="I470" s="172" t="n"/>
      <c r="J470" s="105" t="n"/>
      <c r="K470" s="119" t="n"/>
    </row>
    <row r="471">
      <c r="A471" s="119" t="n"/>
      <c r="B471" s="127" t="n"/>
      <c r="C471" s="170" t="n"/>
      <c r="D471" s="167" t="n"/>
      <c r="E471" s="106" t="n"/>
      <c r="F471" s="106" t="n"/>
      <c r="G471" s="171">
        <f>IF(K471="","",HYPERLINK("#Transaksi!B"&amp;K471,"Kas"))</f>
        <v/>
      </c>
      <c r="H471" s="172" t="n"/>
      <c r="I471" s="172" t="n"/>
      <c r="J471" s="105" t="n"/>
      <c r="K471" s="119" t="n"/>
    </row>
    <row r="472">
      <c r="A472" s="119" t="n"/>
      <c r="B472" s="127" t="n"/>
      <c r="C472" s="170" t="n"/>
      <c r="D472" s="167" t="n"/>
      <c r="E472" s="106" t="n"/>
      <c r="F472" s="106" t="n"/>
      <c r="G472" s="171">
        <f>IF(K472="","",HYPERLINK("#Transaksi!B"&amp;K472,"Kas"))</f>
        <v/>
      </c>
      <c r="H472" s="172" t="n"/>
      <c r="I472" s="172" t="n"/>
      <c r="J472" s="105" t="n"/>
      <c r="K472" s="119" t="n"/>
    </row>
    <row r="473">
      <c r="A473" s="119" t="n"/>
      <c r="B473" s="127" t="n"/>
      <c r="C473" s="170" t="n"/>
      <c r="D473" s="167" t="n"/>
      <c r="E473" s="106" t="n"/>
      <c r="F473" s="106" t="n"/>
      <c r="G473" s="171">
        <f>IF(K473="","",HYPERLINK("#Transaksi!B"&amp;K473,"Kas"))</f>
        <v/>
      </c>
      <c r="H473" s="172" t="n"/>
      <c r="I473" s="172" t="n"/>
      <c r="J473" s="105" t="n"/>
      <c r="K473" s="119" t="n"/>
    </row>
    <row r="474">
      <c r="A474" s="119" t="n"/>
      <c r="B474" s="127" t="n"/>
      <c r="C474" s="170" t="n"/>
      <c r="D474" s="167" t="n"/>
      <c r="E474" s="106" t="n"/>
      <c r="F474" s="106" t="n"/>
      <c r="G474" s="171">
        <f>IF(K474="","",HYPERLINK("#Transaksi!B"&amp;K474,"Kas"))</f>
        <v/>
      </c>
      <c r="H474" s="172" t="n"/>
      <c r="I474" s="172" t="n"/>
      <c r="J474" s="105" t="n"/>
      <c r="K474" s="119" t="n"/>
    </row>
    <row r="475">
      <c r="A475" s="119" t="n"/>
      <c r="B475" s="127" t="n"/>
      <c r="C475" s="170" t="n"/>
      <c r="D475" s="167" t="n"/>
      <c r="E475" s="106" t="n"/>
      <c r="F475" s="106" t="n"/>
      <c r="G475" s="171">
        <f>IF(K475="","",HYPERLINK("#Transaksi!B"&amp;K475,"Kas"))</f>
        <v/>
      </c>
      <c r="H475" s="172" t="n"/>
      <c r="I475" s="172" t="n"/>
      <c r="J475" s="105" t="n"/>
      <c r="K475" s="119" t="n"/>
    </row>
    <row r="476">
      <c r="A476" s="119" t="n"/>
      <c r="B476" s="127" t="n"/>
      <c r="C476" s="170" t="n"/>
      <c r="D476" s="167" t="n"/>
      <c r="E476" s="106" t="n"/>
      <c r="F476" s="106" t="n"/>
      <c r="G476" s="171">
        <f>IF(K476="","",HYPERLINK("#Transaksi!B"&amp;K476,"Kas"))</f>
        <v/>
      </c>
      <c r="H476" s="172" t="n"/>
      <c r="I476" s="172" t="n"/>
      <c r="J476" s="105" t="n"/>
      <c r="K476" s="119" t="n"/>
    </row>
    <row r="477">
      <c r="A477" s="119" t="n"/>
      <c r="B477" s="127" t="n"/>
      <c r="C477" s="170" t="n"/>
      <c r="D477" s="167" t="n"/>
      <c r="E477" s="106" t="n"/>
      <c r="F477" s="106" t="n"/>
      <c r="G477" s="171">
        <f>IF(K477="","",HYPERLINK("#Transaksi!B"&amp;K477,"Kas"))</f>
        <v/>
      </c>
      <c r="H477" s="172" t="n"/>
      <c r="I477" s="172" t="n"/>
      <c r="J477" s="105" t="n"/>
      <c r="K477" s="119" t="n"/>
    </row>
    <row r="478">
      <c r="A478" s="119" t="n"/>
      <c r="B478" s="127" t="n"/>
      <c r="C478" s="170" t="n"/>
      <c r="D478" s="167" t="n"/>
      <c r="E478" s="106" t="n"/>
      <c r="F478" s="106" t="n"/>
      <c r="G478" s="171">
        <f>IF(K478="","",HYPERLINK("#Transaksi!B"&amp;K478,"Kas"))</f>
        <v/>
      </c>
      <c r="H478" s="172" t="n"/>
      <c r="I478" s="172" t="n"/>
      <c r="J478" s="105" t="n"/>
      <c r="K478" s="119" t="n"/>
    </row>
    <row r="479">
      <c r="A479" s="119" t="n"/>
      <c r="B479" s="127" t="n"/>
      <c r="C479" s="170" t="n"/>
      <c r="D479" s="167" t="n"/>
      <c r="E479" s="106" t="n"/>
      <c r="F479" s="106" t="n"/>
      <c r="G479" s="171">
        <f>IF(K479="","",HYPERLINK("#Transaksi!B"&amp;K479,"Kas"))</f>
        <v/>
      </c>
      <c r="H479" s="172" t="n"/>
      <c r="I479" s="172" t="n"/>
      <c r="J479" s="105" t="n"/>
      <c r="K479" s="119" t="n"/>
    </row>
    <row r="480">
      <c r="A480" s="119" t="n"/>
      <c r="B480" s="127" t="n"/>
      <c r="C480" s="170" t="n"/>
      <c r="D480" s="167" t="n"/>
      <c r="E480" s="106" t="n"/>
      <c r="F480" s="106" t="n"/>
      <c r="G480" s="171">
        <f>IF(K480="","",HYPERLINK("#Transaksi!B"&amp;K480,"Kas"))</f>
        <v/>
      </c>
      <c r="H480" s="172" t="n"/>
      <c r="I480" s="172" t="n"/>
      <c r="J480" s="105" t="n"/>
      <c r="K480" s="119" t="n"/>
    </row>
    <row r="481">
      <c r="A481" s="119" t="n"/>
      <c r="B481" s="127" t="n"/>
      <c r="C481" s="170" t="n"/>
      <c r="D481" s="167" t="n"/>
      <c r="E481" s="106" t="n"/>
      <c r="F481" s="106" t="n"/>
      <c r="G481" s="171">
        <f>IF(K481="","",HYPERLINK("#Transaksi!B"&amp;K481,"Kas"))</f>
        <v/>
      </c>
      <c r="H481" s="172" t="n"/>
      <c r="I481" s="172" t="n"/>
      <c r="J481" s="105" t="n"/>
      <c r="K481" s="119" t="n"/>
    </row>
    <row r="482">
      <c r="A482" s="119" t="n"/>
      <c r="B482" s="127" t="n"/>
      <c r="C482" s="170" t="n"/>
      <c r="D482" s="167" t="n"/>
      <c r="E482" s="106" t="n"/>
      <c r="F482" s="106" t="n"/>
      <c r="G482" s="171">
        <f>IF(K482="","",HYPERLINK("#Transaksi!B"&amp;K482,"Kas"))</f>
        <v/>
      </c>
      <c r="H482" s="172" t="n"/>
      <c r="I482" s="172" t="n"/>
      <c r="J482" s="105" t="n"/>
      <c r="K482" s="119" t="n"/>
    </row>
    <row r="483">
      <c r="A483" s="119" t="n"/>
      <c r="B483" s="127" t="n"/>
      <c r="C483" s="170" t="n"/>
      <c r="D483" s="167" t="n"/>
      <c r="E483" s="106" t="n"/>
      <c r="F483" s="106" t="n"/>
      <c r="G483" s="171">
        <f>IF(K483="","",HYPERLINK("#Transaksi!B"&amp;K483,"Kas"))</f>
        <v/>
      </c>
      <c r="H483" s="172" t="n"/>
      <c r="I483" s="172" t="n"/>
      <c r="J483" s="105" t="n"/>
      <c r="K483" s="119" t="n"/>
    </row>
    <row r="484">
      <c r="A484" s="119" t="n"/>
      <c r="B484" s="127" t="n"/>
      <c r="C484" s="170" t="n"/>
      <c r="D484" s="167" t="n"/>
      <c r="E484" s="106" t="n"/>
      <c r="F484" s="106" t="n"/>
      <c r="G484" s="171">
        <f>IF(K484="","",HYPERLINK("#Transaksi!B"&amp;K484,"Kas"))</f>
        <v/>
      </c>
      <c r="H484" s="172" t="n"/>
      <c r="I484" s="172" t="n"/>
      <c r="J484" s="105" t="n"/>
      <c r="K484" s="119" t="n"/>
    </row>
    <row r="485">
      <c r="A485" s="119" t="n"/>
      <c r="B485" s="127" t="n"/>
      <c r="C485" s="170" t="n"/>
      <c r="D485" s="167" t="n"/>
      <c r="E485" s="106" t="n"/>
      <c r="F485" s="106" t="n"/>
      <c r="G485" s="171">
        <f>IF(K485="","",HYPERLINK("#Transaksi!B"&amp;K485,"Kas"))</f>
        <v/>
      </c>
      <c r="H485" s="172" t="n"/>
      <c r="I485" s="172" t="n"/>
      <c r="J485" s="105" t="n"/>
      <c r="K485" s="119" t="n"/>
    </row>
    <row r="486">
      <c r="A486" s="119" t="n"/>
      <c r="B486" s="127" t="n"/>
      <c r="C486" s="170" t="n"/>
      <c r="D486" s="167" t="n"/>
      <c r="E486" s="106" t="n"/>
      <c r="F486" s="106" t="n"/>
      <c r="G486" s="171">
        <f>IF(K486="","",HYPERLINK("#Transaksi!B"&amp;K486,"Kas"))</f>
        <v/>
      </c>
      <c r="H486" s="172" t="n"/>
      <c r="I486" s="172" t="n"/>
      <c r="J486" s="105" t="n"/>
      <c r="K486" s="119" t="n"/>
    </row>
    <row r="487">
      <c r="A487" s="119" t="n"/>
      <c r="B487" s="127" t="n"/>
      <c r="C487" s="170" t="n"/>
      <c r="D487" s="167" t="n"/>
      <c r="E487" s="106" t="n"/>
      <c r="F487" s="106" t="n"/>
      <c r="G487" s="171">
        <f>IF(K487="","",HYPERLINK("#Transaksi!B"&amp;K487,"Kas"))</f>
        <v/>
      </c>
      <c r="H487" s="172" t="n"/>
      <c r="I487" s="172" t="n"/>
      <c r="J487" s="105" t="n"/>
      <c r="K487" s="119" t="n"/>
    </row>
    <row r="488">
      <c r="A488" s="119" t="n"/>
      <c r="B488" s="127" t="n"/>
      <c r="C488" s="170" t="n"/>
      <c r="D488" s="167" t="n"/>
      <c r="E488" s="106" t="n"/>
      <c r="F488" s="106" t="n"/>
      <c r="G488" s="171">
        <f>IF(K488="","",HYPERLINK("#Transaksi!B"&amp;K488,"Kas"))</f>
        <v/>
      </c>
      <c r="H488" s="172" t="n"/>
      <c r="I488" s="172" t="n"/>
      <c r="J488" s="105" t="n"/>
      <c r="K488" s="119" t="n"/>
    </row>
    <row r="489">
      <c r="A489" s="119" t="n"/>
      <c r="B489" s="127" t="n"/>
      <c r="C489" s="170" t="n"/>
      <c r="D489" s="167" t="n"/>
      <c r="E489" s="106" t="n"/>
      <c r="F489" s="106" t="n"/>
      <c r="G489" s="171">
        <f>IF(K489="","",HYPERLINK("#Transaksi!B"&amp;K489,"Kas"))</f>
        <v/>
      </c>
      <c r="H489" s="172" t="n"/>
      <c r="I489" s="172" t="n"/>
      <c r="J489" s="105" t="n"/>
      <c r="K489" s="119" t="n"/>
    </row>
    <row r="490">
      <c r="A490" s="119" t="n"/>
      <c r="B490" s="127" t="n"/>
      <c r="C490" s="170" t="n"/>
      <c r="D490" s="167" t="n"/>
      <c r="E490" s="106" t="n"/>
      <c r="F490" s="106" t="n"/>
      <c r="G490" s="171">
        <f>IF(K490="","",HYPERLINK("#Transaksi!B"&amp;K490,"Kas"))</f>
        <v/>
      </c>
      <c r="H490" s="172" t="n"/>
      <c r="I490" s="172" t="n"/>
      <c r="J490" s="105" t="n"/>
      <c r="K490" s="119" t="n"/>
    </row>
    <row r="491">
      <c r="A491" s="119" t="n"/>
      <c r="B491" s="127" t="n"/>
      <c r="C491" s="170" t="n"/>
      <c r="D491" s="167" t="n"/>
      <c r="E491" s="106" t="n"/>
      <c r="F491" s="106" t="n"/>
      <c r="G491" s="171">
        <f>IF(K491="","",HYPERLINK("#Transaksi!B"&amp;K491,"Kas"))</f>
        <v/>
      </c>
      <c r="H491" s="172" t="n"/>
      <c r="I491" s="172" t="n"/>
      <c r="J491" s="105" t="n"/>
      <c r="K491" s="119" t="n"/>
    </row>
    <row r="492">
      <c r="A492" s="119" t="n"/>
      <c r="B492" s="127" t="n"/>
      <c r="C492" s="170" t="n"/>
      <c r="D492" s="167" t="n"/>
      <c r="E492" s="106" t="n"/>
      <c r="F492" s="106" t="n"/>
      <c r="G492" s="171">
        <f>IF(K492="","",HYPERLINK("#Transaksi!B"&amp;K492,"Kas"))</f>
        <v/>
      </c>
      <c r="H492" s="172" t="n"/>
      <c r="I492" s="172" t="n"/>
      <c r="J492" s="105" t="n"/>
      <c r="K492" s="119" t="n"/>
    </row>
    <row r="493">
      <c r="A493" s="119" t="n"/>
      <c r="B493" s="127" t="n"/>
      <c r="C493" s="170" t="n"/>
      <c r="D493" s="167" t="n"/>
      <c r="E493" s="106" t="n"/>
      <c r="F493" s="106" t="n"/>
      <c r="G493" s="171">
        <f>IF(K493="","",HYPERLINK("#Transaksi!B"&amp;K493,"Kas"))</f>
        <v/>
      </c>
      <c r="H493" s="172" t="n"/>
      <c r="I493" s="172" t="n"/>
      <c r="J493" s="105" t="n"/>
      <c r="K493" s="119" t="n"/>
    </row>
    <row r="494">
      <c r="A494" s="119" t="n"/>
      <c r="B494" s="127" t="n"/>
      <c r="C494" s="170" t="n"/>
      <c r="D494" s="167" t="n"/>
      <c r="E494" s="106" t="n"/>
      <c r="F494" s="106" t="n"/>
      <c r="G494" s="171">
        <f>IF(K494="","",HYPERLINK("#Transaksi!B"&amp;K494,"Kas"))</f>
        <v/>
      </c>
      <c r="H494" s="172" t="n"/>
      <c r="I494" s="172" t="n"/>
      <c r="J494" s="105" t="n"/>
      <c r="K494" s="119" t="n"/>
    </row>
    <row r="495">
      <c r="A495" s="119" t="n"/>
      <c r="B495" s="127" t="n"/>
      <c r="C495" s="170" t="n"/>
      <c r="D495" s="167" t="n"/>
      <c r="E495" s="106" t="n"/>
      <c r="F495" s="106" t="n"/>
      <c r="G495" s="171">
        <f>IF(K495="","",HYPERLINK("#Transaksi!B"&amp;K495,"Kas"))</f>
        <v/>
      </c>
      <c r="H495" s="172" t="n"/>
      <c r="I495" s="172" t="n"/>
      <c r="J495" s="105" t="n"/>
      <c r="K495" s="119" t="n"/>
    </row>
    <row r="496">
      <c r="A496" s="119" t="n"/>
      <c r="B496" s="127" t="n"/>
      <c r="C496" s="170" t="n"/>
      <c r="D496" s="167" t="n"/>
      <c r="E496" s="106" t="n"/>
      <c r="F496" s="106" t="n"/>
      <c r="G496" s="171">
        <f>IF(K496="","",HYPERLINK("#Transaksi!B"&amp;K496,"Kas"))</f>
        <v/>
      </c>
      <c r="H496" s="172" t="n"/>
      <c r="I496" s="172" t="n"/>
      <c r="J496" s="105" t="n"/>
      <c r="K496" s="119" t="n"/>
    </row>
    <row r="497">
      <c r="A497" s="119" t="n"/>
      <c r="B497" s="127" t="n"/>
      <c r="C497" s="170" t="n"/>
      <c r="D497" s="167" t="n"/>
      <c r="E497" s="106" t="n"/>
      <c r="F497" s="106" t="n"/>
      <c r="G497" s="171">
        <f>IF(K497="","",HYPERLINK("#Transaksi!B"&amp;K497,"Kas"))</f>
        <v/>
      </c>
      <c r="H497" s="172" t="n"/>
      <c r="I497" s="172" t="n"/>
      <c r="J497" s="105" t="n"/>
      <c r="K497" s="119" t="n"/>
    </row>
    <row r="498">
      <c r="A498" s="119" t="n"/>
      <c r="B498" s="127" t="n"/>
      <c r="C498" s="170" t="n"/>
      <c r="D498" s="167" t="n"/>
      <c r="E498" s="106" t="n"/>
      <c r="F498" s="106" t="n"/>
      <c r="G498" s="171">
        <f>IF(K498="","",HYPERLINK("#Transaksi!B"&amp;K498,"Kas"))</f>
        <v/>
      </c>
      <c r="H498" s="172" t="n"/>
      <c r="I498" s="172" t="n"/>
      <c r="J498" s="105" t="n"/>
      <c r="K498" s="119" t="n"/>
    </row>
    <row r="499">
      <c r="A499" s="119" t="n"/>
      <c r="B499" s="127" t="n"/>
      <c r="C499" s="170" t="n"/>
      <c r="D499" s="167" t="n"/>
      <c r="E499" s="106" t="n"/>
      <c r="F499" s="106" t="n"/>
      <c r="G499" s="171">
        <f>IF(K499="","",HYPERLINK("#Transaksi!B"&amp;K499,"Kas"))</f>
        <v/>
      </c>
      <c r="H499" s="172" t="n"/>
      <c r="I499" s="172" t="n"/>
      <c r="J499" s="105" t="n"/>
      <c r="K499" s="119" t="n"/>
    </row>
    <row r="500">
      <c r="A500" s="119" t="n"/>
      <c r="B500" s="127" t="n"/>
      <c r="C500" s="170" t="n"/>
      <c r="D500" s="167" t="n"/>
      <c r="E500" s="106" t="n"/>
      <c r="F500" s="106" t="n"/>
      <c r="G500" s="171">
        <f>IF(K500="","",HYPERLINK("#Transaksi!B"&amp;K500,"Kas"))</f>
        <v/>
      </c>
      <c r="H500" s="172" t="n"/>
      <c r="I500" s="172" t="n"/>
      <c r="J500" s="105" t="n"/>
      <c r="K500" s="119" t="n"/>
    </row>
    <row r="501">
      <c r="A501" s="119" t="n"/>
      <c r="B501" s="127" t="n"/>
      <c r="C501" s="170" t="n"/>
      <c r="D501" s="167" t="n"/>
      <c r="E501" s="106" t="n"/>
      <c r="F501" s="106" t="n"/>
      <c r="G501" s="171">
        <f>IF(K501="","",HYPERLINK("#Transaksi!B"&amp;K501,"Kas"))</f>
        <v/>
      </c>
      <c r="H501" s="172" t="n"/>
      <c r="I501" s="172" t="n"/>
      <c r="J501" s="105" t="n"/>
      <c r="K501" s="119" t="n"/>
    </row>
    <row r="502">
      <c r="A502" s="119" t="n"/>
      <c r="B502" s="127" t="n"/>
      <c r="C502" s="170" t="n"/>
      <c r="D502" s="167" t="n"/>
      <c r="E502" s="106" t="n"/>
      <c r="F502" s="106" t="n"/>
      <c r="G502" s="171">
        <f>IF(K502="","",HYPERLINK("#Transaksi!B"&amp;K502,"Kas"))</f>
        <v/>
      </c>
      <c r="H502" s="172" t="n"/>
      <c r="I502" s="172" t="n"/>
      <c r="J502" s="105" t="n"/>
      <c r="K502" s="119" t="n"/>
    </row>
    <row r="503">
      <c r="A503" s="119" t="n"/>
      <c r="B503" s="127" t="n"/>
      <c r="C503" s="170" t="n"/>
      <c r="D503" s="167" t="n"/>
      <c r="E503" s="106" t="n"/>
      <c r="F503" s="106" t="n"/>
      <c r="G503" s="171">
        <f>IF(K503="","",HYPERLINK("#Transaksi!B"&amp;K503,"Kas"))</f>
        <v/>
      </c>
      <c r="H503" s="172" t="n"/>
      <c r="I503" s="172" t="n"/>
      <c r="J503" s="105" t="n"/>
      <c r="K503" s="119" t="n"/>
    </row>
    <row r="504">
      <c r="A504" s="119" t="n"/>
      <c r="B504" s="127" t="n"/>
      <c r="C504" s="170" t="n"/>
      <c r="D504" s="167" t="n"/>
      <c r="E504" s="106" t="n"/>
      <c r="F504" s="106" t="n"/>
      <c r="G504" s="171">
        <f>IF(K504="","",HYPERLINK("#Transaksi!B"&amp;K504,"Kas"))</f>
        <v/>
      </c>
      <c r="H504" s="172" t="n"/>
      <c r="I504" s="172" t="n"/>
      <c r="J504" s="105" t="n"/>
      <c r="K504" s="119" t="n"/>
    </row>
    <row r="505">
      <c r="A505" s="119" t="n"/>
      <c r="B505" s="127" t="n"/>
      <c r="C505" s="170" t="n"/>
      <c r="D505" s="167" t="n"/>
      <c r="E505" s="106" t="n"/>
      <c r="F505" s="106" t="n"/>
      <c r="G505" s="171">
        <f>IF(K505="","",HYPERLINK("#Transaksi!B"&amp;K505,"Kas"))</f>
        <v/>
      </c>
      <c r="H505" s="172" t="n"/>
      <c r="I505" s="172" t="n"/>
      <c r="J505" s="105" t="n"/>
      <c r="K505" s="119" t="n"/>
    </row>
    <row r="506">
      <c r="A506" s="119" t="n"/>
      <c r="B506" s="127" t="n"/>
      <c r="C506" s="170" t="n"/>
      <c r="D506" s="167" t="n"/>
      <c r="E506" s="106" t="n"/>
      <c r="F506" s="106" t="n"/>
      <c r="G506" s="171">
        <f>IF(K506="","",HYPERLINK("#Transaksi!B"&amp;K506,"Kas"))</f>
        <v/>
      </c>
      <c r="H506" s="172" t="n"/>
      <c r="I506" s="172" t="n"/>
      <c r="J506" s="105" t="n"/>
      <c r="K506" s="119" t="n"/>
    </row>
    <row r="507">
      <c r="A507" s="119" t="n"/>
      <c r="B507" s="127" t="n"/>
      <c r="C507" s="170" t="n"/>
      <c r="D507" s="167" t="n"/>
      <c r="E507" s="106" t="n"/>
      <c r="F507" s="106" t="n"/>
      <c r="G507" s="171">
        <f>IF(K507="","",HYPERLINK("#Transaksi!B"&amp;K507,"Kas"))</f>
        <v/>
      </c>
      <c r="H507" s="172" t="n"/>
      <c r="I507" s="172" t="n"/>
      <c r="J507" s="105" t="n"/>
      <c r="K507" s="119" t="n"/>
    </row>
    <row r="508">
      <c r="A508" s="119" t="n"/>
      <c r="B508" s="127" t="n"/>
      <c r="C508" s="170" t="n"/>
      <c r="D508" s="167" t="n"/>
      <c r="E508" s="106" t="n"/>
      <c r="F508" s="106" t="n"/>
      <c r="G508" s="171">
        <f>IF(K508="","",HYPERLINK("#Transaksi!B"&amp;K508,"Kas"))</f>
        <v/>
      </c>
      <c r="H508" s="172" t="n"/>
      <c r="I508" s="172" t="n"/>
      <c r="J508" s="105" t="n"/>
      <c r="K508" s="119" t="n"/>
    </row>
    <row r="509">
      <c r="A509" s="119" t="n"/>
      <c r="B509" s="127" t="n"/>
      <c r="C509" s="170" t="n"/>
      <c r="D509" s="167" t="n"/>
      <c r="E509" s="106" t="n"/>
      <c r="F509" s="106" t="n"/>
      <c r="G509" s="171">
        <f>IF(K509="","",HYPERLINK("#Transaksi!B"&amp;K509,"Kas"))</f>
        <v/>
      </c>
      <c r="H509" s="172" t="n"/>
      <c r="I509" s="172" t="n"/>
      <c r="J509" s="105" t="n"/>
      <c r="K509" s="119" t="n"/>
    </row>
    <row r="510">
      <c r="A510" s="119" t="n"/>
      <c r="B510" s="127" t="n"/>
      <c r="C510" s="170" t="n"/>
      <c r="D510" s="167" t="n"/>
      <c r="E510" s="106" t="n"/>
      <c r="F510" s="106" t="n"/>
      <c r="G510" s="171">
        <f>IF(K510="","",HYPERLINK("#Transaksi!B"&amp;K510,"Kas"))</f>
        <v/>
      </c>
      <c r="H510" s="172" t="n"/>
      <c r="I510" s="172" t="n"/>
      <c r="J510" s="105" t="n"/>
      <c r="K510" s="119" t="n"/>
    </row>
    <row r="511">
      <c r="A511" s="119" t="n"/>
      <c r="B511" s="127" t="n"/>
      <c r="C511" s="170" t="n"/>
      <c r="D511" s="167" t="n"/>
      <c r="E511" s="106" t="n"/>
      <c r="F511" s="106" t="n"/>
      <c r="G511" s="171">
        <f>IF(K511="","",HYPERLINK("#Transaksi!B"&amp;K511,"Kas"))</f>
        <v/>
      </c>
      <c r="H511" s="172" t="n"/>
      <c r="I511" s="172" t="n"/>
      <c r="J511" s="105" t="n"/>
      <c r="K511" s="119" t="n"/>
    </row>
    <row r="512">
      <c r="A512" s="119" t="n"/>
      <c r="B512" s="127" t="n"/>
      <c r="C512" s="170" t="n"/>
      <c r="D512" s="167" t="n"/>
      <c r="E512" s="106" t="n"/>
      <c r="F512" s="106" t="n"/>
      <c r="G512" s="171">
        <f>IF(K512="","",HYPERLINK("#Transaksi!B"&amp;K512,"Kas"))</f>
        <v/>
      </c>
      <c r="H512" s="172" t="n"/>
      <c r="I512" s="172" t="n"/>
      <c r="J512" s="105" t="n"/>
      <c r="K512" s="119" t="n"/>
    </row>
    <row r="513">
      <c r="A513" s="119" t="n"/>
      <c r="B513" s="127" t="n"/>
      <c r="C513" s="170" t="n"/>
      <c r="D513" s="167" t="n"/>
      <c r="E513" s="106" t="n"/>
      <c r="F513" s="106" t="n"/>
      <c r="G513" s="171">
        <f>IF(K513="","",HYPERLINK("#Transaksi!B"&amp;K513,"Kas"))</f>
        <v/>
      </c>
      <c r="H513" s="172" t="n"/>
      <c r="I513" s="172" t="n"/>
      <c r="J513" s="105" t="n"/>
      <c r="K513" s="119" t="n"/>
    </row>
    <row r="514">
      <c r="A514" s="119" t="n"/>
      <c r="B514" s="127" t="n"/>
      <c r="C514" s="170" t="n"/>
      <c r="D514" s="167" t="n"/>
      <c r="E514" s="106" t="n"/>
      <c r="F514" s="106" t="n"/>
      <c r="G514" s="171">
        <f>IF(K514="","",HYPERLINK("#Transaksi!B"&amp;K514,"Kas"))</f>
        <v/>
      </c>
      <c r="H514" s="172" t="n"/>
      <c r="I514" s="172" t="n"/>
      <c r="J514" s="105" t="n"/>
      <c r="K514" s="119" t="n"/>
    </row>
    <row r="515">
      <c r="A515" s="119" t="n"/>
      <c r="B515" s="127" t="n"/>
      <c r="C515" s="170" t="n"/>
      <c r="D515" s="167" t="n"/>
      <c r="E515" s="106" t="n"/>
      <c r="F515" s="106" t="n"/>
      <c r="G515" s="171">
        <f>IF(K515="","",HYPERLINK("#Transaksi!B"&amp;K515,"Kas"))</f>
        <v/>
      </c>
      <c r="H515" s="172" t="n"/>
      <c r="I515" s="172" t="n"/>
      <c r="J515" s="105" t="n"/>
      <c r="K515" s="119" t="n"/>
    </row>
    <row r="516">
      <c r="A516" s="119" t="n"/>
      <c r="B516" s="127" t="n"/>
      <c r="C516" s="170" t="n"/>
      <c r="D516" s="167" t="n"/>
      <c r="E516" s="106" t="n"/>
      <c r="F516" s="106" t="n"/>
      <c r="G516" s="171">
        <f>IF(K516="","",HYPERLINK("#Transaksi!B"&amp;K516,"Kas"))</f>
        <v/>
      </c>
      <c r="H516" s="172" t="n"/>
      <c r="I516" s="172" t="n"/>
      <c r="J516" s="105" t="n"/>
      <c r="K516" s="119" t="n"/>
    </row>
    <row r="517">
      <c r="A517" s="119" t="n"/>
      <c r="B517" s="127" t="n"/>
      <c r="C517" s="170" t="n"/>
      <c r="D517" s="167" t="n"/>
      <c r="E517" s="106" t="n"/>
      <c r="F517" s="106" t="n"/>
      <c r="G517" s="171">
        <f>IF(K517="","",HYPERLINK("#Transaksi!B"&amp;K517,"Kas"))</f>
        <v/>
      </c>
      <c r="H517" s="172" t="n"/>
      <c r="I517" s="172" t="n"/>
      <c r="J517" s="105" t="n"/>
      <c r="K517" s="119" t="n"/>
    </row>
    <row r="518">
      <c r="A518" s="119" t="n"/>
      <c r="B518" s="127" t="n"/>
      <c r="C518" s="170" t="n"/>
      <c r="D518" s="167" t="n"/>
      <c r="E518" s="106" t="n"/>
      <c r="F518" s="106" t="n"/>
      <c r="G518" s="171">
        <f>IF(K518="","",HYPERLINK("#Transaksi!B"&amp;K518,"Kas"))</f>
        <v/>
      </c>
      <c r="H518" s="172" t="n"/>
      <c r="I518" s="172" t="n"/>
      <c r="J518" s="105" t="n"/>
      <c r="K518" s="119" t="n"/>
    </row>
    <row r="519">
      <c r="A519" s="119" t="n"/>
      <c r="B519" s="127" t="n"/>
      <c r="C519" s="170" t="n"/>
      <c r="D519" s="167" t="n"/>
      <c r="E519" s="106" t="n"/>
      <c r="F519" s="106" t="n"/>
      <c r="G519" s="171">
        <f>IF(K519="","",HYPERLINK("#Transaksi!B"&amp;K519,"Kas"))</f>
        <v/>
      </c>
      <c r="H519" s="172" t="n"/>
      <c r="I519" s="172" t="n"/>
      <c r="J519" s="105" t="n"/>
      <c r="K519" s="119" t="n"/>
    </row>
    <row r="520">
      <c r="A520" s="119" t="n"/>
      <c r="B520" s="127" t="n"/>
      <c r="C520" s="170" t="n"/>
      <c r="D520" s="167" t="n"/>
      <c r="E520" s="106" t="n"/>
      <c r="F520" s="106" t="n"/>
      <c r="G520" s="171">
        <f>IF(K520="","",HYPERLINK("#Transaksi!B"&amp;K520,"Kas"))</f>
        <v/>
      </c>
      <c r="H520" s="172" t="n"/>
      <c r="I520" s="172" t="n"/>
      <c r="J520" s="105" t="n"/>
      <c r="K520" s="119" t="n"/>
    </row>
    <row r="521">
      <c r="A521" s="119" t="n"/>
      <c r="B521" s="127" t="n"/>
      <c r="C521" s="170" t="n"/>
      <c r="D521" s="167" t="n"/>
      <c r="E521" s="106" t="n"/>
      <c r="F521" s="106" t="n"/>
      <c r="G521" s="171">
        <f>IF(K521="","",HYPERLINK("#Transaksi!B"&amp;K521,"Kas"))</f>
        <v/>
      </c>
      <c r="H521" s="172" t="n"/>
      <c r="I521" s="172" t="n"/>
      <c r="J521" s="105" t="n"/>
      <c r="K521" s="119" t="n"/>
    </row>
    <row r="522">
      <c r="A522" s="119" t="n"/>
      <c r="B522" s="127" t="n"/>
      <c r="C522" s="170" t="n"/>
      <c r="D522" s="167" t="n"/>
      <c r="E522" s="106" t="n"/>
      <c r="F522" s="106" t="n"/>
      <c r="G522" s="171">
        <f>IF(K522="","",HYPERLINK("#Transaksi!B"&amp;K522,"Kas"))</f>
        <v/>
      </c>
      <c r="H522" s="172" t="n"/>
      <c r="I522" s="172" t="n"/>
      <c r="J522" s="105" t="n"/>
      <c r="K522" s="119" t="n"/>
    </row>
    <row r="523">
      <c r="A523" s="119" t="n"/>
      <c r="B523" s="127" t="n"/>
      <c r="C523" s="170" t="n"/>
      <c r="D523" s="167" t="n"/>
      <c r="E523" s="106" t="n"/>
      <c r="F523" s="106" t="n"/>
      <c r="G523" s="171">
        <f>IF(K523="","",HYPERLINK("#Transaksi!B"&amp;K523,"Kas"))</f>
        <v/>
      </c>
      <c r="H523" s="172" t="n"/>
      <c r="I523" s="172" t="n"/>
      <c r="J523" s="105" t="n"/>
      <c r="K523" s="119" t="n"/>
    </row>
    <row r="524">
      <c r="A524" s="119" t="n"/>
      <c r="B524" s="127" t="n"/>
      <c r="C524" s="170" t="n"/>
      <c r="D524" s="167" t="n"/>
      <c r="E524" s="106" t="n"/>
      <c r="F524" s="106" t="n"/>
      <c r="G524" s="171">
        <f>IF(K524="","",HYPERLINK("#Transaksi!B"&amp;K524,"Kas"))</f>
        <v/>
      </c>
      <c r="H524" s="172" t="n"/>
      <c r="I524" s="172" t="n"/>
      <c r="J524" s="105" t="n"/>
      <c r="K524" s="119" t="n"/>
    </row>
    <row r="525">
      <c r="A525" s="119" t="n"/>
      <c r="B525" s="127" t="n"/>
      <c r="C525" s="170" t="n"/>
      <c r="D525" s="167" t="n"/>
      <c r="E525" s="106" t="n"/>
      <c r="F525" s="106" t="n"/>
      <c r="G525" s="171">
        <f>IF(K525="","",HYPERLINK("#Transaksi!B"&amp;K525,"Kas"))</f>
        <v/>
      </c>
      <c r="H525" s="172" t="n"/>
      <c r="I525" s="172" t="n"/>
      <c r="J525" s="105" t="n"/>
      <c r="K525" s="119" t="n"/>
    </row>
    <row r="526">
      <c r="A526" s="119" t="n"/>
      <c r="B526" s="127" t="n"/>
      <c r="C526" s="170" t="n"/>
      <c r="D526" s="167" t="n"/>
      <c r="E526" s="106" t="n"/>
      <c r="F526" s="106" t="n"/>
      <c r="G526" s="171">
        <f>IF(K526="","",HYPERLINK("#Transaksi!B"&amp;K526,"Kas"))</f>
        <v/>
      </c>
      <c r="H526" s="172" t="n"/>
      <c r="I526" s="172" t="n"/>
      <c r="J526" s="105" t="n"/>
      <c r="K526" s="119" t="n"/>
    </row>
    <row r="527">
      <c r="A527" s="119" t="n"/>
      <c r="B527" s="127" t="n"/>
      <c r="C527" s="170" t="n"/>
      <c r="D527" s="167" t="n"/>
      <c r="E527" s="106" t="n"/>
      <c r="F527" s="106" t="n"/>
      <c r="G527" s="171">
        <f>IF(K527="","",HYPERLINK("#Transaksi!B"&amp;K527,"Kas"))</f>
        <v/>
      </c>
      <c r="H527" s="172" t="n"/>
      <c r="I527" s="172" t="n"/>
      <c r="J527" s="105" t="n"/>
      <c r="K527" s="119" t="n"/>
    </row>
    <row r="528">
      <c r="A528" s="119" t="n"/>
      <c r="B528" s="127" t="n"/>
      <c r="C528" s="170" t="n"/>
      <c r="D528" s="167" t="n"/>
      <c r="E528" s="106" t="n"/>
      <c r="F528" s="106" t="n"/>
      <c r="G528" s="171">
        <f>IF(K528="","",HYPERLINK("#Transaksi!B"&amp;K528,"Kas"))</f>
        <v/>
      </c>
      <c r="H528" s="172" t="n"/>
      <c r="I528" s="172" t="n"/>
      <c r="J528" s="105" t="n"/>
      <c r="K528" s="119" t="n"/>
    </row>
    <row r="529">
      <c r="A529" s="119" t="n"/>
      <c r="B529" s="127" t="n"/>
      <c r="C529" s="170" t="n"/>
      <c r="D529" s="167" t="n"/>
      <c r="E529" s="106" t="n"/>
      <c r="F529" s="106" t="n"/>
      <c r="G529" s="171">
        <f>IF(K529="","",HYPERLINK("#Transaksi!B"&amp;K529,"Kas"))</f>
        <v/>
      </c>
      <c r="H529" s="172" t="n"/>
      <c r="I529" s="172" t="n"/>
      <c r="J529" s="105" t="n"/>
      <c r="K529" s="119" t="n"/>
    </row>
    <row r="530">
      <c r="A530" s="119" t="n"/>
      <c r="B530" s="127" t="n"/>
      <c r="C530" s="170" t="n"/>
      <c r="D530" s="167" t="n"/>
      <c r="E530" s="106" t="n"/>
      <c r="F530" s="106" t="n"/>
      <c r="G530" s="171">
        <f>IF(K530="","",HYPERLINK("#Transaksi!B"&amp;K530,"Kas"))</f>
        <v/>
      </c>
      <c r="H530" s="172" t="n"/>
      <c r="I530" s="172" t="n"/>
      <c r="J530" s="105" t="n"/>
      <c r="K530" s="119" t="n"/>
    </row>
    <row r="531">
      <c r="A531" s="119" t="n"/>
      <c r="B531" s="127" t="n"/>
      <c r="C531" s="170" t="n"/>
      <c r="D531" s="167" t="n"/>
      <c r="E531" s="106" t="n"/>
      <c r="F531" s="106" t="n"/>
      <c r="G531" s="171">
        <f>IF(K531="","",HYPERLINK("#Transaksi!B"&amp;K531,"Kas"))</f>
        <v/>
      </c>
      <c r="H531" s="172" t="n"/>
      <c r="I531" s="172" t="n"/>
      <c r="J531" s="105" t="n"/>
      <c r="K531" s="119" t="n"/>
    </row>
    <row r="532">
      <c r="A532" s="119" t="n"/>
      <c r="B532" s="127" t="n"/>
      <c r="C532" s="170" t="n"/>
      <c r="D532" s="167" t="n"/>
      <c r="E532" s="106" t="n"/>
      <c r="F532" s="106" t="n"/>
      <c r="G532" s="171">
        <f>IF(K532="","",HYPERLINK("#Transaksi!B"&amp;K532,"Kas"))</f>
        <v/>
      </c>
      <c r="H532" s="172" t="n"/>
      <c r="I532" s="172" t="n"/>
      <c r="J532" s="105" t="n"/>
      <c r="K532" s="119" t="n"/>
    </row>
    <row r="533">
      <c r="A533" s="119" t="n"/>
      <c r="B533" s="127" t="n"/>
      <c r="C533" s="170" t="n"/>
      <c r="D533" s="167" t="n"/>
      <c r="E533" s="106" t="n"/>
      <c r="F533" s="106" t="n"/>
      <c r="G533" s="171">
        <f>IF(K533="","",HYPERLINK("#Transaksi!B"&amp;K533,"Kas"))</f>
        <v/>
      </c>
      <c r="H533" s="172" t="n"/>
      <c r="I533" s="172" t="n"/>
      <c r="J533" s="105" t="n"/>
      <c r="K533" s="119" t="n"/>
    </row>
    <row r="534">
      <c r="A534" s="119" t="n"/>
      <c r="B534" s="127" t="n"/>
      <c r="C534" s="170" t="n"/>
      <c r="D534" s="167" t="n"/>
      <c r="E534" s="106" t="n"/>
      <c r="F534" s="106" t="n"/>
      <c r="G534" s="171">
        <f>IF(K534="","",HYPERLINK("#Transaksi!B"&amp;K534,"Kas"))</f>
        <v/>
      </c>
      <c r="H534" s="172" t="n"/>
      <c r="I534" s="172" t="n"/>
      <c r="J534" s="105" t="n"/>
      <c r="K534" s="119" t="n"/>
    </row>
    <row r="535">
      <c r="A535" s="119" t="n"/>
      <c r="B535" s="127" t="n"/>
      <c r="C535" s="170" t="n"/>
      <c r="D535" s="167" t="n"/>
      <c r="E535" s="106" t="n"/>
      <c r="F535" s="106" t="n"/>
      <c r="G535" s="171">
        <f>IF(K535="","",HYPERLINK("#Transaksi!B"&amp;K535,"Kas"))</f>
        <v/>
      </c>
      <c r="H535" s="172" t="n"/>
      <c r="I535" s="172" t="n"/>
      <c r="J535" s="105" t="n"/>
      <c r="K535" s="119" t="n"/>
    </row>
  </sheetData>
  <mergeCells count="9">
    <mergeCell ref="A32:C32"/>
    <mergeCell ref="A31:C31"/>
    <mergeCell ref="A2:K2"/>
    <mergeCell ref="A34:J34"/>
    <mergeCell ref="A28:J28"/>
    <mergeCell ref="A4:J4"/>
    <mergeCell ref="A30:C30"/>
    <mergeCell ref="A29:C29"/>
    <mergeCell ref="A1:K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7.xml><?xml version="1.0" encoding="utf-8"?>
<worksheet xmlns="http://schemas.openxmlformats.org/spreadsheetml/2006/main">
  <sheetPr filterMode="0">
    <tabColor rgb="FF6A4C93"/>
    <outlinePr summaryBelow="1" summaryRight="1"/>
    <pageSetUpPr fitToPage="0"/>
  </sheetPr>
  <dimension ref="A1:K1046"/>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7421875" defaultRowHeight="15" zeroHeight="0" outlineLevelRow="0"/>
  <cols>
    <col width="11.97" customWidth="1" style="93" min="1" max="1"/>
    <col width="22.06" customWidth="1" style="93" min="2" max="2"/>
    <col width="25.97" customWidth="1" style="93" min="3" max="3"/>
    <col width="9.01" customWidth="1" style="93" min="4" max="4"/>
    <col width="16.01" customWidth="1" style="93" min="5" max="6"/>
    <col width="11.97" customWidth="1" style="93" min="7" max="7"/>
    <col width="30" customWidth="1" style="93" min="8" max="8"/>
    <col width="46" customWidth="1" style="93" min="9" max="9"/>
    <col hidden="1" width="2.96" customWidth="1" style="93" min="10" max="10"/>
  </cols>
  <sheetData>
    <row r="1" ht="30" customHeight="1" s="94">
      <c r="A1" s="95" t="inlineStr">
        <is>
          <t>REKSADANA PER TUJUAN &amp; DEPOSITO — MODAL, NILAI &amp; RIWAYAT</t>
        </is>
      </c>
    </row>
    <row r="2" ht="30" customHeight="1" s="94">
      <c r="A2" s="98" t="inlineStr">
        <is>
          <t>Dibuat otomatis dari aplikasi Dompet Digital. Nilai sekarang = nilai yang tersimpan di aplikasi (samakan dengan Bibit lewat menu Investasi).</t>
        </is>
      </c>
    </row>
    <row r="3"/>
    <row r="4" ht="15" customHeight="1" s="94">
      <c r="A4" s="101" t="inlineStr">
        <is>
          <t>A. PER TUJUAN</t>
        </is>
      </c>
      <c r="B4" s="102" t="n"/>
      <c r="C4" s="102" t="n"/>
      <c r="D4" s="102" t="n"/>
      <c r="E4" s="102" t="n"/>
      <c r="F4" s="102" t="n"/>
      <c r="G4" s="102" t="n"/>
      <c r="H4" s="102" t="n"/>
      <c r="I4" s="102" t="n"/>
    </row>
    <row r="5" ht="24.75" customHeight="1" s="94">
      <c r="A5" s="103" t="inlineStr">
        <is>
          <t>Tujuan</t>
        </is>
      </c>
      <c r="B5" s="103" t="inlineStr">
        <is>
          <t>Produk yang masih dipegang</t>
        </is>
      </c>
      <c r="C5" s="103" t="inlineStr">
        <is>
          <t>Modal</t>
        </is>
      </c>
      <c r="D5" s="103" t="inlineStr">
        <is>
          <t>Nilai sekarang</t>
        </is>
      </c>
      <c r="E5" s="103" t="inlineStr">
        <is>
          <t>Untung/rugi</t>
        </is>
      </c>
      <c r="F5" s="103" t="inlineStr">
        <is>
          <t>%</t>
        </is>
      </c>
      <c r="G5" s="103" t="inlineStr">
        <is>
          <t>Target</t>
        </is>
      </c>
      <c r="H5" s="103" t="inlineStr">
        <is>
          <t>Progres</t>
        </is>
      </c>
      <c r="I5" s="103" t="n"/>
    </row>
    <row r="6" ht="15" customHeight="1" s="94">
      <c r="A6" s="127" t="n"/>
      <c r="B6" s="156" t="n"/>
      <c r="C6" s="106" t="n"/>
      <c r="D6" s="175" t="n"/>
      <c r="E6" s="113">
        <f>IF(A6="","",D6-C6)</f>
        <v/>
      </c>
      <c r="F6" s="107">
        <f>IF(OR(A6="",C6=0),"",E6/C6)</f>
        <v/>
      </c>
      <c r="G6" s="106" t="n"/>
      <c r="H6" s="107">
        <f>IF(OR(A6="",G6=""),"",D6/G6)</f>
        <v/>
      </c>
      <c r="I6" s="176" t="n"/>
    </row>
    <row r="7" ht="15" customHeight="1" s="94">
      <c r="A7" s="127" t="n"/>
      <c r="B7" s="156" t="n"/>
      <c r="C7" s="106" t="n"/>
      <c r="D7" s="175" t="n"/>
      <c r="E7" s="113">
        <f>IF(A7="","",D7-C7)</f>
        <v/>
      </c>
      <c r="F7" s="107">
        <f>IF(OR(A7="",C7=0),"",E7/C7)</f>
        <v/>
      </c>
      <c r="G7" s="106" t="n"/>
      <c r="H7" s="107">
        <f>IF(OR(A7="",G7=""),"",D7/G7)</f>
        <v/>
      </c>
      <c r="I7" s="176" t="n"/>
    </row>
    <row r="8" ht="15" customHeight="1" s="94">
      <c r="A8" s="127" t="n"/>
      <c r="B8" s="156" t="n"/>
      <c r="C8" s="106" t="n"/>
      <c r="D8" s="175" t="n"/>
      <c r="E8" s="113">
        <f>IF(A8="","",D8-C8)</f>
        <v/>
      </c>
      <c r="F8" s="107">
        <f>IF(OR(A8="",C8=0),"",E8/C8)</f>
        <v/>
      </c>
      <c r="G8" s="106" t="n"/>
      <c r="H8" s="107">
        <f>IF(OR(A8="",G8=""),"",D8/G8)</f>
        <v/>
      </c>
      <c r="I8" s="176" t="n"/>
    </row>
    <row r="9" ht="15" customHeight="1" s="94">
      <c r="A9" s="127" t="n"/>
      <c r="B9" s="156" t="n"/>
      <c r="C9" s="106" t="n"/>
      <c r="D9" s="175" t="n"/>
      <c r="E9" s="113">
        <f>IF(A9="","",D9-C9)</f>
        <v/>
      </c>
      <c r="F9" s="107">
        <f>IF(OR(A9="",C9=0),"",E9/C9)</f>
        <v/>
      </c>
      <c r="G9" s="106" t="n"/>
      <c r="H9" s="107">
        <f>IF(OR(A9="",G9=""),"",D9/G9)</f>
        <v/>
      </c>
      <c r="I9" s="176" t="n"/>
    </row>
    <row r="10" ht="15" customHeight="1" s="94">
      <c r="A10" s="127" t="n"/>
      <c r="B10" s="156" t="n"/>
      <c r="C10" s="106" t="n"/>
      <c r="D10" s="175" t="n"/>
      <c r="E10" s="113">
        <f>IF(A10="","",D10-C10)</f>
        <v/>
      </c>
      <c r="F10" s="107">
        <f>IF(OR(A10="",C10=0),"",E10/C10)</f>
        <v/>
      </c>
      <c r="G10" s="106" t="n"/>
      <c r="H10" s="107">
        <f>IF(OR(A10="",G10=""),"",D10/G10)</f>
        <v/>
      </c>
      <c r="I10" s="176" t="n"/>
    </row>
    <row r="11" ht="15" customHeight="1" s="94">
      <c r="A11" s="127" t="n"/>
      <c r="B11" s="156" t="n"/>
      <c r="C11" s="106" t="n"/>
      <c r="D11" s="175" t="n"/>
      <c r="E11" s="113">
        <f>IF(A11="","",D11-C11)</f>
        <v/>
      </c>
      <c r="F11" s="107">
        <f>IF(OR(A11="",C11=0),"",E11/C11)</f>
        <v/>
      </c>
      <c r="G11" s="106" t="n"/>
      <c r="H11" s="107">
        <f>IF(OR(A11="",G11=""),"",D11/G11)</f>
        <v/>
      </c>
      <c r="I11" s="176" t="n"/>
    </row>
    <row r="12" ht="15" customHeight="1" s="94">
      <c r="A12" s="127" t="n"/>
      <c r="B12" s="156" t="n"/>
      <c r="C12" s="106" t="n"/>
      <c r="D12" s="175" t="n"/>
      <c r="E12" s="113">
        <f>IF(A12="","",D12-C12)</f>
        <v/>
      </c>
      <c r="F12" s="107">
        <f>IF(OR(A12="",C12=0),"",E12/C12)</f>
        <v/>
      </c>
      <c r="G12" s="106" t="n"/>
      <c r="H12" s="107">
        <f>IF(OR(A12="",G12=""),"",D12/G12)</f>
        <v/>
      </c>
      <c r="I12" s="176" t="n"/>
    </row>
    <row r="13" ht="15" customHeight="1" s="94">
      <c r="A13" s="127" t="n"/>
      <c r="B13" s="156" t="n"/>
      <c r="C13" s="106" t="n"/>
      <c r="D13" s="175" t="n"/>
      <c r="E13" s="113">
        <f>IF(A13="","",D13-C13)</f>
        <v/>
      </c>
      <c r="F13" s="107">
        <f>IF(OR(A13="",C13=0),"",E13/C13)</f>
        <v/>
      </c>
      <c r="G13" s="106" t="n"/>
      <c r="H13" s="107">
        <f>IF(OR(A13="",G13=""),"",D13/G13)</f>
        <v/>
      </c>
    </row>
    <row r="14" ht="15" customHeight="1" s="94">
      <c r="A14" s="127" t="n"/>
      <c r="B14" s="156" t="n"/>
      <c r="C14" s="106" t="n"/>
      <c r="D14" s="175" t="n"/>
      <c r="E14" s="113">
        <f>IF(A14="","",D14-C14)</f>
        <v/>
      </c>
      <c r="F14" s="107">
        <f>IF(OR(A14="",C14=0),"",E14/C14)</f>
        <v/>
      </c>
      <c r="G14" s="106" t="n"/>
      <c r="H14" s="107">
        <f>IF(OR(A14="",G14=""),"",D14/G14)</f>
        <v/>
      </c>
      <c r="I14" s="176" t="n"/>
    </row>
    <row r="15">
      <c r="A15" s="127" t="n"/>
      <c r="B15" s="156" t="n"/>
      <c r="C15" s="106" t="n"/>
      <c r="D15" s="175" t="n"/>
      <c r="E15" s="113">
        <f>IF(A15="","",D15-C15)</f>
        <v/>
      </c>
      <c r="F15" s="107">
        <f>IF(OR(A15="",C15=0),"",E15/C15)</f>
        <v/>
      </c>
      <c r="G15" s="106" t="n"/>
      <c r="H15" s="107">
        <f>IF(OR(A15="",G15=""),"",D15/G15)</f>
        <v/>
      </c>
    </row>
    <row r="16" ht="15" customHeight="1" s="94">
      <c r="A16" s="127" t="n"/>
      <c r="B16" s="156" t="n"/>
      <c r="C16" s="106" t="n"/>
      <c r="D16" s="175" t="n"/>
      <c r="E16" s="113">
        <f>IF(A16="","",D16-C16)</f>
        <v/>
      </c>
      <c r="F16" s="107">
        <f>IF(OR(A16="",C16=0),"",E16/C16)</f>
        <v/>
      </c>
      <c r="G16" s="106" t="n"/>
      <c r="H16" s="107">
        <f>IF(OR(A16="",G16=""),"",D16/G16)</f>
        <v/>
      </c>
    </row>
    <row r="17" ht="24.75" customHeight="1" s="94">
      <c r="A17" s="127" t="n"/>
      <c r="B17" s="156" t="n"/>
      <c r="C17" s="106" t="n"/>
      <c r="D17" s="175" t="n"/>
      <c r="E17" s="113">
        <f>IF(A17="","",D17-C17)</f>
        <v/>
      </c>
      <c r="F17" s="107">
        <f>IF(OR(A17="",C17=0),"",E17/C17)</f>
        <v/>
      </c>
      <c r="G17" s="106" t="n"/>
      <c r="H17" s="107">
        <f>IF(OR(A17="",G17=""),"",D17/G17)</f>
        <v/>
      </c>
      <c r="I17" s="103" t="n"/>
    </row>
    <row r="18" ht="15" customHeight="1" s="94">
      <c r="A18" s="108" t="inlineStr">
        <is>
          <t>TOTAL PRIBADI</t>
        </is>
      </c>
      <c r="B18" s="177" t="n"/>
      <c r="C18" s="109">
        <f>SUM(C6:C17)</f>
        <v/>
      </c>
      <c r="D18" s="109">
        <f>SUM(D6:D17)</f>
        <v/>
      </c>
      <c r="E18" s="109">
        <f>SUM(E6:E17)</f>
        <v/>
      </c>
      <c r="F18" s="165" t="n"/>
      <c r="G18" s="108" t="n"/>
      <c r="H18" s="164" t="n"/>
    </row>
    <row r="19" ht="15" customHeight="1" s="94">
      <c r="A19" s="127" t="inlineStr">
        <is>
          <t>Uang Kos Mama</t>
        </is>
      </c>
      <c r="B19" s="105" t="inlineStr">
        <is>
          <t>Milik mama — rincian di sheet 'Reksadana Kos Mama'</t>
        </is>
      </c>
      <c r="C19" s="106" t="n"/>
      <c r="D19" s="106" t="n"/>
      <c r="E19" s="106">
        <f>D19-C19</f>
        <v/>
      </c>
      <c r="F19" s="165" t="n"/>
      <c r="G19" s="108" t="n"/>
      <c r="H19" s="164" t="n"/>
    </row>
    <row r="20" ht="15" customHeight="1" s="94">
      <c r="A20" s="164" t="n"/>
      <c r="B20" s="177" t="n"/>
      <c r="C20" s="177" t="n"/>
      <c r="D20" s="178" t="n"/>
      <c r="E20" s="165" t="n"/>
      <c r="F20" s="165" t="n"/>
      <c r="G20" s="108" t="n"/>
      <c r="H20" s="164" t="n"/>
    </row>
    <row r="21" ht="15" customHeight="1" s="94">
      <c r="A21" s="101" t="inlineStr">
        <is>
          <t>B. DEPOSITO BPR</t>
        </is>
      </c>
      <c r="B21" s="102" t="n"/>
      <c r="C21" s="102" t="n"/>
      <c r="D21" s="102" t="n"/>
      <c r="E21" s="102" t="n"/>
      <c r="F21" s="102" t="n"/>
      <c r="G21" s="102" t="n"/>
      <c r="H21" s="102" t="n"/>
      <c r="I21" s="102" t="n"/>
    </row>
    <row r="22" ht="15" customHeight="1" s="94">
      <c r="A22" s="103" t="inlineStr">
        <is>
          <t>BPR</t>
        </is>
      </c>
      <c r="B22" s="103" t="inlineStr">
        <is>
          <t>Pengajuan</t>
        </is>
      </c>
      <c r="C22" s="103" t="inlineStr">
        <is>
          <t>Jatuh tempo</t>
        </is>
      </c>
      <c r="D22" s="103" t="inlineStr">
        <is>
          <t>Tenor (bln)</t>
        </is>
      </c>
      <c r="E22" s="103" t="inlineStr">
        <is>
          <t>Modal</t>
        </is>
      </c>
      <c r="F22" s="103" t="inlineStr">
        <is>
          <t>Bunga/tahun</t>
        </is>
      </c>
      <c r="G22" s="103" t="inlineStr">
        <is>
          <t>Riba?</t>
        </is>
      </c>
      <c r="H22" s="103" t="inlineStr">
        <is>
          <t>Status</t>
        </is>
      </c>
    </row>
    <row r="23" ht="15" customHeight="1" s="94">
      <c r="A23" s="164" t="n"/>
      <c r="B23" s="177" t="n"/>
      <c r="C23" s="177" t="n"/>
      <c r="D23" s="165" t="n"/>
      <c r="E23" s="165" t="n"/>
      <c r="F23" s="165" t="n"/>
      <c r="G23" s="164" t="n"/>
      <c r="H23" s="164" t="n"/>
    </row>
    <row r="24" ht="15" customHeight="1" s="94">
      <c r="A24" s="164" t="n"/>
      <c r="B24" s="177" t="n"/>
      <c r="C24" s="177" t="n"/>
      <c r="D24" s="165" t="n"/>
      <c r="E24" s="165" t="n"/>
      <c r="F24" s="165" t="n"/>
      <c r="G24" s="164" t="n"/>
      <c r="H24" s="164" t="n"/>
    </row>
    <row r="25" ht="15" customHeight="1" s="94">
      <c r="A25" s="164" t="n"/>
      <c r="B25" s="177" t="n"/>
      <c r="C25" s="177" t="n"/>
      <c r="D25" s="165" t="n"/>
      <c r="E25" s="165" t="n"/>
      <c r="F25" s="165" t="n"/>
      <c r="G25" s="164" t="n"/>
      <c r="H25" s="164" t="n"/>
    </row>
    <row r="26" ht="15" customHeight="1" s="94">
      <c r="A26" s="164" t="n"/>
      <c r="B26" s="177" t="n"/>
      <c r="C26" s="177" t="n"/>
      <c r="D26" s="165" t="n"/>
      <c r="E26" s="165" t="n"/>
      <c r="F26" s="165" t="n"/>
      <c r="G26" s="164" t="n"/>
      <c r="H26" s="164" t="n"/>
    </row>
    <row r="27" ht="15" customHeight="1" s="94">
      <c r="A27" s="164" t="n"/>
      <c r="B27" s="177" t="n"/>
      <c r="C27" s="177" t="n"/>
      <c r="D27" s="165" t="n"/>
      <c r="E27" s="165" t="n"/>
      <c r="F27" s="165" t="n"/>
      <c r="G27" s="164" t="n"/>
      <c r="H27" s="164" t="n"/>
    </row>
    <row r="28">
      <c r="A28" s="164" t="n"/>
      <c r="B28" s="177" t="n"/>
      <c r="C28" s="177" t="n"/>
      <c r="D28" s="165" t="n"/>
      <c r="E28" s="165" t="n"/>
      <c r="F28" s="165" t="n"/>
      <c r="G28" s="164" t="n"/>
      <c r="H28" s="164" t="n"/>
    </row>
    <row r="29" ht="15" customHeight="1" s="94">
      <c r="A29" s="164" t="n"/>
      <c r="B29" s="177" t="n"/>
      <c r="C29" s="177" t="n"/>
      <c r="D29" s="165" t="n"/>
      <c r="E29" s="165" t="n"/>
      <c r="F29" s="165" t="n"/>
      <c r="G29" s="164" t="n"/>
      <c r="H29" s="164" t="n"/>
    </row>
    <row r="30" ht="15" customHeight="1" s="94">
      <c r="A30" s="164" t="n"/>
      <c r="B30" s="177" t="n"/>
      <c r="C30" s="177" t="n"/>
      <c r="D30" s="165" t="n"/>
      <c r="E30" s="165" t="n"/>
      <c r="F30" s="165" t="n"/>
      <c r="G30" s="164" t="n"/>
      <c r="H30" s="164" t="n"/>
      <c r="I30" s="103" t="n"/>
    </row>
    <row r="31" ht="24.75" customHeight="1" s="94">
      <c r="A31" s="164" t="n"/>
      <c r="B31" s="177" t="n"/>
      <c r="C31" s="177" t="n"/>
      <c r="D31" s="165" t="n"/>
      <c r="E31" s="165" t="n"/>
      <c r="F31" s="165" t="n"/>
      <c r="G31" s="164" t="n"/>
      <c r="H31" s="164" t="n"/>
      <c r="I31" s="172" t="n"/>
    </row>
    <row r="32" ht="36" customHeight="1" s="94">
      <c r="A32" s="164" t="n"/>
      <c r="B32" s="177" t="n"/>
      <c r="C32" s="177" t="n"/>
      <c r="D32" s="165" t="n"/>
      <c r="E32" s="165" t="n"/>
      <c r="F32" s="165" t="n"/>
      <c r="G32" s="164" t="n"/>
      <c r="H32" s="164" t="n"/>
      <c r="I32" s="172" t="n"/>
    </row>
    <row r="33" ht="24.75" customHeight="1" s="94">
      <c r="A33" s="164" t="n"/>
      <c r="B33" s="177" t="n"/>
      <c r="C33" s="177" t="n"/>
      <c r="D33" s="165" t="n"/>
      <c r="E33" s="165" t="n"/>
      <c r="F33" s="165" t="n"/>
      <c r="G33" s="164" t="n"/>
      <c r="H33" s="164" t="n"/>
      <c r="I33" s="172" t="n"/>
    </row>
    <row r="34" ht="24.75" customHeight="1" s="94">
      <c r="A34" s="164" t="n"/>
      <c r="B34" s="177" t="n"/>
      <c r="C34" s="177" t="n"/>
      <c r="D34" s="165" t="n"/>
      <c r="E34" s="165" t="n"/>
      <c r="F34" s="165" t="n"/>
      <c r="G34" s="164" t="n"/>
      <c r="H34" s="164" t="n"/>
      <c r="I34" s="172" t="n"/>
    </row>
    <row r="35" ht="47.25" customHeight="1" s="94">
      <c r="A35" s="164" t="n"/>
      <c r="B35" s="177" t="n"/>
      <c r="C35" s="177" t="n"/>
      <c r="D35" s="165" t="n"/>
      <c r="E35" s="165" t="n"/>
      <c r="F35" s="165" t="n"/>
      <c r="G35" s="164" t="n"/>
      <c r="H35" s="164" t="n"/>
      <c r="I35" s="172" t="n"/>
    </row>
    <row r="36" ht="59.25" customHeight="1" s="94">
      <c r="A36" s="164" t="n"/>
      <c r="B36" s="177" t="n"/>
      <c r="C36" s="177" t="n"/>
      <c r="D36" s="165" t="n"/>
      <c r="E36" s="165" t="n"/>
      <c r="F36" s="165" t="n"/>
      <c r="G36" s="164" t="n"/>
      <c r="H36" s="164" t="n"/>
      <c r="I36" s="172" t="n"/>
    </row>
    <row r="37" ht="15" customHeight="1" s="94">
      <c r="A37" s="164" t="n"/>
      <c r="B37" s="177" t="n"/>
      <c r="C37" s="177" t="n"/>
      <c r="D37" s="165" t="n"/>
      <c r="E37" s="165" t="n"/>
      <c r="F37" s="165" t="n"/>
      <c r="G37" s="164" t="n"/>
      <c r="H37" s="164" t="n"/>
      <c r="I37" s="172" t="n"/>
    </row>
    <row r="38" ht="15" customHeight="1" s="94">
      <c r="A38" s="164" t="n"/>
      <c r="B38" s="177" t="n"/>
      <c r="C38" s="177" t="n"/>
      <c r="D38" s="165" t="n"/>
      <c r="E38" s="165" t="n"/>
      <c r="F38" s="165" t="n"/>
      <c r="G38" s="164" t="n"/>
      <c r="H38" s="164" t="n"/>
      <c r="I38" s="172" t="n"/>
    </row>
    <row r="39" ht="59.25" customHeight="1" s="94">
      <c r="A39" s="164" t="n"/>
      <c r="B39" s="177" t="n"/>
      <c r="C39" s="177" t="n"/>
      <c r="D39" s="165" t="n"/>
      <c r="E39" s="165" t="n"/>
      <c r="F39" s="165" t="n"/>
      <c r="G39" s="164" t="n"/>
      <c r="H39" s="164" t="n"/>
      <c r="I39" s="172" t="n"/>
    </row>
    <row r="40" ht="47.25" customHeight="1" s="94">
      <c r="A40" s="164" t="n"/>
      <c r="B40" s="177" t="n"/>
      <c r="C40" s="177" t="n"/>
      <c r="D40" s="165" t="n"/>
      <c r="E40" s="165" t="n"/>
      <c r="F40" s="165" t="n"/>
      <c r="G40" s="164" t="n"/>
      <c r="H40" s="164" t="n"/>
      <c r="I40" s="172" t="n"/>
    </row>
    <row r="41" ht="24.75" customHeight="1" s="94">
      <c r="A41" s="164" t="n"/>
      <c r="B41" s="177" t="n"/>
      <c r="C41" s="177" t="n"/>
      <c r="D41" s="165" t="n"/>
      <c r="E41" s="165" t="n"/>
      <c r="F41" s="165" t="n"/>
      <c r="G41" s="164" t="n"/>
      <c r="H41" s="164" t="n"/>
      <c r="I41" s="172" t="n"/>
    </row>
    <row r="42" ht="59.25" customHeight="1" s="94">
      <c r="A42" s="164" t="n"/>
      <c r="B42" s="177" t="n"/>
      <c r="C42" s="177" t="n"/>
      <c r="D42" s="165" t="n"/>
      <c r="E42" s="165" t="n"/>
      <c r="F42" s="165" t="n"/>
      <c r="G42" s="164" t="n"/>
      <c r="H42" s="164" t="n"/>
      <c r="I42" s="172" t="n"/>
    </row>
    <row r="43" ht="24.75" customHeight="1" s="94">
      <c r="A43" s="119" t="n"/>
      <c r="B43" s="105" t="n"/>
      <c r="C43" s="105" t="n"/>
      <c r="D43" s="174" t="n"/>
      <c r="E43" s="106" t="n"/>
      <c r="F43" s="105" t="n"/>
      <c r="G43" s="171" t="n"/>
      <c r="H43" s="172" t="n"/>
      <c r="I43" s="172" t="n"/>
    </row>
    <row r="44" ht="24.75" customHeight="1" s="94">
      <c r="A44" s="119" t="n"/>
      <c r="B44" s="105" t="n"/>
      <c r="C44" s="105" t="n"/>
      <c r="D44" s="170" t="n"/>
      <c r="E44" s="106" t="n"/>
      <c r="F44" s="105" t="n"/>
      <c r="G44" s="171" t="n"/>
      <c r="H44" s="172" t="n"/>
      <c r="I44" s="172" t="n"/>
    </row>
    <row r="45" ht="24.75" customHeight="1" s="94">
      <c r="A45" s="188" t="inlineStr">
        <is>
          <t>C. RIWAYAT (klik "Kas" untuk melompat ke transaksinya)</t>
        </is>
      </c>
      <c r="B45" s="102" t="n"/>
      <c r="C45" s="102" t="n"/>
      <c r="D45" s="102" t="n"/>
      <c r="E45" s="102" t="n"/>
      <c r="F45" s="102" t="n"/>
      <c r="G45" s="102" t="n"/>
      <c r="H45" s="102" t="n"/>
      <c r="I45" s="189" t="n"/>
    </row>
    <row r="46" ht="15" customHeight="1" s="94">
      <c r="A46" s="103" t="inlineStr">
        <is>
          <t>Tanggal</t>
        </is>
      </c>
      <c r="B46" s="103" t="inlineStr">
        <is>
          <t>Tujuan</t>
        </is>
      </c>
      <c r="C46" s="103" t="inlineStr">
        <is>
          <t>Produk</t>
        </is>
      </c>
      <c r="D46" s="103" t="inlineStr">
        <is>
          <t>Aksi</t>
        </is>
      </c>
      <c r="E46" s="103" t="inlineStr">
        <is>
          <t>Modal</t>
        </is>
      </c>
      <c r="F46" s="103" t="inlineStr">
        <is>
          <t>Nilai jual / untung</t>
        </is>
      </c>
      <c r="G46" s="103" t="inlineStr">
        <is>
          <t>Kas (klik)</t>
        </is>
      </c>
      <c r="H46" s="103" t="inlineStr">
        <is>
          <t>Akun kas</t>
        </is>
      </c>
      <c r="I46" s="103" t="inlineStr">
        <is>
          <t>Keterangan</t>
        </is>
      </c>
    </row>
    <row r="47" ht="59.25" customHeight="1" s="94">
      <c r="A47" s="119" t="n"/>
      <c r="B47" s="105" t="n"/>
      <c r="C47" s="105" t="n"/>
      <c r="D47" s="170" t="n"/>
      <c r="E47" s="106" t="n"/>
      <c r="F47" s="105" t="n"/>
      <c r="G47" s="171">
        <f>IF(J47="","",HYPERLINK("#Transaksi!B"&amp;J47,"Kas"))</f>
        <v/>
      </c>
      <c r="H47" s="172" t="n"/>
      <c r="I47" s="172" t="n"/>
      <c r="J47" s="119" t="n"/>
    </row>
    <row r="48" ht="59.25" customHeight="1" s="94">
      <c r="A48" s="119" t="n"/>
      <c r="B48" s="105" t="n"/>
      <c r="C48" s="105" t="n"/>
      <c r="D48" s="170" t="n"/>
      <c r="E48" s="106" t="n"/>
      <c r="F48" s="105" t="n"/>
      <c r="G48" s="171">
        <f>IF(J48="","",HYPERLINK("#Transaksi!B"&amp;J48,"Kas"))</f>
        <v/>
      </c>
      <c r="H48" s="172" t="n"/>
      <c r="I48" s="172" t="n"/>
      <c r="J48" s="119" t="n"/>
    </row>
    <row r="49" ht="47.25" customHeight="1" s="94">
      <c r="A49" s="119" t="n"/>
      <c r="B49" s="105" t="n"/>
      <c r="C49" s="105" t="n"/>
      <c r="D49" s="170" t="n"/>
      <c r="E49" s="106" t="n"/>
      <c r="F49" s="105" t="n"/>
      <c r="G49" s="171">
        <f>IF(J49="","",HYPERLINK("#Transaksi!B"&amp;J49,"Kas"))</f>
        <v/>
      </c>
      <c r="H49" s="172" t="n"/>
      <c r="I49" s="172" t="n"/>
      <c r="J49" s="119" t="n"/>
    </row>
    <row r="50" ht="24.75" customHeight="1" s="94">
      <c r="A50" s="119" t="n"/>
      <c r="B50" s="105" t="n"/>
      <c r="C50" s="105" t="n"/>
      <c r="D50" s="170" t="n"/>
      <c r="E50" s="106" t="n"/>
      <c r="F50" s="105" t="n"/>
      <c r="G50" s="171">
        <f>IF(J50="","",HYPERLINK("#Transaksi!B"&amp;J50,"Kas"))</f>
        <v/>
      </c>
      <c r="H50" s="172" t="n"/>
      <c r="I50" s="172" t="n"/>
      <c r="J50" s="119" t="n"/>
    </row>
    <row r="51" ht="47.25" customHeight="1" s="94">
      <c r="A51" s="119" t="n"/>
      <c r="B51" s="105" t="n"/>
      <c r="C51" s="105" t="n"/>
      <c r="D51" s="170" t="n"/>
      <c r="E51" s="106" t="n"/>
      <c r="F51" s="105" t="n"/>
      <c r="G51" s="171">
        <f>IF(J51="","",HYPERLINK("#Transaksi!B"&amp;J51,"Kas"))</f>
        <v/>
      </c>
      <c r="H51" s="172" t="n"/>
      <c r="I51" s="172" t="n"/>
      <c r="J51" s="119" t="n"/>
    </row>
    <row r="52" ht="47.25" customHeight="1" s="94">
      <c r="A52" s="119" t="n"/>
      <c r="B52" s="105" t="n"/>
      <c r="C52" s="105" t="n"/>
      <c r="D52" s="170" t="n"/>
      <c r="E52" s="106" t="n"/>
      <c r="F52" s="105" t="n"/>
      <c r="G52" s="171">
        <f>IF(J52="","",HYPERLINK("#Transaksi!B"&amp;J52,"Kas"))</f>
        <v/>
      </c>
      <c r="H52" s="172" t="n"/>
      <c r="I52" s="172" t="n"/>
      <c r="J52" s="119" t="n"/>
    </row>
    <row r="53" ht="47.25" customHeight="1" s="94">
      <c r="A53" s="119" t="n"/>
      <c r="B53" s="105" t="n"/>
      <c r="C53" s="105" t="n"/>
      <c r="D53" s="170" t="n"/>
      <c r="E53" s="106" t="n"/>
      <c r="F53" s="105" t="n"/>
      <c r="G53" s="171">
        <f>IF(J53="","",HYPERLINK("#Transaksi!B"&amp;J53,"Kas"))</f>
        <v/>
      </c>
      <c r="H53" s="172" t="n"/>
      <c r="I53" s="172" t="n"/>
      <c r="J53" s="119" t="n"/>
    </row>
    <row r="54" ht="24.75" customHeight="1" s="94">
      <c r="A54" s="119" t="n"/>
      <c r="B54" s="105" t="n"/>
      <c r="C54" s="105" t="n"/>
      <c r="D54" s="170" t="n"/>
      <c r="E54" s="106" t="n"/>
      <c r="F54" s="105" t="n"/>
      <c r="G54" s="171">
        <f>IF(J54="","",HYPERLINK("#Transaksi!B"&amp;J54,"Kas"))</f>
        <v/>
      </c>
      <c r="H54" s="172" t="n"/>
      <c r="I54" s="172" t="n"/>
      <c r="J54" s="119" t="n"/>
    </row>
    <row r="55" ht="47.25" customHeight="1" s="94">
      <c r="A55" s="119" t="n"/>
      <c r="B55" s="105" t="n"/>
      <c r="C55" s="105" t="n"/>
      <c r="D55" s="170" t="n"/>
      <c r="E55" s="106" t="n"/>
      <c r="F55" s="105" t="n"/>
      <c r="G55" s="171">
        <f>IF(J55="","",HYPERLINK("#Transaksi!B"&amp;J55,"Kas"))</f>
        <v/>
      </c>
      <c r="H55" s="172" t="n"/>
      <c r="I55" s="172" t="n"/>
      <c r="J55" s="119" t="n"/>
    </row>
    <row r="56" ht="24.75" customHeight="1" s="94">
      <c r="A56" s="119" t="n"/>
      <c r="B56" s="105" t="n"/>
      <c r="C56" s="105" t="n"/>
      <c r="D56" s="170" t="n"/>
      <c r="E56" s="106" t="n"/>
      <c r="F56" s="105" t="n"/>
      <c r="G56" s="171">
        <f>IF(J56="","",HYPERLINK("#Transaksi!B"&amp;J56,"Kas"))</f>
        <v/>
      </c>
      <c r="H56" s="172" t="n"/>
      <c r="I56" s="172" t="n"/>
      <c r="J56" s="119" t="n"/>
    </row>
    <row r="57" ht="24.75" customHeight="1" s="94">
      <c r="A57" s="119" t="n"/>
      <c r="B57" s="105" t="n"/>
      <c r="C57" s="105" t="n"/>
      <c r="D57" s="170" t="n"/>
      <c r="E57" s="106" t="n"/>
      <c r="F57" s="105" t="n"/>
      <c r="G57" s="171">
        <f>IF(J57="","",HYPERLINK("#Transaksi!B"&amp;J57,"Kas"))</f>
        <v/>
      </c>
      <c r="H57" s="172" t="n"/>
      <c r="I57" s="172" t="n"/>
      <c r="J57" s="119" t="n"/>
    </row>
    <row r="58" ht="24.75" customHeight="1" s="94">
      <c r="A58" s="119" t="n"/>
      <c r="B58" s="105" t="n"/>
      <c r="C58" s="105" t="n"/>
      <c r="D58" s="170" t="n"/>
      <c r="E58" s="106" t="n"/>
      <c r="F58" s="105" t="n"/>
      <c r="G58" s="171">
        <f>IF(J58="","",HYPERLINK("#Transaksi!B"&amp;J58,"Kas"))</f>
        <v/>
      </c>
      <c r="H58" s="172" t="n"/>
      <c r="I58" s="172" t="n"/>
      <c r="J58" s="119" t="n"/>
    </row>
    <row r="59" ht="47.25" customHeight="1" s="94">
      <c r="A59" s="119" t="n"/>
      <c r="B59" s="105" t="n"/>
      <c r="C59" s="105" t="n"/>
      <c r="D59" s="170" t="n"/>
      <c r="E59" s="106" t="n"/>
      <c r="F59" s="105" t="n"/>
      <c r="G59" s="171">
        <f>IF(J59="","",HYPERLINK("#Transaksi!B"&amp;J59,"Kas"))</f>
        <v/>
      </c>
      <c r="H59" s="172" t="n"/>
      <c r="I59" s="172" t="n"/>
      <c r="J59" s="119" t="n"/>
    </row>
    <row r="60" ht="47.25" customHeight="1" s="94">
      <c r="A60" s="119" t="n"/>
      <c r="B60" s="105" t="n"/>
      <c r="C60" s="105" t="n"/>
      <c r="D60" s="170" t="n"/>
      <c r="E60" s="106" t="n"/>
      <c r="F60" s="105" t="n"/>
      <c r="G60" s="171">
        <f>IF(J60="","",HYPERLINK("#Transaksi!B"&amp;J60,"Kas"))</f>
        <v/>
      </c>
      <c r="H60" s="172" t="n"/>
      <c r="I60" s="172" t="n"/>
      <c r="J60" s="119" t="n"/>
    </row>
    <row r="61" ht="47.25" customHeight="1" s="94">
      <c r="A61" s="119" t="n"/>
      <c r="B61" s="105" t="n"/>
      <c r="C61" s="105" t="n"/>
      <c r="D61" s="170" t="n"/>
      <c r="E61" s="106" t="n"/>
      <c r="F61" s="105" t="n"/>
      <c r="G61" s="171">
        <f>IF(J61="","",HYPERLINK("#Transaksi!B"&amp;J61,"Kas"))</f>
        <v/>
      </c>
      <c r="H61" s="172" t="n"/>
      <c r="I61" s="172" t="n"/>
      <c r="J61" s="119" t="n"/>
    </row>
    <row r="62" ht="47.25" customHeight="1" s="94">
      <c r="A62" s="119" t="n"/>
      <c r="B62" s="105" t="n"/>
      <c r="C62" s="105" t="n"/>
      <c r="D62" s="170" t="n"/>
      <c r="E62" s="106" t="n"/>
      <c r="F62" s="105" t="n"/>
      <c r="G62" s="171">
        <f>IF(J62="","",HYPERLINK("#Transaksi!B"&amp;J62,"Kas"))</f>
        <v/>
      </c>
      <c r="H62" s="172" t="n"/>
      <c r="I62" s="172" t="n"/>
      <c r="J62" s="119" t="n"/>
    </row>
    <row r="63" ht="24.75" customHeight="1" s="94">
      <c r="A63" s="119" t="n"/>
      <c r="B63" s="105" t="n"/>
      <c r="C63" s="105" t="n"/>
      <c r="D63" s="170" t="n"/>
      <c r="E63" s="106" t="n"/>
      <c r="F63" s="105" t="n"/>
      <c r="G63" s="171">
        <f>IF(J63="","",HYPERLINK("#Transaksi!B"&amp;J63,"Kas"))</f>
        <v/>
      </c>
      <c r="H63" s="172" t="n"/>
      <c r="I63" s="172" t="n"/>
      <c r="J63" s="119" t="n"/>
    </row>
    <row r="64" ht="59.25" customHeight="1" s="94">
      <c r="A64" s="119" t="n"/>
      <c r="B64" s="105" t="n"/>
      <c r="C64" s="105" t="n"/>
      <c r="D64" s="170" t="n"/>
      <c r="E64" s="106" t="n"/>
      <c r="F64" s="105" t="n"/>
      <c r="G64" s="171">
        <f>IF(J64="","",HYPERLINK("#Transaksi!B"&amp;J64,"Kas"))</f>
        <v/>
      </c>
      <c r="H64" s="172" t="n"/>
      <c r="I64" s="172" t="n"/>
      <c r="J64" s="119" t="n"/>
    </row>
    <row r="65" ht="59.25" customHeight="1" s="94">
      <c r="A65" s="119" t="n"/>
      <c r="B65" s="105" t="n"/>
      <c r="C65" s="105" t="n"/>
      <c r="D65" s="170" t="n"/>
      <c r="E65" s="106" t="n"/>
      <c r="F65" s="105" t="n"/>
      <c r="G65" s="171">
        <f>IF(J65="","",HYPERLINK("#Transaksi!B"&amp;J65,"Kas"))</f>
        <v/>
      </c>
      <c r="H65" s="172" t="n"/>
      <c r="I65" s="172" t="n"/>
      <c r="J65" s="119" t="n"/>
    </row>
    <row r="66" ht="24.75" customHeight="1" s="94">
      <c r="A66" s="119" t="n"/>
      <c r="B66" s="105" t="n"/>
      <c r="C66" s="105" t="n"/>
      <c r="D66" s="170" t="n"/>
      <c r="E66" s="106" t="n"/>
      <c r="F66" s="105" t="n"/>
      <c r="G66" s="171">
        <f>IF(J66="","",HYPERLINK("#Transaksi!B"&amp;J66,"Kas"))</f>
        <v/>
      </c>
      <c r="H66" s="172" t="n"/>
      <c r="I66" s="172" t="n"/>
      <c r="J66" s="119" t="n"/>
    </row>
    <row r="67" ht="59.25" customHeight="1" s="94">
      <c r="A67" s="119" t="n"/>
      <c r="B67" s="105" t="n"/>
      <c r="C67" s="105" t="n"/>
      <c r="D67" s="170" t="n"/>
      <c r="E67" s="106" t="n"/>
      <c r="F67" s="105" t="n"/>
      <c r="G67" s="171">
        <f>IF(J67="","",HYPERLINK("#Transaksi!B"&amp;J67,"Kas"))</f>
        <v/>
      </c>
      <c r="H67" s="172" t="n"/>
      <c r="I67" s="172" t="n"/>
      <c r="J67" s="119" t="n"/>
    </row>
    <row r="68" ht="15" customHeight="1" s="94">
      <c r="A68" s="119" t="n"/>
      <c r="B68" s="105" t="n"/>
      <c r="C68" s="105" t="n"/>
      <c r="D68" s="170" t="n"/>
      <c r="E68" s="106" t="n"/>
      <c r="F68" s="105" t="n"/>
      <c r="G68" s="171">
        <f>IF(J68="","",HYPERLINK("#Transaksi!B"&amp;J68,"Kas"))</f>
        <v/>
      </c>
      <c r="H68" s="172" t="n"/>
      <c r="I68" s="172" t="n"/>
      <c r="J68" s="119" t="n"/>
    </row>
    <row r="69" ht="15" customHeight="1" s="94">
      <c r="A69" s="119" t="n"/>
      <c r="B69" s="105" t="n"/>
      <c r="C69" s="105" t="n"/>
      <c r="D69" s="170" t="n"/>
      <c r="E69" s="106" t="n"/>
      <c r="F69" s="105" t="n"/>
      <c r="G69" s="171">
        <f>IF(J69="","",HYPERLINK("#Transaksi!B"&amp;J69,"Kas"))</f>
        <v/>
      </c>
      <c r="H69" s="172" t="n"/>
      <c r="I69" s="172" t="n"/>
      <c r="J69" s="119" t="n"/>
    </row>
    <row r="70" ht="24.75" customHeight="1" s="94">
      <c r="A70" s="119" t="n"/>
      <c r="B70" s="105" t="n"/>
      <c r="C70" s="105" t="n"/>
      <c r="D70" s="170" t="n"/>
      <c r="E70" s="106" t="n"/>
      <c r="F70" s="105" t="n"/>
      <c r="G70" s="171">
        <f>IF(J70="","",HYPERLINK("#Transaksi!B"&amp;J70,"Kas"))</f>
        <v/>
      </c>
      <c r="H70" s="172" t="n"/>
      <c r="I70" s="172" t="n"/>
      <c r="J70" s="119" t="n"/>
    </row>
    <row r="71" ht="15" customHeight="1" s="94">
      <c r="A71" s="119" t="n"/>
      <c r="B71" s="105" t="n"/>
      <c r="C71" s="105" t="n"/>
      <c r="D71" s="170" t="n"/>
      <c r="E71" s="106" t="n"/>
      <c r="F71" s="105" t="n"/>
      <c r="G71" s="171">
        <f>IF(J71="","",HYPERLINK("#Transaksi!B"&amp;J71,"Kas"))</f>
        <v/>
      </c>
      <c r="H71" s="172" t="n"/>
      <c r="I71" s="172" t="n"/>
      <c r="J71" s="119" t="n"/>
    </row>
    <row r="72" ht="36" customHeight="1" s="94">
      <c r="A72" s="119" t="n"/>
      <c r="B72" s="105" t="n"/>
      <c r="C72" s="105" t="n"/>
      <c r="D72" s="170" t="n"/>
      <c r="E72" s="106" t="n"/>
      <c r="F72" s="105" t="n"/>
      <c r="G72" s="171">
        <f>IF(J72="","",HYPERLINK("#Transaksi!B"&amp;J72,"Kas"))</f>
        <v/>
      </c>
      <c r="H72" s="172" t="n"/>
      <c r="I72" s="172" t="n"/>
      <c r="J72" s="119" t="n"/>
    </row>
    <row r="73" ht="24.75" customHeight="1" s="94">
      <c r="A73" s="119" t="n"/>
      <c r="B73" s="105" t="n"/>
      <c r="C73" s="105" t="n"/>
      <c r="D73" s="170" t="n"/>
      <c r="E73" s="106" t="n"/>
      <c r="F73" s="105" t="n"/>
      <c r="G73" s="171">
        <f>IF(J73="","",HYPERLINK("#Transaksi!B"&amp;J73,"Kas"))</f>
        <v/>
      </c>
      <c r="H73" s="172" t="n"/>
      <c r="I73" s="172" t="n"/>
      <c r="J73" s="119" t="n"/>
    </row>
    <row r="74" ht="47.25" customHeight="1" s="94">
      <c r="A74" s="119" t="n"/>
      <c r="B74" s="105" t="n"/>
      <c r="C74" s="105" t="n"/>
      <c r="D74" s="170" t="n"/>
      <c r="E74" s="106" t="n"/>
      <c r="F74" s="105" t="n"/>
      <c r="G74" s="171">
        <f>IF(J74="","",HYPERLINK("#Transaksi!B"&amp;J74,"Kas"))</f>
        <v/>
      </c>
      <c r="H74" s="172" t="n"/>
      <c r="I74" s="172" t="n"/>
      <c r="J74" s="119" t="n"/>
    </row>
    <row r="75" ht="47.25" customHeight="1" s="94">
      <c r="A75" s="119" t="n"/>
      <c r="B75" s="105" t="n"/>
      <c r="C75" s="105" t="n"/>
      <c r="D75" s="170" t="n"/>
      <c r="E75" s="106" t="n"/>
      <c r="F75" s="105" t="n"/>
      <c r="G75" s="171">
        <f>IF(J75="","",HYPERLINK("#Transaksi!B"&amp;J75,"Kas"))</f>
        <v/>
      </c>
      <c r="H75" s="172" t="n"/>
      <c r="I75" s="172" t="n"/>
      <c r="J75" s="119" t="n"/>
    </row>
    <row r="76" ht="36" customHeight="1" s="94">
      <c r="A76" s="119" t="n"/>
      <c r="B76" s="105" t="n"/>
      <c r="C76" s="105" t="n"/>
      <c r="D76" s="170" t="n"/>
      <c r="E76" s="106" t="n"/>
      <c r="F76" s="105" t="n"/>
      <c r="G76" s="171">
        <f>IF(J76="","",HYPERLINK("#Transaksi!B"&amp;J76,"Kas"))</f>
        <v/>
      </c>
      <c r="H76" s="172" t="n"/>
      <c r="I76" s="172" t="n"/>
      <c r="J76" s="119" t="n"/>
    </row>
    <row r="77" ht="24.75" customHeight="1" s="94">
      <c r="A77" s="119" t="n"/>
      <c r="B77" s="105" t="n"/>
      <c r="C77" s="105" t="n"/>
      <c r="D77" s="170" t="n"/>
      <c r="E77" s="106" t="n"/>
      <c r="F77" s="105" t="n"/>
      <c r="G77" s="171">
        <f>IF(J77="","",HYPERLINK("#Transaksi!B"&amp;J77,"Kas"))</f>
        <v/>
      </c>
      <c r="H77" s="172" t="n"/>
      <c r="I77" s="172" t="n"/>
      <c r="J77" s="119" t="n"/>
    </row>
    <row r="78" ht="24.75" customHeight="1" s="94">
      <c r="A78" s="119" t="n"/>
      <c r="B78" s="105" t="n"/>
      <c r="C78" s="105" t="n"/>
      <c r="D78" s="170" t="n"/>
      <c r="E78" s="106" t="n"/>
      <c r="F78" s="105" t="n"/>
      <c r="G78" s="171">
        <f>IF(J78="","",HYPERLINK("#Transaksi!B"&amp;J78,"Kas"))</f>
        <v/>
      </c>
      <c r="H78" s="172" t="n"/>
      <c r="I78" s="172" t="n"/>
      <c r="J78" s="119" t="n"/>
    </row>
    <row r="79" ht="24.75" customHeight="1" s="94">
      <c r="A79" s="119" t="n"/>
      <c r="B79" s="105" t="n"/>
      <c r="C79" s="105" t="n"/>
      <c r="D79" s="170" t="n"/>
      <c r="E79" s="106" t="n"/>
      <c r="F79" s="105" t="n"/>
      <c r="G79" s="171">
        <f>IF(J79="","",HYPERLINK("#Transaksi!B"&amp;J79,"Kas"))</f>
        <v/>
      </c>
      <c r="H79" s="172" t="n"/>
      <c r="I79" s="172" t="n"/>
      <c r="J79" s="119" t="n"/>
    </row>
    <row r="80" ht="24.75" customHeight="1" s="94">
      <c r="A80" s="119" t="n"/>
      <c r="B80" s="105" t="n"/>
      <c r="C80" s="105" t="n"/>
      <c r="D80" s="170" t="n"/>
      <c r="E80" s="106" t="n"/>
      <c r="F80" s="105" t="n"/>
      <c r="G80" s="171">
        <f>IF(J80="","",HYPERLINK("#Transaksi!B"&amp;J80,"Kas"))</f>
        <v/>
      </c>
      <c r="H80" s="172" t="n"/>
      <c r="I80" s="172" t="n"/>
      <c r="J80" s="119" t="n"/>
    </row>
    <row r="81" ht="24.75" customHeight="1" s="94">
      <c r="A81" s="119" t="n"/>
      <c r="B81" s="105" t="n"/>
      <c r="C81" s="105" t="n"/>
      <c r="D81" s="170" t="n"/>
      <c r="E81" s="106" t="n"/>
      <c r="F81" s="105" t="n"/>
      <c r="G81" s="171">
        <f>IF(J81="","",HYPERLINK("#Transaksi!B"&amp;J81,"Kas"))</f>
        <v/>
      </c>
      <c r="H81" s="172" t="n"/>
      <c r="I81" s="172" t="n"/>
      <c r="J81" s="119" t="n"/>
    </row>
    <row r="82" ht="24.75" customHeight="1" s="94">
      <c r="A82" s="119" t="n"/>
      <c r="B82" s="105" t="n"/>
      <c r="C82" s="105" t="n"/>
      <c r="D82" s="170" t="n"/>
      <c r="E82" s="106" t="n"/>
      <c r="F82" s="105" t="n"/>
      <c r="G82" s="171">
        <f>IF(J82="","",HYPERLINK("#Transaksi!B"&amp;J82,"Kas"))</f>
        <v/>
      </c>
      <c r="H82" s="172" t="n"/>
      <c r="I82" s="172" t="n"/>
      <c r="J82" s="119" t="n"/>
    </row>
    <row r="83" ht="15" customHeight="1" s="94">
      <c r="A83" s="119" t="n"/>
      <c r="B83" s="105" t="n"/>
      <c r="C83" s="105" t="n"/>
      <c r="D83" s="170" t="n"/>
      <c r="E83" s="106" t="n"/>
      <c r="F83" s="105" t="n"/>
      <c r="G83" s="171">
        <f>IF(J83="","",HYPERLINK("#Transaksi!B"&amp;J83,"Kas"))</f>
        <v/>
      </c>
      <c r="H83" s="172" t="n"/>
      <c r="I83" s="172" t="n"/>
      <c r="J83" s="119" t="n"/>
    </row>
    <row r="84" ht="15" customHeight="1" s="94">
      <c r="A84" s="119" t="n"/>
      <c r="B84" s="105" t="n"/>
      <c r="C84" s="105" t="n"/>
      <c r="D84" s="170" t="n"/>
      <c r="E84" s="106" t="n"/>
      <c r="F84" s="105" t="n"/>
      <c r="G84" s="171">
        <f>IF(J84="","",HYPERLINK("#Transaksi!B"&amp;J84,"Kas"))</f>
        <v/>
      </c>
      <c r="H84" s="172" t="n"/>
      <c r="I84" s="172" t="n"/>
      <c r="J84" s="119" t="n"/>
    </row>
    <row r="85" ht="59.25" customHeight="1" s="94">
      <c r="A85" s="119" t="n"/>
      <c r="B85" s="105" t="n"/>
      <c r="C85" s="105" t="n"/>
      <c r="D85" s="170" t="n"/>
      <c r="E85" s="106" t="n"/>
      <c r="F85" s="105" t="n"/>
      <c r="G85" s="171">
        <f>IF(J85="","",HYPERLINK("#Transaksi!B"&amp;J85,"Kas"))</f>
        <v/>
      </c>
      <c r="H85" s="172" t="n"/>
      <c r="I85" s="172" t="n"/>
      <c r="J85" s="119" t="n"/>
    </row>
    <row r="86" ht="24.75" customHeight="1" s="94">
      <c r="A86" s="119" t="n"/>
      <c r="B86" s="105" t="n"/>
      <c r="C86" s="105" t="n"/>
      <c r="D86" s="170" t="n"/>
      <c r="E86" s="106" t="n"/>
      <c r="F86" s="105" t="n"/>
      <c r="G86" s="171">
        <f>IF(J86="","",HYPERLINK("#Transaksi!B"&amp;J86,"Kas"))</f>
        <v/>
      </c>
      <c r="H86" s="172" t="n"/>
      <c r="I86" s="172" t="n"/>
      <c r="J86" s="119" t="n"/>
    </row>
    <row r="87" ht="24.75" customHeight="1" s="94">
      <c r="A87" s="119" t="n"/>
      <c r="B87" s="105" t="n"/>
      <c r="C87" s="105" t="n"/>
      <c r="D87" s="170" t="n"/>
      <c r="E87" s="106" t="n"/>
      <c r="F87" s="105" t="n"/>
      <c r="G87" s="171">
        <f>IF(J87="","",HYPERLINK("#Transaksi!B"&amp;J87,"Kas"))</f>
        <v/>
      </c>
      <c r="H87" s="172" t="n"/>
      <c r="I87" s="172" t="n"/>
      <c r="J87" s="119" t="n"/>
    </row>
    <row r="88" ht="59.25" customHeight="1" s="94">
      <c r="A88" s="119" t="n"/>
      <c r="B88" s="105" t="n"/>
      <c r="C88" s="105" t="n"/>
      <c r="D88" s="170" t="n"/>
      <c r="E88" s="106" t="n"/>
      <c r="F88" s="105" t="n"/>
      <c r="G88" s="171">
        <f>IF(J88="","",HYPERLINK("#Transaksi!B"&amp;J88,"Kas"))</f>
        <v/>
      </c>
      <c r="H88" s="172" t="n"/>
      <c r="I88" s="172" t="n"/>
      <c r="J88" s="119" t="n"/>
    </row>
    <row r="89" ht="59.25" customHeight="1" s="94">
      <c r="A89" s="119" t="n"/>
      <c r="B89" s="105" t="n"/>
      <c r="C89" s="105" t="n"/>
      <c r="D89" s="170" t="n"/>
      <c r="E89" s="106" t="n"/>
      <c r="F89" s="105" t="n"/>
      <c r="G89" s="171">
        <f>IF(J89="","",HYPERLINK("#Transaksi!B"&amp;J89,"Kas"))</f>
        <v/>
      </c>
      <c r="H89" s="172" t="n"/>
      <c r="I89" s="172" t="n"/>
      <c r="J89" s="119" t="n"/>
    </row>
    <row r="90" ht="36" customHeight="1" s="94">
      <c r="A90" s="119" t="n"/>
      <c r="B90" s="105" t="n"/>
      <c r="C90" s="105" t="n"/>
      <c r="D90" s="170" t="n"/>
      <c r="E90" s="106" t="n"/>
      <c r="F90" s="105" t="n"/>
      <c r="G90" s="171">
        <f>IF(J90="","",HYPERLINK("#Transaksi!B"&amp;J90,"Kas"))</f>
        <v/>
      </c>
      <c r="H90" s="172" t="n"/>
      <c r="I90" s="172" t="n"/>
      <c r="J90" s="119" t="n"/>
    </row>
    <row r="91" ht="59.25" customHeight="1" s="94">
      <c r="A91" s="119" t="n"/>
      <c r="B91" s="105" t="n"/>
      <c r="C91" s="105" t="n"/>
      <c r="D91" s="170" t="n"/>
      <c r="E91" s="106" t="n"/>
      <c r="F91" s="105" t="n"/>
      <c r="G91" s="171">
        <f>IF(J91="","",HYPERLINK("#Transaksi!B"&amp;J91,"Kas"))</f>
        <v/>
      </c>
      <c r="H91" s="172" t="n"/>
      <c r="I91" s="172" t="n"/>
      <c r="J91" s="119" t="n"/>
    </row>
    <row r="92" ht="59.25" customHeight="1" s="94">
      <c r="A92" s="119" t="n"/>
      <c r="B92" s="105" t="n"/>
      <c r="C92" s="105" t="n"/>
      <c r="D92" s="170" t="n"/>
      <c r="E92" s="106" t="n"/>
      <c r="F92" s="105" t="n"/>
      <c r="G92" s="171">
        <f>IF(J92="","",HYPERLINK("#Transaksi!B"&amp;J92,"Kas"))</f>
        <v/>
      </c>
      <c r="H92" s="172" t="n"/>
      <c r="I92" s="172" t="n"/>
      <c r="J92" s="119" t="n"/>
    </row>
    <row r="93" ht="59.25" customHeight="1" s="94">
      <c r="A93" s="119" t="n"/>
      <c r="B93" s="105" t="n"/>
      <c r="C93" s="105" t="n"/>
      <c r="D93" s="170" t="n"/>
      <c r="E93" s="106" t="n"/>
      <c r="F93" s="105" t="n"/>
      <c r="G93" s="171">
        <f>IF(J93="","",HYPERLINK("#Transaksi!B"&amp;J93,"Kas"))</f>
        <v/>
      </c>
      <c r="H93" s="172" t="n"/>
      <c r="I93" s="172" t="n"/>
      <c r="J93" s="119" t="n"/>
    </row>
    <row r="94" ht="24.75" customHeight="1" s="94">
      <c r="A94" s="119" t="n"/>
      <c r="B94" s="105" t="n"/>
      <c r="C94" s="105" t="n"/>
      <c r="D94" s="170" t="n"/>
      <c r="E94" s="106" t="n"/>
      <c r="F94" s="105" t="n"/>
      <c r="G94" s="171">
        <f>IF(J94="","",HYPERLINK("#Transaksi!B"&amp;J94,"Kas"))</f>
        <v/>
      </c>
      <c r="H94" s="172" t="n"/>
      <c r="I94" s="172" t="n"/>
      <c r="J94" s="119" t="n"/>
    </row>
    <row r="95" ht="24.75" customHeight="1" s="94">
      <c r="A95" s="119" t="n"/>
      <c r="B95" s="105" t="n"/>
      <c r="C95" s="105" t="n"/>
      <c r="D95" s="170" t="n"/>
      <c r="E95" s="106" t="n"/>
      <c r="F95" s="105" t="n"/>
      <c r="G95" s="171">
        <f>IF(J95="","",HYPERLINK("#Transaksi!B"&amp;J95,"Kas"))</f>
        <v/>
      </c>
      <c r="H95" s="172" t="n"/>
      <c r="I95" s="172" t="n"/>
      <c r="J95" s="119" t="n"/>
    </row>
    <row r="96" ht="24.75" customHeight="1" s="94">
      <c r="A96" s="119" t="n"/>
      <c r="B96" s="105" t="n"/>
      <c r="C96" s="105" t="n"/>
      <c r="D96" s="170" t="n"/>
      <c r="E96" s="106" t="n"/>
      <c r="F96" s="105" t="n"/>
      <c r="G96" s="171">
        <f>IF(J96="","",HYPERLINK("#Transaksi!B"&amp;J96,"Kas"))</f>
        <v/>
      </c>
      <c r="H96" s="172" t="n"/>
      <c r="I96" s="172" t="n"/>
      <c r="J96" s="119" t="n"/>
    </row>
    <row r="97" ht="59.25" customHeight="1" s="94">
      <c r="A97" s="119" t="n"/>
      <c r="B97" s="105" t="n"/>
      <c r="C97" s="105" t="n"/>
      <c r="D97" s="170" t="n"/>
      <c r="E97" s="106" t="n"/>
      <c r="F97" s="105" t="n"/>
      <c r="G97" s="171">
        <f>IF(J97="","",HYPERLINK("#Transaksi!B"&amp;J97,"Kas"))</f>
        <v/>
      </c>
      <c r="H97" s="172" t="n"/>
      <c r="I97" s="172" t="n"/>
      <c r="J97" s="119" t="n"/>
    </row>
    <row r="98" ht="24.75" customHeight="1" s="94">
      <c r="A98" s="119" t="n"/>
      <c r="B98" s="105" t="n"/>
      <c r="C98" s="105" t="n"/>
      <c r="D98" s="170" t="n"/>
      <c r="E98" s="106" t="n"/>
      <c r="F98" s="105" t="n"/>
      <c r="G98" s="171">
        <f>IF(J98="","",HYPERLINK("#Transaksi!B"&amp;J98,"Kas"))</f>
        <v/>
      </c>
      <c r="H98" s="172" t="n"/>
      <c r="I98" s="172" t="n"/>
      <c r="J98" s="119" t="n"/>
    </row>
    <row r="99" ht="47.25" customHeight="1" s="94">
      <c r="A99" s="119" t="n"/>
      <c r="B99" s="105" t="n"/>
      <c r="C99" s="105" t="n"/>
      <c r="D99" s="170" t="n"/>
      <c r="E99" s="106" t="n"/>
      <c r="F99" s="105" t="n"/>
      <c r="G99" s="171">
        <f>IF(J99="","",HYPERLINK("#Transaksi!B"&amp;J99,"Kas"))</f>
        <v/>
      </c>
      <c r="H99" s="172" t="n"/>
      <c r="I99" s="172" t="n"/>
      <c r="J99" s="119" t="n"/>
    </row>
    <row r="100" ht="47.25" customHeight="1" s="94">
      <c r="A100" s="119" t="n"/>
      <c r="B100" s="105" t="n"/>
      <c r="C100" s="105" t="n"/>
      <c r="D100" s="170" t="n"/>
      <c r="E100" s="106" t="n"/>
      <c r="F100" s="105" t="n"/>
      <c r="G100" s="171">
        <f>IF(J100="","",HYPERLINK("#Transaksi!B"&amp;J100,"Kas"))</f>
        <v/>
      </c>
      <c r="H100" s="172" t="n"/>
      <c r="I100" s="172" t="n"/>
      <c r="J100" s="119" t="n"/>
    </row>
    <row r="101" ht="47.25" customHeight="1" s="94">
      <c r="A101" s="119" t="n"/>
      <c r="B101" s="105" t="n"/>
      <c r="C101" s="105" t="n"/>
      <c r="D101" s="170" t="n"/>
      <c r="E101" s="106" t="n"/>
      <c r="F101" s="105" t="n"/>
      <c r="G101" s="171">
        <f>IF(J101="","",HYPERLINK("#Transaksi!B"&amp;J101,"Kas"))</f>
        <v/>
      </c>
      <c r="H101" s="172" t="n"/>
      <c r="I101" s="172" t="n"/>
      <c r="J101" s="119" t="n"/>
    </row>
    <row r="102" ht="47.25" customHeight="1" s="94">
      <c r="A102" s="119" t="n"/>
      <c r="B102" s="105" t="n"/>
      <c r="C102" s="105" t="n"/>
      <c r="D102" s="170" t="n"/>
      <c r="E102" s="106" t="n"/>
      <c r="F102" s="105" t="n"/>
      <c r="G102" s="171">
        <f>IF(J102="","",HYPERLINK("#Transaksi!B"&amp;J102,"Kas"))</f>
        <v/>
      </c>
      <c r="H102" s="172" t="n"/>
      <c r="I102" s="172" t="n"/>
      <c r="J102" s="119" t="n"/>
    </row>
    <row r="103" ht="47.25" customHeight="1" s="94">
      <c r="A103" s="119" t="n"/>
      <c r="B103" s="105" t="n"/>
      <c r="C103" s="105" t="n"/>
      <c r="D103" s="170" t="n"/>
      <c r="E103" s="106" t="n"/>
      <c r="F103" s="105" t="n"/>
      <c r="G103" s="171">
        <f>IF(J103="","",HYPERLINK("#Transaksi!B"&amp;J103,"Kas"))</f>
        <v/>
      </c>
      <c r="H103" s="172" t="n"/>
      <c r="I103" s="172" t="n"/>
      <c r="J103" s="119" t="n"/>
    </row>
    <row r="104" ht="24.75" customHeight="1" s="94">
      <c r="A104" s="119" t="n"/>
      <c r="B104" s="105" t="n"/>
      <c r="C104" s="105" t="n"/>
      <c r="D104" s="170" t="n"/>
      <c r="E104" s="106" t="n"/>
      <c r="F104" s="105" t="n"/>
      <c r="G104" s="171">
        <f>IF(J104="","",HYPERLINK("#Transaksi!B"&amp;J104,"Kas"))</f>
        <v/>
      </c>
      <c r="H104" s="172" t="n"/>
      <c r="I104" s="172" t="n"/>
      <c r="J104" s="119" t="n"/>
    </row>
    <row r="105" ht="24.75" customHeight="1" s="94">
      <c r="A105" s="119" t="n"/>
      <c r="B105" s="105" t="n"/>
      <c r="C105" s="105" t="n"/>
      <c r="D105" s="170" t="n"/>
      <c r="E105" s="106" t="n"/>
      <c r="F105" s="105" t="n"/>
      <c r="G105" s="171">
        <f>IF(J105="","",HYPERLINK("#Transaksi!B"&amp;J105,"Kas"))</f>
        <v/>
      </c>
      <c r="H105" s="172" t="n"/>
      <c r="I105" s="172" t="n"/>
      <c r="J105" s="119" t="n"/>
    </row>
    <row r="106" ht="24.75" customHeight="1" s="94">
      <c r="A106" s="119" t="n"/>
      <c r="B106" s="105" t="n"/>
      <c r="C106" s="105" t="n"/>
      <c r="D106" s="170" t="n"/>
      <c r="E106" s="106" t="n"/>
      <c r="F106" s="105" t="n"/>
      <c r="G106" s="171">
        <f>IF(J106="","",HYPERLINK("#Transaksi!B"&amp;J106,"Kas"))</f>
        <v/>
      </c>
      <c r="H106" s="172" t="n"/>
      <c r="I106" s="172" t="n"/>
      <c r="J106" s="119" t="n"/>
    </row>
    <row r="107" ht="24.75" customHeight="1" s="94">
      <c r="A107" s="119" t="n"/>
      <c r="B107" s="105" t="n"/>
      <c r="C107" s="105" t="n"/>
      <c r="D107" s="170" t="n"/>
      <c r="E107" s="106" t="n"/>
      <c r="F107" s="105" t="n"/>
      <c r="G107" s="171">
        <f>IF(J107="","",HYPERLINK("#Transaksi!B"&amp;J107,"Kas"))</f>
        <v/>
      </c>
      <c r="H107" s="172" t="n"/>
      <c r="I107" s="172" t="n"/>
      <c r="J107" s="119" t="n"/>
    </row>
    <row r="108" ht="24.75" customHeight="1" s="94">
      <c r="A108" s="119" t="n"/>
      <c r="B108" s="105" t="n"/>
      <c r="C108" s="105" t="n"/>
      <c r="D108" s="170" t="n"/>
      <c r="E108" s="106" t="n"/>
      <c r="F108" s="105" t="n"/>
      <c r="G108" s="171">
        <f>IF(J108="","",HYPERLINK("#Transaksi!B"&amp;J108,"Kas"))</f>
        <v/>
      </c>
      <c r="H108" s="172" t="n"/>
      <c r="I108" s="172" t="n"/>
      <c r="J108" s="119" t="n"/>
    </row>
    <row r="109" ht="24.75" customHeight="1" s="94">
      <c r="A109" s="119" t="n"/>
      <c r="B109" s="105" t="n"/>
      <c r="C109" s="105" t="n"/>
      <c r="D109" s="170" t="n"/>
      <c r="E109" s="106" t="n"/>
      <c r="F109" s="105" t="n"/>
      <c r="G109" s="171">
        <f>IF(J109="","",HYPERLINK("#Transaksi!B"&amp;J109,"Kas"))</f>
        <v/>
      </c>
      <c r="H109" s="172" t="n"/>
      <c r="I109" s="172" t="n"/>
      <c r="J109" s="119" t="n"/>
    </row>
    <row r="110" ht="15" customHeight="1" s="94">
      <c r="A110" s="119" t="n"/>
      <c r="B110" s="105" t="n"/>
      <c r="C110" s="105" t="n"/>
      <c r="D110" s="170" t="n"/>
      <c r="E110" s="106" t="n"/>
      <c r="F110" s="105" t="n"/>
      <c r="G110" s="171">
        <f>IF(J110="","",HYPERLINK("#Transaksi!B"&amp;J110,"Kas"))</f>
        <v/>
      </c>
      <c r="H110" s="172" t="n"/>
      <c r="I110" s="172" t="n"/>
      <c r="J110" s="119" t="n"/>
    </row>
    <row r="111" ht="24.75" customHeight="1" s="94">
      <c r="A111" s="119" t="n"/>
      <c r="B111" s="105" t="n"/>
      <c r="C111" s="105" t="n"/>
      <c r="D111" s="170" t="n"/>
      <c r="E111" s="106" t="n"/>
      <c r="F111" s="105" t="n"/>
      <c r="G111" s="171">
        <f>IF(J111="","",HYPERLINK("#Transaksi!B"&amp;J111,"Kas"))</f>
        <v/>
      </c>
      <c r="H111" s="172" t="n"/>
      <c r="I111" s="172" t="n"/>
      <c r="J111" s="119" t="n"/>
    </row>
    <row r="112" ht="47.25" customHeight="1" s="94">
      <c r="A112" s="119" t="n"/>
      <c r="B112" s="105" t="n"/>
      <c r="C112" s="105" t="n"/>
      <c r="D112" s="170" t="n"/>
      <c r="E112" s="106" t="n"/>
      <c r="F112" s="105" t="n"/>
      <c r="G112" s="171">
        <f>IF(J112="","",HYPERLINK("#Transaksi!B"&amp;J112,"Kas"))</f>
        <v/>
      </c>
      <c r="H112" s="172" t="n"/>
      <c r="I112" s="172" t="n"/>
      <c r="J112" s="119" t="n"/>
    </row>
    <row r="113" ht="24.75" customHeight="1" s="94">
      <c r="A113" s="119" t="n"/>
      <c r="B113" s="105" t="n"/>
      <c r="C113" s="105" t="n"/>
      <c r="D113" s="170" t="n"/>
      <c r="E113" s="106" t="n"/>
      <c r="F113" s="105" t="n"/>
      <c r="G113" s="171">
        <f>IF(J113="","",HYPERLINK("#Transaksi!B"&amp;J113,"Kas"))</f>
        <v/>
      </c>
      <c r="H113" s="172" t="n"/>
      <c r="I113" s="172" t="n"/>
      <c r="J113" s="119" t="n"/>
    </row>
    <row r="114" ht="59.25" customHeight="1" s="94">
      <c r="A114" s="119" t="n"/>
      <c r="B114" s="105" t="n"/>
      <c r="C114" s="105" t="n"/>
      <c r="D114" s="170" t="n"/>
      <c r="E114" s="106" t="n"/>
      <c r="F114" s="105" t="n"/>
      <c r="G114" s="171">
        <f>IF(J114="","",HYPERLINK("#Transaksi!B"&amp;J114,"Kas"))</f>
        <v/>
      </c>
      <c r="H114" s="172" t="n"/>
      <c r="I114" s="172" t="n"/>
      <c r="J114" s="119" t="n"/>
    </row>
    <row r="115" ht="47.25" customHeight="1" s="94">
      <c r="A115" s="119" t="n"/>
      <c r="B115" s="105" t="n"/>
      <c r="C115" s="105" t="n"/>
      <c r="D115" s="170" t="n"/>
      <c r="E115" s="106" t="n"/>
      <c r="F115" s="105" t="n"/>
      <c r="G115" s="171">
        <f>IF(J115="","",HYPERLINK("#Transaksi!B"&amp;J115,"Kas"))</f>
        <v/>
      </c>
      <c r="H115" s="172" t="n"/>
      <c r="I115" s="172" t="n"/>
      <c r="J115" s="119" t="n"/>
    </row>
    <row r="116" ht="59.25" customHeight="1" s="94">
      <c r="A116" s="119" t="n"/>
      <c r="B116" s="105" t="n"/>
      <c r="C116" s="105" t="n"/>
      <c r="D116" s="170" t="n"/>
      <c r="E116" s="106" t="n"/>
      <c r="F116" s="105" t="n"/>
      <c r="G116" s="171">
        <f>IF(J116="","",HYPERLINK("#Transaksi!B"&amp;J116,"Kas"))</f>
        <v/>
      </c>
      <c r="H116" s="172" t="n"/>
      <c r="I116" s="172" t="n"/>
      <c r="J116" s="119" t="n"/>
    </row>
    <row r="117" ht="47.25" customHeight="1" s="94">
      <c r="A117" s="119" t="n"/>
      <c r="B117" s="105" t="n"/>
      <c r="C117" s="105" t="n"/>
      <c r="D117" s="170" t="n"/>
      <c r="E117" s="106" t="n"/>
      <c r="F117" s="105" t="n"/>
      <c r="G117" s="171">
        <f>IF(J117="","",HYPERLINK("#Transaksi!B"&amp;J117,"Kas"))</f>
        <v/>
      </c>
      <c r="H117" s="172" t="n"/>
      <c r="I117" s="172" t="n"/>
      <c r="J117" s="119" t="n"/>
    </row>
    <row r="118" ht="47.25" customHeight="1" s="94">
      <c r="A118" s="119" t="n"/>
      <c r="B118" s="105" t="n"/>
      <c r="C118" s="105" t="n"/>
      <c r="D118" s="170" t="n"/>
      <c r="E118" s="106" t="n"/>
      <c r="F118" s="105" t="n"/>
      <c r="G118" s="171">
        <f>IF(J118="","",HYPERLINK("#Transaksi!B"&amp;J118,"Kas"))</f>
        <v/>
      </c>
      <c r="H118" s="172" t="n"/>
      <c r="I118" s="172" t="n"/>
      <c r="J118" s="119" t="n"/>
    </row>
    <row r="119" ht="59.25" customHeight="1" s="94">
      <c r="A119" s="119" t="n"/>
      <c r="B119" s="105" t="n"/>
      <c r="C119" s="105" t="n"/>
      <c r="D119" s="170" t="n"/>
      <c r="E119" s="106" t="n"/>
      <c r="F119" s="105" t="n"/>
      <c r="G119" s="171">
        <f>IF(J119="","",HYPERLINK("#Transaksi!B"&amp;J119,"Kas"))</f>
        <v/>
      </c>
      <c r="H119" s="172" t="n"/>
      <c r="I119" s="172" t="n"/>
      <c r="J119" s="119" t="n"/>
    </row>
    <row r="120" ht="24.75" customHeight="1" s="94">
      <c r="A120" s="119" t="n"/>
      <c r="B120" s="105" t="n"/>
      <c r="C120" s="105" t="n"/>
      <c r="D120" s="170" t="n"/>
      <c r="E120" s="106" t="n"/>
      <c r="F120" s="105" t="n"/>
      <c r="G120" s="171">
        <f>IF(J120="","",HYPERLINK("#Transaksi!B"&amp;J120,"Kas"))</f>
        <v/>
      </c>
      <c r="H120" s="172" t="n"/>
      <c r="I120" s="172" t="n"/>
      <c r="J120" s="119" t="n"/>
    </row>
    <row r="121" ht="59.25" customHeight="1" s="94">
      <c r="A121" s="119" t="n"/>
      <c r="B121" s="105" t="n"/>
      <c r="C121" s="105" t="n"/>
      <c r="D121" s="170" t="n"/>
      <c r="E121" s="106" t="n"/>
      <c r="F121" s="105" t="n"/>
      <c r="G121" s="171">
        <f>IF(J121="","",HYPERLINK("#Transaksi!B"&amp;J121,"Kas"))</f>
        <v/>
      </c>
      <c r="H121" s="172" t="n"/>
      <c r="I121" s="172" t="n"/>
      <c r="J121" s="119" t="n"/>
    </row>
    <row r="122" ht="24.75" customHeight="1" s="94">
      <c r="A122" s="119" t="n"/>
      <c r="B122" s="105" t="n"/>
      <c r="C122" s="105" t="n"/>
      <c r="D122" s="170" t="n"/>
      <c r="E122" s="106" t="n"/>
      <c r="F122" s="105" t="n"/>
      <c r="G122" s="171">
        <f>IF(J122="","",HYPERLINK("#Transaksi!B"&amp;J122,"Kas"))</f>
        <v/>
      </c>
      <c r="H122" s="172" t="n"/>
      <c r="I122" s="172" t="n"/>
      <c r="J122" s="119" t="n"/>
    </row>
    <row r="123" ht="24.75" customHeight="1" s="94">
      <c r="A123" s="119" t="n"/>
      <c r="B123" s="105" t="n"/>
      <c r="C123" s="105" t="n"/>
      <c r="D123" s="170" t="n"/>
      <c r="E123" s="106" t="n"/>
      <c r="F123" s="105" t="n"/>
      <c r="G123" s="171">
        <f>IF(J123="","",HYPERLINK("#Transaksi!B"&amp;J123,"Kas"))</f>
        <v/>
      </c>
      <c r="H123" s="172" t="n"/>
      <c r="I123" s="172" t="n"/>
      <c r="J123" s="119" t="n"/>
    </row>
    <row r="124" ht="24.75" customHeight="1" s="94">
      <c r="A124" s="119" t="n"/>
      <c r="B124" s="105" t="n"/>
      <c r="C124" s="105" t="n"/>
      <c r="D124" s="170" t="n"/>
      <c r="E124" s="106" t="n"/>
      <c r="F124" s="105" t="n"/>
      <c r="G124" s="171">
        <f>IF(J124="","",HYPERLINK("#Transaksi!B"&amp;J124,"Kas"))</f>
        <v/>
      </c>
      <c r="H124" s="172" t="n"/>
      <c r="I124" s="172" t="n"/>
      <c r="J124" s="119" t="n"/>
    </row>
    <row r="125" ht="59.25" customHeight="1" s="94">
      <c r="A125" s="119" t="n"/>
      <c r="B125" s="105" t="n"/>
      <c r="C125" s="105" t="n"/>
      <c r="D125" s="170" t="n"/>
      <c r="E125" s="106" t="n"/>
      <c r="F125" s="105" t="n"/>
      <c r="G125" s="171">
        <f>IF(J125="","",HYPERLINK("#Transaksi!B"&amp;J125,"Kas"))</f>
        <v/>
      </c>
      <c r="H125" s="172" t="n"/>
      <c r="I125" s="172" t="n"/>
      <c r="J125" s="119" t="n"/>
    </row>
    <row r="126" ht="59.25" customHeight="1" s="94">
      <c r="A126" s="119" t="n"/>
      <c r="B126" s="105" t="n"/>
      <c r="C126" s="105" t="n"/>
      <c r="D126" s="170" t="n"/>
      <c r="E126" s="106" t="n"/>
      <c r="F126" s="105" t="n"/>
      <c r="G126" s="171">
        <f>IF(J126="","",HYPERLINK("#Transaksi!B"&amp;J126,"Kas"))</f>
        <v/>
      </c>
      <c r="H126" s="172" t="n"/>
      <c r="I126" s="172" t="n"/>
      <c r="J126" s="119" t="n"/>
    </row>
    <row r="127" ht="59.25" customHeight="1" s="94">
      <c r="A127" s="119" t="n"/>
      <c r="B127" s="105" t="n"/>
      <c r="C127" s="105" t="n"/>
      <c r="D127" s="170" t="n"/>
      <c r="E127" s="106" t="n"/>
      <c r="F127" s="105" t="n"/>
      <c r="G127" s="171">
        <f>IF(J127="","",HYPERLINK("#Transaksi!B"&amp;J127,"Kas"))</f>
        <v/>
      </c>
      <c r="H127" s="172" t="n"/>
      <c r="I127" s="172" t="n"/>
      <c r="J127" s="119" t="n"/>
    </row>
    <row r="128" ht="139.5" customHeight="1" s="94">
      <c r="A128" s="119" t="n"/>
      <c r="B128" s="105" t="n"/>
      <c r="C128" s="105" t="n"/>
      <c r="D128" s="170" t="n"/>
      <c r="E128" s="106" t="n"/>
      <c r="F128" s="105" t="n"/>
      <c r="G128" s="171">
        <f>IF(J128="","",HYPERLINK("#Transaksi!B"&amp;J128,"Kas"))</f>
        <v/>
      </c>
      <c r="H128" s="172" t="n"/>
      <c r="I128" s="172" t="n"/>
      <c r="J128" s="119" t="n"/>
    </row>
    <row r="129" ht="59.25" customHeight="1" s="94">
      <c r="A129" s="119" t="n"/>
      <c r="B129" s="105" t="n"/>
      <c r="C129" s="105" t="n"/>
      <c r="D129" s="170" t="n"/>
      <c r="E129" s="106" t="n"/>
      <c r="F129" s="105" t="n"/>
      <c r="G129" s="171">
        <f>IF(J129="","",HYPERLINK("#Transaksi!B"&amp;J129,"Kas"))</f>
        <v/>
      </c>
      <c r="H129" s="172" t="n"/>
      <c r="I129" s="172" t="n"/>
      <c r="J129" s="119" t="n"/>
    </row>
    <row r="130" ht="24.75" customHeight="1" s="94">
      <c r="A130" s="119" t="n"/>
      <c r="B130" s="105" t="n"/>
      <c r="C130" s="105" t="n"/>
      <c r="D130" s="170" t="n"/>
      <c r="E130" s="106" t="n"/>
      <c r="F130" s="105" t="n"/>
      <c r="G130" s="171">
        <f>IF(J130="","",HYPERLINK("#Transaksi!B"&amp;J130,"Kas"))</f>
        <v/>
      </c>
      <c r="H130" s="172" t="n"/>
      <c r="I130" s="172" t="n"/>
      <c r="J130" s="119" t="n"/>
    </row>
    <row r="131" ht="59.25" customHeight="1" s="94">
      <c r="A131" s="119" t="n"/>
      <c r="B131" s="105" t="n"/>
      <c r="C131" s="105" t="n"/>
      <c r="D131" s="170" t="n"/>
      <c r="E131" s="106" t="n"/>
      <c r="F131" s="105" t="n"/>
      <c r="G131" s="171">
        <f>IF(J131="","",HYPERLINK("#Transaksi!B"&amp;J131,"Kas"))</f>
        <v/>
      </c>
      <c r="H131" s="172" t="n"/>
      <c r="I131" s="172" t="n"/>
      <c r="J131" s="119" t="n"/>
    </row>
    <row r="132" ht="59.25" customHeight="1" s="94">
      <c r="A132" s="119" t="n"/>
      <c r="B132" s="105" t="n"/>
      <c r="C132" s="105" t="n"/>
      <c r="D132" s="170" t="n"/>
      <c r="E132" s="106" t="n"/>
      <c r="F132" s="105" t="n"/>
      <c r="G132" s="171">
        <f>IF(J132="","",HYPERLINK("#Transaksi!B"&amp;J132,"Kas"))</f>
        <v/>
      </c>
      <c r="H132" s="172" t="n"/>
      <c r="I132" s="172" t="n"/>
      <c r="J132" s="119" t="n"/>
    </row>
    <row r="133" ht="59.25" customHeight="1" s="94">
      <c r="A133" s="119" t="n"/>
      <c r="B133" s="105" t="n"/>
      <c r="C133" s="105" t="n"/>
      <c r="D133" s="170" t="n"/>
      <c r="E133" s="106" t="n"/>
      <c r="F133" s="105" t="n"/>
      <c r="G133" s="171">
        <f>IF(J133="","",HYPERLINK("#Transaksi!B"&amp;J133,"Kas"))</f>
        <v/>
      </c>
      <c r="H133" s="172" t="n"/>
      <c r="I133" s="172" t="n"/>
      <c r="J133" s="119" t="n"/>
    </row>
    <row r="134" ht="24.75" customHeight="1" s="94">
      <c r="A134" s="119" t="n"/>
      <c r="B134" s="105" t="n"/>
      <c r="C134" s="105" t="n"/>
      <c r="D134" s="170" t="n"/>
      <c r="E134" s="106" t="n"/>
      <c r="F134" s="105" t="n"/>
      <c r="G134" s="171">
        <f>IF(J134="","",HYPERLINK("#Transaksi!B"&amp;J134,"Kas"))</f>
        <v/>
      </c>
      <c r="H134" s="172" t="n"/>
      <c r="I134" s="172" t="n"/>
      <c r="J134" s="119" t="n"/>
    </row>
    <row r="135" ht="15" customHeight="1" s="94">
      <c r="A135" s="119" t="n"/>
      <c r="B135" s="105" t="n"/>
      <c r="C135" s="105" t="n"/>
      <c r="D135" s="170" t="n"/>
      <c r="E135" s="106" t="n"/>
      <c r="F135" s="105" t="n"/>
      <c r="G135" s="171">
        <f>IF(J135="","",HYPERLINK("#Transaksi!B"&amp;J135,"Kas"))</f>
        <v/>
      </c>
      <c r="H135" s="172" t="n"/>
      <c r="I135" s="172" t="n"/>
      <c r="J135" s="119" t="n"/>
    </row>
    <row r="136" ht="59.25" customHeight="1" s="94">
      <c r="A136" s="119" t="n"/>
      <c r="B136" s="105" t="n"/>
      <c r="C136" s="105" t="n"/>
      <c r="D136" s="170" t="n"/>
      <c r="E136" s="106" t="n"/>
      <c r="F136" s="105" t="n"/>
      <c r="G136" s="171">
        <f>IF(J136="","",HYPERLINK("#Transaksi!B"&amp;J136,"Kas"))</f>
        <v/>
      </c>
      <c r="H136" s="172" t="n"/>
      <c r="I136" s="172" t="n"/>
      <c r="J136" s="119" t="n"/>
    </row>
    <row r="137" ht="47.25" customHeight="1" s="94">
      <c r="A137" s="119" t="n"/>
      <c r="B137" s="105" t="n"/>
      <c r="C137" s="105" t="n"/>
      <c r="D137" s="170" t="n"/>
      <c r="E137" s="106" t="n"/>
      <c r="F137" s="105" t="n"/>
      <c r="G137" s="171">
        <f>IF(J137="","",HYPERLINK("#Transaksi!B"&amp;J137,"Kas"))</f>
        <v/>
      </c>
      <c r="H137" s="172" t="n"/>
      <c r="I137" s="172" t="n"/>
      <c r="J137" s="119" t="n"/>
    </row>
    <row r="138" ht="24.75" customHeight="1" s="94">
      <c r="A138" s="119" t="n"/>
      <c r="B138" s="105" t="n"/>
      <c r="C138" s="105" t="n"/>
      <c r="D138" s="170" t="n"/>
      <c r="E138" s="106" t="n"/>
      <c r="F138" s="105" t="n"/>
      <c r="G138" s="171">
        <f>IF(J138="","",HYPERLINK("#Transaksi!B"&amp;J138,"Kas"))</f>
        <v/>
      </c>
      <c r="H138" s="172" t="n"/>
      <c r="I138" s="172" t="n"/>
      <c r="J138" s="119" t="n"/>
    </row>
    <row r="139" ht="59.25" customHeight="1" s="94">
      <c r="A139" s="119" t="n"/>
      <c r="B139" s="105" t="n"/>
      <c r="C139" s="105" t="n"/>
      <c r="D139" s="170" t="n"/>
      <c r="E139" s="106" t="n"/>
      <c r="F139" s="105" t="n"/>
      <c r="G139" s="171">
        <f>IF(J139="","",HYPERLINK("#Transaksi!B"&amp;J139,"Kas"))</f>
        <v/>
      </c>
      <c r="H139" s="172" t="n"/>
      <c r="I139" s="172" t="n"/>
      <c r="J139" s="119" t="n"/>
    </row>
    <row r="140" ht="59.25" customHeight="1" s="94">
      <c r="A140" s="119" t="n"/>
      <c r="B140" s="105" t="n"/>
      <c r="C140" s="105" t="n"/>
      <c r="D140" s="170" t="n"/>
      <c r="E140" s="106" t="n"/>
      <c r="F140" s="105" t="n"/>
      <c r="G140" s="171">
        <f>IF(J140="","",HYPERLINK("#Transaksi!B"&amp;J140,"Kas"))</f>
        <v/>
      </c>
      <c r="H140" s="172" t="n"/>
      <c r="I140" s="172" t="n"/>
      <c r="J140" s="119" t="n"/>
    </row>
    <row r="141" ht="59.25" customHeight="1" s="94">
      <c r="A141" s="119" t="n"/>
      <c r="B141" s="105" t="n"/>
      <c r="C141" s="105" t="n"/>
      <c r="D141" s="170" t="n"/>
      <c r="E141" s="106" t="n"/>
      <c r="F141" s="105" t="n"/>
      <c r="G141" s="171">
        <f>IF(J141="","",HYPERLINK("#Transaksi!B"&amp;J141,"Kas"))</f>
        <v/>
      </c>
      <c r="H141" s="172" t="n"/>
      <c r="I141" s="172" t="n"/>
      <c r="J141" s="119" t="n"/>
    </row>
    <row r="142" ht="59.25" customHeight="1" s="94">
      <c r="A142" s="119" t="n"/>
      <c r="B142" s="105" t="n"/>
      <c r="C142" s="105" t="n"/>
      <c r="D142" s="170" t="n"/>
      <c r="E142" s="106" t="n"/>
      <c r="F142" s="105" t="n"/>
      <c r="G142" s="171">
        <f>IF(J142="","",HYPERLINK("#Transaksi!B"&amp;J142,"Kas"))</f>
        <v/>
      </c>
      <c r="H142" s="172" t="n"/>
      <c r="I142" s="172" t="n"/>
      <c r="J142" s="119" t="n"/>
    </row>
    <row r="143" ht="24.75" customHeight="1" s="94">
      <c r="A143" s="119" t="n"/>
      <c r="B143" s="105" t="n"/>
      <c r="C143" s="105" t="n"/>
      <c r="D143" s="170" t="n"/>
      <c r="E143" s="106" t="n"/>
      <c r="F143" s="105" t="n"/>
      <c r="G143" s="171">
        <f>IF(J143="","",HYPERLINK("#Transaksi!B"&amp;J143,"Kas"))</f>
        <v/>
      </c>
      <c r="H143" s="172" t="n"/>
      <c r="I143" s="172" t="n"/>
      <c r="J143" s="119" t="n"/>
    </row>
    <row r="144" ht="24.75" customHeight="1" s="94">
      <c r="A144" s="119" t="n"/>
      <c r="B144" s="105" t="n"/>
      <c r="C144" s="105" t="n"/>
      <c r="D144" s="170" t="n"/>
      <c r="E144" s="106" t="n"/>
      <c r="F144" s="105" t="n"/>
      <c r="G144" s="171">
        <f>IF(J144="","",HYPERLINK("#Transaksi!B"&amp;J144,"Kas"))</f>
        <v/>
      </c>
      <c r="H144" s="172" t="n"/>
      <c r="I144" s="172" t="n"/>
      <c r="J144" s="119" t="n"/>
    </row>
    <row r="145" ht="59.25" customHeight="1" s="94">
      <c r="A145" s="119" t="n"/>
      <c r="B145" s="105" t="n"/>
      <c r="C145" s="105" t="n"/>
      <c r="D145" s="170" t="n"/>
      <c r="E145" s="106" t="n"/>
      <c r="F145" s="105" t="n"/>
      <c r="G145" s="171">
        <f>IF(J145="","",HYPERLINK("#Transaksi!B"&amp;J145,"Kas"))</f>
        <v/>
      </c>
      <c r="H145" s="172" t="n"/>
      <c r="I145" s="172" t="n"/>
      <c r="J145" s="119" t="n"/>
    </row>
    <row r="146" ht="47.25" customHeight="1" s="94">
      <c r="A146" s="119" t="n"/>
      <c r="B146" s="105" t="n"/>
      <c r="C146" s="105" t="n"/>
      <c r="D146" s="170" t="n"/>
      <c r="E146" s="106" t="n"/>
      <c r="F146" s="105" t="n"/>
      <c r="G146" s="171">
        <f>IF(J146="","",HYPERLINK("#Transaksi!B"&amp;J146,"Kas"))</f>
        <v/>
      </c>
      <c r="H146" s="172" t="n"/>
      <c r="I146" s="172" t="n"/>
      <c r="J146" s="119" t="n"/>
    </row>
    <row r="147" ht="24.75" customHeight="1" s="94">
      <c r="A147" s="119" t="n"/>
      <c r="B147" s="105" t="n"/>
      <c r="C147" s="105" t="n"/>
      <c r="D147" s="170" t="n"/>
      <c r="E147" s="106" t="n"/>
      <c r="F147" s="105" t="n"/>
      <c r="G147" s="171">
        <f>IF(J147="","",HYPERLINK("#Transaksi!B"&amp;J147,"Kas"))</f>
        <v/>
      </c>
      <c r="H147" s="172" t="n"/>
      <c r="I147" s="172" t="n"/>
      <c r="J147" s="119" t="n"/>
    </row>
    <row r="148" ht="59.25" customHeight="1" s="94">
      <c r="A148" s="119" t="n"/>
      <c r="B148" s="105" t="n"/>
      <c r="C148" s="105" t="n"/>
      <c r="D148" s="170" t="n"/>
      <c r="E148" s="106" t="n"/>
      <c r="F148" s="105" t="n"/>
      <c r="G148" s="171">
        <f>IF(J148="","",HYPERLINK("#Transaksi!B"&amp;J148,"Kas"))</f>
        <v/>
      </c>
      <c r="H148" s="172" t="n"/>
      <c r="I148" s="172" t="n"/>
      <c r="J148" s="119" t="n"/>
    </row>
    <row r="149" ht="59.25" customHeight="1" s="94">
      <c r="A149" s="119" t="n"/>
      <c r="B149" s="105" t="n"/>
      <c r="C149" s="105" t="n"/>
      <c r="D149" s="170" t="n"/>
      <c r="E149" s="106" t="n"/>
      <c r="F149" s="105" t="n"/>
      <c r="G149" s="171">
        <f>IF(J149="","",HYPERLINK("#Transaksi!B"&amp;J149,"Kas"))</f>
        <v/>
      </c>
      <c r="H149" s="172" t="n"/>
      <c r="I149" s="172" t="n"/>
      <c r="J149" s="119" t="n"/>
    </row>
    <row r="150" ht="36" customHeight="1" s="94">
      <c r="A150" s="119" t="n"/>
      <c r="B150" s="105" t="n"/>
      <c r="C150" s="105" t="n"/>
      <c r="D150" s="170" t="n"/>
      <c r="E150" s="106" t="n"/>
      <c r="F150" s="105" t="n"/>
      <c r="G150" s="171">
        <f>IF(J150="","",HYPERLINK("#Transaksi!B"&amp;J150,"Kas"))</f>
        <v/>
      </c>
      <c r="H150" s="172" t="n"/>
      <c r="I150" s="172" t="n"/>
      <c r="J150" s="119" t="n"/>
    </row>
    <row r="151" ht="59.25" customHeight="1" s="94">
      <c r="A151" s="119" t="n"/>
      <c r="B151" s="105" t="n"/>
      <c r="C151" s="105" t="n"/>
      <c r="D151" s="170" t="n"/>
      <c r="E151" s="106" t="n"/>
      <c r="F151" s="105" t="n"/>
      <c r="G151" s="171">
        <f>IF(J151="","",HYPERLINK("#Transaksi!B"&amp;J151,"Kas"))</f>
        <v/>
      </c>
      <c r="H151" s="172" t="n"/>
      <c r="I151" s="172" t="n"/>
      <c r="J151" s="119" t="n"/>
    </row>
    <row r="152" ht="36" customHeight="1" s="94">
      <c r="A152" s="119" t="n"/>
      <c r="B152" s="105" t="n"/>
      <c r="C152" s="105" t="n"/>
      <c r="D152" s="170" t="n"/>
      <c r="E152" s="106" t="n"/>
      <c r="F152" s="105" t="n"/>
      <c r="G152" s="171">
        <f>IF(J152="","",HYPERLINK("#Transaksi!B"&amp;J152,"Kas"))</f>
        <v/>
      </c>
      <c r="H152" s="172" t="n"/>
      <c r="I152" s="172" t="n"/>
      <c r="J152" s="119" t="n"/>
    </row>
    <row r="153" ht="24.75" customHeight="1" s="94">
      <c r="A153" s="119" t="n"/>
      <c r="B153" s="105" t="n"/>
      <c r="C153" s="105" t="n"/>
      <c r="D153" s="170" t="n"/>
      <c r="E153" s="106" t="n"/>
      <c r="F153" s="105" t="n"/>
      <c r="G153" s="171">
        <f>IF(J153="","",HYPERLINK("#Transaksi!B"&amp;J153,"Kas"))</f>
        <v/>
      </c>
      <c r="H153" s="172" t="n"/>
      <c r="I153" s="172" t="n"/>
      <c r="J153" s="119" t="n"/>
    </row>
    <row r="154" ht="24.75" customHeight="1" s="94">
      <c r="A154" s="119" t="n"/>
      <c r="B154" s="105" t="n"/>
      <c r="C154" s="105" t="n"/>
      <c r="D154" s="170" t="n"/>
      <c r="E154" s="106" t="n"/>
      <c r="F154" s="105" t="n"/>
      <c r="G154" s="171">
        <f>IF(J154="","",HYPERLINK("#Transaksi!B"&amp;J154,"Kas"))</f>
        <v/>
      </c>
      <c r="H154" s="172" t="n"/>
      <c r="I154" s="172" t="n"/>
      <c r="J154" s="119" t="n"/>
    </row>
    <row r="155" ht="36" customHeight="1" s="94">
      <c r="A155" s="119" t="n"/>
      <c r="B155" s="105" t="n"/>
      <c r="C155" s="105" t="n"/>
      <c r="D155" s="170" t="n"/>
      <c r="E155" s="106" t="n"/>
      <c r="F155" s="105" t="n"/>
      <c r="G155" s="171">
        <f>IF(J155="","",HYPERLINK("#Transaksi!B"&amp;J155,"Kas"))</f>
        <v/>
      </c>
      <c r="H155" s="172" t="n"/>
      <c r="I155" s="172" t="n"/>
      <c r="J155" s="119" t="n"/>
    </row>
    <row r="156" ht="24.75" customHeight="1" s="94">
      <c r="A156" s="119" t="n"/>
      <c r="B156" s="105" t="n"/>
      <c r="C156" s="105" t="n"/>
      <c r="D156" s="170" t="n"/>
      <c r="E156" s="106" t="n"/>
      <c r="F156" s="105" t="n"/>
      <c r="G156" s="171">
        <f>IF(J156="","",HYPERLINK("#Transaksi!B"&amp;J156,"Kas"))</f>
        <v/>
      </c>
      <c r="H156" s="172" t="n"/>
      <c r="I156" s="172" t="n"/>
      <c r="J156" s="119" t="n"/>
    </row>
    <row r="157" ht="24.75" customHeight="1" s="94">
      <c r="A157" s="119" t="n"/>
      <c r="B157" s="105" t="n"/>
      <c r="C157" s="105" t="n"/>
      <c r="D157" s="170" t="n"/>
      <c r="E157" s="106" t="n"/>
      <c r="F157" s="105" t="n"/>
      <c r="G157" s="171">
        <f>IF(J157="","",HYPERLINK("#Transaksi!B"&amp;J157,"Kas"))</f>
        <v/>
      </c>
      <c r="H157" s="172" t="n"/>
      <c r="I157" s="172" t="n"/>
      <c r="J157" s="119" t="n"/>
    </row>
    <row r="158" ht="24.75" customHeight="1" s="94">
      <c r="A158" s="119" t="n"/>
      <c r="B158" s="105" t="n"/>
      <c r="C158" s="105" t="n"/>
      <c r="D158" s="170" t="n"/>
      <c r="E158" s="106" t="n"/>
      <c r="F158" s="105" t="n"/>
      <c r="G158" s="171">
        <f>IF(J158="","",HYPERLINK("#Transaksi!B"&amp;J158,"Kas"))</f>
        <v/>
      </c>
      <c r="H158" s="172" t="n"/>
      <c r="I158" s="172" t="n"/>
      <c r="J158" s="119" t="n"/>
    </row>
    <row r="159" ht="24.75" customHeight="1" s="94">
      <c r="A159" s="119" t="n"/>
      <c r="B159" s="105" t="n"/>
      <c r="C159" s="105" t="n"/>
      <c r="D159" s="170" t="n"/>
      <c r="E159" s="106" t="n"/>
      <c r="F159" s="105" t="n"/>
      <c r="G159" s="171">
        <f>IF(J159="","",HYPERLINK("#Transaksi!B"&amp;J159,"Kas"))</f>
        <v/>
      </c>
      <c r="H159" s="172" t="n"/>
      <c r="I159" s="172" t="n"/>
      <c r="J159" s="119" t="n"/>
    </row>
    <row r="160" ht="36" customHeight="1" s="94">
      <c r="A160" s="119" t="n"/>
      <c r="B160" s="105" t="n"/>
      <c r="C160" s="105" t="n"/>
      <c r="D160" s="170" t="n"/>
      <c r="E160" s="106" t="n"/>
      <c r="F160" s="105" t="n"/>
      <c r="G160" s="171">
        <f>IF(J160="","",HYPERLINK("#Transaksi!B"&amp;J160,"Kas"))</f>
        <v/>
      </c>
      <c r="H160" s="172" t="n"/>
      <c r="I160" s="172" t="n"/>
      <c r="J160" s="119" t="n"/>
    </row>
    <row r="161" ht="15" customHeight="1" s="94">
      <c r="A161" s="119" t="n"/>
      <c r="B161" s="105" t="n"/>
      <c r="C161" s="105" t="n"/>
      <c r="D161" s="170" t="n"/>
      <c r="E161" s="106" t="n"/>
      <c r="F161" s="105" t="n"/>
      <c r="G161" s="171">
        <f>IF(J161="","",HYPERLINK("#Transaksi!B"&amp;J161,"Kas"))</f>
        <v/>
      </c>
      <c r="H161" s="172" t="n"/>
      <c r="I161" s="172" t="n"/>
      <c r="J161" s="119" t="n"/>
    </row>
    <row r="162" ht="24.75" customHeight="1" s="94">
      <c r="A162" s="119" t="n"/>
      <c r="B162" s="105" t="n"/>
      <c r="C162" s="105" t="n"/>
      <c r="D162" s="170" t="n"/>
      <c r="E162" s="106" t="n"/>
      <c r="F162" s="105" t="n"/>
      <c r="G162" s="171">
        <f>IF(J162="","",HYPERLINK("#Transaksi!B"&amp;J162,"Kas"))</f>
        <v/>
      </c>
      <c r="H162" s="172" t="n"/>
      <c r="I162" s="172" t="n"/>
      <c r="J162" s="119" t="n"/>
    </row>
    <row r="163" ht="24.75" customHeight="1" s="94">
      <c r="A163" s="119" t="n"/>
      <c r="B163" s="105" t="n"/>
      <c r="C163" s="105" t="n"/>
      <c r="D163" s="170" t="n"/>
      <c r="E163" s="106" t="n"/>
      <c r="F163" s="105" t="n"/>
      <c r="G163" s="171">
        <f>IF(J163="","",HYPERLINK("#Transaksi!B"&amp;J163,"Kas"))</f>
        <v/>
      </c>
      <c r="H163" s="172" t="n"/>
      <c r="I163" s="172" t="n"/>
      <c r="J163" s="119" t="n"/>
    </row>
    <row r="164" ht="24.75" customHeight="1" s="94">
      <c r="A164" s="119" t="n"/>
      <c r="B164" s="105" t="n"/>
      <c r="C164" s="105" t="n"/>
      <c r="D164" s="170" t="n"/>
      <c r="E164" s="106" t="n"/>
      <c r="F164" s="105" t="n"/>
      <c r="G164" s="171">
        <f>IF(J164="","",HYPERLINK("#Transaksi!B"&amp;J164,"Kas"))</f>
        <v/>
      </c>
      <c r="H164" s="172" t="n"/>
      <c r="I164" s="172" t="n"/>
      <c r="J164" s="119" t="n"/>
    </row>
    <row r="165" ht="59.25" customHeight="1" s="94">
      <c r="A165" s="119" t="n"/>
      <c r="B165" s="105" t="n"/>
      <c r="C165" s="105" t="n"/>
      <c r="D165" s="170" t="n"/>
      <c r="E165" s="106" t="n"/>
      <c r="F165" s="105" t="n"/>
      <c r="G165" s="171">
        <f>IF(J165="","",HYPERLINK("#Transaksi!B"&amp;J165,"Kas"))</f>
        <v/>
      </c>
      <c r="H165" s="172" t="n"/>
      <c r="I165" s="172" t="n"/>
      <c r="J165" s="119" t="n"/>
    </row>
    <row r="166" ht="59.25" customHeight="1" s="94">
      <c r="A166" s="119" t="n"/>
      <c r="B166" s="105" t="n"/>
      <c r="C166" s="105" t="n"/>
      <c r="D166" s="170" t="n"/>
      <c r="E166" s="106" t="n"/>
      <c r="F166" s="105" t="n"/>
      <c r="G166" s="171">
        <f>IF(J166="","",HYPERLINK("#Transaksi!B"&amp;J166,"Kas"))</f>
        <v/>
      </c>
      <c r="H166" s="172" t="n"/>
      <c r="I166" s="172" t="n"/>
      <c r="J166" s="119" t="n"/>
    </row>
    <row r="167" ht="59.25" customHeight="1" s="94">
      <c r="A167" s="119" t="n"/>
      <c r="B167" s="105" t="n"/>
      <c r="C167" s="105" t="n"/>
      <c r="D167" s="170" t="n"/>
      <c r="E167" s="106" t="n"/>
      <c r="F167" s="105" t="n"/>
      <c r="G167" s="171">
        <f>IF(J167="","",HYPERLINK("#Transaksi!B"&amp;J167,"Kas"))</f>
        <v/>
      </c>
      <c r="H167" s="172" t="n"/>
      <c r="I167" s="172" t="n"/>
      <c r="J167" s="119" t="n"/>
    </row>
    <row r="168" ht="59.25" customHeight="1" s="94">
      <c r="A168" s="119" t="n"/>
      <c r="B168" s="105" t="n"/>
      <c r="C168" s="105" t="n"/>
      <c r="D168" s="170" t="n"/>
      <c r="E168" s="106" t="n"/>
      <c r="F168" s="105" t="n"/>
      <c r="G168" s="171">
        <f>IF(J168="","",HYPERLINK("#Transaksi!B"&amp;J168,"Kas"))</f>
        <v/>
      </c>
      <c r="H168" s="172" t="n"/>
      <c r="I168" s="172" t="n"/>
      <c r="J168" s="119" t="n"/>
    </row>
    <row r="169" ht="59.25" customHeight="1" s="94">
      <c r="A169" s="119" t="n"/>
      <c r="B169" s="105" t="n"/>
      <c r="C169" s="105" t="n"/>
      <c r="D169" s="170" t="n"/>
      <c r="E169" s="106" t="n"/>
      <c r="F169" s="105" t="n"/>
      <c r="G169" s="171">
        <f>IF(J169="","",HYPERLINK("#Transaksi!B"&amp;J169,"Kas"))</f>
        <v/>
      </c>
      <c r="H169" s="172" t="n"/>
      <c r="I169" s="172" t="n"/>
      <c r="J169" s="119" t="n"/>
    </row>
    <row r="170" ht="59.25" customHeight="1" s="94">
      <c r="A170" s="119" t="n"/>
      <c r="B170" s="105" t="n"/>
      <c r="C170" s="105" t="n"/>
      <c r="D170" s="170" t="n"/>
      <c r="E170" s="106" t="n"/>
      <c r="F170" s="105" t="n"/>
      <c r="G170" s="171">
        <f>IF(J170="","",HYPERLINK("#Transaksi!B"&amp;J170,"Kas"))</f>
        <v/>
      </c>
      <c r="H170" s="172" t="n"/>
      <c r="I170" s="172" t="n"/>
      <c r="J170" s="119" t="n"/>
    </row>
    <row r="171" ht="15" customHeight="1" s="94">
      <c r="A171" s="119" t="n"/>
      <c r="B171" s="105" t="n"/>
      <c r="C171" s="105" t="n"/>
      <c r="D171" s="170" t="n"/>
      <c r="E171" s="106" t="n"/>
      <c r="F171" s="105" t="n"/>
      <c r="G171" s="171">
        <f>IF(J171="","",HYPERLINK("#Transaksi!B"&amp;J171,"Kas"))</f>
        <v/>
      </c>
      <c r="H171" s="172" t="n"/>
      <c r="I171" s="172" t="n"/>
      <c r="J171" s="119" t="n"/>
    </row>
    <row r="172" ht="24.75" customHeight="1" s="94">
      <c r="A172" s="119" t="n"/>
      <c r="B172" s="105" t="n"/>
      <c r="C172" s="105" t="n"/>
      <c r="D172" s="170" t="n"/>
      <c r="E172" s="106" t="n"/>
      <c r="F172" s="105" t="n"/>
      <c r="G172" s="171">
        <f>IF(J172="","",HYPERLINK("#Transaksi!B"&amp;J172,"Kas"))</f>
        <v/>
      </c>
      <c r="H172" s="172" t="n"/>
      <c r="I172" s="172" t="n"/>
      <c r="J172" s="119" t="n"/>
    </row>
    <row r="173" ht="24.75" customHeight="1" s="94">
      <c r="A173" s="119" t="n"/>
      <c r="B173" s="105" t="n"/>
      <c r="C173" s="105" t="n"/>
      <c r="D173" s="170" t="n"/>
      <c r="E173" s="106" t="n"/>
      <c r="F173" s="105" t="n"/>
      <c r="G173" s="171">
        <f>IF(J173="","",HYPERLINK("#Transaksi!B"&amp;J173,"Kas"))</f>
        <v/>
      </c>
      <c r="H173" s="172" t="n"/>
      <c r="I173" s="172" t="n"/>
      <c r="J173" s="119" t="n"/>
    </row>
    <row r="174" ht="59.25" customHeight="1" s="94">
      <c r="A174" s="119" t="n"/>
      <c r="B174" s="105" t="n"/>
      <c r="C174" s="105" t="n"/>
      <c r="D174" s="170" t="n"/>
      <c r="E174" s="106" t="n"/>
      <c r="F174" s="105" t="n"/>
      <c r="G174" s="171">
        <f>IF(J174="","",HYPERLINK("#Transaksi!B"&amp;J174,"Kas"))</f>
        <v/>
      </c>
      <c r="H174" s="172" t="n"/>
      <c r="I174" s="172" t="n"/>
      <c r="J174" s="119" t="n"/>
    </row>
    <row r="175" ht="15" customHeight="1" s="94">
      <c r="A175" s="119" t="n"/>
      <c r="B175" s="105" t="n"/>
      <c r="C175" s="105" t="n"/>
      <c r="D175" s="170" t="n"/>
      <c r="E175" s="106" t="n"/>
      <c r="F175" s="105" t="n"/>
      <c r="G175" s="171">
        <f>IF(J175="","",HYPERLINK("#Transaksi!B"&amp;J175,"Kas"))</f>
        <v/>
      </c>
      <c r="H175" s="172" t="n"/>
      <c r="I175" s="172" t="n"/>
      <c r="J175" s="119" t="n"/>
    </row>
    <row r="176" ht="24.75" customHeight="1" s="94">
      <c r="A176" s="119" t="n"/>
      <c r="B176" s="105" t="n"/>
      <c r="C176" s="105" t="n"/>
      <c r="D176" s="170" t="n"/>
      <c r="E176" s="106" t="n"/>
      <c r="F176" s="105" t="n"/>
      <c r="G176" s="171">
        <f>IF(J176="","",HYPERLINK("#Transaksi!B"&amp;J176,"Kas"))</f>
        <v/>
      </c>
      <c r="H176" s="172" t="n"/>
      <c r="I176" s="172" t="n"/>
      <c r="J176" s="119" t="n"/>
    </row>
    <row r="177" ht="59.25" customHeight="1" s="94">
      <c r="A177" s="119" t="n"/>
      <c r="B177" s="105" t="n"/>
      <c r="C177" s="105" t="n"/>
      <c r="D177" s="170" t="n"/>
      <c r="E177" s="106" t="n"/>
      <c r="F177" s="105" t="n"/>
      <c r="G177" s="171">
        <f>IF(J177="","",HYPERLINK("#Transaksi!B"&amp;J177,"Kas"))</f>
        <v/>
      </c>
      <c r="H177" s="172" t="n"/>
      <c r="I177" s="172" t="n"/>
      <c r="J177" s="119" t="n"/>
    </row>
    <row r="178" ht="24.75" customHeight="1" s="94">
      <c r="A178" s="119" t="n"/>
      <c r="B178" s="105" t="n"/>
      <c r="C178" s="105" t="n"/>
      <c r="D178" s="170" t="n"/>
      <c r="E178" s="106" t="n"/>
      <c r="F178" s="105" t="n"/>
      <c r="G178" s="171">
        <f>IF(J178="","",HYPERLINK("#Transaksi!B"&amp;J178,"Kas"))</f>
        <v/>
      </c>
      <c r="H178" s="172" t="n"/>
      <c r="I178" s="172" t="n"/>
      <c r="J178" s="119" t="n"/>
    </row>
    <row r="179" ht="24.75" customHeight="1" s="94">
      <c r="A179" s="119" t="n"/>
      <c r="B179" s="105" t="n"/>
      <c r="C179" s="105" t="n"/>
      <c r="D179" s="170" t="n"/>
      <c r="E179" s="106" t="n"/>
      <c r="F179" s="105" t="n"/>
      <c r="G179" s="171">
        <f>IF(J179="","",HYPERLINK("#Transaksi!B"&amp;J179,"Kas"))</f>
        <v/>
      </c>
      <c r="H179" s="172" t="n"/>
      <c r="I179" s="172" t="n"/>
      <c r="J179" s="119" t="n"/>
    </row>
    <row r="180" ht="36" customHeight="1" s="94">
      <c r="A180" s="119" t="n"/>
      <c r="B180" s="105" t="n"/>
      <c r="C180" s="105" t="n"/>
      <c r="D180" s="170" t="n"/>
      <c r="E180" s="106" t="n"/>
      <c r="F180" s="105" t="n"/>
      <c r="G180" s="171">
        <f>IF(J180="","",HYPERLINK("#Transaksi!B"&amp;J180,"Kas"))</f>
        <v/>
      </c>
      <c r="H180" s="172" t="n"/>
      <c r="I180" s="172" t="n"/>
      <c r="J180" s="119" t="n"/>
    </row>
    <row r="181" ht="24.75" customHeight="1" s="94">
      <c r="A181" s="119" t="n"/>
      <c r="B181" s="105" t="n"/>
      <c r="C181" s="105" t="n"/>
      <c r="D181" s="170" t="n"/>
      <c r="E181" s="106" t="n"/>
      <c r="F181" s="105" t="n"/>
      <c r="G181" s="171">
        <f>IF(J181="","",HYPERLINK("#Transaksi!B"&amp;J181,"Kas"))</f>
        <v/>
      </c>
      <c r="H181" s="172" t="n"/>
      <c r="I181" s="172" t="n"/>
      <c r="J181" s="119" t="n"/>
    </row>
    <row r="182" ht="36" customHeight="1" s="94">
      <c r="A182" s="119" t="n"/>
      <c r="B182" s="105" t="n"/>
      <c r="C182" s="105" t="n"/>
      <c r="D182" s="170" t="n"/>
      <c r="E182" s="106" t="n"/>
      <c r="F182" s="105" t="n"/>
      <c r="G182" s="171">
        <f>IF(J182="","",HYPERLINK("#Transaksi!B"&amp;J182,"Kas"))</f>
        <v/>
      </c>
      <c r="H182" s="172" t="n"/>
      <c r="I182" s="172" t="n"/>
      <c r="J182" s="119" t="n"/>
    </row>
    <row r="183" ht="47.25" customHeight="1" s="94">
      <c r="A183" s="119" t="n"/>
      <c r="B183" s="105" t="n"/>
      <c r="C183" s="105" t="n"/>
      <c r="D183" s="170" t="n"/>
      <c r="E183" s="106" t="n"/>
      <c r="F183" s="105" t="n"/>
      <c r="G183" s="171">
        <f>IF(J183="","",HYPERLINK("#Transaksi!B"&amp;J183,"Kas"))</f>
        <v/>
      </c>
      <c r="H183" s="172" t="n"/>
      <c r="I183" s="172" t="n"/>
      <c r="J183" s="119" t="n"/>
    </row>
    <row r="184" ht="47.25" customHeight="1" s="94">
      <c r="A184" s="119" t="n"/>
      <c r="B184" s="105" t="n"/>
      <c r="C184" s="105" t="n"/>
      <c r="D184" s="170" t="n"/>
      <c r="E184" s="106" t="n"/>
      <c r="F184" s="105" t="n"/>
      <c r="G184" s="171">
        <f>IF(J184="","",HYPERLINK("#Transaksi!B"&amp;J184,"Kas"))</f>
        <v/>
      </c>
      <c r="H184" s="172" t="n"/>
      <c r="I184" s="172" t="n"/>
      <c r="J184" s="119" t="n"/>
    </row>
    <row r="185" ht="47.25" customHeight="1" s="94">
      <c r="A185" s="119" t="n"/>
      <c r="B185" s="105" t="n"/>
      <c r="C185" s="105" t="n"/>
      <c r="D185" s="170" t="n"/>
      <c r="E185" s="106" t="n"/>
      <c r="F185" s="105" t="n"/>
      <c r="G185" s="171">
        <f>IF(J185="","",HYPERLINK("#Transaksi!B"&amp;J185,"Kas"))</f>
        <v/>
      </c>
      <c r="H185" s="172" t="n"/>
      <c r="I185" s="172" t="n"/>
      <c r="J185" s="119" t="n"/>
    </row>
    <row r="186" ht="47.25" customHeight="1" s="94">
      <c r="A186" s="119" t="n"/>
      <c r="B186" s="105" t="n"/>
      <c r="C186" s="105" t="n"/>
      <c r="D186" s="170" t="n"/>
      <c r="E186" s="106" t="n"/>
      <c r="F186" s="105" t="n"/>
      <c r="G186" s="171">
        <f>IF(J186="","",HYPERLINK("#Transaksi!B"&amp;J186,"Kas"))</f>
        <v/>
      </c>
      <c r="H186" s="172" t="n"/>
      <c r="I186" s="172" t="n"/>
      <c r="J186" s="119" t="n"/>
    </row>
    <row r="187" ht="36" customHeight="1" s="94">
      <c r="A187" s="119" t="n"/>
      <c r="B187" s="105" t="n"/>
      <c r="C187" s="105" t="n"/>
      <c r="D187" s="170" t="n"/>
      <c r="E187" s="106" t="n"/>
      <c r="F187" s="105" t="n"/>
      <c r="G187" s="171">
        <f>IF(J187="","",HYPERLINK("#Transaksi!B"&amp;J187,"Kas"))</f>
        <v/>
      </c>
      <c r="H187" s="172" t="n"/>
      <c r="I187" s="172" t="n"/>
      <c r="J187" s="119" t="n"/>
    </row>
    <row r="188" ht="59.25" customHeight="1" s="94">
      <c r="A188" s="119" t="n"/>
      <c r="B188" s="105" t="n"/>
      <c r="C188" s="105" t="n"/>
      <c r="D188" s="170" t="n"/>
      <c r="E188" s="106" t="n"/>
      <c r="F188" s="105" t="n"/>
      <c r="G188" s="171">
        <f>IF(J188="","",HYPERLINK("#Transaksi!B"&amp;J188,"Kas"))</f>
        <v/>
      </c>
      <c r="H188" s="172" t="n"/>
      <c r="I188" s="172" t="n"/>
      <c r="J188" s="119" t="n"/>
    </row>
    <row r="189" ht="24.75" customHeight="1" s="94">
      <c r="A189" s="119" t="n"/>
      <c r="B189" s="105" t="n"/>
      <c r="C189" s="105" t="n"/>
      <c r="D189" s="170" t="n"/>
      <c r="E189" s="106" t="n"/>
      <c r="F189" s="105" t="n"/>
      <c r="G189" s="171">
        <f>IF(J189="","",HYPERLINK("#Transaksi!B"&amp;J189,"Kas"))</f>
        <v/>
      </c>
      <c r="H189" s="172" t="n"/>
      <c r="I189" s="172" t="n"/>
      <c r="J189" s="119" t="n"/>
    </row>
    <row r="190" ht="36" customHeight="1" s="94">
      <c r="A190" s="119" t="n"/>
      <c r="B190" s="105" t="n"/>
      <c r="C190" s="105" t="n"/>
      <c r="D190" s="170" t="n"/>
      <c r="E190" s="106" t="n"/>
      <c r="F190" s="105" t="n"/>
      <c r="G190" s="171">
        <f>IF(J190="","",HYPERLINK("#Transaksi!B"&amp;J190,"Kas"))</f>
        <v/>
      </c>
      <c r="H190" s="172" t="n"/>
      <c r="I190" s="172" t="n"/>
      <c r="J190" s="119" t="n"/>
    </row>
    <row r="191" ht="36" customHeight="1" s="94">
      <c r="A191" s="119" t="n"/>
      <c r="B191" s="105" t="n"/>
      <c r="C191" s="105" t="n"/>
      <c r="D191" s="170" t="n"/>
      <c r="E191" s="106" t="n"/>
      <c r="F191" s="105" t="n"/>
      <c r="G191" s="171">
        <f>IF(J191="","",HYPERLINK("#Transaksi!B"&amp;J191,"Kas"))</f>
        <v/>
      </c>
      <c r="H191" s="172" t="n"/>
      <c r="I191" s="172" t="n"/>
      <c r="J191" s="119" t="n"/>
    </row>
    <row r="192" ht="36" customHeight="1" s="94">
      <c r="A192" s="119" t="n"/>
      <c r="B192" s="105" t="n"/>
      <c r="C192" s="105" t="n"/>
      <c r="D192" s="170" t="n"/>
      <c r="E192" s="106" t="n"/>
      <c r="F192" s="105" t="n"/>
      <c r="G192" s="171">
        <f>IF(J192="","",HYPERLINK("#Transaksi!B"&amp;J192,"Kas"))</f>
        <v/>
      </c>
      <c r="H192" s="172" t="n"/>
      <c r="I192" s="172" t="n"/>
      <c r="J192" s="119" t="n"/>
    </row>
    <row r="193" ht="24.75" customHeight="1" s="94">
      <c r="A193" s="119" t="n"/>
      <c r="B193" s="105" t="n"/>
      <c r="C193" s="105" t="n"/>
      <c r="D193" s="170" t="n"/>
      <c r="E193" s="106" t="n"/>
      <c r="F193" s="105" t="n"/>
      <c r="G193" s="171">
        <f>IF(J193="","",HYPERLINK("#Transaksi!B"&amp;J193,"Kas"))</f>
        <v/>
      </c>
      <c r="H193" s="172" t="n"/>
      <c r="I193" s="172" t="n"/>
      <c r="J193" s="119" t="n"/>
    </row>
    <row r="194" ht="59.25" customHeight="1" s="94">
      <c r="A194" s="119" t="n"/>
      <c r="B194" s="105" t="n"/>
      <c r="C194" s="105" t="n"/>
      <c r="D194" s="170" t="n"/>
      <c r="E194" s="106" t="n"/>
      <c r="F194" s="105" t="n"/>
      <c r="G194" s="171">
        <f>IF(J194="","",HYPERLINK("#Transaksi!B"&amp;J194,"Kas"))</f>
        <v/>
      </c>
      <c r="H194" s="172" t="n"/>
      <c r="I194" s="172" t="n"/>
      <c r="J194" s="119" t="n"/>
    </row>
    <row r="195" ht="47.25" customHeight="1" s="94">
      <c r="A195" s="119" t="n"/>
      <c r="B195" s="105" t="n"/>
      <c r="C195" s="105" t="n"/>
      <c r="D195" s="170" t="n"/>
      <c r="E195" s="106" t="n"/>
      <c r="F195" s="105" t="n"/>
      <c r="G195" s="171">
        <f>IF(J195="","",HYPERLINK("#Transaksi!B"&amp;J195,"Kas"))</f>
        <v/>
      </c>
      <c r="H195" s="172" t="n"/>
      <c r="I195" s="172" t="n"/>
      <c r="J195" s="119" t="n"/>
    </row>
    <row r="196" ht="59.25" customHeight="1" s="94">
      <c r="A196" s="119" t="n"/>
      <c r="B196" s="105" t="n"/>
      <c r="C196" s="105" t="n"/>
      <c r="D196" s="170" t="n"/>
      <c r="E196" s="106" t="n"/>
      <c r="F196" s="105" t="n"/>
      <c r="G196" s="171">
        <f>IF(J196="","",HYPERLINK("#Transaksi!B"&amp;J196,"Kas"))</f>
        <v/>
      </c>
      <c r="H196" s="172" t="n"/>
      <c r="I196" s="172" t="n"/>
      <c r="J196" s="119" t="n"/>
    </row>
    <row r="197" ht="59.25" customHeight="1" s="94">
      <c r="A197" s="119" t="n"/>
      <c r="B197" s="105" t="n"/>
      <c r="C197" s="105" t="n"/>
      <c r="D197" s="170" t="n"/>
      <c r="E197" s="106" t="n"/>
      <c r="F197" s="105" t="n"/>
      <c r="G197" s="171">
        <f>IF(J197="","",HYPERLINK("#Transaksi!B"&amp;J197,"Kas"))</f>
        <v/>
      </c>
      <c r="H197" s="172" t="n"/>
      <c r="I197" s="172" t="n"/>
      <c r="J197" s="119" t="n"/>
    </row>
    <row r="198" ht="36" customHeight="1" s="94">
      <c r="A198" s="119" t="n"/>
      <c r="B198" s="105" t="n"/>
      <c r="C198" s="105" t="n"/>
      <c r="D198" s="170" t="n"/>
      <c r="E198" s="106" t="n"/>
      <c r="F198" s="105" t="n"/>
      <c r="G198" s="171">
        <f>IF(J198="","",HYPERLINK("#Transaksi!B"&amp;J198,"Kas"))</f>
        <v/>
      </c>
      <c r="H198" s="172" t="n"/>
      <c r="I198" s="172" t="n"/>
      <c r="J198" s="119" t="n"/>
    </row>
    <row r="199" ht="47.25" customHeight="1" s="94">
      <c r="A199" s="119" t="n"/>
      <c r="B199" s="105" t="n"/>
      <c r="C199" s="105" t="n"/>
      <c r="D199" s="170" t="n"/>
      <c r="E199" s="106" t="n"/>
      <c r="F199" s="105" t="n"/>
      <c r="G199" s="171">
        <f>IF(J199="","",HYPERLINK("#Transaksi!B"&amp;J199,"Kas"))</f>
        <v/>
      </c>
      <c r="H199" s="172" t="n"/>
      <c r="I199" s="172" t="n"/>
      <c r="J199" s="119" t="n"/>
    </row>
    <row r="200" ht="59.25" customHeight="1" s="94">
      <c r="A200" s="119" t="n"/>
      <c r="B200" s="105" t="n"/>
      <c r="C200" s="105" t="n"/>
      <c r="D200" s="170" t="n"/>
      <c r="E200" s="106" t="n"/>
      <c r="F200" s="105" t="n"/>
      <c r="G200" s="171">
        <f>IF(J200="","",HYPERLINK("#Transaksi!B"&amp;J200,"Kas"))</f>
        <v/>
      </c>
      <c r="H200" s="172" t="n"/>
      <c r="I200" s="172" t="n"/>
      <c r="J200" s="119" t="n"/>
    </row>
    <row r="201" ht="47.25" customHeight="1" s="94">
      <c r="A201" s="119" t="n"/>
      <c r="B201" s="105" t="n"/>
      <c r="C201" s="105" t="n"/>
      <c r="D201" s="170" t="n"/>
      <c r="E201" s="106" t="n"/>
      <c r="F201" s="105" t="n"/>
      <c r="G201" s="171">
        <f>IF(J201="","",HYPERLINK("#Transaksi!B"&amp;J201,"Kas"))</f>
        <v/>
      </c>
      <c r="H201" s="172" t="n"/>
      <c r="I201" s="172" t="n"/>
      <c r="J201" s="119" t="n"/>
    </row>
    <row r="202" ht="59.25" customHeight="1" s="94">
      <c r="A202" s="119" t="n"/>
      <c r="B202" s="105" t="n"/>
      <c r="C202" s="105" t="n"/>
      <c r="D202" s="170" t="n"/>
      <c r="E202" s="106" t="n"/>
      <c r="F202" s="105" t="n"/>
      <c r="G202" s="171">
        <f>IF(J202="","",HYPERLINK("#Transaksi!B"&amp;J202,"Kas"))</f>
        <v/>
      </c>
      <c r="H202" s="172" t="n"/>
      <c r="I202" s="172" t="n"/>
      <c r="J202" s="119" t="n"/>
    </row>
    <row r="203" ht="24.75" customHeight="1" s="94">
      <c r="A203" s="119" t="n"/>
      <c r="B203" s="105" t="n"/>
      <c r="C203" s="105" t="n"/>
      <c r="D203" s="170" t="n"/>
      <c r="E203" s="106" t="n"/>
      <c r="F203" s="105" t="n"/>
      <c r="G203" s="171">
        <f>IF(J203="","",HYPERLINK("#Transaksi!B"&amp;J203,"Kas"))</f>
        <v/>
      </c>
      <c r="H203" s="172" t="n"/>
      <c r="I203" s="172" t="n"/>
      <c r="J203" s="119" t="n"/>
    </row>
    <row r="204" ht="24.75" customHeight="1" s="94">
      <c r="A204" s="119" t="n"/>
      <c r="B204" s="105" t="n"/>
      <c r="C204" s="105" t="n"/>
      <c r="D204" s="170" t="n"/>
      <c r="E204" s="106" t="n"/>
      <c r="F204" s="105" t="n"/>
      <c r="G204" s="171">
        <f>IF(J204="","",HYPERLINK("#Transaksi!B"&amp;J204,"Kas"))</f>
        <v/>
      </c>
      <c r="H204" s="172" t="n"/>
      <c r="I204" s="172" t="n"/>
      <c r="J204" s="119" t="n"/>
    </row>
    <row r="205" ht="59.25" customHeight="1" s="94">
      <c r="A205" s="119" t="n"/>
      <c r="B205" s="105" t="n"/>
      <c r="C205" s="105" t="n"/>
      <c r="D205" s="170" t="n"/>
      <c r="E205" s="106" t="n"/>
      <c r="F205" s="105" t="n"/>
      <c r="G205" s="171">
        <f>IF(J205="","",HYPERLINK("#Transaksi!B"&amp;J205,"Kas"))</f>
        <v/>
      </c>
      <c r="H205" s="172" t="n"/>
      <c r="I205" s="172" t="n"/>
      <c r="J205" s="119" t="n"/>
    </row>
    <row r="206" ht="59.25" customHeight="1" s="94">
      <c r="A206" s="119" t="n"/>
      <c r="B206" s="105" t="n"/>
      <c r="C206" s="105" t="n"/>
      <c r="D206" s="170" t="n"/>
      <c r="E206" s="106" t="n"/>
      <c r="F206" s="105" t="n"/>
      <c r="G206" s="171">
        <f>IF(J206="","",HYPERLINK("#Transaksi!B"&amp;J206,"Kas"))</f>
        <v/>
      </c>
      <c r="H206" s="172" t="n"/>
      <c r="I206" s="172" t="n"/>
      <c r="J206" s="119" t="n"/>
    </row>
    <row r="207" ht="59.25" customHeight="1" s="94">
      <c r="A207" s="119" t="n"/>
      <c r="B207" s="105" t="n"/>
      <c r="C207" s="105" t="n"/>
      <c r="D207" s="170" t="n"/>
      <c r="E207" s="106" t="n"/>
      <c r="F207" s="105" t="n"/>
      <c r="G207" s="171">
        <f>IF(J207="","",HYPERLINK("#Transaksi!B"&amp;J207,"Kas"))</f>
        <v/>
      </c>
      <c r="H207" s="172" t="n"/>
      <c r="I207" s="172" t="n"/>
      <c r="J207" s="119" t="n"/>
    </row>
    <row r="208" ht="24.75" customHeight="1" s="94">
      <c r="A208" s="119" t="n"/>
      <c r="B208" s="105" t="n"/>
      <c r="C208" s="105" t="n"/>
      <c r="D208" s="170" t="n"/>
      <c r="E208" s="106" t="n"/>
      <c r="F208" s="105" t="n"/>
      <c r="G208" s="171">
        <f>IF(J208="","",HYPERLINK("#Transaksi!B"&amp;J208,"Kas"))</f>
        <v/>
      </c>
      <c r="H208" s="172" t="n"/>
      <c r="I208" s="172" t="n"/>
      <c r="J208" s="119" t="n"/>
    </row>
    <row r="209" ht="59.25" customHeight="1" s="94">
      <c r="A209" s="119" t="n"/>
      <c r="B209" s="105" t="n"/>
      <c r="C209" s="105" t="n"/>
      <c r="D209" s="170" t="n"/>
      <c r="E209" s="106" t="n"/>
      <c r="F209" s="105" t="n"/>
      <c r="G209" s="171">
        <f>IF(J209="","",HYPERLINK("#Transaksi!B"&amp;J209,"Kas"))</f>
        <v/>
      </c>
      <c r="H209" s="172" t="n"/>
      <c r="I209" s="172" t="n"/>
      <c r="J209" s="119" t="n"/>
    </row>
    <row r="210" ht="24.75" customHeight="1" s="94">
      <c r="A210" s="119" t="n"/>
      <c r="B210" s="105" t="n"/>
      <c r="C210" s="105" t="n"/>
      <c r="D210" s="170" t="n"/>
      <c r="E210" s="106" t="n"/>
      <c r="F210" s="105" t="n"/>
      <c r="G210" s="171">
        <f>IF(J210="","",HYPERLINK("#Transaksi!B"&amp;J210,"Kas"))</f>
        <v/>
      </c>
      <c r="H210" s="172" t="n"/>
      <c r="I210" s="172" t="n"/>
      <c r="J210" s="119" t="n"/>
    </row>
    <row r="211" ht="59.25" customHeight="1" s="94">
      <c r="A211" s="119" t="n"/>
      <c r="B211" s="105" t="n"/>
      <c r="C211" s="105" t="n"/>
      <c r="D211" s="170" t="n"/>
      <c r="E211" s="106" t="n"/>
      <c r="F211" s="105" t="n"/>
      <c r="G211" s="171">
        <f>IF(J211="","",HYPERLINK("#Transaksi!B"&amp;J211,"Kas"))</f>
        <v/>
      </c>
      <c r="H211" s="172" t="n"/>
      <c r="I211" s="172" t="n"/>
      <c r="J211" s="119" t="n"/>
    </row>
    <row r="212" ht="24.75" customHeight="1" s="94">
      <c r="A212" s="119" t="n"/>
      <c r="B212" s="105" t="n"/>
      <c r="C212" s="105" t="n"/>
      <c r="D212" s="170" t="n"/>
      <c r="E212" s="106" t="n"/>
      <c r="F212" s="105" t="n"/>
      <c r="G212" s="171">
        <f>IF(J212="","",HYPERLINK("#Transaksi!B"&amp;J212,"Kas"))</f>
        <v/>
      </c>
      <c r="H212" s="172" t="n"/>
      <c r="I212" s="172" t="n"/>
      <c r="J212" s="119" t="n"/>
    </row>
    <row r="213" ht="59.25" customHeight="1" s="94">
      <c r="A213" s="119" t="n"/>
      <c r="B213" s="105" t="n"/>
      <c r="C213" s="105" t="n"/>
      <c r="D213" s="170" t="n"/>
      <c r="E213" s="106" t="n"/>
      <c r="F213" s="105" t="n"/>
      <c r="G213" s="171">
        <f>IF(J213="","",HYPERLINK("#Transaksi!B"&amp;J213,"Kas"))</f>
        <v/>
      </c>
      <c r="H213" s="172" t="n"/>
      <c r="I213" s="172" t="n"/>
      <c r="J213" s="119" t="n"/>
    </row>
    <row r="214" ht="59.25" customHeight="1" s="94">
      <c r="A214" s="119" t="n"/>
      <c r="B214" s="105" t="n"/>
      <c r="C214" s="105" t="n"/>
      <c r="D214" s="170" t="n"/>
      <c r="E214" s="106" t="n"/>
      <c r="F214" s="105" t="n"/>
      <c r="G214" s="171">
        <f>IF(J214="","",HYPERLINK("#Transaksi!B"&amp;J214,"Kas"))</f>
        <v/>
      </c>
      <c r="H214" s="172" t="n"/>
      <c r="I214" s="172" t="n"/>
      <c r="J214" s="119" t="n"/>
    </row>
    <row r="215" ht="24.75" customHeight="1" s="94">
      <c r="A215" s="119" t="n"/>
      <c r="B215" s="105" t="n"/>
      <c r="C215" s="105" t="n"/>
      <c r="D215" s="170" t="n"/>
      <c r="E215" s="106" t="n"/>
      <c r="F215" s="105" t="n"/>
      <c r="G215" s="171">
        <f>IF(J215="","",HYPERLINK("#Transaksi!B"&amp;J215,"Kas"))</f>
        <v/>
      </c>
      <c r="H215" s="172" t="n"/>
      <c r="I215" s="172" t="n"/>
      <c r="J215" s="119" t="n"/>
    </row>
    <row r="216" ht="59.25" customHeight="1" s="94">
      <c r="A216" s="119" t="n"/>
      <c r="B216" s="105" t="n"/>
      <c r="C216" s="105" t="n"/>
      <c r="D216" s="170" t="n"/>
      <c r="E216" s="106" t="n"/>
      <c r="F216" s="105" t="n"/>
      <c r="G216" s="171">
        <f>IF(J216="","",HYPERLINK("#Transaksi!B"&amp;J216,"Kas"))</f>
        <v/>
      </c>
      <c r="H216" s="172" t="n"/>
      <c r="I216" s="172" t="n"/>
      <c r="J216" s="119" t="n"/>
    </row>
    <row r="217">
      <c r="A217" s="119" t="n"/>
      <c r="B217" s="105" t="n"/>
      <c r="C217" s="105" t="n"/>
      <c r="D217" s="170" t="n"/>
      <c r="E217" s="106" t="n"/>
      <c r="F217" s="105" t="n"/>
      <c r="G217" s="171">
        <f>IF(J217="","",HYPERLINK("#Transaksi!B"&amp;J217,"Kas"))</f>
        <v/>
      </c>
      <c r="H217" s="172" t="n"/>
      <c r="I217" s="172" t="n"/>
      <c r="J217" s="119" t="n"/>
    </row>
    <row r="218">
      <c r="A218" s="119" t="n"/>
      <c r="B218" s="105" t="n"/>
      <c r="C218" s="105" t="n"/>
      <c r="D218" s="170" t="n"/>
      <c r="E218" s="106" t="n"/>
      <c r="F218" s="105" t="n"/>
      <c r="G218" s="171">
        <f>IF(J218="","",HYPERLINK("#Transaksi!B"&amp;J218,"Kas"))</f>
        <v/>
      </c>
      <c r="H218" s="172" t="n"/>
      <c r="I218" s="172" t="n"/>
      <c r="J218" s="119" t="n"/>
    </row>
    <row r="219">
      <c r="A219" s="119" t="n"/>
      <c r="B219" s="105" t="n"/>
      <c r="C219" s="105" t="n"/>
      <c r="D219" s="170" t="n"/>
      <c r="E219" s="106" t="n"/>
      <c r="F219" s="105" t="n"/>
      <c r="G219" s="171">
        <f>IF(J219="","",HYPERLINK("#Transaksi!B"&amp;J219,"Kas"))</f>
        <v/>
      </c>
      <c r="H219" s="172" t="n"/>
      <c r="I219" s="172" t="n"/>
      <c r="J219" s="119" t="n"/>
    </row>
    <row r="220">
      <c r="A220" s="119" t="n"/>
      <c r="B220" s="105" t="n"/>
      <c r="C220" s="105" t="n"/>
      <c r="D220" s="170" t="n"/>
      <c r="E220" s="106" t="n"/>
      <c r="F220" s="105" t="n"/>
      <c r="G220" s="171">
        <f>IF(J220="","",HYPERLINK("#Transaksi!B"&amp;J220,"Kas"))</f>
        <v/>
      </c>
      <c r="H220" s="172" t="n"/>
      <c r="I220" s="172" t="n"/>
      <c r="J220" s="119" t="n"/>
    </row>
    <row r="221">
      <c r="A221" s="119" t="n"/>
      <c r="B221" s="105" t="n"/>
      <c r="C221" s="105" t="n"/>
      <c r="D221" s="170" t="n"/>
      <c r="E221" s="106" t="n"/>
      <c r="F221" s="105" t="n"/>
      <c r="G221" s="171">
        <f>IF(J221="","",HYPERLINK("#Transaksi!B"&amp;J221,"Kas"))</f>
        <v/>
      </c>
      <c r="H221" s="172" t="n"/>
      <c r="I221" s="172" t="n"/>
      <c r="J221" s="119" t="n"/>
    </row>
    <row r="222">
      <c r="A222" s="119" t="n"/>
      <c r="B222" s="105" t="n"/>
      <c r="C222" s="105" t="n"/>
      <c r="D222" s="170" t="n"/>
      <c r="E222" s="106" t="n"/>
      <c r="F222" s="105" t="n"/>
      <c r="G222" s="171">
        <f>IF(J222="","",HYPERLINK("#Transaksi!B"&amp;J222,"Kas"))</f>
        <v/>
      </c>
      <c r="H222" s="172" t="n"/>
      <c r="I222" s="172" t="n"/>
      <c r="J222" s="119" t="n"/>
    </row>
    <row r="223">
      <c r="A223" s="119" t="n"/>
      <c r="B223" s="105" t="n"/>
      <c r="C223" s="105" t="n"/>
      <c r="D223" s="170" t="n"/>
      <c r="E223" s="106" t="n"/>
      <c r="F223" s="105" t="n"/>
      <c r="G223" s="171">
        <f>IF(J223="","",HYPERLINK("#Transaksi!B"&amp;J223,"Kas"))</f>
        <v/>
      </c>
      <c r="H223" s="172" t="n"/>
      <c r="I223" s="172" t="n"/>
      <c r="J223" s="119" t="n"/>
    </row>
    <row r="224">
      <c r="A224" s="119" t="n"/>
      <c r="B224" s="105" t="n"/>
      <c r="C224" s="105" t="n"/>
      <c r="D224" s="170" t="n"/>
      <c r="E224" s="106" t="n"/>
      <c r="F224" s="105" t="n"/>
      <c r="G224" s="171">
        <f>IF(J224="","",HYPERLINK("#Transaksi!B"&amp;J224,"Kas"))</f>
        <v/>
      </c>
      <c r="H224" s="172" t="n"/>
      <c r="I224" s="172" t="n"/>
      <c r="J224" s="119" t="n"/>
    </row>
    <row r="225">
      <c r="A225" s="119" t="n"/>
      <c r="B225" s="105" t="n"/>
      <c r="C225" s="105" t="n"/>
      <c r="D225" s="170" t="n"/>
      <c r="E225" s="106" t="n"/>
      <c r="F225" s="105" t="n"/>
      <c r="G225" s="171">
        <f>IF(J225="","",HYPERLINK("#Transaksi!B"&amp;J225,"Kas"))</f>
        <v/>
      </c>
      <c r="H225" s="172" t="n"/>
      <c r="I225" s="172" t="n"/>
      <c r="J225" s="119" t="n"/>
    </row>
    <row r="226">
      <c r="A226" s="119" t="n"/>
      <c r="B226" s="105" t="n"/>
      <c r="C226" s="105" t="n"/>
      <c r="D226" s="170" t="n"/>
      <c r="E226" s="106" t="n"/>
      <c r="F226" s="105" t="n"/>
      <c r="G226" s="171">
        <f>IF(J226="","",HYPERLINK("#Transaksi!B"&amp;J226,"Kas"))</f>
        <v/>
      </c>
      <c r="H226" s="172" t="n"/>
      <c r="I226" s="172" t="n"/>
      <c r="J226" s="119" t="n"/>
    </row>
    <row r="227">
      <c r="A227" s="119" t="n"/>
      <c r="B227" s="105" t="n"/>
      <c r="C227" s="105" t="n"/>
      <c r="D227" s="170" t="n"/>
      <c r="E227" s="106" t="n"/>
      <c r="F227" s="105" t="n"/>
      <c r="G227" s="171">
        <f>IF(J227="","",HYPERLINK("#Transaksi!B"&amp;J227,"Kas"))</f>
        <v/>
      </c>
      <c r="H227" s="172" t="n"/>
      <c r="I227" s="172" t="n"/>
      <c r="J227" s="119" t="n"/>
    </row>
    <row r="228">
      <c r="A228" s="119" t="n"/>
      <c r="B228" s="105" t="n"/>
      <c r="C228" s="105" t="n"/>
      <c r="D228" s="170" t="n"/>
      <c r="E228" s="106" t="n"/>
      <c r="F228" s="105" t="n"/>
      <c r="G228" s="171">
        <f>IF(J228="","",HYPERLINK("#Transaksi!B"&amp;J228,"Kas"))</f>
        <v/>
      </c>
      <c r="H228" s="172" t="n"/>
      <c r="I228" s="172" t="n"/>
      <c r="J228" s="119" t="n"/>
    </row>
    <row r="229">
      <c r="A229" s="119" t="n"/>
      <c r="B229" s="105" t="n"/>
      <c r="C229" s="105" t="n"/>
      <c r="D229" s="170" t="n"/>
      <c r="E229" s="106" t="n"/>
      <c r="F229" s="105" t="n"/>
      <c r="G229" s="171">
        <f>IF(J229="","",HYPERLINK("#Transaksi!B"&amp;J229,"Kas"))</f>
        <v/>
      </c>
      <c r="H229" s="172" t="n"/>
      <c r="I229" s="172" t="n"/>
      <c r="J229" s="119" t="n"/>
    </row>
    <row r="230">
      <c r="A230" s="119" t="n"/>
      <c r="B230" s="105" t="n"/>
      <c r="C230" s="105" t="n"/>
      <c r="D230" s="170" t="n"/>
      <c r="E230" s="106" t="n"/>
      <c r="F230" s="105" t="n"/>
      <c r="G230" s="171">
        <f>IF(J230="","",HYPERLINK("#Transaksi!B"&amp;J230,"Kas"))</f>
        <v/>
      </c>
      <c r="H230" s="172" t="n"/>
      <c r="I230" s="172" t="n"/>
      <c r="J230" s="119" t="n"/>
    </row>
    <row r="231">
      <c r="A231" s="119" t="n"/>
      <c r="B231" s="105" t="n"/>
      <c r="C231" s="105" t="n"/>
      <c r="D231" s="170" t="n"/>
      <c r="E231" s="106" t="n"/>
      <c r="F231" s="105" t="n"/>
      <c r="G231" s="171">
        <f>IF(J231="","",HYPERLINK("#Transaksi!B"&amp;J231,"Kas"))</f>
        <v/>
      </c>
      <c r="H231" s="172" t="n"/>
      <c r="I231" s="172" t="n"/>
      <c r="J231" s="119" t="n"/>
    </row>
    <row r="232">
      <c r="A232" s="119" t="n"/>
      <c r="B232" s="105" t="n"/>
      <c r="C232" s="105" t="n"/>
      <c r="D232" s="170" t="n"/>
      <c r="E232" s="106" t="n"/>
      <c r="F232" s="105" t="n"/>
      <c r="G232" s="171">
        <f>IF(J232="","",HYPERLINK("#Transaksi!B"&amp;J232,"Kas"))</f>
        <v/>
      </c>
      <c r="H232" s="172" t="n"/>
      <c r="I232" s="172" t="n"/>
      <c r="J232" s="119" t="n"/>
    </row>
    <row r="233">
      <c r="A233" s="119" t="n"/>
      <c r="B233" s="105" t="n"/>
      <c r="C233" s="105" t="n"/>
      <c r="D233" s="170" t="n"/>
      <c r="E233" s="106" t="n"/>
      <c r="F233" s="105" t="n"/>
      <c r="G233" s="171">
        <f>IF(J233="","",HYPERLINK("#Transaksi!B"&amp;J233,"Kas"))</f>
        <v/>
      </c>
      <c r="H233" s="172" t="n"/>
      <c r="I233" s="172" t="n"/>
      <c r="J233" s="119" t="n"/>
    </row>
    <row r="234">
      <c r="A234" s="119" t="n"/>
      <c r="B234" s="105" t="n"/>
      <c r="C234" s="105" t="n"/>
      <c r="D234" s="170" t="n"/>
      <c r="E234" s="106" t="n"/>
      <c r="F234" s="105" t="n"/>
      <c r="G234" s="171">
        <f>IF(J234="","",HYPERLINK("#Transaksi!B"&amp;J234,"Kas"))</f>
        <v/>
      </c>
      <c r="H234" s="172" t="n"/>
      <c r="I234" s="172" t="n"/>
      <c r="J234" s="119" t="n"/>
    </row>
    <row r="235">
      <c r="A235" s="119" t="n"/>
      <c r="B235" s="105" t="n"/>
      <c r="C235" s="105" t="n"/>
      <c r="D235" s="170" t="n"/>
      <c r="E235" s="106" t="n"/>
      <c r="F235" s="105" t="n"/>
      <c r="G235" s="171">
        <f>IF(J235="","",HYPERLINK("#Transaksi!B"&amp;J235,"Kas"))</f>
        <v/>
      </c>
      <c r="H235" s="172" t="n"/>
      <c r="I235" s="172" t="n"/>
      <c r="J235" s="119" t="n"/>
    </row>
    <row r="236">
      <c r="A236" s="119" t="n"/>
      <c r="B236" s="105" t="n"/>
      <c r="C236" s="105" t="n"/>
      <c r="D236" s="170" t="n"/>
      <c r="E236" s="106" t="n"/>
      <c r="F236" s="105" t="n"/>
      <c r="G236" s="171">
        <f>IF(J236="","",HYPERLINK("#Transaksi!B"&amp;J236,"Kas"))</f>
        <v/>
      </c>
      <c r="H236" s="172" t="n"/>
      <c r="I236" s="172" t="n"/>
      <c r="J236" s="119" t="n"/>
    </row>
    <row r="237">
      <c r="A237" s="119" t="n"/>
      <c r="B237" s="105" t="n"/>
      <c r="C237" s="105" t="n"/>
      <c r="D237" s="170" t="n"/>
      <c r="E237" s="106" t="n"/>
      <c r="F237" s="105" t="n"/>
      <c r="G237" s="171">
        <f>IF(J237="","",HYPERLINK("#Transaksi!B"&amp;J237,"Kas"))</f>
        <v/>
      </c>
      <c r="H237" s="172" t="n"/>
      <c r="I237" s="172" t="n"/>
      <c r="J237" s="119" t="n"/>
    </row>
    <row r="238">
      <c r="A238" s="119" t="n"/>
      <c r="B238" s="105" t="n"/>
      <c r="C238" s="105" t="n"/>
      <c r="D238" s="170" t="n"/>
      <c r="E238" s="106" t="n"/>
      <c r="F238" s="105" t="n"/>
      <c r="G238" s="171">
        <f>IF(J238="","",HYPERLINK("#Transaksi!B"&amp;J238,"Kas"))</f>
        <v/>
      </c>
      <c r="H238" s="172" t="n"/>
      <c r="I238" s="172" t="n"/>
      <c r="J238" s="119" t="n"/>
    </row>
    <row r="239">
      <c r="A239" s="119" t="n"/>
      <c r="B239" s="105" t="n"/>
      <c r="C239" s="105" t="n"/>
      <c r="D239" s="170" t="n"/>
      <c r="E239" s="106" t="n"/>
      <c r="F239" s="105" t="n"/>
      <c r="G239" s="171">
        <f>IF(J239="","",HYPERLINK("#Transaksi!B"&amp;J239,"Kas"))</f>
        <v/>
      </c>
      <c r="H239" s="172" t="n"/>
      <c r="I239" s="172" t="n"/>
      <c r="J239" s="119" t="n"/>
    </row>
    <row r="240">
      <c r="A240" s="119" t="n"/>
      <c r="B240" s="105" t="n"/>
      <c r="C240" s="105" t="n"/>
      <c r="D240" s="170" t="n"/>
      <c r="E240" s="106" t="n"/>
      <c r="F240" s="105" t="n"/>
      <c r="G240" s="171">
        <f>IF(J240="","",HYPERLINK("#Transaksi!B"&amp;J240,"Kas"))</f>
        <v/>
      </c>
      <c r="H240" s="172" t="n"/>
      <c r="I240" s="172" t="n"/>
      <c r="J240" s="119" t="n"/>
    </row>
    <row r="241">
      <c r="A241" s="119" t="n"/>
      <c r="B241" s="105" t="n"/>
      <c r="C241" s="105" t="n"/>
      <c r="D241" s="170" t="n"/>
      <c r="E241" s="106" t="n"/>
      <c r="F241" s="105" t="n"/>
      <c r="G241" s="171">
        <f>IF(J241="","",HYPERLINK("#Transaksi!B"&amp;J241,"Kas"))</f>
        <v/>
      </c>
      <c r="H241" s="172" t="n"/>
      <c r="I241" s="172" t="n"/>
      <c r="J241" s="119" t="n"/>
    </row>
    <row r="242">
      <c r="A242" s="119" t="n"/>
      <c r="B242" s="105" t="n"/>
      <c r="C242" s="105" t="n"/>
      <c r="D242" s="170" t="n"/>
      <c r="E242" s="106" t="n"/>
      <c r="F242" s="105" t="n"/>
      <c r="G242" s="171">
        <f>IF(J242="","",HYPERLINK("#Transaksi!B"&amp;J242,"Kas"))</f>
        <v/>
      </c>
      <c r="H242" s="172" t="n"/>
      <c r="I242" s="172" t="n"/>
      <c r="J242" s="119" t="n"/>
    </row>
    <row r="243">
      <c r="A243" s="119" t="n"/>
      <c r="B243" s="105" t="n"/>
      <c r="C243" s="105" t="n"/>
      <c r="D243" s="170" t="n"/>
      <c r="E243" s="106" t="n"/>
      <c r="F243" s="105" t="n"/>
      <c r="G243" s="171">
        <f>IF(J243="","",HYPERLINK("#Transaksi!B"&amp;J243,"Kas"))</f>
        <v/>
      </c>
      <c r="H243" s="172" t="n"/>
      <c r="I243" s="172" t="n"/>
      <c r="J243" s="119" t="n"/>
    </row>
    <row r="244">
      <c r="A244" s="119" t="n"/>
      <c r="B244" s="105" t="n"/>
      <c r="C244" s="105" t="n"/>
      <c r="D244" s="170" t="n"/>
      <c r="E244" s="106" t="n"/>
      <c r="F244" s="105" t="n"/>
      <c r="G244" s="171">
        <f>IF(J244="","",HYPERLINK("#Transaksi!B"&amp;J244,"Kas"))</f>
        <v/>
      </c>
      <c r="H244" s="172" t="n"/>
      <c r="I244" s="172" t="n"/>
      <c r="J244" s="119" t="n"/>
    </row>
    <row r="245">
      <c r="A245" s="119" t="n"/>
      <c r="B245" s="105" t="n"/>
      <c r="C245" s="105" t="n"/>
      <c r="D245" s="170" t="n"/>
      <c r="E245" s="106" t="n"/>
      <c r="F245" s="105" t="n"/>
      <c r="G245" s="171">
        <f>IF(J245="","",HYPERLINK("#Transaksi!B"&amp;J245,"Kas"))</f>
        <v/>
      </c>
      <c r="H245" s="172" t="n"/>
      <c r="I245" s="172" t="n"/>
      <c r="J245" s="119" t="n"/>
    </row>
    <row r="246">
      <c r="A246" s="119" t="n"/>
      <c r="B246" s="105" t="n"/>
      <c r="C246" s="105" t="n"/>
      <c r="D246" s="170" t="n"/>
      <c r="E246" s="106" t="n"/>
      <c r="F246" s="105" t="n"/>
      <c r="G246" s="171">
        <f>IF(J246="","",HYPERLINK("#Transaksi!B"&amp;J246,"Kas"))</f>
        <v/>
      </c>
      <c r="H246" s="172" t="n"/>
      <c r="I246" s="172" t="n"/>
      <c r="J246" s="119" t="n"/>
    </row>
    <row r="247">
      <c r="A247" s="119" t="n"/>
      <c r="B247" s="105" t="n"/>
      <c r="C247" s="105" t="n"/>
      <c r="D247" s="170" t="n"/>
      <c r="E247" s="106" t="n"/>
      <c r="F247" s="105" t="n"/>
      <c r="G247" s="171">
        <f>IF(J247="","",HYPERLINK("#Transaksi!B"&amp;J247,"Kas"))</f>
        <v/>
      </c>
      <c r="H247" s="172" t="n"/>
      <c r="I247" s="172" t="n"/>
      <c r="J247" s="119" t="n"/>
    </row>
    <row r="248">
      <c r="A248" s="119" t="n"/>
      <c r="B248" s="105" t="n"/>
      <c r="C248" s="105" t="n"/>
      <c r="D248" s="170" t="n"/>
      <c r="E248" s="106" t="n"/>
      <c r="F248" s="105" t="n"/>
      <c r="G248" s="171">
        <f>IF(J248="","",HYPERLINK("#Transaksi!B"&amp;J248,"Kas"))</f>
        <v/>
      </c>
      <c r="H248" s="172" t="n"/>
      <c r="I248" s="172" t="n"/>
      <c r="J248" s="119" t="n"/>
    </row>
    <row r="249">
      <c r="A249" s="119" t="n"/>
      <c r="B249" s="105" t="n"/>
      <c r="C249" s="105" t="n"/>
      <c r="D249" s="170" t="n"/>
      <c r="E249" s="106" t="n"/>
      <c r="F249" s="105" t="n"/>
      <c r="G249" s="171">
        <f>IF(J249="","",HYPERLINK("#Transaksi!B"&amp;J249,"Kas"))</f>
        <v/>
      </c>
      <c r="H249" s="172" t="n"/>
      <c r="I249" s="172" t="n"/>
      <c r="J249" s="119" t="n"/>
    </row>
    <row r="250">
      <c r="A250" s="119" t="n"/>
      <c r="B250" s="105" t="n"/>
      <c r="C250" s="105" t="n"/>
      <c r="D250" s="170" t="n"/>
      <c r="E250" s="106" t="n"/>
      <c r="F250" s="105" t="n"/>
      <c r="G250" s="171">
        <f>IF(J250="","",HYPERLINK("#Transaksi!B"&amp;J250,"Kas"))</f>
        <v/>
      </c>
      <c r="H250" s="172" t="n"/>
      <c r="I250" s="172" t="n"/>
      <c r="J250" s="119" t="n"/>
    </row>
    <row r="251">
      <c r="A251" s="119" t="n"/>
      <c r="B251" s="105" t="n"/>
      <c r="C251" s="105" t="n"/>
      <c r="D251" s="170" t="n"/>
      <c r="E251" s="106" t="n"/>
      <c r="F251" s="105" t="n"/>
      <c r="G251" s="171">
        <f>IF(J251="","",HYPERLINK("#Transaksi!B"&amp;J251,"Kas"))</f>
        <v/>
      </c>
      <c r="H251" s="172" t="n"/>
      <c r="I251" s="172" t="n"/>
      <c r="J251" s="119" t="n"/>
    </row>
    <row r="252">
      <c r="A252" s="119" t="n"/>
      <c r="B252" s="105" t="n"/>
      <c r="C252" s="105" t="n"/>
      <c r="D252" s="170" t="n"/>
      <c r="E252" s="106" t="n"/>
      <c r="F252" s="105" t="n"/>
      <c r="G252" s="171">
        <f>IF(J252="","",HYPERLINK("#Transaksi!B"&amp;J252,"Kas"))</f>
        <v/>
      </c>
      <c r="H252" s="172" t="n"/>
      <c r="I252" s="172" t="n"/>
      <c r="J252" s="119" t="n"/>
    </row>
    <row r="253">
      <c r="A253" s="119" t="n"/>
      <c r="B253" s="105" t="n"/>
      <c r="C253" s="105" t="n"/>
      <c r="D253" s="170" t="n"/>
      <c r="E253" s="106" t="n"/>
      <c r="F253" s="105" t="n"/>
      <c r="G253" s="171">
        <f>IF(J253="","",HYPERLINK("#Transaksi!B"&amp;J253,"Kas"))</f>
        <v/>
      </c>
      <c r="H253" s="172" t="n"/>
      <c r="I253" s="172" t="n"/>
      <c r="J253" s="119" t="n"/>
    </row>
    <row r="254">
      <c r="A254" s="119" t="n"/>
      <c r="B254" s="105" t="n"/>
      <c r="C254" s="105" t="n"/>
      <c r="D254" s="170" t="n"/>
      <c r="E254" s="106" t="n"/>
      <c r="F254" s="105" t="n"/>
      <c r="G254" s="171">
        <f>IF(J254="","",HYPERLINK("#Transaksi!B"&amp;J254,"Kas"))</f>
        <v/>
      </c>
      <c r="H254" s="172" t="n"/>
      <c r="I254" s="172" t="n"/>
      <c r="J254" s="119" t="n"/>
    </row>
    <row r="255">
      <c r="A255" s="119" t="n"/>
      <c r="B255" s="105" t="n"/>
      <c r="C255" s="105" t="n"/>
      <c r="D255" s="170" t="n"/>
      <c r="E255" s="106" t="n"/>
      <c r="F255" s="105" t="n"/>
      <c r="G255" s="171">
        <f>IF(J255="","",HYPERLINK("#Transaksi!B"&amp;J255,"Kas"))</f>
        <v/>
      </c>
      <c r="H255" s="172" t="n"/>
      <c r="I255" s="172" t="n"/>
      <c r="J255" s="119" t="n"/>
    </row>
    <row r="256">
      <c r="A256" s="119" t="n"/>
      <c r="B256" s="105" t="n"/>
      <c r="C256" s="105" t="n"/>
      <c r="D256" s="170" t="n"/>
      <c r="E256" s="106" t="n"/>
      <c r="F256" s="105" t="n"/>
      <c r="G256" s="171">
        <f>IF(J256="","",HYPERLINK("#Transaksi!B"&amp;J256,"Kas"))</f>
        <v/>
      </c>
      <c r="H256" s="172" t="n"/>
      <c r="I256" s="172" t="n"/>
      <c r="J256" s="119" t="n"/>
    </row>
    <row r="257">
      <c r="A257" s="119" t="n"/>
      <c r="B257" s="105" t="n"/>
      <c r="C257" s="105" t="n"/>
      <c r="D257" s="170" t="n"/>
      <c r="E257" s="106" t="n"/>
      <c r="F257" s="105" t="n"/>
      <c r="G257" s="171">
        <f>IF(J257="","",HYPERLINK("#Transaksi!B"&amp;J257,"Kas"))</f>
        <v/>
      </c>
      <c r="H257" s="172" t="n"/>
      <c r="I257" s="172" t="n"/>
      <c r="J257" s="119" t="n"/>
    </row>
    <row r="258">
      <c r="A258" s="119" t="n"/>
      <c r="B258" s="105" t="n"/>
      <c r="C258" s="105" t="n"/>
      <c r="D258" s="170" t="n"/>
      <c r="E258" s="106" t="n"/>
      <c r="F258" s="105" t="n"/>
      <c r="G258" s="171">
        <f>IF(J258="","",HYPERLINK("#Transaksi!B"&amp;J258,"Kas"))</f>
        <v/>
      </c>
      <c r="H258" s="172" t="n"/>
      <c r="I258" s="172" t="n"/>
      <c r="J258" s="119" t="n"/>
    </row>
    <row r="259">
      <c r="A259" s="119" t="n"/>
      <c r="B259" s="105" t="n"/>
      <c r="C259" s="105" t="n"/>
      <c r="D259" s="170" t="n"/>
      <c r="E259" s="106" t="n"/>
      <c r="F259" s="105" t="n"/>
      <c r="G259" s="171">
        <f>IF(J259="","",HYPERLINK("#Transaksi!B"&amp;J259,"Kas"))</f>
        <v/>
      </c>
      <c r="H259" s="172" t="n"/>
      <c r="I259" s="172" t="n"/>
      <c r="J259" s="119" t="n"/>
    </row>
    <row r="260">
      <c r="A260" s="119" t="n"/>
      <c r="B260" s="105" t="n"/>
      <c r="C260" s="105" t="n"/>
      <c r="D260" s="170" t="n"/>
      <c r="E260" s="106" t="n"/>
      <c r="F260" s="105" t="n"/>
      <c r="G260" s="171">
        <f>IF(J260="","",HYPERLINK("#Transaksi!B"&amp;J260,"Kas"))</f>
        <v/>
      </c>
      <c r="H260" s="172" t="n"/>
      <c r="I260" s="172" t="n"/>
      <c r="J260" s="119" t="n"/>
    </row>
    <row r="261">
      <c r="A261" s="119" t="n"/>
      <c r="B261" s="105" t="n"/>
      <c r="C261" s="105" t="n"/>
      <c r="D261" s="170" t="n"/>
      <c r="E261" s="106" t="n"/>
      <c r="F261" s="105" t="n"/>
      <c r="G261" s="171">
        <f>IF(J261="","",HYPERLINK("#Transaksi!B"&amp;J261,"Kas"))</f>
        <v/>
      </c>
      <c r="H261" s="172" t="n"/>
      <c r="I261" s="172" t="n"/>
      <c r="J261" s="119" t="n"/>
    </row>
    <row r="262">
      <c r="A262" s="119" t="n"/>
      <c r="B262" s="105" t="n"/>
      <c r="C262" s="105" t="n"/>
      <c r="D262" s="170" t="n"/>
      <c r="E262" s="106" t="n"/>
      <c r="F262" s="105" t="n"/>
      <c r="G262" s="171">
        <f>IF(J262="","",HYPERLINK("#Transaksi!B"&amp;J262,"Kas"))</f>
        <v/>
      </c>
      <c r="H262" s="172" t="n"/>
      <c r="I262" s="172" t="n"/>
      <c r="J262" s="119" t="n"/>
    </row>
    <row r="263">
      <c r="A263" s="119" t="n"/>
      <c r="B263" s="105" t="n"/>
      <c r="C263" s="105" t="n"/>
      <c r="D263" s="170" t="n"/>
      <c r="E263" s="106" t="n"/>
      <c r="F263" s="105" t="n"/>
      <c r="G263" s="171">
        <f>IF(J263="","",HYPERLINK("#Transaksi!B"&amp;J263,"Kas"))</f>
        <v/>
      </c>
      <c r="H263" s="172" t="n"/>
      <c r="I263" s="172" t="n"/>
      <c r="J263" s="119" t="n"/>
    </row>
    <row r="264">
      <c r="A264" s="119" t="n"/>
      <c r="B264" s="105" t="n"/>
      <c r="C264" s="105" t="n"/>
      <c r="D264" s="170" t="n"/>
      <c r="E264" s="106" t="n"/>
      <c r="F264" s="105" t="n"/>
      <c r="G264" s="171">
        <f>IF(J264="","",HYPERLINK("#Transaksi!B"&amp;J264,"Kas"))</f>
        <v/>
      </c>
      <c r="H264" s="172" t="n"/>
      <c r="I264" s="172" t="n"/>
      <c r="J264" s="119" t="n"/>
    </row>
    <row r="265">
      <c r="A265" s="119" t="n"/>
      <c r="B265" s="105" t="n"/>
      <c r="C265" s="105" t="n"/>
      <c r="D265" s="170" t="n"/>
      <c r="E265" s="106" t="n"/>
      <c r="F265" s="105" t="n"/>
      <c r="G265" s="171">
        <f>IF(J265="","",HYPERLINK("#Transaksi!B"&amp;J265,"Kas"))</f>
        <v/>
      </c>
      <c r="H265" s="172" t="n"/>
      <c r="I265" s="172" t="n"/>
      <c r="J265" s="119" t="n"/>
    </row>
    <row r="266">
      <c r="A266" s="119" t="n"/>
      <c r="B266" s="105" t="n"/>
      <c r="C266" s="105" t="n"/>
      <c r="D266" s="170" t="n"/>
      <c r="E266" s="106" t="n"/>
      <c r="F266" s="105" t="n"/>
      <c r="G266" s="171">
        <f>IF(J266="","",HYPERLINK("#Transaksi!B"&amp;J266,"Kas"))</f>
        <v/>
      </c>
      <c r="H266" s="172" t="n"/>
      <c r="I266" s="172" t="n"/>
      <c r="J266" s="119" t="n"/>
    </row>
    <row r="267">
      <c r="A267" s="119" t="n"/>
      <c r="B267" s="105" t="n"/>
      <c r="C267" s="105" t="n"/>
      <c r="D267" s="170" t="n"/>
      <c r="E267" s="106" t="n"/>
      <c r="F267" s="105" t="n"/>
      <c r="G267" s="171">
        <f>IF(J267="","",HYPERLINK("#Transaksi!B"&amp;J267,"Kas"))</f>
        <v/>
      </c>
      <c r="H267" s="172" t="n"/>
      <c r="I267" s="172" t="n"/>
      <c r="J267" s="119" t="n"/>
    </row>
    <row r="268">
      <c r="A268" s="119" t="n"/>
      <c r="B268" s="105" t="n"/>
      <c r="C268" s="105" t="n"/>
      <c r="D268" s="170" t="n"/>
      <c r="E268" s="106" t="n"/>
      <c r="F268" s="105" t="n"/>
      <c r="G268" s="171">
        <f>IF(J268="","",HYPERLINK("#Transaksi!B"&amp;J268,"Kas"))</f>
        <v/>
      </c>
      <c r="H268" s="172" t="n"/>
      <c r="I268" s="172" t="n"/>
      <c r="J268" s="119" t="n"/>
    </row>
    <row r="269">
      <c r="A269" s="119" t="n"/>
      <c r="B269" s="105" t="n"/>
      <c r="C269" s="105" t="n"/>
      <c r="D269" s="170" t="n"/>
      <c r="E269" s="106" t="n"/>
      <c r="F269" s="105" t="n"/>
      <c r="G269" s="171">
        <f>IF(J269="","",HYPERLINK("#Transaksi!B"&amp;J269,"Kas"))</f>
        <v/>
      </c>
      <c r="H269" s="172" t="n"/>
      <c r="I269" s="172" t="n"/>
      <c r="J269" s="119" t="n"/>
    </row>
    <row r="270">
      <c r="A270" s="119" t="n"/>
      <c r="B270" s="105" t="n"/>
      <c r="C270" s="105" t="n"/>
      <c r="D270" s="170" t="n"/>
      <c r="E270" s="106" t="n"/>
      <c r="F270" s="105" t="n"/>
      <c r="G270" s="171">
        <f>IF(J270="","",HYPERLINK("#Transaksi!B"&amp;J270,"Kas"))</f>
        <v/>
      </c>
      <c r="H270" s="172" t="n"/>
      <c r="I270" s="172" t="n"/>
      <c r="J270" s="119" t="n"/>
    </row>
    <row r="271">
      <c r="A271" s="119" t="n"/>
      <c r="B271" s="105" t="n"/>
      <c r="C271" s="105" t="n"/>
      <c r="D271" s="170" t="n"/>
      <c r="E271" s="106" t="n"/>
      <c r="F271" s="105" t="n"/>
      <c r="G271" s="171">
        <f>IF(J271="","",HYPERLINK("#Transaksi!B"&amp;J271,"Kas"))</f>
        <v/>
      </c>
      <c r="H271" s="172" t="n"/>
      <c r="I271" s="172" t="n"/>
      <c r="J271" s="119" t="n"/>
    </row>
    <row r="272">
      <c r="A272" s="119" t="n"/>
      <c r="B272" s="105" t="n"/>
      <c r="C272" s="105" t="n"/>
      <c r="D272" s="170" t="n"/>
      <c r="E272" s="106" t="n"/>
      <c r="F272" s="105" t="n"/>
      <c r="G272" s="171">
        <f>IF(J272="","",HYPERLINK("#Transaksi!B"&amp;J272,"Kas"))</f>
        <v/>
      </c>
      <c r="H272" s="172" t="n"/>
      <c r="I272" s="172" t="n"/>
      <c r="J272" s="119" t="n"/>
    </row>
    <row r="273">
      <c r="A273" s="119" t="n"/>
      <c r="B273" s="105" t="n"/>
      <c r="C273" s="105" t="n"/>
      <c r="D273" s="170" t="n"/>
      <c r="E273" s="106" t="n"/>
      <c r="F273" s="105" t="n"/>
      <c r="G273" s="171">
        <f>IF(J273="","",HYPERLINK("#Transaksi!B"&amp;J273,"Kas"))</f>
        <v/>
      </c>
      <c r="H273" s="172" t="n"/>
      <c r="I273" s="172" t="n"/>
      <c r="J273" s="119" t="n"/>
    </row>
    <row r="274">
      <c r="A274" s="119" t="n"/>
      <c r="B274" s="105" t="n"/>
      <c r="C274" s="105" t="n"/>
      <c r="D274" s="170" t="n"/>
      <c r="E274" s="106" t="n"/>
      <c r="F274" s="105" t="n"/>
      <c r="G274" s="171">
        <f>IF(J274="","",HYPERLINK("#Transaksi!B"&amp;J274,"Kas"))</f>
        <v/>
      </c>
      <c r="H274" s="172" t="n"/>
      <c r="I274" s="172" t="n"/>
      <c r="J274" s="119" t="n"/>
    </row>
    <row r="275">
      <c r="A275" s="119" t="n"/>
      <c r="B275" s="105" t="n"/>
      <c r="C275" s="105" t="n"/>
      <c r="D275" s="170" t="n"/>
      <c r="E275" s="106" t="n"/>
      <c r="F275" s="105" t="n"/>
      <c r="G275" s="171">
        <f>IF(J275="","",HYPERLINK("#Transaksi!B"&amp;J275,"Kas"))</f>
        <v/>
      </c>
      <c r="H275" s="172" t="n"/>
      <c r="I275" s="172" t="n"/>
      <c r="J275" s="119" t="n"/>
    </row>
    <row r="276">
      <c r="A276" s="119" t="n"/>
      <c r="B276" s="105" t="n"/>
      <c r="C276" s="105" t="n"/>
      <c r="D276" s="170" t="n"/>
      <c r="E276" s="106" t="n"/>
      <c r="F276" s="105" t="n"/>
      <c r="G276" s="171">
        <f>IF(J276="","",HYPERLINK("#Transaksi!B"&amp;J276,"Kas"))</f>
        <v/>
      </c>
      <c r="H276" s="172" t="n"/>
      <c r="I276" s="172" t="n"/>
      <c r="J276" s="119" t="n"/>
    </row>
    <row r="277">
      <c r="A277" s="119" t="n"/>
      <c r="B277" s="105" t="n"/>
      <c r="C277" s="105" t="n"/>
      <c r="D277" s="170" t="n"/>
      <c r="E277" s="106" t="n"/>
      <c r="F277" s="105" t="n"/>
      <c r="G277" s="171">
        <f>IF(J277="","",HYPERLINK("#Transaksi!B"&amp;J277,"Kas"))</f>
        <v/>
      </c>
      <c r="H277" s="172" t="n"/>
      <c r="I277" s="172" t="n"/>
      <c r="J277" s="119" t="n"/>
    </row>
    <row r="278">
      <c r="A278" s="119" t="n"/>
      <c r="B278" s="105" t="n"/>
      <c r="C278" s="105" t="n"/>
      <c r="D278" s="170" t="n"/>
      <c r="E278" s="106" t="n"/>
      <c r="F278" s="105" t="n"/>
      <c r="G278" s="171">
        <f>IF(J278="","",HYPERLINK("#Transaksi!B"&amp;J278,"Kas"))</f>
        <v/>
      </c>
      <c r="H278" s="172" t="n"/>
      <c r="I278" s="172" t="n"/>
      <c r="J278" s="119" t="n"/>
    </row>
    <row r="279">
      <c r="A279" s="119" t="n"/>
      <c r="B279" s="105" t="n"/>
      <c r="C279" s="105" t="n"/>
      <c r="D279" s="170" t="n"/>
      <c r="E279" s="106" t="n"/>
      <c r="F279" s="105" t="n"/>
      <c r="G279" s="171">
        <f>IF(J279="","",HYPERLINK("#Transaksi!B"&amp;J279,"Kas"))</f>
        <v/>
      </c>
      <c r="H279" s="172" t="n"/>
      <c r="I279" s="172" t="n"/>
      <c r="J279" s="119" t="n"/>
    </row>
    <row r="280">
      <c r="A280" s="119" t="n"/>
      <c r="B280" s="105" t="n"/>
      <c r="C280" s="105" t="n"/>
      <c r="D280" s="170" t="n"/>
      <c r="E280" s="106" t="n"/>
      <c r="F280" s="105" t="n"/>
      <c r="G280" s="171">
        <f>IF(J280="","",HYPERLINK("#Transaksi!B"&amp;J280,"Kas"))</f>
        <v/>
      </c>
      <c r="H280" s="172" t="n"/>
      <c r="I280" s="172" t="n"/>
      <c r="J280" s="119" t="n"/>
    </row>
    <row r="281">
      <c r="A281" s="119" t="n"/>
      <c r="B281" s="105" t="n"/>
      <c r="C281" s="105" t="n"/>
      <c r="D281" s="170" t="n"/>
      <c r="E281" s="106" t="n"/>
      <c r="F281" s="105" t="n"/>
      <c r="G281" s="171">
        <f>IF(J281="","",HYPERLINK("#Transaksi!B"&amp;J281,"Kas"))</f>
        <v/>
      </c>
      <c r="H281" s="172" t="n"/>
      <c r="I281" s="172" t="n"/>
      <c r="J281" s="119" t="n"/>
    </row>
    <row r="282">
      <c r="A282" s="119" t="n"/>
      <c r="B282" s="105" t="n"/>
      <c r="C282" s="105" t="n"/>
      <c r="D282" s="170" t="n"/>
      <c r="E282" s="106" t="n"/>
      <c r="F282" s="105" t="n"/>
      <c r="G282" s="171">
        <f>IF(J282="","",HYPERLINK("#Transaksi!B"&amp;J282,"Kas"))</f>
        <v/>
      </c>
      <c r="H282" s="172" t="n"/>
      <c r="I282" s="172" t="n"/>
      <c r="J282" s="119" t="n"/>
    </row>
    <row r="283">
      <c r="A283" s="119" t="n"/>
      <c r="B283" s="105" t="n"/>
      <c r="C283" s="105" t="n"/>
      <c r="D283" s="170" t="n"/>
      <c r="E283" s="106" t="n"/>
      <c r="F283" s="105" t="n"/>
      <c r="G283" s="171">
        <f>IF(J283="","",HYPERLINK("#Transaksi!B"&amp;J283,"Kas"))</f>
        <v/>
      </c>
      <c r="H283" s="172" t="n"/>
      <c r="I283" s="172" t="n"/>
      <c r="J283" s="119" t="n"/>
    </row>
    <row r="284">
      <c r="A284" s="119" t="n"/>
      <c r="B284" s="105" t="n"/>
      <c r="C284" s="105" t="n"/>
      <c r="D284" s="170" t="n"/>
      <c r="E284" s="106" t="n"/>
      <c r="F284" s="105" t="n"/>
      <c r="G284" s="171">
        <f>IF(J284="","",HYPERLINK("#Transaksi!B"&amp;J284,"Kas"))</f>
        <v/>
      </c>
      <c r="H284" s="172" t="n"/>
      <c r="I284" s="172" t="n"/>
      <c r="J284" s="119" t="n"/>
    </row>
    <row r="285">
      <c r="A285" s="119" t="n"/>
      <c r="B285" s="105" t="n"/>
      <c r="C285" s="105" t="n"/>
      <c r="D285" s="170" t="n"/>
      <c r="E285" s="106" t="n"/>
      <c r="F285" s="105" t="n"/>
      <c r="G285" s="171">
        <f>IF(J285="","",HYPERLINK("#Transaksi!B"&amp;J285,"Kas"))</f>
        <v/>
      </c>
      <c r="H285" s="172" t="n"/>
      <c r="I285" s="172" t="n"/>
      <c r="J285" s="119" t="n"/>
    </row>
    <row r="286">
      <c r="A286" s="119" t="n"/>
      <c r="B286" s="105" t="n"/>
      <c r="C286" s="105" t="n"/>
      <c r="D286" s="170" t="n"/>
      <c r="E286" s="106" t="n"/>
      <c r="F286" s="105" t="n"/>
      <c r="G286" s="171">
        <f>IF(J286="","",HYPERLINK("#Transaksi!B"&amp;J286,"Kas"))</f>
        <v/>
      </c>
      <c r="H286" s="172" t="n"/>
      <c r="I286" s="172" t="n"/>
      <c r="J286" s="119" t="n"/>
    </row>
    <row r="287">
      <c r="A287" s="119" t="n"/>
      <c r="B287" s="105" t="n"/>
      <c r="C287" s="105" t="n"/>
      <c r="D287" s="170" t="n"/>
      <c r="E287" s="106" t="n"/>
      <c r="F287" s="105" t="n"/>
      <c r="G287" s="171">
        <f>IF(J287="","",HYPERLINK("#Transaksi!B"&amp;J287,"Kas"))</f>
        <v/>
      </c>
      <c r="H287" s="172" t="n"/>
      <c r="I287" s="172" t="n"/>
      <c r="J287" s="119" t="n"/>
    </row>
    <row r="288">
      <c r="A288" s="119" t="n"/>
      <c r="B288" s="105" t="n"/>
      <c r="C288" s="105" t="n"/>
      <c r="D288" s="170" t="n"/>
      <c r="E288" s="106" t="n"/>
      <c r="F288" s="105" t="n"/>
      <c r="G288" s="171">
        <f>IF(J288="","",HYPERLINK("#Transaksi!B"&amp;J288,"Kas"))</f>
        <v/>
      </c>
      <c r="H288" s="172" t="n"/>
      <c r="I288" s="172" t="n"/>
      <c r="J288" s="119" t="n"/>
    </row>
    <row r="289">
      <c r="A289" s="119" t="n"/>
      <c r="B289" s="105" t="n"/>
      <c r="C289" s="105" t="n"/>
      <c r="D289" s="170" t="n"/>
      <c r="E289" s="106" t="n"/>
      <c r="F289" s="105" t="n"/>
      <c r="G289" s="171">
        <f>IF(J289="","",HYPERLINK("#Transaksi!B"&amp;J289,"Kas"))</f>
        <v/>
      </c>
      <c r="H289" s="172" t="n"/>
      <c r="I289" s="172" t="n"/>
      <c r="J289" s="119" t="n"/>
    </row>
    <row r="290">
      <c r="A290" s="119" t="n"/>
      <c r="B290" s="105" t="n"/>
      <c r="C290" s="105" t="n"/>
      <c r="D290" s="170" t="n"/>
      <c r="E290" s="106" t="n"/>
      <c r="F290" s="105" t="n"/>
      <c r="G290" s="171">
        <f>IF(J290="","",HYPERLINK("#Transaksi!B"&amp;J290,"Kas"))</f>
        <v/>
      </c>
      <c r="H290" s="172" t="n"/>
      <c r="I290" s="172" t="n"/>
      <c r="J290" s="119" t="n"/>
    </row>
    <row r="291">
      <c r="A291" s="119" t="n"/>
      <c r="B291" s="105" t="n"/>
      <c r="C291" s="105" t="n"/>
      <c r="D291" s="170" t="n"/>
      <c r="E291" s="106" t="n"/>
      <c r="F291" s="105" t="n"/>
      <c r="G291" s="171">
        <f>IF(J291="","",HYPERLINK("#Transaksi!B"&amp;J291,"Kas"))</f>
        <v/>
      </c>
      <c r="H291" s="172" t="n"/>
      <c r="I291" s="172" t="n"/>
      <c r="J291" s="119" t="n"/>
    </row>
    <row r="292">
      <c r="A292" s="119" t="n"/>
      <c r="B292" s="105" t="n"/>
      <c r="C292" s="105" t="n"/>
      <c r="D292" s="170" t="n"/>
      <c r="E292" s="106" t="n"/>
      <c r="F292" s="105" t="n"/>
      <c r="G292" s="171">
        <f>IF(J292="","",HYPERLINK("#Transaksi!B"&amp;J292,"Kas"))</f>
        <v/>
      </c>
      <c r="H292" s="172" t="n"/>
      <c r="I292" s="172" t="n"/>
      <c r="J292" s="119" t="n"/>
    </row>
    <row r="293">
      <c r="A293" s="119" t="n"/>
      <c r="B293" s="105" t="n"/>
      <c r="C293" s="105" t="n"/>
      <c r="D293" s="170" t="n"/>
      <c r="E293" s="106" t="n"/>
      <c r="F293" s="105" t="n"/>
      <c r="G293" s="171">
        <f>IF(J293="","",HYPERLINK("#Transaksi!B"&amp;J293,"Kas"))</f>
        <v/>
      </c>
      <c r="H293" s="172" t="n"/>
      <c r="I293" s="172" t="n"/>
      <c r="J293" s="119" t="n"/>
    </row>
    <row r="294">
      <c r="A294" s="119" t="n"/>
      <c r="B294" s="105" t="n"/>
      <c r="C294" s="105" t="n"/>
      <c r="D294" s="170" t="n"/>
      <c r="E294" s="106" t="n"/>
      <c r="F294" s="105" t="n"/>
      <c r="G294" s="171">
        <f>IF(J294="","",HYPERLINK("#Transaksi!B"&amp;J294,"Kas"))</f>
        <v/>
      </c>
      <c r="H294" s="172" t="n"/>
      <c r="I294" s="172" t="n"/>
      <c r="J294" s="119" t="n"/>
    </row>
    <row r="295">
      <c r="A295" s="119" t="n"/>
      <c r="B295" s="105" t="n"/>
      <c r="C295" s="105" t="n"/>
      <c r="D295" s="170" t="n"/>
      <c r="E295" s="106" t="n"/>
      <c r="F295" s="105" t="n"/>
      <c r="G295" s="171">
        <f>IF(J295="","",HYPERLINK("#Transaksi!B"&amp;J295,"Kas"))</f>
        <v/>
      </c>
      <c r="H295" s="172" t="n"/>
      <c r="I295" s="172" t="n"/>
      <c r="J295" s="119" t="n"/>
    </row>
    <row r="296">
      <c r="A296" s="119" t="n"/>
      <c r="B296" s="105" t="n"/>
      <c r="C296" s="105" t="n"/>
      <c r="D296" s="170" t="n"/>
      <c r="E296" s="106" t="n"/>
      <c r="F296" s="105" t="n"/>
      <c r="G296" s="171">
        <f>IF(J296="","",HYPERLINK("#Transaksi!B"&amp;J296,"Kas"))</f>
        <v/>
      </c>
      <c r="H296" s="172" t="n"/>
      <c r="I296" s="172" t="n"/>
      <c r="J296" s="119" t="n"/>
    </row>
    <row r="297">
      <c r="A297" s="119" t="n"/>
      <c r="B297" s="105" t="n"/>
      <c r="C297" s="105" t="n"/>
      <c r="D297" s="170" t="n"/>
      <c r="E297" s="106" t="n"/>
      <c r="F297" s="105" t="n"/>
      <c r="G297" s="171">
        <f>IF(J297="","",HYPERLINK("#Transaksi!B"&amp;J297,"Kas"))</f>
        <v/>
      </c>
      <c r="H297" s="172" t="n"/>
      <c r="I297" s="172" t="n"/>
      <c r="J297" s="119" t="n"/>
    </row>
    <row r="298">
      <c r="A298" s="119" t="n"/>
      <c r="B298" s="105" t="n"/>
      <c r="C298" s="105" t="n"/>
      <c r="D298" s="170" t="n"/>
      <c r="E298" s="106" t="n"/>
      <c r="F298" s="105" t="n"/>
      <c r="G298" s="171">
        <f>IF(J298="","",HYPERLINK("#Transaksi!B"&amp;J298,"Kas"))</f>
        <v/>
      </c>
      <c r="H298" s="172" t="n"/>
      <c r="I298" s="172" t="n"/>
      <c r="J298" s="119" t="n"/>
    </row>
    <row r="299">
      <c r="A299" s="119" t="n"/>
      <c r="B299" s="105" t="n"/>
      <c r="C299" s="105" t="n"/>
      <c r="D299" s="170" t="n"/>
      <c r="E299" s="106" t="n"/>
      <c r="F299" s="105" t="n"/>
      <c r="G299" s="171">
        <f>IF(J299="","",HYPERLINK("#Transaksi!B"&amp;J299,"Kas"))</f>
        <v/>
      </c>
      <c r="H299" s="172" t="n"/>
      <c r="I299" s="172" t="n"/>
      <c r="J299" s="119" t="n"/>
    </row>
    <row r="300">
      <c r="A300" s="119" t="n"/>
      <c r="B300" s="105" t="n"/>
      <c r="C300" s="105" t="n"/>
      <c r="D300" s="170" t="n"/>
      <c r="E300" s="106" t="n"/>
      <c r="F300" s="105" t="n"/>
      <c r="G300" s="171">
        <f>IF(J300="","",HYPERLINK("#Transaksi!B"&amp;J300,"Kas"))</f>
        <v/>
      </c>
      <c r="H300" s="172" t="n"/>
      <c r="I300" s="172" t="n"/>
      <c r="J300" s="119" t="n"/>
    </row>
    <row r="301">
      <c r="A301" s="119" t="n"/>
      <c r="B301" s="105" t="n"/>
      <c r="C301" s="105" t="n"/>
      <c r="D301" s="170" t="n"/>
      <c r="E301" s="106" t="n"/>
      <c r="F301" s="105" t="n"/>
      <c r="G301" s="171">
        <f>IF(J301="","",HYPERLINK("#Transaksi!B"&amp;J301,"Kas"))</f>
        <v/>
      </c>
      <c r="H301" s="172" t="n"/>
      <c r="I301" s="172" t="n"/>
      <c r="J301" s="119" t="n"/>
    </row>
    <row r="302">
      <c r="A302" s="119" t="n"/>
      <c r="B302" s="105" t="n"/>
      <c r="C302" s="105" t="n"/>
      <c r="D302" s="170" t="n"/>
      <c r="E302" s="106" t="n"/>
      <c r="F302" s="105" t="n"/>
      <c r="G302" s="171">
        <f>IF(J302="","",HYPERLINK("#Transaksi!B"&amp;J302,"Kas"))</f>
        <v/>
      </c>
      <c r="H302" s="172" t="n"/>
      <c r="I302" s="172" t="n"/>
      <c r="J302" s="119" t="n"/>
    </row>
    <row r="303">
      <c r="A303" s="119" t="n"/>
      <c r="B303" s="105" t="n"/>
      <c r="C303" s="105" t="n"/>
      <c r="D303" s="170" t="n"/>
      <c r="E303" s="106" t="n"/>
      <c r="F303" s="105" t="n"/>
      <c r="G303" s="171">
        <f>IF(J303="","",HYPERLINK("#Transaksi!B"&amp;J303,"Kas"))</f>
        <v/>
      </c>
      <c r="H303" s="172" t="n"/>
      <c r="I303" s="172" t="n"/>
      <c r="J303" s="119" t="n"/>
    </row>
    <row r="304">
      <c r="A304" s="119" t="n"/>
      <c r="B304" s="105" t="n"/>
      <c r="C304" s="105" t="n"/>
      <c r="D304" s="170" t="n"/>
      <c r="E304" s="106" t="n"/>
      <c r="F304" s="105" t="n"/>
      <c r="G304" s="171">
        <f>IF(J304="","",HYPERLINK("#Transaksi!B"&amp;J304,"Kas"))</f>
        <v/>
      </c>
      <c r="H304" s="172" t="n"/>
      <c r="I304" s="172" t="n"/>
      <c r="J304" s="119" t="n"/>
    </row>
    <row r="305">
      <c r="A305" s="119" t="n"/>
      <c r="B305" s="105" t="n"/>
      <c r="C305" s="105" t="n"/>
      <c r="D305" s="170" t="n"/>
      <c r="E305" s="106" t="n"/>
      <c r="F305" s="105" t="n"/>
      <c r="G305" s="171">
        <f>IF(J305="","",HYPERLINK("#Transaksi!B"&amp;J305,"Kas"))</f>
        <v/>
      </c>
      <c r="H305" s="172" t="n"/>
      <c r="I305" s="172" t="n"/>
      <c r="J305" s="119" t="n"/>
    </row>
    <row r="306">
      <c r="A306" s="119" t="n"/>
      <c r="B306" s="105" t="n"/>
      <c r="C306" s="105" t="n"/>
      <c r="D306" s="170" t="n"/>
      <c r="E306" s="106" t="n"/>
      <c r="F306" s="105" t="n"/>
      <c r="G306" s="171">
        <f>IF(J306="","",HYPERLINK("#Transaksi!B"&amp;J306,"Kas"))</f>
        <v/>
      </c>
      <c r="H306" s="172" t="n"/>
      <c r="I306" s="172" t="n"/>
      <c r="J306" s="119" t="n"/>
    </row>
    <row r="307">
      <c r="A307" s="119" t="n"/>
      <c r="B307" s="105" t="n"/>
      <c r="C307" s="105" t="n"/>
      <c r="D307" s="170" t="n"/>
      <c r="E307" s="106" t="n"/>
      <c r="F307" s="105" t="n"/>
      <c r="G307" s="171">
        <f>IF(J307="","",HYPERLINK("#Transaksi!B"&amp;J307,"Kas"))</f>
        <v/>
      </c>
      <c r="H307" s="172" t="n"/>
      <c r="I307" s="172" t="n"/>
      <c r="J307" s="119" t="n"/>
    </row>
    <row r="308">
      <c r="A308" s="119" t="n"/>
      <c r="B308" s="105" t="n"/>
      <c r="C308" s="105" t="n"/>
      <c r="D308" s="170" t="n"/>
      <c r="E308" s="106" t="n"/>
      <c r="F308" s="105" t="n"/>
      <c r="G308" s="171">
        <f>IF(J308="","",HYPERLINK("#Transaksi!B"&amp;J308,"Kas"))</f>
        <v/>
      </c>
      <c r="H308" s="172" t="n"/>
      <c r="I308" s="172" t="n"/>
      <c r="J308" s="119" t="n"/>
    </row>
    <row r="309">
      <c r="A309" s="119" t="n"/>
      <c r="B309" s="105" t="n"/>
      <c r="C309" s="105" t="n"/>
      <c r="D309" s="170" t="n"/>
      <c r="E309" s="106" t="n"/>
      <c r="F309" s="105" t="n"/>
      <c r="G309" s="171">
        <f>IF(J309="","",HYPERLINK("#Transaksi!B"&amp;J309,"Kas"))</f>
        <v/>
      </c>
      <c r="H309" s="172" t="n"/>
      <c r="I309" s="172" t="n"/>
      <c r="J309" s="119" t="n"/>
    </row>
    <row r="310">
      <c r="A310" s="119" t="n"/>
      <c r="B310" s="105" t="n"/>
      <c r="C310" s="105" t="n"/>
      <c r="D310" s="170" t="n"/>
      <c r="E310" s="106" t="n"/>
      <c r="F310" s="105" t="n"/>
      <c r="G310" s="171">
        <f>IF(J310="","",HYPERLINK("#Transaksi!B"&amp;J310,"Kas"))</f>
        <v/>
      </c>
      <c r="H310" s="172" t="n"/>
      <c r="I310" s="172" t="n"/>
      <c r="J310" s="119" t="n"/>
    </row>
    <row r="311">
      <c r="A311" s="119" t="n"/>
      <c r="B311" s="105" t="n"/>
      <c r="C311" s="105" t="n"/>
      <c r="D311" s="170" t="n"/>
      <c r="E311" s="106" t="n"/>
      <c r="F311" s="105" t="n"/>
      <c r="G311" s="171">
        <f>IF(J311="","",HYPERLINK("#Transaksi!B"&amp;J311,"Kas"))</f>
        <v/>
      </c>
      <c r="H311" s="172" t="n"/>
      <c r="I311" s="172" t="n"/>
      <c r="J311" s="119" t="n"/>
    </row>
    <row r="312">
      <c r="A312" s="119" t="n"/>
      <c r="B312" s="105" t="n"/>
      <c r="C312" s="105" t="n"/>
      <c r="D312" s="170" t="n"/>
      <c r="E312" s="106" t="n"/>
      <c r="F312" s="105" t="n"/>
      <c r="G312" s="171">
        <f>IF(J312="","",HYPERLINK("#Transaksi!B"&amp;J312,"Kas"))</f>
        <v/>
      </c>
      <c r="H312" s="172" t="n"/>
      <c r="I312" s="172" t="n"/>
      <c r="J312" s="119" t="n"/>
    </row>
    <row r="313">
      <c r="A313" s="119" t="n"/>
      <c r="B313" s="105" t="n"/>
      <c r="C313" s="105" t="n"/>
      <c r="D313" s="170" t="n"/>
      <c r="E313" s="106" t="n"/>
      <c r="F313" s="105" t="n"/>
      <c r="G313" s="171">
        <f>IF(J313="","",HYPERLINK("#Transaksi!B"&amp;J313,"Kas"))</f>
        <v/>
      </c>
      <c r="H313" s="172" t="n"/>
      <c r="I313" s="172" t="n"/>
      <c r="J313" s="119" t="n"/>
    </row>
    <row r="314">
      <c r="A314" s="119" t="n"/>
      <c r="B314" s="105" t="n"/>
      <c r="C314" s="105" t="n"/>
      <c r="D314" s="170" t="n"/>
      <c r="E314" s="106" t="n"/>
      <c r="F314" s="105" t="n"/>
      <c r="G314" s="171">
        <f>IF(J314="","",HYPERLINK("#Transaksi!B"&amp;J314,"Kas"))</f>
        <v/>
      </c>
      <c r="H314" s="172" t="n"/>
      <c r="I314" s="172" t="n"/>
      <c r="J314" s="119" t="n"/>
    </row>
    <row r="315">
      <c r="A315" s="119" t="n"/>
      <c r="B315" s="105" t="n"/>
      <c r="C315" s="105" t="n"/>
      <c r="D315" s="170" t="n"/>
      <c r="E315" s="106" t="n"/>
      <c r="F315" s="105" t="n"/>
      <c r="G315" s="171">
        <f>IF(J315="","",HYPERLINK("#Transaksi!B"&amp;J315,"Kas"))</f>
        <v/>
      </c>
      <c r="H315" s="172" t="n"/>
      <c r="I315" s="172" t="n"/>
      <c r="J315" s="119" t="n"/>
    </row>
    <row r="316">
      <c r="A316" s="119" t="n"/>
      <c r="B316" s="105" t="n"/>
      <c r="C316" s="105" t="n"/>
      <c r="D316" s="170" t="n"/>
      <c r="E316" s="106" t="n"/>
      <c r="F316" s="105" t="n"/>
      <c r="G316" s="171">
        <f>IF(J316="","",HYPERLINK("#Transaksi!B"&amp;J316,"Kas"))</f>
        <v/>
      </c>
      <c r="H316" s="172" t="n"/>
      <c r="I316" s="172" t="n"/>
      <c r="J316" s="119" t="n"/>
    </row>
    <row r="317">
      <c r="A317" s="119" t="n"/>
      <c r="B317" s="105" t="n"/>
      <c r="C317" s="105" t="n"/>
      <c r="D317" s="170" t="n"/>
      <c r="E317" s="106" t="n"/>
      <c r="F317" s="105" t="n"/>
      <c r="G317" s="171">
        <f>IF(J317="","",HYPERLINK("#Transaksi!B"&amp;J317,"Kas"))</f>
        <v/>
      </c>
      <c r="H317" s="172" t="n"/>
      <c r="I317" s="172" t="n"/>
      <c r="J317" s="119" t="n"/>
    </row>
    <row r="318">
      <c r="A318" s="119" t="n"/>
      <c r="B318" s="105" t="n"/>
      <c r="C318" s="105" t="n"/>
      <c r="D318" s="170" t="n"/>
      <c r="E318" s="106" t="n"/>
      <c r="F318" s="105" t="n"/>
      <c r="G318" s="171">
        <f>IF(J318="","",HYPERLINK("#Transaksi!B"&amp;J318,"Kas"))</f>
        <v/>
      </c>
      <c r="H318" s="172" t="n"/>
      <c r="I318" s="172" t="n"/>
      <c r="J318" s="119" t="n"/>
    </row>
    <row r="319">
      <c r="A319" s="119" t="n"/>
      <c r="B319" s="105" t="n"/>
      <c r="C319" s="105" t="n"/>
      <c r="D319" s="170" t="n"/>
      <c r="E319" s="106" t="n"/>
      <c r="F319" s="105" t="n"/>
      <c r="G319" s="171">
        <f>IF(J319="","",HYPERLINK("#Transaksi!B"&amp;J319,"Kas"))</f>
        <v/>
      </c>
      <c r="H319" s="172" t="n"/>
      <c r="I319" s="172" t="n"/>
      <c r="J319" s="119" t="n"/>
    </row>
    <row r="320">
      <c r="A320" s="119" t="n"/>
      <c r="B320" s="105" t="n"/>
      <c r="C320" s="105" t="n"/>
      <c r="D320" s="170" t="n"/>
      <c r="E320" s="106" t="n"/>
      <c r="F320" s="105" t="n"/>
      <c r="G320" s="171">
        <f>IF(J320="","",HYPERLINK("#Transaksi!B"&amp;J320,"Kas"))</f>
        <v/>
      </c>
      <c r="H320" s="172" t="n"/>
      <c r="I320" s="172" t="n"/>
      <c r="J320" s="119" t="n"/>
    </row>
    <row r="321">
      <c r="A321" s="119" t="n"/>
      <c r="B321" s="105" t="n"/>
      <c r="C321" s="105" t="n"/>
      <c r="D321" s="170" t="n"/>
      <c r="E321" s="106" t="n"/>
      <c r="F321" s="105" t="n"/>
      <c r="G321" s="171">
        <f>IF(J321="","",HYPERLINK("#Transaksi!B"&amp;J321,"Kas"))</f>
        <v/>
      </c>
      <c r="H321" s="172" t="n"/>
      <c r="I321" s="172" t="n"/>
      <c r="J321" s="119" t="n"/>
    </row>
    <row r="322">
      <c r="A322" s="119" t="n"/>
      <c r="B322" s="105" t="n"/>
      <c r="C322" s="105" t="n"/>
      <c r="D322" s="170" t="n"/>
      <c r="E322" s="106" t="n"/>
      <c r="F322" s="105" t="n"/>
      <c r="G322" s="171">
        <f>IF(J322="","",HYPERLINK("#Transaksi!B"&amp;J322,"Kas"))</f>
        <v/>
      </c>
      <c r="H322" s="172" t="n"/>
      <c r="I322" s="172" t="n"/>
      <c r="J322" s="119" t="n"/>
    </row>
    <row r="323">
      <c r="A323" s="119" t="n"/>
      <c r="B323" s="105" t="n"/>
      <c r="C323" s="105" t="n"/>
      <c r="D323" s="170" t="n"/>
      <c r="E323" s="106" t="n"/>
      <c r="F323" s="105" t="n"/>
      <c r="G323" s="171">
        <f>IF(J323="","",HYPERLINK("#Transaksi!B"&amp;J323,"Kas"))</f>
        <v/>
      </c>
      <c r="H323" s="172" t="n"/>
      <c r="I323" s="172" t="n"/>
      <c r="J323" s="119" t="n"/>
    </row>
    <row r="324">
      <c r="A324" s="119" t="n"/>
      <c r="B324" s="105" t="n"/>
      <c r="C324" s="105" t="n"/>
      <c r="D324" s="170" t="n"/>
      <c r="E324" s="106" t="n"/>
      <c r="F324" s="105" t="n"/>
      <c r="G324" s="171">
        <f>IF(J324="","",HYPERLINK("#Transaksi!B"&amp;J324,"Kas"))</f>
        <v/>
      </c>
      <c r="H324" s="172" t="n"/>
      <c r="I324" s="172" t="n"/>
      <c r="J324" s="119" t="n"/>
    </row>
    <row r="325">
      <c r="A325" s="119" t="n"/>
      <c r="B325" s="105" t="n"/>
      <c r="C325" s="105" t="n"/>
      <c r="D325" s="170" t="n"/>
      <c r="E325" s="106" t="n"/>
      <c r="F325" s="105" t="n"/>
      <c r="G325" s="171">
        <f>IF(J325="","",HYPERLINK("#Transaksi!B"&amp;J325,"Kas"))</f>
        <v/>
      </c>
      <c r="H325" s="172" t="n"/>
      <c r="I325" s="172" t="n"/>
      <c r="J325" s="119" t="n"/>
    </row>
    <row r="326">
      <c r="A326" s="119" t="n"/>
      <c r="B326" s="105" t="n"/>
      <c r="C326" s="105" t="n"/>
      <c r="D326" s="170" t="n"/>
      <c r="E326" s="106" t="n"/>
      <c r="F326" s="105" t="n"/>
      <c r="G326" s="171">
        <f>IF(J326="","",HYPERLINK("#Transaksi!B"&amp;J326,"Kas"))</f>
        <v/>
      </c>
      <c r="H326" s="172" t="n"/>
      <c r="I326" s="172" t="n"/>
      <c r="J326" s="119" t="n"/>
    </row>
    <row r="327">
      <c r="A327" s="119" t="n"/>
      <c r="B327" s="105" t="n"/>
      <c r="C327" s="105" t="n"/>
      <c r="D327" s="170" t="n"/>
      <c r="E327" s="106" t="n"/>
      <c r="F327" s="105" t="n"/>
      <c r="G327" s="171">
        <f>IF(J327="","",HYPERLINK("#Transaksi!B"&amp;J327,"Kas"))</f>
        <v/>
      </c>
      <c r="H327" s="172" t="n"/>
      <c r="I327" s="172" t="n"/>
      <c r="J327" s="119" t="n"/>
    </row>
    <row r="328">
      <c r="A328" s="119" t="n"/>
      <c r="B328" s="105" t="n"/>
      <c r="C328" s="105" t="n"/>
      <c r="D328" s="170" t="n"/>
      <c r="E328" s="106" t="n"/>
      <c r="F328" s="105" t="n"/>
      <c r="G328" s="171">
        <f>IF(J328="","",HYPERLINK("#Transaksi!B"&amp;J328,"Kas"))</f>
        <v/>
      </c>
      <c r="H328" s="172" t="n"/>
      <c r="I328" s="172" t="n"/>
      <c r="J328" s="119" t="n"/>
    </row>
    <row r="329">
      <c r="A329" s="119" t="n"/>
      <c r="B329" s="105" t="n"/>
      <c r="C329" s="105" t="n"/>
      <c r="D329" s="170" t="n"/>
      <c r="E329" s="106" t="n"/>
      <c r="F329" s="105" t="n"/>
      <c r="G329" s="171">
        <f>IF(J329="","",HYPERLINK("#Transaksi!B"&amp;J329,"Kas"))</f>
        <v/>
      </c>
      <c r="H329" s="172" t="n"/>
      <c r="I329" s="172" t="n"/>
      <c r="J329" s="119" t="n"/>
    </row>
    <row r="330">
      <c r="A330" s="119" t="n"/>
      <c r="B330" s="105" t="n"/>
      <c r="C330" s="105" t="n"/>
      <c r="D330" s="170" t="n"/>
      <c r="E330" s="106" t="n"/>
      <c r="F330" s="105" t="n"/>
      <c r="G330" s="171">
        <f>IF(J330="","",HYPERLINK("#Transaksi!B"&amp;J330,"Kas"))</f>
        <v/>
      </c>
      <c r="H330" s="172" t="n"/>
      <c r="I330" s="172" t="n"/>
      <c r="J330" s="119" t="n"/>
    </row>
    <row r="331">
      <c r="A331" s="119" t="n"/>
      <c r="B331" s="105" t="n"/>
      <c r="C331" s="105" t="n"/>
      <c r="D331" s="170" t="n"/>
      <c r="E331" s="106" t="n"/>
      <c r="F331" s="105" t="n"/>
      <c r="G331" s="171">
        <f>IF(J331="","",HYPERLINK("#Transaksi!B"&amp;J331,"Kas"))</f>
        <v/>
      </c>
      <c r="H331" s="172" t="n"/>
      <c r="I331" s="172" t="n"/>
      <c r="J331" s="119" t="n"/>
    </row>
    <row r="332">
      <c r="A332" s="119" t="n"/>
      <c r="B332" s="105" t="n"/>
      <c r="C332" s="105" t="n"/>
      <c r="D332" s="170" t="n"/>
      <c r="E332" s="106" t="n"/>
      <c r="F332" s="105" t="n"/>
      <c r="G332" s="171">
        <f>IF(J332="","",HYPERLINK("#Transaksi!B"&amp;J332,"Kas"))</f>
        <v/>
      </c>
      <c r="H332" s="172" t="n"/>
      <c r="I332" s="172" t="n"/>
      <c r="J332" s="119" t="n"/>
    </row>
    <row r="333">
      <c r="A333" s="119" t="n"/>
      <c r="B333" s="105" t="n"/>
      <c r="C333" s="105" t="n"/>
      <c r="D333" s="170" t="n"/>
      <c r="E333" s="106" t="n"/>
      <c r="F333" s="105" t="n"/>
      <c r="G333" s="171">
        <f>IF(J333="","",HYPERLINK("#Transaksi!B"&amp;J333,"Kas"))</f>
        <v/>
      </c>
      <c r="H333" s="172" t="n"/>
      <c r="I333" s="172" t="n"/>
      <c r="J333" s="119" t="n"/>
    </row>
    <row r="334">
      <c r="A334" s="119" t="n"/>
      <c r="B334" s="105" t="n"/>
      <c r="C334" s="105" t="n"/>
      <c r="D334" s="170" t="n"/>
      <c r="E334" s="106" t="n"/>
      <c r="F334" s="105" t="n"/>
      <c r="G334" s="171">
        <f>IF(J334="","",HYPERLINK("#Transaksi!B"&amp;J334,"Kas"))</f>
        <v/>
      </c>
      <c r="H334" s="172" t="n"/>
      <c r="I334" s="172" t="n"/>
      <c r="J334" s="119" t="n"/>
    </row>
    <row r="335">
      <c r="A335" s="119" t="n"/>
      <c r="B335" s="105" t="n"/>
      <c r="C335" s="105" t="n"/>
      <c r="D335" s="170" t="n"/>
      <c r="E335" s="106" t="n"/>
      <c r="F335" s="105" t="n"/>
      <c r="G335" s="171">
        <f>IF(J335="","",HYPERLINK("#Transaksi!B"&amp;J335,"Kas"))</f>
        <v/>
      </c>
      <c r="H335" s="172" t="n"/>
      <c r="I335" s="172" t="n"/>
      <c r="J335" s="119" t="n"/>
    </row>
    <row r="336">
      <c r="A336" s="119" t="n"/>
      <c r="B336" s="105" t="n"/>
      <c r="C336" s="105" t="n"/>
      <c r="D336" s="170" t="n"/>
      <c r="E336" s="106" t="n"/>
      <c r="F336" s="105" t="n"/>
      <c r="G336" s="171">
        <f>IF(J336="","",HYPERLINK("#Transaksi!B"&amp;J336,"Kas"))</f>
        <v/>
      </c>
      <c r="H336" s="172" t="n"/>
      <c r="I336" s="172" t="n"/>
      <c r="J336" s="119" t="n"/>
    </row>
    <row r="337">
      <c r="A337" s="119" t="n"/>
      <c r="B337" s="105" t="n"/>
      <c r="C337" s="105" t="n"/>
      <c r="D337" s="170" t="n"/>
      <c r="E337" s="106" t="n"/>
      <c r="F337" s="105" t="n"/>
      <c r="G337" s="171">
        <f>IF(J337="","",HYPERLINK("#Transaksi!B"&amp;J337,"Kas"))</f>
        <v/>
      </c>
      <c r="H337" s="172" t="n"/>
      <c r="I337" s="172" t="n"/>
      <c r="J337" s="119" t="n"/>
    </row>
    <row r="338">
      <c r="A338" s="119" t="n"/>
      <c r="B338" s="105" t="n"/>
      <c r="C338" s="105" t="n"/>
      <c r="D338" s="170" t="n"/>
      <c r="E338" s="106" t="n"/>
      <c r="F338" s="105" t="n"/>
      <c r="G338" s="171">
        <f>IF(J338="","",HYPERLINK("#Transaksi!B"&amp;J338,"Kas"))</f>
        <v/>
      </c>
      <c r="H338" s="172" t="n"/>
      <c r="I338" s="172" t="n"/>
      <c r="J338" s="119" t="n"/>
    </row>
    <row r="339">
      <c r="A339" s="119" t="n"/>
      <c r="B339" s="105" t="n"/>
      <c r="C339" s="105" t="n"/>
      <c r="D339" s="170" t="n"/>
      <c r="E339" s="106" t="n"/>
      <c r="F339" s="105" t="n"/>
      <c r="G339" s="171">
        <f>IF(J339="","",HYPERLINK("#Transaksi!B"&amp;J339,"Kas"))</f>
        <v/>
      </c>
      <c r="H339" s="172" t="n"/>
      <c r="I339" s="172" t="n"/>
      <c r="J339" s="119" t="n"/>
    </row>
    <row r="340">
      <c r="A340" s="119" t="n"/>
      <c r="B340" s="105" t="n"/>
      <c r="C340" s="105" t="n"/>
      <c r="D340" s="170" t="n"/>
      <c r="E340" s="106" t="n"/>
      <c r="F340" s="105" t="n"/>
      <c r="G340" s="171">
        <f>IF(J340="","",HYPERLINK("#Transaksi!B"&amp;J340,"Kas"))</f>
        <v/>
      </c>
      <c r="H340" s="172" t="n"/>
      <c r="I340" s="172" t="n"/>
      <c r="J340" s="119" t="n"/>
    </row>
    <row r="341">
      <c r="A341" s="119" t="n"/>
      <c r="B341" s="105" t="n"/>
      <c r="C341" s="105" t="n"/>
      <c r="D341" s="170" t="n"/>
      <c r="E341" s="106" t="n"/>
      <c r="F341" s="105" t="n"/>
      <c r="G341" s="171">
        <f>IF(J341="","",HYPERLINK("#Transaksi!B"&amp;J341,"Kas"))</f>
        <v/>
      </c>
      <c r="H341" s="172" t="n"/>
      <c r="I341" s="172" t="n"/>
      <c r="J341" s="119" t="n"/>
    </row>
    <row r="342">
      <c r="A342" s="119" t="n"/>
      <c r="B342" s="105" t="n"/>
      <c r="C342" s="105" t="n"/>
      <c r="D342" s="170" t="n"/>
      <c r="E342" s="106" t="n"/>
      <c r="F342" s="105" t="n"/>
      <c r="G342" s="171">
        <f>IF(J342="","",HYPERLINK("#Transaksi!B"&amp;J342,"Kas"))</f>
        <v/>
      </c>
      <c r="H342" s="172" t="n"/>
      <c r="I342" s="172" t="n"/>
      <c r="J342" s="119" t="n"/>
    </row>
    <row r="343">
      <c r="A343" s="119" t="n"/>
      <c r="B343" s="105" t="n"/>
      <c r="C343" s="105" t="n"/>
      <c r="D343" s="170" t="n"/>
      <c r="E343" s="106" t="n"/>
      <c r="F343" s="105" t="n"/>
      <c r="G343" s="171">
        <f>IF(J343="","",HYPERLINK("#Transaksi!B"&amp;J343,"Kas"))</f>
        <v/>
      </c>
      <c r="H343" s="172" t="n"/>
      <c r="I343" s="172" t="n"/>
      <c r="J343" s="119" t="n"/>
    </row>
    <row r="344">
      <c r="A344" s="119" t="n"/>
      <c r="B344" s="105" t="n"/>
      <c r="C344" s="105" t="n"/>
      <c r="D344" s="170" t="n"/>
      <c r="E344" s="106" t="n"/>
      <c r="F344" s="105" t="n"/>
      <c r="G344" s="171">
        <f>IF(J344="","",HYPERLINK("#Transaksi!B"&amp;J344,"Kas"))</f>
        <v/>
      </c>
      <c r="H344" s="172" t="n"/>
      <c r="I344" s="172" t="n"/>
      <c r="J344" s="119" t="n"/>
    </row>
    <row r="345">
      <c r="A345" s="119" t="n"/>
      <c r="B345" s="105" t="n"/>
      <c r="C345" s="105" t="n"/>
      <c r="D345" s="170" t="n"/>
      <c r="E345" s="106" t="n"/>
      <c r="F345" s="105" t="n"/>
      <c r="G345" s="171">
        <f>IF(J345="","",HYPERLINK("#Transaksi!B"&amp;J345,"Kas"))</f>
        <v/>
      </c>
      <c r="H345" s="172" t="n"/>
      <c r="I345" s="172" t="n"/>
      <c r="J345" s="119" t="n"/>
    </row>
    <row r="346">
      <c r="A346" s="119" t="n"/>
      <c r="B346" s="105" t="n"/>
      <c r="C346" s="105" t="n"/>
      <c r="D346" s="170" t="n"/>
      <c r="E346" s="106" t="n"/>
      <c r="F346" s="105" t="n"/>
      <c r="G346" s="171">
        <f>IF(J346="","",HYPERLINK("#Transaksi!B"&amp;J346,"Kas"))</f>
        <v/>
      </c>
      <c r="H346" s="172" t="n"/>
      <c r="I346" s="172" t="n"/>
      <c r="J346" s="119" t="n"/>
    </row>
    <row r="347">
      <c r="A347" s="119" t="n"/>
      <c r="B347" s="105" t="n"/>
      <c r="C347" s="105" t="n"/>
      <c r="D347" s="170" t="n"/>
      <c r="E347" s="106" t="n"/>
      <c r="F347" s="105" t="n"/>
      <c r="G347" s="171">
        <f>IF(J347="","",HYPERLINK("#Transaksi!B"&amp;J347,"Kas"))</f>
        <v/>
      </c>
      <c r="H347" s="172" t="n"/>
      <c r="I347" s="172" t="n"/>
      <c r="J347" s="119" t="n"/>
    </row>
    <row r="348">
      <c r="A348" s="119" t="n"/>
      <c r="B348" s="105" t="n"/>
      <c r="C348" s="105" t="n"/>
      <c r="D348" s="170" t="n"/>
      <c r="E348" s="106" t="n"/>
      <c r="F348" s="105" t="n"/>
      <c r="G348" s="171">
        <f>IF(J348="","",HYPERLINK("#Transaksi!B"&amp;J348,"Kas"))</f>
        <v/>
      </c>
      <c r="H348" s="172" t="n"/>
      <c r="I348" s="172" t="n"/>
      <c r="J348" s="119" t="n"/>
    </row>
    <row r="349">
      <c r="A349" s="119" t="n"/>
      <c r="B349" s="105" t="n"/>
      <c r="C349" s="105" t="n"/>
      <c r="D349" s="170" t="n"/>
      <c r="E349" s="106" t="n"/>
      <c r="F349" s="105" t="n"/>
      <c r="G349" s="171">
        <f>IF(J349="","",HYPERLINK("#Transaksi!B"&amp;J349,"Kas"))</f>
        <v/>
      </c>
      <c r="H349" s="172" t="n"/>
      <c r="I349" s="172" t="n"/>
      <c r="J349" s="119" t="n"/>
    </row>
    <row r="350">
      <c r="A350" s="119" t="n"/>
      <c r="B350" s="105" t="n"/>
      <c r="C350" s="105" t="n"/>
      <c r="D350" s="170" t="n"/>
      <c r="E350" s="106" t="n"/>
      <c r="F350" s="105" t="n"/>
      <c r="G350" s="171">
        <f>IF(J350="","",HYPERLINK("#Transaksi!B"&amp;J350,"Kas"))</f>
        <v/>
      </c>
      <c r="H350" s="172" t="n"/>
      <c r="I350" s="172" t="n"/>
      <c r="J350" s="119" t="n"/>
    </row>
    <row r="351">
      <c r="A351" s="119" t="n"/>
      <c r="B351" s="105" t="n"/>
      <c r="C351" s="105" t="n"/>
      <c r="D351" s="170" t="n"/>
      <c r="E351" s="106" t="n"/>
      <c r="F351" s="105" t="n"/>
      <c r="G351" s="171">
        <f>IF(J351="","",HYPERLINK("#Transaksi!B"&amp;J351,"Kas"))</f>
        <v/>
      </c>
      <c r="H351" s="172" t="n"/>
      <c r="I351" s="172" t="n"/>
      <c r="J351" s="119" t="n"/>
    </row>
    <row r="352">
      <c r="A352" s="119" t="n"/>
      <c r="B352" s="105" t="n"/>
      <c r="C352" s="105" t="n"/>
      <c r="D352" s="170" t="n"/>
      <c r="E352" s="106" t="n"/>
      <c r="F352" s="105" t="n"/>
      <c r="G352" s="171">
        <f>IF(J352="","",HYPERLINK("#Transaksi!B"&amp;J352,"Kas"))</f>
        <v/>
      </c>
      <c r="H352" s="172" t="n"/>
      <c r="I352" s="172" t="n"/>
      <c r="J352" s="119" t="n"/>
    </row>
    <row r="353">
      <c r="A353" s="119" t="n"/>
      <c r="B353" s="105" t="n"/>
      <c r="C353" s="105" t="n"/>
      <c r="D353" s="170" t="n"/>
      <c r="E353" s="106" t="n"/>
      <c r="F353" s="105" t="n"/>
      <c r="G353" s="171">
        <f>IF(J353="","",HYPERLINK("#Transaksi!B"&amp;J353,"Kas"))</f>
        <v/>
      </c>
      <c r="H353" s="172" t="n"/>
      <c r="I353" s="172" t="n"/>
      <c r="J353" s="119" t="n"/>
    </row>
    <row r="354">
      <c r="A354" s="119" t="n"/>
      <c r="B354" s="105" t="n"/>
      <c r="C354" s="105" t="n"/>
      <c r="D354" s="170" t="n"/>
      <c r="E354" s="106" t="n"/>
      <c r="F354" s="105" t="n"/>
      <c r="G354" s="171">
        <f>IF(J354="","",HYPERLINK("#Transaksi!B"&amp;J354,"Kas"))</f>
        <v/>
      </c>
      <c r="H354" s="172" t="n"/>
      <c r="I354" s="172" t="n"/>
      <c r="J354" s="119" t="n"/>
    </row>
    <row r="355">
      <c r="A355" s="119" t="n"/>
      <c r="B355" s="105" t="n"/>
      <c r="C355" s="105" t="n"/>
      <c r="D355" s="170" t="n"/>
      <c r="E355" s="106" t="n"/>
      <c r="F355" s="105" t="n"/>
      <c r="G355" s="171">
        <f>IF(J355="","",HYPERLINK("#Transaksi!B"&amp;J355,"Kas"))</f>
        <v/>
      </c>
      <c r="H355" s="172" t="n"/>
      <c r="I355" s="172" t="n"/>
      <c r="J355" s="119" t="n"/>
    </row>
    <row r="356">
      <c r="A356" s="119" t="n"/>
      <c r="B356" s="105" t="n"/>
      <c r="C356" s="105" t="n"/>
      <c r="D356" s="170" t="n"/>
      <c r="E356" s="106" t="n"/>
      <c r="F356" s="105" t="n"/>
      <c r="G356" s="171">
        <f>IF(J356="","",HYPERLINK("#Transaksi!B"&amp;J356,"Kas"))</f>
        <v/>
      </c>
      <c r="H356" s="172" t="n"/>
      <c r="I356" s="172" t="n"/>
      <c r="J356" s="119" t="n"/>
    </row>
    <row r="357">
      <c r="A357" s="119" t="n"/>
      <c r="B357" s="105" t="n"/>
      <c r="C357" s="105" t="n"/>
      <c r="D357" s="170" t="n"/>
      <c r="E357" s="106" t="n"/>
      <c r="F357" s="105" t="n"/>
      <c r="G357" s="171">
        <f>IF(J357="","",HYPERLINK("#Transaksi!B"&amp;J357,"Kas"))</f>
        <v/>
      </c>
      <c r="H357" s="172" t="n"/>
      <c r="I357" s="172" t="n"/>
      <c r="J357" s="119" t="n"/>
    </row>
    <row r="358">
      <c r="A358" s="119" t="n"/>
      <c r="B358" s="105" t="n"/>
      <c r="C358" s="105" t="n"/>
      <c r="D358" s="170" t="n"/>
      <c r="E358" s="106" t="n"/>
      <c r="F358" s="105" t="n"/>
      <c r="G358" s="171">
        <f>IF(J358="","",HYPERLINK("#Transaksi!B"&amp;J358,"Kas"))</f>
        <v/>
      </c>
      <c r="H358" s="172" t="n"/>
      <c r="I358" s="172" t="n"/>
      <c r="J358" s="119" t="n"/>
    </row>
    <row r="359">
      <c r="A359" s="119" t="n"/>
      <c r="B359" s="105" t="n"/>
      <c r="C359" s="105" t="n"/>
      <c r="D359" s="170" t="n"/>
      <c r="E359" s="106" t="n"/>
      <c r="F359" s="105" t="n"/>
      <c r="G359" s="171">
        <f>IF(J359="","",HYPERLINK("#Transaksi!B"&amp;J359,"Kas"))</f>
        <v/>
      </c>
      <c r="H359" s="172" t="n"/>
      <c r="I359" s="172" t="n"/>
      <c r="J359" s="119" t="n"/>
    </row>
    <row r="360">
      <c r="A360" s="119" t="n"/>
      <c r="B360" s="105" t="n"/>
      <c r="C360" s="105" t="n"/>
      <c r="D360" s="170" t="n"/>
      <c r="E360" s="106" t="n"/>
      <c r="F360" s="105" t="n"/>
      <c r="G360" s="171">
        <f>IF(J360="","",HYPERLINK("#Transaksi!B"&amp;J360,"Kas"))</f>
        <v/>
      </c>
      <c r="H360" s="172" t="n"/>
      <c r="I360" s="172" t="n"/>
      <c r="J360" s="119" t="n"/>
    </row>
    <row r="361">
      <c r="A361" s="119" t="n"/>
      <c r="B361" s="105" t="n"/>
      <c r="C361" s="105" t="n"/>
      <c r="D361" s="170" t="n"/>
      <c r="E361" s="106" t="n"/>
      <c r="F361" s="105" t="n"/>
      <c r="G361" s="171">
        <f>IF(J361="","",HYPERLINK("#Transaksi!B"&amp;J361,"Kas"))</f>
        <v/>
      </c>
      <c r="H361" s="172" t="n"/>
      <c r="I361" s="172" t="n"/>
      <c r="J361" s="119" t="n"/>
    </row>
    <row r="362">
      <c r="A362" s="119" t="n"/>
      <c r="B362" s="105" t="n"/>
      <c r="C362" s="105" t="n"/>
      <c r="D362" s="170" t="n"/>
      <c r="E362" s="106" t="n"/>
      <c r="F362" s="105" t="n"/>
      <c r="G362" s="171">
        <f>IF(J362="","",HYPERLINK("#Transaksi!B"&amp;J362,"Kas"))</f>
        <v/>
      </c>
      <c r="H362" s="172" t="n"/>
      <c r="I362" s="172" t="n"/>
      <c r="J362" s="119" t="n"/>
    </row>
    <row r="363">
      <c r="A363" s="119" t="n"/>
      <c r="B363" s="105" t="n"/>
      <c r="C363" s="105" t="n"/>
      <c r="D363" s="170" t="n"/>
      <c r="E363" s="106" t="n"/>
      <c r="F363" s="105" t="n"/>
      <c r="G363" s="171">
        <f>IF(J363="","",HYPERLINK("#Transaksi!B"&amp;J363,"Kas"))</f>
        <v/>
      </c>
      <c r="H363" s="172" t="n"/>
      <c r="I363" s="172" t="n"/>
      <c r="J363" s="119" t="n"/>
    </row>
    <row r="364">
      <c r="A364" s="119" t="n"/>
      <c r="B364" s="105" t="n"/>
      <c r="C364" s="105" t="n"/>
      <c r="D364" s="170" t="n"/>
      <c r="E364" s="106" t="n"/>
      <c r="F364" s="105" t="n"/>
      <c r="G364" s="171">
        <f>IF(J364="","",HYPERLINK("#Transaksi!B"&amp;J364,"Kas"))</f>
        <v/>
      </c>
      <c r="H364" s="172" t="n"/>
      <c r="I364" s="172" t="n"/>
      <c r="J364" s="119" t="n"/>
    </row>
    <row r="365">
      <c r="A365" s="119" t="n"/>
      <c r="B365" s="105" t="n"/>
      <c r="C365" s="105" t="n"/>
      <c r="D365" s="170" t="n"/>
      <c r="E365" s="106" t="n"/>
      <c r="F365" s="105" t="n"/>
      <c r="G365" s="171">
        <f>IF(J365="","",HYPERLINK("#Transaksi!B"&amp;J365,"Kas"))</f>
        <v/>
      </c>
      <c r="H365" s="172" t="n"/>
      <c r="I365" s="172" t="n"/>
      <c r="J365" s="119" t="n"/>
    </row>
    <row r="366">
      <c r="A366" s="119" t="n"/>
      <c r="B366" s="105" t="n"/>
      <c r="C366" s="105" t="n"/>
      <c r="D366" s="170" t="n"/>
      <c r="E366" s="106" t="n"/>
      <c r="F366" s="105" t="n"/>
      <c r="G366" s="171">
        <f>IF(J366="","",HYPERLINK("#Transaksi!B"&amp;J366,"Kas"))</f>
        <v/>
      </c>
      <c r="H366" s="172" t="n"/>
      <c r="I366" s="172" t="n"/>
      <c r="J366" s="119" t="n"/>
    </row>
    <row r="367">
      <c r="A367" s="119" t="n"/>
      <c r="B367" s="105" t="n"/>
      <c r="C367" s="105" t="n"/>
      <c r="D367" s="170" t="n"/>
      <c r="E367" s="106" t="n"/>
      <c r="F367" s="105" t="n"/>
      <c r="G367" s="171">
        <f>IF(J367="","",HYPERLINK("#Transaksi!B"&amp;J367,"Kas"))</f>
        <v/>
      </c>
      <c r="H367" s="172" t="n"/>
      <c r="I367" s="172" t="n"/>
      <c r="J367" s="119" t="n"/>
    </row>
    <row r="368">
      <c r="A368" s="119" t="n"/>
      <c r="B368" s="105" t="n"/>
      <c r="C368" s="105" t="n"/>
      <c r="D368" s="170" t="n"/>
      <c r="E368" s="106" t="n"/>
      <c r="F368" s="105" t="n"/>
      <c r="G368" s="171">
        <f>IF(J368="","",HYPERLINK("#Transaksi!B"&amp;J368,"Kas"))</f>
        <v/>
      </c>
      <c r="H368" s="172" t="n"/>
      <c r="I368" s="172" t="n"/>
      <c r="J368" s="119" t="n"/>
    </row>
    <row r="369">
      <c r="A369" s="119" t="n"/>
      <c r="B369" s="105" t="n"/>
      <c r="C369" s="105" t="n"/>
      <c r="D369" s="170" t="n"/>
      <c r="E369" s="106" t="n"/>
      <c r="F369" s="105" t="n"/>
      <c r="G369" s="171">
        <f>IF(J369="","",HYPERLINK("#Transaksi!B"&amp;J369,"Kas"))</f>
        <v/>
      </c>
      <c r="H369" s="172" t="n"/>
      <c r="I369" s="172" t="n"/>
      <c r="J369" s="119" t="n"/>
    </row>
    <row r="370">
      <c r="A370" s="119" t="n"/>
      <c r="B370" s="105" t="n"/>
      <c r="C370" s="105" t="n"/>
      <c r="D370" s="170" t="n"/>
      <c r="E370" s="106" t="n"/>
      <c r="F370" s="105" t="n"/>
      <c r="G370" s="171">
        <f>IF(J370="","",HYPERLINK("#Transaksi!B"&amp;J370,"Kas"))</f>
        <v/>
      </c>
      <c r="H370" s="172" t="n"/>
      <c r="I370" s="172" t="n"/>
      <c r="J370" s="119" t="n"/>
    </row>
    <row r="371">
      <c r="A371" s="119" t="n"/>
      <c r="B371" s="105" t="n"/>
      <c r="C371" s="105" t="n"/>
      <c r="D371" s="170" t="n"/>
      <c r="E371" s="106" t="n"/>
      <c r="F371" s="105" t="n"/>
      <c r="G371" s="171">
        <f>IF(J371="","",HYPERLINK("#Transaksi!B"&amp;J371,"Kas"))</f>
        <v/>
      </c>
      <c r="H371" s="172" t="n"/>
      <c r="I371" s="172" t="n"/>
      <c r="J371" s="119" t="n"/>
    </row>
    <row r="372">
      <c r="A372" s="119" t="n"/>
      <c r="B372" s="105" t="n"/>
      <c r="C372" s="105" t="n"/>
      <c r="D372" s="170" t="n"/>
      <c r="E372" s="106" t="n"/>
      <c r="F372" s="105" t="n"/>
      <c r="G372" s="171">
        <f>IF(J372="","",HYPERLINK("#Transaksi!B"&amp;J372,"Kas"))</f>
        <v/>
      </c>
      <c r="H372" s="172" t="n"/>
      <c r="I372" s="172" t="n"/>
      <c r="J372" s="119" t="n"/>
    </row>
    <row r="373">
      <c r="A373" s="119" t="n"/>
      <c r="B373" s="105" t="n"/>
      <c r="C373" s="105" t="n"/>
      <c r="D373" s="170" t="n"/>
      <c r="E373" s="106" t="n"/>
      <c r="F373" s="105" t="n"/>
      <c r="G373" s="171">
        <f>IF(J373="","",HYPERLINK("#Transaksi!B"&amp;J373,"Kas"))</f>
        <v/>
      </c>
      <c r="H373" s="172" t="n"/>
      <c r="I373" s="172" t="n"/>
      <c r="J373" s="119" t="n"/>
    </row>
    <row r="374">
      <c r="A374" s="119" t="n"/>
      <c r="B374" s="105" t="n"/>
      <c r="C374" s="105" t="n"/>
      <c r="D374" s="170" t="n"/>
      <c r="E374" s="106" t="n"/>
      <c r="F374" s="105" t="n"/>
      <c r="G374" s="171">
        <f>IF(J374="","",HYPERLINK("#Transaksi!B"&amp;J374,"Kas"))</f>
        <v/>
      </c>
      <c r="H374" s="172" t="n"/>
      <c r="I374" s="172" t="n"/>
      <c r="J374" s="119" t="n"/>
    </row>
    <row r="375">
      <c r="A375" s="119" t="n"/>
      <c r="B375" s="105" t="n"/>
      <c r="C375" s="105" t="n"/>
      <c r="D375" s="170" t="n"/>
      <c r="E375" s="106" t="n"/>
      <c r="F375" s="105" t="n"/>
      <c r="G375" s="171">
        <f>IF(J375="","",HYPERLINK("#Transaksi!B"&amp;J375,"Kas"))</f>
        <v/>
      </c>
      <c r="H375" s="172" t="n"/>
      <c r="I375" s="172" t="n"/>
      <c r="J375" s="119" t="n"/>
    </row>
    <row r="376">
      <c r="A376" s="119" t="n"/>
      <c r="B376" s="105" t="n"/>
      <c r="C376" s="105" t="n"/>
      <c r="D376" s="170" t="n"/>
      <c r="E376" s="106" t="n"/>
      <c r="F376" s="105" t="n"/>
      <c r="G376" s="171">
        <f>IF(J376="","",HYPERLINK("#Transaksi!B"&amp;J376,"Kas"))</f>
        <v/>
      </c>
      <c r="H376" s="172" t="n"/>
      <c r="I376" s="172" t="n"/>
      <c r="J376" s="119" t="n"/>
    </row>
    <row r="377">
      <c r="A377" s="119" t="n"/>
      <c r="B377" s="105" t="n"/>
      <c r="C377" s="105" t="n"/>
      <c r="D377" s="170" t="n"/>
      <c r="E377" s="106" t="n"/>
      <c r="F377" s="105" t="n"/>
      <c r="G377" s="171">
        <f>IF(J377="","",HYPERLINK("#Transaksi!B"&amp;J377,"Kas"))</f>
        <v/>
      </c>
      <c r="H377" s="172" t="n"/>
      <c r="I377" s="172" t="n"/>
      <c r="J377" s="119" t="n"/>
    </row>
    <row r="378">
      <c r="A378" s="119" t="n"/>
      <c r="B378" s="105" t="n"/>
      <c r="C378" s="105" t="n"/>
      <c r="D378" s="170" t="n"/>
      <c r="E378" s="106" t="n"/>
      <c r="F378" s="105" t="n"/>
      <c r="G378" s="171">
        <f>IF(J378="","",HYPERLINK("#Transaksi!B"&amp;J378,"Kas"))</f>
        <v/>
      </c>
      <c r="H378" s="172" t="n"/>
      <c r="I378" s="172" t="n"/>
      <c r="J378" s="119" t="n"/>
    </row>
    <row r="379">
      <c r="A379" s="119" t="n"/>
      <c r="B379" s="105" t="n"/>
      <c r="C379" s="105" t="n"/>
      <c r="D379" s="170" t="n"/>
      <c r="E379" s="106" t="n"/>
      <c r="F379" s="105" t="n"/>
      <c r="G379" s="171">
        <f>IF(J379="","",HYPERLINK("#Transaksi!B"&amp;J379,"Kas"))</f>
        <v/>
      </c>
      <c r="H379" s="172" t="n"/>
      <c r="I379" s="172" t="n"/>
      <c r="J379" s="119" t="n"/>
    </row>
    <row r="380">
      <c r="A380" s="119" t="n"/>
      <c r="B380" s="105" t="n"/>
      <c r="C380" s="105" t="n"/>
      <c r="D380" s="170" t="n"/>
      <c r="E380" s="106" t="n"/>
      <c r="F380" s="105" t="n"/>
      <c r="G380" s="171">
        <f>IF(J380="","",HYPERLINK("#Transaksi!B"&amp;J380,"Kas"))</f>
        <v/>
      </c>
      <c r="H380" s="172" t="n"/>
      <c r="I380" s="172" t="n"/>
      <c r="J380" s="119" t="n"/>
    </row>
    <row r="381">
      <c r="A381" s="119" t="n"/>
      <c r="B381" s="105" t="n"/>
      <c r="C381" s="105" t="n"/>
      <c r="D381" s="170" t="n"/>
      <c r="E381" s="106" t="n"/>
      <c r="F381" s="105" t="n"/>
      <c r="G381" s="171">
        <f>IF(J381="","",HYPERLINK("#Transaksi!B"&amp;J381,"Kas"))</f>
        <v/>
      </c>
      <c r="H381" s="172" t="n"/>
      <c r="I381" s="172" t="n"/>
      <c r="J381" s="119" t="n"/>
    </row>
    <row r="382">
      <c r="A382" s="119" t="n"/>
      <c r="B382" s="105" t="n"/>
      <c r="C382" s="105" t="n"/>
      <c r="D382" s="170" t="n"/>
      <c r="E382" s="106" t="n"/>
      <c r="F382" s="105" t="n"/>
      <c r="G382" s="171">
        <f>IF(J382="","",HYPERLINK("#Transaksi!B"&amp;J382,"Kas"))</f>
        <v/>
      </c>
      <c r="H382" s="172" t="n"/>
      <c r="I382" s="172" t="n"/>
      <c r="J382" s="119" t="n"/>
    </row>
    <row r="383">
      <c r="A383" s="119" t="n"/>
      <c r="B383" s="105" t="n"/>
      <c r="C383" s="105" t="n"/>
      <c r="D383" s="170" t="n"/>
      <c r="E383" s="106" t="n"/>
      <c r="F383" s="105" t="n"/>
      <c r="G383" s="171">
        <f>IF(J383="","",HYPERLINK("#Transaksi!B"&amp;J383,"Kas"))</f>
        <v/>
      </c>
      <c r="H383" s="172" t="n"/>
      <c r="I383" s="172" t="n"/>
      <c r="J383" s="119" t="n"/>
    </row>
    <row r="384">
      <c r="A384" s="119" t="n"/>
      <c r="B384" s="105" t="n"/>
      <c r="C384" s="105" t="n"/>
      <c r="D384" s="170" t="n"/>
      <c r="E384" s="106" t="n"/>
      <c r="F384" s="105" t="n"/>
      <c r="G384" s="171">
        <f>IF(J384="","",HYPERLINK("#Transaksi!B"&amp;J384,"Kas"))</f>
        <v/>
      </c>
      <c r="H384" s="172" t="n"/>
      <c r="I384" s="172" t="n"/>
      <c r="J384" s="119" t="n"/>
    </row>
    <row r="385">
      <c r="A385" s="119" t="n"/>
      <c r="B385" s="105" t="n"/>
      <c r="C385" s="105" t="n"/>
      <c r="D385" s="170" t="n"/>
      <c r="E385" s="106" t="n"/>
      <c r="F385" s="105" t="n"/>
      <c r="G385" s="171">
        <f>IF(J385="","",HYPERLINK("#Transaksi!B"&amp;J385,"Kas"))</f>
        <v/>
      </c>
      <c r="H385" s="172" t="n"/>
      <c r="I385" s="172" t="n"/>
      <c r="J385" s="119" t="n"/>
    </row>
    <row r="386">
      <c r="A386" s="119" t="n"/>
      <c r="B386" s="105" t="n"/>
      <c r="C386" s="105" t="n"/>
      <c r="D386" s="170" t="n"/>
      <c r="E386" s="106" t="n"/>
      <c r="F386" s="105" t="n"/>
      <c r="G386" s="171">
        <f>IF(J386="","",HYPERLINK("#Transaksi!B"&amp;J386,"Kas"))</f>
        <v/>
      </c>
      <c r="H386" s="172" t="n"/>
      <c r="I386" s="172" t="n"/>
      <c r="J386" s="119" t="n"/>
    </row>
    <row r="387">
      <c r="A387" s="119" t="n"/>
      <c r="B387" s="105" t="n"/>
      <c r="C387" s="105" t="n"/>
      <c r="D387" s="170" t="n"/>
      <c r="E387" s="106" t="n"/>
      <c r="F387" s="105" t="n"/>
      <c r="G387" s="171">
        <f>IF(J387="","",HYPERLINK("#Transaksi!B"&amp;J387,"Kas"))</f>
        <v/>
      </c>
      <c r="H387" s="172" t="n"/>
      <c r="I387" s="172" t="n"/>
      <c r="J387" s="119" t="n"/>
    </row>
    <row r="388">
      <c r="A388" s="119" t="n"/>
      <c r="B388" s="105" t="n"/>
      <c r="C388" s="105" t="n"/>
      <c r="D388" s="170" t="n"/>
      <c r="E388" s="106" t="n"/>
      <c r="F388" s="105" t="n"/>
      <c r="G388" s="171">
        <f>IF(J388="","",HYPERLINK("#Transaksi!B"&amp;J388,"Kas"))</f>
        <v/>
      </c>
      <c r="H388" s="172" t="n"/>
      <c r="I388" s="172" t="n"/>
      <c r="J388" s="119" t="n"/>
    </row>
    <row r="389">
      <c r="A389" s="119" t="n"/>
      <c r="B389" s="105" t="n"/>
      <c r="C389" s="105" t="n"/>
      <c r="D389" s="170" t="n"/>
      <c r="E389" s="106" t="n"/>
      <c r="F389" s="105" t="n"/>
      <c r="G389" s="171">
        <f>IF(J389="","",HYPERLINK("#Transaksi!B"&amp;J389,"Kas"))</f>
        <v/>
      </c>
      <c r="H389" s="172" t="n"/>
      <c r="I389" s="172" t="n"/>
      <c r="J389" s="119" t="n"/>
    </row>
    <row r="390">
      <c r="A390" s="119" t="n"/>
      <c r="B390" s="105" t="n"/>
      <c r="C390" s="105" t="n"/>
      <c r="D390" s="170" t="n"/>
      <c r="E390" s="106" t="n"/>
      <c r="F390" s="105" t="n"/>
      <c r="G390" s="171">
        <f>IF(J390="","",HYPERLINK("#Transaksi!B"&amp;J390,"Kas"))</f>
        <v/>
      </c>
      <c r="H390" s="172" t="n"/>
      <c r="I390" s="172" t="n"/>
      <c r="J390" s="119" t="n"/>
    </row>
    <row r="391">
      <c r="A391" s="119" t="n"/>
      <c r="B391" s="105" t="n"/>
      <c r="C391" s="105" t="n"/>
      <c r="D391" s="170" t="n"/>
      <c r="E391" s="106" t="n"/>
      <c r="F391" s="105" t="n"/>
      <c r="G391" s="171">
        <f>IF(J391="","",HYPERLINK("#Transaksi!B"&amp;J391,"Kas"))</f>
        <v/>
      </c>
      <c r="H391" s="172" t="n"/>
      <c r="I391" s="172" t="n"/>
      <c r="J391" s="119" t="n"/>
    </row>
    <row r="392">
      <c r="A392" s="119" t="n"/>
      <c r="B392" s="105" t="n"/>
      <c r="C392" s="105" t="n"/>
      <c r="D392" s="170" t="n"/>
      <c r="E392" s="106" t="n"/>
      <c r="F392" s="105" t="n"/>
      <c r="G392" s="171">
        <f>IF(J392="","",HYPERLINK("#Transaksi!B"&amp;J392,"Kas"))</f>
        <v/>
      </c>
      <c r="H392" s="172" t="n"/>
      <c r="I392" s="172" t="n"/>
      <c r="J392" s="119" t="n"/>
    </row>
    <row r="393">
      <c r="A393" s="119" t="n"/>
      <c r="B393" s="105" t="n"/>
      <c r="C393" s="105" t="n"/>
      <c r="D393" s="170" t="n"/>
      <c r="E393" s="106" t="n"/>
      <c r="F393" s="105" t="n"/>
      <c r="G393" s="171">
        <f>IF(J393="","",HYPERLINK("#Transaksi!B"&amp;J393,"Kas"))</f>
        <v/>
      </c>
      <c r="H393" s="172" t="n"/>
      <c r="I393" s="172" t="n"/>
      <c r="J393" s="119" t="n"/>
    </row>
    <row r="394">
      <c r="A394" s="119" t="n"/>
      <c r="B394" s="105" t="n"/>
      <c r="C394" s="105" t="n"/>
      <c r="D394" s="170" t="n"/>
      <c r="E394" s="106" t="n"/>
      <c r="F394" s="105" t="n"/>
      <c r="G394" s="171">
        <f>IF(J394="","",HYPERLINK("#Transaksi!B"&amp;J394,"Kas"))</f>
        <v/>
      </c>
      <c r="H394" s="172" t="n"/>
      <c r="I394" s="172" t="n"/>
      <c r="J394" s="119" t="n"/>
    </row>
    <row r="395">
      <c r="A395" s="119" t="n"/>
      <c r="B395" s="105" t="n"/>
      <c r="C395" s="105" t="n"/>
      <c r="D395" s="170" t="n"/>
      <c r="E395" s="106" t="n"/>
      <c r="F395" s="105" t="n"/>
      <c r="G395" s="171">
        <f>IF(J395="","",HYPERLINK("#Transaksi!B"&amp;J395,"Kas"))</f>
        <v/>
      </c>
      <c r="H395" s="172" t="n"/>
      <c r="I395" s="172" t="n"/>
      <c r="J395" s="119" t="n"/>
    </row>
    <row r="396">
      <c r="A396" s="119" t="n"/>
      <c r="B396" s="105" t="n"/>
      <c r="C396" s="105" t="n"/>
      <c r="D396" s="170" t="n"/>
      <c r="E396" s="106" t="n"/>
      <c r="F396" s="105" t="n"/>
      <c r="G396" s="171">
        <f>IF(J396="","",HYPERLINK("#Transaksi!B"&amp;J396,"Kas"))</f>
        <v/>
      </c>
      <c r="H396" s="172" t="n"/>
      <c r="I396" s="172" t="n"/>
      <c r="J396" s="119" t="n"/>
    </row>
    <row r="397">
      <c r="A397" s="119" t="n"/>
      <c r="B397" s="105" t="n"/>
      <c r="C397" s="105" t="n"/>
      <c r="D397" s="170" t="n"/>
      <c r="E397" s="106" t="n"/>
      <c r="F397" s="105" t="n"/>
      <c r="G397" s="171">
        <f>IF(J397="","",HYPERLINK("#Transaksi!B"&amp;J397,"Kas"))</f>
        <v/>
      </c>
      <c r="H397" s="172" t="n"/>
      <c r="I397" s="172" t="n"/>
      <c r="J397" s="119" t="n"/>
    </row>
    <row r="398">
      <c r="A398" s="119" t="n"/>
      <c r="B398" s="105" t="n"/>
      <c r="C398" s="105" t="n"/>
      <c r="D398" s="170" t="n"/>
      <c r="E398" s="106" t="n"/>
      <c r="F398" s="105" t="n"/>
      <c r="G398" s="171">
        <f>IF(J398="","",HYPERLINK("#Transaksi!B"&amp;J398,"Kas"))</f>
        <v/>
      </c>
      <c r="H398" s="172" t="n"/>
      <c r="I398" s="172" t="n"/>
      <c r="J398" s="119" t="n"/>
    </row>
    <row r="399">
      <c r="A399" s="119" t="n"/>
      <c r="B399" s="105" t="n"/>
      <c r="C399" s="105" t="n"/>
      <c r="D399" s="170" t="n"/>
      <c r="E399" s="106" t="n"/>
      <c r="F399" s="105" t="n"/>
      <c r="G399" s="171">
        <f>IF(J399="","",HYPERLINK("#Transaksi!B"&amp;J399,"Kas"))</f>
        <v/>
      </c>
      <c r="H399" s="172" t="n"/>
      <c r="I399" s="172" t="n"/>
      <c r="J399" s="119" t="n"/>
    </row>
    <row r="400">
      <c r="A400" s="119" t="n"/>
      <c r="B400" s="105" t="n"/>
      <c r="C400" s="105" t="n"/>
      <c r="D400" s="170" t="n"/>
      <c r="E400" s="106" t="n"/>
      <c r="F400" s="105" t="n"/>
      <c r="G400" s="171">
        <f>IF(J400="","",HYPERLINK("#Transaksi!B"&amp;J400,"Kas"))</f>
        <v/>
      </c>
      <c r="H400" s="172" t="n"/>
      <c r="I400" s="172" t="n"/>
      <c r="J400" s="119" t="n"/>
    </row>
    <row r="401">
      <c r="A401" s="119" t="n"/>
      <c r="B401" s="105" t="n"/>
      <c r="C401" s="105" t="n"/>
      <c r="D401" s="170" t="n"/>
      <c r="E401" s="106" t="n"/>
      <c r="F401" s="105" t="n"/>
      <c r="G401" s="171">
        <f>IF(J401="","",HYPERLINK("#Transaksi!B"&amp;J401,"Kas"))</f>
        <v/>
      </c>
      <c r="H401" s="172" t="n"/>
      <c r="I401" s="172" t="n"/>
      <c r="J401" s="119" t="n"/>
    </row>
    <row r="402">
      <c r="A402" s="119" t="n"/>
      <c r="B402" s="105" t="n"/>
      <c r="C402" s="105" t="n"/>
      <c r="D402" s="170" t="n"/>
      <c r="E402" s="106" t="n"/>
      <c r="F402" s="105" t="n"/>
      <c r="G402" s="171">
        <f>IF(J402="","",HYPERLINK("#Transaksi!B"&amp;J402,"Kas"))</f>
        <v/>
      </c>
      <c r="H402" s="172" t="n"/>
      <c r="I402" s="172" t="n"/>
      <c r="J402" s="119" t="n"/>
    </row>
    <row r="403">
      <c r="A403" s="119" t="n"/>
      <c r="B403" s="105" t="n"/>
      <c r="C403" s="105" t="n"/>
      <c r="D403" s="170" t="n"/>
      <c r="E403" s="106" t="n"/>
      <c r="F403" s="105" t="n"/>
      <c r="G403" s="171">
        <f>IF(J403="","",HYPERLINK("#Transaksi!B"&amp;J403,"Kas"))</f>
        <v/>
      </c>
      <c r="H403" s="172" t="n"/>
      <c r="I403" s="172" t="n"/>
      <c r="J403" s="119" t="n"/>
    </row>
    <row r="404">
      <c r="A404" s="119" t="n"/>
      <c r="B404" s="105" t="n"/>
      <c r="C404" s="105" t="n"/>
      <c r="D404" s="170" t="n"/>
      <c r="E404" s="106" t="n"/>
      <c r="F404" s="105" t="n"/>
      <c r="G404" s="171">
        <f>IF(J404="","",HYPERLINK("#Transaksi!B"&amp;J404,"Kas"))</f>
        <v/>
      </c>
      <c r="H404" s="172" t="n"/>
      <c r="I404" s="172" t="n"/>
      <c r="J404" s="119" t="n"/>
    </row>
    <row r="405">
      <c r="A405" s="119" t="n"/>
      <c r="B405" s="105" t="n"/>
      <c r="C405" s="105" t="n"/>
      <c r="D405" s="170" t="n"/>
      <c r="E405" s="106" t="n"/>
      <c r="F405" s="105" t="n"/>
      <c r="G405" s="171">
        <f>IF(J405="","",HYPERLINK("#Transaksi!B"&amp;J405,"Kas"))</f>
        <v/>
      </c>
      <c r="H405" s="172" t="n"/>
      <c r="I405" s="172" t="n"/>
      <c r="J405" s="119" t="n"/>
    </row>
    <row r="406">
      <c r="A406" s="119" t="n"/>
      <c r="B406" s="105" t="n"/>
      <c r="C406" s="105" t="n"/>
      <c r="D406" s="170" t="n"/>
      <c r="E406" s="106" t="n"/>
      <c r="F406" s="105" t="n"/>
      <c r="G406" s="171">
        <f>IF(J406="","",HYPERLINK("#Transaksi!B"&amp;J406,"Kas"))</f>
        <v/>
      </c>
      <c r="H406" s="172" t="n"/>
      <c r="I406" s="172" t="n"/>
      <c r="J406" s="119" t="n"/>
    </row>
    <row r="407">
      <c r="A407" s="119" t="n"/>
      <c r="B407" s="105" t="n"/>
      <c r="C407" s="105" t="n"/>
      <c r="D407" s="170" t="n"/>
      <c r="E407" s="106" t="n"/>
      <c r="F407" s="105" t="n"/>
      <c r="G407" s="171">
        <f>IF(J407="","",HYPERLINK("#Transaksi!B"&amp;J407,"Kas"))</f>
        <v/>
      </c>
      <c r="H407" s="172" t="n"/>
      <c r="I407" s="172" t="n"/>
      <c r="J407" s="119" t="n"/>
    </row>
    <row r="408">
      <c r="A408" s="119" t="n"/>
      <c r="B408" s="105" t="n"/>
      <c r="C408" s="105" t="n"/>
      <c r="D408" s="170" t="n"/>
      <c r="E408" s="106" t="n"/>
      <c r="F408" s="105" t="n"/>
      <c r="G408" s="171">
        <f>IF(J408="","",HYPERLINK("#Transaksi!B"&amp;J408,"Kas"))</f>
        <v/>
      </c>
      <c r="H408" s="172" t="n"/>
      <c r="I408" s="172" t="n"/>
      <c r="J408" s="119" t="n"/>
    </row>
    <row r="409">
      <c r="A409" s="119" t="n"/>
      <c r="B409" s="105" t="n"/>
      <c r="C409" s="105" t="n"/>
      <c r="D409" s="170" t="n"/>
      <c r="E409" s="106" t="n"/>
      <c r="F409" s="105" t="n"/>
      <c r="G409" s="171">
        <f>IF(J409="","",HYPERLINK("#Transaksi!B"&amp;J409,"Kas"))</f>
        <v/>
      </c>
      <c r="H409" s="172" t="n"/>
      <c r="I409" s="172" t="n"/>
      <c r="J409" s="119" t="n"/>
    </row>
    <row r="410">
      <c r="A410" s="119" t="n"/>
      <c r="B410" s="105" t="n"/>
      <c r="C410" s="105" t="n"/>
      <c r="D410" s="170" t="n"/>
      <c r="E410" s="106" t="n"/>
      <c r="F410" s="105" t="n"/>
      <c r="G410" s="171">
        <f>IF(J410="","",HYPERLINK("#Transaksi!B"&amp;J410,"Kas"))</f>
        <v/>
      </c>
      <c r="H410" s="172" t="n"/>
      <c r="I410" s="172" t="n"/>
      <c r="J410" s="119" t="n"/>
    </row>
    <row r="411">
      <c r="A411" s="119" t="n"/>
      <c r="B411" s="105" t="n"/>
      <c r="C411" s="105" t="n"/>
      <c r="D411" s="170" t="n"/>
      <c r="E411" s="106" t="n"/>
      <c r="F411" s="105" t="n"/>
      <c r="G411" s="171">
        <f>IF(J411="","",HYPERLINK("#Transaksi!B"&amp;J411,"Kas"))</f>
        <v/>
      </c>
      <c r="H411" s="172" t="n"/>
      <c r="I411" s="172" t="n"/>
      <c r="J411" s="119" t="n"/>
    </row>
    <row r="412">
      <c r="A412" s="119" t="n"/>
      <c r="B412" s="105" t="n"/>
      <c r="C412" s="105" t="n"/>
      <c r="D412" s="170" t="n"/>
      <c r="E412" s="106" t="n"/>
      <c r="F412" s="105" t="n"/>
      <c r="G412" s="171">
        <f>IF(J412="","",HYPERLINK("#Transaksi!B"&amp;J412,"Kas"))</f>
        <v/>
      </c>
      <c r="H412" s="172" t="n"/>
      <c r="I412" s="172" t="n"/>
      <c r="J412" s="119" t="n"/>
    </row>
    <row r="413">
      <c r="A413" s="119" t="n"/>
      <c r="B413" s="105" t="n"/>
      <c r="C413" s="105" t="n"/>
      <c r="D413" s="170" t="n"/>
      <c r="E413" s="106" t="n"/>
      <c r="F413" s="105" t="n"/>
      <c r="G413" s="171">
        <f>IF(J413="","",HYPERLINK("#Transaksi!B"&amp;J413,"Kas"))</f>
        <v/>
      </c>
      <c r="H413" s="172" t="n"/>
      <c r="I413" s="172" t="n"/>
      <c r="J413" s="119" t="n"/>
    </row>
    <row r="414">
      <c r="A414" s="119" t="n"/>
      <c r="B414" s="105" t="n"/>
      <c r="C414" s="105" t="n"/>
      <c r="D414" s="170" t="n"/>
      <c r="E414" s="106" t="n"/>
      <c r="F414" s="105" t="n"/>
      <c r="G414" s="171">
        <f>IF(J414="","",HYPERLINK("#Transaksi!B"&amp;J414,"Kas"))</f>
        <v/>
      </c>
      <c r="H414" s="172" t="n"/>
      <c r="I414" s="172" t="n"/>
      <c r="J414" s="119" t="n"/>
    </row>
    <row r="415">
      <c r="A415" s="119" t="n"/>
      <c r="B415" s="105" t="n"/>
      <c r="C415" s="105" t="n"/>
      <c r="D415" s="170" t="n"/>
      <c r="E415" s="106" t="n"/>
      <c r="F415" s="105" t="n"/>
      <c r="G415" s="171">
        <f>IF(J415="","",HYPERLINK("#Transaksi!B"&amp;J415,"Kas"))</f>
        <v/>
      </c>
      <c r="H415" s="172" t="n"/>
      <c r="I415" s="172" t="n"/>
      <c r="J415" s="119" t="n"/>
    </row>
    <row r="416">
      <c r="A416" s="119" t="n"/>
      <c r="B416" s="105" t="n"/>
      <c r="C416" s="105" t="n"/>
      <c r="D416" s="170" t="n"/>
      <c r="E416" s="106" t="n"/>
      <c r="F416" s="105" t="n"/>
      <c r="G416" s="171">
        <f>IF(J416="","",HYPERLINK("#Transaksi!B"&amp;J416,"Kas"))</f>
        <v/>
      </c>
      <c r="H416" s="172" t="n"/>
      <c r="I416" s="172" t="n"/>
      <c r="J416" s="119" t="n"/>
    </row>
    <row r="417">
      <c r="A417" s="119" t="n"/>
      <c r="B417" s="105" t="n"/>
      <c r="C417" s="105" t="n"/>
      <c r="D417" s="170" t="n"/>
      <c r="E417" s="106" t="n"/>
      <c r="F417" s="105" t="n"/>
      <c r="G417" s="171">
        <f>IF(J417="","",HYPERLINK("#Transaksi!B"&amp;J417,"Kas"))</f>
        <v/>
      </c>
      <c r="H417" s="172" t="n"/>
      <c r="I417" s="172" t="n"/>
      <c r="J417" s="119" t="n"/>
    </row>
    <row r="418">
      <c r="A418" s="119" t="n"/>
      <c r="B418" s="105" t="n"/>
      <c r="C418" s="105" t="n"/>
      <c r="D418" s="170" t="n"/>
      <c r="E418" s="106" t="n"/>
      <c r="F418" s="105" t="n"/>
      <c r="G418" s="171">
        <f>IF(J418="","",HYPERLINK("#Transaksi!B"&amp;J418,"Kas"))</f>
        <v/>
      </c>
      <c r="H418" s="172" t="n"/>
      <c r="I418" s="172" t="n"/>
      <c r="J418" s="119" t="n"/>
    </row>
    <row r="419">
      <c r="A419" s="119" t="n"/>
      <c r="B419" s="105" t="n"/>
      <c r="C419" s="105" t="n"/>
      <c r="D419" s="170" t="n"/>
      <c r="E419" s="106" t="n"/>
      <c r="F419" s="105" t="n"/>
      <c r="G419" s="171">
        <f>IF(J419="","",HYPERLINK("#Transaksi!B"&amp;J419,"Kas"))</f>
        <v/>
      </c>
      <c r="H419" s="172" t="n"/>
      <c r="I419" s="172" t="n"/>
      <c r="J419" s="119" t="n"/>
    </row>
    <row r="420">
      <c r="A420" s="119" t="n"/>
      <c r="B420" s="105" t="n"/>
      <c r="C420" s="105" t="n"/>
      <c r="D420" s="170" t="n"/>
      <c r="E420" s="106" t="n"/>
      <c r="F420" s="105" t="n"/>
      <c r="G420" s="171">
        <f>IF(J420="","",HYPERLINK("#Transaksi!B"&amp;J420,"Kas"))</f>
        <v/>
      </c>
      <c r="H420" s="172" t="n"/>
      <c r="I420" s="172" t="n"/>
      <c r="J420" s="119" t="n"/>
    </row>
    <row r="421">
      <c r="A421" s="119" t="n"/>
      <c r="B421" s="105" t="n"/>
      <c r="C421" s="105" t="n"/>
      <c r="D421" s="170" t="n"/>
      <c r="E421" s="106" t="n"/>
      <c r="F421" s="105" t="n"/>
      <c r="G421" s="171">
        <f>IF(J421="","",HYPERLINK("#Transaksi!B"&amp;J421,"Kas"))</f>
        <v/>
      </c>
      <c r="H421" s="172" t="n"/>
      <c r="I421" s="172" t="n"/>
      <c r="J421" s="119" t="n"/>
    </row>
    <row r="422">
      <c r="A422" s="119" t="n"/>
      <c r="B422" s="105" t="n"/>
      <c r="C422" s="105" t="n"/>
      <c r="D422" s="170" t="n"/>
      <c r="E422" s="106" t="n"/>
      <c r="F422" s="105" t="n"/>
      <c r="G422" s="171">
        <f>IF(J422="","",HYPERLINK("#Transaksi!B"&amp;J422,"Kas"))</f>
        <v/>
      </c>
      <c r="H422" s="172" t="n"/>
      <c r="I422" s="172" t="n"/>
      <c r="J422" s="119" t="n"/>
    </row>
    <row r="423">
      <c r="A423" s="119" t="n"/>
      <c r="B423" s="105" t="n"/>
      <c r="C423" s="105" t="n"/>
      <c r="D423" s="170" t="n"/>
      <c r="E423" s="106" t="n"/>
      <c r="F423" s="105" t="n"/>
      <c r="G423" s="171">
        <f>IF(J423="","",HYPERLINK("#Transaksi!B"&amp;J423,"Kas"))</f>
        <v/>
      </c>
      <c r="H423" s="172" t="n"/>
      <c r="I423" s="172" t="n"/>
      <c r="J423" s="119" t="n"/>
    </row>
    <row r="424">
      <c r="A424" s="119" t="n"/>
      <c r="B424" s="105" t="n"/>
      <c r="C424" s="105" t="n"/>
      <c r="D424" s="170" t="n"/>
      <c r="E424" s="106" t="n"/>
      <c r="F424" s="105" t="n"/>
      <c r="G424" s="171">
        <f>IF(J424="","",HYPERLINK("#Transaksi!B"&amp;J424,"Kas"))</f>
        <v/>
      </c>
      <c r="H424" s="172" t="n"/>
      <c r="I424" s="172" t="n"/>
      <c r="J424" s="119" t="n"/>
    </row>
    <row r="425">
      <c r="A425" s="119" t="n"/>
      <c r="B425" s="105" t="n"/>
      <c r="C425" s="105" t="n"/>
      <c r="D425" s="170" t="n"/>
      <c r="E425" s="106" t="n"/>
      <c r="F425" s="105" t="n"/>
      <c r="G425" s="171">
        <f>IF(J425="","",HYPERLINK("#Transaksi!B"&amp;J425,"Kas"))</f>
        <v/>
      </c>
      <c r="H425" s="172" t="n"/>
      <c r="I425" s="172" t="n"/>
      <c r="J425" s="119" t="n"/>
    </row>
    <row r="426">
      <c r="A426" s="119" t="n"/>
      <c r="B426" s="105" t="n"/>
      <c r="C426" s="105" t="n"/>
      <c r="D426" s="170" t="n"/>
      <c r="E426" s="106" t="n"/>
      <c r="F426" s="105" t="n"/>
      <c r="G426" s="171">
        <f>IF(J426="","",HYPERLINK("#Transaksi!B"&amp;J426,"Kas"))</f>
        <v/>
      </c>
      <c r="H426" s="172" t="n"/>
      <c r="I426" s="172" t="n"/>
      <c r="J426" s="119" t="n"/>
    </row>
    <row r="427">
      <c r="A427" s="119" t="n"/>
      <c r="B427" s="105" t="n"/>
      <c r="C427" s="105" t="n"/>
      <c r="D427" s="170" t="n"/>
      <c r="E427" s="106" t="n"/>
      <c r="F427" s="105" t="n"/>
      <c r="G427" s="171">
        <f>IF(J427="","",HYPERLINK("#Transaksi!B"&amp;J427,"Kas"))</f>
        <v/>
      </c>
      <c r="H427" s="172" t="n"/>
      <c r="I427" s="172" t="n"/>
      <c r="J427" s="119" t="n"/>
    </row>
    <row r="428">
      <c r="A428" s="119" t="n"/>
      <c r="B428" s="105" t="n"/>
      <c r="C428" s="105" t="n"/>
      <c r="D428" s="170" t="n"/>
      <c r="E428" s="106" t="n"/>
      <c r="F428" s="105" t="n"/>
      <c r="G428" s="171">
        <f>IF(J428="","",HYPERLINK("#Transaksi!B"&amp;J428,"Kas"))</f>
        <v/>
      </c>
      <c r="H428" s="172" t="n"/>
      <c r="I428" s="172" t="n"/>
      <c r="J428" s="119" t="n"/>
    </row>
    <row r="429">
      <c r="A429" s="119" t="n"/>
      <c r="B429" s="105" t="n"/>
      <c r="C429" s="105" t="n"/>
      <c r="D429" s="170" t="n"/>
      <c r="E429" s="106" t="n"/>
      <c r="F429" s="105" t="n"/>
      <c r="G429" s="171">
        <f>IF(J429="","",HYPERLINK("#Transaksi!B"&amp;J429,"Kas"))</f>
        <v/>
      </c>
      <c r="H429" s="172" t="n"/>
      <c r="I429" s="172" t="n"/>
      <c r="J429" s="119" t="n"/>
    </row>
    <row r="430">
      <c r="A430" s="119" t="n"/>
      <c r="B430" s="105" t="n"/>
      <c r="C430" s="105" t="n"/>
      <c r="D430" s="170" t="n"/>
      <c r="E430" s="106" t="n"/>
      <c r="F430" s="105" t="n"/>
      <c r="G430" s="171">
        <f>IF(J430="","",HYPERLINK("#Transaksi!B"&amp;J430,"Kas"))</f>
        <v/>
      </c>
      <c r="H430" s="172" t="n"/>
      <c r="I430" s="172" t="n"/>
      <c r="J430" s="119" t="n"/>
    </row>
    <row r="431">
      <c r="A431" s="119" t="n"/>
      <c r="B431" s="105" t="n"/>
      <c r="C431" s="105" t="n"/>
      <c r="D431" s="170" t="n"/>
      <c r="E431" s="106" t="n"/>
      <c r="F431" s="105" t="n"/>
      <c r="G431" s="171">
        <f>IF(J431="","",HYPERLINK("#Transaksi!B"&amp;J431,"Kas"))</f>
        <v/>
      </c>
      <c r="H431" s="172" t="n"/>
      <c r="I431" s="172" t="n"/>
      <c r="J431" s="119" t="n"/>
    </row>
    <row r="432">
      <c r="A432" s="119" t="n"/>
      <c r="B432" s="105" t="n"/>
      <c r="C432" s="105" t="n"/>
      <c r="D432" s="170" t="n"/>
      <c r="E432" s="106" t="n"/>
      <c r="F432" s="105" t="n"/>
      <c r="G432" s="171">
        <f>IF(J432="","",HYPERLINK("#Transaksi!B"&amp;J432,"Kas"))</f>
        <v/>
      </c>
      <c r="H432" s="172" t="n"/>
      <c r="I432" s="172" t="n"/>
      <c r="J432" s="119" t="n"/>
    </row>
    <row r="433">
      <c r="A433" s="119" t="n"/>
      <c r="B433" s="105" t="n"/>
      <c r="C433" s="105" t="n"/>
      <c r="D433" s="170" t="n"/>
      <c r="E433" s="106" t="n"/>
      <c r="F433" s="105" t="n"/>
      <c r="G433" s="171">
        <f>IF(J433="","",HYPERLINK("#Transaksi!B"&amp;J433,"Kas"))</f>
        <v/>
      </c>
      <c r="H433" s="172" t="n"/>
      <c r="I433" s="172" t="n"/>
      <c r="J433" s="119" t="n"/>
    </row>
    <row r="434">
      <c r="A434" s="119" t="n"/>
      <c r="B434" s="105" t="n"/>
      <c r="C434" s="105" t="n"/>
      <c r="D434" s="170" t="n"/>
      <c r="E434" s="106" t="n"/>
      <c r="F434" s="105" t="n"/>
      <c r="G434" s="171">
        <f>IF(J434="","",HYPERLINK("#Transaksi!B"&amp;J434,"Kas"))</f>
        <v/>
      </c>
      <c r="H434" s="172" t="n"/>
      <c r="I434" s="172" t="n"/>
      <c r="J434" s="119" t="n"/>
    </row>
    <row r="435">
      <c r="A435" s="119" t="n"/>
      <c r="B435" s="105" t="n"/>
      <c r="C435" s="105" t="n"/>
      <c r="D435" s="170" t="n"/>
      <c r="E435" s="106" t="n"/>
      <c r="F435" s="105" t="n"/>
      <c r="G435" s="171">
        <f>IF(J435="","",HYPERLINK("#Transaksi!B"&amp;J435,"Kas"))</f>
        <v/>
      </c>
      <c r="H435" s="172" t="n"/>
      <c r="I435" s="172" t="n"/>
      <c r="J435" s="119" t="n"/>
    </row>
    <row r="436">
      <c r="A436" s="119" t="n"/>
      <c r="B436" s="105" t="n"/>
      <c r="C436" s="105" t="n"/>
      <c r="D436" s="170" t="n"/>
      <c r="E436" s="106" t="n"/>
      <c r="F436" s="105" t="n"/>
      <c r="G436" s="171">
        <f>IF(J436="","",HYPERLINK("#Transaksi!B"&amp;J436,"Kas"))</f>
        <v/>
      </c>
      <c r="H436" s="172" t="n"/>
      <c r="I436" s="172" t="n"/>
      <c r="J436" s="119" t="n"/>
    </row>
    <row r="437">
      <c r="A437" s="119" t="n"/>
      <c r="B437" s="105" t="n"/>
      <c r="C437" s="105" t="n"/>
      <c r="D437" s="170" t="n"/>
      <c r="E437" s="106" t="n"/>
      <c r="F437" s="105" t="n"/>
      <c r="G437" s="171">
        <f>IF(J437="","",HYPERLINK("#Transaksi!B"&amp;J437,"Kas"))</f>
        <v/>
      </c>
      <c r="H437" s="172" t="n"/>
      <c r="I437" s="172" t="n"/>
      <c r="J437" s="119" t="n"/>
    </row>
    <row r="438">
      <c r="A438" s="119" t="n"/>
      <c r="B438" s="105" t="n"/>
      <c r="C438" s="105" t="n"/>
      <c r="D438" s="170" t="n"/>
      <c r="E438" s="106" t="n"/>
      <c r="F438" s="105" t="n"/>
      <c r="G438" s="171">
        <f>IF(J438="","",HYPERLINK("#Transaksi!B"&amp;J438,"Kas"))</f>
        <v/>
      </c>
      <c r="H438" s="172" t="n"/>
      <c r="I438" s="172" t="n"/>
      <c r="J438" s="119" t="n"/>
    </row>
    <row r="439">
      <c r="A439" s="119" t="n"/>
      <c r="B439" s="105" t="n"/>
      <c r="C439" s="105" t="n"/>
      <c r="D439" s="170" t="n"/>
      <c r="E439" s="106" t="n"/>
      <c r="F439" s="105" t="n"/>
      <c r="G439" s="171">
        <f>IF(J439="","",HYPERLINK("#Transaksi!B"&amp;J439,"Kas"))</f>
        <v/>
      </c>
      <c r="H439" s="172" t="n"/>
      <c r="I439" s="172" t="n"/>
      <c r="J439" s="119" t="n"/>
    </row>
    <row r="440">
      <c r="A440" s="119" t="n"/>
      <c r="B440" s="105" t="n"/>
      <c r="C440" s="105" t="n"/>
      <c r="D440" s="170" t="n"/>
      <c r="E440" s="106" t="n"/>
      <c r="F440" s="105" t="n"/>
      <c r="G440" s="171">
        <f>IF(J440="","",HYPERLINK("#Transaksi!B"&amp;J440,"Kas"))</f>
        <v/>
      </c>
      <c r="H440" s="172" t="n"/>
      <c r="I440" s="172" t="n"/>
      <c r="J440" s="119" t="n"/>
    </row>
    <row r="441">
      <c r="A441" s="119" t="n"/>
      <c r="B441" s="105" t="n"/>
      <c r="C441" s="105" t="n"/>
      <c r="D441" s="170" t="n"/>
      <c r="E441" s="106" t="n"/>
      <c r="F441" s="105" t="n"/>
      <c r="G441" s="171">
        <f>IF(J441="","",HYPERLINK("#Transaksi!B"&amp;J441,"Kas"))</f>
        <v/>
      </c>
      <c r="H441" s="172" t="n"/>
      <c r="I441" s="172" t="n"/>
      <c r="J441" s="119" t="n"/>
    </row>
    <row r="442">
      <c r="A442" s="119" t="n"/>
      <c r="B442" s="105" t="n"/>
      <c r="C442" s="105" t="n"/>
      <c r="D442" s="170" t="n"/>
      <c r="E442" s="106" t="n"/>
      <c r="F442" s="105" t="n"/>
      <c r="G442" s="171">
        <f>IF(J442="","",HYPERLINK("#Transaksi!B"&amp;J442,"Kas"))</f>
        <v/>
      </c>
      <c r="H442" s="172" t="n"/>
      <c r="I442" s="172" t="n"/>
      <c r="J442" s="119" t="n"/>
    </row>
    <row r="443">
      <c r="A443" s="119" t="n"/>
      <c r="B443" s="105" t="n"/>
      <c r="C443" s="105" t="n"/>
      <c r="D443" s="170" t="n"/>
      <c r="E443" s="106" t="n"/>
      <c r="F443" s="105" t="n"/>
      <c r="G443" s="171">
        <f>IF(J443="","",HYPERLINK("#Transaksi!B"&amp;J443,"Kas"))</f>
        <v/>
      </c>
      <c r="H443" s="172" t="n"/>
      <c r="I443" s="172" t="n"/>
      <c r="J443" s="119" t="n"/>
    </row>
    <row r="444">
      <c r="A444" s="119" t="n"/>
      <c r="B444" s="105" t="n"/>
      <c r="C444" s="105" t="n"/>
      <c r="D444" s="170" t="n"/>
      <c r="E444" s="106" t="n"/>
      <c r="F444" s="105" t="n"/>
      <c r="G444" s="171">
        <f>IF(J444="","",HYPERLINK("#Transaksi!B"&amp;J444,"Kas"))</f>
        <v/>
      </c>
      <c r="H444" s="172" t="n"/>
      <c r="I444" s="172" t="n"/>
      <c r="J444" s="119" t="n"/>
    </row>
    <row r="445">
      <c r="A445" s="119" t="n"/>
      <c r="B445" s="105" t="n"/>
      <c r="C445" s="105" t="n"/>
      <c r="D445" s="170" t="n"/>
      <c r="E445" s="106" t="n"/>
      <c r="F445" s="105" t="n"/>
      <c r="G445" s="171">
        <f>IF(J445="","",HYPERLINK("#Transaksi!B"&amp;J445,"Kas"))</f>
        <v/>
      </c>
      <c r="H445" s="172" t="n"/>
      <c r="I445" s="172" t="n"/>
      <c r="J445" s="119" t="n"/>
    </row>
    <row r="446">
      <c r="A446" s="119" t="n"/>
      <c r="B446" s="105" t="n"/>
      <c r="C446" s="105" t="n"/>
      <c r="D446" s="170" t="n"/>
      <c r="E446" s="106" t="n"/>
      <c r="F446" s="105" t="n"/>
      <c r="G446" s="171">
        <f>IF(J446="","",HYPERLINK("#Transaksi!B"&amp;J446,"Kas"))</f>
        <v/>
      </c>
      <c r="H446" s="172" t="n"/>
      <c r="I446" s="172" t="n"/>
      <c r="J446" s="119" t="n"/>
    </row>
    <row r="447">
      <c r="A447" s="119" t="n"/>
      <c r="B447" s="105" t="n"/>
      <c r="C447" s="105" t="n"/>
      <c r="D447" s="170" t="n"/>
      <c r="E447" s="106" t="n"/>
      <c r="F447" s="105" t="n"/>
      <c r="G447" s="171">
        <f>IF(J447="","",HYPERLINK("#Transaksi!B"&amp;J447,"Kas"))</f>
        <v/>
      </c>
      <c r="H447" s="172" t="n"/>
      <c r="I447" s="172" t="n"/>
      <c r="J447" s="119" t="n"/>
    </row>
    <row r="448">
      <c r="A448" s="119" t="n"/>
      <c r="B448" s="105" t="n"/>
      <c r="C448" s="105" t="n"/>
      <c r="D448" s="170" t="n"/>
      <c r="E448" s="106" t="n"/>
      <c r="F448" s="105" t="n"/>
      <c r="G448" s="171">
        <f>IF(J448="","",HYPERLINK("#Transaksi!B"&amp;J448,"Kas"))</f>
        <v/>
      </c>
      <c r="H448" s="172" t="n"/>
      <c r="I448" s="172" t="n"/>
      <c r="J448" s="119" t="n"/>
    </row>
    <row r="449">
      <c r="A449" s="119" t="n"/>
      <c r="B449" s="105" t="n"/>
      <c r="C449" s="105" t="n"/>
      <c r="D449" s="170" t="n"/>
      <c r="E449" s="106" t="n"/>
      <c r="F449" s="105" t="n"/>
      <c r="G449" s="171">
        <f>IF(J449="","",HYPERLINK("#Transaksi!B"&amp;J449,"Kas"))</f>
        <v/>
      </c>
      <c r="H449" s="172" t="n"/>
      <c r="I449" s="172" t="n"/>
      <c r="J449" s="119" t="n"/>
    </row>
    <row r="450">
      <c r="A450" s="119" t="n"/>
      <c r="B450" s="105" t="n"/>
      <c r="C450" s="105" t="n"/>
      <c r="D450" s="170" t="n"/>
      <c r="E450" s="106" t="n"/>
      <c r="F450" s="105" t="n"/>
      <c r="G450" s="171">
        <f>IF(J450="","",HYPERLINK("#Transaksi!B"&amp;J450,"Kas"))</f>
        <v/>
      </c>
      <c r="H450" s="172" t="n"/>
      <c r="I450" s="172" t="n"/>
      <c r="J450" s="119" t="n"/>
    </row>
    <row r="451">
      <c r="A451" s="119" t="n"/>
      <c r="B451" s="105" t="n"/>
      <c r="C451" s="105" t="n"/>
      <c r="D451" s="170" t="n"/>
      <c r="E451" s="106" t="n"/>
      <c r="F451" s="105" t="n"/>
      <c r="G451" s="171">
        <f>IF(J451="","",HYPERLINK("#Transaksi!B"&amp;J451,"Kas"))</f>
        <v/>
      </c>
      <c r="H451" s="172" t="n"/>
      <c r="I451" s="172" t="n"/>
      <c r="J451" s="119" t="n"/>
    </row>
    <row r="452">
      <c r="A452" s="119" t="n"/>
      <c r="B452" s="105" t="n"/>
      <c r="C452" s="105" t="n"/>
      <c r="D452" s="170" t="n"/>
      <c r="E452" s="106" t="n"/>
      <c r="F452" s="105" t="n"/>
      <c r="G452" s="171">
        <f>IF(J452="","",HYPERLINK("#Transaksi!B"&amp;J452,"Kas"))</f>
        <v/>
      </c>
      <c r="H452" s="172" t="n"/>
      <c r="I452" s="172" t="n"/>
      <c r="J452" s="119" t="n"/>
    </row>
    <row r="453">
      <c r="A453" s="119" t="n"/>
      <c r="B453" s="105" t="n"/>
      <c r="C453" s="105" t="n"/>
      <c r="D453" s="170" t="n"/>
      <c r="E453" s="106" t="n"/>
      <c r="F453" s="105" t="n"/>
      <c r="G453" s="171">
        <f>IF(J453="","",HYPERLINK("#Transaksi!B"&amp;J453,"Kas"))</f>
        <v/>
      </c>
      <c r="H453" s="172" t="n"/>
      <c r="I453" s="172" t="n"/>
      <c r="J453" s="119" t="n"/>
    </row>
    <row r="454">
      <c r="A454" s="119" t="n"/>
      <c r="B454" s="105" t="n"/>
      <c r="C454" s="105" t="n"/>
      <c r="D454" s="170" t="n"/>
      <c r="E454" s="106" t="n"/>
      <c r="F454" s="105" t="n"/>
      <c r="G454" s="171">
        <f>IF(J454="","",HYPERLINK("#Transaksi!B"&amp;J454,"Kas"))</f>
        <v/>
      </c>
      <c r="H454" s="172" t="n"/>
      <c r="I454" s="172" t="n"/>
      <c r="J454" s="119" t="n"/>
    </row>
    <row r="455">
      <c r="A455" s="119" t="n"/>
      <c r="B455" s="105" t="n"/>
      <c r="C455" s="105" t="n"/>
      <c r="D455" s="170" t="n"/>
      <c r="E455" s="106" t="n"/>
      <c r="F455" s="105" t="n"/>
      <c r="G455" s="171">
        <f>IF(J455="","",HYPERLINK("#Transaksi!B"&amp;J455,"Kas"))</f>
        <v/>
      </c>
      <c r="H455" s="172" t="n"/>
      <c r="I455" s="172" t="n"/>
      <c r="J455" s="119" t="n"/>
    </row>
    <row r="456">
      <c r="A456" s="119" t="n"/>
      <c r="B456" s="105" t="n"/>
      <c r="C456" s="105" t="n"/>
      <c r="D456" s="170" t="n"/>
      <c r="E456" s="106" t="n"/>
      <c r="F456" s="105" t="n"/>
      <c r="G456" s="171">
        <f>IF(J456="","",HYPERLINK("#Transaksi!B"&amp;J456,"Kas"))</f>
        <v/>
      </c>
      <c r="H456" s="172" t="n"/>
      <c r="I456" s="172" t="n"/>
      <c r="J456" s="119" t="n"/>
    </row>
    <row r="457">
      <c r="A457" s="119" t="n"/>
      <c r="B457" s="105" t="n"/>
      <c r="C457" s="105" t="n"/>
      <c r="D457" s="170" t="n"/>
      <c r="E457" s="106" t="n"/>
      <c r="F457" s="105" t="n"/>
      <c r="G457" s="171">
        <f>IF(J457="","",HYPERLINK("#Transaksi!B"&amp;J457,"Kas"))</f>
        <v/>
      </c>
      <c r="H457" s="172" t="n"/>
      <c r="I457" s="172" t="n"/>
      <c r="J457" s="119" t="n"/>
    </row>
    <row r="458">
      <c r="A458" s="119" t="n"/>
      <c r="B458" s="105" t="n"/>
      <c r="C458" s="105" t="n"/>
      <c r="D458" s="170" t="n"/>
      <c r="E458" s="106" t="n"/>
      <c r="F458" s="105" t="n"/>
      <c r="G458" s="171">
        <f>IF(J458="","",HYPERLINK("#Transaksi!B"&amp;J458,"Kas"))</f>
        <v/>
      </c>
      <c r="H458" s="172" t="n"/>
      <c r="I458" s="172" t="n"/>
      <c r="J458" s="119" t="n"/>
    </row>
    <row r="459">
      <c r="A459" s="119" t="n"/>
      <c r="B459" s="105" t="n"/>
      <c r="C459" s="105" t="n"/>
      <c r="D459" s="170" t="n"/>
      <c r="E459" s="106" t="n"/>
      <c r="F459" s="105" t="n"/>
      <c r="G459" s="171">
        <f>IF(J459="","",HYPERLINK("#Transaksi!B"&amp;J459,"Kas"))</f>
        <v/>
      </c>
      <c r="H459" s="172" t="n"/>
      <c r="I459" s="172" t="n"/>
      <c r="J459" s="119" t="n"/>
    </row>
    <row r="460">
      <c r="A460" s="119" t="n"/>
      <c r="B460" s="105" t="n"/>
      <c r="C460" s="105" t="n"/>
      <c r="D460" s="170" t="n"/>
      <c r="E460" s="106" t="n"/>
      <c r="F460" s="105" t="n"/>
      <c r="G460" s="171">
        <f>IF(J460="","",HYPERLINK("#Transaksi!B"&amp;J460,"Kas"))</f>
        <v/>
      </c>
      <c r="H460" s="172" t="n"/>
      <c r="I460" s="172" t="n"/>
      <c r="J460" s="119" t="n"/>
    </row>
    <row r="461">
      <c r="A461" s="119" t="n"/>
      <c r="B461" s="105" t="n"/>
      <c r="C461" s="105" t="n"/>
      <c r="D461" s="170" t="n"/>
      <c r="E461" s="106" t="n"/>
      <c r="F461" s="105" t="n"/>
      <c r="G461" s="171">
        <f>IF(J461="","",HYPERLINK("#Transaksi!B"&amp;J461,"Kas"))</f>
        <v/>
      </c>
      <c r="H461" s="172" t="n"/>
      <c r="I461" s="172" t="n"/>
      <c r="J461" s="119" t="n"/>
    </row>
    <row r="462">
      <c r="A462" s="119" t="n"/>
      <c r="B462" s="105" t="n"/>
      <c r="C462" s="105" t="n"/>
      <c r="D462" s="170" t="n"/>
      <c r="E462" s="106" t="n"/>
      <c r="F462" s="105" t="n"/>
      <c r="G462" s="171">
        <f>IF(J462="","",HYPERLINK("#Transaksi!B"&amp;J462,"Kas"))</f>
        <v/>
      </c>
      <c r="H462" s="172" t="n"/>
      <c r="I462" s="172" t="n"/>
      <c r="J462" s="119" t="n"/>
    </row>
    <row r="463">
      <c r="A463" s="119" t="n"/>
      <c r="B463" s="105" t="n"/>
      <c r="C463" s="105" t="n"/>
      <c r="D463" s="170" t="n"/>
      <c r="E463" s="106" t="n"/>
      <c r="F463" s="105" t="n"/>
      <c r="G463" s="171">
        <f>IF(J463="","",HYPERLINK("#Transaksi!B"&amp;J463,"Kas"))</f>
        <v/>
      </c>
      <c r="H463" s="172" t="n"/>
      <c r="I463" s="172" t="n"/>
      <c r="J463" s="119" t="n"/>
    </row>
    <row r="464">
      <c r="A464" s="119" t="n"/>
      <c r="B464" s="105" t="n"/>
      <c r="C464" s="105" t="n"/>
      <c r="D464" s="170" t="n"/>
      <c r="E464" s="106" t="n"/>
      <c r="F464" s="105" t="n"/>
      <c r="G464" s="171">
        <f>IF(J464="","",HYPERLINK("#Transaksi!B"&amp;J464,"Kas"))</f>
        <v/>
      </c>
      <c r="H464" s="172" t="n"/>
      <c r="I464" s="172" t="n"/>
      <c r="J464" s="119" t="n"/>
    </row>
    <row r="465">
      <c r="A465" s="119" t="n"/>
      <c r="B465" s="105" t="n"/>
      <c r="C465" s="105" t="n"/>
      <c r="D465" s="170" t="n"/>
      <c r="E465" s="106" t="n"/>
      <c r="F465" s="105" t="n"/>
      <c r="G465" s="171">
        <f>IF(J465="","",HYPERLINK("#Transaksi!B"&amp;J465,"Kas"))</f>
        <v/>
      </c>
      <c r="H465" s="172" t="n"/>
      <c r="I465" s="172" t="n"/>
      <c r="J465" s="119" t="n"/>
    </row>
    <row r="466">
      <c r="A466" s="119" t="n"/>
      <c r="B466" s="105" t="n"/>
      <c r="C466" s="105" t="n"/>
      <c r="D466" s="170" t="n"/>
      <c r="E466" s="106" t="n"/>
      <c r="F466" s="105" t="n"/>
      <c r="G466" s="171">
        <f>IF(J466="","",HYPERLINK("#Transaksi!B"&amp;J466,"Kas"))</f>
        <v/>
      </c>
      <c r="H466" s="172" t="n"/>
      <c r="I466" s="172" t="n"/>
      <c r="J466" s="119" t="n"/>
    </row>
    <row r="467">
      <c r="A467" s="119" t="n"/>
      <c r="B467" s="105" t="n"/>
      <c r="C467" s="105" t="n"/>
      <c r="D467" s="170" t="n"/>
      <c r="E467" s="106" t="n"/>
      <c r="F467" s="105" t="n"/>
      <c r="G467" s="171">
        <f>IF(J467="","",HYPERLINK("#Transaksi!B"&amp;J467,"Kas"))</f>
        <v/>
      </c>
      <c r="H467" s="172" t="n"/>
      <c r="I467" s="172" t="n"/>
      <c r="J467" s="119" t="n"/>
    </row>
    <row r="468">
      <c r="A468" s="119" t="n"/>
      <c r="B468" s="105" t="n"/>
      <c r="C468" s="105" t="n"/>
      <c r="D468" s="170" t="n"/>
      <c r="E468" s="106" t="n"/>
      <c r="F468" s="105" t="n"/>
      <c r="G468" s="171">
        <f>IF(J468="","",HYPERLINK("#Transaksi!B"&amp;J468,"Kas"))</f>
        <v/>
      </c>
      <c r="H468" s="172" t="n"/>
      <c r="I468" s="172" t="n"/>
      <c r="J468" s="119" t="n"/>
    </row>
    <row r="469">
      <c r="A469" s="119" t="n"/>
      <c r="B469" s="105" t="n"/>
      <c r="C469" s="105" t="n"/>
      <c r="D469" s="170" t="n"/>
      <c r="E469" s="106" t="n"/>
      <c r="F469" s="105" t="n"/>
      <c r="G469" s="171">
        <f>IF(J469="","",HYPERLINK("#Transaksi!B"&amp;J469,"Kas"))</f>
        <v/>
      </c>
      <c r="H469" s="172" t="n"/>
      <c r="I469" s="172" t="n"/>
      <c r="J469" s="119" t="n"/>
    </row>
    <row r="470">
      <c r="A470" s="119" t="n"/>
      <c r="B470" s="105" t="n"/>
      <c r="C470" s="105" t="n"/>
      <c r="D470" s="170" t="n"/>
      <c r="E470" s="106" t="n"/>
      <c r="F470" s="105" t="n"/>
      <c r="G470" s="171">
        <f>IF(J470="","",HYPERLINK("#Transaksi!B"&amp;J470,"Kas"))</f>
        <v/>
      </c>
      <c r="H470" s="172" t="n"/>
      <c r="I470" s="172" t="n"/>
      <c r="J470" s="119" t="n"/>
    </row>
    <row r="471">
      <c r="A471" s="119" t="n"/>
      <c r="B471" s="105" t="n"/>
      <c r="C471" s="105" t="n"/>
      <c r="D471" s="170" t="n"/>
      <c r="E471" s="106" t="n"/>
      <c r="F471" s="105" t="n"/>
      <c r="G471" s="171">
        <f>IF(J471="","",HYPERLINK("#Transaksi!B"&amp;J471,"Kas"))</f>
        <v/>
      </c>
      <c r="H471" s="172" t="n"/>
      <c r="I471" s="172" t="n"/>
      <c r="J471" s="119" t="n"/>
    </row>
    <row r="472">
      <c r="A472" s="119" t="n"/>
      <c r="B472" s="105" t="n"/>
      <c r="C472" s="105" t="n"/>
      <c r="D472" s="170" t="n"/>
      <c r="E472" s="106" t="n"/>
      <c r="F472" s="105" t="n"/>
      <c r="G472" s="171">
        <f>IF(J472="","",HYPERLINK("#Transaksi!B"&amp;J472,"Kas"))</f>
        <v/>
      </c>
      <c r="H472" s="172" t="n"/>
      <c r="I472" s="172" t="n"/>
      <c r="J472" s="119" t="n"/>
    </row>
    <row r="473">
      <c r="A473" s="119" t="n"/>
      <c r="B473" s="105" t="n"/>
      <c r="C473" s="105" t="n"/>
      <c r="D473" s="170" t="n"/>
      <c r="E473" s="106" t="n"/>
      <c r="F473" s="105" t="n"/>
      <c r="G473" s="171">
        <f>IF(J473="","",HYPERLINK("#Transaksi!B"&amp;J473,"Kas"))</f>
        <v/>
      </c>
      <c r="H473" s="172" t="n"/>
      <c r="I473" s="172" t="n"/>
      <c r="J473" s="119" t="n"/>
    </row>
    <row r="474">
      <c r="A474" s="119" t="n"/>
      <c r="B474" s="105" t="n"/>
      <c r="C474" s="105" t="n"/>
      <c r="D474" s="170" t="n"/>
      <c r="E474" s="106" t="n"/>
      <c r="F474" s="105" t="n"/>
      <c r="G474" s="171">
        <f>IF(J474="","",HYPERLINK("#Transaksi!B"&amp;J474,"Kas"))</f>
        <v/>
      </c>
      <c r="H474" s="172" t="n"/>
      <c r="I474" s="172" t="n"/>
      <c r="J474" s="119" t="n"/>
    </row>
    <row r="475">
      <c r="A475" s="119" t="n"/>
      <c r="B475" s="105" t="n"/>
      <c r="C475" s="105" t="n"/>
      <c r="D475" s="170" t="n"/>
      <c r="E475" s="106" t="n"/>
      <c r="F475" s="105" t="n"/>
      <c r="G475" s="171">
        <f>IF(J475="","",HYPERLINK("#Transaksi!B"&amp;J475,"Kas"))</f>
        <v/>
      </c>
      <c r="H475" s="172" t="n"/>
      <c r="I475" s="172" t="n"/>
      <c r="J475" s="119" t="n"/>
    </row>
    <row r="476">
      <c r="A476" s="119" t="n"/>
      <c r="B476" s="105" t="n"/>
      <c r="C476" s="105" t="n"/>
      <c r="D476" s="170" t="n"/>
      <c r="E476" s="106" t="n"/>
      <c r="F476" s="105" t="n"/>
      <c r="G476" s="171">
        <f>IF(J476="","",HYPERLINK("#Transaksi!B"&amp;J476,"Kas"))</f>
        <v/>
      </c>
      <c r="H476" s="172" t="n"/>
      <c r="I476" s="172" t="n"/>
      <c r="J476" s="119" t="n"/>
    </row>
    <row r="477">
      <c r="A477" s="119" t="n"/>
      <c r="B477" s="105" t="n"/>
      <c r="C477" s="105" t="n"/>
      <c r="D477" s="170" t="n"/>
      <c r="E477" s="106" t="n"/>
      <c r="F477" s="105" t="n"/>
      <c r="G477" s="171">
        <f>IF(J477="","",HYPERLINK("#Transaksi!B"&amp;J477,"Kas"))</f>
        <v/>
      </c>
      <c r="H477" s="172" t="n"/>
      <c r="I477" s="172" t="n"/>
      <c r="J477" s="119" t="n"/>
    </row>
    <row r="478">
      <c r="A478" s="119" t="n"/>
      <c r="B478" s="105" t="n"/>
      <c r="C478" s="105" t="n"/>
      <c r="D478" s="170" t="n"/>
      <c r="E478" s="106" t="n"/>
      <c r="F478" s="105" t="n"/>
      <c r="G478" s="171">
        <f>IF(J478="","",HYPERLINK("#Transaksi!B"&amp;J478,"Kas"))</f>
        <v/>
      </c>
      <c r="H478" s="172" t="n"/>
      <c r="I478" s="172" t="n"/>
      <c r="J478" s="119" t="n"/>
    </row>
    <row r="479">
      <c r="A479" s="119" t="n"/>
      <c r="B479" s="105" t="n"/>
      <c r="C479" s="105" t="n"/>
      <c r="D479" s="170" t="n"/>
      <c r="E479" s="106" t="n"/>
      <c r="F479" s="105" t="n"/>
      <c r="G479" s="171">
        <f>IF(J479="","",HYPERLINK("#Transaksi!B"&amp;J479,"Kas"))</f>
        <v/>
      </c>
      <c r="H479" s="172" t="n"/>
      <c r="I479" s="172" t="n"/>
      <c r="J479" s="119" t="n"/>
    </row>
    <row r="480">
      <c r="A480" s="119" t="n"/>
      <c r="B480" s="105" t="n"/>
      <c r="C480" s="105" t="n"/>
      <c r="D480" s="170" t="n"/>
      <c r="E480" s="106" t="n"/>
      <c r="F480" s="105" t="n"/>
      <c r="G480" s="171">
        <f>IF(J480="","",HYPERLINK("#Transaksi!B"&amp;J480,"Kas"))</f>
        <v/>
      </c>
      <c r="H480" s="172" t="n"/>
      <c r="I480" s="172" t="n"/>
      <c r="J480" s="119" t="n"/>
    </row>
    <row r="481">
      <c r="A481" s="119" t="n"/>
      <c r="B481" s="105" t="n"/>
      <c r="C481" s="105" t="n"/>
      <c r="D481" s="170" t="n"/>
      <c r="E481" s="106" t="n"/>
      <c r="F481" s="105" t="n"/>
      <c r="G481" s="171">
        <f>IF(J481="","",HYPERLINK("#Transaksi!B"&amp;J481,"Kas"))</f>
        <v/>
      </c>
      <c r="H481" s="172" t="n"/>
      <c r="I481" s="172" t="n"/>
      <c r="J481" s="119" t="n"/>
    </row>
    <row r="482">
      <c r="A482" s="119" t="n"/>
      <c r="B482" s="105" t="n"/>
      <c r="C482" s="105" t="n"/>
      <c r="D482" s="170" t="n"/>
      <c r="E482" s="106" t="n"/>
      <c r="F482" s="105" t="n"/>
      <c r="G482" s="171">
        <f>IF(J482="","",HYPERLINK("#Transaksi!B"&amp;J482,"Kas"))</f>
        <v/>
      </c>
      <c r="H482" s="172" t="n"/>
      <c r="I482" s="172" t="n"/>
      <c r="J482" s="119" t="n"/>
    </row>
    <row r="483">
      <c r="A483" s="119" t="n"/>
      <c r="B483" s="105" t="n"/>
      <c r="C483" s="105" t="n"/>
      <c r="D483" s="170" t="n"/>
      <c r="E483" s="106" t="n"/>
      <c r="F483" s="105" t="n"/>
      <c r="G483" s="171">
        <f>IF(J483="","",HYPERLINK("#Transaksi!B"&amp;J483,"Kas"))</f>
        <v/>
      </c>
      <c r="H483" s="172" t="n"/>
      <c r="I483" s="172" t="n"/>
      <c r="J483" s="119" t="n"/>
    </row>
    <row r="484">
      <c r="A484" s="119" t="n"/>
      <c r="B484" s="105" t="n"/>
      <c r="C484" s="105" t="n"/>
      <c r="D484" s="170" t="n"/>
      <c r="E484" s="106" t="n"/>
      <c r="F484" s="105" t="n"/>
      <c r="G484" s="171">
        <f>IF(J484="","",HYPERLINK("#Transaksi!B"&amp;J484,"Kas"))</f>
        <v/>
      </c>
      <c r="H484" s="172" t="n"/>
      <c r="I484" s="172" t="n"/>
      <c r="J484" s="119" t="n"/>
    </row>
    <row r="485">
      <c r="A485" s="119" t="n"/>
      <c r="B485" s="105" t="n"/>
      <c r="C485" s="105" t="n"/>
      <c r="D485" s="170" t="n"/>
      <c r="E485" s="106" t="n"/>
      <c r="F485" s="105" t="n"/>
      <c r="G485" s="171">
        <f>IF(J485="","",HYPERLINK("#Transaksi!B"&amp;J485,"Kas"))</f>
        <v/>
      </c>
      <c r="H485" s="172" t="n"/>
      <c r="I485" s="172" t="n"/>
      <c r="J485" s="119" t="n"/>
    </row>
    <row r="486">
      <c r="A486" s="119" t="n"/>
      <c r="B486" s="105" t="n"/>
      <c r="C486" s="105" t="n"/>
      <c r="D486" s="170" t="n"/>
      <c r="E486" s="106" t="n"/>
      <c r="F486" s="105" t="n"/>
      <c r="G486" s="171">
        <f>IF(J486="","",HYPERLINK("#Transaksi!B"&amp;J486,"Kas"))</f>
        <v/>
      </c>
      <c r="H486" s="172" t="n"/>
      <c r="I486" s="172" t="n"/>
      <c r="J486" s="119" t="n"/>
    </row>
    <row r="487">
      <c r="A487" s="119" t="n"/>
      <c r="B487" s="105" t="n"/>
      <c r="C487" s="105" t="n"/>
      <c r="D487" s="170" t="n"/>
      <c r="E487" s="106" t="n"/>
      <c r="F487" s="105" t="n"/>
      <c r="G487" s="171">
        <f>IF(J487="","",HYPERLINK("#Transaksi!B"&amp;J487,"Kas"))</f>
        <v/>
      </c>
      <c r="H487" s="172" t="n"/>
      <c r="I487" s="172" t="n"/>
      <c r="J487" s="119" t="n"/>
    </row>
    <row r="488">
      <c r="A488" s="119" t="n"/>
      <c r="B488" s="105" t="n"/>
      <c r="C488" s="105" t="n"/>
      <c r="D488" s="170" t="n"/>
      <c r="E488" s="106" t="n"/>
      <c r="F488" s="105" t="n"/>
      <c r="G488" s="171">
        <f>IF(J488="","",HYPERLINK("#Transaksi!B"&amp;J488,"Kas"))</f>
        <v/>
      </c>
      <c r="H488" s="172" t="n"/>
      <c r="I488" s="172" t="n"/>
      <c r="J488" s="119" t="n"/>
    </row>
    <row r="489">
      <c r="A489" s="119" t="n"/>
      <c r="B489" s="105" t="n"/>
      <c r="C489" s="105" t="n"/>
      <c r="D489" s="170" t="n"/>
      <c r="E489" s="106" t="n"/>
      <c r="F489" s="105" t="n"/>
      <c r="G489" s="171">
        <f>IF(J489="","",HYPERLINK("#Transaksi!B"&amp;J489,"Kas"))</f>
        <v/>
      </c>
      <c r="H489" s="172" t="n"/>
      <c r="I489" s="172" t="n"/>
      <c r="J489" s="119" t="n"/>
    </row>
    <row r="490">
      <c r="A490" s="119" t="n"/>
      <c r="B490" s="105" t="n"/>
      <c r="C490" s="105" t="n"/>
      <c r="D490" s="170" t="n"/>
      <c r="E490" s="106" t="n"/>
      <c r="F490" s="105" t="n"/>
      <c r="G490" s="171">
        <f>IF(J490="","",HYPERLINK("#Transaksi!B"&amp;J490,"Kas"))</f>
        <v/>
      </c>
      <c r="H490" s="172" t="n"/>
      <c r="I490" s="172" t="n"/>
      <c r="J490" s="119" t="n"/>
    </row>
    <row r="491">
      <c r="A491" s="119" t="n"/>
      <c r="B491" s="105" t="n"/>
      <c r="C491" s="105" t="n"/>
      <c r="D491" s="170" t="n"/>
      <c r="E491" s="106" t="n"/>
      <c r="F491" s="105" t="n"/>
      <c r="G491" s="171">
        <f>IF(J491="","",HYPERLINK("#Transaksi!B"&amp;J491,"Kas"))</f>
        <v/>
      </c>
      <c r="H491" s="172" t="n"/>
      <c r="I491" s="172" t="n"/>
      <c r="J491" s="119" t="n"/>
    </row>
    <row r="492">
      <c r="A492" s="119" t="n"/>
      <c r="B492" s="105" t="n"/>
      <c r="C492" s="105" t="n"/>
      <c r="D492" s="170" t="n"/>
      <c r="E492" s="106" t="n"/>
      <c r="F492" s="105" t="n"/>
      <c r="G492" s="171">
        <f>IF(J492="","",HYPERLINK("#Transaksi!B"&amp;J492,"Kas"))</f>
        <v/>
      </c>
      <c r="H492" s="172" t="n"/>
      <c r="I492" s="172" t="n"/>
      <c r="J492" s="119" t="n"/>
    </row>
    <row r="493">
      <c r="A493" s="119" t="n"/>
      <c r="B493" s="105" t="n"/>
      <c r="C493" s="105" t="n"/>
      <c r="D493" s="170" t="n"/>
      <c r="E493" s="106" t="n"/>
      <c r="F493" s="105" t="n"/>
      <c r="G493" s="171">
        <f>IF(J493="","",HYPERLINK("#Transaksi!B"&amp;J493,"Kas"))</f>
        <v/>
      </c>
      <c r="H493" s="172" t="n"/>
      <c r="I493" s="172" t="n"/>
      <c r="J493" s="119" t="n"/>
    </row>
    <row r="494">
      <c r="A494" s="119" t="n"/>
      <c r="B494" s="105" t="n"/>
      <c r="C494" s="105" t="n"/>
      <c r="D494" s="170" t="n"/>
      <c r="E494" s="106" t="n"/>
      <c r="F494" s="105" t="n"/>
      <c r="G494" s="171">
        <f>IF(J494="","",HYPERLINK("#Transaksi!B"&amp;J494,"Kas"))</f>
        <v/>
      </c>
      <c r="H494" s="172" t="n"/>
      <c r="I494" s="172" t="n"/>
      <c r="J494" s="119" t="n"/>
    </row>
    <row r="495">
      <c r="A495" s="119" t="n"/>
      <c r="B495" s="105" t="n"/>
      <c r="C495" s="105" t="n"/>
      <c r="D495" s="170" t="n"/>
      <c r="E495" s="106" t="n"/>
      <c r="F495" s="105" t="n"/>
      <c r="G495" s="171">
        <f>IF(J495="","",HYPERLINK("#Transaksi!B"&amp;J495,"Kas"))</f>
        <v/>
      </c>
      <c r="H495" s="172" t="n"/>
      <c r="I495" s="172" t="n"/>
      <c r="J495" s="119" t="n"/>
    </row>
    <row r="496">
      <c r="A496" s="119" t="n"/>
      <c r="B496" s="105" t="n"/>
      <c r="C496" s="105" t="n"/>
      <c r="D496" s="170" t="n"/>
      <c r="E496" s="106" t="n"/>
      <c r="F496" s="105" t="n"/>
      <c r="G496" s="171">
        <f>IF(J496="","",HYPERLINK("#Transaksi!B"&amp;J496,"Kas"))</f>
        <v/>
      </c>
      <c r="H496" s="172" t="n"/>
      <c r="I496" s="172" t="n"/>
      <c r="J496" s="119" t="n"/>
    </row>
    <row r="497">
      <c r="A497" s="119" t="n"/>
      <c r="B497" s="105" t="n"/>
      <c r="C497" s="105" t="n"/>
      <c r="D497" s="170" t="n"/>
      <c r="E497" s="106" t="n"/>
      <c r="F497" s="105" t="n"/>
      <c r="G497" s="171">
        <f>IF(J497="","",HYPERLINK("#Transaksi!B"&amp;J497,"Kas"))</f>
        <v/>
      </c>
      <c r="H497" s="172" t="n"/>
      <c r="I497" s="172" t="n"/>
      <c r="J497" s="119" t="n"/>
    </row>
    <row r="498">
      <c r="A498" s="119" t="n"/>
      <c r="B498" s="105" t="n"/>
      <c r="C498" s="105" t="n"/>
      <c r="D498" s="170" t="n"/>
      <c r="E498" s="106" t="n"/>
      <c r="F498" s="105" t="n"/>
      <c r="G498" s="171">
        <f>IF(J498="","",HYPERLINK("#Transaksi!B"&amp;J498,"Kas"))</f>
        <v/>
      </c>
      <c r="H498" s="172" t="n"/>
      <c r="I498" s="172" t="n"/>
      <c r="J498" s="119" t="n"/>
    </row>
    <row r="499">
      <c r="A499" s="119" t="n"/>
      <c r="B499" s="105" t="n"/>
      <c r="C499" s="105" t="n"/>
      <c r="D499" s="170" t="n"/>
      <c r="E499" s="106" t="n"/>
      <c r="F499" s="105" t="n"/>
      <c r="G499" s="171">
        <f>IF(J499="","",HYPERLINK("#Transaksi!B"&amp;J499,"Kas"))</f>
        <v/>
      </c>
      <c r="H499" s="172" t="n"/>
      <c r="I499" s="172" t="n"/>
      <c r="J499" s="119" t="n"/>
    </row>
    <row r="500">
      <c r="A500" s="119" t="n"/>
      <c r="B500" s="105" t="n"/>
      <c r="C500" s="105" t="n"/>
      <c r="D500" s="170" t="n"/>
      <c r="E500" s="106" t="n"/>
      <c r="F500" s="105" t="n"/>
      <c r="G500" s="171">
        <f>IF(J500="","",HYPERLINK("#Transaksi!B"&amp;J500,"Kas"))</f>
        <v/>
      </c>
      <c r="H500" s="172" t="n"/>
      <c r="I500" s="172" t="n"/>
      <c r="J500" s="119" t="n"/>
    </row>
    <row r="501">
      <c r="A501" s="119" t="n"/>
      <c r="B501" s="105" t="n"/>
      <c r="C501" s="105" t="n"/>
      <c r="D501" s="170" t="n"/>
      <c r="E501" s="106" t="n"/>
      <c r="F501" s="105" t="n"/>
      <c r="G501" s="171">
        <f>IF(J501="","",HYPERLINK("#Transaksi!B"&amp;J501,"Kas"))</f>
        <v/>
      </c>
      <c r="H501" s="172" t="n"/>
      <c r="I501" s="172" t="n"/>
      <c r="J501" s="119" t="n"/>
    </row>
    <row r="502">
      <c r="A502" s="119" t="n"/>
      <c r="B502" s="105" t="n"/>
      <c r="C502" s="105" t="n"/>
      <c r="D502" s="170" t="n"/>
      <c r="E502" s="106" t="n"/>
      <c r="F502" s="105" t="n"/>
      <c r="G502" s="171">
        <f>IF(J502="","",HYPERLINK("#Transaksi!B"&amp;J502,"Kas"))</f>
        <v/>
      </c>
      <c r="H502" s="172" t="n"/>
      <c r="I502" s="172" t="n"/>
      <c r="J502" s="119" t="n"/>
    </row>
    <row r="503">
      <c r="A503" s="119" t="n"/>
      <c r="B503" s="105" t="n"/>
      <c r="C503" s="105" t="n"/>
      <c r="D503" s="170" t="n"/>
      <c r="E503" s="106" t="n"/>
      <c r="F503" s="105" t="n"/>
      <c r="G503" s="171">
        <f>IF(J503="","",HYPERLINK("#Transaksi!B"&amp;J503,"Kas"))</f>
        <v/>
      </c>
      <c r="H503" s="172" t="n"/>
      <c r="I503" s="172" t="n"/>
      <c r="J503" s="119" t="n"/>
    </row>
    <row r="504">
      <c r="A504" s="119" t="n"/>
      <c r="B504" s="105" t="n"/>
      <c r="C504" s="105" t="n"/>
      <c r="D504" s="170" t="n"/>
      <c r="E504" s="106" t="n"/>
      <c r="F504" s="105" t="n"/>
      <c r="G504" s="171">
        <f>IF(J504="","",HYPERLINK("#Transaksi!B"&amp;J504,"Kas"))</f>
        <v/>
      </c>
      <c r="H504" s="172" t="n"/>
      <c r="I504" s="172" t="n"/>
      <c r="J504" s="119" t="n"/>
    </row>
    <row r="505">
      <c r="A505" s="119" t="n"/>
      <c r="B505" s="105" t="n"/>
      <c r="C505" s="105" t="n"/>
      <c r="D505" s="170" t="n"/>
      <c r="E505" s="106" t="n"/>
      <c r="F505" s="105" t="n"/>
      <c r="G505" s="171">
        <f>IF(J505="","",HYPERLINK("#Transaksi!B"&amp;J505,"Kas"))</f>
        <v/>
      </c>
      <c r="H505" s="172" t="n"/>
      <c r="I505" s="172" t="n"/>
      <c r="J505" s="119" t="n"/>
    </row>
    <row r="506">
      <c r="A506" s="119" t="n"/>
      <c r="B506" s="105" t="n"/>
      <c r="C506" s="105" t="n"/>
      <c r="D506" s="170" t="n"/>
      <c r="E506" s="106" t="n"/>
      <c r="F506" s="105" t="n"/>
      <c r="G506" s="171">
        <f>IF(J506="","",HYPERLINK("#Transaksi!B"&amp;J506,"Kas"))</f>
        <v/>
      </c>
      <c r="H506" s="172" t="n"/>
      <c r="I506" s="172" t="n"/>
      <c r="J506" s="119" t="n"/>
    </row>
    <row r="507">
      <c r="A507" s="119" t="n"/>
      <c r="B507" s="105" t="n"/>
      <c r="C507" s="105" t="n"/>
      <c r="D507" s="170" t="n"/>
      <c r="E507" s="106" t="n"/>
      <c r="F507" s="105" t="n"/>
      <c r="G507" s="171">
        <f>IF(J507="","",HYPERLINK("#Transaksi!B"&amp;J507,"Kas"))</f>
        <v/>
      </c>
      <c r="H507" s="172" t="n"/>
      <c r="I507" s="172" t="n"/>
      <c r="J507" s="119" t="n"/>
    </row>
    <row r="508">
      <c r="A508" s="119" t="n"/>
      <c r="B508" s="105" t="n"/>
      <c r="C508" s="105" t="n"/>
      <c r="D508" s="170" t="n"/>
      <c r="E508" s="106" t="n"/>
      <c r="F508" s="105" t="n"/>
      <c r="G508" s="171">
        <f>IF(J508="","",HYPERLINK("#Transaksi!B"&amp;J508,"Kas"))</f>
        <v/>
      </c>
      <c r="H508" s="172" t="n"/>
      <c r="I508" s="172" t="n"/>
      <c r="J508" s="119" t="n"/>
    </row>
    <row r="509">
      <c r="A509" s="119" t="n"/>
      <c r="B509" s="105" t="n"/>
      <c r="C509" s="105" t="n"/>
      <c r="D509" s="170" t="n"/>
      <c r="E509" s="106" t="n"/>
      <c r="F509" s="105" t="n"/>
      <c r="G509" s="171">
        <f>IF(J509="","",HYPERLINK("#Transaksi!B"&amp;J509,"Kas"))</f>
        <v/>
      </c>
      <c r="H509" s="172" t="n"/>
      <c r="I509" s="172" t="n"/>
      <c r="J509" s="119" t="n"/>
    </row>
    <row r="510">
      <c r="A510" s="119" t="n"/>
      <c r="B510" s="105" t="n"/>
      <c r="C510" s="105" t="n"/>
      <c r="D510" s="170" t="n"/>
      <c r="E510" s="106" t="n"/>
      <c r="F510" s="105" t="n"/>
      <c r="G510" s="171">
        <f>IF(J510="","",HYPERLINK("#Transaksi!B"&amp;J510,"Kas"))</f>
        <v/>
      </c>
      <c r="H510" s="172" t="n"/>
      <c r="I510" s="172" t="n"/>
      <c r="J510" s="119" t="n"/>
    </row>
    <row r="511">
      <c r="A511" s="119" t="n"/>
      <c r="B511" s="105" t="n"/>
      <c r="C511" s="105" t="n"/>
      <c r="D511" s="170" t="n"/>
      <c r="E511" s="106" t="n"/>
      <c r="F511" s="105" t="n"/>
      <c r="G511" s="171">
        <f>IF(J511="","",HYPERLINK("#Transaksi!B"&amp;J511,"Kas"))</f>
        <v/>
      </c>
      <c r="H511" s="172" t="n"/>
      <c r="I511" s="172" t="n"/>
      <c r="J511" s="119" t="n"/>
    </row>
    <row r="512">
      <c r="A512" s="119" t="n"/>
      <c r="B512" s="105" t="n"/>
      <c r="C512" s="105" t="n"/>
      <c r="D512" s="170" t="n"/>
      <c r="E512" s="106" t="n"/>
      <c r="F512" s="105" t="n"/>
      <c r="G512" s="171">
        <f>IF(J512="","",HYPERLINK("#Transaksi!B"&amp;J512,"Kas"))</f>
        <v/>
      </c>
      <c r="H512" s="172" t="n"/>
      <c r="I512" s="172" t="n"/>
      <c r="J512" s="119" t="n"/>
    </row>
    <row r="513">
      <c r="A513" s="119" t="n"/>
      <c r="B513" s="105" t="n"/>
      <c r="C513" s="105" t="n"/>
      <c r="D513" s="170" t="n"/>
      <c r="E513" s="106" t="n"/>
      <c r="F513" s="105" t="n"/>
      <c r="G513" s="171">
        <f>IF(J513="","",HYPERLINK("#Transaksi!B"&amp;J513,"Kas"))</f>
        <v/>
      </c>
      <c r="H513" s="172" t="n"/>
      <c r="I513" s="172" t="n"/>
      <c r="J513" s="119" t="n"/>
    </row>
    <row r="514">
      <c r="A514" s="119" t="n"/>
      <c r="B514" s="105" t="n"/>
      <c r="C514" s="105" t="n"/>
      <c r="D514" s="170" t="n"/>
      <c r="E514" s="106" t="n"/>
      <c r="F514" s="105" t="n"/>
      <c r="G514" s="171">
        <f>IF(J514="","",HYPERLINK("#Transaksi!B"&amp;J514,"Kas"))</f>
        <v/>
      </c>
      <c r="H514" s="172" t="n"/>
      <c r="I514" s="172" t="n"/>
      <c r="J514" s="119" t="n"/>
    </row>
    <row r="515">
      <c r="A515" s="119" t="n"/>
      <c r="B515" s="105" t="n"/>
      <c r="C515" s="105" t="n"/>
      <c r="D515" s="170" t="n"/>
      <c r="E515" s="106" t="n"/>
      <c r="F515" s="105" t="n"/>
      <c r="G515" s="171">
        <f>IF(J515="","",HYPERLINK("#Transaksi!B"&amp;J515,"Kas"))</f>
        <v/>
      </c>
      <c r="H515" s="172" t="n"/>
      <c r="I515" s="172" t="n"/>
      <c r="J515" s="119" t="n"/>
    </row>
    <row r="516">
      <c r="A516" s="119" t="n"/>
      <c r="B516" s="105" t="n"/>
      <c r="C516" s="105" t="n"/>
      <c r="D516" s="170" t="n"/>
      <c r="E516" s="106" t="n"/>
      <c r="F516" s="105" t="n"/>
      <c r="G516" s="171">
        <f>IF(J516="","",HYPERLINK("#Transaksi!B"&amp;J516,"Kas"))</f>
        <v/>
      </c>
      <c r="H516" s="172" t="n"/>
      <c r="I516" s="172" t="n"/>
      <c r="J516" s="119" t="n"/>
    </row>
    <row r="517">
      <c r="A517" s="119" t="n"/>
      <c r="B517" s="105" t="n"/>
      <c r="C517" s="105" t="n"/>
      <c r="D517" s="170" t="n"/>
      <c r="E517" s="106" t="n"/>
      <c r="F517" s="105" t="n"/>
      <c r="G517" s="171">
        <f>IF(J517="","",HYPERLINK("#Transaksi!B"&amp;J517,"Kas"))</f>
        <v/>
      </c>
      <c r="H517" s="172" t="n"/>
      <c r="I517" s="172" t="n"/>
      <c r="J517" s="119" t="n"/>
    </row>
    <row r="518">
      <c r="A518" s="119" t="n"/>
      <c r="B518" s="105" t="n"/>
      <c r="C518" s="105" t="n"/>
      <c r="D518" s="170" t="n"/>
      <c r="E518" s="106" t="n"/>
      <c r="F518" s="105" t="n"/>
      <c r="G518" s="171">
        <f>IF(J518="","",HYPERLINK("#Transaksi!B"&amp;J518,"Kas"))</f>
        <v/>
      </c>
      <c r="H518" s="172" t="n"/>
      <c r="I518" s="172" t="n"/>
      <c r="J518" s="119" t="n"/>
    </row>
    <row r="519">
      <c r="A519" s="119" t="n"/>
      <c r="B519" s="105" t="n"/>
      <c r="C519" s="105" t="n"/>
      <c r="D519" s="170" t="n"/>
      <c r="E519" s="106" t="n"/>
      <c r="F519" s="105" t="n"/>
      <c r="G519" s="171">
        <f>IF(J519="","",HYPERLINK("#Transaksi!B"&amp;J519,"Kas"))</f>
        <v/>
      </c>
      <c r="H519" s="172" t="n"/>
      <c r="I519" s="172" t="n"/>
      <c r="J519" s="119" t="n"/>
    </row>
    <row r="520">
      <c r="A520" s="119" t="n"/>
      <c r="B520" s="105" t="n"/>
      <c r="C520" s="105" t="n"/>
      <c r="D520" s="170" t="n"/>
      <c r="E520" s="106" t="n"/>
      <c r="F520" s="105" t="n"/>
      <c r="G520" s="171">
        <f>IF(J520="","",HYPERLINK("#Transaksi!B"&amp;J520,"Kas"))</f>
        <v/>
      </c>
      <c r="H520" s="172" t="n"/>
      <c r="I520" s="172" t="n"/>
      <c r="J520" s="119" t="n"/>
    </row>
    <row r="521">
      <c r="A521" s="119" t="n"/>
      <c r="B521" s="105" t="n"/>
      <c r="C521" s="105" t="n"/>
      <c r="D521" s="170" t="n"/>
      <c r="E521" s="106" t="n"/>
      <c r="F521" s="105" t="n"/>
      <c r="G521" s="171">
        <f>IF(J521="","",HYPERLINK("#Transaksi!B"&amp;J521,"Kas"))</f>
        <v/>
      </c>
      <c r="H521" s="172" t="n"/>
      <c r="I521" s="172" t="n"/>
      <c r="J521" s="119" t="n"/>
    </row>
    <row r="522">
      <c r="A522" s="119" t="n"/>
      <c r="B522" s="105" t="n"/>
      <c r="C522" s="105" t="n"/>
      <c r="D522" s="170" t="n"/>
      <c r="E522" s="106" t="n"/>
      <c r="F522" s="105" t="n"/>
      <c r="G522" s="171">
        <f>IF(J522="","",HYPERLINK("#Transaksi!B"&amp;J522,"Kas"))</f>
        <v/>
      </c>
      <c r="H522" s="172" t="n"/>
      <c r="I522" s="172" t="n"/>
      <c r="J522" s="119" t="n"/>
    </row>
    <row r="523">
      <c r="A523" s="119" t="n"/>
      <c r="B523" s="105" t="n"/>
      <c r="C523" s="105" t="n"/>
      <c r="D523" s="170" t="n"/>
      <c r="E523" s="106" t="n"/>
      <c r="F523" s="105" t="n"/>
      <c r="G523" s="171">
        <f>IF(J523="","",HYPERLINK("#Transaksi!B"&amp;J523,"Kas"))</f>
        <v/>
      </c>
      <c r="H523" s="172" t="n"/>
      <c r="I523" s="172" t="n"/>
      <c r="J523" s="119" t="n"/>
    </row>
    <row r="524">
      <c r="A524" s="119" t="n"/>
      <c r="B524" s="105" t="n"/>
      <c r="C524" s="105" t="n"/>
      <c r="D524" s="170" t="n"/>
      <c r="E524" s="106" t="n"/>
      <c r="F524" s="105" t="n"/>
      <c r="G524" s="171">
        <f>IF(J524="","",HYPERLINK("#Transaksi!B"&amp;J524,"Kas"))</f>
        <v/>
      </c>
      <c r="H524" s="172" t="n"/>
      <c r="I524" s="172" t="n"/>
      <c r="J524" s="119" t="n"/>
    </row>
    <row r="525">
      <c r="A525" s="119" t="n"/>
      <c r="B525" s="105" t="n"/>
      <c r="C525" s="105" t="n"/>
      <c r="D525" s="170" t="n"/>
      <c r="E525" s="106" t="n"/>
      <c r="F525" s="105" t="n"/>
      <c r="G525" s="171">
        <f>IF(J525="","",HYPERLINK("#Transaksi!B"&amp;J525,"Kas"))</f>
        <v/>
      </c>
      <c r="H525" s="172" t="n"/>
      <c r="I525" s="172" t="n"/>
      <c r="J525" s="119" t="n"/>
    </row>
    <row r="526">
      <c r="A526" s="119" t="n"/>
      <c r="B526" s="105" t="n"/>
      <c r="C526" s="105" t="n"/>
      <c r="D526" s="170" t="n"/>
      <c r="E526" s="106" t="n"/>
      <c r="F526" s="105" t="n"/>
      <c r="G526" s="171">
        <f>IF(J526="","",HYPERLINK("#Transaksi!B"&amp;J526,"Kas"))</f>
        <v/>
      </c>
      <c r="H526" s="172" t="n"/>
      <c r="I526" s="172" t="n"/>
      <c r="J526" s="119" t="n"/>
    </row>
    <row r="527">
      <c r="A527" s="119" t="n"/>
      <c r="B527" s="105" t="n"/>
      <c r="C527" s="105" t="n"/>
      <c r="D527" s="170" t="n"/>
      <c r="E527" s="106" t="n"/>
      <c r="F527" s="105" t="n"/>
      <c r="G527" s="171">
        <f>IF(J527="","",HYPERLINK("#Transaksi!B"&amp;J527,"Kas"))</f>
        <v/>
      </c>
      <c r="H527" s="172" t="n"/>
      <c r="I527" s="172" t="n"/>
      <c r="J527" s="119" t="n"/>
    </row>
    <row r="528">
      <c r="A528" s="119" t="n"/>
      <c r="B528" s="105" t="n"/>
      <c r="C528" s="105" t="n"/>
      <c r="D528" s="170" t="n"/>
      <c r="E528" s="106" t="n"/>
      <c r="F528" s="105" t="n"/>
      <c r="G528" s="171">
        <f>IF(J528="","",HYPERLINK("#Transaksi!B"&amp;J528,"Kas"))</f>
        <v/>
      </c>
      <c r="H528" s="172" t="n"/>
      <c r="I528" s="172" t="n"/>
      <c r="J528" s="119" t="n"/>
    </row>
    <row r="529">
      <c r="A529" s="119" t="n"/>
      <c r="B529" s="105" t="n"/>
      <c r="C529" s="105" t="n"/>
      <c r="D529" s="170" t="n"/>
      <c r="E529" s="106" t="n"/>
      <c r="F529" s="105" t="n"/>
      <c r="G529" s="171">
        <f>IF(J529="","",HYPERLINK("#Transaksi!B"&amp;J529,"Kas"))</f>
        <v/>
      </c>
      <c r="H529" s="172" t="n"/>
      <c r="I529" s="172" t="n"/>
      <c r="J529" s="119" t="n"/>
    </row>
    <row r="530">
      <c r="A530" s="119" t="n"/>
      <c r="B530" s="105" t="n"/>
      <c r="C530" s="105" t="n"/>
      <c r="D530" s="170" t="n"/>
      <c r="E530" s="106" t="n"/>
      <c r="F530" s="105" t="n"/>
      <c r="G530" s="171">
        <f>IF(J530="","",HYPERLINK("#Transaksi!B"&amp;J530,"Kas"))</f>
        <v/>
      </c>
      <c r="H530" s="172" t="n"/>
      <c r="I530" s="172" t="n"/>
      <c r="J530" s="119" t="n"/>
    </row>
    <row r="531">
      <c r="A531" s="119" t="n"/>
      <c r="B531" s="105" t="n"/>
      <c r="C531" s="105" t="n"/>
      <c r="D531" s="170" t="n"/>
      <c r="E531" s="106" t="n"/>
      <c r="F531" s="105" t="n"/>
      <c r="G531" s="171">
        <f>IF(J531="","",HYPERLINK("#Transaksi!B"&amp;J531,"Kas"))</f>
        <v/>
      </c>
      <c r="H531" s="172" t="n"/>
      <c r="I531" s="172" t="n"/>
      <c r="J531" s="119" t="n"/>
    </row>
    <row r="532">
      <c r="A532" s="119" t="n"/>
      <c r="B532" s="105" t="n"/>
      <c r="C532" s="105" t="n"/>
      <c r="D532" s="170" t="n"/>
      <c r="E532" s="106" t="n"/>
      <c r="F532" s="105" t="n"/>
      <c r="G532" s="171">
        <f>IF(J532="","",HYPERLINK("#Transaksi!B"&amp;J532,"Kas"))</f>
        <v/>
      </c>
      <c r="H532" s="172" t="n"/>
      <c r="I532" s="172" t="n"/>
      <c r="J532" s="119" t="n"/>
    </row>
    <row r="533">
      <c r="A533" s="119" t="n"/>
      <c r="B533" s="105" t="n"/>
      <c r="C533" s="105" t="n"/>
      <c r="D533" s="170" t="n"/>
      <c r="E533" s="106" t="n"/>
      <c r="F533" s="105" t="n"/>
      <c r="G533" s="171">
        <f>IF(J533="","",HYPERLINK("#Transaksi!B"&amp;J533,"Kas"))</f>
        <v/>
      </c>
      <c r="H533" s="172" t="n"/>
      <c r="I533" s="172" t="n"/>
      <c r="J533" s="119" t="n"/>
    </row>
    <row r="534">
      <c r="A534" s="119" t="n"/>
      <c r="B534" s="105" t="n"/>
      <c r="C534" s="105" t="n"/>
      <c r="D534" s="170" t="n"/>
      <c r="E534" s="106" t="n"/>
      <c r="F534" s="105" t="n"/>
      <c r="G534" s="171">
        <f>IF(J534="","",HYPERLINK("#Transaksi!B"&amp;J534,"Kas"))</f>
        <v/>
      </c>
      <c r="H534" s="172" t="n"/>
      <c r="I534" s="172" t="n"/>
      <c r="J534" s="119" t="n"/>
    </row>
    <row r="535">
      <c r="A535" s="119" t="n"/>
      <c r="B535" s="105" t="n"/>
      <c r="C535" s="105" t="n"/>
      <c r="D535" s="170" t="n"/>
      <c r="E535" s="106" t="n"/>
      <c r="F535" s="105" t="n"/>
      <c r="G535" s="171">
        <f>IF(J535="","",HYPERLINK("#Transaksi!B"&amp;J535,"Kas"))</f>
        <v/>
      </c>
      <c r="H535" s="172" t="n"/>
      <c r="I535" s="172" t="n"/>
      <c r="J535" s="119" t="n"/>
    </row>
    <row r="536">
      <c r="A536" s="119" t="n"/>
      <c r="B536" s="105" t="n"/>
      <c r="C536" s="105" t="n"/>
      <c r="D536" s="170" t="n"/>
      <c r="E536" s="106" t="n"/>
      <c r="F536" s="105" t="n"/>
      <c r="G536" s="171">
        <f>IF(J536="","",HYPERLINK("#Transaksi!B"&amp;J536,"Kas"))</f>
        <v/>
      </c>
      <c r="H536" s="172" t="n"/>
      <c r="I536" s="172" t="n"/>
      <c r="J536" s="119" t="n"/>
    </row>
    <row r="537">
      <c r="A537" s="119" t="n"/>
      <c r="B537" s="105" t="n"/>
      <c r="C537" s="105" t="n"/>
      <c r="D537" s="170" t="n"/>
      <c r="E537" s="106" t="n"/>
      <c r="F537" s="105" t="n"/>
      <c r="G537" s="171">
        <f>IF(J537="","",HYPERLINK("#Transaksi!B"&amp;J537,"Kas"))</f>
        <v/>
      </c>
      <c r="H537" s="172" t="n"/>
      <c r="I537" s="172" t="n"/>
      <c r="J537" s="119" t="n"/>
    </row>
    <row r="538">
      <c r="A538" s="119" t="n"/>
      <c r="B538" s="105" t="n"/>
      <c r="C538" s="105" t="n"/>
      <c r="D538" s="170" t="n"/>
      <c r="E538" s="106" t="n"/>
      <c r="F538" s="105" t="n"/>
      <c r="G538" s="171">
        <f>IF(J538="","",HYPERLINK("#Transaksi!B"&amp;J538,"Kas"))</f>
        <v/>
      </c>
      <c r="H538" s="172" t="n"/>
      <c r="I538" s="172" t="n"/>
      <c r="J538" s="119" t="n"/>
    </row>
    <row r="539">
      <c r="A539" s="119" t="n"/>
      <c r="B539" s="105" t="n"/>
      <c r="C539" s="105" t="n"/>
      <c r="D539" s="170" t="n"/>
      <c r="E539" s="106" t="n"/>
      <c r="F539" s="105" t="n"/>
      <c r="G539" s="171">
        <f>IF(J539="","",HYPERLINK("#Transaksi!B"&amp;J539,"Kas"))</f>
        <v/>
      </c>
      <c r="H539" s="172" t="n"/>
      <c r="I539" s="172" t="n"/>
      <c r="J539" s="119" t="n"/>
    </row>
    <row r="540">
      <c r="A540" s="119" t="n"/>
      <c r="B540" s="105" t="n"/>
      <c r="C540" s="105" t="n"/>
      <c r="D540" s="170" t="n"/>
      <c r="E540" s="106" t="n"/>
      <c r="F540" s="105" t="n"/>
      <c r="G540" s="171">
        <f>IF(J540="","",HYPERLINK("#Transaksi!B"&amp;J540,"Kas"))</f>
        <v/>
      </c>
      <c r="H540" s="172" t="n"/>
      <c r="I540" s="172" t="n"/>
      <c r="J540" s="119" t="n"/>
    </row>
    <row r="541">
      <c r="A541" s="119" t="n"/>
      <c r="B541" s="105" t="n"/>
      <c r="C541" s="105" t="n"/>
      <c r="D541" s="170" t="n"/>
      <c r="E541" s="106" t="n"/>
      <c r="F541" s="105" t="n"/>
      <c r="G541" s="171">
        <f>IF(J541="","",HYPERLINK("#Transaksi!B"&amp;J541,"Kas"))</f>
        <v/>
      </c>
      <c r="H541" s="172" t="n"/>
      <c r="I541" s="172" t="n"/>
      <c r="J541" s="119" t="n"/>
    </row>
    <row r="542">
      <c r="A542" s="119" t="n"/>
      <c r="B542" s="105" t="n"/>
      <c r="C542" s="105" t="n"/>
      <c r="D542" s="170" t="n"/>
      <c r="E542" s="106" t="n"/>
      <c r="F542" s="105" t="n"/>
      <c r="G542" s="171">
        <f>IF(J542="","",HYPERLINK("#Transaksi!B"&amp;J542,"Kas"))</f>
        <v/>
      </c>
      <c r="H542" s="172" t="n"/>
      <c r="I542" s="172" t="n"/>
      <c r="J542" s="119" t="n"/>
    </row>
    <row r="543">
      <c r="A543" s="119" t="n"/>
      <c r="B543" s="105" t="n"/>
      <c r="C543" s="105" t="n"/>
      <c r="D543" s="170" t="n"/>
      <c r="E543" s="106" t="n"/>
      <c r="F543" s="105" t="n"/>
      <c r="G543" s="171">
        <f>IF(J543="","",HYPERLINK("#Transaksi!B"&amp;J543,"Kas"))</f>
        <v/>
      </c>
      <c r="H543" s="172" t="n"/>
      <c r="I543" s="172" t="n"/>
      <c r="J543" s="119" t="n"/>
    </row>
    <row r="544">
      <c r="A544" s="119" t="n"/>
      <c r="B544" s="105" t="n"/>
      <c r="C544" s="105" t="n"/>
      <c r="D544" s="170" t="n"/>
      <c r="E544" s="106" t="n"/>
      <c r="F544" s="105" t="n"/>
      <c r="G544" s="171">
        <f>IF(J544="","",HYPERLINK("#Transaksi!B"&amp;J544,"Kas"))</f>
        <v/>
      </c>
      <c r="H544" s="172" t="n"/>
      <c r="I544" s="172" t="n"/>
      <c r="J544" s="119" t="n"/>
    </row>
    <row r="545">
      <c r="A545" s="119" t="n"/>
      <c r="B545" s="105" t="n"/>
      <c r="C545" s="105" t="n"/>
      <c r="D545" s="170" t="n"/>
      <c r="E545" s="106" t="n"/>
      <c r="F545" s="105" t="n"/>
      <c r="G545" s="171">
        <f>IF(J545="","",HYPERLINK("#Transaksi!B"&amp;J545,"Kas"))</f>
        <v/>
      </c>
      <c r="H545" s="172" t="n"/>
      <c r="I545" s="172" t="n"/>
      <c r="J545" s="119" t="n"/>
    </row>
    <row r="546">
      <c r="A546" s="119" t="n"/>
      <c r="B546" s="105" t="n"/>
      <c r="C546" s="105" t="n"/>
      <c r="D546" s="170" t="n"/>
      <c r="E546" s="106" t="n"/>
      <c r="F546" s="105" t="n"/>
      <c r="G546" s="171">
        <f>IF(J546="","",HYPERLINK("#Transaksi!B"&amp;J546,"Kas"))</f>
        <v/>
      </c>
      <c r="H546" s="172" t="n"/>
      <c r="I546" s="172" t="n"/>
      <c r="J546" s="119" t="n"/>
    </row>
    <row r="547">
      <c r="A547" s="119" t="n"/>
      <c r="B547" s="105" t="n"/>
      <c r="C547" s="105" t="n"/>
      <c r="D547" s="170" t="n"/>
      <c r="E547" s="106" t="n"/>
      <c r="F547" s="105" t="n"/>
      <c r="G547" s="171">
        <f>IF(J547="","",HYPERLINK("#Transaksi!B"&amp;J547,"Kas"))</f>
        <v/>
      </c>
      <c r="H547" s="172" t="n"/>
      <c r="I547" s="172" t="n"/>
      <c r="J547" s="119" t="n"/>
    </row>
    <row r="548">
      <c r="A548" s="119" t="n"/>
      <c r="B548" s="105" t="n"/>
      <c r="C548" s="105" t="n"/>
      <c r="D548" s="170" t="n"/>
      <c r="E548" s="106" t="n"/>
      <c r="F548" s="105" t="n"/>
      <c r="G548" s="171">
        <f>IF(J548="","",HYPERLINK("#Transaksi!B"&amp;J548,"Kas"))</f>
        <v/>
      </c>
      <c r="H548" s="172" t="n"/>
      <c r="I548" s="172" t="n"/>
      <c r="J548" s="119" t="n"/>
    </row>
    <row r="549">
      <c r="A549" s="119" t="n"/>
      <c r="B549" s="105" t="n"/>
      <c r="C549" s="105" t="n"/>
      <c r="D549" s="170" t="n"/>
      <c r="E549" s="106" t="n"/>
      <c r="F549" s="105" t="n"/>
      <c r="G549" s="171">
        <f>IF(J549="","",HYPERLINK("#Transaksi!B"&amp;J549,"Kas"))</f>
        <v/>
      </c>
      <c r="H549" s="172" t="n"/>
      <c r="I549" s="172" t="n"/>
      <c r="J549" s="119" t="n"/>
    </row>
    <row r="550">
      <c r="A550" s="119" t="n"/>
      <c r="B550" s="105" t="n"/>
      <c r="C550" s="105" t="n"/>
      <c r="D550" s="170" t="n"/>
      <c r="E550" s="106" t="n"/>
      <c r="F550" s="105" t="n"/>
      <c r="G550" s="171">
        <f>IF(J550="","",HYPERLINK("#Transaksi!B"&amp;J550,"Kas"))</f>
        <v/>
      </c>
      <c r="H550" s="172" t="n"/>
      <c r="I550" s="172" t="n"/>
      <c r="J550" s="119" t="n"/>
    </row>
    <row r="551">
      <c r="A551" s="119" t="n"/>
      <c r="B551" s="105" t="n"/>
      <c r="C551" s="105" t="n"/>
      <c r="D551" s="170" t="n"/>
      <c r="E551" s="106" t="n"/>
      <c r="F551" s="105" t="n"/>
      <c r="G551" s="171">
        <f>IF(J551="","",HYPERLINK("#Transaksi!B"&amp;J551,"Kas"))</f>
        <v/>
      </c>
      <c r="H551" s="172" t="n"/>
      <c r="I551" s="172" t="n"/>
      <c r="J551" s="119" t="n"/>
    </row>
    <row r="552">
      <c r="A552" s="119" t="n"/>
      <c r="B552" s="105" t="n"/>
      <c r="C552" s="105" t="n"/>
      <c r="D552" s="170" t="n"/>
      <c r="E552" s="106" t="n"/>
      <c r="F552" s="105" t="n"/>
      <c r="G552" s="171">
        <f>IF(J552="","",HYPERLINK("#Transaksi!B"&amp;J552,"Kas"))</f>
        <v/>
      </c>
      <c r="H552" s="172" t="n"/>
      <c r="I552" s="172" t="n"/>
      <c r="J552" s="119" t="n"/>
    </row>
    <row r="553">
      <c r="A553" s="119" t="n"/>
      <c r="B553" s="105" t="n"/>
      <c r="C553" s="105" t="n"/>
      <c r="D553" s="170" t="n"/>
      <c r="E553" s="106" t="n"/>
      <c r="F553" s="105" t="n"/>
      <c r="G553" s="171">
        <f>IF(J553="","",HYPERLINK("#Transaksi!B"&amp;J553,"Kas"))</f>
        <v/>
      </c>
      <c r="H553" s="172" t="n"/>
      <c r="I553" s="172" t="n"/>
      <c r="J553" s="119" t="n"/>
    </row>
    <row r="554">
      <c r="A554" s="119" t="n"/>
      <c r="B554" s="105" t="n"/>
      <c r="C554" s="105" t="n"/>
      <c r="D554" s="170" t="n"/>
      <c r="E554" s="106" t="n"/>
      <c r="F554" s="105" t="n"/>
      <c r="G554" s="171">
        <f>IF(J554="","",HYPERLINK("#Transaksi!B"&amp;J554,"Kas"))</f>
        <v/>
      </c>
      <c r="H554" s="172" t="n"/>
      <c r="I554" s="172" t="n"/>
      <c r="J554" s="119" t="n"/>
    </row>
    <row r="555">
      <c r="A555" s="119" t="n"/>
      <c r="B555" s="105" t="n"/>
      <c r="C555" s="105" t="n"/>
      <c r="D555" s="170" t="n"/>
      <c r="E555" s="106" t="n"/>
      <c r="F555" s="105" t="n"/>
      <c r="G555" s="171">
        <f>IF(J555="","",HYPERLINK("#Transaksi!B"&amp;J555,"Kas"))</f>
        <v/>
      </c>
      <c r="H555" s="172" t="n"/>
      <c r="I555" s="172" t="n"/>
      <c r="J555" s="119" t="n"/>
    </row>
    <row r="556">
      <c r="A556" s="119" t="n"/>
      <c r="B556" s="105" t="n"/>
      <c r="C556" s="105" t="n"/>
      <c r="D556" s="170" t="n"/>
      <c r="E556" s="106" t="n"/>
      <c r="F556" s="105" t="n"/>
      <c r="G556" s="171">
        <f>IF(J556="","",HYPERLINK("#Transaksi!B"&amp;J556,"Kas"))</f>
        <v/>
      </c>
      <c r="H556" s="172" t="n"/>
      <c r="I556" s="172" t="n"/>
      <c r="J556" s="119" t="n"/>
    </row>
    <row r="557">
      <c r="A557" s="119" t="n"/>
      <c r="B557" s="105" t="n"/>
      <c r="C557" s="105" t="n"/>
      <c r="D557" s="170" t="n"/>
      <c r="E557" s="106" t="n"/>
      <c r="F557" s="105" t="n"/>
      <c r="G557" s="171">
        <f>IF(J557="","",HYPERLINK("#Transaksi!B"&amp;J557,"Kas"))</f>
        <v/>
      </c>
      <c r="H557" s="172" t="n"/>
      <c r="I557" s="172" t="n"/>
      <c r="J557" s="119" t="n"/>
    </row>
    <row r="558">
      <c r="A558" s="119" t="n"/>
      <c r="B558" s="105" t="n"/>
      <c r="C558" s="105" t="n"/>
      <c r="D558" s="170" t="n"/>
      <c r="E558" s="106" t="n"/>
      <c r="F558" s="105" t="n"/>
      <c r="G558" s="171">
        <f>IF(J558="","",HYPERLINK("#Transaksi!B"&amp;J558,"Kas"))</f>
        <v/>
      </c>
      <c r="H558" s="172" t="n"/>
      <c r="I558" s="172" t="n"/>
      <c r="J558" s="119" t="n"/>
    </row>
    <row r="559">
      <c r="A559" s="119" t="n"/>
      <c r="B559" s="105" t="n"/>
      <c r="C559" s="105" t="n"/>
      <c r="D559" s="170" t="n"/>
      <c r="E559" s="106" t="n"/>
      <c r="F559" s="105" t="n"/>
      <c r="G559" s="171">
        <f>IF(J559="","",HYPERLINK("#Transaksi!B"&amp;J559,"Kas"))</f>
        <v/>
      </c>
      <c r="H559" s="172" t="n"/>
      <c r="I559" s="172" t="n"/>
      <c r="J559" s="119" t="n"/>
    </row>
    <row r="560">
      <c r="A560" s="119" t="n"/>
      <c r="B560" s="105" t="n"/>
      <c r="C560" s="105" t="n"/>
      <c r="D560" s="170" t="n"/>
      <c r="E560" s="106" t="n"/>
      <c r="F560" s="105" t="n"/>
      <c r="G560" s="171">
        <f>IF(J560="","",HYPERLINK("#Transaksi!B"&amp;J560,"Kas"))</f>
        <v/>
      </c>
      <c r="H560" s="172" t="n"/>
      <c r="I560" s="172" t="n"/>
      <c r="J560" s="119" t="n"/>
    </row>
    <row r="561">
      <c r="A561" s="119" t="n"/>
      <c r="B561" s="105" t="n"/>
      <c r="C561" s="105" t="n"/>
      <c r="D561" s="170" t="n"/>
      <c r="E561" s="106" t="n"/>
      <c r="F561" s="105" t="n"/>
      <c r="G561" s="171">
        <f>IF(J561="","",HYPERLINK("#Transaksi!B"&amp;J561,"Kas"))</f>
        <v/>
      </c>
      <c r="H561" s="172" t="n"/>
      <c r="I561" s="172" t="n"/>
      <c r="J561" s="119" t="n"/>
    </row>
    <row r="562">
      <c r="A562" s="119" t="n"/>
      <c r="B562" s="105" t="n"/>
      <c r="C562" s="105" t="n"/>
      <c r="D562" s="170" t="n"/>
      <c r="E562" s="106" t="n"/>
      <c r="F562" s="105" t="n"/>
      <c r="G562" s="171">
        <f>IF(J562="","",HYPERLINK("#Transaksi!B"&amp;J562,"Kas"))</f>
        <v/>
      </c>
      <c r="H562" s="172" t="n"/>
      <c r="I562" s="172" t="n"/>
      <c r="J562" s="119" t="n"/>
    </row>
    <row r="563">
      <c r="A563" s="119" t="n"/>
      <c r="B563" s="105" t="n"/>
      <c r="C563" s="105" t="n"/>
      <c r="D563" s="170" t="n"/>
      <c r="E563" s="106" t="n"/>
      <c r="F563" s="105" t="n"/>
      <c r="G563" s="171">
        <f>IF(J563="","",HYPERLINK("#Transaksi!B"&amp;J563,"Kas"))</f>
        <v/>
      </c>
      <c r="H563" s="172" t="n"/>
      <c r="I563" s="172" t="n"/>
      <c r="J563" s="119" t="n"/>
    </row>
    <row r="564">
      <c r="A564" s="119" t="n"/>
      <c r="B564" s="105" t="n"/>
      <c r="C564" s="105" t="n"/>
      <c r="D564" s="170" t="n"/>
      <c r="E564" s="106" t="n"/>
      <c r="F564" s="105" t="n"/>
      <c r="G564" s="171">
        <f>IF(J564="","",HYPERLINK("#Transaksi!B"&amp;J564,"Kas"))</f>
        <v/>
      </c>
      <c r="H564" s="172" t="n"/>
      <c r="I564" s="172" t="n"/>
      <c r="J564" s="119" t="n"/>
    </row>
    <row r="565">
      <c r="A565" s="119" t="n"/>
      <c r="B565" s="105" t="n"/>
      <c r="C565" s="105" t="n"/>
      <c r="D565" s="170" t="n"/>
      <c r="E565" s="106" t="n"/>
      <c r="F565" s="105" t="n"/>
      <c r="G565" s="171">
        <f>IF(J565="","",HYPERLINK("#Transaksi!B"&amp;J565,"Kas"))</f>
        <v/>
      </c>
      <c r="H565" s="172" t="n"/>
      <c r="I565" s="172" t="n"/>
      <c r="J565" s="119" t="n"/>
    </row>
    <row r="566">
      <c r="A566" s="119" t="n"/>
      <c r="B566" s="105" t="n"/>
      <c r="C566" s="105" t="n"/>
      <c r="D566" s="170" t="n"/>
      <c r="E566" s="106" t="n"/>
      <c r="F566" s="105" t="n"/>
      <c r="G566" s="171">
        <f>IF(J566="","",HYPERLINK("#Transaksi!B"&amp;J566,"Kas"))</f>
        <v/>
      </c>
      <c r="H566" s="172" t="n"/>
      <c r="I566" s="172" t="n"/>
      <c r="J566" s="119" t="n"/>
    </row>
    <row r="567">
      <c r="A567" s="119" t="n"/>
      <c r="B567" s="105" t="n"/>
      <c r="C567" s="105" t="n"/>
      <c r="D567" s="170" t="n"/>
      <c r="E567" s="106" t="n"/>
      <c r="F567" s="105" t="n"/>
      <c r="G567" s="171">
        <f>IF(J567="","",HYPERLINK("#Transaksi!B"&amp;J567,"Kas"))</f>
        <v/>
      </c>
      <c r="H567" s="172" t="n"/>
      <c r="I567" s="172" t="n"/>
      <c r="J567" s="119" t="n"/>
    </row>
    <row r="568">
      <c r="A568" s="119" t="n"/>
      <c r="B568" s="105" t="n"/>
      <c r="C568" s="105" t="n"/>
      <c r="D568" s="170" t="n"/>
      <c r="E568" s="106" t="n"/>
      <c r="F568" s="105" t="n"/>
      <c r="G568" s="171">
        <f>IF(J568="","",HYPERLINK("#Transaksi!B"&amp;J568,"Kas"))</f>
        <v/>
      </c>
      <c r="H568" s="172" t="n"/>
      <c r="I568" s="172" t="n"/>
      <c r="J568" s="119" t="n"/>
    </row>
    <row r="569">
      <c r="A569" s="119" t="n"/>
      <c r="B569" s="105" t="n"/>
      <c r="C569" s="105" t="n"/>
      <c r="D569" s="170" t="n"/>
      <c r="E569" s="106" t="n"/>
      <c r="F569" s="105" t="n"/>
      <c r="G569" s="171">
        <f>IF(J569="","",HYPERLINK("#Transaksi!B"&amp;J569,"Kas"))</f>
        <v/>
      </c>
      <c r="H569" s="172" t="n"/>
      <c r="I569" s="172" t="n"/>
      <c r="J569" s="119" t="n"/>
    </row>
    <row r="570">
      <c r="A570" s="119" t="n"/>
      <c r="B570" s="105" t="n"/>
      <c r="C570" s="105" t="n"/>
      <c r="D570" s="170" t="n"/>
      <c r="E570" s="106" t="n"/>
      <c r="F570" s="105" t="n"/>
      <c r="G570" s="171">
        <f>IF(J570="","",HYPERLINK("#Transaksi!B"&amp;J570,"Kas"))</f>
        <v/>
      </c>
      <c r="H570" s="172" t="n"/>
      <c r="I570" s="172" t="n"/>
      <c r="J570" s="119" t="n"/>
    </row>
    <row r="571">
      <c r="A571" s="119" t="n"/>
      <c r="B571" s="105" t="n"/>
      <c r="C571" s="105" t="n"/>
      <c r="D571" s="170" t="n"/>
      <c r="E571" s="106" t="n"/>
      <c r="F571" s="105" t="n"/>
      <c r="G571" s="171">
        <f>IF(J571="","",HYPERLINK("#Transaksi!B"&amp;J571,"Kas"))</f>
        <v/>
      </c>
      <c r="H571" s="172" t="n"/>
      <c r="I571" s="172" t="n"/>
      <c r="J571" s="119" t="n"/>
    </row>
    <row r="572">
      <c r="A572" s="119" t="n"/>
      <c r="B572" s="105" t="n"/>
      <c r="C572" s="105" t="n"/>
      <c r="D572" s="170" t="n"/>
      <c r="E572" s="106" t="n"/>
      <c r="F572" s="105" t="n"/>
      <c r="G572" s="171">
        <f>IF(J572="","",HYPERLINK("#Transaksi!B"&amp;J572,"Kas"))</f>
        <v/>
      </c>
      <c r="H572" s="172" t="n"/>
      <c r="I572" s="172" t="n"/>
      <c r="J572" s="119" t="n"/>
    </row>
    <row r="573">
      <c r="A573" s="119" t="n"/>
      <c r="B573" s="105" t="n"/>
      <c r="C573" s="105" t="n"/>
      <c r="D573" s="170" t="n"/>
      <c r="E573" s="106" t="n"/>
      <c r="F573" s="105" t="n"/>
      <c r="G573" s="171">
        <f>IF(J573="","",HYPERLINK("#Transaksi!B"&amp;J573,"Kas"))</f>
        <v/>
      </c>
      <c r="H573" s="172" t="n"/>
      <c r="I573" s="172" t="n"/>
      <c r="J573" s="119" t="n"/>
    </row>
    <row r="574">
      <c r="A574" s="119" t="n"/>
      <c r="B574" s="105" t="n"/>
      <c r="C574" s="105" t="n"/>
      <c r="D574" s="170" t="n"/>
      <c r="E574" s="106" t="n"/>
      <c r="F574" s="105" t="n"/>
      <c r="G574" s="171">
        <f>IF(J574="","",HYPERLINK("#Transaksi!B"&amp;J574,"Kas"))</f>
        <v/>
      </c>
      <c r="H574" s="172" t="n"/>
      <c r="I574" s="172" t="n"/>
      <c r="J574" s="119" t="n"/>
    </row>
    <row r="575">
      <c r="A575" s="119" t="n"/>
      <c r="B575" s="105" t="n"/>
      <c r="C575" s="105" t="n"/>
      <c r="D575" s="170" t="n"/>
      <c r="E575" s="106" t="n"/>
      <c r="F575" s="105" t="n"/>
      <c r="G575" s="171">
        <f>IF(J575="","",HYPERLINK("#Transaksi!B"&amp;J575,"Kas"))</f>
        <v/>
      </c>
      <c r="H575" s="172" t="n"/>
      <c r="I575" s="172" t="n"/>
      <c r="J575" s="119" t="n"/>
    </row>
    <row r="576">
      <c r="A576" s="119" t="n"/>
      <c r="B576" s="105" t="n"/>
      <c r="C576" s="105" t="n"/>
      <c r="D576" s="170" t="n"/>
      <c r="E576" s="106" t="n"/>
      <c r="F576" s="105" t="n"/>
      <c r="G576" s="171">
        <f>IF(J576="","",HYPERLINK("#Transaksi!B"&amp;J576,"Kas"))</f>
        <v/>
      </c>
      <c r="H576" s="172" t="n"/>
      <c r="I576" s="172" t="n"/>
      <c r="J576" s="119" t="n"/>
    </row>
    <row r="577">
      <c r="A577" s="119" t="n"/>
      <c r="B577" s="105" t="n"/>
      <c r="C577" s="105" t="n"/>
      <c r="D577" s="170" t="n"/>
      <c r="E577" s="106" t="n"/>
      <c r="F577" s="105" t="n"/>
      <c r="G577" s="171">
        <f>IF(J577="","",HYPERLINK("#Transaksi!B"&amp;J577,"Kas"))</f>
        <v/>
      </c>
      <c r="H577" s="172" t="n"/>
      <c r="I577" s="172" t="n"/>
      <c r="J577" s="119" t="n"/>
    </row>
    <row r="578">
      <c r="A578" s="119" t="n"/>
      <c r="B578" s="105" t="n"/>
      <c r="C578" s="105" t="n"/>
      <c r="D578" s="170" t="n"/>
      <c r="E578" s="106" t="n"/>
      <c r="F578" s="105" t="n"/>
      <c r="G578" s="171">
        <f>IF(J578="","",HYPERLINK("#Transaksi!B"&amp;J578,"Kas"))</f>
        <v/>
      </c>
      <c r="H578" s="172" t="n"/>
      <c r="I578" s="172" t="n"/>
      <c r="J578" s="119" t="n"/>
    </row>
    <row r="579">
      <c r="A579" s="119" t="n"/>
      <c r="B579" s="105" t="n"/>
      <c r="C579" s="105" t="n"/>
      <c r="D579" s="170" t="n"/>
      <c r="E579" s="106" t="n"/>
      <c r="F579" s="105" t="n"/>
      <c r="G579" s="171">
        <f>IF(J579="","",HYPERLINK("#Transaksi!B"&amp;J579,"Kas"))</f>
        <v/>
      </c>
      <c r="H579" s="172" t="n"/>
      <c r="I579" s="172" t="n"/>
      <c r="J579" s="119" t="n"/>
    </row>
    <row r="580">
      <c r="A580" s="119" t="n"/>
      <c r="B580" s="105" t="n"/>
      <c r="C580" s="105" t="n"/>
      <c r="D580" s="170" t="n"/>
      <c r="E580" s="106" t="n"/>
      <c r="F580" s="105" t="n"/>
      <c r="G580" s="171">
        <f>IF(J580="","",HYPERLINK("#Transaksi!B"&amp;J580,"Kas"))</f>
        <v/>
      </c>
      <c r="H580" s="172" t="n"/>
      <c r="I580" s="172" t="n"/>
      <c r="J580" s="119" t="n"/>
    </row>
    <row r="581">
      <c r="A581" s="119" t="n"/>
      <c r="B581" s="105" t="n"/>
      <c r="C581" s="105" t="n"/>
      <c r="D581" s="170" t="n"/>
      <c r="E581" s="106" t="n"/>
      <c r="F581" s="105" t="n"/>
      <c r="G581" s="171">
        <f>IF(J581="","",HYPERLINK("#Transaksi!B"&amp;J581,"Kas"))</f>
        <v/>
      </c>
      <c r="H581" s="172" t="n"/>
      <c r="I581" s="172" t="n"/>
      <c r="J581" s="119" t="n"/>
    </row>
    <row r="582">
      <c r="A582" s="119" t="n"/>
      <c r="B582" s="105" t="n"/>
      <c r="C582" s="105" t="n"/>
      <c r="D582" s="170" t="n"/>
      <c r="E582" s="106" t="n"/>
      <c r="F582" s="105" t="n"/>
      <c r="G582" s="171">
        <f>IF(J582="","",HYPERLINK("#Transaksi!B"&amp;J582,"Kas"))</f>
        <v/>
      </c>
      <c r="H582" s="172" t="n"/>
      <c r="I582" s="172" t="n"/>
      <c r="J582" s="119" t="n"/>
    </row>
    <row r="583">
      <c r="A583" s="119" t="n"/>
      <c r="B583" s="105" t="n"/>
      <c r="C583" s="105" t="n"/>
      <c r="D583" s="170" t="n"/>
      <c r="E583" s="106" t="n"/>
      <c r="F583" s="105" t="n"/>
      <c r="G583" s="171">
        <f>IF(J583="","",HYPERLINK("#Transaksi!B"&amp;J583,"Kas"))</f>
        <v/>
      </c>
      <c r="H583" s="172" t="n"/>
      <c r="I583" s="172" t="n"/>
      <c r="J583" s="119" t="n"/>
    </row>
    <row r="584">
      <c r="A584" s="119" t="n"/>
      <c r="B584" s="105" t="n"/>
      <c r="C584" s="105" t="n"/>
      <c r="D584" s="170" t="n"/>
      <c r="E584" s="106" t="n"/>
      <c r="F584" s="105" t="n"/>
      <c r="G584" s="171">
        <f>IF(J584="","",HYPERLINK("#Transaksi!B"&amp;J584,"Kas"))</f>
        <v/>
      </c>
      <c r="H584" s="172" t="n"/>
      <c r="I584" s="172" t="n"/>
      <c r="J584" s="119" t="n"/>
    </row>
    <row r="585">
      <c r="A585" s="119" t="n"/>
      <c r="B585" s="105" t="n"/>
      <c r="C585" s="105" t="n"/>
      <c r="D585" s="170" t="n"/>
      <c r="E585" s="106" t="n"/>
      <c r="F585" s="105" t="n"/>
      <c r="G585" s="171">
        <f>IF(J585="","",HYPERLINK("#Transaksi!B"&amp;J585,"Kas"))</f>
        <v/>
      </c>
      <c r="H585" s="172" t="n"/>
      <c r="I585" s="172" t="n"/>
      <c r="J585" s="119" t="n"/>
    </row>
    <row r="586">
      <c r="A586" s="119" t="n"/>
      <c r="B586" s="105" t="n"/>
      <c r="C586" s="105" t="n"/>
      <c r="D586" s="170" t="n"/>
      <c r="E586" s="106" t="n"/>
      <c r="F586" s="105" t="n"/>
      <c r="G586" s="171">
        <f>IF(J586="","",HYPERLINK("#Transaksi!B"&amp;J586,"Kas"))</f>
        <v/>
      </c>
      <c r="H586" s="172" t="n"/>
      <c r="I586" s="172" t="n"/>
      <c r="J586" s="119" t="n"/>
    </row>
    <row r="587">
      <c r="A587" s="119" t="n"/>
      <c r="B587" s="105" t="n"/>
      <c r="C587" s="105" t="n"/>
      <c r="D587" s="170" t="n"/>
      <c r="E587" s="106" t="n"/>
      <c r="F587" s="105" t="n"/>
      <c r="G587" s="171">
        <f>IF(J587="","",HYPERLINK("#Transaksi!B"&amp;J587,"Kas"))</f>
        <v/>
      </c>
      <c r="H587" s="172" t="n"/>
      <c r="I587" s="172" t="n"/>
      <c r="J587" s="119" t="n"/>
    </row>
    <row r="588">
      <c r="A588" s="119" t="n"/>
      <c r="B588" s="105" t="n"/>
      <c r="C588" s="105" t="n"/>
      <c r="D588" s="170" t="n"/>
      <c r="E588" s="106" t="n"/>
      <c r="F588" s="105" t="n"/>
      <c r="G588" s="171">
        <f>IF(J588="","",HYPERLINK("#Transaksi!B"&amp;J588,"Kas"))</f>
        <v/>
      </c>
      <c r="H588" s="172" t="n"/>
      <c r="I588" s="172" t="n"/>
      <c r="J588" s="119" t="n"/>
    </row>
    <row r="589">
      <c r="A589" s="119" t="n"/>
      <c r="B589" s="105" t="n"/>
      <c r="C589" s="105" t="n"/>
      <c r="D589" s="170" t="n"/>
      <c r="E589" s="106" t="n"/>
      <c r="F589" s="105" t="n"/>
      <c r="G589" s="171">
        <f>IF(J589="","",HYPERLINK("#Transaksi!B"&amp;J589,"Kas"))</f>
        <v/>
      </c>
      <c r="H589" s="172" t="n"/>
      <c r="I589" s="172" t="n"/>
      <c r="J589" s="119" t="n"/>
    </row>
    <row r="590">
      <c r="A590" s="119" t="n"/>
      <c r="B590" s="105" t="n"/>
      <c r="C590" s="105" t="n"/>
      <c r="D590" s="170" t="n"/>
      <c r="E590" s="106" t="n"/>
      <c r="F590" s="105" t="n"/>
      <c r="G590" s="171">
        <f>IF(J590="","",HYPERLINK("#Transaksi!B"&amp;J590,"Kas"))</f>
        <v/>
      </c>
      <c r="H590" s="172" t="n"/>
      <c r="I590" s="172" t="n"/>
      <c r="J590" s="119" t="n"/>
    </row>
    <row r="591">
      <c r="A591" s="119" t="n"/>
      <c r="B591" s="105" t="n"/>
      <c r="C591" s="105" t="n"/>
      <c r="D591" s="170" t="n"/>
      <c r="E591" s="106" t="n"/>
      <c r="F591" s="105" t="n"/>
      <c r="G591" s="171">
        <f>IF(J591="","",HYPERLINK("#Transaksi!B"&amp;J591,"Kas"))</f>
        <v/>
      </c>
      <c r="H591" s="172" t="n"/>
      <c r="I591" s="172" t="n"/>
      <c r="J591" s="119" t="n"/>
    </row>
    <row r="592">
      <c r="A592" s="119" t="n"/>
      <c r="B592" s="105" t="n"/>
      <c r="C592" s="105" t="n"/>
      <c r="D592" s="170" t="n"/>
      <c r="E592" s="106" t="n"/>
      <c r="F592" s="105" t="n"/>
      <c r="G592" s="171">
        <f>IF(J592="","",HYPERLINK("#Transaksi!B"&amp;J592,"Kas"))</f>
        <v/>
      </c>
      <c r="H592" s="172" t="n"/>
      <c r="I592" s="172" t="n"/>
      <c r="J592" s="119" t="n"/>
    </row>
    <row r="593">
      <c r="A593" s="119" t="n"/>
      <c r="B593" s="105" t="n"/>
      <c r="C593" s="105" t="n"/>
      <c r="D593" s="170" t="n"/>
      <c r="E593" s="106" t="n"/>
      <c r="F593" s="105" t="n"/>
      <c r="G593" s="171">
        <f>IF(J593="","",HYPERLINK("#Transaksi!B"&amp;J593,"Kas"))</f>
        <v/>
      </c>
      <c r="H593" s="172" t="n"/>
      <c r="I593" s="172" t="n"/>
      <c r="J593" s="119" t="n"/>
    </row>
    <row r="594">
      <c r="A594" s="119" t="n"/>
      <c r="B594" s="105" t="n"/>
      <c r="C594" s="105" t="n"/>
      <c r="D594" s="170" t="n"/>
      <c r="E594" s="106" t="n"/>
      <c r="F594" s="105" t="n"/>
      <c r="G594" s="171">
        <f>IF(J594="","",HYPERLINK("#Transaksi!B"&amp;J594,"Kas"))</f>
        <v/>
      </c>
      <c r="H594" s="172" t="n"/>
      <c r="I594" s="172" t="n"/>
      <c r="J594" s="119" t="n"/>
    </row>
    <row r="595">
      <c r="A595" s="119" t="n"/>
      <c r="B595" s="105" t="n"/>
      <c r="C595" s="105" t="n"/>
      <c r="D595" s="170" t="n"/>
      <c r="E595" s="106" t="n"/>
      <c r="F595" s="105" t="n"/>
      <c r="G595" s="171">
        <f>IF(J595="","",HYPERLINK("#Transaksi!B"&amp;J595,"Kas"))</f>
        <v/>
      </c>
      <c r="H595" s="172" t="n"/>
      <c r="I595" s="172" t="n"/>
      <c r="J595" s="119" t="n"/>
    </row>
    <row r="596">
      <c r="A596" s="119" t="n"/>
      <c r="B596" s="105" t="n"/>
      <c r="C596" s="105" t="n"/>
      <c r="D596" s="170" t="n"/>
      <c r="E596" s="106" t="n"/>
      <c r="F596" s="105" t="n"/>
      <c r="G596" s="171">
        <f>IF(J596="","",HYPERLINK("#Transaksi!B"&amp;J596,"Kas"))</f>
        <v/>
      </c>
      <c r="H596" s="172" t="n"/>
      <c r="I596" s="172" t="n"/>
      <c r="J596" s="119" t="n"/>
    </row>
    <row r="597">
      <c r="A597" s="119" t="n"/>
      <c r="B597" s="105" t="n"/>
      <c r="C597" s="105" t="n"/>
      <c r="D597" s="170" t="n"/>
      <c r="E597" s="106" t="n"/>
      <c r="F597" s="105" t="n"/>
      <c r="G597" s="171">
        <f>IF(J597="","",HYPERLINK("#Transaksi!B"&amp;J597,"Kas"))</f>
        <v/>
      </c>
      <c r="H597" s="172" t="n"/>
      <c r="I597" s="172" t="n"/>
      <c r="J597" s="119" t="n"/>
    </row>
    <row r="598">
      <c r="A598" s="119" t="n"/>
      <c r="B598" s="105" t="n"/>
      <c r="C598" s="105" t="n"/>
      <c r="D598" s="170" t="n"/>
      <c r="E598" s="106" t="n"/>
      <c r="F598" s="105" t="n"/>
      <c r="G598" s="171">
        <f>IF(J598="","",HYPERLINK("#Transaksi!B"&amp;J598,"Kas"))</f>
        <v/>
      </c>
      <c r="H598" s="172" t="n"/>
      <c r="I598" s="172" t="n"/>
      <c r="J598" s="119" t="n"/>
    </row>
    <row r="599">
      <c r="A599" s="119" t="n"/>
      <c r="B599" s="105" t="n"/>
      <c r="C599" s="105" t="n"/>
      <c r="D599" s="170" t="n"/>
      <c r="E599" s="106" t="n"/>
      <c r="F599" s="105" t="n"/>
      <c r="G599" s="171">
        <f>IF(J599="","",HYPERLINK("#Transaksi!B"&amp;J599,"Kas"))</f>
        <v/>
      </c>
      <c r="H599" s="172" t="n"/>
      <c r="I599" s="172" t="n"/>
      <c r="J599" s="119" t="n"/>
    </row>
    <row r="600">
      <c r="A600" s="119" t="n"/>
      <c r="B600" s="105" t="n"/>
      <c r="C600" s="105" t="n"/>
      <c r="D600" s="170" t="n"/>
      <c r="E600" s="106" t="n"/>
      <c r="F600" s="105" t="n"/>
      <c r="G600" s="171">
        <f>IF(J600="","",HYPERLINK("#Transaksi!B"&amp;J600,"Kas"))</f>
        <v/>
      </c>
      <c r="H600" s="172" t="n"/>
      <c r="I600" s="172" t="n"/>
      <c r="J600" s="119" t="n"/>
    </row>
    <row r="601">
      <c r="A601" s="119" t="n"/>
      <c r="B601" s="105" t="n"/>
      <c r="C601" s="105" t="n"/>
      <c r="D601" s="170" t="n"/>
      <c r="E601" s="106" t="n"/>
      <c r="F601" s="105" t="n"/>
      <c r="G601" s="171">
        <f>IF(J601="","",HYPERLINK("#Transaksi!B"&amp;J601,"Kas"))</f>
        <v/>
      </c>
      <c r="H601" s="172" t="n"/>
      <c r="I601" s="172" t="n"/>
      <c r="J601" s="119" t="n"/>
    </row>
    <row r="602">
      <c r="A602" s="119" t="n"/>
      <c r="B602" s="105" t="n"/>
      <c r="C602" s="105" t="n"/>
      <c r="D602" s="170" t="n"/>
      <c r="E602" s="106" t="n"/>
      <c r="F602" s="105" t="n"/>
      <c r="G602" s="171">
        <f>IF(J602="","",HYPERLINK("#Transaksi!B"&amp;J602,"Kas"))</f>
        <v/>
      </c>
      <c r="H602" s="172" t="n"/>
      <c r="I602" s="172" t="n"/>
      <c r="J602" s="119" t="n"/>
    </row>
    <row r="603">
      <c r="A603" s="119" t="n"/>
      <c r="B603" s="105" t="n"/>
      <c r="C603" s="105" t="n"/>
      <c r="D603" s="170" t="n"/>
      <c r="E603" s="106" t="n"/>
      <c r="F603" s="105" t="n"/>
      <c r="G603" s="171">
        <f>IF(J603="","",HYPERLINK("#Transaksi!B"&amp;J603,"Kas"))</f>
        <v/>
      </c>
      <c r="H603" s="172" t="n"/>
      <c r="I603" s="172" t="n"/>
      <c r="J603" s="119" t="n"/>
    </row>
    <row r="604">
      <c r="A604" s="119" t="n"/>
      <c r="B604" s="105" t="n"/>
      <c r="C604" s="105" t="n"/>
      <c r="D604" s="170" t="n"/>
      <c r="E604" s="106" t="n"/>
      <c r="F604" s="105" t="n"/>
      <c r="G604" s="171">
        <f>IF(J604="","",HYPERLINK("#Transaksi!B"&amp;J604,"Kas"))</f>
        <v/>
      </c>
      <c r="H604" s="172" t="n"/>
      <c r="I604" s="172" t="n"/>
      <c r="J604" s="119" t="n"/>
    </row>
    <row r="605">
      <c r="A605" s="119" t="n"/>
      <c r="B605" s="105" t="n"/>
      <c r="C605" s="105" t="n"/>
      <c r="D605" s="170" t="n"/>
      <c r="E605" s="106" t="n"/>
      <c r="F605" s="105" t="n"/>
      <c r="G605" s="171">
        <f>IF(J605="","",HYPERLINK("#Transaksi!B"&amp;J605,"Kas"))</f>
        <v/>
      </c>
      <c r="H605" s="172" t="n"/>
      <c r="I605" s="172" t="n"/>
      <c r="J605" s="119" t="n"/>
    </row>
    <row r="606">
      <c r="A606" s="119" t="n"/>
      <c r="B606" s="105" t="n"/>
      <c r="C606" s="105" t="n"/>
      <c r="D606" s="170" t="n"/>
      <c r="E606" s="106" t="n"/>
      <c r="F606" s="105" t="n"/>
      <c r="G606" s="171">
        <f>IF(J606="","",HYPERLINK("#Transaksi!B"&amp;J606,"Kas"))</f>
        <v/>
      </c>
      <c r="H606" s="172" t="n"/>
      <c r="I606" s="172" t="n"/>
      <c r="J606" s="119" t="n"/>
    </row>
    <row r="607">
      <c r="A607" s="119" t="n"/>
      <c r="B607" s="105" t="n"/>
      <c r="C607" s="105" t="n"/>
      <c r="D607" s="170" t="n"/>
      <c r="E607" s="106" t="n"/>
      <c r="F607" s="105" t="n"/>
      <c r="G607" s="171">
        <f>IF(J607="","",HYPERLINK("#Transaksi!B"&amp;J607,"Kas"))</f>
        <v/>
      </c>
      <c r="H607" s="172" t="n"/>
      <c r="I607" s="172" t="n"/>
      <c r="J607" s="119" t="n"/>
    </row>
    <row r="608">
      <c r="A608" s="119" t="n"/>
      <c r="B608" s="105" t="n"/>
      <c r="C608" s="105" t="n"/>
      <c r="D608" s="170" t="n"/>
      <c r="E608" s="106" t="n"/>
      <c r="F608" s="105" t="n"/>
      <c r="G608" s="171">
        <f>IF(J608="","",HYPERLINK("#Transaksi!B"&amp;J608,"Kas"))</f>
        <v/>
      </c>
      <c r="H608" s="172" t="n"/>
      <c r="I608" s="172" t="n"/>
      <c r="J608" s="119" t="n"/>
    </row>
    <row r="609">
      <c r="A609" s="119" t="n"/>
      <c r="B609" s="105" t="n"/>
      <c r="C609" s="105" t="n"/>
      <c r="D609" s="170" t="n"/>
      <c r="E609" s="106" t="n"/>
      <c r="F609" s="105" t="n"/>
      <c r="G609" s="171">
        <f>IF(J609="","",HYPERLINK("#Transaksi!B"&amp;J609,"Kas"))</f>
        <v/>
      </c>
      <c r="H609" s="172" t="n"/>
      <c r="I609" s="172" t="n"/>
      <c r="J609" s="119" t="n"/>
    </row>
    <row r="610">
      <c r="A610" s="119" t="n"/>
      <c r="B610" s="105" t="n"/>
      <c r="C610" s="105" t="n"/>
      <c r="D610" s="170" t="n"/>
      <c r="E610" s="106" t="n"/>
      <c r="F610" s="105" t="n"/>
      <c r="G610" s="171">
        <f>IF(J610="","",HYPERLINK("#Transaksi!B"&amp;J610,"Kas"))</f>
        <v/>
      </c>
      <c r="H610" s="172" t="n"/>
      <c r="I610" s="172" t="n"/>
      <c r="J610" s="119" t="n"/>
    </row>
    <row r="611">
      <c r="A611" s="119" t="n"/>
      <c r="B611" s="105" t="n"/>
      <c r="C611" s="105" t="n"/>
      <c r="D611" s="170" t="n"/>
      <c r="E611" s="106" t="n"/>
      <c r="F611" s="105" t="n"/>
      <c r="G611" s="171">
        <f>IF(J611="","",HYPERLINK("#Transaksi!B"&amp;J611,"Kas"))</f>
        <v/>
      </c>
      <c r="H611" s="172" t="n"/>
      <c r="I611" s="172" t="n"/>
      <c r="J611" s="119" t="n"/>
    </row>
    <row r="612">
      <c r="A612" s="119" t="n"/>
      <c r="B612" s="105" t="n"/>
      <c r="C612" s="105" t="n"/>
      <c r="D612" s="170" t="n"/>
      <c r="E612" s="106" t="n"/>
      <c r="F612" s="105" t="n"/>
      <c r="G612" s="171">
        <f>IF(J612="","",HYPERLINK("#Transaksi!B"&amp;J612,"Kas"))</f>
        <v/>
      </c>
      <c r="H612" s="172" t="n"/>
      <c r="I612" s="172" t="n"/>
      <c r="J612" s="119" t="n"/>
    </row>
    <row r="613">
      <c r="A613" s="119" t="n"/>
      <c r="B613" s="105" t="n"/>
      <c r="C613" s="105" t="n"/>
      <c r="D613" s="170" t="n"/>
      <c r="E613" s="106" t="n"/>
      <c r="F613" s="105" t="n"/>
      <c r="G613" s="171">
        <f>IF(J613="","",HYPERLINK("#Transaksi!B"&amp;J613,"Kas"))</f>
        <v/>
      </c>
      <c r="H613" s="172" t="n"/>
      <c r="I613" s="172" t="n"/>
      <c r="J613" s="119" t="n"/>
    </row>
    <row r="614">
      <c r="A614" s="119" t="n"/>
      <c r="B614" s="105" t="n"/>
      <c r="C614" s="105" t="n"/>
      <c r="D614" s="170" t="n"/>
      <c r="E614" s="106" t="n"/>
      <c r="F614" s="105" t="n"/>
      <c r="G614" s="171">
        <f>IF(J614="","",HYPERLINK("#Transaksi!B"&amp;J614,"Kas"))</f>
        <v/>
      </c>
      <c r="H614" s="172" t="n"/>
      <c r="I614" s="172" t="n"/>
      <c r="J614" s="119" t="n"/>
    </row>
    <row r="615">
      <c r="A615" s="119" t="n"/>
      <c r="B615" s="105" t="n"/>
      <c r="C615" s="105" t="n"/>
      <c r="D615" s="170" t="n"/>
      <c r="E615" s="106" t="n"/>
      <c r="F615" s="105" t="n"/>
      <c r="G615" s="171">
        <f>IF(J615="","",HYPERLINK("#Transaksi!B"&amp;J615,"Kas"))</f>
        <v/>
      </c>
      <c r="H615" s="172" t="n"/>
      <c r="I615" s="172" t="n"/>
      <c r="J615" s="119" t="n"/>
    </row>
    <row r="616">
      <c r="A616" s="119" t="n"/>
      <c r="B616" s="105" t="n"/>
      <c r="C616" s="105" t="n"/>
      <c r="D616" s="170" t="n"/>
      <c r="E616" s="106" t="n"/>
      <c r="F616" s="105" t="n"/>
      <c r="G616" s="171">
        <f>IF(J616="","",HYPERLINK("#Transaksi!B"&amp;J616,"Kas"))</f>
        <v/>
      </c>
      <c r="H616" s="172" t="n"/>
      <c r="I616" s="172" t="n"/>
      <c r="J616" s="119" t="n"/>
    </row>
    <row r="617">
      <c r="A617" s="119" t="n"/>
      <c r="B617" s="105" t="n"/>
      <c r="C617" s="105" t="n"/>
      <c r="D617" s="170" t="n"/>
      <c r="E617" s="106" t="n"/>
      <c r="F617" s="105" t="n"/>
      <c r="G617" s="171">
        <f>IF(J617="","",HYPERLINK("#Transaksi!B"&amp;J617,"Kas"))</f>
        <v/>
      </c>
      <c r="H617" s="172" t="n"/>
      <c r="I617" s="172" t="n"/>
      <c r="J617" s="119" t="n"/>
    </row>
    <row r="618">
      <c r="A618" s="119" t="n"/>
      <c r="B618" s="105" t="n"/>
      <c r="C618" s="105" t="n"/>
      <c r="D618" s="170" t="n"/>
      <c r="E618" s="106" t="n"/>
      <c r="F618" s="105" t="n"/>
      <c r="G618" s="171">
        <f>IF(J618="","",HYPERLINK("#Transaksi!B"&amp;J618,"Kas"))</f>
        <v/>
      </c>
      <c r="H618" s="172" t="n"/>
      <c r="I618" s="172" t="n"/>
      <c r="J618" s="119" t="n"/>
    </row>
    <row r="619">
      <c r="A619" s="119" t="n"/>
      <c r="B619" s="105" t="n"/>
      <c r="C619" s="105" t="n"/>
      <c r="D619" s="170" t="n"/>
      <c r="E619" s="106" t="n"/>
      <c r="F619" s="105" t="n"/>
      <c r="G619" s="171">
        <f>IF(J619="","",HYPERLINK("#Transaksi!B"&amp;J619,"Kas"))</f>
        <v/>
      </c>
      <c r="H619" s="172" t="n"/>
      <c r="I619" s="172" t="n"/>
      <c r="J619" s="119" t="n"/>
    </row>
    <row r="620">
      <c r="A620" s="119" t="n"/>
      <c r="B620" s="105" t="n"/>
      <c r="C620" s="105" t="n"/>
      <c r="D620" s="170" t="n"/>
      <c r="E620" s="106" t="n"/>
      <c r="F620" s="105" t="n"/>
      <c r="G620" s="171">
        <f>IF(J620="","",HYPERLINK("#Transaksi!B"&amp;J620,"Kas"))</f>
        <v/>
      </c>
      <c r="H620" s="172" t="n"/>
      <c r="I620" s="172" t="n"/>
      <c r="J620" s="119" t="n"/>
    </row>
    <row r="621">
      <c r="A621" s="119" t="n"/>
      <c r="B621" s="105" t="n"/>
      <c r="C621" s="105" t="n"/>
      <c r="D621" s="170" t="n"/>
      <c r="E621" s="106" t="n"/>
      <c r="F621" s="105" t="n"/>
      <c r="G621" s="171">
        <f>IF(J621="","",HYPERLINK("#Transaksi!B"&amp;J621,"Kas"))</f>
        <v/>
      </c>
      <c r="H621" s="172" t="n"/>
      <c r="I621" s="172" t="n"/>
      <c r="J621" s="119" t="n"/>
    </row>
    <row r="622">
      <c r="A622" s="119" t="n"/>
      <c r="B622" s="105" t="n"/>
      <c r="C622" s="105" t="n"/>
      <c r="D622" s="170" t="n"/>
      <c r="E622" s="106" t="n"/>
      <c r="F622" s="105" t="n"/>
      <c r="G622" s="171">
        <f>IF(J622="","",HYPERLINK("#Transaksi!B"&amp;J622,"Kas"))</f>
        <v/>
      </c>
      <c r="H622" s="172" t="n"/>
      <c r="I622" s="172" t="n"/>
      <c r="J622" s="119" t="n"/>
    </row>
    <row r="623">
      <c r="A623" s="119" t="n"/>
      <c r="B623" s="105" t="n"/>
      <c r="C623" s="105" t="n"/>
      <c r="D623" s="170" t="n"/>
      <c r="E623" s="106" t="n"/>
      <c r="F623" s="105" t="n"/>
      <c r="G623" s="171">
        <f>IF(J623="","",HYPERLINK("#Transaksi!B"&amp;J623,"Kas"))</f>
        <v/>
      </c>
      <c r="H623" s="172" t="n"/>
      <c r="I623" s="172" t="n"/>
      <c r="J623" s="119" t="n"/>
    </row>
    <row r="624">
      <c r="A624" s="119" t="n"/>
      <c r="B624" s="105" t="n"/>
      <c r="C624" s="105" t="n"/>
      <c r="D624" s="170" t="n"/>
      <c r="E624" s="106" t="n"/>
      <c r="F624" s="105" t="n"/>
      <c r="G624" s="171">
        <f>IF(J624="","",HYPERLINK("#Transaksi!B"&amp;J624,"Kas"))</f>
        <v/>
      </c>
      <c r="H624" s="172" t="n"/>
      <c r="I624" s="172" t="n"/>
      <c r="J624" s="119" t="n"/>
    </row>
    <row r="625">
      <c r="A625" s="119" t="n"/>
      <c r="B625" s="105" t="n"/>
      <c r="C625" s="105" t="n"/>
      <c r="D625" s="170" t="n"/>
      <c r="E625" s="106" t="n"/>
      <c r="F625" s="105" t="n"/>
      <c r="G625" s="171">
        <f>IF(J625="","",HYPERLINK("#Transaksi!B"&amp;J625,"Kas"))</f>
        <v/>
      </c>
      <c r="H625" s="172" t="n"/>
      <c r="I625" s="172" t="n"/>
      <c r="J625" s="119" t="n"/>
    </row>
    <row r="626">
      <c r="A626" s="119" t="n"/>
      <c r="B626" s="105" t="n"/>
      <c r="C626" s="105" t="n"/>
      <c r="D626" s="170" t="n"/>
      <c r="E626" s="106" t="n"/>
      <c r="F626" s="105" t="n"/>
      <c r="G626" s="171">
        <f>IF(J626="","",HYPERLINK("#Transaksi!B"&amp;J626,"Kas"))</f>
        <v/>
      </c>
      <c r="H626" s="172" t="n"/>
      <c r="I626" s="172" t="n"/>
      <c r="J626" s="119" t="n"/>
    </row>
    <row r="627">
      <c r="A627" s="119" t="n"/>
      <c r="B627" s="105" t="n"/>
      <c r="C627" s="105" t="n"/>
      <c r="D627" s="170" t="n"/>
      <c r="E627" s="106" t="n"/>
      <c r="F627" s="105" t="n"/>
      <c r="G627" s="171">
        <f>IF(J627="","",HYPERLINK("#Transaksi!B"&amp;J627,"Kas"))</f>
        <v/>
      </c>
      <c r="H627" s="172" t="n"/>
      <c r="I627" s="172" t="n"/>
      <c r="J627" s="119" t="n"/>
    </row>
    <row r="628">
      <c r="A628" s="119" t="n"/>
      <c r="B628" s="105" t="n"/>
      <c r="C628" s="105" t="n"/>
      <c r="D628" s="170" t="n"/>
      <c r="E628" s="106" t="n"/>
      <c r="F628" s="105" t="n"/>
      <c r="G628" s="171">
        <f>IF(J628="","",HYPERLINK("#Transaksi!B"&amp;J628,"Kas"))</f>
        <v/>
      </c>
      <c r="H628" s="172" t="n"/>
      <c r="I628" s="172" t="n"/>
      <c r="J628" s="119" t="n"/>
    </row>
    <row r="629">
      <c r="A629" s="119" t="n"/>
      <c r="B629" s="105" t="n"/>
      <c r="C629" s="105" t="n"/>
      <c r="D629" s="170" t="n"/>
      <c r="E629" s="106" t="n"/>
      <c r="F629" s="105" t="n"/>
      <c r="G629" s="171">
        <f>IF(J629="","",HYPERLINK("#Transaksi!B"&amp;J629,"Kas"))</f>
        <v/>
      </c>
      <c r="H629" s="172" t="n"/>
      <c r="I629" s="172" t="n"/>
      <c r="J629" s="119" t="n"/>
    </row>
    <row r="630">
      <c r="A630" s="119" t="n"/>
      <c r="B630" s="105" t="n"/>
      <c r="C630" s="105" t="n"/>
      <c r="D630" s="170" t="n"/>
      <c r="E630" s="106" t="n"/>
      <c r="F630" s="105" t="n"/>
      <c r="G630" s="171">
        <f>IF(J630="","",HYPERLINK("#Transaksi!B"&amp;J630,"Kas"))</f>
        <v/>
      </c>
      <c r="H630" s="172" t="n"/>
      <c r="I630" s="172" t="n"/>
      <c r="J630" s="119" t="n"/>
    </row>
    <row r="631">
      <c r="A631" s="119" t="n"/>
      <c r="B631" s="105" t="n"/>
      <c r="C631" s="105" t="n"/>
      <c r="D631" s="170" t="n"/>
      <c r="E631" s="106" t="n"/>
      <c r="F631" s="105" t="n"/>
      <c r="G631" s="171">
        <f>IF(J631="","",HYPERLINK("#Transaksi!B"&amp;J631,"Kas"))</f>
        <v/>
      </c>
      <c r="H631" s="172" t="n"/>
      <c r="I631" s="172" t="n"/>
      <c r="J631" s="119" t="n"/>
    </row>
    <row r="632">
      <c r="A632" s="119" t="n"/>
      <c r="B632" s="105" t="n"/>
      <c r="C632" s="105" t="n"/>
      <c r="D632" s="170" t="n"/>
      <c r="E632" s="106" t="n"/>
      <c r="F632" s="105" t="n"/>
      <c r="G632" s="171">
        <f>IF(J632="","",HYPERLINK("#Transaksi!B"&amp;J632,"Kas"))</f>
        <v/>
      </c>
      <c r="H632" s="172" t="n"/>
      <c r="I632" s="172" t="n"/>
      <c r="J632" s="119" t="n"/>
    </row>
    <row r="633">
      <c r="A633" s="119" t="n"/>
      <c r="B633" s="105" t="n"/>
      <c r="C633" s="105" t="n"/>
      <c r="D633" s="170" t="n"/>
      <c r="E633" s="106" t="n"/>
      <c r="F633" s="105" t="n"/>
      <c r="G633" s="171">
        <f>IF(J633="","",HYPERLINK("#Transaksi!B"&amp;J633,"Kas"))</f>
        <v/>
      </c>
      <c r="H633" s="172" t="n"/>
      <c r="I633" s="172" t="n"/>
      <c r="J633" s="119" t="n"/>
    </row>
    <row r="634">
      <c r="A634" s="119" t="n"/>
      <c r="B634" s="105" t="n"/>
      <c r="C634" s="105" t="n"/>
      <c r="D634" s="170" t="n"/>
      <c r="E634" s="106" t="n"/>
      <c r="F634" s="105" t="n"/>
      <c r="G634" s="171">
        <f>IF(J634="","",HYPERLINK("#Transaksi!B"&amp;J634,"Kas"))</f>
        <v/>
      </c>
      <c r="H634" s="172" t="n"/>
      <c r="I634" s="172" t="n"/>
      <c r="J634" s="119" t="n"/>
    </row>
    <row r="635">
      <c r="A635" s="119" t="n"/>
      <c r="B635" s="105" t="n"/>
      <c r="C635" s="105" t="n"/>
      <c r="D635" s="170" t="n"/>
      <c r="E635" s="106" t="n"/>
      <c r="F635" s="105" t="n"/>
      <c r="G635" s="171">
        <f>IF(J635="","",HYPERLINK("#Transaksi!B"&amp;J635,"Kas"))</f>
        <v/>
      </c>
      <c r="H635" s="172" t="n"/>
      <c r="I635" s="172" t="n"/>
      <c r="J635" s="119" t="n"/>
    </row>
    <row r="636">
      <c r="A636" s="119" t="n"/>
      <c r="B636" s="105" t="n"/>
      <c r="C636" s="105" t="n"/>
      <c r="D636" s="170" t="n"/>
      <c r="E636" s="106" t="n"/>
      <c r="F636" s="105" t="n"/>
      <c r="G636" s="171">
        <f>IF(J636="","",HYPERLINK("#Transaksi!B"&amp;J636,"Kas"))</f>
        <v/>
      </c>
      <c r="H636" s="172" t="n"/>
      <c r="I636" s="172" t="n"/>
      <c r="J636" s="119" t="n"/>
    </row>
    <row r="637">
      <c r="A637" s="119" t="n"/>
      <c r="B637" s="105" t="n"/>
      <c r="C637" s="105" t="n"/>
      <c r="D637" s="170" t="n"/>
      <c r="E637" s="106" t="n"/>
      <c r="F637" s="105" t="n"/>
      <c r="G637" s="171">
        <f>IF(J637="","",HYPERLINK("#Transaksi!B"&amp;J637,"Kas"))</f>
        <v/>
      </c>
      <c r="H637" s="172" t="n"/>
      <c r="I637" s="172" t="n"/>
      <c r="J637" s="119" t="n"/>
    </row>
    <row r="638">
      <c r="A638" s="119" t="n"/>
      <c r="B638" s="105" t="n"/>
      <c r="C638" s="105" t="n"/>
      <c r="D638" s="170" t="n"/>
      <c r="E638" s="106" t="n"/>
      <c r="F638" s="105" t="n"/>
      <c r="G638" s="171">
        <f>IF(J638="","",HYPERLINK("#Transaksi!B"&amp;J638,"Kas"))</f>
        <v/>
      </c>
      <c r="H638" s="172" t="n"/>
      <c r="I638" s="172" t="n"/>
      <c r="J638" s="119" t="n"/>
    </row>
    <row r="639">
      <c r="A639" s="119" t="n"/>
      <c r="B639" s="105" t="n"/>
      <c r="C639" s="105" t="n"/>
      <c r="D639" s="170" t="n"/>
      <c r="E639" s="106" t="n"/>
      <c r="F639" s="105" t="n"/>
      <c r="G639" s="171">
        <f>IF(J639="","",HYPERLINK("#Transaksi!B"&amp;J639,"Kas"))</f>
        <v/>
      </c>
      <c r="H639" s="172" t="n"/>
      <c r="I639" s="172" t="n"/>
      <c r="J639" s="119" t="n"/>
    </row>
    <row r="640">
      <c r="A640" s="119" t="n"/>
      <c r="B640" s="105" t="n"/>
      <c r="C640" s="105" t="n"/>
      <c r="D640" s="170" t="n"/>
      <c r="E640" s="106" t="n"/>
      <c r="F640" s="105" t="n"/>
      <c r="G640" s="171">
        <f>IF(J640="","",HYPERLINK("#Transaksi!B"&amp;J640,"Kas"))</f>
        <v/>
      </c>
      <c r="H640" s="172" t="n"/>
      <c r="I640" s="172" t="n"/>
      <c r="J640" s="119" t="n"/>
    </row>
    <row r="641">
      <c r="A641" s="119" t="n"/>
      <c r="B641" s="105" t="n"/>
      <c r="C641" s="105" t="n"/>
      <c r="D641" s="170" t="n"/>
      <c r="E641" s="106" t="n"/>
      <c r="F641" s="105" t="n"/>
      <c r="G641" s="171">
        <f>IF(J641="","",HYPERLINK("#Transaksi!B"&amp;J641,"Kas"))</f>
        <v/>
      </c>
      <c r="H641" s="172" t="n"/>
      <c r="I641" s="172" t="n"/>
      <c r="J641" s="119" t="n"/>
    </row>
    <row r="642">
      <c r="A642" s="119" t="n"/>
      <c r="B642" s="105" t="n"/>
      <c r="C642" s="105" t="n"/>
      <c r="D642" s="170" t="n"/>
      <c r="E642" s="106" t="n"/>
      <c r="F642" s="105" t="n"/>
      <c r="G642" s="171">
        <f>IF(J642="","",HYPERLINK("#Transaksi!B"&amp;J642,"Kas"))</f>
        <v/>
      </c>
      <c r="H642" s="172" t="n"/>
      <c r="I642" s="172" t="n"/>
      <c r="J642" s="119" t="n"/>
    </row>
    <row r="643">
      <c r="A643" s="119" t="n"/>
      <c r="B643" s="105" t="n"/>
      <c r="C643" s="105" t="n"/>
      <c r="D643" s="170" t="n"/>
      <c r="E643" s="106" t="n"/>
      <c r="F643" s="105" t="n"/>
      <c r="G643" s="171">
        <f>IF(J643="","",HYPERLINK("#Transaksi!B"&amp;J643,"Kas"))</f>
        <v/>
      </c>
      <c r="H643" s="172" t="n"/>
      <c r="I643" s="172" t="n"/>
      <c r="J643" s="119" t="n"/>
    </row>
    <row r="644">
      <c r="A644" s="119" t="n"/>
      <c r="B644" s="105" t="n"/>
      <c r="C644" s="105" t="n"/>
      <c r="D644" s="170" t="n"/>
      <c r="E644" s="106" t="n"/>
      <c r="F644" s="105" t="n"/>
      <c r="G644" s="171">
        <f>IF(J644="","",HYPERLINK("#Transaksi!B"&amp;J644,"Kas"))</f>
        <v/>
      </c>
      <c r="H644" s="172" t="n"/>
      <c r="I644" s="172" t="n"/>
      <c r="J644" s="119" t="n"/>
    </row>
    <row r="645">
      <c r="A645" s="119" t="n"/>
      <c r="B645" s="105" t="n"/>
      <c r="C645" s="105" t="n"/>
      <c r="D645" s="170" t="n"/>
      <c r="E645" s="106" t="n"/>
      <c r="F645" s="105" t="n"/>
      <c r="G645" s="171">
        <f>IF(J645="","",HYPERLINK("#Transaksi!B"&amp;J645,"Kas"))</f>
        <v/>
      </c>
      <c r="H645" s="172" t="n"/>
      <c r="I645" s="172" t="n"/>
      <c r="J645" s="119" t="n"/>
    </row>
    <row r="646">
      <c r="A646" s="119" t="n"/>
      <c r="B646" s="105" t="n"/>
      <c r="C646" s="105" t="n"/>
      <c r="D646" s="170" t="n"/>
      <c r="E646" s="106" t="n"/>
      <c r="F646" s="105" t="n"/>
      <c r="G646" s="171">
        <f>IF(J646="","",HYPERLINK("#Transaksi!B"&amp;J646,"Kas"))</f>
        <v/>
      </c>
      <c r="H646" s="172" t="n"/>
      <c r="I646" s="172" t="n"/>
      <c r="J646" s="119" t="n"/>
    </row>
    <row r="647">
      <c r="A647" s="119" t="n"/>
      <c r="B647" s="105" t="n"/>
      <c r="C647" s="105" t="n"/>
      <c r="D647" s="170" t="n"/>
      <c r="E647" s="106" t="n"/>
      <c r="F647" s="105" t="n"/>
      <c r="G647" s="171">
        <f>IF(J647="","",HYPERLINK("#Transaksi!B"&amp;J647,"Kas"))</f>
        <v/>
      </c>
      <c r="H647" s="172" t="n"/>
      <c r="I647" s="172" t="n"/>
      <c r="J647" s="119" t="n"/>
    </row>
    <row r="648">
      <c r="A648" s="119" t="n"/>
      <c r="B648" s="105" t="n"/>
      <c r="C648" s="105" t="n"/>
      <c r="D648" s="170" t="n"/>
      <c r="E648" s="106" t="n"/>
      <c r="F648" s="105" t="n"/>
      <c r="G648" s="171">
        <f>IF(J648="","",HYPERLINK("#Transaksi!B"&amp;J648,"Kas"))</f>
        <v/>
      </c>
      <c r="H648" s="172" t="n"/>
      <c r="I648" s="172" t="n"/>
      <c r="J648" s="119" t="n"/>
    </row>
    <row r="649">
      <c r="A649" s="119" t="n"/>
      <c r="B649" s="105" t="n"/>
      <c r="C649" s="105" t="n"/>
      <c r="D649" s="170" t="n"/>
      <c r="E649" s="106" t="n"/>
      <c r="F649" s="105" t="n"/>
      <c r="G649" s="171">
        <f>IF(J649="","",HYPERLINK("#Transaksi!B"&amp;J649,"Kas"))</f>
        <v/>
      </c>
      <c r="H649" s="172" t="n"/>
      <c r="I649" s="172" t="n"/>
      <c r="J649" s="119" t="n"/>
    </row>
    <row r="650">
      <c r="A650" s="119" t="n"/>
      <c r="B650" s="105" t="n"/>
      <c r="C650" s="105" t="n"/>
      <c r="D650" s="170" t="n"/>
      <c r="E650" s="106" t="n"/>
      <c r="F650" s="105" t="n"/>
      <c r="G650" s="171">
        <f>IF(J650="","",HYPERLINK("#Transaksi!B"&amp;J650,"Kas"))</f>
        <v/>
      </c>
      <c r="H650" s="172" t="n"/>
      <c r="I650" s="172" t="n"/>
      <c r="J650" s="119" t="n"/>
    </row>
    <row r="651">
      <c r="A651" s="119" t="n"/>
      <c r="B651" s="105" t="n"/>
      <c r="C651" s="105" t="n"/>
      <c r="D651" s="170" t="n"/>
      <c r="E651" s="106" t="n"/>
      <c r="F651" s="105" t="n"/>
      <c r="G651" s="171">
        <f>IF(J651="","",HYPERLINK("#Transaksi!B"&amp;J651,"Kas"))</f>
        <v/>
      </c>
      <c r="H651" s="172" t="n"/>
      <c r="I651" s="172" t="n"/>
      <c r="J651" s="119" t="n"/>
    </row>
    <row r="652">
      <c r="A652" s="119" t="n"/>
      <c r="B652" s="105" t="n"/>
      <c r="C652" s="105" t="n"/>
      <c r="D652" s="170" t="n"/>
      <c r="E652" s="106" t="n"/>
      <c r="F652" s="105" t="n"/>
      <c r="G652" s="171">
        <f>IF(J652="","",HYPERLINK("#Transaksi!B"&amp;J652,"Kas"))</f>
        <v/>
      </c>
      <c r="H652" s="172" t="n"/>
      <c r="I652" s="172" t="n"/>
      <c r="J652" s="119" t="n"/>
    </row>
    <row r="653">
      <c r="A653" s="119" t="n"/>
      <c r="B653" s="105" t="n"/>
      <c r="C653" s="105" t="n"/>
      <c r="D653" s="170" t="n"/>
      <c r="E653" s="106" t="n"/>
      <c r="F653" s="105" t="n"/>
      <c r="G653" s="171">
        <f>IF(J653="","",HYPERLINK("#Transaksi!B"&amp;J653,"Kas"))</f>
        <v/>
      </c>
      <c r="H653" s="172" t="n"/>
      <c r="I653" s="172" t="n"/>
      <c r="J653" s="119" t="n"/>
    </row>
    <row r="654">
      <c r="A654" s="119" t="n"/>
      <c r="B654" s="105" t="n"/>
      <c r="C654" s="105" t="n"/>
      <c r="D654" s="170" t="n"/>
      <c r="E654" s="106" t="n"/>
      <c r="F654" s="105" t="n"/>
      <c r="G654" s="171">
        <f>IF(J654="","",HYPERLINK("#Transaksi!B"&amp;J654,"Kas"))</f>
        <v/>
      </c>
      <c r="H654" s="172" t="n"/>
      <c r="I654" s="172" t="n"/>
      <c r="J654" s="119" t="n"/>
    </row>
    <row r="655">
      <c r="A655" s="119" t="n"/>
      <c r="B655" s="105" t="n"/>
      <c r="C655" s="105" t="n"/>
      <c r="D655" s="170" t="n"/>
      <c r="E655" s="106" t="n"/>
      <c r="F655" s="105" t="n"/>
      <c r="G655" s="171">
        <f>IF(J655="","",HYPERLINK("#Transaksi!B"&amp;J655,"Kas"))</f>
        <v/>
      </c>
      <c r="H655" s="172" t="n"/>
      <c r="I655" s="172" t="n"/>
      <c r="J655" s="119" t="n"/>
    </row>
    <row r="656">
      <c r="A656" s="119" t="n"/>
      <c r="B656" s="105" t="n"/>
      <c r="C656" s="105" t="n"/>
      <c r="D656" s="170" t="n"/>
      <c r="E656" s="106" t="n"/>
      <c r="F656" s="105" t="n"/>
      <c r="G656" s="171">
        <f>IF(J656="","",HYPERLINK("#Transaksi!B"&amp;J656,"Kas"))</f>
        <v/>
      </c>
      <c r="H656" s="172" t="n"/>
      <c r="I656" s="172" t="n"/>
      <c r="J656" s="119" t="n"/>
    </row>
    <row r="657">
      <c r="A657" s="119" t="n"/>
      <c r="B657" s="105" t="n"/>
      <c r="C657" s="105" t="n"/>
      <c r="D657" s="170" t="n"/>
      <c r="E657" s="106" t="n"/>
      <c r="F657" s="105" t="n"/>
      <c r="G657" s="171">
        <f>IF(J657="","",HYPERLINK("#Transaksi!B"&amp;J657,"Kas"))</f>
        <v/>
      </c>
      <c r="H657" s="172" t="n"/>
      <c r="I657" s="172" t="n"/>
      <c r="J657" s="119" t="n"/>
    </row>
    <row r="658">
      <c r="A658" s="119" t="n"/>
      <c r="B658" s="105" t="n"/>
      <c r="C658" s="105" t="n"/>
      <c r="D658" s="170" t="n"/>
      <c r="E658" s="106" t="n"/>
      <c r="F658" s="105" t="n"/>
      <c r="G658" s="171">
        <f>IF(J658="","",HYPERLINK("#Transaksi!B"&amp;J658,"Kas"))</f>
        <v/>
      </c>
      <c r="H658" s="172" t="n"/>
      <c r="I658" s="172" t="n"/>
      <c r="J658" s="119" t="n"/>
    </row>
    <row r="659">
      <c r="A659" s="119" t="n"/>
      <c r="B659" s="105" t="n"/>
      <c r="C659" s="105" t="n"/>
      <c r="D659" s="170" t="n"/>
      <c r="E659" s="106" t="n"/>
      <c r="F659" s="105" t="n"/>
      <c r="G659" s="171">
        <f>IF(J659="","",HYPERLINK("#Transaksi!B"&amp;J659,"Kas"))</f>
        <v/>
      </c>
      <c r="H659" s="172" t="n"/>
      <c r="I659" s="172" t="n"/>
      <c r="J659" s="119" t="n"/>
    </row>
    <row r="660">
      <c r="A660" s="119" t="n"/>
      <c r="B660" s="105" t="n"/>
      <c r="C660" s="105" t="n"/>
      <c r="D660" s="170" t="n"/>
      <c r="E660" s="106" t="n"/>
      <c r="F660" s="105" t="n"/>
      <c r="G660" s="171">
        <f>IF(J660="","",HYPERLINK("#Transaksi!B"&amp;J660,"Kas"))</f>
        <v/>
      </c>
      <c r="H660" s="172" t="n"/>
      <c r="I660" s="172" t="n"/>
      <c r="J660" s="119" t="n"/>
    </row>
    <row r="661">
      <c r="A661" s="119" t="n"/>
      <c r="B661" s="105" t="n"/>
      <c r="C661" s="105" t="n"/>
      <c r="D661" s="170" t="n"/>
      <c r="E661" s="106" t="n"/>
      <c r="F661" s="105" t="n"/>
      <c r="G661" s="171">
        <f>IF(J661="","",HYPERLINK("#Transaksi!B"&amp;J661,"Kas"))</f>
        <v/>
      </c>
      <c r="H661" s="172" t="n"/>
      <c r="I661" s="172" t="n"/>
      <c r="J661" s="119" t="n"/>
    </row>
    <row r="662">
      <c r="A662" s="119" t="n"/>
      <c r="B662" s="105" t="n"/>
      <c r="C662" s="105" t="n"/>
      <c r="D662" s="170" t="n"/>
      <c r="E662" s="106" t="n"/>
      <c r="F662" s="105" t="n"/>
      <c r="G662" s="171">
        <f>IF(J662="","",HYPERLINK("#Transaksi!B"&amp;J662,"Kas"))</f>
        <v/>
      </c>
      <c r="H662" s="172" t="n"/>
      <c r="I662" s="172" t="n"/>
      <c r="J662" s="119" t="n"/>
    </row>
    <row r="663">
      <c r="A663" s="119" t="n"/>
      <c r="B663" s="105" t="n"/>
      <c r="C663" s="105" t="n"/>
      <c r="D663" s="170" t="n"/>
      <c r="E663" s="106" t="n"/>
      <c r="F663" s="105" t="n"/>
      <c r="G663" s="171">
        <f>IF(J663="","",HYPERLINK("#Transaksi!B"&amp;J663,"Kas"))</f>
        <v/>
      </c>
      <c r="H663" s="172" t="n"/>
      <c r="I663" s="172" t="n"/>
      <c r="J663" s="119" t="n"/>
    </row>
    <row r="664">
      <c r="A664" s="119" t="n"/>
      <c r="B664" s="105" t="n"/>
      <c r="C664" s="105" t="n"/>
      <c r="D664" s="170" t="n"/>
      <c r="E664" s="106" t="n"/>
      <c r="F664" s="105" t="n"/>
      <c r="G664" s="171">
        <f>IF(J664="","",HYPERLINK("#Transaksi!B"&amp;J664,"Kas"))</f>
        <v/>
      </c>
      <c r="H664" s="172" t="n"/>
      <c r="I664" s="172" t="n"/>
      <c r="J664" s="119" t="n"/>
    </row>
    <row r="665">
      <c r="A665" s="119" t="n"/>
      <c r="B665" s="105" t="n"/>
      <c r="C665" s="105" t="n"/>
      <c r="D665" s="170" t="n"/>
      <c r="E665" s="106" t="n"/>
      <c r="F665" s="105" t="n"/>
      <c r="G665" s="171">
        <f>IF(J665="","",HYPERLINK("#Transaksi!B"&amp;J665,"Kas"))</f>
        <v/>
      </c>
      <c r="H665" s="172" t="n"/>
      <c r="I665" s="172" t="n"/>
      <c r="J665" s="119" t="n"/>
    </row>
    <row r="666">
      <c r="A666" s="119" t="n"/>
      <c r="B666" s="105" t="n"/>
      <c r="C666" s="105" t="n"/>
      <c r="D666" s="170" t="n"/>
      <c r="E666" s="106" t="n"/>
      <c r="F666" s="105" t="n"/>
      <c r="G666" s="171">
        <f>IF(J666="","",HYPERLINK("#Transaksi!B"&amp;J666,"Kas"))</f>
        <v/>
      </c>
      <c r="H666" s="172" t="n"/>
      <c r="I666" s="172" t="n"/>
      <c r="J666" s="119" t="n"/>
    </row>
    <row r="667">
      <c r="A667" s="119" t="n"/>
      <c r="B667" s="105" t="n"/>
      <c r="C667" s="105" t="n"/>
      <c r="D667" s="170" t="n"/>
      <c r="E667" s="106" t="n"/>
      <c r="F667" s="105" t="n"/>
      <c r="G667" s="171">
        <f>IF(J667="","",HYPERLINK("#Transaksi!B"&amp;J667,"Kas"))</f>
        <v/>
      </c>
      <c r="H667" s="172" t="n"/>
      <c r="I667" s="172" t="n"/>
      <c r="J667" s="119" t="n"/>
    </row>
    <row r="668">
      <c r="A668" s="119" t="n"/>
      <c r="B668" s="105" t="n"/>
      <c r="C668" s="105" t="n"/>
      <c r="D668" s="170" t="n"/>
      <c r="E668" s="106" t="n"/>
      <c r="F668" s="105" t="n"/>
      <c r="G668" s="171">
        <f>IF(J668="","",HYPERLINK("#Transaksi!B"&amp;J668,"Kas"))</f>
        <v/>
      </c>
      <c r="H668" s="172" t="n"/>
      <c r="I668" s="172" t="n"/>
      <c r="J668" s="119" t="n"/>
    </row>
    <row r="669">
      <c r="A669" s="119" t="n"/>
      <c r="B669" s="105" t="n"/>
      <c r="C669" s="105" t="n"/>
      <c r="D669" s="170" t="n"/>
      <c r="E669" s="106" t="n"/>
      <c r="F669" s="105" t="n"/>
      <c r="G669" s="171">
        <f>IF(J669="","",HYPERLINK("#Transaksi!B"&amp;J669,"Kas"))</f>
        <v/>
      </c>
      <c r="H669" s="172" t="n"/>
      <c r="I669" s="172" t="n"/>
      <c r="J669" s="119" t="n"/>
    </row>
    <row r="670">
      <c r="A670" s="119" t="n"/>
      <c r="B670" s="105" t="n"/>
      <c r="C670" s="105" t="n"/>
      <c r="D670" s="170" t="n"/>
      <c r="E670" s="106" t="n"/>
      <c r="F670" s="105" t="n"/>
      <c r="G670" s="171">
        <f>IF(J670="","",HYPERLINK("#Transaksi!B"&amp;J670,"Kas"))</f>
        <v/>
      </c>
      <c r="H670" s="172" t="n"/>
      <c r="I670" s="172" t="n"/>
      <c r="J670" s="119" t="n"/>
    </row>
    <row r="671">
      <c r="A671" s="119" t="n"/>
      <c r="B671" s="105" t="n"/>
      <c r="C671" s="105" t="n"/>
      <c r="D671" s="170" t="n"/>
      <c r="E671" s="106" t="n"/>
      <c r="F671" s="105" t="n"/>
      <c r="G671" s="171">
        <f>IF(J671="","",HYPERLINK("#Transaksi!B"&amp;J671,"Kas"))</f>
        <v/>
      </c>
      <c r="H671" s="172" t="n"/>
      <c r="I671" s="172" t="n"/>
      <c r="J671" s="119" t="n"/>
    </row>
    <row r="672">
      <c r="A672" s="119" t="n"/>
      <c r="B672" s="105" t="n"/>
      <c r="C672" s="105" t="n"/>
      <c r="D672" s="170" t="n"/>
      <c r="E672" s="106" t="n"/>
      <c r="F672" s="105" t="n"/>
      <c r="G672" s="171">
        <f>IF(J672="","",HYPERLINK("#Transaksi!B"&amp;J672,"Kas"))</f>
        <v/>
      </c>
      <c r="H672" s="172" t="n"/>
      <c r="I672" s="172" t="n"/>
      <c r="J672" s="119" t="n"/>
    </row>
    <row r="673">
      <c r="A673" s="119" t="n"/>
      <c r="B673" s="105" t="n"/>
      <c r="C673" s="105" t="n"/>
      <c r="D673" s="170" t="n"/>
      <c r="E673" s="106" t="n"/>
      <c r="F673" s="105" t="n"/>
      <c r="G673" s="171">
        <f>IF(J673="","",HYPERLINK("#Transaksi!B"&amp;J673,"Kas"))</f>
        <v/>
      </c>
      <c r="H673" s="172" t="n"/>
      <c r="I673" s="172" t="n"/>
      <c r="J673" s="119" t="n"/>
    </row>
    <row r="674">
      <c r="A674" s="119" t="n"/>
      <c r="B674" s="105" t="n"/>
      <c r="C674" s="105" t="n"/>
      <c r="D674" s="170" t="n"/>
      <c r="E674" s="106" t="n"/>
      <c r="F674" s="105" t="n"/>
      <c r="G674" s="171">
        <f>IF(J674="","",HYPERLINK("#Transaksi!B"&amp;J674,"Kas"))</f>
        <v/>
      </c>
      <c r="H674" s="172" t="n"/>
      <c r="I674" s="172" t="n"/>
      <c r="J674" s="119" t="n"/>
    </row>
    <row r="675">
      <c r="A675" s="119" t="n"/>
      <c r="B675" s="105" t="n"/>
      <c r="C675" s="105" t="n"/>
      <c r="D675" s="170" t="n"/>
      <c r="E675" s="106" t="n"/>
      <c r="F675" s="105" t="n"/>
      <c r="G675" s="171">
        <f>IF(J675="","",HYPERLINK("#Transaksi!B"&amp;J675,"Kas"))</f>
        <v/>
      </c>
      <c r="H675" s="172" t="n"/>
      <c r="I675" s="172" t="n"/>
      <c r="J675" s="119" t="n"/>
    </row>
    <row r="676">
      <c r="A676" s="119" t="n"/>
      <c r="B676" s="105" t="n"/>
      <c r="C676" s="105" t="n"/>
      <c r="D676" s="170" t="n"/>
      <c r="E676" s="106" t="n"/>
      <c r="F676" s="105" t="n"/>
      <c r="G676" s="171">
        <f>IF(J676="","",HYPERLINK("#Transaksi!B"&amp;J676,"Kas"))</f>
        <v/>
      </c>
      <c r="H676" s="172" t="n"/>
      <c r="I676" s="172" t="n"/>
      <c r="J676" s="119" t="n"/>
    </row>
    <row r="677">
      <c r="A677" s="119" t="n"/>
      <c r="B677" s="105" t="n"/>
      <c r="C677" s="105" t="n"/>
      <c r="D677" s="170" t="n"/>
      <c r="E677" s="106" t="n"/>
      <c r="F677" s="105" t="n"/>
      <c r="G677" s="171">
        <f>IF(J677="","",HYPERLINK("#Transaksi!B"&amp;J677,"Kas"))</f>
        <v/>
      </c>
      <c r="H677" s="172" t="n"/>
      <c r="I677" s="172" t="n"/>
      <c r="J677" s="119" t="n"/>
    </row>
    <row r="678">
      <c r="A678" s="119" t="n"/>
      <c r="B678" s="105" t="n"/>
      <c r="C678" s="105" t="n"/>
      <c r="D678" s="170" t="n"/>
      <c r="E678" s="106" t="n"/>
      <c r="F678" s="105" t="n"/>
      <c r="G678" s="171">
        <f>IF(J678="","",HYPERLINK("#Transaksi!B"&amp;J678,"Kas"))</f>
        <v/>
      </c>
      <c r="H678" s="172" t="n"/>
      <c r="I678" s="172" t="n"/>
      <c r="J678" s="119" t="n"/>
    </row>
    <row r="679">
      <c r="A679" s="119" t="n"/>
      <c r="B679" s="105" t="n"/>
      <c r="C679" s="105" t="n"/>
      <c r="D679" s="170" t="n"/>
      <c r="E679" s="106" t="n"/>
      <c r="F679" s="105" t="n"/>
      <c r="G679" s="171">
        <f>IF(J679="","",HYPERLINK("#Transaksi!B"&amp;J679,"Kas"))</f>
        <v/>
      </c>
      <c r="H679" s="172" t="n"/>
      <c r="I679" s="172" t="n"/>
      <c r="J679" s="119" t="n"/>
    </row>
    <row r="680">
      <c r="A680" s="119" t="n"/>
      <c r="B680" s="105" t="n"/>
      <c r="C680" s="105" t="n"/>
      <c r="D680" s="170" t="n"/>
      <c r="E680" s="106" t="n"/>
      <c r="F680" s="105" t="n"/>
      <c r="G680" s="171">
        <f>IF(J680="","",HYPERLINK("#Transaksi!B"&amp;J680,"Kas"))</f>
        <v/>
      </c>
      <c r="H680" s="172" t="n"/>
      <c r="I680" s="172" t="n"/>
      <c r="J680" s="119" t="n"/>
    </row>
    <row r="681">
      <c r="A681" s="119" t="n"/>
      <c r="B681" s="105" t="n"/>
      <c r="C681" s="105" t="n"/>
      <c r="D681" s="170" t="n"/>
      <c r="E681" s="106" t="n"/>
      <c r="F681" s="105" t="n"/>
      <c r="G681" s="171">
        <f>IF(J681="","",HYPERLINK("#Transaksi!B"&amp;J681,"Kas"))</f>
        <v/>
      </c>
      <c r="H681" s="172" t="n"/>
      <c r="I681" s="172" t="n"/>
      <c r="J681" s="119" t="n"/>
    </row>
    <row r="682">
      <c r="A682" s="119" t="n"/>
      <c r="B682" s="105" t="n"/>
      <c r="C682" s="105" t="n"/>
      <c r="D682" s="170" t="n"/>
      <c r="E682" s="106" t="n"/>
      <c r="F682" s="105" t="n"/>
      <c r="G682" s="171">
        <f>IF(J682="","",HYPERLINK("#Transaksi!B"&amp;J682,"Kas"))</f>
        <v/>
      </c>
      <c r="H682" s="172" t="n"/>
      <c r="I682" s="172" t="n"/>
      <c r="J682" s="119" t="n"/>
    </row>
    <row r="683">
      <c r="A683" s="119" t="n"/>
      <c r="B683" s="105" t="n"/>
      <c r="C683" s="105" t="n"/>
      <c r="D683" s="170" t="n"/>
      <c r="E683" s="106" t="n"/>
      <c r="F683" s="105" t="n"/>
      <c r="G683" s="171">
        <f>IF(J683="","",HYPERLINK("#Transaksi!B"&amp;J683,"Kas"))</f>
        <v/>
      </c>
      <c r="H683" s="172" t="n"/>
      <c r="I683" s="172" t="n"/>
      <c r="J683" s="119" t="n"/>
    </row>
    <row r="684">
      <c r="A684" s="119" t="n"/>
      <c r="B684" s="105" t="n"/>
      <c r="C684" s="105" t="n"/>
      <c r="D684" s="170" t="n"/>
      <c r="E684" s="106" t="n"/>
      <c r="F684" s="105" t="n"/>
      <c r="G684" s="171">
        <f>IF(J684="","",HYPERLINK("#Transaksi!B"&amp;J684,"Kas"))</f>
        <v/>
      </c>
      <c r="H684" s="172" t="n"/>
      <c r="I684" s="172" t="n"/>
      <c r="J684" s="119" t="n"/>
    </row>
    <row r="685">
      <c r="A685" s="119" t="n"/>
      <c r="B685" s="105" t="n"/>
      <c r="C685" s="105" t="n"/>
      <c r="D685" s="170" t="n"/>
      <c r="E685" s="106" t="n"/>
      <c r="F685" s="105" t="n"/>
      <c r="G685" s="171">
        <f>IF(J685="","",HYPERLINK("#Transaksi!B"&amp;J685,"Kas"))</f>
        <v/>
      </c>
      <c r="H685" s="172" t="n"/>
      <c r="I685" s="172" t="n"/>
      <c r="J685" s="119" t="n"/>
    </row>
    <row r="686">
      <c r="A686" s="119" t="n"/>
      <c r="B686" s="105" t="n"/>
      <c r="C686" s="105" t="n"/>
      <c r="D686" s="170" t="n"/>
      <c r="E686" s="106" t="n"/>
      <c r="F686" s="105" t="n"/>
      <c r="G686" s="171">
        <f>IF(J686="","",HYPERLINK("#Transaksi!B"&amp;J686,"Kas"))</f>
        <v/>
      </c>
      <c r="H686" s="172" t="n"/>
      <c r="I686" s="172" t="n"/>
      <c r="J686" s="119" t="n"/>
    </row>
    <row r="687">
      <c r="A687" s="119" t="n"/>
      <c r="B687" s="105" t="n"/>
      <c r="C687" s="105" t="n"/>
      <c r="D687" s="170" t="n"/>
      <c r="E687" s="106" t="n"/>
      <c r="F687" s="105" t="n"/>
      <c r="G687" s="171">
        <f>IF(J687="","",HYPERLINK("#Transaksi!B"&amp;J687,"Kas"))</f>
        <v/>
      </c>
      <c r="H687" s="172" t="n"/>
      <c r="I687" s="172" t="n"/>
      <c r="J687" s="119" t="n"/>
    </row>
    <row r="688">
      <c r="A688" s="119" t="n"/>
      <c r="B688" s="105" t="n"/>
      <c r="C688" s="105" t="n"/>
      <c r="D688" s="170" t="n"/>
      <c r="E688" s="106" t="n"/>
      <c r="F688" s="105" t="n"/>
      <c r="G688" s="171">
        <f>IF(J688="","",HYPERLINK("#Transaksi!B"&amp;J688,"Kas"))</f>
        <v/>
      </c>
      <c r="H688" s="172" t="n"/>
      <c r="I688" s="172" t="n"/>
      <c r="J688" s="119" t="n"/>
    </row>
    <row r="689">
      <c r="A689" s="119" t="n"/>
      <c r="B689" s="105" t="n"/>
      <c r="C689" s="105" t="n"/>
      <c r="D689" s="170" t="n"/>
      <c r="E689" s="106" t="n"/>
      <c r="F689" s="105" t="n"/>
      <c r="G689" s="171">
        <f>IF(J689="","",HYPERLINK("#Transaksi!B"&amp;J689,"Kas"))</f>
        <v/>
      </c>
      <c r="H689" s="172" t="n"/>
      <c r="I689" s="172" t="n"/>
      <c r="J689" s="119" t="n"/>
    </row>
    <row r="690">
      <c r="A690" s="119" t="n"/>
      <c r="B690" s="105" t="n"/>
      <c r="C690" s="105" t="n"/>
      <c r="D690" s="170" t="n"/>
      <c r="E690" s="106" t="n"/>
      <c r="F690" s="105" t="n"/>
      <c r="G690" s="171">
        <f>IF(J690="","",HYPERLINK("#Transaksi!B"&amp;J690,"Kas"))</f>
        <v/>
      </c>
      <c r="H690" s="172" t="n"/>
      <c r="I690" s="172" t="n"/>
      <c r="J690" s="119" t="n"/>
    </row>
    <row r="691">
      <c r="A691" s="119" t="n"/>
      <c r="B691" s="105" t="n"/>
      <c r="C691" s="105" t="n"/>
      <c r="D691" s="170" t="n"/>
      <c r="E691" s="106" t="n"/>
      <c r="F691" s="105" t="n"/>
      <c r="G691" s="171">
        <f>IF(J691="","",HYPERLINK("#Transaksi!B"&amp;J691,"Kas"))</f>
        <v/>
      </c>
      <c r="H691" s="172" t="n"/>
      <c r="I691" s="172" t="n"/>
      <c r="J691" s="119" t="n"/>
    </row>
    <row r="692">
      <c r="A692" s="119" t="n"/>
      <c r="B692" s="105" t="n"/>
      <c r="C692" s="105" t="n"/>
      <c r="D692" s="170" t="n"/>
      <c r="E692" s="106" t="n"/>
      <c r="F692" s="105" t="n"/>
      <c r="G692" s="171">
        <f>IF(J692="","",HYPERLINK("#Transaksi!B"&amp;J692,"Kas"))</f>
        <v/>
      </c>
      <c r="H692" s="172" t="n"/>
      <c r="I692" s="172" t="n"/>
      <c r="J692" s="119" t="n"/>
    </row>
    <row r="693">
      <c r="A693" s="119" t="n"/>
      <c r="B693" s="105" t="n"/>
      <c r="C693" s="105" t="n"/>
      <c r="D693" s="170" t="n"/>
      <c r="E693" s="106" t="n"/>
      <c r="F693" s="105" t="n"/>
      <c r="G693" s="171">
        <f>IF(J693="","",HYPERLINK("#Transaksi!B"&amp;J693,"Kas"))</f>
        <v/>
      </c>
      <c r="H693" s="172" t="n"/>
      <c r="I693" s="172" t="n"/>
      <c r="J693" s="119" t="n"/>
    </row>
    <row r="694">
      <c r="A694" s="119" t="n"/>
      <c r="B694" s="105" t="n"/>
      <c r="C694" s="105" t="n"/>
      <c r="D694" s="170" t="n"/>
      <c r="E694" s="106" t="n"/>
      <c r="F694" s="105" t="n"/>
      <c r="G694" s="171">
        <f>IF(J694="","",HYPERLINK("#Transaksi!B"&amp;J694,"Kas"))</f>
        <v/>
      </c>
      <c r="H694" s="172" t="n"/>
      <c r="I694" s="172" t="n"/>
      <c r="J694" s="119" t="n"/>
    </row>
    <row r="695">
      <c r="A695" s="119" t="n"/>
      <c r="B695" s="105" t="n"/>
      <c r="C695" s="105" t="n"/>
      <c r="D695" s="170" t="n"/>
      <c r="E695" s="106" t="n"/>
      <c r="F695" s="105" t="n"/>
      <c r="G695" s="171">
        <f>IF(J695="","",HYPERLINK("#Transaksi!B"&amp;J695,"Kas"))</f>
        <v/>
      </c>
      <c r="H695" s="172" t="n"/>
      <c r="I695" s="172" t="n"/>
      <c r="J695" s="119" t="n"/>
    </row>
    <row r="696">
      <c r="A696" s="119" t="n"/>
      <c r="B696" s="105" t="n"/>
      <c r="C696" s="105" t="n"/>
      <c r="D696" s="170" t="n"/>
      <c r="E696" s="106" t="n"/>
      <c r="F696" s="105" t="n"/>
      <c r="G696" s="171">
        <f>IF(J696="","",HYPERLINK("#Transaksi!B"&amp;J696,"Kas"))</f>
        <v/>
      </c>
      <c r="H696" s="172" t="n"/>
      <c r="I696" s="172" t="n"/>
      <c r="J696" s="119" t="n"/>
    </row>
    <row r="697">
      <c r="A697" s="119" t="n"/>
      <c r="B697" s="105" t="n"/>
      <c r="C697" s="105" t="n"/>
      <c r="D697" s="170" t="n"/>
      <c r="E697" s="106" t="n"/>
      <c r="F697" s="105" t="n"/>
      <c r="G697" s="171">
        <f>IF(J697="","",HYPERLINK("#Transaksi!B"&amp;J697,"Kas"))</f>
        <v/>
      </c>
      <c r="H697" s="172" t="n"/>
      <c r="I697" s="172" t="n"/>
      <c r="J697" s="119" t="n"/>
    </row>
    <row r="698">
      <c r="A698" s="119" t="n"/>
      <c r="B698" s="105" t="n"/>
      <c r="C698" s="105" t="n"/>
      <c r="D698" s="170" t="n"/>
      <c r="E698" s="106" t="n"/>
      <c r="F698" s="105" t="n"/>
      <c r="G698" s="171">
        <f>IF(J698="","",HYPERLINK("#Transaksi!B"&amp;J698,"Kas"))</f>
        <v/>
      </c>
      <c r="H698" s="172" t="n"/>
      <c r="I698" s="172" t="n"/>
      <c r="J698" s="119" t="n"/>
    </row>
    <row r="699">
      <c r="A699" s="119" t="n"/>
      <c r="B699" s="105" t="n"/>
      <c r="C699" s="105" t="n"/>
      <c r="D699" s="170" t="n"/>
      <c r="E699" s="106" t="n"/>
      <c r="F699" s="105" t="n"/>
      <c r="G699" s="171">
        <f>IF(J699="","",HYPERLINK("#Transaksi!B"&amp;J699,"Kas"))</f>
        <v/>
      </c>
      <c r="H699" s="172" t="n"/>
      <c r="I699" s="172" t="n"/>
      <c r="J699" s="119" t="n"/>
    </row>
    <row r="700">
      <c r="A700" s="119" t="n"/>
      <c r="B700" s="105" t="n"/>
      <c r="C700" s="105" t="n"/>
      <c r="D700" s="170" t="n"/>
      <c r="E700" s="106" t="n"/>
      <c r="F700" s="105" t="n"/>
      <c r="G700" s="171">
        <f>IF(J700="","",HYPERLINK("#Transaksi!B"&amp;J700,"Kas"))</f>
        <v/>
      </c>
      <c r="H700" s="172" t="n"/>
      <c r="I700" s="172" t="n"/>
      <c r="J700" s="119" t="n"/>
    </row>
    <row r="701">
      <c r="A701" s="119" t="n"/>
      <c r="B701" s="105" t="n"/>
      <c r="C701" s="105" t="n"/>
      <c r="D701" s="170" t="n"/>
      <c r="E701" s="106" t="n"/>
      <c r="F701" s="105" t="n"/>
      <c r="G701" s="171">
        <f>IF(J701="","",HYPERLINK("#Transaksi!B"&amp;J701,"Kas"))</f>
        <v/>
      </c>
      <c r="H701" s="172" t="n"/>
      <c r="I701" s="172" t="n"/>
      <c r="J701" s="119" t="n"/>
    </row>
    <row r="702">
      <c r="A702" s="119" t="n"/>
      <c r="B702" s="105" t="n"/>
      <c r="C702" s="105" t="n"/>
      <c r="D702" s="170" t="n"/>
      <c r="E702" s="106" t="n"/>
      <c r="F702" s="105" t="n"/>
      <c r="G702" s="171">
        <f>IF(J702="","",HYPERLINK("#Transaksi!B"&amp;J702,"Kas"))</f>
        <v/>
      </c>
      <c r="H702" s="172" t="n"/>
      <c r="I702" s="172" t="n"/>
      <c r="J702" s="119" t="n"/>
    </row>
    <row r="703">
      <c r="A703" s="119" t="n"/>
      <c r="B703" s="105" t="n"/>
      <c r="C703" s="105" t="n"/>
      <c r="D703" s="170" t="n"/>
      <c r="E703" s="106" t="n"/>
      <c r="F703" s="105" t="n"/>
      <c r="G703" s="171">
        <f>IF(J703="","",HYPERLINK("#Transaksi!B"&amp;J703,"Kas"))</f>
        <v/>
      </c>
      <c r="H703" s="172" t="n"/>
      <c r="I703" s="172" t="n"/>
      <c r="J703" s="119" t="n"/>
    </row>
    <row r="704">
      <c r="A704" s="119" t="n"/>
      <c r="B704" s="105" t="n"/>
      <c r="C704" s="105" t="n"/>
      <c r="D704" s="170" t="n"/>
      <c r="E704" s="106" t="n"/>
      <c r="F704" s="105" t="n"/>
      <c r="G704" s="171">
        <f>IF(J704="","",HYPERLINK("#Transaksi!B"&amp;J704,"Kas"))</f>
        <v/>
      </c>
      <c r="H704" s="172" t="n"/>
      <c r="I704" s="172" t="n"/>
      <c r="J704" s="119" t="n"/>
    </row>
    <row r="705">
      <c r="A705" s="119" t="n"/>
      <c r="B705" s="105" t="n"/>
      <c r="C705" s="105" t="n"/>
      <c r="D705" s="170" t="n"/>
      <c r="E705" s="106" t="n"/>
      <c r="F705" s="105" t="n"/>
      <c r="G705" s="171">
        <f>IF(J705="","",HYPERLINK("#Transaksi!B"&amp;J705,"Kas"))</f>
        <v/>
      </c>
      <c r="H705" s="172" t="n"/>
      <c r="I705" s="172" t="n"/>
      <c r="J705" s="119" t="n"/>
    </row>
    <row r="706">
      <c r="A706" s="119" t="n"/>
      <c r="B706" s="105" t="n"/>
      <c r="C706" s="105" t="n"/>
      <c r="D706" s="170" t="n"/>
      <c r="E706" s="106" t="n"/>
      <c r="F706" s="105" t="n"/>
      <c r="G706" s="171">
        <f>IF(J706="","",HYPERLINK("#Transaksi!B"&amp;J706,"Kas"))</f>
        <v/>
      </c>
      <c r="H706" s="172" t="n"/>
      <c r="I706" s="172" t="n"/>
      <c r="J706" s="119" t="n"/>
    </row>
    <row r="707">
      <c r="A707" s="119" t="n"/>
      <c r="B707" s="105" t="n"/>
      <c r="C707" s="105" t="n"/>
      <c r="D707" s="170" t="n"/>
      <c r="E707" s="106" t="n"/>
      <c r="F707" s="105" t="n"/>
      <c r="G707" s="171">
        <f>IF(J707="","",HYPERLINK("#Transaksi!B"&amp;J707,"Kas"))</f>
        <v/>
      </c>
      <c r="H707" s="172" t="n"/>
      <c r="I707" s="172" t="n"/>
      <c r="J707" s="119" t="n"/>
    </row>
    <row r="708">
      <c r="A708" s="119" t="n"/>
      <c r="B708" s="105" t="n"/>
      <c r="C708" s="105" t="n"/>
      <c r="D708" s="170" t="n"/>
      <c r="E708" s="106" t="n"/>
      <c r="F708" s="105" t="n"/>
      <c r="G708" s="171">
        <f>IF(J708="","",HYPERLINK("#Transaksi!B"&amp;J708,"Kas"))</f>
        <v/>
      </c>
      <c r="H708" s="172" t="n"/>
      <c r="I708" s="172" t="n"/>
      <c r="J708" s="119" t="n"/>
    </row>
    <row r="709">
      <c r="A709" s="119" t="n"/>
      <c r="B709" s="105" t="n"/>
      <c r="C709" s="105" t="n"/>
      <c r="D709" s="170" t="n"/>
      <c r="E709" s="106" t="n"/>
      <c r="F709" s="105" t="n"/>
      <c r="G709" s="171">
        <f>IF(J709="","",HYPERLINK("#Transaksi!B"&amp;J709,"Kas"))</f>
        <v/>
      </c>
      <c r="H709" s="172" t="n"/>
      <c r="I709" s="172" t="n"/>
      <c r="J709" s="119" t="n"/>
    </row>
    <row r="710">
      <c r="A710" s="119" t="n"/>
      <c r="B710" s="105" t="n"/>
      <c r="C710" s="105" t="n"/>
      <c r="D710" s="170" t="n"/>
      <c r="E710" s="106" t="n"/>
      <c r="F710" s="105" t="n"/>
      <c r="G710" s="171">
        <f>IF(J710="","",HYPERLINK("#Transaksi!B"&amp;J710,"Kas"))</f>
        <v/>
      </c>
      <c r="H710" s="172" t="n"/>
      <c r="I710" s="172" t="n"/>
      <c r="J710" s="119" t="n"/>
    </row>
    <row r="711">
      <c r="A711" s="119" t="n"/>
      <c r="B711" s="105" t="n"/>
      <c r="C711" s="105" t="n"/>
      <c r="D711" s="170" t="n"/>
      <c r="E711" s="106" t="n"/>
      <c r="F711" s="105" t="n"/>
      <c r="G711" s="171">
        <f>IF(J711="","",HYPERLINK("#Transaksi!B"&amp;J711,"Kas"))</f>
        <v/>
      </c>
      <c r="H711" s="172" t="n"/>
      <c r="I711" s="172" t="n"/>
      <c r="J711" s="119" t="n"/>
    </row>
    <row r="712">
      <c r="A712" s="119" t="n"/>
      <c r="B712" s="105" t="n"/>
      <c r="C712" s="105" t="n"/>
      <c r="D712" s="170" t="n"/>
      <c r="E712" s="106" t="n"/>
      <c r="F712" s="105" t="n"/>
      <c r="G712" s="171">
        <f>IF(J712="","",HYPERLINK("#Transaksi!B"&amp;J712,"Kas"))</f>
        <v/>
      </c>
      <c r="H712" s="172" t="n"/>
      <c r="I712" s="172" t="n"/>
      <c r="J712" s="119" t="n"/>
    </row>
    <row r="713">
      <c r="A713" s="119" t="n"/>
      <c r="B713" s="105" t="n"/>
      <c r="C713" s="105" t="n"/>
      <c r="D713" s="170" t="n"/>
      <c r="E713" s="106" t="n"/>
      <c r="F713" s="105" t="n"/>
      <c r="G713" s="171">
        <f>IF(J713="","",HYPERLINK("#Transaksi!B"&amp;J713,"Kas"))</f>
        <v/>
      </c>
      <c r="H713" s="172" t="n"/>
      <c r="I713" s="172" t="n"/>
      <c r="J713" s="119" t="n"/>
    </row>
    <row r="714">
      <c r="A714" s="119" t="n"/>
      <c r="B714" s="105" t="n"/>
      <c r="C714" s="105" t="n"/>
      <c r="D714" s="170" t="n"/>
      <c r="E714" s="106" t="n"/>
      <c r="F714" s="105" t="n"/>
      <c r="G714" s="171">
        <f>IF(J714="","",HYPERLINK("#Transaksi!B"&amp;J714,"Kas"))</f>
        <v/>
      </c>
      <c r="H714" s="172" t="n"/>
      <c r="I714" s="172" t="n"/>
      <c r="J714" s="119" t="n"/>
    </row>
    <row r="715">
      <c r="A715" s="119" t="n"/>
      <c r="B715" s="105" t="n"/>
      <c r="C715" s="105" t="n"/>
      <c r="D715" s="170" t="n"/>
      <c r="E715" s="106" t="n"/>
      <c r="F715" s="105" t="n"/>
      <c r="G715" s="171">
        <f>IF(J715="","",HYPERLINK("#Transaksi!B"&amp;J715,"Kas"))</f>
        <v/>
      </c>
      <c r="H715" s="172" t="n"/>
      <c r="I715" s="172" t="n"/>
      <c r="J715" s="119" t="n"/>
    </row>
    <row r="716">
      <c r="A716" s="119" t="n"/>
      <c r="B716" s="105" t="n"/>
      <c r="C716" s="105" t="n"/>
      <c r="D716" s="170" t="n"/>
      <c r="E716" s="106" t="n"/>
      <c r="F716" s="105" t="n"/>
      <c r="G716" s="171">
        <f>IF(J716="","",HYPERLINK("#Transaksi!B"&amp;J716,"Kas"))</f>
        <v/>
      </c>
      <c r="H716" s="172" t="n"/>
      <c r="I716" s="172" t="n"/>
      <c r="J716" s="119" t="n"/>
    </row>
    <row r="717">
      <c r="A717" s="119" t="n"/>
      <c r="B717" s="105" t="n"/>
      <c r="C717" s="105" t="n"/>
      <c r="D717" s="170" t="n"/>
      <c r="E717" s="106" t="n"/>
      <c r="F717" s="105" t="n"/>
      <c r="G717" s="171">
        <f>IF(J717="","",HYPERLINK("#Transaksi!B"&amp;J717,"Kas"))</f>
        <v/>
      </c>
      <c r="H717" s="172" t="n"/>
      <c r="I717" s="172" t="n"/>
      <c r="J717" s="119" t="n"/>
    </row>
    <row r="718">
      <c r="A718" s="119" t="n"/>
      <c r="B718" s="105" t="n"/>
      <c r="C718" s="105" t="n"/>
      <c r="D718" s="170" t="n"/>
      <c r="E718" s="106" t="n"/>
      <c r="F718" s="105" t="n"/>
      <c r="G718" s="171">
        <f>IF(J718="","",HYPERLINK("#Transaksi!B"&amp;J718,"Kas"))</f>
        <v/>
      </c>
      <c r="H718" s="172" t="n"/>
      <c r="I718" s="172" t="n"/>
      <c r="J718" s="119" t="n"/>
    </row>
    <row r="719">
      <c r="A719" s="119" t="n"/>
      <c r="B719" s="105" t="n"/>
      <c r="C719" s="105" t="n"/>
      <c r="D719" s="170" t="n"/>
      <c r="E719" s="106" t="n"/>
      <c r="F719" s="105" t="n"/>
      <c r="G719" s="171">
        <f>IF(J719="","",HYPERLINK("#Transaksi!B"&amp;J719,"Kas"))</f>
        <v/>
      </c>
      <c r="H719" s="172" t="n"/>
      <c r="I719" s="172" t="n"/>
      <c r="J719" s="119" t="n"/>
    </row>
    <row r="720">
      <c r="A720" s="119" t="n"/>
      <c r="B720" s="105" t="n"/>
      <c r="C720" s="105" t="n"/>
      <c r="D720" s="170" t="n"/>
      <c r="E720" s="106" t="n"/>
      <c r="F720" s="105" t="n"/>
      <c r="G720" s="171">
        <f>IF(J720="","",HYPERLINK("#Transaksi!B"&amp;J720,"Kas"))</f>
        <v/>
      </c>
      <c r="H720" s="172" t="n"/>
      <c r="I720" s="172" t="n"/>
      <c r="J720" s="119" t="n"/>
    </row>
    <row r="721">
      <c r="A721" s="119" t="n"/>
      <c r="B721" s="105" t="n"/>
      <c r="C721" s="105" t="n"/>
      <c r="D721" s="170" t="n"/>
      <c r="E721" s="106" t="n"/>
      <c r="F721" s="105" t="n"/>
      <c r="G721" s="171">
        <f>IF(J721="","",HYPERLINK("#Transaksi!B"&amp;J721,"Kas"))</f>
        <v/>
      </c>
      <c r="H721" s="172" t="n"/>
      <c r="I721" s="172" t="n"/>
      <c r="J721" s="119" t="n"/>
    </row>
    <row r="722">
      <c r="A722" s="119" t="n"/>
      <c r="B722" s="105" t="n"/>
      <c r="C722" s="105" t="n"/>
      <c r="D722" s="170" t="n"/>
      <c r="E722" s="106" t="n"/>
      <c r="F722" s="105" t="n"/>
      <c r="G722" s="171">
        <f>IF(J722="","",HYPERLINK("#Transaksi!B"&amp;J722,"Kas"))</f>
        <v/>
      </c>
      <c r="H722" s="172" t="n"/>
      <c r="I722" s="172" t="n"/>
      <c r="J722" s="119" t="n"/>
    </row>
    <row r="723">
      <c r="A723" s="119" t="n"/>
      <c r="B723" s="105" t="n"/>
      <c r="C723" s="105" t="n"/>
      <c r="D723" s="170" t="n"/>
      <c r="E723" s="106" t="n"/>
      <c r="F723" s="105" t="n"/>
      <c r="G723" s="171">
        <f>IF(J723="","",HYPERLINK("#Transaksi!B"&amp;J723,"Kas"))</f>
        <v/>
      </c>
      <c r="H723" s="172" t="n"/>
      <c r="I723" s="172" t="n"/>
      <c r="J723" s="119" t="n"/>
    </row>
    <row r="724">
      <c r="A724" s="119" t="n"/>
      <c r="B724" s="105" t="n"/>
      <c r="C724" s="105" t="n"/>
      <c r="D724" s="170" t="n"/>
      <c r="E724" s="106" t="n"/>
      <c r="F724" s="105" t="n"/>
      <c r="G724" s="171">
        <f>IF(J724="","",HYPERLINK("#Transaksi!B"&amp;J724,"Kas"))</f>
        <v/>
      </c>
      <c r="H724" s="172" t="n"/>
      <c r="I724" s="172" t="n"/>
      <c r="J724" s="119" t="n"/>
    </row>
    <row r="725">
      <c r="A725" s="119" t="n"/>
      <c r="B725" s="105" t="n"/>
      <c r="C725" s="105" t="n"/>
      <c r="D725" s="170" t="n"/>
      <c r="E725" s="106" t="n"/>
      <c r="F725" s="105" t="n"/>
      <c r="G725" s="171">
        <f>IF(J725="","",HYPERLINK("#Transaksi!B"&amp;J725,"Kas"))</f>
        <v/>
      </c>
      <c r="H725" s="172" t="n"/>
      <c r="I725" s="172" t="n"/>
      <c r="J725" s="119" t="n"/>
    </row>
    <row r="726">
      <c r="A726" s="119" t="n"/>
      <c r="B726" s="105" t="n"/>
      <c r="C726" s="105" t="n"/>
      <c r="D726" s="170" t="n"/>
      <c r="E726" s="106" t="n"/>
      <c r="F726" s="105" t="n"/>
      <c r="G726" s="171">
        <f>IF(J726="","",HYPERLINK("#Transaksi!B"&amp;J726,"Kas"))</f>
        <v/>
      </c>
      <c r="H726" s="172" t="n"/>
      <c r="I726" s="172" t="n"/>
      <c r="J726" s="119" t="n"/>
    </row>
    <row r="727">
      <c r="A727" s="119" t="n"/>
      <c r="B727" s="105" t="n"/>
      <c r="C727" s="105" t="n"/>
      <c r="D727" s="170" t="n"/>
      <c r="E727" s="106" t="n"/>
      <c r="F727" s="105" t="n"/>
      <c r="G727" s="171">
        <f>IF(J727="","",HYPERLINK("#Transaksi!B"&amp;J727,"Kas"))</f>
        <v/>
      </c>
      <c r="H727" s="172" t="n"/>
      <c r="I727" s="172" t="n"/>
      <c r="J727" s="119" t="n"/>
    </row>
    <row r="728">
      <c r="A728" s="119" t="n"/>
      <c r="B728" s="105" t="n"/>
      <c r="C728" s="105" t="n"/>
      <c r="D728" s="170" t="n"/>
      <c r="E728" s="106" t="n"/>
      <c r="F728" s="105" t="n"/>
      <c r="G728" s="171">
        <f>IF(J728="","",HYPERLINK("#Transaksi!B"&amp;J728,"Kas"))</f>
        <v/>
      </c>
      <c r="H728" s="172" t="n"/>
      <c r="I728" s="172" t="n"/>
      <c r="J728" s="119" t="n"/>
    </row>
    <row r="729">
      <c r="A729" s="119" t="n"/>
      <c r="B729" s="105" t="n"/>
      <c r="C729" s="105" t="n"/>
      <c r="D729" s="170" t="n"/>
      <c r="E729" s="106" t="n"/>
      <c r="F729" s="105" t="n"/>
      <c r="G729" s="171">
        <f>IF(J729="","",HYPERLINK("#Transaksi!B"&amp;J729,"Kas"))</f>
        <v/>
      </c>
      <c r="H729" s="172" t="n"/>
      <c r="I729" s="172" t="n"/>
      <c r="J729" s="119" t="n"/>
    </row>
    <row r="730">
      <c r="A730" s="119" t="n"/>
      <c r="B730" s="105" t="n"/>
      <c r="C730" s="105" t="n"/>
      <c r="D730" s="170" t="n"/>
      <c r="E730" s="106" t="n"/>
      <c r="F730" s="105" t="n"/>
      <c r="G730" s="171">
        <f>IF(J730="","",HYPERLINK("#Transaksi!B"&amp;J730,"Kas"))</f>
        <v/>
      </c>
      <c r="H730" s="172" t="n"/>
      <c r="I730" s="172" t="n"/>
      <c r="J730" s="119" t="n"/>
    </row>
    <row r="731">
      <c r="A731" s="119" t="n"/>
      <c r="B731" s="105" t="n"/>
      <c r="C731" s="105" t="n"/>
      <c r="D731" s="170" t="n"/>
      <c r="E731" s="106" t="n"/>
      <c r="F731" s="105" t="n"/>
      <c r="G731" s="171">
        <f>IF(J731="","",HYPERLINK("#Transaksi!B"&amp;J731,"Kas"))</f>
        <v/>
      </c>
      <c r="H731" s="172" t="n"/>
      <c r="I731" s="172" t="n"/>
      <c r="J731" s="119" t="n"/>
    </row>
    <row r="732">
      <c r="A732" s="119" t="n"/>
      <c r="B732" s="105" t="n"/>
      <c r="C732" s="105" t="n"/>
      <c r="D732" s="170" t="n"/>
      <c r="E732" s="106" t="n"/>
      <c r="F732" s="105" t="n"/>
      <c r="G732" s="171">
        <f>IF(J732="","",HYPERLINK("#Transaksi!B"&amp;J732,"Kas"))</f>
        <v/>
      </c>
      <c r="H732" s="172" t="n"/>
      <c r="I732" s="172" t="n"/>
      <c r="J732" s="119" t="n"/>
    </row>
    <row r="733">
      <c r="A733" s="119" t="n"/>
      <c r="B733" s="105" t="n"/>
      <c r="C733" s="105" t="n"/>
      <c r="D733" s="170" t="n"/>
      <c r="E733" s="106" t="n"/>
      <c r="F733" s="105" t="n"/>
      <c r="G733" s="171">
        <f>IF(J733="","",HYPERLINK("#Transaksi!B"&amp;J733,"Kas"))</f>
        <v/>
      </c>
      <c r="H733" s="172" t="n"/>
      <c r="I733" s="172" t="n"/>
      <c r="J733" s="119" t="n"/>
    </row>
    <row r="734">
      <c r="A734" s="119" t="n"/>
      <c r="B734" s="105" t="n"/>
      <c r="C734" s="105" t="n"/>
      <c r="D734" s="170" t="n"/>
      <c r="E734" s="106" t="n"/>
      <c r="F734" s="105" t="n"/>
      <c r="G734" s="171">
        <f>IF(J734="","",HYPERLINK("#Transaksi!B"&amp;J734,"Kas"))</f>
        <v/>
      </c>
      <c r="H734" s="172" t="n"/>
      <c r="I734" s="172" t="n"/>
      <c r="J734" s="119" t="n"/>
    </row>
    <row r="735">
      <c r="A735" s="119" t="n"/>
      <c r="B735" s="105" t="n"/>
      <c r="C735" s="105" t="n"/>
      <c r="D735" s="170" t="n"/>
      <c r="E735" s="106" t="n"/>
      <c r="F735" s="105" t="n"/>
      <c r="G735" s="171">
        <f>IF(J735="","",HYPERLINK("#Transaksi!B"&amp;J735,"Kas"))</f>
        <v/>
      </c>
      <c r="H735" s="172" t="n"/>
      <c r="I735" s="172" t="n"/>
      <c r="J735" s="119" t="n"/>
    </row>
    <row r="736">
      <c r="A736" s="119" t="n"/>
      <c r="B736" s="105" t="n"/>
      <c r="C736" s="105" t="n"/>
      <c r="D736" s="170" t="n"/>
      <c r="E736" s="106" t="n"/>
      <c r="F736" s="105" t="n"/>
      <c r="G736" s="171">
        <f>IF(J736="","",HYPERLINK("#Transaksi!B"&amp;J736,"Kas"))</f>
        <v/>
      </c>
      <c r="H736" s="172" t="n"/>
      <c r="I736" s="172" t="n"/>
      <c r="J736" s="119" t="n"/>
    </row>
    <row r="737">
      <c r="A737" s="119" t="n"/>
      <c r="B737" s="105" t="n"/>
      <c r="C737" s="105" t="n"/>
      <c r="D737" s="170" t="n"/>
      <c r="E737" s="106" t="n"/>
      <c r="F737" s="105" t="n"/>
      <c r="G737" s="171">
        <f>IF(J737="","",HYPERLINK("#Transaksi!B"&amp;J737,"Kas"))</f>
        <v/>
      </c>
      <c r="H737" s="172" t="n"/>
      <c r="I737" s="172" t="n"/>
      <c r="J737" s="119" t="n"/>
    </row>
    <row r="738">
      <c r="A738" s="119" t="n"/>
      <c r="B738" s="105" t="n"/>
      <c r="C738" s="105" t="n"/>
      <c r="D738" s="170" t="n"/>
      <c r="E738" s="106" t="n"/>
      <c r="F738" s="105" t="n"/>
      <c r="G738" s="171">
        <f>IF(J738="","",HYPERLINK("#Transaksi!B"&amp;J738,"Kas"))</f>
        <v/>
      </c>
      <c r="H738" s="172" t="n"/>
      <c r="I738" s="172" t="n"/>
      <c r="J738" s="119" t="n"/>
    </row>
    <row r="739">
      <c r="A739" s="119" t="n"/>
      <c r="B739" s="105" t="n"/>
      <c r="C739" s="105" t="n"/>
      <c r="D739" s="170" t="n"/>
      <c r="E739" s="106" t="n"/>
      <c r="F739" s="105" t="n"/>
      <c r="G739" s="171">
        <f>IF(J739="","",HYPERLINK("#Transaksi!B"&amp;J739,"Kas"))</f>
        <v/>
      </c>
      <c r="H739" s="172" t="n"/>
      <c r="I739" s="172" t="n"/>
      <c r="J739" s="119" t="n"/>
    </row>
    <row r="740">
      <c r="A740" s="119" t="n"/>
      <c r="B740" s="105" t="n"/>
      <c r="C740" s="105" t="n"/>
      <c r="D740" s="170" t="n"/>
      <c r="E740" s="106" t="n"/>
      <c r="F740" s="105" t="n"/>
      <c r="G740" s="171">
        <f>IF(J740="","",HYPERLINK("#Transaksi!B"&amp;J740,"Kas"))</f>
        <v/>
      </c>
      <c r="H740" s="172" t="n"/>
      <c r="I740" s="172" t="n"/>
      <c r="J740" s="119" t="n"/>
    </row>
    <row r="741">
      <c r="A741" s="119" t="n"/>
      <c r="B741" s="105" t="n"/>
      <c r="C741" s="105" t="n"/>
      <c r="D741" s="170" t="n"/>
      <c r="E741" s="106" t="n"/>
      <c r="F741" s="105" t="n"/>
      <c r="G741" s="171">
        <f>IF(J741="","",HYPERLINK("#Transaksi!B"&amp;J741,"Kas"))</f>
        <v/>
      </c>
      <c r="H741" s="172" t="n"/>
      <c r="I741" s="172" t="n"/>
      <c r="J741" s="119" t="n"/>
    </row>
    <row r="742">
      <c r="A742" s="119" t="n"/>
      <c r="B742" s="105" t="n"/>
      <c r="C742" s="105" t="n"/>
      <c r="D742" s="170" t="n"/>
      <c r="E742" s="106" t="n"/>
      <c r="F742" s="105" t="n"/>
      <c r="G742" s="171">
        <f>IF(J742="","",HYPERLINK("#Transaksi!B"&amp;J742,"Kas"))</f>
        <v/>
      </c>
      <c r="H742" s="172" t="n"/>
      <c r="I742" s="172" t="n"/>
      <c r="J742" s="119" t="n"/>
    </row>
    <row r="743">
      <c r="A743" s="119" t="n"/>
      <c r="B743" s="105" t="n"/>
      <c r="C743" s="105" t="n"/>
      <c r="D743" s="170" t="n"/>
      <c r="E743" s="106" t="n"/>
      <c r="F743" s="105" t="n"/>
      <c r="G743" s="171">
        <f>IF(J743="","",HYPERLINK("#Transaksi!B"&amp;J743,"Kas"))</f>
        <v/>
      </c>
      <c r="H743" s="172" t="n"/>
      <c r="I743" s="172" t="n"/>
      <c r="J743" s="119" t="n"/>
    </row>
    <row r="744">
      <c r="A744" s="119" t="n"/>
      <c r="B744" s="105" t="n"/>
      <c r="C744" s="105" t="n"/>
      <c r="D744" s="170" t="n"/>
      <c r="E744" s="106" t="n"/>
      <c r="F744" s="105" t="n"/>
      <c r="G744" s="171">
        <f>IF(J744="","",HYPERLINK("#Transaksi!B"&amp;J744,"Kas"))</f>
        <v/>
      </c>
      <c r="H744" s="172" t="n"/>
      <c r="I744" s="172" t="n"/>
      <c r="J744" s="119" t="n"/>
    </row>
    <row r="745">
      <c r="A745" s="119" t="n"/>
      <c r="B745" s="105" t="n"/>
      <c r="C745" s="105" t="n"/>
      <c r="D745" s="170" t="n"/>
      <c r="E745" s="106" t="n"/>
      <c r="F745" s="105" t="n"/>
      <c r="G745" s="171">
        <f>IF(J745="","",HYPERLINK("#Transaksi!B"&amp;J745,"Kas"))</f>
        <v/>
      </c>
      <c r="H745" s="172" t="n"/>
      <c r="I745" s="172" t="n"/>
      <c r="J745" s="119" t="n"/>
    </row>
    <row r="746">
      <c r="A746" s="119" t="n"/>
      <c r="B746" s="105" t="n"/>
      <c r="C746" s="105" t="n"/>
      <c r="D746" s="170" t="n"/>
      <c r="E746" s="106" t="n"/>
      <c r="F746" s="105" t="n"/>
      <c r="G746" s="171">
        <f>IF(J746="","",HYPERLINK("#Transaksi!B"&amp;J746,"Kas"))</f>
        <v/>
      </c>
      <c r="H746" s="172" t="n"/>
      <c r="I746" s="172" t="n"/>
      <c r="J746" s="119" t="n"/>
    </row>
    <row r="747">
      <c r="A747" s="119" t="n"/>
      <c r="B747" s="105" t="n"/>
      <c r="C747" s="105" t="n"/>
      <c r="D747" s="170" t="n"/>
      <c r="E747" s="106" t="n"/>
      <c r="F747" s="105" t="n"/>
      <c r="G747" s="171">
        <f>IF(J747="","",HYPERLINK("#Transaksi!B"&amp;J747,"Kas"))</f>
        <v/>
      </c>
      <c r="H747" s="172" t="n"/>
      <c r="I747" s="172" t="n"/>
      <c r="J747" s="119" t="n"/>
    </row>
    <row r="748">
      <c r="A748" s="119" t="n"/>
      <c r="B748" s="105" t="n"/>
      <c r="C748" s="105" t="n"/>
      <c r="D748" s="170" t="n"/>
      <c r="E748" s="106" t="n"/>
      <c r="F748" s="105" t="n"/>
      <c r="G748" s="171">
        <f>IF(J748="","",HYPERLINK("#Transaksi!B"&amp;J748,"Kas"))</f>
        <v/>
      </c>
      <c r="H748" s="172" t="n"/>
      <c r="I748" s="172" t="n"/>
      <c r="J748" s="119" t="n"/>
    </row>
    <row r="749">
      <c r="A749" s="119" t="n"/>
      <c r="B749" s="105" t="n"/>
      <c r="C749" s="105" t="n"/>
      <c r="D749" s="170" t="n"/>
      <c r="E749" s="106" t="n"/>
      <c r="F749" s="105" t="n"/>
      <c r="G749" s="171">
        <f>IF(J749="","",HYPERLINK("#Transaksi!B"&amp;J749,"Kas"))</f>
        <v/>
      </c>
      <c r="H749" s="172" t="n"/>
      <c r="I749" s="172" t="n"/>
      <c r="J749" s="119" t="n"/>
    </row>
    <row r="750">
      <c r="A750" s="119" t="n"/>
      <c r="B750" s="105" t="n"/>
      <c r="C750" s="105" t="n"/>
      <c r="D750" s="170" t="n"/>
      <c r="E750" s="106" t="n"/>
      <c r="F750" s="105" t="n"/>
      <c r="G750" s="171">
        <f>IF(J750="","",HYPERLINK("#Transaksi!B"&amp;J750,"Kas"))</f>
        <v/>
      </c>
      <c r="H750" s="172" t="n"/>
      <c r="I750" s="172" t="n"/>
      <c r="J750" s="119" t="n"/>
    </row>
    <row r="751">
      <c r="A751" s="119" t="n"/>
      <c r="B751" s="105" t="n"/>
      <c r="C751" s="105" t="n"/>
      <c r="D751" s="170" t="n"/>
      <c r="E751" s="106" t="n"/>
      <c r="F751" s="105" t="n"/>
      <c r="G751" s="171">
        <f>IF(J751="","",HYPERLINK("#Transaksi!B"&amp;J751,"Kas"))</f>
        <v/>
      </c>
      <c r="H751" s="172" t="n"/>
      <c r="I751" s="172" t="n"/>
      <c r="J751" s="119" t="n"/>
    </row>
    <row r="752">
      <c r="A752" s="119" t="n"/>
      <c r="B752" s="105" t="n"/>
      <c r="C752" s="105" t="n"/>
      <c r="D752" s="170" t="n"/>
      <c r="E752" s="106" t="n"/>
      <c r="F752" s="105" t="n"/>
      <c r="G752" s="171">
        <f>IF(J752="","",HYPERLINK("#Transaksi!B"&amp;J752,"Kas"))</f>
        <v/>
      </c>
      <c r="H752" s="172" t="n"/>
      <c r="I752" s="172" t="n"/>
      <c r="J752" s="119" t="n"/>
    </row>
    <row r="753">
      <c r="A753" s="119" t="n"/>
      <c r="B753" s="105" t="n"/>
      <c r="C753" s="105" t="n"/>
      <c r="D753" s="170" t="n"/>
      <c r="E753" s="106" t="n"/>
      <c r="F753" s="105" t="n"/>
      <c r="G753" s="171">
        <f>IF(J753="","",HYPERLINK("#Transaksi!B"&amp;J753,"Kas"))</f>
        <v/>
      </c>
      <c r="H753" s="172" t="n"/>
      <c r="I753" s="172" t="n"/>
      <c r="J753" s="119" t="n"/>
    </row>
    <row r="754">
      <c r="A754" s="119" t="n"/>
      <c r="B754" s="105" t="n"/>
      <c r="C754" s="105" t="n"/>
      <c r="D754" s="170" t="n"/>
      <c r="E754" s="106" t="n"/>
      <c r="F754" s="105" t="n"/>
      <c r="G754" s="171">
        <f>IF(J754="","",HYPERLINK("#Transaksi!B"&amp;J754,"Kas"))</f>
        <v/>
      </c>
      <c r="H754" s="172" t="n"/>
      <c r="I754" s="172" t="n"/>
      <c r="J754" s="119" t="n"/>
    </row>
    <row r="755">
      <c r="A755" s="119" t="n"/>
      <c r="B755" s="105" t="n"/>
      <c r="C755" s="105" t="n"/>
      <c r="D755" s="170" t="n"/>
      <c r="E755" s="106" t="n"/>
      <c r="F755" s="105" t="n"/>
      <c r="G755" s="171">
        <f>IF(J755="","",HYPERLINK("#Transaksi!B"&amp;J755,"Kas"))</f>
        <v/>
      </c>
      <c r="H755" s="172" t="n"/>
      <c r="I755" s="172" t="n"/>
      <c r="J755" s="119" t="n"/>
    </row>
    <row r="756">
      <c r="A756" s="119" t="n"/>
      <c r="B756" s="105" t="n"/>
      <c r="C756" s="105" t="n"/>
      <c r="D756" s="170" t="n"/>
      <c r="E756" s="106" t="n"/>
      <c r="F756" s="105" t="n"/>
      <c r="G756" s="171">
        <f>IF(J756="","",HYPERLINK("#Transaksi!B"&amp;J756,"Kas"))</f>
        <v/>
      </c>
      <c r="H756" s="172" t="n"/>
      <c r="I756" s="172" t="n"/>
      <c r="J756" s="119" t="n"/>
    </row>
    <row r="757">
      <c r="A757" s="119" t="n"/>
      <c r="B757" s="105" t="n"/>
      <c r="C757" s="105" t="n"/>
      <c r="D757" s="170" t="n"/>
      <c r="E757" s="106" t="n"/>
      <c r="F757" s="105" t="n"/>
      <c r="G757" s="171">
        <f>IF(J757="","",HYPERLINK("#Transaksi!B"&amp;J757,"Kas"))</f>
        <v/>
      </c>
      <c r="H757" s="172" t="n"/>
      <c r="I757" s="172" t="n"/>
      <c r="J757" s="119" t="n"/>
    </row>
    <row r="758">
      <c r="A758" s="119" t="n"/>
      <c r="B758" s="105" t="n"/>
      <c r="C758" s="105" t="n"/>
      <c r="D758" s="170" t="n"/>
      <c r="E758" s="106" t="n"/>
      <c r="F758" s="105" t="n"/>
      <c r="G758" s="171">
        <f>IF(J758="","",HYPERLINK("#Transaksi!B"&amp;J758,"Kas"))</f>
        <v/>
      </c>
      <c r="H758" s="172" t="n"/>
      <c r="I758" s="172" t="n"/>
      <c r="J758" s="119" t="n"/>
    </row>
    <row r="759">
      <c r="A759" s="119" t="n"/>
      <c r="B759" s="105" t="n"/>
      <c r="C759" s="105" t="n"/>
      <c r="D759" s="170" t="n"/>
      <c r="E759" s="106" t="n"/>
      <c r="F759" s="105" t="n"/>
      <c r="G759" s="171">
        <f>IF(J759="","",HYPERLINK("#Transaksi!B"&amp;J759,"Kas"))</f>
        <v/>
      </c>
      <c r="H759" s="172" t="n"/>
      <c r="I759" s="172" t="n"/>
      <c r="J759" s="119" t="n"/>
    </row>
    <row r="760">
      <c r="A760" s="119" t="n"/>
      <c r="B760" s="105" t="n"/>
      <c r="C760" s="105" t="n"/>
      <c r="D760" s="170" t="n"/>
      <c r="E760" s="106" t="n"/>
      <c r="F760" s="105" t="n"/>
      <c r="G760" s="171">
        <f>IF(J760="","",HYPERLINK("#Transaksi!B"&amp;J760,"Kas"))</f>
        <v/>
      </c>
      <c r="H760" s="172" t="n"/>
      <c r="I760" s="172" t="n"/>
      <c r="J760" s="119" t="n"/>
    </row>
    <row r="761">
      <c r="A761" s="119" t="n"/>
      <c r="B761" s="105" t="n"/>
      <c r="C761" s="105" t="n"/>
      <c r="D761" s="170" t="n"/>
      <c r="E761" s="106" t="n"/>
      <c r="F761" s="105" t="n"/>
      <c r="G761" s="171">
        <f>IF(J761="","",HYPERLINK("#Transaksi!B"&amp;J761,"Kas"))</f>
        <v/>
      </c>
      <c r="H761" s="172" t="n"/>
      <c r="I761" s="172" t="n"/>
      <c r="J761" s="119" t="n"/>
    </row>
    <row r="762">
      <c r="A762" s="119" t="n"/>
      <c r="B762" s="105" t="n"/>
      <c r="C762" s="105" t="n"/>
      <c r="D762" s="170" t="n"/>
      <c r="E762" s="106" t="n"/>
      <c r="F762" s="105" t="n"/>
      <c r="G762" s="171">
        <f>IF(J762="","",HYPERLINK("#Transaksi!B"&amp;J762,"Kas"))</f>
        <v/>
      </c>
      <c r="H762" s="172" t="n"/>
      <c r="I762" s="172" t="n"/>
      <c r="J762" s="119" t="n"/>
    </row>
    <row r="763">
      <c r="A763" s="119" t="n"/>
      <c r="B763" s="105" t="n"/>
      <c r="C763" s="105" t="n"/>
      <c r="D763" s="170" t="n"/>
      <c r="E763" s="106" t="n"/>
      <c r="F763" s="105" t="n"/>
      <c r="G763" s="171">
        <f>IF(J763="","",HYPERLINK("#Transaksi!B"&amp;J763,"Kas"))</f>
        <v/>
      </c>
      <c r="H763" s="172" t="n"/>
      <c r="I763" s="172" t="n"/>
      <c r="J763" s="119" t="n"/>
    </row>
    <row r="764">
      <c r="A764" s="119" t="n"/>
      <c r="B764" s="105" t="n"/>
      <c r="C764" s="105" t="n"/>
      <c r="D764" s="170" t="n"/>
      <c r="E764" s="106" t="n"/>
      <c r="F764" s="105" t="n"/>
      <c r="G764" s="171">
        <f>IF(J764="","",HYPERLINK("#Transaksi!B"&amp;J764,"Kas"))</f>
        <v/>
      </c>
      <c r="H764" s="172" t="n"/>
      <c r="I764" s="172" t="n"/>
      <c r="J764" s="119" t="n"/>
    </row>
    <row r="765">
      <c r="A765" s="119" t="n"/>
      <c r="B765" s="105" t="n"/>
      <c r="C765" s="105" t="n"/>
      <c r="D765" s="170" t="n"/>
      <c r="E765" s="106" t="n"/>
      <c r="F765" s="105" t="n"/>
      <c r="G765" s="171">
        <f>IF(J765="","",HYPERLINK("#Transaksi!B"&amp;J765,"Kas"))</f>
        <v/>
      </c>
      <c r="H765" s="172" t="n"/>
      <c r="I765" s="172" t="n"/>
      <c r="J765" s="119" t="n"/>
    </row>
    <row r="766">
      <c r="A766" s="119" t="n"/>
      <c r="B766" s="105" t="n"/>
      <c r="C766" s="105" t="n"/>
      <c r="D766" s="170" t="n"/>
      <c r="E766" s="106" t="n"/>
      <c r="F766" s="105" t="n"/>
      <c r="G766" s="171">
        <f>IF(J766="","",HYPERLINK("#Transaksi!B"&amp;J766,"Kas"))</f>
        <v/>
      </c>
      <c r="H766" s="172" t="n"/>
      <c r="I766" s="172" t="n"/>
      <c r="J766" s="119" t="n"/>
    </row>
    <row r="767">
      <c r="A767" s="119" t="n"/>
      <c r="B767" s="105" t="n"/>
      <c r="C767" s="105" t="n"/>
      <c r="D767" s="170" t="n"/>
      <c r="E767" s="106" t="n"/>
      <c r="F767" s="105" t="n"/>
      <c r="G767" s="171">
        <f>IF(J767="","",HYPERLINK("#Transaksi!B"&amp;J767,"Kas"))</f>
        <v/>
      </c>
      <c r="H767" s="172" t="n"/>
      <c r="I767" s="172" t="n"/>
      <c r="J767" s="119" t="n"/>
    </row>
    <row r="768">
      <c r="A768" s="119" t="n"/>
      <c r="B768" s="105" t="n"/>
      <c r="C768" s="105" t="n"/>
      <c r="D768" s="170" t="n"/>
      <c r="E768" s="106" t="n"/>
      <c r="F768" s="105" t="n"/>
      <c r="G768" s="171">
        <f>IF(J768="","",HYPERLINK("#Transaksi!B"&amp;J768,"Kas"))</f>
        <v/>
      </c>
      <c r="H768" s="172" t="n"/>
      <c r="I768" s="172" t="n"/>
      <c r="J768" s="119" t="n"/>
    </row>
    <row r="769">
      <c r="A769" s="119" t="n"/>
      <c r="B769" s="105" t="n"/>
      <c r="C769" s="105" t="n"/>
      <c r="D769" s="170" t="n"/>
      <c r="E769" s="106" t="n"/>
      <c r="F769" s="105" t="n"/>
      <c r="G769" s="171">
        <f>IF(J769="","",HYPERLINK("#Transaksi!B"&amp;J769,"Kas"))</f>
        <v/>
      </c>
      <c r="H769" s="172" t="n"/>
      <c r="I769" s="172" t="n"/>
      <c r="J769" s="119" t="n"/>
    </row>
    <row r="770">
      <c r="A770" s="119" t="n"/>
      <c r="B770" s="105" t="n"/>
      <c r="C770" s="105" t="n"/>
      <c r="D770" s="170" t="n"/>
      <c r="E770" s="106" t="n"/>
      <c r="F770" s="105" t="n"/>
      <c r="G770" s="171">
        <f>IF(J770="","",HYPERLINK("#Transaksi!B"&amp;J770,"Kas"))</f>
        <v/>
      </c>
      <c r="H770" s="172" t="n"/>
      <c r="I770" s="172" t="n"/>
      <c r="J770" s="119" t="n"/>
    </row>
    <row r="771">
      <c r="A771" s="119" t="n"/>
      <c r="B771" s="105" t="n"/>
      <c r="C771" s="105" t="n"/>
      <c r="D771" s="170" t="n"/>
      <c r="E771" s="106" t="n"/>
      <c r="F771" s="105" t="n"/>
      <c r="G771" s="171">
        <f>IF(J771="","",HYPERLINK("#Transaksi!B"&amp;J771,"Kas"))</f>
        <v/>
      </c>
      <c r="H771" s="172" t="n"/>
      <c r="I771" s="172" t="n"/>
      <c r="J771" s="119" t="n"/>
    </row>
    <row r="772">
      <c r="A772" s="119" t="n"/>
      <c r="B772" s="105" t="n"/>
      <c r="C772" s="105" t="n"/>
      <c r="D772" s="170" t="n"/>
      <c r="E772" s="106" t="n"/>
      <c r="F772" s="105" t="n"/>
      <c r="G772" s="171">
        <f>IF(J772="","",HYPERLINK("#Transaksi!B"&amp;J772,"Kas"))</f>
        <v/>
      </c>
      <c r="H772" s="172" t="n"/>
      <c r="I772" s="172" t="n"/>
      <c r="J772" s="119" t="n"/>
    </row>
    <row r="773">
      <c r="A773" s="119" t="n"/>
      <c r="B773" s="105" t="n"/>
      <c r="C773" s="105" t="n"/>
      <c r="D773" s="170" t="n"/>
      <c r="E773" s="106" t="n"/>
      <c r="F773" s="105" t="n"/>
      <c r="G773" s="171">
        <f>IF(J773="","",HYPERLINK("#Transaksi!B"&amp;J773,"Kas"))</f>
        <v/>
      </c>
      <c r="H773" s="172" t="n"/>
      <c r="I773" s="172" t="n"/>
      <c r="J773" s="119" t="n"/>
    </row>
    <row r="774">
      <c r="A774" s="119" t="n"/>
      <c r="B774" s="105" t="n"/>
      <c r="C774" s="105" t="n"/>
      <c r="D774" s="170" t="n"/>
      <c r="E774" s="106" t="n"/>
      <c r="F774" s="105" t="n"/>
      <c r="G774" s="171">
        <f>IF(J774="","",HYPERLINK("#Transaksi!B"&amp;J774,"Kas"))</f>
        <v/>
      </c>
      <c r="H774" s="172" t="n"/>
      <c r="I774" s="172" t="n"/>
      <c r="J774" s="119" t="n"/>
    </row>
    <row r="775">
      <c r="A775" s="119" t="n"/>
      <c r="B775" s="105" t="n"/>
      <c r="C775" s="105" t="n"/>
      <c r="D775" s="170" t="n"/>
      <c r="E775" s="106" t="n"/>
      <c r="F775" s="105" t="n"/>
      <c r="G775" s="171">
        <f>IF(J775="","",HYPERLINK("#Transaksi!B"&amp;J775,"Kas"))</f>
        <v/>
      </c>
      <c r="H775" s="172" t="n"/>
      <c r="I775" s="172" t="n"/>
      <c r="J775" s="119" t="n"/>
    </row>
    <row r="776">
      <c r="A776" s="119" t="n"/>
      <c r="B776" s="105" t="n"/>
      <c r="C776" s="105" t="n"/>
      <c r="D776" s="170" t="n"/>
      <c r="E776" s="106" t="n"/>
      <c r="F776" s="105" t="n"/>
      <c r="G776" s="171">
        <f>IF(J776="","",HYPERLINK("#Transaksi!B"&amp;J776,"Kas"))</f>
        <v/>
      </c>
      <c r="H776" s="172" t="n"/>
      <c r="I776" s="172" t="n"/>
      <c r="J776" s="119" t="n"/>
    </row>
    <row r="777">
      <c r="A777" s="119" t="n"/>
      <c r="B777" s="105" t="n"/>
      <c r="C777" s="105" t="n"/>
      <c r="D777" s="170" t="n"/>
      <c r="E777" s="106" t="n"/>
      <c r="F777" s="105" t="n"/>
      <c r="G777" s="171">
        <f>IF(J777="","",HYPERLINK("#Transaksi!B"&amp;J777,"Kas"))</f>
        <v/>
      </c>
      <c r="H777" s="172" t="n"/>
      <c r="I777" s="172" t="n"/>
      <c r="J777" s="119" t="n"/>
    </row>
    <row r="778">
      <c r="A778" s="119" t="n"/>
      <c r="B778" s="105" t="n"/>
      <c r="C778" s="105" t="n"/>
      <c r="D778" s="170" t="n"/>
      <c r="E778" s="106" t="n"/>
      <c r="F778" s="105" t="n"/>
      <c r="G778" s="171">
        <f>IF(J778="","",HYPERLINK("#Transaksi!B"&amp;J778,"Kas"))</f>
        <v/>
      </c>
      <c r="H778" s="172" t="n"/>
      <c r="I778" s="172" t="n"/>
      <c r="J778" s="119" t="n"/>
    </row>
    <row r="779">
      <c r="A779" s="119" t="n"/>
      <c r="B779" s="105" t="n"/>
      <c r="C779" s="105" t="n"/>
      <c r="D779" s="170" t="n"/>
      <c r="E779" s="106" t="n"/>
      <c r="F779" s="105" t="n"/>
      <c r="G779" s="171">
        <f>IF(J779="","",HYPERLINK("#Transaksi!B"&amp;J779,"Kas"))</f>
        <v/>
      </c>
      <c r="H779" s="172" t="n"/>
      <c r="I779" s="172" t="n"/>
      <c r="J779" s="119" t="n"/>
    </row>
    <row r="780">
      <c r="A780" s="119" t="n"/>
      <c r="B780" s="105" t="n"/>
      <c r="C780" s="105" t="n"/>
      <c r="D780" s="170" t="n"/>
      <c r="E780" s="106" t="n"/>
      <c r="F780" s="105" t="n"/>
      <c r="G780" s="171">
        <f>IF(J780="","",HYPERLINK("#Transaksi!B"&amp;J780,"Kas"))</f>
        <v/>
      </c>
      <c r="H780" s="172" t="n"/>
      <c r="I780" s="172" t="n"/>
      <c r="J780" s="119" t="n"/>
    </row>
    <row r="781">
      <c r="A781" s="119" t="n"/>
      <c r="B781" s="105" t="n"/>
      <c r="C781" s="105" t="n"/>
      <c r="D781" s="170" t="n"/>
      <c r="E781" s="106" t="n"/>
      <c r="F781" s="105" t="n"/>
      <c r="G781" s="171">
        <f>IF(J781="","",HYPERLINK("#Transaksi!B"&amp;J781,"Kas"))</f>
        <v/>
      </c>
      <c r="H781" s="172" t="n"/>
      <c r="I781" s="172" t="n"/>
      <c r="J781" s="119" t="n"/>
    </row>
    <row r="782">
      <c r="A782" s="119" t="n"/>
      <c r="B782" s="105" t="n"/>
      <c r="C782" s="105" t="n"/>
      <c r="D782" s="170" t="n"/>
      <c r="E782" s="106" t="n"/>
      <c r="F782" s="105" t="n"/>
      <c r="G782" s="171">
        <f>IF(J782="","",HYPERLINK("#Transaksi!B"&amp;J782,"Kas"))</f>
        <v/>
      </c>
      <c r="H782" s="172" t="n"/>
      <c r="I782" s="172" t="n"/>
      <c r="J782" s="119" t="n"/>
    </row>
    <row r="783">
      <c r="A783" s="119" t="n"/>
      <c r="B783" s="105" t="n"/>
      <c r="C783" s="105" t="n"/>
      <c r="D783" s="170" t="n"/>
      <c r="E783" s="106" t="n"/>
      <c r="F783" s="105" t="n"/>
      <c r="G783" s="171">
        <f>IF(J783="","",HYPERLINK("#Transaksi!B"&amp;J783,"Kas"))</f>
        <v/>
      </c>
      <c r="H783" s="172" t="n"/>
      <c r="I783" s="172" t="n"/>
      <c r="J783" s="119" t="n"/>
    </row>
    <row r="784">
      <c r="A784" s="119" t="n"/>
      <c r="B784" s="105" t="n"/>
      <c r="C784" s="105" t="n"/>
      <c r="D784" s="170" t="n"/>
      <c r="E784" s="106" t="n"/>
      <c r="F784" s="105" t="n"/>
      <c r="G784" s="171">
        <f>IF(J784="","",HYPERLINK("#Transaksi!B"&amp;J784,"Kas"))</f>
        <v/>
      </c>
      <c r="H784" s="172" t="n"/>
      <c r="I784" s="172" t="n"/>
      <c r="J784" s="119" t="n"/>
    </row>
    <row r="785">
      <c r="A785" s="119" t="n"/>
      <c r="B785" s="105" t="n"/>
      <c r="C785" s="105" t="n"/>
      <c r="D785" s="170" t="n"/>
      <c r="E785" s="106" t="n"/>
      <c r="F785" s="105" t="n"/>
      <c r="G785" s="171">
        <f>IF(J785="","",HYPERLINK("#Transaksi!B"&amp;J785,"Kas"))</f>
        <v/>
      </c>
      <c r="H785" s="172" t="n"/>
      <c r="I785" s="172" t="n"/>
      <c r="J785" s="119" t="n"/>
    </row>
    <row r="786">
      <c r="A786" s="119" t="n"/>
      <c r="B786" s="105" t="n"/>
      <c r="C786" s="105" t="n"/>
      <c r="D786" s="170" t="n"/>
      <c r="E786" s="106" t="n"/>
      <c r="F786" s="105" t="n"/>
      <c r="G786" s="171">
        <f>IF(J786="","",HYPERLINK("#Transaksi!B"&amp;J786,"Kas"))</f>
        <v/>
      </c>
      <c r="H786" s="172" t="n"/>
      <c r="I786" s="172" t="n"/>
      <c r="J786" s="119" t="n"/>
    </row>
    <row r="787">
      <c r="A787" s="119" t="n"/>
      <c r="B787" s="105" t="n"/>
      <c r="C787" s="105" t="n"/>
      <c r="D787" s="170" t="n"/>
      <c r="E787" s="106" t="n"/>
      <c r="F787" s="105" t="n"/>
      <c r="G787" s="171">
        <f>IF(J787="","",HYPERLINK("#Transaksi!B"&amp;J787,"Kas"))</f>
        <v/>
      </c>
      <c r="H787" s="172" t="n"/>
      <c r="I787" s="172" t="n"/>
      <c r="J787" s="119" t="n"/>
    </row>
    <row r="788">
      <c r="A788" s="119" t="n"/>
      <c r="B788" s="105" t="n"/>
      <c r="C788" s="105" t="n"/>
      <c r="D788" s="170" t="n"/>
      <c r="E788" s="106" t="n"/>
      <c r="F788" s="105" t="n"/>
      <c r="G788" s="171">
        <f>IF(J788="","",HYPERLINK("#Transaksi!B"&amp;J788,"Kas"))</f>
        <v/>
      </c>
      <c r="H788" s="172" t="n"/>
      <c r="I788" s="172" t="n"/>
      <c r="J788" s="119" t="n"/>
    </row>
    <row r="789">
      <c r="A789" s="119" t="n"/>
      <c r="B789" s="105" t="n"/>
      <c r="C789" s="105" t="n"/>
      <c r="D789" s="170" t="n"/>
      <c r="E789" s="106" t="n"/>
      <c r="F789" s="105" t="n"/>
      <c r="G789" s="171">
        <f>IF(J789="","",HYPERLINK("#Transaksi!B"&amp;J789,"Kas"))</f>
        <v/>
      </c>
      <c r="H789" s="172" t="n"/>
      <c r="I789" s="172" t="n"/>
      <c r="J789" s="119" t="n"/>
    </row>
    <row r="790">
      <c r="A790" s="119" t="n"/>
      <c r="B790" s="105" t="n"/>
      <c r="C790" s="105" t="n"/>
      <c r="D790" s="170" t="n"/>
      <c r="E790" s="106" t="n"/>
      <c r="F790" s="105" t="n"/>
      <c r="G790" s="171">
        <f>IF(J790="","",HYPERLINK("#Transaksi!B"&amp;J790,"Kas"))</f>
        <v/>
      </c>
      <c r="H790" s="172" t="n"/>
      <c r="I790" s="172" t="n"/>
      <c r="J790" s="119" t="n"/>
    </row>
    <row r="791">
      <c r="A791" s="119" t="n"/>
      <c r="B791" s="105" t="n"/>
      <c r="C791" s="105" t="n"/>
      <c r="D791" s="170" t="n"/>
      <c r="E791" s="106" t="n"/>
      <c r="F791" s="105" t="n"/>
      <c r="G791" s="171">
        <f>IF(J791="","",HYPERLINK("#Transaksi!B"&amp;J791,"Kas"))</f>
        <v/>
      </c>
      <c r="H791" s="172" t="n"/>
      <c r="I791" s="172" t="n"/>
      <c r="J791" s="119" t="n"/>
    </row>
    <row r="792">
      <c r="A792" s="119" t="n"/>
      <c r="B792" s="105" t="n"/>
      <c r="C792" s="105" t="n"/>
      <c r="D792" s="170" t="n"/>
      <c r="E792" s="106" t="n"/>
      <c r="F792" s="105" t="n"/>
      <c r="G792" s="171">
        <f>IF(J792="","",HYPERLINK("#Transaksi!B"&amp;J792,"Kas"))</f>
        <v/>
      </c>
      <c r="H792" s="172" t="n"/>
      <c r="I792" s="172" t="n"/>
      <c r="J792" s="119" t="n"/>
    </row>
    <row r="793">
      <c r="A793" s="119" t="n"/>
      <c r="B793" s="105" t="n"/>
      <c r="C793" s="105" t="n"/>
      <c r="D793" s="170" t="n"/>
      <c r="E793" s="106" t="n"/>
      <c r="F793" s="105" t="n"/>
      <c r="G793" s="171">
        <f>IF(J793="","",HYPERLINK("#Transaksi!B"&amp;J793,"Kas"))</f>
        <v/>
      </c>
      <c r="H793" s="172" t="n"/>
      <c r="I793" s="172" t="n"/>
      <c r="J793" s="119" t="n"/>
    </row>
    <row r="794">
      <c r="A794" s="119" t="n"/>
      <c r="B794" s="105" t="n"/>
      <c r="C794" s="105" t="n"/>
      <c r="D794" s="170" t="n"/>
      <c r="E794" s="106" t="n"/>
      <c r="F794" s="105" t="n"/>
      <c r="G794" s="171">
        <f>IF(J794="","",HYPERLINK("#Transaksi!B"&amp;J794,"Kas"))</f>
        <v/>
      </c>
      <c r="H794" s="172" t="n"/>
      <c r="I794" s="172" t="n"/>
      <c r="J794" s="119" t="n"/>
    </row>
    <row r="795">
      <c r="A795" s="119" t="n"/>
      <c r="B795" s="105" t="n"/>
      <c r="C795" s="105" t="n"/>
      <c r="D795" s="170" t="n"/>
      <c r="E795" s="106" t="n"/>
      <c r="F795" s="105" t="n"/>
      <c r="G795" s="171">
        <f>IF(J795="","",HYPERLINK("#Transaksi!B"&amp;J795,"Kas"))</f>
        <v/>
      </c>
      <c r="H795" s="172" t="n"/>
      <c r="I795" s="172" t="n"/>
      <c r="J795" s="119" t="n"/>
    </row>
    <row r="796">
      <c r="A796" s="119" t="n"/>
      <c r="B796" s="105" t="n"/>
      <c r="C796" s="105" t="n"/>
      <c r="D796" s="170" t="n"/>
      <c r="E796" s="106" t="n"/>
      <c r="F796" s="105" t="n"/>
      <c r="G796" s="171">
        <f>IF(J796="","",HYPERLINK("#Transaksi!B"&amp;J796,"Kas"))</f>
        <v/>
      </c>
      <c r="H796" s="172" t="n"/>
      <c r="I796" s="172" t="n"/>
      <c r="J796" s="119" t="n"/>
    </row>
    <row r="797">
      <c r="A797" s="119" t="n"/>
      <c r="B797" s="105" t="n"/>
      <c r="C797" s="105" t="n"/>
      <c r="D797" s="170" t="n"/>
      <c r="E797" s="106" t="n"/>
      <c r="F797" s="105" t="n"/>
      <c r="G797" s="171">
        <f>IF(J797="","",HYPERLINK("#Transaksi!B"&amp;J797,"Kas"))</f>
        <v/>
      </c>
      <c r="H797" s="172" t="n"/>
      <c r="I797" s="172" t="n"/>
      <c r="J797" s="119" t="n"/>
    </row>
    <row r="798">
      <c r="A798" s="119" t="n"/>
      <c r="B798" s="105" t="n"/>
      <c r="C798" s="105" t="n"/>
      <c r="D798" s="170" t="n"/>
      <c r="E798" s="106" t="n"/>
      <c r="F798" s="105" t="n"/>
      <c r="G798" s="171">
        <f>IF(J798="","",HYPERLINK("#Transaksi!B"&amp;J798,"Kas"))</f>
        <v/>
      </c>
      <c r="H798" s="172" t="n"/>
      <c r="I798" s="172" t="n"/>
      <c r="J798" s="119" t="n"/>
    </row>
    <row r="799">
      <c r="A799" s="119" t="n"/>
      <c r="B799" s="105" t="n"/>
      <c r="C799" s="105" t="n"/>
      <c r="D799" s="170" t="n"/>
      <c r="E799" s="106" t="n"/>
      <c r="F799" s="105" t="n"/>
      <c r="G799" s="171">
        <f>IF(J799="","",HYPERLINK("#Transaksi!B"&amp;J799,"Kas"))</f>
        <v/>
      </c>
      <c r="H799" s="172" t="n"/>
      <c r="I799" s="172" t="n"/>
      <c r="J799" s="119" t="n"/>
    </row>
    <row r="800">
      <c r="A800" s="119" t="n"/>
      <c r="B800" s="105" t="n"/>
      <c r="C800" s="105" t="n"/>
      <c r="D800" s="170" t="n"/>
      <c r="E800" s="106" t="n"/>
      <c r="F800" s="105" t="n"/>
      <c r="G800" s="171">
        <f>IF(J800="","",HYPERLINK("#Transaksi!B"&amp;J800,"Kas"))</f>
        <v/>
      </c>
      <c r="H800" s="172" t="n"/>
      <c r="I800" s="172" t="n"/>
      <c r="J800" s="119" t="n"/>
    </row>
    <row r="801">
      <c r="A801" s="119" t="n"/>
      <c r="B801" s="105" t="n"/>
      <c r="C801" s="105" t="n"/>
      <c r="D801" s="170" t="n"/>
      <c r="E801" s="106" t="n"/>
      <c r="F801" s="105" t="n"/>
      <c r="G801" s="171">
        <f>IF(J801="","",HYPERLINK("#Transaksi!B"&amp;J801,"Kas"))</f>
        <v/>
      </c>
      <c r="H801" s="172" t="n"/>
      <c r="I801" s="172" t="n"/>
      <c r="J801" s="119" t="n"/>
    </row>
    <row r="802">
      <c r="A802" s="119" t="n"/>
      <c r="B802" s="105" t="n"/>
      <c r="C802" s="105" t="n"/>
      <c r="D802" s="170" t="n"/>
      <c r="E802" s="106" t="n"/>
      <c r="F802" s="105" t="n"/>
      <c r="G802" s="171">
        <f>IF(J802="","",HYPERLINK("#Transaksi!B"&amp;J802,"Kas"))</f>
        <v/>
      </c>
      <c r="H802" s="172" t="n"/>
      <c r="I802" s="172" t="n"/>
      <c r="J802" s="119" t="n"/>
    </row>
    <row r="803">
      <c r="A803" s="119" t="n"/>
      <c r="B803" s="105" t="n"/>
      <c r="C803" s="105" t="n"/>
      <c r="D803" s="170" t="n"/>
      <c r="E803" s="106" t="n"/>
      <c r="F803" s="105" t="n"/>
      <c r="G803" s="171">
        <f>IF(J803="","",HYPERLINK("#Transaksi!B"&amp;J803,"Kas"))</f>
        <v/>
      </c>
      <c r="H803" s="172" t="n"/>
      <c r="I803" s="172" t="n"/>
      <c r="J803" s="119" t="n"/>
    </row>
    <row r="804">
      <c r="A804" s="119" t="n"/>
      <c r="B804" s="105" t="n"/>
      <c r="C804" s="105" t="n"/>
      <c r="D804" s="170" t="n"/>
      <c r="E804" s="106" t="n"/>
      <c r="F804" s="105" t="n"/>
      <c r="G804" s="171">
        <f>IF(J804="","",HYPERLINK("#Transaksi!B"&amp;J804,"Kas"))</f>
        <v/>
      </c>
      <c r="H804" s="172" t="n"/>
      <c r="I804" s="172" t="n"/>
      <c r="J804" s="119" t="n"/>
    </row>
    <row r="805">
      <c r="A805" s="119" t="n"/>
      <c r="B805" s="105" t="n"/>
      <c r="C805" s="105" t="n"/>
      <c r="D805" s="170" t="n"/>
      <c r="E805" s="106" t="n"/>
      <c r="F805" s="105" t="n"/>
      <c r="G805" s="171">
        <f>IF(J805="","",HYPERLINK("#Transaksi!B"&amp;J805,"Kas"))</f>
        <v/>
      </c>
      <c r="H805" s="172" t="n"/>
      <c r="I805" s="172" t="n"/>
      <c r="J805" s="119" t="n"/>
    </row>
    <row r="806">
      <c r="A806" s="119" t="n"/>
      <c r="B806" s="105" t="n"/>
      <c r="C806" s="105" t="n"/>
      <c r="D806" s="170" t="n"/>
      <c r="E806" s="106" t="n"/>
      <c r="F806" s="105" t="n"/>
      <c r="G806" s="171">
        <f>IF(J806="","",HYPERLINK("#Transaksi!B"&amp;J806,"Kas"))</f>
        <v/>
      </c>
      <c r="H806" s="172" t="n"/>
      <c r="I806" s="172" t="n"/>
      <c r="J806" s="119" t="n"/>
    </row>
    <row r="807">
      <c r="A807" s="119" t="n"/>
      <c r="B807" s="105" t="n"/>
      <c r="C807" s="105" t="n"/>
      <c r="D807" s="170" t="n"/>
      <c r="E807" s="106" t="n"/>
      <c r="F807" s="105" t="n"/>
      <c r="G807" s="171">
        <f>IF(J807="","",HYPERLINK("#Transaksi!B"&amp;J807,"Kas"))</f>
        <v/>
      </c>
      <c r="H807" s="172" t="n"/>
      <c r="I807" s="172" t="n"/>
      <c r="J807" s="119" t="n"/>
    </row>
    <row r="808">
      <c r="A808" s="119" t="n"/>
      <c r="B808" s="105" t="n"/>
      <c r="C808" s="105" t="n"/>
      <c r="D808" s="170" t="n"/>
      <c r="E808" s="106" t="n"/>
      <c r="F808" s="105" t="n"/>
      <c r="G808" s="171">
        <f>IF(J808="","",HYPERLINK("#Transaksi!B"&amp;J808,"Kas"))</f>
        <v/>
      </c>
      <c r="H808" s="172" t="n"/>
      <c r="I808" s="172" t="n"/>
      <c r="J808" s="119" t="n"/>
    </row>
    <row r="809">
      <c r="A809" s="119" t="n"/>
      <c r="B809" s="105" t="n"/>
      <c r="C809" s="105" t="n"/>
      <c r="D809" s="170" t="n"/>
      <c r="E809" s="106" t="n"/>
      <c r="F809" s="105" t="n"/>
      <c r="G809" s="171">
        <f>IF(J809="","",HYPERLINK("#Transaksi!B"&amp;J809,"Kas"))</f>
        <v/>
      </c>
      <c r="H809" s="172" t="n"/>
      <c r="I809" s="172" t="n"/>
      <c r="J809" s="119" t="n"/>
    </row>
    <row r="810">
      <c r="A810" s="119" t="n"/>
      <c r="B810" s="105" t="n"/>
      <c r="C810" s="105" t="n"/>
      <c r="D810" s="170" t="n"/>
      <c r="E810" s="106" t="n"/>
      <c r="F810" s="105" t="n"/>
      <c r="G810" s="171">
        <f>IF(J810="","",HYPERLINK("#Transaksi!B"&amp;J810,"Kas"))</f>
        <v/>
      </c>
      <c r="H810" s="172" t="n"/>
      <c r="I810" s="172" t="n"/>
      <c r="J810" s="119" t="n"/>
    </row>
    <row r="811">
      <c r="A811" s="119" t="n"/>
      <c r="B811" s="105" t="n"/>
      <c r="C811" s="105" t="n"/>
      <c r="D811" s="170" t="n"/>
      <c r="E811" s="106" t="n"/>
      <c r="F811" s="105" t="n"/>
      <c r="G811" s="171">
        <f>IF(J811="","",HYPERLINK("#Transaksi!B"&amp;J811,"Kas"))</f>
        <v/>
      </c>
      <c r="H811" s="172" t="n"/>
      <c r="I811" s="172" t="n"/>
      <c r="J811" s="119" t="n"/>
    </row>
    <row r="812">
      <c r="A812" s="119" t="n"/>
      <c r="B812" s="105" t="n"/>
      <c r="C812" s="105" t="n"/>
      <c r="D812" s="170" t="n"/>
      <c r="E812" s="106" t="n"/>
      <c r="F812" s="105" t="n"/>
      <c r="G812" s="171">
        <f>IF(J812="","",HYPERLINK("#Transaksi!B"&amp;J812,"Kas"))</f>
        <v/>
      </c>
      <c r="H812" s="172" t="n"/>
      <c r="I812" s="172" t="n"/>
      <c r="J812" s="119" t="n"/>
    </row>
    <row r="813">
      <c r="A813" s="119" t="n"/>
      <c r="B813" s="105" t="n"/>
      <c r="C813" s="105" t="n"/>
      <c r="D813" s="170" t="n"/>
      <c r="E813" s="106" t="n"/>
      <c r="F813" s="105" t="n"/>
      <c r="G813" s="171">
        <f>IF(J813="","",HYPERLINK("#Transaksi!B"&amp;J813,"Kas"))</f>
        <v/>
      </c>
      <c r="H813" s="172" t="n"/>
      <c r="I813" s="172" t="n"/>
      <c r="J813" s="119" t="n"/>
    </row>
    <row r="814">
      <c r="A814" s="119" t="n"/>
      <c r="B814" s="105" t="n"/>
      <c r="C814" s="105" t="n"/>
      <c r="D814" s="170" t="n"/>
      <c r="E814" s="106" t="n"/>
      <c r="F814" s="105" t="n"/>
      <c r="G814" s="171">
        <f>IF(J814="","",HYPERLINK("#Transaksi!B"&amp;J814,"Kas"))</f>
        <v/>
      </c>
      <c r="H814" s="172" t="n"/>
      <c r="I814" s="172" t="n"/>
      <c r="J814" s="119" t="n"/>
    </row>
    <row r="815">
      <c r="A815" s="119" t="n"/>
      <c r="B815" s="105" t="n"/>
      <c r="C815" s="105" t="n"/>
      <c r="D815" s="170" t="n"/>
      <c r="E815" s="106" t="n"/>
      <c r="F815" s="105" t="n"/>
      <c r="G815" s="171">
        <f>IF(J815="","",HYPERLINK("#Transaksi!B"&amp;J815,"Kas"))</f>
        <v/>
      </c>
      <c r="H815" s="172" t="n"/>
      <c r="I815" s="172" t="n"/>
      <c r="J815" s="119" t="n"/>
    </row>
    <row r="816">
      <c r="A816" s="119" t="n"/>
      <c r="B816" s="105" t="n"/>
      <c r="C816" s="105" t="n"/>
      <c r="D816" s="170" t="n"/>
      <c r="E816" s="106" t="n"/>
      <c r="F816" s="105" t="n"/>
      <c r="G816" s="171">
        <f>IF(J816="","",HYPERLINK("#Transaksi!B"&amp;J816,"Kas"))</f>
        <v/>
      </c>
      <c r="H816" s="172" t="n"/>
      <c r="I816" s="172" t="n"/>
      <c r="J816" s="119" t="n"/>
    </row>
    <row r="817">
      <c r="A817" s="119" t="n"/>
      <c r="B817" s="105" t="n"/>
      <c r="C817" s="105" t="n"/>
      <c r="D817" s="170" t="n"/>
      <c r="E817" s="106" t="n"/>
      <c r="F817" s="105" t="n"/>
      <c r="G817" s="171">
        <f>IF(J817="","",HYPERLINK("#Transaksi!B"&amp;J817,"Kas"))</f>
        <v/>
      </c>
      <c r="H817" s="172" t="n"/>
      <c r="I817" s="172" t="n"/>
      <c r="J817" s="119" t="n"/>
    </row>
    <row r="818">
      <c r="A818" s="119" t="n"/>
      <c r="B818" s="105" t="n"/>
      <c r="C818" s="105" t="n"/>
      <c r="D818" s="170" t="n"/>
      <c r="E818" s="106" t="n"/>
      <c r="F818" s="105" t="n"/>
      <c r="G818" s="171">
        <f>IF(J818="","",HYPERLINK("#Transaksi!B"&amp;J818,"Kas"))</f>
        <v/>
      </c>
      <c r="H818" s="172" t="n"/>
      <c r="I818" s="172" t="n"/>
      <c r="J818" s="119" t="n"/>
    </row>
    <row r="819">
      <c r="A819" s="119" t="n"/>
      <c r="B819" s="105" t="n"/>
      <c r="C819" s="105" t="n"/>
      <c r="D819" s="170" t="n"/>
      <c r="E819" s="106" t="n"/>
      <c r="F819" s="105" t="n"/>
      <c r="G819" s="171">
        <f>IF(J819="","",HYPERLINK("#Transaksi!B"&amp;J819,"Kas"))</f>
        <v/>
      </c>
      <c r="H819" s="172" t="n"/>
      <c r="I819" s="172" t="n"/>
      <c r="J819" s="119" t="n"/>
    </row>
    <row r="820">
      <c r="A820" s="119" t="n"/>
      <c r="B820" s="105" t="n"/>
      <c r="C820" s="105" t="n"/>
      <c r="D820" s="170" t="n"/>
      <c r="E820" s="106" t="n"/>
      <c r="F820" s="105" t="n"/>
      <c r="G820" s="171">
        <f>IF(J820="","",HYPERLINK("#Transaksi!B"&amp;J820,"Kas"))</f>
        <v/>
      </c>
      <c r="H820" s="172" t="n"/>
      <c r="I820" s="172" t="n"/>
      <c r="J820" s="119" t="n"/>
    </row>
    <row r="821">
      <c r="A821" s="119" t="n"/>
      <c r="B821" s="105" t="n"/>
      <c r="C821" s="105" t="n"/>
      <c r="D821" s="170" t="n"/>
      <c r="E821" s="106" t="n"/>
      <c r="F821" s="105" t="n"/>
      <c r="G821" s="171">
        <f>IF(J821="","",HYPERLINK("#Transaksi!B"&amp;J821,"Kas"))</f>
        <v/>
      </c>
      <c r="H821" s="172" t="n"/>
      <c r="I821" s="172" t="n"/>
      <c r="J821" s="119" t="n"/>
    </row>
    <row r="822">
      <c r="A822" s="119" t="n"/>
      <c r="B822" s="105" t="n"/>
      <c r="C822" s="105" t="n"/>
      <c r="D822" s="170" t="n"/>
      <c r="E822" s="106" t="n"/>
      <c r="F822" s="105" t="n"/>
      <c r="G822" s="171">
        <f>IF(J822="","",HYPERLINK("#Transaksi!B"&amp;J822,"Kas"))</f>
        <v/>
      </c>
      <c r="H822" s="172" t="n"/>
      <c r="I822" s="172" t="n"/>
      <c r="J822" s="119" t="n"/>
    </row>
    <row r="823">
      <c r="A823" s="119" t="n"/>
      <c r="B823" s="105" t="n"/>
      <c r="C823" s="105" t="n"/>
      <c r="D823" s="170" t="n"/>
      <c r="E823" s="106" t="n"/>
      <c r="F823" s="105" t="n"/>
      <c r="G823" s="171">
        <f>IF(J823="","",HYPERLINK("#Transaksi!B"&amp;J823,"Kas"))</f>
        <v/>
      </c>
      <c r="H823" s="172" t="n"/>
      <c r="I823" s="172" t="n"/>
      <c r="J823" s="119" t="n"/>
    </row>
    <row r="824">
      <c r="A824" s="119" t="n"/>
      <c r="B824" s="105" t="n"/>
      <c r="C824" s="105" t="n"/>
      <c r="D824" s="170" t="n"/>
      <c r="E824" s="106" t="n"/>
      <c r="F824" s="105" t="n"/>
      <c r="G824" s="171">
        <f>IF(J824="","",HYPERLINK("#Transaksi!B"&amp;J824,"Kas"))</f>
        <v/>
      </c>
      <c r="H824" s="172" t="n"/>
      <c r="I824" s="172" t="n"/>
      <c r="J824" s="119" t="n"/>
    </row>
    <row r="825">
      <c r="A825" s="119" t="n"/>
      <c r="B825" s="105" t="n"/>
      <c r="C825" s="105" t="n"/>
      <c r="D825" s="170" t="n"/>
      <c r="E825" s="106" t="n"/>
      <c r="F825" s="105" t="n"/>
      <c r="G825" s="171">
        <f>IF(J825="","",HYPERLINK("#Transaksi!B"&amp;J825,"Kas"))</f>
        <v/>
      </c>
      <c r="H825" s="172" t="n"/>
      <c r="I825" s="172" t="n"/>
      <c r="J825" s="119" t="n"/>
    </row>
    <row r="826">
      <c r="A826" s="119" t="n"/>
      <c r="B826" s="105" t="n"/>
      <c r="C826" s="105" t="n"/>
      <c r="D826" s="170" t="n"/>
      <c r="E826" s="106" t="n"/>
      <c r="F826" s="105" t="n"/>
      <c r="G826" s="171">
        <f>IF(J826="","",HYPERLINK("#Transaksi!B"&amp;J826,"Kas"))</f>
        <v/>
      </c>
      <c r="H826" s="172" t="n"/>
      <c r="I826" s="172" t="n"/>
      <c r="J826" s="119" t="n"/>
    </row>
    <row r="827">
      <c r="A827" s="119" t="n"/>
      <c r="B827" s="105" t="n"/>
      <c r="C827" s="105" t="n"/>
      <c r="D827" s="170" t="n"/>
      <c r="E827" s="106" t="n"/>
      <c r="F827" s="105" t="n"/>
      <c r="G827" s="171">
        <f>IF(J827="","",HYPERLINK("#Transaksi!B"&amp;J827,"Kas"))</f>
        <v/>
      </c>
      <c r="H827" s="172" t="n"/>
      <c r="I827" s="172" t="n"/>
      <c r="J827" s="119" t="n"/>
    </row>
    <row r="828">
      <c r="A828" s="119" t="n"/>
      <c r="B828" s="105" t="n"/>
      <c r="C828" s="105" t="n"/>
      <c r="D828" s="170" t="n"/>
      <c r="E828" s="106" t="n"/>
      <c r="F828" s="105" t="n"/>
      <c r="G828" s="171">
        <f>IF(J828="","",HYPERLINK("#Transaksi!B"&amp;J828,"Kas"))</f>
        <v/>
      </c>
      <c r="H828" s="172" t="n"/>
      <c r="I828" s="172" t="n"/>
      <c r="J828" s="119" t="n"/>
    </row>
    <row r="829">
      <c r="A829" s="119" t="n"/>
      <c r="B829" s="105" t="n"/>
      <c r="C829" s="105" t="n"/>
      <c r="D829" s="170" t="n"/>
      <c r="E829" s="106" t="n"/>
      <c r="F829" s="105" t="n"/>
      <c r="G829" s="171">
        <f>IF(J829="","",HYPERLINK("#Transaksi!B"&amp;J829,"Kas"))</f>
        <v/>
      </c>
      <c r="H829" s="172" t="n"/>
      <c r="I829" s="172" t="n"/>
      <c r="J829" s="119" t="n"/>
    </row>
    <row r="830">
      <c r="A830" s="119" t="n"/>
      <c r="B830" s="105" t="n"/>
      <c r="C830" s="105" t="n"/>
      <c r="D830" s="170" t="n"/>
      <c r="E830" s="106" t="n"/>
      <c r="F830" s="105" t="n"/>
      <c r="G830" s="171">
        <f>IF(J830="","",HYPERLINK("#Transaksi!B"&amp;J830,"Kas"))</f>
        <v/>
      </c>
      <c r="H830" s="172" t="n"/>
      <c r="I830" s="172" t="n"/>
      <c r="J830" s="119" t="n"/>
    </row>
    <row r="831">
      <c r="A831" s="119" t="n"/>
      <c r="B831" s="105" t="n"/>
      <c r="C831" s="105" t="n"/>
      <c r="D831" s="170" t="n"/>
      <c r="E831" s="106" t="n"/>
      <c r="F831" s="105" t="n"/>
      <c r="G831" s="171">
        <f>IF(J831="","",HYPERLINK("#Transaksi!B"&amp;J831,"Kas"))</f>
        <v/>
      </c>
      <c r="H831" s="172" t="n"/>
      <c r="I831" s="172" t="n"/>
      <c r="J831" s="119" t="n"/>
    </row>
    <row r="832">
      <c r="A832" s="119" t="n"/>
      <c r="B832" s="105" t="n"/>
      <c r="C832" s="105" t="n"/>
      <c r="D832" s="170" t="n"/>
      <c r="E832" s="106" t="n"/>
      <c r="F832" s="105" t="n"/>
      <c r="G832" s="171">
        <f>IF(J832="","",HYPERLINK("#Transaksi!B"&amp;J832,"Kas"))</f>
        <v/>
      </c>
      <c r="H832" s="172" t="n"/>
      <c r="I832" s="172" t="n"/>
      <c r="J832" s="119" t="n"/>
    </row>
    <row r="833">
      <c r="A833" s="119" t="n"/>
      <c r="B833" s="105" t="n"/>
      <c r="C833" s="105" t="n"/>
      <c r="D833" s="170" t="n"/>
      <c r="E833" s="106" t="n"/>
      <c r="F833" s="105" t="n"/>
      <c r="G833" s="171">
        <f>IF(J833="","",HYPERLINK("#Transaksi!B"&amp;J833,"Kas"))</f>
        <v/>
      </c>
      <c r="H833" s="172" t="n"/>
      <c r="I833" s="172" t="n"/>
      <c r="J833" s="119" t="n"/>
    </row>
    <row r="834">
      <c r="A834" s="119" t="n"/>
      <c r="B834" s="105" t="n"/>
      <c r="C834" s="105" t="n"/>
      <c r="D834" s="170" t="n"/>
      <c r="E834" s="106" t="n"/>
      <c r="F834" s="105" t="n"/>
      <c r="G834" s="171">
        <f>IF(J834="","",HYPERLINK("#Transaksi!B"&amp;J834,"Kas"))</f>
        <v/>
      </c>
      <c r="H834" s="172" t="n"/>
      <c r="I834" s="172" t="n"/>
      <c r="J834" s="119" t="n"/>
    </row>
    <row r="835">
      <c r="A835" s="119" t="n"/>
      <c r="B835" s="105" t="n"/>
      <c r="C835" s="105" t="n"/>
      <c r="D835" s="170" t="n"/>
      <c r="E835" s="106" t="n"/>
      <c r="F835" s="105" t="n"/>
      <c r="G835" s="171">
        <f>IF(J835="","",HYPERLINK("#Transaksi!B"&amp;J835,"Kas"))</f>
        <v/>
      </c>
      <c r="H835" s="172" t="n"/>
      <c r="I835" s="172" t="n"/>
      <c r="J835" s="119" t="n"/>
    </row>
    <row r="836">
      <c r="A836" s="119" t="n"/>
      <c r="B836" s="105" t="n"/>
      <c r="C836" s="105" t="n"/>
      <c r="D836" s="170" t="n"/>
      <c r="E836" s="106" t="n"/>
      <c r="F836" s="105" t="n"/>
      <c r="G836" s="171">
        <f>IF(J836="","",HYPERLINK("#Transaksi!B"&amp;J836,"Kas"))</f>
        <v/>
      </c>
      <c r="H836" s="172" t="n"/>
      <c r="I836" s="172" t="n"/>
      <c r="J836" s="119" t="n"/>
    </row>
    <row r="837">
      <c r="A837" s="119" t="n"/>
      <c r="B837" s="105" t="n"/>
      <c r="C837" s="105" t="n"/>
      <c r="D837" s="170" t="n"/>
      <c r="E837" s="106" t="n"/>
      <c r="F837" s="105" t="n"/>
      <c r="G837" s="171">
        <f>IF(J837="","",HYPERLINK("#Transaksi!B"&amp;J837,"Kas"))</f>
        <v/>
      </c>
      <c r="H837" s="172" t="n"/>
      <c r="I837" s="172" t="n"/>
      <c r="J837" s="119" t="n"/>
    </row>
    <row r="838">
      <c r="A838" s="119" t="n"/>
      <c r="B838" s="105" t="n"/>
      <c r="C838" s="105" t="n"/>
      <c r="D838" s="170" t="n"/>
      <c r="E838" s="106" t="n"/>
      <c r="F838" s="105" t="n"/>
      <c r="G838" s="171">
        <f>IF(J838="","",HYPERLINK("#Transaksi!B"&amp;J838,"Kas"))</f>
        <v/>
      </c>
      <c r="H838" s="172" t="n"/>
      <c r="I838" s="172" t="n"/>
      <c r="J838" s="119" t="n"/>
    </row>
    <row r="839">
      <c r="A839" s="119" t="n"/>
      <c r="B839" s="105" t="n"/>
      <c r="C839" s="105" t="n"/>
      <c r="D839" s="170" t="n"/>
      <c r="E839" s="106" t="n"/>
      <c r="F839" s="105" t="n"/>
      <c r="G839" s="171">
        <f>IF(J839="","",HYPERLINK("#Transaksi!B"&amp;J839,"Kas"))</f>
        <v/>
      </c>
      <c r="H839" s="172" t="n"/>
      <c r="I839" s="172" t="n"/>
      <c r="J839" s="119" t="n"/>
    </row>
    <row r="840">
      <c r="A840" s="119" t="n"/>
      <c r="B840" s="105" t="n"/>
      <c r="C840" s="105" t="n"/>
      <c r="D840" s="170" t="n"/>
      <c r="E840" s="106" t="n"/>
      <c r="F840" s="105" t="n"/>
      <c r="G840" s="171">
        <f>IF(J840="","",HYPERLINK("#Transaksi!B"&amp;J840,"Kas"))</f>
        <v/>
      </c>
      <c r="H840" s="172" t="n"/>
      <c r="I840" s="172" t="n"/>
      <c r="J840" s="119" t="n"/>
    </row>
    <row r="841">
      <c r="A841" s="119" t="n"/>
      <c r="B841" s="105" t="n"/>
      <c r="C841" s="105" t="n"/>
      <c r="D841" s="170" t="n"/>
      <c r="E841" s="106" t="n"/>
      <c r="F841" s="105" t="n"/>
      <c r="G841" s="171">
        <f>IF(J841="","",HYPERLINK("#Transaksi!B"&amp;J841,"Kas"))</f>
        <v/>
      </c>
      <c r="H841" s="172" t="n"/>
      <c r="I841" s="172" t="n"/>
      <c r="J841" s="119" t="n"/>
    </row>
    <row r="842">
      <c r="A842" s="119" t="n"/>
      <c r="B842" s="105" t="n"/>
      <c r="C842" s="105" t="n"/>
      <c r="D842" s="170" t="n"/>
      <c r="E842" s="106" t="n"/>
      <c r="F842" s="105" t="n"/>
      <c r="G842" s="171">
        <f>IF(J842="","",HYPERLINK("#Transaksi!B"&amp;J842,"Kas"))</f>
        <v/>
      </c>
      <c r="H842" s="172" t="n"/>
      <c r="I842" s="172" t="n"/>
      <c r="J842" s="119" t="n"/>
    </row>
    <row r="843">
      <c r="A843" s="119" t="n"/>
      <c r="B843" s="105" t="n"/>
      <c r="C843" s="105" t="n"/>
      <c r="D843" s="170" t="n"/>
      <c r="E843" s="106" t="n"/>
      <c r="F843" s="105" t="n"/>
      <c r="G843" s="171">
        <f>IF(J843="","",HYPERLINK("#Transaksi!B"&amp;J843,"Kas"))</f>
        <v/>
      </c>
      <c r="H843" s="172" t="n"/>
      <c r="I843" s="172" t="n"/>
      <c r="J843" s="119" t="n"/>
    </row>
    <row r="844">
      <c r="A844" s="119" t="n"/>
      <c r="B844" s="105" t="n"/>
      <c r="C844" s="105" t="n"/>
      <c r="D844" s="170" t="n"/>
      <c r="E844" s="106" t="n"/>
      <c r="F844" s="105" t="n"/>
      <c r="G844" s="171">
        <f>IF(J844="","",HYPERLINK("#Transaksi!B"&amp;J844,"Kas"))</f>
        <v/>
      </c>
      <c r="H844" s="172" t="n"/>
      <c r="I844" s="172" t="n"/>
      <c r="J844" s="119" t="n"/>
    </row>
    <row r="845">
      <c r="A845" s="119" t="n"/>
      <c r="B845" s="105" t="n"/>
      <c r="C845" s="105" t="n"/>
      <c r="D845" s="170" t="n"/>
      <c r="E845" s="106" t="n"/>
      <c r="F845" s="105" t="n"/>
      <c r="G845" s="171">
        <f>IF(J845="","",HYPERLINK("#Transaksi!B"&amp;J845,"Kas"))</f>
        <v/>
      </c>
      <c r="H845" s="172" t="n"/>
      <c r="I845" s="172" t="n"/>
      <c r="J845" s="119" t="n"/>
    </row>
    <row r="846">
      <c r="A846" s="119" t="n"/>
      <c r="B846" s="105" t="n"/>
      <c r="C846" s="105" t="n"/>
      <c r="D846" s="170" t="n"/>
      <c r="E846" s="106" t="n"/>
      <c r="F846" s="105" t="n"/>
      <c r="G846" s="171">
        <f>IF(J846="","",HYPERLINK("#Transaksi!B"&amp;J846,"Kas"))</f>
        <v/>
      </c>
      <c r="H846" s="172" t="n"/>
      <c r="I846" s="172" t="n"/>
      <c r="J846" s="119" t="n"/>
    </row>
    <row r="847">
      <c r="A847" s="119" t="n"/>
      <c r="B847" s="105" t="n"/>
      <c r="C847" s="105" t="n"/>
      <c r="D847" s="170" t="n"/>
      <c r="E847" s="106" t="n"/>
      <c r="F847" s="105" t="n"/>
      <c r="G847" s="171">
        <f>IF(J847="","",HYPERLINK("#Transaksi!B"&amp;J847,"Kas"))</f>
        <v/>
      </c>
      <c r="H847" s="172" t="n"/>
      <c r="I847" s="172" t="n"/>
      <c r="J847" s="119" t="n"/>
    </row>
    <row r="848">
      <c r="A848" s="119" t="n"/>
      <c r="B848" s="105" t="n"/>
      <c r="C848" s="105" t="n"/>
      <c r="D848" s="170" t="n"/>
      <c r="E848" s="106" t="n"/>
      <c r="F848" s="105" t="n"/>
      <c r="G848" s="171">
        <f>IF(J848="","",HYPERLINK("#Transaksi!B"&amp;J848,"Kas"))</f>
        <v/>
      </c>
      <c r="H848" s="172" t="n"/>
      <c r="I848" s="172" t="n"/>
      <c r="J848" s="119" t="n"/>
    </row>
    <row r="849">
      <c r="A849" s="119" t="n"/>
      <c r="B849" s="105" t="n"/>
      <c r="C849" s="105" t="n"/>
      <c r="D849" s="170" t="n"/>
      <c r="E849" s="106" t="n"/>
      <c r="F849" s="105" t="n"/>
      <c r="G849" s="171">
        <f>IF(J849="","",HYPERLINK("#Transaksi!B"&amp;J849,"Kas"))</f>
        <v/>
      </c>
      <c r="H849" s="172" t="n"/>
      <c r="I849" s="172" t="n"/>
      <c r="J849" s="119" t="n"/>
    </row>
    <row r="850">
      <c r="A850" s="119" t="n"/>
      <c r="B850" s="105" t="n"/>
      <c r="C850" s="105" t="n"/>
      <c r="D850" s="170" t="n"/>
      <c r="E850" s="106" t="n"/>
      <c r="F850" s="105" t="n"/>
      <c r="G850" s="171">
        <f>IF(J850="","",HYPERLINK("#Transaksi!B"&amp;J850,"Kas"))</f>
        <v/>
      </c>
      <c r="H850" s="172" t="n"/>
      <c r="I850" s="172" t="n"/>
      <c r="J850" s="119" t="n"/>
    </row>
    <row r="851">
      <c r="A851" s="119" t="n"/>
      <c r="B851" s="105" t="n"/>
      <c r="C851" s="105" t="n"/>
      <c r="D851" s="170" t="n"/>
      <c r="E851" s="106" t="n"/>
      <c r="F851" s="105" t="n"/>
      <c r="G851" s="171">
        <f>IF(J851="","",HYPERLINK("#Transaksi!B"&amp;J851,"Kas"))</f>
        <v/>
      </c>
      <c r="H851" s="172" t="n"/>
      <c r="I851" s="172" t="n"/>
      <c r="J851" s="119" t="n"/>
    </row>
    <row r="852">
      <c r="A852" s="119" t="n"/>
      <c r="B852" s="105" t="n"/>
      <c r="C852" s="105" t="n"/>
      <c r="D852" s="170" t="n"/>
      <c r="E852" s="106" t="n"/>
      <c r="F852" s="105" t="n"/>
      <c r="G852" s="171">
        <f>IF(J852="","",HYPERLINK("#Transaksi!B"&amp;J852,"Kas"))</f>
        <v/>
      </c>
      <c r="H852" s="172" t="n"/>
      <c r="I852" s="172" t="n"/>
      <c r="J852" s="119" t="n"/>
    </row>
    <row r="853">
      <c r="A853" s="119" t="n"/>
      <c r="B853" s="105" t="n"/>
      <c r="C853" s="105" t="n"/>
      <c r="D853" s="170" t="n"/>
      <c r="E853" s="106" t="n"/>
      <c r="F853" s="105" t="n"/>
      <c r="G853" s="171">
        <f>IF(J853="","",HYPERLINK("#Transaksi!B"&amp;J853,"Kas"))</f>
        <v/>
      </c>
      <c r="H853" s="172" t="n"/>
      <c r="I853" s="172" t="n"/>
      <c r="J853" s="119" t="n"/>
    </row>
    <row r="854">
      <c r="A854" s="119" t="n"/>
      <c r="B854" s="105" t="n"/>
      <c r="C854" s="105" t="n"/>
      <c r="D854" s="170" t="n"/>
      <c r="E854" s="106" t="n"/>
      <c r="F854" s="105" t="n"/>
      <c r="G854" s="171">
        <f>IF(J854="","",HYPERLINK("#Transaksi!B"&amp;J854,"Kas"))</f>
        <v/>
      </c>
      <c r="H854" s="172" t="n"/>
      <c r="I854" s="172" t="n"/>
      <c r="J854" s="119" t="n"/>
    </row>
    <row r="855">
      <c r="A855" s="119" t="n"/>
      <c r="B855" s="105" t="n"/>
      <c r="C855" s="105" t="n"/>
      <c r="D855" s="170" t="n"/>
      <c r="E855" s="106" t="n"/>
      <c r="F855" s="105" t="n"/>
      <c r="G855" s="171">
        <f>IF(J855="","",HYPERLINK("#Transaksi!B"&amp;J855,"Kas"))</f>
        <v/>
      </c>
      <c r="H855" s="172" t="n"/>
      <c r="I855" s="172" t="n"/>
      <c r="J855" s="119" t="n"/>
    </row>
    <row r="856">
      <c r="A856" s="119" t="n"/>
      <c r="B856" s="105" t="n"/>
      <c r="C856" s="105" t="n"/>
      <c r="D856" s="170" t="n"/>
      <c r="E856" s="106" t="n"/>
      <c r="F856" s="105" t="n"/>
      <c r="G856" s="171">
        <f>IF(J856="","",HYPERLINK("#Transaksi!B"&amp;J856,"Kas"))</f>
        <v/>
      </c>
      <c r="H856" s="172" t="n"/>
      <c r="I856" s="172" t="n"/>
      <c r="J856" s="119" t="n"/>
    </row>
    <row r="857">
      <c r="A857" s="119" t="n"/>
      <c r="B857" s="105" t="n"/>
      <c r="C857" s="105" t="n"/>
      <c r="D857" s="170" t="n"/>
      <c r="E857" s="106" t="n"/>
      <c r="F857" s="105" t="n"/>
      <c r="G857" s="171">
        <f>IF(J857="","",HYPERLINK("#Transaksi!B"&amp;J857,"Kas"))</f>
        <v/>
      </c>
      <c r="H857" s="172" t="n"/>
      <c r="I857" s="172" t="n"/>
      <c r="J857" s="119" t="n"/>
    </row>
    <row r="858">
      <c r="A858" s="119" t="n"/>
      <c r="B858" s="105" t="n"/>
      <c r="C858" s="105" t="n"/>
      <c r="D858" s="170" t="n"/>
      <c r="E858" s="106" t="n"/>
      <c r="F858" s="105" t="n"/>
      <c r="G858" s="171">
        <f>IF(J858="","",HYPERLINK("#Transaksi!B"&amp;J858,"Kas"))</f>
        <v/>
      </c>
      <c r="H858" s="172" t="n"/>
      <c r="I858" s="172" t="n"/>
      <c r="J858" s="119" t="n"/>
    </row>
    <row r="859">
      <c r="A859" s="119" t="n"/>
      <c r="B859" s="105" t="n"/>
      <c r="C859" s="105" t="n"/>
      <c r="D859" s="170" t="n"/>
      <c r="E859" s="106" t="n"/>
      <c r="F859" s="105" t="n"/>
      <c r="G859" s="171">
        <f>IF(J859="","",HYPERLINK("#Transaksi!B"&amp;J859,"Kas"))</f>
        <v/>
      </c>
      <c r="H859" s="172" t="n"/>
      <c r="I859" s="172" t="n"/>
      <c r="J859" s="119" t="n"/>
    </row>
    <row r="860">
      <c r="A860" s="119" t="n"/>
      <c r="B860" s="105" t="n"/>
      <c r="C860" s="105" t="n"/>
      <c r="D860" s="170" t="n"/>
      <c r="E860" s="106" t="n"/>
      <c r="F860" s="105" t="n"/>
      <c r="G860" s="171">
        <f>IF(J860="","",HYPERLINK("#Transaksi!B"&amp;J860,"Kas"))</f>
        <v/>
      </c>
      <c r="H860" s="172" t="n"/>
      <c r="I860" s="172" t="n"/>
      <c r="J860" s="119" t="n"/>
    </row>
    <row r="861">
      <c r="A861" s="119" t="n"/>
      <c r="B861" s="105" t="n"/>
      <c r="C861" s="105" t="n"/>
      <c r="D861" s="170" t="n"/>
      <c r="E861" s="106" t="n"/>
      <c r="F861" s="105" t="n"/>
      <c r="G861" s="171">
        <f>IF(J861="","",HYPERLINK("#Transaksi!B"&amp;J861,"Kas"))</f>
        <v/>
      </c>
      <c r="H861" s="172" t="n"/>
      <c r="I861" s="172" t="n"/>
      <c r="J861" s="119" t="n"/>
    </row>
    <row r="862">
      <c r="A862" s="119" t="n"/>
      <c r="B862" s="105" t="n"/>
      <c r="C862" s="105" t="n"/>
      <c r="D862" s="170" t="n"/>
      <c r="E862" s="106" t="n"/>
      <c r="F862" s="105" t="n"/>
      <c r="G862" s="171">
        <f>IF(J862="","",HYPERLINK("#Transaksi!B"&amp;J862,"Kas"))</f>
        <v/>
      </c>
      <c r="H862" s="172" t="n"/>
      <c r="I862" s="172" t="n"/>
      <c r="J862" s="119" t="n"/>
    </row>
    <row r="863">
      <c r="A863" s="119" t="n"/>
      <c r="B863" s="105" t="n"/>
      <c r="C863" s="105" t="n"/>
      <c r="D863" s="170" t="n"/>
      <c r="E863" s="106" t="n"/>
      <c r="F863" s="105" t="n"/>
      <c r="G863" s="171">
        <f>IF(J863="","",HYPERLINK("#Transaksi!B"&amp;J863,"Kas"))</f>
        <v/>
      </c>
      <c r="H863" s="172" t="n"/>
      <c r="I863" s="172" t="n"/>
      <c r="J863" s="119" t="n"/>
    </row>
    <row r="864">
      <c r="A864" s="119" t="n"/>
      <c r="B864" s="105" t="n"/>
      <c r="C864" s="105" t="n"/>
      <c r="D864" s="170" t="n"/>
      <c r="E864" s="106" t="n"/>
      <c r="F864" s="105" t="n"/>
      <c r="G864" s="171">
        <f>IF(J864="","",HYPERLINK("#Transaksi!B"&amp;J864,"Kas"))</f>
        <v/>
      </c>
      <c r="H864" s="172" t="n"/>
      <c r="I864" s="172" t="n"/>
      <c r="J864" s="119" t="n"/>
    </row>
    <row r="865">
      <c r="A865" s="119" t="n"/>
      <c r="B865" s="105" t="n"/>
      <c r="C865" s="105" t="n"/>
      <c r="D865" s="170" t="n"/>
      <c r="E865" s="106" t="n"/>
      <c r="F865" s="105" t="n"/>
      <c r="G865" s="171">
        <f>IF(J865="","",HYPERLINK("#Transaksi!B"&amp;J865,"Kas"))</f>
        <v/>
      </c>
      <c r="H865" s="172" t="n"/>
      <c r="I865" s="172" t="n"/>
      <c r="J865" s="119" t="n"/>
    </row>
    <row r="866">
      <c r="A866" s="119" t="n"/>
      <c r="B866" s="105" t="n"/>
      <c r="C866" s="105" t="n"/>
      <c r="D866" s="170" t="n"/>
      <c r="E866" s="106" t="n"/>
      <c r="F866" s="105" t="n"/>
      <c r="G866" s="171">
        <f>IF(J866="","",HYPERLINK("#Transaksi!B"&amp;J866,"Kas"))</f>
        <v/>
      </c>
      <c r="H866" s="172" t="n"/>
      <c r="I866" s="172" t="n"/>
      <c r="J866" s="119" t="n"/>
    </row>
    <row r="867">
      <c r="A867" s="119" t="n"/>
      <c r="B867" s="105" t="n"/>
      <c r="C867" s="105" t="n"/>
      <c r="D867" s="170" t="n"/>
      <c r="E867" s="106" t="n"/>
      <c r="F867" s="105" t="n"/>
      <c r="G867" s="171">
        <f>IF(J867="","",HYPERLINK("#Transaksi!B"&amp;J867,"Kas"))</f>
        <v/>
      </c>
      <c r="H867" s="172" t="n"/>
      <c r="I867" s="172" t="n"/>
      <c r="J867" s="119" t="n"/>
    </row>
    <row r="868">
      <c r="A868" s="119" t="n"/>
      <c r="B868" s="105" t="n"/>
      <c r="C868" s="105" t="n"/>
      <c r="D868" s="170" t="n"/>
      <c r="E868" s="106" t="n"/>
      <c r="F868" s="105" t="n"/>
      <c r="G868" s="171">
        <f>IF(J868="","",HYPERLINK("#Transaksi!B"&amp;J868,"Kas"))</f>
        <v/>
      </c>
      <c r="H868" s="172" t="n"/>
      <c r="I868" s="172" t="n"/>
      <c r="J868" s="119" t="n"/>
    </row>
    <row r="869">
      <c r="A869" s="119" t="n"/>
      <c r="B869" s="105" t="n"/>
      <c r="C869" s="105" t="n"/>
      <c r="D869" s="170" t="n"/>
      <c r="E869" s="106" t="n"/>
      <c r="F869" s="105" t="n"/>
      <c r="G869" s="171">
        <f>IF(J869="","",HYPERLINK("#Transaksi!B"&amp;J869,"Kas"))</f>
        <v/>
      </c>
      <c r="H869" s="172" t="n"/>
      <c r="I869" s="172" t="n"/>
      <c r="J869" s="119" t="n"/>
    </row>
    <row r="870">
      <c r="A870" s="119" t="n"/>
      <c r="B870" s="105" t="n"/>
      <c r="C870" s="105" t="n"/>
      <c r="D870" s="170" t="n"/>
      <c r="E870" s="106" t="n"/>
      <c r="F870" s="105" t="n"/>
      <c r="G870" s="171">
        <f>IF(J870="","",HYPERLINK("#Transaksi!B"&amp;J870,"Kas"))</f>
        <v/>
      </c>
      <c r="H870" s="172" t="n"/>
      <c r="I870" s="172" t="n"/>
      <c r="J870" s="119" t="n"/>
    </row>
    <row r="871">
      <c r="A871" s="119" t="n"/>
      <c r="B871" s="105" t="n"/>
      <c r="C871" s="105" t="n"/>
      <c r="D871" s="170" t="n"/>
      <c r="E871" s="106" t="n"/>
      <c r="F871" s="105" t="n"/>
      <c r="G871" s="171">
        <f>IF(J871="","",HYPERLINK("#Transaksi!B"&amp;J871,"Kas"))</f>
        <v/>
      </c>
      <c r="H871" s="172" t="n"/>
      <c r="I871" s="172" t="n"/>
      <c r="J871" s="119" t="n"/>
    </row>
    <row r="872">
      <c r="A872" s="119" t="n"/>
      <c r="B872" s="105" t="n"/>
      <c r="C872" s="105" t="n"/>
      <c r="D872" s="170" t="n"/>
      <c r="E872" s="106" t="n"/>
      <c r="F872" s="105" t="n"/>
      <c r="G872" s="171">
        <f>IF(J872="","",HYPERLINK("#Transaksi!B"&amp;J872,"Kas"))</f>
        <v/>
      </c>
      <c r="H872" s="172" t="n"/>
      <c r="I872" s="172" t="n"/>
      <c r="J872" s="119" t="n"/>
    </row>
    <row r="873">
      <c r="A873" s="119" t="n"/>
      <c r="B873" s="105" t="n"/>
      <c r="C873" s="105" t="n"/>
      <c r="D873" s="170" t="n"/>
      <c r="E873" s="106" t="n"/>
      <c r="F873" s="105" t="n"/>
      <c r="G873" s="171">
        <f>IF(J873="","",HYPERLINK("#Transaksi!B"&amp;J873,"Kas"))</f>
        <v/>
      </c>
      <c r="H873" s="172" t="n"/>
      <c r="I873" s="172" t="n"/>
      <c r="J873" s="119" t="n"/>
    </row>
    <row r="874">
      <c r="A874" s="119" t="n"/>
      <c r="B874" s="105" t="n"/>
      <c r="C874" s="105" t="n"/>
      <c r="D874" s="170" t="n"/>
      <c r="E874" s="106" t="n"/>
      <c r="F874" s="105" t="n"/>
      <c r="G874" s="171">
        <f>IF(J874="","",HYPERLINK("#Transaksi!B"&amp;J874,"Kas"))</f>
        <v/>
      </c>
      <c r="H874" s="172" t="n"/>
      <c r="I874" s="172" t="n"/>
      <c r="J874" s="119" t="n"/>
    </row>
    <row r="875">
      <c r="A875" s="119" t="n"/>
      <c r="B875" s="105" t="n"/>
      <c r="C875" s="105" t="n"/>
      <c r="D875" s="170" t="n"/>
      <c r="E875" s="106" t="n"/>
      <c r="F875" s="105" t="n"/>
      <c r="G875" s="171">
        <f>IF(J875="","",HYPERLINK("#Transaksi!B"&amp;J875,"Kas"))</f>
        <v/>
      </c>
      <c r="H875" s="172" t="n"/>
      <c r="I875" s="172" t="n"/>
      <c r="J875" s="119" t="n"/>
    </row>
    <row r="876">
      <c r="A876" s="119" t="n"/>
      <c r="B876" s="105" t="n"/>
      <c r="C876" s="105" t="n"/>
      <c r="D876" s="170" t="n"/>
      <c r="E876" s="106" t="n"/>
      <c r="F876" s="105" t="n"/>
      <c r="G876" s="171">
        <f>IF(J876="","",HYPERLINK("#Transaksi!B"&amp;J876,"Kas"))</f>
        <v/>
      </c>
      <c r="H876" s="172" t="n"/>
      <c r="I876" s="172" t="n"/>
      <c r="J876" s="119" t="n"/>
    </row>
    <row r="877">
      <c r="A877" s="119" t="n"/>
      <c r="B877" s="105" t="n"/>
      <c r="C877" s="105" t="n"/>
      <c r="D877" s="170" t="n"/>
      <c r="E877" s="106" t="n"/>
      <c r="F877" s="105" t="n"/>
      <c r="G877" s="171">
        <f>IF(J877="","",HYPERLINK("#Transaksi!B"&amp;J877,"Kas"))</f>
        <v/>
      </c>
      <c r="H877" s="172" t="n"/>
      <c r="I877" s="172" t="n"/>
      <c r="J877" s="119" t="n"/>
    </row>
    <row r="878">
      <c r="A878" s="119" t="n"/>
      <c r="B878" s="105" t="n"/>
      <c r="C878" s="105" t="n"/>
      <c r="D878" s="170" t="n"/>
      <c r="E878" s="106" t="n"/>
      <c r="F878" s="105" t="n"/>
      <c r="G878" s="171">
        <f>IF(J878="","",HYPERLINK("#Transaksi!B"&amp;J878,"Kas"))</f>
        <v/>
      </c>
      <c r="H878" s="172" t="n"/>
      <c r="I878" s="172" t="n"/>
      <c r="J878" s="119" t="n"/>
    </row>
    <row r="879">
      <c r="A879" s="119" t="n"/>
      <c r="B879" s="105" t="n"/>
      <c r="C879" s="105" t="n"/>
      <c r="D879" s="170" t="n"/>
      <c r="E879" s="106" t="n"/>
      <c r="F879" s="105" t="n"/>
      <c r="G879" s="171">
        <f>IF(J879="","",HYPERLINK("#Transaksi!B"&amp;J879,"Kas"))</f>
        <v/>
      </c>
      <c r="H879" s="172" t="n"/>
      <c r="I879" s="172" t="n"/>
      <c r="J879" s="119" t="n"/>
    </row>
    <row r="880">
      <c r="A880" s="119" t="n"/>
      <c r="B880" s="105" t="n"/>
      <c r="C880" s="105" t="n"/>
      <c r="D880" s="170" t="n"/>
      <c r="E880" s="106" t="n"/>
      <c r="F880" s="105" t="n"/>
      <c r="G880" s="171">
        <f>IF(J880="","",HYPERLINK("#Transaksi!B"&amp;J880,"Kas"))</f>
        <v/>
      </c>
      <c r="H880" s="172" t="n"/>
      <c r="I880" s="172" t="n"/>
      <c r="J880" s="119" t="n"/>
    </row>
    <row r="881">
      <c r="A881" s="119" t="n"/>
      <c r="B881" s="105" t="n"/>
      <c r="C881" s="105" t="n"/>
      <c r="D881" s="170" t="n"/>
      <c r="E881" s="106" t="n"/>
      <c r="F881" s="105" t="n"/>
      <c r="G881" s="171">
        <f>IF(J881="","",HYPERLINK("#Transaksi!B"&amp;J881,"Kas"))</f>
        <v/>
      </c>
      <c r="H881" s="172" t="n"/>
      <c r="I881" s="172" t="n"/>
      <c r="J881" s="119" t="n"/>
    </row>
    <row r="882">
      <c r="A882" s="119" t="n"/>
      <c r="B882" s="105" t="n"/>
      <c r="C882" s="105" t="n"/>
      <c r="D882" s="170" t="n"/>
      <c r="E882" s="106" t="n"/>
      <c r="F882" s="105" t="n"/>
      <c r="G882" s="171">
        <f>IF(J882="","",HYPERLINK("#Transaksi!B"&amp;J882,"Kas"))</f>
        <v/>
      </c>
      <c r="H882" s="172" t="n"/>
      <c r="I882" s="172" t="n"/>
      <c r="J882" s="119" t="n"/>
    </row>
    <row r="883">
      <c r="A883" s="119" t="n"/>
      <c r="B883" s="105" t="n"/>
      <c r="C883" s="105" t="n"/>
      <c r="D883" s="170" t="n"/>
      <c r="E883" s="106" t="n"/>
      <c r="F883" s="105" t="n"/>
      <c r="G883" s="171">
        <f>IF(J883="","",HYPERLINK("#Transaksi!B"&amp;J883,"Kas"))</f>
        <v/>
      </c>
      <c r="H883" s="172" t="n"/>
      <c r="I883" s="172" t="n"/>
      <c r="J883" s="119" t="n"/>
    </row>
    <row r="884">
      <c r="A884" s="119" t="n"/>
      <c r="B884" s="105" t="n"/>
      <c r="C884" s="105" t="n"/>
      <c r="D884" s="170" t="n"/>
      <c r="E884" s="106" t="n"/>
      <c r="F884" s="105" t="n"/>
      <c r="G884" s="171">
        <f>IF(J884="","",HYPERLINK("#Transaksi!B"&amp;J884,"Kas"))</f>
        <v/>
      </c>
      <c r="H884" s="172" t="n"/>
      <c r="I884" s="172" t="n"/>
      <c r="J884" s="119" t="n"/>
    </row>
    <row r="885">
      <c r="A885" s="119" t="n"/>
      <c r="B885" s="105" t="n"/>
      <c r="C885" s="105" t="n"/>
      <c r="D885" s="170" t="n"/>
      <c r="E885" s="106" t="n"/>
      <c r="F885" s="105" t="n"/>
      <c r="G885" s="171">
        <f>IF(J885="","",HYPERLINK("#Transaksi!B"&amp;J885,"Kas"))</f>
        <v/>
      </c>
      <c r="H885" s="172" t="n"/>
      <c r="I885" s="172" t="n"/>
      <c r="J885" s="119" t="n"/>
    </row>
    <row r="886">
      <c r="A886" s="119" t="n"/>
      <c r="B886" s="105" t="n"/>
      <c r="C886" s="105" t="n"/>
      <c r="D886" s="170" t="n"/>
      <c r="E886" s="106" t="n"/>
      <c r="F886" s="105" t="n"/>
      <c r="G886" s="171">
        <f>IF(J886="","",HYPERLINK("#Transaksi!B"&amp;J886,"Kas"))</f>
        <v/>
      </c>
      <c r="H886" s="172" t="n"/>
      <c r="I886" s="172" t="n"/>
      <c r="J886" s="119" t="n"/>
    </row>
    <row r="887">
      <c r="A887" s="119" t="n"/>
      <c r="B887" s="105" t="n"/>
      <c r="C887" s="105" t="n"/>
      <c r="D887" s="170" t="n"/>
      <c r="E887" s="106" t="n"/>
      <c r="F887" s="105" t="n"/>
      <c r="G887" s="171">
        <f>IF(J887="","",HYPERLINK("#Transaksi!B"&amp;J887,"Kas"))</f>
        <v/>
      </c>
      <c r="H887" s="172" t="n"/>
      <c r="I887" s="172" t="n"/>
      <c r="J887" s="119" t="n"/>
    </row>
    <row r="888">
      <c r="A888" s="119" t="n"/>
      <c r="B888" s="105" t="n"/>
      <c r="C888" s="105" t="n"/>
      <c r="D888" s="170" t="n"/>
      <c r="E888" s="106" t="n"/>
      <c r="F888" s="105" t="n"/>
      <c r="G888" s="171">
        <f>IF(J888="","",HYPERLINK("#Transaksi!B"&amp;J888,"Kas"))</f>
        <v/>
      </c>
      <c r="H888" s="172" t="n"/>
      <c r="I888" s="172" t="n"/>
      <c r="J888" s="119" t="n"/>
    </row>
    <row r="889">
      <c r="A889" s="119" t="n"/>
      <c r="B889" s="105" t="n"/>
      <c r="C889" s="105" t="n"/>
      <c r="D889" s="170" t="n"/>
      <c r="E889" s="106" t="n"/>
      <c r="F889" s="105" t="n"/>
      <c r="G889" s="171">
        <f>IF(J889="","",HYPERLINK("#Transaksi!B"&amp;J889,"Kas"))</f>
        <v/>
      </c>
      <c r="H889" s="172" t="n"/>
      <c r="I889" s="172" t="n"/>
      <c r="J889" s="119" t="n"/>
    </row>
    <row r="890">
      <c r="A890" s="119" t="n"/>
      <c r="B890" s="105" t="n"/>
      <c r="C890" s="105" t="n"/>
      <c r="D890" s="170" t="n"/>
      <c r="E890" s="106" t="n"/>
      <c r="F890" s="105" t="n"/>
      <c r="G890" s="171">
        <f>IF(J890="","",HYPERLINK("#Transaksi!B"&amp;J890,"Kas"))</f>
        <v/>
      </c>
      <c r="H890" s="172" t="n"/>
      <c r="I890" s="172" t="n"/>
      <c r="J890" s="119" t="n"/>
    </row>
    <row r="891">
      <c r="A891" s="119" t="n"/>
      <c r="B891" s="105" t="n"/>
      <c r="C891" s="105" t="n"/>
      <c r="D891" s="170" t="n"/>
      <c r="E891" s="106" t="n"/>
      <c r="F891" s="105" t="n"/>
      <c r="G891" s="171">
        <f>IF(J891="","",HYPERLINK("#Transaksi!B"&amp;J891,"Kas"))</f>
        <v/>
      </c>
      <c r="H891" s="172" t="n"/>
      <c r="I891" s="172" t="n"/>
      <c r="J891" s="119" t="n"/>
    </row>
    <row r="892">
      <c r="A892" s="119" t="n"/>
      <c r="B892" s="105" t="n"/>
      <c r="C892" s="105" t="n"/>
      <c r="D892" s="170" t="n"/>
      <c r="E892" s="106" t="n"/>
      <c r="F892" s="105" t="n"/>
      <c r="G892" s="171">
        <f>IF(J892="","",HYPERLINK("#Transaksi!B"&amp;J892,"Kas"))</f>
        <v/>
      </c>
      <c r="H892" s="172" t="n"/>
      <c r="I892" s="172" t="n"/>
      <c r="J892" s="119" t="n"/>
    </row>
    <row r="893">
      <c r="A893" s="119" t="n"/>
      <c r="B893" s="105" t="n"/>
      <c r="C893" s="105" t="n"/>
      <c r="D893" s="170" t="n"/>
      <c r="E893" s="106" t="n"/>
      <c r="F893" s="105" t="n"/>
      <c r="G893" s="171">
        <f>IF(J893="","",HYPERLINK("#Transaksi!B"&amp;J893,"Kas"))</f>
        <v/>
      </c>
      <c r="H893" s="172" t="n"/>
      <c r="I893" s="172" t="n"/>
      <c r="J893" s="119" t="n"/>
    </row>
    <row r="894">
      <c r="A894" s="119" t="n"/>
      <c r="B894" s="105" t="n"/>
      <c r="C894" s="105" t="n"/>
      <c r="D894" s="170" t="n"/>
      <c r="E894" s="106" t="n"/>
      <c r="F894" s="105" t="n"/>
      <c r="G894" s="171">
        <f>IF(J894="","",HYPERLINK("#Transaksi!B"&amp;J894,"Kas"))</f>
        <v/>
      </c>
      <c r="H894" s="172" t="n"/>
      <c r="I894" s="172" t="n"/>
      <c r="J894" s="119" t="n"/>
    </row>
    <row r="895">
      <c r="A895" s="119" t="n"/>
      <c r="B895" s="105" t="n"/>
      <c r="C895" s="105" t="n"/>
      <c r="D895" s="170" t="n"/>
      <c r="E895" s="106" t="n"/>
      <c r="F895" s="105" t="n"/>
      <c r="G895" s="171">
        <f>IF(J895="","",HYPERLINK("#Transaksi!B"&amp;J895,"Kas"))</f>
        <v/>
      </c>
      <c r="H895" s="172" t="n"/>
      <c r="I895" s="172" t="n"/>
      <c r="J895" s="119" t="n"/>
    </row>
    <row r="896">
      <c r="A896" s="119" t="n"/>
      <c r="B896" s="105" t="n"/>
      <c r="C896" s="105" t="n"/>
      <c r="D896" s="170" t="n"/>
      <c r="E896" s="106" t="n"/>
      <c r="F896" s="105" t="n"/>
      <c r="G896" s="171">
        <f>IF(J896="","",HYPERLINK("#Transaksi!B"&amp;J896,"Kas"))</f>
        <v/>
      </c>
      <c r="H896" s="172" t="n"/>
      <c r="I896" s="172" t="n"/>
      <c r="J896" s="119" t="n"/>
    </row>
    <row r="897">
      <c r="A897" s="119" t="n"/>
      <c r="B897" s="105" t="n"/>
      <c r="C897" s="105" t="n"/>
      <c r="D897" s="170" t="n"/>
      <c r="E897" s="106" t="n"/>
      <c r="F897" s="105" t="n"/>
      <c r="G897" s="171">
        <f>IF(J897="","",HYPERLINK("#Transaksi!B"&amp;J897,"Kas"))</f>
        <v/>
      </c>
      <c r="H897" s="172" t="n"/>
      <c r="I897" s="172" t="n"/>
      <c r="J897" s="119" t="n"/>
    </row>
    <row r="898">
      <c r="A898" s="119" t="n"/>
      <c r="B898" s="105" t="n"/>
      <c r="C898" s="105" t="n"/>
      <c r="D898" s="170" t="n"/>
      <c r="E898" s="106" t="n"/>
      <c r="F898" s="105" t="n"/>
      <c r="G898" s="171">
        <f>IF(J898="","",HYPERLINK("#Transaksi!B"&amp;J898,"Kas"))</f>
        <v/>
      </c>
      <c r="H898" s="172" t="n"/>
      <c r="I898" s="172" t="n"/>
      <c r="J898" s="119" t="n"/>
    </row>
    <row r="899">
      <c r="A899" s="119" t="n"/>
      <c r="B899" s="105" t="n"/>
      <c r="C899" s="105" t="n"/>
      <c r="D899" s="170" t="n"/>
      <c r="E899" s="106" t="n"/>
      <c r="F899" s="105" t="n"/>
      <c r="G899" s="171">
        <f>IF(J899="","",HYPERLINK("#Transaksi!B"&amp;J899,"Kas"))</f>
        <v/>
      </c>
      <c r="H899" s="172" t="n"/>
      <c r="I899" s="172" t="n"/>
      <c r="J899" s="119" t="n"/>
    </row>
    <row r="900">
      <c r="A900" s="119" t="n"/>
      <c r="B900" s="105" t="n"/>
      <c r="C900" s="105" t="n"/>
      <c r="D900" s="170" t="n"/>
      <c r="E900" s="106" t="n"/>
      <c r="F900" s="105" t="n"/>
      <c r="G900" s="171">
        <f>IF(J900="","",HYPERLINK("#Transaksi!B"&amp;J900,"Kas"))</f>
        <v/>
      </c>
      <c r="H900" s="172" t="n"/>
      <c r="I900" s="172" t="n"/>
      <c r="J900" s="119" t="n"/>
    </row>
    <row r="901">
      <c r="A901" s="119" t="n"/>
      <c r="B901" s="105" t="n"/>
      <c r="C901" s="105" t="n"/>
      <c r="D901" s="170" t="n"/>
      <c r="E901" s="106" t="n"/>
      <c r="F901" s="105" t="n"/>
      <c r="G901" s="171">
        <f>IF(J901="","",HYPERLINK("#Transaksi!B"&amp;J901,"Kas"))</f>
        <v/>
      </c>
      <c r="H901" s="172" t="n"/>
      <c r="I901" s="172" t="n"/>
      <c r="J901" s="119" t="n"/>
    </row>
    <row r="902">
      <c r="A902" s="119" t="n"/>
      <c r="B902" s="105" t="n"/>
      <c r="C902" s="105" t="n"/>
      <c r="D902" s="170" t="n"/>
      <c r="E902" s="106" t="n"/>
      <c r="F902" s="105" t="n"/>
      <c r="G902" s="171">
        <f>IF(J902="","",HYPERLINK("#Transaksi!B"&amp;J902,"Kas"))</f>
        <v/>
      </c>
      <c r="H902" s="172" t="n"/>
      <c r="I902" s="172" t="n"/>
      <c r="J902" s="119" t="n"/>
    </row>
    <row r="903">
      <c r="A903" s="119" t="n"/>
      <c r="B903" s="105" t="n"/>
      <c r="C903" s="105" t="n"/>
      <c r="D903" s="170" t="n"/>
      <c r="E903" s="106" t="n"/>
      <c r="F903" s="105" t="n"/>
      <c r="G903" s="171">
        <f>IF(J903="","",HYPERLINK("#Transaksi!B"&amp;J903,"Kas"))</f>
        <v/>
      </c>
      <c r="H903" s="172" t="n"/>
      <c r="I903" s="172" t="n"/>
      <c r="J903" s="119" t="n"/>
    </row>
    <row r="904">
      <c r="A904" s="119" t="n"/>
      <c r="B904" s="105" t="n"/>
      <c r="C904" s="105" t="n"/>
      <c r="D904" s="170" t="n"/>
      <c r="E904" s="106" t="n"/>
      <c r="F904" s="105" t="n"/>
      <c r="G904" s="171">
        <f>IF(J904="","",HYPERLINK("#Transaksi!B"&amp;J904,"Kas"))</f>
        <v/>
      </c>
      <c r="H904" s="172" t="n"/>
      <c r="I904" s="172" t="n"/>
      <c r="J904" s="119" t="n"/>
    </row>
    <row r="905">
      <c r="A905" s="119" t="n"/>
      <c r="B905" s="105" t="n"/>
      <c r="C905" s="105" t="n"/>
      <c r="D905" s="170" t="n"/>
      <c r="E905" s="106" t="n"/>
      <c r="F905" s="105" t="n"/>
      <c r="G905" s="171">
        <f>IF(J905="","",HYPERLINK("#Transaksi!B"&amp;J905,"Kas"))</f>
        <v/>
      </c>
      <c r="H905" s="172" t="n"/>
      <c r="I905" s="172" t="n"/>
      <c r="J905" s="119" t="n"/>
    </row>
    <row r="906">
      <c r="A906" s="119" t="n"/>
      <c r="B906" s="105" t="n"/>
      <c r="C906" s="105" t="n"/>
      <c r="D906" s="170" t="n"/>
      <c r="E906" s="106" t="n"/>
      <c r="F906" s="105" t="n"/>
      <c r="G906" s="171">
        <f>IF(J906="","",HYPERLINK("#Transaksi!B"&amp;J906,"Kas"))</f>
        <v/>
      </c>
      <c r="H906" s="172" t="n"/>
      <c r="I906" s="172" t="n"/>
      <c r="J906" s="119" t="n"/>
    </row>
    <row r="907">
      <c r="A907" s="119" t="n"/>
      <c r="B907" s="105" t="n"/>
      <c r="C907" s="105" t="n"/>
      <c r="D907" s="170" t="n"/>
      <c r="E907" s="106" t="n"/>
      <c r="F907" s="105" t="n"/>
      <c r="G907" s="171">
        <f>IF(J907="","",HYPERLINK("#Transaksi!B"&amp;J907,"Kas"))</f>
        <v/>
      </c>
      <c r="H907" s="172" t="n"/>
      <c r="I907" s="172" t="n"/>
      <c r="J907" s="119" t="n"/>
    </row>
    <row r="908">
      <c r="A908" s="119" t="n"/>
      <c r="B908" s="105" t="n"/>
      <c r="C908" s="105" t="n"/>
      <c r="D908" s="170" t="n"/>
      <c r="E908" s="106" t="n"/>
      <c r="F908" s="105" t="n"/>
      <c r="G908" s="171">
        <f>IF(J908="","",HYPERLINK("#Transaksi!B"&amp;J908,"Kas"))</f>
        <v/>
      </c>
      <c r="H908" s="172" t="n"/>
      <c r="I908" s="172" t="n"/>
      <c r="J908" s="119" t="n"/>
    </row>
    <row r="909">
      <c r="A909" s="119" t="n"/>
      <c r="B909" s="105" t="n"/>
      <c r="C909" s="105" t="n"/>
      <c r="D909" s="170" t="n"/>
      <c r="E909" s="106" t="n"/>
      <c r="F909" s="105" t="n"/>
      <c r="G909" s="171">
        <f>IF(J909="","",HYPERLINK("#Transaksi!B"&amp;J909,"Kas"))</f>
        <v/>
      </c>
      <c r="H909" s="172" t="n"/>
      <c r="I909" s="172" t="n"/>
      <c r="J909" s="119" t="n"/>
    </row>
    <row r="910">
      <c r="A910" s="119" t="n"/>
      <c r="B910" s="105" t="n"/>
      <c r="C910" s="105" t="n"/>
      <c r="D910" s="170" t="n"/>
      <c r="E910" s="106" t="n"/>
      <c r="F910" s="105" t="n"/>
      <c r="G910" s="171">
        <f>IF(J910="","",HYPERLINK("#Transaksi!B"&amp;J910,"Kas"))</f>
        <v/>
      </c>
      <c r="H910" s="172" t="n"/>
      <c r="I910" s="172" t="n"/>
      <c r="J910" s="119" t="n"/>
    </row>
    <row r="911">
      <c r="A911" s="119" t="n"/>
      <c r="B911" s="105" t="n"/>
      <c r="C911" s="105" t="n"/>
      <c r="D911" s="170" t="n"/>
      <c r="E911" s="106" t="n"/>
      <c r="F911" s="105" t="n"/>
      <c r="G911" s="171">
        <f>IF(J911="","",HYPERLINK("#Transaksi!B"&amp;J911,"Kas"))</f>
        <v/>
      </c>
      <c r="H911" s="172" t="n"/>
      <c r="I911" s="172" t="n"/>
      <c r="J911" s="119" t="n"/>
    </row>
    <row r="912">
      <c r="A912" s="119" t="n"/>
      <c r="B912" s="105" t="n"/>
      <c r="C912" s="105" t="n"/>
      <c r="D912" s="170" t="n"/>
      <c r="E912" s="106" t="n"/>
      <c r="F912" s="105" t="n"/>
      <c r="G912" s="171">
        <f>IF(J912="","",HYPERLINK("#Transaksi!B"&amp;J912,"Kas"))</f>
        <v/>
      </c>
      <c r="H912" s="172" t="n"/>
      <c r="I912" s="172" t="n"/>
      <c r="J912" s="119" t="n"/>
    </row>
    <row r="913">
      <c r="A913" s="119" t="n"/>
      <c r="B913" s="105" t="n"/>
      <c r="C913" s="105" t="n"/>
      <c r="D913" s="170" t="n"/>
      <c r="E913" s="106" t="n"/>
      <c r="F913" s="105" t="n"/>
      <c r="G913" s="171">
        <f>IF(J913="","",HYPERLINK("#Transaksi!B"&amp;J913,"Kas"))</f>
        <v/>
      </c>
      <c r="H913" s="172" t="n"/>
      <c r="I913" s="172" t="n"/>
      <c r="J913" s="119" t="n"/>
    </row>
    <row r="914">
      <c r="A914" s="119" t="n"/>
      <c r="B914" s="105" t="n"/>
      <c r="C914" s="105" t="n"/>
      <c r="D914" s="170" t="n"/>
      <c r="E914" s="106" t="n"/>
      <c r="F914" s="105" t="n"/>
      <c r="G914" s="171">
        <f>IF(J914="","",HYPERLINK("#Transaksi!B"&amp;J914,"Kas"))</f>
        <v/>
      </c>
      <c r="H914" s="172" t="n"/>
      <c r="I914" s="172" t="n"/>
      <c r="J914" s="119" t="n"/>
    </row>
    <row r="915">
      <c r="A915" s="119" t="n"/>
      <c r="B915" s="105" t="n"/>
      <c r="C915" s="105" t="n"/>
      <c r="D915" s="170" t="n"/>
      <c r="E915" s="106" t="n"/>
      <c r="F915" s="105" t="n"/>
      <c r="G915" s="171">
        <f>IF(J915="","",HYPERLINK("#Transaksi!B"&amp;J915,"Kas"))</f>
        <v/>
      </c>
      <c r="H915" s="172" t="n"/>
      <c r="I915" s="172" t="n"/>
      <c r="J915" s="119" t="n"/>
    </row>
    <row r="916">
      <c r="A916" s="119" t="n"/>
      <c r="B916" s="105" t="n"/>
      <c r="C916" s="105" t="n"/>
      <c r="D916" s="170" t="n"/>
      <c r="E916" s="106" t="n"/>
      <c r="F916" s="105" t="n"/>
      <c r="G916" s="171">
        <f>IF(J916="","",HYPERLINK("#Transaksi!B"&amp;J916,"Kas"))</f>
        <v/>
      </c>
      <c r="H916" s="172" t="n"/>
      <c r="I916" s="172" t="n"/>
      <c r="J916" s="119" t="n"/>
    </row>
    <row r="917">
      <c r="A917" s="119" t="n"/>
      <c r="B917" s="105" t="n"/>
      <c r="C917" s="105" t="n"/>
      <c r="D917" s="170" t="n"/>
      <c r="E917" s="106" t="n"/>
      <c r="F917" s="105" t="n"/>
      <c r="G917" s="171">
        <f>IF(J917="","",HYPERLINK("#Transaksi!B"&amp;J917,"Kas"))</f>
        <v/>
      </c>
      <c r="H917" s="172" t="n"/>
      <c r="I917" s="172" t="n"/>
      <c r="J917" s="119" t="n"/>
    </row>
    <row r="918">
      <c r="A918" s="119" t="n"/>
      <c r="B918" s="105" t="n"/>
      <c r="C918" s="105" t="n"/>
      <c r="D918" s="170" t="n"/>
      <c r="E918" s="106" t="n"/>
      <c r="F918" s="105" t="n"/>
      <c r="G918" s="171">
        <f>IF(J918="","",HYPERLINK("#Transaksi!B"&amp;J918,"Kas"))</f>
        <v/>
      </c>
      <c r="H918" s="172" t="n"/>
      <c r="I918" s="172" t="n"/>
      <c r="J918" s="119" t="n"/>
    </row>
    <row r="919">
      <c r="A919" s="119" t="n"/>
      <c r="B919" s="105" t="n"/>
      <c r="C919" s="105" t="n"/>
      <c r="D919" s="170" t="n"/>
      <c r="E919" s="106" t="n"/>
      <c r="F919" s="105" t="n"/>
      <c r="G919" s="171">
        <f>IF(J919="","",HYPERLINK("#Transaksi!B"&amp;J919,"Kas"))</f>
        <v/>
      </c>
      <c r="H919" s="172" t="n"/>
      <c r="I919" s="172" t="n"/>
      <c r="J919" s="119" t="n"/>
    </row>
    <row r="920">
      <c r="A920" s="119" t="n"/>
      <c r="B920" s="105" t="n"/>
      <c r="C920" s="105" t="n"/>
      <c r="D920" s="170" t="n"/>
      <c r="E920" s="106" t="n"/>
      <c r="F920" s="105" t="n"/>
      <c r="G920" s="171">
        <f>IF(J920="","",HYPERLINK("#Transaksi!B"&amp;J920,"Kas"))</f>
        <v/>
      </c>
      <c r="H920" s="172" t="n"/>
      <c r="I920" s="172" t="n"/>
      <c r="J920" s="119" t="n"/>
    </row>
    <row r="921">
      <c r="A921" s="119" t="n"/>
      <c r="B921" s="105" t="n"/>
      <c r="C921" s="105" t="n"/>
      <c r="D921" s="170" t="n"/>
      <c r="E921" s="106" t="n"/>
      <c r="F921" s="105" t="n"/>
      <c r="G921" s="171">
        <f>IF(J921="","",HYPERLINK("#Transaksi!B"&amp;J921,"Kas"))</f>
        <v/>
      </c>
      <c r="H921" s="172" t="n"/>
      <c r="I921" s="172" t="n"/>
      <c r="J921" s="119" t="n"/>
    </row>
    <row r="922">
      <c r="A922" s="119" t="n"/>
      <c r="B922" s="105" t="n"/>
      <c r="C922" s="105" t="n"/>
      <c r="D922" s="170" t="n"/>
      <c r="E922" s="106" t="n"/>
      <c r="F922" s="105" t="n"/>
      <c r="G922" s="171">
        <f>IF(J922="","",HYPERLINK("#Transaksi!B"&amp;J922,"Kas"))</f>
        <v/>
      </c>
      <c r="H922" s="172" t="n"/>
      <c r="I922" s="172" t="n"/>
      <c r="J922" s="119" t="n"/>
    </row>
    <row r="923">
      <c r="A923" s="119" t="n"/>
      <c r="B923" s="105" t="n"/>
      <c r="C923" s="105" t="n"/>
      <c r="D923" s="170" t="n"/>
      <c r="E923" s="106" t="n"/>
      <c r="F923" s="105" t="n"/>
      <c r="G923" s="171">
        <f>IF(J923="","",HYPERLINK("#Transaksi!B"&amp;J923,"Kas"))</f>
        <v/>
      </c>
      <c r="H923" s="172" t="n"/>
      <c r="I923" s="172" t="n"/>
      <c r="J923" s="119" t="n"/>
    </row>
    <row r="924">
      <c r="A924" s="119" t="n"/>
      <c r="B924" s="105" t="n"/>
      <c r="C924" s="105" t="n"/>
      <c r="D924" s="170" t="n"/>
      <c r="E924" s="106" t="n"/>
      <c r="F924" s="105" t="n"/>
      <c r="G924" s="171">
        <f>IF(J924="","",HYPERLINK("#Transaksi!B"&amp;J924,"Kas"))</f>
        <v/>
      </c>
      <c r="H924" s="172" t="n"/>
      <c r="I924" s="172" t="n"/>
      <c r="J924" s="119" t="n"/>
    </row>
    <row r="925">
      <c r="A925" s="119" t="n"/>
      <c r="B925" s="105" t="n"/>
      <c r="C925" s="105" t="n"/>
      <c r="D925" s="170" t="n"/>
      <c r="E925" s="106" t="n"/>
      <c r="F925" s="105" t="n"/>
      <c r="G925" s="171">
        <f>IF(J925="","",HYPERLINK("#Transaksi!B"&amp;J925,"Kas"))</f>
        <v/>
      </c>
      <c r="H925" s="172" t="n"/>
      <c r="I925" s="172" t="n"/>
      <c r="J925" s="119" t="n"/>
    </row>
    <row r="926">
      <c r="A926" s="119" t="n"/>
      <c r="B926" s="105" t="n"/>
      <c r="C926" s="105" t="n"/>
      <c r="D926" s="170" t="n"/>
      <c r="E926" s="106" t="n"/>
      <c r="F926" s="105" t="n"/>
      <c r="G926" s="171">
        <f>IF(J926="","",HYPERLINK("#Transaksi!B"&amp;J926,"Kas"))</f>
        <v/>
      </c>
      <c r="H926" s="172" t="n"/>
      <c r="I926" s="172" t="n"/>
      <c r="J926" s="119" t="n"/>
    </row>
    <row r="927">
      <c r="A927" s="119" t="n"/>
      <c r="B927" s="105" t="n"/>
      <c r="C927" s="105" t="n"/>
      <c r="D927" s="170" t="n"/>
      <c r="E927" s="106" t="n"/>
      <c r="F927" s="105" t="n"/>
      <c r="G927" s="171">
        <f>IF(J927="","",HYPERLINK("#Transaksi!B"&amp;J927,"Kas"))</f>
        <v/>
      </c>
      <c r="H927" s="172" t="n"/>
      <c r="I927" s="172" t="n"/>
      <c r="J927" s="119" t="n"/>
    </row>
    <row r="928">
      <c r="A928" s="119" t="n"/>
      <c r="B928" s="105" t="n"/>
      <c r="C928" s="105" t="n"/>
      <c r="D928" s="170" t="n"/>
      <c r="E928" s="106" t="n"/>
      <c r="F928" s="105" t="n"/>
      <c r="G928" s="171">
        <f>IF(J928="","",HYPERLINK("#Transaksi!B"&amp;J928,"Kas"))</f>
        <v/>
      </c>
      <c r="H928" s="172" t="n"/>
      <c r="I928" s="172" t="n"/>
      <c r="J928" s="119" t="n"/>
    </row>
    <row r="929">
      <c r="A929" s="119" t="n"/>
      <c r="B929" s="105" t="n"/>
      <c r="C929" s="105" t="n"/>
      <c r="D929" s="170" t="n"/>
      <c r="E929" s="106" t="n"/>
      <c r="F929" s="105" t="n"/>
      <c r="G929" s="171">
        <f>IF(J929="","",HYPERLINK("#Transaksi!B"&amp;J929,"Kas"))</f>
        <v/>
      </c>
      <c r="H929" s="172" t="n"/>
      <c r="I929" s="172" t="n"/>
      <c r="J929" s="119" t="n"/>
    </row>
    <row r="930">
      <c r="A930" s="119" t="n"/>
      <c r="B930" s="105" t="n"/>
      <c r="C930" s="105" t="n"/>
      <c r="D930" s="170" t="n"/>
      <c r="E930" s="106" t="n"/>
      <c r="F930" s="105" t="n"/>
      <c r="G930" s="171">
        <f>IF(J930="","",HYPERLINK("#Transaksi!B"&amp;J930,"Kas"))</f>
        <v/>
      </c>
      <c r="H930" s="172" t="n"/>
      <c r="I930" s="172" t="n"/>
      <c r="J930" s="119" t="n"/>
    </row>
    <row r="931">
      <c r="A931" s="119" t="n"/>
      <c r="B931" s="105" t="n"/>
      <c r="C931" s="105" t="n"/>
      <c r="D931" s="170" t="n"/>
      <c r="E931" s="106" t="n"/>
      <c r="F931" s="105" t="n"/>
      <c r="G931" s="171">
        <f>IF(J931="","",HYPERLINK("#Transaksi!B"&amp;J931,"Kas"))</f>
        <v/>
      </c>
      <c r="H931" s="172" t="n"/>
      <c r="I931" s="172" t="n"/>
      <c r="J931" s="119" t="n"/>
    </row>
    <row r="932">
      <c r="A932" s="119" t="n"/>
      <c r="B932" s="105" t="n"/>
      <c r="C932" s="105" t="n"/>
      <c r="D932" s="170" t="n"/>
      <c r="E932" s="106" t="n"/>
      <c r="F932" s="105" t="n"/>
      <c r="G932" s="171">
        <f>IF(J932="","",HYPERLINK("#Transaksi!B"&amp;J932,"Kas"))</f>
        <v/>
      </c>
      <c r="H932" s="172" t="n"/>
      <c r="I932" s="172" t="n"/>
      <c r="J932" s="119" t="n"/>
    </row>
    <row r="933">
      <c r="A933" s="119" t="n"/>
      <c r="B933" s="105" t="n"/>
      <c r="C933" s="105" t="n"/>
      <c r="D933" s="170" t="n"/>
      <c r="E933" s="106" t="n"/>
      <c r="F933" s="105" t="n"/>
      <c r="G933" s="171">
        <f>IF(J933="","",HYPERLINK("#Transaksi!B"&amp;J933,"Kas"))</f>
        <v/>
      </c>
      <c r="H933" s="172" t="n"/>
      <c r="I933" s="172" t="n"/>
      <c r="J933" s="119" t="n"/>
    </row>
    <row r="934">
      <c r="A934" s="119" t="n"/>
      <c r="B934" s="105" t="n"/>
      <c r="C934" s="105" t="n"/>
      <c r="D934" s="170" t="n"/>
      <c r="E934" s="106" t="n"/>
      <c r="F934" s="105" t="n"/>
      <c r="G934" s="171">
        <f>IF(J934="","",HYPERLINK("#Transaksi!B"&amp;J934,"Kas"))</f>
        <v/>
      </c>
      <c r="H934" s="172" t="n"/>
      <c r="I934" s="172" t="n"/>
      <c r="J934" s="119" t="n"/>
    </row>
    <row r="935">
      <c r="A935" s="119" t="n"/>
      <c r="B935" s="105" t="n"/>
      <c r="C935" s="105" t="n"/>
      <c r="D935" s="170" t="n"/>
      <c r="E935" s="106" t="n"/>
      <c r="F935" s="105" t="n"/>
      <c r="G935" s="171">
        <f>IF(J935="","",HYPERLINK("#Transaksi!B"&amp;J935,"Kas"))</f>
        <v/>
      </c>
      <c r="H935" s="172" t="n"/>
      <c r="I935" s="172" t="n"/>
      <c r="J935" s="119" t="n"/>
    </row>
    <row r="936">
      <c r="A936" s="119" t="n"/>
      <c r="B936" s="105" t="n"/>
      <c r="C936" s="105" t="n"/>
      <c r="D936" s="170" t="n"/>
      <c r="E936" s="106" t="n"/>
      <c r="F936" s="105" t="n"/>
      <c r="G936" s="171">
        <f>IF(J936="","",HYPERLINK("#Transaksi!B"&amp;J936,"Kas"))</f>
        <v/>
      </c>
      <c r="H936" s="172" t="n"/>
      <c r="I936" s="172" t="n"/>
      <c r="J936" s="119" t="n"/>
    </row>
    <row r="937">
      <c r="A937" s="119" t="n"/>
      <c r="B937" s="105" t="n"/>
      <c r="C937" s="105" t="n"/>
      <c r="D937" s="170" t="n"/>
      <c r="E937" s="106" t="n"/>
      <c r="F937" s="105" t="n"/>
      <c r="G937" s="171">
        <f>IF(J937="","",HYPERLINK("#Transaksi!B"&amp;J937,"Kas"))</f>
        <v/>
      </c>
      <c r="H937" s="172" t="n"/>
      <c r="I937" s="172" t="n"/>
      <c r="J937" s="119" t="n"/>
    </row>
    <row r="938">
      <c r="A938" s="119" t="n"/>
      <c r="B938" s="105" t="n"/>
      <c r="C938" s="105" t="n"/>
      <c r="D938" s="170" t="n"/>
      <c r="E938" s="106" t="n"/>
      <c r="F938" s="105" t="n"/>
      <c r="G938" s="171">
        <f>IF(J938="","",HYPERLINK("#Transaksi!B"&amp;J938,"Kas"))</f>
        <v/>
      </c>
      <c r="H938" s="172" t="n"/>
      <c r="I938" s="172" t="n"/>
      <c r="J938" s="119" t="n"/>
    </row>
    <row r="939">
      <c r="A939" s="119" t="n"/>
      <c r="B939" s="105" t="n"/>
      <c r="C939" s="105" t="n"/>
      <c r="D939" s="170" t="n"/>
      <c r="E939" s="106" t="n"/>
      <c r="F939" s="105" t="n"/>
      <c r="G939" s="171">
        <f>IF(J939="","",HYPERLINK("#Transaksi!B"&amp;J939,"Kas"))</f>
        <v/>
      </c>
      <c r="H939" s="172" t="n"/>
      <c r="I939" s="172" t="n"/>
      <c r="J939" s="119" t="n"/>
    </row>
    <row r="940">
      <c r="A940" s="119" t="n"/>
      <c r="B940" s="105" t="n"/>
      <c r="C940" s="105" t="n"/>
      <c r="D940" s="170" t="n"/>
      <c r="E940" s="106" t="n"/>
      <c r="F940" s="105" t="n"/>
      <c r="G940" s="171">
        <f>IF(J940="","",HYPERLINK("#Transaksi!B"&amp;J940,"Kas"))</f>
        <v/>
      </c>
      <c r="H940" s="172" t="n"/>
      <c r="I940" s="172" t="n"/>
      <c r="J940" s="119" t="n"/>
    </row>
    <row r="941">
      <c r="A941" s="119" t="n"/>
      <c r="B941" s="105" t="n"/>
      <c r="C941" s="105" t="n"/>
      <c r="D941" s="170" t="n"/>
      <c r="E941" s="106" t="n"/>
      <c r="F941" s="105" t="n"/>
      <c r="G941" s="171">
        <f>IF(J941="","",HYPERLINK("#Transaksi!B"&amp;J941,"Kas"))</f>
        <v/>
      </c>
      <c r="H941" s="172" t="n"/>
      <c r="I941" s="172" t="n"/>
      <c r="J941" s="119" t="n"/>
    </row>
    <row r="942">
      <c r="A942" s="119" t="n"/>
      <c r="B942" s="105" t="n"/>
      <c r="C942" s="105" t="n"/>
      <c r="D942" s="170" t="n"/>
      <c r="E942" s="106" t="n"/>
      <c r="F942" s="105" t="n"/>
      <c r="G942" s="171">
        <f>IF(J942="","",HYPERLINK("#Transaksi!B"&amp;J942,"Kas"))</f>
        <v/>
      </c>
      <c r="H942" s="172" t="n"/>
      <c r="I942" s="172" t="n"/>
      <c r="J942" s="119" t="n"/>
    </row>
    <row r="943">
      <c r="A943" s="119" t="n"/>
      <c r="B943" s="105" t="n"/>
      <c r="C943" s="105" t="n"/>
      <c r="D943" s="170" t="n"/>
      <c r="E943" s="106" t="n"/>
      <c r="F943" s="105" t="n"/>
      <c r="G943" s="171">
        <f>IF(J943="","",HYPERLINK("#Transaksi!B"&amp;J943,"Kas"))</f>
        <v/>
      </c>
      <c r="H943" s="172" t="n"/>
      <c r="I943" s="172" t="n"/>
      <c r="J943" s="119" t="n"/>
    </row>
    <row r="944">
      <c r="A944" s="119" t="n"/>
      <c r="B944" s="105" t="n"/>
      <c r="C944" s="105" t="n"/>
      <c r="D944" s="170" t="n"/>
      <c r="E944" s="106" t="n"/>
      <c r="F944" s="105" t="n"/>
      <c r="G944" s="171">
        <f>IF(J944="","",HYPERLINK("#Transaksi!B"&amp;J944,"Kas"))</f>
        <v/>
      </c>
      <c r="H944" s="172" t="n"/>
      <c r="I944" s="172" t="n"/>
      <c r="J944" s="119" t="n"/>
    </row>
    <row r="945">
      <c r="A945" s="119" t="n"/>
      <c r="B945" s="105" t="n"/>
      <c r="C945" s="105" t="n"/>
      <c r="D945" s="170" t="n"/>
      <c r="E945" s="106" t="n"/>
      <c r="F945" s="105" t="n"/>
      <c r="G945" s="171">
        <f>IF(J945="","",HYPERLINK("#Transaksi!B"&amp;J945,"Kas"))</f>
        <v/>
      </c>
      <c r="H945" s="172" t="n"/>
      <c r="I945" s="172" t="n"/>
      <c r="J945" s="119" t="n"/>
    </row>
    <row r="946">
      <c r="A946" s="119" t="n"/>
      <c r="B946" s="105" t="n"/>
      <c r="C946" s="105" t="n"/>
      <c r="D946" s="170" t="n"/>
      <c r="E946" s="106" t="n"/>
      <c r="F946" s="105" t="n"/>
      <c r="G946" s="171">
        <f>IF(J946="","",HYPERLINK("#Transaksi!B"&amp;J946,"Kas"))</f>
        <v/>
      </c>
      <c r="H946" s="172" t="n"/>
      <c r="I946" s="172" t="n"/>
      <c r="J946" s="119" t="n"/>
    </row>
    <row r="947">
      <c r="A947" s="119" t="n"/>
      <c r="B947" s="105" t="n"/>
      <c r="C947" s="105" t="n"/>
      <c r="D947" s="170" t="n"/>
      <c r="E947" s="106" t="n"/>
      <c r="F947" s="105" t="n"/>
      <c r="G947" s="171">
        <f>IF(J947="","",HYPERLINK("#Transaksi!B"&amp;J947,"Kas"))</f>
        <v/>
      </c>
      <c r="H947" s="172" t="n"/>
      <c r="I947" s="172" t="n"/>
      <c r="J947" s="119" t="n"/>
    </row>
    <row r="948">
      <c r="A948" s="119" t="n"/>
      <c r="B948" s="105" t="n"/>
      <c r="C948" s="105" t="n"/>
      <c r="D948" s="170" t="n"/>
      <c r="E948" s="106" t="n"/>
      <c r="F948" s="105" t="n"/>
      <c r="G948" s="171">
        <f>IF(J948="","",HYPERLINK("#Transaksi!B"&amp;J948,"Kas"))</f>
        <v/>
      </c>
      <c r="H948" s="172" t="n"/>
      <c r="I948" s="172" t="n"/>
      <c r="J948" s="119" t="n"/>
    </row>
    <row r="949">
      <c r="A949" s="119" t="n"/>
      <c r="B949" s="105" t="n"/>
      <c r="C949" s="105" t="n"/>
      <c r="D949" s="170" t="n"/>
      <c r="E949" s="106" t="n"/>
      <c r="F949" s="105" t="n"/>
      <c r="G949" s="171">
        <f>IF(J949="","",HYPERLINK("#Transaksi!B"&amp;J949,"Kas"))</f>
        <v/>
      </c>
      <c r="H949" s="172" t="n"/>
      <c r="I949" s="172" t="n"/>
      <c r="J949" s="119" t="n"/>
    </row>
    <row r="950">
      <c r="A950" s="119" t="n"/>
      <c r="B950" s="105" t="n"/>
      <c r="C950" s="105" t="n"/>
      <c r="D950" s="170" t="n"/>
      <c r="E950" s="106" t="n"/>
      <c r="F950" s="105" t="n"/>
      <c r="G950" s="171">
        <f>IF(J950="","",HYPERLINK("#Transaksi!B"&amp;J950,"Kas"))</f>
        <v/>
      </c>
      <c r="H950" s="172" t="n"/>
      <c r="I950" s="172" t="n"/>
      <c r="J950" s="119" t="n"/>
    </row>
    <row r="951">
      <c r="A951" s="119" t="n"/>
      <c r="B951" s="105" t="n"/>
      <c r="C951" s="105" t="n"/>
      <c r="D951" s="170" t="n"/>
      <c r="E951" s="106" t="n"/>
      <c r="F951" s="105" t="n"/>
      <c r="G951" s="171">
        <f>IF(J951="","",HYPERLINK("#Transaksi!B"&amp;J951,"Kas"))</f>
        <v/>
      </c>
      <c r="H951" s="172" t="n"/>
      <c r="I951" s="172" t="n"/>
      <c r="J951" s="119" t="n"/>
    </row>
    <row r="952">
      <c r="A952" s="119" t="n"/>
      <c r="B952" s="105" t="n"/>
      <c r="C952" s="105" t="n"/>
      <c r="D952" s="170" t="n"/>
      <c r="E952" s="106" t="n"/>
      <c r="F952" s="105" t="n"/>
      <c r="G952" s="171">
        <f>IF(J952="","",HYPERLINK("#Transaksi!B"&amp;J952,"Kas"))</f>
        <v/>
      </c>
      <c r="H952" s="172" t="n"/>
      <c r="I952" s="172" t="n"/>
      <c r="J952" s="119" t="n"/>
    </row>
    <row r="953">
      <c r="A953" s="119" t="n"/>
      <c r="B953" s="105" t="n"/>
      <c r="C953" s="105" t="n"/>
      <c r="D953" s="170" t="n"/>
      <c r="E953" s="106" t="n"/>
      <c r="F953" s="105" t="n"/>
      <c r="G953" s="171">
        <f>IF(J953="","",HYPERLINK("#Transaksi!B"&amp;J953,"Kas"))</f>
        <v/>
      </c>
      <c r="H953" s="172" t="n"/>
      <c r="I953" s="172" t="n"/>
      <c r="J953" s="119" t="n"/>
    </row>
    <row r="954">
      <c r="A954" s="119" t="n"/>
      <c r="B954" s="105" t="n"/>
      <c r="C954" s="105" t="n"/>
      <c r="D954" s="170" t="n"/>
      <c r="E954" s="106" t="n"/>
      <c r="F954" s="105" t="n"/>
      <c r="G954" s="171">
        <f>IF(J954="","",HYPERLINK("#Transaksi!B"&amp;J954,"Kas"))</f>
        <v/>
      </c>
      <c r="H954" s="172" t="n"/>
      <c r="I954" s="172" t="n"/>
      <c r="J954" s="119" t="n"/>
    </row>
    <row r="955">
      <c r="A955" s="119" t="n"/>
      <c r="B955" s="105" t="n"/>
      <c r="C955" s="105" t="n"/>
      <c r="D955" s="170" t="n"/>
      <c r="E955" s="106" t="n"/>
      <c r="F955" s="105" t="n"/>
      <c r="G955" s="171">
        <f>IF(J955="","",HYPERLINK("#Transaksi!B"&amp;J955,"Kas"))</f>
        <v/>
      </c>
      <c r="H955" s="172" t="n"/>
      <c r="I955" s="172" t="n"/>
      <c r="J955" s="119" t="n"/>
    </row>
    <row r="956">
      <c r="A956" s="119" t="n"/>
      <c r="B956" s="105" t="n"/>
      <c r="C956" s="105" t="n"/>
      <c r="D956" s="170" t="n"/>
      <c r="E956" s="106" t="n"/>
      <c r="F956" s="105" t="n"/>
      <c r="G956" s="171">
        <f>IF(J956="","",HYPERLINK("#Transaksi!B"&amp;J956,"Kas"))</f>
        <v/>
      </c>
      <c r="H956" s="172" t="n"/>
      <c r="I956" s="172" t="n"/>
      <c r="J956" s="119" t="n"/>
    </row>
    <row r="957">
      <c r="A957" s="119" t="n"/>
      <c r="B957" s="105" t="n"/>
      <c r="C957" s="105" t="n"/>
      <c r="D957" s="170" t="n"/>
      <c r="E957" s="106" t="n"/>
      <c r="F957" s="105" t="n"/>
      <c r="G957" s="171">
        <f>IF(J957="","",HYPERLINK("#Transaksi!B"&amp;J957,"Kas"))</f>
        <v/>
      </c>
      <c r="H957" s="172" t="n"/>
      <c r="I957" s="172" t="n"/>
      <c r="J957" s="119" t="n"/>
    </row>
    <row r="958">
      <c r="A958" s="119" t="n"/>
      <c r="B958" s="105" t="n"/>
      <c r="C958" s="105" t="n"/>
      <c r="D958" s="170" t="n"/>
      <c r="E958" s="106" t="n"/>
      <c r="F958" s="105" t="n"/>
      <c r="G958" s="171">
        <f>IF(J958="","",HYPERLINK("#Transaksi!B"&amp;J958,"Kas"))</f>
        <v/>
      </c>
      <c r="H958" s="172" t="n"/>
      <c r="I958" s="172" t="n"/>
      <c r="J958" s="119" t="n"/>
    </row>
    <row r="959">
      <c r="A959" s="119" t="n"/>
      <c r="B959" s="105" t="n"/>
      <c r="C959" s="105" t="n"/>
      <c r="D959" s="170" t="n"/>
      <c r="E959" s="106" t="n"/>
      <c r="F959" s="105" t="n"/>
      <c r="G959" s="171">
        <f>IF(J959="","",HYPERLINK("#Transaksi!B"&amp;J959,"Kas"))</f>
        <v/>
      </c>
      <c r="H959" s="172" t="n"/>
      <c r="I959" s="172" t="n"/>
      <c r="J959" s="119" t="n"/>
    </row>
    <row r="960">
      <c r="A960" s="119" t="n"/>
      <c r="B960" s="105" t="n"/>
      <c r="C960" s="105" t="n"/>
      <c r="D960" s="170" t="n"/>
      <c r="E960" s="106" t="n"/>
      <c r="F960" s="105" t="n"/>
      <c r="G960" s="171">
        <f>IF(J960="","",HYPERLINK("#Transaksi!B"&amp;J960,"Kas"))</f>
        <v/>
      </c>
      <c r="H960" s="172" t="n"/>
      <c r="I960" s="172" t="n"/>
      <c r="J960" s="119" t="n"/>
    </row>
    <row r="961">
      <c r="A961" s="119" t="n"/>
      <c r="B961" s="105" t="n"/>
      <c r="C961" s="105" t="n"/>
      <c r="D961" s="170" t="n"/>
      <c r="E961" s="106" t="n"/>
      <c r="F961" s="105" t="n"/>
      <c r="G961" s="171">
        <f>IF(J961="","",HYPERLINK("#Transaksi!B"&amp;J961,"Kas"))</f>
        <v/>
      </c>
      <c r="H961" s="172" t="n"/>
      <c r="I961" s="172" t="n"/>
      <c r="J961" s="119" t="n"/>
    </row>
    <row r="962">
      <c r="A962" s="119" t="n"/>
      <c r="B962" s="105" t="n"/>
      <c r="C962" s="105" t="n"/>
      <c r="D962" s="170" t="n"/>
      <c r="E962" s="106" t="n"/>
      <c r="F962" s="105" t="n"/>
      <c r="G962" s="171">
        <f>IF(J962="","",HYPERLINK("#Transaksi!B"&amp;J962,"Kas"))</f>
        <v/>
      </c>
      <c r="H962" s="172" t="n"/>
      <c r="I962" s="172" t="n"/>
      <c r="J962" s="119" t="n"/>
    </row>
    <row r="963">
      <c r="A963" s="119" t="n"/>
      <c r="B963" s="105" t="n"/>
      <c r="C963" s="105" t="n"/>
      <c r="D963" s="170" t="n"/>
      <c r="E963" s="106" t="n"/>
      <c r="F963" s="105" t="n"/>
      <c r="G963" s="171">
        <f>IF(J963="","",HYPERLINK("#Transaksi!B"&amp;J963,"Kas"))</f>
        <v/>
      </c>
      <c r="H963" s="172" t="n"/>
      <c r="I963" s="172" t="n"/>
      <c r="J963" s="119" t="n"/>
    </row>
    <row r="964">
      <c r="A964" s="119" t="n"/>
      <c r="B964" s="105" t="n"/>
      <c r="C964" s="105" t="n"/>
      <c r="D964" s="170" t="n"/>
      <c r="E964" s="106" t="n"/>
      <c r="F964" s="105" t="n"/>
      <c r="G964" s="171">
        <f>IF(J964="","",HYPERLINK("#Transaksi!B"&amp;J964,"Kas"))</f>
        <v/>
      </c>
      <c r="H964" s="172" t="n"/>
      <c r="I964" s="172" t="n"/>
      <c r="J964" s="119" t="n"/>
    </row>
    <row r="965">
      <c r="A965" s="119" t="n"/>
      <c r="B965" s="105" t="n"/>
      <c r="C965" s="105" t="n"/>
      <c r="D965" s="170" t="n"/>
      <c r="E965" s="106" t="n"/>
      <c r="F965" s="105" t="n"/>
      <c r="G965" s="171">
        <f>IF(J965="","",HYPERLINK("#Transaksi!B"&amp;J965,"Kas"))</f>
        <v/>
      </c>
      <c r="H965" s="172" t="n"/>
      <c r="I965" s="172" t="n"/>
      <c r="J965" s="119" t="n"/>
    </row>
    <row r="966">
      <c r="A966" s="119" t="n"/>
      <c r="B966" s="105" t="n"/>
      <c r="C966" s="105" t="n"/>
      <c r="D966" s="170" t="n"/>
      <c r="E966" s="106" t="n"/>
      <c r="F966" s="105" t="n"/>
      <c r="G966" s="171">
        <f>IF(J966="","",HYPERLINK("#Transaksi!B"&amp;J966,"Kas"))</f>
        <v/>
      </c>
      <c r="H966" s="172" t="n"/>
      <c r="I966" s="172" t="n"/>
      <c r="J966" s="119" t="n"/>
    </row>
    <row r="967">
      <c r="A967" s="119" t="n"/>
      <c r="B967" s="105" t="n"/>
      <c r="C967" s="105" t="n"/>
      <c r="D967" s="170" t="n"/>
      <c r="E967" s="106" t="n"/>
      <c r="F967" s="105" t="n"/>
      <c r="G967" s="171">
        <f>IF(J967="","",HYPERLINK("#Transaksi!B"&amp;J967,"Kas"))</f>
        <v/>
      </c>
      <c r="H967" s="172" t="n"/>
      <c r="I967" s="172" t="n"/>
      <c r="J967" s="119" t="n"/>
    </row>
    <row r="968">
      <c r="A968" s="119" t="n"/>
      <c r="B968" s="105" t="n"/>
      <c r="C968" s="105" t="n"/>
      <c r="D968" s="170" t="n"/>
      <c r="E968" s="106" t="n"/>
      <c r="F968" s="105" t="n"/>
      <c r="G968" s="171">
        <f>IF(J968="","",HYPERLINK("#Transaksi!B"&amp;J968,"Kas"))</f>
        <v/>
      </c>
      <c r="H968" s="172" t="n"/>
      <c r="I968" s="172" t="n"/>
      <c r="J968" s="119" t="n"/>
    </row>
    <row r="969">
      <c r="A969" s="119" t="n"/>
      <c r="B969" s="105" t="n"/>
      <c r="C969" s="105" t="n"/>
      <c r="D969" s="170" t="n"/>
      <c r="E969" s="106" t="n"/>
      <c r="F969" s="105" t="n"/>
      <c r="G969" s="171">
        <f>IF(J969="","",HYPERLINK("#Transaksi!B"&amp;J969,"Kas"))</f>
        <v/>
      </c>
      <c r="H969" s="172" t="n"/>
      <c r="I969" s="172" t="n"/>
      <c r="J969" s="119" t="n"/>
    </row>
    <row r="970">
      <c r="A970" s="119" t="n"/>
      <c r="B970" s="105" t="n"/>
      <c r="C970" s="105" t="n"/>
      <c r="D970" s="170" t="n"/>
      <c r="E970" s="106" t="n"/>
      <c r="F970" s="105" t="n"/>
      <c r="G970" s="171">
        <f>IF(J970="","",HYPERLINK("#Transaksi!B"&amp;J970,"Kas"))</f>
        <v/>
      </c>
      <c r="H970" s="172" t="n"/>
      <c r="I970" s="172" t="n"/>
      <c r="J970" s="119" t="n"/>
    </row>
    <row r="971">
      <c r="A971" s="119" t="n"/>
      <c r="B971" s="105" t="n"/>
      <c r="C971" s="105" t="n"/>
      <c r="D971" s="170" t="n"/>
      <c r="E971" s="106" t="n"/>
      <c r="F971" s="105" t="n"/>
      <c r="G971" s="171">
        <f>IF(J971="","",HYPERLINK("#Transaksi!B"&amp;J971,"Kas"))</f>
        <v/>
      </c>
      <c r="H971" s="172" t="n"/>
      <c r="I971" s="172" t="n"/>
      <c r="J971" s="119" t="n"/>
    </row>
    <row r="972">
      <c r="A972" s="119" t="n"/>
      <c r="B972" s="105" t="n"/>
      <c r="C972" s="105" t="n"/>
      <c r="D972" s="170" t="n"/>
      <c r="E972" s="106" t="n"/>
      <c r="F972" s="105" t="n"/>
      <c r="G972" s="171">
        <f>IF(J972="","",HYPERLINK("#Transaksi!B"&amp;J972,"Kas"))</f>
        <v/>
      </c>
      <c r="H972" s="172" t="n"/>
      <c r="I972" s="172" t="n"/>
      <c r="J972" s="119" t="n"/>
    </row>
    <row r="973">
      <c r="A973" s="119" t="n"/>
      <c r="B973" s="105" t="n"/>
      <c r="C973" s="105" t="n"/>
      <c r="D973" s="170" t="n"/>
      <c r="E973" s="106" t="n"/>
      <c r="F973" s="105" t="n"/>
      <c r="G973" s="171">
        <f>IF(J973="","",HYPERLINK("#Transaksi!B"&amp;J973,"Kas"))</f>
        <v/>
      </c>
      <c r="H973" s="172" t="n"/>
      <c r="I973" s="172" t="n"/>
      <c r="J973" s="119" t="n"/>
    </row>
    <row r="974">
      <c r="A974" s="119" t="n"/>
      <c r="B974" s="105" t="n"/>
      <c r="C974" s="105" t="n"/>
      <c r="D974" s="170" t="n"/>
      <c r="E974" s="106" t="n"/>
      <c r="F974" s="105" t="n"/>
      <c r="G974" s="171">
        <f>IF(J974="","",HYPERLINK("#Transaksi!B"&amp;J974,"Kas"))</f>
        <v/>
      </c>
      <c r="H974" s="172" t="n"/>
      <c r="I974" s="172" t="n"/>
      <c r="J974" s="119" t="n"/>
    </row>
    <row r="975">
      <c r="A975" s="119" t="n"/>
      <c r="B975" s="105" t="n"/>
      <c r="C975" s="105" t="n"/>
      <c r="D975" s="170" t="n"/>
      <c r="E975" s="106" t="n"/>
      <c r="F975" s="105" t="n"/>
      <c r="G975" s="171">
        <f>IF(J975="","",HYPERLINK("#Transaksi!B"&amp;J975,"Kas"))</f>
        <v/>
      </c>
      <c r="H975" s="172" t="n"/>
      <c r="I975" s="172" t="n"/>
      <c r="J975" s="119" t="n"/>
    </row>
    <row r="976">
      <c r="A976" s="119" t="n"/>
      <c r="B976" s="105" t="n"/>
      <c r="C976" s="105" t="n"/>
      <c r="D976" s="170" t="n"/>
      <c r="E976" s="106" t="n"/>
      <c r="F976" s="105" t="n"/>
      <c r="G976" s="171">
        <f>IF(J976="","",HYPERLINK("#Transaksi!B"&amp;J976,"Kas"))</f>
        <v/>
      </c>
      <c r="H976" s="172" t="n"/>
      <c r="I976" s="172" t="n"/>
      <c r="J976" s="119" t="n"/>
    </row>
    <row r="977">
      <c r="A977" s="119" t="n"/>
      <c r="B977" s="105" t="n"/>
      <c r="C977" s="105" t="n"/>
      <c r="D977" s="170" t="n"/>
      <c r="E977" s="106" t="n"/>
      <c r="F977" s="105" t="n"/>
      <c r="G977" s="171">
        <f>IF(J977="","",HYPERLINK("#Transaksi!B"&amp;J977,"Kas"))</f>
        <v/>
      </c>
      <c r="H977" s="172" t="n"/>
      <c r="I977" s="172" t="n"/>
      <c r="J977" s="119" t="n"/>
    </row>
    <row r="978">
      <c r="A978" s="119" t="n"/>
      <c r="B978" s="105" t="n"/>
      <c r="C978" s="105" t="n"/>
      <c r="D978" s="170" t="n"/>
      <c r="E978" s="106" t="n"/>
      <c r="F978" s="105" t="n"/>
      <c r="G978" s="171">
        <f>IF(J978="","",HYPERLINK("#Transaksi!B"&amp;J978,"Kas"))</f>
        <v/>
      </c>
      <c r="H978" s="172" t="n"/>
      <c r="I978" s="172" t="n"/>
      <c r="J978" s="119" t="n"/>
    </row>
    <row r="979">
      <c r="A979" s="119" t="n"/>
      <c r="B979" s="105" t="n"/>
      <c r="C979" s="105" t="n"/>
      <c r="D979" s="170" t="n"/>
      <c r="E979" s="106" t="n"/>
      <c r="F979" s="105" t="n"/>
      <c r="G979" s="171">
        <f>IF(J979="","",HYPERLINK("#Transaksi!B"&amp;J979,"Kas"))</f>
        <v/>
      </c>
      <c r="H979" s="172" t="n"/>
      <c r="I979" s="172" t="n"/>
      <c r="J979" s="119" t="n"/>
    </row>
    <row r="980">
      <c r="A980" s="119" t="n"/>
      <c r="B980" s="105" t="n"/>
      <c r="C980" s="105" t="n"/>
      <c r="D980" s="170" t="n"/>
      <c r="E980" s="106" t="n"/>
      <c r="F980" s="105" t="n"/>
      <c r="G980" s="171">
        <f>IF(J980="","",HYPERLINK("#Transaksi!B"&amp;J980,"Kas"))</f>
        <v/>
      </c>
      <c r="H980" s="172" t="n"/>
      <c r="I980" s="172" t="n"/>
      <c r="J980" s="119" t="n"/>
    </row>
    <row r="981">
      <c r="A981" s="119" t="n"/>
      <c r="B981" s="105" t="n"/>
      <c r="C981" s="105" t="n"/>
      <c r="D981" s="170" t="n"/>
      <c r="E981" s="106" t="n"/>
      <c r="F981" s="105" t="n"/>
      <c r="G981" s="171">
        <f>IF(J981="","",HYPERLINK("#Transaksi!B"&amp;J981,"Kas"))</f>
        <v/>
      </c>
      <c r="H981" s="172" t="n"/>
      <c r="I981" s="172" t="n"/>
      <c r="J981" s="119" t="n"/>
    </row>
    <row r="982">
      <c r="A982" s="119" t="n"/>
      <c r="B982" s="105" t="n"/>
      <c r="C982" s="105" t="n"/>
      <c r="D982" s="170" t="n"/>
      <c r="E982" s="106" t="n"/>
      <c r="F982" s="105" t="n"/>
      <c r="G982" s="171">
        <f>IF(J982="","",HYPERLINK("#Transaksi!B"&amp;J982,"Kas"))</f>
        <v/>
      </c>
      <c r="H982" s="172" t="n"/>
      <c r="I982" s="172" t="n"/>
      <c r="J982" s="119" t="n"/>
    </row>
    <row r="983">
      <c r="A983" s="119" t="n"/>
      <c r="B983" s="105" t="n"/>
      <c r="C983" s="105" t="n"/>
      <c r="D983" s="170" t="n"/>
      <c r="E983" s="106" t="n"/>
      <c r="F983" s="105" t="n"/>
      <c r="G983" s="171">
        <f>IF(J983="","",HYPERLINK("#Transaksi!B"&amp;J983,"Kas"))</f>
        <v/>
      </c>
      <c r="H983" s="172" t="n"/>
      <c r="I983" s="172" t="n"/>
      <c r="J983" s="119" t="n"/>
    </row>
    <row r="984">
      <c r="A984" s="119" t="n"/>
      <c r="B984" s="105" t="n"/>
      <c r="C984" s="105" t="n"/>
      <c r="D984" s="170" t="n"/>
      <c r="E984" s="106" t="n"/>
      <c r="F984" s="105" t="n"/>
      <c r="G984" s="171">
        <f>IF(J984="","",HYPERLINK("#Transaksi!B"&amp;J984,"Kas"))</f>
        <v/>
      </c>
      <c r="H984" s="172" t="n"/>
      <c r="I984" s="172" t="n"/>
      <c r="J984" s="119" t="n"/>
    </row>
    <row r="985">
      <c r="A985" s="119" t="n"/>
      <c r="B985" s="105" t="n"/>
      <c r="C985" s="105" t="n"/>
      <c r="D985" s="170" t="n"/>
      <c r="E985" s="106" t="n"/>
      <c r="F985" s="105" t="n"/>
      <c r="G985" s="171">
        <f>IF(J985="","",HYPERLINK("#Transaksi!B"&amp;J985,"Kas"))</f>
        <v/>
      </c>
      <c r="H985" s="172" t="n"/>
      <c r="I985" s="172" t="n"/>
      <c r="J985" s="119" t="n"/>
    </row>
    <row r="986">
      <c r="A986" s="119" t="n"/>
      <c r="B986" s="105" t="n"/>
      <c r="C986" s="105" t="n"/>
      <c r="D986" s="170" t="n"/>
      <c r="E986" s="106" t="n"/>
      <c r="F986" s="105" t="n"/>
      <c r="G986" s="171">
        <f>IF(J986="","",HYPERLINK("#Transaksi!B"&amp;J986,"Kas"))</f>
        <v/>
      </c>
      <c r="H986" s="172" t="n"/>
      <c r="I986" s="172" t="n"/>
      <c r="J986" s="119" t="n"/>
    </row>
    <row r="987">
      <c r="A987" s="119" t="n"/>
      <c r="B987" s="105" t="n"/>
      <c r="C987" s="105" t="n"/>
      <c r="D987" s="170" t="n"/>
      <c r="E987" s="106" t="n"/>
      <c r="F987" s="105" t="n"/>
      <c r="G987" s="171">
        <f>IF(J987="","",HYPERLINK("#Transaksi!B"&amp;J987,"Kas"))</f>
        <v/>
      </c>
      <c r="H987" s="172" t="n"/>
      <c r="I987" s="172" t="n"/>
      <c r="J987" s="119" t="n"/>
    </row>
    <row r="988">
      <c r="A988" s="119" t="n"/>
      <c r="B988" s="105" t="n"/>
      <c r="C988" s="105" t="n"/>
      <c r="D988" s="170" t="n"/>
      <c r="E988" s="106" t="n"/>
      <c r="F988" s="105" t="n"/>
      <c r="G988" s="171">
        <f>IF(J988="","",HYPERLINK("#Transaksi!B"&amp;J988,"Kas"))</f>
        <v/>
      </c>
      <c r="H988" s="172" t="n"/>
      <c r="I988" s="172" t="n"/>
      <c r="J988" s="119" t="n"/>
    </row>
    <row r="989">
      <c r="A989" s="119" t="n"/>
      <c r="B989" s="105" t="n"/>
      <c r="C989" s="105" t="n"/>
      <c r="D989" s="170" t="n"/>
      <c r="E989" s="106" t="n"/>
      <c r="F989" s="105" t="n"/>
      <c r="G989" s="171">
        <f>IF(J989="","",HYPERLINK("#Transaksi!B"&amp;J989,"Kas"))</f>
        <v/>
      </c>
      <c r="H989" s="172" t="n"/>
      <c r="I989" s="172" t="n"/>
      <c r="J989" s="119" t="n"/>
    </row>
    <row r="990">
      <c r="A990" s="119" t="n"/>
      <c r="B990" s="105" t="n"/>
      <c r="C990" s="105" t="n"/>
      <c r="D990" s="170" t="n"/>
      <c r="E990" s="106" t="n"/>
      <c r="F990" s="105" t="n"/>
      <c r="G990" s="171">
        <f>IF(J990="","",HYPERLINK("#Transaksi!B"&amp;J990,"Kas"))</f>
        <v/>
      </c>
      <c r="H990" s="172" t="n"/>
      <c r="I990" s="172" t="n"/>
      <c r="J990" s="119" t="n"/>
    </row>
    <row r="991">
      <c r="A991" s="119" t="n"/>
      <c r="B991" s="105" t="n"/>
      <c r="C991" s="105" t="n"/>
      <c r="D991" s="170" t="n"/>
      <c r="E991" s="106" t="n"/>
      <c r="F991" s="105" t="n"/>
      <c r="G991" s="171">
        <f>IF(J991="","",HYPERLINK("#Transaksi!B"&amp;J991,"Kas"))</f>
        <v/>
      </c>
      <c r="H991" s="172" t="n"/>
      <c r="I991" s="172" t="n"/>
      <c r="J991" s="119" t="n"/>
    </row>
    <row r="992">
      <c r="A992" s="119" t="n"/>
      <c r="B992" s="105" t="n"/>
      <c r="C992" s="105" t="n"/>
      <c r="D992" s="170" t="n"/>
      <c r="E992" s="106" t="n"/>
      <c r="F992" s="105" t="n"/>
      <c r="G992" s="171">
        <f>IF(J992="","",HYPERLINK("#Transaksi!B"&amp;J992,"Kas"))</f>
        <v/>
      </c>
      <c r="H992" s="172" t="n"/>
      <c r="I992" s="172" t="n"/>
      <c r="J992" s="119" t="n"/>
    </row>
    <row r="993">
      <c r="A993" s="119" t="n"/>
      <c r="B993" s="105" t="n"/>
      <c r="C993" s="105" t="n"/>
      <c r="D993" s="170" t="n"/>
      <c r="E993" s="106" t="n"/>
      <c r="F993" s="105" t="n"/>
      <c r="G993" s="171">
        <f>IF(J993="","",HYPERLINK("#Transaksi!B"&amp;J993,"Kas"))</f>
        <v/>
      </c>
      <c r="H993" s="172" t="n"/>
      <c r="I993" s="172" t="n"/>
      <c r="J993" s="119" t="n"/>
    </row>
    <row r="994">
      <c r="A994" s="119" t="n"/>
      <c r="B994" s="105" t="n"/>
      <c r="C994" s="105" t="n"/>
      <c r="D994" s="170" t="n"/>
      <c r="E994" s="106" t="n"/>
      <c r="F994" s="105" t="n"/>
      <c r="G994" s="171">
        <f>IF(J994="","",HYPERLINK("#Transaksi!B"&amp;J994,"Kas"))</f>
        <v/>
      </c>
      <c r="H994" s="172" t="n"/>
      <c r="I994" s="172" t="n"/>
      <c r="J994" s="119" t="n"/>
    </row>
    <row r="995">
      <c r="A995" s="119" t="n"/>
      <c r="B995" s="105" t="n"/>
      <c r="C995" s="105" t="n"/>
      <c r="D995" s="170" t="n"/>
      <c r="E995" s="106" t="n"/>
      <c r="F995" s="105" t="n"/>
      <c r="G995" s="171">
        <f>IF(J995="","",HYPERLINK("#Transaksi!B"&amp;J995,"Kas"))</f>
        <v/>
      </c>
      <c r="H995" s="172" t="n"/>
      <c r="I995" s="172" t="n"/>
      <c r="J995" s="119" t="n"/>
    </row>
    <row r="996">
      <c r="A996" s="119" t="n"/>
      <c r="B996" s="105" t="n"/>
      <c r="C996" s="105" t="n"/>
      <c r="D996" s="170" t="n"/>
      <c r="E996" s="106" t="n"/>
      <c r="F996" s="105" t="n"/>
      <c r="G996" s="171">
        <f>IF(J996="","",HYPERLINK("#Transaksi!B"&amp;J996,"Kas"))</f>
        <v/>
      </c>
      <c r="H996" s="172" t="n"/>
      <c r="I996" s="172" t="n"/>
      <c r="J996" s="119" t="n"/>
    </row>
    <row r="997">
      <c r="A997" s="119" t="n"/>
      <c r="B997" s="105" t="n"/>
      <c r="C997" s="105" t="n"/>
      <c r="D997" s="170" t="n"/>
      <c r="E997" s="106" t="n"/>
      <c r="F997" s="105" t="n"/>
      <c r="G997" s="171">
        <f>IF(J997="","",HYPERLINK("#Transaksi!B"&amp;J997,"Kas"))</f>
        <v/>
      </c>
      <c r="H997" s="172" t="n"/>
      <c r="I997" s="172" t="n"/>
      <c r="J997" s="119" t="n"/>
    </row>
    <row r="998">
      <c r="A998" s="119" t="n"/>
      <c r="B998" s="105" t="n"/>
      <c r="C998" s="105" t="n"/>
      <c r="D998" s="170" t="n"/>
      <c r="E998" s="106" t="n"/>
      <c r="F998" s="105" t="n"/>
      <c r="G998" s="171">
        <f>IF(J998="","",HYPERLINK("#Transaksi!B"&amp;J998,"Kas"))</f>
        <v/>
      </c>
      <c r="H998" s="172" t="n"/>
      <c r="I998" s="172" t="n"/>
      <c r="J998" s="119" t="n"/>
    </row>
    <row r="999">
      <c r="A999" s="119" t="n"/>
      <c r="B999" s="105" t="n"/>
      <c r="C999" s="105" t="n"/>
      <c r="D999" s="170" t="n"/>
      <c r="E999" s="106" t="n"/>
      <c r="F999" s="105" t="n"/>
      <c r="G999" s="171">
        <f>IF(J999="","",HYPERLINK("#Transaksi!B"&amp;J999,"Kas"))</f>
        <v/>
      </c>
      <c r="H999" s="172" t="n"/>
      <c r="I999" s="172" t="n"/>
      <c r="J999" s="119" t="n"/>
    </row>
    <row r="1000">
      <c r="A1000" s="119" t="n"/>
      <c r="B1000" s="105" t="n"/>
      <c r="C1000" s="105" t="n"/>
      <c r="D1000" s="170" t="n"/>
      <c r="E1000" s="106" t="n"/>
      <c r="F1000" s="105" t="n"/>
      <c r="G1000" s="171">
        <f>IF(J1000="","",HYPERLINK("#Transaksi!B"&amp;J1000,"Kas"))</f>
        <v/>
      </c>
      <c r="H1000" s="172" t="n"/>
      <c r="I1000" s="172" t="n"/>
      <c r="J1000" s="119" t="n"/>
    </row>
    <row r="1001">
      <c r="A1001" s="119" t="n"/>
      <c r="B1001" s="105" t="n"/>
      <c r="C1001" s="105" t="n"/>
      <c r="D1001" s="170" t="n"/>
      <c r="E1001" s="106" t="n"/>
      <c r="F1001" s="105" t="n"/>
      <c r="G1001" s="171">
        <f>IF(J1001="","",HYPERLINK("#Transaksi!B"&amp;J1001,"Kas"))</f>
        <v/>
      </c>
      <c r="H1001" s="172" t="n"/>
      <c r="I1001" s="172" t="n"/>
      <c r="J1001" s="119" t="n"/>
    </row>
    <row r="1002">
      <c r="A1002" s="119" t="n"/>
      <c r="B1002" s="105" t="n"/>
      <c r="C1002" s="105" t="n"/>
      <c r="D1002" s="170" t="n"/>
      <c r="E1002" s="106" t="n"/>
      <c r="F1002" s="105" t="n"/>
      <c r="G1002" s="171">
        <f>IF(J1002="","",HYPERLINK("#Transaksi!B"&amp;J1002,"Kas"))</f>
        <v/>
      </c>
      <c r="H1002" s="172" t="n"/>
      <c r="I1002" s="172" t="n"/>
      <c r="J1002" s="119" t="n"/>
    </row>
    <row r="1003">
      <c r="A1003" s="119" t="n"/>
      <c r="B1003" s="105" t="n"/>
      <c r="C1003" s="105" t="n"/>
      <c r="D1003" s="170" t="n"/>
      <c r="E1003" s="106" t="n"/>
      <c r="F1003" s="105" t="n"/>
      <c r="G1003" s="171">
        <f>IF(J1003="","",HYPERLINK("#Transaksi!B"&amp;J1003,"Kas"))</f>
        <v/>
      </c>
      <c r="H1003" s="172" t="n"/>
      <c r="I1003" s="172" t="n"/>
      <c r="J1003" s="119" t="n"/>
    </row>
    <row r="1004">
      <c r="A1004" s="119" t="n"/>
      <c r="B1004" s="105" t="n"/>
      <c r="C1004" s="105" t="n"/>
      <c r="D1004" s="170" t="n"/>
      <c r="E1004" s="106" t="n"/>
      <c r="F1004" s="105" t="n"/>
      <c r="G1004" s="171">
        <f>IF(J1004="","",HYPERLINK("#Transaksi!B"&amp;J1004,"Kas"))</f>
        <v/>
      </c>
      <c r="H1004" s="172" t="n"/>
      <c r="I1004" s="172" t="n"/>
      <c r="J1004" s="119" t="n"/>
    </row>
    <row r="1005">
      <c r="A1005" s="119" t="n"/>
      <c r="B1005" s="105" t="n"/>
      <c r="C1005" s="105" t="n"/>
      <c r="D1005" s="170" t="n"/>
      <c r="E1005" s="106" t="n"/>
      <c r="F1005" s="105" t="n"/>
      <c r="G1005" s="171">
        <f>IF(J1005="","",HYPERLINK("#Transaksi!B"&amp;J1005,"Kas"))</f>
        <v/>
      </c>
      <c r="H1005" s="172" t="n"/>
      <c r="I1005" s="172" t="n"/>
      <c r="J1005" s="119" t="n"/>
    </row>
    <row r="1006">
      <c r="A1006" s="119" t="n"/>
      <c r="B1006" s="105" t="n"/>
      <c r="C1006" s="105" t="n"/>
      <c r="D1006" s="170" t="n"/>
      <c r="E1006" s="106" t="n"/>
      <c r="F1006" s="105" t="n"/>
      <c r="G1006" s="171">
        <f>IF(J1006="","",HYPERLINK("#Transaksi!B"&amp;J1006,"Kas"))</f>
        <v/>
      </c>
      <c r="H1006" s="172" t="n"/>
      <c r="I1006" s="172" t="n"/>
      <c r="J1006" s="119" t="n"/>
    </row>
    <row r="1007">
      <c r="A1007" s="119" t="n"/>
      <c r="B1007" s="105" t="n"/>
      <c r="C1007" s="105" t="n"/>
      <c r="D1007" s="170" t="n"/>
      <c r="E1007" s="106" t="n"/>
      <c r="F1007" s="105" t="n"/>
      <c r="G1007" s="171">
        <f>IF(J1007="","",HYPERLINK("#Transaksi!B"&amp;J1007,"Kas"))</f>
        <v/>
      </c>
      <c r="H1007" s="172" t="n"/>
      <c r="I1007" s="172" t="n"/>
      <c r="J1007" s="119" t="n"/>
    </row>
    <row r="1008">
      <c r="A1008" s="119" t="n"/>
      <c r="B1008" s="105" t="n"/>
      <c r="C1008" s="105" t="n"/>
      <c r="D1008" s="170" t="n"/>
      <c r="E1008" s="106" t="n"/>
      <c r="F1008" s="105" t="n"/>
      <c r="G1008" s="171">
        <f>IF(J1008="","",HYPERLINK("#Transaksi!B"&amp;J1008,"Kas"))</f>
        <v/>
      </c>
      <c r="H1008" s="172" t="n"/>
      <c r="I1008" s="172" t="n"/>
      <c r="J1008" s="119" t="n"/>
    </row>
    <row r="1009">
      <c r="A1009" s="119" t="n"/>
      <c r="B1009" s="105" t="n"/>
      <c r="C1009" s="105" t="n"/>
      <c r="D1009" s="170" t="n"/>
      <c r="E1009" s="106" t="n"/>
      <c r="F1009" s="105" t="n"/>
      <c r="G1009" s="171">
        <f>IF(J1009="","",HYPERLINK("#Transaksi!B"&amp;J1009,"Kas"))</f>
        <v/>
      </c>
      <c r="H1009" s="172" t="n"/>
      <c r="I1009" s="172" t="n"/>
      <c r="J1009" s="119" t="n"/>
    </row>
    <row r="1010">
      <c r="A1010" s="119" t="n"/>
      <c r="B1010" s="105" t="n"/>
      <c r="C1010" s="105" t="n"/>
      <c r="D1010" s="170" t="n"/>
      <c r="E1010" s="106" t="n"/>
      <c r="F1010" s="105" t="n"/>
      <c r="G1010" s="171">
        <f>IF(J1010="","",HYPERLINK("#Transaksi!B"&amp;J1010,"Kas"))</f>
        <v/>
      </c>
      <c r="H1010" s="172" t="n"/>
      <c r="I1010" s="172" t="n"/>
      <c r="J1010" s="119" t="n"/>
    </row>
    <row r="1011">
      <c r="A1011" s="119" t="n"/>
      <c r="B1011" s="105" t="n"/>
      <c r="C1011" s="105" t="n"/>
      <c r="D1011" s="170" t="n"/>
      <c r="E1011" s="106" t="n"/>
      <c r="F1011" s="105" t="n"/>
      <c r="G1011" s="171">
        <f>IF(J1011="","",HYPERLINK("#Transaksi!B"&amp;J1011,"Kas"))</f>
        <v/>
      </c>
      <c r="H1011" s="172" t="n"/>
      <c r="I1011" s="172" t="n"/>
      <c r="J1011" s="119" t="n"/>
    </row>
    <row r="1012">
      <c r="A1012" s="119" t="n"/>
      <c r="B1012" s="105" t="n"/>
      <c r="C1012" s="105" t="n"/>
      <c r="D1012" s="170" t="n"/>
      <c r="E1012" s="106" t="n"/>
      <c r="F1012" s="105" t="n"/>
      <c r="G1012" s="171">
        <f>IF(J1012="","",HYPERLINK("#Transaksi!B"&amp;J1012,"Kas"))</f>
        <v/>
      </c>
      <c r="H1012" s="172" t="n"/>
      <c r="I1012" s="172" t="n"/>
      <c r="J1012" s="119" t="n"/>
    </row>
    <row r="1013">
      <c r="A1013" s="119" t="n"/>
      <c r="B1013" s="105" t="n"/>
      <c r="C1013" s="105" t="n"/>
      <c r="D1013" s="170" t="n"/>
      <c r="E1013" s="106" t="n"/>
      <c r="F1013" s="105" t="n"/>
      <c r="G1013" s="171">
        <f>IF(J1013="","",HYPERLINK("#Transaksi!B"&amp;J1013,"Kas"))</f>
        <v/>
      </c>
      <c r="H1013" s="172" t="n"/>
      <c r="I1013" s="172" t="n"/>
      <c r="J1013" s="119" t="n"/>
    </row>
    <row r="1014">
      <c r="A1014" s="119" t="n"/>
      <c r="B1014" s="105" t="n"/>
      <c r="C1014" s="105" t="n"/>
      <c r="D1014" s="170" t="n"/>
      <c r="E1014" s="106" t="n"/>
      <c r="F1014" s="105" t="n"/>
      <c r="G1014" s="171">
        <f>IF(J1014="","",HYPERLINK("#Transaksi!B"&amp;J1014,"Kas"))</f>
        <v/>
      </c>
      <c r="H1014" s="172" t="n"/>
      <c r="I1014" s="172" t="n"/>
      <c r="J1014" s="119" t="n"/>
    </row>
    <row r="1015">
      <c r="A1015" s="119" t="n"/>
      <c r="B1015" s="105" t="n"/>
      <c r="C1015" s="105" t="n"/>
      <c r="D1015" s="170" t="n"/>
      <c r="E1015" s="106" t="n"/>
      <c r="F1015" s="105" t="n"/>
      <c r="G1015" s="171">
        <f>IF(J1015="","",HYPERLINK("#Transaksi!B"&amp;J1015,"Kas"))</f>
        <v/>
      </c>
      <c r="H1015" s="172" t="n"/>
      <c r="I1015" s="172" t="n"/>
      <c r="J1015" s="119" t="n"/>
    </row>
    <row r="1016">
      <c r="A1016" s="119" t="n"/>
      <c r="B1016" s="105" t="n"/>
      <c r="C1016" s="105" t="n"/>
      <c r="D1016" s="170" t="n"/>
      <c r="E1016" s="106" t="n"/>
      <c r="F1016" s="105" t="n"/>
      <c r="G1016" s="171">
        <f>IF(J1016="","",HYPERLINK("#Transaksi!B"&amp;J1016,"Kas"))</f>
        <v/>
      </c>
      <c r="H1016" s="172" t="n"/>
      <c r="I1016" s="172" t="n"/>
      <c r="J1016" s="119" t="n"/>
    </row>
    <row r="1017">
      <c r="A1017" s="119" t="n"/>
      <c r="B1017" s="105" t="n"/>
      <c r="C1017" s="105" t="n"/>
      <c r="D1017" s="170" t="n"/>
      <c r="E1017" s="106" t="n"/>
      <c r="F1017" s="105" t="n"/>
      <c r="G1017" s="171">
        <f>IF(J1017="","",HYPERLINK("#Transaksi!B"&amp;J1017,"Kas"))</f>
        <v/>
      </c>
      <c r="H1017" s="172" t="n"/>
      <c r="I1017" s="172" t="n"/>
      <c r="J1017" s="119" t="n"/>
    </row>
    <row r="1018">
      <c r="A1018" s="119" t="n"/>
      <c r="B1018" s="105" t="n"/>
      <c r="C1018" s="105" t="n"/>
      <c r="D1018" s="170" t="n"/>
      <c r="E1018" s="106" t="n"/>
      <c r="F1018" s="105" t="n"/>
      <c r="G1018" s="171">
        <f>IF(J1018="","",HYPERLINK("#Transaksi!B"&amp;J1018,"Kas"))</f>
        <v/>
      </c>
      <c r="H1018" s="172" t="n"/>
      <c r="I1018" s="172" t="n"/>
      <c r="J1018" s="119" t="n"/>
    </row>
    <row r="1019">
      <c r="A1019" s="119" t="n"/>
      <c r="B1019" s="105" t="n"/>
      <c r="C1019" s="105" t="n"/>
      <c r="D1019" s="170" t="n"/>
      <c r="E1019" s="106" t="n"/>
      <c r="F1019" s="105" t="n"/>
      <c r="G1019" s="171">
        <f>IF(J1019="","",HYPERLINK("#Transaksi!B"&amp;J1019,"Kas"))</f>
        <v/>
      </c>
      <c r="H1019" s="172" t="n"/>
      <c r="I1019" s="172" t="n"/>
      <c r="J1019" s="119" t="n"/>
    </row>
    <row r="1020">
      <c r="A1020" s="119" t="n"/>
      <c r="B1020" s="105" t="n"/>
      <c r="C1020" s="105" t="n"/>
      <c r="D1020" s="170" t="n"/>
      <c r="E1020" s="106" t="n"/>
      <c r="F1020" s="105" t="n"/>
      <c r="G1020" s="171">
        <f>IF(J1020="","",HYPERLINK("#Transaksi!B"&amp;J1020,"Kas"))</f>
        <v/>
      </c>
      <c r="H1020" s="172" t="n"/>
      <c r="I1020" s="172" t="n"/>
      <c r="J1020" s="119" t="n"/>
    </row>
    <row r="1021">
      <c r="A1021" s="119" t="n"/>
      <c r="B1021" s="105" t="n"/>
      <c r="C1021" s="105" t="n"/>
      <c r="D1021" s="170" t="n"/>
      <c r="E1021" s="106" t="n"/>
      <c r="F1021" s="105" t="n"/>
      <c r="G1021" s="171">
        <f>IF(J1021="","",HYPERLINK("#Transaksi!B"&amp;J1021,"Kas"))</f>
        <v/>
      </c>
      <c r="H1021" s="172" t="n"/>
      <c r="I1021" s="172" t="n"/>
      <c r="J1021" s="119" t="n"/>
    </row>
    <row r="1022">
      <c r="A1022" s="119" t="n"/>
      <c r="B1022" s="105" t="n"/>
      <c r="C1022" s="105" t="n"/>
      <c r="D1022" s="170" t="n"/>
      <c r="E1022" s="106" t="n"/>
      <c r="F1022" s="105" t="n"/>
      <c r="G1022" s="171">
        <f>IF(J1022="","",HYPERLINK("#Transaksi!B"&amp;J1022,"Kas"))</f>
        <v/>
      </c>
      <c r="H1022" s="172" t="n"/>
      <c r="I1022" s="172" t="n"/>
      <c r="J1022" s="119" t="n"/>
    </row>
    <row r="1023">
      <c r="A1023" s="119" t="n"/>
      <c r="B1023" s="105" t="n"/>
      <c r="C1023" s="105" t="n"/>
      <c r="D1023" s="170" t="n"/>
      <c r="E1023" s="106" t="n"/>
      <c r="F1023" s="105" t="n"/>
      <c r="G1023" s="171">
        <f>IF(J1023="","",HYPERLINK("#Transaksi!B"&amp;J1023,"Kas"))</f>
        <v/>
      </c>
      <c r="H1023" s="172" t="n"/>
      <c r="I1023" s="172" t="n"/>
      <c r="J1023" s="119" t="n"/>
    </row>
    <row r="1024">
      <c r="A1024" s="119" t="n"/>
      <c r="B1024" s="105" t="n"/>
      <c r="C1024" s="105" t="n"/>
      <c r="D1024" s="170" t="n"/>
      <c r="E1024" s="106" t="n"/>
      <c r="F1024" s="105" t="n"/>
      <c r="G1024" s="171">
        <f>IF(J1024="","",HYPERLINK("#Transaksi!B"&amp;J1024,"Kas"))</f>
        <v/>
      </c>
      <c r="H1024" s="172" t="n"/>
      <c r="I1024" s="172" t="n"/>
      <c r="J1024" s="119" t="n"/>
    </row>
    <row r="1025">
      <c r="A1025" s="119" t="n"/>
      <c r="B1025" s="105" t="n"/>
      <c r="C1025" s="105" t="n"/>
      <c r="D1025" s="170" t="n"/>
      <c r="E1025" s="106" t="n"/>
      <c r="F1025" s="105" t="n"/>
      <c r="G1025" s="171">
        <f>IF(J1025="","",HYPERLINK("#Transaksi!B"&amp;J1025,"Kas"))</f>
        <v/>
      </c>
      <c r="H1025" s="172" t="n"/>
      <c r="I1025" s="172" t="n"/>
      <c r="J1025" s="119" t="n"/>
    </row>
    <row r="1026">
      <c r="A1026" s="119" t="n"/>
      <c r="B1026" s="105" t="n"/>
      <c r="C1026" s="105" t="n"/>
      <c r="D1026" s="170" t="n"/>
      <c r="E1026" s="106" t="n"/>
      <c r="F1026" s="105" t="n"/>
      <c r="G1026" s="171">
        <f>IF(J1026="","",HYPERLINK("#Transaksi!B"&amp;J1026,"Kas"))</f>
        <v/>
      </c>
      <c r="H1026" s="172" t="n"/>
      <c r="I1026" s="172" t="n"/>
      <c r="J1026" s="119" t="n"/>
    </row>
    <row r="1027">
      <c r="A1027" s="119" t="n"/>
      <c r="B1027" s="105" t="n"/>
      <c r="C1027" s="105" t="n"/>
      <c r="D1027" s="170" t="n"/>
      <c r="E1027" s="106" t="n"/>
      <c r="F1027" s="105" t="n"/>
      <c r="G1027" s="171">
        <f>IF(J1027="","",HYPERLINK("#Transaksi!B"&amp;J1027,"Kas"))</f>
        <v/>
      </c>
      <c r="H1027" s="172" t="n"/>
      <c r="I1027" s="172" t="n"/>
      <c r="J1027" s="119" t="n"/>
    </row>
    <row r="1028">
      <c r="A1028" s="119" t="n"/>
      <c r="B1028" s="105" t="n"/>
      <c r="C1028" s="105" t="n"/>
      <c r="D1028" s="170" t="n"/>
      <c r="E1028" s="106" t="n"/>
      <c r="F1028" s="105" t="n"/>
      <c r="G1028" s="171">
        <f>IF(J1028="","",HYPERLINK("#Transaksi!B"&amp;J1028,"Kas"))</f>
        <v/>
      </c>
      <c r="H1028" s="172" t="n"/>
      <c r="I1028" s="172" t="n"/>
      <c r="J1028" s="119" t="n"/>
    </row>
    <row r="1029">
      <c r="A1029" s="119" t="n"/>
      <c r="B1029" s="105" t="n"/>
      <c r="C1029" s="105" t="n"/>
      <c r="D1029" s="170" t="n"/>
      <c r="E1029" s="106" t="n"/>
      <c r="F1029" s="105" t="n"/>
      <c r="G1029" s="171">
        <f>IF(J1029="","",HYPERLINK("#Transaksi!B"&amp;J1029,"Kas"))</f>
        <v/>
      </c>
      <c r="H1029" s="172" t="n"/>
      <c r="I1029" s="172" t="n"/>
      <c r="J1029" s="119" t="n"/>
    </row>
    <row r="1030">
      <c r="A1030" s="119" t="n"/>
      <c r="B1030" s="105" t="n"/>
      <c r="C1030" s="105" t="n"/>
      <c r="D1030" s="170" t="n"/>
      <c r="E1030" s="106" t="n"/>
      <c r="F1030" s="105" t="n"/>
      <c r="G1030" s="171">
        <f>IF(J1030="","",HYPERLINK("#Transaksi!B"&amp;J1030,"Kas"))</f>
        <v/>
      </c>
      <c r="H1030" s="172" t="n"/>
      <c r="I1030" s="172" t="n"/>
      <c r="J1030" s="119" t="n"/>
    </row>
    <row r="1031">
      <c r="A1031" s="119" t="n"/>
      <c r="B1031" s="105" t="n"/>
      <c r="C1031" s="105" t="n"/>
      <c r="D1031" s="170" t="n"/>
      <c r="E1031" s="106" t="n"/>
      <c r="F1031" s="105" t="n"/>
      <c r="G1031" s="171">
        <f>IF(J1031="","",HYPERLINK("#Transaksi!B"&amp;J1031,"Kas"))</f>
        <v/>
      </c>
      <c r="H1031" s="172" t="n"/>
      <c r="I1031" s="172" t="n"/>
      <c r="J1031" s="119" t="n"/>
    </row>
    <row r="1032">
      <c r="A1032" s="119" t="n"/>
      <c r="B1032" s="105" t="n"/>
      <c r="C1032" s="105" t="n"/>
      <c r="D1032" s="170" t="n"/>
      <c r="E1032" s="106" t="n"/>
      <c r="F1032" s="105" t="n"/>
      <c r="G1032" s="171">
        <f>IF(J1032="","",HYPERLINK("#Transaksi!B"&amp;J1032,"Kas"))</f>
        <v/>
      </c>
      <c r="H1032" s="172" t="n"/>
      <c r="I1032" s="172" t="n"/>
      <c r="J1032" s="119" t="n"/>
    </row>
    <row r="1033">
      <c r="A1033" s="119" t="n"/>
      <c r="B1033" s="105" t="n"/>
      <c r="C1033" s="105" t="n"/>
      <c r="D1033" s="170" t="n"/>
      <c r="E1033" s="106" t="n"/>
      <c r="F1033" s="105" t="n"/>
      <c r="G1033" s="171">
        <f>IF(J1033="","",HYPERLINK("#Transaksi!B"&amp;J1033,"Kas"))</f>
        <v/>
      </c>
      <c r="H1033" s="172" t="n"/>
      <c r="I1033" s="172" t="n"/>
      <c r="J1033" s="119" t="n"/>
    </row>
    <row r="1034">
      <c r="A1034" s="119" t="n"/>
      <c r="B1034" s="105" t="n"/>
      <c r="C1034" s="105" t="n"/>
      <c r="D1034" s="170" t="n"/>
      <c r="E1034" s="106" t="n"/>
      <c r="F1034" s="105" t="n"/>
      <c r="G1034" s="171">
        <f>IF(J1034="","",HYPERLINK("#Transaksi!B"&amp;J1034,"Kas"))</f>
        <v/>
      </c>
      <c r="H1034" s="172" t="n"/>
      <c r="I1034" s="172" t="n"/>
      <c r="J1034" s="119" t="n"/>
    </row>
    <row r="1035">
      <c r="A1035" s="119" t="n"/>
      <c r="B1035" s="105" t="n"/>
      <c r="C1035" s="105" t="n"/>
      <c r="D1035" s="170" t="n"/>
      <c r="E1035" s="106" t="n"/>
      <c r="F1035" s="105" t="n"/>
      <c r="G1035" s="171">
        <f>IF(J1035="","",HYPERLINK("#Transaksi!B"&amp;J1035,"Kas"))</f>
        <v/>
      </c>
      <c r="H1035" s="172" t="n"/>
      <c r="I1035" s="172" t="n"/>
      <c r="J1035" s="119" t="n"/>
    </row>
    <row r="1036">
      <c r="A1036" s="119" t="n"/>
      <c r="B1036" s="105" t="n"/>
      <c r="C1036" s="105" t="n"/>
      <c r="D1036" s="170" t="n"/>
      <c r="E1036" s="106" t="n"/>
      <c r="F1036" s="105" t="n"/>
      <c r="G1036" s="171">
        <f>IF(J1036="","",HYPERLINK("#Transaksi!B"&amp;J1036,"Kas"))</f>
        <v/>
      </c>
      <c r="H1036" s="172" t="n"/>
      <c r="I1036" s="172" t="n"/>
      <c r="J1036" s="119" t="n"/>
    </row>
    <row r="1037">
      <c r="A1037" s="119" t="n"/>
      <c r="B1037" s="105" t="n"/>
      <c r="C1037" s="105" t="n"/>
      <c r="D1037" s="170" t="n"/>
      <c r="E1037" s="106" t="n"/>
      <c r="F1037" s="105" t="n"/>
      <c r="G1037" s="171">
        <f>IF(J1037="","",HYPERLINK("#Transaksi!B"&amp;J1037,"Kas"))</f>
        <v/>
      </c>
      <c r="H1037" s="172" t="n"/>
      <c r="I1037" s="172" t="n"/>
      <c r="J1037" s="119" t="n"/>
    </row>
    <row r="1038">
      <c r="A1038" s="119" t="n"/>
      <c r="B1038" s="105" t="n"/>
      <c r="C1038" s="105" t="n"/>
      <c r="D1038" s="170" t="n"/>
      <c r="E1038" s="106" t="n"/>
      <c r="F1038" s="105" t="n"/>
      <c r="G1038" s="171">
        <f>IF(J1038="","",HYPERLINK("#Transaksi!B"&amp;J1038,"Kas"))</f>
        <v/>
      </c>
      <c r="H1038" s="172" t="n"/>
      <c r="I1038" s="172" t="n"/>
      <c r="J1038" s="119" t="n"/>
    </row>
    <row r="1039">
      <c r="A1039" s="119" t="n"/>
      <c r="B1039" s="105" t="n"/>
      <c r="C1039" s="105" t="n"/>
      <c r="D1039" s="170" t="n"/>
      <c r="E1039" s="106" t="n"/>
      <c r="F1039" s="105" t="n"/>
      <c r="G1039" s="171">
        <f>IF(J1039="","",HYPERLINK("#Transaksi!B"&amp;J1039,"Kas"))</f>
        <v/>
      </c>
      <c r="H1039" s="172" t="n"/>
      <c r="I1039" s="172" t="n"/>
      <c r="J1039" s="119" t="n"/>
    </row>
    <row r="1040">
      <c r="A1040" s="119" t="n"/>
      <c r="B1040" s="105" t="n"/>
      <c r="C1040" s="105" t="n"/>
      <c r="D1040" s="170" t="n"/>
      <c r="E1040" s="106" t="n"/>
      <c r="F1040" s="105" t="n"/>
      <c r="G1040" s="171">
        <f>IF(J1040="","",HYPERLINK("#Transaksi!B"&amp;J1040,"Kas"))</f>
        <v/>
      </c>
      <c r="H1040" s="172" t="n"/>
      <c r="I1040" s="172" t="n"/>
      <c r="J1040" s="119" t="n"/>
    </row>
    <row r="1041">
      <c r="A1041" s="119" t="n"/>
      <c r="B1041" s="105" t="n"/>
      <c r="C1041" s="105" t="n"/>
      <c r="D1041" s="170" t="n"/>
      <c r="E1041" s="106" t="n"/>
      <c r="F1041" s="105" t="n"/>
      <c r="G1041" s="171">
        <f>IF(J1041="","",HYPERLINK("#Transaksi!B"&amp;J1041,"Kas"))</f>
        <v/>
      </c>
      <c r="H1041" s="172" t="n"/>
      <c r="I1041" s="172" t="n"/>
      <c r="J1041" s="119" t="n"/>
    </row>
    <row r="1042">
      <c r="A1042" s="119" t="n"/>
      <c r="B1042" s="105" t="n"/>
      <c r="C1042" s="105" t="n"/>
      <c r="D1042" s="170" t="n"/>
      <c r="E1042" s="106" t="n"/>
      <c r="F1042" s="105" t="n"/>
      <c r="G1042" s="171">
        <f>IF(J1042="","",HYPERLINK("#Transaksi!B"&amp;J1042,"Kas"))</f>
        <v/>
      </c>
      <c r="H1042" s="172" t="n"/>
      <c r="I1042" s="172" t="n"/>
      <c r="J1042" s="119" t="n"/>
    </row>
    <row r="1043">
      <c r="A1043" s="119" t="n"/>
      <c r="B1043" s="105" t="n"/>
      <c r="C1043" s="105" t="n"/>
      <c r="D1043" s="170" t="n"/>
      <c r="E1043" s="106" t="n"/>
      <c r="F1043" s="105" t="n"/>
      <c r="G1043" s="171">
        <f>IF(J1043="","",HYPERLINK("#Transaksi!B"&amp;J1043,"Kas"))</f>
        <v/>
      </c>
      <c r="H1043" s="172" t="n"/>
      <c r="I1043" s="172" t="n"/>
      <c r="J1043" s="119" t="n"/>
    </row>
    <row r="1044">
      <c r="A1044" s="119" t="n"/>
      <c r="B1044" s="105" t="n"/>
      <c r="C1044" s="105" t="n"/>
      <c r="D1044" s="170" t="n"/>
      <c r="E1044" s="106" t="n"/>
      <c r="F1044" s="105" t="n"/>
      <c r="G1044" s="171">
        <f>IF(J1044="","",HYPERLINK("#Transaksi!B"&amp;J1044,"Kas"))</f>
        <v/>
      </c>
      <c r="H1044" s="172" t="n"/>
      <c r="I1044" s="172" t="n"/>
      <c r="J1044" s="119" t="n"/>
    </row>
    <row r="1045">
      <c r="A1045" s="119" t="n"/>
      <c r="B1045" s="105" t="n"/>
      <c r="C1045" s="105" t="n"/>
      <c r="D1045" s="170" t="n"/>
      <c r="E1045" s="106" t="n"/>
      <c r="F1045" s="105" t="n"/>
      <c r="G1045" s="171">
        <f>IF(J1045="","",HYPERLINK("#Transaksi!B"&amp;J1045,"Kas"))</f>
        <v/>
      </c>
      <c r="H1045" s="172" t="n"/>
      <c r="I1045" s="172" t="n"/>
      <c r="J1045" s="119" t="n"/>
    </row>
    <row r="1046">
      <c r="A1046" s="119" t="n"/>
      <c r="B1046" s="105" t="n"/>
      <c r="C1046" s="105" t="n"/>
      <c r="D1046" s="170" t="n"/>
      <c r="E1046" s="106" t="n"/>
      <c r="F1046" s="105" t="n"/>
      <c r="G1046" s="171">
        <f>IF(J1046="","",HYPERLINK("#Transaksi!B"&amp;J1046,"Kas"))</f>
        <v/>
      </c>
      <c r="H1046" s="172" t="n"/>
      <c r="I1046" s="172" t="n"/>
      <c r="J1046" s="119" t="n"/>
    </row>
  </sheetData>
  <mergeCells count="5">
    <mergeCell ref="A2:K2"/>
    <mergeCell ref="A45:I45"/>
    <mergeCell ref="A4:I4"/>
    <mergeCell ref="A1:K1"/>
    <mergeCell ref="A21:I2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xl/worksheets/sheet18.xml><?xml version="1.0" encoding="utf-8"?>
<worksheet xmlns="http://schemas.openxmlformats.org/spreadsheetml/2006/main">
  <sheetPr filterMode="0">
    <tabColor rgb="FFE9C46A"/>
    <outlinePr summaryBelow="1" summaryRight="1"/>
    <pageSetUpPr fitToPage="0"/>
  </sheetPr>
  <dimension ref="A1:H4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421875" defaultRowHeight="15" zeroHeight="0" outlineLevelRow="0"/>
  <cols>
    <col width="2.96" customWidth="1" style="93" min="1" max="1"/>
    <col width="27.98" customWidth="1" style="93" min="2" max="2"/>
    <col width="16.95" customWidth="1" style="93" min="3" max="4"/>
    <col width="14.93" customWidth="1" style="93" min="5" max="5"/>
    <col width="13.99" customWidth="1" style="93" min="6" max="6"/>
    <col width="16.95" customWidth="1" style="93" min="7" max="7"/>
    <col width="22.06" customWidth="1" style="93" min="8" max="8"/>
  </cols>
  <sheetData>
    <row r="1" ht="30" customHeight="1" s="94">
      <c r="A1" s="95" t="inlineStr">
        <is>
          <t>PERENCANAAN KEUANGAN (terhubung ke investasi)</t>
        </is>
      </c>
    </row>
    <row r="2" ht="30" customHeight="1" s="94">
      <c r="A2" s="98" t="inlineStr">
        <is>
          <t>Target diambil dari file portofoliomu; nilai "sudah terkumpul" otomatis dari tab Investasi Reksadana. Isi tenggat (sel kuning) untuk menghitung tabungan per bulan yang dibutuhkan.</t>
        </is>
      </c>
    </row>
    <row r="3"/>
    <row r="4" ht="15" customHeight="1" s="94">
      <c r="B4" s="101" t="inlineStr">
        <is>
          <t>A. KEMAMPUAN MENABUNG (rata-rata 6 bulan terakhir)</t>
        </is>
      </c>
      <c r="C4" s="102" t="n"/>
      <c r="D4" s="102" t="n"/>
      <c r="E4" s="102" t="n"/>
      <c r="F4" s="102" t="n"/>
    </row>
    <row r="5" ht="15" customHeight="1" s="94">
      <c r="B5" s="164" t="inlineStr">
        <is>
          <t>Pendapatan gaji + jasa</t>
        </is>
      </c>
      <c r="D5" s="166">
        <f>(SUMIFS(Transaksi!$F$16:$F$5015,Transaksi!$G$16:$G$5015,"Pendapatan",Transaksi!$B$16:$B$5015,"&gt;="&amp;EDATE(DATE(YEAR(TODAY()),MONTH(TODAY()),1),-6),Transaksi!$B$16:$B$5015,"&lt;="&amp;EOMONTH(TODAY(),-1),Transaksi!$H$16:$H$5015,"Gaji")+SUMIFS(Transaksi!$F$16:$F$5015,Transaksi!$G$16:$G$5015,"Pendapatan",Transaksi!$B$16:$B$5015,"&gt;="&amp;EDATE(DATE(YEAR(TODAY()),MONTH(TODAY()),1),-6),Transaksi!$B$16:$B$5015,"&lt;="&amp;EOMONTH(TODAY(),-1),Transaksi!$H$16:$H$5015,"Jasa"))/6</f>
        <v/>
      </c>
    </row>
    <row r="6" ht="15" customHeight="1" s="94">
      <c r="B6" s="164" t="inlineStr">
        <is>
          <t>Pengeluaran gaji + jasa (tanpa tabungan)</t>
        </is>
      </c>
      <c r="D6" s="166">
        <f>(SUMIFS(Transaksi!$F$16:$F$5015,Transaksi!$G$16:$G$5015,"Pengeluaran",Transaksi!$B$16:$B$5015,"&gt;="&amp;EDATE(DATE(YEAR(TODAY()),MONTH(TODAY()),1),-6),Transaksi!$B$16:$B$5015,"&lt;="&amp;EOMONTH(TODAY(),-1),Transaksi!$H$16:$H$5015,"Pengeluaran Gaji")+SUMIFS(Transaksi!$F$16:$F$5015,Transaksi!$G$16:$G$5015,"Pengeluaran",Transaksi!$B$16:$B$5015,"&gt;="&amp;EDATE(DATE(YEAR(TODAY()),MONTH(TODAY()),1),-6),Transaksi!$B$16:$B$5015,"&lt;="&amp;EOMONTH(TODAY(),-1),Transaksi!$H$16:$H$5015,"Pengeluaran Jasa")-SUMIFS(Transaksi!$F$16:$F$5015,Transaksi!$G$16:$G$5015,"Pengeluaran",Transaksi!$I$16:$I$5015,"Tabungan*",Transaksi!$B$16:$B$5015,"&gt;="&amp;EDATE(DATE(YEAR(TODAY()),MONTH(TODAY()),1),-6),Transaksi!$B$16:$B$5015,"&lt;="&amp;EOMONTH(TODAY(),-1)))/6</f>
        <v/>
      </c>
    </row>
    <row r="7" ht="15" customHeight="1" s="94">
      <c r="B7" s="108" t="inlineStr">
        <is>
          <t>Bisa ditabung per bulan</t>
        </is>
      </c>
      <c r="D7" s="166">
        <f>D5-D6</f>
        <v/>
      </c>
    </row>
    <row r="8" ht="15" customHeight="1" s="94">
      <c r="B8" s="114" t="inlineStr">
        <is>
          <t>Sumber: tab Transaksi (Pendapatan Gaji &amp; Jasa, Pengeluaran Gaji &amp; Jasa, 6 bulan penuh terakhir).</t>
        </is>
      </c>
    </row>
    <row r="9"/>
    <row r="10" ht="15" customHeight="1" s="94">
      <c r="B10" s="101" t="inlineStr">
        <is>
          <t>B. TUJUAN KEUANGAN</t>
        </is>
      </c>
      <c r="C10" s="102" t="n"/>
      <c r="D10" s="102" t="n"/>
      <c r="E10" s="102" t="n"/>
      <c r="F10" s="102" t="n"/>
      <c r="G10" s="102" t="n"/>
      <c r="H10" s="102" t="n"/>
    </row>
    <row r="11" ht="15" customHeight="1" s="94">
      <c r="B11" s="103" t="inlineStr">
        <is>
          <t>Tujuan</t>
        </is>
      </c>
      <c r="C11" s="103" t="inlineStr">
        <is>
          <t>Target</t>
        </is>
      </c>
      <c r="D11" s="103" t="inlineStr">
        <is>
          <t>Sudah terkumpul</t>
        </is>
      </c>
      <c r="E11" s="103" t="inlineStr">
        <is>
          <t>Kurang</t>
        </is>
      </c>
      <c r="F11" s="103" t="inlineStr">
        <is>
          <t>Tenggat</t>
        </is>
      </c>
      <c r="G11" s="103" t="inlineStr">
        <is>
          <t>Perlu per bulan</t>
        </is>
      </c>
      <c r="H11" s="103" t="inlineStr">
        <is>
          <t>Status</t>
        </is>
      </c>
    </row>
    <row r="12" ht="15" customHeight="1" s="94">
      <c r="B12" s="127" t="inlineStr">
        <is>
          <t>Dana Darurat</t>
        </is>
      </c>
      <c r="C12" s="175">
        <f>6*D6</f>
        <v/>
      </c>
      <c r="D12" s="106">
        <f>'Investasi Reksadana'!D6</f>
        <v/>
      </c>
      <c r="E12" s="106">
        <f>IF(C12="","",MAX(0,C12-D12))</f>
        <v/>
      </c>
      <c r="F12" s="179" t="n"/>
      <c r="G12" s="113">
        <f>IF(OR(F12="",E12=""),"",E12/MAX(1,DATEDIF(TODAY(),F12,"m")))</f>
        <v/>
      </c>
      <c r="H12" s="127">
        <f>IF(C12="","Isi target",IF(E12=0,"Tercapai ✓",IF(G12="","Isi tenggat",IF(G12&lt;=$D$7,"Sesuai jalur","Perlu usaha lebih"))))</f>
        <v/>
      </c>
    </row>
    <row r="13" ht="15" customHeight="1" s="94">
      <c r="B13" s="127" t="inlineStr">
        <is>
          <t>Dana Kuliah</t>
        </is>
      </c>
      <c r="C13" s="175">
        <f>D37</f>
        <v/>
      </c>
      <c r="D13" s="106">
        <f>D38+'Investasi Reksadana'!D7</f>
        <v/>
      </c>
      <c r="E13" s="106">
        <f>IF(C13="","",MAX(0,C13-D13))</f>
        <v/>
      </c>
      <c r="F13" s="179" t="n"/>
      <c r="G13" s="113">
        <f>IF(OR(F13="",E13=""),"",E13/MAX(1,DATEDIF(TODAY(),F13,"m")))</f>
        <v/>
      </c>
      <c r="H13" s="127">
        <f>IF(C13="","Isi target",IF(E13=0,"Tercapai ✓",IF(G13="","Isi tenggat",IF(G13&lt;=$D$7,"Sesuai jalur","Perlu usaha lebih"))))</f>
        <v/>
      </c>
    </row>
    <row r="14" ht="15" customHeight="1" s="94">
      <c r="B14" s="127" t="inlineStr">
        <is>
          <t>Dana Beli Laptop</t>
        </is>
      </c>
      <c r="C14" s="175" t="n">
        <v>6000000</v>
      </c>
      <c r="D14" s="106">
        <f>'Investasi Reksadana'!D8</f>
        <v/>
      </c>
      <c r="E14" s="106">
        <f>IF(C14="","",MAX(0,C14-D14))</f>
        <v/>
      </c>
      <c r="F14" s="179" t="n"/>
      <c r="G14" s="113">
        <f>IF(OR(F14="",E14=""),"",E14/MAX(1,DATEDIF(TODAY(),F14,"m")))</f>
        <v/>
      </c>
      <c r="H14" s="127">
        <f>IF(C14="","Isi target",IF(E14=0,"Tercapai ✓",IF(G14="","Isi tenggat",IF(G14&lt;=$D$7,"Sesuai jalur","Perlu usaha lebih"))))</f>
        <v/>
      </c>
    </row>
    <row r="15" ht="15" customHeight="1" s="94">
      <c r="B15" s="127" t="inlineStr">
        <is>
          <t>Dana Keinginan</t>
        </is>
      </c>
      <c r="C15" s="175" t="n"/>
      <c r="D15" s="106">
        <f>'Investasi Reksadana'!D9</f>
        <v/>
      </c>
      <c r="E15" s="106">
        <f>IF(C15="","",MAX(0,C15-D15))</f>
        <v/>
      </c>
      <c r="F15" s="179" t="n"/>
      <c r="G15" s="113">
        <f>IF(OR(F15="",E15=""),"",E15/MAX(1,DATEDIF(TODAY(),F15,"m")))</f>
        <v/>
      </c>
      <c r="H15" s="127">
        <f>IF(C15="","Isi target",IF(E15=0,"Tercapai ✓",IF(G15="","Isi tenggat",IF(G15&lt;=$D$7,"Sesuai jalur","Perlu usaha lebih"))))</f>
        <v/>
      </c>
    </row>
    <row r="16" ht="15" customHeight="1" s="94">
      <c r="B16" s="180" t="n"/>
      <c r="C16" s="175" t="n"/>
      <c r="D16" s="175" t="n"/>
      <c r="E16" s="106">
        <f>IF(C16="","",MAX(0,C16-D16))</f>
        <v/>
      </c>
      <c r="F16" s="179" t="n"/>
      <c r="G16" s="113">
        <f>IF(OR(F16="",E16=""),"",E16/MAX(1,DATEDIF(TODAY(),F16,"m")))</f>
        <v/>
      </c>
      <c r="H16" s="127">
        <f>IF(B16="","",IF(E16=0,"Tercapai ✓",IF(G16="","Isi tenggat",IF(G16&lt;=$D$7,"Sesuai jalur","Perlu usaha lebih"))))</f>
        <v/>
      </c>
    </row>
    <row r="17" ht="15" customHeight="1" s="94">
      <c r="B17" s="180" t="n"/>
      <c r="C17" s="175" t="n"/>
      <c r="D17" s="175" t="n"/>
      <c r="E17" s="106">
        <f>IF(C17="","",MAX(0,C17-D17))</f>
        <v/>
      </c>
      <c r="F17" s="179" t="n"/>
      <c r="G17" s="113">
        <f>IF(OR(F17="",E17=""),"",E17/MAX(1,DATEDIF(TODAY(),F17,"m")))</f>
        <v/>
      </c>
      <c r="H17" s="127">
        <f>IF(B17="","",IF(E17=0,"Tercapai ✓",IF(G17="","Isi tenggat",IF(G17&lt;=$D$7,"Sesuai jalur","Perlu usaha lebih"))))</f>
        <v/>
      </c>
    </row>
    <row r="18" ht="15" customHeight="1" s="94">
      <c r="B18" s="180" t="n"/>
      <c r="C18" s="175" t="n"/>
      <c r="D18" s="175" t="n"/>
      <c r="E18" s="106">
        <f>IF(C18="","",MAX(0,C18-D18))</f>
        <v/>
      </c>
      <c r="F18" s="179" t="n"/>
      <c r="G18" s="113">
        <f>IF(OR(F18="",E18=""),"",E18/MAX(1,DATEDIF(TODAY(),F18,"m")))</f>
        <v/>
      </c>
      <c r="H18" s="127">
        <f>IF(B18="","",IF(E18=0,"Tercapai ✓",IF(G18="","Isi tenggat",IF(G18&lt;=$D$7,"Sesuai jalur","Perlu usaha lebih"))))</f>
        <v/>
      </c>
    </row>
    <row r="19" ht="15" customHeight="1" s="94">
      <c r="B19" s="180" t="n"/>
      <c r="C19" s="175" t="n"/>
      <c r="D19" s="175" t="n"/>
      <c r="E19" s="106">
        <f>IF(C19="","",MAX(0,C19-D19))</f>
        <v/>
      </c>
      <c r="F19" s="179" t="n"/>
      <c r="G19" s="113">
        <f>IF(OR(F19="",E19=""),"",E19/MAX(1,DATEDIF(TODAY(),F19,"m")))</f>
        <v/>
      </c>
      <c r="H19" s="127">
        <f>IF(B19="","",IF(E19=0,"Tercapai ✓",IF(G19="","Isi tenggat",IF(G19&lt;=$D$7,"Sesuai jalur","Perlu usaha lebih"))))</f>
        <v/>
      </c>
    </row>
    <row r="20" ht="15" customHeight="1" s="94">
      <c r="B20" s="180" t="n"/>
      <c r="C20" s="175" t="n"/>
      <c r="D20" s="175" t="n"/>
      <c r="E20" s="106">
        <f>IF(C20="","",MAX(0,C20-D20))</f>
        <v/>
      </c>
      <c r="F20" s="179" t="n"/>
      <c r="G20" s="113">
        <f>IF(OR(F20="",E20=""),"",E20/MAX(1,DATEDIF(TODAY(),F20,"m")))</f>
        <v/>
      </c>
      <c r="H20" s="127">
        <f>IF(B20="","",IF(E20=0,"Tercapai ✓",IF(G20="","Isi tenggat",IF(G20&lt;=$D$7,"Sesuai jalur","Perlu usaha lebih"))))</f>
        <v/>
      </c>
    </row>
    <row r="21" ht="15" customHeight="1" s="94">
      <c r="B21" s="180" t="n"/>
      <c r="C21" s="175" t="n"/>
      <c r="D21" s="175" t="n"/>
      <c r="E21" s="106">
        <f>IF(C21="","",MAX(0,C21-D21))</f>
        <v/>
      </c>
      <c r="F21" s="179" t="n"/>
      <c r="G21" s="113">
        <f>IF(OR(F21="",E21=""),"",E21/MAX(1,DATEDIF(TODAY(),F21,"m")))</f>
        <v/>
      </c>
      <c r="H21" s="127">
        <f>IF(B21="","",IF(E21=0,"Tercapai ✓",IF(G21="","Isi tenggat",IF(G21&lt;=$D$7,"Sesuai jalur","Perlu usaha lebih"))))</f>
        <v/>
      </c>
    </row>
    <row r="22"/>
    <row r="23" ht="21.75" customHeight="1" s="94">
      <c r="B23" s="114" t="inlineStr">
        <is>
          <t>Dana Darurat: target = 6× pengeluaran bulanan. Nilai terkumpul Dana Darurat/Kuliah/Laptop/Keinginan diambil dari nilai reksadana per tujuan. Baris kosong di bawahnya untuk tujuan baru (isi sendiri). Dana Kuliah: target = total biaya sampai wisuda (bagian D); sudah terkumpul = yang sudah dibayar + nilai Dana Kuliah sekarang.</t>
        </is>
      </c>
    </row>
    <row r="24"/>
    <row r="25" ht="15" customHeight="1" s="94">
      <c r="B25" s="101" t="inlineStr">
        <is>
          <t>C. RINGKASAN INVESTASI</t>
        </is>
      </c>
      <c r="C25" s="102" t="n"/>
      <c r="D25" s="102" t="n"/>
      <c r="E25" s="102" t="n"/>
      <c r="F25" s="102" t="n"/>
    </row>
    <row r="26" ht="15" customHeight="1" s="94">
      <c r="B26" s="164" t="inlineStr">
        <is>
          <t>Nilai saham</t>
        </is>
      </c>
      <c r="D26" s="166">
        <f>'Investasi Saham'!E26</f>
        <v/>
      </c>
    </row>
    <row r="27" ht="15" customHeight="1" s="94">
      <c r="B27" s="164" t="inlineStr">
        <is>
          <t>Nilai reksadana pribadi</t>
        </is>
      </c>
      <c r="D27" s="166">
        <f>'Investasi Reksadana'!D18</f>
        <v/>
      </c>
    </row>
    <row r="28" ht="15" customHeight="1" s="94">
      <c r="B28" s="108" t="inlineStr">
        <is>
          <t>Total investasi pribadi</t>
        </is>
      </c>
      <c r="D28" s="166">
        <f>D26+D27</f>
        <v/>
      </c>
    </row>
    <row r="29"/>
    <row r="30" ht="15" customHeight="1" s="94">
      <c r="B30" s="101" t="inlineStr">
        <is>
          <t>D. RINCIAN BIAYA KULIAH SAMPAI WISUDA</t>
        </is>
      </c>
      <c r="C30" s="102" t="n"/>
      <c r="D30" s="102" t="n"/>
      <c r="E30" s="102" t="n"/>
      <c r="F30" s="102" t="n"/>
      <c r="G30" s="102" t="n"/>
      <c r="H30" s="102" t="n"/>
    </row>
    <row r="31" ht="23.25" customHeight="1" s="94">
      <c r="B31" s="103" t="inlineStr">
        <is>
          <t>Biaya</t>
        </is>
      </c>
      <c r="C31" s="103" t="inlineStr">
        <is>
          <t>Jumlah biaya</t>
        </is>
      </c>
      <c r="D31" s="103" t="inlineStr">
        <is>
          <t>Sudah dibayar</t>
        </is>
      </c>
      <c r="E31" s="103" t="inlineStr">
        <is>
          <t>Sisa</t>
        </is>
      </c>
      <c r="F31" s="103" t="inlineStr">
        <is>
          <t>Status</t>
        </is>
      </c>
      <c r="G31" s="103" t="inlineStr">
        <is>
          <t>Transaksi pembayaran</t>
        </is>
      </c>
    </row>
    <row r="32" ht="15" customHeight="1" s="94">
      <c r="B32" s="127" t="inlineStr">
        <is>
          <t>Biaya S1 Keperawatan</t>
        </is>
      </c>
      <c r="C32" s="93" t="n">
        <v>18000000</v>
      </c>
      <c r="D32" s="106">
        <f>Transaksi!F1320+Transaksi!F1321+Transaksi!F2678</f>
        <v/>
      </c>
      <c r="E32" s="106">
        <f>MAX(0,C32-D32)</f>
        <v/>
      </c>
      <c r="F32" s="179">
        <f>IF(E32=0,"Lunas ✓","Belum")</f>
        <v/>
      </c>
      <c r="G32" s="113">
        <f>HYPERLINK("#Transaksi!A2678","Buka (3 transaksi)")</f>
        <v/>
      </c>
    </row>
    <row r="33" ht="15" customHeight="1" s="94">
      <c r="B33" s="127" t="inlineStr">
        <is>
          <t>Biaya Ners Keperawatan</t>
        </is>
      </c>
      <c r="C33" s="93" t="n">
        <v>18000000</v>
      </c>
      <c r="D33" s="106" t="n">
        <v>0</v>
      </c>
      <c r="E33" s="106">
        <f>MAX(0,C33-D33)</f>
        <v/>
      </c>
      <c r="F33" s="179">
        <f>IF(E33=0,"Lunas ✓","Belum")</f>
        <v/>
      </c>
      <c r="G33" s="113" t="inlineStr">
        <is>
          <t>belum ada</t>
        </is>
      </c>
    </row>
    <row r="34" ht="15" customHeight="1" s="94">
      <c r="B34" s="127" t="inlineStr">
        <is>
          <t>Joki skripsi</t>
        </is>
      </c>
      <c r="C34" s="93" t="n">
        <v>4000000</v>
      </c>
      <c r="D34" s="106">
        <f>Transaksi!F2501</f>
        <v/>
      </c>
      <c r="E34" s="106">
        <f>MAX(0,C34-D34)</f>
        <v/>
      </c>
      <c r="F34" s="179">
        <f>IF(E34=0,"Lunas ✓","Belum")</f>
        <v/>
      </c>
      <c r="G34" s="113">
        <f>HYPERLINK("#Transaksi!A2501","Buka (1 transaksi)")</f>
        <v/>
      </c>
    </row>
    <row r="35" ht="15" customHeight="1" s="94">
      <c r="B35" s="127" t="inlineStr">
        <is>
          <t>Uang ujian skripsi</t>
        </is>
      </c>
      <c r="C35" s="93" t="n">
        <v>250000</v>
      </c>
      <c r="D35" s="106">
        <f>Transaksi!F2588</f>
        <v/>
      </c>
      <c r="E35" s="106">
        <f>MAX(0,C35-D35)</f>
        <v/>
      </c>
      <c r="F35" s="179">
        <f>IF(E35=0,"Lunas ✓","Belum")</f>
        <v/>
      </c>
      <c r="G35" s="113">
        <f>HYPERLINK("#Transaksi!A2588","Buka (1 transaksi)")</f>
        <v/>
      </c>
    </row>
    <row r="36" ht="15" customHeight="1" s="94">
      <c r="B36" s="127" t="inlineStr">
        <is>
          <t>Travel jemput baju kampus</t>
        </is>
      </c>
      <c r="C36" s="93" t="n">
        <v>11000</v>
      </c>
      <c r="D36" s="106">
        <f>Transaksi!F2636</f>
        <v/>
      </c>
      <c r="E36" s="106">
        <f>MAX(0,C36-D36)</f>
        <v/>
      </c>
      <c r="F36" s="179">
        <f>IF(E36=0,"Lunas ✓","Belum")</f>
        <v/>
      </c>
      <c r="G36" s="113">
        <f>HYPERLINK("#Transaksi!A2636","Buka (1 transaksi)")</f>
        <v/>
      </c>
    </row>
    <row r="37" ht="15" customHeight="1" s="94">
      <c r="B37" s="164" t="inlineStr">
        <is>
          <t>Total biaya sampai wisuda</t>
        </is>
      </c>
      <c r="D37" s="166">
        <f>SUM(C32:C36)</f>
        <v/>
      </c>
    </row>
    <row r="38" ht="15" customHeight="1" s="94">
      <c r="B38" s="164" t="inlineStr">
        <is>
          <t>Sudah dibayar</t>
        </is>
      </c>
      <c r="D38" s="166">
        <f>SUMPRODUCT((D32:D36&lt;C32:C36)*D32:D36+(D32:D36&gt;=C32:C36)*C32:C36)</f>
        <v/>
      </c>
    </row>
    <row r="39" ht="15" customHeight="1" s="94">
      <c r="B39" s="164" t="inlineStr">
        <is>
          <t>Sisa biaya yang harus disiapkan</t>
        </is>
      </c>
      <c r="D39" s="166">
        <f>SUM(E32:E36)</f>
        <v/>
      </c>
    </row>
    <row r="40" ht="15" customHeight="1" s="94">
      <c r="B40" s="164" t="inlineStr">
        <is>
          <t>Dana Kuliah sekarang (nilai reksadana)</t>
        </is>
      </c>
      <c r="D40" s="166">
        <f>'Investasi Reksadana'!D7</f>
        <v/>
      </c>
    </row>
    <row r="41" ht="15" customHeight="1" s="94">
      <c r="B41" s="164" t="inlineStr">
        <is>
          <t>Lebih (+) / kurang (−)</t>
        </is>
      </c>
      <c r="D41" s="166">
        <f>D40-D39</f>
        <v/>
      </c>
    </row>
    <row r="42" ht="42" customHeight="1" s="94">
      <c r="B42" s="181" t="inlineStr">
        <is>
          <t>Dana Kuliah dipakai untuk S1 (Rp6.000.000 Sep 2025 + Rp12.002.500 Agu 2026) dan joki skripsi (Rp4.000.000 Jul 2026). Uang ujian &amp; travel dibayar dengan pinjam uang riba lalu diganti dari GoPay tabungan (7 Sep 2026). Tambah baris biaya baru di atas baris total bila ada biaya lain.</t>
        </is>
      </c>
    </row>
  </sheetData>
  <mergeCells count="15">
    <mergeCell ref="B4:F4"/>
    <mergeCell ref="A1:H1"/>
    <mergeCell ref="B6:C6"/>
    <mergeCell ref="B42:H42"/>
    <mergeCell ref="B7:C7"/>
    <mergeCell ref="B5:C5"/>
    <mergeCell ref="A2:H2"/>
    <mergeCell ref="B25:F25"/>
    <mergeCell ref="B28:C28"/>
    <mergeCell ref="B30:H30"/>
    <mergeCell ref="B10:H10"/>
    <mergeCell ref="B26:C26"/>
    <mergeCell ref="B27:C27"/>
    <mergeCell ref="B8:F8"/>
    <mergeCell ref="B23:H2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9.xml><?xml version="1.0" encoding="utf-8"?>
<worksheet xmlns="http://schemas.openxmlformats.org/spreadsheetml/2006/main">
  <sheetPr filterMode="0">
    <outlinePr summaryBelow="1" summaryRight="1"/>
    <pageSetUpPr fitToPage="0"/>
  </sheetPr>
  <dimension ref="A1:H104"/>
  <sheetViews>
    <sheetView showFormulas="0" showGridLines="0" showRowColHeaders="1" showZeros="1" rightToLeft="0" tabSelected="0" showOutlineSymbols="1" defaultGridColor="1"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C5" activeCellId="0" sqref="C5"/>
    </sheetView>
  </sheetViews>
  <sheetFormatPr baseColWidth="8" defaultColWidth="8.7421875" defaultRowHeight="15" zeroHeight="0" outlineLevelRow="0"/>
  <cols>
    <col width="25.97" customWidth="1" style="93" min="1" max="1"/>
    <col width="20.05" customWidth="1" style="93" min="2" max="2"/>
    <col width="14.93" customWidth="1" style="93" min="3" max="4"/>
    <col width="16.95" customWidth="1" style="93" min="5" max="5"/>
    <col width="69.95" customWidth="1" style="93" min="6" max="6"/>
  </cols>
  <sheetData>
    <row r="1" ht="30" customHeight="1" s="94">
      <c r="A1" s="95" t="inlineStr">
        <is>
          <t>DAFTAR AKUN</t>
        </is>
      </c>
    </row>
    <row r="2" ht="30" customHeight="1" s="94">
      <c r="A2" s="98" t="inlineStr">
        <is>
          <t>Tambah akun baru di baris kosong (boleh disisipkan). Saldo awal dihitung mulai "Tanggal saldo awal". Cara melacak saldo: lihat tab Saldo Akun, atau di tab Transaksi pilih Akun = nama akun.</t>
        </is>
      </c>
    </row>
    <row r="3"/>
    <row r="4" ht="24.75" customHeight="1" s="94">
      <c r="A4" s="103" t="inlineStr">
        <is>
          <t>Nama Akun</t>
        </is>
      </c>
      <c r="B4" s="103" t="inlineStr">
        <is>
          <t>Kelompok</t>
        </is>
      </c>
      <c r="C4" s="103" t="inlineStr">
        <is>
          <t>Saldo Awal</t>
        </is>
      </c>
      <c r="D4" s="103" t="inlineStr">
        <is>
          <t>Tanggal Saldo Awal</t>
        </is>
      </c>
      <c r="E4" s="103" t="inlineStr">
        <is>
          <t>Saldo Sekarang</t>
        </is>
      </c>
      <c r="F4" s="103" t="inlineStr">
        <is>
          <t>Keterangan</t>
        </is>
      </c>
    </row>
    <row r="5" ht="24.75" customHeight="1" s="94">
      <c r="A5" s="127" t="n"/>
      <c r="B5" s="105" t="n"/>
      <c r="C5" s="175" t="n"/>
      <c r="D5" s="179" t="n"/>
      <c r="E5" s="113">
        <f>IF(A5="","",(SUMIFS(Akun!$C$5:$C$104,Akun!$A$5:$A$104,A5,Akun!$D$5:$D$104,"&lt;="&amp;TODAY())+SUMIFS(Transaksi!$F$16:$F$5015,Transaksi!$C$16:$C$5015,A5,Transaksi!$D$16:$D$5015,"Masuk",Transaksi!$B$16:$B$5015,"&lt;="&amp;TODAY())-SUMIFS(Transaksi!$F$16:$F$5015,Transaksi!$C$16:$C$5015,A5,Transaksi!$D$16:$D$5015,"Keluar",Transaksi!$B$16:$B$5015,"&lt;="&amp;TODAY())-SUMIFS(Transaksi!$F$16:$F$5015,Transaksi!$C$16:$C$5015,A5,Transaksi!$D$16:$D$5015,"Pindah",Transaksi!$B$16:$B$5015,"&lt;="&amp;TODAY())+SUMIFS(Transaksi!$F$16:$F$5015,Transaksi!$E$16:$E$5015,A5,Transaksi!$D$16:$D$5015,"Pindah",Transaksi!$B$16:$B$5015,"&lt;="&amp;TODAY())))</f>
        <v/>
      </c>
      <c r="F5" s="172" t="inlineStr">
        <is>
          <t>Termasuk Rp200 sisa Agustus 2025 yang memang masih ada di dompet sampai sekarang.</t>
        </is>
      </c>
    </row>
    <row r="6" ht="15" customHeight="1" s="94">
      <c r="A6" s="127" t="n"/>
      <c r="B6" s="105" t="n"/>
      <c r="C6" s="175" t="n"/>
      <c r="D6" s="179" t="n"/>
      <c r="E6" s="113">
        <f>IF(A6="","",(SUMIFS(Akun!$C$5:$C$104,Akun!$A$5:$A$104,A6,Akun!$D$5:$D$104,"&lt;="&amp;TODAY())+SUMIFS(Transaksi!$F$16:$F$5015,Transaksi!$C$16:$C$5015,A6,Transaksi!$D$16:$D$5015,"Masuk",Transaksi!$B$16:$B$5015,"&lt;="&amp;TODAY())-SUMIFS(Transaksi!$F$16:$F$5015,Transaksi!$C$16:$C$5015,A6,Transaksi!$D$16:$D$5015,"Keluar",Transaksi!$B$16:$B$5015,"&lt;="&amp;TODAY())-SUMIFS(Transaksi!$F$16:$F$5015,Transaksi!$C$16:$C$5015,A6,Transaksi!$D$16:$D$5015,"Pindah",Transaksi!$B$16:$B$5015,"&lt;="&amp;TODAY())+SUMIFS(Transaksi!$F$16:$F$5015,Transaksi!$E$16:$E$5015,A6,Transaksi!$D$16:$D$5015,"Pindah",Transaksi!$B$16:$B$5015,"&lt;="&amp;TODAY())))</f>
        <v/>
      </c>
      <c r="F6" s="172" t="n"/>
    </row>
    <row r="7" ht="15" customHeight="1" s="94">
      <c r="A7" s="127" t="n"/>
      <c r="B7" s="105" t="n"/>
      <c r="C7" s="175" t="n"/>
      <c r="D7" s="179" t="n"/>
      <c r="E7" s="113">
        <f>IF(A7="","",(SUMIFS(Akun!$C$5:$C$104,Akun!$A$5:$A$104,A7,Akun!$D$5:$D$104,"&lt;="&amp;TODAY())+SUMIFS(Transaksi!$F$16:$F$5015,Transaksi!$C$16:$C$5015,A7,Transaksi!$D$16:$D$5015,"Masuk",Transaksi!$B$16:$B$5015,"&lt;="&amp;TODAY())-SUMIFS(Transaksi!$F$16:$F$5015,Transaksi!$C$16:$C$5015,A7,Transaksi!$D$16:$D$5015,"Keluar",Transaksi!$B$16:$B$5015,"&lt;="&amp;TODAY())-SUMIFS(Transaksi!$F$16:$F$5015,Transaksi!$C$16:$C$5015,A7,Transaksi!$D$16:$D$5015,"Pindah",Transaksi!$B$16:$B$5015,"&lt;="&amp;TODAY())+SUMIFS(Transaksi!$F$16:$F$5015,Transaksi!$E$16:$E$5015,A7,Transaksi!$D$16:$D$5015,"Pindah",Transaksi!$B$16:$B$5015,"&lt;="&amp;TODAY())))</f>
        <v/>
      </c>
      <c r="F7" s="172" t="n"/>
    </row>
    <row r="8" ht="24.75" customHeight="1" s="94">
      <c r="A8" s="127" t="n"/>
      <c r="B8" s="105" t="n"/>
      <c r="C8" s="175" t="n"/>
      <c r="D8" s="179" t="n"/>
      <c r="E8" s="113">
        <f>IF(A8="","",(SUMIFS(Akun!$C$5:$C$104,Akun!$A$5:$A$104,A8,Akun!$D$5:$D$104,"&lt;="&amp;TODAY())+SUMIFS(Transaksi!$F$16:$F$5015,Transaksi!$C$16:$C$5015,A8,Transaksi!$D$16:$D$5015,"Masuk",Transaksi!$B$16:$B$5015,"&lt;="&amp;TODAY())-SUMIFS(Transaksi!$F$16:$F$5015,Transaksi!$C$16:$C$5015,A8,Transaksi!$D$16:$D$5015,"Keluar",Transaksi!$B$16:$B$5015,"&lt;="&amp;TODAY())-SUMIFS(Transaksi!$F$16:$F$5015,Transaksi!$C$16:$C$5015,A8,Transaksi!$D$16:$D$5015,"Pindah",Transaksi!$B$16:$B$5015,"&lt;="&amp;TODAY())+SUMIFS(Transaksi!$F$16:$F$5015,Transaksi!$E$16:$E$5015,A8,Transaksi!$D$16:$D$5015,"Pindah",Transaksi!$B$16:$B$5015,"&lt;="&amp;TODAY())))</f>
        <v/>
      </c>
      <c r="F8" s="172" t="inlineStr">
        <is>
          <t>REKENING DITUTUP. Saldo awal = saldo 1 Agustus 2024. Rekening/ATM BRI sudah ditutup dan jarang diisi, catatan berhenti Juli 2025 — sisa terakhir Rp57.500 (31/07/2025).</t>
        </is>
      </c>
    </row>
    <row r="9" ht="15" customHeight="1" s="94">
      <c r="A9" s="127" t="n"/>
      <c r="B9" s="105" t="n"/>
      <c r="C9" s="175" t="n"/>
      <c r="D9" s="179" t="n"/>
      <c r="E9" s="113">
        <f>IF(A9="","",(SUMIFS(Akun!$C$5:$C$104,Akun!$A$5:$A$104,A9,Akun!$D$5:$D$104,"&lt;="&amp;TODAY())+SUMIFS(Transaksi!$F$16:$F$5015,Transaksi!$C$16:$C$5015,A9,Transaksi!$D$16:$D$5015,"Masuk",Transaksi!$B$16:$B$5015,"&lt;="&amp;TODAY())-SUMIFS(Transaksi!$F$16:$F$5015,Transaksi!$C$16:$C$5015,A9,Transaksi!$D$16:$D$5015,"Keluar",Transaksi!$B$16:$B$5015,"&lt;="&amp;TODAY())-SUMIFS(Transaksi!$F$16:$F$5015,Transaksi!$C$16:$C$5015,A9,Transaksi!$D$16:$D$5015,"Pindah",Transaksi!$B$16:$B$5015,"&lt;="&amp;TODAY())+SUMIFS(Transaksi!$F$16:$F$5015,Transaksi!$E$16:$E$5015,A9,Transaksi!$D$16:$D$5015,"Pindah",Transaksi!$B$16:$B$5015,"&lt;="&amp;TODAY())))</f>
        <v/>
      </c>
      <c r="F9" s="172" t="inlineStr">
        <is>
          <t>Saldo awal = saldo 1 Januari 2025 (riwayat GoPay 2024 belum ada).</t>
        </is>
      </c>
    </row>
    <row r="10" ht="15" customHeight="1" s="94">
      <c r="A10" s="127" t="n"/>
      <c r="B10" s="105" t="n"/>
      <c r="C10" s="175" t="n"/>
      <c r="D10" s="179" t="n"/>
      <c r="E10" s="113">
        <f>IF(A10="","",(SUMIFS(Akun!$C$5:$C$104,Akun!$A$5:$A$104,A10,Akun!$D$5:$D$104,"&lt;="&amp;TODAY())+SUMIFS(Transaksi!$F$16:$F$5015,Transaksi!$C$16:$C$5015,A10,Transaksi!$D$16:$D$5015,"Masuk",Transaksi!$B$16:$B$5015,"&lt;="&amp;TODAY())-SUMIFS(Transaksi!$F$16:$F$5015,Transaksi!$C$16:$C$5015,A10,Transaksi!$D$16:$D$5015,"Keluar",Transaksi!$B$16:$B$5015,"&lt;="&amp;TODAY())-SUMIFS(Transaksi!$F$16:$F$5015,Transaksi!$C$16:$C$5015,A10,Transaksi!$D$16:$D$5015,"Pindah",Transaksi!$B$16:$B$5015,"&lt;="&amp;TODAY())+SUMIFS(Transaksi!$F$16:$F$5015,Transaksi!$E$16:$E$5015,A10,Transaksi!$D$16:$D$5015,"Pindah",Transaksi!$B$16:$B$5015,"&lt;="&amp;TODAY())))</f>
        <v/>
      </c>
      <c r="F10" s="172" t="inlineStr">
        <is>
          <t>Saldo awal = saldo 1 Januari 2025 (riwayat OVO 2024 belum ada).</t>
        </is>
      </c>
    </row>
    <row r="11" ht="15" customHeight="1" s="94">
      <c r="A11" s="127" t="n"/>
      <c r="B11" s="105" t="n"/>
      <c r="C11" s="175" t="n"/>
      <c r="D11" s="179" t="n"/>
      <c r="E11" s="113">
        <f>IF(A11="","",(SUMIFS(Akun!$C$5:$C$104,Akun!$A$5:$A$104,A11,Akun!$D$5:$D$104,"&lt;="&amp;TODAY())+SUMIFS(Transaksi!$F$16:$F$5015,Transaksi!$C$16:$C$5015,A11,Transaksi!$D$16:$D$5015,"Masuk",Transaksi!$B$16:$B$5015,"&lt;="&amp;TODAY())-SUMIFS(Transaksi!$F$16:$F$5015,Transaksi!$C$16:$C$5015,A11,Transaksi!$D$16:$D$5015,"Keluar",Transaksi!$B$16:$B$5015,"&lt;="&amp;TODAY())-SUMIFS(Transaksi!$F$16:$F$5015,Transaksi!$C$16:$C$5015,A11,Transaksi!$D$16:$D$5015,"Pindah",Transaksi!$B$16:$B$5015,"&lt;="&amp;TODAY())+SUMIFS(Transaksi!$F$16:$F$5015,Transaksi!$E$16:$E$5015,A11,Transaksi!$D$16:$D$5015,"Pindah",Transaksi!$B$16:$B$5015,"&lt;="&amp;TODAY())))</f>
        <v/>
      </c>
      <c r="F11" s="172" t="n"/>
    </row>
    <row r="12" ht="15" customHeight="1" s="94">
      <c r="A12" s="127" t="n"/>
      <c r="B12" s="105" t="n"/>
      <c r="C12" s="175" t="n"/>
      <c r="D12" s="179" t="n"/>
      <c r="E12" s="113">
        <f>IF(A12="","",(SUMIFS(Akun!$C$5:$C$104,Akun!$A$5:$A$104,A12,Akun!$D$5:$D$104,"&lt;="&amp;TODAY())+SUMIFS(Transaksi!$F$16:$F$5015,Transaksi!$C$16:$C$5015,A12,Transaksi!$D$16:$D$5015,"Masuk",Transaksi!$B$16:$B$5015,"&lt;="&amp;TODAY())-SUMIFS(Transaksi!$F$16:$F$5015,Transaksi!$C$16:$C$5015,A12,Transaksi!$D$16:$D$5015,"Keluar",Transaksi!$B$16:$B$5015,"&lt;="&amp;TODAY())-SUMIFS(Transaksi!$F$16:$F$5015,Transaksi!$C$16:$C$5015,A12,Transaksi!$D$16:$D$5015,"Pindah",Transaksi!$B$16:$B$5015,"&lt;="&amp;TODAY())+SUMIFS(Transaksi!$F$16:$F$5015,Transaksi!$E$16:$E$5015,A12,Transaksi!$D$16:$D$5015,"Pindah",Transaksi!$B$16:$B$5015,"&lt;="&amp;TODAY())))</f>
        <v/>
      </c>
      <c r="F12" s="172" t="n"/>
    </row>
    <row r="13" ht="24.75" customHeight="1" s="94">
      <c r="A13" s="127" t="n"/>
      <c r="B13" s="105" t="n"/>
      <c r="C13" s="175" t="n"/>
      <c r="D13" s="179" t="n"/>
      <c r="E13" s="113">
        <f>IF(A13="","",(SUMIFS(Akun!$C$5:$C$104,Akun!$A$5:$A$104,A13,Akun!$D$5:$D$104,"&lt;="&amp;TODAY())+SUMIFS(Transaksi!$F$16:$F$5015,Transaksi!$C$16:$C$5015,A13,Transaksi!$D$16:$D$5015,"Masuk",Transaksi!$B$16:$B$5015,"&lt;="&amp;TODAY())-SUMIFS(Transaksi!$F$16:$F$5015,Transaksi!$C$16:$C$5015,A13,Transaksi!$D$16:$D$5015,"Keluar",Transaksi!$B$16:$B$5015,"&lt;="&amp;TODAY())-SUMIFS(Transaksi!$F$16:$F$5015,Transaksi!$C$16:$C$5015,A13,Transaksi!$D$16:$D$5015,"Pindah",Transaksi!$B$16:$B$5015,"&lt;="&amp;TODAY())+SUMIFS(Transaksi!$F$16:$F$5015,Transaksi!$E$16:$E$5015,A13,Transaksi!$D$16:$D$5015,"Pindah",Transaksi!$B$16:$B$5015,"&lt;="&amp;TODAY())))</f>
        <v/>
      </c>
      <c r="F13" s="172" t="inlineStr">
        <is>
          <t>Deposito 2024 (Kirana, Formes, Cahaya Hidup, Madina, Almasoem, Gemilang). Semua sudah cair Desember 2024.</t>
        </is>
      </c>
    </row>
    <row r="14" ht="15" customHeight="1" s="94">
      <c r="A14" s="127" t="n"/>
      <c r="B14" s="105" t="n"/>
      <c r="C14" s="175" t="n"/>
      <c r="D14" s="179" t="n"/>
      <c r="E14" s="113">
        <f>IF(A14="","",(SUMIFS(Akun!$C$5:$C$104,Akun!$A$5:$A$104,A14,Akun!$D$5:$D$104,"&lt;="&amp;TODAY())+SUMIFS(Transaksi!$F$16:$F$5015,Transaksi!$C$16:$C$5015,A14,Transaksi!$D$16:$D$5015,"Masuk",Transaksi!$B$16:$B$5015,"&lt;="&amp;TODAY())-SUMIFS(Transaksi!$F$16:$F$5015,Transaksi!$C$16:$C$5015,A14,Transaksi!$D$16:$D$5015,"Keluar",Transaksi!$B$16:$B$5015,"&lt;="&amp;TODAY())-SUMIFS(Transaksi!$F$16:$F$5015,Transaksi!$C$16:$C$5015,A14,Transaksi!$D$16:$D$5015,"Pindah",Transaksi!$B$16:$B$5015,"&lt;="&amp;TODAY())+SUMIFS(Transaksi!$F$16:$F$5015,Transaksi!$E$16:$E$5015,A14,Transaksi!$D$16:$D$5015,"Pindah",Transaksi!$B$16:$B$5015,"&lt;="&amp;TODAY())))</f>
        <v/>
      </c>
      <c r="F14" s="172" t="n"/>
    </row>
    <row r="15" ht="15" customHeight="1" s="94">
      <c r="A15" s="127" t="n"/>
      <c r="B15" s="105" t="n"/>
      <c r="C15" s="175" t="n"/>
      <c r="D15" s="179" t="n"/>
      <c r="E15" s="113">
        <f>IF(A15="","",(SUMIFS(Akun!$C$5:$C$104,Akun!$A$5:$A$104,A15,Akun!$D$5:$D$104,"&lt;="&amp;TODAY())+SUMIFS(Transaksi!$F$16:$F$5015,Transaksi!$C$16:$C$5015,A15,Transaksi!$D$16:$D$5015,"Masuk",Transaksi!$B$16:$B$5015,"&lt;="&amp;TODAY())-SUMIFS(Transaksi!$F$16:$F$5015,Transaksi!$C$16:$C$5015,A15,Transaksi!$D$16:$D$5015,"Keluar",Transaksi!$B$16:$B$5015,"&lt;="&amp;TODAY())-SUMIFS(Transaksi!$F$16:$F$5015,Transaksi!$C$16:$C$5015,A15,Transaksi!$D$16:$D$5015,"Pindah",Transaksi!$B$16:$B$5015,"&lt;="&amp;TODAY())+SUMIFS(Transaksi!$F$16:$F$5015,Transaksi!$E$16:$E$5015,A15,Transaksi!$D$16:$D$5015,"Pindah",Transaksi!$B$16:$B$5015,"&lt;="&amp;TODAY())))</f>
        <v/>
      </c>
      <c r="F15" s="172" t="n"/>
    </row>
    <row r="16" ht="15" customHeight="1" s="94">
      <c r="A16" s="127" t="n"/>
      <c r="B16" s="105" t="n"/>
      <c r="C16" s="175" t="n"/>
      <c r="D16" s="179" t="n"/>
      <c r="E16" s="113">
        <f>IF(A16="","",(SUMIFS(Akun!$C$5:$C$104,Akun!$A$5:$A$104,A16,Akun!$D$5:$D$104,"&lt;="&amp;TODAY())+SUMIFS(Transaksi!$F$16:$F$5015,Transaksi!$C$16:$C$5015,A16,Transaksi!$D$16:$D$5015,"Masuk",Transaksi!$B$16:$B$5015,"&lt;="&amp;TODAY())-SUMIFS(Transaksi!$F$16:$F$5015,Transaksi!$C$16:$C$5015,A16,Transaksi!$D$16:$D$5015,"Keluar",Transaksi!$B$16:$B$5015,"&lt;="&amp;TODAY())-SUMIFS(Transaksi!$F$16:$F$5015,Transaksi!$C$16:$C$5015,A16,Transaksi!$D$16:$D$5015,"Pindah",Transaksi!$B$16:$B$5015,"&lt;="&amp;TODAY())+SUMIFS(Transaksi!$F$16:$F$5015,Transaksi!$E$16:$E$5015,A16,Transaksi!$D$16:$D$5015,"Pindah",Transaksi!$B$16:$B$5015,"&lt;="&amp;TODAY())))</f>
        <v/>
      </c>
      <c r="F16" s="172" t="n"/>
    </row>
    <row r="17" ht="15" customHeight="1" s="94">
      <c r="A17" s="127" t="n"/>
      <c r="B17" s="105" t="n"/>
      <c r="C17" s="175" t="n"/>
      <c r="D17" s="179" t="n"/>
      <c r="E17" s="113">
        <f>IF(A17="","",(SUMIFS(Akun!$C$5:$C$104,Akun!$A$5:$A$104,A17,Akun!$D$5:$D$104,"&lt;="&amp;TODAY())+SUMIFS(Transaksi!$F$16:$F$5015,Transaksi!$C$16:$C$5015,A17,Transaksi!$D$16:$D$5015,"Masuk",Transaksi!$B$16:$B$5015,"&lt;="&amp;TODAY())-SUMIFS(Transaksi!$F$16:$F$5015,Transaksi!$C$16:$C$5015,A17,Transaksi!$D$16:$D$5015,"Keluar",Transaksi!$B$16:$B$5015,"&lt;="&amp;TODAY())-SUMIFS(Transaksi!$F$16:$F$5015,Transaksi!$C$16:$C$5015,A17,Transaksi!$D$16:$D$5015,"Pindah",Transaksi!$B$16:$B$5015,"&lt;="&amp;TODAY())+SUMIFS(Transaksi!$F$16:$F$5015,Transaksi!$E$16:$E$5015,A17,Transaksi!$D$16:$D$5015,"Pindah",Transaksi!$B$16:$B$5015,"&lt;="&amp;TODAY())))</f>
        <v/>
      </c>
      <c r="F17" s="172" t="n"/>
    </row>
    <row r="18" ht="15" customHeight="1" s="94">
      <c r="A18" s="127" t="n"/>
      <c r="B18" s="105" t="n"/>
      <c r="C18" s="175" t="n"/>
      <c r="D18" s="179" t="n"/>
      <c r="E18" s="113">
        <f>IF(A18="","",(SUMIFS(Akun!$C$5:$C$104,Akun!$A$5:$A$104,A18,Akun!$D$5:$D$104,"&lt;="&amp;TODAY())+SUMIFS(Transaksi!$F$16:$F$5015,Transaksi!$C$16:$C$5015,A18,Transaksi!$D$16:$D$5015,"Masuk",Transaksi!$B$16:$B$5015,"&lt;="&amp;TODAY())-SUMIFS(Transaksi!$F$16:$F$5015,Transaksi!$C$16:$C$5015,A18,Transaksi!$D$16:$D$5015,"Keluar",Transaksi!$B$16:$B$5015,"&lt;="&amp;TODAY())-SUMIFS(Transaksi!$F$16:$F$5015,Transaksi!$C$16:$C$5015,A18,Transaksi!$D$16:$D$5015,"Pindah",Transaksi!$B$16:$B$5015,"&lt;="&amp;TODAY())+SUMIFS(Transaksi!$F$16:$F$5015,Transaksi!$E$16:$E$5015,A18,Transaksi!$D$16:$D$5015,"Pindah",Transaksi!$B$16:$B$5015,"&lt;="&amp;TODAY())))</f>
        <v/>
      </c>
      <c r="F18" s="172" t="n"/>
    </row>
    <row r="19" ht="24.75" customHeight="1" s="94">
      <c r="A19" s="127" t="n"/>
      <c r="B19" s="105" t="n"/>
      <c r="C19" s="175" t="n"/>
      <c r="D19" s="179" t="n"/>
      <c r="E19" s="113">
        <f>IF(A19="","",(SUMIFS(Akun!$C$5:$C$104,Akun!$A$5:$A$104,A19,Akun!$D$5:$D$104,"&lt;="&amp;TODAY())+SUMIFS(Transaksi!$F$16:$F$5015,Transaksi!$C$16:$C$5015,A19,Transaksi!$D$16:$D$5015,"Masuk",Transaksi!$B$16:$B$5015,"&lt;="&amp;TODAY())-SUMIFS(Transaksi!$F$16:$F$5015,Transaksi!$C$16:$C$5015,A19,Transaksi!$D$16:$D$5015,"Keluar",Transaksi!$B$16:$B$5015,"&lt;="&amp;TODAY())-SUMIFS(Transaksi!$F$16:$F$5015,Transaksi!$C$16:$C$5015,A19,Transaksi!$D$16:$D$5015,"Pindah",Transaksi!$B$16:$B$5015,"&lt;="&amp;TODAY())+SUMIFS(Transaksi!$F$16:$F$5015,Transaksi!$E$16:$E$5015,A19,Transaksi!$D$16:$D$5015,"Pindah",Transaksi!$B$16:$B$5015,"&lt;="&amp;TODAY())))</f>
        <v/>
      </c>
      <c r="F19" s="172" t="inlineStr">
        <is>
          <t>Modal usaha rokok (uang tunai + stok). Rp1.422.000 → Rp922.000 (21/08/2024) → Rp722.000 (06/10/2024), dipakai untuk deposito.</t>
        </is>
      </c>
    </row>
    <row r="20" ht="15" customHeight="1" s="94">
      <c r="A20" s="127" t="n"/>
      <c r="B20" s="105" t="n"/>
      <c r="C20" s="175" t="n"/>
      <c r="D20" s="179" t="n"/>
      <c r="E20" s="113">
        <f>IF(A20="","",(SUMIFS(Akun!$C$5:$C$104,Akun!$A$5:$A$104,A20,Akun!$D$5:$D$104,"&lt;="&amp;TODAY())+SUMIFS(Transaksi!$F$16:$F$5015,Transaksi!$C$16:$C$5015,A20,Transaksi!$D$16:$D$5015,"Masuk",Transaksi!$B$16:$B$5015,"&lt;="&amp;TODAY())-SUMIFS(Transaksi!$F$16:$F$5015,Transaksi!$C$16:$C$5015,A20,Transaksi!$D$16:$D$5015,"Keluar",Transaksi!$B$16:$B$5015,"&lt;="&amp;TODAY())-SUMIFS(Transaksi!$F$16:$F$5015,Transaksi!$C$16:$C$5015,A20,Transaksi!$D$16:$D$5015,"Pindah",Transaksi!$B$16:$B$5015,"&lt;="&amp;TODAY())+SUMIFS(Transaksi!$F$16:$F$5015,Transaksi!$E$16:$E$5015,A20,Transaksi!$D$16:$D$5015,"Pindah",Transaksi!$B$16:$B$5015,"&lt;="&amp;TODAY())))</f>
        <v/>
      </c>
      <c r="F20" s="172" t="inlineStr">
        <is>
          <t>Modal jualan kurma kk Lisa (Februari 2024), belum dikembalikan</t>
        </is>
      </c>
    </row>
    <row r="21" ht="15" customHeight="1" s="94">
      <c r="A21" s="127" t="n"/>
      <c r="B21" s="105" t="n"/>
      <c r="C21" s="175" t="n"/>
      <c r="D21" s="179" t="n"/>
      <c r="E21" s="113">
        <f>IF(A21="","",(SUMIFS(Akun!$C$5:$C$104,Akun!$A$5:$A$104,A21,Akun!$D$5:$D$104,"&lt;="&amp;TODAY())+SUMIFS(Transaksi!$F$16:$F$5015,Transaksi!$C$16:$C$5015,A21,Transaksi!$D$16:$D$5015,"Masuk",Transaksi!$B$16:$B$5015,"&lt;="&amp;TODAY())-SUMIFS(Transaksi!$F$16:$F$5015,Transaksi!$C$16:$C$5015,A21,Transaksi!$D$16:$D$5015,"Keluar",Transaksi!$B$16:$B$5015,"&lt;="&amp;TODAY())-SUMIFS(Transaksi!$F$16:$F$5015,Transaksi!$C$16:$C$5015,A21,Transaksi!$D$16:$D$5015,"Pindah",Transaksi!$B$16:$B$5015,"&lt;="&amp;TODAY())+SUMIFS(Transaksi!$F$16:$F$5015,Transaksi!$E$16:$E$5015,A21,Transaksi!$D$16:$D$5015,"Pindah",Transaksi!$B$16:$B$5015,"&lt;="&amp;TODAY())))</f>
        <v/>
      </c>
      <c r="F21" s="172" t="n"/>
    </row>
    <row r="22" ht="15" customHeight="1" s="94">
      <c r="A22" s="127" t="n"/>
      <c r="B22" s="105" t="n"/>
      <c r="C22" s="175" t="n"/>
      <c r="D22" s="179" t="n"/>
      <c r="E22" s="113">
        <f>IF(A22="","",(SUMIFS(Akun!$C$5:$C$104,Akun!$A$5:$A$104,A22,Akun!$D$5:$D$104,"&lt;="&amp;TODAY())+SUMIFS(Transaksi!$F$16:$F$5015,Transaksi!$C$16:$C$5015,A22,Transaksi!$D$16:$D$5015,"Masuk",Transaksi!$B$16:$B$5015,"&lt;="&amp;TODAY())-SUMIFS(Transaksi!$F$16:$F$5015,Transaksi!$C$16:$C$5015,A22,Transaksi!$D$16:$D$5015,"Keluar",Transaksi!$B$16:$B$5015,"&lt;="&amp;TODAY())-SUMIFS(Transaksi!$F$16:$F$5015,Transaksi!$C$16:$C$5015,A22,Transaksi!$D$16:$D$5015,"Pindah",Transaksi!$B$16:$B$5015,"&lt;="&amp;TODAY())+SUMIFS(Transaksi!$F$16:$F$5015,Transaksi!$E$16:$E$5015,A22,Transaksi!$D$16:$D$5015,"Pindah",Transaksi!$B$16:$B$5015,"&lt;="&amp;TODAY())))</f>
        <v/>
      </c>
      <c r="F22" s="172" t="n"/>
    </row>
    <row r="23" ht="15" customHeight="1" s="94">
      <c r="A23" s="127" t="n"/>
      <c r="B23" s="105" t="n"/>
      <c r="C23" s="175" t="n"/>
      <c r="D23" s="179" t="n"/>
      <c r="E23" s="113">
        <f>IF(A23="","",(SUMIFS(Akun!$C$5:$C$104,Akun!$A$5:$A$104,A23,Akun!$D$5:$D$104,"&lt;="&amp;TODAY())+SUMIFS(Transaksi!$F$16:$F$5015,Transaksi!$C$16:$C$5015,A23,Transaksi!$D$16:$D$5015,"Masuk",Transaksi!$B$16:$B$5015,"&lt;="&amp;TODAY())-SUMIFS(Transaksi!$F$16:$F$5015,Transaksi!$C$16:$C$5015,A23,Transaksi!$D$16:$D$5015,"Keluar",Transaksi!$B$16:$B$5015,"&lt;="&amp;TODAY())-SUMIFS(Transaksi!$F$16:$F$5015,Transaksi!$C$16:$C$5015,A23,Transaksi!$D$16:$D$5015,"Pindah",Transaksi!$B$16:$B$5015,"&lt;="&amp;TODAY())+SUMIFS(Transaksi!$F$16:$F$5015,Transaksi!$E$16:$E$5015,A23,Transaksi!$D$16:$D$5015,"Pindah",Transaksi!$B$16:$B$5015,"&lt;="&amp;TODAY())))</f>
        <v/>
      </c>
      <c r="F23" s="172" t="n"/>
    </row>
    <row r="24" ht="15" customHeight="1" s="94">
      <c r="A24" s="127" t="n"/>
      <c r="B24" s="105" t="n"/>
      <c r="C24" s="175" t="n"/>
      <c r="D24" s="179" t="n"/>
      <c r="E24" s="113">
        <f>IF(A24="","",(SUMIFS(Akun!$C$5:$C$104,Akun!$A$5:$A$104,A24,Akun!$D$5:$D$104,"&lt;="&amp;TODAY())+SUMIFS(Transaksi!$F$16:$F$5015,Transaksi!$C$16:$C$5015,A24,Transaksi!$D$16:$D$5015,"Masuk",Transaksi!$B$16:$B$5015,"&lt;="&amp;TODAY())-SUMIFS(Transaksi!$F$16:$F$5015,Transaksi!$C$16:$C$5015,A24,Transaksi!$D$16:$D$5015,"Keluar",Transaksi!$B$16:$B$5015,"&lt;="&amp;TODAY())-SUMIFS(Transaksi!$F$16:$F$5015,Transaksi!$C$16:$C$5015,A24,Transaksi!$D$16:$D$5015,"Pindah",Transaksi!$B$16:$B$5015,"&lt;="&amp;TODAY())+SUMIFS(Transaksi!$F$16:$F$5015,Transaksi!$E$16:$E$5015,A24,Transaksi!$D$16:$D$5015,"Pindah",Transaksi!$B$16:$B$5015,"&lt;="&amp;TODAY())))</f>
        <v/>
      </c>
      <c r="F24" s="172" t="n"/>
    </row>
    <row r="25" ht="15" customHeight="1" s="94">
      <c r="A25" s="127" t="n"/>
      <c r="B25" s="105" t="n"/>
      <c r="C25" s="175" t="n"/>
      <c r="D25" s="179" t="n"/>
      <c r="E25" s="113">
        <f>IF(A25="","",(SUMIFS(Akun!$C$5:$C$104,Akun!$A$5:$A$104,A25,Akun!$D$5:$D$104,"&lt;="&amp;TODAY())+SUMIFS(Transaksi!$F$16:$F$5015,Transaksi!$C$16:$C$5015,A25,Transaksi!$D$16:$D$5015,"Masuk",Transaksi!$B$16:$B$5015,"&lt;="&amp;TODAY())-SUMIFS(Transaksi!$F$16:$F$5015,Transaksi!$C$16:$C$5015,A25,Transaksi!$D$16:$D$5015,"Keluar",Transaksi!$B$16:$B$5015,"&lt;="&amp;TODAY())-SUMIFS(Transaksi!$F$16:$F$5015,Transaksi!$C$16:$C$5015,A25,Transaksi!$D$16:$D$5015,"Pindah",Transaksi!$B$16:$B$5015,"&lt;="&amp;TODAY())+SUMIFS(Transaksi!$F$16:$F$5015,Transaksi!$E$16:$E$5015,A25,Transaksi!$D$16:$D$5015,"Pindah",Transaksi!$B$16:$B$5015,"&lt;="&amp;TODAY())))</f>
        <v/>
      </c>
      <c r="F25" s="172" t="n"/>
    </row>
    <row r="26" ht="15" customHeight="1" s="94">
      <c r="A26" s="127" t="n"/>
      <c r="B26" s="105" t="n"/>
      <c r="C26" s="175" t="n"/>
      <c r="D26" s="179" t="n"/>
      <c r="E26" s="113">
        <f>IF(A26="","",(SUMIFS(Akun!$C$5:$C$104,Akun!$A$5:$A$104,A26,Akun!$D$5:$D$104,"&lt;="&amp;TODAY())+SUMIFS(Transaksi!$F$16:$F$5015,Transaksi!$C$16:$C$5015,A26,Transaksi!$D$16:$D$5015,"Masuk",Transaksi!$B$16:$B$5015,"&lt;="&amp;TODAY())-SUMIFS(Transaksi!$F$16:$F$5015,Transaksi!$C$16:$C$5015,A26,Transaksi!$D$16:$D$5015,"Keluar",Transaksi!$B$16:$B$5015,"&lt;="&amp;TODAY())-SUMIFS(Transaksi!$F$16:$F$5015,Transaksi!$C$16:$C$5015,A26,Transaksi!$D$16:$D$5015,"Pindah",Transaksi!$B$16:$B$5015,"&lt;="&amp;TODAY())+SUMIFS(Transaksi!$F$16:$F$5015,Transaksi!$E$16:$E$5015,A26,Transaksi!$D$16:$D$5015,"Pindah",Transaksi!$B$16:$B$5015,"&lt;="&amp;TODAY())))</f>
        <v/>
      </c>
      <c r="F26" s="172" t="n"/>
    </row>
    <row r="27" ht="15" customHeight="1" s="94">
      <c r="A27" s="127" t="n"/>
      <c r="B27" s="105" t="n"/>
      <c r="C27" s="175" t="n"/>
      <c r="D27" s="179" t="n"/>
      <c r="E27" s="113">
        <f>IF(A27="","",(SUMIFS(Akun!$C$5:$C$104,Akun!$A$5:$A$104,A27,Akun!$D$5:$D$104,"&lt;="&amp;TODAY())+SUMIFS(Transaksi!$F$16:$F$5015,Transaksi!$C$16:$C$5015,A27,Transaksi!$D$16:$D$5015,"Masuk",Transaksi!$B$16:$B$5015,"&lt;="&amp;TODAY())-SUMIFS(Transaksi!$F$16:$F$5015,Transaksi!$C$16:$C$5015,A27,Transaksi!$D$16:$D$5015,"Keluar",Transaksi!$B$16:$B$5015,"&lt;="&amp;TODAY())-SUMIFS(Transaksi!$F$16:$F$5015,Transaksi!$C$16:$C$5015,A27,Transaksi!$D$16:$D$5015,"Pindah",Transaksi!$B$16:$B$5015,"&lt;="&amp;TODAY())+SUMIFS(Transaksi!$F$16:$F$5015,Transaksi!$E$16:$E$5015,A27,Transaksi!$D$16:$D$5015,"Pindah",Transaksi!$B$16:$B$5015,"&lt;="&amp;TODAY())))</f>
        <v/>
      </c>
      <c r="F27" s="172" t="n"/>
    </row>
    <row r="28" ht="15" customHeight="1" s="94">
      <c r="A28" s="127" t="n"/>
      <c r="B28" s="105" t="n"/>
      <c r="C28" s="175" t="n"/>
      <c r="D28" s="179" t="n"/>
      <c r="E28" s="113">
        <f>IF(A28="","",(SUMIFS(Akun!$C$5:$C$104,Akun!$A$5:$A$104,A28,Akun!$D$5:$D$104,"&lt;="&amp;TODAY())+SUMIFS(Transaksi!$F$16:$F$5015,Transaksi!$C$16:$C$5015,A28,Transaksi!$D$16:$D$5015,"Masuk",Transaksi!$B$16:$B$5015,"&lt;="&amp;TODAY())-SUMIFS(Transaksi!$F$16:$F$5015,Transaksi!$C$16:$C$5015,A28,Transaksi!$D$16:$D$5015,"Keluar",Transaksi!$B$16:$B$5015,"&lt;="&amp;TODAY())-SUMIFS(Transaksi!$F$16:$F$5015,Transaksi!$C$16:$C$5015,A28,Transaksi!$D$16:$D$5015,"Pindah",Transaksi!$B$16:$B$5015,"&lt;="&amp;TODAY())+SUMIFS(Transaksi!$F$16:$F$5015,Transaksi!$E$16:$E$5015,A28,Transaksi!$D$16:$D$5015,"Pindah",Transaksi!$B$16:$B$5015,"&lt;="&amp;TODAY())))</f>
        <v/>
      </c>
      <c r="F28" s="172" t="n"/>
    </row>
    <row r="29" ht="15" customHeight="1" s="94">
      <c r="A29" s="127" t="n"/>
      <c r="B29" s="105" t="n"/>
      <c r="C29" s="175" t="n"/>
      <c r="D29" s="179" t="n"/>
      <c r="E29" s="113">
        <f>IF(A29="","",(SUMIFS(Akun!$C$5:$C$104,Akun!$A$5:$A$104,A29,Akun!$D$5:$D$104,"&lt;="&amp;TODAY())+SUMIFS(Transaksi!$F$16:$F$5015,Transaksi!$C$16:$C$5015,A29,Transaksi!$D$16:$D$5015,"Masuk",Transaksi!$B$16:$B$5015,"&lt;="&amp;TODAY())-SUMIFS(Transaksi!$F$16:$F$5015,Transaksi!$C$16:$C$5015,A29,Transaksi!$D$16:$D$5015,"Keluar",Transaksi!$B$16:$B$5015,"&lt;="&amp;TODAY())-SUMIFS(Transaksi!$F$16:$F$5015,Transaksi!$C$16:$C$5015,A29,Transaksi!$D$16:$D$5015,"Pindah",Transaksi!$B$16:$B$5015,"&lt;="&amp;TODAY())+SUMIFS(Transaksi!$F$16:$F$5015,Transaksi!$E$16:$E$5015,A29,Transaksi!$D$16:$D$5015,"Pindah",Transaksi!$B$16:$B$5015,"&lt;="&amp;TODAY())))</f>
        <v/>
      </c>
      <c r="F29" s="172" t="n"/>
    </row>
    <row r="30" ht="15" customHeight="1" s="94">
      <c r="A30" s="127" t="n"/>
      <c r="B30" s="105" t="n"/>
      <c r="C30" s="175" t="n"/>
      <c r="D30" s="179" t="n"/>
      <c r="E30" s="113">
        <f>IF(A30="","",(SUMIFS(Akun!$C$5:$C$104,Akun!$A$5:$A$104,A30,Akun!$D$5:$D$104,"&lt;="&amp;TODAY())+SUMIFS(Transaksi!$F$16:$F$5015,Transaksi!$C$16:$C$5015,A30,Transaksi!$D$16:$D$5015,"Masuk",Transaksi!$B$16:$B$5015,"&lt;="&amp;TODAY())-SUMIFS(Transaksi!$F$16:$F$5015,Transaksi!$C$16:$C$5015,A30,Transaksi!$D$16:$D$5015,"Keluar",Transaksi!$B$16:$B$5015,"&lt;="&amp;TODAY())-SUMIFS(Transaksi!$F$16:$F$5015,Transaksi!$C$16:$C$5015,A30,Transaksi!$D$16:$D$5015,"Pindah",Transaksi!$B$16:$B$5015,"&lt;="&amp;TODAY())+SUMIFS(Transaksi!$F$16:$F$5015,Transaksi!$E$16:$E$5015,A30,Transaksi!$D$16:$D$5015,"Pindah",Transaksi!$B$16:$B$5015,"&lt;="&amp;TODAY())))</f>
        <v/>
      </c>
      <c r="F30" s="172" t="n"/>
    </row>
    <row r="31" ht="15" customHeight="1" s="94">
      <c r="A31" s="127" t="n"/>
      <c r="B31" s="105" t="n"/>
      <c r="C31" s="175" t="n"/>
      <c r="D31" s="179" t="n"/>
      <c r="E31" s="113">
        <f>IF(A31="","",(SUMIFS(Akun!$C$5:$C$104,Akun!$A$5:$A$104,A31,Akun!$D$5:$D$104,"&lt;="&amp;TODAY())+SUMIFS(Transaksi!$F$16:$F$5015,Transaksi!$C$16:$C$5015,A31,Transaksi!$D$16:$D$5015,"Masuk",Transaksi!$B$16:$B$5015,"&lt;="&amp;TODAY())-SUMIFS(Transaksi!$F$16:$F$5015,Transaksi!$C$16:$C$5015,A31,Transaksi!$D$16:$D$5015,"Keluar",Transaksi!$B$16:$B$5015,"&lt;="&amp;TODAY())-SUMIFS(Transaksi!$F$16:$F$5015,Transaksi!$C$16:$C$5015,A31,Transaksi!$D$16:$D$5015,"Pindah",Transaksi!$B$16:$B$5015,"&lt;="&amp;TODAY())+SUMIFS(Transaksi!$F$16:$F$5015,Transaksi!$E$16:$E$5015,A31,Transaksi!$D$16:$D$5015,"Pindah",Transaksi!$B$16:$B$5015,"&lt;="&amp;TODAY())))</f>
        <v/>
      </c>
      <c r="F31" s="172" t="n"/>
    </row>
    <row r="32" ht="15" customHeight="1" s="94">
      <c r="A32" s="127" t="n"/>
      <c r="B32" s="105" t="n"/>
      <c r="C32" s="175" t="n"/>
      <c r="D32" s="179" t="n"/>
      <c r="E32" s="113">
        <f>IF(A32="","",(SUMIFS(Akun!$C$5:$C$104,Akun!$A$5:$A$104,A32,Akun!$D$5:$D$104,"&lt;="&amp;TODAY())+SUMIFS(Transaksi!$F$16:$F$5015,Transaksi!$C$16:$C$5015,A32,Transaksi!$D$16:$D$5015,"Masuk",Transaksi!$B$16:$B$5015,"&lt;="&amp;TODAY())-SUMIFS(Transaksi!$F$16:$F$5015,Transaksi!$C$16:$C$5015,A32,Transaksi!$D$16:$D$5015,"Keluar",Transaksi!$B$16:$B$5015,"&lt;="&amp;TODAY())-SUMIFS(Transaksi!$F$16:$F$5015,Transaksi!$C$16:$C$5015,A32,Transaksi!$D$16:$D$5015,"Pindah",Transaksi!$B$16:$B$5015,"&lt;="&amp;TODAY())+SUMIFS(Transaksi!$F$16:$F$5015,Transaksi!$E$16:$E$5015,A32,Transaksi!$D$16:$D$5015,"Pindah",Transaksi!$B$16:$B$5015,"&lt;="&amp;TODAY())))</f>
        <v/>
      </c>
      <c r="F32" s="172" t="n"/>
    </row>
    <row r="33" ht="15" customHeight="1" s="94">
      <c r="A33" s="127" t="n"/>
      <c r="B33" s="105" t="n"/>
      <c r="C33" s="175" t="n"/>
      <c r="D33" s="179" t="n"/>
      <c r="E33" s="113">
        <f>IF(A33="","",(SUMIFS(Akun!$C$5:$C$104,Akun!$A$5:$A$104,A33,Akun!$D$5:$D$104,"&lt;="&amp;TODAY())+SUMIFS(Transaksi!$F$16:$F$5015,Transaksi!$C$16:$C$5015,A33,Transaksi!$D$16:$D$5015,"Masuk",Transaksi!$B$16:$B$5015,"&lt;="&amp;TODAY())-SUMIFS(Transaksi!$F$16:$F$5015,Transaksi!$C$16:$C$5015,A33,Transaksi!$D$16:$D$5015,"Keluar",Transaksi!$B$16:$B$5015,"&lt;="&amp;TODAY())-SUMIFS(Transaksi!$F$16:$F$5015,Transaksi!$C$16:$C$5015,A33,Transaksi!$D$16:$D$5015,"Pindah",Transaksi!$B$16:$B$5015,"&lt;="&amp;TODAY())+SUMIFS(Transaksi!$F$16:$F$5015,Transaksi!$E$16:$E$5015,A33,Transaksi!$D$16:$D$5015,"Pindah",Transaksi!$B$16:$B$5015,"&lt;="&amp;TODAY())))</f>
        <v/>
      </c>
      <c r="F33" s="172" t="n"/>
    </row>
    <row r="34" ht="15" customHeight="1" s="94">
      <c r="A34" s="127" t="n"/>
      <c r="B34" s="105" t="n"/>
      <c r="C34" s="175" t="n"/>
      <c r="D34" s="179" t="n"/>
      <c r="E34" s="113">
        <f>IF(A34="","",(SUMIFS(Akun!$C$5:$C$104,Akun!$A$5:$A$104,A34,Akun!$D$5:$D$104,"&lt;="&amp;TODAY())+SUMIFS(Transaksi!$F$16:$F$5015,Transaksi!$C$16:$C$5015,A34,Transaksi!$D$16:$D$5015,"Masuk",Transaksi!$B$16:$B$5015,"&lt;="&amp;TODAY())-SUMIFS(Transaksi!$F$16:$F$5015,Transaksi!$C$16:$C$5015,A34,Transaksi!$D$16:$D$5015,"Keluar",Transaksi!$B$16:$B$5015,"&lt;="&amp;TODAY())-SUMIFS(Transaksi!$F$16:$F$5015,Transaksi!$C$16:$C$5015,A34,Transaksi!$D$16:$D$5015,"Pindah",Transaksi!$B$16:$B$5015,"&lt;="&amp;TODAY())+SUMIFS(Transaksi!$F$16:$F$5015,Transaksi!$E$16:$E$5015,A34,Transaksi!$D$16:$D$5015,"Pindah",Transaksi!$B$16:$B$5015,"&lt;="&amp;TODAY())))</f>
        <v/>
      </c>
      <c r="F34" s="172" t="n"/>
    </row>
    <row r="35" ht="15" customHeight="1" s="94">
      <c r="A35" s="127" t="n"/>
      <c r="B35" s="105" t="n"/>
      <c r="C35" s="175" t="n"/>
      <c r="D35" s="179" t="n"/>
      <c r="E35" s="113">
        <f>IF(A35="","",(SUMIFS(Akun!$C$5:$C$104,Akun!$A$5:$A$104,A35,Akun!$D$5:$D$104,"&lt;="&amp;TODAY())+SUMIFS(Transaksi!$F$16:$F$5015,Transaksi!$C$16:$C$5015,A35,Transaksi!$D$16:$D$5015,"Masuk",Transaksi!$B$16:$B$5015,"&lt;="&amp;TODAY())-SUMIFS(Transaksi!$F$16:$F$5015,Transaksi!$C$16:$C$5015,A35,Transaksi!$D$16:$D$5015,"Keluar",Transaksi!$B$16:$B$5015,"&lt;="&amp;TODAY())-SUMIFS(Transaksi!$F$16:$F$5015,Transaksi!$C$16:$C$5015,A35,Transaksi!$D$16:$D$5015,"Pindah",Transaksi!$B$16:$B$5015,"&lt;="&amp;TODAY())+SUMIFS(Transaksi!$F$16:$F$5015,Transaksi!$E$16:$E$5015,A35,Transaksi!$D$16:$D$5015,"Pindah",Transaksi!$B$16:$B$5015,"&lt;="&amp;TODAY())))</f>
        <v/>
      </c>
      <c r="F35" s="172" t="n"/>
    </row>
    <row r="36" ht="15" customHeight="1" s="94">
      <c r="A36" s="127" t="n"/>
      <c r="B36" s="105" t="n"/>
      <c r="C36" s="175" t="n"/>
      <c r="D36" s="179" t="n"/>
      <c r="E36" s="113">
        <f>IF(A36="","",(SUMIFS(Akun!$C$5:$C$104,Akun!$A$5:$A$104,A36,Akun!$D$5:$D$104,"&lt;="&amp;TODAY())+SUMIFS(Transaksi!$F$16:$F$5015,Transaksi!$C$16:$C$5015,A36,Transaksi!$D$16:$D$5015,"Masuk",Transaksi!$B$16:$B$5015,"&lt;="&amp;TODAY())-SUMIFS(Transaksi!$F$16:$F$5015,Transaksi!$C$16:$C$5015,A36,Transaksi!$D$16:$D$5015,"Keluar",Transaksi!$B$16:$B$5015,"&lt;="&amp;TODAY())-SUMIFS(Transaksi!$F$16:$F$5015,Transaksi!$C$16:$C$5015,A36,Transaksi!$D$16:$D$5015,"Pindah",Transaksi!$B$16:$B$5015,"&lt;="&amp;TODAY())+SUMIFS(Transaksi!$F$16:$F$5015,Transaksi!$E$16:$E$5015,A36,Transaksi!$D$16:$D$5015,"Pindah",Transaksi!$B$16:$B$5015,"&lt;="&amp;TODAY())))</f>
        <v/>
      </c>
      <c r="F36" s="172" t="n"/>
    </row>
    <row r="37" ht="15" customHeight="1" s="94">
      <c r="A37" s="127" t="n"/>
      <c r="B37" s="105" t="n"/>
      <c r="C37" s="175" t="n"/>
      <c r="D37" s="179" t="n"/>
      <c r="E37" s="113">
        <f>IF(A37="","",(SUMIFS(Akun!$C$5:$C$104,Akun!$A$5:$A$104,A37,Akun!$D$5:$D$104,"&lt;="&amp;TODAY())+SUMIFS(Transaksi!$F$16:$F$5015,Transaksi!$C$16:$C$5015,A37,Transaksi!$D$16:$D$5015,"Masuk",Transaksi!$B$16:$B$5015,"&lt;="&amp;TODAY())-SUMIFS(Transaksi!$F$16:$F$5015,Transaksi!$C$16:$C$5015,A37,Transaksi!$D$16:$D$5015,"Keluar",Transaksi!$B$16:$B$5015,"&lt;="&amp;TODAY())-SUMIFS(Transaksi!$F$16:$F$5015,Transaksi!$C$16:$C$5015,A37,Transaksi!$D$16:$D$5015,"Pindah",Transaksi!$B$16:$B$5015,"&lt;="&amp;TODAY())+SUMIFS(Transaksi!$F$16:$F$5015,Transaksi!$E$16:$E$5015,A37,Transaksi!$D$16:$D$5015,"Pindah",Transaksi!$B$16:$B$5015,"&lt;="&amp;TODAY())))</f>
        <v/>
      </c>
      <c r="F37" s="172" t="n"/>
    </row>
    <row r="38" ht="15" customHeight="1" s="94">
      <c r="A38" s="127" t="n"/>
      <c r="B38" s="105" t="n"/>
      <c r="C38" s="175" t="n"/>
      <c r="D38" s="179" t="n"/>
      <c r="E38" s="113">
        <f>IF(A38="","",(SUMIFS(Akun!$C$5:$C$104,Akun!$A$5:$A$104,A38,Akun!$D$5:$D$104,"&lt;="&amp;TODAY())+SUMIFS(Transaksi!$F$16:$F$5015,Transaksi!$C$16:$C$5015,A38,Transaksi!$D$16:$D$5015,"Masuk",Transaksi!$B$16:$B$5015,"&lt;="&amp;TODAY())-SUMIFS(Transaksi!$F$16:$F$5015,Transaksi!$C$16:$C$5015,A38,Transaksi!$D$16:$D$5015,"Keluar",Transaksi!$B$16:$B$5015,"&lt;="&amp;TODAY())-SUMIFS(Transaksi!$F$16:$F$5015,Transaksi!$C$16:$C$5015,A38,Transaksi!$D$16:$D$5015,"Pindah",Transaksi!$B$16:$B$5015,"&lt;="&amp;TODAY())+SUMIFS(Transaksi!$F$16:$F$5015,Transaksi!$E$16:$E$5015,A38,Transaksi!$D$16:$D$5015,"Pindah",Transaksi!$B$16:$B$5015,"&lt;="&amp;TODAY())))</f>
        <v/>
      </c>
      <c r="F38" s="172" t="n"/>
    </row>
    <row r="39" ht="15" customHeight="1" s="94">
      <c r="A39" s="127" t="n"/>
      <c r="B39" s="105" t="n"/>
      <c r="C39" s="175" t="n"/>
      <c r="D39" s="179" t="n"/>
      <c r="E39" s="113">
        <f>IF(A39="","",(SUMIFS(Akun!$C$5:$C$104,Akun!$A$5:$A$104,A39,Akun!$D$5:$D$104,"&lt;="&amp;TODAY())+SUMIFS(Transaksi!$F$16:$F$5015,Transaksi!$C$16:$C$5015,A39,Transaksi!$D$16:$D$5015,"Masuk",Transaksi!$B$16:$B$5015,"&lt;="&amp;TODAY())-SUMIFS(Transaksi!$F$16:$F$5015,Transaksi!$C$16:$C$5015,A39,Transaksi!$D$16:$D$5015,"Keluar",Transaksi!$B$16:$B$5015,"&lt;="&amp;TODAY())-SUMIFS(Transaksi!$F$16:$F$5015,Transaksi!$C$16:$C$5015,A39,Transaksi!$D$16:$D$5015,"Pindah",Transaksi!$B$16:$B$5015,"&lt;="&amp;TODAY())+SUMIFS(Transaksi!$F$16:$F$5015,Transaksi!$E$16:$E$5015,A39,Transaksi!$D$16:$D$5015,"Pindah",Transaksi!$B$16:$B$5015,"&lt;="&amp;TODAY())))</f>
        <v/>
      </c>
      <c r="F39" s="172" t="n"/>
    </row>
    <row r="40" ht="15" customHeight="1" s="94">
      <c r="A40" s="127" t="n"/>
      <c r="B40" s="105" t="n"/>
      <c r="C40" s="175" t="n"/>
      <c r="D40" s="179" t="n"/>
      <c r="E40" s="113">
        <f>IF(A40="","",(SUMIFS(Akun!$C$5:$C$104,Akun!$A$5:$A$104,A40,Akun!$D$5:$D$104,"&lt;="&amp;TODAY())+SUMIFS(Transaksi!$F$16:$F$5015,Transaksi!$C$16:$C$5015,A40,Transaksi!$D$16:$D$5015,"Masuk",Transaksi!$B$16:$B$5015,"&lt;="&amp;TODAY())-SUMIFS(Transaksi!$F$16:$F$5015,Transaksi!$C$16:$C$5015,A40,Transaksi!$D$16:$D$5015,"Keluar",Transaksi!$B$16:$B$5015,"&lt;="&amp;TODAY())-SUMIFS(Transaksi!$F$16:$F$5015,Transaksi!$C$16:$C$5015,A40,Transaksi!$D$16:$D$5015,"Pindah",Transaksi!$B$16:$B$5015,"&lt;="&amp;TODAY())+SUMIFS(Transaksi!$F$16:$F$5015,Transaksi!$E$16:$E$5015,A40,Transaksi!$D$16:$D$5015,"Pindah",Transaksi!$B$16:$B$5015,"&lt;="&amp;TODAY())))</f>
        <v/>
      </c>
      <c r="F40" s="172" t="n"/>
    </row>
    <row r="41" ht="15" customHeight="1" s="94">
      <c r="A41" s="127" t="n"/>
      <c r="B41" s="105" t="n"/>
      <c r="C41" s="175" t="n"/>
      <c r="D41" s="179" t="n"/>
      <c r="E41" s="113">
        <f>IF(A41="","",(SUMIFS(Akun!$C$5:$C$104,Akun!$A$5:$A$104,A41,Akun!$D$5:$D$104,"&lt;="&amp;TODAY())+SUMIFS(Transaksi!$F$16:$F$5015,Transaksi!$C$16:$C$5015,A41,Transaksi!$D$16:$D$5015,"Masuk",Transaksi!$B$16:$B$5015,"&lt;="&amp;TODAY())-SUMIFS(Transaksi!$F$16:$F$5015,Transaksi!$C$16:$C$5015,A41,Transaksi!$D$16:$D$5015,"Keluar",Transaksi!$B$16:$B$5015,"&lt;="&amp;TODAY())-SUMIFS(Transaksi!$F$16:$F$5015,Transaksi!$C$16:$C$5015,A41,Transaksi!$D$16:$D$5015,"Pindah",Transaksi!$B$16:$B$5015,"&lt;="&amp;TODAY())+SUMIFS(Transaksi!$F$16:$F$5015,Transaksi!$E$16:$E$5015,A41,Transaksi!$D$16:$D$5015,"Pindah",Transaksi!$B$16:$B$5015,"&lt;="&amp;TODAY())))</f>
        <v/>
      </c>
      <c r="F41" s="172" t="n"/>
    </row>
    <row r="42" ht="15" customHeight="1" s="94">
      <c r="A42" s="127" t="n"/>
      <c r="B42" s="105" t="n"/>
      <c r="C42" s="175" t="n"/>
      <c r="D42" s="179" t="n"/>
      <c r="E42" s="113">
        <f>IF(A42="","",(SUMIFS(Akun!$C$5:$C$104,Akun!$A$5:$A$104,A42,Akun!$D$5:$D$104,"&lt;="&amp;TODAY())+SUMIFS(Transaksi!$F$16:$F$5015,Transaksi!$C$16:$C$5015,A42,Transaksi!$D$16:$D$5015,"Masuk",Transaksi!$B$16:$B$5015,"&lt;="&amp;TODAY())-SUMIFS(Transaksi!$F$16:$F$5015,Transaksi!$C$16:$C$5015,A42,Transaksi!$D$16:$D$5015,"Keluar",Transaksi!$B$16:$B$5015,"&lt;="&amp;TODAY())-SUMIFS(Transaksi!$F$16:$F$5015,Transaksi!$C$16:$C$5015,A42,Transaksi!$D$16:$D$5015,"Pindah",Transaksi!$B$16:$B$5015,"&lt;="&amp;TODAY())+SUMIFS(Transaksi!$F$16:$F$5015,Transaksi!$E$16:$E$5015,A42,Transaksi!$D$16:$D$5015,"Pindah",Transaksi!$B$16:$B$5015,"&lt;="&amp;TODAY())))</f>
        <v/>
      </c>
      <c r="F42" s="172" t="n"/>
    </row>
    <row r="43" ht="15" customHeight="1" s="94">
      <c r="A43" s="127" t="n"/>
      <c r="B43" s="105" t="n"/>
      <c r="C43" s="175" t="n"/>
      <c r="D43" s="179" t="n"/>
      <c r="E43" s="113">
        <f>IF(A43="","",(SUMIFS(Akun!$C$5:$C$104,Akun!$A$5:$A$104,A43,Akun!$D$5:$D$104,"&lt;="&amp;TODAY())+SUMIFS(Transaksi!$F$16:$F$5015,Transaksi!$C$16:$C$5015,A43,Transaksi!$D$16:$D$5015,"Masuk",Transaksi!$B$16:$B$5015,"&lt;="&amp;TODAY())-SUMIFS(Transaksi!$F$16:$F$5015,Transaksi!$C$16:$C$5015,A43,Transaksi!$D$16:$D$5015,"Keluar",Transaksi!$B$16:$B$5015,"&lt;="&amp;TODAY())-SUMIFS(Transaksi!$F$16:$F$5015,Transaksi!$C$16:$C$5015,A43,Transaksi!$D$16:$D$5015,"Pindah",Transaksi!$B$16:$B$5015,"&lt;="&amp;TODAY())+SUMIFS(Transaksi!$F$16:$F$5015,Transaksi!$E$16:$E$5015,A43,Transaksi!$D$16:$D$5015,"Pindah",Transaksi!$B$16:$B$5015,"&lt;="&amp;TODAY())))</f>
        <v/>
      </c>
      <c r="F43" s="172" t="n"/>
    </row>
    <row r="44" ht="15" customHeight="1" s="94">
      <c r="A44" s="127" t="n"/>
      <c r="B44" s="105" t="n"/>
      <c r="C44" s="175" t="n"/>
      <c r="D44" s="179" t="n"/>
      <c r="E44" s="113">
        <f>IF(A44="","",(SUMIFS(Akun!$C$5:$C$104,Akun!$A$5:$A$104,A44,Akun!$D$5:$D$104,"&lt;="&amp;TODAY())+SUMIFS(Transaksi!$F$16:$F$5015,Transaksi!$C$16:$C$5015,A44,Transaksi!$D$16:$D$5015,"Masuk",Transaksi!$B$16:$B$5015,"&lt;="&amp;TODAY())-SUMIFS(Transaksi!$F$16:$F$5015,Transaksi!$C$16:$C$5015,A44,Transaksi!$D$16:$D$5015,"Keluar",Transaksi!$B$16:$B$5015,"&lt;="&amp;TODAY())-SUMIFS(Transaksi!$F$16:$F$5015,Transaksi!$C$16:$C$5015,A44,Transaksi!$D$16:$D$5015,"Pindah",Transaksi!$B$16:$B$5015,"&lt;="&amp;TODAY())+SUMIFS(Transaksi!$F$16:$F$5015,Transaksi!$E$16:$E$5015,A44,Transaksi!$D$16:$D$5015,"Pindah",Transaksi!$B$16:$B$5015,"&lt;="&amp;TODAY())))</f>
        <v/>
      </c>
      <c r="F44" s="172" t="n"/>
    </row>
    <row r="45" ht="15" customHeight="1" s="94">
      <c r="A45" s="127" t="n"/>
      <c r="B45" s="105" t="n"/>
      <c r="C45" s="175" t="n"/>
      <c r="D45" s="179" t="n"/>
      <c r="E45" s="113">
        <f>IF(A45="","",(SUMIFS(Akun!$C$5:$C$104,Akun!$A$5:$A$104,A45,Akun!$D$5:$D$104,"&lt;="&amp;TODAY())+SUMIFS(Transaksi!$F$16:$F$5015,Transaksi!$C$16:$C$5015,A45,Transaksi!$D$16:$D$5015,"Masuk",Transaksi!$B$16:$B$5015,"&lt;="&amp;TODAY())-SUMIFS(Transaksi!$F$16:$F$5015,Transaksi!$C$16:$C$5015,A45,Transaksi!$D$16:$D$5015,"Keluar",Transaksi!$B$16:$B$5015,"&lt;="&amp;TODAY())-SUMIFS(Transaksi!$F$16:$F$5015,Transaksi!$C$16:$C$5015,A45,Transaksi!$D$16:$D$5015,"Pindah",Transaksi!$B$16:$B$5015,"&lt;="&amp;TODAY())+SUMIFS(Transaksi!$F$16:$F$5015,Transaksi!$E$16:$E$5015,A45,Transaksi!$D$16:$D$5015,"Pindah",Transaksi!$B$16:$B$5015,"&lt;="&amp;TODAY())))</f>
        <v/>
      </c>
      <c r="F45" s="172" t="n"/>
    </row>
    <row r="46" ht="15" customHeight="1" s="94">
      <c r="A46" s="127" t="n"/>
      <c r="B46" s="105" t="n"/>
      <c r="C46" s="175" t="n"/>
      <c r="D46" s="179" t="n"/>
      <c r="E46" s="113">
        <f>IF(A46="","",(SUMIFS(Akun!$C$5:$C$104,Akun!$A$5:$A$104,A46,Akun!$D$5:$D$104,"&lt;="&amp;TODAY())+SUMIFS(Transaksi!$F$16:$F$5015,Transaksi!$C$16:$C$5015,A46,Transaksi!$D$16:$D$5015,"Masuk",Transaksi!$B$16:$B$5015,"&lt;="&amp;TODAY())-SUMIFS(Transaksi!$F$16:$F$5015,Transaksi!$C$16:$C$5015,A46,Transaksi!$D$16:$D$5015,"Keluar",Transaksi!$B$16:$B$5015,"&lt;="&amp;TODAY())-SUMIFS(Transaksi!$F$16:$F$5015,Transaksi!$C$16:$C$5015,A46,Transaksi!$D$16:$D$5015,"Pindah",Transaksi!$B$16:$B$5015,"&lt;="&amp;TODAY())+SUMIFS(Transaksi!$F$16:$F$5015,Transaksi!$E$16:$E$5015,A46,Transaksi!$D$16:$D$5015,"Pindah",Transaksi!$B$16:$B$5015,"&lt;="&amp;TODAY())))</f>
        <v/>
      </c>
      <c r="F46" s="172" t="n"/>
    </row>
    <row r="47" ht="15" customHeight="1" s="94">
      <c r="A47" s="127" t="n"/>
      <c r="B47" s="105" t="n"/>
      <c r="C47" s="175" t="n"/>
      <c r="D47" s="179" t="n"/>
      <c r="E47" s="113">
        <f>IF(A47="","",(SUMIFS(Akun!$C$5:$C$104,Akun!$A$5:$A$104,A47,Akun!$D$5:$D$104,"&lt;="&amp;TODAY())+SUMIFS(Transaksi!$F$16:$F$5015,Transaksi!$C$16:$C$5015,A47,Transaksi!$D$16:$D$5015,"Masuk",Transaksi!$B$16:$B$5015,"&lt;="&amp;TODAY())-SUMIFS(Transaksi!$F$16:$F$5015,Transaksi!$C$16:$C$5015,A47,Transaksi!$D$16:$D$5015,"Keluar",Transaksi!$B$16:$B$5015,"&lt;="&amp;TODAY())-SUMIFS(Transaksi!$F$16:$F$5015,Transaksi!$C$16:$C$5015,A47,Transaksi!$D$16:$D$5015,"Pindah",Transaksi!$B$16:$B$5015,"&lt;="&amp;TODAY())+SUMIFS(Transaksi!$F$16:$F$5015,Transaksi!$E$16:$E$5015,A47,Transaksi!$D$16:$D$5015,"Pindah",Transaksi!$B$16:$B$5015,"&lt;="&amp;TODAY())))</f>
        <v/>
      </c>
      <c r="F47" s="172" t="n"/>
    </row>
    <row r="48" ht="15" customHeight="1" s="94">
      <c r="A48" s="127" t="n"/>
      <c r="B48" s="105" t="n"/>
      <c r="C48" s="175" t="n"/>
      <c r="D48" s="179" t="n"/>
      <c r="E48" s="113">
        <f>IF(A48="","",(SUMIFS(Akun!$C$5:$C$104,Akun!$A$5:$A$104,A48,Akun!$D$5:$D$104,"&lt;="&amp;TODAY())+SUMIFS(Transaksi!$F$16:$F$5015,Transaksi!$C$16:$C$5015,A48,Transaksi!$D$16:$D$5015,"Masuk",Transaksi!$B$16:$B$5015,"&lt;="&amp;TODAY())-SUMIFS(Transaksi!$F$16:$F$5015,Transaksi!$C$16:$C$5015,A48,Transaksi!$D$16:$D$5015,"Keluar",Transaksi!$B$16:$B$5015,"&lt;="&amp;TODAY())-SUMIFS(Transaksi!$F$16:$F$5015,Transaksi!$C$16:$C$5015,A48,Transaksi!$D$16:$D$5015,"Pindah",Transaksi!$B$16:$B$5015,"&lt;="&amp;TODAY())+SUMIFS(Transaksi!$F$16:$F$5015,Transaksi!$E$16:$E$5015,A48,Transaksi!$D$16:$D$5015,"Pindah",Transaksi!$B$16:$B$5015,"&lt;="&amp;TODAY())))</f>
        <v/>
      </c>
      <c r="F48" s="172" t="n"/>
    </row>
    <row r="49" ht="15" customHeight="1" s="94">
      <c r="A49" s="127" t="n"/>
      <c r="B49" s="105" t="n"/>
      <c r="C49" s="175" t="n"/>
      <c r="D49" s="179" t="n"/>
      <c r="E49" s="113">
        <f>IF(A49="","",(SUMIFS(Akun!$C$5:$C$104,Akun!$A$5:$A$104,A49,Akun!$D$5:$D$104,"&lt;="&amp;TODAY())+SUMIFS(Transaksi!$F$16:$F$5015,Transaksi!$C$16:$C$5015,A49,Transaksi!$D$16:$D$5015,"Masuk",Transaksi!$B$16:$B$5015,"&lt;="&amp;TODAY())-SUMIFS(Transaksi!$F$16:$F$5015,Transaksi!$C$16:$C$5015,A49,Transaksi!$D$16:$D$5015,"Keluar",Transaksi!$B$16:$B$5015,"&lt;="&amp;TODAY())-SUMIFS(Transaksi!$F$16:$F$5015,Transaksi!$C$16:$C$5015,A49,Transaksi!$D$16:$D$5015,"Pindah",Transaksi!$B$16:$B$5015,"&lt;="&amp;TODAY())+SUMIFS(Transaksi!$F$16:$F$5015,Transaksi!$E$16:$E$5015,A49,Transaksi!$D$16:$D$5015,"Pindah",Transaksi!$B$16:$B$5015,"&lt;="&amp;TODAY())))</f>
        <v/>
      </c>
      <c r="F49" s="172" t="n"/>
    </row>
    <row r="50" ht="15" customHeight="1" s="94">
      <c r="A50" s="127" t="n"/>
      <c r="B50" s="105" t="n"/>
      <c r="C50" s="175" t="n"/>
      <c r="D50" s="179" t="n"/>
      <c r="E50" s="113">
        <f>IF(A50="","",(SUMIFS(Akun!$C$5:$C$104,Akun!$A$5:$A$104,A50,Akun!$D$5:$D$104,"&lt;="&amp;TODAY())+SUMIFS(Transaksi!$F$16:$F$5015,Transaksi!$C$16:$C$5015,A50,Transaksi!$D$16:$D$5015,"Masuk",Transaksi!$B$16:$B$5015,"&lt;="&amp;TODAY())-SUMIFS(Transaksi!$F$16:$F$5015,Transaksi!$C$16:$C$5015,A50,Transaksi!$D$16:$D$5015,"Keluar",Transaksi!$B$16:$B$5015,"&lt;="&amp;TODAY())-SUMIFS(Transaksi!$F$16:$F$5015,Transaksi!$C$16:$C$5015,A50,Transaksi!$D$16:$D$5015,"Pindah",Transaksi!$B$16:$B$5015,"&lt;="&amp;TODAY())+SUMIFS(Transaksi!$F$16:$F$5015,Transaksi!$E$16:$E$5015,A50,Transaksi!$D$16:$D$5015,"Pindah",Transaksi!$B$16:$B$5015,"&lt;="&amp;TODAY())))</f>
        <v/>
      </c>
      <c r="F50" s="172" t="n"/>
    </row>
    <row r="51" ht="15" customHeight="1" s="94">
      <c r="A51" s="127" t="n"/>
      <c r="B51" s="105" t="n"/>
      <c r="C51" s="175" t="n"/>
      <c r="D51" s="179" t="n"/>
      <c r="E51" s="113">
        <f>IF(A51="","",(SUMIFS(Akun!$C$5:$C$104,Akun!$A$5:$A$104,A51,Akun!$D$5:$D$104,"&lt;="&amp;TODAY())+SUMIFS(Transaksi!$F$16:$F$5015,Transaksi!$C$16:$C$5015,A51,Transaksi!$D$16:$D$5015,"Masuk",Transaksi!$B$16:$B$5015,"&lt;="&amp;TODAY())-SUMIFS(Transaksi!$F$16:$F$5015,Transaksi!$C$16:$C$5015,A51,Transaksi!$D$16:$D$5015,"Keluar",Transaksi!$B$16:$B$5015,"&lt;="&amp;TODAY())-SUMIFS(Transaksi!$F$16:$F$5015,Transaksi!$C$16:$C$5015,A51,Transaksi!$D$16:$D$5015,"Pindah",Transaksi!$B$16:$B$5015,"&lt;="&amp;TODAY())+SUMIFS(Transaksi!$F$16:$F$5015,Transaksi!$E$16:$E$5015,A51,Transaksi!$D$16:$D$5015,"Pindah",Transaksi!$B$16:$B$5015,"&lt;="&amp;TODAY())))</f>
        <v/>
      </c>
      <c r="F51" s="172" t="n"/>
    </row>
    <row r="52" ht="15" customHeight="1" s="94">
      <c r="A52" s="127" t="n"/>
      <c r="B52" s="105" t="n"/>
      <c r="C52" s="175" t="n"/>
      <c r="D52" s="179" t="n"/>
      <c r="E52" s="113">
        <f>IF(A52="","",(SUMIFS(Akun!$C$5:$C$104,Akun!$A$5:$A$104,A52,Akun!$D$5:$D$104,"&lt;="&amp;TODAY())+SUMIFS(Transaksi!$F$16:$F$5015,Transaksi!$C$16:$C$5015,A52,Transaksi!$D$16:$D$5015,"Masuk",Transaksi!$B$16:$B$5015,"&lt;="&amp;TODAY())-SUMIFS(Transaksi!$F$16:$F$5015,Transaksi!$C$16:$C$5015,A52,Transaksi!$D$16:$D$5015,"Keluar",Transaksi!$B$16:$B$5015,"&lt;="&amp;TODAY())-SUMIFS(Transaksi!$F$16:$F$5015,Transaksi!$C$16:$C$5015,A52,Transaksi!$D$16:$D$5015,"Pindah",Transaksi!$B$16:$B$5015,"&lt;="&amp;TODAY())+SUMIFS(Transaksi!$F$16:$F$5015,Transaksi!$E$16:$E$5015,A52,Transaksi!$D$16:$D$5015,"Pindah",Transaksi!$B$16:$B$5015,"&lt;="&amp;TODAY())))</f>
        <v/>
      </c>
      <c r="F52" s="172" t="n"/>
    </row>
    <row r="53" ht="15" customHeight="1" s="94">
      <c r="A53" s="127" t="n"/>
      <c r="B53" s="105" t="n"/>
      <c r="C53" s="175" t="n"/>
      <c r="D53" s="179" t="n"/>
      <c r="E53" s="113">
        <f>IF(A53="","",(SUMIFS(Akun!$C$5:$C$104,Akun!$A$5:$A$104,A53,Akun!$D$5:$D$104,"&lt;="&amp;TODAY())+SUMIFS(Transaksi!$F$16:$F$5015,Transaksi!$C$16:$C$5015,A53,Transaksi!$D$16:$D$5015,"Masuk",Transaksi!$B$16:$B$5015,"&lt;="&amp;TODAY())-SUMIFS(Transaksi!$F$16:$F$5015,Transaksi!$C$16:$C$5015,A53,Transaksi!$D$16:$D$5015,"Keluar",Transaksi!$B$16:$B$5015,"&lt;="&amp;TODAY())-SUMIFS(Transaksi!$F$16:$F$5015,Transaksi!$C$16:$C$5015,A53,Transaksi!$D$16:$D$5015,"Pindah",Transaksi!$B$16:$B$5015,"&lt;="&amp;TODAY())+SUMIFS(Transaksi!$F$16:$F$5015,Transaksi!$E$16:$E$5015,A53,Transaksi!$D$16:$D$5015,"Pindah",Transaksi!$B$16:$B$5015,"&lt;="&amp;TODAY())))</f>
        <v/>
      </c>
      <c r="F53" s="172" t="n"/>
    </row>
    <row r="54" ht="15" customHeight="1" s="94">
      <c r="A54" s="127" t="n"/>
      <c r="B54" s="105" t="n"/>
      <c r="C54" s="175" t="n"/>
      <c r="D54" s="179" t="n"/>
      <c r="E54" s="113">
        <f>IF(A54="","",(SUMIFS(Akun!$C$5:$C$104,Akun!$A$5:$A$104,A54,Akun!$D$5:$D$104,"&lt;="&amp;TODAY())+SUMIFS(Transaksi!$F$16:$F$5015,Transaksi!$C$16:$C$5015,A54,Transaksi!$D$16:$D$5015,"Masuk",Transaksi!$B$16:$B$5015,"&lt;="&amp;TODAY())-SUMIFS(Transaksi!$F$16:$F$5015,Transaksi!$C$16:$C$5015,A54,Transaksi!$D$16:$D$5015,"Keluar",Transaksi!$B$16:$B$5015,"&lt;="&amp;TODAY())-SUMIFS(Transaksi!$F$16:$F$5015,Transaksi!$C$16:$C$5015,A54,Transaksi!$D$16:$D$5015,"Pindah",Transaksi!$B$16:$B$5015,"&lt;="&amp;TODAY())+SUMIFS(Transaksi!$F$16:$F$5015,Transaksi!$E$16:$E$5015,A54,Transaksi!$D$16:$D$5015,"Pindah",Transaksi!$B$16:$B$5015,"&lt;="&amp;TODAY())))</f>
        <v/>
      </c>
      <c r="F54" s="172" t="n"/>
    </row>
    <row r="55" ht="15" customHeight="1" s="94">
      <c r="A55" s="127" t="n"/>
      <c r="B55" s="105" t="n"/>
      <c r="C55" s="175" t="n"/>
      <c r="D55" s="179" t="n"/>
      <c r="E55" s="113">
        <f>IF(A55="","",(SUMIFS(Akun!$C$5:$C$104,Akun!$A$5:$A$104,A55,Akun!$D$5:$D$104,"&lt;="&amp;TODAY())+SUMIFS(Transaksi!$F$16:$F$5015,Transaksi!$C$16:$C$5015,A55,Transaksi!$D$16:$D$5015,"Masuk",Transaksi!$B$16:$B$5015,"&lt;="&amp;TODAY())-SUMIFS(Transaksi!$F$16:$F$5015,Transaksi!$C$16:$C$5015,A55,Transaksi!$D$16:$D$5015,"Keluar",Transaksi!$B$16:$B$5015,"&lt;="&amp;TODAY())-SUMIFS(Transaksi!$F$16:$F$5015,Transaksi!$C$16:$C$5015,A55,Transaksi!$D$16:$D$5015,"Pindah",Transaksi!$B$16:$B$5015,"&lt;="&amp;TODAY())+SUMIFS(Transaksi!$F$16:$F$5015,Transaksi!$E$16:$E$5015,A55,Transaksi!$D$16:$D$5015,"Pindah",Transaksi!$B$16:$B$5015,"&lt;="&amp;TODAY())))</f>
        <v/>
      </c>
      <c r="F55" s="172" t="n"/>
    </row>
    <row r="56" ht="15" customHeight="1" s="94">
      <c r="A56" s="127" t="n"/>
      <c r="B56" s="105" t="n"/>
      <c r="C56" s="175" t="n"/>
      <c r="D56" s="179" t="n"/>
      <c r="E56" s="113">
        <f>IF(A56="","",(SUMIFS(Akun!$C$5:$C$104,Akun!$A$5:$A$104,A56,Akun!$D$5:$D$104,"&lt;="&amp;TODAY())+SUMIFS(Transaksi!$F$16:$F$5015,Transaksi!$C$16:$C$5015,A56,Transaksi!$D$16:$D$5015,"Masuk",Transaksi!$B$16:$B$5015,"&lt;="&amp;TODAY())-SUMIFS(Transaksi!$F$16:$F$5015,Transaksi!$C$16:$C$5015,A56,Transaksi!$D$16:$D$5015,"Keluar",Transaksi!$B$16:$B$5015,"&lt;="&amp;TODAY())-SUMIFS(Transaksi!$F$16:$F$5015,Transaksi!$C$16:$C$5015,A56,Transaksi!$D$16:$D$5015,"Pindah",Transaksi!$B$16:$B$5015,"&lt;="&amp;TODAY())+SUMIFS(Transaksi!$F$16:$F$5015,Transaksi!$E$16:$E$5015,A56,Transaksi!$D$16:$D$5015,"Pindah",Transaksi!$B$16:$B$5015,"&lt;="&amp;TODAY())))</f>
        <v/>
      </c>
      <c r="F56" s="172" t="n"/>
    </row>
    <row r="57" ht="15" customHeight="1" s="94">
      <c r="A57" s="127" t="n"/>
      <c r="B57" s="105" t="n"/>
      <c r="C57" s="175" t="n"/>
      <c r="D57" s="179" t="n"/>
      <c r="E57" s="113">
        <f>IF(A57="","",(SUMIFS(Akun!$C$5:$C$104,Akun!$A$5:$A$104,A57,Akun!$D$5:$D$104,"&lt;="&amp;TODAY())+SUMIFS(Transaksi!$F$16:$F$5015,Transaksi!$C$16:$C$5015,A57,Transaksi!$D$16:$D$5015,"Masuk",Transaksi!$B$16:$B$5015,"&lt;="&amp;TODAY())-SUMIFS(Transaksi!$F$16:$F$5015,Transaksi!$C$16:$C$5015,A57,Transaksi!$D$16:$D$5015,"Keluar",Transaksi!$B$16:$B$5015,"&lt;="&amp;TODAY())-SUMIFS(Transaksi!$F$16:$F$5015,Transaksi!$C$16:$C$5015,A57,Transaksi!$D$16:$D$5015,"Pindah",Transaksi!$B$16:$B$5015,"&lt;="&amp;TODAY())+SUMIFS(Transaksi!$F$16:$F$5015,Transaksi!$E$16:$E$5015,A57,Transaksi!$D$16:$D$5015,"Pindah",Transaksi!$B$16:$B$5015,"&lt;="&amp;TODAY())))</f>
        <v/>
      </c>
      <c r="F57" s="172" t="n"/>
    </row>
    <row r="58" ht="15" customHeight="1" s="94">
      <c r="A58" s="127" t="n"/>
      <c r="B58" s="105" t="n"/>
      <c r="C58" s="175" t="n"/>
      <c r="D58" s="179" t="n"/>
      <c r="E58" s="113">
        <f>IF(A58="","",(SUMIFS(Akun!$C$5:$C$104,Akun!$A$5:$A$104,A58,Akun!$D$5:$D$104,"&lt;="&amp;TODAY())+SUMIFS(Transaksi!$F$16:$F$5015,Transaksi!$C$16:$C$5015,A58,Transaksi!$D$16:$D$5015,"Masuk",Transaksi!$B$16:$B$5015,"&lt;="&amp;TODAY())-SUMIFS(Transaksi!$F$16:$F$5015,Transaksi!$C$16:$C$5015,A58,Transaksi!$D$16:$D$5015,"Keluar",Transaksi!$B$16:$B$5015,"&lt;="&amp;TODAY())-SUMIFS(Transaksi!$F$16:$F$5015,Transaksi!$C$16:$C$5015,A58,Transaksi!$D$16:$D$5015,"Pindah",Transaksi!$B$16:$B$5015,"&lt;="&amp;TODAY())+SUMIFS(Transaksi!$F$16:$F$5015,Transaksi!$E$16:$E$5015,A58,Transaksi!$D$16:$D$5015,"Pindah",Transaksi!$B$16:$B$5015,"&lt;="&amp;TODAY())))</f>
        <v/>
      </c>
      <c r="F58" s="172" t="n"/>
    </row>
    <row r="59" ht="15" customHeight="1" s="94">
      <c r="A59" s="127" t="n"/>
      <c r="B59" s="105" t="n"/>
      <c r="C59" s="175" t="n"/>
      <c r="D59" s="179" t="n"/>
      <c r="E59" s="113">
        <f>IF(A59="","",(SUMIFS(Akun!$C$5:$C$104,Akun!$A$5:$A$104,A59,Akun!$D$5:$D$104,"&lt;="&amp;TODAY())+SUMIFS(Transaksi!$F$16:$F$5015,Transaksi!$C$16:$C$5015,A59,Transaksi!$D$16:$D$5015,"Masuk",Transaksi!$B$16:$B$5015,"&lt;="&amp;TODAY())-SUMIFS(Transaksi!$F$16:$F$5015,Transaksi!$C$16:$C$5015,A59,Transaksi!$D$16:$D$5015,"Keluar",Transaksi!$B$16:$B$5015,"&lt;="&amp;TODAY())-SUMIFS(Transaksi!$F$16:$F$5015,Transaksi!$C$16:$C$5015,A59,Transaksi!$D$16:$D$5015,"Pindah",Transaksi!$B$16:$B$5015,"&lt;="&amp;TODAY())+SUMIFS(Transaksi!$F$16:$F$5015,Transaksi!$E$16:$E$5015,A59,Transaksi!$D$16:$D$5015,"Pindah",Transaksi!$B$16:$B$5015,"&lt;="&amp;TODAY())))</f>
        <v/>
      </c>
      <c r="F59" s="172" t="n"/>
    </row>
    <row r="60" ht="15" customHeight="1" s="94">
      <c r="A60" s="127" t="n"/>
      <c r="B60" s="105" t="n"/>
      <c r="C60" s="175" t="n"/>
      <c r="D60" s="179" t="n"/>
      <c r="E60" s="113">
        <f>IF(A60="","",(SUMIFS(Akun!$C$5:$C$104,Akun!$A$5:$A$104,A60,Akun!$D$5:$D$104,"&lt;="&amp;TODAY())+SUMIFS(Transaksi!$F$16:$F$5015,Transaksi!$C$16:$C$5015,A60,Transaksi!$D$16:$D$5015,"Masuk",Transaksi!$B$16:$B$5015,"&lt;="&amp;TODAY())-SUMIFS(Transaksi!$F$16:$F$5015,Transaksi!$C$16:$C$5015,A60,Transaksi!$D$16:$D$5015,"Keluar",Transaksi!$B$16:$B$5015,"&lt;="&amp;TODAY())-SUMIFS(Transaksi!$F$16:$F$5015,Transaksi!$C$16:$C$5015,A60,Transaksi!$D$16:$D$5015,"Pindah",Transaksi!$B$16:$B$5015,"&lt;="&amp;TODAY())+SUMIFS(Transaksi!$F$16:$F$5015,Transaksi!$E$16:$E$5015,A60,Transaksi!$D$16:$D$5015,"Pindah",Transaksi!$B$16:$B$5015,"&lt;="&amp;TODAY())))</f>
        <v/>
      </c>
      <c r="F60" s="172" t="n"/>
    </row>
    <row r="61" ht="15" customHeight="1" s="94">
      <c r="A61" s="127" t="n"/>
      <c r="B61" s="105" t="n"/>
      <c r="C61" s="175" t="n"/>
      <c r="D61" s="179" t="n"/>
      <c r="E61" s="113">
        <f>IF(A61="","",(SUMIFS(Akun!$C$5:$C$104,Akun!$A$5:$A$104,A61,Akun!$D$5:$D$104,"&lt;="&amp;TODAY())+SUMIFS(Transaksi!$F$16:$F$5015,Transaksi!$C$16:$C$5015,A61,Transaksi!$D$16:$D$5015,"Masuk",Transaksi!$B$16:$B$5015,"&lt;="&amp;TODAY())-SUMIFS(Transaksi!$F$16:$F$5015,Transaksi!$C$16:$C$5015,A61,Transaksi!$D$16:$D$5015,"Keluar",Transaksi!$B$16:$B$5015,"&lt;="&amp;TODAY())-SUMIFS(Transaksi!$F$16:$F$5015,Transaksi!$C$16:$C$5015,A61,Transaksi!$D$16:$D$5015,"Pindah",Transaksi!$B$16:$B$5015,"&lt;="&amp;TODAY())+SUMIFS(Transaksi!$F$16:$F$5015,Transaksi!$E$16:$E$5015,A61,Transaksi!$D$16:$D$5015,"Pindah",Transaksi!$B$16:$B$5015,"&lt;="&amp;TODAY())))</f>
        <v/>
      </c>
      <c r="F61" s="172" t="n"/>
    </row>
    <row r="62" ht="15" customHeight="1" s="94">
      <c r="A62" s="127" t="n"/>
      <c r="B62" s="105" t="n"/>
      <c r="C62" s="175" t="n"/>
      <c r="D62" s="179" t="n"/>
      <c r="E62" s="113">
        <f>IF(A62="","",(SUMIFS(Akun!$C$5:$C$104,Akun!$A$5:$A$104,A62,Akun!$D$5:$D$104,"&lt;="&amp;TODAY())+SUMIFS(Transaksi!$F$16:$F$5015,Transaksi!$C$16:$C$5015,A62,Transaksi!$D$16:$D$5015,"Masuk",Transaksi!$B$16:$B$5015,"&lt;="&amp;TODAY())-SUMIFS(Transaksi!$F$16:$F$5015,Transaksi!$C$16:$C$5015,A62,Transaksi!$D$16:$D$5015,"Keluar",Transaksi!$B$16:$B$5015,"&lt;="&amp;TODAY())-SUMIFS(Transaksi!$F$16:$F$5015,Transaksi!$C$16:$C$5015,A62,Transaksi!$D$16:$D$5015,"Pindah",Transaksi!$B$16:$B$5015,"&lt;="&amp;TODAY())+SUMIFS(Transaksi!$F$16:$F$5015,Transaksi!$E$16:$E$5015,A62,Transaksi!$D$16:$D$5015,"Pindah",Transaksi!$B$16:$B$5015,"&lt;="&amp;TODAY())))</f>
        <v/>
      </c>
      <c r="F62" s="172" t="n"/>
    </row>
    <row r="63" ht="15" customHeight="1" s="94">
      <c r="A63" s="127" t="n"/>
      <c r="B63" s="105" t="n"/>
      <c r="C63" s="175" t="n"/>
      <c r="D63" s="179" t="n"/>
      <c r="E63" s="113">
        <f>IF(A63="","",(SUMIFS(Akun!$C$5:$C$104,Akun!$A$5:$A$104,A63,Akun!$D$5:$D$104,"&lt;="&amp;TODAY())+SUMIFS(Transaksi!$F$16:$F$5015,Transaksi!$C$16:$C$5015,A63,Transaksi!$D$16:$D$5015,"Masuk",Transaksi!$B$16:$B$5015,"&lt;="&amp;TODAY())-SUMIFS(Transaksi!$F$16:$F$5015,Transaksi!$C$16:$C$5015,A63,Transaksi!$D$16:$D$5015,"Keluar",Transaksi!$B$16:$B$5015,"&lt;="&amp;TODAY())-SUMIFS(Transaksi!$F$16:$F$5015,Transaksi!$C$16:$C$5015,A63,Transaksi!$D$16:$D$5015,"Pindah",Transaksi!$B$16:$B$5015,"&lt;="&amp;TODAY())+SUMIFS(Transaksi!$F$16:$F$5015,Transaksi!$E$16:$E$5015,A63,Transaksi!$D$16:$D$5015,"Pindah",Transaksi!$B$16:$B$5015,"&lt;="&amp;TODAY())))</f>
        <v/>
      </c>
      <c r="F63" s="172" t="n"/>
    </row>
    <row r="64" ht="15" customHeight="1" s="94">
      <c r="A64" s="127" t="n"/>
      <c r="B64" s="105" t="n"/>
      <c r="C64" s="175" t="n"/>
      <c r="D64" s="179" t="n"/>
      <c r="E64" s="113">
        <f>IF(A64="","",(SUMIFS(Akun!$C$5:$C$104,Akun!$A$5:$A$104,A64,Akun!$D$5:$D$104,"&lt;="&amp;TODAY())+SUMIFS(Transaksi!$F$16:$F$5015,Transaksi!$C$16:$C$5015,A64,Transaksi!$D$16:$D$5015,"Masuk",Transaksi!$B$16:$B$5015,"&lt;="&amp;TODAY())-SUMIFS(Transaksi!$F$16:$F$5015,Transaksi!$C$16:$C$5015,A64,Transaksi!$D$16:$D$5015,"Keluar",Transaksi!$B$16:$B$5015,"&lt;="&amp;TODAY())-SUMIFS(Transaksi!$F$16:$F$5015,Transaksi!$C$16:$C$5015,A64,Transaksi!$D$16:$D$5015,"Pindah",Transaksi!$B$16:$B$5015,"&lt;="&amp;TODAY())+SUMIFS(Transaksi!$F$16:$F$5015,Transaksi!$E$16:$E$5015,A64,Transaksi!$D$16:$D$5015,"Pindah",Transaksi!$B$16:$B$5015,"&lt;="&amp;TODAY())))</f>
        <v/>
      </c>
      <c r="F64" s="172" t="n"/>
    </row>
    <row r="65" ht="15" customHeight="1" s="94">
      <c r="A65" s="127" t="n"/>
      <c r="B65" s="105" t="n"/>
      <c r="C65" s="175" t="n"/>
      <c r="D65" s="179" t="n"/>
      <c r="E65" s="113">
        <f>IF(A65="","",(SUMIFS(Akun!$C$5:$C$104,Akun!$A$5:$A$104,A65,Akun!$D$5:$D$104,"&lt;="&amp;TODAY())+SUMIFS(Transaksi!$F$16:$F$5015,Transaksi!$C$16:$C$5015,A65,Transaksi!$D$16:$D$5015,"Masuk",Transaksi!$B$16:$B$5015,"&lt;="&amp;TODAY())-SUMIFS(Transaksi!$F$16:$F$5015,Transaksi!$C$16:$C$5015,A65,Transaksi!$D$16:$D$5015,"Keluar",Transaksi!$B$16:$B$5015,"&lt;="&amp;TODAY())-SUMIFS(Transaksi!$F$16:$F$5015,Transaksi!$C$16:$C$5015,A65,Transaksi!$D$16:$D$5015,"Pindah",Transaksi!$B$16:$B$5015,"&lt;="&amp;TODAY())+SUMIFS(Transaksi!$F$16:$F$5015,Transaksi!$E$16:$E$5015,A65,Transaksi!$D$16:$D$5015,"Pindah",Transaksi!$B$16:$B$5015,"&lt;="&amp;TODAY())))</f>
        <v/>
      </c>
      <c r="F65" s="172" t="n"/>
    </row>
    <row r="66" ht="15" customHeight="1" s="94">
      <c r="A66" s="127" t="n"/>
      <c r="B66" s="105" t="n"/>
      <c r="C66" s="175" t="n"/>
      <c r="D66" s="179" t="n"/>
      <c r="E66" s="113">
        <f>IF(A66="","",(SUMIFS(Akun!$C$5:$C$104,Akun!$A$5:$A$104,A66,Akun!$D$5:$D$104,"&lt;="&amp;TODAY())+SUMIFS(Transaksi!$F$16:$F$5015,Transaksi!$C$16:$C$5015,A66,Transaksi!$D$16:$D$5015,"Masuk",Transaksi!$B$16:$B$5015,"&lt;="&amp;TODAY())-SUMIFS(Transaksi!$F$16:$F$5015,Transaksi!$C$16:$C$5015,A66,Transaksi!$D$16:$D$5015,"Keluar",Transaksi!$B$16:$B$5015,"&lt;="&amp;TODAY())-SUMIFS(Transaksi!$F$16:$F$5015,Transaksi!$C$16:$C$5015,A66,Transaksi!$D$16:$D$5015,"Pindah",Transaksi!$B$16:$B$5015,"&lt;="&amp;TODAY())+SUMIFS(Transaksi!$F$16:$F$5015,Transaksi!$E$16:$E$5015,A66,Transaksi!$D$16:$D$5015,"Pindah",Transaksi!$B$16:$B$5015,"&lt;="&amp;TODAY())))</f>
        <v/>
      </c>
      <c r="F66" s="172" t="n"/>
    </row>
    <row r="67" ht="15" customHeight="1" s="94">
      <c r="A67" s="127" t="n"/>
      <c r="B67" s="105" t="n"/>
      <c r="C67" s="175" t="n"/>
      <c r="D67" s="179" t="n"/>
      <c r="E67" s="113">
        <f>IF(A67="","",(SUMIFS(Akun!$C$5:$C$104,Akun!$A$5:$A$104,A67,Akun!$D$5:$D$104,"&lt;="&amp;TODAY())+SUMIFS(Transaksi!$F$16:$F$5015,Transaksi!$C$16:$C$5015,A67,Transaksi!$D$16:$D$5015,"Masuk",Transaksi!$B$16:$B$5015,"&lt;="&amp;TODAY())-SUMIFS(Transaksi!$F$16:$F$5015,Transaksi!$C$16:$C$5015,A67,Transaksi!$D$16:$D$5015,"Keluar",Transaksi!$B$16:$B$5015,"&lt;="&amp;TODAY())-SUMIFS(Transaksi!$F$16:$F$5015,Transaksi!$C$16:$C$5015,A67,Transaksi!$D$16:$D$5015,"Pindah",Transaksi!$B$16:$B$5015,"&lt;="&amp;TODAY())+SUMIFS(Transaksi!$F$16:$F$5015,Transaksi!$E$16:$E$5015,A67,Transaksi!$D$16:$D$5015,"Pindah",Transaksi!$B$16:$B$5015,"&lt;="&amp;TODAY())))</f>
        <v/>
      </c>
      <c r="F67" s="172" t="n"/>
    </row>
    <row r="68" ht="15" customHeight="1" s="94">
      <c r="A68" s="127" t="n"/>
      <c r="B68" s="105" t="n"/>
      <c r="C68" s="175" t="n"/>
      <c r="D68" s="179" t="n"/>
      <c r="E68" s="113">
        <f>IF(A68="","",(SUMIFS(Akun!$C$5:$C$104,Akun!$A$5:$A$104,A68,Akun!$D$5:$D$104,"&lt;="&amp;TODAY())+SUMIFS(Transaksi!$F$16:$F$5015,Transaksi!$C$16:$C$5015,A68,Transaksi!$D$16:$D$5015,"Masuk",Transaksi!$B$16:$B$5015,"&lt;="&amp;TODAY())-SUMIFS(Transaksi!$F$16:$F$5015,Transaksi!$C$16:$C$5015,A68,Transaksi!$D$16:$D$5015,"Keluar",Transaksi!$B$16:$B$5015,"&lt;="&amp;TODAY())-SUMIFS(Transaksi!$F$16:$F$5015,Transaksi!$C$16:$C$5015,A68,Transaksi!$D$16:$D$5015,"Pindah",Transaksi!$B$16:$B$5015,"&lt;="&amp;TODAY())+SUMIFS(Transaksi!$F$16:$F$5015,Transaksi!$E$16:$E$5015,A68,Transaksi!$D$16:$D$5015,"Pindah",Transaksi!$B$16:$B$5015,"&lt;="&amp;TODAY())))</f>
        <v/>
      </c>
      <c r="F68" s="172" t="n"/>
    </row>
    <row r="69" ht="15" customHeight="1" s="94">
      <c r="A69" s="127" t="n"/>
      <c r="B69" s="105" t="n"/>
      <c r="C69" s="175" t="n"/>
      <c r="D69" s="179" t="n"/>
      <c r="E69" s="113">
        <f>IF(A69="","",(SUMIFS(Akun!$C$5:$C$104,Akun!$A$5:$A$104,A69,Akun!$D$5:$D$104,"&lt;="&amp;TODAY())+SUMIFS(Transaksi!$F$16:$F$5015,Transaksi!$C$16:$C$5015,A69,Transaksi!$D$16:$D$5015,"Masuk",Transaksi!$B$16:$B$5015,"&lt;="&amp;TODAY())-SUMIFS(Transaksi!$F$16:$F$5015,Transaksi!$C$16:$C$5015,A69,Transaksi!$D$16:$D$5015,"Keluar",Transaksi!$B$16:$B$5015,"&lt;="&amp;TODAY())-SUMIFS(Transaksi!$F$16:$F$5015,Transaksi!$C$16:$C$5015,A69,Transaksi!$D$16:$D$5015,"Pindah",Transaksi!$B$16:$B$5015,"&lt;="&amp;TODAY())+SUMIFS(Transaksi!$F$16:$F$5015,Transaksi!$E$16:$E$5015,A69,Transaksi!$D$16:$D$5015,"Pindah",Transaksi!$B$16:$B$5015,"&lt;="&amp;TODAY())))</f>
        <v/>
      </c>
      <c r="F69" s="172" t="n"/>
    </row>
    <row r="70" ht="15" customHeight="1" s="94">
      <c r="A70" s="127" t="n"/>
      <c r="B70" s="105" t="n"/>
      <c r="C70" s="175" t="n"/>
      <c r="D70" s="179" t="n"/>
      <c r="E70" s="113">
        <f>IF(A70="","",(SUMIFS(Akun!$C$5:$C$104,Akun!$A$5:$A$104,A70,Akun!$D$5:$D$104,"&lt;="&amp;TODAY())+SUMIFS(Transaksi!$F$16:$F$5015,Transaksi!$C$16:$C$5015,A70,Transaksi!$D$16:$D$5015,"Masuk",Transaksi!$B$16:$B$5015,"&lt;="&amp;TODAY())-SUMIFS(Transaksi!$F$16:$F$5015,Transaksi!$C$16:$C$5015,A70,Transaksi!$D$16:$D$5015,"Keluar",Transaksi!$B$16:$B$5015,"&lt;="&amp;TODAY())-SUMIFS(Transaksi!$F$16:$F$5015,Transaksi!$C$16:$C$5015,A70,Transaksi!$D$16:$D$5015,"Pindah",Transaksi!$B$16:$B$5015,"&lt;="&amp;TODAY())+SUMIFS(Transaksi!$F$16:$F$5015,Transaksi!$E$16:$E$5015,A70,Transaksi!$D$16:$D$5015,"Pindah",Transaksi!$B$16:$B$5015,"&lt;="&amp;TODAY())))</f>
        <v/>
      </c>
      <c r="F70" s="172" t="n"/>
    </row>
    <row r="71" ht="15" customHeight="1" s="94">
      <c r="A71" s="127" t="n"/>
      <c r="B71" s="105" t="n"/>
      <c r="C71" s="175" t="n"/>
      <c r="D71" s="179" t="n"/>
      <c r="E71" s="113">
        <f>IF(A71="","",(SUMIFS(Akun!$C$5:$C$104,Akun!$A$5:$A$104,A71,Akun!$D$5:$D$104,"&lt;="&amp;TODAY())+SUMIFS(Transaksi!$F$16:$F$5015,Transaksi!$C$16:$C$5015,A71,Transaksi!$D$16:$D$5015,"Masuk",Transaksi!$B$16:$B$5015,"&lt;="&amp;TODAY())-SUMIFS(Transaksi!$F$16:$F$5015,Transaksi!$C$16:$C$5015,A71,Transaksi!$D$16:$D$5015,"Keluar",Transaksi!$B$16:$B$5015,"&lt;="&amp;TODAY())-SUMIFS(Transaksi!$F$16:$F$5015,Transaksi!$C$16:$C$5015,A71,Transaksi!$D$16:$D$5015,"Pindah",Transaksi!$B$16:$B$5015,"&lt;="&amp;TODAY())+SUMIFS(Transaksi!$F$16:$F$5015,Transaksi!$E$16:$E$5015,A71,Transaksi!$D$16:$D$5015,"Pindah",Transaksi!$B$16:$B$5015,"&lt;="&amp;TODAY())))</f>
        <v/>
      </c>
      <c r="F71" s="172" t="n"/>
    </row>
    <row r="72" ht="15" customHeight="1" s="94">
      <c r="A72" s="127" t="n"/>
      <c r="B72" s="105" t="n"/>
      <c r="C72" s="175" t="n"/>
      <c r="D72" s="179" t="n"/>
      <c r="E72" s="113">
        <f>IF(A72="","",(SUMIFS(Akun!$C$5:$C$104,Akun!$A$5:$A$104,A72,Akun!$D$5:$D$104,"&lt;="&amp;TODAY())+SUMIFS(Transaksi!$F$16:$F$5015,Transaksi!$C$16:$C$5015,A72,Transaksi!$D$16:$D$5015,"Masuk",Transaksi!$B$16:$B$5015,"&lt;="&amp;TODAY())-SUMIFS(Transaksi!$F$16:$F$5015,Transaksi!$C$16:$C$5015,A72,Transaksi!$D$16:$D$5015,"Keluar",Transaksi!$B$16:$B$5015,"&lt;="&amp;TODAY())-SUMIFS(Transaksi!$F$16:$F$5015,Transaksi!$C$16:$C$5015,A72,Transaksi!$D$16:$D$5015,"Pindah",Transaksi!$B$16:$B$5015,"&lt;="&amp;TODAY())+SUMIFS(Transaksi!$F$16:$F$5015,Transaksi!$E$16:$E$5015,A72,Transaksi!$D$16:$D$5015,"Pindah",Transaksi!$B$16:$B$5015,"&lt;="&amp;TODAY())))</f>
        <v/>
      </c>
      <c r="F72" s="172" t="n"/>
    </row>
    <row r="73" ht="15" customHeight="1" s="94">
      <c r="A73" s="127" t="n"/>
      <c r="B73" s="105" t="n"/>
      <c r="C73" s="175" t="n"/>
      <c r="D73" s="179" t="n"/>
      <c r="E73" s="113">
        <f>IF(A73="","",(SUMIFS(Akun!$C$5:$C$104,Akun!$A$5:$A$104,A73,Akun!$D$5:$D$104,"&lt;="&amp;TODAY())+SUMIFS(Transaksi!$F$16:$F$5015,Transaksi!$C$16:$C$5015,A73,Transaksi!$D$16:$D$5015,"Masuk",Transaksi!$B$16:$B$5015,"&lt;="&amp;TODAY())-SUMIFS(Transaksi!$F$16:$F$5015,Transaksi!$C$16:$C$5015,A73,Transaksi!$D$16:$D$5015,"Keluar",Transaksi!$B$16:$B$5015,"&lt;="&amp;TODAY())-SUMIFS(Transaksi!$F$16:$F$5015,Transaksi!$C$16:$C$5015,A73,Transaksi!$D$16:$D$5015,"Pindah",Transaksi!$B$16:$B$5015,"&lt;="&amp;TODAY())+SUMIFS(Transaksi!$F$16:$F$5015,Transaksi!$E$16:$E$5015,A73,Transaksi!$D$16:$D$5015,"Pindah",Transaksi!$B$16:$B$5015,"&lt;="&amp;TODAY())))</f>
        <v/>
      </c>
      <c r="F73" s="172" t="n"/>
    </row>
    <row r="74" ht="15" customHeight="1" s="94">
      <c r="A74" s="127" t="n"/>
      <c r="B74" s="105" t="n"/>
      <c r="C74" s="175" t="n"/>
      <c r="D74" s="179" t="n"/>
      <c r="E74" s="113">
        <f>IF(A74="","",(SUMIFS(Akun!$C$5:$C$104,Akun!$A$5:$A$104,A74,Akun!$D$5:$D$104,"&lt;="&amp;TODAY())+SUMIFS(Transaksi!$F$16:$F$5015,Transaksi!$C$16:$C$5015,A74,Transaksi!$D$16:$D$5015,"Masuk",Transaksi!$B$16:$B$5015,"&lt;="&amp;TODAY())-SUMIFS(Transaksi!$F$16:$F$5015,Transaksi!$C$16:$C$5015,A74,Transaksi!$D$16:$D$5015,"Keluar",Transaksi!$B$16:$B$5015,"&lt;="&amp;TODAY())-SUMIFS(Transaksi!$F$16:$F$5015,Transaksi!$C$16:$C$5015,A74,Transaksi!$D$16:$D$5015,"Pindah",Transaksi!$B$16:$B$5015,"&lt;="&amp;TODAY())+SUMIFS(Transaksi!$F$16:$F$5015,Transaksi!$E$16:$E$5015,A74,Transaksi!$D$16:$D$5015,"Pindah",Transaksi!$B$16:$B$5015,"&lt;="&amp;TODAY())))</f>
        <v/>
      </c>
      <c r="F74" s="172" t="n"/>
    </row>
    <row r="75" ht="15" customHeight="1" s="94">
      <c r="A75" s="127" t="n"/>
      <c r="B75" s="105" t="n"/>
      <c r="C75" s="175" t="n"/>
      <c r="D75" s="179" t="n"/>
      <c r="E75" s="113">
        <f>IF(A75="","",(SUMIFS(Akun!$C$5:$C$104,Akun!$A$5:$A$104,A75,Akun!$D$5:$D$104,"&lt;="&amp;TODAY())+SUMIFS(Transaksi!$F$16:$F$5015,Transaksi!$C$16:$C$5015,A75,Transaksi!$D$16:$D$5015,"Masuk",Transaksi!$B$16:$B$5015,"&lt;="&amp;TODAY())-SUMIFS(Transaksi!$F$16:$F$5015,Transaksi!$C$16:$C$5015,A75,Transaksi!$D$16:$D$5015,"Keluar",Transaksi!$B$16:$B$5015,"&lt;="&amp;TODAY())-SUMIFS(Transaksi!$F$16:$F$5015,Transaksi!$C$16:$C$5015,A75,Transaksi!$D$16:$D$5015,"Pindah",Transaksi!$B$16:$B$5015,"&lt;="&amp;TODAY())+SUMIFS(Transaksi!$F$16:$F$5015,Transaksi!$E$16:$E$5015,A75,Transaksi!$D$16:$D$5015,"Pindah",Transaksi!$B$16:$B$5015,"&lt;="&amp;TODAY())))</f>
        <v/>
      </c>
      <c r="F75" s="172" t="n"/>
    </row>
    <row r="76" ht="15" customHeight="1" s="94">
      <c r="A76" s="127" t="n"/>
      <c r="B76" s="105" t="n"/>
      <c r="C76" s="175" t="n"/>
      <c r="D76" s="179" t="n"/>
      <c r="E76" s="113">
        <f>IF(A76="","",(SUMIFS(Akun!$C$5:$C$104,Akun!$A$5:$A$104,A76,Akun!$D$5:$D$104,"&lt;="&amp;TODAY())+SUMIFS(Transaksi!$F$16:$F$5015,Transaksi!$C$16:$C$5015,A76,Transaksi!$D$16:$D$5015,"Masuk",Transaksi!$B$16:$B$5015,"&lt;="&amp;TODAY())-SUMIFS(Transaksi!$F$16:$F$5015,Transaksi!$C$16:$C$5015,A76,Transaksi!$D$16:$D$5015,"Keluar",Transaksi!$B$16:$B$5015,"&lt;="&amp;TODAY())-SUMIFS(Transaksi!$F$16:$F$5015,Transaksi!$C$16:$C$5015,A76,Transaksi!$D$16:$D$5015,"Pindah",Transaksi!$B$16:$B$5015,"&lt;="&amp;TODAY())+SUMIFS(Transaksi!$F$16:$F$5015,Transaksi!$E$16:$E$5015,A76,Transaksi!$D$16:$D$5015,"Pindah",Transaksi!$B$16:$B$5015,"&lt;="&amp;TODAY())))</f>
        <v/>
      </c>
      <c r="F76" s="172" t="n"/>
    </row>
    <row r="77" ht="15" customHeight="1" s="94">
      <c r="A77" s="127" t="n"/>
      <c r="B77" s="105" t="n"/>
      <c r="C77" s="175" t="n"/>
      <c r="D77" s="179" t="n"/>
      <c r="E77" s="113">
        <f>IF(A77="","",(SUMIFS(Akun!$C$5:$C$104,Akun!$A$5:$A$104,A77,Akun!$D$5:$D$104,"&lt;="&amp;TODAY())+SUMIFS(Transaksi!$F$16:$F$5015,Transaksi!$C$16:$C$5015,A77,Transaksi!$D$16:$D$5015,"Masuk",Transaksi!$B$16:$B$5015,"&lt;="&amp;TODAY())-SUMIFS(Transaksi!$F$16:$F$5015,Transaksi!$C$16:$C$5015,A77,Transaksi!$D$16:$D$5015,"Keluar",Transaksi!$B$16:$B$5015,"&lt;="&amp;TODAY())-SUMIFS(Transaksi!$F$16:$F$5015,Transaksi!$C$16:$C$5015,A77,Transaksi!$D$16:$D$5015,"Pindah",Transaksi!$B$16:$B$5015,"&lt;="&amp;TODAY())+SUMIFS(Transaksi!$F$16:$F$5015,Transaksi!$E$16:$E$5015,A77,Transaksi!$D$16:$D$5015,"Pindah",Transaksi!$B$16:$B$5015,"&lt;="&amp;TODAY())))</f>
        <v/>
      </c>
      <c r="F77" s="172" t="n"/>
    </row>
    <row r="78" ht="15" customHeight="1" s="94">
      <c r="A78" s="127" t="n"/>
      <c r="B78" s="105" t="n"/>
      <c r="C78" s="175" t="n"/>
      <c r="D78" s="179" t="n"/>
      <c r="E78" s="113">
        <f>IF(A78="","",(SUMIFS(Akun!$C$5:$C$104,Akun!$A$5:$A$104,A78,Akun!$D$5:$D$104,"&lt;="&amp;TODAY())+SUMIFS(Transaksi!$F$16:$F$5015,Transaksi!$C$16:$C$5015,A78,Transaksi!$D$16:$D$5015,"Masuk",Transaksi!$B$16:$B$5015,"&lt;="&amp;TODAY())-SUMIFS(Transaksi!$F$16:$F$5015,Transaksi!$C$16:$C$5015,A78,Transaksi!$D$16:$D$5015,"Keluar",Transaksi!$B$16:$B$5015,"&lt;="&amp;TODAY())-SUMIFS(Transaksi!$F$16:$F$5015,Transaksi!$C$16:$C$5015,A78,Transaksi!$D$16:$D$5015,"Pindah",Transaksi!$B$16:$B$5015,"&lt;="&amp;TODAY())+SUMIFS(Transaksi!$F$16:$F$5015,Transaksi!$E$16:$E$5015,A78,Transaksi!$D$16:$D$5015,"Pindah",Transaksi!$B$16:$B$5015,"&lt;="&amp;TODAY())))</f>
        <v/>
      </c>
      <c r="F78" s="172" t="n"/>
    </row>
    <row r="79" ht="15" customHeight="1" s="94">
      <c r="A79" s="127" t="n"/>
      <c r="B79" s="105" t="n"/>
      <c r="C79" s="175" t="n"/>
      <c r="D79" s="179" t="n"/>
      <c r="E79" s="113">
        <f>IF(A79="","",(SUMIFS(Akun!$C$5:$C$104,Akun!$A$5:$A$104,A79,Akun!$D$5:$D$104,"&lt;="&amp;TODAY())+SUMIFS(Transaksi!$F$16:$F$5015,Transaksi!$C$16:$C$5015,A79,Transaksi!$D$16:$D$5015,"Masuk",Transaksi!$B$16:$B$5015,"&lt;="&amp;TODAY())-SUMIFS(Transaksi!$F$16:$F$5015,Transaksi!$C$16:$C$5015,A79,Transaksi!$D$16:$D$5015,"Keluar",Transaksi!$B$16:$B$5015,"&lt;="&amp;TODAY())-SUMIFS(Transaksi!$F$16:$F$5015,Transaksi!$C$16:$C$5015,A79,Transaksi!$D$16:$D$5015,"Pindah",Transaksi!$B$16:$B$5015,"&lt;="&amp;TODAY())+SUMIFS(Transaksi!$F$16:$F$5015,Transaksi!$E$16:$E$5015,A79,Transaksi!$D$16:$D$5015,"Pindah",Transaksi!$B$16:$B$5015,"&lt;="&amp;TODAY())))</f>
        <v/>
      </c>
      <c r="F79" s="172" t="n"/>
    </row>
    <row r="80" ht="15" customHeight="1" s="94">
      <c r="A80" s="127" t="n"/>
      <c r="B80" s="105" t="n"/>
      <c r="C80" s="175" t="n"/>
      <c r="D80" s="179" t="n"/>
      <c r="E80" s="113">
        <f>IF(A80="","",(SUMIFS(Akun!$C$5:$C$104,Akun!$A$5:$A$104,A80,Akun!$D$5:$D$104,"&lt;="&amp;TODAY())+SUMIFS(Transaksi!$F$16:$F$5015,Transaksi!$C$16:$C$5015,A80,Transaksi!$D$16:$D$5015,"Masuk",Transaksi!$B$16:$B$5015,"&lt;="&amp;TODAY())-SUMIFS(Transaksi!$F$16:$F$5015,Transaksi!$C$16:$C$5015,A80,Transaksi!$D$16:$D$5015,"Keluar",Transaksi!$B$16:$B$5015,"&lt;="&amp;TODAY())-SUMIFS(Transaksi!$F$16:$F$5015,Transaksi!$C$16:$C$5015,A80,Transaksi!$D$16:$D$5015,"Pindah",Transaksi!$B$16:$B$5015,"&lt;="&amp;TODAY())+SUMIFS(Transaksi!$F$16:$F$5015,Transaksi!$E$16:$E$5015,A80,Transaksi!$D$16:$D$5015,"Pindah",Transaksi!$B$16:$B$5015,"&lt;="&amp;TODAY())))</f>
        <v/>
      </c>
      <c r="F80" s="172" t="n"/>
    </row>
    <row r="81" ht="15" customHeight="1" s="94">
      <c r="A81" s="127" t="n"/>
      <c r="B81" s="105" t="n"/>
      <c r="C81" s="175" t="n"/>
      <c r="D81" s="179" t="n"/>
      <c r="E81" s="113">
        <f>IF(A81="","",(SUMIFS(Akun!$C$5:$C$104,Akun!$A$5:$A$104,A81,Akun!$D$5:$D$104,"&lt;="&amp;TODAY())+SUMIFS(Transaksi!$F$16:$F$5015,Transaksi!$C$16:$C$5015,A81,Transaksi!$D$16:$D$5015,"Masuk",Transaksi!$B$16:$B$5015,"&lt;="&amp;TODAY())-SUMIFS(Transaksi!$F$16:$F$5015,Transaksi!$C$16:$C$5015,A81,Transaksi!$D$16:$D$5015,"Keluar",Transaksi!$B$16:$B$5015,"&lt;="&amp;TODAY())-SUMIFS(Transaksi!$F$16:$F$5015,Transaksi!$C$16:$C$5015,A81,Transaksi!$D$16:$D$5015,"Pindah",Transaksi!$B$16:$B$5015,"&lt;="&amp;TODAY())+SUMIFS(Transaksi!$F$16:$F$5015,Transaksi!$E$16:$E$5015,A81,Transaksi!$D$16:$D$5015,"Pindah",Transaksi!$B$16:$B$5015,"&lt;="&amp;TODAY())))</f>
        <v/>
      </c>
      <c r="F81" s="172" t="n"/>
    </row>
    <row r="82" ht="15" customHeight="1" s="94">
      <c r="A82" s="127" t="n"/>
      <c r="B82" s="105" t="n"/>
      <c r="C82" s="175" t="n"/>
      <c r="D82" s="179" t="n"/>
      <c r="E82" s="113">
        <f>IF(A82="","",(SUMIFS(Akun!$C$5:$C$104,Akun!$A$5:$A$104,A82,Akun!$D$5:$D$104,"&lt;="&amp;TODAY())+SUMIFS(Transaksi!$F$16:$F$5015,Transaksi!$C$16:$C$5015,A82,Transaksi!$D$16:$D$5015,"Masuk",Transaksi!$B$16:$B$5015,"&lt;="&amp;TODAY())-SUMIFS(Transaksi!$F$16:$F$5015,Transaksi!$C$16:$C$5015,A82,Transaksi!$D$16:$D$5015,"Keluar",Transaksi!$B$16:$B$5015,"&lt;="&amp;TODAY())-SUMIFS(Transaksi!$F$16:$F$5015,Transaksi!$C$16:$C$5015,A82,Transaksi!$D$16:$D$5015,"Pindah",Transaksi!$B$16:$B$5015,"&lt;="&amp;TODAY())+SUMIFS(Transaksi!$F$16:$F$5015,Transaksi!$E$16:$E$5015,A82,Transaksi!$D$16:$D$5015,"Pindah",Transaksi!$B$16:$B$5015,"&lt;="&amp;TODAY())))</f>
        <v/>
      </c>
      <c r="F82" s="172" t="n"/>
    </row>
    <row r="83" ht="15" customHeight="1" s="94">
      <c r="A83" s="127" t="n"/>
      <c r="B83" s="105" t="n"/>
      <c r="C83" s="175" t="n"/>
      <c r="D83" s="179" t="n"/>
      <c r="E83" s="113">
        <f>IF(A83="","",(SUMIFS(Akun!$C$5:$C$104,Akun!$A$5:$A$104,A83,Akun!$D$5:$D$104,"&lt;="&amp;TODAY())+SUMIFS(Transaksi!$F$16:$F$5015,Transaksi!$C$16:$C$5015,A83,Transaksi!$D$16:$D$5015,"Masuk",Transaksi!$B$16:$B$5015,"&lt;="&amp;TODAY())-SUMIFS(Transaksi!$F$16:$F$5015,Transaksi!$C$16:$C$5015,A83,Transaksi!$D$16:$D$5015,"Keluar",Transaksi!$B$16:$B$5015,"&lt;="&amp;TODAY())-SUMIFS(Transaksi!$F$16:$F$5015,Transaksi!$C$16:$C$5015,A83,Transaksi!$D$16:$D$5015,"Pindah",Transaksi!$B$16:$B$5015,"&lt;="&amp;TODAY())+SUMIFS(Transaksi!$F$16:$F$5015,Transaksi!$E$16:$E$5015,A83,Transaksi!$D$16:$D$5015,"Pindah",Transaksi!$B$16:$B$5015,"&lt;="&amp;TODAY())))</f>
        <v/>
      </c>
      <c r="F83" s="172" t="n"/>
    </row>
    <row r="84" ht="15" customHeight="1" s="94">
      <c r="A84" s="127" t="n"/>
      <c r="B84" s="105" t="n"/>
      <c r="C84" s="175" t="n"/>
      <c r="D84" s="179" t="n"/>
      <c r="E84" s="113">
        <f>IF(A84="","",(SUMIFS(Akun!$C$5:$C$104,Akun!$A$5:$A$104,A84,Akun!$D$5:$D$104,"&lt;="&amp;TODAY())+SUMIFS(Transaksi!$F$16:$F$5015,Transaksi!$C$16:$C$5015,A84,Transaksi!$D$16:$D$5015,"Masuk",Transaksi!$B$16:$B$5015,"&lt;="&amp;TODAY())-SUMIFS(Transaksi!$F$16:$F$5015,Transaksi!$C$16:$C$5015,A84,Transaksi!$D$16:$D$5015,"Keluar",Transaksi!$B$16:$B$5015,"&lt;="&amp;TODAY())-SUMIFS(Transaksi!$F$16:$F$5015,Transaksi!$C$16:$C$5015,A84,Transaksi!$D$16:$D$5015,"Pindah",Transaksi!$B$16:$B$5015,"&lt;="&amp;TODAY())+SUMIFS(Transaksi!$F$16:$F$5015,Transaksi!$E$16:$E$5015,A84,Transaksi!$D$16:$D$5015,"Pindah",Transaksi!$B$16:$B$5015,"&lt;="&amp;TODAY())))</f>
        <v/>
      </c>
      <c r="F84" s="172" t="n"/>
    </row>
    <row r="85" ht="15" customHeight="1" s="94">
      <c r="A85" s="127" t="n"/>
      <c r="B85" s="105" t="n"/>
      <c r="C85" s="175" t="n"/>
      <c r="D85" s="179" t="n"/>
      <c r="E85" s="113">
        <f>IF(A85="","",(SUMIFS(Akun!$C$5:$C$104,Akun!$A$5:$A$104,A85,Akun!$D$5:$D$104,"&lt;="&amp;TODAY())+SUMIFS(Transaksi!$F$16:$F$5015,Transaksi!$C$16:$C$5015,A85,Transaksi!$D$16:$D$5015,"Masuk",Transaksi!$B$16:$B$5015,"&lt;="&amp;TODAY())-SUMIFS(Transaksi!$F$16:$F$5015,Transaksi!$C$16:$C$5015,A85,Transaksi!$D$16:$D$5015,"Keluar",Transaksi!$B$16:$B$5015,"&lt;="&amp;TODAY())-SUMIFS(Transaksi!$F$16:$F$5015,Transaksi!$C$16:$C$5015,A85,Transaksi!$D$16:$D$5015,"Pindah",Transaksi!$B$16:$B$5015,"&lt;="&amp;TODAY())+SUMIFS(Transaksi!$F$16:$F$5015,Transaksi!$E$16:$E$5015,A85,Transaksi!$D$16:$D$5015,"Pindah",Transaksi!$B$16:$B$5015,"&lt;="&amp;TODAY())))</f>
        <v/>
      </c>
      <c r="F85" s="172" t="n"/>
    </row>
    <row r="86" ht="15" customHeight="1" s="94">
      <c r="A86" s="127" t="n"/>
      <c r="B86" s="105" t="n"/>
      <c r="C86" s="175" t="n"/>
      <c r="D86" s="179" t="n"/>
      <c r="E86" s="113">
        <f>IF(A86="","",(SUMIFS(Akun!$C$5:$C$104,Akun!$A$5:$A$104,A86,Akun!$D$5:$D$104,"&lt;="&amp;TODAY())+SUMIFS(Transaksi!$F$16:$F$5015,Transaksi!$C$16:$C$5015,A86,Transaksi!$D$16:$D$5015,"Masuk",Transaksi!$B$16:$B$5015,"&lt;="&amp;TODAY())-SUMIFS(Transaksi!$F$16:$F$5015,Transaksi!$C$16:$C$5015,A86,Transaksi!$D$16:$D$5015,"Keluar",Transaksi!$B$16:$B$5015,"&lt;="&amp;TODAY())-SUMIFS(Transaksi!$F$16:$F$5015,Transaksi!$C$16:$C$5015,A86,Transaksi!$D$16:$D$5015,"Pindah",Transaksi!$B$16:$B$5015,"&lt;="&amp;TODAY())+SUMIFS(Transaksi!$F$16:$F$5015,Transaksi!$E$16:$E$5015,A86,Transaksi!$D$16:$D$5015,"Pindah",Transaksi!$B$16:$B$5015,"&lt;="&amp;TODAY())))</f>
        <v/>
      </c>
      <c r="F86" s="172" t="n"/>
    </row>
    <row r="87" ht="15" customHeight="1" s="94">
      <c r="A87" s="127" t="n"/>
      <c r="B87" s="105" t="n"/>
      <c r="C87" s="175" t="n"/>
      <c r="D87" s="179" t="n"/>
      <c r="E87" s="113">
        <f>IF(A87="","",(SUMIFS(Akun!$C$5:$C$104,Akun!$A$5:$A$104,A87,Akun!$D$5:$D$104,"&lt;="&amp;TODAY())+SUMIFS(Transaksi!$F$16:$F$5015,Transaksi!$C$16:$C$5015,A87,Transaksi!$D$16:$D$5015,"Masuk",Transaksi!$B$16:$B$5015,"&lt;="&amp;TODAY())-SUMIFS(Transaksi!$F$16:$F$5015,Transaksi!$C$16:$C$5015,A87,Transaksi!$D$16:$D$5015,"Keluar",Transaksi!$B$16:$B$5015,"&lt;="&amp;TODAY())-SUMIFS(Transaksi!$F$16:$F$5015,Transaksi!$C$16:$C$5015,A87,Transaksi!$D$16:$D$5015,"Pindah",Transaksi!$B$16:$B$5015,"&lt;="&amp;TODAY())+SUMIFS(Transaksi!$F$16:$F$5015,Transaksi!$E$16:$E$5015,A87,Transaksi!$D$16:$D$5015,"Pindah",Transaksi!$B$16:$B$5015,"&lt;="&amp;TODAY())))</f>
        <v/>
      </c>
      <c r="F87" s="172" t="n"/>
    </row>
    <row r="88" ht="15" customHeight="1" s="94">
      <c r="A88" s="127" t="n"/>
      <c r="B88" s="105" t="n"/>
      <c r="C88" s="175" t="n"/>
      <c r="D88" s="179" t="n"/>
      <c r="E88" s="113">
        <f>IF(A88="","",(SUMIFS(Akun!$C$5:$C$104,Akun!$A$5:$A$104,A88,Akun!$D$5:$D$104,"&lt;="&amp;TODAY())+SUMIFS(Transaksi!$F$16:$F$5015,Transaksi!$C$16:$C$5015,A88,Transaksi!$D$16:$D$5015,"Masuk",Transaksi!$B$16:$B$5015,"&lt;="&amp;TODAY())-SUMIFS(Transaksi!$F$16:$F$5015,Transaksi!$C$16:$C$5015,A88,Transaksi!$D$16:$D$5015,"Keluar",Transaksi!$B$16:$B$5015,"&lt;="&amp;TODAY())-SUMIFS(Transaksi!$F$16:$F$5015,Transaksi!$C$16:$C$5015,A88,Transaksi!$D$16:$D$5015,"Pindah",Transaksi!$B$16:$B$5015,"&lt;="&amp;TODAY())+SUMIFS(Transaksi!$F$16:$F$5015,Transaksi!$E$16:$E$5015,A88,Transaksi!$D$16:$D$5015,"Pindah",Transaksi!$B$16:$B$5015,"&lt;="&amp;TODAY())))</f>
        <v/>
      </c>
      <c r="F88" s="172" t="n"/>
    </row>
    <row r="89" ht="15" customHeight="1" s="94">
      <c r="A89" s="127" t="n"/>
      <c r="B89" s="105" t="n"/>
      <c r="C89" s="175" t="n"/>
      <c r="D89" s="179" t="n"/>
      <c r="E89" s="113">
        <f>IF(A89="","",(SUMIFS(Akun!$C$5:$C$104,Akun!$A$5:$A$104,A89,Akun!$D$5:$D$104,"&lt;="&amp;TODAY())+SUMIFS(Transaksi!$F$16:$F$5015,Transaksi!$C$16:$C$5015,A89,Transaksi!$D$16:$D$5015,"Masuk",Transaksi!$B$16:$B$5015,"&lt;="&amp;TODAY())-SUMIFS(Transaksi!$F$16:$F$5015,Transaksi!$C$16:$C$5015,A89,Transaksi!$D$16:$D$5015,"Keluar",Transaksi!$B$16:$B$5015,"&lt;="&amp;TODAY())-SUMIFS(Transaksi!$F$16:$F$5015,Transaksi!$C$16:$C$5015,A89,Transaksi!$D$16:$D$5015,"Pindah",Transaksi!$B$16:$B$5015,"&lt;="&amp;TODAY())+SUMIFS(Transaksi!$F$16:$F$5015,Transaksi!$E$16:$E$5015,A89,Transaksi!$D$16:$D$5015,"Pindah",Transaksi!$B$16:$B$5015,"&lt;="&amp;TODAY())))</f>
        <v/>
      </c>
      <c r="F89" s="172" t="n"/>
    </row>
    <row r="90" ht="15" customHeight="1" s="94">
      <c r="A90" s="127" t="n"/>
      <c r="B90" s="105" t="n"/>
      <c r="C90" s="175" t="n"/>
      <c r="D90" s="179" t="n"/>
      <c r="E90" s="113">
        <f>IF(A90="","",(SUMIFS(Akun!$C$5:$C$104,Akun!$A$5:$A$104,A90,Akun!$D$5:$D$104,"&lt;="&amp;TODAY())+SUMIFS(Transaksi!$F$16:$F$5015,Transaksi!$C$16:$C$5015,A90,Transaksi!$D$16:$D$5015,"Masuk",Transaksi!$B$16:$B$5015,"&lt;="&amp;TODAY())-SUMIFS(Transaksi!$F$16:$F$5015,Transaksi!$C$16:$C$5015,A90,Transaksi!$D$16:$D$5015,"Keluar",Transaksi!$B$16:$B$5015,"&lt;="&amp;TODAY())-SUMIFS(Transaksi!$F$16:$F$5015,Transaksi!$C$16:$C$5015,A90,Transaksi!$D$16:$D$5015,"Pindah",Transaksi!$B$16:$B$5015,"&lt;="&amp;TODAY())+SUMIFS(Transaksi!$F$16:$F$5015,Transaksi!$E$16:$E$5015,A90,Transaksi!$D$16:$D$5015,"Pindah",Transaksi!$B$16:$B$5015,"&lt;="&amp;TODAY())))</f>
        <v/>
      </c>
      <c r="F90" s="172" t="n"/>
    </row>
    <row r="91" ht="15" customHeight="1" s="94">
      <c r="A91" s="127" t="n"/>
      <c r="B91" s="105" t="n"/>
      <c r="C91" s="175" t="n"/>
      <c r="D91" s="179" t="n"/>
      <c r="E91" s="113">
        <f>IF(A91="","",(SUMIFS(Akun!$C$5:$C$104,Akun!$A$5:$A$104,A91,Akun!$D$5:$D$104,"&lt;="&amp;TODAY())+SUMIFS(Transaksi!$F$16:$F$5015,Transaksi!$C$16:$C$5015,A91,Transaksi!$D$16:$D$5015,"Masuk",Transaksi!$B$16:$B$5015,"&lt;="&amp;TODAY())-SUMIFS(Transaksi!$F$16:$F$5015,Transaksi!$C$16:$C$5015,A91,Transaksi!$D$16:$D$5015,"Keluar",Transaksi!$B$16:$B$5015,"&lt;="&amp;TODAY())-SUMIFS(Transaksi!$F$16:$F$5015,Transaksi!$C$16:$C$5015,A91,Transaksi!$D$16:$D$5015,"Pindah",Transaksi!$B$16:$B$5015,"&lt;="&amp;TODAY())+SUMIFS(Transaksi!$F$16:$F$5015,Transaksi!$E$16:$E$5015,A91,Transaksi!$D$16:$D$5015,"Pindah",Transaksi!$B$16:$B$5015,"&lt;="&amp;TODAY())))</f>
        <v/>
      </c>
      <c r="F91" s="172" t="n"/>
    </row>
    <row r="92" ht="15" customHeight="1" s="94">
      <c r="A92" s="127" t="n"/>
      <c r="B92" s="105" t="n"/>
      <c r="C92" s="175" t="n"/>
      <c r="D92" s="179" t="n"/>
      <c r="E92" s="113">
        <f>IF(A92="","",(SUMIFS(Akun!$C$5:$C$104,Akun!$A$5:$A$104,A92,Akun!$D$5:$D$104,"&lt;="&amp;TODAY())+SUMIFS(Transaksi!$F$16:$F$5015,Transaksi!$C$16:$C$5015,A92,Transaksi!$D$16:$D$5015,"Masuk",Transaksi!$B$16:$B$5015,"&lt;="&amp;TODAY())-SUMIFS(Transaksi!$F$16:$F$5015,Transaksi!$C$16:$C$5015,A92,Transaksi!$D$16:$D$5015,"Keluar",Transaksi!$B$16:$B$5015,"&lt;="&amp;TODAY())-SUMIFS(Transaksi!$F$16:$F$5015,Transaksi!$C$16:$C$5015,A92,Transaksi!$D$16:$D$5015,"Pindah",Transaksi!$B$16:$B$5015,"&lt;="&amp;TODAY())+SUMIFS(Transaksi!$F$16:$F$5015,Transaksi!$E$16:$E$5015,A92,Transaksi!$D$16:$D$5015,"Pindah",Transaksi!$B$16:$B$5015,"&lt;="&amp;TODAY())))</f>
        <v/>
      </c>
      <c r="F92" s="172" t="n"/>
    </row>
    <row r="93" ht="15" customHeight="1" s="94">
      <c r="A93" s="127" t="n"/>
      <c r="B93" s="105" t="n"/>
      <c r="C93" s="175" t="n"/>
      <c r="D93" s="179" t="n"/>
      <c r="E93" s="113">
        <f>IF(A93="","",(SUMIFS(Akun!$C$5:$C$104,Akun!$A$5:$A$104,A93,Akun!$D$5:$D$104,"&lt;="&amp;TODAY())+SUMIFS(Transaksi!$F$16:$F$5015,Transaksi!$C$16:$C$5015,A93,Transaksi!$D$16:$D$5015,"Masuk",Transaksi!$B$16:$B$5015,"&lt;="&amp;TODAY())-SUMIFS(Transaksi!$F$16:$F$5015,Transaksi!$C$16:$C$5015,A93,Transaksi!$D$16:$D$5015,"Keluar",Transaksi!$B$16:$B$5015,"&lt;="&amp;TODAY())-SUMIFS(Transaksi!$F$16:$F$5015,Transaksi!$C$16:$C$5015,A93,Transaksi!$D$16:$D$5015,"Pindah",Transaksi!$B$16:$B$5015,"&lt;="&amp;TODAY())+SUMIFS(Transaksi!$F$16:$F$5015,Transaksi!$E$16:$E$5015,A93,Transaksi!$D$16:$D$5015,"Pindah",Transaksi!$B$16:$B$5015,"&lt;="&amp;TODAY())))</f>
        <v/>
      </c>
      <c r="F93" s="172" t="n"/>
    </row>
    <row r="94" ht="15" customHeight="1" s="94">
      <c r="A94" s="127" t="n"/>
      <c r="B94" s="105" t="n"/>
      <c r="C94" s="175" t="n"/>
      <c r="D94" s="179" t="n"/>
      <c r="E94" s="113">
        <f>IF(A94="","",(SUMIFS(Akun!$C$5:$C$104,Akun!$A$5:$A$104,A94,Akun!$D$5:$D$104,"&lt;="&amp;TODAY())+SUMIFS(Transaksi!$F$16:$F$5015,Transaksi!$C$16:$C$5015,A94,Transaksi!$D$16:$D$5015,"Masuk",Transaksi!$B$16:$B$5015,"&lt;="&amp;TODAY())-SUMIFS(Transaksi!$F$16:$F$5015,Transaksi!$C$16:$C$5015,A94,Transaksi!$D$16:$D$5015,"Keluar",Transaksi!$B$16:$B$5015,"&lt;="&amp;TODAY())-SUMIFS(Transaksi!$F$16:$F$5015,Transaksi!$C$16:$C$5015,A94,Transaksi!$D$16:$D$5015,"Pindah",Transaksi!$B$16:$B$5015,"&lt;="&amp;TODAY())+SUMIFS(Transaksi!$F$16:$F$5015,Transaksi!$E$16:$E$5015,A94,Transaksi!$D$16:$D$5015,"Pindah",Transaksi!$B$16:$B$5015,"&lt;="&amp;TODAY())))</f>
        <v/>
      </c>
      <c r="F94" s="172" t="n"/>
    </row>
    <row r="95" ht="15" customHeight="1" s="94">
      <c r="A95" s="127" t="n"/>
      <c r="B95" s="105" t="n"/>
      <c r="C95" s="175" t="n"/>
      <c r="D95" s="179" t="n"/>
      <c r="E95" s="113">
        <f>IF(A95="","",(SUMIFS(Akun!$C$5:$C$104,Akun!$A$5:$A$104,A95,Akun!$D$5:$D$104,"&lt;="&amp;TODAY())+SUMIFS(Transaksi!$F$16:$F$5015,Transaksi!$C$16:$C$5015,A95,Transaksi!$D$16:$D$5015,"Masuk",Transaksi!$B$16:$B$5015,"&lt;="&amp;TODAY())-SUMIFS(Transaksi!$F$16:$F$5015,Transaksi!$C$16:$C$5015,A95,Transaksi!$D$16:$D$5015,"Keluar",Transaksi!$B$16:$B$5015,"&lt;="&amp;TODAY())-SUMIFS(Transaksi!$F$16:$F$5015,Transaksi!$C$16:$C$5015,A95,Transaksi!$D$16:$D$5015,"Pindah",Transaksi!$B$16:$B$5015,"&lt;="&amp;TODAY())+SUMIFS(Transaksi!$F$16:$F$5015,Transaksi!$E$16:$E$5015,A95,Transaksi!$D$16:$D$5015,"Pindah",Transaksi!$B$16:$B$5015,"&lt;="&amp;TODAY())))</f>
        <v/>
      </c>
      <c r="F95" s="172" t="n"/>
    </row>
    <row r="96" ht="15" customHeight="1" s="94">
      <c r="A96" s="127" t="n"/>
      <c r="B96" s="105" t="n"/>
      <c r="C96" s="175" t="n"/>
      <c r="D96" s="179" t="n"/>
      <c r="E96" s="113">
        <f>IF(A96="","",(SUMIFS(Akun!$C$5:$C$104,Akun!$A$5:$A$104,A96,Akun!$D$5:$D$104,"&lt;="&amp;TODAY())+SUMIFS(Transaksi!$F$16:$F$5015,Transaksi!$C$16:$C$5015,A96,Transaksi!$D$16:$D$5015,"Masuk",Transaksi!$B$16:$B$5015,"&lt;="&amp;TODAY())-SUMIFS(Transaksi!$F$16:$F$5015,Transaksi!$C$16:$C$5015,A96,Transaksi!$D$16:$D$5015,"Keluar",Transaksi!$B$16:$B$5015,"&lt;="&amp;TODAY())-SUMIFS(Transaksi!$F$16:$F$5015,Transaksi!$C$16:$C$5015,A96,Transaksi!$D$16:$D$5015,"Pindah",Transaksi!$B$16:$B$5015,"&lt;="&amp;TODAY())+SUMIFS(Transaksi!$F$16:$F$5015,Transaksi!$E$16:$E$5015,A96,Transaksi!$D$16:$D$5015,"Pindah",Transaksi!$B$16:$B$5015,"&lt;="&amp;TODAY())))</f>
        <v/>
      </c>
      <c r="F96" s="172" t="n"/>
    </row>
    <row r="97" ht="15" customHeight="1" s="94">
      <c r="A97" s="127" t="n"/>
      <c r="B97" s="105" t="n"/>
      <c r="C97" s="175" t="n"/>
      <c r="D97" s="179" t="n"/>
      <c r="E97" s="113">
        <f>IF(A97="","",(SUMIFS(Akun!$C$5:$C$104,Akun!$A$5:$A$104,A97,Akun!$D$5:$D$104,"&lt;="&amp;TODAY())+SUMIFS(Transaksi!$F$16:$F$5015,Transaksi!$C$16:$C$5015,A97,Transaksi!$D$16:$D$5015,"Masuk",Transaksi!$B$16:$B$5015,"&lt;="&amp;TODAY())-SUMIFS(Transaksi!$F$16:$F$5015,Transaksi!$C$16:$C$5015,A97,Transaksi!$D$16:$D$5015,"Keluar",Transaksi!$B$16:$B$5015,"&lt;="&amp;TODAY())-SUMIFS(Transaksi!$F$16:$F$5015,Transaksi!$C$16:$C$5015,A97,Transaksi!$D$16:$D$5015,"Pindah",Transaksi!$B$16:$B$5015,"&lt;="&amp;TODAY())+SUMIFS(Transaksi!$F$16:$F$5015,Transaksi!$E$16:$E$5015,A97,Transaksi!$D$16:$D$5015,"Pindah",Transaksi!$B$16:$B$5015,"&lt;="&amp;TODAY())))</f>
        <v/>
      </c>
      <c r="F97" s="172" t="n"/>
    </row>
    <row r="98" ht="15" customHeight="1" s="94">
      <c r="A98" s="127" t="n"/>
      <c r="B98" s="105" t="n"/>
      <c r="C98" s="175" t="n"/>
      <c r="D98" s="179" t="n"/>
      <c r="E98" s="113">
        <f>IF(A98="","",(SUMIFS(Akun!$C$5:$C$104,Akun!$A$5:$A$104,A98,Akun!$D$5:$D$104,"&lt;="&amp;TODAY())+SUMIFS(Transaksi!$F$16:$F$5015,Transaksi!$C$16:$C$5015,A98,Transaksi!$D$16:$D$5015,"Masuk",Transaksi!$B$16:$B$5015,"&lt;="&amp;TODAY())-SUMIFS(Transaksi!$F$16:$F$5015,Transaksi!$C$16:$C$5015,A98,Transaksi!$D$16:$D$5015,"Keluar",Transaksi!$B$16:$B$5015,"&lt;="&amp;TODAY())-SUMIFS(Transaksi!$F$16:$F$5015,Transaksi!$C$16:$C$5015,A98,Transaksi!$D$16:$D$5015,"Pindah",Transaksi!$B$16:$B$5015,"&lt;="&amp;TODAY())+SUMIFS(Transaksi!$F$16:$F$5015,Transaksi!$E$16:$E$5015,A98,Transaksi!$D$16:$D$5015,"Pindah",Transaksi!$B$16:$B$5015,"&lt;="&amp;TODAY())))</f>
        <v/>
      </c>
      <c r="F98" s="172" t="n"/>
    </row>
    <row r="99" ht="15" customHeight="1" s="94">
      <c r="A99" s="127" t="n"/>
      <c r="B99" s="105" t="n"/>
      <c r="C99" s="175" t="n"/>
      <c r="D99" s="179" t="n"/>
      <c r="E99" s="113">
        <f>IF(A99="","",(SUMIFS(Akun!$C$5:$C$104,Akun!$A$5:$A$104,A99,Akun!$D$5:$D$104,"&lt;="&amp;TODAY())+SUMIFS(Transaksi!$F$16:$F$5015,Transaksi!$C$16:$C$5015,A99,Transaksi!$D$16:$D$5015,"Masuk",Transaksi!$B$16:$B$5015,"&lt;="&amp;TODAY())-SUMIFS(Transaksi!$F$16:$F$5015,Transaksi!$C$16:$C$5015,A99,Transaksi!$D$16:$D$5015,"Keluar",Transaksi!$B$16:$B$5015,"&lt;="&amp;TODAY())-SUMIFS(Transaksi!$F$16:$F$5015,Transaksi!$C$16:$C$5015,A99,Transaksi!$D$16:$D$5015,"Pindah",Transaksi!$B$16:$B$5015,"&lt;="&amp;TODAY())+SUMIFS(Transaksi!$F$16:$F$5015,Transaksi!$E$16:$E$5015,A99,Transaksi!$D$16:$D$5015,"Pindah",Transaksi!$B$16:$B$5015,"&lt;="&amp;TODAY())))</f>
        <v/>
      </c>
      <c r="F99" s="172" t="n"/>
    </row>
    <row r="100" ht="15" customHeight="1" s="94">
      <c r="A100" s="127" t="n"/>
      <c r="B100" s="105" t="n"/>
      <c r="C100" s="175" t="n"/>
      <c r="D100" s="179" t="n"/>
      <c r="E100" s="113">
        <f>IF(A100="","",(SUMIFS(Akun!$C$5:$C$104,Akun!$A$5:$A$104,A100,Akun!$D$5:$D$104,"&lt;="&amp;TODAY())+SUMIFS(Transaksi!$F$16:$F$5015,Transaksi!$C$16:$C$5015,A100,Transaksi!$D$16:$D$5015,"Masuk",Transaksi!$B$16:$B$5015,"&lt;="&amp;TODAY())-SUMIFS(Transaksi!$F$16:$F$5015,Transaksi!$C$16:$C$5015,A100,Transaksi!$D$16:$D$5015,"Keluar",Transaksi!$B$16:$B$5015,"&lt;="&amp;TODAY())-SUMIFS(Transaksi!$F$16:$F$5015,Transaksi!$C$16:$C$5015,A100,Transaksi!$D$16:$D$5015,"Pindah",Transaksi!$B$16:$B$5015,"&lt;="&amp;TODAY())+SUMIFS(Transaksi!$F$16:$F$5015,Transaksi!$E$16:$E$5015,A100,Transaksi!$D$16:$D$5015,"Pindah",Transaksi!$B$16:$B$5015,"&lt;="&amp;TODAY())))</f>
        <v/>
      </c>
      <c r="F100" s="172" t="n"/>
    </row>
    <row r="101" ht="15" customHeight="1" s="94">
      <c r="A101" s="127" t="n"/>
      <c r="B101" s="105" t="n"/>
      <c r="C101" s="175" t="n"/>
      <c r="D101" s="179" t="n"/>
      <c r="E101" s="113">
        <f>IF(A101="","",(SUMIFS(Akun!$C$5:$C$104,Akun!$A$5:$A$104,A101,Akun!$D$5:$D$104,"&lt;="&amp;TODAY())+SUMIFS(Transaksi!$F$16:$F$5015,Transaksi!$C$16:$C$5015,A101,Transaksi!$D$16:$D$5015,"Masuk",Transaksi!$B$16:$B$5015,"&lt;="&amp;TODAY())-SUMIFS(Transaksi!$F$16:$F$5015,Transaksi!$C$16:$C$5015,A101,Transaksi!$D$16:$D$5015,"Keluar",Transaksi!$B$16:$B$5015,"&lt;="&amp;TODAY())-SUMIFS(Transaksi!$F$16:$F$5015,Transaksi!$C$16:$C$5015,A101,Transaksi!$D$16:$D$5015,"Pindah",Transaksi!$B$16:$B$5015,"&lt;="&amp;TODAY())+SUMIFS(Transaksi!$F$16:$F$5015,Transaksi!$E$16:$E$5015,A101,Transaksi!$D$16:$D$5015,"Pindah",Transaksi!$B$16:$B$5015,"&lt;="&amp;TODAY())))</f>
        <v/>
      </c>
      <c r="F101" s="172" t="n"/>
    </row>
    <row r="102" ht="15" customHeight="1" s="94">
      <c r="A102" s="127" t="n"/>
      <c r="B102" s="105" t="n"/>
      <c r="C102" s="175" t="n"/>
      <c r="D102" s="179" t="n"/>
      <c r="E102" s="113">
        <f>IF(A102="","",(SUMIFS(Akun!$C$5:$C$104,Akun!$A$5:$A$104,A102,Akun!$D$5:$D$104,"&lt;="&amp;TODAY())+SUMIFS(Transaksi!$F$16:$F$5015,Transaksi!$C$16:$C$5015,A102,Transaksi!$D$16:$D$5015,"Masuk",Transaksi!$B$16:$B$5015,"&lt;="&amp;TODAY())-SUMIFS(Transaksi!$F$16:$F$5015,Transaksi!$C$16:$C$5015,A102,Transaksi!$D$16:$D$5015,"Keluar",Transaksi!$B$16:$B$5015,"&lt;="&amp;TODAY())-SUMIFS(Transaksi!$F$16:$F$5015,Transaksi!$C$16:$C$5015,A102,Transaksi!$D$16:$D$5015,"Pindah",Transaksi!$B$16:$B$5015,"&lt;="&amp;TODAY())+SUMIFS(Transaksi!$F$16:$F$5015,Transaksi!$E$16:$E$5015,A102,Transaksi!$D$16:$D$5015,"Pindah",Transaksi!$B$16:$B$5015,"&lt;="&amp;TODAY())))</f>
        <v/>
      </c>
      <c r="F102" s="172" t="n"/>
    </row>
    <row r="103" ht="15" customHeight="1" s="94">
      <c r="A103" s="127" t="n"/>
      <c r="B103" s="105" t="n"/>
      <c r="C103" s="175" t="n"/>
      <c r="D103" s="179" t="n"/>
      <c r="E103" s="113">
        <f>IF(A103="","",(SUMIFS(Akun!$C$5:$C$104,Akun!$A$5:$A$104,A103,Akun!$D$5:$D$104,"&lt;="&amp;TODAY())+SUMIFS(Transaksi!$F$16:$F$5015,Transaksi!$C$16:$C$5015,A103,Transaksi!$D$16:$D$5015,"Masuk",Transaksi!$B$16:$B$5015,"&lt;="&amp;TODAY())-SUMIFS(Transaksi!$F$16:$F$5015,Transaksi!$C$16:$C$5015,A103,Transaksi!$D$16:$D$5015,"Keluar",Transaksi!$B$16:$B$5015,"&lt;="&amp;TODAY())-SUMIFS(Transaksi!$F$16:$F$5015,Transaksi!$C$16:$C$5015,A103,Transaksi!$D$16:$D$5015,"Pindah",Transaksi!$B$16:$B$5015,"&lt;="&amp;TODAY())+SUMIFS(Transaksi!$F$16:$F$5015,Transaksi!$E$16:$E$5015,A103,Transaksi!$D$16:$D$5015,"Pindah",Transaksi!$B$16:$B$5015,"&lt;="&amp;TODAY())))</f>
        <v/>
      </c>
      <c r="F103" s="172" t="n"/>
    </row>
    <row r="104" ht="15" customHeight="1" s="94">
      <c r="A104" s="127" t="n"/>
      <c r="B104" s="105" t="n"/>
      <c r="C104" s="175" t="n"/>
      <c r="D104" s="179" t="n"/>
      <c r="E104" s="113">
        <f>IF(A104="","",(SUMIFS(Akun!$C$5:$C$104,Akun!$A$5:$A$104,A104,Akun!$D$5:$D$104,"&lt;="&amp;TODAY())+SUMIFS(Transaksi!$F$16:$F$5015,Transaksi!$C$16:$C$5015,A104,Transaksi!$D$16:$D$5015,"Masuk",Transaksi!$B$16:$B$5015,"&lt;="&amp;TODAY())-SUMIFS(Transaksi!$F$16:$F$5015,Transaksi!$C$16:$C$5015,A104,Transaksi!$D$16:$D$5015,"Keluar",Transaksi!$B$16:$B$5015,"&lt;="&amp;TODAY())-SUMIFS(Transaksi!$F$16:$F$5015,Transaksi!$C$16:$C$5015,A104,Transaksi!$D$16:$D$5015,"Pindah",Transaksi!$B$16:$B$5015,"&lt;="&amp;TODAY())+SUMIFS(Transaksi!$F$16:$F$5015,Transaksi!$E$16:$E$5015,A104,Transaksi!$D$16:$D$5015,"Pindah",Transaksi!$B$16:$B$5015,"&lt;="&amp;TODAY())))</f>
        <v/>
      </c>
      <c r="F104" s="172" t="n"/>
    </row>
  </sheetData>
  <mergeCells count="2">
    <mergeCell ref="A2:H2"/>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0.xml><?xml version="1.0" encoding="utf-8"?>
<worksheet xmlns="http://schemas.openxmlformats.org/spreadsheetml/2006/main">
  <sheetPr filterMode="0">
    <outlinePr summaryBelow="1" summaryRight="1"/>
    <pageSetUpPr fitToPage="0"/>
  </sheetPr>
  <dimension ref="A1:G30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7421875" defaultRowHeight="15" zeroHeight="0" outlineLevelRow="0"/>
  <cols>
    <col width="13.99" customWidth="1" style="93" min="1" max="1"/>
    <col width="25.97" customWidth="1" style="93" min="2" max="2"/>
    <col width="39.97" customWidth="1" style="93" min="3" max="3"/>
    <col width="13.99" customWidth="1" style="93" min="4" max="4"/>
    <col width="18.03" customWidth="1" style="93" min="5" max="6"/>
  </cols>
  <sheetData>
    <row r="1" ht="30" customHeight="1" s="94">
      <c r="A1" s="95" t="inlineStr">
        <is>
          <t>KATEGORI (3 TINGKAT)</t>
        </is>
      </c>
    </row>
    <row r="2" ht="30" customHeight="1" s="94">
      <c r="A2" s="98" t="inlineStr">
        <is>
          <t>Tujuan → Sumber → Kategori. Tambah kategori baru di baris kosong. Kolom "Jumlah transaksi" dan "Total" dihitung otomatis dari tab Transaksi — untuk melihat transaksinya, pilih kategori itu di panel pencarian tab Transaksi.</t>
        </is>
      </c>
    </row>
    <row r="3"/>
    <row r="4" ht="24.75" customHeight="1" s="94">
      <c r="A4" s="103" t="inlineStr">
        <is>
          <t>Tujuan</t>
        </is>
      </c>
      <c r="B4" s="103" t="inlineStr">
        <is>
          <t>Sumber</t>
        </is>
      </c>
      <c r="C4" s="103" t="inlineStr">
        <is>
          <t>Kategori</t>
        </is>
      </c>
      <c r="D4" s="103" t="inlineStr">
        <is>
          <t>Jumlah transaksi</t>
        </is>
      </c>
      <c r="E4" s="103" t="inlineStr">
        <is>
          <t>Total (semua waktu)</t>
        </is>
      </c>
      <c r="F4" s="103" t="inlineStr">
        <is>
          <t>Total tahun terpilih</t>
        </is>
      </c>
    </row>
    <row r="5" ht="15" customHeight="1" s="94">
      <c r="A5" s="105" t="inlineStr">
        <is>
          <t>Pendapatan</t>
        </is>
      </c>
      <c r="B5" s="105" t="inlineStr">
        <is>
          <t>Gaji</t>
        </is>
      </c>
      <c r="C5" s="127" t="inlineStr">
        <is>
          <t>Bantuan / BSU</t>
        </is>
      </c>
      <c r="D5" s="167">
        <f>IF(C5="","",COUNTIFS(Transaksi!$G$16:$G$5015,A5,Transaksi!$H$16:$H$5015,B5,Transaksi!$I$16:$I$5015,C5))</f>
        <v/>
      </c>
      <c r="E5" s="106">
        <f>IF(C5="","",SUMIFS(Transaksi!$F$16:$F$5015,Transaksi!$G$16:$G$5015,A5,Transaksi!$H$16:$H$5015,B5,Transaksi!$I$16:$I$5015,C5))</f>
        <v/>
      </c>
      <c r="F5" s="106">
        <f>IF(C5="","",SUMIFS(Transaksi!$F$16:$F$5015,Transaksi!$G$16:$G$5015,A5,Transaksi!$H$16:$H$5015,B5,Transaksi!$I$16:$I$5015,C5,Transaksi!$B$16:$B$5015,"&gt;="&amp;DATE(Dashboard!$C$4,1,1),Transaksi!$B$16:$B$5015,"&lt;="&amp;DATE(Dashboard!$C$4,12,31)))</f>
        <v/>
      </c>
    </row>
    <row r="6" ht="15" customHeight="1" s="94">
      <c r="A6" s="105" t="inlineStr">
        <is>
          <t>Pendapatan</t>
        </is>
      </c>
      <c r="B6" s="105" t="inlineStr">
        <is>
          <t>Gaji</t>
        </is>
      </c>
      <c r="C6" s="127" t="inlineStr">
        <is>
          <t>Cashback &amp; promo</t>
        </is>
      </c>
      <c r="D6" s="167">
        <f>IF(C6="","",COUNTIFS(Transaksi!$G$16:$G$5015,A6,Transaksi!$H$16:$H$5015,B6,Transaksi!$I$16:$I$5015,C6))</f>
        <v/>
      </c>
      <c r="E6" s="106">
        <f>IF(C6="","",SUMIFS(Transaksi!$F$16:$F$5015,Transaksi!$G$16:$G$5015,A6,Transaksi!$H$16:$H$5015,B6,Transaksi!$I$16:$I$5015,C6))</f>
        <v/>
      </c>
      <c r="F6" s="106">
        <f>IF(C6="","",SUMIFS(Transaksi!$F$16:$F$5015,Transaksi!$G$16:$G$5015,A6,Transaksi!$H$16:$H$5015,B6,Transaksi!$I$16:$I$5015,C6,Transaksi!$B$16:$B$5015,"&gt;="&amp;DATE(Dashboard!$C$4,1,1),Transaksi!$B$16:$B$5015,"&lt;="&amp;DATE(Dashboard!$C$4,12,31)))</f>
        <v/>
      </c>
    </row>
    <row r="7" ht="15" customHeight="1" s="94">
      <c r="A7" s="105" t="inlineStr">
        <is>
          <t>Pendapatan</t>
        </is>
      </c>
      <c r="B7" s="105" t="inlineStr">
        <is>
          <t>Gaji</t>
        </is>
      </c>
      <c r="C7" s="127" t="inlineStr">
        <is>
          <t>Dikasih orang</t>
        </is>
      </c>
      <c r="D7" s="167">
        <f>IF(C7="","",COUNTIFS(Transaksi!$G$16:$G$5015,A7,Transaksi!$H$16:$H$5015,B7,Transaksi!$I$16:$I$5015,C7))</f>
        <v/>
      </c>
      <c r="E7" s="106">
        <f>IF(C7="","",SUMIFS(Transaksi!$F$16:$F$5015,Transaksi!$G$16:$G$5015,A7,Transaksi!$H$16:$H$5015,B7,Transaksi!$I$16:$I$5015,C7))</f>
        <v/>
      </c>
      <c r="F7" s="106">
        <f>IF(C7="","",SUMIFS(Transaksi!$F$16:$F$5015,Transaksi!$G$16:$G$5015,A7,Transaksi!$H$16:$H$5015,B7,Transaksi!$I$16:$I$5015,C7,Transaksi!$B$16:$B$5015,"&gt;="&amp;DATE(Dashboard!$C$4,1,1),Transaksi!$B$16:$B$5015,"&lt;="&amp;DATE(Dashboard!$C$4,12,31)))</f>
        <v/>
      </c>
    </row>
    <row r="8" ht="15" customHeight="1" s="94">
      <c r="A8" s="105" t="inlineStr">
        <is>
          <t>Pendapatan</t>
        </is>
      </c>
      <c r="B8" s="105" t="inlineStr">
        <is>
          <t>Gaji</t>
        </is>
      </c>
      <c r="C8" s="127" t="inlineStr">
        <is>
          <t>Fee Investasi</t>
        </is>
      </c>
      <c r="D8" s="167">
        <f>IF(C8="","",COUNTIFS(Transaksi!$G$16:$G$5015,A8,Transaksi!$H$16:$H$5015,B8,Transaksi!$I$16:$I$5015,C8))</f>
        <v/>
      </c>
      <c r="E8" s="106">
        <f>IF(C8="","",SUMIFS(Transaksi!$F$16:$F$5015,Transaksi!$G$16:$G$5015,A8,Transaksi!$H$16:$H$5015,B8,Transaksi!$I$16:$I$5015,C8))</f>
        <v/>
      </c>
      <c r="F8" s="106">
        <f>IF(C8="","",SUMIFS(Transaksi!$F$16:$F$5015,Transaksi!$G$16:$G$5015,A8,Transaksi!$H$16:$H$5015,B8,Transaksi!$I$16:$I$5015,C8,Transaksi!$B$16:$B$5015,"&gt;="&amp;DATE(Dashboard!$C$4,1,1),Transaksi!$B$16:$B$5015,"&lt;="&amp;DATE(Dashboard!$C$4,12,31)))</f>
        <v/>
      </c>
    </row>
    <row r="9" ht="15" customHeight="1" s="94">
      <c r="A9" s="105" t="inlineStr">
        <is>
          <t>Pendapatan</t>
        </is>
      </c>
      <c r="B9" s="105" t="inlineStr">
        <is>
          <t>Gaji</t>
        </is>
      </c>
      <c r="C9" s="127" t="inlineStr">
        <is>
          <t>Gaji bulanan</t>
        </is>
      </c>
      <c r="D9" s="167">
        <f>IF(C9="","",COUNTIFS(Transaksi!$G$16:$G$5015,A9,Transaksi!$H$16:$H$5015,B9,Transaksi!$I$16:$I$5015,C9))</f>
        <v/>
      </c>
      <c r="E9" s="106">
        <f>IF(C9="","",SUMIFS(Transaksi!$F$16:$F$5015,Transaksi!$G$16:$G$5015,A9,Transaksi!$H$16:$H$5015,B9,Transaksi!$I$16:$I$5015,C9))</f>
        <v/>
      </c>
      <c r="F9" s="106">
        <f>IF(C9="","",SUMIFS(Transaksi!$F$16:$F$5015,Transaksi!$G$16:$G$5015,A9,Transaksi!$H$16:$H$5015,B9,Transaksi!$I$16:$I$5015,C9,Transaksi!$B$16:$B$5015,"&gt;="&amp;DATE(Dashboard!$C$4,1,1),Transaksi!$B$16:$B$5015,"&lt;="&amp;DATE(Dashboard!$C$4,12,31)))</f>
        <v/>
      </c>
    </row>
    <row r="10" ht="15" customHeight="1" s="94">
      <c r="A10" s="105" t="inlineStr">
        <is>
          <t>Pendapatan</t>
        </is>
      </c>
      <c r="B10" s="105" t="inlineStr">
        <is>
          <t>Gaji</t>
        </is>
      </c>
      <c r="C10" s="127" t="inlineStr">
        <is>
          <t>Hasil investasi: bagi hasil deposito</t>
        </is>
      </c>
      <c r="D10" s="167">
        <f>IF(C10="","",COUNTIFS(Transaksi!$G$16:$G$5015,A10,Transaksi!$H$16:$H$5015,B10,Transaksi!$I$16:$I$5015,C10))</f>
        <v/>
      </c>
      <c r="E10" s="106">
        <f>IF(C10="","",SUMIFS(Transaksi!$F$16:$F$5015,Transaksi!$G$16:$G$5015,A10,Transaksi!$H$16:$H$5015,B10,Transaksi!$I$16:$I$5015,C10))</f>
        <v/>
      </c>
      <c r="F10" s="106">
        <f>IF(C10="","",SUMIFS(Transaksi!$F$16:$F$5015,Transaksi!$G$16:$G$5015,A10,Transaksi!$H$16:$H$5015,B10,Transaksi!$I$16:$I$5015,C10,Transaksi!$B$16:$B$5015,"&gt;="&amp;DATE(Dashboard!$C$4,1,1),Transaksi!$B$16:$B$5015,"&lt;="&amp;DATE(Dashboard!$C$4,12,31)))</f>
        <v/>
      </c>
    </row>
    <row r="11" ht="15" customHeight="1" s="94">
      <c r="A11" s="105" t="inlineStr">
        <is>
          <t>Pendapatan</t>
        </is>
      </c>
      <c r="B11" s="105" t="inlineStr">
        <is>
          <t>Gaji</t>
        </is>
      </c>
      <c r="C11" s="127" t="inlineStr">
        <is>
          <t>Hasil investasi: dividen saham</t>
        </is>
      </c>
      <c r="D11" s="167">
        <f>IF(C11="","",COUNTIFS(Transaksi!$G$16:$G$5015,A11,Transaksi!$H$16:$H$5015,B11,Transaksi!$I$16:$I$5015,C11))</f>
        <v/>
      </c>
      <c r="E11" s="106">
        <f>IF(C11="","",SUMIFS(Transaksi!$F$16:$F$5015,Transaksi!$G$16:$G$5015,A11,Transaksi!$H$16:$H$5015,B11,Transaksi!$I$16:$I$5015,C11))</f>
        <v/>
      </c>
      <c r="F11" s="106">
        <f>IF(C11="","",SUMIFS(Transaksi!$F$16:$F$5015,Transaksi!$G$16:$G$5015,A11,Transaksi!$H$16:$H$5015,B11,Transaksi!$I$16:$I$5015,C11,Transaksi!$B$16:$B$5015,"&gt;="&amp;DATE(Dashboard!$C$4,1,1),Transaksi!$B$16:$B$5015,"&lt;="&amp;DATE(Dashboard!$C$4,12,31)))</f>
        <v/>
      </c>
    </row>
    <row r="12" ht="15" customHeight="1" s="94">
      <c r="A12" s="105" t="inlineStr">
        <is>
          <t>Pendapatan</t>
        </is>
      </c>
      <c r="B12" s="105" t="inlineStr">
        <is>
          <t>Gaji</t>
        </is>
      </c>
      <c r="C12" s="127" t="inlineStr">
        <is>
          <t>Keuntungan rokok</t>
        </is>
      </c>
      <c r="D12" s="167">
        <f>IF(C12="","",COUNTIFS(Transaksi!$G$16:$G$5015,A12,Transaksi!$H$16:$H$5015,B12,Transaksi!$I$16:$I$5015,C12))</f>
        <v/>
      </c>
      <c r="E12" s="106">
        <f>IF(C12="","",SUMIFS(Transaksi!$F$16:$F$5015,Transaksi!$G$16:$G$5015,A12,Transaksi!$H$16:$H$5015,B12,Transaksi!$I$16:$I$5015,C12))</f>
        <v/>
      </c>
      <c r="F12" s="106">
        <f>IF(C12="","",SUMIFS(Transaksi!$F$16:$F$5015,Transaksi!$G$16:$G$5015,A12,Transaksi!$H$16:$H$5015,B12,Transaksi!$I$16:$I$5015,C12,Transaksi!$B$16:$B$5015,"&gt;="&amp;DATE(Dashboard!$C$4,1,1),Transaksi!$B$16:$B$5015,"&lt;="&amp;DATE(Dashboard!$C$4,12,31)))</f>
        <v/>
      </c>
    </row>
    <row r="13" ht="15" customHeight="1" s="94">
      <c r="A13" s="105" t="inlineStr">
        <is>
          <t>Pendapatan</t>
        </is>
      </c>
      <c r="B13" s="105" t="inlineStr">
        <is>
          <t>Gaji</t>
        </is>
      </c>
      <c r="C13" s="127" t="inlineStr">
        <is>
          <t>Lain-lain</t>
        </is>
      </c>
      <c r="D13" s="167">
        <f>IF(C13="","",COUNTIFS(Transaksi!$G$16:$G$5015,A13,Transaksi!$H$16:$H$5015,B13,Transaksi!$I$16:$I$5015,C13))</f>
        <v/>
      </c>
      <c r="E13" s="106">
        <f>IF(C13="","",SUMIFS(Transaksi!$F$16:$F$5015,Transaksi!$G$16:$G$5015,A13,Transaksi!$H$16:$H$5015,B13,Transaksi!$I$16:$I$5015,C13))</f>
        <v/>
      </c>
      <c r="F13" s="106">
        <f>IF(C13="","",SUMIFS(Transaksi!$F$16:$F$5015,Transaksi!$G$16:$G$5015,A13,Transaksi!$H$16:$H$5015,B13,Transaksi!$I$16:$I$5015,C13,Transaksi!$B$16:$B$5015,"&gt;="&amp;DATE(Dashboard!$C$4,1,1),Transaksi!$B$16:$B$5015,"&lt;="&amp;DATE(Dashboard!$C$4,12,31)))</f>
        <v/>
      </c>
    </row>
    <row r="14" ht="15" customHeight="1" s="94">
      <c r="A14" s="105" t="inlineStr">
        <is>
          <t>Pendapatan</t>
        </is>
      </c>
      <c r="B14" s="105" t="inlineStr">
        <is>
          <t>Gaji</t>
        </is>
      </c>
      <c r="C14" s="127" t="inlineStr">
        <is>
          <t>Penggantian</t>
        </is>
      </c>
      <c r="D14" s="167">
        <f>IF(C14="","",COUNTIFS(Transaksi!$G$16:$G$5015,A14,Transaksi!$H$16:$H$5015,B14,Transaksi!$I$16:$I$5015,C14))</f>
        <v/>
      </c>
      <c r="E14" s="106">
        <f>IF(C14="","",SUMIFS(Transaksi!$F$16:$F$5015,Transaksi!$G$16:$G$5015,A14,Transaksi!$H$16:$H$5015,B14,Transaksi!$I$16:$I$5015,C14))</f>
        <v/>
      </c>
      <c r="F14" s="106">
        <f>IF(C14="","",SUMIFS(Transaksi!$F$16:$F$5015,Transaksi!$G$16:$G$5015,A14,Transaksi!$H$16:$H$5015,B14,Transaksi!$I$16:$I$5015,C14,Transaksi!$B$16:$B$5015,"&gt;="&amp;DATE(Dashboard!$C$4,1,1),Transaksi!$B$16:$B$5015,"&lt;="&amp;DATE(Dashboard!$C$4,12,31)))</f>
        <v/>
      </c>
    </row>
    <row r="15" ht="15" customHeight="1" s="94">
      <c r="A15" s="105" t="inlineStr">
        <is>
          <t>Pendapatan</t>
        </is>
      </c>
      <c r="B15" s="105" t="inlineStr">
        <is>
          <t>Gaji</t>
        </is>
      </c>
      <c r="C15" s="127" t="inlineStr">
        <is>
          <t>THR / bonus</t>
        </is>
      </c>
      <c r="D15" s="167">
        <f>IF(C15="","",COUNTIFS(Transaksi!$G$16:$G$5015,A15,Transaksi!$H$16:$H$5015,B15,Transaksi!$I$16:$I$5015,C15))</f>
        <v/>
      </c>
      <c r="E15" s="106">
        <f>IF(C15="","",SUMIFS(Transaksi!$F$16:$F$5015,Transaksi!$G$16:$G$5015,A15,Transaksi!$H$16:$H$5015,B15,Transaksi!$I$16:$I$5015,C15))</f>
        <v/>
      </c>
      <c r="F15" s="106">
        <f>IF(C15="","",SUMIFS(Transaksi!$F$16:$F$5015,Transaksi!$G$16:$G$5015,A15,Transaksi!$H$16:$H$5015,B15,Transaksi!$I$16:$I$5015,C15,Transaksi!$B$16:$B$5015,"&gt;="&amp;DATE(Dashboard!$C$4,1,1),Transaksi!$B$16:$B$5015,"&lt;="&amp;DATE(Dashboard!$C$4,12,31)))</f>
        <v/>
      </c>
    </row>
    <row r="16" ht="15" customHeight="1" s="94">
      <c r="A16" s="105" t="inlineStr">
        <is>
          <t>Pendapatan</t>
        </is>
      </c>
      <c r="B16" s="105" t="inlineStr">
        <is>
          <t>Gaji</t>
        </is>
      </c>
      <c r="C16" s="127" t="inlineStr">
        <is>
          <t>TikTok</t>
        </is>
      </c>
      <c r="D16" s="167">
        <f>IF(C16="","",COUNTIFS(Transaksi!$G$16:$G$5015,A16,Transaksi!$H$16:$H$5015,B16,Transaksi!$I$16:$I$5015,C16))</f>
        <v/>
      </c>
      <c r="E16" s="106">
        <f>IF(C16="","",SUMIFS(Transaksi!$F$16:$F$5015,Transaksi!$G$16:$G$5015,A16,Transaksi!$H$16:$H$5015,B16,Transaksi!$I$16:$I$5015,C16))</f>
        <v/>
      </c>
      <c r="F16" s="106">
        <f>IF(C16="","",SUMIFS(Transaksi!$F$16:$F$5015,Transaksi!$G$16:$G$5015,A16,Transaksi!$H$16:$H$5015,B16,Transaksi!$I$16:$I$5015,C16,Transaksi!$B$16:$B$5015,"&gt;="&amp;DATE(Dashboard!$C$4,1,1),Transaksi!$B$16:$B$5015,"&lt;="&amp;DATE(Dashboard!$C$4,12,31)))</f>
        <v/>
      </c>
    </row>
    <row r="17" ht="15" customHeight="1" s="94">
      <c r="A17" s="105" t="inlineStr">
        <is>
          <t>Pendapatan</t>
        </is>
      </c>
      <c r="B17" s="105" t="inlineStr">
        <is>
          <t>Jasa</t>
        </is>
      </c>
      <c r="C17" s="127" t="inlineStr">
        <is>
          <t>Uang jasa</t>
        </is>
      </c>
      <c r="D17" s="167">
        <f>IF(C17="","",COUNTIFS(Transaksi!$G$16:$G$5015,A17,Transaksi!$H$16:$H$5015,B17,Transaksi!$I$16:$I$5015,C17))</f>
        <v/>
      </c>
      <c r="E17" s="106">
        <f>IF(C17="","",SUMIFS(Transaksi!$F$16:$F$5015,Transaksi!$G$16:$G$5015,A17,Transaksi!$H$16:$H$5015,B17,Transaksi!$I$16:$I$5015,C17))</f>
        <v/>
      </c>
      <c r="F17" s="106">
        <f>IF(C17="","",SUMIFS(Transaksi!$F$16:$F$5015,Transaksi!$G$16:$G$5015,A17,Transaksi!$H$16:$H$5015,B17,Transaksi!$I$16:$I$5015,C17,Transaksi!$B$16:$B$5015,"&gt;="&amp;DATE(Dashboard!$C$4,1,1),Transaksi!$B$16:$B$5015,"&lt;="&amp;DATE(Dashboard!$C$4,12,31)))</f>
        <v/>
      </c>
    </row>
    <row r="18" ht="15" customHeight="1" s="94">
      <c r="A18" s="105" t="inlineStr">
        <is>
          <t>Pendapatan</t>
        </is>
      </c>
      <c r="B18" s="105" t="inlineStr">
        <is>
          <t>Uang Kos Mama</t>
        </is>
      </c>
      <c r="C18" s="127" t="inlineStr">
        <is>
          <t>Penggantian dari uang kos</t>
        </is>
      </c>
      <c r="D18" s="167">
        <f>IF(C18="","",COUNTIFS(Transaksi!$G$16:$G$5015,A18,Transaksi!$H$16:$H$5015,B18,Transaksi!$I$16:$I$5015,C18))</f>
        <v/>
      </c>
      <c r="E18" s="106">
        <f>IF(C18="","",SUMIFS(Transaksi!$F$16:$F$5015,Transaksi!$G$16:$G$5015,A18,Transaksi!$H$16:$H$5015,B18,Transaksi!$I$16:$I$5015,C18))</f>
        <v/>
      </c>
      <c r="F18" s="106">
        <f>IF(C18="","",SUMIFS(Transaksi!$F$16:$F$5015,Transaksi!$G$16:$G$5015,A18,Transaksi!$H$16:$H$5015,B18,Transaksi!$I$16:$I$5015,C18,Transaksi!$B$16:$B$5015,"&gt;="&amp;DATE(Dashboard!$C$4,1,1),Transaksi!$B$16:$B$5015,"&lt;="&amp;DATE(Dashboard!$C$4,12,31)))</f>
        <v/>
      </c>
    </row>
    <row r="19" ht="15" customHeight="1" s="94">
      <c r="A19" s="105" t="inlineStr">
        <is>
          <t>Pendapatan</t>
        </is>
      </c>
      <c r="B19" s="105" t="inlineStr">
        <is>
          <t>Uang Kos Mama</t>
        </is>
      </c>
      <c r="C19" s="127" t="inlineStr">
        <is>
          <t>Sewa lapak pasar</t>
        </is>
      </c>
      <c r="D19" s="167">
        <f>IF(C19="","",COUNTIFS(Transaksi!$G$16:$G$5015,A19,Transaksi!$H$16:$H$5015,B19,Transaksi!$I$16:$I$5015,C19))</f>
        <v/>
      </c>
      <c r="E19" s="106">
        <f>IF(C19="","",SUMIFS(Transaksi!$F$16:$F$5015,Transaksi!$G$16:$G$5015,A19,Transaksi!$H$16:$H$5015,B19,Transaksi!$I$16:$I$5015,C19))</f>
        <v/>
      </c>
      <c r="F19" s="106">
        <f>IF(C19="","",SUMIFS(Transaksi!$F$16:$F$5015,Transaksi!$G$16:$G$5015,A19,Transaksi!$H$16:$H$5015,B19,Transaksi!$I$16:$I$5015,C19,Transaksi!$B$16:$B$5015,"&gt;="&amp;DATE(Dashboard!$C$4,1,1),Transaksi!$B$16:$B$5015,"&lt;="&amp;DATE(Dashboard!$C$4,12,31)))</f>
        <v/>
      </c>
    </row>
    <row r="20" ht="15" customHeight="1" s="94">
      <c r="A20" s="105" t="inlineStr">
        <is>
          <t>Pendapatan</t>
        </is>
      </c>
      <c r="B20" s="105" t="inlineStr">
        <is>
          <t>Uang Kos Mama</t>
        </is>
      </c>
      <c r="C20" s="127" t="inlineStr">
        <is>
          <t>Uang kos anak kos</t>
        </is>
      </c>
      <c r="D20" s="167">
        <f>IF(C20="","",COUNTIFS(Transaksi!$G$16:$G$5015,A20,Transaksi!$H$16:$H$5015,B20,Transaksi!$I$16:$I$5015,C20))</f>
        <v/>
      </c>
      <c r="E20" s="106">
        <f>IF(C20="","",SUMIFS(Transaksi!$F$16:$F$5015,Transaksi!$G$16:$G$5015,A20,Transaksi!$H$16:$H$5015,B20,Transaksi!$I$16:$I$5015,C20))</f>
        <v/>
      </c>
      <c r="F20" s="106">
        <f>IF(C20="","",SUMIFS(Transaksi!$F$16:$F$5015,Transaksi!$G$16:$G$5015,A20,Transaksi!$H$16:$H$5015,B20,Transaksi!$I$16:$I$5015,C20,Transaksi!$B$16:$B$5015,"&gt;="&amp;DATE(Dashboard!$C$4,1,1),Transaksi!$B$16:$B$5015,"&lt;="&amp;DATE(Dashboard!$C$4,12,31)))</f>
        <v/>
      </c>
    </row>
    <row r="21" ht="15" customHeight="1" s="94">
      <c r="A21" s="105" t="inlineStr">
        <is>
          <t>Pendapatan</t>
        </is>
      </c>
      <c r="B21" s="105" t="inlineStr">
        <is>
          <t>Uang Kedai</t>
        </is>
      </c>
      <c r="C21" s="127" t="inlineStr">
        <is>
          <t>Air PDAM kedai</t>
        </is>
      </c>
      <c r="D21" s="167">
        <f>IF(C21="","",COUNTIFS(Transaksi!$G$16:$G$5015,A21,Transaksi!$H$16:$H$5015,B21,Transaksi!$I$16:$I$5015,C21))</f>
        <v/>
      </c>
      <c r="E21" s="106">
        <f>IF(C21="","",SUMIFS(Transaksi!$F$16:$F$5015,Transaksi!$G$16:$G$5015,A21,Transaksi!$H$16:$H$5015,B21,Transaksi!$I$16:$I$5015,C21))</f>
        <v/>
      </c>
      <c r="F21" s="106">
        <f>IF(C21="","",SUMIFS(Transaksi!$F$16:$F$5015,Transaksi!$G$16:$G$5015,A21,Transaksi!$H$16:$H$5015,B21,Transaksi!$I$16:$I$5015,C21,Transaksi!$B$16:$B$5015,"&gt;="&amp;DATE(Dashboard!$C$4,1,1),Transaksi!$B$16:$B$5015,"&lt;="&amp;DATE(Dashboard!$C$4,12,31)))</f>
        <v/>
      </c>
    </row>
    <row r="22" ht="15" customHeight="1" s="94">
      <c r="A22" s="105" t="inlineStr">
        <is>
          <t>Pendapatan</t>
        </is>
      </c>
      <c r="B22" s="105" t="inlineStr">
        <is>
          <t>Uang Kedai</t>
        </is>
      </c>
      <c r="C22" s="127" t="inlineStr">
        <is>
          <t>Kedai lain-lain</t>
        </is>
      </c>
      <c r="D22" s="167">
        <f>IF(C22="","",COUNTIFS(Transaksi!$G$16:$G$5015,A22,Transaksi!$H$16:$H$5015,B22,Transaksi!$I$16:$I$5015,C22))</f>
        <v/>
      </c>
      <c r="E22" s="106">
        <f>IF(C22="","",SUMIFS(Transaksi!$F$16:$F$5015,Transaksi!$G$16:$G$5015,A22,Transaksi!$H$16:$H$5015,B22,Transaksi!$I$16:$I$5015,C22))</f>
        <v/>
      </c>
      <c r="F22" s="106">
        <f>IF(C22="","",SUMIFS(Transaksi!$F$16:$F$5015,Transaksi!$G$16:$G$5015,A22,Transaksi!$H$16:$H$5015,B22,Transaksi!$I$16:$I$5015,C22,Transaksi!$B$16:$B$5015,"&gt;="&amp;DATE(Dashboard!$C$4,1,1),Transaksi!$B$16:$B$5015,"&lt;="&amp;DATE(Dashboard!$C$4,12,31)))</f>
        <v/>
      </c>
    </row>
    <row r="23" ht="15" customHeight="1" s="94">
      <c r="A23" s="105" t="inlineStr">
        <is>
          <t>Pendapatan</t>
        </is>
      </c>
      <c r="B23" s="105" t="inlineStr">
        <is>
          <t>Uang Kedai</t>
        </is>
      </c>
      <c r="C23" s="127" t="inlineStr">
        <is>
          <t>Penggantian dari kedai</t>
        </is>
      </c>
      <c r="D23" s="167">
        <f>IF(C23="","",COUNTIFS(Transaksi!$G$16:$G$5015,A23,Transaksi!$H$16:$H$5015,B23,Transaksi!$I$16:$I$5015,C23))</f>
        <v/>
      </c>
      <c r="E23" s="106">
        <f>IF(C23="","",SUMIFS(Transaksi!$F$16:$F$5015,Transaksi!$G$16:$G$5015,A23,Transaksi!$H$16:$H$5015,B23,Transaksi!$I$16:$I$5015,C23))</f>
        <v/>
      </c>
      <c r="F23" s="106">
        <f>IF(C23="","",SUMIFS(Transaksi!$F$16:$F$5015,Transaksi!$G$16:$G$5015,A23,Transaksi!$H$16:$H$5015,B23,Transaksi!$I$16:$I$5015,C23,Transaksi!$B$16:$B$5015,"&gt;="&amp;DATE(Dashboard!$C$4,1,1),Transaksi!$B$16:$B$5015,"&lt;="&amp;DATE(Dashboard!$C$4,12,31)))</f>
        <v/>
      </c>
    </row>
    <row r="24" ht="15" customHeight="1" s="94">
      <c r="A24" s="105" t="inlineStr">
        <is>
          <t>Pendapatan</t>
        </is>
      </c>
      <c r="B24" s="105" t="inlineStr">
        <is>
          <t>Uang Disan</t>
        </is>
      </c>
      <c r="C24" s="127" t="inlineStr">
        <is>
          <t>Uang untuk Disan</t>
        </is>
      </c>
      <c r="D24" s="167">
        <f>IF(C24="","",COUNTIFS(Transaksi!$G$16:$G$5015,A24,Transaksi!$H$16:$H$5015,B24,Transaksi!$I$16:$I$5015,C24))</f>
        <v/>
      </c>
      <c r="E24" s="106">
        <f>IF(C24="","",SUMIFS(Transaksi!$F$16:$F$5015,Transaksi!$G$16:$G$5015,A24,Transaksi!$H$16:$H$5015,B24,Transaksi!$I$16:$I$5015,C24))</f>
        <v/>
      </c>
      <c r="F24" s="106">
        <f>IF(C24="","",SUMIFS(Transaksi!$F$16:$F$5015,Transaksi!$G$16:$G$5015,A24,Transaksi!$H$16:$H$5015,B24,Transaksi!$I$16:$I$5015,C24,Transaksi!$B$16:$B$5015,"&gt;="&amp;DATE(Dashboard!$C$4,1,1),Transaksi!$B$16:$B$5015,"&lt;="&amp;DATE(Dashboard!$C$4,12,31)))</f>
        <v/>
      </c>
    </row>
    <row r="25" ht="15" customHeight="1" s="94">
      <c r="A25" s="105" t="inlineStr">
        <is>
          <t>Pengeluaran</t>
        </is>
      </c>
      <c r="B25" s="105" t="inlineStr">
        <is>
          <t>Pengeluaran Gaji</t>
        </is>
      </c>
      <c r="C25" s="127" t="inlineStr">
        <is>
          <t>Biaya Admin Transaksi</t>
        </is>
      </c>
      <c r="D25" s="167">
        <f>IF(C25="","",COUNTIFS(Transaksi!$G$16:$G$5015,A25,Transaksi!$H$16:$H$5015,B25,Transaksi!$I$16:$I$5015,C25))</f>
        <v/>
      </c>
      <c r="E25" s="106">
        <f>IF(C25="","",SUMIFS(Transaksi!$F$16:$F$5015,Transaksi!$G$16:$G$5015,A25,Transaksi!$H$16:$H$5015,B25,Transaksi!$I$16:$I$5015,C25))</f>
        <v/>
      </c>
      <c r="F25" s="106">
        <f>IF(C25="","",SUMIFS(Transaksi!$F$16:$F$5015,Transaksi!$G$16:$G$5015,A25,Transaksi!$H$16:$H$5015,B25,Transaksi!$I$16:$I$5015,C25,Transaksi!$B$16:$B$5015,"&gt;="&amp;DATE(Dashboard!$C$4,1,1),Transaksi!$B$16:$B$5015,"&lt;="&amp;DATE(Dashboard!$C$4,12,31)))</f>
        <v/>
      </c>
    </row>
    <row r="26" ht="15" customHeight="1" s="94">
      <c r="A26" s="105" t="inlineStr">
        <is>
          <t>Pengeluaran</t>
        </is>
      </c>
      <c r="B26" s="105" t="inlineStr">
        <is>
          <t>Pengeluaran Gaji</t>
        </is>
      </c>
      <c r="C26" s="127" t="inlineStr">
        <is>
          <t>Biaya Administrasi Rekening</t>
        </is>
      </c>
      <c r="D26" s="167">
        <f>IF(C26="","",COUNTIFS(Transaksi!$G$16:$G$5015,A26,Transaksi!$H$16:$H$5015,B26,Transaksi!$I$16:$I$5015,C26))</f>
        <v/>
      </c>
      <c r="E26" s="106">
        <f>IF(C26="","",SUMIFS(Transaksi!$F$16:$F$5015,Transaksi!$G$16:$G$5015,A26,Transaksi!$H$16:$H$5015,B26,Transaksi!$I$16:$I$5015,C26))</f>
        <v/>
      </c>
      <c r="F26" s="106">
        <f>IF(C26="","",SUMIFS(Transaksi!$F$16:$F$5015,Transaksi!$G$16:$G$5015,A26,Transaksi!$H$16:$H$5015,B26,Transaksi!$I$16:$I$5015,C26,Transaksi!$B$16:$B$5015,"&gt;="&amp;DATE(Dashboard!$C$4,1,1),Transaksi!$B$16:$B$5015,"&lt;="&amp;DATE(Dashboard!$C$4,12,31)))</f>
        <v/>
      </c>
    </row>
    <row r="27" ht="15" customHeight="1" s="94">
      <c r="A27" s="105" t="inlineStr">
        <is>
          <t>Pengeluaran</t>
        </is>
      </c>
      <c r="B27" s="105" t="inlineStr">
        <is>
          <t>Pengeluaran Gaji</t>
        </is>
      </c>
      <c r="C27" s="127" t="inlineStr">
        <is>
          <t>Biaya SMS Notifikasi</t>
        </is>
      </c>
      <c r="D27" s="167">
        <f>IF(C27="","",COUNTIFS(Transaksi!$G$16:$G$5015,A27,Transaksi!$H$16:$H$5015,B27,Transaksi!$I$16:$I$5015,C27))</f>
        <v/>
      </c>
      <c r="E27" s="106">
        <f>IF(C27="","",SUMIFS(Transaksi!$F$16:$F$5015,Transaksi!$G$16:$G$5015,A27,Transaksi!$H$16:$H$5015,B27,Transaksi!$I$16:$I$5015,C27))</f>
        <v/>
      </c>
      <c r="F27" s="106">
        <f>IF(C27="","",SUMIFS(Transaksi!$F$16:$F$5015,Transaksi!$G$16:$G$5015,A27,Transaksi!$H$16:$H$5015,B27,Transaksi!$I$16:$I$5015,C27,Transaksi!$B$16:$B$5015,"&gt;="&amp;DATE(Dashboard!$C$4,1,1),Transaksi!$B$16:$B$5015,"&lt;="&amp;DATE(Dashboard!$C$4,12,31)))</f>
        <v/>
      </c>
    </row>
    <row r="28" ht="15" customHeight="1" s="94">
      <c r="A28" s="105" t="inlineStr">
        <is>
          <t>Pengeluaran</t>
        </is>
      </c>
      <c r="B28" s="105" t="inlineStr">
        <is>
          <t>Pengeluaran Gaji</t>
        </is>
      </c>
      <c r="C28" s="127" t="inlineStr">
        <is>
          <t>Biaya Saldo Minimum</t>
        </is>
      </c>
      <c r="D28" s="167">
        <f>IF(C28="","",COUNTIFS(Transaksi!$G$16:$G$5015,A28,Transaksi!$H$16:$H$5015,B28,Transaksi!$I$16:$I$5015,C28))</f>
        <v/>
      </c>
      <c r="E28" s="106">
        <f>IF(C28="","",SUMIFS(Transaksi!$F$16:$F$5015,Transaksi!$G$16:$G$5015,A28,Transaksi!$H$16:$H$5015,B28,Transaksi!$I$16:$I$5015,C28))</f>
        <v/>
      </c>
      <c r="F28" s="106">
        <f>IF(C28="","",SUMIFS(Transaksi!$F$16:$F$5015,Transaksi!$G$16:$G$5015,A28,Transaksi!$H$16:$H$5015,B28,Transaksi!$I$16:$I$5015,C28,Transaksi!$B$16:$B$5015,"&gt;="&amp;DATE(Dashboard!$C$4,1,1),Transaksi!$B$16:$B$5015,"&lt;="&amp;DATE(Dashboard!$C$4,12,31)))</f>
        <v/>
      </c>
    </row>
    <row r="29" ht="15" customHeight="1" s="94">
      <c r="A29" s="105" t="inlineStr">
        <is>
          <t>Pengeluaran</t>
        </is>
      </c>
      <c r="B29" s="105" t="inlineStr">
        <is>
          <t>Pengeluaran Gaji</t>
        </is>
      </c>
      <c r="C29" s="127" t="inlineStr">
        <is>
          <t>Fee Investasi</t>
        </is>
      </c>
      <c r="D29" s="167">
        <f>IF(C29="","",COUNTIFS(Transaksi!$G$16:$G$5015,A29,Transaksi!$H$16:$H$5015,B29,Transaksi!$I$16:$I$5015,C29))</f>
        <v/>
      </c>
      <c r="E29" s="106">
        <f>IF(C29="","",SUMIFS(Transaksi!$F$16:$F$5015,Transaksi!$G$16:$G$5015,A29,Transaksi!$H$16:$H$5015,B29,Transaksi!$I$16:$I$5015,C29))</f>
        <v/>
      </c>
      <c r="F29" s="106">
        <f>IF(C29="","",SUMIFS(Transaksi!$F$16:$F$5015,Transaksi!$G$16:$G$5015,A29,Transaksi!$H$16:$H$5015,B29,Transaksi!$I$16:$I$5015,C29,Transaksi!$B$16:$B$5015,"&gt;="&amp;DATE(Dashboard!$C$4,1,1),Transaksi!$B$16:$B$5015,"&lt;="&amp;DATE(Dashboard!$C$4,12,31)))</f>
        <v/>
      </c>
    </row>
    <row r="30" ht="15" customHeight="1" s="94">
      <c r="A30" s="105" t="inlineStr">
        <is>
          <t>Pengeluaran</t>
        </is>
      </c>
      <c r="B30" s="105" t="inlineStr">
        <is>
          <t>Pengeluaran Gaji</t>
        </is>
      </c>
      <c r="C30" s="127" t="inlineStr">
        <is>
          <t>Iuran &amp; Kas Kantor</t>
        </is>
      </c>
      <c r="D30" s="167">
        <f>IF(C30="","",COUNTIFS(Transaksi!$G$16:$G$5015,A30,Transaksi!$H$16:$H$5015,B30,Transaksi!$I$16:$I$5015,C30))</f>
        <v/>
      </c>
      <c r="E30" s="106">
        <f>IF(C30="","",SUMIFS(Transaksi!$F$16:$F$5015,Transaksi!$G$16:$G$5015,A30,Transaksi!$H$16:$H$5015,B30,Transaksi!$I$16:$I$5015,C30))</f>
        <v/>
      </c>
      <c r="F30" s="106">
        <f>IF(C30="","",SUMIFS(Transaksi!$F$16:$F$5015,Transaksi!$G$16:$G$5015,A30,Transaksi!$H$16:$H$5015,B30,Transaksi!$I$16:$I$5015,C30,Transaksi!$B$16:$B$5015,"&gt;="&amp;DATE(Dashboard!$C$4,1,1),Transaksi!$B$16:$B$5015,"&lt;="&amp;DATE(Dashboard!$C$4,12,31)))</f>
        <v/>
      </c>
    </row>
    <row r="31" ht="15" customHeight="1" s="94">
      <c r="A31" s="105" t="inlineStr">
        <is>
          <t>Pengeluaran</t>
        </is>
      </c>
      <c r="B31" s="105" t="inlineStr">
        <is>
          <t>Pengeluaran Gaji</t>
        </is>
      </c>
      <c r="C31" s="127" t="inlineStr">
        <is>
          <t>Kebutuhan Pribadi &amp; Rumah</t>
        </is>
      </c>
      <c r="D31" s="167">
        <f>IF(C31="","",COUNTIFS(Transaksi!$G$16:$G$5015,A31,Transaksi!$H$16:$H$5015,B31,Transaksi!$I$16:$I$5015,C31))</f>
        <v/>
      </c>
      <c r="E31" s="106">
        <f>IF(C31="","",SUMIFS(Transaksi!$F$16:$F$5015,Transaksi!$G$16:$G$5015,A31,Transaksi!$H$16:$H$5015,B31,Transaksi!$I$16:$I$5015,C31))</f>
        <v/>
      </c>
      <c r="F31" s="106">
        <f>IF(C31="","",SUMIFS(Transaksi!$F$16:$F$5015,Transaksi!$G$16:$G$5015,A31,Transaksi!$H$16:$H$5015,B31,Transaksi!$I$16:$I$5015,C31,Transaksi!$B$16:$B$5015,"&gt;="&amp;DATE(Dashboard!$C$4,1,1),Transaksi!$B$16:$B$5015,"&lt;="&amp;DATE(Dashboard!$C$4,12,31)))</f>
        <v/>
      </c>
    </row>
    <row r="32" ht="15" customHeight="1" s="94">
      <c r="A32" s="105" t="inlineStr">
        <is>
          <t>Pengeluaran</t>
        </is>
      </c>
      <c r="B32" s="105" t="inlineStr">
        <is>
          <t>Pengeluaran Gaji</t>
        </is>
      </c>
      <c r="C32" s="127" t="inlineStr">
        <is>
          <t>Kesehatan &amp; Olahraga</t>
        </is>
      </c>
      <c r="D32" s="167">
        <f>IF(C32="","",COUNTIFS(Transaksi!$G$16:$G$5015,A32,Transaksi!$H$16:$H$5015,B32,Transaksi!$I$16:$I$5015,C32))</f>
        <v/>
      </c>
      <c r="E32" s="106">
        <f>IF(C32="","",SUMIFS(Transaksi!$F$16:$F$5015,Transaksi!$G$16:$G$5015,A32,Transaksi!$H$16:$H$5015,B32,Transaksi!$I$16:$I$5015,C32))</f>
        <v/>
      </c>
      <c r="F32" s="106">
        <f>IF(C32="","",SUMIFS(Transaksi!$F$16:$F$5015,Transaksi!$G$16:$G$5015,A32,Transaksi!$H$16:$H$5015,B32,Transaksi!$I$16:$I$5015,C32,Transaksi!$B$16:$B$5015,"&gt;="&amp;DATE(Dashboard!$C$4,1,1),Transaksi!$B$16:$B$5015,"&lt;="&amp;DATE(Dashboard!$C$4,12,31)))</f>
        <v/>
      </c>
    </row>
    <row r="33" ht="15" customHeight="1" s="94">
      <c r="A33" s="105" t="inlineStr">
        <is>
          <t>Pengeluaran</t>
        </is>
      </c>
      <c r="B33" s="105" t="inlineStr">
        <is>
          <t>Pengeluaran Gaji</t>
        </is>
      </c>
      <c r="C33" s="127" t="inlineStr">
        <is>
          <t>Lain-lain Pengeluaran</t>
        </is>
      </c>
      <c r="D33" s="167">
        <f>IF(C33="","",COUNTIFS(Transaksi!$G$16:$G$5015,A33,Transaksi!$H$16:$H$5015,B33,Transaksi!$I$16:$I$5015,C33))</f>
        <v/>
      </c>
      <c r="E33" s="106">
        <f>IF(C33="","",SUMIFS(Transaksi!$F$16:$F$5015,Transaksi!$G$16:$G$5015,A33,Transaksi!$H$16:$H$5015,B33,Transaksi!$I$16:$I$5015,C33))</f>
        <v/>
      </c>
      <c r="F33" s="106">
        <f>IF(C33="","",SUMIFS(Transaksi!$F$16:$F$5015,Transaksi!$G$16:$G$5015,A33,Transaksi!$H$16:$H$5015,B33,Transaksi!$I$16:$I$5015,C33,Transaksi!$B$16:$B$5015,"&gt;="&amp;DATE(Dashboard!$C$4,1,1),Transaksi!$B$16:$B$5015,"&lt;="&amp;DATE(Dashboard!$C$4,12,31)))</f>
        <v/>
      </c>
    </row>
    <row r="34" ht="15" customHeight="1" s="94">
      <c r="A34" s="105" t="inlineStr">
        <is>
          <t>Pengeluaran</t>
        </is>
      </c>
      <c r="B34" s="105" t="inlineStr">
        <is>
          <t>Pengeluaran Gaji</t>
        </is>
      </c>
      <c r="C34" s="127" t="inlineStr">
        <is>
          <t>Langganan &amp; Kursus</t>
        </is>
      </c>
      <c r="D34" s="167">
        <f>IF(C34="","",COUNTIFS(Transaksi!$G$16:$G$5015,A34,Transaksi!$H$16:$H$5015,B34,Transaksi!$I$16:$I$5015,C34))</f>
        <v/>
      </c>
      <c r="E34" s="106">
        <f>IF(C34="","",SUMIFS(Transaksi!$F$16:$F$5015,Transaksi!$G$16:$G$5015,A34,Transaksi!$H$16:$H$5015,B34,Transaksi!$I$16:$I$5015,C34))</f>
        <v/>
      </c>
      <c r="F34" s="106">
        <f>IF(C34="","",SUMIFS(Transaksi!$F$16:$F$5015,Transaksi!$G$16:$G$5015,A34,Transaksi!$H$16:$H$5015,B34,Transaksi!$I$16:$I$5015,C34,Transaksi!$B$16:$B$5015,"&gt;="&amp;DATE(Dashboard!$C$4,1,1),Transaksi!$B$16:$B$5015,"&lt;="&amp;DATE(Dashboard!$C$4,12,31)))</f>
        <v/>
      </c>
    </row>
    <row r="35" ht="15" customHeight="1" s="94">
      <c r="A35" s="105" t="inlineStr">
        <is>
          <t>Pengeluaran</t>
        </is>
      </c>
      <c r="B35" s="105" t="inlineStr">
        <is>
          <t>Pengeluaran Gaji</t>
        </is>
      </c>
      <c r="C35" s="127" t="inlineStr">
        <is>
          <t>Makan &amp; Minum</t>
        </is>
      </c>
      <c r="D35" s="167">
        <f>IF(C35="","",COUNTIFS(Transaksi!$G$16:$G$5015,A35,Transaksi!$H$16:$H$5015,B35,Transaksi!$I$16:$I$5015,C35))</f>
        <v/>
      </c>
      <c r="E35" s="106">
        <f>IF(C35="","",SUMIFS(Transaksi!$F$16:$F$5015,Transaksi!$G$16:$G$5015,A35,Transaksi!$H$16:$H$5015,B35,Transaksi!$I$16:$I$5015,C35))</f>
        <v/>
      </c>
      <c r="F35" s="106">
        <f>IF(C35="","",SUMIFS(Transaksi!$F$16:$F$5015,Transaksi!$G$16:$G$5015,A35,Transaksi!$H$16:$H$5015,B35,Transaksi!$I$16:$I$5015,C35,Transaksi!$B$16:$B$5015,"&gt;="&amp;DATE(Dashboard!$C$4,1,1),Transaksi!$B$16:$B$5015,"&lt;="&amp;DATE(Dashboard!$C$4,12,31)))</f>
        <v/>
      </c>
    </row>
    <row r="36" ht="15" customHeight="1" s="94">
      <c r="A36" s="105" t="inlineStr">
        <is>
          <t>Pengeluaran</t>
        </is>
      </c>
      <c r="B36" s="105" t="inlineStr">
        <is>
          <t>Pengeluaran Gaji</t>
        </is>
      </c>
      <c r="C36" s="127" t="inlineStr">
        <is>
          <t>Pakaian &amp; Perlengkapan</t>
        </is>
      </c>
      <c r="D36" s="167">
        <f>IF(C36="","",COUNTIFS(Transaksi!$G$16:$G$5015,A36,Transaksi!$H$16:$H$5015,B36,Transaksi!$I$16:$I$5015,C36))</f>
        <v/>
      </c>
      <c r="E36" s="106">
        <f>IF(C36="","",SUMIFS(Transaksi!$F$16:$F$5015,Transaksi!$G$16:$G$5015,A36,Transaksi!$H$16:$H$5015,B36,Transaksi!$I$16:$I$5015,C36))</f>
        <v/>
      </c>
      <c r="F36" s="106">
        <f>IF(C36="","",SUMIFS(Transaksi!$F$16:$F$5015,Transaksi!$G$16:$G$5015,A36,Transaksi!$H$16:$H$5015,B36,Transaksi!$I$16:$I$5015,C36,Transaksi!$B$16:$B$5015,"&gt;="&amp;DATE(Dashboard!$C$4,1,1),Transaksi!$B$16:$B$5015,"&lt;="&amp;DATE(Dashboard!$C$4,12,31)))</f>
        <v/>
      </c>
    </row>
    <row r="37" ht="15" customHeight="1" s="94">
      <c r="A37" s="105" t="inlineStr">
        <is>
          <t>Pengeluaran</t>
        </is>
      </c>
      <c r="B37" s="105" t="inlineStr">
        <is>
          <t>Pengeluaran Gaji</t>
        </is>
      </c>
      <c r="C37" s="127" t="inlineStr">
        <is>
          <t>Pendidikan (Reksadana Dana Kuliah)</t>
        </is>
      </c>
      <c r="D37" s="167">
        <f>IF(C37="","",COUNTIFS(Transaksi!$G$16:$G$5015,A37,Transaksi!$H$16:$H$5015,B37,Transaksi!$I$16:$I$5015,C37))</f>
        <v/>
      </c>
      <c r="E37" s="106">
        <f>IF(C37="","",SUMIFS(Transaksi!$F$16:$F$5015,Transaksi!$G$16:$G$5015,A37,Transaksi!$H$16:$H$5015,B37,Transaksi!$I$16:$I$5015,C37))</f>
        <v/>
      </c>
      <c r="F37" s="106">
        <f>IF(C37="","",SUMIFS(Transaksi!$F$16:$F$5015,Transaksi!$G$16:$G$5015,A37,Transaksi!$H$16:$H$5015,B37,Transaksi!$I$16:$I$5015,C37,Transaksi!$B$16:$B$5015,"&gt;="&amp;DATE(Dashboard!$C$4,1,1),Transaksi!$B$16:$B$5015,"&lt;="&amp;DATE(Dashboard!$C$4,12,31)))</f>
        <v/>
      </c>
    </row>
    <row r="38" ht="15" customHeight="1" s="94">
      <c r="A38" s="105" t="inlineStr">
        <is>
          <t>Pengeluaran</t>
        </is>
      </c>
      <c r="B38" s="105" t="inlineStr">
        <is>
          <t>Pengeluaran Gaji</t>
        </is>
      </c>
      <c r="C38" s="127" t="inlineStr">
        <is>
          <t>Penutupan usaha rokok</t>
        </is>
      </c>
      <c r="D38" s="167">
        <f>IF(C38="","",COUNTIFS(Transaksi!$G$16:$G$5015,A38,Transaksi!$H$16:$H$5015,B38,Transaksi!$I$16:$I$5015,C38))</f>
        <v/>
      </c>
      <c r="E38" s="106">
        <f>IF(C38="","",SUMIFS(Transaksi!$F$16:$F$5015,Transaksi!$G$16:$G$5015,A38,Transaksi!$H$16:$H$5015,B38,Transaksi!$I$16:$I$5015,C38))</f>
        <v/>
      </c>
      <c r="F38" s="106">
        <f>IF(C38="","",SUMIFS(Transaksi!$F$16:$F$5015,Transaksi!$G$16:$G$5015,A38,Transaksi!$H$16:$H$5015,B38,Transaksi!$I$16:$I$5015,C38,Transaksi!$B$16:$B$5015,"&gt;="&amp;DATE(Dashboard!$C$4,1,1),Transaksi!$B$16:$B$5015,"&lt;="&amp;DATE(Dashboard!$C$4,12,31)))</f>
        <v/>
      </c>
    </row>
    <row r="39" ht="15" customHeight="1" s="94">
      <c r="A39" s="105" t="inlineStr">
        <is>
          <t>Pengeluaran</t>
        </is>
      </c>
      <c r="B39" s="105" t="inlineStr">
        <is>
          <t>Pengeluaran Gaji</t>
        </is>
      </c>
      <c r="C39" s="127" t="inlineStr">
        <is>
          <t>Peralatan Kerja/Jasa</t>
        </is>
      </c>
      <c r="D39" s="167">
        <f>IF(C39="","",COUNTIFS(Transaksi!$G$16:$G$5015,A39,Transaksi!$H$16:$H$5015,B39,Transaksi!$I$16:$I$5015,C39))</f>
        <v/>
      </c>
      <c r="E39" s="106">
        <f>IF(C39="","",SUMIFS(Transaksi!$F$16:$F$5015,Transaksi!$G$16:$G$5015,A39,Transaksi!$H$16:$H$5015,B39,Transaksi!$I$16:$I$5015,C39))</f>
        <v/>
      </c>
      <c r="F39" s="106">
        <f>IF(C39="","",SUMIFS(Transaksi!$F$16:$F$5015,Transaksi!$G$16:$G$5015,A39,Transaksi!$H$16:$H$5015,B39,Transaksi!$I$16:$I$5015,C39,Transaksi!$B$16:$B$5015,"&gt;="&amp;DATE(Dashboard!$C$4,1,1),Transaksi!$B$16:$B$5015,"&lt;="&amp;DATE(Dashboard!$C$4,12,31)))</f>
        <v/>
      </c>
    </row>
    <row r="40" ht="15" customHeight="1" s="94">
      <c r="A40" s="105" t="inlineStr">
        <is>
          <t>Pengeluaran</t>
        </is>
      </c>
      <c r="B40" s="105" t="inlineStr">
        <is>
          <t>Pengeluaran Gaji</t>
        </is>
      </c>
      <c r="C40" s="127" t="inlineStr">
        <is>
          <t>Pulsa &amp; Internet</t>
        </is>
      </c>
      <c r="D40" s="167">
        <f>IF(C40="","",COUNTIFS(Transaksi!$G$16:$G$5015,A40,Transaksi!$H$16:$H$5015,B40,Transaksi!$I$16:$I$5015,C40))</f>
        <v/>
      </c>
      <c r="E40" s="106">
        <f>IF(C40="","",SUMIFS(Transaksi!$F$16:$F$5015,Transaksi!$G$16:$G$5015,A40,Transaksi!$H$16:$H$5015,B40,Transaksi!$I$16:$I$5015,C40))</f>
        <v/>
      </c>
      <c r="F40" s="106">
        <f>IF(C40="","",SUMIFS(Transaksi!$F$16:$F$5015,Transaksi!$G$16:$G$5015,A40,Transaksi!$H$16:$H$5015,B40,Transaksi!$I$16:$I$5015,C40,Transaksi!$B$16:$B$5015,"&gt;="&amp;DATE(Dashboard!$C$4,1,1),Transaksi!$B$16:$B$5015,"&lt;="&amp;DATE(Dashboard!$C$4,12,31)))</f>
        <v/>
      </c>
    </row>
    <row r="41" ht="15" customHeight="1" s="94">
      <c r="A41" s="105" t="inlineStr">
        <is>
          <t>Pengeluaran</t>
        </is>
      </c>
      <c r="B41" s="105" t="inlineStr">
        <is>
          <t>Pengeluaran Gaji</t>
        </is>
      </c>
      <c r="C41" s="127" t="inlineStr">
        <is>
          <t>Rokok</t>
        </is>
      </c>
      <c r="D41" s="167">
        <f>IF(C41="","",COUNTIFS(Transaksi!$G$16:$G$5015,A41,Transaksi!$H$16:$H$5015,B41,Transaksi!$I$16:$I$5015,C41))</f>
        <v/>
      </c>
      <c r="E41" s="106">
        <f>IF(C41="","",SUMIFS(Transaksi!$F$16:$F$5015,Transaksi!$G$16:$G$5015,A41,Transaksi!$H$16:$H$5015,B41,Transaksi!$I$16:$I$5015,C41))</f>
        <v/>
      </c>
      <c r="F41" s="106">
        <f>IF(C41="","",SUMIFS(Transaksi!$F$16:$F$5015,Transaksi!$G$16:$G$5015,A41,Transaksi!$H$16:$H$5015,B41,Transaksi!$I$16:$I$5015,C41,Transaksi!$B$16:$B$5015,"&gt;="&amp;DATE(Dashboard!$C$4,1,1),Transaksi!$B$16:$B$5015,"&lt;="&amp;DATE(Dashboard!$C$4,12,31)))</f>
        <v/>
      </c>
    </row>
    <row r="42" ht="15" customHeight="1" s="94">
      <c r="A42" s="105" t="inlineStr">
        <is>
          <t>Pengeluaran</t>
        </is>
      </c>
      <c r="B42" s="105" t="inlineStr">
        <is>
          <t>Pengeluaran Gaji</t>
        </is>
      </c>
      <c r="C42" s="127" t="inlineStr">
        <is>
          <t>Sedekah &amp; Sumbangan</t>
        </is>
      </c>
      <c r="D42" s="167">
        <f>IF(C42="","",COUNTIFS(Transaksi!$G$16:$G$5015,A42,Transaksi!$H$16:$H$5015,B42,Transaksi!$I$16:$I$5015,C42))</f>
        <v/>
      </c>
      <c r="E42" s="106">
        <f>IF(C42="","",SUMIFS(Transaksi!$F$16:$F$5015,Transaksi!$G$16:$G$5015,A42,Transaksi!$H$16:$H$5015,B42,Transaksi!$I$16:$I$5015,C42))</f>
        <v/>
      </c>
      <c r="F42" s="106">
        <f>IF(C42="","",SUMIFS(Transaksi!$F$16:$F$5015,Transaksi!$G$16:$G$5015,A42,Transaksi!$H$16:$H$5015,B42,Transaksi!$I$16:$I$5015,C42,Transaksi!$B$16:$B$5015,"&gt;="&amp;DATE(Dashboard!$C$4,1,1),Transaksi!$B$16:$B$5015,"&lt;="&amp;DATE(Dashboard!$C$4,12,31)))</f>
        <v/>
      </c>
    </row>
    <row r="43" ht="15" customHeight="1" s="94">
      <c r="A43" s="105" t="inlineStr">
        <is>
          <t>Pengeluaran</t>
        </is>
      </c>
      <c r="B43" s="105" t="inlineStr">
        <is>
          <t>Pengeluaran Gaji</t>
        </is>
      </c>
      <c r="C43" s="127" t="inlineStr">
        <is>
          <t>Sertifikat &amp; Lisensi Profesi</t>
        </is>
      </c>
      <c r="D43" s="167">
        <f>IF(C43="","",COUNTIFS(Transaksi!$G$16:$G$5015,A43,Transaksi!$H$16:$H$5015,B43,Transaksi!$I$16:$I$5015,C43))</f>
        <v/>
      </c>
      <c r="E43" s="106">
        <f>IF(C43="","",SUMIFS(Transaksi!$F$16:$F$5015,Transaksi!$G$16:$G$5015,A43,Transaksi!$H$16:$H$5015,B43,Transaksi!$I$16:$I$5015,C43))</f>
        <v/>
      </c>
      <c r="F43" s="106">
        <f>IF(C43="","",SUMIFS(Transaksi!$F$16:$F$5015,Transaksi!$G$16:$G$5015,A43,Transaksi!$H$16:$H$5015,B43,Transaksi!$I$16:$I$5015,C43,Transaksi!$B$16:$B$5015,"&gt;="&amp;DATE(Dashboard!$C$4,1,1),Transaksi!$B$16:$B$5015,"&lt;="&amp;DATE(Dashboard!$C$4,12,31)))</f>
        <v/>
      </c>
    </row>
    <row r="44" ht="15" customHeight="1" s="94">
      <c r="A44" s="105" t="inlineStr">
        <is>
          <t>Pengeluaran</t>
        </is>
      </c>
      <c r="B44" s="105" t="inlineStr">
        <is>
          <t>Pengeluaran Gaji</t>
        </is>
      </c>
      <c r="C44" s="127" t="inlineStr">
        <is>
          <t>Traktir &amp; Hadiah</t>
        </is>
      </c>
      <c r="D44" s="167">
        <f>IF(C44="","",COUNTIFS(Transaksi!$G$16:$G$5015,A44,Transaksi!$H$16:$H$5015,B44,Transaksi!$I$16:$I$5015,C44))</f>
        <v/>
      </c>
      <c r="E44" s="106">
        <f>IF(C44="","",SUMIFS(Transaksi!$F$16:$F$5015,Transaksi!$G$16:$G$5015,A44,Transaksi!$H$16:$H$5015,B44,Transaksi!$I$16:$I$5015,C44))</f>
        <v/>
      </c>
      <c r="F44" s="106">
        <f>IF(C44="","",SUMIFS(Transaksi!$F$16:$F$5015,Transaksi!$G$16:$G$5015,A44,Transaksi!$H$16:$H$5015,B44,Transaksi!$I$16:$I$5015,C44,Transaksi!$B$16:$B$5015,"&gt;="&amp;DATE(Dashboard!$C$4,1,1),Transaksi!$B$16:$B$5015,"&lt;="&amp;DATE(Dashboard!$C$4,12,31)))</f>
        <v/>
      </c>
    </row>
    <row r="45" ht="15" customHeight="1" s="94">
      <c r="A45" s="105" t="inlineStr">
        <is>
          <t>Pengeluaran</t>
        </is>
      </c>
      <c r="B45" s="105" t="inlineStr">
        <is>
          <t>Pengeluaran Gaji</t>
        </is>
      </c>
      <c r="C45" s="127" t="inlineStr">
        <is>
          <t>Transportasi &amp; Motor</t>
        </is>
      </c>
      <c r="D45" s="167">
        <f>IF(C45="","",COUNTIFS(Transaksi!$G$16:$G$5015,A45,Transaksi!$H$16:$H$5015,B45,Transaksi!$I$16:$I$5015,C45))</f>
        <v/>
      </c>
      <c r="E45" s="106">
        <f>IF(C45="","",SUMIFS(Transaksi!$F$16:$F$5015,Transaksi!$G$16:$G$5015,A45,Transaksi!$H$16:$H$5015,B45,Transaksi!$I$16:$I$5015,C45))</f>
        <v/>
      </c>
      <c r="F45" s="106">
        <f>IF(C45="","",SUMIFS(Transaksi!$F$16:$F$5015,Transaksi!$G$16:$G$5015,A45,Transaksi!$H$16:$H$5015,B45,Transaksi!$I$16:$I$5015,C45,Transaksi!$B$16:$B$5015,"&gt;="&amp;DATE(Dashboard!$C$4,1,1),Transaksi!$B$16:$B$5015,"&lt;="&amp;DATE(Dashboard!$C$4,12,31)))</f>
        <v/>
      </c>
    </row>
    <row r="46" ht="15" customHeight="1" s="94">
      <c r="A46" s="105" t="inlineStr">
        <is>
          <t>Pengeluaran</t>
        </is>
      </c>
      <c r="B46" s="105" t="inlineStr">
        <is>
          <t>Pengeluaran Gaji</t>
        </is>
      </c>
      <c r="C46" s="127" t="inlineStr">
        <is>
          <t>Uang Masak / Dapur</t>
        </is>
      </c>
      <c r="D46" s="167">
        <f>IF(C46="","",COUNTIFS(Transaksi!$G$16:$G$5015,A46,Transaksi!$H$16:$H$5015,B46,Transaksi!$I$16:$I$5015,C46))</f>
        <v/>
      </c>
      <c r="E46" s="106">
        <f>IF(C46="","",SUMIFS(Transaksi!$F$16:$F$5015,Transaksi!$G$16:$G$5015,A46,Transaksi!$H$16:$H$5015,B46,Transaksi!$I$16:$I$5015,C46))</f>
        <v/>
      </c>
      <c r="F46" s="106">
        <f>IF(C46="","",SUMIFS(Transaksi!$F$16:$F$5015,Transaksi!$G$16:$G$5015,A46,Transaksi!$H$16:$H$5015,B46,Transaksi!$I$16:$I$5015,C46,Transaksi!$B$16:$B$5015,"&gt;="&amp;DATE(Dashboard!$C$4,1,1),Transaksi!$B$16:$B$5015,"&lt;="&amp;DATE(Dashboard!$C$4,12,31)))</f>
        <v/>
      </c>
    </row>
    <row r="47" ht="15" customHeight="1" s="94">
      <c r="A47" s="105" t="inlineStr">
        <is>
          <t>Pengeluaran</t>
        </is>
      </c>
      <c r="B47" s="105" t="inlineStr">
        <is>
          <t>Pengeluaran Jasa</t>
        </is>
      </c>
      <c r="C47" s="127" t="inlineStr">
        <is>
          <t>Iuran &amp; Kas Kantor</t>
        </is>
      </c>
      <c r="D47" s="167">
        <f>IF(C47="","",COUNTIFS(Transaksi!$G$16:$G$5015,A47,Transaksi!$H$16:$H$5015,B47,Transaksi!$I$16:$I$5015,C47))</f>
        <v/>
      </c>
      <c r="E47" s="106">
        <f>IF(C47="","",SUMIFS(Transaksi!$F$16:$F$5015,Transaksi!$G$16:$G$5015,A47,Transaksi!$H$16:$H$5015,B47,Transaksi!$I$16:$I$5015,C47))</f>
        <v/>
      </c>
      <c r="F47" s="106">
        <f>IF(C47="","",SUMIFS(Transaksi!$F$16:$F$5015,Transaksi!$G$16:$G$5015,A47,Transaksi!$H$16:$H$5015,B47,Transaksi!$I$16:$I$5015,C47,Transaksi!$B$16:$B$5015,"&gt;="&amp;DATE(Dashboard!$C$4,1,1),Transaksi!$B$16:$B$5015,"&lt;="&amp;DATE(Dashboard!$C$4,12,31)))</f>
        <v/>
      </c>
    </row>
    <row r="48" ht="15" customHeight="1" s="94">
      <c r="A48" s="105" t="inlineStr">
        <is>
          <t>Pengeluaran</t>
        </is>
      </c>
      <c r="B48" s="105" t="inlineStr">
        <is>
          <t>Pengeluaran Jasa</t>
        </is>
      </c>
      <c r="C48" s="127" t="inlineStr">
        <is>
          <t>Kebutuhan Pribadi &amp; Rumah</t>
        </is>
      </c>
      <c r="D48" s="167">
        <f>IF(C48="","",COUNTIFS(Transaksi!$G$16:$G$5015,A48,Transaksi!$H$16:$H$5015,B48,Transaksi!$I$16:$I$5015,C48))</f>
        <v/>
      </c>
      <c r="E48" s="106">
        <f>IF(C48="","",SUMIFS(Transaksi!$F$16:$F$5015,Transaksi!$G$16:$G$5015,A48,Transaksi!$H$16:$H$5015,B48,Transaksi!$I$16:$I$5015,C48))</f>
        <v/>
      </c>
      <c r="F48" s="106">
        <f>IF(C48="","",SUMIFS(Transaksi!$F$16:$F$5015,Transaksi!$G$16:$G$5015,A48,Transaksi!$H$16:$H$5015,B48,Transaksi!$I$16:$I$5015,C48,Transaksi!$B$16:$B$5015,"&gt;="&amp;DATE(Dashboard!$C$4,1,1),Transaksi!$B$16:$B$5015,"&lt;="&amp;DATE(Dashboard!$C$4,12,31)))</f>
        <v/>
      </c>
    </row>
    <row r="49" ht="15" customHeight="1" s="94">
      <c r="A49" s="105" t="inlineStr">
        <is>
          <t>Pengeluaran</t>
        </is>
      </c>
      <c r="B49" s="105" t="inlineStr">
        <is>
          <t>Pengeluaran Jasa</t>
        </is>
      </c>
      <c r="C49" s="127" t="inlineStr">
        <is>
          <t>Kesehatan &amp; Olahraga</t>
        </is>
      </c>
      <c r="D49" s="167">
        <f>IF(C49="","",COUNTIFS(Transaksi!$G$16:$G$5015,A49,Transaksi!$H$16:$H$5015,B49,Transaksi!$I$16:$I$5015,C49))</f>
        <v/>
      </c>
      <c r="E49" s="106">
        <f>IF(C49="","",SUMIFS(Transaksi!$F$16:$F$5015,Transaksi!$G$16:$G$5015,A49,Transaksi!$H$16:$H$5015,B49,Transaksi!$I$16:$I$5015,C49))</f>
        <v/>
      </c>
      <c r="F49" s="106">
        <f>IF(C49="","",SUMIFS(Transaksi!$F$16:$F$5015,Transaksi!$G$16:$G$5015,A49,Transaksi!$H$16:$H$5015,B49,Transaksi!$I$16:$I$5015,C49,Transaksi!$B$16:$B$5015,"&gt;="&amp;DATE(Dashboard!$C$4,1,1),Transaksi!$B$16:$B$5015,"&lt;="&amp;DATE(Dashboard!$C$4,12,31)))</f>
        <v/>
      </c>
    </row>
    <row r="50" ht="15" customHeight="1" s="94">
      <c r="A50" s="105" t="inlineStr">
        <is>
          <t>Pengeluaran</t>
        </is>
      </c>
      <c r="B50" s="105" t="inlineStr">
        <is>
          <t>Pengeluaran Jasa</t>
        </is>
      </c>
      <c r="C50" s="127" t="inlineStr">
        <is>
          <t>Lain-lain Pengeluaran</t>
        </is>
      </c>
      <c r="D50" s="167">
        <f>IF(C50="","",COUNTIFS(Transaksi!$G$16:$G$5015,A50,Transaksi!$H$16:$H$5015,B50,Transaksi!$I$16:$I$5015,C50))</f>
        <v/>
      </c>
      <c r="E50" s="106">
        <f>IF(C50="","",SUMIFS(Transaksi!$F$16:$F$5015,Transaksi!$G$16:$G$5015,A50,Transaksi!$H$16:$H$5015,B50,Transaksi!$I$16:$I$5015,C50))</f>
        <v/>
      </c>
      <c r="F50" s="106">
        <f>IF(C50="","",SUMIFS(Transaksi!$F$16:$F$5015,Transaksi!$G$16:$G$5015,A50,Transaksi!$H$16:$H$5015,B50,Transaksi!$I$16:$I$5015,C50,Transaksi!$B$16:$B$5015,"&gt;="&amp;DATE(Dashboard!$C$4,1,1),Transaksi!$B$16:$B$5015,"&lt;="&amp;DATE(Dashboard!$C$4,12,31)))</f>
        <v/>
      </c>
    </row>
    <row r="51" ht="15" customHeight="1" s="94">
      <c r="A51" s="105" t="inlineStr">
        <is>
          <t>Pengeluaran</t>
        </is>
      </c>
      <c r="B51" s="105" t="inlineStr">
        <is>
          <t>Pengeluaran Jasa</t>
        </is>
      </c>
      <c r="C51" s="127" t="inlineStr">
        <is>
          <t>Makan &amp; Minum</t>
        </is>
      </c>
      <c r="D51" s="167">
        <f>IF(C51="","",COUNTIFS(Transaksi!$G$16:$G$5015,A51,Transaksi!$H$16:$H$5015,B51,Transaksi!$I$16:$I$5015,C51))</f>
        <v/>
      </c>
      <c r="E51" s="106">
        <f>IF(C51="","",SUMIFS(Transaksi!$F$16:$F$5015,Transaksi!$G$16:$G$5015,A51,Transaksi!$H$16:$H$5015,B51,Transaksi!$I$16:$I$5015,C51))</f>
        <v/>
      </c>
      <c r="F51" s="106">
        <f>IF(C51="","",SUMIFS(Transaksi!$F$16:$F$5015,Transaksi!$G$16:$G$5015,A51,Transaksi!$H$16:$H$5015,B51,Transaksi!$I$16:$I$5015,C51,Transaksi!$B$16:$B$5015,"&gt;="&amp;DATE(Dashboard!$C$4,1,1),Transaksi!$B$16:$B$5015,"&lt;="&amp;DATE(Dashboard!$C$4,12,31)))</f>
        <v/>
      </c>
    </row>
    <row r="52" ht="15" customHeight="1" s="94">
      <c r="A52" s="105" t="inlineStr">
        <is>
          <t>Pengeluaran</t>
        </is>
      </c>
      <c r="B52" s="105" t="inlineStr">
        <is>
          <t>Pengeluaran Jasa</t>
        </is>
      </c>
      <c r="C52" s="127" t="inlineStr">
        <is>
          <t>Pakaian &amp; Perlengkapan</t>
        </is>
      </c>
      <c r="D52" s="167">
        <f>IF(C52="","",COUNTIFS(Transaksi!$G$16:$G$5015,A52,Transaksi!$H$16:$H$5015,B52,Transaksi!$I$16:$I$5015,C52))</f>
        <v/>
      </c>
      <c r="E52" s="106">
        <f>IF(C52="","",SUMIFS(Transaksi!$F$16:$F$5015,Transaksi!$G$16:$G$5015,A52,Transaksi!$H$16:$H$5015,B52,Transaksi!$I$16:$I$5015,C52))</f>
        <v/>
      </c>
      <c r="F52" s="106">
        <f>IF(C52="","",SUMIFS(Transaksi!$F$16:$F$5015,Transaksi!$G$16:$G$5015,A52,Transaksi!$H$16:$H$5015,B52,Transaksi!$I$16:$I$5015,C52,Transaksi!$B$16:$B$5015,"&gt;="&amp;DATE(Dashboard!$C$4,1,1),Transaksi!$B$16:$B$5015,"&lt;="&amp;DATE(Dashboard!$C$4,12,31)))</f>
        <v/>
      </c>
    </row>
    <row r="53" ht="15" customHeight="1" s="94">
      <c r="A53" s="105" t="inlineStr">
        <is>
          <t>Pengeluaran</t>
        </is>
      </c>
      <c r="B53" s="105" t="inlineStr">
        <is>
          <t>Pengeluaran Jasa</t>
        </is>
      </c>
      <c r="C53" s="127" t="inlineStr">
        <is>
          <t>Peralatan Kerja/Jasa</t>
        </is>
      </c>
      <c r="D53" s="167">
        <f>IF(C53="","",COUNTIFS(Transaksi!$G$16:$G$5015,A53,Transaksi!$H$16:$H$5015,B53,Transaksi!$I$16:$I$5015,C53))</f>
        <v/>
      </c>
      <c r="E53" s="106">
        <f>IF(C53="","",SUMIFS(Transaksi!$F$16:$F$5015,Transaksi!$G$16:$G$5015,A53,Transaksi!$H$16:$H$5015,B53,Transaksi!$I$16:$I$5015,C53))</f>
        <v/>
      </c>
      <c r="F53" s="106">
        <f>IF(C53="","",SUMIFS(Transaksi!$F$16:$F$5015,Transaksi!$G$16:$G$5015,A53,Transaksi!$H$16:$H$5015,B53,Transaksi!$I$16:$I$5015,C53,Transaksi!$B$16:$B$5015,"&gt;="&amp;DATE(Dashboard!$C$4,1,1),Transaksi!$B$16:$B$5015,"&lt;="&amp;DATE(Dashboard!$C$4,12,31)))</f>
        <v/>
      </c>
    </row>
    <row r="54" ht="15" customHeight="1" s="94">
      <c r="A54" s="105" t="inlineStr">
        <is>
          <t>Pengeluaran</t>
        </is>
      </c>
      <c r="B54" s="105" t="inlineStr">
        <is>
          <t>Pengeluaran Jasa</t>
        </is>
      </c>
      <c r="C54" s="127" t="inlineStr">
        <is>
          <t>Pulsa &amp; Internet</t>
        </is>
      </c>
      <c r="D54" s="167">
        <f>IF(C54="","",COUNTIFS(Transaksi!$G$16:$G$5015,A54,Transaksi!$H$16:$H$5015,B54,Transaksi!$I$16:$I$5015,C54))</f>
        <v/>
      </c>
      <c r="E54" s="106">
        <f>IF(C54="","",SUMIFS(Transaksi!$F$16:$F$5015,Transaksi!$G$16:$G$5015,A54,Transaksi!$H$16:$H$5015,B54,Transaksi!$I$16:$I$5015,C54))</f>
        <v/>
      </c>
      <c r="F54" s="106">
        <f>IF(C54="","",SUMIFS(Transaksi!$F$16:$F$5015,Transaksi!$G$16:$G$5015,A54,Transaksi!$H$16:$H$5015,B54,Transaksi!$I$16:$I$5015,C54,Transaksi!$B$16:$B$5015,"&gt;="&amp;DATE(Dashboard!$C$4,1,1),Transaksi!$B$16:$B$5015,"&lt;="&amp;DATE(Dashboard!$C$4,12,31)))</f>
        <v/>
      </c>
    </row>
    <row r="55" ht="15" customHeight="1" s="94">
      <c r="A55" s="105" t="inlineStr">
        <is>
          <t>Pengeluaran</t>
        </is>
      </c>
      <c r="B55" s="105" t="inlineStr">
        <is>
          <t>Pengeluaran Jasa</t>
        </is>
      </c>
      <c r="C55" s="127" t="inlineStr">
        <is>
          <t>Rokok</t>
        </is>
      </c>
      <c r="D55" s="167">
        <f>IF(C55="","",COUNTIFS(Transaksi!$G$16:$G$5015,A55,Transaksi!$H$16:$H$5015,B55,Transaksi!$I$16:$I$5015,C55))</f>
        <v/>
      </c>
      <c r="E55" s="106">
        <f>IF(C55="","",SUMIFS(Transaksi!$F$16:$F$5015,Transaksi!$G$16:$G$5015,A55,Transaksi!$H$16:$H$5015,B55,Transaksi!$I$16:$I$5015,C55))</f>
        <v/>
      </c>
      <c r="F55" s="106">
        <f>IF(C55="","",SUMIFS(Transaksi!$F$16:$F$5015,Transaksi!$G$16:$G$5015,A55,Transaksi!$H$16:$H$5015,B55,Transaksi!$I$16:$I$5015,C55,Transaksi!$B$16:$B$5015,"&gt;="&amp;DATE(Dashboard!$C$4,1,1),Transaksi!$B$16:$B$5015,"&lt;="&amp;DATE(Dashboard!$C$4,12,31)))</f>
        <v/>
      </c>
    </row>
    <row r="56" ht="15" customHeight="1" s="94">
      <c r="A56" s="105" t="inlineStr">
        <is>
          <t>Pengeluaran</t>
        </is>
      </c>
      <c r="B56" s="105" t="inlineStr">
        <is>
          <t>Pengeluaran Jasa</t>
        </is>
      </c>
      <c r="C56" s="127" t="inlineStr">
        <is>
          <t>Sedekah &amp; Sumbangan</t>
        </is>
      </c>
      <c r="D56" s="167">
        <f>IF(C56="","",COUNTIFS(Transaksi!$G$16:$G$5015,A56,Transaksi!$H$16:$H$5015,B56,Transaksi!$I$16:$I$5015,C56))</f>
        <v/>
      </c>
      <c r="E56" s="106">
        <f>IF(C56="","",SUMIFS(Transaksi!$F$16:$F$5015,Transaksi!$G$16:$G$5015,A56,Transaksi!$H$16:$H$5015,B56,Transaksi!$I$16:$I$5015,C56))</f>
        <v/>
      </c>
      <c r="F56" s="106">
        <f>IF(C56="","",SUMIFS(Transaksi!$F$16:$F$5015,Transaksi!$G$16:$G$5015,A56,Transaksi!$H$16:$H$5015,B56,Transaksi!$I$16:$I$5015,C56,Transaksi!$B$16:$B$5015,"&gt;="&amp;DATE(Dashboard!$C$4,1,1),Transaksi!$B$16:$B$5015,"&lt;="&amp;DATE(Dashboard!$C$4,12,31)))</f>
        <v/>
      </c>
    </row>
    <row r="57" ht="15" customHeight="1" s="94">
      <c r="A57" s="105" t="inlineStr">
        <is>
          <t>Pengeluaran</t>
        </is>
      </c>
      <c r="B57" s="105" t="inlineStr">
        <is>
          <t>Pengeluaran Jasa</t>
        </is>
      </c>
      <c r="C57" s="127" t="inlineStr">
        <is>
          <t>Traktir &amp; Hadiah</t>
        </is>
      </c>
      <c r="D57" s="167">
        <f>IF(C57="","",COUNTIFS(Transaksi!$G$16:$G$5015,A57,Transaksi!$H$16:$H$5015,B57,Transaksi!$I$16:$I$5015,C57))</f>
        <v/>
      </c>
      <c r="E57" s="106">
        <f>IF(C57="","",SUMIFS(Transaksi!$F$16:$F$5015,Transaksi!$G$16:$G$5015,A57,Transaksi!$H$16:$H$5015,B57,Transaksi!$I$16:$I$5015,C57))</f>
        <v/>
      </c>
      <c r="F57" s="106">
        <f>IF(C57="","",SUMIFS(Transaksi!$F$16:$F$5015,Transaksi!$G$16:$G$5015,A57,Transaksi!$H$16:$H$5015,B57,Transaksi!$I$16:$I$5015,C57,Transaksi!$B$16:$B$5015,"&gt;="&amp;DATE(Dashboard!$C$4,1,1),Transaksi!$B$16:$B$5015,"&lt;="&amp;DATE(Dashboard!$C$4,12,31)))</f>
        <v/>
      </c>
    </row>
    <row r="58" ht="15" customHeight="1" s="94">
      <c r="A58" s="105" t="inlineStr">
        <is>
          <t>Pengeluaran</t>
        </is>
      </c>
      <c r="B58" s="105" t="inlineStr">
        <is>
          <t>Pengeluaran Jasa</t>
        </is>
      </c>
      <c r="C58" s="127" t="inlineStr">
        <is>
          <t>Transportasi &amp; Motor</t>
        </is>
      </c>
      <c r="D58" s="167">
        <f>IF(C58="","",COUNTIFS(Transaksi!$G$16:$G$5015,A58,Transaksi!$H$16:$H$5015,B58,Transaksi!$I$16:$I$5015,C58))</f>
        <v/>
      </c>
      <c r="E58" s="106">
        <f>IF(C58="","",SUMIFS(Transaksi!$F$16:$F$5015,Transaksi!$G$16:$G$5015,A58,Transaksi!$H$16:$H$5015,B58,Transaksi!$I$16:$I$5015,C58))</f>
        <v/>
      </c>
      <c r="F58" s="106">
        <f>IF(C58="","",SUMIFS(Transaksi!$F$16:$F$5015,Transaksi!$G$16:$G$5015,A58,Transaksi!$H$16:$H$5015,B58,Transaksi!$I$16:$I$5015,C58,Transaksi!$B$16:$B$5015,"&gt;="&amp;DATE(Dashboard!$C$4,1,1),Transaksi!$B$16:$B$5015,"&lt;="&amp;DATE(Dashboard!$C$4,12,31)))</f>
        <v/>
      </c>
    </row>
    <row r="59" ht="15" customHeight="1" s="94">
      <c r="A59" s="105" t="inlineStr">
        <is>
          <t>Pengeluaran</t>
        </is>
      </c>
      <c r="B59" s="105" t="inlineStr">
        <is>
          <t>Pengeluaran Jasa</t>
        </is>
      </c>
      <c r="C59" s="127" t="inlineStr">
        <is>
          <t>Uang Masak / Dapur</t>
        </is>
      </c>
      <c r="D59" s="167">
        <f>IF(C59="","",COUNTIFS(Transaksi!$G$16:$G$5015,A59,Transaksi!$H$16:$H$5015,B59,Transaksi!$I$16:$I$5015,C59))</f>
        <v/>
      </c>
      <c r="E59" s="106">
        <f>IF(C59="","",SUMIFS(Transaksi!$F$16:$F$5015,Transaksi!$G$16:$G$5015,A59,Transaksi!$H$16:$H$5015,B59,Transaksi!$I$16:$I$5015,C59))</f>
        <v/>
      </c>
      <c r="F59" s="106">
        <f>IF(C59="","",SUMIFS(Transaksi!$F$16:$F$5015,Transaksi!$G$16:$G$5015,A59,Transaksi!$H$16:$H$5015,B59,Transaksi!$I$16:$I$5015,C59,Transaksi!$B$16:$B$5015,"&gt;="&amp;DATE(Dashboard!$C$4,1,1),Transaksi!$B$16:$B$5015,"&lt;="&amp;DATE(Dashboard!$C$4,12,31)))</f>
        <v/>
      </c>
    </row>
    <row r="60" ht="15" customHeight="1" s="94">
      <c r="A60" s="105" t="inlineStr">
        <is>
          <t>Pengeluaran</t>
        </is>
      </c>
      <c r="B60" s="105" t="inlineStr">
        <is>
          <t>Pengeluaran Uang Kos</t>
        </is>
      </c>
      <c r="C60" s="127" t="inlineStr">
        <is>
          <t>Biaya Admin Transaksi</t>
        </is>
      </c>
      <c r="D60" s="167">
        <f>IF(C60="","",COUNTIFS(Transaksi!$G$16:$G$5015,A60,Transaksi!$H$16:$H$5015,B60,Transaksi!$I$16:$I$5015,C60))</f>
        <v/>
      </c>
      <c r="E60" s="106">
        <f>IF(C60="","",SUMIFS(Transaksi!$F$16:$F$5015,Transaksi!$G$16:$G$5015,A60,Transaksi!$H$16:$H$5015,B60,Transaksi!$I$16:$I$5015,C60))</f>
        <v/>
      </c>
      <c r="F60" s="106">
        <f>IF(C60="","",SUMIFS(Transaksi!$F$16:$F$5015,Transaksi!$G$16:$G$5015,A60,Transaksi!$H$16:$H$5015,B60,Transaksi!$I$16:$I$5015,C60,Transaksi!$B$16:$B$5015,"&gt;="&amp;DATE(Dashboard!$C$4,1,1),Transaksi!$B$16:$B$5015,"&lt;="&amp;DATE(Dashboard!$C$4,12,31)))</f>
        <v/>
      </c>
    </row>
    <row r="61" ht="15" customHeight="1" s="94">
      <c r="A61" s="105" t="inlineStr">
        <is>
          <t>Pengeluaran</t>
        </is>
      </c>
      <c r="B61" s="105" t="inlineStr">
        <is>
          <t>Pengeluaran Uang Kos</t>
        </is>
      </c>
      <c r="C61" s="127" t="inlineStr">
        <is>
          <t>Cicilan BRI &amp; pegadaian mama</t>
        </is>
      </c>
      <c r="D61" s="167">
        <f>IF(C61="","",COUNTIFS(Transaksi!$G$16:$G$5015,A61,Transaksi!$H$16:$H$5015,B61,Transaksi!$I$16:$I$5015,C61))</f>
        <v/>
      </c>
      <c r="E61" s="106">
        <f>IF(C61="","",SUMIFS(Transaksi!$F$16:$F$5015,Transaksi!$G$16:$G$5015,A61,Transaksi!$H$16:$H$5015,B61,Transaksi!$I$16:$I$5015,C61))</f>
        <v/>
      </c>
      <c r="F61" s="106">
        <f>IF(C61="","",SUMIFS(Transaksi!$F$16:$F$5015,Transaksi!$G$16:$G$5015,A61,Transaksi!$H$16:$H$5015,B61,Transaksi!$I$16:$I$5015,C61,Transaksi!$B$16:$B$5015,"&gt;="&amp;DATE(Dashboard!$C$4,1,1),Transaksi!$B$16:$B$5015,"&lt;="&amp;DATE(Dashboard!$C$4,12,31)))</f>
        <v/>
      </c>
    </row>
    <row r="62" ht="15" customHeight="1" s="94">
      <c r="A62" s="105" t="inlineStr">
        <is>
          <t>Pengeluaran</t>
        </is>
      </c>
      <c r="B62" s="105" t="inlineStr">
        <is>
          <t>Pengeluaran Uang Kos</t>
        </is>
      </c>
      <c r="C62" s="127" t="inlineStr">
        <is>
          <t>Diserahkan / disimpan di dompet kos</t>
        </is>
      </c>
      <c r="D62" s="167">
        <f>IF(C62="","",COUNTIFS(Transaksi!$G$16:$G$5015,A62,Transaksi!$H$16:$H$5015,B62,Transaksi!$I$16:$I$5015,C62))</f>
        <v/>
      </c>
      <c r="E62" s="106">
        <f>IF(C62="","",SUMIFS(Transaksi!$F$16:$F$5015,Transaksi!$G$16:$G$5015,A62,Transaksi!$H$16:$H$5015,B62,Transaksi!$I$16:$I$5015,C62))</f>
        <v/>
      </c>
      <c r="F62" s="106">
        <f>IF(C62="","",SUMIFS(Transaksi!$F$16:$F$5015,Transaksi!$G$16:$G$5015,A62,Transaksi!$H$16:$H$5015,B62,Transaksi!$I$16:$I$5015,C62,Transaksi!$B$16:$B$5015,"&gt;="&amp;DATE(Dashboard!$C$4,1,1),Transaksi!$B$16:$B$5015,"&lt;="&amp;DATE(Dashboard!$C$4,12,31)))</f>
        <v/>
      </c>
    </row>
    <row r="63" ht="15" customHeight="1" s="94">
      <c r="A63" s="105" t="inlineStr">
        <is>
          <t>Pengeluaran</t>
        </is>
      </c>
      <c r="B63" s="105" t="inlineStr">
        <is>
          <t>Pengeluaran Uang Kos</t>
        </is>
      </c>
      <c r="C63" s="127" t="inlineStr">
        <is>
          <t>Kebutuhan &amp; perbaikan kosan</t>
        </is>
      </c>
      <c r="D63" s="167">
        <f>IF(C63="","",COUNTIFS(Transaksi!$G$16:$G$5015,A63,Transaksi!$H$16:$H$5015,B63,Transaksi!$I$16:$I$5015,C63))</f>
        <v/>
      </c>
      <c r="E63" s="106">
        <f>IF(C63="","",SUMIFS(Transaksi!$F$16:$F$5015,Transaksi!$G$16:$G$5015,A63,Transaksi!$H$16:$H$5015,B63,Transaksi!$I$16:$I$5015,C63))</f>
        <v/>
      </c>
      <c r="F63" s="106">
        <f>IF(C63="","",SUMIFS(Transaksi!$F$16:$F$5015,Transaksi!$G$16:$G$5015,A63,Transaksi!$H$16:$H$5015,B63,Transaksi!$I$16:$I$5015,C63,Transaksi!$B$16:$B$5015,"&gt;="&amp;DATE(Dashboard!$C$4,1,1),Transaksi!$B$16:$B$5015,"&lt;="&amp;DATE(Dashboard!$C$4,12,31)))</f>
        <v/>
      </c>
    </row>
    <row r="64" ht="15" customHeight="1" s="94">
      <c r="A64" s="105" t="inlineStr">
        <is>
          <t>Pengeluaran</t>
        </is>
      </c>
      <c r="B64" s="105" t="inlineStr">
        <is>
          <t>Pengeluaran Uang Kos</t>
        </is>
      </c>
      <c r="C64" s="127" t="inlineStr">
        <is>
          <t>Listrik kos</t>
        </is>
      </c>
      <c r="D64" s="167">
        <f>IF(C64="","",COUNTIFS(Transaksi!$G$16:$G$5015,A64,Transaksi!$H$16:$H$5015,B64,Transaksi!$I$16:$I$5015,C64))</f>
        <v/>
      </c>
      <c r="E64" s="106">
        <f>IF(C64="","",SUMIFS(Transaksi!$F$16:$F$5015,Transaksi!$G$16:$G$5015,A64,Transaksi!$H$16:$H$5015,B64,Transaksi!$I$16:$I$5015,C64))</f>
        <v/>
      </c>
      <c r="F64" s="106">
        <f>IF(C64="","",SUMIFS(Transaksi!$F$16:$F$5015,Transaksi!$G$16:$G$5015,A64,Transaksi!$H$16:$H$5015,B64,Transaksi!$I$16:$I$5015,C64,Transaksi!$B$16:$B$5015,"&gt;="&amp;DATE(Dashboard!$C$4,1,1),Transaksi!$B$16:$B$5015,"&lt;="&amp;DATE(Dashboard!$C$4,12,31)))</f>
        <v/>
      </c>
    </row>
    <row r="65" ht="15" customHeight="1" s="94">
      <c r="A65" s="105" t="inlineStr">
        <is>
          <t>Pengeluaran</t>
        </is>
      </c>
      <c r="B65" s="105" t="inlineStr">
        <is>
          <t>Pengeluaran Uang Kos</t>
        </is>
      </c>
      <c r="C65" s="127" t="inlineStr">
        <is>
          <t>Pengeluaran kos lain-lain</t>
        </is>
      </c>
      <c r="D65" s="167">
        <f>IF(C65="","",COUNTIFS(Transaksi!$G$16:$G$5015,A65,Transaksi!$H$16:$H$5015,B65,Transaksi!$I$16:$I$5015,C65))</f>
        <v/>
      </c>
      <c r="E65" s="106">
        <f>IF(C65="","",SUMIFS(Transaksi!$F$16:$F$5015,Transaksi!$G$16:$G$5015,A65,Transaksi!$H$16:$H$5015,B65,Transaksi!$I$16:$I$5015,C65))</f>
        <v/>
      </c>
      <c r="F65" s="106">
        <f>IF(C65="","",SUMIFS(Transaksi!$F$16:$F$5015,Transaksi!$G$16:$G$5015,A65,Transaksi!$H$16:$H$5015,B65,Transaksi!$I$16:$I$5015,C65,Transaksi!$B$16:$B$5015,"&gt;="&amp;DATE(Dashboard!$C$4,1,1),Transaksi!$B$16:$B$5015,"&lt;="&amp;DATE(Dashboard!$C$4,12,31)))</f>
        <v/>
      </c>
    </row>
    <row r="66" ht="15" customHeight="1" s="94">
      <c r="A66" s="105" t="inlineStr">
        <is>
          <t>Pengeluaran</t>
        </is>
      </c>
      <c r="B66" s="105" t="inlineStr">
        <is>
          <t>Pengeluaran Uang Kos</t>
        </is>
      </c>
      <c r="C66" s="127" t="inlineStr">
        <is>
          <t>Uang Masak / Dapur</t>
        </is>
      </c>
      <c r="D66" s="167">
        <f>IF(C66="","",COUNTIFS(Transaksi!$G$16:$G$5015,A66,Transaksi!$H$16:$H$5015,B66,Transaksi!$I$16:$I$5015,C66))</f>
        <v/>
      </c>
      <c r="E66" s="106">
        <f>IF(C66="","",SUMIFS(Transaksi!$F$16:$F$5015,Transaksi!$G$16:$G$5015,A66,Transaksi!$H$16:$H$5015,B66,Transaksi!$I$16:$I$5015,C66))</f>
        <v/>
      </c>
      <c r="F66" s="106">
        <f>IF(C66="","",SUMIFS(Transaksi!$F$16:$F$5015,Transaksi!$G$16:$G$5015,A66,Transaksi!$H$16:$H$5015,B66,Transaksi!$I$16:$I$5015,C66,Transaksi!$B$16:$B$5015,"&gt;="&amp;DATE(Dashboard!$C$4,1,1),Transaksi!$B$16:$B$5015,"&lt;="&amp;DATE(Dashboard!$C$4,12,31)))</f>
        <v/>
      </c>
    </row>
    <row r="67" ht="15" customHeight="1" s="94">
      <c r="A67" s="105" t="inlineStr">
        <is>
          <t>Pengeluaran</t>
        </is>
      </c>
      <c r="B67" s="105" t="inlineStr">
        <is>
          <t>Pengeluaran Uang Kedai</t>
        </is>
      </c>
      <c r="C67" s="127" t="inlineStr">
        <is>
          <t>Air PDAM kedai</t>
        </is>
      </c>
      <c r="D67" s="167">
        <f>IF(C67="","",COUNTIFS(Transaksi!$G$16:$G$5015,A67,Transaksi!$H$16:$H$5015,B67,Transaksi!$I$16:$I$5015,C67))</f>
        <v/>
      </c>
      <c r="E67" s="106">
        <f>IF(C67="","",SUMIFS(Transaksi!$F$16:$F$5015,Transaksi!$G$16:$G$5015,A67,Transaksi!$H$16:$H$5015,B67,Transaksi!$I$16:$I$5015,C67))</f>
        <v/>
      </c>
      <c r="F67" s="106">
        <f>IF(C67="","",SUMIFS(Transaksi!$F$16:$F$5015,Transaksi!$G$16:$G$5015,A67,Transaksi!$H$16:$H$5015,B67,Transaksi!$I$16:$I$5015,C67,Transaksi!$B$16:$B$5015,"&gt;="&amp;DATE(Dashboard!$C$4,1,1),Transaksi!$B$16:$B$5015,"&lt;="&amp;DATE(Dashboard!$C$4,12,31)))</f>
        <v/>
      </c>
    </row>
    <row r="68" ht="15" customHeight="1" s="94">
      <c r="A68" s="105" t="inlineStr">
        <is>
          <t>Pengeluaran</t>
        </is>
      </c>
      <c r="B68" s="105" t="inlineStr">
        <is>
          <t>Pengeluaran Uang Kedai</t>
        </is>
      </c>
      <c r="C68" s="127" t="inlineStr">
        <is>
          <t>Kedai lain-lain</t>
        </is>
      </c>
      <c r="D68" s="167">
        <f>IF(C68="","",COUNTIFS(Transaksi!$G$16:$G$5015,A68,Transaksi!$H$16:$H$5015,B68,Transaksi!$I$16:$I$5015,C68))</f>
        <v/>
      </c>
      <c r="E68" s="106">
        <f>IF(C68="","",SUMIFS(Transaksi!$F$16:$F$5015,Transaksi!$G$16:$G$5015,A68,Transaksi!$H$16:$H$5015,B68,Transaksi!$I$16:$I$5015,C68))</f>
        <v/>
      </c>
      <c r="F68" s="106">
        <f>IF(C68="","",SUMIFS(Transaksi!$F$16:$F$5015,Transaksi!$G$16:$G$5015,A68,Transaksi!$H$16:$H$5015,B68,Transaksi!$I$16:$I$5015,C68,Transaksi!$B$16:$B$5015,"&gt;="&amp;DATE(Dashboard!$C$4,1,1),Transaksi!$B$16:$B$5015,"&lt;="&amp;DATE(Dashboard!$C$4,12,31)))</f>
        <v/>
      </c>
    </row>
    <row r="69" ht="15" customHeight="1" s="94">
      <c r="A69" s="105" t="inlineStr">
        <is>
          <t>Pengeluaran</t>
        </is>
      </c>
      <c r="B69" s="105" t="inlineStr">
        <is>
          <t>Pengeluaran Uang Kedai</t>
        </is>
      </c>
      <c r="C69" s="127" t="inlineStr">
        <is>
          <t>Sewa kedai</t>
        </is>
      </c>
      <c r="D69" s="167">
        <f>IF(C69="","",COUNTIFS(Transaksi!$G$16:$G$5015,A69,Transaksi!$H$16:$H$5015,B69,Transaksi!$I$16:$I$5015,C69))</f>
        <v/>
      </c>
      <c r="E69" s="106">
        <f>IF(C69="","",SUMIFS(Transaksi!$F$16:$F$5015,Transaksi!$G$16:$G$5015,A69,Transaksi!$H$16:$H$5015,B69,Transaksi!$I$16:$I$5015,C69))</f>
        <v/>
      </c>
      <c r="F69" s="106">
        <f>IF(C69="","",SUMIFS(Transaksi!$F$16:$F$5015,Transaksi!$G$16:$G$5015,A69,Transaksi!$H$16:$H$5015,B69,Transaksi!$I$16:$I$5015,C69,Transaksi!$B$16:$B$5015,"&gt;="&amp;DATE(Dashboard!$C$4,1,1),Transaksi!$B$16:$B$5015,"&lt;="&amp;DATE(Dashboard!$C$4,12,31)))</f>
        <v/>
      </c>
    </row>
    <row r="70" ht="15" customHeight="1" s="94">
      <c r="A70" s="105" t="inlineStr">
        <is>
          <t>Pengeluaran</t>
        </is>
      </c>
      <c r="B70" s="105" t="inlineStr">
        <is>
          <t>Pengeluaran Uang Kedai</t>
        </is>
      </c>
      <c r="C70" s="127" t="inlineStr">
        <is>
          <t>Token listrik kedai</t>
        </is>
      </c>
      <c r="D70" s="167">
        <f>IF(C70="","",COUNTIFS(Transaksi!$G$16:$G$5015,A70,Transaksi!$H$16:$H$5015,B70,Transaksi!$I$16:$I$5015,C70))</f>
        <v/>
      </c>
      <c r="E70" s="106">
        <f>IF(C70="","",SUMIFS(Transaksi!$F$16:$F$5015,Transaksi!$G$16:$G$5015,A70,Transaksi!$H$16:$H$5015,B70,Transaksi!$I$16:$I$5015,C70))</f>
        <v/>
      </c>
      <c r="F70" s="106">
        <f>IF(C70="","",SUMIFS(Transaksi!$F$16:$F$5015,Transaksi!$G$16:$G$5015,A70,Transaksi!$H$16:$H$5015,B70,Transaksi!$I$16:$I$5015,C70,Transaksi!$B$16:$B$5015,"&gt;="&amp;DATE(Dashboard!$C$4,1,1),Transaksi!$B$16:$B$5015,"&lt;="&amp;DATE(Dashboard!$C$4,12,31)))</f>
        <v/>
      </c>
    </row>
    <row r="71" ht="15" customHeight="1" s="94">
      <c r="A71" s="105" t="inlineStr">
        <is>
          <t>Pengeluaran</t>
        </is>
      </c>
      <c r="B71" s="105" t="inlineStr">
        <is>
          <t>Pengeluaran Uang Disan</t>
        </is>
      </c>
      <c r="C71" s="127" t="inlineStr">
        <is>
          <t>Belanja / pengeluaran Disan</t>
        </is>
      </c>
      <c r="D71" s="167">
        <f>IF(C71="","",COUNTIFS(Transaksi!$G$16:$G$5015,A71,Transaksi!$H$16:$H$5015,B71,Transaksi!$I$16:$I$5015,C71))</f>
        <v/>
      </c>
      <c r="E71" s="106">
        <f>IF(C71="","",SUMIFS(Transaksi!$F$16:$F$5015,Transaksi!$G$16:$G$5015,A71,Transaksi!$H$16:$H$5015,B71,Transaksi!$I$16:$I$5015,C71))</f>
        <v/>
      </c>
      <c r="F71" s="106">
        <f>IF(C71="","",SUMIFS(Transaksi!$F$16:$F$5015,Transaksi!$G$16:$G$5015,A71,Transaksi!$H$16:$H$5015,B71,Transaksi!$I$16:$I$5015,C71,Transaksi!$B$16:$B$5015,"&gt;="&amp;DATE(Dashboard!$C$4,1,1),Transaksi!$B$16:$B$5015,"&lt;="&amp;DATE(Dashboard!$C$4,12,31)))</f>
        <v/>
      </c>
    </row>
    <row r="72" ht="15" customHeight="1" s="94">
      <c r="A72" s="105" t="inlineStr">
        <is>
          <t>Tabungan</t>
        </is>
      </c>
      <c r="B72" s="105" t="inlineStr">
        <is>
          <t>Saham</t>
        </is>
      </c>
      <c r="C72" s="127" t="inlineStr">
        <is>
          <t>Dicairkan</t>
        </is>
      </c>
      <c r="D72" s="167">
        <f>IF(C72="","",COUNTIFS(Transaksi!$G$16:$G$5015,A72,Transaksi!$H$16:$H$5015,B72,Transaksi!$I$16:$I$5015,C72))</f>
        <v/>
      </c>
      <c r="E72" s="106">
        <f>IF(C72="","",SUMIFS(Transaksi!$F$16:$F$5015,Transaksi!$G$16:$G$5015,A72,Transaksi!$H$16:$H$5015,B72,Transaksi!$I$16:$I$5015,C72))</f>
        <v/>
      </c>
      <c r="F72" s="106">
        <f>IF(C72="","",SUMIFS(Transaksi!$F$16:$F$5015,Transaksi!$G$16:$G$5015,A72,Transaksi!$H$16:$H$5015,B72,Transaksi!$I$16:$I$5015,C72,Transaksi!$B$16:$B$5015,"&gt;="&amp;DATE(Dashboard!$C$4,1,1),Transaksi!$B$16:$B$5015,"&lt;="&amp;DATE(Dashboard!$C$4,12,31)))</f>
        <v/>
      </c>
    </row>
    <row r="73" ht="15" customHeight="1" s="94">
      <c r="A73" s="105" t="inlineStr">
        <is>
          <t>Tabungan</t>
        </is>
      </c>
      <c r="B73" s="105" t="inlineStr">
        <is>
          <t>Saham</t>
        </is>
      </c>
      <c r="C73" s="127" t="inlineStr">
        <is>
          <t>Disetor</t>
        </is>
      </c>
      <c r="D73" s="167">
        <f>IF(C73="","",COUNTIFS(Transaksi!$G$16:$G$5015,A73,Transaksi!$H$16:$H$5015,B73,Transaksi!$I$16:$I$5015,C73))</f>
        <v/>
      </c>
      <c r="E73" s="106">
        <f>IF(C73="","",SUMIFS(Transaksi!$F$16:$F$5015,Transaksi!$G$16:$G$5015,A73,Transaksi!$H$16:$H$5015,B73,Transaksi!$I$16:$I$5015,C73))</f>
        <v/>
      </c>
      <c r="F73" s="106">
        <f>IF(C73="","",SUMIFS(Transaksi!$F$16:$F$5015,Transaksi!$G$16:$G$5015,A73,Transaksi!$H$16:$H$5015,B73,Transaksi!$I$16:$I$5015,C73,Transaksi!$B$16:$B$5015,"&gt;="&amp;DATE(Dashboard!$C$4,1,1),Transaksi!$B$16:$B$5015,"&lt;="&amp;DATE(Dashboard!$C$4,12,31)))</f>
        <v/>
      </c>
    </row>
    <row r="74" ht="15" customHeight="1" s="94">
      <c r="A74" s="105" t="inlineStr">
        <is>
          <t>Tabungan</t>
        </is>
      </c>
      <c r="B74" s="105" t="inlineStr">
        <is>
          <t>Reksadana</t>
        </is>
      </c>
      <c r="C74" s="127" t="inlineStr">
        <is>
          <t>Dicairkan</t>
        </is>
      </c>
      <c r="D74" s="167">
        <f>IF(C74="","",COUNTIFS(Transaksi!$G$16:$G$5015,A74,Transaksi!$H$16:$H$5015,B74,Transaksi!$I$16:$I$5015,C74))</f>
        <v/>
      </c>
      <c r="E74" s="106">
        <f>IF(C74="","",SUMIFS(Transaksi!$F$16:$F$5015,Transaksi!$G$16:$G$5015,A74,Transaksi!$H$16:$H$5015,B74,Transaksi!$I$16:$I$5015,C74))</f>
        <v/>
      </c>
      <c r="F74" s="106">
        <f>IF(C74="","",SUMIFS(Transaksi!$F$16:$F$5015,Transaksi!$G$16:$G$5015,A74,Transaksi!$H$16:$H$5015,B74,Transaksi!$I$16:$I$5015,C74,Transaksi!$B$16:$B$5015,"&gt;="&amp;DATE(Dashboard!$C$4,1,1),Transaksi!$B$16:$B$5015,"&lt;="&amp;DATE(Dashboard!$C$4,12,31)))</f>
        <v/>
      </c>
    </row>
    <row r="75" ht="15" customHeight="1" s="94">
      <c r="A75" s="105" t="inlineStr">
        <is>
          <t>Tabungan</t>
        </is>
      </c>
      <c r="B75" s="105" t="inlineStr">
        <is>
          <t>Reksadana</t>
        </is>
      </c>
      <c r="C75" s="127" t="inlineStr">
        <is>
          <t>Disetor</t>
        </is>
      </c>
      <c r="D75" s="167">
        <f>IF(C75="","",COUNTIFS(Transaksi!$G$16:$G$5015,A75,Transaksi!$H$16:$H$5015,B75,Transaksi!$I$16:$I$5015,C75))</f>
        <v/>
      </c>
      <c r="E75" s="106">
        <f>IF(C75="","",SUMIFS(Transaksi!$F$16:$F$5015,Transaksi!$G$16:$G$5015,A75,Transaksi!$H$16:$H$5015,B75,Transaksi!$I$16:$I$5015,C75))</f>
        <v/>
      </c>
      <c r="F75" s="106">
        <f>IF(C75="","",SUMIFS(Transaksi!$F$16:$F$5015,Transaksi!$G$16:$G$5015,A75,Transaksi!$H$16:$H$5015,B75,Transaksi!$I$16:$I$5015,C75,Transaksi!$B$16:$B$5015,"&gt;="&amp;DATE(Dashboard!$C$4,1,1),Transaksi!$B$16:$B$5015,"&lt;="&amp;DATE(Dashboard!$C$4,12,31)))</f>
        <v/>
      </c>
    </row>
    <row r="76" ht="15" customHeight="1" s="94">
      <c r="A76" s="105" t="inlineStr">
        <is>
          <t>Tabungan</t>
        </is>
      </c>
      <c r="B76" s="105" t="inlineStr">
        <is>
          <t>Jula-jula</t>
        </is>
      </c>
      <c r="C76" s="127" t="inlineStr">
        <is>
          <t>Disetor</t>
        </is>
      </c>
      <c r="D76" s="167">
        <f>IF(C76="","",COUNTIFS(Transaksi!$G$16:$G$5015,A76,Transaksi!$H$16:$H$5015,B76,Transaksi!$I$16:$I$5015,C76))</f>
        <v/>
      </c>
      <c r="E76" s="106">
        <f>IF(C76="","",SUMIFS(Transaksi!$F$16:$F$5015,Transaksi!$G$16:$G$5015,A76,Transaksi!$H$16:$H$5015,B76,Transaksi!$I$16:$I$5015,C76))</f>
        <v/>
      </c>
      <c r="F76" s="106">
        <f>IF(C76="","",SUMIFS(Transaksi!$F$16:$F$5015,Transaksi!$G$16:$G$5015,A76,Transaksi!$H$16:$H$5015,B76,Transaksi!$I$16:$I$5015,C76,Transaksi!$B$16:$B$5015,"&gt;="&amp;DATE(Dashboard!$C$4,1,1),Transaksi!$B$16:$B$5015,"&lt;="&amp;DATE(Dashboard!$C$4,12,31)))</f>
        <v/>
      </c>
    </row>
    <row r="77" ht="15" customHeight="1" s="94">
      <c r="A77" s="105" t="inlineStr">
        <is>
          <t>Tabungan</t>
        </is>
      </c>
      <c r="B77" s="105" t="inlineStr">
        <is>
          <t>Reksadana uang kos mama</t>
        </is>
      </c>
      <c r="C77" s="127" t="inlineStr">
        <is>
          <t>Dicairkan</t>
        </is>
      </c>
      <c r="D77" s="167">
        <f>IF(C77="","",COUNTIFS(Transaksi!$G$16:$G$5015,A77,Transaksi!$H$16:$H$5015,B77,Transaksi!$I$16:$I$5015,C77))</f>
        <v/>
      </c>
      <c r="E77" s="106">
        <f>IF(C77="","",SUMIFS(Transaksi!$F$16:$F$5015,Transaksi!$G$16:$G$5015,A77,Transaksi!$H$16:$H$5015,B77,Transaksi!$I$16:$I$5015,C77))</f>
        <v/>
      </c>
      <c r="F77" s="106">
        <f>IF(C77="","",SUMIFS(Transaksi!$F$16:$F$5015,Transaksi!$G$16:$G$5015,A77,Transaksi!$H$16:$H$5015,B77,Transaksi!$I$16:$I$5015,C77,Transaksi!$B$16:$B$5015,"&gt;="&amp;DATE(Dashboard!$C$4,1,1),Transaksi!$B$16:$B$5015,"&lt;="&amp;DATE(Dashboard!$C$4,12,31)))</f>
        <v/>
      </c>
    </row>
    <row r="78" ht="15" customHeight="1" s="94">
      <c r="A78" s="105" t="inlineStr">
        <is>
          <t>Tabungan</t>
        </is>
      </c>
      <c r="B78" s="105" t="inlineStr">
        <is>
          <t>Reksadana uang kos mama</t>
        </is>
      </c>
      <c r="C78" s="127" t="inlineStr">
        <is>
          <t>Disetor</t>
        </is>
      </c>
      <c r="D78" s="167">
        <f>IF(C78="","",COUNTIFS(Transaksi!$G$16:$G$5015,A78,Transaksi!$H$16:$H$5015,B78,Transaksi!$I$16:$I$5015,C78))</f>
        <v/>
      </c>
      <c r="E78" s="106">
        <f>IF(C78="","",SUMIFS(Transaksi!$F$16:$F$5015,Transaksi!$G$16:$G$5015,A78,Transaksi!$H$16:$H$5015,B78,Transaksi!$I$16:$I$5015,C78))</f>
        <v/>
      </c>
      <c r="F78" s="106">
        <f>IF(C78="","",SUMIFS(Transaksi!$F$16:$F$5015,Transaksi!$G$16:$G$5015,A78,Transaksi!$H$16:$H$5015,B78,Transaksi!$I$16:$I$5015,C78,Transaksi!$B$16:$B$5015,"&gt;="&amp;DATE(Dashboard!$C$4,1,1),Transaksi!$B$16:$B$5015,"&lt;="&amp;DATE(Dashboard!$C$4,12,31)))</f>
        <v/>
      </c>
    </row>
    <row r="79" ht="15" customHeight="1" s="94">
      <c r="A79" s="105" t="inlineStr">
        <is>
          <t>Pindah Uang</t>
        </is>
      </c>
      <c r="B79" s="105" t="inlineStr">
        <is>
          <t>Pindah akun</t>
        </is>
      </c>
      <c r="C79" s="127" t="inlineStr">
        <is>
          <t>Pindah antar akun sendiri</t>
        </is>
      </c>
      <c r="D79" s="167">
        <f>IF(C79="","",COUNTIFS(Transaksi!$G$16:$G$5015,A79,Transaksi!$H$16:$H$5015,B79,Transaksi!$I$16:$I$5015,C79))</f>
        <v/>
      </c>
      <c r="E79" s="106">
        <f>IF(C79="","",SUMIFS(Transaksi!$F$16:$F$5015,Transaksi!$G$16:$G$5015,A79,Transaksi!$H$16:$H$5015,B79,Transaksi!$I$16:$I$5015,C79))</f>
        <v/>
      </c>
      <c r="F79" s="106">
        <f>IF(C79="","",SUMIFS(Transaksi!$F$16:$F$5015,Transaksi!$G$16:$G$5015,A79,Transaksi!$H$16:$H$5015,B79,Transaksi!$I$16:$I$5015,C79,Transaksi!$B$16:$B$5015,"&gt;="&amp;DATE(Dashboard!$C$4,1,1),Transaksi!$B$16:$B$5015,"&lt;="&amp;DATE(Dashboard!$C$4,12,31)))</f>
        <v/>
      </c>
    </row>
    <row r="80" ht="15" customHeight="1" s="94">
      <c r="A80" s="105" t="inlineStr">
        <is>
          <t>Pindah Uang</t>
        </is>
      </c>
      <c r="B80" s="105" t="inlineStr">
        <is>
          <t>Dana riba</t>
        </is>
      </c>
      <c r="C80" s="127" t="inlineStr">
        <is>
          <t>Bunga bank</t>
        </is>
      </c>
      <c r="D80" s="167">
        <f>IF(C80="","",COUNTIFS(Transaksi!$G$16:$G$5015,A80,Transaksi!$H$16:$H$5015,B80,Transaksi!$I$16:$I$5015,C80))</f>
        <v/>
      </c>
      <c r="E80" s="106">
        <f>IF(C80="","",SUMIFS(Transaksi!$F$16:$F$5015,Transaksi!$G$16:$G$5015,A80,Transaksi!$H$16:$H$5015,B80,Transaksi!$I$16:$I$5015,C80))</f>
        <v/>
      </c>
      <c r="F80" s="106">
        <f>IF(C80="","",SUMIFS(Transaksi!$F$16:$F$5015,Transaksi!$G$16:$G$5015,A80,Transaksi!$H$16:$H$5015,B80,Transaksi!$I$16:$I$5015,C80,Transaksi!$B$16:$B$5015,"&gt;="&amp;DATE(Dashboard!$C$4,1,1),Transaksi!$B$16:$B$5015,"&lt;="&amp;DATE(Dashboard!$C$4,12,31)))</f>
        <v/>
      </c>
    </row>
    <row r="81" ht="15" customHeight="1" s="94">
      <c r="A81" s="105" t="inlineStr">
        <is>
          <t>Pindah Uang</t>
        </is>
      </c>
      <c r="B81" s="105" t="inlineStr">
        <is>
          <t>Dana riba</t>
        </is>
      </c>
      <c r="C81" s="127" t="inlineStr">
        <is>
          <t>Disalurkan</t>
        </is>
      </c>
      <c r="D81" s="167">
        <f>IF(C81="","",COUNTIFS(Transaksi!$G$16:$G$5015,A81,Transaksi!$H$16:$H$5015,B81,Transaksi!$I$16:$I$5015,C81))</f>
        <v/>
      </c>
      <c r="E81" s="106">
        <f>IF(C81="","",SUMIFS(Transaksi!$F$16:$F$5015,Transaksi!$G$16:$G$5015,A81,Transaksi!$H$16:$H$5015,B81,Transaksi!$I$16:$I$5015,C81))</f>
        <v/>
      </c>
      <c r="F81" s="106">
        <f>IF(C81="","",SUMIFS(Transaksi!$F$16:$F$5015,Transaksi!$G$16:$G$5015,A81,Transaksi!$H$16:$H$5015,B81,Transaksi!$I$16:$I$5015,C81,Transaksi!$B$16:$B$5015,"&gt;="&amp;DATE(Dashboard!$C$4,1,1),Transaksi!$B$16:$B$5015,"&lt;="&amp;DATE(Dashboard!$C$4,12,31)))</f>
        <v/>
      </c>
    </row>
    <row r="82" ht="15" customHeight="1" s="94">
      <c r="A82" s="105" t="inlineStr">
        <is>
          <t>Pindah Uang</t>
        </is>
      </c>
      <c r="B82" s="105" t="inlineStr">
        <is>
          <t>Dana riba</t>
        </is>
      </c>
      <c r="C82" s="127" t="inlineStr">
        <is>
          <t>Dividen bank</t>
        </is>
      </c>
      <c r="D82" s="167">
        <f>IF(C82="","",COUNTIFS(Transaksi!$G$16:$G$5015,A82,Transaksi!$H$16:$H$5015,B82,Transaksi!$I$16:$I$5015,C82))</f>
        <v/>
      </c>
      <c r="E82" s="106">
        <f>IF(C82="","",SUMIFS(Transaksi!$F$16:$F$5015,Transaksi!$G$16:$G$5015,A82,Transaksi!$H$16:$H$5015,B82,Transaksi!$I$16:$I$5015,C82))</f>
        <v/>
      </c>
      <c r="F82" s="106">
        <f>IF(C82="","",SUMIFS(Transaksi!$F$16:$F$5015,Transaksi!$G$16:$G$5015,A82,Transaksi!$H$16:$H$5015,B82,Transaksi!$I$16:$I$5015,C82,Transaksi!$B$16:$B$5015,"&gt;="&amp;DATE(Dashboard!$C$4,1,1),Transaksi!$B$16:$B$5015,"&lt;="&amp;DATE(Dashboard!$C$4,12,31)))</f>
        <v/>
      </c>
    </row>
    <row r="83" ht="15" customHeight="1" s="94">
      <c r="A83" s="105" t="inlineStr">
        <is>
          <t>Pindah Uang</t>
        </is>
      </c>
      <c r="B83" s="105" t="inlineStr">
        <is>
          <t>Dana riba</t>
        </is>
      </c>
      <c r="C83" s="127" t="inlineStr">
        <is>
          <t>Pajak bunga</t>
        </is>
      </c>
      <c r="D83" s="167">
        <f>IF(C83="","",COUNTIFS(Transaksi!$G$16:$G$5015,A83,Transaksi!$H$16:$H$5015,B83,Transaksi!$I$16:$I$5015,C83))</f>
        <v/>
      </c>
      <c r="E83" s="106">
        <f>IF(C83="","",SUMIFS(Transaksi!$F$16:$F$5015,Transaksi!$G$16:$G$5015,A83,Transaksi!$H$16:$H$5015,B83,Transaksi!$I$16:$I$5015,C83))</f>
        <v/>
      </c>
      <c r="F83" s="106">
        <f>IF(C83="","",SUMIFS(Transaksi!$F$16:$F$5015,Transaksi!$G$16:$G$5015,A83,Transaksi!$H$16:$H$5015,B83,Transaksi!$I$16:$I$5015,C83,Transaksi!$B$16:$B$5015,"&gt;="&amp;DATE(Dashboard!$C$4,1,1),Transaksi!$B$16:$B$5015,"&lt;="&amp;DATE(Dashboard!$C$4,12,31)))</f>
        <v/>
      </c>
    </row>
    <row r="84" ht="15" customHeight="1" s="94">
      <c r="A84" s="105" t="inlineStr">
        <is>
          <t>Pindah Uang</t>
        </is>
      </c>
      <c r="B84" s="105" t="inlineStr">
        <is>
          <t>Dana riba</t>
        </is>
      </c>
      <c r="C84" s="127" t="inlineStr">
        <is>
          <t>Selisih bunga</t>
        </is>
      </c>
      <c r="D84" s="167">
        <f>IF(C84="","",COUNTIFS(Transaksi!$G$16:$G$5015,A84,Transaksi!$H$16:$H$5015,B84,Transaksi!$I$16:$I$5015,C84))</f>
        <v/>
      </c>
      <c r="E84" s="106">
        <f>IF(C84="","",SUMIFS(Transaksi!$F$16:$F$5015,Transaksi!$G$16:$G$5015,A84,Transaksi!$H$16:$H$5015,B84,Transaksi!$I$16:$I$5015,C84))</f>
        <v/>
      </c>
      <c r="F84" s="106">
        <f>IF(C84="","",SUMIFS(Transaksi!$F$16:$F$5015,Transaksi!$G$16:$G$5015,A84,Transaksi!$H$16:$H$5015,B84,Transaksi!$I$16:$I$5015,C84,Transaksi!$B$16:$B$5015,"&gt;="&amp;DATE(Dashboard!$C$4,1,1),Transaksi!$B$16:$B$5015,"&lt;="&amp;DATE(Dashboard!$C$4,12,31)))</f>
        <v/>
      </c>
    </row>
    <row r="85" ht="15" customHeight="1" s="94">
      <c r="A85" s="105" t="inlineStr">
        <is>
          <t>Pindah Uang</t>
        </is>
      </c>
      <c r="B85" s="105" t="inlineStr">
        <is>
          <t>Utang &amp; piutang</t>
        </is>
      </c>
      <c r="C85" s="127" t="inlineStr">
        <is>
          <t>Bayar Utang</t>
        </is>
      </c>
      <c r="D85" s="167">
        <f>IF(C85="","",COUNTIFS(Transaksi!$G$16:$G$5015,A85,Transaksi!$H$16:$H$5015,B85,Transaksi!$I$16:$I$5015,C85))</f>
        <v/>
      </c>
      <c r="E85" s="106">
        <f>IF(C85="","",SUMIFS(Transaksi!$F$16:$F$5015,Transaksi!$G$16:$G$5015,A85,Transaksi!$H$16:$H$5015,B85,Transaksi!$I$16:$I$5015,C85))</f>
        <v/>
      </c>
      <c r="F85" s="106">
        <f>IF(C85="","",SUMIFS(Transaksi!$F$16:$F$5015,Transaksi!$G$16:$G$5015,A85,Transaksi!$H$16:$H$5015,B85,Transaksi!$I$16:$I$5015,C85,Transaksi!$B$16:$B$5015,"&gt;="&amp;DATE(Dashboard!$C$4,1,1),Transaksi!$B$16:$B$5015,"&lt;="&amp;DATE(Dashboard!$C$4,12,31)))</f>
        <v/>
      </c>
    </row>
    <row r="86" ht="15" customHeight="1" s="94">
      <c r="A86" s="105" t="inlineStr">
        <is>
          <t>Pindah Uang</t>
        </is>
      </c>
      <c r="B86" s="105" t="inlineStr">
        <is>
          <t>Utang &amp; piutang</t>
        </is>
      </c>
      <c r="C86" s="127" t="inlineStr">
        <is>
          <t>Piutang Keluar</t>
        </is>
      </c>
      <c r="D86" s="167">
        <f>IF(C86="","",COUNTIFS(Transaksi!$G$16:$G$5015,A86,Transaksi!$H$16:$H$5015,B86,Transaksi!$I$16:$I$5015,C86))</f>
        <v/>
      </c>
      <c r="E86" s="106">
        <f>IF(C86="","",SUMIFS(Transaksi!$F$16:$F$5015,Transaksi!$G$16:$G$5015,A86,Transaksi!$H$16:$H$5015,B86,Transaksi!$I$16:$I$5015,C86))</f>
        <v/>
      </c>
      <c r="F86" s="106">
        <f>IF(C86="","",SUMIFS(Transaksi!$F$16:$F$5015,Transaksi!$G$16:$G$5015,A86,Transaksi!$H$16:$H$5015,B86,Transaksi!$I$16:$I$5015,C86,Transaksi!$B$16:$B$5015,"&gt;="&amp;DATE(Dashboard!$C$4,1,1),Transaksi!$B$16:$B$5015,"&lt;="&amp;DATE(Dashboard!$C$4,12,31)))</f>
        <v/>
      </c>
    </row>
    <row r="87" ht="15" customHeight="1" s="94">
      <c r="A87" s="105" t="inlineStr">
        <is>
          <t>Pindah Uang</t>
        </is>
      </c>
      <c r="B87" s="105" t="inlineStr">
        <is>
          <t>Utang &amp; piutang</t>
        </is>
      </c>
      <c r="C87" s="127" t="inlineStr">
        <is>
          <t>Piutang Kembali</t>
        </is>
      </c>
      <c r="D87" s="167">
        <f>IF(C87="","",COUNTIFS(Transaksi!$G$16:$G$5015,A87,Transaksi!$H$16:$H$5015,B87,Transaksi!$I$16:$I$5015,C87))</f>
        <v/>
      </c>
      <c r="E87" s="106">
        <f>IF(C87="","",SUMIFS(Transaksi!$F$16:$F$5015,Transaksi!$G$16:$G$5015,A87,Transaksi!$H$16:$H$5015,B87,Transaksi!$I$16:$I$5015,C87))</f>
        <v/>
      </c>
      <c r="F87" s="106">
        <f>IF(C87="","",SUMIFS(Transaksi!$F$16:$F$5015,Transaksi!$G$16:$G$5015,A87,Transaksi!$H$16:$H$5015,B87,Transaksi!$I$16:$I$5015,C87,Transaksi!$B$16:$B$5015,"&gt;="&amp;DATE(Dashboard!$C$4,1,1),Transaksi!$B$16:$B$5015,"&lt;="&amp;DATE(Dashboard!$C$4,12,31)))</f>
        <v/>
      </c>
    </row>
    <row r="88" ht="15" customHeight="1" s="94">
      <c r="A88" s="105" t="inlineStr">
        <is>
          <t>Pindah Uang</t>
        </is>
      </c>
      <c r="B88" s="105" t="inlineStr">
        <is>
          <t>Utang &amp; piutang</t>
        </is>
      </c>
      <c r="C88" s="127" t="inlineStr">
        <is>
          <t>Utang Diterima</t>
        </is>
      </c>
      <c r="D88" s="167">
        <f>IF(C88="","",COUNTIFS(Transaksi!$G$16:$G$5015,A88,Transaksi!$H$16:$H$5015,B88,Transaksi!$I$16:$I$5015,C88))</f>
        <v/>
      </c>
      <c r="E88" s="106">
        <f>IF(C88="","",SUMIFS(Transaksi!$F$16:$F$5015,Transaksi!$G$16:$G$5015,A88,Transaksi!$H$16:$H$5015,B88,Transaksi!$I$16:$I$5015,C88))</f>
        <v/>
      </c>
      <c r="F88" s="106">
        <f>IF(C88="","",SUMIFS(Transaksi!$F$16:$F$5015,Transaksi!$G$16:$G$5015,A88,Transaksi!$H$16:$H$5015,B88,Transaksi!$I$16:$I$5015,C88,Transaksi!$B$16:$B$5015,"&gt;="&amp;DATE(Dashboard!$C$4,1,1),Transaksi!$B$16:$B$5015,"&lt;="&amp;DATE(Dashboard!$C$4,12,31)))</f>
        <v/>
      </c>
    </row>
    <row r="89" ht="15" customHeight="1" s="94">
      <c r="A89" s="105" t="inlineStr">
        <is>
          <t>Pindah Uang</t>
        </is>
      </c>
      <c r="B89" s="105" t="inlineStr">
        <is>
          <t>Pinjam uang mama</t>
        </is>
      </c>
      <c r="C89" s="127" t="inlineStr">
        <is>
          <t>Bayar Utang ke Mama</t>
        </is>
      </c>
      <c r="D89" s="167">
        <f>IF(C89="","",COUNTIFS(Transaksi!$G$16:$G$5015,A89,Transaksi!$H$16:$H$5015,B89,Transaksi!$I$16:$I$5015,C89))</f>
        <v/>
      </c>
      <c r="E89" s="106">
        <f>IF(C89="","",SUMIFS(Transaksi!$F$16:$F$5015,Transaksi!$G$16:$G$5015,A89,Transaksi!$H$16:$H$5015,B89,Transaksi!$I$16:$I$5015,C89))</f>
        <v/>
      </c>
      <c r="F89" s="106">
        <f>IF(C89="","",SUMIFS(Transaksi!$F$16:$F$5015,Transaksi!$G$16:$G$5015,A89,Transaksi!$H$16:$H$5015,B89,Transaksi!$I$16:$I$5015,C89,Transaksi!$B$16:$B$5015,"&gt;="&amp;DATE(Dashboard!$C$4,1,1),Transaksi!$B$16:$B$5015,"&lt;="&amp;DATE(Dashboard!$C$4,12,31)))</f>
        <v/>
      </c>
    </row>
    <row r="90" ht="15" customHeight="1" s="94">
      <c r="A90" s="105" t="inlineStr">
        <is>
          <t>Pindah Uang</t>
        </is>
      </c>
      <c r="B90" s="105" t="inlineStr">
        <is>
          <t>Pinjam uang mama</t>
        </is>
      </c>
      <c r="C90" s="127" t="inlineStr">
        <is>
          <t>Pinjam dari Mama</t>
        </is>
      </c>
      <c r="D90" s="167">
        <f>IF(C90="","",COUNTIFS(Transaksi!$G$16:$G$5015,A90,Transaksi!$H$16:$H$5015,B90,Transaksi!$I$16:$I$5015,C90))</f>
        <v/>
      </c>
      <c r="E90" s="106">
        <f>IF(C90="","",SUMIFS(Transaksi!$F$16:$F$5015,Transaksi!$G$16:$G$5015,A90,Transaksi!$H$16:$H$5015,B90,Transaksi!$I$16:$I$5015,C90))</f>
        <v/>
      </c>
      <c r="F90" s="106">
        <f>IF(C90="","",SUMIFS(Transaksi!$F$16:$F$5015,Transaksi!$G$16:$G$5015,A90,Transaksi!$H$16:$H$5015,B90,Transaksi!$I$16:$I$5015,C90,Transaksi!$B$16:$B$5015,"&gt;="&amp;DATE(Dashboard!$C$4,1,1),Transaksi!$B$16:$B$5015,"&lt;="&amp;DATE(Dashboard!$C$4,12,31)))</f>
        <v/>
      </c>
    </row>
    <row r="91" ht="15" customHeight="1" s="94">
      <c r="A91" s="105" t="inlineStr">
        <is>
          <t>Pindah Uang</t>
        </is>
      </c>
      <c r="B91" s="105" t="inlineStr">
        <is>
          <t>Titipan orang lain</t>
        </is>
      </c>
      <c r="C91" s="127" t="inlineStr">
        <is>
          <t>Titipan orang lain</t>
        </is>
      </c>
      <c r="D91" s="167">
        <f>IF(C91="","",COUNTIFS(Transaksi!$G$16:$G$5015,A91,Transaksi!$H$16:$H$5015,B91,Transaksi!$I$16:$I$5015,C91))</f>
        <v/>
      </c>
      <c r="E91" s="106">
        <f>IF(C91="","",SUMIFS(Transaksi!$F$16:$F$5015,Transaksi!$G$16:$G$5015,A91,Transaksi!$H$16:$H$5015,B91,Transaksi!$I$16:$I$5015,C91))</f>
        <v/>
      </c>
      <c r="F91" s="106">
        <f>IF(C91="","",SUMIFS(Transaksi!$F$16:$F$5015,Transaksi!$G$16:$G$5015,A91,Transaksi!$H$16:$H$5015,B91,Transaksi!$I$16:$I$5015,C91,Transaksi!$B$16:$B$5015,"&gt;="&amp;DATE(Dashboard!$C$4,1,1),Transaksi!$B$16:$B$5015,"&lt;="&amp;DATE(Dashboard!$C$4,12,31)))</f>
        <v/>
      </c>
    </row>
    <row r="92" ht="15" customHeight="1" s="94">
      <c r="A92" s="105" t="inlineStr">
        <is>
          <t>Pengeluaran</t>
        </is>
      </c>
      <c r="B92" s="105" t="inlineStr">
        <is>
          <t>Pengeluaran Uang Disan</t>
        </is>
      </c>
      <c r="C92" s="127" t="inlineStr">
        <is>
          <t>Dikembalikan ke kk Lisa</t>
        </is>
      </c>
      <c r="D92" s="167">
        <f>IF(C92="","",COUNTIFS(Transaksi!$G$16:$G$5015,A92,Transaksi!$H$16:$H$5015,B92,Transaksi!$I$16:$I$5015,C92))</f>
        <v/>
      </c>
      <c r="E92" s="106">
        <f>IF(C92="","",SUMIFS(Transaksi!$F$16:$F$5015,Transaksi!$G$16:$G$5015,A92,Transaksi!$H$16:$H$5015,B92,Transaksi!$I$16:$I$5015,C92))</f>
        <v/>
      </c>
      <c r="F92" s="106">
        <f>IF(C92="","",SUMIFS(Transaksi!$F$16:$F$5015,Transaksi!$G$16:$G$5015,A92,Transaksi!$H$16:$H$5015,B92,Transaksi!$I$16:$I$5015,C92,Transaksi!$B$16:$B$5015,"&gt;="&amp;DATE(Dashboard!$C$4,1,1),Transaksi!$B$16:$B$5015,"&lt;="&amp;DATE(Dashboard!$C$4,12,31)))</f>
        <v/>
      </c>
    </row>
    <row r="93" ht="15" customHeight="1" s="94">
      <c r="A93" s="105" t="inlineStr">
        <is>
          <t>Pindah Uang</t>
        </is>
      </c>
      <c r="B93" s="105" t="inlineStr">
        <is>
          <t>Pengeluaran Gaji</t>
        </is>
      </c>
      <c r="C93" s="127" t="inlineStr">
        <is>
          <t>Pinjam dari uang riba</t>
        </is>
      </c>
      <c r="D93" s="167">
        <f>IF(C93="","",COUNTIFS(Transaksi!$G$16:$G$5015,A93,Transaksi!$H$16:$H$5015,B93,Transaksi!$I$16:$I$5015,C93))</f>
        <v/>
      </c>
      <c r="E93" s="106">
        <f>IF(C93="","",SUMIFS(Transaksi!$F$16:$F$5015,Transaksi!$G$16:$G$5015,A93,Transaksi!$H$16:$H$5015,B93,Transaksi!$I$16:$I$5015,C93))</f>
        <v/>
      </c>
      <c r="F93" s="106">
        <f>IF(C93="","",SUMIFS(Transaksi!$F$16:$F$5015,Transaksi!$G$16:$G$5015,A93,Transaksi!$H$16:$H$5015,B93,Transaksi!$I$16:$I$5015,C93,Transaksi!$B$16:$B$5015,"&gt;="&amp;DATE(Dashboard!$C$4,1,1),Transaksi!$B$16:$B$5015,"&lt;="&amp;DATE(Dashboard!$C$4,12,31)))</f>
        <v/>
      </c>
    </row>
    <row r="94" ht="15" customHeight="1" s="94">
      <c r="A94" s="105" t="inlineStr">
        <is>
          <t>Pindah Uang</t>
        </is>
      </c>
      <c r="B94" s="105" t="inlineStr">
        <is>
          <t>Pengeluaran Gaji</t>
        </is>
      </c>
      <c r="C94" s="127" t="inlineStr">
        <is>
          <t>Ganti uang riba</t>
        </is>
      </c>
      <c r="D94" s="167">
        <f>IF(C94="","",COUNTIFS(Transaksi!$G$16:$G$5015,A94,Transaksi!$H$16:$H$5015,B94,Transaksi!$I$16:$I$5015,C94))</f>
        <v/>
      </c>
      <c r="E94" s="106">
        <f>IF(C94="","",SUMIFS(Transaksi!$F$16:$F$5015,Transaksi!$G$16:$G$5015,A94,Transaksi!$H$16:$H$5015,B94,Transaksi!$I$16:$I$5015,C94))</f>
        <v/>
      </c>
      <c r="F94" s="106">
        <f>IF(C94="","",SUMIFS(Transaksi!$F$16:$F$5015,Transaksi!$G$16:$G$5015,A94,Transaksi!$H$16:$H$5015,B94,Transaksi!$I$16:$I$5015,C94,Transaksi!$B$16:$B$5015,"&gt;="&amp;DATE(Dashboard!$C$4,1,1),Transaksi!$B$16:$B$5015,"&lt;="&amp;DATE(Dashboard!$C$4,12,31)))</f>
        <v/>
      </c>
    </row>
    <row r="95" ht="15" customHeight="1" s="94">
      <c r="A95" s="105" t="inlineStr">
        <is>
          <t>Pindah Uang</t>
        </is>
      </c>
      <c r="B95" s="105" t="inlineStr">
        <is>
          <t>Pengeluaran Gaji</t>
        </is>
      </c>
      <c r="C95" s="127" t="inlineStr">
        <is>
          <t>Kelebihan ganti dikembalikan</t>
        </is>
      </c>
      <c r="D95" s="167">
        <f>IF(C95="","",COUNTIFS(Transaksi!$G$16:$G$5015,A95,Transaksi!$H$16:$H$5015,B95,Transaksi!$I$16:$I$5015,C95))</f>
        <v/>
      </c>
      <c r="E95" s="106">
        <f>IF(C95="","",SUMIFS(Transaksi!$F$16:$F$5015,Transaksi!$G$16:$G$5015,A95,Transaksi!$H$16:$H$5015,B95,Transaksi!$I$16:$I$5015,C95))</f>
        <v/>
      </c>
      <c r="F95" s="106">
        <f>IF(C95="","",SUMIFS(Transaksi!$F$16:$F$5015,Transaksi!$G$16:$G$5015,A95,Transaksi!$H$16:$H$5015,B95,Transaksi!$I$16:$I$5015,C95,Transaksi!$B$16:$B$5015,"&gt;="&amp;DATE(Dashboard!$C$4,1,1),Transaksi!$B$16:$B$5015,"&lt;="&amp;DATE(Dashboard!$C$4,12,31)))</f>
        <v/>
      </c>
    </row>
    <row r="96" ht="15" customHeight="1" s="94">
      <c r="A96" s="105" t="inlineStr">
        <is>
          <t>Pindah Uang</t>
        </is>
      </c>
      <c r="B96" s="105" t="inlineStr">
        <is>
          <t>Dana riba</t>
        </is>
      </c>
      <c r="C96" s="127" t="inlineStr">
        <is>
          <t>Pajak dividen (SPT tahunan)</t>
        </is>
      </c>
      <c r="D96" s="167">
        <f>IF(C96="","",COUNTIFS(Transaksi!$G$16:$G$5015,A96,Transaksi!$H$16:$H$5015,B96,Transaksi!$I$16:$I$5015,C96))</f>
        <v/>
      </c>
      <c r="E96" s="106">
        <f>IF(C96="","",SUMIFS(Transaksi!$F$16:$F$5015,Transaksi!$G$16:$G$5015,A96,Transaksi!$H$16:$H$5015,B96,Transaksi!$I$16:$I$5015,C96))</f>
        <v/>
      </c>
      <c r="F96" s="106">
        <f>IF(C96="","",SUMIFS(Transaksi!$F$16:$F$5015,Transaksi!$G$16:$G$5015,A96,Transaksi!$H$16:$H$5015,B96,Transaksi!$I$16:$I$5015,C96,Transaksi!$B$16:$B$5015,"&gt;="&amp;DATE(Dashboard!$C$4,1,1),Transaksi!$B$16:$B$5015,"&lt;="&amp;DATE(Dashboard!$C$4,12,31)))</f>
        <v/>
      </c>
    </row>
    <row r="97" ht="15" customHeight="1" s="94">
      <c r="A97" s="105" t="inlineStr">
        <is>
          <t>Pengeluaran</t>
        </is>
      </c>
      <c r="B97" s="105" t="inlineStr">
        <is>
          <t>Pengeluaran Gaji</t>
        </is>
      </c>
      <c r="C97" s="127" t="inlineStr">
        <is>
          <t>Pinjam dari uang riba</t>
        </is>
      </c>
      <c r="D97" s="167">
        <f>IF(C97="","",COUNTIFS(Transaksi!$G$16:$G$5015,A97,Transaksi!$H$16:$H$5015,B97,Transaksi!$I$16:$I$5015,C97))</f>
        <v/>
      </c>
      <c r="E97" s="106">
        <f>IF(C97="","",SUMIFS(Transaksi!$F$16:$F$5015,Transaksi!$G$16:$G$5015,A97,Transaksi!$H$16:$H$5015,B97,Transaksi!$I$16:$I$5015,C97))</f>
        <v/>
      </c>
      <c r="F97" s="106">
        <f>IF(C97="","",SUMIFS(Transaksi!$F$16:$F$5015,Transaksi!$G$16:$G$5015,A97,Transaksi!$H$16:$H$5015,B97,Transaksi!$I$16:$I$5015,C97,Transaksi!$B$16:$B$5015,"&gt;="&amp;DATE(Dashboard!$C$4,1,1),Transaksi!$B$16:$B$5015,"&lt;="&amp;DATE(Dashboard!$C$4,12,31)))</f>
        <v/>
      </c>
    </row>
    <row r="98" ht="15" customHeight="1" s="94">
      <c r="A98" s="105" t="inlineStr">
        <is>
          <t>Pengeluaran</t>
        </is>
      </c>
      <c r="B98" s="105" t="inlineStr">
        <is>
          <t>Pengeluaran Uang Kos</t>
        </is>
      </c>
      <c r="C98" s="127" t="inlineStr">
        <is>
          <t>Pinjam dari uang riba</t>
        </is>
      </c>
      <c r="D98" s="167">
        <f>IF(C98="","",COUNTIFS(Transaksi!$G$16:$G$5015,A98,Transaksi!$H$16:$H$5015,B98,Transaksi!$I$16:$I$5015,C98))</f>
        <v/>
      </c>
      <c r="E98" s="106">
        <f>IF(C98="","",SUMIFS(Transaksi!$F$16:$F$5015,Transaksi!$G$16:$G$5015,A98,Transaksi!$H$16:$H$5015,B98,Transaksi!$I$16:$I$5015,C98))</f>
        <v/>
      </c>
      <c r="F98" s="106">
        <f>IF(C98="","",SUMIFS(Transaksi!$F$16:$F$5015,Transaksi!$G$16:$G$5015,A98,Transaksi!$H$16:$H$5015,B98,Transaksi!$I$16:$I$5015,C98,Transaksi!$B$16:$B$5015,"&gt;="&amp;DATE(Dashboard!$C$4,1,1),Transaksi!$B$16:$B$5015,"&lt;="&amp;DATE(Dashboard!$C$4,12,31)))</f>
        <v/>
      </c>
    </row>
    <row r="99" ht="15" customHeight="1" s="94">
      <c r="A99" s="105" t="n"/>
      <c r="B99" s="105" t="n"/>
      <c r="C99" s="127" t="n"/>
      <c r="D99" s="167">
        <f>IF(C99="","",COUNTIFS(Transaksi!$G$16:$G$5015,A99,Transaksi!$H$16:$H$5015,B99,Transaksi!$I$16:$I$5015,C99))</f>
        <v/>
      </c>
      <c r="E99" s="106">
        <f>IF(C99="","",SUMIFS(Transaksi!$F$16:$F$5015,Transaksi!$G$16:$G$5015,A99,Transaksi!$H$16:$H$5015,B99,Transaksi!$I$16:$I$5015,C99))</f>
        <v/>
      </c>
      <c r="F99" s="106">
        <f>IF(C99="","",SUMIFS(Transaksi!$F$16:$F$5015,Transaksi!$G$16:$G$5015,A99,Transaksi!$H$16:$H$5015,B99,Transaksi!$I$16:$I$5015,C99,Transaksi!$B$16:$B$5015,"&gt;="&amp;DATE(Dashboard!$C$4,1,1),Transaksi!$B$16:$B$5015,"&lt;="&amp;DATE(Dashboard!$C$4,12,31)))</f>
        <v/>
      </c>
    </row>
    <row r="100" ht="15" customHeight="1" s="94">
      <c r="A100" s="105" t="n"/>
      <c r="B100" s="105" t="n"/>
      <c r="C100" s="127" t="n"/>
      <c r="D100" s="167">
        <f>IF(C100="","",COUNTIFS(Transaksi!$G$16:$G$5015,A100,Transaksi!$H$16:$H$5015,B100,Transaksi!$I$16:$I$5015,C100))</f>
        <v/>
      </c>
      <c r="E100" s="106">
        <f>IF(C100="","",SUMIFS(Transaksi!$F$16:$F$5015,Transaksi!$G$16:$G$5015,A100,Transaksi!$H$16:$H$5015,B100,Transaksi!$I$16:$I$5015,C100))</f>
        <v/>
      </c>
      <c r="F100" s="106">
        <f>IF(C100="","",SUMIFS(Transaksi!$F$16:$F$5015,Transaksi!$G$16:$G$5015,A100,Transaksi!$H$16:$H$5015,B100,Transaksi!$I$16:$I$5015,C100,Transaksi!$B$16:$B$5015,"&gt;="&amp;DATE(Dashboard!$C$4,1,1),Transaksi!$B$16:$B$5015,"&lt;="&amp;DATE(Dashboard!$C$4,12,31)))</f>
        <v/>
      </c>
    </row>
    <row r="101" ht="15" customHeight="1" s="94">
      <c r="A101" s="105" t="n"/>
      <c r="B101" s="105" t="n"/>
      <c r="C101" s="127" t="n"/>
      <c r="D101" s="167">
        <f>IF(C101="","",COUNTIFS(Transaksi!$G$16:$G$5015,A101,Transaksi!$H$16:$H$5015,B101,Transaksi!$I$16:$I$5015,C101))</f>
        <v/>
      </c>
      <c r="E101" s="106">
        <f>IF(C101="","",SUMIFS(Transaksi!$F$16:$F$5015,Transaksi!$G$16:$G$5015,A101,Transaksi!$H$16:$H$5015,B101,Transaksi!$I$16:$I$5015,C101))</f>
        <v/>
      </c>
      <c r="F101" s="106">
        <f>IF(C101="","",SUMIFS(Transaksi!$F$16:$F$5015,Transaksi!$G$16:$G$5015,A101,Transaksi!$H$16:$H$5015,B101,Transaksi!$I$16:$I$5015,C101,Transaksi!$B$16:$B$5015,"&gt;="&amp;DATE(Dashboard!$C$4,1,1),Transaksi!$B$16:$B$5015,"&lt;="&amp;DATE(Dashboard!$C$4,12,31)))</f>
        <v/>
      </c>
    </row>
    <row r="102" ht="15" customHeight="1" s="94">
      <c r="A102" s="105" t="n"/>
      <c r="B102" s="105" t="n"/>
      <c r="C102" s="127" t="n"/>
      <c r="D102" s="167">
        <f>IF(C102="","",COUNTIFS(Transaksi!$G$16:$G$5015,A102,Transaksi!$H$16:$H$5015,B102,Transaksi!$I$16:$I$5015,C102))</f>
        <v/>
      </c>
      <c r="E102" s="106">
        <f>IF(C102="","",SUMIFS(Transaksi!$F$16:$F$5015,Transaksi!$G$16:$G$5015,A102,Transaksi!$H$16:$H$5015,B102,Transaksi!$I$16:$I$5015,C102))</f>
        <v/>
      </c>
      <c r="F102" s="106">
        <f>IF(C102="","",SUMIFS(Transaksi!$F$16:$F$5015,Transaksi!$G$16:$G$5015,A102,Transaksi!$H$16:$H$5015,B102,Transaksi!$I$16:$I$5015,C102,Transaksi!$B$16:$B$5015,"&gt;="&amp;DATE(Dashboard!$C$4,1,1),Transaksi!$B$16:$B$5015,"&lt;="&amp;DATE(Dashboard!$C$4,12,31)))</f>
        <v/>
      </c>
    </row>
    <row r="103" ht="15" customHeight="1" s="94">
      <c r="A103" s="105" t="n"/>
      <c r="B103" s="105" t="n"/>
      <c r="C103" s="127" t="n"/>
      <c r="D103" s="167">
        <f>IF(C103="","",COUNTIFS(Transaksi!$G$16:$G$5015,A103,Transaksi!$H$16:$H$5015,B103,Transaksi!$I$16:$I$5015,C103))</f>
        <v/>
      </c>
      <c r="E103" s="106">
        <f>IF(C103="","",SUMIFS(Transaksi!$F$16:$F$5015,Transaksi!$G$16:$G$5015,A103,Transaksi!$H$16:$H$5015,B103,Transaksi!$I$16:$I$5015,C103))</f>
        <v/>
      </c>
      <c r="F103" s="106">
        <f>IF(C103="","",SUMIFS(Transaksi!$F$16:$F$5015,Transaksi!$G$16:$G$5015,A103,Transaksi!$H$16:$H$5015,B103,Transaksi!$I$16:$I$5015,C103,Transaksi!$B$16:$B$5015,"&gt;="&amp;DATE(Dashboard!$C$4,1,1),Transaksi!$B$16:$B$5015,"&lt;="&amp;DATE(Dashboard!$C$4,12,31)))</f>
        <v/>
      </c>
    </row>
    <row r="104" ht="15" customHeight="1" s="94">
      <c r="A104" s="105" t="n"/>
      <c r="B104" s="105" t="n"/>
      <c r="C104" s="127" t="n"/>
      <c r="D104" s="167">
        <f>IF(C104="","",COUNTIFS(Transaksi!$G$16:$G$5015,A104,Transaksi!$H$16:$H$5015,B104,Transaksi!$I$16:$I$5015,C104))</f>
        <v/>
      </c>
      <c r="E104" s="106">
        <f>IF(C104="","",SUMIFS(Transaksi!$F$16:$F$5015,Transaksi!$G$16:$G$5015,A104,Transaksi!$H$16:$H$5015,B104,Transaksi!$I$16:$I$5015,C104))</f>
        <v/>
      </c>
      <c r="F104" s="106">
        <f>IF(C104="","",SUMIFS(Transaksi!$F$16:$F$5015,Transaksi!$G$16:$G$5015,A104,Transaksi!$H$16:$H$5015,B104,Transaksi!$I$16:$I$5015,C104,Transaksi!$B$16:$B$5015,"&gt;="&amp;DATE(Dashboard!$C$4,1,1),Transaksi!$B$16:$B$5015,"&lt;="&amp;DATE(Dashboard!$C$4,12,31)))</f>
        <v/>
      </c>
    </row>
    <row r="105" ht="15" customHeight="1" s="94">
      <c r="A105" s="105" t="n"/>
      <c r="B105" s="105" t="n"/>
      <c r="C105" s="127" t="n"/>
      <c r="D105" s="167">
        <f>IF(C105="","",COUNTIFS(Transaksi!$G$16:$G$5015,A105,Transaksi!$H$16:$H$5015,B105,Transaksi!$I$16:$I$5015,C105))</f>
        <v/>
      </c>
      <c r="E105" s="106">
        <f>IF(C105="","",SUMIFS(Transaksi!$F$16:$F$5015,Transaksi!$G$16:$G$5015,A105,Transaksi!$H$16:$H$5015,B105,Transaksi!$I$16:$I$5015,C105))</f>
        <v/>
      </c>
      <c r="F105" s="106">
        <f>IF(C105="","",SUMIFS(Transaksi!$F$16:$F$5015,Transaksi!$G$16:$G$5015,A105,Transaksi!$H$16:$H$5015,B105,Transaksi!$I$16:$I$5015,C105,Transaksi!$B$16:$B$5015,"&gt;="&amp;DATE(Dashboard!$C$4,1,1),Transaksi!$B$16:$B$5015,"&lt;="&amp;DATE(Dashboard!$C$4,12,31)))</f>
        <v/>
      </c>
    </row>
    <row r="106" ht="15" customHeight="1" s="94">
      <c r="A106" s="105" t="n"/>
      <c r="B106" s="105" t="n"/>
      <c r="C106" s="127" t="n"/>
      <c r="D106" s="167">
        <f>IF(C106="","",COUNTIFS(Transaksi!$G$16:$G$5015,A106,Transaksi!$H$16:$H$5015,B106,Transaksi!$I$16:$I$5015,C106))</f>
        <v/>
      </c>
      <c r="E106" s="106">
        <f>IF(C106="","",SUMIFS(Transaksi!$F$16:$F$5015,Transaksi!$G$16:$G$5015,A106,Transaksi!$H$16:$H$5015,B106,Transaksi!$I$16:$I$5015,C106))</f>
        <v/>
      </c>
      <c r="F106" s="106">
        <f>IF(C106="","",SUMIFS(Transaksi!$F$16:$F$5015,Transaksi!$G$16:$G$5015,A106,Transaksi!$H$16:$H$5015,B106,Transaksi!$I$16:$I$5015,C106,Transaksi!$B$16:$B$5015,"&gt;="&amp;DATE(Dashboard!$C$4,1,1),Transaksi!$B$16:$B$5015,"&lt;="&amp;DATE(Dashboard!$C$4,12,31)))</f>
        <v/>
      </c>
    </row>
    <row r="107" ht="15" customHeight="1" s="94">
      <c r="A107" s="105" t="n"/>
      <c r="B107" s="105" t="n"/>
      <c r="C107" s="127" t="n"/>
      <c r="D107" s="167">
        <f>IF(C107="","",COUNTIFS(Transaksi!$G$16:$G$5015,A107,Transaksi!$H$16:$H$5015,B107,Transaksi!$I$16:$I$5015,C107))</f>
        <v/>
      </c>
      <c r="E107" s="106">
        <f>IF(C107="","",SUMIFS(Transaksi!$F$16:$F$5015,Transaksi!$G$16:$G$5015,A107,Transaksi!$H$16:$H$5015,B107,Transaksi!$I$16:$I$5015,C107))</f>
        <v/>
      </c>
      <c r="F107" s="106">
        <f>IF(C107="","",SUMIFS(Transaksi!$F$16:$F$5015,Transaksi!$G$16:$G$5015,A107,Transaksi!$H$16:$H$5015,B107,Transaksi!$I$16:$I$5015,C107,Transaksi!$B$16:$B$5015,"&gt;="&amp;DATE(Dashboard!$C$4,1,1),Transaksi!$B$16:$B$5015,"&lt;="&amp;DATE(Dashboard!$C$4,12,31)))</f>
        <v/>
      </c>
    </row>
    <row r="108" ht="15" customHeight="1" s="94">
      <c r="A108" s="105" t="n"/>
      <c r="B108" s="105" t="n"/>
      <c r="C108" s="127" t="n"/>
      <c r="D108" s="167">
        <f>IF(C108="","",COUNTIFS(Transaksi!$G$16:$G$5015,A108,Transaksi!$H$16:$H$5015,B108,Transaksi!$I$16:$I$5015,C108))</f>
        <v/>
      </c>
      <c r="E108" s="106">
        <f>IF(C108="","",SUMIFS(Transaksi!$F$16:$F$5015,Transaksi!$G$16:$G$5015,A108,Transaksi!$H$16:$H$5015,B108,Transaksi!$I$16:$I$5015,C108))</f>
        <v/>
      </c>
      <c r="F108" s="106">
        <f>IF(C108="","",SUMIFS(Transaksi!$F$16:$F$5015,Transaksi!$G$16:$G$5015,A108,Transaksi!$H$16:$H$5015,B108,Transaksi!$I$16:$I$5015,C108,Transaksi!$B$16:$B$5015,"&gt;="&amp;DATE(Dashboard!$C$4,1,1),Transaksi!$B$16:$B$5015,"&lt;="&amp;DATE(Dashboard!$C$4,12,31)))</f>
        <v/>
      </c>
    </row>
    <row r="109" ht="15" customHeight="1" s="94">
      <c r="A109" s="105" t="n"/>
      <c r="B109" s="105" t="n"/>
      <c r="C109" s="127" t="n"/>
      <c r="D109" s="167">
        <f>IF(C109="","",COUNTIFS(Transaksi!$G$16:$G$5015,A109,Transaksi!$H$16:$H$5015,B109,Transaksi!$I$16:$I$5015,C109))</f>
        <v/>
      </c>
      <c r="E109" s="106">
        <f>IF(C109="","",SUMIFS(Transaksi!$F$16:$F$5015,Transaksi!$G$16:$G$5015,A109,Transaksi!$H$16:$H$5015,B109,Transaksi!$I$16:$I$5015,C109))</f>
        <v/>
      </c>
      <c r="F109" s="106">
        <f>IF(C109="","",SUMIFS(Transaksi!$F$16:$F$5015,Transaksi!$G$16:$G$5015,A109,Transaksi!$H$16:$H$5015,B109,Transaksi!$I$16:$I$5015,C109,Transaksi!$B$16:$B$5015,"&gt;="&amp;DATE(Dashboard!$C$4,1,1),Transaksi!$B$16:$B$5015,"&lt;="&amp;DATE(Dashboard!$C$4,12,31)))</f>
        <v/>
      </c>
    </row>
    <row r="110" ht="15" customHeight="1" s="94">
      <c r="A110" s="105" t="n"/>
      <c r="B110" s="105" t="n"/>
      <c r="C110" s="127" t="n"/>
      <c r="D110" s="167">
        <f>IF(C110="","",COUNTIFS(Transaksi!$G$16:$G$5015,A110,Transaksi!$H$16:$H$5015,B110,Transaksi!$I$16:$I$5015,C110))</f>
        <v/>
      </c>
      <c r="E110" s="106">
        <f>IF(C110="","",SUMIFS(Transaksi!$F$16:$F$5015,Transaksi!$G$16:$G$5015,A110,Transaksi!$H$16:$H$5015,B110,Transaksi!$I$16:$I$5015,C110))</f>
        <v/>
      </c>
      <c r="F110" s="106">
        <f>IF(C110="","",SUMIFS(Transaksi!$F$16:$F$5015,Transaksi!$G$16:$G$5015,A110,Transaksi!$H$16:$H$5015,B110,Transaksi!$I$16:$I$5015,C110,Transaksi!$B$16:$B$5015,"&gt;="&amp;DATE(Dashboard!$C$4,1,1),Transaksi!$B$16:$B$5015,"&lt;="&amp;DATE(Dashboard!$C$4,12,31)))</f>
        <v/>
      </c>
    </row>
    <row r="111" ht="15" customHeight="1" s="94">
      <c r="A111" s="105" t="n"/>
      <c r="B111" s="105" t="n"/>
      <c r="C111" s="127" t="n"/>
      <c r="D111" s="167">
        <f>IF(C111="","",COUNTIFS(Transaksi!$G$16:$G$5015,A111,Transaksi!$H$16:$H$5015,B111,Transaksi!$I$16:$I$5015,C111))</f>
        <v/>
      </c>
      <c r="E111" s="106">
        <f>IF(C111="","",SUMIFS(Transaksi!$F$16:$F$5015,Transaksi!$G$16:$G$5015,A111,Transaksi!$H$16:$H$5015,B111,Transaksi!$I$16:$I$5015,C111))</f>
        <v/>
      </c>
      <c r="F111" s="106">
        <f>IF(C111="","",SUMIFS(Transaksi!$F$16:$F$5015,Transaksi!$G$16:$G$5015,A111,Transaksi!$H$16:$H$5015,B111,Transaksi!$I$16:$I$5015,C111,Transaksi!$B$16:$B$5015,"&gt;="&amp;DATE(Dashboard!$C$4,1,1),Transaksi!$B$16:$B$5015,"&lt;="&amp;DATE(Dashboard!$C$4,12,31)))</f>
        <v/>
      </c>
    </row>
    <row r="112" ht="15" customHeight="1" s="94">
      <c r="A112" s="105" t="n"/>
      <c r="B112" s="105" t="n"/>
      <c r="C112" s="127" t="n"/>
      <c r="D112" s="167">
        <f>IF(C112="","",COUNTIFS(Transaksi!$G$16:$G$5015,A112,Transaksi!$H$16:$H$5015,B112,Transaksi!$I$16:$I$5015,C112))</f>
        <v/>
      </c>
      <c r="E112" s="106">
        <f>IF(C112="","",SUMIFS(Transaksi!$F$16:$F$5015,Transaksi!$G$16:$G$5015,A112,Transaksi!$H$16:$H$5015,B112,Transaksi!$I$16:$I$5015,C112))</f>
        <v/>
      </c>
      <c r="F112" s="106">
        <f>IF(C112="","",SUMIFS(Transaksi!$F$16:$F$5015,Transaksi!$G$16:$G$5015,A112,Transaksi!$H$16:$H$5015,B112,Transaksi!$I$16:$I$5015,C112,Transaksi!$B$16:$B$5015,"&gt;="&amp;DATE(Dashboard!$C$4,1,1),Transaksi!$B$16:$B$5015,"&lt;="&amp;DATE(Dashboard!$C$4,12,31)))</f>
        <v/>
      </c>
    </row>
    <row r="113" ht="15" customHeight="1" s="94">
      <c r="A113" s="105" t="n"/>
      <c r="B113" s="105" t="n"/>
      <c r="C113" s="127" t="n"/>
      <c r="D113" s="167">
        <f>IF(C113="","",COUNTIFS(Transaksi!$G$16:$G$5015,A113,Transaksi!$H$16:$H$5015,B113,Transaksi!$I$16:$I$5015,C113))</f>
        <v/>
      </c>
      <c r="E113" s="106">
        <f>IF(C113="","",SUMIFS(Transaksi!$F$16:$F$5015,Transaksi!$G$16:$G$5015,A113,Transaksi!$H$16:$H$5015,B113,Transaksi!$I$16:$I$5015,C113))</f>
        <v/>
      </c>
      <c r="F113" s="106">
        <f>IF(C113="","",SUMIFS(Transaksi!$F$16:$F$5015,Transaksi!$G$16:$G$5015,A113,Transaksi!$H$16:$H$5015,B113,Transaksi!$I$16:$I$5015,C113,Transaksi!$B$16:$B$5015,"&gt;="&amp;DATE(Dashboard!$C$4,1,1),Transaksi!$B$16:$B$5015,"&lt;="&amp;DATE(Dashboard!$C$4,12,31)))</f>
        <v/>
      </c>
    </row>
    <row r="114" ht="15" customHeight="1" s="94">
      <c r="A114" s="105" t="n"/>
      <c r="B114" s="105" t="n"/>
      <c r="C114" s="127" t="n"/>
      <c r="D114" s="167">
        <f>IF(C114="","",COUNTIFS(Transaksi!$G$16:$G$5015,A114,Transaksi!$H$16:$H$5015,B114,Transaksi!$I$16:$I$5015,C114))</f>
        <v/>
      </c>
      <c r="E114" s="106">
        <f>IF(C114="","",SUMIFS(Transaksi!$F$16:$F$5015,Transaksi!$G$16:$G$5015,A114,Transaksi!$H$16:$H$5015,B114,Transaksi!$I$16:$I$5015,C114))</f>
        <v/>
      </c>
      <c r="F114" s="106">
        <f>IF(C114="","",SUMIFS(Transaksi!$F$16:$F$5015,Transaksi!$G$16:$G$5015,A114,Transaksi!$H$16:$H$5015,B114,Transaksi!$I$16:$I$5015,C114,Transaksi!$B$16:$B$5015,"&gt;="&amp;DATE(Dashboard!$C$4,1,1),Transaksi!$B$16:$B$5015,"&lt;="&amp;DATE(Dashboard!$C$4,12,31)))</f>
        <v/>
      </c>
    </row>
    <row r="115" ht="15" customHeight="1" s="94">
      <c r="A115" s="105" t="n"/>
      <c r="B115" s="105" t="n"/>
      <c r="C115" s="127" t="n"/>
      <c r="D115" s="167">
        <f>IF(C115="","",COUNTIFS(Transaksi!$G$16:$G$5015,A115,Transaksi!$H$16:$H$5015,B115,Transaksi!$I$16:$I$5015,C115))</f>
        <v/>
      </c>
      <c r="E115" s="106">
        <f>IF(C115="","",SUMIFS(Transaksi!$F$16:$F$5015,Transaksi!$G$16:$G$5015,A115,Transaksi!$H$16:$H$5015,B115,Transaksi!$I$16:$I$5015,C115))</f>
        <v/>
      </c>
      <c r="F115" s="106">
        <f>IF(C115="","",SUMIFS(Transaksi!$F$16:$F$5015,Transaksi!$G$16:$G$5015,A115,Transaksi!$H$16:$H$5015,B115,Transaksi!$I$16:$I$5015,C115,Transaksi!$B$16:$B$5015,"&gt;="&amp;DATE(Dashboard!$C$4,1,1),Transaksi!$B$16:$B$5015,"&lt;="&amp;DATE(Dashboard!$C$4,12,31)))</f>
        <v/>
      </c>
    </row>
    <row r="116" ht="15" customHeight="1" s="94">
      <c r="A116" s="105" t="n"/>
      <c r="B116" s="105" t="n"/>
      <c r="C116" s="127" t="n"/>
      <c r="D116" s="167">
        <f>IF(C116="","",COUNTIFS(Transaksi!$G$16:$G$5015,A116,Transaksi!$H$16:$H$5015,B116,Transaksi!$I$16:$I$5015,C116))</f>
        <v/>
      </c>
      <c r="E116" s="106">
        <f>IF(C116="","",SUMIFS(Transaksi!$F$16:$F$5015,Transaksi!$G$16:$G$5015,A116,Transaksi!$H$16:$H$5015,B116,Transaksi!$I$16:$I$5015,C116))</f>
        <v/>
      </c>
      <c r="F116" s="106">
        <f>IF(C116="","",SUMIFS(Transaksi!$F$16:$F$5015,Transaksi!$G$16:$G$5015,A116,Transaksi!$H$16:$H$5015,B116,Transaksi!$I$16:$I$5015,C116,Transaksi!$B$16:$B$5015,"&gt;="&amp;DATE(Dashboard!$C$4,1,1),Transaksi!$B$16:$B$5015,"&lt;="&amp;DATE(Dashboard!$C$4,12,31)))</f>
        <v/>
      </c>
    </row>
    <row r="117" ht="15" customHeight="1" s="94">
      <c r="A117" s="105" t="n"/>
      <c r="B117" s="105" t="n"/>
      <c r="C117" s="127" t="n"/>
      <c r="D117" s="167">
        <f>IF(C117="","",COUNTIFS(Transaksi!$G$16:$G$5015,A117,Transaksi!$H$16:$H$5015,B117,Transaksi!$I$16:$I$5015,C117))</f>
        <v/>
      </c>
      <c r="E117" s="106">
        <f>IF(C117="","",SUMIFS(Transaksi!$F$16:$F$5015,Transaksi!$G$16:$G$5015,A117,Transaksi!$H$16:$H$5015,B117,Transaksi!$I$16:$I$5015,C117))</f>
        <v/>
      </c>
      <c r="F117" s="106">
        <f>IF(C117="","",SUMIFS(Transaksi!$F$16:$F$5015,Transaksi!$G$16:$G$5015,A117,Transaksi!$H$16:$H$5015,B117,Transaksi!$I$16:$I$5015,C117,Transaksi!$B$16:$B$5015,"&gt;="&amp;DATE(Dashboard!$C$4,1,1),Transaksi!$B$16:$B$5015,"&lt;="&amp;DATE(Dashboard!$C$4,12,31)))</f>
        <v/>
      </c>
    </row>
    <row r="118" ht="15" customHeight="1" s="94">
      <c r="A118" s="105" t="n"/>
      <c r="B118" s="105" t="n"/>
      <c r="C118" s="127" t="n"/>
      <c r="D118" s="167">
        <f>IF(C118="","",COUNTIFS(Transaksi!$G$16:$G$5015,A118,Transaksi!$H$16:$H$5015,B118,Transaksi!$I$16:$I$5015,C118))</f>
        <v/>
      </c>
      <c r="E118" s="106">
        <f>IF(C118="","",SUMIFS(Transaksi!$F$16:$F$5015,Transaksi!$G$16:$G$5015,A118,Transaksi!$H$16:$H$5015,B118,Transaksi!$I$16:$I$5015,C118))</f>
        <v/>
      </c>
      <c r="F118" s="106">
        <f>IF(C118="","",SUMIFS(Transaksi!$F$16:$F$5015,Transaksi!$G$16:$G$5015,A118,Transaksi!$H$16:$H$5015,B118,Transaksi!$I$16:$I$5015,C118,Transaksi!$B$16:$B$5015,"&gt;="&amp;DATE(Dashboard!$C$4,1,1),Transaksi!$B$16:$B$5015,"&lt;="&amp;DATE(Dashboard!$C$4,12,31)))</f>
        <v/>
      </c>
    </row>
    <row r="119" ht="15" customHeight="1" s="94">
      <c r="A119" s="105" t="n"/>
      <c r="B119" s="105" t="n"/>
      <c r="C119" s="127" t="n"/>
      <c r="D119" s="167">
        <f>IF(C119="","",COUNTIFS(Transaksi!$G$16:$G$5015,A119,Transaksi!$H$16:$H$5015,B119,Transaksi!$I$16:$I$5015,C119))</f>
        <v/>
      </c>
      <c r="E119" s="106">
        <f>IF(C119="","",SUMIFS(Transaksi!$F$16:$F$5015,Transaksi!$G$16:$G$5015,A119,Transaksi!$H$16:$H$5015,B119,Transaksi!$I$16:$I$5015,C119))</f>
        <v/>
      </c>
      <c r="F119" s="106">
        <f>IF(C119="","",SUMIFS(Transaksi!$F$16:$F$5015,Transaksi!$G$16:$G$5015,A119,Transaksi!$H$16:$H$5015,B119,Transaksi!$I$16:$I$5015,C119,Transaksi!$B$16:$B$5015,"&gt;="&amp;DATE(Dashboard!$C$4,1,1),Transaksi!$B$16:$B$5015,"&lt;="&amp;DATE(Dashboard!$C$4,12,31)))</f>
        <v/>
      </c>
    </row>
    <row r="120" ht="15" customHeight="1" s="94">
      <c r="A120" s="105" t="n"/>
      <c r="B120" s="105" t="n"/>
      <c r="C120" s="127" t="n"/>
      <c r="D120" s="167">
        <f>IF(C120="","",COUNTIFS(Transaksi!$G$16:$G$5015,A120,Transaksi!$H$16:$H$5015,B120,Transaksi!$I$16:$I$5015,C120))</f>
        <v/>
      </c>
      <c r="E120" s="106">
        <f>IF(C120="","",SUMIFS(Transaksi!$F$16:$F$5015,Transaksi!$G$16:$G$5015,A120,Transaksi!$H$16:$H$5015,B120,Transaksi!$I$16:$I$5015,C120))</f>
        <v/>
      </c>
      <c r="F120" s="106">
        <f>IF(C120="","",SUMIFS(Transaksi!$F$16:$F$5015,Transaksi!$G$16:$G$5015,A120,Transaksi!$H$16:$H$5015,B120,Transaksi!$I$16:$I$5015,C120,Transaksi!$B$16:$B$5015,"&gt;="&amp;DATE(Dashboard!$C$4,1,1),Transaksi!$B$16:$B$5015,"&lt;="&amp;DATE(Dashboard!$C$4,12,31)))</f>
        <v/>
      </c>
    </row>
    <row r="121" ht="15" customHeight="1" s="94">
      <c r="A121" s="105" t="n"/>
      <c r="B121" s="105" t="n"/>
      <c r="C121" s="127" t="n"/>
      <c r="D121" s="167">
        <f>IF(C121="","",COUNTIFS(Transaksi!$G$16:$G$5015,A121,Transaksi!$H$16:$H$5015,B121,Transaksi!$I$16:$I$5015,C121))</f>
        <v/>
      </c>
      <c r="E121" s="106">
        <f>IF(C121="","",SUMIFS(Transaksi!$F$16:$F$5015,Transaksi!$G$16:$G$5015,A121,Transaksi!$H$16:$H$5015,B121,Transaksi!$I$16:$I$5015,C121))</f>
        <v/>
      </c>
      <c r="F121" s="106">
        <f>IF(C121="","",SUMIFS(Transaksi!$F$16:$F$5015,Transaksi!$G$16:$G$5015,A121,Transaksi!$H$16:$H$5015,B121,Transaksi!$I$16:$I$5015,C121,Transaksi!$B$16:$B$5015,"&gt;="&amp;DATE(Dashboard!$C$4,1,1),Transaksi!$B$16:$B$5015,"&lt;="&amp;DATE(Dashboard!$C$4,12,31)))</f>
        <v/>
      </c>
    </row>
    <row r="122" ht="15" customHeight="1" s="94">
      <c r="A122" s="105" t="n"/>
      <c r="B122" s="105" t="n"/>
      <c r="C122" s="127" t="n"/>
      <c r="D122" s="167">
        <f>IF(C122="","",COUNTIFS(Transaksi!$G$16:$G$5015,A122,Transaksi!$H$16:$H$5015,B122,Transaksi!$I$16:$I$5015,C122))</f>
        <v/>
      </c>
      <c r="E122" s="106">
        <f>IF(C122="","",SUMIFS(Transaksi!$F$16:$F$5015,Transaksi!$G$16:$G$5015,A122,Transaksi!$H$16:$H$5015,B122,Transaksi!$I$16:$I$5015,C122))</f>
        <v/>
      </c>
      <c r="F122" s="106">
        <f>IF(C122="","",SUMIFS(Transaksi!$F$16:$F$5015,Transaksi!$G$16:$G$5015,A122,Transaksi!$H$16:$H$5015,B122,Transaksi!$I$16:$I$5015,C122,Transaksi!$B$16:$B$5015,"&gt;="&amp;DATE(Dashboard!$C$4,1,1),Transaksi!$B$16:$B$5015,"&lt;="&amp;DATE(Dashboard!$C$4,12,31)))</f>
        <v/>
      </c>
    </row>
    <row r="123" ht="15" customHeight="1" s="94">
      <c r="A123" s="105" t="n"/>
      <c r="B123" s="105" t="n"/>
      <c r="C123" s="127" t="n"/>
      <c r="D123" s="167">
        <f>IF(C123="","",COUNTIFS(Transaksi!$G$16:$G$5015,A123,Transaksi!$H$16:$H$5015,B123,Transaksi!$I$16:$I$5015,C123))</f>
        <v/>
      </c>
      <c r="E123" s="106">
        <f>IF(C123="","",SUMIFS(Transaksi!$F$16:$F$5015,Transaksi!$G$16:$G$5015,A123,Transaksi!$H$16:$H$5015,B123,Transaksi!$I$16:$I$5015,C123))</f>
        <v/>
      </c>
      <c r="F123" s="106">
        <f>IF(C123="","",SUMIFS(Transaksi!$F$16:$F$5015,Transaksi!$G$16:$G$5015,A123,Transaksi!$H$16:$H$5015,B123,Transaksi!$I$16:$I$5015,C123,Transaksi!$B$16:$B$5015,"&gt;="&amp;DATE(Dashboard!$C$4,1,1),Transaksi!$B$16:$B$5015,"&lt;="&amp;DATE(Dashboard!$C$4,12,31)))</f>
        <v/>
      </c>
    </row>
    <row r="124" ht="15" customHeight="1" s="94">
      <c r="A124" s="105" t="n"/>
      <c r="B124" s="105" t="n"/>
      <c r="C124" s="127" t="n"/>
      <c r="D124" s="167">
        <f>IF(C124="","",COUNTIFS(Transaksi!$G$16:$G$5015,A124,Transaksi!$H$16:$H$5015,B124,Transaksi!$I$16:$I$5015,C124))</f>
        <v/>
      </c>
      <c r="E124" s="106">
        <f>IF(C124="","",SUMIFS(Transaksi!$F$16:$F$5015,Transaksi!$G$16:$G$5015,A124,Transaksi!$H$16:$H$5015,B124,Transaksi!$I$16:$I$5015,C124))</f>
        <v/>
      </c>
      <c r="F124" s="106">
        <f>IF(C124="","",SUMIFS(Transaksi!$F$16:$F$5015,Transaksi!$G$16:$G$5015,A124,Transaksi!$H$16:$H$5015,B124,Transaksi!$I$16:$I$5015,C124,Transaksi!$B$16:$B$5015,"&gt;="&amp;DATE(Dashboard!$C$4,1,1),Transaksi!$B$16:$B$5015,"&lt;="&amp;DATE(Dashboard!$C$4,12,31)))</f>
        <v/>
      </c>
    </row>
    <row r="125" ht="15" customHeight="1" s="94">
      <c r="A125" s="105" t="n"/>
      <c r="B125" s="105" t="n"/>
      <c r="C125" s="127" t="n"/>
      <c r="D125" s="167">
        <f>IF(C125="","",COUNTIFS(Transaksi!$G$16:$G$5015,A125,Transaksi!$H$16:$H$5015,B125,Transaksi!$I$16:$I$5015,C125))</f>
        <v/>
      </c>
      <c r="E125" s="106">
        <f>IF(C125="","",SUMIFS(Transaksi!$F$16:$F$5015,Transaksi!$G$16:$G$5015,A125,Transaksi!$H$16:$H$5015,B125,Transaksi!$I$16:$I$5015,C125))</f>
        <v/>
      </c>
      <c r="F125" s="106">
        <f>IF(C125="","",SUMIFS(Transaksi!$F$16:$F$5015,Transaksi!$G$16:$G$5015,A125,Transaksi!$H$16:$H$5015,B125,Transaksi!$I$16:$I$5015,C125,Transaksi!$B$16:$B$5015,"&gt;="&amp;DATE(Dashboard!$C$4,1,1),Transaksi!$B$16:$B$5015,"&lt;="&amp;DATE(Dashboard!$C$4,12,31)))</f>
        <v/>
      </c>
    </row>
    <row r="126" ht="15" customHeight="1" s="94">
      <c r="A126" s="105" t="n"/>
      <c r="B126" s="105" t="n"/>
      <c r="C126" s="127" t="n"/>
      <c r="D126" s="167">
        <f>IF(C126="","",COUNTIFS(Transaksi!$G$16:$G$5015,A126,Transaksi!$H$16:$H$5015,B126,Transaksi!$I$16:$I$5015,C126))</f>
        <v/>
      </c>
      <c r="E126" s="106">
        <f>IF(C126="","",SUMIFS(Transaksi!$F$16:$F$5015,Transaksi!$G$16:$G$5015,A126,Transaksi!$H$16:$H$5015,B126,Transaksi!$I$16:$I$5015,C126))</f>
        <v/>
      </c>
      <c r="F126" s="106">
        <f>IF(C126="","",SUMIFS(Transaksi!$F$16:$F$5015,Transaksi!$G$16:$G$5015,A126,Transaksi!$H$16:$H$5015,B126,Transaksi!$I$16:$I$5015,C126,Transaksi!$B$16:$B$5015,"&gt;="&amp;DATE(Dashboard!$C$4,1,1),Transaksi!$B$16:$B$5015,"&lt;="&amp;DATE(Dashboard!$C$4,12,31)))</f>
        <v/>
      </c>
    </row>
    <row r="127" ht="15" customHeight="1" s="94">
      <c r="A127" s="105" t="n"/>
      <c r="B127" s="105" t="n"/>
      <c r="C127" s="127" t="n"/>
      <c r="D127" s="167">
        <f>IF(C127="","",COUNTIFS(Transaksi!$G$16:$G$5015,A127,Transaksi!$H$16:$H$5015,B127,Transaksi!$I$16:$I$5015,C127))</f>
        <v/>
      </c>
      <c r="E127" s="106">
        <f>IF(C127="","",SUMIFS(Transaksi!$F$16:$F$5015,Transaksi!$G$16:$G$5015,A127,Transaksi!$H$16:$H$5015,B127,Transaksi!$I$16:$I$5015,C127))</f>
        <v/>
      </c>
      <c r="F127" s="106">
        <f>IF(C127="","",SUMIFS(Transaksi!$F$16:$F$5015,Transaksi!$G$16:$G$5015,A127,Transaksi!$H$16:$H$5015,B127,Transaksi!$I$16:$I$5015,C127,Transaksi!$B$16:$B$5015,"&gt;="&amp;DATE(Dashboard!$C$4,1,1),Transaksi!$B$16:$B$5015,"&lt;="&amp;DATE(Dashboard!$C$4,12,31)))</f>
        <v/>
      </c>
    </row>
    <row r="128" ht="15" customHeight="1" s="94">
      <c r="A128" s="105" t="n"/>
      <c r="B128" s="105" t="n"/>
      <c r="C128" s="127" t="n"/>
      <c r="D128" s="167">
        <f>IF(C128="","",COUNTIFS(Transaksi!$G$16:$G$5015,A128,Transaksi!$H$16:$H$5015,B128,Transaksi!$I$16:$I$5015,C128))</f>
        <v/>
      </c>
      <c r="E128" s="106">
        <f>IF(C128="","",SUMIFS(Transaksi!$F$16:$F$5015,Transaksi!$G$16:$G$5015,A128,Transaksi!$H$16:$H$5015,B128,Transaksi!$I$16:$I$5015,C128))</f>
        <v/>
      </c>
      <c r="F128" s="106">
        <f>IF(C128="","",SUMIFS(Transaksi!$F$16:$F$5015,Transaksi!$G$16:$G$5015,A128,Transaksi!$H$16:$H$5015,B128,Transaksi!$I$16:$I$5015,C128,Transaksi!$B$16:$B$5015,"&gt;="&amp;DATE(Dashboard!$C$4,1,1),Transaksi!$B$16:$B$5015,"&lt;="&amp;DATE(Dashboard!$C$4,12,31)))</f>
        <v/>
      </c>
    </row>
    <row r="129" ht="15" customHeight="1" s="94">
      <c r="A129" s="105" t="n"/>
      <c r="B129" s="105" t="n"/>
      <c r="C129" s="127" t="n"/>
      <c r="D129" s="167">
        <f>IF(C129="","",COUNTIFS(Transaksi!$G$16:$G$5015,A129,Transaksi!$H$16:$H$5015,B129,Transaksi!$I$16:$I$5015,C129))</f>
        <v/>
      </c>
      <c r="E129" s="106">
        <f>IF(C129="","",SUMIFS(Transaksi!$F$16:$F$5015,Transaksi!$G$16:$G$5015,A129,Transaksi!$H$16:$H$5015,B129,Transaksi!$I$16:$I$5015,C129))</f>
        <v/>
      </c>
      <c r="F129" s="106">
        <f>IF(C129="","",SUMIFS(Transaksi!$F$16:$F$5015,Transaksi!$G$16:$G$5015,A129,Transaksi!$H$16:$H$5015,B129,Transaksi!$I$16:$I$5015,C129,Transaksi!$B$16:$B$5015,"&gt;="&amp;DATE(Dashboard!$C$4,1,1),Transaksi!$B$16:$B$5015,"&lt;="&amp;DATE(Dashboard!$C$4,12,31)))</f>
        <v/>
      </c>
    </row>
    <row r="130" ht="15" customHeight="1" s="94">
      <c r="A130" s="105" t="n"/>
      <c r="B130" s="105" t="n"/>
      <c r="C130" s="127" t="n"/>
      <c r="D130" s="167">
        <f>IF(C130="","",COUNTIFS(Transaksi!$G$16:$G$5015,A130,Transaksi!$H$16:$H$5015,B130,Transaksi!$I$16:$I$5015,C130))</f>
        <v/>
      </c>
      <c r="E130" s="106">
        <f>IF(C130="","",SUMIFS(Transaksi!$F$16:$F$5015,Transaksi!$G$16:$G$5015,A130,Transaksi!$H$16:$H$5015,B130,Transaksi!$I$16:$I$5015,C130))</f>
        <v/>
      </c>
      <c r="F130" s="106">
        <f>IF(C130="","",SUMIFS(Transaksi!$F$16:$F$5015,Transaksi!$G$16:$G$5015,A130,Transaksi!$H$16:$H$5015,B130,Transaksi!$I$16:$I$5015,C130,Transaksi!$B$16:$B$5015,"&gt;="&amp;DATE(Dashboard!$C$4,1,1),Transaksi!$B$16:$B$5015,"&lt;="&amp;DATE(Dashboard!$C$4,12,31)))</f>
        <v/>
      </c>
    </row>
    <row r="131" ht="15" customHeight="1" s="94">
      <c r="A131" s="105" t="n"/>
      <c r="B131" s="105" t="n"/>
      <c r="C131" s="127" t="n"/>
      <c r="D131" s="167">
        <f>IF(C131="","",COUNTIFS(Transaksi!$G$16:$G$5015,A131,Transaksi!$H$16:$H$5015,B131,Transaksi!$I$16:$I$5015,C131))</f>
        <v/>
      </c>
      <c r="E131" s="106">
        <f>IF(C131="","",SUMIFS(Transaksi!$F$16:$F$5015,Transaksi!$G$16:$G$5015,A131,Transaksi!$H$16:$H$5015,B131,Transaksi!$I$16:$I$5015,C131))</f>
        <v/>
      </c>
      <c r="F131" s="106">
        <f>IF(C131="","",SUMIFS(Transaksi!$F$16:$F$5015,Transaksi!$G$16:$G$5015,A131,Transaksi!$H$16:$H$5015,B131,Transaksi!$I$16:$I$5015,C131,Transaksi!$B$16:$B$5015,"&gt;="&amp;DATE(Dashboard!$C$4,1,1),Transaksi!$B$16:$B$5015,"&lt;="&amp;DATE(Dashboard!$C$4,12,31)))</f>
        <v/>
      </c>
    </row>
    <row r="132" ht="15" customHeight="1" s="94">
      <c r="A132" s="105" t="n"/>
      <c r="B132" s="105" t="n"/>
      <c r="C132" s="127" t="n"/>
      <c r="D132" s="167">
        <f>IF(C132="","",COUNTIFS(Transaksi!$G$16:$G$5015,A132,Transaksi!$H$16:$H$5015,B132,Transaksi!$I$16:$I$5015,C132))</f>
        <v/>
      </c>
      <c r="E132" s="106">
        <f>IF(C132="","",SUMIFS(Transaksi!$F$16:$F$5015,Transaksi!$G$16:$G$5015,A132,Transaksi!$H$16:$H$5015,B132,Transaksi!$I$16:$I$5015,C132))</f>
        <v/>
      </c>
      <c r="F132" s="106">
        <f>IF(C132="","",SUMIFS(Transaksi!$F$16:$F$5015,Transaksi!$G$16:$G$5015,A132,Transaksi!$H$16:$H$5015,B132,Transaksi!$I$16:$I$5015,C132,Transaksi!$B$16:$B$5015,"&gt;="&amp;DATE(Dashboard!$C$4,1,1),Transaksi!$B$16:$B$5015,"&lt;="&amp;DATE(Dashboard!$C$4,12,31)))</f>
        <v/>
      </c>
    </row>
    <row r="133" ht="15" customHeight="1" s="94">
      <c r="A133" s="105" t="n"/>
      <c r="B133" s="105" t="n"/>
      <c r="C133" s="127" t="n"/>
      <c r="D133" s="167">
        <f>IF(C133="","",COUNTIFS(Transaksi!$G$16:$G$5015,A133,Transaksi!$H$16:$H$5015,B133,Transaksi!$I$16:$I$5015,C133))</f>
        <v/>
      </c>
      <c r="E133" s="106">
        <f>IF(C133="","",SUMIFS(Transaksi!$F$16:$F$5015,Transaksi!$G$16:$G$5015,A133,Transaksi!$H$16:$H$5015,B133,Transaksi!$I$16:$I$5015,C133))</f>
        <v/>
      </c>
      <c r="F133" s="106">
        <f>IF(C133="","",SUMIFS(Transaksi!$F$16:$F$5015,Transaksi!$G$16:$G$5015,A133,Transaksi!$H$16:$H$5015,B133,Transaksi!$I$16:$I$5015,C133,Transaksi!$B$16:$B$5015,"&gt;="&amp;DATE(Dashboard!$C$4,1,1),Transaksi!$B$16:$B$5015,"&lt;="&amp;DATE(Dashboard!$C$4,12,31)))</f>
        <v/>
      </c>
    </row>
    <row r="134" ht="15" customHeight="1" s="94">
      <c r="A134" s="105" t="n"/>
      <c r="B134" s="105" t="n"/>
      <c r="C134" s="127" t="n"/>
      <c r="D134" s="167">
        <f>IF(C134="","",COUNTIFS(Transaksi!$G$16:$G$5015,A134,Transaksi!$H$16:$H$5015,B134,Transaksi!$I$16:$I$5015,C134))</f>
        <v/>
      </c>
      <c r="E134" s="106">
        <f>IF(C134="","",SUMIFS(Transaksi!$F$16:$F$5015,Transaksi!$G$16:$G$5015,A134,Transaksi!$H$16:$H$5015,B134,Transaksi!$I$16:$I$5015,C134))</f>
        <v/>
      </c>
      <c r="F134" s="106">
        <f>IF(C134="","",SUMIFS(Transaksi!$F$16:$F$5015,Transaksi!$G$16:$G$5015,A134,Transaksi!$H$16:$H$5015,B134,Transaksi!$I$16:$I$5015,C134,Transaksi!$B$16:$B$5015,"&gt;="&amp;DATE(Dashboard!$C$4,1,1),Transaksi!$B$16:$B$5015,"&lt;="&amp;DATE(Dashboard!$C$4,12,31)))</f>
        <v/>
      </c>
    </row>
    <row r="135" ht="15" customHeight="1" s="94">
      <c r="A135" s="105" t="n"/>
      <c r="B135" s="105" t="n"/>
      <c r="C135" s="127" t="n"/>
      <c r="D135" s="167">
        <f>IF(C135="","",COUNTIFS(Transaksi!$G$16:$G$5015,A135,Transaksi!$H$16:$H$5015,B135,Transaksi!$I$16:$I$5015,C135))</f>
        <v/>
      </c>
      <c r="E135" s="106">
        <f>IF(C135="","",SUMIFS(Transaksi!$F$16:$F$5015,Transaksi!$G$16:$G$5015,A135,Transaksi!$H$16:$H$5015,B135,Transaksi!$I$16:$I$5015,C135))</f>
        <v/>
      </c>
      <c r="F135" s="106">
        <f>IF(C135="","",SUMIFS(Transaksi!$F$16:$F$5015,Transaksi!$G$16:$G$5015,A135,Transaksi!$H$16:$H$5015,B135,Transaksi!$I$16:$I$5015,C135,Transaksi!$B$16:$B$5015,"&gt;="&amp;DATE(Dashboard!$C$4,1,1),Transaksi!$B$16:$B$5015,"&lt;="&amp;DATE(Dashboard!$C$4,12,31)))</f>
        <v/>
      </c>
    </row>
    <row r="136" ht="15" customHeight="1" s="94">
      <c r="A136" s="105" t="n"/>
      <c r="B136" s="105" t="n"/>
      <c r="C136" s="127" t="n"/>
      <c r="D136" s="167">
        <f>IF(C136="","",COUNTIFS(Transaksi!$G$16:$G$5015,A136,Transaksi!$H$16:$H$5015,B136,Transaksi!$I$16:$I$5015,C136))</f>
        <v/>
      </c>
      <c r="E136" s="106">
        <f>IF(C136="","",SUMIFS(Transaksi!$F$16:$F$5015,Transaksi!$G$16:$G$5015,A136,Transaksi!$H$16:$H$5015,B136,Transaksi!$I$16:$I$5015,C136))</f>
        <v/>
      </c>
      <c r="F136" s="106">
        <f>IF(C136="","",SUMIFS(Transaksi!$F$16:$F$5015,Transaksi!$G$16:$G$5015,A136,Transaksi!$H$16:$H$5015,B136,Transaksi!$I$16:$I$5015,C136,Transaksi!$B$16:$B$5015,"&gt;="&amp;DATE(Dashboard!$C$4,1,1),Transaksi!$B$16:$B$5015,"&lt;="&amp;DATE(Dashboard!$C$4,12,31)))</f>
        <v/>
      </c>
    </row>
    <row r="137" ht="15" customHeight="1" s="94">
      <c r="A137" s="105" t="n"/>
      <c r="B137" s="105" t="n"/>
      <c r="C137" s="127" t="n"/>
      <c r="D137" s="167">
        <f>IF(C137="","",COUNTIFS(Transaksi!$G$16:$G$5015,A137,Transaksi!$H$16:$H$5015,B137,Transaksi!$I$16:$I$5015,C137))</f>
        <v/>
      </c>
      <c r="E137" s="106">
        <f>IF(C137="","",SUMIFS(Transaksi!$F$16:$F$5015,Transaksi!$G$16:$G$5015,A137,Transaksi!$H$16:$H$5015,B137,Transaksi!$I$16:$I$5015,C137))</f>
        <v/>
      </c>
      <c r="F137" s="106">
        <f>IF(C137="","",SUMIFS(Transaksi!$F$16:$F$5015,Transaksi!$G$16:$G$5015,A137,Transaksi!$H$16:$H$5015,B137,Transaksi!$I$16:$I$5015,C137,Transaksi!$B$16:$B$5015,"&gt;="&amp;DATE(Dashboard!$C$4,1,1),Transaksi!$B$16:$B$5015,"&lt;="&amp;DATE(Dashboard!$C$4,12,31)))</f>
        <v/>
      </c>
    </row>
    <row r="138" ht="15" customHeight="1" s="94">
      <c r="A138" s="105" t="n"/>
      <c r="B138" s="105" t="n"/>
      <c r="C138" s="127" t="n"/>
      <c r="D138" s="167">
        <f>IF(C138="","",COUNTIFS(Transaksi!$G$16:$G$5015,A138,Transaksi!$H$16:$H$5015,B138,Transaksi!$I$16:$I$5015,C138))</f>
        <v/>
      </c>
      <c r="E138" s="106">
        <f>IF(C138="","",SUMIFS(Transaksi!$F$16:$F$5015,Transaksi!$G$16:$G$5015,A138,Transaksi!$H$16:$H$5015,B138,Transaksi!$I$16:$I$5015,C138))</f>
        <v/>
      </c>
      <c r="F138" s="106">
        <f>IF(C138="","",SUMIFS(Transaksi!$F$16:$F$5015,Transaksi!$G$16:$G$5015,A138,Transaksi!$H$16:$H$5015,B138,Transaksi!$I$16:$I$5015,C138,Transaksi!$B$16:$B$5015,"&gt;="&amp;DATE(Dashboard!$C$4,1,1),Transaksi!$B$16:$B$5015,"&lt;="&amp;DATE(Dashboard!$C$4,12,31)))</f>
        <v/>
      </c>
    </row>
    <row r="139" ht="15" customHeight="1" s="94">
      <c r="A139" s="105" t="n"/>
      <c r="B139" s="105" t="n"/>
      <c r="C139" s="127" t="n"/>
      <c r="D139" s="167">
        <f>IF(C139="","",COUNTIFS(Transaksi!$G$16:$G$5015,A139,Transaksi!$H$16:$H$5015,B139,Transaksi!$I$16:$I$5015,C139))</f>
        <v/>
      </c>
      <c r="E139" s="106">
        <f>IF(C139="","",SUMIFS(Transaksi!$F$16:$F$5015,Transaksi!$G$16:$G$5015,A139,Transaksi!$H$16:$H$5015,B139,Transaksi!$I$16:$I$5015,C139))</f>
        <v/>
      </c>
      <c r="F139" s="106">
        <f>IF(C139="","",SUMIFS(Transaksi!$F$16:$F$5015,Transaksi!$G$16:$G$5015,A139,Transaksi!$H$16:$H$5015,B139,Transaksi!$I$16:$I$5015,C139,Transaksi!$B$16:$B$5015,"&gt;="&amp;DATE(Dashboard!$C$4,1,1),Transaksi!$B$16:$B$5015,"&lt;="&amp;DATE(Dashboard!$C$4,12,31)))</f>
        <v/>
      </c>
    </row>
    <row r="140" ht="15" customHeight="1" s="94">
      <c r="A140" s="105" t="n"/>
      <c r="B140" s="105" t="n"/>
      <c r="C140" s="127" t="n"/>
      <c r="D140" s="167">
        <f>IF(C140="","",COUNTIFS(Transaksi!$G$16:$G$5015,A140,Transaksi!$H$16:$H$5015,B140,Transaksi!$I$16:$I$5015,C140))</f>
        <v/>
      </c>
      <c r="E140" s="106">
        <f>IF(C140="","",SUMIFS(Transaksi!$F$16:$F$5015,Transaksi!$G$16:$G$5015,A140,Transaksi!$H$16:$H$5015,B140,Transaksi!$I$16:$I$5015,C140))</f>
        <v/>
      </c>
      <c r="F140" s="106">
        <f>IF(C140="","",SUMIFS(Transaksi!$F$16:$F$5015,Transaksi!$G$16:$G$5015,A140,Transaksi!$H$16:$H$5015,B140,Transaksi!$I$16:$I$5015,C140,Transaksi!$B$16:$B$5015,"&gt;="&amp;DATE(Dashboard!$C$4,1,1),Transaksi!$B$16:$B$5015,"&lt;="&amp;DATE(Dashboard!$C$4,12,31)))</f>
        <v/>
      </c>
    </row>
    <row r="141" ht="15" customHeight="1" s="94">
      <c r="A141" s="105" t="n"/>
      <c r="B141" s="105" t="n"/>
      <c r="C141" s="127" t="n"/>
      <c r="D141" s="167">
        <f>IF(C141="","",COUNTIFS(Transaksi!$G$16:$G$5015,A141,Transaksi!$H$16:$H$5015,B141,Transaksi!$I$16:$I$5015,C141))</f>
        <v/>
      </c>
      <c r="E141" s="106">
        <f>IF(C141="","",SUMIFS(Transaksi!$F$16:$F$5015,Transaksi!$G$16:$G$5015,A141,Transaksi!$H$16:$H$5015,B141,Transaksi!$I$16:$I$5015,C141))</f>
        <v/>
      </c>
      <c r="F141" s="106">
        <f>IF(C141="","",SUMIFS(Transaksi!$F$16:$F$5015,Transaksi!$G$16:$G$5015,A141,Transaksi!$H$16:$H$5015,B141,Transaksi!$I$16:$I$5015,C141,Transaksi!$B$16:$B$5015,"&gt;="&amp;DATE(Dashboard!$C$4,1,1),Transaksi!$B$16:$B$5015,"&lt;="&amp;DATE(Dashboard!$C$4,12,31)))</f>
        <v/>
      </c>
    </row>
    <row r="142" ht="15" customHeight="1" s="94">
      <c r="A142" s="105" t="n"/>
      <c r="B142" s="105" t="n"/>
      <c r="C142" s="127" t="n"/>
      <c r="D142" s="167">
        <f>IF(C142="","",COUNTIFS(Transaksi!$G$16:$G$5015,A142,Transaksi!$H$16:$H$5015,B142,Transaksi!$I$16:$I$5015,C142))</f>
        <v/>
      </c>
      <c r="E142" s="106">
        <f>IF(C142="","",SUMIFS(Transaksi!$F$16:$F$5015,Transaksi!$G$16:$G$5015,A142,Transaksi!$H$16:$H$5015,B142,Transaksi!$I$16:$I$5015,C142))</f>
        <v/>
      </c>
      <c r="F142" s="106">
        <f>IF(C142="","",SUMIFS(Transaksi!$F$16:$F$5015,Transaksi!$G$16:$G$5015,A142,Transaksi!$H$16:$H$5015,B142,Transaksi!$I$16:$I$5015,C142,Transaksi!$B$16:$B$5015,"&gt;="&amp;DATE(Dashboard!$C$4,1,1),Transaksi!$B$16:$B$5015,"&lt;="&amp;DATE(Dashboard!$C$4,12,31)))</f>
        <v/>
      </c>
    </row>
    <row r="143" ht="15" customHeight="1" s="94">
      <c r="A143" s="105" t="n"/>
      <c r="B143" s="105" t="n"/>
      <c r="C143" s="127" t="n"/>
      <c r="D143" s="167">
        <f>IF(C143="","",COUNTIFS(Transaksi!$G$16:$G$5015,A143,Transaksi!$H$16:$H$5015,B143,Transaksi!$I$16:$I$5015,C143))</f>
        <v/>
      </c>
      <c r="E143" s="106">
        <f>IF(C143="","",SUMIFS(Transaksi!$F$16:$F$5015,Transaksi!$G$16:$G$5015,A143,Transaksi!$H$16:$H$5015,B143,Transaksi!$I$16:$I$5015,C143))</f>
        <v/>
      </c>
      <c r="F143" s="106">
        <f>IF(C143="","",SUMIFS(Transaksi!$F$16:$F$5015,Transaksi!$G$16:$G$5015,A143,Transaksi!$H$16:$H$5015,B143,Transaksi!$I$16:$I$5015,C143,Transaksi!$B$16:$B$5015,"&gt;="&amp;DATE(Dashboard!$C$4,1,1),Transaksi!$B$16:$B$5015,"&lt;="&amp;DATE(Dashboard!$C$4,12,31)))</f>
        <v/>
      </c>
    </row>
    <row r="144" ht="15" customHeight="1" s="94">
      <c r="A144" s="105" t="n"/>
      <c r="B144" s="105" t="n"/>
      <c r="C144" s="127" t="n"/>
      <c r="D144" s="167">
        <f>IF(C144="","",COUNTIFS(Transaksi!$G$16:$G$5015,A144,Transaksi!$H$16:$H$5015,B144,Transaksi!$I$16:$I$5015,C144))</f>
        <v/>
      </c>
      <c r="E144" s="106">
        <f>IF(C144="","",SUMIFS(Transaksi!$F$16:$F$5015,Transaksi!$G$16:$G$5015,A144,Transaksi!$H$16:$H$5015,B144,Transaksi!$I$16:$I$5015,C144))</f>
        <v/>
      </c>
      <c r="F144" s="106">
        <f>IF(C144="","",SUMIFS(Transaksi!$F$16:$F$5015,Transaksi!$G$16:$G$5015,A144,Transaksi!$H$16:$H$5015,B144,Transaksi!$I$16:$I$5015,C144,Transaksi!$B$16:$B$5015,"&gt;="&amp;DATE(Dashboard!$C$4,1,1),Transaksi!$B$16:$B$5015,"&lt;="&amp;DATE(Dashboard!$C$4,12,31)))</f>
        <v/>
      </c>
    </row>
    <row r="145" ht="15" customHeight="1" s="94">
      <c r="A145" s="105" t="n"/>
      <c r="B145" s="105" t="n"/>
      <c r="C145" s="127" t="n"/>
      <c r="D145" s="167">
        <f>IF(C145="","",COUNTIFS(Transaksi!$G$16:$G$5015,A145,Transaksi!$H$16:$H$5015,B145,Transaksi!$I$16:$I$5015,C145))</f>
        <v/>
      </c>
      <c r="E145" s="106">
        <f>IF(C145="","",SUMIFS(Transaksi!$F$16:$F$5015,Transaksi!$G$16:$G$5015,A145,Transaksi!$H$16:$H$5015,B145,Transaksi!$I$16:$I$5015,C145))</f>
        <v/>
      </c>
      <c r="F145" s="106">
        <f>IF(C145="","",SUMIFS(Transaksi!$F$16:$F$5015,Transaksi!$G$16:$G$5015,A145,Transaksi!$H$16:$H$5015,B145,Transaksi!$I$16:$I$5015,C145,Transaksi!$B$16:$B$5015,"&gt;="&amp;DATE(Dashboard!$C$4,1,1),Transaksi!$B$16:$B$5015,"&lt;="&amp;DATE(Dashboard!$C$4,12,31)))</f>
        <v/>
      </c>
    </row>
    <row r="146" ht="15" customHeight="1" s="94">
      <c r="A146" s="105" t="n"/>
      <c r="B146" s="105" t="n"/>
      <c r="C146" s="127" t="n"/>
      <c r="D146" s="167">
        <f>IF(C146="","",COUNTIFS(Transaksi!$G$16:$G$5015,A146,Transaksi!$H$16:$H$5015,B146,Transaksi!$I$16:$I$5015,C146))</f>
        <v/>
      </c>
      <c r="E146" s="106">
        <f>IF(C146="","",SUMIFS(Transaksi!$F$16:$F$5015,Transaksi!$G$16:$G$5015,A146,Transaksi!$H$16:$H$5015,B146,Transaksi!$I$16:$I$5015,C146))</f>
        <v/>
      </c>
      <c r="F146" s="106">
        <f>IF(C146="","",SUMIFS(Transaksi!$F$16:$F$5015,Transaksi!$G$16:$G$5015,A146,Transaksi!$H$16:$H$5015,B146,Transaksi!$I$16:$I$5015,C146,Transaksi!$B$16:$B$5015,"&gt;="&amp;DATE(Dashboard!$C$4,1,1),Transaksi!$B$16:$B$5015,"&lt;="&amp;DATE(Dashboard!$C$4,12,31)))</f>
        <v/>
      </c>
    </row>
    <row r="147" ht="15" customHeight="1" s="94">
      <c r="A147" s="105" t="n"/>
      <c r="B147" s="105" t="n"/>
      <c r="C147" s="127" t="n"/>
      <c r="D147" s="167">
        <f>IF(C147="","",COUNTIFS(Transaksi!$G$16:$G$5015,A147,Transaksi!$H$16:$H$5015,B147,Transaksi!$I$16:$I$5015,C147))</f>
        <v/>
      </c>
      <c r="E147" s="106">
        <f>IF(C147="","",SUMIFS(Transaksi!$F$16:$F$5015,Transaksi!$G$16:$G$5015,A147,Transaksi!$H$16:$H$5015,B147,Transaksi!$I$16:$I$5015,C147))</f>
        <v/>
      </c>
      <c r="F147" s="106">
        <f>IF(C147="","",SUMIFS(Transaksi!$F$16:$F$5015,Transaksi!$G$16:$G$5015,A147,Transaksi!$H$16:$H$5015,B147,Transaksi!$I$16:$I$5015,C147,Transaksi!$B$16:$B$5015,"&gt;="&amp;DATE(Dashboard!$C$4,1,1),Transaksi!$B$16:$B$5015,"&lt;="&amp;DATE(Dashboard!$C$4,12,31)))</f>
        <v/>
      </c>
    </row>
    <row r="148" ht="15" customHeight="1" s="94">
      <c r="A148" s="105" t="n"/>
      <c r="B148" s="105" t="n"/>
      <c r="C148" s="127" t="n"/>
      <c r="D148" s="167">
        <f>IF(C148="","",COUNTIFS(Transaksi!$G$16:$G$5015,A148,Transaksi!$H$16:$H$5015,B148,Transaksi!$I$16:$I$5015,C148))</f>
        <v/>
      </c>
      <c r="E148" s="106">
        <f>IF(C148="","",SUMIFS(Transaksi!$F$16:$F$5015,Transaksi!$G$16:$G$5015,A148,Transaksi!$H$16:$H$5015,B148,Transaksi!$I$16:$I$5015,C148))</f>
        <v/>
      </c>
      <c r="F148" s="106">
        <f>IF(C148="","",SUMIFS(Transaksi!$F$16:$F$5015,Transaksi!$G$16:$G$5015,A148,Transaksi!$H$16:$H$5015,B148,Transaksi!$I$16:$I$5015,C148,Transaksi!$B$16:$B$5015,"&gt;="&amp;DATE(Dashboard!$C$4,1,1),Transaksi!$B$16:$B$5015,"&lt;="&amp;DATE(Dashboard!$C$4,12,31)))</f>
        <v/>
      </c>
    </row>
    <row r="149" ht="15" customHeight="1" s="94">
      <c r="A149" s="105" t="n"/>
      <c r="B149" s="105" t="n"/>
      <c r="C149" s="127" t="n"/>
      <c r="D149" s="167">
        <f>IF(C149="","",COUNTIFS(Transaksi!$G$16:$G$5015,A149,Transaksi!$H$16:$H$5015,B149,Transaksi!$I$16:$I$5015,C149))</f>
        <v/>
      </c>
      <c r="E149" s="106">
        <f>IF(C149="","",SUMIFS(Transaksi!$F$16:$F$5015,Transaksi!$G$16:$G$5015,A149,Transaksi!$H$16:$H$5015,B149,Transaksi!$I$16:$I$5015,C149))</f>
        <v/>
      </c>
      <c r="F149" s="106">
        <f>IF(C149="","",SUMIFS(Transaksi!$F$16:$F$5015,Transaksi!$G$16:$G$5015,A149,Transaksi!$H$16:$H$5015,B149,Transaksi!$I$16:$I$5015,C149,Transaksi!$B$16:$B$5015,"&gt;="&amp;DATE(Dashboard!$C$4,1,1),Transaksi!$B$16:$B$5015,"&lt;="&amp;DATE(Dashboard!$C$4,12,31)))</f>
        <v/>
      </c>
    </row>
    <row r="150" ht="15" customHeight="1" s="94">
      <c r="A150" s="105" t="n"/>
      <c r="B150" s="105" t="n"/>
      <c r="C150" s="127" t="n"/>
      <c r="D150" s="167">
        <f>IF(C150="","",COUNTIFS(Transaksi!$G$16:$G$5015,A150,Transaksi!$H$16:$H$5015,B150,Transaksi!$I$16:$I$5015,C150))</f>
        <v/>
      </c>
      <c r="E150" s="106">
        <f>IF(C150="","",SUMIFS(Transaksi!$F$16:$F$5015,Transaksi!$G$16:$G$5015,A150,Transaksi!$H$16:$H$5015,B150,Transaksi!$I$16:$I$5015,C150))</f>
        <v/>
      </c>
      <c r="F150" s="106">
        <f>IF(C150="","",SUMIFS(Transaksi!$F$16:$F$5015,Transaksi!$G$16:$G$5015,A150,Transaksi!$H$16:$H$5015,B150,Transaksi!$I$16:$I$5015,C150,Transaksi!$B$16:$B$5015,"&gt;="&amp;DATE(Dashboard!$C$4,1,1),Transaksi!$B$16:$B$5015,"&lt;="&amp;DATE(Dashboard!$C$4,12,31)))</f>
        <v/>
      </c>
    </row>
    <row r="151" ht="15" customHeight="1" s="94">
      <c r="A151" s="105" t="n"/>
      <c r="B151" s="105" t="n"/>
      <c r="C151" s="127" t="n"/>
      <c r="D151" s="167">
        <f>IF(C151="","",COUNTIFS(Transaksi!$G$16:$G$5015,A151,Transaksi!$H$16:$H$5015,B151,Transaksi!$I$16:$I$5015,C151))</f>
        <v/>
      </c>
      <c r="E151" s="106">
        <f>IF(C151="","",SUMIFS(Transaksi!$F$16:$F$5015,Transaksi!$G$16:$G$5015,A151,Transaksi!$H$16:$H$5015,B151,Transaksi!$I$16:$I$5015,C151))</f>
        <v/>
      </c>
      <c r="F151" s="106">
        <f>IF(C151="","",SUMIFS(Transaksi!$F$16:$F$5015,Transaksi!$G$16:$G$5015,A151,Transaksi!$H$16:$H$5015,B151,Transaksi!$I$16:$I$5015,C151,Transaksi!$B$16:$B$5015,"&gt;="&amp;DATE(Dashboard!$C$4,1,1),Transaksi!$B$16:$B$5015,"&lt;="&amp;DATE(Dashboard!$C$4,12,31)))</f>
        <v/>
      </c>
    </row>
    <row r="152" ht="15" customHeight="1" s="94">
      <c r="A152" s="105" t="n"/>
      <c r="B152" s="105" t="n"/>
      <c r="C152" s="127" t="n"/>
      <c r="D152" s="167">
        <f>IF(C152="","",COUNTIFS(Transaksi!$G$16:$G$5015,A152,Transaksi!$H$16:$H$5015,B152,Transaksi!$I$16:$I$5015,C152))</f>
        <v/>
      </c>
      <c r="E152" s="106">
        <f>IF(C152="","",SUMIFS(Transaksi!$F$16:$F$5015,Transaksi!$G$16:$G$5015,A152,Transaksi!$H$16:$H$5015,B152,Transaksi!$I$16:$I$5015,C152))</f>
        <v/>
      </c>
      <c r="F152" s="106">
        <f>IF(C152="","",SUMIFS(Transaksi!$F$16:$F$5015,Transaksi!$G$16:$G$5015,A152,Transaksi!$H$16:$H$5015,B152,Transaksi!$I$16:$I$5015,C152,Transaksi!$B$16:$B$5015,"&gt;="&amp;DATE(Dashboard!$C$4,1,1),Transaksi!$B$16:$B$5015,"&lt;="&amp;DATE(Dashboard!$C$4,12,31)))</f>
        <v/>
      </c>
    </row>
    <row r="153" ht="15" customHeight="1" s="94">
      <c r="A153" s="105" t="n"/>
      <c r="B153" s="105" t="n"/>
      <c r="C153" s="127" t="n"/>
      <c r="D153" s="167">
        <f>IF(C153="","",COUNTIFS(Transaksi!$G$16:$G$5015,A153,Transaksi!$H$16:$H$5015,B153,Transaksi!$I$16:$I$5015,C153))</f>
        <v/>
      </c>
      <c r="E153" s="106">
        <f>IF(C153="","",SUMIFS(Transaksi!$F$16:$F$5015,Transaksi!$G$16:$G$5015,A153,Transaksi!$H$16:$H$5015,B153,Transaksi!$I$16:$I$5015,C153))</f>
        <v/>
      </c>
      <c r="F153" s="106">
        <f>IF(C153="","",SUMIFS(Transaksi!$F$16:$F$5015,Transaksi!$G$16:$G$5015,A153,Transaksi!$H$16:$H$5015,B153,Transaksi!$I$16:$I$5015,C153,Transaksi!$B$16:$B$5015,"&gt;="&amp;DATE(Dashboard!$C$4,1,1),Transaksi!$B$16:$B$5015,"&lt;="&amp;DATE(Dashboard!$C$4,12,31)))</f>
        <v/>
      </c>
    </row>
    <row r="154" ht="15" customHeight="1" s="94">
      <c r="A154" s="105" t="n"/>
      <c r="B154" s="105" t="n"/>
      <c r="C154" s="127" t="n"/>
      <c r="D154" s="167">
        <f>IF(C154="","",COUNTIFS(Transaksi!$G$16:$G$5015,A154,Transaksi!$H$16:$H$5015,B154,Transaksi!$I$16:$I$5015,C154))</f>
        <v/>
      </c>
      <c r="E154" s="106">
        <f>IF(C154="","",SUMIFS(Transaksi!$F$16:$F$5015,Transaksi!$G$16:$G$5015,A154,Transaksi!$H$16:$H$5015,B154,Transaksi!$I$16:$I$5015,C154))</f>
        <v/>
      </c>
      <c r="F154" s="106">
        <f>IF(C154="","",SUMIFS(Transaksi!$F$16:$F$5015,Transaksi!$G$16:$G$5015,A154,Transaksi!$H$16:$H$5015,B154,Transaksi!$I$16:$I$5015,C154,Transaksi!$B$16:$B$5015,"&gt;="&amp;DATE(Dashboard!$C$4,1,1),Transaksi!$B$16:$B$5015,"&lt;="&amp;DATE(Dashboard!$C$4,12,31)))</f>
        <v/>
      </c>
    </row>
    <row r="155" ht="15" customHeight="1" s="94">
      <c r="A155" s="105" t="n"/>
      <c r="B155" s="105" t="n"/>
      <c r="C155" s="127" t="n"/>
      <c r="D155" s="167">
        <f>IF(C155="","",COUNTIFS(Transaksi!$G$16:$G$5015,A155,Transaksi!$H$16:$H$5015,B155,Transaksi!$I$16:$I$5015,C155))</f>
        <v/>
      </c>
      <c r="E155" s="106">
        <f>IF(C155="","",SUMIFS(Transaksi!$F$16:$F$5015,Transaksi!$G$16:$G$5015,A155,Transaksi!$H$16:$H$5015,B155,Transaksi!$I$16:$I$5015,C155))</f>
        <v/>
      </c>
      <c r="F155" s="106">
        <f>IF(C155="","",SUMIFS(Transaksi!$F$16:$F$5015,Transaksi!$G$16:$G$5015,A155,Transaksi!$H$16:$H$5015,B155,Transaksi!$I$16:$I$5015,C155,Transaksi!$B$16:$B$5015,"&gt;="&amp;DATE(Dashboard!$C$4,1,1),Transaksi!$B$16:$B$5015,"&lt;="&amp;DATE(Dashboard!$C$4,12,31)))</f>
        <v/>
      </c>
    </row>
    <row r="156" ht="15" customHeight="1" s="94">
      <c r="A156" s="105" t="n"/>
      <c r="B156" s="105" t="n"/>
      <c r="C156" s="127" t="n"/>
      <c r="D156" s="167">
        <f>IF(C156="","",COUNTIFS(Transaksi!$G$16:$G$5015,A156,Transaksi!$H$16:$H$5015,B156,Transaksi!$I$16:$I$5015,C156))</f>
        <v/>
      </c>
      <c r="E156" s="106">
        <f>IF(C156="","",SUMIFS(Transaksi!$F$16:$F$5015,Transaksi!$G$16:$G$5015,A156,Transaksi!$H$16:$H$5015,B156,Transaksi!$I$16:$I$5015,C156))</f>
        <v/>
      </c>
      <c r="F156" s="106">
        <f>IF(C156="","",SUMIFS(Transaksi!$F$16:$F$5015,Transaksi!$G$16:$G$5015,A156,Transaksi!$H$16:$H$5015,B156,Transaksi!$I$16:$I$5015,C156,Transaksi!$B$16:$B$5015,"&gt;="&amp;DATE(Dashboard!$C$4,1,1),Transaksi!$B$16:$B$5015,"&lt;="&amp;DATE(Dashboard!$C$4,12,31)))</f>
        <v/>
      </c>
    </row>
    <row r="157" ht="15" customHeight="1" s="94">
      <c r="A157" s="105" t="n"/>
      <c r="B157" s="105" t="n"/>
      <c r="C157" s="127" t="n"/>
      <c r="D157" s="167">
        <f>IF(C157="","",COUNTIFS(Transaksi!$G$16:$G$5015,A157,Transaksi!$H$16:$H$5015,B157,Transaksi!$I$16:$I$5015,C157))</f>
        <v/>
      </c>
      <c r="E157" s="106">
        <f>IF(C157="","",SUMIFS(Transaksi!$F$16:$F$5015,Transaksi!$G$16:$G$5015,A157,Transaksi!$H$16:$H$5015,B157,Transaksi!$I$16:$I$5015,C157))</f>
        <v/>
      </c>
      <c r="F157" s="106">
        <f>IF(C157="","",SUMIFS(Transaksi!$F$16:$F$5015,Transaksi!$G$16:$G$5015,A157,Transaksi!$H$16:$H$5015,B157,Transaksi!$I$16:$I$5015,C157,Transaksi!$B$16:$B$5015,"&gt;="&amp;DATE(Dashboard!$C$4,1,1),Transaksi!$B$16:$B$5015,"&lt;="&amp;DATE(Dashboard!$C$4,12,31)))</f>
        <v/>
      </c>
    </row>
    <row r="158" ht="15" customHeight="1" s="94">
      <c r="A158" s="105" t="n"/>
      <c r="B158" s="105" t="n"/>
      <c r="C158" s="127" t="n"/>
      <c r="D158" s="167">
        <f>IF(C158="","",COUNTIFS(Transaksi!$G$16:$G$5015,A158,Transaksi!$H$16:$H$5015,B158,Transaksi!$I$16:$I$5015,C158))</f>
        <v/>
      </c>
      <c r="E158" s="106">
        <f>IF(C158="","",SUMIFS(Transaksi!$F$16:$F$5015,Transaksi!$G$16:$G$5015,A158,Transaksi!$H$16:$H$5015,B158,Transaksi!$I$16:$I$5015,C158))</f>
        <v/>
      </c>
      <c r="F158" s="106">
        <f>IF(C158="","",SUMIFS(Transaksi!$F$16:$F$5015,Transaksi!$G$16:$G$5015,A158,Transaksi!$H$16:$H$5015,B158,Transaksi!$I$16:$I$5015,C158,Transaksi!$B$16:$B$5015,"&gt;="&amp;DATE(Dashboard!$C$4,1,1),Transaksi!$B$16:$B$5015,"&lt;="&amp;DATE(Dashboard!$C$4,12,31)))</f>
        <v/>
      </c>
    </row>
    <row r="159" ht="15" customHeight="1" s="94">
      <c r="A159" s="105" t="n"/>
      <c r="B159" s="105" t="n"/>
      <c r="C159" s="127" t="n"/>
      <c r="D159" s="167">
        <f>IF(C159="","",COUNTIFS(Transaksi!$G$16:$G$5015,A159,Transaksi!$H$16:$H$5015,B159,Transaksi!$I$16:$I$5015,C159))</f>
        <v/>
      </c>
      <c r="E159" s="106">
        <f>IF(C159="","",SUMIFS(Transaksi!$F$16:$F$5015,Transaksi!$G$16:$G$5015,A159,Transaksi!$H$16:$H$5015,B159,Transaksi!$I$16:$I$5015,C159))</f>
        <v/>
      </c>
      <c r="F159" s="106">
        <f>IF(C159="","",SUMIFS(Transaksi!$F$16:$F$5015,Transaksi!$G$16:$G$5015,A159,Transaksi!$H$16:$H$5015,B159,Transaksi!$I$16:$I$5015,C159,Transaksi!$B$16:$B$5015,"&gt;="&amp;DATE(Dashboard!$C$4,1,1),Transaksi!$B$16:$B$5015,"&lt;="&amp;DATE(Dashboard!$C$4,12,31)))</f>
        <v/>
      </c>
    </row>
    <row r="160" ht="15" customHeight="1" s="94">
      <c r="A160" s="105" t="n"/>
      <c r="B160" s="105" t="n"/>
      <c r="C160" s="127" t="n"/>
      <c r="D160" s="167">
        <f>IF(C160="","",COUNTIFS(Transaksi!$G$16:$G$5015,A160,Transaksi!$H$16:$H$5015,B160,Transaksi!$I$16:$I$5015,C160))</f>
        <v/>
      </c>
      <c r="E160" s="106">
        <f>IF(C160="","",SUMIFS(Transaksi!$F$16:$F$5015,Transaksi!$G$16:$G$5015,A160,Transaksi!$H$16:$H$5015,B160,Transaksi!$I$16:$I$5015,C160))</f>
        <v/>
      </c>
      <c r="F160" s="106">
        <f>IF(C160="","",SUMIFS(Transaksi!$F$16:$F$5015,Transaksi!$G$16:$G$5015,A160,Transaksi!$H$16:$H$5015,B160,Transaksi!$I$16:$I$5015,C160,Transaksi!$B$16:$B$5015,"&gt;="&amp;DATE(Dashboard!$C$4,1,1),Transaksi!$B$16:$B$5015,"&lt;="&amp;DATE(Dashboard!$C$4,12,31)))</f>
        <v/>
      </c>
    </row>
    <row r="161" ht="15" customHeight="1" s="94">
      <c r="A161" s="105" t="n"/>
      <c r="B161" s="105" t="n"/>
      <c r="C161" s="127" t="n"/>
      <c r="D161" s="167">
        <f>IF(C161="","",COUNTIFS(Transaksi!$G$16:$G$5015,A161,Transaksi!$H$16:$H$5015,B161,Transaksi!$I$16:$I$5015,C161))</f>
        <v/>
      </c>
      <c r="E161" s="106">
        <f>IF(C161="","",SUMIFS(Transaksi!$F$16:$F$5015,Transaksi!$G$16:$G$5015,A161,Transaksi!$H$16:$H$5015,B161,Transaksi!$I$16:$I$5015,C161))</f>
        <v/>
      </c>
      <c r="F161" s="106">
        <f>IF(C161="","",SUMIFS(Transaksi!$F$16:$F$5015,Transaksi!$G$16:$G$5015,A161,Transaksi!$H$16:$H$5015,B161,Transaksi!$I$16:$I$5015,C161,Transaksi!$B$16:$B$5015,"&gt;="&amp;DATE(Dashboard!$C$4,1,1),Transaksi!$B$16:$B$5015,"&lt;="&amp;DATE(Dashboard!$C$4,12,31)))</f>
        <v/>
      </c>
    </row>
    <row r="162" ht="15" customHeight="1" s="94">
      <c r="A162" s="105" t="n"/>
      <c r="B162" s="105" t="n"/>
      <c r="C162" s="127" t="n"/>
      <c r="D162" s="167">
        <f>IF(C162="","",COUNTIFS(Transaksi!$G$16:$G$5015,A162,Transaksi!$H$16:$H$5015,B162,Transaksi!$I$16:$I$5015,C162))</f>
        <v/>
      </c>
      <c r="E162" s="106">
        <f>IF(C162="","",SUMIFS(Transaksi!$F$16:$F$5015,Transaksi!$G$16:$G$5015,A162,Transaksi!$H$16:$H$5015,B162,Transaksi!$I$16:$I$5015,C162))</f>
        <v/>
      </c>
      <c r="F162" s="106">
        <f>IF(C162="","",SUMIFS(Transaksi!$F$16:$F$5015,Transaksi!$G$16:$G$5015,A162,Transaksi!$H$16:$H$5015,B162,Transaksi!$I$16:$I$5015,C162,Transaksi!$B$16:$B$5015,"&gt;="&amp;DATE(Dashboard!$C$4,1,1),Transaksi!$B$16:$B$5015,"&lt;="&amp;DATE(Dashboard!$C$4,12,31)))</f>
        <v/>
      </c>
    </row>
    <row r="163" ht="15" customHeight="1" s="94">
      <c r="A163" s="105" t="n"/>
      <c r="B163" s="105" t="n"/>
      <c r="C163" s="127" t="n"/>
      <c r="D163" s="167">
        <f>IF(C163="","",COUNTIFS(Transaksi!$G$16:$G$5015,A163,Transaksi!$H$16:$H$5015,B163,Transaksi!$I$16:$I$5015,C163))</f>
        <v/>
      </c>
      <c r="E163" s="106">
        <f>IF(C163="","",SUMIFS(Transaksi!$F$16:$F$5015,Transaksi!$G$16:$G$5015,A163,Transaksi!$H$16:$H$5015,B163,Transaksi!$I$16:$I$5015,C163))</f>
        <v/>
      </c>
      <c r="F163" s="106">
        <f>IF(C163="","",SUMIFS(Transaksi!$F$16:$F$5015,Transaksi!$G$16:$G$5015,A163,Transaksi!$H$16:$H$5015,B163,Transaksi!$I$16:$I$5015,C163,Transaksi!$B$16:$B$5015,"&gt;="&amp;DATE(Dashboard!$C$4,1,1),Transaksi!$B$16:$B$5015,"&lt;="&amp;DATE(Dashboard!$C$4,12,31)))</f>
        <v/>
      </c>
    </row>
    <row r="164" ht="15" customHeight="1" s="94">
      <c r="A164" s="105" t="n"/>
      <c r="B164" s="105" t="n"/>
      <c r="C164" s="127" t="n"/>
      <c r="D164" s="167">
        <f>IF(C164="","",COUNTIFS(Transaksi!$G$16:$G$5015,A164,Transaksi!$H$16:$H$5015,B164,Transaksi!$I$16:$I$5015,C164))</f>
        <v/>
      </c>
      <c r="E164" s="106">
        <f>IF(C164="","",SUMIFS(Transaksi!$F$16:$F$5015,Transaksi!$G$16:$G$5015,A164,Transaksi!$H$16:$H$5015,B164,Transaksi!$I$16:$I$5015,C164))</f>
        <v/>
      </c>
      <c r="F164" s="106">
        <f>IF(C164="","",SUMIFS(Transaksi!$F$16:$F$5015,Transaksi!$G$16:$G$5015,A164,Transaksi!$H$16:$H$5015,B164,Transaksi!$I$16:$I$5015,C164,Transaksi!$B$16:$B$5015,"&gt;="&amp;DATE(Dashboard!$C$4,1,1),Transaksi!$B$16:$B$5015,"&lt;="&amp;DATE(Dashboard!$C$4,12,31)))</f>
        <v/>
      </c>
    </row>
    <row r="165" ht="15" customHeight="1" s="94">
      <c r="A165" s="105" t="n"/>
      <c r="B165" s="105" t="n"/>
      <c r="C165" s="127" t="n"/>
      <c r="D165" s="167">
        <f>IF(C165="","",COUNTIFS(Transaksi!$G$16:$G$5015,A165,Transaksi!$H$16:$H$5015,B165,Transaksi!$I$16:$I$5015,C165))</f>
        <v/>
      </c>
      <c r="E165" s="106">
        <f>IF(C165="","",SUMIFS(Transaksi!$F$16:$F$5015,Transaksi!$G$16:$G$5015,A165,Transaksi!$H$16:$H$5015,B165,Transaksi!$I$16:$I$5015,C165))</f>
        <v/>
      </c>
      <c r="F165" s="106">
        <f>IF(C165="","",SUMIFS(Transaksi!$F$16:$F$5015,Transaksi!$G$16:$G$5015,A165,Transaksi!$H$16:$H$5015,B165,Transaksi!$I$16:$I$5015,C165,Transaksi!$B$16:$B$5015,"&gt;="&amp;DATE(Dashboard!$C$4,1,1),Transaksi!$B$16:$B$5015,"&lt;="&amp;DATE(Dashboard!$C$4,12,31)))</f>
        <v/>
      </c>
    </row>
    <row r="166" ht="15" customHeight="1" s="94">
      <c r="A166" s="105" t="n"/>
      <c r="B166" s="105" t="n"/>
      <c r="C166" s="127" t="n"/>
      <c r="D166" s="167">
        <f>IF(C166="","",COUNTIFS(Transaksi!$G$16:$G$5015,A166,Transaksi!$H$16:$H$5015,B166,Transaksi!$I$16:$I$5015,C166))</f>
        <v/>
      </c>
      <c r="E166" s="106">
        <f>IF(C166="","",SUMIFS(Transaksi!$F$16:$F$5015,Transaksi!$G$16:$G$5015,A166,Transaksi!$H$16:$H$5015,B166,Transaksi!$I$16:$I$5015,C166))</f>
        <v/>
      </c>
      <c r="F166" s="106">
        <f>IF(C166="","",SUMIFS(Transaksi!$F$16:$F$5015,Transaksi!$G$16:$G$5015,A166,Transaksi!$H$16:$H$5015,B166,Transaksi!$I$16:$I$5015,C166,Transaksi!$B$16:$B$5015,"&gt;="&amp;DATE(Dashboard!$C$4,1,1),Transaksi!$B$16:$B$5015,"&lt;="&amp;DATE(Dashboard!$C$4,12,31)))</f>
        <v/>
      </c>
    </row>
    <row r="167" ht="15" customHeight="1" s="94">
      <c r="A167" s="105" t="n"/>
      <c r="B167" s="105" t="n"/>
      <c r="C167" s="127" t="n"/>
      <c r="D167" s="167">
        <f>IF(C167="","",COUNTIFS(Transaksi!$G$16:$G$5015,A167,Transaksi!$H$16:$H$5015,B167,Transaksi!$I$16:$I$5015,C167))</f>
        <v/>
      </c>
      <c r="E167" s="106">
        <f>IF(C167="","",SUMIFS(Transaksi!$F$16:$F$5015,Transaksi!$G$16:$G$5015,A167,Transaksi!$H$16:$H$5015,B167,Transaksi!$I$16:$I$5015,C167))</f>
        <v/>
      </c>
      <c r="F167" s="106">
        <f>IF(C167="","",SUMIFS(Transaksi!$F$16:$F$5015,Transaksi!$G$16:$G$5015,A167,Transaksi!$H$16:$H$5015,B167,Transaksi!$I$16:$I$5015,C167,Transaksi!$B$16:$B$5015,"&gt;="&amp;DATE(Dashboard!$C$4,1,1),Transaksi!$B$16:$B$5015,"&lt;="&amp;DATE(Dashboard!$C$4,12,31)))</f>
        <v/>
      </c>
    </row>
    <row r="168" ht="15" customHeight="1" s="94">
      <c r="A168" s="105" t="n"/>
      <c r="B168" s="105" t="n"/>
      <c r="C168" s="127" t="n"/>
      <c r="D168" s="167">
        <f>IF(C168="","",COUNTIFS(Transaksi!$G$16:$G$5015,A168,Transaksi!$H$16:$H$5015,B168,Transaksi!$I$16:$I$5015,C168))</f>
        <v/>
      </c>
      <c r="E168" s="106">
        <f>IF(C168="","",SUMIFS(Transaksi!$F$16:$F$5015,Transaksi!$G$16:$G$5015,A168,Transaksi!$H$16:$H$5015,B168,Transaksi!$I$16:$I$5015,C168))</f>
        <v/>
      </c>
      <c r="F168" s="106">
        <f>IF(C168="","",SUMIFS(Transaksi!$F$16:$F$5015,Transaksi!$G$16:$G$5015,A168,Transaksi!$H$16:$H$5015,B168,Transaksi!$I$16:$I$5015,C168,Transaksi!$B$16:$B$5015,"&gt;="&amp;DATE(Dashboard!$C$4,1,1),Transaksi!$B$16:$B$5015,"&lt;="&amp;DATE(Dashboard!$C$4,12,31)))</f>
        <v/>
      </c>
    </row>
    <row r="169" ht="15" customHeight="1" s="94">
      <c r="A169" s="105" t="n"/>
      <c r="B169" s="105" t="n"/>
      <c r="C169" s="127" t="n"/>
      <c r="D169" s="167">
        <f>IF(C169="","",COUNTIFS(Transaksi!$G$16:$G$5015,A169,Transaksi!$H$16:$H$5015,B169,Transaksi!$I$16:$I$5015,C169))</f>
        <v/>
      </c>
      <c r="E169" s="106">
        <f>IF(C169="","",SUMIFS(Transaksi!$F$16:$F$5015,Transaksi!$G$16:$G$5015,A169,Transaksi!$H$16:$H$5015,B169,Transaksi!$I$16:$I$5015,C169))</f>
        <v/>
      </c>
      <c r="F169" s="106">
        <f>IF(C169="","",SUMIFS(Transaksi!$F$16:$F$5015,Transaksi!$G$16:$G$5015,A169,Transaksi!$H$16:$H$5015,B169,Transaksi!$I$16:$I$5015,C169,Transaksi!$B$16:$B$5015,"&gt;="&amp;DATE(Dashboard!$C$4,1,1),Transaksi!$B$16:$B$5015,"&lt;="&amp;DATE(Dashboard!$C$4,12,31)))</f>
        <v/>
      </c>
    </row>
    <row r="170" ht="15" customHeight="1" s="94">
      <c r="A170" s="105" t="n"/>
      <c r="B170" s="105" t="n"/>
      <c r="C170" s="127" t="n"/>
      <c r="D170" s="167">
        <f>IF(C170="","",COUNTIFS(Transaksi!$G$16:$G$5015,A170,Transaksi!$H$16:$H$5015,B170,Transaksi!$I$16:$I$5015,C170))</f>
        <v/>
      </c>
      <c r="E170" s="106">
        <f>IF(C170="","",SUMIFS(Transaksi!$F$16:$F$5015,Transaksi!$G$16:$G$5015,A170,Transaksi!$H$16:$H$5015,B170,Transaksi!$I$16:$I$5015,C170))</f>
        <v/>
      </c>
      <c r="F170" s="106">
        <f>IF(C170="","",SUMIFS(Transaksi!$F$16:$F$5015,Transaksi!$G$16:$G$5015,A170,Transaksi!$H$16:$H$5015,B170,Transaksi!$I$16:$I$5015,C170,Transaksi!$B$16:$B$5015,"&gt;="&amp;DATE(Dashboard!$C$4,1,1),Transaksi!$B$16:$B$5015,"&lt;="&amp;DATE(Dashboard!$C$4,12,31)))</f>
        <v/>
      </c>
    </row>
    <row r="171" ht="15" customHeight="1" s="94">
      <c r="A171" s="105" t="n"/>
      <c r="B171" s="105" t="n"/>
      <c r="C171" s="127" t="n"/>
      <c r="D171" s="167">
        <f>IF(C171="","",COUNTIFS(Transaksi!$G$16:$G$5015,A171,Transaksi!$H$16:$H$5015,B171,Transaksi!$I$16:$I$5015,C171))</f>
        <v/>
      </c>
      <c r="E171" s="106">
        <f>IF(C171="","",SUMIFS(Transaksi!$F$16:$F$5015,Transaksi!$G$16:$G$5015,A171,Transaksi!$H$16:$H$5015,B171,Transaksi!$I$16:$I$5015,C171))</f>
        <v/>
      </c>
      <c r="F171" s="106">
        <f>IF(C171="","",SUMIFS(Transaksi!$F$16:$F$5015,Transaksi!$G$16:$G$5015,A171,Transaksi!$H$16:$H$5015,B171,Transaksi!$I$16:$I$5015,C171,Transaksi!$B$16:$B$5015,"&gt;="&amp;DATE(Dashboard!$C$4,1,1),Transaksi!$B$16:$B$5015,"&lt;="&amp;DATE(Dashboard!$C$4,12,31)))</f>
        <v/>
      </c>
    </row>
    <row r="172" ht="15" customHeight="1" s="94">
      <c r="A172" s="105" t="n"/>
      <c r="B172" s="105" t="n"/>
      <c r="C172" s="127" t="n"/>
      <c r="D172" s="167">
        <f>IF(C172="","",COUNTIFS(Transaksi!$G$16:$G$5015,A172,Transaksi!$H$16:$H$5015,B172,Transaksi!$I$16:$I$5015,C172))</f>
        <v/>
      </c>
      <c r="E172" s="106">
        <f>IF(C172="","",SUMIFS(Transaksi!$F$16:$F$5015,Transaksi!$G$16:$G$5015,A172,Transaksi!$H$16:$H$5015,B172,Transaksi!$I$16:$I$5015,C172))</f>
        <v/>
      </c>
      <c r="F172" s="106">
        <f>IF(C172="","",SUMIFS(Transaksi!$F$16:$F$5015,Transaksi!$G$16:$G$5015,A172,Transaksi!$H$16:$H$5015,B172,Transaksi!$I$16:$I$5015,C172,Transaksi!$B$16:$B$5015,"&gt;="&amp;DATE(Dashboard!$C$4,1,1),Transaksi!$B$16:$B$5015,"&lt;="&amp;DATE(Dashboard!$C$4,12,31)))</f>
        <v/>
      </c>
    </row>
    <row r="173" ht="15" customHeight="1" s="94">
      <c r="A173" s="105" t="n"/>
      <c r="B173" s="105" t="n"/>
      <c r="C173" s="127" t="n"/>
      <c r="D173" s="167">
        <f>IF(C173="","",COUNTIFS(Transaksi!$G$16:$G$5015,A173,Transaksi!$H$16:$H$5015,B173,Transaksi!$I$16:$I$5015,C173))</f>
        <v/>
      </c>
      <c r="E173" s="106">
        <f>IF(C173="","",SUMIFS(Transaksi!$F$16:$F$5015,Transaksi!$G$16:$G$5015,A173,Transaksi!$H$16:$H$5015,B173,Transaksi!$I$16:$I$5015,C173))</f>
        <v/>
      </c>
      <c r="F173" s="106">
        <f>IF(C173="","",SUMIFS(Transaksi!$F$16:$F$5015,Transaksi!$G$16:$G$5015,A173,Transaksi!$H$16:$H$5015,B173,Transaksi!$I$16:$I$5015,C173,Transaksi!$B$16:$B$5015,"&gt;="&amp;DATE(Dashboard!$C$4,1,1),Transaksi!$B$16:$B$5015,"&lt;="&amp;DATE(Dashboard!$C$4,12,31)))</f>
        <v/>
      </c>
    </row>
    <row r="174" ht="15" customHeight="1" s="94">
      <c r="A174" s="105" t="n"/>
      <c r="B174" s="105" t="n"/>
      <c r="C174" s="127" t="n"/>
      <c r="D174" s="167">
        <f>IF(C174="","",COUNTIFS(Transaksi!$G$16:$G$5015,A174,Transaksi!$H$16:$H$5015,B174,Transaksi!$I$16:$I$5015,C174))</f>
        <v/>
      </c>
      <c r="E174" s="106">
        <f>IF(C174="","",SUMIFS(Transaksi!$F$16:$F$5015,Transaksi!$G$16:$G$5015,A174,Transaksi!$H$16:$H$5015,B174,Transaksi!$I$16:$I$5015,C174))</f>
        <v/>
      </c>
      <c r="F174" s="106">
        <f>IF(C174="","",SUMIFS(Transaksi!$F$16:$F$5015,Transaksi!$G$16:$G$5015,A174,Transaksi!$H$16:$H$5015,B174,Transaksi!$I$16:$I$5015,C174,Transaksi!$B$16:$B$5015,"&gt;="&amp;DATE(Dashboard!$C$4,1,1),Transaksi!$B$16:$B$5015,"&lt;="&amp;DATE(Dashboard!$C$4,12,31)))</f>
        <v/>
      </c>
    </row>
    <row r="175" ht="15" customHeight="1" s="94">
      <c r="A175" s="105" t="n"/>
      <c r="B175" s="105" t="n"/>
      <c r="C175" s="127" t="n"/>
      <c r="D175" s="167">
        <f>IF(C175="","",COUNTIFS(Transaksi!$G$16:$G$5015,A175,Transaksi!$H$16:$H$5015,B175,Transaksi!$I$16:$I$5015,C175))</f>
        <v/>
      </c>
      <c r="E175" s="106">
        <f>IF(C175="","",SUMIFS(Transaksi!$F$16:$F$5015,Transaksi!$G$16:$G$5015,A175,Transaksi!$H$16:$H$5015,B175,Transaksi!$I$16:$I$5015,C175))</f>
        <v/>
      </c>
      <c r="F175" s="106">
        <f>IF(C175="","",SUMIFS(Transaksi!$F$16:$F$5015,Transaksi!$G$16:$G$5015,A175,Transaksi!$H$16:$H$5015,B175,Transaksi!$I$16:$I$5015,C175,Transaksi!$B$16:$B$5015,"&gt;="&amp;DATE(Dashboard!$C$4,1,1),Transaksi!$B$16:$B$5015,"&lt;="&amp;DATE(Dashboard!$C$4,12,31)))</f>
        <v/>
      </c>
    </row>
    <row r="176" ht="15" customHeight="1" s="94">
      <c r="A176" s="105" t="n"/>
      <c r="B176" s="105" t="n"/>
      <c r="C176" s="127" t="n"/>
      <c r="D176" s="167">
        <f>IF(C176="","",COUNTIFS(Transaksi!$G$16:$G$5015,A176,Transaksi!$H$16:$H$5015,B176,Transaksi!$I$16:$I$5015,C176))</f>
        <v/>
      </c>
      <c r="E176" s="106">
        <f>IF(C176="","",SUMIFS(Transaksi!$F$16:$F$5015,Transaksi!$G$16:$G$5015,A176,Transaksi!$H$16:$H$5015,B176,Transaksi!$I$16:$I$5015,C176))</f>
        <v/>
      </c>
      <c r="F176" s="106">
        <f>IF(C176="","",SUMIFS(Transaksi!$F$16:$F$5015,Transaksi!$G$16:$G$5015,A176,Transaksi!$H$16:$H$5015,B176,Transaksi!$I$16:$I$5015,C176,Transaksi!$B$16:$B$5015,"&gt;="&amp;DATE(Dashboard!$C$4,1,1),Transaksi!$B$16:$B$5015,"&lt;="&amp;DATE(Dashboard!$C$4,12,31)))</f>
        <v/>
      </c>
    </row>
    <row r="177" ht="15" customHeight="1" s="94">
      <c r="A177" s="105" t="n"/>
      <c r="B177" s="105" t="n"/>
      <c r="C177" s="127" t="n"/>
      <c r="D177" s="167">
        <f>IF(C177="","",COUNTIFS(Transaksi!$G$16:$G$5015,A177,Transaksi!$H$16:$H$5015,B177,Transaksi!$I$16:$I$5015,C177))</f>
        <v/>
      </c>
      <c r="E177" s="106">
        <f>IF(C177="","",SUMIFS(Transaksi!$F$16:$F$5015,Transaksi!$G$16:$G$5015,A177,Transaksi!$H$16:$H$5015,B177,Transaksi!$I$16:$I$5015,C177))</f>
        <v/>
      </c>
      <c r="F177" s="106">
        <f>IF(C177="","",SUMIFS(Transaksi!$F$16:$F$5015,Transaksi!$G$16:$G$5015,A177,Transaksi!$H$16:$H$5015,B177,Transaksi!$I$16:$I$5015,C177,Transaksi!$B$16:$B$5015,"&gt;="&amp;DATE(Dashboard!$C$4,1,1),Transaksi!$B$16:$B$5015,"&lt;="&amp;DATE(Dashboard!$C$4,12,31)))</f>
        <v/>
      </c>
    </row>
    <row r="178" ht="15" customHeight="1" s="94">
      <c r="A178" s="105" t="n"/>
      <c r="B178" s="105" t="n"/>
      <c r="C178" s="127" t="n"/>
      <c r="D178" s="167">
        <f>IF(C178="","",COUNTIFS(Transaksi!$G$16:$G$5015,A178,Transaksi!$H$16:$H$5015,B178,Transaksi!$I$16:$I$5015,C178))</f>
        <v/>
      </c>
      <c r="E178" s="106">
        <f>IF(C178="","",SUMIFS(Transaksi!$F$16:$F$5015,Transaksi!$G$16:$G$5015,A178,Transaksi!$H$16:$H$5015,B178,Transaksi!$I$16:$I$5015,C178))</f>
        <v/>
      </c>
      <c r="F178" s="106">
        <f>IF(C178="","",SUMIFS(Transaksi!$F$16:$F$5015,Transaksi!$G$16:$G$5015,A178,Transaksi!$H$16:$H$5015,B178,Transaksi!$I$16:$I$5015,C178,Transaksi!$B$16:$B$5015,"&gt;="&amp;DATE(Dashboard!$C$4,1,1),Transaksi!$B$16:$B$5015,"&lt;="&amp;DATE(Dashboard!$C$4,12,31)))</f>
        <v/>
      </c>
    </row>
    <row r="179" ht="15" customHeight="1" s="94">
      <c r="A179" s="105" t="n"/>
      <c r="B179" s="105" t="n"/>
      <c r="C179" s="127" t="n"/>
      <c r="D179" s="167">
        <f>IF(C179="","",COUNTIFS(Transaksi!$G$16:$G$5015,A179,Transaksi!$H$16:$H$5015,B179,Transaksi!$I$16:$I$5015,C179))</f>
        <v/>
      </c>
      <c r="E179" s="106">
        <f>IF(C179="","",SUMIFS(Transaksi!$F$16:$F$5015,Transaksi!$G$16:$G$5015,A179,Transaksi!$H$16:$H$5015,B179,Transaksi!$I$16:$I$5015,C179))</f>
        <v/>
      </c>
      <c r="F179" s="106">
        <f>IF(C179="","",SUMIFS(Transaksi!$F$16:$F$5015,Transaksi!$G$16:$G$5015,A179,Transaksi!$H$16:$H$5015,B179,Transaksi!$I$16:$I$5015,C179,Transaksi!$B$16:$B$5015,"&gt;="&amp;DATE(Dashboard!$C$4,1,1),Transaksi!$B$16:$B$5015,"&lt;="&amp;DATE(Dashboard!$C$4,12,31)))</f>
        <v/>
      </c>
    </row>
    <row r="180" ht="15" customHeight="1" s="94">
      <c r="A180" s="105" t="n"/>
      <c r="B180" s="105" t="n"/>
      <c r="C180" s="127" t="n"/>
      <c r="D180" s="167">
        <f>IF(C180="","",COUNTIFS(Transaksi!$G$16:$G$5015,A180,Transaksi!$H$16:$H$5015,B180,Transaksi!$I$16:$I$5015,C180))</f>
        <v/>
      </c>
      <c r="E180" s="106">
        <f>IF(C180="","",SUMIFS(Transaksi!$F$16:$F$5015,Transaksi!$G$16:$G$5015,A180,Transaksi!$H$16:$H$5015,B180,Transaksi!$I$16:$I$5015,C180))</f>
        <v/>
      </c>
      <c r="F180" s="106">
        <f>IF(C180="","",SUMIFS(Transaksi!$F$16:$F$5015,Transaksi!$G$16:$G$5015,A180,Transaksi!$H$16:$H$5015,B180,Transaksi!$I$16:$I$5015,C180,Transaksi!$B$16:$B$5015,"&gt;="&amp;DATE(Dashboard!$C$4,1,1),Transaksi!$B$16:$B$5015,"&lt;="&amp;DATE(Dashboard!$C$4,12,31)))</f>
        <v/>
      </c>
    </row>
    <row r="181" ht="15" customHeight="1" s="94">
      <c r="A181" s="105" t="n"/>
      <c r="B181" s="105" t="n"/>
      <c r="C181" s="127" t="n"/>
      <c r="D181" s="167">
        <f>IF(C181="","",COUNTIFS(Transaksi!$G$16:$G$5015,A181,Transaksi!$H$16:$H$5015,B181,Transaksi!$I$16:$I$5015,C181))</f>
        <v/>
      </c>
      <c r="E181" s="106">
        <f>IF(C181="","",SUMIFS(Transaksi!$F$16:$F$5015,Transaksi!$G$16:$G$5015,A181,Transaksi!$H$16:$H$5015,B181,Transaksi!$I$16:$I$5015,C181))</f>
        <v/>
      </c>
      <c r="F181" s="106">
        <f>IF(C181="","",SUMIFS(Transaksi!$F$16:$F$5015,Transaksi!$G$16:$G$5015,A181,Transaksi!$H$16:$H$5015,B181,Transaksi!$I$16:$I$5015,C181,Transaksi!$B$16:$B$5015,"&gt;="&amp;DATE(Dashboard!$C$4,1,1),Transaksi!$B$16:$B$5015,"&lt;="&amp;DATE(Dashboard!$C$4,12,31)))</f>
        <v/>
      </c>
    </row>
    <row r="182" ht="15" customHeight="1" s="94">
      <c r="A182" s="105" t="n"/>
      <c r="B182" s="105" t="n"/>
      <c r="C182" s="127" t="n"/>
      <c r="D182" s="167">
        <f>IF(C182="","",COUNTIFS(Transaksi!$G$16:$G$5015,A182,Transaksi!$H$16:$H$5015,B182,Transaksi!$I$16:$I$5015,C182))</f>
        <v/>
      </c>
      <c r="E182" s="106">
        <f>IF(C182="","",SUMIFS(Transaksi!$F$16:$F$5015,Transaksi!$G$16:$G$5015,A182,Transaksi!$H$16:$H$5015,B182,Transaksi!$I$16:$I$5015,C182))</f>
        <v/>
      </c>
      <c r="F182" s="106">
        <f>IF(C182="","",SUMIFS(Transaksi!$F$16:$F$5015,Transaksi!$G$16:$G$5015,A182,Transaksi!$H$16:$H$5015,B182,Transaksi!$I$16:$I$5015,C182,Transaksi!$B$16:$B$5015,"&gt;="&amp;DATE(Dashboard!$C$4,1,1),Transaksi!$B$16:$B$5015,"&lt;="&amp;DATE(Dashboard!$C$4,12,31)))</f>
        <v/>
      </c>
    </row>
    <row r="183" ht="15" customHeight="1" s="94">
      <c r="A183" s="105" t="n"/>
      <c r="B183" s="105" t="n"/>
      <c r="C183" s="127" t="n"/>
      <c r="D183" s="167">
        <f>IF(C183="","",COUNTIFS(Transaksi!$G$16:$G$5015,A183,Transaksi!$H$16:$H$5015,B183,Transaksi!$I$16:$I$5015,C183))</f>
        <v/>
      </c>
      <c r="E183" s="106">
        <f>IF(C183="","",SUMIFS(Transaksi!$F$16:$F$5015,Transaksi!$G$16:$G$5015,A183,Transaksi!$H$16:$H$5015,B183,Transaksi!$I$16:$I$5015,C183))</f>
        <v/>
      </c>
      <c r="F183" s="106">
        <f>IF(C183="","",SUMIFS(Transaksi!$F$16:$F$5015,Transaksi!$G$16:$G$5015,A183,Transaksi!$H$16:$H$5015,B183,Transaksi!$I$16:$I$5015,C183,Transaksi!$B$16:$B$5015,"&gt;="&amp;DATE(Dashboard!$C$4,1,1),Transaksi!$B$16:$B$5015,"&lt;="&amp;DATE(Dashboard!$C$4,12,31)))</f>
        <v/>
      </c>
    </row>
    <row r="184" ht="15" customHeight="1" s="94">
      <c r="A184" s="105" t="n"/>
      <c r="B184" s="105" t="n"/>
      <c r="C184" s="127" t="n"/>
      <c r="D184" s="167">
        <f>IF(C184="","",COUNTIFS(Transaksi!$G$16:$G$5015,A184,Transaksi!$H$16:$H$5015,B184,Transaksi!$I$16:$I$5015,C184))</f>
        <v/>
      </c>
      <c r="E184" s="106">
        <f>IF(C184="","",SUMIFS(Transaksi!$F$16:$F$5015,Transaksi!$G$16:$G$5015,A184,Transaksi!$H$16:$H$5015,B184,Transaksi!$I$16:$I$5015,C184))</f>
        <v/>
      </c>
      <c r="F184" s="106">
        <f>IF(C184="","",SUMIFS(Transaksi!$F$16:$F$5015,Transaksi!$G$16:$G$5015,A184,Transaksi!$H$16:$H$5015,B184,Transaksi!$I$16:$I$5015,C184,Transaksi!$B$16:$B$5015,"&gt;="&amp;DATE(Dashboard!$C$4,1,1),Transaksi!$B$16:$B$5015,"&lt;="&amp;DATE(Dashboard!$C$4,12,31)))</f>
        <v/>
      </c>
    </row>
    <row r="185" ht="15" customHeight="1" s="94">
      <c r="A185" s="105" t="n"/>
      <c r="B185" s="105" t="n"/>
      <c r="C185" s="127" t="n"/>
      <c r="D185" s="167">
        <f>IF(C185="","",COUNTIFS(Transaksi!$G$16:$G$5015,A185,Transaksi!$H$16:$H$5015,B185,Transaksi!$I$16:$I$5015,C185))</f>
        <v/>
      </c>
      <c r="E185" s="106">
        <f>IF(C185="","",SUMIFS(Transaksi!$F$16:$F$5015,Transaksi!$G$16:$G$5015,A185,Transaksi!$H$16:$H$5015,B185,Transaksi!$I$16:$I$5015,C185))</f>
        <v/>
      </c>
      <c r="F185" s="106">
        <f>IF(C185="","",SUMIFS(Transaksi!$F$16:$F$5015,Transaksi!$G$16:$G$5015,A185,Transaksi!$H$16:$H$5015,B185,Transaksi!$I$16:$I$5015,C185,Transaksi!$B$16:$B$5015,"&gt;="&amp;DATE(Dashboard!$C$4,1,1),Transaksi!$B$16:$B$5015,"&lt;="&amp;DATE(Dashboard!$C$4,12,31)))</f>
        <v/>
      </c>
    </row>
    <row r="186" ht="15" customHeight="1" s="94">
      <c r="A186" s="105" t="n"/>
      <c r="B186" s="105" t="n"/>
      <c r="C186" s="127" t="n"/>
      <c r="D186" s="167">
        <f>IF(C186="","",COUNTIFS(Transaksi!$G$16:$G$5015,A186,Transaksi!$H$16:$H$5015,B186,Transaksi!$I$16:$I$5015,C186))</f>
        <v/>
      </c>
      <c r="E186" s="106">
        <f>IF(C186="","",SUMIFS(Transaksi!$F$16:$F$5015,Transaksi!$G$16:$G$5015,A186,Transaksi!$H$16:$H$5015,B186,Transaksi!$I$16:$I$5015,C186))</f>
        <v/>
      </c>
      <c r="F186" s="106">
        <f>IF(C186="","",SUMIFS(Transaksi!$F$16:$F$5015,Transaksi!$G$16:$G$5015,A186,Transaksi!$H$16:$H$5015,B186,Transaksi!$I$16:$I$5015,C186,Transaksi!$B$16:$B$5015,"&gt;="&amp;DATE(Dashboard!$C$4,1,1),Transaksi!$B$16:$B$5015,"&lt;="&amp;DATE(Dashboard!$C$4,12,31)))</f>
        <v/>
      </c>
    </row>
    <row r="187" ht="15" customHeight="1" s="94">
      <c r="A187" s="105" t="n"/>
      <c r="B187" s="105" t="n"/>
      <c r="C187" s="127" t="n"/>
      <c r="D187" s="167">
        <f>IF(C187="","",COUNTIFS(Transaksi!$G$16:$G$5015,A187,Transaksi!$H$16:$H$5015,B187,Transaksi!$I$16:$I$5015,C187))</f>
        <v/>
      </c>
      <c r="E187" s="106">
        <f>IF(C187="","",SUMIFS(Transaksi!$F$16:$F$5015,Transaksi!$G$16:$G$5015,A187,Transaksi!$H$16:$H$5015,B187,Transaksi!$I$16:$I$5015,C187))</f>
        <v/>
      </c>
      <c r="F187" s="106">
        <f>IF(C187="","",SUMIFS(Transaksi!$F$16:$F$5015,Transaksi!$G$16:$G$5015,A187,Transaksi!$H$16:$H$5015,B187,Transaksi!$I$16:$I$5015,C187,Transaksi!$B$16:$B$5015,"&gt;="&amp;DATE(Dashboard!$C$4,1,1),Transaksi!$B$16:$B$5015,"&lt;="&amp;DATE(Dashboard!$C$4,12,31)))</f>
        <v/>
      </c>
    </row>
    <row r="188" ht="15" customHeight="1" s="94">
      <c r="A188" s="105" t="n"/>
      <c r="B188" s="105" t="n"/>
      <c r="C188" s="127" t="n"/>
      <c r="D188" s="167">
        <f>IF(C188="","",COUNTIFS(Transaksi!$G$16:$G$5015,A188,Transaksi!$H$16:$H$5015,B188,Transaksi!$I$16:$I$5015,C188))</f>
        <v/>
      </c>
      <c r="E188" s="106">
        <f>IF(C188="","",SUMIFS(Transaksi!$F$16:$F$5015,Transaksi!$G$16:$G$5015,A188,Transaksi!$H$16:$H$5015,B188,Transaksi!$I$16:$I$5015,C188))</f>
        <v/>
      </c>
      <c r="F188" s="106">
        <f>IF(C188="","",SUMIFS(Transaksi!$F$16:$F$5015,Transaksi!$G$16:$G$5015,A188,Transaksi!$H$16:$H$5015,B188,Transaksi!$I$16:$I$5015,C188,Transaksi!$B$16:$B$5015,"&gt;="&amp;DATE(Dashboard!$C$4,1,1),Transaksi!$B$16:$B$5015,"&lt;="&amp;DATE(Dashboard!$C$4,12,31)))</f>
        <v/>
      </c>
    </row>
    <row r="189" ht="15" customHeight="1" s="94">
      <c r="A189" s="105" t="n"/>
      <c r="B189" s="105" t="n"/>
      <c r="C189" s="127" t="n"/>
      <c r="D189" s="167">
        <f>IF(C189="","",COUNTIFS(Transaksi!$G$16:$G$5015,A189,Transaksi!$H$16:$H$5015,B189,Transaksi!$I$16:$I$5015,C189))</f>
        <v/>
      </c>
      <c r="E189" s="106">
        <f>IF(C189="","",SUMIFS(Transaksi!$F$16:$F$5015,Transaksi!$G$16:$G$5015,A189,Transaksi!$H$16:$H$5015,B189,Transaksi!$I$16:$I$5015,C189))</f>
        <v/>
      </c>
      <c r="F189" s="106">
        <f>IF(C189="","",SUMIFS(Transaksi!$F$16:$F$5015,Transaksi!$G$16:$G$5015,A189,Transaksi!$H$16:$H$5015,B189,Transaksi!$I$16:$I$5015,C189,Transaksi!$B$16:$B$5015,"&gt;="&amp;DATE(Dashboard!$C$4,1,1),Transaksi!$B$16:$B$5015,"&lt;="&amp;DATE(Dashboard!$C$4,12,31)))</f>
        <v/>
      </c>
    </row>
    <row r="190" ht="15" customHeight="1" s="94">
      <c r="A190" s="105" t="n"/>
      <c r="B190" s="105" t="n"/>
      <c r="C190" s="127" t="n"/>
      <c r="D190" s="167">
        <f>IF(C190="","",COUNTIFS(Transaksi!$G$16:$G$5015,A190,Transaksi!$H$16:$H$5015,B190,Transaksi!$I$16:$I$5015,C190))</f>
        <v/>
      </c>
      <c r="E190" s="106">
        <f>IF(C190="","",SUMIFS(Transaksi!$F$16:$F$5015,Transaksi!$G$16:$G$5015,A190,Transaksi!$H$16:$H$5015,B190,Transaksi!$I$16:$I$5015,C190))</f>
        <v/>
      </c>
      <c r="F190" s="106">
        <f>IF(C190="","",SUMIFS(Transaksi!$F$16:$F$5015,Transaksi!$G$16:$G$5015,A190,Transaksi!$H$16:$H$5015,B190,Transaksi!$I$16:$I$5015,C190,Transaksi!$B$16:$B$5015,"&gt;="&amp;DATE(Dashboard!$C$4,1,1),Transaksi!$B$16:$B$5015,"&lt;="&amp;DATE(Dashboard!$C$4,12,31)))</f>
        <v/>
      </c>
    </row>
    <row r="191" ht="15" customHeight="1" s="94">
      <c r="A191" s="105" t="n"/>
      <c r="B191" s="105" t="n"/>
      <c r="C191" s="127" t="n"/>
      <c r="D191" s="167">
        <f>IF(C191="","",COUNTIFS(Transaksi!$G$16:$G$5015,A191,Transaksi!$H$16:$H$5015,B191,Transaksi!$I$16:$I$5015,C191))</f>
        <v/>
      </c>
      <c r="E191" s="106">
        <f>IF(C191="","",SUMIFS(Transaksi!$F$16:$F$5015,Transaksi!$G$16:$G$5015,A191,Transaksi!$H$16:$H$5015,B191,Transaksi!$I$16:$I$5015,C191))</f>
        <v/>
      </c>
      <c r="F191" s="106">
        <f>IF(C191="","",SUMIFS(Transaksi!$F$16:$F$5015,Transaksi!$G$16:$G$5015,A191,Transaksi!$H$16:$H$5015,B191,Transaksi!$I$16:$I$5015,C191,Transaksi!$B$16:$B$5015,"&gt;="&amp;DATE(Dashboard!$C$4,1,1),Transaksi!$B$16:$B$5015,"&lt;="&amp;DATE(Dashboard!$C$4,12,31)))</f>
        <v/>
      </c>
    </row>
    <row r="192" ht="15" customHeight="1" s="94">
      <c r="A192" s="105" t="n"/>
      <c r="B192" s="105" t="n"/>
      <c r="C192" s="127" t="n"/>
      <c r="D192" s="167">
        <f>IF(C192="","",COUNTIFS(Transaksi!$G$16:$G$5015,A192,Transaksi!$H$16:$H$5015,B192,Transaksi!$I$16:$I$5015,C192))</f>
        <v/>
      </c>
      <c r="E192" s="106">
        <f>IF(C192="","",SUMIFS(Transaksi!$F$16:$F$5015,Transaksi!$G$16:$G$5015,A192,Transaksi!$H$16:$H$5015,B192,Transaksi!$I$16:$I$5015,C192))</f>
        <v/>
      </c>
      <c r="F192" s="106">
        <f>IF(C192="","",SUMIFS(Transaksi!$F$16:$F$5015,Transaksi!$G$16:$G$5015,A192,Transaksi!$H$16:$H$5015,B192,Transaksi!$I$16:$I$5015,C192,Transaksi!$B$16:$B$5015,"&gt;="&amp;DATE(Dashboard!$C$4,1,1),Transaksi!$B$16:$B$5015,"&lt;="&amp;DATE(Dashboard!$C$4,12,31)))</f>
        <v/>
      </c>
    </row>
    <row r="193" ht="15" customHeight="1" s="94">
      <c r="A193" s="105" t="n"/>
      <c r="B193" s="105" t="n"/>
      <c r="C193" s="127" t="n"/>
      <c r="D193" s="167">
        <f>IF(C193="","",COUNTIFS(Transaksi!$G$16:$G$5015,A193,Transaksi!$H$16:$H$5015,B193,Transaksi!$I$16:$I$5015,C193))</f>
        <v/>
      </c>
      <c r="E193" s="106">
        <f>IF(C193="","",SUMIFS(Transaksi!$F$16:$F$5015,Transaksi!$G$16:$G$5015,A193,Transaksi!$H$16:$H$5015,B193,Transaksi!$I$16:$I$5015,C193))</f>
        <v/>
      </c>
      <c r="F193" s="106">
        <f>IF(C193="","",SUMIFS(Transaksi!$F$16:$F$5015,Transaksi!$G$16:$G$5015,A193,Transaksi!$H$16:$H$5015,B193,Transaksi!$I$16:$I$5015,C193,Transaksi!$B$16:$B$5015,"&gt;="&amp;DATE(Dashboard!$C$4,1,1),Transaksi!$B$16:$B$5015,"&lt;="&amp;DATE(Dashboard!$C$4,12,31)))</f>
        <v/>
      </c>
    </row>
    <row r="194" ht="15" customHeight="1" s="94">
      <c r="A194" s="105" t="n"/>
      <c r="B194" s="105" t="n"/>
      <c r="C194" s="127" t="n"/>
      <c r="D194" s="167">
        <f>IF(C194="","",COUNTIFS(Transaksi!$G$16:$G$5015,A194,Transaksi!$H$16:$H$5015,B194,Transaksi!$I$16:$I$5015,C194))</f>
        <v/>
      </c>
      <c r="E194" s="106">
        <f>IF(C194="","",SUMIFS(Transaksi!$F$16:$F$5015,Transaksi!$G$16:$G$5015,A194,Transaksi!$H$16:$H$5015,B194,Transaksi!$I$16:$I$5015,C194))</f>
        <v/>
      </c>
      <c r="F194" s="106">
        <f>IF(C194="","",SUMIFS(Transaksi!$F$16:$F$5015,Transaksi!$G$16:$G$5015,A194,Transaksi!$H$16:$H$5015,B194,Transaksi!$I$16:$I$5015,C194,Transaksi!$B$16:$B$5015,"&gt;="&amp;DATE(Dashboard!$C$4,1,1),Transaksi!$B$16:$B$5015,"&lt;="&amp;DATE(Dashboard!$C$4,12,31)))</f>
        <v/>
      </c>
    </row>
    <row r="195" ht="15" customHeight="1" s="94">
      <c r="A195" s="105" t="n"/>
      <c r="B195" s="105" t="n"/>
      <c r="C195" s="127" t="n"/>
      <c r="D195" s="167">
        <f>IF(C195="","",COUNTIFS(Transaksi!$G$16:$G$5015,A195,Transaksi!$H$16:$H$5015,B195,Transaksi!$I$16:$I$5015,C195))</f>
        <v/>
      </c>
      <c r="E195" s="106">
        <f>IF(C195="","",SUMIFS(Transaksi!$F$16:$F$5015,Transaksi!$G$16:$G$5015,A195,Transaksi!$H$16:$H$5015,B195,Transaksi!$I$16:$I$5015,C195))</f>
        <v/>
      </c>
      <c r="F195" s="106">
        <f>IF(C195="","",SUMIFS(Transaksi!$F$16:$F$5015,Transaksi!$G$16:$G$5015,A195,Transaksi!$H$16:$H$5015,B195,Transaksi!$I$16:$I$5015,C195,Transaksi!$B$16:$B$5015,"&gt;="&amp;DATE(Dashboard!$C$4,1,1),Transaksi!$B$16:$B$5015,"&lt;="&amp;DATE(Dashboard!$C$4,12,31)))</f>
        <v/>
      </c>
    </row>
    <row r="196" ht="15" customHeight="1" s="94">
      <c r="A196" s="105" t="n"/>
      <c r="B196" s="105" t="n"/>
      <c r="C196" s="127" t="n"/>
      <c r="D196" s="167">
        <f>IF(C196="","",COUNTIFS(Transaksi!$G$16:$G$5015,A196,Transaksi!$H$16:$H$5015,B196,Transaksi!$I$16:$I$5015,C196))</f>
        <v/>
      </c>
      <c r="E196" s="106">
        <f>IF(C196="","",SUMIFS(Transaksi!$F$16:$F$5015,Transaksi!$G$16:$G$5015,A196,Transaksi!$H$16:$H$5015,B196,Transaksi!$I$16:$I$5015,C196))</f>
        <v/>
      </c>
      <c r="F196" s="106">
        <f>IF(C196="","",SUMIFS(Transaksi!$F$16:$F$5015,Transaksi!$G$16:$G$5015,A196,Transaksi!$H$16:$H$5015,B196,Transaksi!$I$16:$I$5015,C196,Transaksi!$B$16:$B$5015,"&gt;="&amp;DATE(Dashboard!$C$4,1,1),Transaksi!$B$16:$B$5015,"&lt;="&amp;DATE(Dashboard!$C$4,12,31)))</f>
        <v/>
      </c>
    </row>
    <row r="197" ht="15" customHeight="1" s="94">
      <c r="A197" s="105" t="n"/>
      <c r="B197" s="105" t="n"/>
      <c r="C197" s="127" t="n"/>
      <c r="D197" s="167">
        <f>IF(C197="","",COUNTIFS(Transaksi!$G$16:$G$5015,A197,Transaksi!$H$16:$H$5015,B197,Transaksi!$I$16:$I$5015,C197))</f>
        <v/>
      </c>
      <c r="E197" s="106">
        <f>IF(C197="","",SUMIFS(Transaksi!$F$16:$F$5015,Transaksi!$G$16:$G$5015,A197,Transaksi!$H$16:$H$5015,B197,Transaksi!$I$16:$I$5015,C197))</f>
        <v/>
      </c>
      <c r="F197" s="106">
        <f>IF(C197="","",SUMIFS(Transaksi!$F$16:$F$5015,Transaksi!$G$16:$G$5015,A197,Transaksi!$H$16:$H$5015,B197,Transaksi!$I$16:$I$5015,C197,Transaksi!$B$16:$B$5015,"&gt;="&amp;DATE(Dashboard!$C$4,1,1),Transaksi!$B$16:$B$5015,"&lt;="&amp;DATE(Dashboard!$C$4,12,31)))</f>
        <v/>
      </c>
    </row>
    <row r="198" ht="15" customHeight="1" s="94">
      <c r="A198" s="105" t="n"/>
      <c r="B198" s="105" t="n"/>
      <c r="C198" s="127" t="n"/>
      <c r="D198" s="167">
        <f>IF(C198="","",COUNTIFS(Transaksi!$G$16:$G$5015,A198,Transaksi!$H$16:$H$5015,B198,Transaksi!$I$16:$I$5015,C198))</f>
        <v/>
      </c>
      <c r="E198" s="106">
        <f>IF(C198="","",SUMIFS(Transaksi!$F$16:$F$5015,Transaksi!$G$16:$G$5015,A198,Transaksi!$H$16:$H$5015,B198,Transaksi!$I$16:$I$5015,C198))</f>
        <v/>
      </c>
      <c r="F198" s="106">
        <f>IF(C198="","",SUMIFS(Transaksi!$F$16:$F$5015,Transaksi!$G$16:$G$5015,A198,Transaksi!$H$16:$H$5015,B198,Transaksi!$I$16:$I$5015,C198,Transaksi!$B$16:$B$5015,"&gt;="&amp;DATE(Dashboard!$C$4,1,1),Transaksi!$B$16:$B$5015,"&lt;="&amp;DATE(Dashboard!$C$4,12,31)))</f>
        <v/>
      </c>
    </row>
    <row r="199" ht="15" customHeight="1" s="94">
      <c r="A199" s="105" t="n"/>
      <c r="B199" s="105" t="n"/>
      <c r="C199" s="127" t="n"/>
      <c r="D199" s="167">
        <f>IF(C199="","",COUNTIFS(Transaksi!$G$16:$G$5015,A199,Transaksi!$H$16:$H$5015,B199,Transaksi!$I$16:$I$5015,C199))</f>
        <v/>
      </c>
      <c r="E199" s="106">
        <f>IF(C199="","",SUMIFS(Transaksi!$F$16:$F$5015,Transaksi!$G$16:$G$5015,A199,Transaksi!$H$16:$H$5015,B199,Transaksi!$I$16:$I$5015,C199))</f>
        <v/>
      </c>
      <c r="F199" s="106">
        <f>IF(C199="","",SUMIFS(Transaksi!$F$16:$F$5015,Transaksi!$G$16:$G$5015,A199,Transaksi!$H$16:$H$5015,B199,Transaksi!$I$16:$I$5015,C199,Transaksi!$B$16:$B$5015,"&gt;="&amp;DATE(Dashboard!$C$4,1,1),Transaksi!$B$16:$B$5015,"&lt;="&amp;DATE(Dashboard!$C$4,12,31)))</f>
        <v/>
      </c>
    </row>
    <row r="200" ht="15" customHeight="1" s="94">
      <c r="A200" s="105" t="n"/>
      <c r="B200" s="105" t="n"/>
      <c r="C200" s="127" t="n"/>
      <c r="D200" s="167">
        <f>IF(C200="","",COUNTIFS(Transaksi!$G$16:$G$5015,A200,Transaksi!$H$16:$H$5015,B200,Transaksi!$I$16:$I$5015,C200))</f>
        <v/>
      </c>
      <c r="E200" s="106">
        <f>IF(C200="","",SUMIFS(Transaksi!$F$16:$F$5015,Transaksi!$G$16:$G$5015,A200,Transaksi!$H$16:$H$5015,B200,Transaksi!$I$16:$I$5015,C200))</f>
        <v/>
      </c>
      <c r="F200" s="106">
        <f>IF(C200="","",SUMIFS(Transaksi!$F$16:$F$5015,Transaksi!$G$16:$G$5015,A200,Transaksi!$H$16:$H$5015,B200,Transaksi!$I$16:$I$5015,C200,Transaksi!$B$16:$B$5015,"&gt;="&amp;DATE(Dashboard!$C$4,1,1),Transaksi!$B$16:$B$5015,"&lt;="&amp;DATE(Dashboard!$C$4,12,31)))</f>
        <v/>
      </c>
    </row>
    <row r="201" ht="15" customHeight="1" s="94">
      <c r="A201" s="105" t="n"/>
      <c r="B201" s="105" t="n"/>
      <c r="C201" s="127" t="n"/>
      <c r="D201" s="167">
        <f>IF(C201="","",COUNTIFS(Transaksi!$G$16:$G$5015,A201,Transaksi!$H$16:$H$5015,B201,Transaksi!$I$16:$I$5015,C201))</f>
        <v/>
      </c>
      <c r="E201" s="106">
        <f>IF(C201="","",SUMIFS(Transaksi!$F$16:$F$5015,Transaksi!$G$16:$G$5015,A201,Transaksi!$H$16:$H$5015,B201,Transaksi!$I$16:$I$5015,C201))</f>
        <v/>
      </c>
      <c r="F201" s="106">
        <f>IF(C201="","",SUMIFS(Transaksi!$F$16:$F$5015,Transaksi!$G$16:$G$5015,A201,Transaksi!$H$16:$H$5015,B201,Transaksi!$I$16:$I$5015,C201,Transaksi!$B$16:$B$5015,"&gt;="&amp;DATE(Dashboard!$C$4,1,1),Transaksi!$B$16:$B$5015,"&lt;="&amp;DATE(Dashboard!$C$4,12,31)))</f>
        <v/>
      </c>
    </row>
    <row r="202" ht="15" customHeight="1" s="94">
      <c r="A202" s="105" t="n"/>
      <c r="B202" s="105" t="n"/>
      <c r="C202" s="127" t="n"/>
      <c r="D202" s="167">
        <f>IF(C202="","",COUNTIFS(Transaksi!$G$16:$G$5015,A202,Transaksi!$H$16:$H$5015,B202,Transaksi!$I$16:$I$5015,C202))</f>
        <v/>
      </c>
      <c r="E202" s="106">
        <f>IF(C202="","",SUMIFS(Transaksi!$F$16:$F$5015,Transaksi!$G$16:$G$5015,A202,Transaksi!$H$16:$H$5015,B202,Transaksi!$I$16:$I$5015,C202))</f>
        <v/>
      </c>
      <c r="F202" s="106">
        <f>IF(C202="","",SUMIFS(Transaksi!$F$16:$F$5015,Transaksi!$G$16:$G$5015,A202,Transaksi!$H$16:$H$5015,B202,Transaksi!$I$16:$I$5015,C202,Transaksi!$B$16:$B$5015,"&gt;="&amp;DATE(Dashboard!$C$4,1,1),Transaksi!$B$16:$B$5015,"&lt;="&amp;DATE(Dashboard!$C$4,12,31)))</f>
        <v/>
      </c>
    </row>
    <row r="203" ht="15" customHeight="1" s="94">
      <c r="A203" s="105" t="n"/>
      <c r="B203" s="105" t="n"/>
      <c r="C203" s="127" t="n"/>
      <c r="D203" s="167">
        <f>IF(C203="","",COUNTIFS(Transaksi!$G$16:$G$5015,A203,Transaksi!$H$16:$H$5015,B203,Transaksi!$I$16:$I$5015,C203))</f>
        <v/>
      </c>
      <c r="E203" s="106">
        <f>IF(C203="","",SUMIFS(Transaksi!$F$16:$F$5015,Transaksi!$G$16:$G$5015,A203,Transaksi!$H$16:$H$5015,B203,Transaksi!$I$16:$I$5015,C203))</f>
        <v/>
      </c>
      <c r="F203" s="106">
        <f>IF(C203="","",SUMIFS(Transaksi!$F$16:$F$5015,Transaksi!$G$16:$G$5015,A203,Transaksi!$H$16:$H$5015,B203,Transaksi!$I$16:$I$5015,C203,Transaksi!$B$16:$B$5015,"&gt;="&amp;DATE(Dashboard!$C$4,1,1),Transaksi!$B$16:$B$5015,"&lt;="&amp;DATE(Dashboard!$C$4,12,31)))</f>
        <v/>
      </c>
    </row>
    <row r="204" ht="15" customHeight="1" s="94">
      <c r="A204" s="105" t="n"/>
      <c r="B204" s="105" t="n"/>
      <c r="C204" s="127" t="n"/>
      <c r="D204" s="167">
        <f>IF(C204="","",COUNTIFS(Transaksi!$G$16:$G$5015,A204,Transaksi!$H$16:$H$5015,B204,Transaksi!$I$16:$I$5015,C204))</f>
        <v/>
      </c>
      <c r="E204" s="106">
        <f>IF(C204="","",SUMIFS(Transaksi!$F$16:$F$5015,Transaksi!$G$16:$G$5015,A204,Transaksi!$H$16:$H$5015,B204,Transaksi!$I$16:$I$5015,C204))</f>
        <v/>
      </c>
      <c r="F204" s="106">
        <f>IF(C204="","",SUMIFS(Transaksi!$F$16:$F$5015,Transaksi!$G$16:$G$5015,A204,Transaksi!$H$16:$H$5015,B204,Transaksi!$I$16:$I$5015,C204,Transaksi!$B$16:$B$5015,"&gt;="&amp;DATE(Dashboard!$C$4,1,1),Transaksi!$B$16:$B$5015,"&lt;="&amp;DATE(Dashboard!$C$4,12,31)))</f>
        <v/>
      </c>
    </row>
    <row r="205" ht="15" customHeight="1" s="94">
      <c r="A205" s="105" t="n"/>
      <c r="B205" s="105" t="n"/>
      <c r="C205" s="127" t="n"/>
      <c r="D205" s="167">
        <f>IF(C205="","",COUNTIFS(Transaksi!$G$16:$G$5015,A205,Transaksi!$H$16:$H$5015,B205,Transaksi!$I$16:$I$5015,C205))</f>
        <v/>
      </c>
      <c r="E205" s="106">
        <f>IF(C205="","",SUMIFS(Transaksi!$F$16:$F$5015,Transaksi!$G$16:$G$5015,A205,Transaksi!$H$16:$H$5015,B205,Transaksi!$I$16:$I$5015,C205))</f>
        <v/>
      </c>
      <c r="F205" s="106">
        <f>IF(C205="","",SUMIFS(Transaksi!$F$16:$F$5015,Transaksi!$G$16:$G$5015,A205,Transaksi!$H$16:$H$5015,B205,Transaksi!$I$16:$I$5015,C205,Transaksi!$B$16:$B$5015,"&gt;="&amp;DATE(Dashboard!$C$4,1,1),Transaksi!$B$16:$B$5015,"&lt;="&amp;DATE(Dashboard!$C$4,12,31)))</f>
        <v/>
      </c>
    </row>
    <row r="206" ht="15" customHeight="1" s="94">
      <c r="A206" s="105" t="n"/>
      <c r="B206" s="105" t="n"/>
      <c r="C206" s="127" t="n"/>
      <c r="D206" s="167">
        <f>IF(C206="","",COUNTIFS(Transaksi!$G$16:$G$5015,A206,Transaksi!$H$16:$H$5015,B206,Transaksi!$I$16:$I$5015,C206))</f>
        <v/>
      </c>
      <c r="E206" s="106">
        <f>IF(C206="","",SUMIFS(Transaksi!$F$16:$F$5015,Transaksi!$G$16:$G$5015,A206,Transaksi!$H$16:$H$5015,B206,Transaksi!$I$16:$I$5015,C206))</f>
        <v/>
      </c>
      <c r="F206" s="106">
        <f>IF(C206="","",SUMIFS(Transaksi!$F$16:$F$5015,Transaksi!$G$16:$G$5015,A206,Transaksi!$H$16:$H$5015,B206,Transaksi!$I$16:$I$5015,C206,Transaksi!$B$16:$B$5015,"&gt;="&amp;DATE(Dashboard!$C$4,1,1),Transaksi!$B$16:$B$5015,"&lt;="&amp;DATE(Dashboard!$C$4,12,31)))</f>
        <v/>
      </c>
    </row>
    <row r="207" ht="15" customHeight="1" s="94">
      <c r="A207" s="105" t="n"/>
      <c r="B207" s="105" t="n"/>
      <c r="C207" s="127" t="n"/>
      <c r="D207" s="167">
        <f>IF(C207="","",COUNTIFS(Transaksi!$G$16:$G$5015,A207,Transaksi!$H$16:$H$5015,B207,Transaksi!$I$16:$I$5015,C207))</f>
        <v/>
      </c>
      <c r="E207" s="106">
        <f>IF(C207="","",SUMIFS(Transaksi!$F$16:$F$5015,Transaksi!$G$16:$G$5015,A207,Transaksi!$H$16:$H$5015,B207,Transaksi!$I$16:$I$5015,C207))</f>
        <v/>
      </c>
      <c r="F207" s="106">
        <f>IF(C207="","",SUMIFS(Transaksi!$F$16:$F$5015,Transaksi!$G$16:$G$5015,A207,Transaksi!$H$16:$H$5015,B207,Transaksi!$I$16:$I$5015,C207,Transaksi!$B$16:$B$5015,"&gt;="&amp;DATE(Dashboard!$C$4,1,1),Transaksi!$B$16:$B$5015,"&lt;="&amp;DATE(Dashboard!$C$4,12,31)))</f>
        <v/>
      </c>
    </row>
    <row r="208" ht="15" customHeight="1" s="94">
      <c r="A208" s="105" t="n"/>
      <c r="B208" s="105" t="n"/>
      <c r="C208" s="127" t="n"/>
      <c r="D208" s="167">
        <f>IF(C208="","",COUNTIFS(Transaksi!$G$16:$G$5015,A208,Transaksi!$H$16:$H$5015,B208,Transaksi!$I$16:$I$5015,C208))</f>
        <v/>
      </c>
      <c r="E208" s="106">
        <f>IF(C208="","",SUMIFS(Transaksi!$F$16:$F$5015,Transaksi!$G$16:$G$5015,A208,Transaksi!$H$16:$H$5015,B208,Transaksi!$I$16:$I$5015,C208))</f>
        <v/>
      </c>
      <c r="F208" s="106">
        <f>IF(C208="","",SUMIFS(Transaksi!$F$16:$F$5015,Transaksi!$G$16:$G$5015,A208,Transaksi!$H$16:$H$5015,B208,Transaksi!$I$16:$I$5015,C208,Transaksi!$B$16:$B$5015,"&gt;="&amp;DATE(Dashboard!$C$4,1,1),Transaksi!$B$16:$B$5015,"&lt;="&amp;DATE(Dashboard!$C$4,12,31)))</f>
        <v/>
      </c>
    </row>
    <row r="209" ht="15" customHeight="1" s="94">
      <c r="A209" s="105" t="n"/>
      <c r="B209" s="105" t="n"/>
      <c r="C209" s="127" t="n"/>
      <c r="D209" s="167">
        <f>IF(C209="","",COUNTIFS(Transaksi!$G$16:$G$5015,A209,Transaksi!$H$16:$H$5015,B209,Transaksi!$I$16:$I$5015,C209))</f>
        <v/>
      </c>
      <c r="E209" s="106">
        <f>IF(C209="","",SUMIFS(Transaksi!$F$16:$F$5015,Transaksi!$G$16:$G$5015,A209,Transaksi!$H$16:$H$5015,B209,Transaksi!$I$16:$I$5015,C209))</f>
        <v/>
      </c>
      <c r="F209" s="106">
        <f>IF(C209="","",SUMIFS(Transaksi!$F$16:$F$5015,Transaksi!$G$16:$G$5015,A209,Transaksi!$H$16:$H$5015,B209,Transaksi!$I$16:$I$5015,C209,Transaksi!$B$16:$B$5015,"&gt;="&amp;DATE(Dashboard!$C$4,1,1),Transaksi!$B$16:$B$5015,"&lt;="&amp;DATE(Dashboard!$C$4,12,31)))</f>
        <v/>
      </c>
    </row>
    <row r="210" ht="15" customHeight="1" s="94">
      <c r="A210" s="105" t="n"/>
      <c r="B210" s="105" t="n"/>
      <c r="C210" s="127" t="n"/>
      <c r="D210" s="167">
        <f>IF(C210="","",COUNTIFS(Transaksi!$G$16:$G$5015,A210,Transaksi!$H$16:$H$5015,B210,Transaksi!$I$16:$I$5015,C210))</f>
        <v/>
      </c>
      <c r="E210" s="106">
        <f>IF(C210="","",SUMIFS(Transaksi!$F$16:$F$5015,Transaksi!$G$16:$G$5015,A210,Transaksi!$H$16:$H$5015,B210,Transaksi!$I$16:$I$5015,C210))</f>
        <v/>
      </c>
      <c r="F210" s="106">
        <f>IF(C210="","",SUMIFS(Transaksi!$F$16:$F$5015,Transaksi!$G$16:$G$5015,A210,Transaksi!$H$16:$H$5015,B210,Transaksi!$I$16:$I$5015,C210,Transaksi!$B$16:$B$5015,"&gt;="&amp;DATE(Dashboard!$C$4,1,1),Transaksi!$B$16:$B$5015,"&lt;="&amp;DATE(Dashboard!$C$4,12,31)))</f>
        <v/>
      </c>
    </row>
    <row r="211" ht="15" customHeight="1" s="94">
      <c r="A211" s="105" t="n"/>
      <c r="B211" s="105" t="n"/>
      <c r="C211" s="127" t="n"/>
      <c r="D211" s="167">
        <f>IF(C211="","",COUNTIFS(Transaksi!$G$16:$G$5015,A211,Transaksi!$H$16:$H$5015,B211,Transaksi!$I$16:$I$5015,C211))</f>
        <v/>
      </c>
      <c r="E211" s="106">
        <f>IF(C211="","",SUMIFS(Transaksi!$F$16:$F$5015,Transaksi!$G$16:$G$5015,A211,Transaksi!$H$16:$H$5015,B211,Transaksi!$I$16:$I$5015,C211))</f>
        <v/>
      </c>
      <c r="F211" s="106">
        <f>IF(C211="","",SUMIFS(Transaksi!$F$16:$F$5015,Transaksi!$G$16:$G$5015,A211,Transaksi!$H$16:$H$5015,B211,Transaksi!$I$16:$I$5015,C211,Transaksi!$B$16:$B$5015,"&gt;="&amp;DATE(Dashboard!$C$4,1,1),Transaksi!$B$16:$B$5015,"&lt;="&amp;DATE(Dashboard!$C$4,12,31)))</f>
        <v/>
      </c>
    </row>
    <row r="212" ht="15" customHeight="1" s="94">
      <c r="A212" s="105" t="n"/>
      <c r="B212" s="105" t="n"/>
      <c r="C212" s="127" t="n"/>
      <c r="D212" s="167">
        <f>IF(C212="","",COUNTIFS(Transaksi!$G$16:$G$5015,A212,Transaksi!$H$16:$H$5015,B212,Transaksi!$I$16:$I$5015,C212))</f>
        <v/>
      </c>
      <c r="E212" s="106">
        <f>IF(C212="","",SUMIFS(Transaksi!$F$16:$F$5015,Transaksi!$G$16:$G$5015,A212,Transaksi!$H$16:$H$5015,B212,Transaksi!$I$16:$I$5015,C212))</f>
        <v/>
      </c>
      <c r="F212" s="106">
        <f>IF(C212="","",SUMIFS(Transaksi!$F$16:$F$5015,Transaksi!$G$16:$G$5015,A212,Transaksi!$H$16:$H$5015,B212,Transaksi!$I$16:$I$5015,C212,Transaksi!$B$16:$B$5015,"&gt;="&amp;DATE(Dashboard!$C$4,1,1),Transaksi!$B$16:$B$5015,"&lt;="&amp;DATE(Dashboard!$C$4,12,31)))</f>
        <v/>
      </c>
    </row>
    <row r="213" ht="15" customHeight="1" s="94">
      <c r="A213" s="105" t="n"/>
      <c r="B213" s="105" t="n"/>
      <c r="C213" s="127" t="n"/>
      <c r="D213" s="167">
        <f>IF(C213="","",COUNTIFS(Transaksi!$G$16:$G$5015,A213,Transaksi!$H$16:$H$5015,B213,Transaksi!$I$16:$I$5015,C213))</f>
        <v/>
      </c>
      <c r="E213" s="106">
        <f>IF(C213="","",SUMIFS(Transaksi!$F$16:$F$5015,Transaksi!$G$16:$G$5015,A213,Transaksi!$H$16:$H$5015,B213,Transaksi!$I$16:$I$5015,C213))</f>
        <v/>
      </c>
      <c r="F213" s="106">
        <f>IF(C213="","",SUMIFS(Transaksi!$F$16:$F$5015,Transaksi!$G$16:$G$5015,A213,Transaksi!$H$16:$H$5015,B213,Transaksi!$I$16:$I$5015,C213,Transaksi!$B$16:$B$5015,"&gt;="&amp;DATE(Dashboard!$C$4,1,1),Transaksi!$B$16:$B$5015,"&lt;="&amp;DATE(Dashboard!$C$4,12,31)))</f>
        <v/>
      </c>
    </row>
    <row r="214" ht="15" customHeight="1" s="94">
      <c r="A214" s="105" t="n"/>
      <c r="B214" s="105" t="n"/>
      <c r="C214" s="127" t="n"/>
      <c r="D214" s="167">
        <f>IF(C214="","",COUNTIFS(Transaksi!$G$16:$G$5015,A214,Transaksi!$H$16:$H$5015,B214,Transaksi!$I$16:$I$5015,C214))</f>
        <v/>
      </c>
      <c r="E214" s="106">
        <f>IF(C214="","",SUMIFS(Transaksi!$F$16:$F$5015,Transaksi!$G$16:$G$5015,A214,Transaksi!$H$16:$H$5015,B214,Transaksi!$I$16:$I$5015,C214))</f>
        <v/>
      </c>
      <c r="F214" s="106">
        <f>IF(C214="","",SUMIFS(Transaksi!$F$16:$F$5015,Transaksi!$G$16:$G$5015,A214,Transaksi!$H$16:$H$5015,B214,Transaksi!$I$16:$I$5015,C214,Transaksi!$B$16:$B$5015,"&gt;="&amp;DATE(Dashboard!$C$4,1,1),Transaksi!$B$16:$B$5015,"&lt;="&amp;DATE(Dashboard!$C$4,12,31)))</f>
        <v/>
      </c>
    </row>
    <row r="215" ht="15" customHeight="1" s="94">
      <c r="A215" s="105" t="n"/>
      <c r="B215" s="105" t="n"/>
      <c r="C215" s="127" t="n"/>
      <c r="D215" s="167">
        <f>IF(C215="","",COUNTIFS(Transaksi!$G$16:$G$5015,A215,Transaksi!$H$16:$H$5015,B215,Transaksi!$I$16:$I$5015,C215))</f>
        <v/>
      </c>
      <c r="E215" s="106">
        <f>IF(C215="","",SUMIFS(Transaksi!$F$16:$F$5015,Transaksi!$G$16:$G$5015,A215,Transaksi!$H$16:$H$5015,B215,Transaksi!$I$16:$I$5015,C215))</f>
        <v/>
      </c>
      <c r="F215" s="106">
        <f>IF(C215="","",SUMIFS(Transaksi!$F$16:$F$5015,Transaksi!$G$16:$G$5015,A215,Transaksi!$H$16:$H$5015,B215,Transaksi!$I$16:$I$5015,C215,Transaksi!$B$16:$B$5015,"&gt;="&amp;DATE(Dashboard!$C$4,1,1),Transaksi!$B$16:$B$5015,"&lt;="&amp;DATE(Dashboard!$C$4,12,31)))</f>
        <v/>
      </c>
    </row>
    <row r="216" ht="15" customHeight="1" s="94">
      <c r="A216" s="105" t="n"/>
      <c r="B216" s="105" t="n"/>
      <c r="C216" s="127" t="n"/>
      <c r="D216" s="167">
        <f>IF(C216="","",COUNTIFS(Transaksi!$G$16:$G$5015,A216,Transaksi!$H$16:$H$5015,B216,Transaksi!$I$16:$I$5015,C216))</f>
        <v/>
      </c>
      <c r="E216" s="106">
        <f>IF(C216="","",SUMIFS(Transaksi!$F$16:$F$5015,Transaksi!$G$16:$G$5015,A216,Transaksi!$H$16:$H$5015,B216,Transaksi!$I$16:$I$5015,C216))</f>
        <v/>
      </c>
      <c r="F216" s="106">
        <f>IF(C216="","",SUMIFS(Transaksi!$F$16:$F$5015,Transaksi!$G$16:$G$5015,A216,Transaksi!$H$16:$H$5015,B216,Transaksi!$I$16:$I$5015,C216,Transaksi!$B$16:$B$5015,"&gt;="&amp;DATE(Dashboard!$C$4,1,1),Transaksi!$B$16:$B$5015,"&lt;="&amp;DATE(Dashboard!$C$4,12,31)))</f>
        <v/>
      </c>
    </row>
    <row r="217" ht="15" customHeight="1" s="94">
      <c r="A217" s="105" t="n"/>
      <c r="B217" s="105" t="n"/>
      <c r="C217" s="127" t="n"/>
      <c r="D217" s="167">
        <f>IF(C217="","",COUNTIFS(Transaksi!$G$16:$G$5015,A217,Transaksi!$H$16:$H$5015,B217,Transaksi!$I$16:$I$5015,C217))</f>
        <v/>
      </c>
      <c r="E217" s="106">
        <f>IF(C217="","",SUMIFS(Transaksi!$F$16:$F$5015,Transaksi!$G$16:$G$5015,A217,Transaksi!$H$16:$H$5015,B217,Transaksi!$I$16:$I$5015,C217))</f>
        <v/>
      </c>
      <c r="F217" s="106">
        <f>IF(C217="","",SUMIFS(Transaksi!$F$16:$F$5015,Transaksi!$G$16:$G$5015,A217,Transaksi!$H$16:$H$5015,B217,Transaksi!$I$16:$I$5015,C217,Transaksi!$B$16:$B$5015,"&gt;="&amp;DATE(Dashboard!$C$4,1,1),Transaksi!$B$16:$B$5015,"&lt;="&amp;DATE(Dashboard!$C$4,12,31)))</f>
        <v/>
      </c>
    </row>
    <row r="218" ht="15" customHeight="1" s="94">
      <c r="A218" s="105" t="n"/>
      <c r="B218" s="105" t="n"/>
      <c r="C218" s="127" t="n"/>
      <c r="D218" s="167">
        <f>IF(C218="","",COUNTIFS(Transaksi!$G$16:$G$5015,A218,Transaksi!$H$16:$H$5015,B218,Transaksi!$I$16:$I$5015,C218))</f>
        <v/>
      </c>
      <c r="E218" s="106">
        <f>IF(C218="","",SUMIFS(Transaksi!$F$16:$F$5015,Transaksi!$G$16:$G$5015,A218,Transaksi!$H$16:$H$5015,B218,Transaksi!$I$16:$I$5015,C218))</f>
        <v/>
      </c>
      <c r="F218" s="106">
        <f>IF(C218="","",SUMIFS(Transaksi!$F$16:$F$5015,Transaksi!$G$16:$G$5015,A218,Transaksi!$H$16:$H$5015,B218,Transaksi!$I$16:$I$5015,C218,Transaksi!$B$16:$B$5015,"&gt;="&amp;DATE(Dashboard!$C$4,1,1),Transaksi!$B$16:$B$5015,"&lt;="&amp;DATE(Dashboard!$C$4,12,31)))</f>
        <v/>
      </c>
    </row>
    <row r="219" ht="15" customHeight="1" s="94">
      <c r="A219" s="105" t="n"/>
      <c r="B219" s="105" t="n"/>
      <c r="C219" s="127" t="n"/>
      <c r="D219" s="167">
        <f>IF(C219="","",COUNTIFS(Transaksi!$G$16:$G$5015,A219,Transaksi!$H$16:$H$5015,B219,Transaksi!$I$16:$I$5015,C219))</f>
        <v/>
      </c>
      <c r="E219" s="106">
        <f>IF(C219="","",SUMIFS(Transaksi!$F$16:$F$5015,Transaksi!$G$16:$G$5015,A219,Transaksi!$H$16:$H$5015,B219,Transaksi!$I$16:$I$5015,C219))</f>
        <v/>
      </c>
      <c r="F219" s="106">
        <f>IF(C219="","",SUMIFS(Transaksi!$F$16:$F$5015,Transaksi!$G$16:$G$5015,A219,Transaksi!$H$16:$H$5015,B219,Transaksi!$I$16:$I$5015,C219,Transaksi!$B$16:$B$5015,"&gt;="&amp;DATE(Dashboard!$C$4,1,1),Transaksi!$B$16:$B$5015,"&lt;="&amp;DATE(Dashboard!$C$4,12,31)))</f>
        <v/>
      </c>
    </row>
    <row r="220" ht="15" customHeight="1" s="94">
      <c r="A220" s="105" t="n"/>
      <c r="B220" s="105" t="n"/>
      <c r="C220" s="127" t="n"/>
      <c r="D220" s="167">
        <f>IF(C220="","",COUNTIFS(Transaksi!$G$16:$G$5015,A220,Transaksi!$H$16:$H$5015,B220,Transaksi!$I$16:$I$5015,C220))</f>
        <v/>
      </c>
      <c r="E220" s="106">
        <f>IF(C220="","",SUMIFS(Transaksi!$F$16:$F$5015,Transaksi!$G$16:$G$5015,A220,Transaksi!$H$16:$H$5015,B220,Transaksi!$I$16:$I$5015,C220))</f>
        <v/>
      </c>
      <c r="F220" s="106">
        <f>IF(C220="","",SUMIFS(Transaksi!$F$16:$F$5015,Transaksi!$G$16:$G$5015,A220,Transaksi!$H$16:$H$5015,B220,Transaksi!$I$16:$I$5015,C220,Transaksi!$B$16:$B$5015,"&gt;="&amp;DATE(Dashboard!$C$4,1,1),Transaksi!$B$16:$B$5015,"&lt;="&amp;DATE(Dashboard!$C$4,12,31)))</f>
        <v/>
      </c>
    </row>
    <row r="221" ht="15" customHeight="1" s="94">
      <c r="A221" s="105" t="n"/>
      <c r="B221" s="105" t="n"/>
      <c r="C221" s="127" t="n"/>
      <c r="D221" s="167">
        <f>IF(C221="","",COUNTIFS(Transaksi!$G$16:$G$5015,A221,Transaksi!$H$16:$H$5015,B221,Transaksi!$I$16:$I$5015,C221))</f>
        <v/>
      </c>
      <c r="E221" s="106">
        <f>IF(C221="","",SUMIFS(Transaksi!$F$16:$F$5015,Transaksi!$G$16:$G$5015,A221,Transaksi!$H$16:$H$5015,B221,Transaksi!$I$16:$I$5015,C221))</f>
        <v/>
      </c>
      <c r="F221" s="106">
        <f>IF(C221="","",SUMIFS(Transaksi!$F$16:$F$5015,Transaksi!$G$16:$G$5015,A221,Transaksi!$H$16:$H$5015,B221,Transaksi!$I$16:$I$5015,C221,Transaksi!$B$16:$B$5015,"&gt;="&amp;DATE(Dashboard!$C$4,1,1),Transaksi!$B$16:$B$5015,"&lt;="&amp;DATE(Dashboard!$C$4,12,31)))</f>
        <v/>
      </c>
    </row>
    <row r="222" ht="15" customHeight="1" s="94">
      <c r="A222" s="105" t="n"/>
      <c r="B222" s="105" t="n"/>
      <c r="C222" s="127" t="n"/>
      <c r="D222" s="167">
        <f>IF(C222="","",COUNTIFS(Transaksi!$G$16:$G$5015,A222,Transaksi!$H$16:$H$5015,B222,Transaksi!$I$16:$I$5015,C222))</f>
        <v/>
      </c>
      <c r="E222" s="106">
        <f>IF(C222="","",SUMIFS(Transaksi!$F$16:$F$5015,Transaksi!$G$16:$G$5015,A222,Transaksi!$H$16:$H$5015,B222,Transaksi!$I$16:$I$5015,C222))</f>
        <v/>
      </c>
      <c r="F222" s="106">
        <f>IF(C222="","",SUMIFS(Transaksi!$F$16:$F$5015,Transaksi!$G$16:$G$5015,A222,Transaksi!$H$16:$H$5015,B222,Transaksi!$I$16:$I$5015,C222,Transaksi!$B$16:$B$5015,"&gt;="&amp;DATE(Dashboard!$C$4,1,1),Transaksi!$B$16:$B$5015,"&lt;="&amp;DATE(Dashboard!$C$4,12,31)))</f>
        <v/>
      </c>
    </row>
    <row r="223" ht="15" customHeight="1" s="94">
      <c r="A223" s="105" t="n"/>
      <c r="B223" s="105" t="n"/>
      <c r="C223" s="127" t="n"/>
      <c r="D223" s="167">
        <f>IF(C223="","",COUNTIFS(Transaksi!$G$16:$G$5015,A223,Transaksi!$H$16:$H$5015,B223,Transaksi!$I$16:$I$5015,C223))</f>
        <v/>
      </c>
      <c r="E223" s="106">
        <f>IF(C223="","",SUMIFS(Transaksi!$F$16:$F$5015,Transaksi!$G$16:$G$5015,A223,Transaksi!$H$16:$H$5015,B223,Transaksi!$I$16:$I$5015,C223))</f>
        <v/>
      </c>
      <c r="F223" s="106">
        <f>IF(C223="","",SUMIFS(Transaksi!$F$16:$F$5015,Transaksi!$G$16:$G$5015,A223,Transaksi!$H$16:$H$5015,B223,Transaksi!$I$16:$I$5015,C223,Transaksi!$B$16:$B$5015,"&gt;="&amp;DATE(Dashboard!$C$4,1,1),Transaksi!$B$16:$B$5015,"&lt;="&amp;DATE(Dashboard!$C$4,12,31)))</f>
        <v/>
      </c>
    </row>
    <row r="224" ht="15" customHeight="1" s="94">
      <c r="A224" s="105" t="n"/>
      <c r="B224" s="105" t="n"/>
      <c r="C224" s="127" t="n"/>
      <c r="D224" s="167">
        <f>IF(C224="","",COUNTIFS(Transaksi!$G$16:$G$5015,A224,Transaksi!$H$16:$H$5015,B224,Transaksi!$I$16:$I$5015,C224))</f>
        <v/>
      </c>
      <c r="E224" s="106">
        <f>IF(C224="","",SUMIFS(Transaksi!$F$16:$F$5015,Transaksi!$G$16:$G$5015,A224,Transaksi!$H$16:$H$5015,B224,Transaksi!$I$16:$I$5015,C224))</f>
        <v/>
      </c>
      <c r="F224" s="106">
        <f>IF(C224="","",SUMIFS(Transaksi!$F$16:$F$5015,Transaksi!$G$16:$G$5015,A224,Transaksi!$H$16:$H$5015,B224,Transaksi!$I$16:$I$5015,C224,Transaksi!$B$16:$B$5015,"&gt;="&amp;DATE(Dashboard!$C$4,1,1),Transaksi!$B$16:$B$5015,"&lt;="&amp;DATE(Dashboard!$C$4,12,31)))</f>
        <v/>
      </c>
    </row>
    <row r="225" ht="15" customHeight="1" s="94">
      <c r="A225" s="105" t="n"/>
      <c r="B225" s="105" t="n"/>
      <c r="C225" s="127" t="n"/>
      <c r="D225" s="167">
        <f>IF(C225="","",COUNTIFS(Transaksi!$G$16:$G$5015,A225,Transaksi!$H$16:$H$5015,B225,Transaksi!$I$16:$I$5015,C225))</f>
        <v/>
      </c>
      <c r="E225" s="106">
        <f>IF(C225="","",SUMIFS(Transaksi!$F$16:$F$5015,Transaksi!$G$16:$G$5015,A225,Transaksi!$H$16:$H$5015,B225,Transaksi!$I$16:$I$5015,C225))</f>
        <v/>
      </c>
      <c r="F225" s="106">
        <f>IF(C225="","",SUMIFS(Transaksi!$F$16:$F$5015,Transaksi!$G$16:$G$5015,A225,Transaksi!$H$16:$H$5015,B225,Transaksi!$I$16:$I$5015,C225,Transaksi!$B$16:$B$5015,"&gt;="&amp;DATE(Dashboard!$C$4,1,1),Transaksi!$B$16:$B$5015,"&lt;="&amp;DATE(Dashboard!$C$4,12,31)))</f>
        <v/>
      </c>
    </row>
    <row r="226" ht="15" customHeight="1" s="94">
      <c r="A226" s="105" t="n"/>
      <c r="B226" s="105" t="n"/>
      <c r="C226" s="127" t="n"/>
      <c r="D226" s="167">
        <f>IF(C226="","",COUNTIFS(Transaksi!$G$16:$G$5015,A226,Transaksi!$H$16:$H$5015,B226,Transaksi!$I$16:$I$5015,C226))</f>
        <v/>
      </c>
      <c r="E226" s="106">
        <f>IF(C226="","",SUMIFS(Transaksi!$F$16:$F$5015,Transaksi!$G$16:$G$5015,A226,Transaksi!$H$16:$H$5015,B226,Transaksi!$I$16:$I$5015,C226))</f>
        <v/>
      </c>
      <c r="F226" s="106">
        <f>IF(C226="","",SUMIFS(Transaksi!$F$16:$F$5015,Transaksi!$G$16:$G$5015,A226,Transaksi!$H$16:$H$5015,B226,Transaksi!$I$16:$I$5015,C226,Transaksi!$B$16:$B$5015,"&gt;="&amp;DATE(Dashboard!$C$4,1,1),Transaksi!$B$16:$B$5015,"&lt;="&amp;DATE(Dashboard!$C$4,12,31)))</f>
        <v/>
      </c>
    </row>
    <row r="227" ht="15" customHeight="1" s="94">
      <c r="A227" s="105" t="n"/>
      <c r="B227" s="105" t="n"/>
      <c r="C227" s="127" t="n"/>
      <c r="D227" s="167">
        <f>IF(C227="","",COUNTIFS(Transaksi!$G$16:$G$5015,A227,Transaksi!$H$16:$H$5015,B227,Transaksi!$I$16:$I$5015,C227))</f>
        <v/>
      </c>
      <c r="E227" s="106">
        <f>IF(C227="","",SUMIFS(Transaksi!$F$16:$F$5015,Transaksi!$G$16:$G$5015,A227,Transaksi!$H$16:$H$5015,B227,Transaksi!$I$16:$I$5015,C227))</f>
        <v/>
      </c>
      <c r="F227" s="106">
        <f>IF(C227="","",SUMIFS(Transaksi!$F$16:$F$5015,Transaksi!$G$16:$G$5015,A227,Transaksi!$H$16:$H$5015,B227,Transaksi!$I$16:$I$5015,C227,Transaksi!$B$16:$B$5015,"&gt;="&amp;DATE(Dashboard!$C$4,1,1),Transaksi!$B$16:$B$5015,"&lt;="&amp;DATE(Dashboard!$C$4,12,31)))</f>
        <v/>
      </c>
    </row>
    <row r="228" ht="15" customHeight="1" s="94">
      <c r="A228" s="105" t="n"/>
      <c r="B228" s="105" t="n"/>
      <c r="C228" s="127" t="n"/>
      <c r="D228" s="167">
        <f>IF(C228="","",COUNTIFS(Transaksi!$G$16:$G$5015,A228,Transaksi!$H$16:$H$5015,B228,Transaksi!$I$16:$I$5015,C228))</f>
        <v/>
      </c>
      <c r="E228" s="106">
        <f>IF(C228="","",SUMIFS(Transaksi!$F$16:$F$5015,Transaksi!$G$16:$G$5015,A228,Transaksi!$H$16:$H$5015,B228,Transaksi!$I$16:$I$5015,C228))</f>
        <v/>
      </c>
      <c r="F228" s="106">
        <f>IF(C228="","",SUMIFS(Transaksi!$F$16:$F$5015,Transaksi!$G$16:$G$5015,A228,Transaksi!$H$16:$H$5015,B228,Transaksi!$I$16:$I$5015,C228,Transaksi!$B$16:$B$5015,"&gt;="&amp;DATE(Dashboard!$C$4,1,1),Transaksi!$B$16:$B$5015,"&lt;="&amp;DATE(Dashboard!$C$4,12,31)))</f>
        <v/>
      </c>
    </row>
    <row r="229" ht="15" customHeight="1" s="94">
      <c r="A229" s="105" t="n"/>
      <c r="B229" s="105" t="n"/>
      <c r="C229" s="127" t="n"/>
      <c r="D229" s="167">
        <f>IF(C229="","",COUNTIFS(Transaksi!$G$16:$G$5015,A229,Transaksi!$H$16:$H$5015,B229,Transaksi!$I$16:$I$5015,C229))</f>
        <v/>
      </c>
      <c r="E229" s="106">
        <f>IF(C229="","",SUMIFS(Transaksi!$F$16:$F$5015,Transaksi!$G$16:$G$5015,A229,Transaksi!$H$16:$H$5015,B229,Transaksi!$I$16:$I$5015,C229))</f>
        <v/>
      </c>
      <c r="F229" s="106">
        <f>IF(C229="","",SUMIFS(Transaksi!$F$16:$F$5015,Transaksi!$G$16:$G$5015,A229,Transaksi!$H$16:$H$5015,B229,Transaksi!$I$16:$I$5015,C229,Transaksi!$B$16:$B$5015,"&gt;="&amp;DATE(Dashboard!$C$4,1,1),Transaksi!$B$16:$B$5015,"&lt;="&amp;DATE(Dashboard!$C$4,12,31)))</f>
        <v/>
      </c>
    </row>
    <row r="230" ht="15" customHeight="1" s="94">
      <c r="A230" s="105" t="n"/>
      <c r="B230" s="105" t="n"/>
      <c r="C230" s="127" t="n"/>
      <c r="D230" s="167">
        <f>IF(C230="","",COUNTIFS(Transaksi!$G$16:$G$5015,A230,Transaksi!$H$16:$H$5015,B230,Transaksi!$I$16:$I$5015,C230))</f>
        <v/>
      </c>
      <c r="E230" s="106">
        <f>IF(C230="","",SUMIFS(Transaksi!$F$16:$F$5015,Transaksi!$G$16:$G$5015,A230,Transaksi!$H$16:$H$5015,B230,Transaksi!$I$16:$I$5015,C230))</f>
        <v/>
      </c>
      <c r="F230" s="106">
        <f>IF(C230="","",SUMIFS(Transaksi!$F$16:$F$5015,Transaksi!$G$16:$G$5015,A230,Transaksi!$H$16:$H$5015,B230,Transaksi!$I$16:$I$5015,C230,Transaksi!$B$16:$B$5015,"&gt;="&amp;DATE(Dashboard!$C$4,1,1),Transaksi!$B$16:$B$5015,"&lt;="&amp;DATE(Dashboard!$C$4,12,31)))</f>
        <v/>
      </c>
    </row>
    <row r="231" ht="15" customHeight="1" s="94">
      <c r="A231" s="105" t="n"/>
      <c r="B231" s="105" t="n"/>
      <c r="C231" s="127" t="n"/>
      <c r="D231" s="167">
        <f>IF(C231="","",COUNTIFS(Transaksi!$G$16:$G$5015,A231,Transaksi!$H$16:$H$5015,B231,Transaksi!$I$16:$I$5015,C231))</f>
        <v/>
      </c>
      <c r="E231" s="106">
        <f>IF(C231="","",SUMIFS(Transaksi!$F$16:$F$5015,Transaksi!$G$16:$G$5015,A231,Transaksi!$H$16:$H$5015,B231,Transaksi!$I$16:$I$5015,C231))</f>
        <v/>
      </c>
      <c r="F231" s="106">
        <f>IF(C231="","",SUMIFS(Transaksi!$F$16:$F$5015,Transaksi!$G$16:$G$5015,A231,Transaksi!$H$16:$H$5015,B231,Transaksi!$I$16:$I$5015,C231,Transaksi!$B$16:$B$5015,"&gt;="&amp;DATE(Dashboard!$C$4,1,1),Transaksi!$B$16:$B$5015,"&lt;="&amp;DATE(Dashboard!$C$4,12,31)))</f>
        <v/>
      </c>
    </row>
    <row r="232" ht="15" customHeight="1" s="94">
      <c r="A232" s="105" t="n"/>
      <c r="B232" s="105" t="n"/>
      <c r="C232" s="127" t="n"/>
      <c r="D232" s="167">
        <f>IF(C232="","",COUNTIFS(Transaksi!$G$16:$G$5015,A232,Transaksi!$H$16:$H$5015,B232,Transaksi!$I$16:$I$5015,C232))</f>
        <v/>
      </c>
      <c r="E232" s="106">
        <f>IF(C232="","",SUMIFS(Transaksi!$F$16:$F$5015,Transaksi!$G$16:$G$5015,A232,Transaksi!$H$16:$H$5015,B232,Transaksi!$I$16:$I$5015,C232))</f>
        <v/>
      </c>
      <c r="F232" s="106">
        <f>IF(C232="","",SUMIFS(Transaksi!$F$16:$F$5015,Transaksi!$G$16:$G$5015,A232,Transaksi!$H$16:$H$5015,B232,Transaksi!$I$16:$I$5015,C232,Transaksi!$B$16:$B$5015,"&gt;="&amp;DATE(Dashboard!$C$4,1,1),Transaksi!$B$16:$B$5015,"&lt;="&amp;DATE(Dashboard!$C$4,12,31)))</f>
        <v/>
      </c>
    </row>
    <row r="233" ht="15" customHeight="1" s="94">
      <c r="A233" s="105" t="n"/>
      <c r="B233" s="105" t="n"/>
      <c r="C233" s="127" t="n"/>
      <c r="D233" s="167">
        <f>IF(C233="","",COUNTIFS(Transaksi!$G$16:$G$5015,A233,Transaksi!$H$16:$H$5015,B233,Transaksi!$I$16:$I$5015,C233))</f>
        <v/>
      </c>
      <c r="E233" s="106">
        <f>IF(C233="","",SUMIFS(Transaksi!$F$16:$F$5015,Transaksi!$G$16:$G$5015,A233,Transaksi!$H$16:$H$5015,B233,Transaksi!$I$16:$I$5015,C233))</f>
        <v/>
      </c>
      <c r="F233" s="106">
        <f>IF(C233="","",SUMIFS(Transaksi!$F$16:$F$5015,Transaksi!$G$16:$G$5015,A233,Transaksi!$H$16:$H$5015,B233,Transaksi!$I$16:$I$5015,C233,Transaksi!$B$16:$B$5015,"&gt;="&amp;DATE(Dashboard!$C$4,1,1),Transaksi!$B$16:$B$5015,"&lt;="&amp;DATE(Dashboard!$C$4,12,31)))</f>
        <v/>
      </c>
    </row>
    <row r="234" ht="15" customHeight="1" s="94">
      <c r="A234" s="105" t="n"/>
      <c r="B234" s="105" t="n"/>
      <c r="C234" s="127" t="n"/>
      <c r="D234" s="167">
        <f>IF(C234="","",COUNTIFS(Transaksi!$G$16:$G$5015,A234,Transaksi!$H$16:$H$5015,B234,Transaksi!$I$16:$I$5015,C234))</f>
        <v/>
      </c>
      <c r="E234" s="106">
        <f>IF(C234="","",SUMIFS(Transaksi!$F$16:$F$5015,Transaksi!$G$16:$G$5015,A234,Transaksi!$H$16:$H$5015,B234,Transaksi!$I$16:$I$5015,C234))</f>
        <v/>
      </c>
      <c r="F234" s="106">
        <f>IF(C234="","",SUMIFS(Transaksi!$F$16:$F$5015,Transaksi!$G$16:$G$5015,A234,Transaksi!$H$16:$H$5015,B234,Transaksi!$I$16:$I$5015,C234,Transaksi!$B$16:$B$5015,"&gt;="&amp;DATE(Dashboard!$C$4,1,1),Transaksi!$B$16:$B$5015,"&lt;="&amp;DATE(Dashboard!$C$4,12,31)))</f>
        <v/>
      </c>
    </row>
    <row r="235" ht="15" customHeight="1" s="94">
      <c r="A235" s="105" t="n"/>
      <c r="B235" s="105" t="n"/>
      <c r="C235" s="127" t="n"/>
      <c r="D235" s="167">
        <f>IF(C235="","",COUNTIFS(Transaksi!$G$16:$G$5015,A235,Transaksi!$H$16:$H$5015,B235,Transaksi!$I$16:$I$5015,C235))</f>
        <v/>
      </c>
      <c r="E235" s="106">
        <f>IF(C235="","",SUMIFS(Transaksi!$F$16:$F$5015,Transaksi!$G$16:$G$5015,A235,Transaksi!$H$16:$H$5015,B235,Transaksi!$I$16:$I$5015,C235))</f>
        <v/>
      </c>
      <c r="F235" s="106">
        <f>IF(C235="","",SUMIFS(Transaksi!$F$16:$F$5015,Transaksi!$G$16:$G$5015,A235,Transaksi!$H$16:$H$5015,B235,Transaksi!$I$16:$I$5015,C235,Transaksi!$B$16:$B$5015,"&gt;="&amp;DATE(Dashboard!$C$4,1,1),Transaksi!$B$16:$B$5015,"&lt;="&amp;DATE(Dashboard!$C$4,12,31)))</f>
        <v/>
      </c>
    </row>
    <row r="236" ht="15" customHeight="1" s="94">
      <c r="A236" s="105" t="n"/>
      <c r="B236" s="105" t="n"/>
      <c r="C236" s="127" t="n"/>
      <c r="D236" s="167">
        <f>IF(C236="","",COUNTIFS(Transaksi!$G$16:$G$5015,A236,Transaksi!$H$16:$H$5015,B236,Transaksi!$I$16:$I$5015,C236))</f>
        <v/>
      </c>
      <c r="E236" s="106">
        <f>IF(C236="","",SUMIFS(Transaksi!$F$16:$F$5015,Transaksi!$G$16:$G$5015,A236,Transaksi!$H$16:$H$5015,B236,Transaksi!$I$16:$I$5015,C236))</f>
        <v/>
      </c>
      <c r="F236" s="106">
        <f>IF(C236="","",SUMIFS(Transaksi!$F$16:$F$5015,Transaksi!$G$16:$G$5015,A236,Transaksi!$H$16:$H$5015,B236,Transaksi!$I$16:$I$5015,C236,Transaksi!$B$16:$B$5015,"&gt;="&amp;DATE(Dashboard!$C$4,1,1),Transaksi!$B$16:$B$5015,"&lt;="&amp;DATE(Dashboard!$C$4,12,31)))</f>
        <v/>
      </c>
    </row>
    <row r="237" ht="15" customHeight="1" s="94">
      <c r="A237" s="105" t="n"/>
      <c r="B237" s="105" t="n"/>
      <c r="C237" s="127" t="n"/>
      <c r="D237" s="167">
        <f>IF(C237="","",COUNTIFS(Transaksi!$G$16:$G$5015,A237,Transaksi!$H$16:$H$5015,B237,Transaksi!$I$16:$I$5015,C237))</f>
        <v/>
      </c>
      <c r="E237" s="106">
        <f>IF(C237="","",SUMIFS(Transaksi!$F$16:$F$5015,Transaksi!$G$16:$G$5015,A237,Transaksi!$H$16:$H$5015,B237,Transaksi!$I$16:$I$5015,C237))</f>
        <v/>
      </c>
      <c r="F237" s="106">
        <f>IF(C237="","",SUMIFS(Transaksi!$F$16:$F$5015,Transaksi!$G$16:$G$5015,A237,Transaksi!$H$16:$H$5015,B237,Transaksi!$I$16:$I$5015,C237,Transaksi!$B$16:$B$5015,"&gt;="&amp;DATE(Dashboard!$C$4,1,1),Transaksi!$B$16:$B$5015,"&lt;="&amp;DATE(Dashboard!$C$4,12,31)))</f>
        <v/>
      </c>
    </row>
    <row r="238" ht="15" customHeight="1" s="94">
      <c r="A238" s="105" t="n"/>
      <c r="B238" s="105" t="n"/>
      <c r="C238" s="127" t="n"/>
      <c r="D238" s="167">
        <f>IF(C238="","",COUNTIFS(Transaksi!$G$16:$G$5015,A238,Transaksi!$H$16:$H$5015,B238,Transaksi!$I$16:$I$5015,C238))</f>
        <v/>
      </c>
      <c r="E238" s="106">
        <f>IF(C238="","",SUMIFS(Transaksi!$F$16:$F$5015,Transaksi!$G$16:$G$5015,A238,Transaksi!$H$16:$H$5015,B238,Transaksi!$I$16:$I$5015,C238))</f>
        <v/>
      </c>
      <c r="F238" s="106">
        <f>IF(C238="","",SUMIFS(Transaksi!$F$16:$F$5015,Transaksi!$G$16:$G$5015,A238,Transaksi!$H$16:$H$5015,B238,Transaksi!$I$16:$I$5015,C238,Transaksi!$B$16:$B$5015,"&gt;="&amp;DATE(Dashboard!$C$4,1,1),Transaksi!$B$16:$B$5015,"&lt;="&amp;DATE(Dashboard!$C$4,12,31)))</f>
        <v/>
      </c>
    </row>
    <row r="239" ht="15" customHeight="1" s="94">
      <c r="A239" s="105" t="n"/>
      <c r="B239" s="105" t="n"/>
      <c r="C239" s="127" t="n"/>
      <c r="D239" s="167">
        <f>IF(C239="","",COUNTIFS(Transaksi!$G$16:$G$5015,A239,Transaksi!$H$16:$H$5015,B239,Transaksi!$I$16:$I$5015,C239))</f>
        <v/>
      </c>
      <c r="E239" s="106">
        <f>IF(C239="","",SUMIFS(Transaksi!$F$16:$F$5015,Transaksi!$G$16:$G$5015,A239,Transaksi!$H$16:$H$5015,B239,Transaksi!$I$16:$I$5015,C239))</f>
        <v/>
      </c>
      <c r="F239" s="106">
        <f>IF(C239="","",SUMIFS(Transaksi!$F$16:$F$5015,Transaksi!$G$16:$G$5015,A239,Transaksi!$H$16:$H$5015,B239,Transaksi!$I$16:$I$5015,C239,Transaksi!$B$16:$B$5015,"&gt;="&amp;DATE(Dashboard!$C$4,1,1),Transaksi!$B$16:$B$5015,"&lt;="&amp;DATE(Dashboard!$C$4,12,31)))</f>
        <v/>
      </c>
    </row>
    <row r="240" ht="15" customHeight="1" s="94">
      <c r="A240" s="105" t="n"/>
      <c r="B240" s="105" t="n"/>
      <c r="C240" s="127" t="n"/>
      <c r="D240" s="167">
        <f>IF(C240="","",COUNTIFS(Transaksi!$G$16:$G$5015,A240,Transaksi!$H$16:$H$5015,B240,Transaksi!$I$16:$I$5015,C240))</f>
        <v/>
      </c>
      <c r="E240" s="106">
        <f>IF(C240="","",SUMIFS(Transaksi!$F$16:$F$5015,Transaksi!$G$16:$G$5015,A240,Transaksi!$H$16:$H$5015,B240,Transaksi!$I$16:$I$5015,C240))</f>
        <v/>
      </c>
      <c r="F240" s="106">
        <f>IF(C240="","",SUMIFS(Transaksi!$F$16:$F$5015,Transaksi!$G$16:$G$5015,A240,Transaksi!$H$16:$H$5015,B240,Transaksi!$I$16:$I$5015,C240,Transaksi!$B$16:$B$5015,"&gt;="&amp;DATE(Dashboard!$C$4,1,1),Transaksi!$B$16:$B$5015,"&lt;="&amp;DATE(Dashboard!$C$4,12,31)))</f>
        <v/>
      </c>
    </row>
    <row r="241" ht="15" customHeight="1" s="94">
      <c r="A241" s="105" t="n"/>
      <c r="B241" s="105" t="n"/>
      <c r="C241" s="127" t="n"/>
      <c r="D241" s="167">
        <f>IF(C241="","",COUNTIFS(Transaksi!$G$16:$G$5015,A241,Transaksi!$H$16:$H$5015,B241,Transaksi!$I$16:$I$5015,C241))</f>
        <v/>
      </c>
      <c r="E241" s="106">
        <f>IF(C241="","",SUMIFS(Transaksi!$F$16:$F$5015,Transaksi!$G$16:$G$5015,A241,Transaksi!$H$16:$H$5015,B241,Transaksi!$I$16:$I$5015,C241))</f>
        <v/>
      </c>
      <c r="F241" s="106">
        <f>IF(C241="","",SUMIFS(Transaksi!$F$16:$F$5015,Transaksi!$G$16:$G$5015,A241,Transaksi!$H$16:$H$5015,B241,Transaksi!$I$16:$I$5015,C241,Transaksi!$B$16:$B$5015,"&gt;="&amp;DATE(Dashboard!$C$4,1,1),Transaksi!$B$16:$B$5015,"&lt;="&amp;DATE(Dashboard!$C$4,12,31)))</f>
        <v/>
      </c>
    </row>
    <row r="242" ht="15" customHeight="1" s="94">
      <c r="A242" s="105" t="n"/>
      <c r="B242" s="105" t="n"/>
      <c r="C242" s="127" t="n"/>
      <c r="D242" s="167">
        <f>IF(C242="","",COUNTIFS(Transaksi!$G$16:$G$5015,A242,Transaksi!$H$16:$H$5015,B242,Transaksi!$I$16:$I$5015,C242))</f>
        <v/>
      </c>
      <c r="E242" s="106">
        <f>IF(C242="","",SUMIFS(Transaksi!$F$16:$F$5015,Transaksi!$G$16:$G$5015,A242,Transaksi!$H$16:$H$5015,B242,Transaksi!$I$16:$I$5015,C242))</f>
        <v/>
      </c>
      <c r="F242" s="106">
        <f>IF(C242="","",SUMIFS(Transaksi!$F$16:$F$5015,Transaksi!$G$16:$G$5015,A242,Transaksi!$H$16:$H$5015,B242,Transaksi!$I$16:$I$5015,C242,Transaksi!$B$16:$B$5015,"&gt;="&amp;DATE(Dashboard!$C$4,1,1),Transaksi!$B$16:$B$5015,"&lt;="&amp;DATE(Dashboard!$C$4,12,31)))</f>
        <v/>
      </c>
    </row>
    <row r="243" ht="15" customHeight="1" s="94">
      <c r="A243" s="105" t="n"/>
      <c r="B243" s="105" t="n"/>
      <c r="C243" s="127" t="n"/>
      <c r="D243" s="167">
        <f>IF(C243="","",COUNTIFS(Transaksi!$G$16:$G$5015,A243,Transaksi!$H$16:$H$5015,B243,Transaksi!$I$16:$I$5015,C243))</f>
        <v/>
      </c>
      <c r="E243" s="106">
        <f>IF(C243="","",SUMIFS(Transaksi!$F$16:$F$5015,Transaksi!$G$16:$G$5015,A243,Transaksi!$H$16:$H$5015,B243,Transaksi!$I$16:$I$5015,C243))</f>
        <v/>
      </c>
      <c r="F243" s="106">
        <f>IF(C243="","",SUMIFS(Transaksi!$F$16:$F$5015,Transaksi!$G$16:$G$5015,A243,Transaksi!$H$16:$H$5015,B243,Transaksi!$I$16:$I$5015,C243,Transaksi!$B$16:$B$5015,"&gt;="&amp;DATE(Dashboard!$C$4,1,1),Transaksi!$B$16:$B$5015,"&lt;="&amp;DATE(Dashboard!$C$4,12,31)))</f>
        <v/>
      </c>
    </row>
    <row r="244" ht="15" customHeight="1" s="94">
      <c r="A244" s="105" t="n"/>
      <c r="B244" s="105" t="n"/>
      <c r="C244" s="127" t="n"/>
      <c r="D244" s="167">
        <f>IF(C244="","",COUNTIFS(Transaksi!$G$16:$G$5015,A244,Transaksi!$H$16:$H$5015,B244,Transaksi!$I$16:$I$5015,C244))</f>
        <v/>
      </c>
      <c r="E244" s="106">
        <f>IF(C244="","",SUMIFS(Transaksi!$F$16:$F$5015,Transaksi!$G$16:$G$5015,A244,Transaksi!$H$16:$H$5015,B244,Transaksi!$I$16:$I$5015,C244))</f>
        <v/>
      </c>
      <c r="F244" s="106">
        <f>IF(C244="","",SUMIFS(Transaksi!$F$16:$F$5015,Transaksi!$G$16:$G$5015,A244,Transaksi!$H$16:$H$5015,B244,Transaksi!$I$16:$I$5015,C244,Transaksi!$B$16:$B$5015,"&gt;="&amp;DATE(Dashboard!$C$4,1,1),Transaksi!$B$16:$B$5015,"&lt;="&amp;DATE(Dashboard!$C$4,12,31)))</f>
        <v/>
      </c>
    </row>
    <row r="245" ht="15" customHeight="1" s="94">
      <c r="A245" s="105" t="n"/>
      <c r="B245" s="105" t="n"/>
      <c r="C245" s="127" t="n"/>
      <c r="D245" s="167">
        <f>IF(C245="","",COUNTIFS(Transaksi!$G$16:$G$5015,A245,Transaksi!$H$16:$H$5015,B245,Transaksi!$I$16:$I$5015,C245))</f>
        <v/>
      </c>
      <c r="E245" s="106">
        <f>IF(C245="","",SUMIFS(Transaksi!$F$16:$F$5015,Transaksi!$G$16:$G$5015,A245,Transaksi!$H$16:$H$5015,B245,Transaksi!$I$16:$I$5015,C245))</f>
        <v/>
      </c>
      <c r="F245" s="106">
        <f>IF(C245="","",SUMIFS(Transaksi!$F$16:$F$5015,Transaksi!$G$16:$G$5015,A245,Transaksi!$H$16:$H$5015,B245,Transaksi!$I$16:$I$5015,C245,Transaksi!$B$16:$B$5015,"&gt;="&amp;DATE(Dashboard!$C$4,1,1),Transaksi!$B$16:$B$5015,"&lt;="&amp;DATE(Dashboard!$C$4,12,31)))</f>
        <v/>
      </c>
    </row>
    <row r="246" ht="15" customHeight="1" s="94">
      <c r="A246" s="105" t="n"/>
      <c r="B246" s="105" t="n"/>
      <c r="C246" s="127" t="n"/>
      <c r="D246" s="167">
        <f>IF(C246="","",COUNTIFS(Transaksi!$G$16:$G$5015,A246,Transaksi!$H$16:$H$5015,B246,Transaksi!$I$16:$I$5015,C246))</f>
        <v/>
      </c>
      <c r="E246" s="106">
        <f>IF(C246="","",SUMIFS(Transaksi!$F$16:$F$5015,Transaksi!$G$16:$G$5015,A246,Transaksi!$H$16:$H$5015,B246,Transaksi!$I$16:$I$5015,C246))</f>
        <v/>
      </c>
      <c r="F246" s="106">
        <f>IF(C246="","",SUMIFS(Transaksi!$F$16:$F$5015,Transaksi!$G$16:$G$5015,A246,Transaksi!$H$16:$H$5015,B246,Transaksi!$I$16:$I$5015,C246,Transaksi!$B$16:$B$5015,"&gt;="&amp;DATE(Dashboard!$C$4,1,1),Transaksi!$B$16:$B$5015,"&lt;="&amp;DATE(Dashboard!$C$4,12,31)))</f>
        <v/>
      </c>
    </row>
    <row r="247" ht="15" customHeight="1" s="94">
      <c r="A247" s="105" t="n"/>
      <c r="B247" s="105" t="n"/>
      <c r="C247" s="127" t="n"/>
      <c r="D247" s="167">
        <f>IF(C247="","",COUNTIFS(Transaksi!$G$16:$G$5015,A247,Transaksi!$H$16:$H$5015,B247,Transaksi!$I$16:$I$5015,C247))</f>
        <v/>
      </c>
      <c r="E247" s="106">
        <f>IF(C247="","",SUMIFS(Transaksi!$F$16:$F$5015,Transaksi!$G$16:$G$5015,A247,Transaksi!$H$16:$H$5015,B247,Transaksi!$I$16:$I$5015,C247))</f>
        <v/>
      </c>
      <c r="F247" s="106">
        <f>IF(C247="","",SUMIFS(Transaksi!$F$16:$F$5015,Transaksi!$G$16:$G$5015,A247,Transaksi!$H$16:$H$5015,B247,Transaksi!$I$16:$I$5015,C247,Transaksi!$B$16:$B$5015,"&gt;="&amp;DATE(Dashboard!$C$4,1,1),Transaksi!$B$16:$B$5015,"&lt;="&amp;DATE(Dashboard!$C$4,12,31)))</f>
        <v/>
      </c>
    </row>
    <row r="248" ht="15" customHeight="1" s="94">
      <c r="A248" s="105" t="n"/>
      <c r="B248" s="105" t="n"/>
      <c r="C248" s="127" t="n"/>
      <c r="D248" s="167">
        <f>IF(C248="","",COUNTIFS(Transaksi!$G$16:$G$5015,A248,Transaksi!$H$16:$H$5015,B248,Transaksi!$I$16:$I$5015,C248))</f>
        <v/>
      </c>
      <c r="E248" s="106">
        <f>IF(C248="","",SUMIFS(Transaksi!$F$16:$F$5015,Transaksi!$G$16:$G$5015,A248,Transaksi!$H$16:$H$5015,B248,Transaksi!$I$16:$I$5015,C248))</f>
        <v/>
      </c>
      <c r="F248" s="106">
        <f>IF(C248="","",SUMIFS(Transaksi!$F$16:$F$5015,Transaksi!$G$16:$G$5015,A248,Transaksi!$H$16:$H$5015,B248,Transaksi!$I$16:$I$5015,C248,Transaksi!$B$16:$B$5015,"&gt;="&amp;DATE(Dashboard!$C$4,1,1),Transaksi!$B$16:$B$5015,"&lt;="&amp;DATE(Dashboard!$C$4,12,31)))</f>
        <v/>
      </c>
    </row>
    <row r="249" ht="15" customHeight="1" s="94">
      <c r="A249" s="105" t="n"/>
      <c r="B249" s="105" t="n"/>
      <c r="C249" s="127" t="n"/>
      <c r="D249" s="167">
        <f>IF(C249="","",COUNTIFS(Transaksi!$G$16:$G$5015,A249,Transaksi!$H$16:$H$5015,B249,Transaksi!$I$16:$I$5015,C249))</f>
        <v/>
      </c>
      <c r="E249" s="106">
        <f>IF(C249="","",SUMIFS(Transaksi!$F$16:$F$5015,Transaksi!$G$16:$G$5015,A249,Transaksi!$H$16:$H$5015,B249,Transaksi!$I$16:$I$5015,C249))</f>
        <v/>
      </c>
      <c r="F249" s="106">
        <f>IF(C249="","",SUMIFS(Transaksi!$F$16:$F$5015,Transaksi!$G$16:$G$5015,A249,Transaksi!$H$16:$H$5015,B249,Transaksi!$I$16:$I$5015,C249,Transaksi!$B$16:$B$5015,"&gt;="&amp;DATE(Dashboard!$C$4,1,1),Transaksi!$B$16:$B$5015,"&lt;="&amp;DATE(Dashboard!$C$4,12,31)))</f>
        <v/>
      </c>
    </row>
    <row r="250" ht="15" customHeight="1" s="94">
      <c r="A250" s="105" t="n"/>
      <c r="B250" s="105" t="n"/>
      <c r="C250" s="127" t="n"/>
      <c r="D250" s="167">
        <f>IF(C250="","",COUNTIFS(Transaksi!$G$16:$G$5015,A250,Transaksi!$H$16:$H$5015,B250,Transaksi!$I$16:$I$5015,C250))</f>
        <v/>
      </c>
      <c r="E250" s="106">
        <f>IF(C250="","",SUMIFS(Transaksi!$F$16:$F$5015,Transaksi!$G$16:$G$5015,A250,Transaksi!$H$16:$H$5015,B250,Transaksi!$I$16:$I$5015,C250))</f>
        <v/>
      </c>
      <c r="F250" s="106">
        <f>IF(C250="","",SUMIFS(Transaksi!$F$16:$F$5015,Transaksi!$G$16:$G$5015,A250,Transaksi!$H$16:$H$5015,B250,Transaksi!$I$16:$I$5015,C250,Transaksi!$B$16:$B$5015,"&gt;="&amp;DATE(Dashboard!$C$4,1,1),Transaksi!$B$16:$B$5015,"&lt;="&amp;DATE(Dashboard!$C$4,12,31)))</f>
        <v/>
      </c>
    </row>
    <row r="251" ht="15" customHeight="1" s="94">
      <c r="A251" s="105" t="n"/>
      <c r="B251" s="105" t="n"/>
      <c r="C251" s="127" t="n"/>
      <c r="D251" s="167">
        <f>IF(C251="","",COUNTIFS(Transaksi!$G$16:$G$5015,A251,Transaksi!$H$16:$H$5015,B251,Transaksi!$I$16:$I$5015,C251))</f>
        <v/>
      </c>
      <c r="E251" s="106">
        <f>IF(C251="","",SUMIFS(Transaksi!$F$16:$F$5015,Transaksi!$G$16:$G$5015,A251,Transaksi!$H$16:$H$5015,B251,Transaksi!$I$16:$I$5015,C251))</f>
        <v/>
      </c>
      <c r="F251" s="106">
        <f>IF(C251="","",SUMIFS(Transaksi!$F$16:$F$5015,Transaksi!$G$16:$G$5015,A251,Transaksi!$H$16:$H$5015,B251,Transaksi!$I$16:$I$5015,C251,Transaksi!$B$16:$B$5015,"&gt;="&amp;DATE(Dashboard!$C$4,1,1),Transaksi!$B$16:$B$5015,"&lt;="&amp;DATE(Dashboard!$C$4,12,31)))</f>
        <v/>
      </c>
    </row>
    <row r="252" ht="15" customHeight="1" s="94">
      <c r="A252" s="105" t="n"/>
      <c r="B252" s="105" t="n"/>
      <c r="C252" s="127" t="n"/>
      <c r="D252" s="167">
        <f>IF(C252="","",COUNTIFS(Transaksi!$G$16:$G$5015,A252,Transaksi!$H$16:$H$5015,B252,Transaksi!$I$16:$I$5015,C252))</f>
        <v/>
      </c>
      <c r="E252" s="106">
        <f>IF(C252="","",SUMIFS(Transaksi!$F$16:$F$5015,Transaksi!$G$16:$G$5015,A252,Transaksi!$H$16:$H$5015,B252,Transaksi!$I$16:$I$5015,C252))</f>
        <v/>
      </c>
      <c r="F252" s="106">
        <f>IF(C252="","",SUMIFS(Transaksi!$F$16:$F$5015,Transaksi!$G$16:$G$5015,A252,Transaksi!$H$16:$H$5015,B252,Transaksi!$I$16:$I$5015,C252,Transaksi!$B$16:$B$5015,"&gt;="&amp;DATE(Dashboard!$C$4,1,1),Transaksi!$B$16:$B$5015,"&lt;="&amp;DATE(Dashboard!$C$4,12,31)))</f>
        <v/>
      </c>
    </row>
    <row r="253" ht="15" customHeight="1" s="94">
      <c r="A253" s="105" t="n"/>
      <c r="B253" s="105" t="n"/>
      <c r="C253" s="127" t="n"/>
      <c r="D253" s="167">
        <f>IF(C253="","",COUNTIFS(Transaksi!$G$16:$G$5015,A253,Transaksi!$H$16:$H$5015,B253,Transaksi!$I$16:$I$5015,C253))</f>
        <v/>
      </c>
      <c r="E253" s="106">
        <f>IF(C253="","",SUMIFS(Transaksi!$F$16:$F$5015,Transaksi!$G$16:$G$5015,A253,Transaksi!$H$16:$H$5015,B253,Transaksi!$I$16:$I$5015,C253))</f>
        <v/>
      </c>
      <c r="F253" s="106">
        <f>IF(C253="","",SUMIFS(Transaksi!$F$16:$F$5015,Transaksi!$G$16:$G$5015,A253,Transaksi!$H$16:$H$5015,B253,Transaksi!$I$16:$I$5015,C253,Transaksi!$B$16:$B$5015,"&gt;="&amp;DATE(Dashboard!$C$4,1,1),Transaksi!$B$16:$B$5015,"&lt;="&amp;DATE(Dashboard!$C$4,12,31)))</f>
        <v/>
      </c>
    </row>
    <row r="254" ht="15" customHeight="1" s="94">
      <c r="A254" s="105" t="n"/>
      <c r="B254" s="105" t="n"/>
      <c r="C254" s="127" t="n"/>
      <c r="D254" s="167">
        <f>IF(C254="","",COUNTIFS(Transaksi!$G$16:$G$5015,A254,Transaksi!$H$16:$H$5015,B254,Transaksi!$I$16:$I$5015,C254))</f>
        <v/>
      </c>
      <c r="E254" s="106">
        <f>IF(C254="","",SUMIFS(Transaksi!$F$16:$F$5015,Transaksi!$G$16:$G$5015,A254,Transaksi!$H$16:$H$5015,B254,Transaksi!$I$16:$I$5015,C254))</f>
        <v/>
      </c>
      <c r="F254" s="106">
        <f>IF(C254="","",SUMIFS(Transaksi!$F$16:$F$5015,Transaksi!$G$16:$G$5015,A254,Transaksi!$H$16:$H$5015,B254,Transaksi!$I$16:$I$5015,C254,Transaksi!$B$16:$B$5015,"&gt;="&amp;DATE(Dashboard!$C$4,1,1),Transaksi!$B$16:$B$5015,"&lt;="&amp;DATE(Dashboard!$C$4,12,31)))</f>
        <v/>
      </c>
    </row>
    <row r="255" ht="15" customHeight="1" s="94">
      <c r="A255" s="105" t="n"/>
      <c r="B255" s="105" t="n"/>
      <c r="C255" s="127" t="n"/>
      <c r="D255" s="167">
        <f>IF(C255="","",COUNTIFS(Transaksi!$G$16:$G$5015,A255,Transaksi!$H$16:$H$5015,B255,Transaksi!$I$16:$I$5015,C255))</f>
        <v/>
      </c>
      <c r="E255" s="106">
        <f>IF(C255="","",SUMIFS(Transaksi!$F$16:$F$5015,Transaksi!$G$16:$G$5015,A255,Transaksi!$H$16:$H$5015,B255,Transaksi!$I$16:$I$5015,C255))</f>
        <v/>
      </c>
      <c r="F255" s="106">
        <f>IF(C255="","",SUMIFS(Transaksi!$F$16:$F$5015,Transaksi!$G$16:$G$5015,A255,Transaksi!$H$16:$H$5015,B255,Transaksi!$I$16:$I$5015,C255,Transaksi!$B$16:$B$5015,"&gt;="&amp;DATE(Dashboard!$C$4,1,1),Transaksi!$B$16:$B$5015,"&lt;="&amp;DATE(Dashboard!$C$4,12,31)))</f>
        <v/>
      </c>
    </row>
    <row r="256" ht="15" customHeight="1" s="94">
      <c r="A256" s="105" t="n"/>
      <c r="B256" s="105" t="n"/>
      <c r="C256" s="127" t="n"/>
      <c r="D256" s="167">
        <f>IF(C256="","",COUNTIFS(Transaksi!$G$16:$G$5015,A256,Transaksi!$H$16:$H$5015,B256,Transaksi!$I$16:$I$5015,C256))</f>
        <v/>
      </c>
      <c r="E256" s="106">
        <f>IF(C256="","",SUMIFS(Transaksi!$F$16:$F$5015,Transaksi!$G$16:$G$5015,A256,Transaksi!$H$16:$H$5015,B256,Transaksi!$I$16:$I$5015,C256))</f>
        <v/>
      </c>
      <c r="F256" s="106">
        <f>IF(C256="","",SUMIFS(Transaksi!$F$16:$F$5015,Transaksi!$G$16:$G$5015,A256,Transaksi!$H$16:$H$5015,B256,Transaksi!$I$16:$I$5015,C256,Transaksi!$B$16:$B$5015,"&gt;="&amp;DATE(Dashboard!$C$4,1,1),Transaksi!$B$16:$B$5015,"&lt;="&amp;DATE(Dashboard!$C$4,12,31)))</f>
        <v/>
      </c>
    </row>
    <row r="257" ht="15" customHeight="1" s="94">
      <c r="A257" s="105" t="n"/>
      <c r="B257" s="105" t="n"/>
      <c r="C257" s="127" t="n"/>
      <c r="D257" s="167">
        <f>IF(C257="","",COUNTIFS(Transaksi!$G$16:$G$5015,A257,Transaksi!$H$16:$H$5015,B257,Transaksi!$I$16:$I$5015,C257))</f>
        <v/>
      </c>
      <c r="E257" s="106">
        <f>IF(C257="","",SUMIFS(Transaksi!$F$16:$F$5015,Transaksi!$G$16:$G$5015,A257,Transaksi!$H$16:$H$5015,B257,Transaksi!$I$16:$I$5015,C257))</f>
        <v/>
      </c>
      <c r="F257" s="106">
        <f>IF(C257="","",SUMIFS(Transaksi!$F$16:$F$5015,Transaksi!$G$16:$G$5015,A257,Transaksi!$H$16:$H$5015,B257,Transaksi!$I$16:$I$5015,C257,Transaksi!$B$16:$B$5015,"&gt;="&amp;DATE(Dashboard!$C$4,1,1),Transaksi!$B$16:$B$5015,"&lt;="&amp;DATE(Dashboard!$C$4,12,31)))</f>
        <v/>
      </c>
    </row>
    <row r="258" ht="15" customHeight="1" s="94">
      <c r="A258" s="105" t="n"/>
      <c r="B258" s="105" t="n"/>
      <c r="C258" s="127" t="n"/>
      <c r="D258" s="167">
        <f>IF(C258="","",COUNTIFS(Transaksi!$G$16:$G$5015,A258,Transaksi!$H$16:$H$5015,B258,Transaksi!$I$16:$I$5015,C258))</f>
        <v/>
      </c>
      <c r="E258" s="106">
        <f>IF(C258="","",SUMIFS(Transaksi!$F$16:$F$5015,Transaksi!$G$16:$G$5015,A258,Transaksi!$H$16:$H$5015,B258,Transaksi!$I$16:$I$5015,C258))</f>
        <v/>
      </c>
      <c r="F258" s="106">
        <f>IF(C258="","",SUMIFS(Transaksi!$F$16:$F$5015,Transaksi!$G$16:$G$5015,A258,Transaksi!$H$16:$H$5015,B258,Transaksi!$I$16:$I$5015,C258,Transaksi!$B$16:$B$5015,"&gt;="&amp;DATE(Dashboard!$C$4,1,1),Transaksi!$B$16:$B$5015,"&lt;="&amp;DATE(Dashboard!$C$4,12,31)))</f>
        <v/>
      </c>
    </row>
    <row r="259" ht="15" customHeight="1" s="94">
      <c r="A259" s="105" t="n"/>
      <c r="B259" s="105" t="n"/>
      <c r="C259" s="127" t="n"/>
      <c r="D259" s="167">
        <f>IF(C259="","",COUNTIFS(Transaksi!$G$16:$G$5015,A259,Transaksi!$H$16:$H$5015,B259,Transaksi!$I$16:$I$5015,C259))</f>
        <v/>
      </c>
      <c r="E259" s="106">
        <f>IF(C259="","",SUMIFS(Transaksi!$F$16:$F$5015,Transaksi!$G$16:$G$5015,A259,Transaksi!$H$16:$H$5015,B259,Transaksi!$I$16:$I$5015,C259))</f>
        <v/>
      </c>
      <c r="F259" s="106">
        <f>IF(C259="","",SUMIFS(Transaksi!$F$16:$F$5015,Transaksi!$G$16:$G$5015,A259,Transaksi!$H$16:$H$5015,B259,Transaksi!$I$16:$I$5015,C259,Transaksi!$B$16:$B$5015,"&gt;="&amp;DATE(Dashboard!$C$4,1,1),Transaksi!$B$16:$B$5015,"&lt;="&amp;DATE(Dashboard!$C$4,12,31)))</f>
        <v/>
      </c>
    </row>
    <row r="260" ht="15" customHeight="1" s="94">
      <c r="A260" s="105" t="n"/>
      <c r="B260" s="105" t="n"/>
      <c r="C260" s="127" t="n"/>
      <c r="D260" s="167">
        <f>IF(C260="","",COUNTIFS(Transaksi!$G$16:$G$5015,A260,Transaksi!$H$16:$H$5015,B260,Transaksi!$I$16:$I$5015,C260))</f>
        <v/>
      </c>
      <c r="E260" s="106">
        <f>IF(C260="","",SUMIFS(Transaksi!$F$16:$F$5015,Transaksi!$G$16:$G$5015,A260,Transaksi!$H$16:$H$5015,B260,Transaksi!$I$16:$I$5015,C260))</f>
        <v/>
      </c>
      <c r="F260" s="106">
        <f>IF(C260="","",SUMIFS(Transaksi!$F$16:$F$5015,Transaksi!$G$16:$G$5015,A260,Transaksi!$H$16:$H$5015,B260,Transaksi!$I$16:$I$5015,C260,Transaksi!$B$16:$B$5015,"&gt;="&amp;DATE(Dashboard!$C$4,1,1),Transaksi!$B$16:$B$5015,"&lt;="&amp;DATE(Dashboard!$C$4,12,31)))</f>
        <v/>
      </c>
    </row>
    <row r="261" ht="15" customHeight="1" s="94">
      <c r="A261" s="105" t="n"/>
      <c r="B261" s="105" t="n"/>
      <c r="C261" s="127" t="n"/>
      <c r="D261" s="167">
        <f>IF(C261="","",COUNTIFS(Transaksi!$G$16:$G$5015,A261,Transaksi!$H$16:$H$5015,B261,Transaksi!$I$16:$I$5015,C261))</f>
        <v/>
      </c>
      <c r="E261" s="106">
        <f>IF(C261="","",SUMIFS(Transaksi!$F$16:$F$5015,Transaksi!$G$16:$G$5015,A261,Transaksi!$H$16:$H$5015,B261,Transaksi!$I$16:$I$5015,C261))</f>
        <v/>
      </c>
      <c r="F261" s="106">
        <f>IF(C261="","",SUMIFS(Transaksi!$F$16:$F$5015,Transaksi!$G$16:$G$5015,A261,Transaksi!$H$16:$H$5015,B261,Transaksi!$I$16:$I$5015,C261,Transaksi!$B$16:$B$5015,"&gt;="&amp;DATE(Dashboard!$C$4,1,1),Transaksi!$B$16:$B$5015,"&lt;="&amp;DATE(Dashboard!$C$4,12,31)))</f>
        <v/>
      </c>
    </row>
    <row r="262" ht="15" customHeight="1" s="94">
      <c r="A262" s="105" t="n"/>
      <c r="B262" s="105" t="n"/>
      <c r="C262" s="127" t="n"/>
      <c r="D262" s="167">
        <f>IF(C262="","",COUNTIFS(Transaksi!$G$16:$G$5015,A262,Transaksi!$H$16:$H$5015,B262,Transaksi!$I$16:$I$5015,C262))</f>
        <v/>
      </c>
      <c r="E262" s="106">
        <f>IF(C262="","",SUMIFS(Transaksi!$F$16:$F$5015,Transaksi!$G$16:$G$5015,A262,Transaksi!$H$16:$H$5015,B262,Transaksi!$I$16:$I$5015,C262))</f>
        <v/>
      </c>
      <c r="F262" s="106">
        <f>IF(C262="","",SUMIFS(Transaksi!$F$16:$F$5015,Transaksi!$G$16:$G$5015,A262,Transaksi!$H$16:$H$5015,B262,Transaksi!$I$16:$I$5015,C262,Transaksi!$B$16:$B$5015,"&gt;="&amp;DATE(Dashboard!$C$4,1,1),Transaksi!$B$16:$B$5015,"&lt;="&amp;DATE(Dashboard!$C$4,12,31)))</f>
        <v/>
      </c>
    </row>
    <row r="263" ht="15" customHeight="1" s="94">
      <c r="A263" s="105" t="n"/>
      <c r="B263" s="105" t="n"/>
      <c r="C263" s="127" t="n"/>
      <c r="D263" s="167">
        <f>IF(C263="","",COUNTIFS(Transaksi!$G$16:$G$5015,A263,Transaksi!$H$16:$H$5015,B263,Transaksi!$I$16:$I$5015,C263))</f>
        <v/>
      </c>
      <c r="E263" s="106">
        <f>IF(C263="","",SUMIFS(Transaksi!$F$16:$F$5015,Transaksi!$G$16:$G$5015,A263,Transaksi!$H$16:$H$5015,B263,Transaksi!$I$16:$I$5015,C263))</f>
        <v/>
      </c>
      <c r="F263" s="106">
        <f>IF(C263="","",SUMIFS(Transaksi!$F$16:$F$5015,Transaksi!$G$16:$G$5015,A263,Transaksi!$H$16:$H$5015,B263,Transaksi!$I$16:$I$5015,C263,Transaksi!$B$16:$B$5015,"&gt;="&amp;DATE(Dashboard!$C$4,1,1),Transaksi!$B$16:$B$5015,"&lt;="&amp;DATE(Dashboard!$C$4,12,31)))</f>
        <v/>
      </c>
    </row>
    <row r="264" ht="15" customHeight="1" s="94">
      <c r="A264" s="105" t="n"/>
      <c r="B264" s="105" t="n"/>
      <c r="C264" s="127" t="n"/>
      <c r="D264" s="167">
        <f>IF(C264="","",COUNTIFS(Transaksi!$G$16:$G$5015,A264,Transaksi!$H$16:$H$5015,B264,Transaksi!$I$16:$I$5015,C264))</f>
        <v/>
      </c>
      <c r="E264" s="106">
        <f>IF(C264="","",SUMIFS(Transaksi!$F$16:$F$5015,Transaksi!$G$16:$G$5015,A264,Transaksi!$H$16:$H$5015,B264,Transaksi!$I$16:$I$5015,C264))</f>
        <v/>
      </c>
      <c r="F264" s="106">
        <f>IF(C264="","",SUMIFS(Transaksi!$F$16:$F$5015,Transaksi!$G$16:$G$5015,A264,Transaksi!$H$16:$H$5015,B264,Transaksi!$I$16:$I$5015,C264,Transaksi!$B$16:$B$5015,"&gt;="&amp;DATE(Dashboard!$C$4,1,1),Transaksi!$B$16:$B$5015,"&lt;="&amp;DATE(Dashboard!$C$4,12,31)))</f>
        <v/>
      </c>
    </row>
    <row r="265" ht="15" customHeight="1" s="94">
      <c r="A265" s="105" t="n"/>
      <c r="B265" s="105" t="n"/>
      <c r="C265" s="127" t="n"/>
      <c r="D265" s="167">
        <f>IF(C265="","",COUNTIFS(Transaksi!$G$16:$G$5015,A265,Transaksi!$H$16:$H$5015,B265,Transaksi!$I$16:$I$5015,C265))</f>
        <v/>
      </c>
      <c r="E265" s="106">
        <f>IF(C265="","",SUMIFS(Transaksi!$F$16:$F$5015,Transaksi!$G$16:$G$5015,A265,Transaksi!$H$16:$H$5015,B265,Transaksi!$I$16:$I$5015,C265))</f>
        <v/>
      </c>
      <c r="F265" s="106">
        <f>IF(C265="","",SUMIFS(Transaksi!$F$16:$F$5015,Transaksi!$G$16:$G$5015,A265,Transaksi!$H$16:$H$5015,B265,Transaksi!$I$16:$I$5015,C265,Transaksi!$B$16:$B$5015,"&gt;="&amp;DATE(Dashboard!$C$4,1,1),Transaksi!$B$16:$B$5015,"&lt;="&amp;DATE(Dashboard!$C$4,12,31)))</f>
        <v/>
      </c>
    </row>
    <row r="266" ht="15" customHeight="1" s="94">
      <c r="A266" s="105" t="n"/>
      <c r="B266" s="105" t="n"/>
      <c r="C266" s="127" t="n"/>
      <c r="D266" s="167">
        <f>IF(C266="","",COUNTIFS(Transaksi!$G$16:$G$5015,A266,Transaksi!$H$16:$H$5015,B266,Transaksi!$I$16:$I$5015,C266))</f>
        <v/>
      </c>
      <c r="E266" s="106">
        <f>IF(C266="","",SUMIFS(Transaksi!$F$16:$F$5015,Transaksi!$G$16:$G$5015,A266,Transaksi!$H$16:$H$5015,B266,Transaksi!$I$16:$I$5015,C266))</f>
        <v/>
      </c>
      <c r="F266" s="106">
        <f>IF(C266="","",SUMIFS(Transaksi!$F$16:$F$5015,Transaksi!$G$16:$G$5015,A266,Transaksi!$H$16:$H$5015,B266,Transaksi!$I$16:$I$5015,C266,Transaksi!$B$16:$B$5015,"&gt;="&amp;DATE(Dashboard!$C$4,1,1),Transaksi!$B$16:$B$5015,"&lt;="&amp;DATE(Dashboard!$C$4,12,31)))</f>
        <v/>
      </c>
    </row>
    <row r="267" ht="15" customHeight="1" s="94">
      <c r="A267" s="105" t="n"/>
      <c r="B267" s="105" t="n"/>
      <c r="C267" s="127" t="n"/>
      <c r="D267" s="167">
        <f>IF(C267="","",COUNTIFS(Transaksi!$G$16:$G$5015,A267,Transaksi!$H$16:$H$5015,B267,Transaksi!$I$16:$I$5015,C267))</f>
        <v/>
      </c>
      <c r="E267" s="106">
        <f>IF(C267="","",SUMIFS(Transaksi!$F$16:$F$5015,Transaksi!$G$16:$G$5015,A267,Transaksi!$H$16:$H$5015,B267,Transaksi!$I$16:$I$5015,C267))</f>
        <v/>
      </c>
      <c r="F267" s="106">
        <f>IF(C267="","",SUMIFS(Transaksi!$F$16:$F$5015,Transaksi!$G$16:$G$5015,A267,Transaksi!$H$16:$H$5015,B267,Transaksi!$I$16:$I$5015,C267,Transaksi!$B$16:$B$5015,"&gt;="&amp;DATE(Dashboard!$C$4,1,1),Transaksi!$B$16:$B$5015,"&lt;="&amp;DATE(Dashboard!$C$4,12,31)))</f>
        <v/>
      </c>
    </row>
    <row r="268" ht="15" customHeight="1" s="94">
      <c r="A268" s="105" t="n"/>
      <c r="B268" s="105" t="n"/>
      <c r="C268" s="127" t="n"/>
      <c r="D268" s="167">
        <f>IF(C268="","",COUNTIFS(Transaksi!$G$16:$G$5015,A268,Transaksi!$H$16:$H$5015,B268,Transaksi!$I$16:$I$5015,C268))</f>
        <v/>
      </c>
      <c r="E268" s="106">
        <f>IF(C268="","",SUMIFS(Transaksi!$F$16:$F$5015,Transaksi!$G$16:$G$5015,A268,Transaksi!$H$16:$H$5015,B268,Transaksi!$I$16:$I$5015,C268))</f>
        <v/>
      </c>
      <c r="F268" s="106">
        <f>IF(C268="","",SUMIFS(Transaksi!$F$16:$F$5015,Transaksi!$G$16:$G$5015,A268,Transaksi!$H$16:$H$5015,B268,Transaksi!$I$16:$I$5015,C268,Transaksi!$B$16:$B$5015,"&gt;="&amp;DATE(Dashboard!$C$4,1,1),Transaksi!$B$16:$B$5015,"&lt;="&amp;DATE(Dashboard!$C$4,12,31)))</f>
        <v/>
      </c>
    </row>
    <row r="269" ht="15" customHeight="1" s="94">
      <c r="A269" s="105" t="n"/>
      <c r="B269" s="105" t="n"/>
      <c r="C269" s="127" t="n"/>
      <c r="D269" s="167">
        <f>IF(C269="","",COUNTIFS(Transaksi!$G$16:$G$5015,A269,Transaksi!$H$16:$H$5015,B269,Transaksi!$I$16:$I$5015,C269))</f>
        <v/>
      </c>
      <c r="E269" s="106">
        <f>IF(C269="","",SUMIFS(Transaksi!$F$16:$F$5015,Transaksi!$G$16:$G$5015,A269,Transaksi!$H$16:$H$5015,B269,Transaksi!$I$16:$I$5015,C269))</f>
        <v/>
      </c>
      <c r="F269" s="106">
        <f>IF(C269="","",SUMIFS(Transaksi!$F$16:$F$5015,Transaksi!$G$16:$G$5015,A269,Transaksi!$H$16:$H$5015,B269,Transaksi!$I$16:$I$5015,C269,Transaksi!$B$16:$B$5015,"&gt;="&amp;DATE(Dashboard!$C$4,1,1),Transaksi!$B$16:$B$5015,"&lt;="&amp;DATE(Dashboard!$C$4,12,31)))</f>
        <v/>
      </c>
    </row>
    <row r="270" ht="15" customHeight="1" s="94">
      <c r="A270" s="105" t="n"/>
      <c r="B270" s="105" t="n"/>
      <c r="C270" s="127" t="n"/>
      <c r="D270" s="167">
        <f>IF(C270="","",COUNTIFS(Transaksi!$G$16:$G$5015,A270,Transaksi!$H$16:$H$5015,B270,Transaksi!$I$16:$I$5015,C270))</f>
        <v/>
      </c>
      <c r="E270" s="106">
        <f>IF(C270="","",SUMIFS(Transaksi!$F$16:$F$5015,Transaksi!$G$16:$G$5015,A270,Transaksi!$H$16:$H$5015,B270,Transaksi!$I$16:$I$5015,C270))</f>
        <v/>
      </c>
      <c r="F270" s="106">
        <f>IF(C270="","",SUMIFS(Transaksi!$F$16:$F$5015,Transaksi!$G$16:$G$5015,A270,Transaksi!$H$16:$H$5015,B270,Transaksi!$I$16:$I$5015,C270,Transaksi!$B$16:$B$5015,"&gt;="&amp;DATE(Dashboard!$C$4,1,1),Transaksi!$B$16:$B$5015,"&lt;="&amp;DATE(Dashboard!$C$4,12,31)))</f>
        <v/>
      </c>
    </row>
    <row r="271" ht="15" customHeight="1" s="94">
      <c r="A271" s="105" t="n"/>
      <c r="B271" s="105" t="n"/>
      <c r="C271" s="127" t="n"/>
      <c r="D271" s="167">
        <f>IF(C271="","",COUNTIFS(Transaksi!$G$16:$G$5015,A271,Transaksi!$H$16:$H$5015,B271,Transaksi!$I$16:$I$5015,C271))</f>
        <v/>
      </c>
      <c r="E271" s="106">
        <f>IF(C271="","",SUMIFS(Transaksi!$F$16:$F$5015,Transaksi!$G$16:$G$5015,A271,Transaksi!$H$16:$H$5015,B271,Transaksi!$I$16:$I$5015,C271))</f>
        <v/>
      </c>
      <c r="F271" s="106">
        <f>IF(C271="","",SUMIFS(Transaksi!$F$16:$F$5015,Transaksi!$G$16:$G$5015,A271,Transaksi!$H$16:$H$5015,B271,Transaksi!$I$16:$I$5015,C271,Transaksi!$B$16:$B$5015,"&gt;="&amp;DATE(Dashboard!$C$4,1,1),Transaksi!$B$16:$B$5015,"&lt;="&amp;DATE(Dashboard!$C$4,12,31)))</f>
        <v/>
      </c>
    </row>
    <row r="272" ht="15" customHeight="1" s="94">
      <c r="A272" s="105" t="n"/>
      <c r="B272" s="105" t="n"/>
      <c r="C272" s="127" t="n"/>
      <c r="D272" s="167">
        <f>IF(C272="","",COUNTIFS(Transaksi!$G$16:$G$5015,A272,Transaksi!$H$16:$H$5015,B272,Transaksi!$I$16:$I$5015,C272))</f>
        <v/>
      </c>
      <c r="E272" s="106">
        <f>IF(C272="","",SUMIFS(Transaksi!$F$16:$F$5015,Transaksi!$G$16:$G$5015,A272,Transaksi!$H$16:$H$5015,B272,Transaksi!$I$16:$I$5015,C272))</f>
        <v/>
      </c>
      <c r="F272" s="106">
        <f>IF(C272="","",SUMIFS(Transaksi!$F$16:$F$5015,Transaksi!$G$16:$G$5015,A272,Transaksi!$H$16:$H$5015,B272,Transaksi!$I$16:$I$5015,C272,Transaksi!$B$16:$B$5015,"&gt;="&amp;DATE(Dashboard!$C$4,1,1),Transaksi!$B$16:$B$5015,"&lt;="&amp;DATE(Dashboard!$C$4,12,31)))</f>
        <v/>
      </c>
    </row>
    <row r="273" ht="15" customHeight="1" s="94">
      <c r="A273" s="105" t="n"/>
      <c r="B273" s="105" t="n"/>
      <c r="C273" s="127" t="n"/>
      <c r="D273" s="167">
        <f>IF(C273="","",COUNTIFS(Transaksi!$G$16:$G$5015,A273,Transaksi!$H$16:$H$5015,B273,Transaksi!$I$16:$I$5015,C273))</f>
        <v/>
      </c>
      <c r="E273" s="106">
        <f>IF(C273="","",SUMIFS(Transaksi!$F$16:$F$5015,Transaksi!$G$16:$G$5015,A273,Transaksi!$H$16:$H$5015,B273,Transaksi!$I$16:$I$5015,C273))</f>
        <v/>
      </c>
      <c r="F273" s="106">
        <f>IF(C273="","",SUMIFS(Transaksi!$F$16:$F$5015,Transaksi!$G$16:$G$5015,A273,Transaksi!$H$16:$H$5015,B273,Transaksi!$I$16:$I$5015,C273,Transaksi!$B$16:$B$5015,"&gt;="&amp;DATE(Dashboard!$C$4,1,1),Transaksi!$B$16:$B$5015,"&lt;="&amp;DATE(Dashboard!$C$4,12,31)))</f>
        <v/>
      </c>
    </row>
    <row r="274" ht="15" customHeight="1" s="94">
      <c r="A274" s="105" t="n"/>
      <c r="B274" s="105" t="n"/>
      <c r="C274" s="127" t="n"/>
      <c r="D274" s="167">
        <f>IF(C274="","",COUNTIFS(Transaksi!$G$16:$G$5015,A274,Transaksi!$H$16:$H$5015,B274,Transaksi!$I$16:$I$5015,C274))</f>
        <v/>
      </c>
      <c r="E274" s="106">
        <f>IF(C274="","",SUMIFS(Transaksi!$F$16:$F$5015,Transaksi!$G$16:$G$5015,A274,Transaksi!$H$16:$H$5015,B274,Transaksi!$I$16:$I$5015,C274))</f>
        <v/>
      </c>
      <c r="F274" s="106">
        <f>IF(C274="","",SUMIFS(Transaksi!$F$16:$F$5015,Transaksi!$G$16:$G$5015,A274,Transaksi!$H$16:$H$5015,B274,Transaksi!$I$16:$I$5015,C274,Transaksi!$B$16:$B$5015,"&gt;="&amp;DATE(Dashboard!$C$4,1,1),Transaksi!$B$16:$B$5015,"&lt;="&amp;DATE(Dashboard!$C$4,12,31)))</f>
        <v/>
      </c>
    </row>
    <row r="275" ht="15" customHeight="1" s="94">
      <c r="A275" s="105" t="n"/>
      <c r="B275" s="105" t="n"/>
      <c r="C275" s="127" t="n"/>
      <c r="D275" s="167">
        <f>IF(C275="","",COUNTIFS(Transaksi!$G$16:$G$5015,A275,Transaksi!$H$16:$H$5015,B275,Transaksi!$I$16:$I$5015,C275))</f>
        <v/>
      </c>
      <c r="E275" s="106">
        <f>IF(C275="","",SUMIFS(Transaksi!$F$16:$F$5015,Transaksi!$G$16:$G$5015,A275,Transaksi!$H$16:$H$5015,B275,Transaksi!$I$16:$I$5015,C275))</f>
        <v/>
      </c>
      <c r="F275" s="106">
        <f>IF(C275="","",SUMIFS(Transaksi!$F$16:$F$5015,Transaksi!$G$16:$G$5015,A275,Transaksi!$H$16:$H$5015,B275,Transaksi!$I$16:$I$5015,C275,Transaksi!$B$16:$B$5015,"&gt;="&amp;DATE(Dashboard!$C$4,1,1),Transaksi!$B$16:$B$5015,"&lt;="&amp;DATE(Dashboard!$C$4,12,31)))</f>
        <v/>
      </c>
    </row>
    <row r="276" ht="15" customHeight="1" s="94">
      <c r="A276" s="105" t="n"/>
      <c r="B276" s="105" t="n"/>
      <c r="C276" s="127" t="n"/>
      <c r="D276" s="167">
        <f>IF(C276="","",COUNTIFS(Transaksi!$G$16:$G$5015,A276,Transaksi!$H$16:$H$5015,B276,Transaksi!$I$16:$I$5015,C276))</f>
        <v/>
      </c>
      <c r="E276" s="106">
        <f>IF(C276="","",SUMIFS(Transaksi!$F$16:$F$5015,Transaksi!$G$16:$G$5015,A276,Transaksi!$H$16:$H$5015,B276,Transaksi!$I$16:$I$5015,C276))</f>
        <v/>
      </c>
      <c r="F276" s="106">
        <f>IF(C276="","",SUMIFS(Transaksi!$F$16:$F$5015,Transaksi!$G$16:$G$5015,A276,Transaksi!$H$16:$H$5015,B276,Transaksi!$I$16:$I$5015,C276,Transaksi!$B$16:$B$5015,"&gt;="&amp;DATE(Dashboard!$C$4,1,1),Transaksi!$B$16:$B$5015,"&lt;="&amp;DATE(Dashboard!$C$4,12,31)))</f>
        <v/>
      </c>
    </row>
    <row r="277" ht="15" customHeight="1" s="94">
      <c r="A277" s="105" t="n"/>
      <c r="B277" s="105" t="n"/>
      <c r="C277" s="127" t="n"/>
      <c r="D277" s="167">
        <f>IF(C277="","",COUNTIFS(Transaksi!$G$16:$G$5015,A277,Transaksi!$H$16:$H$5015,B277,Transaksi!$I$16:$I$5015,C277))</f>
        <v/>
      </c>
      <c r="E277" s="106">
        <f>IF(C277="","",SUMIFS(Transaksi!$F$16:$F$5015,Transaksi!$G$16:$G$5015,A277,Transaksi!$H$16:$H$5015,B277,Transaksi!$I$16:$I$5015,C277))</f>
        <v/>
      </c>
      <c r="F277" s="106">
        <f>IF(C277="","",SUMIFS(Transaksi!$F$16:$F$5015,Transaksi!$G$16:$G$5015,A277,Transaksi!$H$16:$H$5015,B277,Transaksi!$I$16:$I$5015,C277,Transaksi!$B$16:$B$5015,"&gt;="&amp;DATE(Dashboard!$C$4,1,1),Transaksi!$B$16:$B$5015,"&lt;="&amp;DATE(Dashboard!$C$4,12,31)))</f>
        <v/>
      </c>
    </row>
    <row r="278" ht="15" customHeight="1" s="94">
      <c r="A278" s="105" t="n"/>
      <c r="B278" s="105" t="n"/>
      <c r="C278" s="127" t="n"/>
      <c r="D278" s="167">
        <f>IF(C278="","",COUNTIFS(Transaksi!$G$16:$G$5015,A278,Transaksi!$H$16:$H$5015,B278,Transaksi!$I$16:$I$5015,C278))</f>
        <v/>
      </c>
      <c r="E278" s="106">
        <f>IF(C278="","",SUMIFS(Transaksi!$F$16:$F$5015,Transaksi!$G$16:$G$5015,A278,Transaksi!$H$16:$H$5015,B278,Transaksi!$I$16:$I$5015,C278))</f>
        <v/>
      </c>
      <c r="F278" s="106">
        <f>IF(C278="","",SUMIFS(Transaksi!$F$16:$F$5015,Transaksi!$G$16:$G$5015,A278,Transaksi!$H$16:$H$5015,B278,Transaksi!$I$16:$I$5015,C278,Transaksi!$B$16:$B$5015,"&gt;="&amp;DATE(Dashboard!$C$4,1,1),Transaksi!$B$16:$B$5015,"&lt;="&amp;DATE(Dashboard!$C$4,12,31)))</f>
        <v/>
      </c>
    </row>
    <row r="279" ht="15" customHeight="1" s="94">
      <c r="A279" s="105" t="n"/>
      <c r="B279" s="105" t="n"/>
      <c r="C279" s="127" t="n"/>
      <c r="D279" s="167">
        <f>IF(C279="","",COUNTIFS(Transaksi!$G$16:$G$5015,A279,Transaksi!$H$16:$H$5015,B279,Transaksi!$I$16:$I$5015,C279))</f>
        <v/>
      </c>
      <c r="E279" s="106">
        <f>IF(C279="","",SUMIFS(Transaksi!$F$16:$F$5015,Transaksi!$G$16:$G$5015,A279,Transaksi!$H$16:$H$5015,B279,Transaksi!$I$16:$I$5015,C279))</f>
        <v/>
      </c>
      <c r="F279" s="106">
        <f>IF(C279="","",SUMIFS(Transaksi!$F$16:$F$5015,Transaksi!$G$16:$G$5015,A279,Transaksi!$H$16:$H$5015,B279,Transaksi!$I$16:$I$5015,C279,Transaksi!$B$16:$B$5015,"&gt;="&amp;DATE(Dashboard!$C$4,1,1),Transaksi!$B$16:$B$5015,"&lt;="&amp;DATE(Dashboard!$C$4,12,31)))</f>
        <v/>
      </c>
    </row>
    <row r="280" ht="15" customHeight="1" s="94">
      <c r="A280" s="105" t="n"/>
      <c r="B280" s="105" t="n"/>
      <c r="C280" s="127" t="n"/>
      <c r="D280" s="167">
        <f>IF(C280="","",COUNTIFS(Transaksi!$G$16:$G$5015,A280,Transaksi!$H$16:$H$5015,B280,Transaksi!$I$16:$I$5015,C280))</f>
        <v/>
      </c>
      <c r="E280" s="106">
        <f>IF(C280="","",SUMIFS(Transaksi!$F$16:$F$5015,Transaksi!$G$16:$G$5015,A280,Transaksi!$H$16:$H$5015,B280,Transaksi!$I$16:$I$5015,C280))</f>
        <v/>
      </c>
      <c r="F280" s="106">
        <f>IF(C280="","",SUMIFS(Transaksi!$F$16:$F$5015,Transaksi!$G$16:$G$5015,A280,Transaksi!$H$16:$H$5015,B280,Transaksi!$I$16:$I$5015,C280,Transaksi!$B$16:$B$5015,"&gt;="&amp;DATE(Dashboard!$C$4,1,1),Transaksi!$B$16:$B$5015,"&lt;="&amp;DATE(Dashboard!$C$4,12,31)))</f>
        <v/>
      </c>
    </row>
    <row r="281" ht="15" customHeight="1" s="94">
      <c r="A281" s="105" t="n"/>
      <c r="B281" s="105" t="n"/>
      <c r="C281" s="127" t="n"/>
      <c r="D281" s="167">
        <f>IF(C281="","",COUNTIFS(Transaksi!$G$16:$G$5015,A281,Transaksi!$H$16:$H$5015,B281,Transaksi!$I$16:$I$5015,C281))</f>
        <v/>
      </c>
      <c r="E281" s="106">
        <f>IF(C281="","",SUMIFS(Transaksi!$F$16:$F$5015,Transaksi!$G$16:$G$5015,A281,Transaksi!$H$16:$H$5015,B281,Transaksi!$I$16:$I$5015,C281))</f>
        <v/>
      </c>
      <c r="F281" s="106">
        <f>IF(C281="","",SUMIFS(Transaksi!$F$16:$F$5015,Transaksi!$G$16:$G$5015,A281,Transaksi!$H$16:$H$5015,B281,Transaksi!$I$16:$I$5015,C281,Transaksi!$B$16:$B$5015,"&gt;="&amp;DATE(Dashboard!$C$4,1,1),Transaksi!$B$16:$B$5015,"&lt;="&amp;DATE(Dashboard!$C$4,12,31)))</f>
        <v/>
      </c>
    </row>
    <row r="282" ht="15" customHeight="1" s="94">
      <c r="A282" s="105" t="n"/>
      <c r="B282" s="105" t="n"/>
      <c r="C282" s="127" t="n"/>
      <c r="D282" s="167">
        <f>IF(C282="","",COUNTIFS(Transaksi!$G$16:$G$5015,A282,Transaksi!$H$16:$H$5015,B282,Transaksi!$I$16:$I$5015,C282))</f>
        <v/>
      </c>
      <c r="E282" s="106">
        <f>IF(C282="","",SUMIFS(Transaksi!$F$16:$F$5015,Transaksi!$G$16:$G$5015,A282,Transaksi!$H$16:$H$5015,B282,Transaksi!$I$16:$I$5015,C282))</f>
        <v/>
      </c>
      <c r="F282" s="106">
        <f>IF(C282="","",SUMIFS(Transaksi!$F$16:$F$5015,Transaksi!$G$16:$G$5015,A282,Transaksi!$H$16:$H$5015,B282,Transaksi!$I$16:$I$5015,C282,Transaksi!$B$16:$B$5015,"&gt;="&amp;DATE(Dashboard!$C$4,1,1),Transaksi!$B$16:$B$5015,"&lt;="&amp;DATE(Dashboard!$C$4,12,31)))</f>
        <v/>
      </c>
    </row>
    <row r="283" ht="15" customHeight="1" s="94">
      <c r="A283" s="105" t="n"/>
      <c r="B283" s="105" t="n"/>
      <c r="C283" s="127" t="n"/>
      <c r="D283" s="167">
        <f>IF(C283="","",COUNTIFS(Transaksi!$G$16:$G$5015,A283,Transaksi!$H$16:$H$5015,B283,Transaksi!$I$16:$I$5015,C283))</f>
        <v/>
      </c>
      <c r="E283" s="106">
        <f>IF(C283="","",SUMIFS(Transaksi!$F$16:$F$5015,Transaksi!$G$16:$G$5015,A283,Transaksi!$H$16:$H$5015,B283,Transaksi!$I$16:$I$5015,C283))</f>
        <v/>
      </c>
      <c r="F283" s="106">
        <f>IF(C283="","",SUMIFS(Transaksi!$F$16:$F$5015,Transaksi!$G$16:$G$5015,A283,Transaksi!$H$16:$H$5015,B283,Transaksi!$I$16:$I$5015,C283,Transaksi!$B$16:$B$5015,"&gt;="&amp;DATE(Dashboard!$C$4,1,1),Transaksi!$B$16:$B$5015,"&lt;="&amp;DATE(Dashboard!$C$4,12,31)))</f>
        <v/>
      </c>
    </row>
    <row r="284" ht="15" customHeight="1" s="94">
      <c r="A284" s="105" t="n"/>
      <c r="B284" s="105" t="n"/>
      <c r="C284" s="127" t="n"/>
      <c r="D284" s="167">
        <f>IF(C284="","",COUNTIFS(Transaksi!$G$16:$G$5015,A284,Transaksi!$H$16:$H$5015,B284,Transaksi!$I$16:$I$5015,C284))</f>
        <v/>
      </c>
      <c r="E284" s="106">
        <f>IF(C284="","",SUMIFS(Transaksi!$F$16:$F$5015,Transaksi!$G$16:$G$5015,A284,Transaksi!$H$16:$H$5015,B284,Transaksi!$I$16:$I$5015,C284))</f>
        <v/>
      </c>
      <c r="F284" s="106">
        <f>IF(C284="","",SUMIFS(Transaksi!$F$16:$F$5015,Transaksi!$G$16:$G$5015,A284,Transaksi!$H$16:$H$5015,B284,Transaksi!$I$16:$I$5015,C284,Transaksi!$B$16:$B$5015,"&gt;="&amp;DATE(Dashboard!$C$4,1,1),Transaksi!$B$16:$B$5015,"&lt;="&amp;DATE(Dashboard!$C$4,12,31)))</f>
        <v/>
      </c>
    </row>
    <row r="285" ht="15" customHeight="1" s="94">
      <c r="A285" s="105" t="n"/>
      <c r="B285" s="105" t="n"/>
      <c r="C285" s="127" t="n"/>
      <c r="D285" s="167">
        <f>IF(C285="","",COUNTIFS(Transaksi!$G$16:$G$5015,A285,Transaksi!$H$16:$H$5015,B285,Transaksi!$I$16:$I$5015,C285))</f>
        <v/>
      </c>
      <c r="E285" s="106">
        <f>IF(C285="","",SUMIFS(Transaksi!$F$16:$F$5015,Transaksi!$G$16:$G$5015,A285,Transaksi!$H$16:$H$5015,B285,Transaksi!$I$16:$I$5015,C285))</f>
        <v/>
      </c>
      <c r="F285" s="106">
        <f>IF(C285="","",SUMIFS(Transaksi!$F$16:$F$5015,Transaksi!$G$16:$G$5015,A285,Transaksi!$H$16:$H$5015,B285,Transaksi!$I$16:$I$5015,C285,Transaksi!$B$16:$B$5015,"&gt;="&amp;DATE(Dashboard!$C$4,1,1),Transaksi!$B$16:$B$5015,"&lt;="&amp;DATE(Dashboard!$C$4,12,31)))</f>
        <v/>
      </c>
    </row>
    <row r="286" ht="15" customHeight="1" s="94">
      <c r="A286" s="105" t="n"/>
      <c r="B286" s="105" t="n"/>
      <c r="C286" s="127" t="n"/>
      <c r="D286" s="167">
        <f>IF(C286="","",COUNTIFS(Transaksi!$G$16:$G$5015,A286,Transaksi!$H$16:$H$5015,B286,Transaksi!$I$16:$I$5015,C286))</f>
        <v/>
      </c>
      <c r="E286" s="106">
        <f>IF(C286="","",SUMIFS(Transaksi!$F$16:$F$5015,Transaksi!$G$16:$G$5015,A286,Transaksi!$H$16:$H$5015,B286,Transaksi!$I$16:$I$5015,C286))</f>
        <v/>
      </c>
      <c r="F286" s="106">
        <f>IF(C286="","",SUMIFS(Transaksi!$F$16:$F$5015,Transaksi!$G$16:$G$5015,A286,Transaksi!$H$16:$H$5015,B286,Transaksi!$I$16:$I$5015,C286,Transaksi!$B$16:$B$5015,"&gt;="&amp;DATE(Dashboard!$C$4,1,1),Transaksi!$B$16:$B$5015,"&lt;="&amp;DATE(Dashboard!$C$4,12,31)))</f>
        <v/>
      </c>
    </row>
    <row r="287" ht="15" customHeight="1" s="94">
      <c r="A287" s="105" t="n"/>
      <c r="B287" s="105" t="n"/>
      <c r="C287" s="127" t="n"/>
      <c r="D287" s="167">
        <f>IF(C287="","",COUNTIFS(Transaksi!$G$16:$G$5015,A287,Transaksi!$H$16:$H$5015,B287,Transaksi!$I$16:$I$5015,C287))</f>
        <v/>
      </c>
      <c r="E287" s="106">
        <f>IF(C287="","",SUMIFS(Transaksi!$F$16:$F$5015,Transaksi!$G$16:$G$5015,A287,Transaksi!$H$16:$H$5015,B287,Transaksi!$I$16:$I$5015,C287))</f>
        <v/>
      </c>
      <c r="F287" s="106">
        <f>IF(C287="","",SUMIFS(Transaksi!$F$16:$F$5015,Transaksi!$G$16:$G$5015,A287,Transaksi!$H$16:$H$5015,B287,Transaksi!$I$16:$I$5015,C287,Transaksi!$B$16:$B$5015,"&gt;="&amp;DATE(Dashboard!$C$4,1,1),Transaksi!$B$16:$B$5015,"&lt;="&amp;DATE(Dashboard!$C$4,12,31)))</f>
        <v/>
      </c>
    </row>
    <row r="288" ht="15" customHeight="1" s="94">
      <c r="A288" s="105" t="n"/>
      <c r="B288" s="105" t="n"/>
      <c r="C288" s="127" t="n"/>
      <c r="D288" s="167">
        <f>IF(C288="","",COUNTIFS(Transaksi!$G$16:$G$5015,A288,Transaksi!$H$16:$H$5015,B288,Transaksi!$I$16:$I$5015,C288))</f>
        <v/>
      </c>
      <c r="E288" s="106">
        <f>IF(C288="","",SUMIFS(Transaksi!$F$16:$F$5015,Transaksi!$G$16:$G$5015,A288,Transaksi!$H$16:$H$5015,B288,Transaksi!$I$16:$I$5015,C288))</f>
        <v/>
      </c>
      <c r="F288" s="106">
        <f>IF(C288="","",SUMIFS(Transaksi!$F$16:$F$5015,Transaksi!$G$16:$G$5015,A288,Transaksi!$H$16:$H$5015,B288,Transaksi!$I$16:$I$5015,C288,Transaksi!$B$16:$B$5015,"&gt;="&amp;DATE(Dashboard!$C$4,1,1),Transaksi!$B$16:$B$5015,"&lt;="&amp;DATE(Dashboard!$C$4,12,31)))</f>
        <v/>
      </c>
    </row>
    <row r="289" ht="15" customHeight="1" s="94">
      <c r="A289" s="105" t="n"/>
      <c r="B289" s="105" t="n"/>
      <c r="C289" s="127" t="n"/>
      <c r="D289" s="167">
        <f>IF(C289="","",COUNTIFS(Transaksi!$G$16:$G$5015,A289,Transaksi!$H$16:$H$5015,B289,Transaksi!$I$16:$I$5015,C289))</f>
        <v/>
      </c>
      <c r="E289" s="106">
        <f>IF(C289="","",SUMIFS(Transaksi!$F$16:$F$5015,Transaksi!$G$16:$G$5015,A289,Transaksi!$H$16:$H$5015,B289,Transaksi!$I$16:$I$5015,C289))</f>
        <v/>
      </c>
      <c r="F289" s="106">
        <f>IF(C289="","",SUMIFS(Transaksi!$F$16:$F$5015,Transaksi!$G$16:$G$5015,A289,Transaksi!$H$16:$H$5015,B289,Transaksi!$I$16:$I$5015,C289,Transaksi!$B$16:$B$5015,"&gt;="&amp;DATE(Dashboard!$C$4,1,1),Transaksi!$B$16:$B$5015,"&lt;="&amp;DATE(Dashboard!$C$4,12,31)))</f>
        <v/>
      </c>
    </row>
    <row r="290" ht="15" customHeight="1" s="94">
      <c r="A290" s="105" t="n"/>
      <c r="B290" s="105" t="n"/>
      <c r="C290" s="127" t="n"/>
      <c r="D290" s="167">
        <f>IF(C290="","",COUNTIFS(Transaksi!$G$16:$G$5015,A290,Transaksi!$H$16:$H$5015,B290,Transaksi!$I$16:$I$5015,C290))</f>
        <v/>
      </c>
      <c r="E290" s="106">
        <f>IF(C290="","",SUMIFS(Transaksi!$F$16:$F$5015,Transaksi!$G$16:$G$5015,A290,Transaksi!$H$16:$H$5015,B290,Transaksi!$I$16:$I$5015,C290))</f>
        <v/>
      </c>
      <c r="F290" s="106">
        <f>IF(C290="","",SUMIFS(Transaksi!$F$16:$F$5015,Transaksi!$G$16:$G$5015,A290,Transaksi!$H$16:$H$5015,B290,Transaksi!$I$16:$I$5015,C290,Transaksi!$B$16:$B$5015,"&gt;="&amp;DATE(Dashboard!$C$4,1,1),Transaksi!$B$16:$B$5015,"&lt;="&amp;DATE(Dashboard!$C$4,12,31)))</f>
        <v/>
      </c>
    </row>
    <row r="291" ht="15" customHeight="1" s="94">
      <c r="A291" s="105" t="n"/>
      <c r="B291" s="105" t="n"/>
      <c r="C291" s="127" t="n"/>
      <c r="D291" s="167">
        <f>IF(C291="","",COUNTIFS(Transaksi!$G$16:$G$5015,A291,Transaksi!$H$16:$H$5015,B291,Transaksi!$I$16:$I$5015,C291))</f>
        <v/>
      </c>
      <c r="E291" s="106">
        <f>IF(C291="","",SUMIFS(Transaksi!$F$16:$F$5015,Transaksi!$G$16:$G$5015,A291,Transaksi!$H$16:$H$5015,B291,Transaksi!$I$16:$I$5015,C291))</f>
        <v/>
      </c>
      <c r="F291" s="106">
        <f>IF(C291="","",SUMIFS(Transaksi!$F$16:$F$5015,Transaksi!$G$16:$G$5015,A291,Transaksi!$H$16:$H$5015,B291,Transaksi!$I$16:$I$5015,C291,Transaksi!$B$16:$B$5015,"&gt;="&amp;DATE(Dashboard!$C$4,1,1),Transaksi!$B$16:$B$5015,"&lt;="&amp;DATE(Dashboard!$C$4,12,31)))</f>
        <v/>
      </c>
    </row>
    <row r="292" ht="15" customHeight="1" s="94">
      <c r="A292" s="105" t="n"/>
      <c r="B292" s="105" t="n"/>
      <c r="C292" s="127" t="n"/>
      <c r="D292" s="167">
        <f>IF(C292="","",COUNTIFS(Transaksi!$G$16:$G$5015,A292,Transaksi!$H$16:$H$5015,B292,Transaksi!$I$16:$I$5015,C292))</f>
        <v/>
      </c>
      <c r="E292" s="106">
        <f>IF(C292="","",SUMIFS(Transaksi!$F$16:$F$5015,Transaksi!$G$16:$G$5015,A292,Transaksi!$H$16:$H$5015,B292,Transaksi!$I$16:$I$5015,C292))</f>
        <v/>
      </c>
      <c r="F292" s="106">
        <f>IF(C292="","",SUMIFS(Transaksi!$F$16:$F$5015,Transaksi!$G$16:$G$5015,A292,Transaksi!$H$16:$H$5015,B292,Transaksi!$I$16:$I$5015,C292,Transaksi!$B$16:$B$5015,"&gt;="&amp;DATE(Dashboard!$C$4,1,1),Transaksi!$B$16:$B$5015,"&lt;="&amp;DATE(Dashboard!$C$4,12,31)))</f>
        <v/>
      </c>
    </row>
    <row r="293" ht="15" customHeight="1" s="94">
      <c r="A293" s="105" t="n"/>
      <c r="B293" s="105" t="n"/>
      <c r="C293" s="127" t="n"/>
      <c r="D293" s="167">
        <f>IF(C293="","",COUNTIFS(Transaksi!$G$16:$G$5015,A293,Transaksi!$H$16:$H$5015,B293,Transaksi!$I$16:$I$5015,C293))</f>
        <v/>
      </c>
      <c r="E293" s="106">
        <f>IF(C293="","",SUMIFS(Transaksi!$F$16:$F$5015,Transaksi!$G$16:$G$5015,A293,Transaksi!$H$16:$H$5015,B293,Transaksi!$I$16:$I$5015,C293))</f>
        <v/>
      </c>
      <c r="F293" s="106">
        <f>IF(C293="","",SUMIFS(Transaksi!$F$16:$F$5015,Transaksi!$G$16:$G$5015,A293,Transaksi!$H$16:$H$5015,B293,Transaksi!$I$16:$I$5015,C293,Transaksi!$B$16:$B$5015,"&gt;="&amp;DATE(Dashboard!$C$4,1,1),Transaksi!$B$16:$B$5015,"&lt;="&amp;DATE(Dashboard!$C$4,12,31)))</f>
        <v/>
      </c>
    </row>
    <row r="294" ht="15" customHeight="1" s="94">
      <c r="A294" s="105" t="n"/>
      <c r="B294" s="105" t="n"/>
      <c r="C294" s="127" t="n"/>
      <c r="D294" s="167">
        <f>IF(C294="","",COUNTIFS(Transaksi!$G$16:$G$5015,A294,Transaksi!$H$16:$H$5015,B294,Transaksi!$I$16:$I$5015,C294))</f>
        <v/>
      </c>
      <c r="E294" s="106">
        <f>IF(C294="","",SUMIFS(Transaksi!$F$16:$F$5015,Transaksi!$G$16:$G$5015,A294,Transaksi!$H$16:$H$5015,B294,Transaksi!$I$16:$I$5015,C294))</f>
        <v/>
      </c>
      <c r="F294" s="106">
        <f>IF(C294="","",SUMIFS(Transaksi!$F$16:$F$5015,Transaksi!$G$16:$G$5015,A294,Transaksi!$H$16:$H$5015,B294,Transaksi!$I$16:$I$5015,C294,Transaksi!$B$16:$B$5015,"&gt;="&amp;DATE(Dashboard!$C$4,1,1),Transaksi!$B$16:$B$5015,"&lt;="&amp;DATE(Dashboard!$C$4,12,31)))</f>
        <v/>
      </c>
    </row>
    <row r="295" ht="15" customHeight="1" s="94">
      <c r="A295" s="105" t="n"/>
      <c r="B295" s="105" t="n"/>
      <c r="C295" s="127" t="n"/>
      <c r="D295" s="167">
        <f>IF(C295="","",COUNTIFS(Transaksi!$G$16:$G$5015,A295,Transaksi!$H$16:$H$5015,B295,Transaksi!$I$16:$I$5015,C295))</f>
        <v/>
      </c>
      <c r="E295" s="106">
        <f>IF(C295="","",SUMIFS(Transaksi!$F$16:$F$5015,Transaksi!$G$16:$G$5015,A295,Transaksi!$H$16:$H$5015,B295,Transaksi!$I$16:$I$5015,C295))</f>
        <v/>
      </c>
      <c r="F295" s="106">
        <f>IF(C295="","",SUMIFS(Transaksi!$F$16:$F$5015,Transaksi!$G$16:$G$5015,A295,Transaksi!$H$16:$H$5015,B295,Transaksi!$I$16:$I$5015,C295,Transaksi!$B$16:$B$5015,"&gt;="&amp;DATE(Dashboard!$C$4,1,1),Transaksi!$B$16:$B$5015,"&lt;="&amp;DATE(Dashboard!$C$4,12,31)))</f>
        <v/>
      </c>
    </row>
    <row r="296" ht="15" customHeight="1" s="94">
      <c r="A296" s="105" t="n"/>
      <c r="B296" s="105" t="n"/>
      <c r="C296" s="127" t="n"/>
      <c r="D296" s="167">
        <f>IF(C296="","",COUNTIFS(Transaksi!$G$16:$G$5015,A296,Transaksi!$H$16:$H$5015,B296,Transaksi!$I$16:$I$5015,C296))</f>
        <v/>
      </c>
      <c r="E296" s="106">
        <f>IF(C296="","",SUMIFS(Transaksi!$F$16:$F$5015,Transaksi!$G$16:$G$5015,A296,Transaksi!$H$16:$H$5015,B296,Transaksi!$I$16:$I$5015,C296))</f>
        <v/>
      </c>
      <c r="F296" s="106">
        <f>IF(C296="","",SUMIFS(Transaksi!$F$16:$F$5015,Transaksi!$G$16:$G$5015,A296,Transaksi!$H$16:$H$5015,B296,Transaksi!$I$16:$I$5015,C296,Transaksi!$B$16:$B$5015,"&gt;="&amp;DATE(Dashboard!$C$4,1,1),Transaksi!$B$16:$B$5015,"&lt;="&amp;DATE(Dashboard!$C$4,12,31)))</f>
        <v/>
      </c>
    </row>
    <row r="297" ht="15" customHeight="1" s="94">
      <c r="A297" s="105" t="n"/>
      <c r="B297" s="105" t="n"/>
      <c r="C297" s="127" t="n"/>
      <c r="D297" s="167">
        <f>IF(C297="","",COUNTIFS(Transaksi!$G$16:$G$5015,A297,Transaksi!$H$16:$H$5015,B297,Transaksi!$I$16:$I$5015,C297))</f>
        <v/>
      </c>
      <c r="E297" s="106">
        <f>IF(C297="","",SUMIFS(Transaksi!$F$16:$F$5015,Transaksi!$G$16:$G$5015,A297,Transaksi!$H$16:$H$5015,B297,Transaksi!$I$16:$I$5015,C297))</f>
        <v/>
      </c>
      <c r="F297" s="106">
        <f>IF(C297="","",SUMIFS(Transaksi!$F$16:$F$5015,Transaksi!$G$16:$G$5015,A297,Transaksi!$H$16:$H$5015,B297,Transaksi!$I$16:$I$5015,C297,Transaksi!$B$16:$B$5015,"&gt;="&amp;DATE(Dashboard!$C$4,1,1),Transaksi!$B$16:$B$5015,"&lt;="&amp;DATE(Dashboard!$C$4,12,31)))</f>
        <v/>
      </c>
    </row>
    <row r="298" ht="15" customHeight="1" s="94">
      <c r="A298" s="105" t="n"/>
      <c r="B298" s="105" t="n"/>
      <c r="C298" s="127" t="n"/>
      <c r="D298" s="167">
        <f>IF(C298="","",COUNTIFS(Transaksi!$G$16:$G$5015,A298,Transaksi!$H$16:$H$5015,B298,Transaksi!$I$16:$I$5015,C298))</f>
        <v/>
      </c>
      <c r="E298" s="106">
        <f>IF(C298="","",SUMIFS(Transaksi!$F$16:$F$5015,Transaksi!$G$16:$G$5015,A298,Transaksi!$H$16:$H$5015,B298,Transaksi!$I$16:$I$5015,C298))</f>
        <v/>
      </c>
      <c r="F298" s="106">
        <f>IF(C298="","",SUMIFS(Transaksi!$F$16:$F$5015,Transaksi!$G$16:$G$5015,A298,Transaksi!$H$16:$H$5015,B298,Transaksi!$I$16:$I$5015,C298,Transaksi!$B$16:$B$5015,"&gt;="&amp;DATE(Dashboard!$C$4,1,1),Transaksi!$B$16:$B$5015,"&lt;="&amp;DATE(Dashboard!$C$4,12,31)))</f>
        <v/>
      </c>
    </row>
    <row r="299" ht="15" customHeight="1" s="94">
      <c r="A299" s="105" t="n"/>
      <c r="B299" s="105" t="n"/>
      <c r="C299" s="127" t="n"/>
      <c r="D299" s="167">
        <f>IF(C299="","",COUNTIFS(Transaksi!$G$16:$G$5015,A299,Transaksi!$H$16:$H$5015,B299,Transaksi!$I$16:$I$5015,C299))</f>
        <v/>
      </c>
      <c r="E299" s="106">
        <f>IF(C299="","",SUMIFS(Transaksi!$F$16:$F$5015,Transaksi!$G$16:$G$5015,A299,Transaksi!$H$16:$H$5015,B299,Transaksi!$I$16:$I$5015,C299))</f>
        <v/>
      </c>
      <c r="F299" s="106">
        <f>IF(C299="","",SUMIFS(Transaksi!$F$16:$F$5015,Transaksi!$G$16:$G$5015,A299,Transaksi!$H$16:$H$5015,B299,Transaksi!$I$16:$I$5015,C299,Transaksi!$B$16:$B$5015,"&gt;="&amp;DATE(Dashboard!$C$4,1,1),Transaksi!$B$16:$B$5015,"&lt;="&amp;DATE(Dashboard!$C$4,12,31)))</f>
        <v/>
      </c>
    </row>
    <row r="300" ht="15" customHeight="1" s="94">
      <c r="A300" s="105" t="n"/>
      <c r="B300" s="105" t="n"/>
      <c r="C300" s="127" t="n"/>
      <c r="D300" s="167">
        <f>IF(C300="","",COUNTIFS(Transaksi!$G$16:$G$5015,A300,Transaksi!$H$16:$H$5015,B300,Transaksi!$I$16:$I$5015,C300))</f>
        <v/>
      </c>
      <c r="E300" s="106">
        <f>IF(C300="","",SUMIFS(Transaksi!$F$16:$F$5015,Transaksi!$G$16:$G$5015,A300,Transaksi!$H$16:$H$5015,B300,Transaksi!$I$16:$I$5015,C300))</f>
        <v/>
      </c>
      <c r="F300" s="106">
        <f>IF(C300="","",SUMIFS(Transaksi!$F$16:$F$5015,Transaksi!$G$16:$G$5015,A300,Transaksi!$H$16:$H$5015,B300,Transaksi!$I$16:$I$5015,C300,Transaksi!$B$16:$B$5015,"&gt;="&amp;DATE(Dashboard!$C$4,1,1),Transaksi!$B$16:$B$5015,"&lt;="&amp;DATE(Dashboard!$C$4,12,31)))</f>
        <v/>
      </c>
    </row>
    <row r="301" ht="15" customHeight="1" s="94">
      <c r="A301" s="105" t="n"/>
      <c r="B301" s="105" t="n"/>
      <c r="C301" s="127" t="n"/>
      <c r="D301" s="167">
        <f>IF(C301="","",COUNTIFS(Transaksi!$G$16:$G$5015,A301,Transaksi!$H$16:$H$5015,B301,Transaksi!$I$16:$I$5015,C301))</f>
        <v/>
      </c>
      <c r="E301" s="106">
        <f>IF(C301="","",SUMIFS(Transaksi!$F$16:$F$5015,Transaksi!$G$16:$G$5015,A301,Transaksi!$H$16:$H$5015,B301,Transaksi!$I$16:$I$5015,C301))</f>
        <v/>
      </c>
      <c r="F301" s="106">
        <f>IF(C301="","",SUMIFS(Transaksi!$F$16:$F$5015,Transaksi!$G$16:$G$5015,A301,Transaksi!$H$16:$H$5015,B301,Transaksi!$I$16:$I$5015,C301,Transaksi!$B$16:$B$5015,"&gt;="&amp;DATE(Dashboard!$C$4,1,1),Transaksi!$B$16:$B$5015,"&lt;="&amp;DATE(Dashboard!$C$4,12,31)))</f>
        <v/>
      </c>
    </row>
    <row r="302" ht="15" customHeight="1" s="94">
      <c r="A302" s="105" t="n"/>
      <c r="B302" s="105" t="n"/>
      <c r="C302" s="127" t="n"/>
      <c r="D302" s="167">
        <f>IF(C302="","",COUNTIFS(Transaksi!$G$16:$G$5015,A302,Transaksi!$H$16:$H$5015,B302,Transaksi!$I$16:$I$5015,C302))</f>
        <v/>
      </c>
      <c r="E302" s="106">
        <f>IF(C302="","",SUMIFS(Transaksi!$F$16:$F$5015,Transaksi!$G$16:$G$5015,A302,Transaksi!$H$16:$H$5015,B302,Transaksi!$I$16:$I$5015,C302))</f>
        <v/>
      </c>
      <c r="F302" s="106">
        <f>IF(C302="","",SUMIFS(Transaksi!$F$16:$F$5015,Transaksi!$G$16:$G$5015,A302,Transaksi!$H$16:$H$5015,B302,Transaksi!$I$16:$I$5015,C302,Transaksi!$B$16:$B$5015,"&gt;="&amp;DATE(Dashboard!$C$4,1,1),Transaksi!$B$16:$B$5015,"&lt;="&amp;DATE(Dashboard!$C$4,12,31)))</f>
        <v/>
      </c>
    </row>
    <row r="303" ht="15" customHeight="1" s="94">
      <c r="A303" s="105" t="n"/>
      <c r="B303" s="105" t="n"/>
      <c r="C303" s="127" t="n"/>
      <c r="D303" s="167">
        <f>IF(C303="","",COUNTIFS(Transaksi!$G$16:$G$5015,A303,Transaksi!$H$16:$H$5015,B303,Transaksi!$I$16:$I$5015,C303))</f>
        <v/>
      </c>
      <c r="E303" s="106">
        <f>IF(C303="","",SUMIFS(Transaksi!$F$16:$F$5015,Transaksi!$G$16:$G$5015,A303,Transaksi!$H$16:$H$5015,B303,Transaksi!$I$16:$I$5015,C303))</f>
        <v/>
      </c>
      <c r="F303" s="106">
        <f>IF(C303="","",SUMIFS(Transaksi!$F$16:$F$5015,Transaksi!$G$16:$G$5015,A303,Transaksi!$H$16:$H$5015,B303,Transaksi!$I$16:$I$5015,C303,Transaksi!$B$16:$B$5015,"&gt;="&amp;DATE(Dashboard!$C$4,1,1),Transaksi!$B$16:$B$5015,"&lt;="&amp;DATE(Dashboard!$C$4,12,31)))</f>
        <v/>
      </c>
    </row>
    <row r="304" ht="15" customHeight="1" s="94">
      <c r="A304" s="105" t="n"/>
      <c r="B304" s="105" t="n"/>
      <c r="C304" s="127" t="n"/>
      <c r="D304" s="167">
        <f>IF(C304="","",COUNTIFS(Transaksi!$G$16:$G$5015,A304,Transaksi!$H$16:$H$5015,B304,Transaksi!$I$16:$I$5015,C304))</f>
        <v/>
      </c>
      <c r="E304" s="106">
        <f>IF(C304="","",SUMIFS(Transaksi!$F$16:$F$5015,Transaksi!$G$16:$G$5015,A304,Transaksi!$H$16:$H$5015,B304,Transaksi!$I$16:$I$5015,C304))</f>
        <v/>
      </c>
      <c r="F304" s="106">
        <f>IF(C304="","",SUMIFS(Transaksi!$F$16:$F$5015,Transaksi!$G$16:$G$5015,A304,Transaksi!$H$16:$H$5015,B304,Transaksi!$I$16:$I$5015,C304,Transaksi!$B$16:$B$5015,"&gt;="&amp;DATE(Dashboard!$C$4,1,1),Transaksi!$B$16:$B$5015,"&lt;="&amp;DATE(Dashboard!$C$4,12,31)))</f>
        <v/>
      </c>
    </row>
  </sheetData>
  <autoFilter ref="A4:F304"/>
  <mergeCells count="2">
    <mergeCell ref="A2:G2"/>
    <mergeCell ref="A1:G1"/>
  </mergeCells>
  <conditionalFormatting sqref="A5:F304">
    <cfRule type="expression" rank="0" priority="2" equalAverage="0" aboveAverage="0" dxfId="14" text="" percent="0" bottom="0">
      <formula>$A5="Pendapatan"</formula>
    </cfRule>
    <cfRule type="expression" rank="0" priority="3" equalAverage="0" aboveAverage="0" dxfId="15" text="" percent="0" bottom="0">
      <formula>$A5="Pengeluaran"</formula>
    </cfRule>
    <cfRule type="expression" rank="0" priority="4" equalAverage="0" aboveAverage="0" dxfId="16" text="" percent="0" bottom="0">
      <formula>$A5="Pindah Uang"</formula>
    </cfRule>
  </conditionalFormatting>
  <dataValidations count="2">
    <dataValidation sqref="A5:A304" showDropDown="0" showInputMessage="0" showErrorMessage="0" allowBlank="1" type="list" errorStyle="stop" operator="between">
      <formula1>Ref!$D$1:$D$4</formula1>
      <formula2>0</formula2>
    </dataValidation>
    <dataValidation sqref="B5:B304" showDropDown="0" showInputMessage="0" showErrorMessage="0" allowBlank="1" type="list" errorStyle="stop" operator="between">
      <formula1>Ref!$E$1:$E$20</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1.xml><?xml version="1.0" encoding="utf-8"?>
<worksheet xmlns="http://schemas.openxmlformats.org/spreadsheetml/2006/main">
  <sheetPr filterMode="0">
    <outlinePr summaryBelow="1" summaryRight="1"/>
    <pageSetUpPr fitToPage="0"/>
  </sheetPr>
  <dimension ref="A1:Q3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7421875" defaultRowHeight="15" zeroHeight="0" outlineLevelRow="0"/>
  <sheetData>
    <row r="1" ht="15" customHeight="1" s="94">
      <c r="A1" s="93" t="inlineStr">
        <is>
          <t>Januari</t>
        </is>
      </c>
      <c r="B1" s="93" t="n">
        <v>2024</v>
      </c>
      <c r="C1" s="93" t="inlineStr">
        <is>
          <t>Masuk</t>
        </is>
      </c>
      <c r="D1" s="93" t="inlineStr">
        <is>
          <t>Pendapatan</t>
        </is>
      </c>
      <c r="E1" s="93" t="inlineStr">
        <is>
          <t>Gaji</t>
        </is>
      </c>
      <c r="G1" s="93" t="inlineStr">
        <is>
          <t>Gaji</t>
        </is>
      </c>
      <c r="H1" s="93" t="inlineStr">
        <is>
          <t>Pengeluaran Gaji</t>
        </is>
      </c>
      <c r="I1" s="93" t="inlineStr">
        <is>
          <t>Saham</t>
        </is>
      </c>
      <c r="J1" s="93" t="inlineStr">
        <is>
          <t>Pindah akun</t>
        </is>
      </c>
      <c r="K1" s="93" t="inlineStr">
        <is>
          <t>Semua</t>
        </is>
      </c>
      <c r="L1" s="93" t="inlineStr">
        <is>
          <t>Semua</t>
        </is>
      </c>
      <c r="M1" s="93" t="inlineStr">
        <is>
          <t>Semua</t>
        </is>
      </c>
      <c r="N1" s="93" t="inlineStr">
        <is>
          <t>Tidak</t>
        </is>
      </c>
      <c r="O1" s="93" t="inlineStr">
        <is>
          <t>Semua</t>
        </is>
      </c>
      <c r="P1" s="93" t="inlineStr">
        <is>
          <t>Semua</t>
        </is>
      </c>
      <c r="Q1" s="93" t="inlineStr">
        <is>
          <t>Semua</t>
        </is>
      </c>
    </row>
    <row r="2" ht="15" customHeight="1" s="94">
      <c r="A2" s="93" t="inlineStr">
        <is>
          <t>Februari</t>
        </is>
      </c>
      <c r="B2" s="93" t="n">
        <v>2025</v>
      </c>
      <c r="C2" s="93" t="inlineStr">
        <is>
          <t>Keluar</t>
        </is>
      </c>
      <c r="D2" s="93" t="inlineStr">
        <is>
          <t>Pengeluaran</t>
        </is>
      </c>
      <c r="E2" s="93" t="inlineStr">
        <is>
          <t>Jasa</t>
        </is>
      </c>
      <c r="G2" s="93" t="inlineStr">
        <is>
          <t>Jasa</t>
        </is>
      </c>
      <c r="H2" s="93" t="inlineStr">
        <is>
          <t>Pengeluaran Jasa</t>
        </is>
      </c>
      <c r="I2" s="93" t="inlineStr">
        <is>
          <t>Reksadana</t>
        </is>
      </c>
      <c r="J2" s="93" t="inlineStr">
        <is>
          <t>Dana riba</t>
        </is>
      </c>
      <c r="K2" s="93" t="inlineStr">
        <is>
          <t>Pendapatan</t>
        </is>
      </c>
      <c r="L2" s="93" t="inlineStr">
        <is>
          <t>Gaji</t>
        </is>
      </c>
      <c r="M2" s="93" t="inlineStr">
        <is>
          <t>Masuk</t>
        </is>
      </c>
      <c r="N2" s="93" t="inlineStr">
        <is>
          <t>Ya</t>
        </is>
      </c>
      <c r="O2" s="93">
        <f>IF(Akun!$A$5="","",Akun!$A$5)</f>
        <v/>
      </c>
      <c r="P2" s="93">
        <f>IF(Kategori!$C$5="","",Kategori!$C$5)</f>
        <v/>
      </c>
      <c r="Q2" s="93" t="inlineStr">
        <is>
          <t>Kos cowok · Kamar 1</t>
        </is>
      </c>
    </row>
    <row r="3" ht="15" customHeight="1" s="94">
      <c r="A3" s="93" t="inlineStr">
        <is>
          <t>Maret</t>
        </is>
      </c>
      <c r="B3" s="93" t="n">
        <v>2026</v>
      </c>
      <c r="C3" s="93" t="inlineStr">
        <is>
          <t>Pindah</t>
        </is>
      </c>
      <c r="D3" s="93" t="inlineStr">
        <is>
          <t>Tabungan</t>
        </is>
      </c>
      <c r="E3" s="93" t="inlineStr">
        <is>
          <t>Uang Kos Mama</t>
        </is>
      </c>
      <c r="G3" s="93" t="inlineStr">
        <is>
          <t>Uang Kos Mama</t>
        </is>
      </c>
      <c r="H3" s="93" t="inlineStr">
        <is>
          <t>Pengeluaran Uang Kos</t>
        </is>
      </c>
      <c r="I3" s="93" t="inlineStr">
        <is>
          <t>Deposito</t>
        </is>
      </c>
      <c r="J3" s="93" t="inlineStr">
        <is>
          <t>Utang &amp; piutang</t>
        </is>
      </c>
      <c r="K3" s="93" t="inlineStr">
        <is>
          <t>Pengeluaran</t>
        </is>
      </c>
      <c r="L3" s="93" t="inlineStr">
        <is>
          <t>Jasa</t>
        </is>
      </c>
      <c r="M3" s="93" t="inlineStr">
        <is>
          <t>Keluar</t>
        </is>
      </c>
      <c r="O3" s="93">
        <f>IF(Akun!$A$6="","",Akun!$A$6)</f>
        <v/>
      </c>
      <c r="P3" s="93">
        <f>IF(Kategori!$C$6="","",Kategori!$C$6)</f>
        <v/>
      </c>
      <c r="Q3" s="93" t="inlineStr">
        <is>
          <t>Kos cowok · Kamar 2</t>
        </is>
      </c>
    </row>
    <row r="4" ht="15" customHeight="1" s="94">
      <c r="A4" s="93" t="inlineStr">
        <is>
          <t>April</t>
        </is>
      </c>
      <c r="B4" s="93" t="n">
        <v>2027</v>
      </c>
      <c r="D4" s="93" t="inlineStr">
        <is>
          <t>Pindah Uang</t>
        </is>
      </c>
      <c r="E4" s="93" t="inlineStr">
        <is>
          <t>Uang Kedai</t>
        </is>
      </c>
      <c r="G4" s="93" t="inlineStr">
        <is>
          <t>Uang Kedai</t>
        </is>
      </c>
      <c r="H4" s="93" t="inlineStr">
        <is>
          <t>Pengeluaran Uang Kedai</t>
        </is>
      </c>
      <c r="I4" s="93" t="inlineStr">
        <is>
          <t>Jula-jula</t>
        </is>
      </c>
      <c r="J4" s="93" t="inlineStr">
        <is>
          <t>Pinjam uang mama</t>
        </is>
      </c>
      <c r="K4" s="93" t="inlineStr">
        <is>
          <t>Tabungan</t>
        </is>
      </c>
      <c r="L4" s="93" t="inlineStr">
        <is>
          <t>Uang Kos Mama</t>
        </is>
      </c>
      <c r="M4" s="93" t="inlineStr">
        <is>
          <t>Pindah</t>
        </is>
      </c>
      <c r="O4" s="93">
        <f>IF(Akun!$A$7="","",Akun!$A$7)</f>
        <v/>
      </c>
      <c r="P4" s="93">
        <f>IF(Kategori!$C$7="","",Kategori!$C$7)</f>
        <v/>
      </c>
      <c r="Q4" s="93" t="inlineStr">
        <is>
          <t>Kos cowok · Kamar 3</t>
        </is>
      </c>
    </row>
    <row r="5" ht="15" customHeight="1" s="94">
      <c r="A5" s="93" t="inlineStr">
        <is>
          <t>Mei</t>
        </is>
      </c>
      <c r="B5" s="93" t="n">
        <v>2028</v>
      </c>
      <c r="E5" s="93" t="inlineStr">
        <is>
          <t>Uang Disan</t>
        </is>
      </c>
      <c r="G5" s="93" t="inlineStr">
        <is>
          <t>Uang Disan</t>
        </is>
      </c>
      <c r="H5" s="93" t="inlineStr">
        <is>
          <t>Pengeluaran Uang Disan</t>
        </is>
      </c>
      <c r="I5" s="93" t="inlineStr">
        <is>
          <t>Reksadana uang kos mama</t>
        </is>
      </c>
      <c r="J5" s="93" t="inlineStr">
        <is>
          <t>Titipan orang lain</t>
        </is>
      </c>
      <c r="K5" s="93" t="inlineStr">
        <is>
          <t>Pindah Uang</t>
        </is>
      </c>
      <c r="L5" s="93" t="inlineStr">
        <is>
          <t>Uang Kedai</t>
        </is>
      </c>
      <c r="O5" s="93">
        <f>IF(Akun!$A$8="","",Akun!$A$8)</f>
        <v/>
      </c>
      <c r="P5" s="93">
        <f>IF(Kategori!$C$8="","",Kategori!$C$8)</f>
        <v/>
      </c>
      <c r="Q5" s="93" t="inlineStr">
        <is>
          <t>Kos cowok · Kamar 4</t>
        </is>
      </c>
    </row>
    <row r="6" ht="15" customHeight="1" s="94">
      <c r="A6" s="93" t="inlineStr">
        <is>
          <t>Juni</t>
        </is>
      </c>
      <c r="B6" s="93" t="n">
        <v>2029</v>
      </c>
      <c r="E6" s="93" t="inlineStr">
        <is>
          <t>Pengeluaran Gaji</t>
        </is>
      </c>
      <c r="J6" s="93" t="inlineStr">
        <is>
          <t>Pinjam uang riba</t>
        </is>
      </c>
      <c r="L6" s="93" t="inlineStr">
        <is>
          <t>Uang Disan</t>
        </is>
      </c>
      <c r="O6" s="93">
        <f>IF(Akun!$A$9="","",Akun!$A$9)</f>
        <v/>
      </c>
      <c r="P6" s="93">
        <f>IF(Kategori!$C$9="","",Kategori!$C$9)</f>
        <v/>
      </c>
      <c r="Q6" s="93" t="inlineStr">
        <is>
          <t>Kos cowok · Kamar 5</t>
        </is>
      </c>
    </row>
    <row r="7" ht="15" customHeight="1" s="94">
      <c r="A7" s="93" t="inlineStr">
        <is>
          <t>Juli</t>
        </is>
      </c>
      <c r="B7" s="93" t="n">
        <v>2030</v>
      </c>
      <c r="E7" s="93" t="inlineStr">
        <is>
          <t>Pengeluaran Jasa</t>
        </is>
      </c>
      <c r="L7" s="93" t="inlineStr">
        <is>
          <t>Pengeluaran Gaji</t>
        </is>
      </c>
      <c r="O7" s="93">
        <f>IF(Akun!$A$10="","",Akun!$A$10)</f>
        <v/>
      </c>
      <c r="P7" s="93">
        <f>IF(Kategori!$C$10="","",Kategori!$C$10)</f>
        <v/>
      </c>
      <c r="Q7" s="93" t="inlineStr">
        <is>
          <t>Kos cowok · Kamar ?</t>
        </is>
      </c>
    </row>
    <row r="8" ht="15" customHeight="1" s="94">
      <c r="A8" s="93" t="inlineStr">
        <is>
          <t>Agustus</t>
        </is>
      </c>
      <c r="B8" s="93" t="n">
        <v>2031</v>
      </c>
      <c r="E8" s="93" t="inlineStr">
        <is>
          <t>Pengeluaran Uang Kos</t>
        </is>
      </c>
      <c r="L8" s="93" t="inlineStr">
        <is>
          <t>Pengeluaran Jasa</t>
        </is>
      </c>
      <c r="O8" s="93">
        <f>IF(Akun!$A$11="","",Akun!$A$11)</f>
        <v/>
      </c>
      <c r="P8" s="93">
        <f>IF(Kategori!$C$11="","",Kategori!$C$11)</f>
        <v/>
      </c>
      <c r="Q8" s="93" t="inlineStr">
        <is>
          <t>Kos cewek · Kamar 1</t>
        </is>
      </c>
    </row>
    <row r="9" ht="15" customHeight="1" s="94">
      <c r="A9" s="93" t="inlineStr">
        <is>
          <t>September</t>
        </is>
      </c>
      <c r="B9" s="93" t="n">
        <v>2032</v>
      </c>
      <c r="E9" s="93" t="inlineStr">
        <is>
          <t>Pengeluaran Uang Kedai</t>
        </is>
      </c>
      <c r="L9" s="93" t="inlineStr">
        <is>
          <t>Pengeluaran Uang Kos</t>
        </is>
      </c>
      <c r="O9" s="93">
        <f>IF(Akun!$A$12="","",Akun!$A$12)</f>
        <v/>
      </c>
      <c r="P9" s="93">
        <f>IF(Kategori!$C$12="","",Kategori!$C$12)</f>
        <v/>
      </c>
      <c r="Q9" s="93" t="inlineStr">
        <is>
          <t>Kos cewek · Kamar 2</t>
        </is>
      </c>
    </row>
    <row r="10" ht="15" customHeight="1" s="94">
      <c r="A10" s="93" t="inlineStr">
        <is>
          <t>Oktober</t>
        </is>
      </c>
      <c r="B10" s="93" t="n">
        <v>2033</v>
      </c>
      <c r="E10" s="93" t="inlineStr">
        <is>
          <t>Pengeluaran Uang Disan</t>
        </is>
      </c>
      <c r="L10" s="93" t="inlineStr">
        <is>
          <t>Pengeluaran Uang Kedai</t>
        </is>
      </c>
      <c r="O10" s="93">
        <f>IF(Akun!$A$13="","",Akun!$A$13)</f>
        <v/>
      </c>
      <c r="P10" s="93">
        <f>IF(Kategori!$C$13="","",Kategori!$C$13)</f>
        <v/>
      </c>
      <c r="Q10" s="93" t="inlineStr">
        <is>
          <t>Kos cewek · Kamar 3</t>
        </is>
      </c>
    </row>
    <row r="11" ht="15" customHeight="1" s="94">
      <c r="A11" s="93" t="inlineStr">
        <is>
          <t>November</t>
        </is>
      </c>
      <c r="B11" s="93" t="n">
        <v>2034</v>
      </c>
      <c r="E11" s="93" t="inlineStr">
        <is>
          <t>Saham</t>
        </is>
      </c>
      <c r="L11" s="93" t="inlineStr">
        <is>
          <t>Pengeluaran Uang Disan</t>
        </is>
      </c>
      <c r="O11" s="93">
        <f>IF(Akun!$A$14="","",Akun!$A$14)</f>
        <v/>
      </c>
      <c r="P11" s="93">
        <f>IF(Kategori!$C$14="","",Kategori!$C$14)</f>
        <v/>
      </c>
      <c r="Q11" s="93" t="inlineStr">
        <is>
          <t>Kos cewek · Kamar 4</t>
        </is>
      </c>
    </row>
    <row r="12" ht="15" customHeight="1" s="94">
      <c r="A12" s="93" t="inlineStr">
        <is>
          <t>Desember</t>
        </is>
      </c>
      <c r="B12" s="93" t="n">
        <v>2035</v>
      </c>
      <c r="E12" s="93" t="inlineStr">
        <is>
          <t>Reksadana</t>
        </is>
      </c>
      <c r="L12" s="93" t="inlineStr">
        <is>
          <t>Saham</t>
        </is>
      </c>
      <c r="O12" s="93">
        <f>IF(Akun!$A$15="","",Akun!$A$15)</f>
        <v/>
      </c>
      <c r="P12" s="93">
        <f>IF(Kategori!$C$15="","",Kategori!$C$15)</f>
        <v/>
      </c>
      <c r="Q12" s="93" t="inlineStr">
        <is>
          <t>Kos cewek · Kamar 5</t>
        </is>
      </c>
    </row>
    <row r="13" ht="15" customHeight="1" s="94">
      <c r="B13" s="93" t="n">
        <v>2036</v>
      </c>
      <c r="E13" s="93" t="inlineStr">
        <is>
          <t>Deposito</t>
        </is>
      </c>
      <c r="L13" s="93" t="inlineStr">
        <is>
          <t>Reksadana</t>
        </is>
      </c>
      <c r="O13" s="93">
        <f>IF(Akun!$A$16="","",Akun!$A$16)</f>
        <v/>
      </c>
      <c r="P13" s="93">
        <f>IF(Kategori!$C$16="","",Kategori!$C$16)</f>
        <v/>
      </c>
      <c r="Q13" s="93" t="inlineStr">
        <is>
          <t>Kos cewek · Kamar 6</t>
        </is>
      </c>
    </row>
    <row r="14" ht="15" customHeight="1" s="94">
      <c r="B14" s="93" t="n">
        <v>2037</v>
      </c>
      <c r="E14" s="93" t="inlineStr">
        <is>
          <t>Jula-jula</t>
        </is>
      </c>
      <c r="L14" s="93" t="inlineStr">
        <is>
          <t>Deposito</t>
        </is>
      </c>
      <c r="O14" s="93">
        <f>IF(Akun!$A$17="","",Akun!$A$17)</f>
        <v/>
      </c>
      <c r="P14" s="93">
        <f>IF(Kategori!$C$17="","",Kategori!$C$17)</f>
        <v/>
      </c>
      <c r="Q14" s="93" t="inlineStr">
        <is>
          <t>Kos cewek · Kamar 7</t>
        </is>
      </c>
    </row>
    <row r="15" ht="15" customHeight="1" s="94">
      <c r="B15" s="93" t="n">
        <v>2038</v>
      </c>
      <c r="E15" s="93" t="inlineStr">
        <is>
          <t>Reksadana uang kos mama</t>
        </is>
      </c>
      <c r="L15" s="93" t="inlineStr">
        <is>
          <t>Jula-jula</t>
        </is>
      </c>
      <c r="O15" s="93">
        <f>IF(Akun!$A$18="","",Akun!$A$18)</f>
        <v/>
      </c>
      <c r="P15" s="93">
        <f>IF(Kategori!$C$18="","",Kategori!$C$18)</f>
        <v/>
      </c>
      <c r="Q15" s="93" t="inlineStr">
        <is>
          <t>Kos cewek · Kamar ?</t>
        </is>
      </c>
    </row>
    <row r="16" ht="15" customHeight="1" s="94">
      <c r="B16" s="93" t="n">
        <v>2039</v>
      </c>
      <c r="E16" s="93" t="inlineStr">
        <is>
          <t>Pindah akun</t>
        </is>
      </c>
      <c r="L16" s="93" t="inlineStr">
        <is>
          <t>Reksadana uang kos mama</t>
        </is>
      </c>
      <c r="O16" s="93">
        <f>IF(Akun!$A$19="","",Akun!$A$19)</f>
        <v/>
      </c>
      <c r="P16" s="93">
        <f>IF(Kategori!$C$19="","",Kategori!$C$19)</f>
        <v/>
      </c>
      <c r="Q16" s="93" t="inlineStr">
        <is>
          <t>Belum diketahui</t>
        </is>
      </c>
    </row>
    <row r="17" ht="15" customHeight="1" s="94">
      <c r="B17" s="93" t="n">
        <v>2040</v>
      </c>
      <c r="E17" s="93" t="inlineStr">
        <is>
          <t>Dana riba</t>
        </is>
      </c>
      <c r="L17" s="93" t="inlineStr">
        <is>
          <t>Pindah akun</t>
        </is>
      </c>
      <c r="O17" s="93">
        <f>IF(Akun!$A$20="","",Akun!$A$20)</f>
        <v/>
      </c>
      <c r="P17" s="93">
        <f>IF(Kategori!$C$20="","",Kategori!$C$20)</f>
        <v/>
      </c>
      <c r="Q17" s="93" t="inlineStr">
        <is>
          <t>Campuran (cewek &amp; cowok)</t>
        </is>
      </c>
    </row>
    <row r="18" ht="15" customHeight="1" s="94">
      <c r="E18" s="93" t="inlineStr">
        <is>
          <t>Utang &amp; piutang</t>
        </is>
      </c>
      <c r="L18" s="93" t="inlineStr">
        <is>
          <t>Dana riba</t>
        </is>
      </c>
      <c r="O18" s="93">
        <f>IF(Akun!$A$21="","",Akun!$A$21)</f>
        <v/>
      </c>
      <c r="P18" s="93">
        <f>IF(Kategori!$C$21="","",Kategori!$C$21)</f>
        <v/>
      </c>
      <c r="Q18" s="93" t="inlineStr">
        <is>
          <t>Kos cewek · Kamar 2&amp;4</t>
        </is>
      </c>
    </row>
    <row r="19" ht="15" customHeight="1" s="94">
      <c r="E19" s="93" t="inlineStr">
        <is>
          <t>Pinjam uang mama</t>
        </is>
      </c>
      <c r="L19" s="93" t="inlineStr">
        <is>
          <t>Utang &amp; piutang</t>
        </is>
      </c>
      <c r="O19" s="93">
        <f>IF(Akun!$A$22="","",Akun!$A$22)</f>
        <v/>
      </c>
      <c r="P19" s="93">
        <f>IF(Kategori!$C$22="","",Kategori!$C$22)</f>
        <v/>
      </c>
      <c r="Q19" s="93" t="inlineStr">
        <is>
          <t>Kos cewek · Kamar 2&amp;7</t>
        </is>
      </c>
    </row>
    <row r="20" ht="15" customHeight="1" s="94">
      <c r="E20" s="93" t="inlineStr">
        <is>
          <t>Titipan orang lain</t>
        </is>
      </c>
      <c r="L20" s="93" t="inlineStr">
        <is>
          <t>Pinjam uang mama</t>
        </is>
      </c>
      <c r="O20" s="93">
        <f>IF(Akun!$A$23="","",Akun!$A$23)</f>
        <v/>
      </c>
      <c r="P20" s="93">
        <f>IF(Kategori!$C$23="","",Kategori!$C$23)</f>
        <v/>
      </c>
      <c r="Q20" s="93" t="inlineStr">
        <is>
          <t>Penggantian / lainnya</t>
        </is>
      </c>
    </row>
    <row r="21" ht="15" customHeight="1" s="94">
      <c r="E21" s="93" t="inlineStr">
        <is>
          <t>Pinjam uang riba</t>
        </is>
      </c>
      <c r="L21" s="93" t="inlineStr">
        <is>
          <t>Titipan orang lain</t>
        </is>
      </c>
      <c r="O21" s="93">
        <f>IF(Akun!$A$24="","",Akun!$A$24)</f>
        <v/>
      </c>
      <c r="P21" s="93">
        <f>IF(Kategori!$C$24="","",Kategori!$C$24)</f>
        <v/>
      </c>
      <c r="Q21" s="93" t="inlineStr">
        <is>
          <t>Sewa lapak pasar</t>
        </is>
      </c>
    </row>
    <row r="22" ht="15" customHeight="1" s="94">
      <c r="L22" s="93" t="inlineStr">
        <is>
          <t>Pinjam uang riba</t>
        </is>
      </c>
      <c r="O22" s="93">
        <f>IF(Akun!$A$25="","",Akun!$A$25)</f>
        <v/>
      </c>
      <c r="P22" s="93">
        <f>IF(Kategori!$C$25="","",Kategori!$C$25)</f>
        <v/>
      </c>
    </row>
    <row r="23" ht="15" customHeight="1" s="94">
      <c r="O23" s="93">
        <f>IF(Akun!$A$26="","",Akun!$A$26)</f>
        <v/>
      </c>
      <c r="P23" s="93">
        <f>IF(Kategori!$C$26="","",Kategori!$C$26)</f>
        <v/>
      </c>
    </row>
    <row r="24" ht="15" customHeight="1" s="94">
      <c r="O24" s="93">
        <f>IF(Akun!$A$27="","",Akun!$A$27)</f>
        <v/>
      </c>
      <c r="P24" s="93">
        <f>IF(Kategori!$C$27="","",Kategori!$C$27)</f>
        <v/>
      </c>
    </row>
    <row r="25" ht="15" customHeight="1" s="94">
      <c r="O25" s="93">
        <f>IF(Akun!$A$28="","",Akun!$A$28)</f>
        <v/>
      </c>
      <c r="P25" s="93">
        <f>IF(Kategori!$C$28="","",Kategori!$C$28)</f>
        <v/>
      </c>
    </row>
    <row r="26" ht="15" customHeight="1" s="94">
      <c r="O26" s="93">
        <f>IF(Akun!$A$29="","",Akun!$A$29)</f>
        <v/>
      </c>
      <c r="P26" s="93">
        <f>IF(Kategori!$C$29="","",Kategori!$C$29)</f>
        <v/>
      </c>
    </row>
    <row r="27" ht="15" customHeight="1" s="94">
      <c r="O27" s="93">
        <f>IF(Akun!$A$30="","",Akun!$A$30)</f>
        <v/>
      </c>
      <c r="P27" s="93">
        <f>IF(Kategori!$C$30="","",Kategori!$C$30)</f>
        <v/>
      </c>
    </row>
    <row r="28" ht="15" customHeight="1" s="94">
      <c r="O28" s="93">
        <f>IF(Akun!$A$31="","",Akun!$A$31)</f>
        <v/>
      </c>
      <c r="P28" s="93">
        <f>IF(Kategori!$C$31="","",Kategori!$C$31)</f>
        <v/>
      </c>
    </row>
    <row r="29" ht="15" customHeight="1" s="94">
      <c r="O29" s="93">
        <f>IF(Akun!$A$32="","",Akun!$A$32)</f>
        <v/>
      </c>
      <c r="P29" s="93">
        <f>IF(Kategori!$C$32="","",Kategori!$C$32)</f>
        <v/>
      </c>
    </row>
    <row r="30" ht="15" customHeight="1" s="94">
      <c r="O30" s="93">
        <f>IF(Akun!$A$33="","",Akun!$A$33)</f>
        <v/>
      </c>
      <c r="P30" s="93">
        <f>IF(Kategori!$C$33="","",Kategori!$C$33)</f>
        <v/>
      </c>
    </row>
    <row r="31" ht="15" customHeight="1" s="94">
      <c r="O31" s="93">
        <f>IF(Akun!$A$34="","",Akun!$A$34)</f>
        <v/>
      </c>
      <c r="P31" s="93">
        <f>IF(Kategori!$C$34="","",Kategori!$C$34)</f>
        <v/>
      </c>
    </row>
    <row r="32" ht="15" customHeight="1" s="94">
      <c r="O32" s="93">
        <f>IF(Akun!$A$35="","",Akun!$A$35)</f>
        <v/>
      </c>
      <c r="P32" s="93">
        <f>IF(Kategori!$C$35="","",Kategori!$C$35)</f>
        <v/>
      </c>
    </row>
    <row r="33" ht="15" customHeight="1" s="94">
      <c r="O33" s="93">
        <f>IF(Akun!$A$36="","",Akun!$A$36)</f>
        <v/>
      </c>
      <c r="P33" s="93">
        <f>IF(Kategori!$C$36="","",Kategori!$C$36)</f>
        <v/>
      </c>
    </row>
    <row r="34" ht="15" customHeight="1" s="94">
      <c r="O34" s="93">
        <f>IF(Akun!$A$37="","",Akun!$A$37)</f>
        <v/>
      </c>
      <c r="P34" s="93">
        <f>IF(Kategori!$C$37="","",Kategori!$C$37)</f>
        <v/>
      </c>
    </row>
    <row r="35" ht="15" customHeight="1" s="94">
      <c r="O35" s="93">
        <f>IF(Akun!$A$38="","",Akun!$A$38)</f>
        <v/>
      </c>
      <c r="P35" s="93">
        <f>IF(Kategori!$C$38="","",Kategori!$C$38)</f>
        <v/>
      </c>
    </row>
    <row r="36" ht="15" customHeight="1" s="94">
      <c r="O36" s="93">
        <f>IF(Akun!$A$39="","",Akun!$A$39)</f>
        <v/>
      </c>
      <c r="P36" s="93">
        <f>IF(Kategori!$C$39="","",Kategori!$C$39)</f>
        <v/>
      </c>
    </row>
    <row r="37" ht="15" customHeight="1" s="94">
      <c r="O37" s="93">
        <f>IF(Akun!$A$40="","",Akun!$A$40)</f>
        <v/>
      </c>
      <c r="P37" s="93">
        <f>IF(Kategori!$C$40="","",Kategori!$C$40)</f>
        <v/>
      </c>
    </row>
    <row r="38" ht="15" customHeight="1" s="94">
      <c r="O38" s="93">
        <f>IF(Akun!$A$41="","",Akun!$A$41)</f>
        <v/>
      </c>
      <c r="P38" s="93">
        <f>IF(Kategori!$C$41="","",Kategori!$C$41)</f>
        <v/>
      </c>
    </row>
    <row r="39" ht="15" customHeight="1" s="94">
      <c r="O39" s="93">
        <f>IF(Akun!$A$42="","",Akun!$A$42)</f>
        <v/>
      </c>
      <c r="P39" s="93">
        <f>IF(Kategori!$C$42="","",Kategori!$C$42)</f>
        <v/>
      </c>
    </row>
    <row r="40" ht="15" customHeight="1" s="94">
      <c r="O40" s="93">
        <f>IF(Akun!$A$43="","",Akun!$A$43)</f>
        <v/>
      </c>
      <c r="P40" s="93">
        <f>IF(Kategori!$C$43="","",Kategori!$C$43)</f>
        <v/>
      </c>
    </row>
    <row r="41" ht="15" customHeight="1" s="94">
      <c r="O41" s="93">
        <f>IF(Akun!$A$44="","",Akun!$A$44)</f>
        <v/>
      </c>
      <c r="P41" s="93">
        <f>IF(Kategori!$C$44="","",Kategori!$C$44)</f>
        <v/>
      </c>
    </row>
    <row r="42" ht="15" customHeight="1" s="94">
      <c r="O42" s="93">
        <f>IF(Akun!$A$45="","",Akun!$A$45)</f>
        <v/>
      </c>
      <c r="P42" s="93">
        <f>IF(Kategori!$C$45="","",Kategori!$C$45)</f>
        <v/>
      </c>
    </row>
    <row r="43" ht="15" customHeight="1" s="94">
      <c r="O43" s="93">
        <f>IF(Akun!$A$46="","",Akun!$A$46)</f>
        <v/>
      </c>
      <c r="P43" s="93">
        <f>IF(Kategori!$C$46="","",Kategori!$C$46)</f>
        <v/>
      </c>
    </row>
    <row r="44" ht="15" customHeight="1" s="94">
      <c r="O44" s="93">
        <f>IF(Akun!$A$47="","",Akun!$A$47)</f>
        <v/>
      </c>
      <c r="P44" s="93">
        <f>IF(Kategori!$C$47="","",Kategori!$C$47)</f>
        <v/>
      </c>
    </row>
    <row r="45" ht="15" customHeight="1" s="94">
      <c r="O45" s="93">
        <f>IF(Akun!$A$48="","",Akun!$A$48)</f>
        <v/>
      </c>
      <c r="P45" s="93">
        <f>IF(Kategori!$C$48="","",Kategori!$C$48)</f>
        <v/>
      </c>
    </row>
    <row r="46" ht="15" customHeight="1" s="94">
      <c r="O46" s="93">
        <f>IF(Akun!$A$49="","",Akun!$A$49)</f>
        <v/>
      </c>
      <c r="P46" s="93">
        <f>IF(Kategori!$C$49="","",Kategori!$C$49)</f>
        <v/>
      </c>
    </row>
    <row r="47" ht="15" customHeight="1" s="94">
      <c r="O47" s="93">
        <f>IF(Akun!$A$50="","",Akun!$A$50)</f>
        <v/>
      </c>
      <c r="P47" s="93">
        <f>IF(Kategori!$C$50="","",Kategori!$C$50)</f>
        <v/>
      </c>
    </row>
    <row r="48" ht="15" customHeight="1" s="94">
      <c r="O48" s="93">
        <f>IF(Akun!$A$51="","",Akun!$A$51)</f>
        <v/>
      </c>
      <c r="P48" s="93">
        <f>IF(Kategori!$C$51="","",Kategori!$C$51)</f>
        <v/>
      </c>
    </row>
    <row r="49" ht="15" customHeight="1" s="94">
      <c r="O49" s="93">
        <f>IF(Akun!$A$52="","",Akun!$A$52)</f>
        <v/>
      </c>
      <c r="P49" s="93">
        <f>IF(Kategori!$C$52="","",Kategori!$C$52)</f>
        <v/>
      </c>
    </row>
    <row r="50" ht="15" customHeight="1" s="94">
      <c r="O50" s="93">
        <f>IF(Akun!$A$53="","",Akun!$A$53)</f>
        <v/>
      </c>
      <c r="P50" s="93">
        <f>IF(Kategori!$C$53="","",Kategori!$C$53)</f>
        <v/>
      </c>
    </row>
    <row r="51" ht="15" customHeight="1" s="94">
      <c r="O51" s="93">
        <f>IF(Akun!$A$54="","",Akun!$A$54)</f>
        <v/>
      </c>
      <c r="P51" s="93">
        <f>IF(Kategori!$C$54="","",Kategori!$C$54)</f>
        <v/>
      </c>
    </row>
    <row r="52" ht="15" customHeight="1" s="94">
      <c r="O52" s="93">
        <f>IF(Akun!$A$55="","",Akun!$A$55)</f>
        <v/>
      </c>
      <c r="P52" s="93">
        <f>IF(Kategori!$C$55="","",Kategori!$C$55)</f>
        <v/>
      </c>
    </row>
    <row r="53" ht="15" customHeight="1" s="94">
      <c r="O53" s="93">
        <f>IF(Akun!$A$56="","",Akun!$A$56)</f>
        <v/>
      </c>
      <c r="P53" s="93">
        <f>IF(Kategori!$C$56="","",Kategori!$C$56)</f>
        <v/>
      </c>
    </row>
    <row r="54" ht="15" customHeight="1" s="94">
      <c r="O54" s="93">
        <f>IF(Akun!$A$57="","",Akun!$A$57)</f>
        <v/>
      </c>
      <c r="P54" s="93">
        <f>IF(Kategori!$C$57="","",Kategori!$C$57)</f>
        <v/>
      </c>
    </row>
    <row r="55" ht="15" customHeight="1" s="94">
      <c r="O55" s="93">
        <f>IF(Akun!$A$58="","",Akun!$A$58)</f>
        <v/>
      </c>
      <c r="P55" s="93">
        <f>IF(Kategori!$C$58="","",Kategori!$C$58)</f>
        <v/>
      </c>
    </row>
    <row r="56" ht="15" customHeight="1" s="94">
      <c r="O56" s="93">
        <f>IF(Akun!$A$59="","",Akun!$A$59)</f>
        <v/>
      </c>
      <c r="P56" s="93">
        <f>IF(Kategori!$C$59="","",Kategori!$C$59)</f>
        <v/>
      </c>
    </row>
    <row r="57" ht="15" customHeight="1" s="94">
      <c r="O57" s="93">
        <f>IF(Akun!$A$60="","",Akun!$A$60)</f>
        <v/>
      </c>
      <c r="P57" s="93">
        <f>IF(Kategori!$C$60="","",Kategori!$C$60)</f>
        <v/>
      </c>
    </row>
    <row r="58" ht="15" customHeight="1" s="94">
      <c r="O58" s="93">
        <f>IF(Akun!$A$61="","",Akun!$A$61)</f>
        <v/>
      </c>
      <c r="P58" s="93">
        <f>IF(Kategori!$C$61="","",Kategori!$C$61)</f>
        <v/>
      </c>
    </row>
    <row r="59" ht="15" customHeight="1" s="94">
      <c r="O59" s="93">
        <f>IF(Akun!$A$62="","",Akun!$A$62)</f>
        <v/>
      </c>
      <c r="P59" s="93">
        <f>IF(Kategori!$C$62="","",Kategori!$C$62)</f>
        <v/>
      </c>
    </row>
    <row r="60" ht="15" customHeight="1" s="94">
      <c r="O60" s="93">
        <f>IF(Akun!$A$63="","",Akun!$A$63)</f>
        <v/>
      </c>
      <c r="P60" s="93">
        <f>IF(Kategori!$C$63="","",Kategori!$C$63)</f>
        <v/>
      </c>
    </row>
    <row r="61" ht="15" customHeight="1" s="94">
      <c r="O61" s="93">
        <f>IF(Akun!$A$64="","",Akun!$A$64)</f>
        <v/>
      </c>
      <c r="P61" s="93">
        <f>IF(Kategori!$C$64="","",Kategori!$C$64)</f>
        <v/>
      </c>
    </row>
    <row r="62" ht="15" customHeight="1" s="94">
      <c r="O62" s="93">
        <f>IF(Akun!$A$65="","",Akun!$A$65)</f>
        <v/>
      </c>
      <c r="P62" s="93">
        <f>IF(Kategori!$C$65="","",Kategori!$C$65)</f>
        <v/>
      </c>
    </row>
    <row r="63" ht="15" customHeight="1" s="94">
      <c r="O63" s="93">
        <f>IF(Akun!$A$66="","",Akun!$A$66)</f>
        <v/>
      </c>
      <c r="P63" s="93">
        <f>IF(Kategori!$C$66="","",Kategori!$C$66)</f>
        <v/>
      </c>
    </row>
    <row r="64" ht="15" customHeight="1" s="94">
      <c r="O64" s="93">
        <f>IF(Akun!$A$67="","",Akun!$A$67)</f>
        <v/>
      </c>
      <c r="P64" s="93">
        <f>IF(Kategori!$C$67="","",Kategori!$C$67)</f>
        <v/>
      </c>
    </row>
    <row r="65" ht="15" customHeight="1" s="94">
      <c r="O65" s="93">
        <f>IF(Akun!$A$68="","",Akun!$A$68)</f>
        <v/>
      </c>
      <c r="P65" s="93">
        <f>IF(Kategori!$C$68="","",Kategori!$C$68)</f>
        <v/>
      </c>
    </row>
    <row r="66" ht="15" customHeight="1" s="94">
      <c r="O66" s="93">
        <f>IF(Akun!$A$69="","",Akun!$A$69)</f>
        <v/>
      </c>
      <c r="P66" s="93">
        <f>IF(Kategori!$C$69="","",Kategori!$C$69)</f>
        <v/>
      </c>
    </row>
    <row r="67" ht="15" customHeight="1" s="94">
      <c r="O67" s="93">
        <f>IF(Akun!$A$70="","",Akun!$A$70)</f>
        <v/>
      </c>
      <c r="P67" s="93">
        <f>IF(Kategori!$C$70="","",Kategori!$C$70)</f>
        <v/>
      </c>
    </row>
    <row r="68" ht="15" customHeight="1" s="94">
      <c r="O68" s="93">
        <f>IF(Akun!$A$71="","",Akun!$A$71)</f>
        <v/>
      </c>
      <c r="P68" s="93">
        <f>IF(Kategori!$C$71="","",Kategori!$C$71)</f>
        <v/>
      </c>
    </row>
    <row r="69" ht="15" customHeight="1" s="94">
      <c r="O69" s="93">
        <f>IF(Akun!$A$72="","",Akun!$A$72)</f>
        <v/>
      </c>
      <c r="P69" s="93">
        <f>IF(Kategori!$C$72="","",Kategori!$C$72)</f>
        <v/>
      </c>
    </row>
    <row r="70" ht="15" customHeight="1" s="94">
      <c r="O70" s="93">
        <f>IF(Akun!$A$73="","",Akun!$A$73)</f>
        <v/>
      </c>
      <c r="P70" s="93">
        <f>IF(Kategori!$C$73="","",Kategori!$C$73)</f>
        <v/>
      </c>
    </row>
    <row r="71" ht="15" customHeight="1" s="94">
      <c r="O71" s="93">
        <f>IF(Akun!$A$74="","",Akun!$A$74)</f>
        <v/>
      </c>
      <c r="P71" s="93">
        <f>IF(Kategori!$C$74="","",Kategori!$C$74)</f>
        <v/>
      </c>
    </row>
    <row r="72" ht="15" customHeight="1" s="94">
      <c r="O72" s="93">
        <f>IF(Akun!$A$75="","",Akun!$A$75)</f>
        <v/>
      </c>
      <c r="P72" s="93">
        <f>IF(Kategori!$C$75="","",Kategori!$C$75)</f>
        <v/>
      </c>
    </row>
    <row r="73" ht="15" customHeight="1" s="94">
      <c r="O73" s="93">
        <f>IF(Akun!$A$76="","",Akun!$A$76)</f>
        <v/>
      </c>
      <c r="P73" s="93">
        <f>IF(Kategori!$C$76="","",Kategori!$C$76)</f>
        <v/>
      </c>
    </row>
    <row r="74" ht="15" customHeight="1" s="94">
      <c r="O74" s="93">
        <f>IF(Akun!$A$77="","",Akun!$A$77)</f>
        <v/>
      </c>
      <c r="P74" s="93">
        <f>IF(Kategori!$C$77="","",Kategori!$C$77)</f>
        <v/>
      </c>
    </row>
    <row r="75" ht="15" customHeight="1" s="94">
      <c r="O75" s="93">
        <f>IF(Akun!$A$78="","",Akun!$A$78)</f>
        <v/>
      </c>
      <c r="P75" s="93">
        <f>IF(Kategori!$C$78="","",Kategori!$C$78)</f>
        <v/>
      </c>
    </row>
    <row r="76" ht="15" customHeight="1" s="94">
      <c r="O76" s="93">
        <f>IF(Akun!$A$79="","",Akun!$A$79)</f>
        <v/>
      </c>
      <c r="P76" s="93">
        <f>IF(Kategori!$C$79="","",Kategori!$C$79)</f>
        <v/>
      </c>
    </row>
    <row r="77" ht="15" customHeight="1" s="94">
      <c r="O77" s="93">
        <f>IF(Akun!$A$80="","",Akun!$A$80)</f>
        <v/>
      </c>
      <c r="P77" s="93">
        <f>IF(Kategori!$C$80="","",Kategori!$C$80)</f>
        <v/>
      </c>
    </row>
    <row r="78" ht="15" customHeight="1" s="94">
      <c r="O78" s="93">
        <f>IF(Akun!$A$81="","",Akun!$A$81)</f>
        <v/>
      </c>
      <c r="P78" s="93">
        <f>IF(Kategori!$C$81="","",Kategori!$C$81)</f>
        <v/>
      </c>
    </row>
    <row r="79" ht="15" customHeight="1" s="94">
      <c r="O79" s="93">
        <f>IF(Akun!$A$82="","",Akun!$A$82)</f>
        <v/>
      </c>
      <c r="P79" s="93">
        <f>IF(Kategori!$C$82="","",Kategori!$C$82)</f>
        <v/>
      </c>
    </row>
    <row r="80" ht="15" customHeight="1" s="94">
      <c r="O80" s="93">
        <f>IF(Akun!$A$83="","",Akun!$A$83)</f>
        <v/>
      </c>
      <c r="P80" s="93">
        <f>IF(Kategori!$C$83="","",Kategori!$C$83)</f>
        <v/>
      </c>
    </row>
    <row r="81" ht="15" customHeight="1" s="94">
      <c r="O81" s="93">
        <f>IF(Akun!$A$84="","",Akun!$A$84)</f>
        <v/>
      </c>
      <c r="P81" s="93">
        <f>IF(Kategori!$C$84="","",Kategori!$C$84)</f>
        <v/>
      </c>
    </row>
    <row r="82" ht="15" customHeight="1" s="94">
      <c r="O82" s="93">
        <f>IF(Akun!$A$85="","",Akun!$A$85)</f>
        <v/>
      </c>
      <c r="P82" s="93">
        <f>IF(Kategori!$C$85="","",Kategori!$C$85)</f>
        <v/>
      </c>
    </row>
    <row r="83" ht="15" customHeight="1" s="94">
      <c r="O83" s="93">
        <f>IF(Akun!$A$86="","",Akun!$A$86)</f>
        <v/>
      </c>
      <c r="P83" s="93">
        <f>IF(Kategori!$C$86="","",Kategori!$C$86)</f>
        <v/>
      </c>
    </row>
    <row r="84" ht="15" customHeight="1" s="94">
      <c r="O84" s="93">
        <f>IF(Akun!$A$87="","",Akun!$A$87)</f>
        <v/>
      </c>
      <c r="P84" s="93">
        <f>IF(Kategori!$C$87="","",Kategori!$C$87)</f>
        <v/>
      </c>
    </row>
    <row r="85" ht="15" customHeight="1" s="94">
      <c r="O85" s="93">
        <f>IF(Akun!$A$88="","",Akun!$A$88)</f>
        <v/>
      </c>
      <c r="P85" s="93">
        <f>IF(Kategori!$C$88="","",Kategori!$C$88)</f>
        <v/>
      </c>
    </row>
    <row r="86" ht="15" customHeight="1" s="94">
      <c r="O86" s="93">
        <f>IF(Akun!$A$89="","",Akun!$A$89)</f>
        <v/>
      </c>
      <c r="P86" s="93">
        <f>IF(Kategori!$C$89="","",Kategori!$C$89)</f>
        <v/>
      </c>
    </row>
    <row r="87" ht="15" customHeight="1" s="94">
      <c r="O87" s="93">
        <f>IF(Akun!$A$90="","",Akun!$A$90)</f>
        <v/>
      </c>
      <c r="P87" s="93">
        <f>IF(Kategori!$C$90="","",Kategori!$C$90)</f>
        <v/>
      </c>
    </row>
    <row r="88" ht="15" customHeight="1" s="94">
      <c r="O88" s="93">
        <f>IF(Akun!$A$91="","",Akun!$A$91)</f>
        <v/>
      </c>
      <c r="P88" s="93">
        <f>IF(Kategori!$C$91="","",Kategori!$C$91)</f>
        <v/>
      </c>
    </row>
    <row r="89" ht="15" customHeight="1" s="94">
      <c r="O89" s="93">
        <f>IF(Akun!$A$92="","",Akun!$A$92)</f>
        <v/>
      </c>
      <c r="P89" s="93">
        <f>IF(Kategori!$C$92="","",Kategori!$C$92)</f>
        <v/>
      </c>
    </row>
    <row r="90" ht="15" customHeight="1" s="94">
      <c r="O90" s="93">
        <f>IF(Akun!$A$93="","",Akun!$A$93)</f>
        <v/>
      </c>
      <c r="P90" s="93">
        <f>IF(Kategori!$C$93="","",Kategori!$C$93)</f>
        <v/>
      </c>
    </row>
    <row r="91" ht="15" customHeight="1" s="94">
      <c r="O91" s="93">
        <f>IF(Akun!$A$94="","",Akun!$A$94)</f>
        <v/>
      </c>
      <c r="P91" s="93">
        <f>IF(Kategori!$C$94="","",Kategori!$C$94)</f>
        <v/>
      </c>
    </row>
    <row r="92" ht="15" customHeight="1" s="94">
      <c r="O92" s="93">
        <f>IF(Akun!$A$95="","",Akun!$A$95)</f>
        <v/>
      </c>
      <c r="P92" s="93">
        <f>IF(Kategori!$C$95="","",Kategori!$C$95)</f>
        <v/>
      </c>
    </row>
    <row r="93" ht="15" customHeight="1" s="94">
      <c r="O93" s="93">
        <f>IF(Akun!$A$96="","",Akun!$A$96)</f>
        <v/>
      </c>
      <c r="P93" s="93">
        <f>IF(Kategori!$C$96="","",Kategori!$C$96)</f>
        <v/>
      </c>
    </row>
    <row r="94" ht="15" customHeight="1" s="94">
      <c r="O94" s="93">
        <f>IF(Akun!$A$97="","",Akun!$A$97)</f>
        <v/>
      </c>
      <c r="P94" s="93">
        <f>IF(Kategori!$C$97="","",Kategori!$C$97)</f>
        <v/>
      </c>
    </row>
    <row r="95" ht="15" customHeight="1" s="94">
      <c r="O95" s="93">
        <f>IF(Akun!$A$98="","",Akun!$A$98)</f>
        <v/>
      </c>
      <c r="P95" s="93">
        <f>IF(Kategori!$C$98="","",Kategori!$C$98)</f>
        <v/>
      </c>
    </row>
    <row r="96" ht="15" customHeight="1" s="94">
      <c r="O96" s="93">
        <f>IF(Akun!$A$99="","",Akun!$A$99)</f>
        <v/>
      </c>
      <c r="P96" s="93">
        <f>IF(Kategori!$C$99="","",Kategori!$C$99)</f>
        <v/>
      </c>
    </row>
    <row r="97" ht="15" customHeight="1" s="94">
      <c r="O97" s="93">
        <f>IF(Akun!$A$100="","",Akun!$A$100)</f>
        <v/>
      </c>
      <c r="P97" s="93">
        <f>IF(Kategori!$C$100="","",Kategori!$C$100)</f>
        <v/>
      </c>
    </row>
    <row r="98" ht="15" customHeight="1" s="94">
      <c r="O98" s="93">
        <f>IF(Akun!$A$101="","",Akun!$A$101)</f>
        <v/>
      </c>
      <c r="P98" s="93">
        <f>IF(Kategori!$C$101="","",Kategori!$C$101)</f>
        <v/>
      </c>
    </row>
    <row r="99" ht="15" customHeight="1" s="94">
      <c r="O99" s="93">
        <f>IF(Akun!$A$102="","",Akun!$A$102)</f>
        <v/>
      </c>
      <c r="P99" s="93">
        <f>IF(Kategori!$C$102="","",Kategori!$C$102)</f>
        <v/>
      </c>
    </row>
    <row r="100" ht="15" customHeight="1" s="94">
      <c r="O100" s="93">
        <f>IF(Akun!$A$103="","",Akun!$A$103)</f>
        <v/>
      </c>
      <c r="P100" s="93">
        <f>IF(Kategori!$C$103="","",Kategori!$C$103)</f>
        <v/>
      </c>
    </row>
    <row r="101" ht="15" customHeight="1" s="94">
      <c r="O101" s="93">
        <f>IF(Akun!$A$104="","",Akun!$A$104)</f>
        <v/>
      </c>
      <c r="P101" s="93">
        <f>IF(Kategori!$C$104="","",Kategori!$C$104)</f>
        <v/>
      </c>
    </row>
    <row r="102" ht="15" customHeight="1" s="94">
      <c r="P102" s="93">
        <f>IF(Kategori!$C$105="","",Kategori!$C$105)</f>
        <v/>
      </c>
    </row>
    <row r="103" ht="15" customHeight="1" s="94">
      <c r="P103" s="93">
        <f>IF(Kategori!$C$106="","",Kategori!$C$106)</f>
        <v/>
      </c>
    </row>
    <row r="104" ht="15" customHeight="1" s="94">
      <c r="P104" s="93">
        <f>IF(Kategori!$C$107="","",Kategori!$C$107)</f>
        <v/>
      </c>
    </row>
    <row r="105" ht="15" customHeight="1" s="94">
      <c r="P105" s="93">
        <f>IF(Kategori!$C$108="","",Kategori!$C$108)</f>
        <v/>
      </c>
    </row>
    <row r="106" ht="15" customHeight="1" s="94">
      <c r="P106" s="93">
        <f>IF(Kategori!$C$109="","",Kategori!$C$109)</f>
        <v/>
      </c>
    </row>
    <row r="107" ht="15" customHeight="1" s="94">
      <c r="P107" s="93">
        <f>IF(Kategori!$C$110="","",Kategori!$C$110)</f>
        <v/>
      </c>
    </row>
    <row r="108" ht="15" customHeight="1" s="94">
      <c r="P108" s="93">
        <f>IF(Kategori!$C$111="","",Kategori!$C$111)</f>
        <v/>
      </c>
    </row>
    <row r="109" ht="15" customHeight="1" s="94">
      <c r="P109" s="93">
        <f>IF(Kategori!$C$112="","",Kategori!$C$112)</f>
        <v/>
      </c>
    </row>
    <row r="110" ht="15" customHeight="1" s="94">
      <c r="P110" s="93">
        <f>IF(Kategori!$C$113="","",Kategori!$C$113)</f>
        <v/>
      </c>
    </row>
    <row r="111" ht="15" customHeight="1" s="94">
      <c r="P111" s="93">
        <f>IF(Kategori!$C$114="","",Kategori!$C$114)</f>
        <v/>
      </c>
    </row>
    <row r="112" ht="15" customHeight="1" s="94">
      <c r="P112" s="93">
        <f>IF(Kategori!$C$115="","",Kategori!$C$115)</f>
        <v/>
      </c>
    </row>
    <row r="113" ht="15" customHeight="1" s="94">
      <c r="P113" s="93">
        <f>IF(Kategori!$C$116="","",Kategori!$C$116)</f>
        <v/>
      </c>
    </row>
    <row r="114" ht="15" customHeight="1" s="94">
      <c r="P114" s="93">
        <f>IF(Kategori!$C$117="","",Kategori!$C$117)</f>
        <v/>
      </c>
    </row>
    <row r="115" ht="15" customHeight="1" s="94">
      <c r="P115" s="93">
        <f>IF(Kategori!$C$118="","",Kategori!$C$118)</f>
        <v/>
      </c>
    </row>
    <row r="116" ht="15" customHeight="1" s="94">
      <c r="P116" s="93">
        <f>IF(Kategori!$C$119="","",Kategori!$C$119)</f>
        <v/>
      </c>
    </row>
    <row r="117" ht="15" customHeight="1" s="94">
      <c r="P117" s="93">
        <f>IF(Kategori!$C$120="","",Kategori!$C$120)</f>
        <v/>
      </c>
    </row>
    <row r="118" ht="15" customHeight="1" s="94">
      <c r="P118" s="93">
        <f>IF(Kategori!$C$121="","",Kategori!$C$121)</f>
        <v/>
      </c>
    </row>
    <row r="119" ht="15" customHeight="1" s="94">
      <c r="P119" s="93">
        <f>IF(Kategori!$C$122="","",Kategori!$C$122)</f>
        <v/>
      </c>
    </row>
    <row r="120" ht="15" customHeight="1" s="94">
      <c r="P120" s="93">
        <f>IF(Kategori!$C$123="","",Kategori!$C$123)</f>
        <v/>
      </c>
    </row>
    <row r="121" ht="15" customHeight="1" s="94">
      <c r="P121" s="93">
        <f>IF(Kategori!$C$124="","",Kategori!$C$124)</f>
        <v/>
      </c>
    </row>
    <row r="122" ht="15" customHeight="1" s="94">
      <c r="P122" s="93">
        <f>IF(Kategori!$C$125="","",Kategori!$C$125)</f>
        <v/>
      </c>
    </row>
    <row r="123" ht="15" customHeight="1" s="94">
      <c r="P123" s="93">
        <f>IF(Kategori!$C$126="","",Kategori!$C$126)</f>
        <v/>
      </c>
    </row>
    <row r="124" ht="15" customHeight="1" s="94">
      <c r="P124" s="93">
        <f>IF(Kategori!$C$127="","",Kategori!$C$127)</f>
        <v/>
      </c>
    </row>
    <row r="125" ht="15" customHeight="1" s="94">
      <c r="P125" s="93">
        <f>IF(Kategori!$C$128="","",Kategori!$C$128)</f>
        <v/>
      </c>
    </row>
    <row r="126" ht="15" customHeight="1" s="94">
      <c r="P126" s="93">
        <f>IF(Kategori!$C$129="","",Kategori!$C$129)</f>
        <v/>
      </c>
    </row>
    <row r="127" ht="15" customHeight="1" s="94">
      <c r="P127" s="93">
        <f>IF(Kategori!$C$130="","",Kategori!$C$130)</f>
        <v/>
      </c>
    </row>
    <row r="128" ht="15" customHeight="1" s="94">
      <c r="P128" s="93">
        <f>IF(Kategori!$C$131="","",Kategori!$C$131)</f>
        <v/>
      </c>
    </row>
    <row r="129" ht="15" customHeight="1" s="94">
      <c r="P129" s="93">
        <f>IF(Kategori!$C$132="","",Kategori!$C$132)</f>
        <v/>
      </c>
    </row>
    <row r="130" ht="15" customHeight="1" s="94">
      <c r="P130" s="93">
        <f>IF(Kategori!$C$133="","",Kategori!$C$133)</f>
        <v/>
      </c>
    </row>
    <row r="131" ht="15" customHeight="1" s="94">
      <c r="P131" s="93">
        <f>IF(Kategori!$C$134="","",Kategori!$C$134)</f>
        <v/>
      </c>
    </row>
    <row r="132" ht="15" customHeight="1" s="94">
      <c r="P132" s="93">
        <f>IF(Kategori!$C$135="","",Kategori!$C$135)</f>
        <v/>
      </c>
    </row>
    <row r="133" ht="15" customHeight="1" s="94">
      <c r="P133" s="93">
        <f>IF(Kategori!$C$136="","",Kategori!$C$136)</f>
        <v/>
      </c>
    </row>
    <row r="134" ht="15" customHeight="1" s="94">
      <c r="P134" s="93">
        <f>IF(Kategori!$C$137="","",Kategori!$C$137)</f>
        <v/>
      </c>
    </row>
    <row r="135" ht="15" customHeight="1" s="94">
      <c r="P135" s="93">
        <f>IF(Kategori!$C$138="","",Kategori!$C$138)</f>
        <v/>
      </c>
    </row>
    <row r="136" ht="15" customHeight="1" s="94">
      <c r="P136" s="93">
        <f>IF(Kategori!$C$139="","",Kategori!$C$139)</f>
        <v/>
      </c>
    </row>
    <row r="137" ht="15" customHeight="1" s="94">
      <c r="P137" s="93">
        <f>IF(Kategori!$C$140="","",Kategori!$C$140)</f>
        <v/>
      </c>
    </row>
    <row r="138" ht="15" customHeight="1" s="94">
      <c r="P138" s="93">
        <f>IF(Kategori!$C$141="","",Kategori!$C$141)</f>
        <v/>
      </c>
    </row>
    <row r="139" ht="15" customHeight="1" s="94">
      <c r="P139" s="93">
        <f>IF(Kategori!$C$142="","",Kategori!$C$142)</f>
        <v/>
      </c>
    </row>
    <row r="140" ht="15" customHeight="1" s="94">
      <c r="P140" s="93">
        <f>IF(Kategori!$C$143="","",Kategori!$C$143)</f>
        <v/>
      </c>
    </row>
    <row r="141" ht="15" customHeight="1" s="94">
      <c r="P141" s="93">
        <f>IF(Kategori!$C$144="","",Kategori!$C$144)</f>
        <v/>
      </c>
    </row>
    <row r="142" ht="15" customHeight="1" s="94">
      <c r="P142" s="93">
        <f>IF(Kategori!$C$145="","",Kategori!$C$145)</f>
        <v/>
      </c>
    </row>
    <row r="143" ht="15" customHeight="1" s="94">
      <c r="P143" s="93">
        <f>IF(Kategori!$C$146="","",Kategori!$C$146)</f>
        <v/>
      </c>
    </row>
    <row r="144" ht="15" customHeight="1" s="94">
      <c r="P144" s="93">
        <f>IF(Kategori!$C$147="","",Kategori!$C$147)</f>
        <v/>
      </c>
    </row>
    <row r="145" ht="15" customHeight="1" s="94">
      <c r="P145" s="93">
        <f>IF(Kategori!$C$148="","",Kategori!$C$148)</f>
        <v/>
      </c>
    </row>
    <row r="146" ht="15" customHeight="1" s="94">
      <c r="P146" s="93">
        <f>IF(Kategori!$C$149="","",Kategori!$C$149)</f>
        <v/>
      </c>
    </row>
    <row r="147" ht="15" customHeight="1" s="94">
      <c r="P147" s="93">
        <f>IF(Kategori!$C$150="","",Kategori!$C$150)</f>
        <v/>
      </c>
    </row>
    <row r="148" ht="15" customHeight="1" s="94">
      <c r="P148" s="93">
        <f>IF(Kategori!$C$151="","",Kategori!$C$151)</f>
        <v/>
      </c>
    </row>
    <row r="149" ht="15" customHeight="1" s="94">
      <c r="P149" s="93">
        <f>IF(Kategori!$C$152="","",Kategori!$C$152)</f>
        <v/>
      </c>
    </row>
    <row r="150" ht="15" customHeight="1" s="94">
      <c r="P150" s="93">
        <f>IF(Kategori!$C$153="","",Kategori!$C$153)</f>
        <v/>
      </c>
    </row>
    <row r="151" ht="15" customHeight="1" s="94">
      <c r="P151" s="93">
        <f>IF(Kategori!$C$154="","",Kategori!$C$154)</f>
        <v/>
      </c>
    </row>
    <row r="152" ht="15" customHeight="1" s="94">
      <c r="P152" s="93">
        <f>IF(Kategori!$C$155="","",Kategori!$C$155)</f>
        <v/>
      </c>
    </row>
    <row r="153" ht="15" customHeight="1" s="94">
      <c r="P153" s="93">
        <f>IF(Kategori!$C$156="","",Kategori!$C$156)</f>
        <v/>
      </c>
    </row>
    <row r="154" ht="15" customHeight="1" s="94">
      <c r="P154" s="93">
        <f>IF(Kategori!$C$157="","",Kategori!$C$157)</f>
        <v/>
      </c>
    </row>
    <row r="155" ht="15" customHeight="1" s="94">
      <c r="P155" s="93">
        <f>IF(Kategori!$C$158="","",Kategori!$C$158)</f>
        <v/>
      </c>
    </row>
    <row r="156" ht="15" customHeight="1" s="94">
      <c r="P156" s="93">
        <f>IF(Kategori!$C$159="","",Kategori!$C$159)</f>
        <v/>
      </c>
    </row>
    <row r="157" ht="15" customHeight="1" s="94">
      <c r="P157" s="93">
        <f>IF(Kategori!$C$160="","",Kategori!$C$160)</f>
        <v/>
      </c>
    </row>
    <row r="158" ht="15" customHeight="1" s="94">
      <c r="P158" s="93">
        <f>IF(Kategori!$C$161="","",Kategori!$C$161)</f>
        <v/>
      </c>
    </row>
    <row r="159" ht="15" customHeight="1" s="94">
      <c r="P159" s="93">
        <f>IF(Kategori!$C$162="","",Kategori!$C$162)</f>
        <v/>
      </c>
    </row>
    <row r="160" ht="15" customHeight="1" s="94">
      <c r="P160" s="93">
        <f>IF(Kategori!$C$163="","",Kategori!$C$163)</f>
        <v/>
      </c>
    </row>
    <row r="161" ht="15" customHeight="1" s="94">
      <c r="P161" s="93">
        <f>IF(Kategori!$C$164="","",Kategori!$C$164)</f>
        <v/>
      </c>
    </row>
    <row r="162" ht="15" customHeight="1" s="94">
      <c r="P162" s="93">
        <f>IF(Kategori!$C$165="","",Kategori!$C$165)</f>
        <v/>
      </c>
    </row>
    <row r="163" ht="15" customHeight="1" s="94">
      <c r="P163" s="93">
        <f>IF(Kategori!$C$166="","",Kategori!$C$166)</f>
        <v/>
      </c>
    </row>
    <row r="164" ht="15" customHeight="1" s="94">
      <c r="P164" s="93">
        <f>IF(Kategori!$C$167="","",Kategori!$C$167)</f>
        <v/>
      </c>
    </row>
    <row r="165" ht="15" customHeight="1" s="94">
      <c r="P165" s="93">
        <f>IF(Kategori!$C$168="","",Kategori!$C$168)</f>
        <v/>
      </c>
    </row>
    <row r="166" ht="15" customHeight="1" s="94">
      <c r="P166" s="93">
        <f>IF(Kategori!$C$169="","",Kategori!$C$169)</f>
        <v/>
      </c>
    </row>
    <row r="167" ht="15" customHeight="1" s="94">
      <c r="P167" s="93">
        <f>IF(Kategori!$C$170="","",Kategori!$C$170)</f>
        <v/>
      </c>
    </row>
    <row r="168" ht="15" customHeight="1" s="94">
      <c r="P168" s="93">
        <f>IF(Kategori!$C$171="","",Kategori!$C$171)</f>
        <v/>
      </c>
    </row>
    <row r="169" ht="15" customHeight="1" s="94">
      <c r="P169" s="93">
        <f>IF(Kategori!$C$172="","",Kategori!$C$172)</f>
        <v/>
      </c>
    </row>
    <row r="170" ht="15" customHeight="1" s="94">
      <c r="P170" s="93">
        <f>IF(Kategori!$C$173="","",Kategori!$C$173)</f>
        <v/>
      </c>
    </row>
    <row r="171" ht="15" customHeight="1" s="94">
      <c r="P171" s="93">
        <f>IF(Kategori!$C$174="","",Kategori!$C$174)</f>
        <v/>
      </c>
    </row>
    <row r="172" ht="15" customHeight="1" s="94">
      <c r="P172" s="93">
        <f>IF(Kategori!$C$175="","",Kategori!$C$175)</f>
        <v/>
      </c>
    </row>
    <row r="173" ht="15" customHeight="1" s="94">
      <c r="P173" s="93">
        <f>IF(Kategori!$C$176="","",Kategori!$C$176)</f>
        <v/>
      </c>
    </row>
    <row r="174" ht="15" customHeight="1" s="94">
      <c r="P174" s="93">
        <f>IF(Kategori!$C$177="","",Kategori!$C$177)</f>
        <v/>
      </c>
    </row>
    <row r="175" ht="15" customHeight="1" s="94">
      <c r="P175" s="93">
        <f>IF(Kategori!$C$178="","",Kategori!$C$178)</f>
        <v/>
      </c>
    </row>
    <row r="176" ht="15" customHeight="1" s="94">
      <c r="P176" s="93">
        <f>IF(Kategori!$C$179="","",Kategori!$C$179)</f>
        <v/>
      </c>
    </row>
    <row r="177" ht="15" customHeight="1" s="94">
      <c r="P177" s="93">
        <f>IF(Kategori!$C$180="","",Kategori!$C$180)</f>
        <v/>
      </c>
    </row>
    <row r="178" ht="15" customHeight="1" s="94">
      <c r="P178" s="93">
        <f>IF(Kategori!$C$181="","",Kategori!$C$181)</f>
        <v/>
      </c>
    </row>
    <row r="179" ht="15" customHeight="1" s="94">
      <c r="P179" s="93">
        <f>IF(Kategori!$C$182="","",Kategori!$C$182)</f>
        <v/>
      </c>
    </row>
    <row r="180" ht="15" customHeight="1" s="94">
      <c r="P180" s="93">
        <f>IF(Kategori!$C$183="","",Kategori!$C$183)</f>
        <v/>
      </c>
    </row>
    <row r="181" ht="15" customHeight="1" s="94">
      <c r="P181" s="93">
        <f>IF(Kategori!$C$184="","",Kategori!$C$184)</f>
        <v/>
      </c>
    </row>
    <row r="182" ht="15" customHeight="1" s="94">
      <c r="P182" s="93">
        <f>IF(Kategori!$C$185="","",Kategori!$C$185)</f>
        <v/>
      </c>
    </row>
    <row r="183" ht="15" customHeight="1" s="94">
      <c r="P183" s="93">
        <f>IF(Kategori!$C$186="","",Kategori!$C$186)</f>
        <v/>
      </c>
    </row>
    <row r="184" ht="15" customHeight="1" s="94">
      <c r="P184" s="93">
        <f>IF(Kategori!$C$187="","",Kategori!$C$187)</f>
        <v/>
      </c>
    </row>
    <row r="185" ht="15" customHeight="1" s="94">
      <c r="P185" s="93">
        <f>IF(Kategori!$C$188="","",Kategori!$C$188)</f>
        <v/>
      </c>
    </row>
    <row r="186" ht="15" customHeight="1" s="94">
      <c r="P186" s="93">
        <f>IF(Kategori!$C$189="","",Kategori!$C$189)</f>
        <v/>
      </c>
    </row>
    <row r="187" ht="15" customHeight="1" s="94">
      <c r="P187" s="93">
        <f>IF(Kategori!$C$190="","",Kategori!$C$190)</f>
        <v/>
      </c>
    </row>
    <row r="188" ht="15" customHeight="1" s="94">
      <c r="P188" s="93">
        <f>IF(Kategori!$C$191="","",Kategori!$C$191)</f>
        <v/>
      </c>
    </row>
    <row r="189" ht="15" customHeight="1" s="94">
      <c r="P189" s="93">
        <f>IF(Kategori!$C$192="","",Kategori!$C$192)</f>
        <v/>
      </c>
    </row>
    <row r="190" ht="15" customHeight="1" s="94">
      <c r="P190" s="93">
        <f>IF(Kategori!$C$193="","",Kategori!$C$193)</f>
        <v/>
      </c>
    </row>
    <row r="191" ht="15" customHeight="1" s="94">
      <c r="P191" s="93">
        <f>IF(Kategori!$C$194="","",Kategori!$C$194)</f>
        <v/>
      </c>
    </row>
    <row r="192" ht="15" customHeight="1" s="94">
      <c r="P192" s="93">
        <f>IF(Kategori!$C$195="","",Kategori!$C$195)</f>
        <v/>
      </c>
    </row>
    <row r="193" ht="15" customHeight="1" s="94">
      <c r="P193" s="93">
        <f>IF(Kategori!$C$196="","",Kategori!$C$196)</f>
        <v/>
      </c>
    </row>
    <row r="194" ht="15" customHeight="1" s="94">
      <c r="P194" s="93">
        <f>IF(Kategori!$C$197="","",Kategori!$C$197)</f>
        <v/>
      </c>
    </row>
    <row r="195" ht="15" customHeight="1" s="94">
      <c r="P195" s="93">
        <f>IF(Kategori!$C$198="","",Kategori!$C$198)</f>
        <v/>
      </c>
    </row>
    <row r="196" ht="15" customHeight="1" s="94">
      <c r="P196" s="93">
        <f>IF(Kategori!$C$199="","",Kategori!$C$199)</f>
        <v/>
      </c>
    </row>
    <row r="197" ht="15" customHeight="1" s="94">
      <c r="P197" s="93">
        <f>IF(Kategori!$C$200="","",Kategori!$C$200)</f>
        <v/>
      </c>
    </row>
    <row r="198" ht="15" customHeight="1" s="94">
      <c r="P198" s="93">
        <f>IF(Kategori!$C$201="","",Kategori!$C$201)</f>
        <v/>
      </c>
    </row>
    <row r="199" ht="15" customHeight="1" s="94">
      <c r="P199" s="93">
        <f>IF(Kategori!$C$202="","",Kategori!$C$202)</f>
        <v/>
      </c>
    </row>
    <row r="200" ht="15" customHeight="1" s="94">
      <c r="P200" s="93">
        <f>IF(Kategori!$C$203="","",Kategori!$C$203)</f>
        <v/>
      </c>
    </row>
    <row r="201" ht="15" customHeight="1" s="94">
      <c r="P201" s="93">
        <f>IF(Kategori!$C$204="","",Kategori!$C$204)</f>
        <v/>
      </c>
    </row>
    <row r="202" ht="15" customHeight="1" s="94">
      <c r="P202" s="93">
        <f>IF(Kategori!$C$205="","",Kategori!$C$205)</f>
        <v/>
      </c>
    </row>
    <row r="203" ht="15" customHeight="1" s="94">
      <c r="P203" s="93">
        <f>IF(Kategori!$C$206="","",Kategori!$C$206)</f>
        <v/>
      </c>
    </row>
    <row r="204" ht="15" customHeight="1" s="94">
      <c r="P204" s="93">
        <f>IF(Kategori!$C$207="","",Kategori!$C$207)</f>
        <v/>
      </c>
    </row>
    <row r="205" ht="15" customHeight="1" s="94">
      <c r="P205" s="93">
        <f>IF(Kategori!$C$208="","",Kategori!$C$208)</f>
        <v/>
      </c>
    </row>
    <row r="206" ht="15" customHeight="1" s="94">
      <c r="P206" s="93">
        <f>IF(Kategori!$C$209="","",Kategori!$C$209)</f>
        <v/>
      </c>
    </row>
    <row r="207" ht="15" customHeight="1" s="94">
      <c r="P207" s="93">
        <f>IF(Kategori!$C$210="","",Kategori!$C$210)</f>
        <v/>
      </c>
    </row>
    <row r="208" ht="15" customHeight="1" s="94">
      <c r="P208" s="93">
        <f>IF(Kategori!$C$211="","",Kategori!$C$211)</f>
        <v/>
      </c>
    </row>
    <row r="209" ht="15" customHeight="1" s="94">
      <c r="P209" s="93">
        <f>IF(Kategori!$C$212="","",Kategori!$C$212)</f>
        <v/>
      </c>
    </row>
    <row r="210" ht="15" customHeight="1" s="94">
      <c r="P210" s="93">
        <f>IF(Kategori!$C$213="","",Kategori!$C$213)</f>
        <v/>
      </c>
    </row>
    <row r="211" ht="15" customHeight="1" s="94">
      <c r="P211" s="93">
        <f>IF(Kategori!$C$214="","",Kategori!$C$214)</f>
        <v/>
      </c>
    </row>
    <row r="212" ht="15" customHeight="1" s="94">
      <c r="P212" s="93">
        <f>IF(Kategori!$C$215="","",Kategori!$C$215)</f>
        <v/>
      </c>
    </row>
    <row r="213" ht="15" customHeight="1" s="94">
      <c r="P213" s="93">
        <f>IF(Kategori!$C$216="","",Kategori!$C$216)</f>
        <v/>
      </c>
    </row>
    <row r="214" ht="15" customHeight="1" s="94">
      <c r="P214" s="93">
        <f>IF(Kategori!$C$217="","",Kategori!$C$217)</f>
        <v/>
      </c>
    </row>
    <row r="215" ht="15" customHeight="1" s="94">
      <c r="P215" s="93">
        <f>IF(Kategori!$C$218="","",Kategori!$C$218)</f>
        <v/>
      </c>
    </row>
    <row r="216" ht="15" customHeight="1" s="94">
      <c r="P216" s="93">
        <f>IF(Kategori!$C$219="","",Kategori!$C$219)</f>
        <v/>
      </c>
    </row>
    <row r="217" ht="15" customHeight="1" s="94">
      <c r="P217" s="93">
        <f>IF(Kategori!$C$220="","",Kategori!$C$220)</f>
        <v/>
      </c>
    </row>
    <row r="218" ht="15" customHeight="1" s="94">
      <c r="P218" s="93">
        <f>IF(Kategori!$C$221="","",Kategori!$C$221)</f>
        <v/>
      </c>
    </row>
    <row r="219" ht="15" customHeight="1" s="94">
      <c r="P219" s="93">
        <f>IF(Kategori!$C$222="","",Kategori!$C$222)</f>
        <v/>
      </c>
    </row>
    <row r="220" ht="15" customHeight="1" s="94">
      <c r="P220" s="93">
        <f>IF(Kategori!$C$223="","",Kategori!$C$223)</f>
        <v/>
      </c>
    </row>
    <row r="221" ht="15" customHeight="1" s="94">
      <c r="P221" s="93">
        <f>IF(Kategori!$C$224="","",Kategori!$C$224)</f>
        <v/>
      </c>
    </row>
    <row r="222" ht="15" customHeight="1" s="94">
      <c r="P222" s="93">
        <f>IF(Kategori!$C$225="","",Kategori!$C$225)</f>
        <v/>
      </c>
    </row>
    <row r="223" ht="15" customHeight="1" s="94">
      <c r="P223" s="93">
        <f>IF(Kategori!$C$226="","",Kategori!$C$226)</f>
        <v/>
      </c>
    </row>
    <row r="224" ht="15" customHeight="1" s="94">
      <c r="P224" s="93">
        <f>IF(Kategori!$C$227="","",Kategori!$C$227)</f>
        <v/>
      </c>
    </row>
    <row r="225" ht="15" customHeight="1" s="94">
      <c r="P225" s="93">
        <f>IF(Kategori!$C$228="","",Kategori!$C$228)</f>
        <v/>
      </c>
    </row>
    <row r="226" ht="15" customHeight="1" s="94">
      <c r="P226" s="93">
        <f>IF(Kategori!$C$229="","",Kategori!$C$229)</f>
        <v/>
      </c>
    </row>
    <row r="227" ht="15" customHeight="1" s="94">
      <c r="P227" s="93">
        <f>IF(Kategori!$C$230="","",Kategori!$C$230)</f>
        <v/>
      </c>
    </row>
    <row r="228" ht="15" customHeight="1" s="94">
      <c r="P228" s="93">
        <f>IF(Kategori!$C$231="","",Kategori!$C$231)</f>
        <v/>
      </c>
    </row>
    <row r="229" ht="15" customHeight="1" s="94">
      <c r="P229" s="93">
        <f>IF(Kategori!$C$232="","",Kategori!$C$232)</f>
        <v/>
      </c>
    </row>
    <row r="230" ht="15" customHeight="1" s="94">
      <c r="P230" s="93">
        <f>IF(Kategori!$C$233="","",Kategori!$C$233)</f>
        <v/>
      </c>
    </row>
    <row r="231" ht="15" customHeight="1" s="94">
      <c r="P231" s="93">
        <f>IF(Kategori!$C$234="","",Kategori!$C$234)</f>
        <v/>
      </c>
    </row>
    <row r="232" ht="15" customHeight="1" s="94">
      <c r="P232" s="93">
        <f>IF(Kategori!$C$235="","",Kategori!$C$235)</f>
        <v/>
      </c>
    </row>
    <row r="233" ht="15" customHeight="1" s="94">
      <c r="P233" s="93">
        <f>IF(Kategori!$C$236="","",Kategori!$C$236)</f>
        <v/>
      </c>
    </row>
    <row r="234" ht="15" customHeight="1" s="94">
      <c r="P234" s="93">
        <f>IF(Kategori!$C$237="","",Kategori!$C$237)</f>
        <v/>
      </c>
    </row>
    <row r="235" ht="15" customHeight="1" s="94">
      <c r="P235" s="93">
        <f>IF(Kategori!$C$238="","",Kategori!$C$238)</f>
        <v/>
      </c>
    </row>
    <row r="236" ht="15" customHeight="1" s="94">
      <c r="P236" s="93">
        <f>IF(Kategori!$C$239="","",Kategori!$C$239)</f>
        <v/>
      </c>
    </row>
    <row r="237" ht="15" customHeight="1" s="94">
      <c r="P237" s="93">
        <f>IF(Kategori!$C$240="","",Kategori!$C$240)</f>
        <v/>
      </c>
    </row>
    <row r="238" ht="15" customHeight="1" s="94">
      <c r="P238" s="93">
        <f>IF(Kategori!$C$241="","",Kategori!$C$241)</f>
        <v/>
      </c>
    </row>
    <row r="239" ht="15" customHeight="1" s="94">
      <c r="P239" s="93">
        <f>IF(Kategori!$C$242="","",Kategori!$C$242)</f>
        <v/>
      </c>
    </row>
    <row r="240" ht="15" customHeight="1" s="94">
      <c r="P240" s="93">
        <f>IF(Kategori!$C$243="","",Kategori!$C$243)</f>
        <v/>
      </c>
    </row>
    <row r="241" ht="15" customHeight="1" s="94">
      <c r="P241" s="93">
        <f>IF(Kategori!$C$244="","",Kategori!$C$244)</f>
        <v/>
      </c>
    </row>
    <row r="242" ht="15" customHeight="1" s="94">
      <c r="P242" s="93">
        <f>IF(Kategori!$C$245="","",Kategori!$C$245)</f>
        <v/>
      </c>
    </row>
    <row r="243" ht="15" customHeight="1" s="94">
      <c r="P243" s="93">
        <f>IF(Kategori!$C$246="","",Kategori!$C$246)</f>
        <v/>
      </c>
    </row>
    <row r="244" ht="15" customHeight="1" s="94">
      <c r="P244" s="93">
        <f>IF(Kategori!$C$247="","",Kategori!$C$247)</f>
        <v/>
      </c>
    </row>
    <row r="245" ht="15" customHeight="1" s="94">
      <c r="P245" s="93">
        <f>IF(Kategori!$C$248="","",Kategori!$C$248)</f>
        <v/>
      </c>
    </row>
    <row r="246" ht="15" customHeight="1" s="94">
      <c r="P246" s="93">
        <f>IF(Kategori!$C$249="","",Kategori!$C$249)</f>
        <v/>
      </c>
    </row>
    <row r="247" ht="15" customHeight="1" s="94">
      <c r="P247" s="93">
        <f>IF(Kategori!$C$250="","",Kategori!$C$250)</f>
        <v/>
      </c>
    </row>
    <row r="248" ht="15" customHeight="1" s="94">
      <c r="P248" s="93">
        <f>IF(Kategori!$C$251="","",Kategori!$C$251)</f>
        <v/>
      </c>
    </row>
    <row r="249" ht="15" customHeight="1" s="94">
      <c r="P249" s="93">
        <f>IF(Kategori!$C$252="","",Kategori!$C$252)</f>
        <v/>
      </c>
    </row>
    <row r="250" ht="15" customHeight="1" s="94">
      <c r="P250" s="93">
        <f>IF(Kategori!$C$253="","",Kategori!$C$253)</f>
        <v/>
      </c>
    </row>
    <row r="251" ht="15" customHeight="1" s="94">
      <c r="P251" s="93">
        <f>IF(Kategori!$C$254="","",Kategori!$C$254)</f>
        <v/>
      </c>
    </row>
    <row r="252" ht="15" customHeight="1" s="94">
      <c r="P252" s="93">
        <f>IF(Kategori!$C$255="","",Kategori!$C$255)</f>
        <v/>
      </c>
    </row>
    <row r="253" ht="15" customHeight="1" s="94">
      <c r="P253" s="93">
        <f>IF(Kategori!$C$256="","",Kategori!$C$256)</f>
        <v/>
      </c>
    </row>
    <row r="254" ht="15" customHeight="1" s="94">
      <c r="P254" s="93">
        <f>IF(Kategori!$C$257="","",Kategori!$C$257)</f>
        <v/>
      </c>
    </row>
    <row r="255" ht="15" customHeight="1" s="94">
      <c r="P255" s="93">
        <f>IF(Kategori!$C$258="","",Kategori!$C$258)</f>
        <v/>
      </c>
    </row>
    <row r="256" ht="15" customHeight="1" s="94">
      <c r="P256" s="93">
        <f>IF(Kategori!$C$259="","",Kategori!$C$259)</f>
        <v/>
      </c>
    </row>
    <row r="257" ht="15" customHeight="1" s="94">
      <c r="P257" s="93">
        <f>IF(Kategori!$C$260="","",Kategori!$C$260)</f>
        <v/>
      </c>
    </row>
    <row r="258" ht="15" customHeight="1" s="94">
      <c r="P258" s="93">
        <f>IF(Kategori!$C$261="","",Kategori!$C$261)</f>
        <v/>
      </c>
    </row>
    <row r="259" ht="15" customHeight="1" s="94">
      <c r="P259" s="93">
        <f>IF(Kategori!$C$262="","",Kategori!$C$262)</f>
        <v/>
      </c>
    </row>
    <row r="260" ht="15" customHeight="1" s="94">
      <c r="P260" s="93">
        <f>IF(Kategori!$C$263="","",Kategori!$C$263)</f>
        <v/>
      </c>
    </row>
    <row r="261" ht="15" customHeight="1" s="94">
      <c r="P261" s="93">
        <f>IF(Kategori!$C$264="","",Kategori!$C$264)</f>
        <v/>
      </c>
    </row>
    <row r="262" ht="15" customHeight="1" s="94">
      <c r="P262" s="93">
        <f>IF(Kategori!$C$265="","",Kategori!$C$265)</f>
        <v/>
      </c>
    </row>
    <row r="263" ht="15" customHeight="1" s="94">
      <c r="P263" s="93">
        <f>IF(Kategori!$C$266="","",Kategori!$C$266)</f>
        <v/>
      </c>
    </row>
    <row r="264" ht="15" customHeight="1" s="94">
      <c r="P264" s="93">
        <f>IF(Kategori!$C$267="","",Kategori!$C$267)</f>
        <v/>
      </c>
    </row>
    <row r="265" ht="15" customHeight="1" s="94">
      <c r="P265" s="93">
        <f>IF(Kategori!$C$268="","",Kategori!$C$268)</f>
        <v/>
      </c>
    </row>
    <row r="266" ht="15" customHeight="1" s="94">
      <c r="P266" s="93">
        <f>IF(Kategori!$C$269="","",Kategori!$C$269)</f>
        <v/>
      </c>
    </row>
    <row r="267" ht="15" customHeight="1" s="94">
      <c r="P267" s="93">
        <f>IF(Kategori!$C$270="","",Kategori!$C$270)</f>
        <v/>
      </c>
    </row>
    <row r="268" ht="15" customHeight="1" s="94">
      <c r="P268" s="93">
        <f>IF(Kategori!$C$271="","",Kategori!$C$271)</f>
        <v/>
      </c>
    </row>
    <row r="269" ht="15" customHeight="1" s="94">
      <c r="P269" s="93">
        <f>IF(Kategori!$C$272="","",Kategori!$C$272)</f>
        <v/>
      </c>
    </row>
    <row r="270" ht="15" customHeight="1" s="94">
      <c r="P270" s="93">
        <f>IF(Kategori!$C$273="","",Kategori!$C$273)</f>
        <v/>
      </c>
    </row>
    <row r="271" ht="15" customHeight="1" s="94">
      <c r="P271" s="93">
        <f>IF(Kategori!$C$274="","",Kategori!$C$274)</f>
        <v/>
      </c>
    </row>
    <row r="272" ht="15" customHeight="1" s="94">
      <c r="P272" s="93">
        <f>IF(Kategori!$C$275="","",Kategori!$C$275)</f>
        <v/>
      </c>
    </row>
    <row r="273" ht="15" customHeight="1" s="94">
      <c r="P273" s="93">
        <f>IF(Kategori!$C$276="","",Kategori!$C$276)</f>
        <v/>
      </c>
    </row>
    <row r="274" ht="15" customHeight="1" s="94">
      <c r="P274" s="93">
        <f>IF(Kategori!$C$277="","",Kategori!$C$277)</f>
        <v/>
      </c>
    </row>
    <row r="275" ht="15" customHeight="1" s="94">
      <c r="P275" s="93">
        <f>IF(Kategori!$C$278="","",Kategori!$C$278)</f>
        <v/>
      </c>
    </row>
    <row r="276" ht="15" customHeight="1" s="94">
      <c r="P276" s="93">
        <f>IF(Kategori!$C$279="","",Kategori!$C$279)</f>
        <v/>
      </c>
    </row>
    <row r="277" ht="15" customHeight="1" s="94">
      <c r="P277" s="93">
        <f>IF(Kategori!$C$280="","",Kategori!$C$280)</f>
        <v/>
      </c>
    </row>
    <row r="278" ht="15" customHeight="1" s="94">
      <c r="P278" s="93">
        <f>IF(Kategori!$C$281="","",Kategori!$C$281)</f>
        <v/>
      </c>
    </row>
    <row r="279" ht="15" customHeight="1" s="94">
      <c r="P279" s="93">
        <f>IF(Kategori!$C$282="","",Kategori!$C$282)</f>
        <v/>
      </c>
    </row>
    <row r="280" ht="15" customHeight="1" s="94">
      <c r="P280" s="93">
        <f>IF(Kategori!$C$283="","",Kategori!$C$283)</f>
        <v/>
      </c>
    </row>
    <row r="281" ht="15" customHeight="1" s="94">
      <c r="P281" s="93">
        <f>IF(Kategori!$C$284="","",Kategori!$C$284)</f>
        <v/>
      </c>
    </row>
    <row r="282" ht="15" customHeight="1" s="94">
      <c r="P282" s="93">
        <f>IF(Kategori!$C$285="","",Kategori!$C$285)</f>
        <v/>
      </c>
    </row>
    <row r="283" ht="15" customHeight="1" s="94">
      <c r="P283" s="93">
        <f>IF(Kategori!$C$286="","",Kategori!$C$286)</f>
        <v/>
      </c>
    </row>
    <row r="284" ht="15" customHeight="1" s="94">
      <c r="P284" s="93">
        <f>IF(Kategori!$C$287="","",Kategori!$C$287)</f>
        <v/>
      </c>
    </row>
    <row r="285" ht="15" customHeight="1" s="94">
      <c r="P285" s="93">
        <f>IF(Kategori!$C$288="","",Kategori!$C$288)</f>
        <v/>
      </c>
    </row>
    <row r="286" ht="15" customHeight="1" s="94">
      <c r="P286" s="93">
        <f>IF(Kategori!$C$289="","",Kategori!$C$289)</f>
        <v/>
      </c>
    </row>
    <row r="287" ht="15" customHeight="1" s="94">
      <c r="P287" s="93">
        <f>IF(Kategori!$C$290="","",Kategori!$C$290)</f>
        <v/>
      </c>
    </row>
    <row r="288" ht="15" customHeight="1" s="94">
      <c r="P288" s="93">
        <f>IF(Kategori!$C$291="","",Kategori!$C$291)</f>
        <v/>
      </c>
    </row>
    <row r="289" ht="15" customHeight="1" s="94">
      <c r="P289" s="93">
        <f>IF(Kategori!$C$292="","",Kategori!$C$292)</f>
        <v/>
      </c>
    </row>
    <row r="290" ht="15" customHeight="1" s="94">
      <c r="P290" s="93">
        <f>IF(Kategori!$C$293="","",Kategori!$C$293)</f>
        <v/>
      </c>
    </row>
    <row r="291" ht="15" customHeight="1" s="94">
      <c r="P291" s="93">
        <f>IF(Kategori!$C$294="","",Kategori!$C$294)</f>
        <v/>
      </c>
    </row>
    <row r="292" ht="15" customHeight="1" s="94">
      <c r="P292" s="93">
        <f>IF(Kategori!$C$295="","",Kategori!$C$295)</f>
        <v/>
      </c>
    </row>
    <row r="293" ht="15" customHeight="1" s="94">
      <c r="P293" s="93">
        <f>IF(Kategori!$C$296="","",Kategori!$C$296)</f>
        <v/>
      </c>
    </row>
    <row r="294" ht="15" customHeight="1" s="94">
      <c r="P294" s="93">
        <f>IF(Kategori!$C$297="","",Kategori!$C$297)</f>
        <v/>
      </c>
    </row>
    <row r="295" ht="15" customHeight="1" s="94">
      <c r="P295" s="93">
        <f>IF(Kategori!$C$298="","",Kategori!$C$298)</f>
        <v/>
      </c>
    </row>
    <row r="296" ht="15" customHeight="1" s="94">
      <c r="P296" s="93">
        <f>IF(Kategori!$C$299="","",Kategori!$C$299)</f>
        <v/>
      </c>
    </row>
    <row r="297" ht="15" customHeight="1" s="94">
      <c r="P297" s="93">
        <f>IF(Kategori!$C$300="","",Kategori!$C$300)</f>
        <v/>
      </c>
    </row>
    <row r="298" ht="15" customHeight="1" s="94">
      <c r="P298" s="93">
        <f>IF(Kategori!$C$301="","",Kategori!$C$301)</f>
        <v/>
      </c>
    </row>
    <row r="299" ht="15" customHeight="1" s="94">
      <c r="P299" s="93">
        <f>IF(Kategori!$C$302="","",Kategori!$C$302)</f>
        <v/>
      </c>
    </row>
    <row r="300" ht="15" customHeight="1" s="94">
      <c r="P300" s="93">
        <f>IF(Kategori!$C$303="","",Kategori!$C$303)</f>
        <v/>
      </c>
    </row>
    <row r="301" ht="15" customHeight="1" s="94">
      <c r="P301" s="93">
        <f>IF(Kategori!$C$304="","",Kategori!$C$304)</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2026-09-25T18:47:12Z</dcterms:created>
  <dcterms:modified xmlns:dcterms="http://purl.org/dc/terms/" xmlns:xsi="http://www.w3.org/2001/XMLSchema-instance" xsi:type="dcterms:W3CDTF">2026-10-02T14:33:33Z</dcterms:modified>
  <cp:revision>19</cp:revision>
</cp:coreProperties>
</file>